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Top 50 important SST-2" sheetId="2" r:id="rId5"/>
    <sheet state="visible" name="Ofc" sheetId="3" r:id="rId6"/>
    <sheet state="visible" name="Comparison" sheetId="4" r:id="rId7"/>
    <sheet state="visible" name="new_comparison" sheetId="5" r:id="rId8"/>
    <sheet state="visible" name="RQ1  IoU" sheetId="6" r:id="rId9"/>
    <sheet state="visible" name="RQ1  RP" sheetId="7" r:id="rId10"/>
    <sheet state="visible" name="SST_MR" sheetId="8" r:id="rId11"/>
    <sheet state="visible" name="RQ2  IoU" sheetId="9" r:id="rId12"/>
    <sheet state="visible" name="RQ2  RP" sheetId="10" r:id="rId13"/>
    <sheet state="visible" name="RQ3  IoU + RP" sheetId="11" r:id="rId14"/>
  </sheets>
  <definedNames/>
  <calcPr/>
</workbook>
</file>

<file path=xl/sharedStrings.xml><?xml version="1.0" encoding="utf-8"?>
<sst xmlns="http://schemas.openxmlformats.org/spreadsheetml/2006/main" count="75314" uniqueCount="7724">
  <si>
    <t>Ground Truth (GT)</t>
  </si>
  <si>
    <t xml:space="preserve">Logistic Regression (LR) </t>
  </si>
  <si>
    <t>LR x GT</t>
  </si>
  <si>
    <t>LR (3000)</t>
  </si>
  <si>
    <t>LR (3000) x LIG(5000)</t>
  </si>
  <si>
    <t>LR (4000)</t>
  </si>
  <si>
    <t>LR (4000) x LIG(5000)</t>
  </si>
  <si>
    <t>Attention</t>
  </si>
  <si>
    <t>Attention X GT</t>
  </si>
  <si>
    <t>Att x LR</t>
  </si>
  <si>
    <t>Att (1400)</t>
  </si>
  <si>
    <t>LR (3000) x Att(1400)</t>
  </si>
  <si>
    <t>Att (5000)</t>
  </si>
  <si>
    <t xml:space="preserve">Att(5000) X LR (4000) </t>
  </si>
  <si>
    <t>Forgot lol</t>
  </si>
  <si>
    <t>LIME</t>
  </si>
  <si>
    <t>LIME x LR</t>
  </si>
  <si>
    <t>LIME x ATT</t>
  </si>
  <si>
    <t>LIG</t>
  </si>
  <si>
    <t>LIG x LR</t>
  </si>
  <si>
    <t>LIG x LIME</t>
  </si>
  <si>
    <t>LIG x Att</t>
  </si>
  <si>
    <t>LIG (1000)</t>
  </si>
  <si>
    <t>LIG(1000) x LR</t>
  </si>
  <si>
    <t>LIG(1000) x Att</t>
  </si>
  <si>
    <t xml:space="preserve">LIG(2500) </t>
  </si>
  <si>
    <t>LIG(2500) x LR</t>
  </si>
  <si>
    <t>LIG (5000)</t>
  </si>
  <si>
    <t>superficial</t>
  </si>
  <si>
    <t>bleak</t>
  </si>
  <si>
    <t>parental</t>
  </si>
  <si>
    <t>affecting</t>
  </si>
  <si>
    <t>wit</t>
  </si>
  <si>
    <t>what</t>
  </si>
  <si>
    <t>superficial 1</t>
  </si>
  <si>
    <t>one</t>
  </si>
  <si>
    <t>patriot</t>
  </si>
  <si>
    <t>depressed</t>
  </si>
  <si>
    <t>filmmaker</t>
  </si>
  <si>
    <t>the</t>
  </si>
  <si>
    <t>human</t>
  </si>
  <si>
    <t>on</t>
  </si>
  <si>
    <t>succeeds 2</t>
  </si>
  <si>
    <t>like</t>
  </si>
  <si>
    <t>feminist</t>
  </si>
  <si>
    <t>contains</t>
  </si>
  <si>
    <t>new</t>
  </si>
  <si>
    <t>redundant</t>
  </si>
  <si>
    <t>violence</t>
  </si>
  <si>
    <t>hide</t>
  </si>
  <si>
    <t>filmmakers</t>
  </si>
  <si>
    <t>notorious</t>
  </si>
  <si>
    <t>feminist 2</t>
  </si>
  <si>
    <t>years</t>
  </si>
  <si>
    <t>enriched</t>
  </si>
  <si>
    <t>succeeds</t>
  </si>
  <si>
    <t>thriller</t>
  </si>
  <si>
    <t>only</t>
  </si>
  <si>
    <t>from</t>
  </si>
  <si>
    <t>poised</t>
  </si>
  <si>
    <t>too</t>
  </si>
  <si>
    <t>or</t>
  </si>
  <si>
    <t>conspiracy 2</t>
  </si>
  <si>
    <t>well</t>
  </si>
  <si>
    <t>weaving</t>
  </si>
  <si>
    <t>up</t>
  </si>
  <si>
    <t>crude</t>
  </si>
  <si>
    <t>uncertain</t>
  </si>
  <si>
    <t>and</t>
  </si>
  <si>
    <t>embark</t>
  </si>
  <si>
    <t>demonstrates</t>
  </si>
  <si>
    <t>to</t>
  </si>
  <si>
    <t>horrors 1</t>
  </si>
  <si>
    <t>know</t>
  </si>
  <si>
    <t>storyline</t>
  </si>
  <si>
    <t>conspiracy</t>
  </si>
  <si>
    <t>characters</t>
  </si>
  <si>
    <t>oblivious</t>
  </si>
  <si>
    <t>significance</t>
  </si>
  <si>
    <t>laced</t>
  </si>
  <si>
    <t>emotional</t>
  </si>
  <si>
    <t>past</t>
  </si>
  <si>
    <t>vivid 3</t>
  </si>
  <si>
    <t>place</t>
  </si>
  <si>
    <t>sharply</t>
  </si>
  <si>
    <t>theorist</t>
  </si>
  <si>
    <t>nature</t>
  </si>
  <si>
    <t>compelling</t>
  </si>
  <si>
    <t>something</t>
  </si>
  <si>
    <t>no</t>
  </si>
  <si>
    <t>sank</t>
  </si>
  <si>
    <t>of</t>
  </si>
  <si>
    <t>compared</t>
  </si>
  <si>
    <t>emptiness 1</t>
  </si>
  <si>
    <t>let</t>
  </si>
  <si>
    <t>vivid</t>
  </si>
  <si>
    <t>recycled</t>
  </si>
  <si>
    <t>seductive</t>
  </si>
  <si>
    <t>beautiful</t>
  </si>
  <si>
    <t>grounded</t>
  </si>
  <si>
    <t>poetry</t>
  </si>
  <si>
    <t>this</t>
  </si>
  <si>
    <t>relentless 1</t>
  </si>
  <si>
    <t>service</t>
  </si>
  <si>
    <t>storylines</t>
  </si>
  <si>
    <t>proves</t>
  </si>
  <si>
    <t>emotion</t>
  </si>
  <si>
    <t>most</t>
  </si>
  <si>
    <t>other</t>
  </si>
  <si>
    <t>eastwood 1</t>
  </si>
  <si>
    <t>road</t>
  </si>
  <si>
    <t>generates</t>
  </si>
  <si>
    <t>film</t>
  </si>
  <si>
    <t>rather</t>
  </si>
  <si>
    <t>fascination</t>
  </si>
  <si>
    <t>utterly</t>
  </si>
  <si>
    <t>emotions</t>
  </si>
  <si>
    <t>deeply</t>
  </si>
  <si>
    <t>for</t>
  </si>
  <si>
    <t>earnest 4</t>
  </si>
  <si>
    <t>also</t>
  </si>
  <si>
    <t>extremes</t>
  </si>
  <si>
    <t>heroes</t>
  </si>
  <si>
    <t>suicidal</t>
  </si>
  <si>
    <t>throughout</t>
  </si>
  <si>
    <t>pointless</t>
  </si>
  <si>
    <t>illuminating</t>
  </si>
  <si>
    <t>remain</t>
  </si>
  <si>
    <t>audrey</t>
  </si>
  <si>
    <t>more</t>
  </si>
  <si>
    <t>historically 1</t>
  </si>
  <si>
    <t>storytelling</t>
  </si>
  <si>
    <t>story</t>
  </si>
  <si>
    <t>touching</t>
  </si>
  <si>
    <t>effortlessly</t>
  </si>
  <si>
    <t>holden</t>
  </si>
  <si>
    <t>goes</t>
  </si>
  <si>
    <t>taken</t>
  </si>
  <si>
    <t>extremes 1</t>
  </si>
  <si>
    <t>time</t>
  </si>
  <si>
    <t>casts</t>
  </si>
  <si>
    <t>swords</t>
  </si>
  <si>
    <t>greatest</t>
  </si>
  <si>
    <t>emptiness</t>
  </si>
  <si>
    <t>intellectual</t>
  </si>
  <si>
    <t>intelligence</t>
  </si>
  <si>
    <t>have</t>
  </si>
  <si>
    <t>cinematic 3</t>
  </si>
  <si>
    <t>back</t>
  </si>
  <si>
    <t>conviction</t>
  </si>
  <si>
    <t>horrors</t>
  </si>
  <si>
    <t>woven</t>
  </si>
  <si>
    <t>could</t>
  </si>
  <si>
    <t>examining</t>
  </si>
  <si>
    <t>getting</t>
  </si>
  <si>
    <t>storytelling 1</t>
  </si>
  <si>
    <t>even</t>
  </si>
  <si>
    <t>reveals</t>
  </si>
  <si>
    <t>cruel</t>
  </si>
  <si>
    <t>cinematic</t>
  </si>
  <si>
    <t>tissues 1</t>
  </si>
  <si>
    <t>get</t>
  </si>
  <si>
    <t>filmmaking</t>
  </si>
  <si>
    <t>exploration</t>
  </si>
  <si>
    <t>worst</t>
  </si>
  <si>
    <t>historically</t>
  </si>
  <si>
    <t>eastwood</t>
  </si>
  <si>
    <t>same</t>
  </si>
  <si>
    <t>roger</t>
  </si>
  <si>
    <t>casting</t>
  </si>
  <si>
    <t>me</t>
  </si>
  <si>
    <t>bourne 1</t>
  </si>
  <si>
    <t>long</t>
  </si>
  <si>
    <t>adaptation</t>
  </si>
  <si>
    <t>mergers</t>
  </si>
  <si>
    <t>wisdom</t>
  </si>
  <si>
    <t>primitive</t>
  </si>
  <si>
    <t>merit</t>
  </si>
  <si>
    <t>witty</t>
  </si>
  <si>
    <t>actress</t>
  </si>
  <si>
    <t>but</t>
  </si>
  <si>
    <t>conviction 4</t>
  </si>
  <si>
    <t>called</t>
  </si>
  <si>
    <t>sequel</t>
  </si>
  <si>
    <t>face</t>
  </si>
  <si>
    <t>tragic</t>
  </si>
  <si>
    <t>fluid</t>
  </si>
  <si>
    <t>chamber</t>
  </si>
  <si>
    <t>performances</t>
  </si>
  <si>
    <t>been</t>
  </si>
  <si>
    <t>collapse 1</t>
  </si>
  <si>
    <t>going</t>
  </si>
  <si>
    <t>unpredictable</t>
  </si>
  <si>
    <t>earnest</t>
  </si>
  <si>
    <t>original</t>
  </si>
  <si>
    <t>seal</t>
  </si>
  <si>
    <t>blair</t>
  </si>
  <si>
    <t>director</t>
  </si>
  <si>
    <t>comes</t>
  </si>
  <si>
    <t>because</t>
  </si>
  <si>
    <t>portrayal 2</t>
  </si>
  <si>
    <t>never</t>
  </si>
  <si>
    <t>conclusions</t>
  </si>
  <si>
    <t>triumph</t>
  </si>
  <si>
    <t>an</t>
  </si>
  <si>
    <t>escaping</t>
  </si>
  <si>
    <t>reveals 2</t>
  </si>
  <si>
    <t>last</t>
  </si>
  <si>
    <t>flashes</t>
  </si>
  <si>
    <t>masterpiece</t>
  </si>
  <si>
    <t>submarine</t>
  </si>
  <si>
    <t>cast</t>
  </si>
  <si>
    <t>adaptation 2</t>
  </si>
  <si>
    <t>went</t>
  </si>
  <si>
    <t>predecessors</t>
  </si>
  <si>
    <t>continuum</t>
  </si>
  <si>
    <t>hopeless</t>
  </si>
  <si>
    <t>revealing</t>
  </si>
  <si>
    <t>cinema</t>
  </si>
  <si>
    <t>re</t>
  </si>
  <si>
    <t>sequel 2</t>
  </si>
  <si>
    <t>next</t>
  </si>
  <si>
    <t>subordinate</t>
  </si>
  <si>
    <t>artworks</t>
  </si>
  <si>
    <t>clumsy</t>
  </si>
  <si>
    <t>viewers</t>
  </si>
  <si>
    <t>games</t>
  </si>
  <si>
    <t>grim</t>
  </si>
  <si>
    <t>viewing</t>
  </si>
  <si>
    <t>has</t>
  </si>
  <si>
    <t>compelling 4</t>
  </si>
  <si>
    <t>put</t>
  </si>
  <si>
    <t>nomination</t>
  </si>
  <si>
    <t>spirits</t>
  </si>
  <si>
    <t>small</t>
  </si>
  <si>
    <t>as</t>
  </si>
  <si>
    <t>treatment</t>
  </si>
  <si>
    <t>plot</t>
  </si>
  <si>
    <t>unpredictable 2</t>
  </si>
  <si>
    <t>good</t>
  </si>
  <si>
    <t>grips</t>
  </si>
  <si>
    <t>realistic</t>
  </si>
  <si>
    <t>reduces</t>
  </si>
  <si>
    <t>momentary</t>
  </si>
  <si>
    <t>finish</t>
  </si>
  <si>
    <t>conclusions 1</t>
  </si>
  <si>
    <t>order</t>
  </si>
  <si>
    <t>rhythms</t>
  </si>
  <si>
    <t>cylinders</t>
  </si>
  <si>
    <t>personal</t>
  </si>
  <si>
    <t>portrayal</t>
  </si>
  <si>
    <t>prejudice</t>
  </si>
  <si>
    <t>interest</t>
  </si>
  <si>
    <t>with</t>
  </si>
  <si>
    <t>ponder 1</t>
  </si>
  <si>
    <t>main</t>
  </si>
  <si>
    <t>retains</t>
  </si>
  <si>
    <t>suspense</t>
  </si>
  <si>
    <t>year</t>
  </si>
  <si>
    <t>gripping</t>
  </si>
  <si>
    <t>thought</t>
  </si>
  <si>
    <t>sit</t>
  </si>
  <si>
    <t>advantage</t>
  </si>
  <si>
    <t>flashes 1</t>
  </si>
  <si>
    <t>often</t>
  </si>
  <si>
    <t>resonance</t>
  </si>
  <si>
    <t>out</t>
  </si>
  <si>
    <t>uneven</t>
  </si>
  <si>
    <t>explores</t>
  </si>
  <si>
    <t>are</t>
  </si>
  <si>
    <t>synthesis</t>
  </si>
  <si>
    <t>account</t>
  </si>
  <si>
    <t>subordinate 2</t>
  </si>
  <si>
    <t>later</t>
  </si>
  <si>
    <t>undead</t>
  </si>
  <si>
    <t>talents</t>
  </si>
  <si>
    <t>funny</t>
  </si>
  <si>
    <t>lawrence</t>
  </si>
  <si>
    <t>in</t>
  </si>
  <si>
    <t>virtues</t>
  </si>
  <si>
    <t>about</t>
  </si>
  <si>
    <t>crossover 1</t>
  </si>
  <si>
    <t>still</t>
  </si>
  <si>
    <t>momentum</t>
  </si>
  <si>
    <t>theme</t>
  </si>
  <si>
    <t>epic</t>
  </si>
  <si>
    <t>insights</t>
  </si>
  <si>
    <t>through</t>
  </si>
  <si>
    <t>that</t>
  </si>
  <si>
    <t>blair 2</t>
  </si>
  <si>
    <t>much</t>
  </si>
  <si>
    <t>weaknesses</t>
  </si>
  <si>
    <t>auschwitz</t>
  </si>
  <si>
    <t>considerable</t>
  </si>
  <si>
    <t>friendship</t>
  </si>
  <si>
    <t>absurd</t>
  </si>
  <si>
    <t>shaggy</t>
  </si>
  <si>
    <t>doing</t>
  </si>
  <si>
    <t>esther 1</t>
  </si>
  <si>
    <t>best</t>
  </si>
  <si>
    <t>showdown</t>
  </si>
  <si>
    <t>enables</t>
  </si>
  <si>
    <t>dynamics</t>
  </si>
  <si>
    <t>do</t>
  </si>
  <si>
    <t>hampered</t>
  </si>
  <si>
    <t>entire</t>
  </si>
  <si>
    <t>being</t>
  </si>
  <si>
    <t>grips 1</t>
  </si>
  <si>
    <t>evade</t>
  </si>
  <si>
    <t>descends</t>
  </si>
  <si>
    <t>existence</t>
  </si>
  <si>
    <t>absorbing</t>
  </si>
  <si>
    <t>nowhere</t>
  </si>
  <si>
    <t>viewers 2</t>
  </si>
  <si>
    <t>find</t>
  </si>
  <si>
    <t>cinematography</t>
  </si>
  <si>
    <t>derivative</t>
  </si>
  <si>
    <t>vicious</t>
  </si>
  <si>
    <t>employs</t>
  </si>
  <si>
    <t>where</t>
  </si>
  <si>
    <t>gazing</t>
  </si>
  <si>
    <t>course</t>
  </si>
  <si>
    <t>experience</t>
  </si>
  <si>
    <t>haunting 3</t>
  </si>
  <si>
    <t>two</t>
  </si>
  <si>
    <t>vulnerable</t>
  </si>
  <si>
    <t>t</t>
  </si>
  <si>
    <t>jagged</t>
  </si>
  <si>
    <t>how</t>
  </si>
  <si>
    <t>fiercely</t>
  </si>
  <si>
    <t>already</t>
  </si>
  <si>
    <t>momentum 1</t>
  </si>
  <si>
    <t>man</t>
  </si>
  <si>
    <t>procession</t>
  </si>
  <si>
    <t>happening</t>
  </si>
  <si>
    <t>slick</t>
  </si>
  <si>
    <t>stylized</t>
  </si>
  <si>
    <t>bad</t>
  </si>
  <si>
    <t>collateral</t>
  </si>
  <si>
    <t>version</t>
  </si>
  <si>
    <t>feel</t>
  </si>
  <si>
    <t>filmmaker 1</t>
  </si>
  <si>
    <t>found</t>
  </si>
  <si>
    <t>maternal</t>
  </si>
  <si>
    <t>preliminary</t>
  </si>
  <si>
    <t>essentially</t>
  </si>
  <si>
    <t>engages</t>
  </si>
  <si>
    <t>hollow</t>
  </si>
  <si>
    <t>i</t>
  </si>
  <si>
    <t>backward 2</t>
  </si>
  <si>
    <t>take</t>
  </si>
  <si>
    <t>equations</t>
  </si>
  <si>
    <t>haunting</t>
  </si>
  <si>
    <t>provocative</t>
  </si>
  <si>
    <t>fascinating</t>
  </si>
  <si>
    <t>bringing</t>
  </si>
  <si>
    <t>argentine 1</t>
  </si>
  <si>
    <t>come</t>
  </si>
  <si>
    <t>indictment</t>
  </si>
  <si>
    <t>performance</t>
  </si>
  <si>
    <t>lend</t>
  </si>
  <si>
    <t>pale</t>
  </si>
  <si>
    <t>revenge</t>
  </si>
  <si>
    <t>am</t>
  </si>
  <si>
    <t>celebrates 1</t>
  </si>
  <si>
    <t>play</t>
  </si>
  <si>
    <t>reefs</t>
  </si>
  <si>
    <t>dumb</t>
  </si>
  <si>
    <t>breadth</t>
  </si>
  <si>
    <t>script</t>
  </si>
  <si>
    <t>once</t>
  </si>
  <si>
    <t>just</t>
  </si>
  <si>
    <t>vulnerable 1</t>
  </si>
  <si>
    <t>first</t>
  </si>
  <si>
    <t>simulate</t>
  </si>
  <si>
    <t>reconciliation</t>
  </si>
  <si>
    <t>intelligent</t>
  </si>
  <si>
    <t>again</t>
  </si>
  <si>
    <t>violence 2</t>
  </si>
  <si>
    <t>three</t>
  </si>
  <si>
    <t>claude</t>
  </si>
  <si>
    <t>avoids</t>
  </si>
  <si>
    <t>backward</t>
  </si>
  <si>
    <t>films</t>
  </si>
  <si>
    <t>chilling</t>
  </si>
  <si>
    <t>thriller 4</t>
  </si>
  <si>
    <t>around</t>
  </si>
  <si>
    <t>inuit</t>
  </si>
  <si>
    <t>his</t>
  </si>
  <si>
    <t>thrill</t>
  </si>
  <si>
    <t>harvard</t>
  </si>
  <si>
    <t>complaints</t>
  </si>
  <si>
    <t>seeks 1</t>
  </si>
  <si>
    <t>see</t>
  </si>
  <si>
    <t>screenplay</t>
  </si>
  <si>
    <t>breathless</t>
  </si>
  <si>
    <t>situations</t>
  </si>
  <si>
    <t>usual</t>
  </si>
  <si>
    <t>powerful</t>
  </si>
  <si>
    <t>iranian</t>
  </si>
  <si>
    <t>by</t>
  </si>
  <si>
    <t>robbery</t>
  </si>
  <si>
    <t>reviews</t>
  </si>
  <si>
    <t>thematic 2</t>
  </si>
  <si>
    <t>side</t>
  </si>
  <si>
    <t>triumphant</t>
  </si>
  <si>
    <t>tides</t>
  </si>
  <si>
    <t>room</t>
  </si>
  <si>
    <t>torture</t>
  </si>
  <si>
    <t>endurance</t>
  </si>
  <si>
    <t>ways</t>
  </si>
  <si>
    <t>lengths</t>
  </si>
  <si>
    <t>subtle</t>
  </si>
  <si>
    <t>decide</t>
  </si>
  <si>
    <t>captures 1</t>
  </si>
  <si>
    <t>night</t>
  </si>
  <si>
    <t>wry</t>
  </si>
  <si>
    <t>concept</t>
  </si>
  <si>
    <t>celebrates</t>
  </si>
  <si>
    <t>bourne</t>
  </si>
  <si>
    <t>courage</t>
  </si>
  <si>
    <t>submarine 1</t>
  </si>
  <si>
    <t>great</t>
  </si>
  <si>
    <t>plots</t>
  </si>
  <si>
    <t>quivering</t>
  </si>
  <si>
    <t>veins</t>
  </si>
  <si>
    <t>strongest</t>
  </si>
  <si>
    <t>wo</t>
  </si>
  <si>
    <t>sitcom 1</t>
  </si>
  <si>
    <t>tell</t>
  </si>
  <si>
    <t>plotted</t>
  </si>
  <si>
    <t>confessions</t>
  </si>
  <si>
    <t>irrelevant</t>
  </si>
  <si>
    <t>relentless</t>
  </si>
  <si>
    <t>anything</t>
  </si>
  <si>
    <t>,</t>
  </si>
  <si>
    <t>wry 1</t>
  </si>
  <si>
    <t>really</t>
  </si>
  <si>
    <t>harvesting</t>
  </si>
  <si>
    <t>wildlife</t>
  </si>
  <si>
    <t>canvas</t>
  </si>
  <si>
    <t>friendships</t>
  </si>
  <si>
    <t>black</t>
  </si>
  <si>
    <t>part</t>
  </si>
  <si>
    <t>introduces</t>
  </si>
  <si>
    <t>is</t>
  </si>
  <si>
    <t>plots 1</t>
  </si>
  <si>
    <t>making</t>
  </si>
  <si>
    <t>philosophical</t>
  </si>
  <si>
    <t>schumacher</t>
  </si>
  <si>
    <t>thrilling</t>
  </si>
  <si>
    <t>projects</t>
  </si>
  <si>
    <t>smug</t>
  </si>
  <si>
    <t>charitable</t>
  </si>
  <si>
    <t>plotted 1</t>
  </si>
  <si>
    <t>used</t>
  </si>
  <si>
    <t>literary</t>
  </si>
  <si>
    <t>fiddle</t>
  </si>
  <si>
    <t>above</t>
  </si>
  <si>
    <t>captures</t>
  </si>
  <si>
    <t>predecessor</t>
  </si>
  <si>
    <t>brave</t>
  </si>
  <si>
    <t>predecessor 2</t>
  </si>
  <si>
    <t>people</t>
  </si>
  <si>
    <t>bard</t>
  </si>
  <si>
    <t>climate</t>
  </si>
  <si>
    <t>young</t>
  </si>
  <si>
    <t>offensive</t>
  </si>
  <si>
    <t>meaningful</t>
  </si>
  <si>
    <t>was</t>
  </si>
  <si>
    <t>comedies 3</t>
  </si>
  <si>
    <t>many</t>
  </si>
  <si>
    <t>poem</t>
  </si>
  <si>
    <t>kahn</t>
  </si>
  <si>
    <t>tale</t>
  </si>
  <si>
    <t>brooding</t>
  </si>
  <si>
    <t>magnificent</t>
  </si>
  <si>
    <t>morning</t>
  </si>
  <si>
    <t>meaningful 1</t>
  </si>
  <si>
    <t>love</t>
  </si>
  <si>
    <t>viewer</t>
  </si>
  <si>
    <t>sitcom</t>
  </si>
  <si>
    <t>comedies</t>
  </si>
  <si>
    <t>dignity</t>
  </si>
  <si>
    <t>mendes</t>
  </si>
  <si>
    <t>together</t>
  </si>
  <si>
    <t>literary 1</t>
  </si>
  <si>
    <t>pathology</t>
  </si>
  <si>
    <t>empathy</t>
  </si>
  <si>
    <t>abuse</t>
  </si>
  <si>
    <t>comedic</t>
  </si>
  <si>
    <t>slump</t>
  </si>
  <si>
    <t>bard 1</t>
  </si>
  <si>
    <t>since</t>
  </si>
  <si>
    <t>satire</t>
  </si>
  <si>
    <t>metaphor</t>
  </si>
  <si>
    <t>suffers</t>
  </si>
  <si>
    <t>establishes</t>
  </si>
  <si>
    <t>musicians</t>
  </si>
  <si>
    <t>bleak 1</t>
  </si>
  <si>
    <t>however</t>
  </si>
  <si>
    <t>titular</t>
  </si>
  <si>
    <t>deception</t>
  </si>
  <si>
    <t>drown</t>
  </si>
  <si>
    <t>fingered</t>
  </si>
  <si>
    <t>cold</t>
  </si>
  <si>
    <t>illusion</t>
  </si>
  <si>
    <t>poem 1</t>
  </si>
  <si>
    <t>photographic</t>
  </si>
  <si>
    <t>smile</t>
  </si>
  <si>
    <t>enduring</t>
  </si>
  <si>
    <t>affection</t>
  </si>
  <si>
    <t>combining</t>
  </si>
  <si>
    <t>skip</t>
  </si>
  <si>
    <t>had</t>
  </si>
  <si>
    <t>affection 1</t>
  </si>
  <si>
    <t>every</t>
  </si>
  <si>
    <t>sequences</t>
  </si>
  <si>
    <t>acid</t>
  </si>
  <si>
    <t>strains</t>
  </si>
  <si>
    <t>clone</t>
  </si>
  <si>
    <t>morality</t>
  </si>
  <si>
    <t>surprises</t>
  </si>
  <si>
    <t>it</t>
  </si>
  <si>
    <t>pathology 1</t>
  </si>
  <si>
    <t>large</t>
  </si>
  <si>
    <t>collegiate</t>
  </si>
  <si>
    <t>debut</t>
  </si>
  <si>
    <t>few</t>
  </si>
  <si>
    <t>gore</t>
  </si>
  <si>
    <t>problem</t>
  </si>
  <si>
    <t>embracing 1</t>
  </si>
  <si>
    <t>half</t>
  </si>
  <si>
    <t>innocence</t>
  </si>
  <si>
    <t>juvenile</t>
  </si>
  <si>
    <t>subtly</t>
  </si>
  <si>
    <t>scores</t>
  </si>
  <si>
    <t>power</t>
  </si>
  <si>
    <t>so</t>
  </si>
  <si>
    <t>intellectual 1</t>
  </si>
  <si>
    <t>way</t>
  </si>
  <si>
    <t>revelations</t>
  </si>
  <si>
    <t>life</t>
  </si>
  <si>
    <t>portrait</t>
  </si>
  <si>
    <t>real</t>
  </si>
  <si>
    <t>significant</t>
  </si>
  <si>
    <t>summer</t>
  </si>
  <si>
    <t>stereotypes 1</t>
  </si>
  <si>
    <t>south</t>
  </si>
  <si>
    <t>radiant</t>
  </si>
  <si>
    <t>sequels</t>
  </si>
  <si>
    <t>compassion</t>
  </si>
  <si>
    <t>convincing</t>
  </si>
  <si>
    <t>actors</t>
  </si>
  <si>
    <t>seem</t>
  </si>
  <si>
    <t>comedic 1</t>
  </si>
  <si>
    <t>want</t>
  </si>
  <si>
    <t>heroine</t>
  </si>
  <si>
    <t>tribute</t>
  </si>
  <si>
    <t>worse</t>
  </si>
  <si>
    <t>imitation</t>
  </si>
  <si>
    <t>startling</t>
  </si>
  <si>
    <t>silly</t>
  </si>
  <si>
    <t>reaction</t>
  </si>
  <si>
    <t>restoring 1</t>
  </si>
  <si>
    <t>though</t>
  </si>
  <si>
    <t>assaults</t>
  </si>
  <si>
    <t>ambitious</t>
  </si>
  <si>
    <t>world</t>
  </si>
  <si>
    <t>displaying</t>
  </si>
  <si>
    <t>generate</t>
  </si>
  <si>
    <t>detached 1</t>
  </si>
  <si>
    <t>river</t>
  </si>
  <si>
    <t>realism</t>
  </si>
  <si>
    <t>exploit</t>
  </si>
  <si>
    <t>all</t>
  </si>
  <si>
    <t>suspicion</t>
  </si>
  <si>
    <t>exaggerated 1</t>
  </si>
  <si>
    <t>knew</t>
  </si>
  <si>
    <t>maturity</t>
  </si>
  <si>
    <t>interference</t>
  </si>
  <si>
    <t>alternative</t>
  </si>
  <si>
    <t>end</t>
  </si>
  <si>
    <t>a</t>
  </si>
  <si>
    <t>yarn 1</t>
  </si>
  <si>
    <t>ever</t>
  </si>
  <si>
    <t>melancholy</t>
  </si>
  <si>
    <t>luminous</t>
  </si>
  <si>
    <t>kills</t>
  </si>
  <si>
    <t>pulse</t>
  </si>
  <si>
    <t>surrounds</t>
  </si>
  <si>
    <t>robert</t>
  </si>
  <si>
    <t>innocence 1</t>
  </si>
  <si>
    <t>us</t>
  </si>
  <si>
    <t>protagonists</t>
  </si>
  <si>
    <t>trier</t>
  </si>
  <si>
    <t>intensity</t>
  </si>
  <si>
    <t>infectious</t>
  </si>
  <si>
    <t>point</t>
  </si>
  <si>
    <t>narrative</t>
  </si>
  <si>
    <t>them</t>
  </si>
  <si>
    <t>kwan 1</t>
  </si>
  <si>
    <t>took</t>
  </si>
  <si>
    <t>survival</t>
  </si>
  <si>
    <t>lynch</t>
  </si>
  <si>
    <t>manages</t>
  </si>
  <si>
    <t>meditation</t>
  </si>
  <si>
    <t>fantasies</t>
  </si>
  <si>
    <t>amid</t>
  </si>
  <si>
    <t>flair</t>
  </si>
  <si>
    <t>wait</t>
  </si>
  <si>
    <t>spielberg 1</t>
  </si>
  <si>
    <t>victories</t>
  </si>
  <si>
    <t>animated</t>
  </si>
  <si>
    <t>poorly</t>
  </si>
  <si>
    <t>universal</t>
  </si>
  <si>
    <t>plotting</t>
  </si>
  <si>
    <t>smart</t>
  </si>
  <si>
    <t>minor</t>
  </si>
  <si>
    <t>stylistic 1</t>
  </si>
  <si>
    <t>started</t>
  </si>
  <si>
    <t>believe</t>
  </si>
  <si>
    <t>awkwardly</t>
  </si>
  <si>
    <t>awareness</t>
  </si>
  <si>
    <t>creation</t>
  </si>
  <si>
    <t>told</t>
  </si>
  <si>
    <t>spirituality</t>
  </si>
  <si>
    <t>parody</t>
  </si>
  <si>
    <t>detached</t>
  </si>
  <si>
    <t>chuckles</t>
  </si>
  <si>
    <t>storm</t>
  </si>
  <si>
    <t>week</t>
  </si>
  <si>
    <t>left</t>
  </si>
  <si>
    <t>treatise</t>
  </si>
  <si>
    <t>partisans</t>
  </si>
  <si>
    <t>intriguing</t>
  </si>
  <si>
    <t>clever</t>
  </si>
  <si>
    <t>inspirational</t>
  </si>
  <si>
    <t>fourth</t>
  </si>
  <si>
    <t>came</t>
  </si>
  <si>
    <t>caine</t>
  </si>
  <si>
    <t>argentine</t>
  </si>
  <si>
    <t>android</t>
  </si>
  <si>
    <t>faithful</t>
  </si>
  <si>
    <t>sacrifices</t>
  </si>
  <si>
    <t>moments</t>
  </si>
  <si>
    <t>look</t>
  </si>
  <si>
    <t>pulp</t>
  </si>
  <si>
    <t>exaggerated</t>
  </si>
  <si>
    <t>stylistic</t>
  </si>
  <si>
    <t>stance</t>
  </si>
  <si>
    <t>standard</t>
  </si>
  <si>
    <t>you</t>
  </si>
  <si>
    <t>without</t>
  </si>
  <si>
    <t>devastating</t>
  </si>
  <si>
    <t>capable</t>
  </si>
  <si>
    <t>lyrical</t>
  </si>
  <si>
    <t>off</t>
  </si>
  <si>
    <t>constructed</t>
  </si>
  <si>
    <t>follow</t>
  </si>
  <si>
    <t>else</t>
  </si>
  <si>
    <t>homosexuality</t>
  </si>
  <si>
    <t>watts</t>
  </si>
  <si>
    <t>washington</t>
  </si>
  <si>
    <t>another</t>
  </si>
  <si>
    <t>daring</t>
  </si>
  <si>
    <t>dazzling</t>
  </si>
  <si>
    <t>stirring</t>
  </si>
  <si>
    <t>become</t>
  </si>
  <si>
    <t>sometimes</t>
  </si>
  <si>
    <t>would</t>
  </si>
  <si>
    <t>shadowy</t>
  </si>
  <si>
    <t>isolation</t>
  </si>
  <si>
    <t>respectable</t>
  </si>
  <si>
    <t>emerge</t>
  </si>
  <si>
    <t>lifeless</t>
  </si>
  <si>
    <t>frontman</t>
  </si>
  <si>
    <t>showcase</t>
  </si>
  <si>
    <t>deadly</t>
  </si>
  <si>
    <t>mixed</t>
  </si>
  <si>
    <t>psychological</t>
  </si>
  <si>
    <t>tear</t>
  </si>
  <si>
    <t>kitchen</t>
  </si>
  <si>
    <t>think</t>
  </si>
  <si>
    <t>eyes</t>
  </si>
  <si>
    <t>striking</t>
  </si>
  <si>
    <t>flawed</t>
  </si>
  <si>
    <t>splashed</t>
  </si>
  <si>
    <t>images</t>
  </si>
  <si>
    <t>days</t>
  </si>
  <si>
    <t>satirical</t>
  </si>
  <si>
    <t>dover</t>
  </si>
  <si>
    <t>dramatically</t>
  </si>
  <si>
    <t>jerking</t>
  </si>
  <si>
    <t>any</t>
  </si>
  <si>
    <t>volatile</t>
  </si>
  <si>
    <t>obvious</t>
  </si>
  <si>
    <t>right</t>
  </si>
  <si>
    <t>pained</t>
  </si>
  <si>
    <t>apartheid</t>
  </si>
  <si>
    <t>issues</t>
  </si>
  <si>
    <t>longest</t>
  </si>
  <si>
    <t>food</t>
  </si>
  <si>
    <t>club</t>
  </si>
  <si>
    <t>motives</t>
  </si>
  <si>
    <t>thematic</t>
  </si>
  <si>
    <t>skill</t>
  </si>
  <si>
    <t>collapses</t>
  </si>
  <si>
    <t>beautifully</t>
  </si>
  <si>
    <t>sporting</t>
  </si>
  <si>
    <t>taking</t>
  </si>
  <si>
    <t>family</t>
  </si>
  <si>
    <t>magnetic</t>
  </si>
  <si>
    <t>fierce</t>
  </si>
  <si>
    <t>cerebral</t>
  </si>
  <si>
    <t>convey</t>
  </si>
  <si>
    <t>some</t>
  </si>
  <si>
    <t>area</t>
  </si>
  <si>
    <t>incorporates</t>
  </si>
  <si>
    <t>sexuality</t>
  </si>
  <si>
    <t>pleasures</t>
  </si>
  <si>
    <t>fallen</t>
  </si>
  <si>
    <t>curves</t>
  </si>
  <si>
    <t>consequence</t>
  </si>
  <si>
    <t>go</t>
  </si>
  <si>
    <t>tables</t>
  </si>
  <si>
    <t>away</t>
  </si>
  <si>
    <t>diaz</t>
  </si>
  <si>
    <t>drain</t>
  </si>
  <si>
    <t>stereotypes</t>
  </si>
  <si>
    <t>leon</t>
  </si>
  <si>
    <t>direction</t>
  </si>
  <si>
    <t>initial</t>
  </si>
  <si>
    <t>moved</t>
  </si>
  <si>
    <t>reconstruction</t>
  </si>
  <si>
    <t>illumination</t>
  </si>
  <si>
    <t>dialogue</t>
  </si>
  <si>
    <t>remarkably</t>
  </si>
  <si>
    <t>brutally</t>
  </si>
  <si>
    <t>legend</t>
  </si>
  <si>
    <t>bees</t>
  </si>
  <si>
    <t>step</t>
  </si>
  <si>
    <t>miss</t>
  </si>
  <si>
    <t>local</t>
  </si>
  <si>
    <t>opaque</t>
  </si>
  <si>
    <t>sentiment</t>
  </si>
  <si>
    <t>nausea</t>
  </si>
  <si>
    <t>spielberg</t>
  </si>
  <si>
    <t>less</t>
  </si>
  <si>
    <t>little</t>
  </si>
  <si>
    <t>fictional</t>
  </si>
  <si>
    <t>hit</t>
  </si>
  <si>
    <t>different</t>
  </si>
  <si>
    <t>lark</t>
  </si>
  <si>
    <t>supernatural</t>
  </si>
  <si>
    <t>tissues</t>
  </si>
  <si>
    <t>brightly</t>
  </si>
  <si>
    <t>stuart</t>
  </si>
  <si>
    <t>shimmering</t>
  </si>
  <si>
    <t>landscape</t>
  </si>
  <si>
    <t>seems</t>
  </si>
  <si>
    <t>hands</t>
  </si>
  <si>
    <t>abstract</t>
  </si>
  <si>
    <t>betrayed</t>
  </si>
  <si>
    <t>dog</t>
  </si>
  <si>
    <t>playful</t>
  </si>
  <si>
    <t>heightened</t>
  </si>
  <si>
    <t>rich</t>
  </si>
  <si>
    <t>leukemia</t>
  </si>
  <si>
    <t>uses</t>
  </si>
  <si>
    <t>after</t>
  </si>
  <si>
    <t>diaries</t>
  </si>
  <si>
    <t>gaping</t>
  </si>
  <si>
    <t>tremendous</t>
  </si>
  <si>
    <t>fatal</t>
  </si>
  <si>
    <t>apparent</t>
  </si>
  <si>
    <t>pretty</t>
  </si>
  <si>
    <t>got</t>
  </si>
  <si>
    <t>courtship</t>
  </si>
  <si>
    <t>count</t>
  </si>
  <si>
    <t>acute</t>
  </si>
  <si>
    <t>imagery</t>
  </si>
  <si>
    <t>joy</t>
  </si>
  <si>
    <t>musicals</t>
  </si>
  <si>
    <t>provide</t>
  </si>
  <si>
    <t>saw</t>
  </si>
  <si>
    <t>dickens</t>
  </si>
  <si>
    <t>diplomacy</t>
  </si>
  <si>
    <t>demonstrate</t>
  </si>
  <si>
    <t>ugly</t>
  </si>
  <si>
    <t>orbits</t>
  </si>
  <si>
    <t>quality</t>
  </si>
  <si>
    <t>street</t>
  </si>
  <si>
    <t>expresses</t>
  </si>
  <si>
    <t>charm</t>
  </si>
  <si>
    <t>care</t>
  </si>
  <si>
    <t>qualities</t>
  </si>
  <si>
    <t>video</t>
  </si>
  <si>
    <t>slight</t>
  </si>
  <si>
    <t>n</t>
  </si>
  <si>
    <t>need</t>
  </si>
  <si>
    <t>evergreen</t>
  </si>
  <si>
    <t>collapse</t>
  </si>
  <si>
    <t>feature</t>
  </si>
  <si>
    <t>morton</t>
  </si>
  <si>
    <t>than</t>
  </si>
  <si>
    <t>six</t>
  </si>
  <si>
    <t>forgive</t>
  </si>
  <si>
    <t>ensemble</t>
  </si>
  <si>
    <t>when</t>
  </si>
  <si>
    <t>help</t>
  </si>
  <si>
    <t>villain</t>
  </si>
  <si>
    <t>flaws</t>
  </si>
  <si>
    <t>covers</t>
  </si>
  <si>
    <t>directing</t>
  </si>
  <si>
    <t>(</t>
  </si>
  <si>
    <t>say</t>
  </si>
  <si>
    <t>shrill</t>
  </si>
  <si>
    <t>conquer</t>
  </si>
  <si>
    <t>territory</t>
  </si>
  <si>
    <t>glossy</t>
  </si>
  <si>
    <t>sour</t>
  </si>
  <si>
    <t>genre</t>
  </si>
  <si>
    <t>light</t>
  </si>
  <si>
    <t>truths</t>
  </si>
  <si>
    <t>business</t>
  </si>
  <si>
    <t>rises</t>
  </si>
  <si>
    <t>our</t>
  </si>
  <si>
    <t>confines</t>
  </si>
  <si>
    <t>bring</t>
  </si>
  <si>
    <t>stores</t>
  </si>
  <si>
    <t>made</t>
  </si>
  <si>
    <t>laboratory</t>
  </si>
  <si>
    <t>million</t>
  </si>
  <si>
    <t>achievement</t>
  </si>
  <si>
    <t>powers</t>
  </si>
  <si>
    <t>car</t>
  </si>
  <si>
    <t>head</t>
  </si>
  <si>
    <t>schemes</t>
  </si>
  <si>
    <t>gorgeous</t>
  </si>
  <si>
    <t>graceful</t>
  </si>
  <si>
    <t>these</t>
  </si>
  <si>
    <t>smarter</t>
  </si>
  <si>
    <t>early</t>
  </si>
  <si>
    <t>uhf</t>
  </si>
  <si>
    <t>construct</t>
  </si>
  <si>
    <t>frantic</t>
  </si>
  <si>
    <t>kind</t>
  </si>
  <si>
    <t>wanted</t>
  </si>
  <si>
    <t>commanding</t>
  </si>
  <si>
    <t>amusing</t>
  </si>
  <si>
    <t>impressions</t>
  </si>
  <si>
    <t>clothes</t>
  </si>
  <si>
    <t>school</t>
  </si>
  <si>
    <t>loneliness</t>
  </si>
  <si>
    <t>aerial</t>
  </si>
  <si>
    <t>likened</t>
  </si>
  <si>
    <t>effort</t>
  </si>
  <si>
    <t>trip</t>
  </si>
  <si>
    <t>dubbed</t>
  </si>
  <si>
    <t>primal</t>
  </si>
  <si>
    <t>touch</t>
  </si>
  <si>
    <t>builds</t>
  </si>
  <si>
    <t>american</t>
  </si>
  <si>
    <t>tensions</t>
  </si>
  <si>
    <t>superb</t>
  </si>
  <si>
    <t>flourish</t>
  </si>
  <si>
    <t>strides</t>
  </si>
  <si>
    <t>examination</t>
  </si>
  <si>
    <t>day</t>
  </si>
  <si>
    <t>vulnerability</t>
  </si>
  <si>
    <t>stimulus</t>
  </si>
  <si>
    <t>theatrical</t>
  </si>
  <si>
    <t>touched</t>
  </si>
  <si>
    <t>actor</t>
  </si>
  <si>
    <t>engaging</t>
  </si>
  <si>
    <t>wearing</t>
  </si>
  <si>
    <t>college</t>
  </si>
  <si>
    <t>davies</t>
  </si>
  <si>
    <t>simulation</t>
  </si>
  <si>
    <t>problematic</t>
  </si>
  <si>
    <t>women</t>
  </si>
  <si>
    <t>premise</t>
  </si>
  <si>
    <t>lively</t>
  </si>
  <si>
    <t>things</t>
  </si>
  <si>
    <t>public</t>
  </si>
  <si>
    <t>morally</t>
  </si>
  <si>
    <t>faith</t>
  </si>
  <si>
    <t>beauty</t>
  </si>
  <si>
    <t>drains</t>
  </si>
  <si>
    <t>effective</t>
  </si>
  <si>
    <t>spend</t>
  </si>
  <si>
    <t>turned</t>
  </si>
  <si>
    <t>randolph</t>
  </si>
  <si>
    <t>champion</t>
  </si>
  <si>
    <t>shoes</t>
  </si>
  <si>
    <t>five</t>
  </si>
  <si>
    <t>portrayed</t>
  </si>
  <si>
    <t>monstrous</t>
  </si>
  <si>
    <t>nickelodeon</t>
  </si>
  <si>
    <t>said</t>
  </si>
  <si>
    <t>groundbreaking</t>
  </si>
  <si>
    <t>breathe</t>
  </si>
  <si>
    <t>pays</t>
  </si>
  <si>
    <t>chemistry</t>
  </si>
  <si>
    <t>noir</t>
  </si>
  <si>
    <t>asleep</t>
  </si>
  <si>
    <t>homage</t>
  </si>
  <si>
    <t>having</t>
  </si>
  <si>
    <t>grab</t>
  </si>
  <si>
    <t>piano</t>
  </si>
  <si>
    <t>cultivation</t>
  </si>
  <si>
    <t>debuts</t>
  </si>
  <si>
    <t>tight</t>
  </si>
  <si>
    <t>borrowed</t>
  </si>
  <si>
    <t>laughs</t>
  </si>
  <si>
    <t>sven</t>
  </si>
  <si>
    <t>stunts</t>
  </si>
  <si>
    <t>picture</t>
  </si>
  <si>
    <t>somber</t>
  </si>
  <si>
    <t>embracing</t>
  </si>
  <si>
    <t>creates</t>
  </si>
  <si>
    <t>operatic</t>
  </si>
  <si>
    <t>looking</t>
  </si>
  <si>
    <t>door</t>
  </si>
  <si>
    <t>credible</t>
  </si>
  <si>
    <t>endure</t>
  </si>
  <si>
    <t>grief</t>
  </si>
  <si>
    <t>crowd</t>
  </si>
  <si>
    <t>voice</t>
  </si>
  <si>
    <t>blackout</t>
  </si>
  <si>
    <t>outsiders</t>
  </si>
  <si>
    <t>archives</t>
  </si>
  <si>
    <t>starts</t>
  </si>
  <si>
    <t>inactive</t>
  </si>
  <si>
    <t>soundtrack</t>
  </si>
  <si>
    <t>may</t>
  </si>
  <si>
    <t>disney</t>
  </si>
  <si>
    <t>easily</t>
  </si>
  <si>
    <t>work</t>
  </si>
  <si>
    <t>corpse</t>
  </si>
  <si>
    <t>sequence</t>
  </si>
  <si>
    <t>ambitions</t>
  </si>
  <si>
    <t>sophisticated</t>
  </si>
  <si>
    <t>feast</t>
  </si>
  <si>
    <t>structured</t>
  </si>
  <si>
    <t>while</t>
  </si>
  <si>
    <t>house</t>
  </si>
  <si>
    <t>climax</t>
  </si>
  <si>
    <t>symbolism</t>
  </si>
  <si>
    <t>whether</t>
  </si>
  <si>
    <t>lavish</t>
  </si>
  <si>
    <t>highs</t>
  </si>
  <si>
    <t>compiled</t>
  </si>
  <si>
    <t>hear</t>
  </si>
  <si>
    <t>times</t>
  </si>
  <si>
    <t>bravery</t>
  </si>
  <si>
    <t>stalker</t>
  </si>
  <si>
    <t>splits</t>
  </si>
  <si>
    <t>your</t>
  </si>
  <si>
    <t>behind</t>
  </si>
  <si>
    <t>savage</t>
  </si>
  <si>
    <t>runs</t>
  </si>
  <si>
    <t>sympathetic</t>
  </si>
  <si>
    <t>musical</t>
  </si>
  <si>
    <t>felt</t>
  </si>
  <si>
    <t>cunning</t>
  </si>
  <si>
    <t>shot</t>
  </si>
  <si>
    <t>clarity</t>
  </si>
  <si>
    <t>flesh</t>
  </si>
  <si>
    <t>proficiency</t>
  </si>
  <si>
    <t>illustrates</t>
  </si>
  <si>
    <t>wildly</t>
  </si>
  <si>
    <t>chuckle</t>
  </si>
  <si>
    <t>minority</t>
  </si>
  <si>
    <t>bite</t>
  </si>
  <si>
    <t>game</t>
  </si>
  <si>
    <t>superhuman</t>
  </si>
  <si>
    <t>lost</t>
  </si>
  <si>
    <t>medal</t>
  </si>
  <si>
    <t>party</t>
  </si>
  <si>
    <t>exploitation</t>
  </si>
  <si>
    <t>fabricated</t>
  </si>
  <si>
    <t>near</t>
  </si>
  <si>
    <t>proposes</t>
  </si>
  <si>
    <t>plunging</t>
  </si>
  <si>
    <t>uneasy</t>
  </si>
  <si>
    <t>comedy</t>
  </si>
  <si>
    <t>oliver</t>
  </si>
  <si>
    <t>penetrating</t>
  </si>
  <si>
    <t>ultimate</t>
  </si>
  <si>
    <t>core</t>
  </si>
  <si>
    <t>precisely</t>
  </si>
  <si>
    <t>heat</t>
  </si>
  <si>
    <t>depiction</t>
  </si>
  <si>
    <t>eat</t>
  </si>
  <si>
    <t>enough</t>
  </si>
  <si>
    <t>spectacle</t>
  </si>
  <si>
    <t>stalls</t>
  </si>
  <si>
    <t>exploits</t>
  </si>
  <si>
    <t>spears</t>
  </si>
  <si>
    <t>theories</t>
  </si>
  <si>
    <t>tackles</t>
  </si>
  <si>
    <t>hold</t>
  </si>
  <si>
    <t>soaring</t>
  </si>
  <si>
    <t>line</t>
  </si>
  <si>
    <t>ominous</t>
  </si>
  <si>
    <t>stanley</t>
  </si>
  <si>
    <t>dramas</t>
  </si>
  <si>
    <t>ford</t>
  </si>
  <si>
    <t>harmless</t>
  </si>
  <si>
    <t>insight</t>
  </si>
  <si>
    <t>listen</t>
  </si>
  <si>
    <t>warfare</t>
  </si>
  <si>
    <t>clive</t>
  </si>
  <si>
    <t>translation</t>
  </si>
  <si>
    <t>damned</t>
  </si>
  <si>
    <t>adequately</t>
  </si>
  <si>
    <t>bloody</t>
  </si>
  <si>
    <t>arc</t>
  </si>
  <si>
    <t>romance</t>
  </si>
  <si>
    <t>?</t>
  </si>
  <si>
    <t>white</t>
  </si>
  <si>
    <t>backbone</t>
  </si>
  <si>
    <t>barker</t>
  </si>
  <si>
    <t>ponder</t>
  </si>
  <si>
    <t>eerie</t>
  </si>
  <si>
    <t>states</t>
  </si>
  <si>
    <t>pitted</t>
  </si>
  <si>
    <t>propelled</t>
  </si>
  <si>
    <t>insulting</t>
  </si>
  <si>
    <t>comfortably</t>
  </si>
  <si>
    <t>bottom</t>
  </si>
  <si>
    <t>continuation</t>
  </si>
  <si>
    <t>dot</t>
  </si>
  <si>
    <t>recording</t>
  </si>
  <si>
    <t>racist</t>
  </si>
  <si>
    <t>anchored</t>
  </si>
  <si>
    <t>full</t>
  </si>
  <si>
    <t>served</t>
  </si>
  <si>
    <t>estranged</t>
  </si>
  <si>
    <t>current</t>
  </si>
  <si>
    <t>confident</t>
  </si>
  <si>
    <t>keep</t>
  </si>
  <si>
    <t>ben</t>
  </si>
  <si>
    <t>depth</t>
  </si>
  <si>
    <t>group</t>
  </si>
  <si>
    <t>acclaim</t>
  </si>
  <si>
    <t>omnibus</t>
  </si>
  <si>
    <t>sing</t>
  </si>
  <si>
    <t>park</t>
  </si>
  <si>
    <t>sly</t>
  </si>
  <si>
    <t>adolescents</t>
  </si>
  <si>
    <t>sibling</t>
  </si>
  <si>
    <t>sensation</t>
  </si>
  <si>
    <t>alternating</t>
  </si>
  <si>
    <t>make</t>
  </si>
  <si>
    <t>espionage</t>
  </si>
  <si>
    <t>sincerity</t>
  </si>
  <si>
    <t>harry</t>
  </si>
  <si>
    <t>amounts</t>
  </si>
  <si>
    <t>wanting</t>
  </si>
  <si>
    <t>although</t>
  </si>
  <si>
    <t>refugees</t>
  </si>
  <si>
    <t>speculation</t>
  </si>
  <si>
    <t>sensitive</t>
  </si>
  <si>
    <t>sensual</t>
  </si>
  <si>
    <t>pr</t>
  </si>
  <si>
    <t>rock</t>
  </si>
  <si>
    <t>exposition</t>
  </si>
  <si>
    <t>kennedy</t>
  </si>
  <si>
    <t>outraged</t>
  </si>
  <si>
    <t>fans</t>
  </si>
  <si>
    <t>born</t>
  </si>
  <si>
    <t>chords</t>
  </si>
  <si>
    <t>pacing</t>
  </si>
  <si>
    <t>glued</t>
  </si>
  <si>
    <t>comic</t>
  </si>
  <si>
    <t>hour</t>
  </si>
  <si>
    <t>looked</t>
  </si>
  <si>
    <t>darkly</t>
  </si>
  <si>
    <t>biography</t>
  </si>
  <si>
    <t>entirely</t>
  </si>
  <si>
    <t>reflective</t>
  </si>
  <si>
    <t>chateau</t>
  </si>
  <si>
    <t>satisfying</t>
  </si>
  <si>
    <t>maximum</t>
  </si>
  <si>
    <t>proceedings</t>
  </si>
  <si>
    <t>affair</t>
  </si>
  <si>
    <t>sounds</t>
  </si>
  <si>
    <t>snaps</t>
  </si>
  <si>
    <t>difference</t>
  </si>
  <si>
    <t>sends</t>
  </si>
  <si>
    <t>at</t>
  </si>
  <si>
    <t>name</t>
  </si>
  <si>
    <t>contradictory</t>
  </si>
  <si>
    <t>discourse</t>
  </si>
  <si>
    <t>lack</t>
  </si>
  <si>
    <t>viewed</t>
  </si>
  <si>
    <t>parade</t>
  </si>
  <si>
    <t>august</t>
  </si>
  <si>
    <t>bergman</t>
  </si>
  <si>
    <t>carried</t>
  </si>
  <si>
    <t>does</t>
  </si>
  <si>
    <t>largely</t>
  </si>
  <si>
    <t>populated</t>
  </si>
  <si>
    <t>visionary</t>
  </si>
  <si>
    <t>combines</t>
  </si>
  <si>
    <t>commonplace</t>
  </si>
  <si>
    <t>unbroken</t>
  </si>
  <si>
    <t>flat</t>
  </si>
  <si>
    <t>note</t>
  </si>
  <si>
    <t>old</t>
  </si>
  <si>
    <t>reliance</t>
  </si>
  <si>
    <t>novak</t>
  </si>
  <si>
    <t>dim</t>
  </si>
  <si>
    <t>history</t>
  </si>
  <si>
    <t>explore</t>
  </si>
  <si>
    <t>profoundly</t>
  </si>
  <si>
    <t>thing</t>
  </si>
  <si>
    <t>anyone</t>
  </si>
  <si>
    <t>music</t>
  </si>
  <si>
    <t>arresting</t>
  </si>
  <si>
    <t>wins</t>
  </si>
  <si>
    <t>criminal</t>
  </si>
  <si>
    <t>tenth</t>
  </si>
  <si>
    <t>ask</t>
  </si>
  <si>
    <t>show</t>
  </si>
  <si>
    <t>craven</t>
  </si>
  <si>
    <t>kinetic</t>
  </si>
  <si>
    <t>lifts</t>
  </si>
  <si>
    <t>directed</t>
  </si>
  <si>
    <t>provoke</t>
  </si>
  <si>
    <t>if</t>
  </si>
  <si>
    <t>hilary</t>
  </si>
  <si>
    <t>kid</t>
  </si>
  <si>
    <t>shorter</t>
  </si>
  <si>
    <t>convicted</t>
  </si>
  <si>
    <t>idea</t>
  </si>
  <si>
    <t>art</t>
  </si>
  <si>
    <t>birmingham</t>
  </si>
  <si>
    <t>term</t>
  </si>
  <si>
    <t>refuses</t>
  </si>
  <si>
    <t>certainly</t>
  </si>
  <si>
    <t>ending</t>
  </si>
  <si>
    <t>potentially</t>
  </si>
  <si>
    <t>top</t>
  </si>
  <si>
    <t>defiance</t>
  </si>
  <si>
    <t>elaborate</t>
  </si>
  <si>
    <t>expect</t>
  </si>
  <si>
    <t>needed</t>
  </si>
  <si>
    <t>city</t>
  </si>
  <si>
    <t>pollution</t>
  </si>
  <si>
    <t>coherent</t>
  </si>
  <si>
    <t>lame</t>
  </si>
  <si>
    <t>sen</t>
  </si>
  <si>
    <t>resume</t>
  </si>
  <si>
    <t>team</t>
  </si>
  <si>
    <t>glucose</t>
  </si>
  <si>
    <t>spontaneous</t>
  </si>
  <si>
    <t>stretches</t>
  </si>
  <si>
    <t>credits</t>
  </si>
  <si>
    <t>second</t>
  </si>
  <si>
    <t>hartley</t>
  </si>
  <si>
    <t>london</t>
  </si>
  <si>
    <t>quietly</t>
  </si>
  <si>
    <t>tapped</t>
  </si>
  <si>
    <t>busy</t>
  </si>
  <si>
    <t>west</t>
  </si>
  <si>
    <t>nicholas</t>
  </si>
  <si>
    <t>slice</t>
  </si>
  <si>
    <t>horror</t>
  </si>
  <si>
    <t>portrays</t>
  </si>
  <si>
    <t>paxton</t>
  </si>
  <si>
    <t>yes</t>
  </si>
  <si>
    <t>number</t>
  </si>
  <si>
    <t>olivier</t>
  </si>
  <si>
    <t>depictions</t>
  </si>
  <si>
    <t>profound</t>
  </si>
  <si>
    <t>addition</t>
  </si>
  <si>
    <t>titled</t>
  </si>
  <si>
    <t>actually</t>
  </si>
  <si>
    <t>front</t>
  </si>
  <si>
    <t>newfoundland</t>
  </si>
  <si>
    <t>spare</t>
  </si>
  <si>
    <t>dubious</t>
  </si>
  <si>
    <t>titles</t>
  </si>
  <si>
    <t>rejected</t>
  </si>
  <si>
    <t>feels</t>
  </si>
  <si>
    <t>b</t>
  </si>
  <si>
    <t>gave</t>
  </si>
  <si>
    <t>decomposition</t>
  </si>
  <si>
    <t>generally</t>
  </si>
  <si>
    <t>reactions</t>
  </si>
  <si>
    <t>philosophers</t>
  </si>
  <si>
    <t>crossover</t>
  </si>
  <si>
    <t>niche</t>
  </si>
  <si>
    <t>down</t>
  </si>
  <si>
    <t>before</t>
  </si>
  <si>
    <t>wedding</t>
  </si>
  <si>
    <t>within</t>
  </si>
  <si>
    <t>liberation</t>
  </si>
  <si>
    <t>slack</t>
  </si>
  <si>
    <t>mystery</t>
  </si>
  <si>
    <t>predictable</t>
  </si>
  <si>
    <t>four</t>
  </si>
  <si>
    <t>ambiguity</t>
  </si>
  <si>
    <t>shallow</t>
  </si>
  <si>
    <t>vital</t>
  </si>
  <si>
    <t>brilliant</t>
  </si>
  <si>
    <t>irwin</t>
  </si>
  <si>
    <t>carnage</t>
  </si>
  <si>
    <t>sweetly</t>
  </si>
  <si>
    <t>own</t>
  </si>
  <si>
    <t>change</t>
  </si>
  <si>
    <t>fine</t>
  </si>
  <si>
    <t>red</t>
  </si>
  <si>
    <t>crypt</t>
  </si>
  <si>
    <t>tunisian</t>
  </si>
  <si>
    <t>handheld</t>
  </si>
  <si>
    <t>em</t>
  </si>
  <si>
    <t>length</t>
  </si>
  <si>
    <t>which</t>
  </si>
  <si>
    <t>open</t>
  </si>
  <si>
    <t>protagonist</t>
  </si>
  <si>
    <t>conspicuous</t>
  </si>
  <si>
    <t>respect</t>
  </si>
  <si>
    <t>high</t>
  </si>
  <si>
    <t>yiddish</t>
  </si>
  <si>
    <t>folly</t>
  </si>
  <si>
    <t>throw</t>
  </si>
  <si>
    <t>thud</t>
  </si>
  <si>
    <t>concert</t>
  </si>
  <si>
    <t>general</t>
  </si>
  <si>
    <t>annals</t>
  </si>
  <si>
    <t>spark</t>
  </si>
  <si>
    <t>represents</t>
  </si>
  <si>
    <t>authority</t>
  </si>
  <si>
    <t>title</t>
  </si>
  <si>
    <t>were</t>
  </si>
  <si>
    <t>innovations</t>
  </si>
  <si>
    <t>achievements</t>
  </si>
  <si>
    <t>amused</t>
  </si>
  <si>
    <t>sitting</t>
  </si>
  <si>
    <t>commended</t>
  </si>
  <si>
    <t>bullock</t>
  </si>
  <si>
    <t>esther</t>
  </si>
  <si>
    <t>total</t>
  </si>
  <si>
    <t>adventurous</t>
  </si>
  <si>
    <t>midnight</t>
  </si>
  <si>
    <t>body</t>
  </si>
  <si>
    <t>illustrating</t>
  </si>
  <si>
    <t>lopez</t>
  </si>
  <si>
    <t>halfway</t>
  </si>
  <si>
    <t>spends</t>
  </si>
  <si>
    <t>men</t>
  </si>
  <si>
    <t>produced</t>
  </si>
  <si>
    <t>minutes</t>
  </si>
  <si>
    <t>known</t>
  </si>
  <si>
    <t>bitterly</t>
  </si>
  <si>
    <t>cannes</t>
  </si>
  <si>
    <t>breakthrough</t>
  </si>
  <si>
    <t>optimism</t>
  </si>
  <si>
    <t>jerry</t>
  </si>
  <si>
    <t>far</t>
  </si>
  <si>
    <t>town</t>
  </si>
  <si>
    <t>raphael</t>
  </si>
  <si>
    <t>unmistakable</t>
  </si>
  <si>
    <t>contempt</t>
  </si>
  <si>
    <t>opened</t>
  </si>
  <si>
    <t>enigma</t>
  </si>
  <si>
    <t>holm</t>
  </si>
  <si>
    <t>martial</t>
  </si>
  <si>
    <t>capture</t>
  </si>
  <si>
    <t>complexity</t>
  </si>
  <si>
    <t>offering</t>
  </si>
  <si>
    <t>tickets</t>
  </si>
  <si>
    <t>screenwriter</t>
  </si>
  <si>
    <t>dawson</t>
  </si>
  <si>
    <t>filmed</t>
  </si>
  <si>
    <t>terrific</t>
  </si>
  <si>
    <t>vulgar</t>
  </si>
  <si>
    <t>somehow</t>
  </si>
  <si>
    <t>give</t>
  </si>
  <si>
    <t>chiefly</t>
  </si>
  <si>
    <t>portray</t>
  </si>
  <si>
    <t>zhang</t>
  </si>
  <si>
    <t>irritating</t>
  </si>
  <si>
    <t>heck</t>
  </si>
  <si>
    <t>french</t>
  </si>
  <si>
    <t>manufactured</t>
  </si>
  <si>
    <t>entertainment</t>
  </si>
  <si>
    <t>economical</t>
  </si>
  <si>
    <t>lot</t>
  </si>
  <si>
    <t>exercise</t>
  </si>
  <si>
    <t>embraced</t>
  </si>
  <si>
    <t>quintet</t>
  </si>
  <si>
    <t>costly</t>
  </si>
  <si>
    <t>borders</t>
  </si>
  <si>
    <t>among</t>
  </si>
  <si>
    <t>repetition</t>
  </si>
  <si>
    <t>performed</t>
  </si>
  <si>
    <t>tuned</t>
  </si>
  <si>
    <t>forgotten</t>
  </si>
  <si>
    <t>weak</t>
  </si>
  <si>
    <t>possession</t>
  </si>
  <si>
    <t>groups</t>
  </si>
  <si>
    <t>central</t>
  </si>
  <si>
    <t>fantasia</t>
  </si>
  <si>
    <t>actresses</t>
  </si>
  <si>
    <t>displays</t>
  </si>
  <si>
    <t>laugh</t>
  </si>
  <si>
    <t>commentary</t>
  </si>
  <si>
    <t>cheaper</t>
  </si>
  <si>
    <t>across</t>
  </si>
  <si>
    <t>capturing</t>
  </si>
  <si>
    <t>biographical</t>
  </si>
  <si>
    <t>padded</t>
  </si>
  <si>
    <t>underlying</t>
  </si>
  <si>
    <t>3d</t>
  </si>
  <si>
    <t>along</t>
  </si>
  <si>
    <t>underwater</t>
  </si>
  <si>
    <t>grant</t>
  </si>
  <si>
    <t>propaganda</t>
  </si>
  <si>
    <t>tightening</t>
  </si>
  <si>
    <t>book</t>
  </si>
  <si>
    <t>metaphysical</t>
  </si>
  <si>
    <t>hugh</t>
  </si>
  <si>
    <t>directorial</t>
  </si>
  <si>
    <t>sustain</t>
  </si>
  <si>
    <t>run</t>
  </si>
  <si>
    <t>death</t>
  </si>
  <si>
    <t>devastation</t>
  </si>
  <si>
    <t>urban</t>
  </si>
  <si>
    <t>repeated</t>
  </si>
  <si>
    <t>charming</t>
  </si>
  <si>
    <t>giggle</t>
  </si>
  <si>
    <t>such</t>
  </si>
  <si>
    <t>several</t>
  </si>
  <si>
    <t>narration</t>
  </si>
  <si>
    <t>bracing</t>
  </si>
  <si>
    <t>misery</t>
  </si>
  <si>
    <t>adolescent</t>
  </si>
  <si>
    <t>mother</t>
  </si>
  <si>
    <t>prolonged</t>
  </si>
  <si>
    <t>celebration</t>
  </si>
  <si>
    <t>willingness</t>
  </si>
  <si>
    <t>chronicles</t>
  </si>
  <si>
    <t>lau</t>
  </si>
  <si>
    <t>into</t>
  </si>
  <si>
    <t>center</t>
  </si>
  <si>
    <t>richly</t>
  </si>
  <si>
    <t>pity</t>
  </si>
  <si>
    <t>water</t>
  </si>
  <si>
    <t>flatly</t>
  </si>
  <si>
    <t>lunatic</t>
  </si>
  <si>
    <t>wears</t>
  </si>
  <si>
    <t>company</t>
  </si>
  <si>
    <t>atrocities</t>
  </si>
  <si>
    <t>ecological</t>
  </si>
  <si>
    <t>questions</t>
  </si>
  <si>
    <t>assurance</t>
  </si>
  <si>
    <t>twists</t>
  </si>
  <si>
    <t>stay</t>
  </si>
  <si>
    <t>decent</t>
  </si>
  <si>
    <t>building</t>
  </si>
  <si>
    <t>diary</t>
  </si>
  <si>
    <t>sociological</t>
  </si>
  <si>
    <t>impact</t>
  </si>
  <si>
    <t>surprisingly</t>
  </si>
  <si>
    <t>fun</t>
  </si>
  <si>
    <t>observed</t>
  </si>
  <si>
    <t>stock</t>
  </si>
  <si>
    <t>became</t>
  </si>
  <si>
    <t>freighter</t>
  </si>
  <si>
    <t>mckay</t>
  </si>
  <si>
    <t>words</t>
  </si>
  <si>
    <t>makeup</t>
  </si>
  <si>
    <t>based</t>
  </si>
  <si>
    <t>emphasizes</t>
  </si>
  <si>
    <t>stale</t>
  </si>
  <si>
    <t>emerges</t>
  </si>
  <si>
    <t>influences</t>
  </si>
  <si>
    <t>noble</t>
  </si>
  <si>
    <t>adultery</t>
  </si>
  <si>
    <t>yet</t>
  </si>
  <si>
    <t>static</t>
  </si>
  <si>
    <t>chases</t>
  </si>
  <si>
    <t>bridge</t>
  </si>
  <si>
    <t>third</t>
  </si>
  <si>
    <t>successor</t>
  </si>
  <si>
    <t>mainly</t>
  </si>
  <si>
    <t>photographed</t>
  </si>
  <si>
    <t>brings</t>
  </si>
  <si>
    <t>akin</t>
  </si>
  <si>
    <t>warm</t>
  </si>
  <si>
    <t>use</t>
  </si>
  <si>
    <t>whimper</t>
  </si>
  <si>
    <t>passages</t>
  </si>
  <si>
    <t>arbitrary</t>
  </si>
  <si>
    <t>proper</t>
  </si>
  <si>
    <t>fable</t>
  </si>
  <si>
    <t>energy</t>
  </si>
  <si>
    <t>hard</t>
  </si>
  <si>
    <t>member</t>
  </si>
  <si>
    <t>isabelle</t>
  </si>
  <si>
    <t>observation</t>
  </si>
  <si>
    <t>riot</t>
  </si>
  <si>
    <t>role</t>
  </si>
  <si>
    <t>country</t>
  </si>
  <si>
    <t>cinderella</t>
  </si>
  <si>
    <t>beings</t>
  </si>
  <si>
    <t>loosely</t>
  </si>
  <si>
    <t>undermine</t>
  </si>
  <si>
    <t>/</t>
  </si>
  <si>
    <t>harrison</t>
  </si>
  <si>
    <t>demands</t>
  </si>
  <si>
    <t>honesty</t>
  </si>
  <si>
    <t>generosity</t>
  </si>
  <si>
    <t>exact</t>
  </si>
  <si>
    <t>members</t>
  </si>
  <si>
    <t>paranormal</t>
  </si>
  <si>
    <t>dreadful</t>
  </si>
  <si>
    <t>ca</t>
  </si>
  <si>
    <t>packed</t>
  </si>
  <si>
    <t>station</t>
  </si>
  <si>
    <t>demonstrating</t>
  </si>
  <si>
    <t>kicking</t>
  </si>
  <si>
    <t>read</t>
  </si>
  <si>
    <t>elephant</t>
  </si>
  <si>
    <t>artist</t>
  </si>
  <si>
    <t>format</t>
  </si>
  <si>
    <t>late</t>
  </si>
  <si>
    <t>holocaust</t>
  </si>
  <si>
    <t>culture</t>
  </si>
  <si>
    <t>approaches</t>
  </si>
  <si>
    <t>drama</t>
  </si>
  <si>
    <t>ve</t>
  </si>
  <si>
    <t>set</t>
  </si>
  <si>
    <t>myth</t>
  </si>
  <si>
    <t>hate</t>
  </si>
  <si>
    <t>straining</t>
  </si>
  <si>
    <t>similar</t>
  </si>
  <si>
    <t>gets</t>
  </si>
  <si>
    <t>including</t>
  </si>
  <si>
    <t>heroic</t>
  </si>
  <si>
    <t>sand</t>
  </si>
  <si>
    <t>translate</t>
  </si>
  <si>
    <t>pop</t>
  </si>
  <si>
    <t>north</t>
  </si>
  <si>
    <t>chord</t>
  </si>
  <si>
    <t>crimes</t>
  </si>
  <si>
    <t>characteristic</t>
  </si>
  <si>
    <t>recent</t>
  </si>
  <si>
    <t>lowered</t>
  </si>
  <si>
    <t>teasing</t>
  </si>
  <si>
    <t>why</t>
  </si>
  <si>
    <t>flowering</t>
  </si>
  <si>
    <t>griffith</t>
  </si>
  <si>
    <t>disgust</t>
  </si>
  <si>
    <t>poses</t>
  </si>
  <si>
    <t>viewpoint</t>
  </si>
  <si>
    <t>swim</t>
  </si>
  <si>
    <t>seated</t>
  </si>
  <si>
    <t>home</t>
  </si>
  <si>
    <t>kaufman</t>
  </si>
  <si>
    <t>hopkins</t>
  </si>
  <si>
    <t>mira</t>
  </si>
  <si>
    <t>slip</t>
  </si>
  <si>
    <t>tool</t>
  </si>
  <si>
    <t>labeling</t>
  </si>
  <si>
    <t>understand</t>
  </si>
  <si>
    <t>humanist</t>
  </si>
  <si>
    <t>limitations</t>
  </si>
  <si>
    <t>excuse</t>
  </si>
  <si>
    <t>barrage</t>
  </si>
  <si>
    <t>becomes</t>
  </si>
  <si>
    <t>their</t>
  </si>
  <si>
    <t>season</t>
  </si>
  <si>
    <t>cardiac</t>
  </si>
  <si>
    <t>classical</t>
  </si>
  <si>
    <t>fires</t>
  </si>
  <si>
    <t>merely</t>
  </si>
  <si>
    <t>peak</t>
  </si>
  <si>
    <t>air</t>
  </si>
  <si>
    <t>calculating</t>
  </si>
  <si>
    <t>specimen</t>
  </si>
  <si>
    <t>moving</t>
  </si>
  <si>
    <t>utilizing</t>
  </si>
  <si>
    <t>community</t>
  </si>
  <si>
    <t>scenes</t>
  </si>
  <si>
    <t>award</t>
  </si>
  <si>
    <t>tradition</t>
  </si>
  <si>
    <t>church</t>
  </si>
  <si>
    <t>aground</t>
  </si>
  <si>
    <t>playwright</t>
  </si>
  <si>
    <t>achieving</t>
  </si>
  <si>
    <t>successful</t>
  </si>
  <si>
    <t>inside</t>
  </si>
  <si>
    <t>received</t>
  </si>
  <si>
    <t>stakes</t>
  </si>
  <si>
    <t>workshop</t>
  </si>
  <si>
    <t>poet</t>
  </si>
  <si>
    <t>profile</t>
  </si>
  <si>
    <t>courtroom</t>
  </si>
  <si>
    <t>levels</t>
  </si>
  <si>
    <t>children</t>
  </si>
  <si>
    <t>tucker</t>
  </si>
  <si>
    <t>experimentation</t>
  </si>
  <si>
    <t>bound</t>
  </si>
  <si>
    <t>intensely</t>
  </si>
  <si>
    <t>phones</t>
  </si>
  <si>
    <t>popularity</t>
  </si>
  <si>
    <t>century</t>
  </si>
  <si>
    <t>italics</t>
  </si>
  <si>
    <t>forged</t>
  </si>
  <si>
    <t>loser</t>
  </si>
  <si>
    <t>delivers</t>
  </si>
  <si>
    <t>murderous</t>
  </si>
  <si>
    <t>chicken</t>
  </si>
  <si>
    <t>hand</t>
  </si>
  <si>
    <t>assassin</t>
  </si>
  <si>
    <t>testimony</t>
  </si>
  <si>
    <t>gently</t>
  </si>
  <si>
    <t>roll</t>
  </si>
  <si>
    <t>written</t>
  </si>
  <si>
    <t>heroism</t>
  </si>
  <si>
    <t>tidal</t>
  </si>
  <si>
    <t>centuries</t>
  </si>
  <si>
    <t>deal</t>
  </si>
  <si>
    <t>stretched</t>
  </si>
  <si>
    <t>endeavor</t>
  </si>
  <si>
    <t>detailing</t>
  </si>
  <si>
    <t>practice</t>
  </si>
  <si>
    <t>vittorio</t>
  </si>
  <si>
    <t>sofia</t>
  </si>
  <si>
    <t>ron</t>
  </si>
  <si>
    <t>honorable</t>
  </si>
  <si>
    <t>consistent</t>
  </si>
  <si>
    <t>insurrection</t>
  </si>
  <si>
    <t>m</t>
  </si>
  <si>
    <t>single</t>
  </si>
  <si>
    <t>microscope</t>
  </si>
  <si>
    <t>subject</t>
  </si>
  <si>
    <t>symbolic</t>
  </si>
  <si>
    <t>lacking</t>
  </si>
  <si>
    <t>crystals</t>
  </si>
  <si>
    <t>grade</t>
  </si>
  <si>
    <t>meal</t>
  </si>
  <si>
    <t>due</t>
  </si>
  <si>
    <t>ardent</t>
  </si>
  <si>
    <t>piece</t>
  </si>
  <si>
    <t>freedom</t>
  </si>
  <si>
    <t>mosaic</t>
  </si>
  <si>
    <t>trash</t>
  </si>
  <si>
    <t>quite</t>
  </si>
  <si>
    <t>franklin</t>
  </si>
  <si>
    <t>tendencies</t>
  </si>
  <si>
    <t>weary</t>
  </si>
  <si>
    <t>mandates</t>
  </si>
  <si>
    <t>bore</t>
  </si>
  <si>
    <t>office</t>
  </si>
  <si>
    <t>overcome</t>
  </si>
  <si>
    <t>whale</t>
  </si>
  <si>
    <t>trying</t>
  </si>
  <si>
    <t>asian</t>
  </si>
  <si>
    <t>scientists</t>
  </si>
  <si>
    <t>ode</t>
  </si>
  <si>
    <t>attractive</t>
  </si>
  <si>
    <t>tries</t>
  </si>
  <si>
    <t>economically</t>
  </si>
  <si>
    <t>system</t>
  </si>
  <si>
    <t>craftsmen</t>
  </si>
  <si>
    <t>comprehension</t>
  </si>
  <si>
    <t>takes</t>
  </si>
  <si>
    <t>anatomy</t>
  </si>
  <si>
    <t>stars</t>
  </si>
  <si>
    <t>following</t>
  </si>
  <si>
    <t>fleeing</t>
  </si>
  <si>
    <t>schmidt</t>
  </si>
  <si>
    <t>interviews</t>
  </si>
  <si>
    <t>compatible</t>
  </si>
  <si>
    <t>national</t>
  </si>
  <si>
    <t>encompassing</t>
  </si>
  <si>
    <t>carmen</t>
  </si>
  <si>
    <t>rice</t>
  </si>
  <si>
    <t>john</t>
  </si>
  <si>
    <t>shakespeare</t>
  </si>
  <si>
    <t>corpus</t>
  </si>
  <si>
    <t>denial</t>
  </si>
  <si>
    <t>important</t>
  </si>
  <si>
    <t>built</t>
  </si>
  <si>
    <t>weakly</t>
  </si>
  <si>
    <t>banged</t>
  </si>
  <si>
    <t>dreamed</t>
  </si>
  <si>
    <t>saturday</t>
  </si>
  <si>
    <t>age</t>
  </si>
  <si>
    <t>croatia</t>
  </si>
  <si>
    <t>astonishing</t>
  </si>
  <si>
    <t>da</t>
  </si>
  <si>
    <t>coarse</t>
  </si>
  <si>
    <t>failing</t>
  </si>
  <si>
    <t>fan</t>
  </si>
  <si>
    <t>led</t>
  </si>
  <si>
    <t>partnership</t>
  </si>
  <si>
    <t>collectively</t>
  </si>
  <si>
    <t>relief</t>
  </si>
  <si>
    <t>extend</t>
  </si>
  <si>
    <t>opera</t>
  </si>
  <si>
    <t>international</t>
  </si>
  <si>
    <t>tabloid</t>
  </si>
  <si>
    <t>dong</t>
  </si>
  <si>
    <t>overdose</t>
  </si>
  <si>
    <t>soap</t>
  </si>
  <si>
    <t>son</t>
  </si>
  <si>
    <t>derive</t>
  </si>
  <si>
    <t>pure</t>
  </si>
  <si>
    <t>promise</t>
  </si>
  <si>
    <t>failure</t>
  </si>
  <si>
    <t>major</t>
  </si>
  <si>
    <t>prostitute</t>
  </si>
  <si>
    <t>eyre</t>
  </si>
  <si>
    <t>match</t>
  </si>
  <si>
    <t>view</t>
  </si>
  <si>
    <t>directs</t>
  </si>
  <si>
    <t>university</t>
  </si>
  <si>
    <t>destructive</t>
  </si>
  <si>
    <t>hoffman</t>
  </si>
  <si>
    <t>creations</t>
  </si>
  <si>
    <t>phenomenon</t>
  </si>
  <si>
    <t>streamed</t>
  </si>
  <si>
    <t>table</t>
  </si>
  <si>
    <t>york</t>
  </si>
  <si>
    <t>pageant</t>
  </si>
  <si>
    <t>passion</t>
  </si>
  <si>
    <t>currency</t>
  </si>
  <si>
    <t>reason</t>
  </si>
  <si>
    <t>desire</t>
  </si>
  <si>
    <t>st</t>
  </si>
  <si>
    <t>hypnotic</t>
  </si>
  <si>
    <t>formula</t>
  </si>
  <si>
    <t>scarcely</t>
  </si>
  <si>
    <t>ahead</t>
  </si>
  <si>
    <t>precious</t>
  </si>
  <si>
    <t>east</t>
  </si>
  <si>
    <t>welsh</t>
  </si>
  <si>
    <t>nonstop</t>
  </si>
  <si>
    <t>expressive</t>
  </si>
  <si>
    <t>blur</t>
  </si>
  <si>
    <t>distance</t>
  </si>
  <si>
    <t>played</t>
  </si>
  <si>
    <t>fragmented</t>
  </si>
  <si>
    <t>scripts</t>
  </si>
  <si>
    <t>unfortunately</t>
  </si>
  <si>
    <t>successfully</t>
  </si>
  <si>
    <t>camp</t>
  </si>
  <si>
    <t>meaningless</t>
  </si>
  <si>
    <t>wrapped</t>
  </si>
  <si>
    <t>smiles</t>
  </si>
  <si>
    <t>king</t>
  </si>
  <si>
    <t>harmed</t>
  </si>
  <si>
    <t>stephen</t>
  </si>
  <si>
    <t>bitten</t>
  </si>
  <si>
    <t>extraordinary</t>
  </si>
  <si>
    <t>channel</t>
  </si>
  <si>
    <t>turn</t>
  </si>
  <si>
    <t>english</t>
  </si>
  <si>
    <t>marching</t>
  </si>
  <si>
    <t>transformed</t>
  </si>
  <si>
    <t>heart</t>
  </si>
  <si>
    <t>develops</t>
  </si>
  <si>
    <t>eye</t>
  </si>
  <si>
    <t>series</t>
  </si>
  <si>
    <t>cheered</t>
  </si>
  <si>
    <t>publishing</t>
  </si>
  <si>
    <t>downward</t>
  </si>
  <si>
    <t>cause</t>
  </si>
  <si>
    <t>state</t>
  </si>
  <si>
    <t>crushing</t>
  </si>
  <si>
    <t>hearst</t>
  </si>
  <si>
    <t>evolve</t>
  </si>
  <si>
    <t>stevens</t>
  </si>
  <si>
    <t>lesser</t>
  </si>
  <si>
    <t>amount</t>
  </si>
  <si>
    <t>county</t>
  </si>
  <si>
    <t>fragment</t>
  </si>
  <si>
    <t>welles</t>
  </si>
  <si>
    <t>dies</t>
  </si>
  <si>
    <t>interesting</t>
  </si>
  <si>
    <t>taut</t>
  </si>
  <si>
    <t>dragon</t>
  </si>
  <si>
    <t>January</t>
  </si>
  <si>
    <t>thinkers</t>
  </si>
  <si>
    <t>darling</t>
  </si>
  <si>
    <t>jason</t>
  </si>
  <si>
    <t>examines</t>
  </si>
  <si>
    <t>vague</t>
  </si>
  <si>
    <t>manner</t>
  </si>
  <si>
    <t>fat</t>
  </si>
  <si>
    <t>former</t>
  </si>
  <si>
    <t>reassure</t>
  </si>
  <si>
    <t>works</t>
  </si>
  <si>
    <t>commands</t>
  </si>
  <si>
    <t>tea</t>
  </si>
  <si>
    <t>named</t>
  </si>
  <si>
    <t>hitler</t>
  </si>
  <si>
    <t>humanity</t>
  </si>
  <si>
    <t>foolish</t>
  </si>
  <si>
    <t>keeping</t>
  </si>
  <si>
    <t>programmer</t>
  </si>
  <si>
    <t>potent</t>
  </si>
  <si>
    <t>hole</t>
  </si>
  <si>
    <t>enlightenment</t>
  </si>
  <si>
    <t>formed</t>
  </si>
  <si>
    <t>excitement</t>
  </si>
  <si>
    <t>will</t>
  </si>
  <si>
    <t>held</t>
  </si>
  <si>
    <t>offended</t>
  </si>
  <si>
    <t>insult</t>
  </si>
  <si>
    <t>return</t>
  </si>
  <si>
    <t>law</t>
  </si>
  <si>
    <t>forwards</t>
  </si>
  <si>
    <t>fury</t>
  </si>
  <si>
    <t>fused</t>
  </si>
  <si>
    <t>martinez</t>
  </si>
  <si>
    <t>problems</t>
  </si>
  <si>
    <t>band</t>
  </si>
  <si>
    <t>survivors</t>
  </si>
  <si>
    <t>complex</t>
  </si>
  <si>
    <t>reaches</t>
  </si>
  <si>
    <t>despite</t>
  </si>
  <si>
    <t>accomplishment</t>
  </si>
  <si>
    <t>de</t>
  </si>
  <si>
    <t>risks</t>
  </si>
  <si>
    <t>share</t>
  </si>
  <si>
    <t>effectively</t>
  </si>
  <si>
    <t>argues</t>
  </si>
  <si>
    <t>choirs</t>
  </si>
  <si>
    <t>document</t>
  </si>
  <si>
    <t>simply</t>
  </si>
  <si>
    <t>according</t>
  </si>
  <si>
    <t>godfrey</t>
  </si>
  <si>
    <t>progresses</t>
  </si>
  <si>
    <t>precise</t>
  </si>
  <si>
    <t>implements</t>
  </si>
  <si>
    <t>imagination</t>
  </si>
  <si>
    <t>trombone</t>
  </si>
  <si>
    <t>playfully</t>
  </si>
  <si>
    <t>turns</t>
  </si>
  <si>
    <t>carry</t>
  </si>
  <si>
    <t>final</t>
  </si>
  <si>
    <t>bolt</t>
  </si>
  <si>
    <t>atom</t>
  </si>
  <si>
    <t>screams</t>
  </si>
  <si>
    <t>mere</t>
  </si>
  <si>
    <t>unconventional</t>
  </si>
  <si>
    <t>complete</t>
  </si>
  <si>
    <t>form</t>
  </si>
  <si>
    <t>mclaughlin</t>
  </si>
  <si>
    <t>seeks</t>
  </si>
  <si>
    <t>knockout</t>
  </si>
  <si>
    <t>politics</t>
  </si>
  <si>
    <t>appear</t>
  </si>
  <si>
    <t>released</t>
  </si>
  <si>
    <t>rooted</t>
  </si>
  <si>
    <t>maneuvers</t>
  </si>
  <si>
    <t>relatively</t>
  </si>
  <si>
    <t>june</t>
  </si>
  <si>
    <t>era</t>
  </si>
  <si>
    <t>serves</t>
  </si>
  <si>
    <t>remarkable</t>
  </si>
  <si>
    <t>league</t>
  </si>
  <si>
    <t>puzzle</t>
  </si>
  <si>
    <t>appealing</t>
  </si>
  <si>
    <t>learning</t>
  </si>
  <si>
    <t>date</t>
  </si>
  <si>
    <t>british</t>
  </si>
  <si>
    <t>serious</t>
  </si>
  <si>
    <t>wreckage</t>
  </si>
  <si>
    <t>short</t>
  </si>
  <si>
    <t>further</t>
  </si>
  <si>
    <t>diversion</t>
  </si>
  <si>
    <t>photo</t>
  </si>
  <si>
    <t>father</t>
  </si>
  <si>
    <t>siege</t>
  </si>
  <si>
    <t>ordeal</t>
  </si>
  <si>
    <t>pleasant</t>
  </si>
  <si>
    <t>confirming</t>
  </si>
  <si>
    <t>engage</t>
  </si>
  <si>
    <t>done</t>
  </si>
  <si>
    <t>song</t>
  </si>
  <si>
    <t>importance</t>
  </si>
  <si>
    <t>plateau</t>
  </si>
  <si>
    <t>slightest</t>
  </si>
  <si>
    <t>harsh</t>
  </si>
  <si>
    <t>mortality</t>
  </si>
  <si>
    <t>emotionally</t>
  </si>
  <si>
    <t>war</t>
  </si>
  <si>
    <t>jealousy</t>
  </si>
  <si>
    <t>describe</t>
  </si>
  <si>
    <t>discarded</t>
  </si>
  <si>
    <t>mercenary</t>
  </si>
  <si>
    <t>prove</t>
  </si>
  <si>
    <t>united</t>
  </si>
  <si>
    <t>tenderly</t>
  </si>
  <si>
    <t>humming</t>
  </si>
  <si>
    <t>videos</t>
  </si>
  <si>
    <t>shirt</t>
  </si>
  <si>
    <t>orders</t>
  </si>
  <si>
    <t>football</t>
  </si>
  <si>
    <t>autobiographical</t>
  </si>
  <si>
    <t>korean</t>
  </si>
  <si>
    <t>groans</t>
  </si>
  <si>
    <t>September</t>
  </si>
  <si>
    <t>gaza</t>
  </si>
  <si>
    <t>irony</t>
  </si>
  <si>
    <t>plans</t>
  </si>
  <si>
    <t>prominent</t>
  </si>
  <si>
    <t>color</t>
  </si>
  <si>
    <t>encourages</t>
  </si>
  <si>
    <t>fact</t>
  </si>
  <si>
    <t>president</t>
  </si>
  <si>
    <t>eroded</t>
  </si>
  <si>
    <t>cell</t>
  </si>
  <si>
    <t>yields</t>
  </si>
  <si>
    <t>species</t>
  </si>
  <si>
    <t>conventions</t>
  </si>
  <si>
    <t>style</t>
  </si>
  <si>
    <t>tracking</t>
  </si>
  <si>
    <t>fewer</t>
  </si>
  <si>
    <t>type</t>
  </si>
  <si>
    <t>album</t>
  </si>
  <si>
    <t>muted</t>
  </si>
  <si>
    <t>deep</t>
  </si>
  <si>
    <t>published</t>
  </si>
  <si>
    <t>owes</t>
  </si>
  <si>
    <t>surprise</t>
  </si>
  <si>
    <t>naive</t>
  </si>
  <si>
    <t>difficult</t>
  </si>
  <si>
    <t>alan</t>
  </si>
  <si>
    <t>kids</t>
  </si>
  <si>
    <t>genesis</t>
  </si>
  <si>
    <t>worm</t>
  </si>
  <si>
    <t>magnolia</t>
  </si>
  <si>
    <t>vacant</t>
  </si>
  <si>
    <t>running</t>
  </si>
  <si>
    <t>logic</t>
  </si>
  <si>
    <t>grand</t>
  </si>
  <si>
    <t>clause</t>
  </si>
  <si>
    <t>grenade</t>
  </si>
  <si>
    <t>liable</t>
  </si>
  <si>
    <t>hundred</t>
  </si>
  <si>
    <t>minnie</t>
  </si>
  <si>
    <t>loose</t>
  </si>
  <si>
    <t>transforms</t>
  </si>
  <si>
    <t>pushes</t>
  </si>
  <si>
    <t>idiots</t>
  </si>
  <si>
    <t>chinese</t>
  </si>
  <si>
    <t>liability</t>
  </si>
  <si>
    <t>holes</t>
  </si>
  <si>
    <t>dozen</t>
  </si>
  <si>
    <t>study</t>
  </si>
  <si>
    <t>lump</t>
  </si>
  <si>
    <t>slapping</t>
  </si>
  <si>
    <t>reach</t>
  </si>
  <si>
    <t>kidnapping</t>
  </si>
  <si>
    <t>pilot</t>
  </si>
  <si>
    <t>ice</t>
  </si>
  <si>
    <t>gaunt</t>
  </si>
  <si>
    <t>motionless</t>
  </si>
  <si>
    <t>grimly</t>
  </si>
  <si>
    <t>blend</t>
  </si>
  <si>
    <t>participant</t>
  </si>
  <si>
    <t>numb</t>
  </si>
  <si>
    <t>parking</t>
  </si>
  <si>
    <t>completes</t>
  </si>
  <si>
    <t>lights</t>
  </si>
  <si>
    <t>technological</t>
  </si>
  <si>
    <t>overview</t>
  </si>
  <si>
    <t>forces</t>
  </si>
  <si>
    <t>twice</t>
  </si>
  <si>
    <t>bored</t>
  </si>
  <si>
    <t>concentrating</t>
  </si>
  <si>
    <t>others</t>
  </si>
  <si>
    <t>vain</t>
  </si>
  <si>
    <t>speak</t>
  </si>
  <si>
    <t>unearthed</t>
  </si>
  <si>
    <t>wish</t>
  </si>
  <si>
    <t>:</t>
  </si>
  <si>
    <t>distinguished</t>
  </si>
  <si>
    <t>satisfactory</t>
  </si>
  <si>
    <t>weaker</t>
  </si>
  <si>
    <t>pie</t>
  </si>
  <si>
    <t>seizing</t>
  </si>
  <si>
    <t>welcome</t>
  </si>
  <si>
    <t>scoring</t>
  </si>
  <si>
    <t>cheat</t>
  </si>
  <si>
    <t>thoughtful</t>
  </si>
  <si>
    <t>die</t>
  </si>
  <si>
    <t>catalyst</t>
  </si>
  <si>
    <t>explosive</t>
  </si>
  <si>
    <t>drugs</t>
  </si>
  <si>
    <t>soon</t>
  </si>
  <si>
    <t>stepmother</t>
  </si>
  <si>
    <t>disastrous</t>
  </si>
  <si>
    <t>pulled</t>
  </si>
  <si>
    <t>distinguishing</t>
  </si>
  <si>
    <t>stripped</t>
  </si>
  <si>
    <t>bold</t>
  </si>
  <si>
    <t>bends</t>
  </si>
  <si>
    <t>playing</t>
  </si>
  <si>
    <t>milk</t>
  </si>
  <si>
    <t>transparency</t>
  </si>
  <si>
    <t>attracting</t>
  </si>
  <si>
    <t>effects</t>
  </si>
  <si>
    <t>effectiveness</t>
  </si>
  <si>
    <t>whole</t>
  </si>
  <si>
    <t>homosexual</t>
  </si>
  <si>
    <t>strong</t>
  </si>
  <si>
    <t>counts</t>
  </si>
  <si>
    <t>griffiths</t>
  </si>
  <si>
    <t>touches</t>
  </si>
  <si>
    <t>corners</t>
  </si>
  <si>
    <t>sophomore</t>
  </si>
  <si>
    <t>ability</t>
  </si>
  <si>
    <t>ineffective</t>
  </si>
  <si>
    <t>lovely</t>
  </si>
  <si>
    <t>raises</t>
  </si>
  <si>
    <t>rodriguez</t>
  </si>
  <si>
    <t>somewhat</t>
  </si>
  <si>
    <t>1940s</t>
  </si>
  <si>
    <t>palestinian</t>
  </si>
  <si>
    <t>error</t>
  </si>
  <si>
    <t>recalls</t>
  </si>
  <si>
    <t>flavor</t>
  </si>
  <si>
    <t>prophet</t>
  </si>
  <si>
    <t>flickering</t>
  </si>
  <si>
    <t>deficit</t>
  </si>
  <si>
    <t>warmth</t>
  </si>
  <si>
    <t>emerging</t>
  </si>
  <si>
    <t>cutting</t>
  </si>
  <si>
    <t>midway</t>
  </si>
  <si>
    <t>arrogant</t>
  </si>
  <si>
    <t>african</t>
  </si>
  <si>
    <t>reality</t>
  </si>
  <si>
    <t>lower</t>
  </si>
  <si>
    <t>beaches</t>
  </si>
  <si>
    <t>bounds</t>
  </si>
  <si>
    <t>weaponry</t>
  </si>
  <si>
    <t>lightweight</t>
  </si>
  <si>
    <t>swallowing</t>
  </si>
  <si>
    <t>talent</t>
  </si>
  <si>
    <t>leaps</t>
  </si>
  <si>
    <t>dungeons</t>
  </si>
  <si>
    <t>contributions</t>
  </si>
  <si>
    <t>bar</t>
  </si>
  <si>
    <t>abbreviated</t>
  </si>
  <si>
    <t>living</t>
  </si>
  <si>
    <t>etc</t>
  </si>
  <si>
    <t>definitions</t>
  </si>
  <si>
    <t>flopped</t>
  </si>
  <si>
    <t>enjoy</t>
  </si>
  <si>
    <t>clipped</t>
  </si>
  <si>
    <t>depths</t>
  </si>
  <si>
    <t>matter</t>
  </si>
  <si>
    <t>weighs</t>
  </si>
  <si>
    <t>dissolution</t>
  </si>
  <si>
    <t>offerings</t>
  </si>
  <si>
    <t>shaking</t>
  </si>
  <si>
    <t>visions</t>
  </si>
  <si>
    <t>quartet</t>
  </si>
  <si>
    <t>dramatic</t>
  </si>
  <si>
    <t>either</t>
  </si>
  <si>
    <t>sake</t>
  </si>
  <si>
    <t>respects</t>
  </si>
  <si>
    <t>beyond</t>
  </si>
  <si>
    <t>referencing</t>
  </si>
  <si>
    <t>longer</t>
  </si>
  <si>
    <t>sentimental</t>
  </si>
  <si>
    <t>ensures</t>
  </si>
  <si>
    <t>transporting</t>
  </si>
  <si>
    <t>sets</t>
  </si>
  <si>
    <t>buy</t>
  </si>
  <si>
    <t>assumes</t>
  </si>
  <si>
    <t>hastily</t>
  </si>
  <si>
    <t>sentence</t>
  </si>
  <si>
    <t>bombs</t>
  </si>
  <si>
    <t>woman</t>
  </si>
  <si>
    <t>case</t>
  </si>
  <si>
    <t>machine</t>
  </si>
  <si>
    <t>subjects</t>
  </si>
  <si>
    <t>try</t>
  </si>
  <si>
    <t>fights</t>
  </si>
  <si>
    <t>significantly</t>
  </si>
  <si>
    <t>undone</t>
  </si>
  <si>
    <t>insults</t>
  </si>
  <si>
    <t>teen</t>
  </si>
  <si>
    <t>seen</t>
  </si>
  <si>
    <t>nicholson</t>
  </si>
  <si>
    <t>flick</t>
  </si>
  <si>
    <t>creeping</t>
  </si>
  <si>
    <t>entertaining</t>
  </si>
  <si>
    <t>loss</t>
  </si>
  <si>
    <t>oddly</t>
  </si>
  <si>
    <t>asks</t>
  </si>
  <si>
    <t>probably</t>
  </si>
  <si>
    <t>card</t>
  </si>
  <si>
    <t>earthly</t>
  </si>
  <si>
    <t>here</t>
  </si>
  <si>
    <t>beneath</t>
  </si>
  <si>
    <t>competition</t>
  </si>
  <si>
    <t>schizophrenia</t>
  </si>
  <si>
    <t>assembled</t>
  </si>
  <si>
    <t>gift</t>
  </si>
  <si>
    <t>sweeping</t>
  </si>
  <si>
    <t>goofy</t>
  </si>
  <si>
    <t>laughter</t>
  </si>
  <si>
    <t>brendan</t>
  </si>
  <si>
    <t>endeavors</t>
  </si>
  <si>
    <t>closely</t>
  </si>
  <si>
    <t>bright</t>
  </si>
  <si>
    <t>brink</t>
  </si>
  <si>
    <t>lizard</t>
  </si>
  <si>
    <t>pictures</t>
  </si>
  <si>
    <t>board</t>
  </si>
  <si>
    <t>anguish</t>
  </si>
  <si>
    <t>invention</t>
  </si>
  <si>
    <t>during</t>
  </si>
  <si>
    <t>radical</t>
  </si>
  <si>
    <t>drag</t>
  </si>
  <si>
    <t>showing</t>
  </si>
  <si>
    <t>bunch</t>
  </si>
  <si>
    <t>courageous</t>
  </si>
  <si>
    <t>allegiance</t>
  </si>
  <si>
    <t>dull</t>
  </si>
  <si>
    <t>attention</t>
  </si>
  <si>
    <t>backlash</t>
  </si>
  <si>
    <t>dash</t>
  </si>
  <si>
    <t>straightforward</t>
  </si>
  <si>
    <t>cut</t>
  </si>
  <si>
    <t>accomplished</t>
  </si>
  <si>
    <t>involved</t>
  </si>
  <si>
    <t>hair</t>
  </si>
  <si>
    <t>intersect</t>
  </si>
  <si>
    <t>thin</t>
  </si>
  <si>
    <t>today</t>
  </si>
  <si>
    <t>brutal</t>
  </si>
  <si>
    <t>rare</t>
  </si>
  <si>
    <t>draws</t>
  </si>
  <si>
    <t>traditionally</t>
  </si>
  <si>
    <t>root</t>
  </si>
  <si>
    <t>bits</t>
  </si>
  <si>
    <t>promises</t>
  </si>
  <si>
    <t>fails</t>
  </si>
  <si>
    <t>over</t>
  </si>
  <si>
    <t>supposed</t>
  </si>
  <si>
    <t>desperately</t>
  </si>
  <si>
    <t>bertrand</t>
  </si>
  <si>
    <t>markets</t>
  </si>
  <si>
    <t>absolutely</t>
  </si>
  <si>
    <t>winning</t>
  </si>
  <si>
    <t>strengths</t>
  </si>
  <si>
    <t>worth</t>
  </si>
  <si>
    <t>friends</t>
  </si>
  <si>
    <t>admission</t>
  </si>
  <si>
    <t>showcases</t>
  </si>
  <si>
    <t>typical</t>
  </si>
  <si>
    <t>famine</t>
  </si>
  <si>
    <t>antics</t>
  </si>
  <si>
    <t>frustrating</t>
  </si>
  <si>
    <t>puts</t>
  </si>
  <si>
    <t>disguised</t>
  </si>
  <si>
    <t>barrel</t>
  </si>
  <si>
    <t>trouble</t>
  </si>
  <si>
    <t>joel</t>
  </si>
  <si>
    <t>tension</t>
  </si>
  <si>
    <t>missed</t>
  </si>
  <si>
    <t>troubled</t>
  </si>
  <si>
    <t>miracles</t>
  </si>
  <si>
    <t>targeted</t>
  </si>
  <si>
    <t>stuck</t>
  </si>
  <si>
    <t>lewis</t>
  </si>
  <si>
    <t>results</t>
  </si>
  <si>
    <t>might</t>
  </si>
  <si>
    <t>doris</t>
  </si>
  <si>
    <t>extended</t>
  </si>
  <si>
    <t>cultivated</t>
  </si>
  <si>
    <t>perspective</t>
  </si>
  <si>
    <t>harder</t>
  </si>
  <si>
    <t>friend</t>
  </si>
  <si>
    <t>titus</t>
  </si>
  <si>
    <t>footage</t>
  </si>
  <si>
    <t>bullets</t>
  </si>
  <si>
    <t>ii</t>
  </si>
  <si>
    <t>her</t>
  </si>
  <si>
    <t>hardly</t>
  </si>
  <si>
    <t>deserves</t>
  </si>
  <si>
    <t>hooks</t>
  </si>
  <si>
    <t>dogs</t>
  </si>
  <si>
    <t>hussein</t>
  </si>
  <si>
    <t>documentary</t>
  </si>
  <si>
    <t>did</t>
  </si>
  <si>
    <t>oscar</t>
  </si>
  <si>
    <t>least</t>
  </si>
  <si>
    <t>scribe</t>
  </si>
  <si>
    <t>concludes</t>
  </si>
  <si>
    <t>souls</t>
  </si>
  <si>
    <t>special</t>
  </si>
  <si>
    <t>phone</t>
  </si>
  <si>
    <t>willis</t>
  </si>
  <si>
    <t>substances</t>
  </si>
  <si>
    <t>admire</t>
  </si>
  <si>
    <t>possible</t>
  </si>
  <si>
    <t>norton</t>
  </si>
  <si>
    <t>subjected</t>
  </si>
  <si>
    <t>test</t>
  </si>
  <si>
    <t>sleep</t>
  </si>
  <si>
    <t>jonah</t>
  </si>
  <si>
    <t>racism</t>
  </si>
  <si>
    <t>scattered</t>
  </si>
  <si>
    <t>humane</t>
  </si>
  <si>
    <t>freud</t>
  </si>
  <si>
    <t>fashion</t>
  </si>
  <si>
    <t>madness</t>
  </si>
  <si>
    <t>afford</t>
  </si>
  <si>
    <t>arts</t>
  </si>
  <si>
    <t>freddy</t>
  </si>
  <si>
    <t>pain</t>
  </si>
  <si>
    <t>standards</t>
  </si>
  <si>
    <t>moody</t>
  </si>
  <si>
    <t>graduated</t>
  </si>
  <si>
    <t>stream</t>
  </si>
  <si>
    <t>sign</t>
  </si>
  <si>
    <t>derived</t>
  </si>
  <si>
    <t>backseat</t>
  </si>
  <si>
    <t>decided</t>
  </si>
  <si>
    <t>tormented</t>
  </si>
  <si>
    <t>involving</t>
  </si>
  <si>
    <t>mess</t>
  </si>
  <si>
    <t>credibility</t>
  </si>
  <si>
    <t>someone</t>
  </si>
  <si>
    <t>solemn</t>
  </si>
  <si>
    <t>designed</t>
  </si>
  <si>
    <t>pbs</t>
  </si>
  <si>
    <t>nicely</t>
  </si>
  <si>
    <t>ticket</t>
  </si>
  <si>
    <t>him</t>
  </si>
  <si>
    <t>observations</t>
  </si>
  <si>
    <t>quentin</t>
  </si>
  <si>
    <t>dvd</t>
  </si>
  <si>
    <t>address</t>
  </si>
  <si>
    <t>endings</t>
  </si>
  <si>
    <t>filled</t>
  </si>
  <si>
    <t>gentle</t>
  </si>
  <si>
    <t>cumulative</t>
  </si>
  <si>
    <t>deals</t>
  </si>
  <si>
    <t>procedure</t>
  </si>
  <si>
    <t>ferrara</t>
  </si>
  <si>
    <t>doses</t>
  </si>
  <si>
    <t>hours</t>
  </si>
  <si>
    <t>painful</t>
  </si>
  <si>
    <t>abel</t>
  </si>
  <si>
    <t>working</t>
  </si>
  <si>
    <t>blue</t>
  </si>
  <si>
    <t>allows</t>
  </si>
  <si>
    <t>edited</t>
  </si>
  <si>
    <t>ride</t>
  </si>
  <si>
    <t>brown</t>
  </si>
  <si>
    <t>ourselves</t>
  </si>
  <si>
    <t>weighted</t>
  </si>
  <si>
    <t>simone</t>
  </si>
  <si>
    <t>crime</t>
  </si>
  <si>
    <t>makes</t>
  </si>
  <si>
    <t>reacting</t>
  </si>
  <si>
    <t>pantheon</t>
  </si>
  <si>
    <t>dark</t>
  </si>
  <si>
    <t>includes</t>
  </si>
  <si>
    <t>colorful</t>
  </si>
  <si>
    <t>add</t>
  </si>
  <si>
    <t>steven</t>
  </si>
  <si>
    <t>thinking</t>
  </si>
  <si>
    <t>hewitt</t>
  </si>
  <si>
    <t>context</t>
  </si>
  <si>
    <t>marvel</t>
  </si>
  <si>
    <t>happen</t>
  </si>
  <si>
    <t>vh1</t>
  </si>
  <si>
    <t>pulls</t>
  </si>
  <si>
    <t>conversation</t>
  </si>
  <si>
    <t>fantasy</t>
  </si>
  <si>
    <t>instead</t>
  </si>
  <si>
    <t>sheridan</t>
  </si>
  <si>
    <t>exposure</t>
  </si>
  <si>
    <t>ironically</t>
  </si>
  <si>
    <t>hip</t>
  </si>
  <si>
    <t>psychology</t>
  </si>
  <si>
    <t>result</t>
  </si>
  <si>
    <t>perhaps</t>
  </si>
  <si>
    <t>appropriated</t>
  </si>
  <si>
    <t>each</t>
  </si>
  <si>
    <t>renowned</t>
  </si>
  <si>
    <t>audiences</t>
  </si>
  <si>
    <t>person</t>
  </si>
  <si>
    <t>americans</t>
  </si>
  <si>
    <t>handsome</t>
  </si>
  <si>
    <t>sensitivity</t>
  </si>
  <si>
    <t>nerve</t>
  </si>
  <si>
    <t>aspirations</t>
  </si>
  <si>
    <t>strike</t>
  </si>
  <si>
    <t>garnered</t>
  </si>
  <si>
    <t>moonlight</t>
  </si>
  <si>
    <t>superhero</t>
  </si>
  <si>
    <t>technically</t>
  </si>
  <si>
    <t>execution</t>
  </si>
  <si>
    <t>sports</t>
  </si>
  <si>
    <t>sum</t>
  </si>
  <si>
    <t>tone</t>
  </si>
  <si>
    <t>pianist</t>
  </si>
  <si>
    <t>positive</t>
  </si>
  <si>
    <t>taste</t>
  </si>
  <si>
    <t>entity</t>
  </si>
  <si>
    <t>chase</t>
  </si>
  <si>
    <t>drink</t>
  </si>
  <si>
    <t>fore</t>
  </si>
  <si>
    <t>martha</t>
  </si>
  <si>
    <t>location</t>
  </si>
  <si>
    <t>acts</t>
  </si>
  <si>
    <t>rapid</t>
  </si>
  <si>
    <t>big</t>
  </si>
  <si>
    <t>represented</t>
  </si>
  <si>
    <t>gifted</t>
  </si>
  <si>
    <t>virtually</t>
  </si>
  <si>
    <t>praises</t>
  </si>
  <si>
    <t>anarchist</t>
  </si>
  <si>
    <t>contribution</t>
  </si>
  <si>
    <t>drive</t>
  </si>
  <si>
    <t>documentaries</t>
  </si>
  <si>
    <t>prom</t>
  </si>
  <si>
    <t>deeper</t>
  </si>
  <si>
    <t>stop</t>
  </si>
  <si>
    <t>mosque</t>
  </si>
  <si>
    <t>receives</t>
  </si>
  <si>
    <t>rug</t>
  </si>
  <si>
    <t>sylvie</t>
  </si>
  <si>
    <t>intense</t>
  </si>
  <si>
    <t>eponymous</t>
  </si>
  <si>
    <t>mysteries</t>
  </si>
  <si>
    <t>honest</t>
  </si>
  <si>
    <t>bit</t>
  </si>
  <si>
    <t>attackers</t>
  </si>
  <si>
    <t>tunes</t>
  </si>
  <si>
    <t>break</t>
  </si>
  <si>
    <t>juliette</t>
  </si>
  <si>
    <t>those</t>
  </si>
  <si>
    <t>yarn</t>
  </si>
  <si>
    <t>bio</t>
  </si>
  <si>
    <t>hero</t>
  </si>
  <si>
    <t>laurence</t>
  </si>
  <si>
    <t>punishment</t>
  </si>
  <si>
    <t>keeps</t>
  </si>
  <si>
    <t>totally</t>
  </si>
  <si>
    <t>hurt</t>
  </si>
  <si>
    <t>aboriginal</t>
  </si>
  <si>
    <t>wallet</t>
  </si>
  <si>
    <t>delightful</t>
  </si>
  <si>
    <t>grotesque</t>
  </si>
  <si>
    <t>pizza</t>
  </si>
  <si>
    <t>kwan</t>
  </si>
  <si>
    <t>seeing</t>
  </si>
  <si>
    <t>motion</t>
  </si>
  <si>
    <t>na</t>
  </si>
  <si>
    <t>ritchie</t>
  </si>
  <si>
    <t>versatile</t>
  </si>
  <si>
    <t>presents</t>
  </si>
  <si>
    <t>governmental</t>
  </si>
  <si>
    <t>otherwise</t>
  </si>
  <si>
    <t>disciplined</t>
  </si>
  <si>
    <t>appears</t>
  </si>
  <si>
    <t>trademark</t>
  </si>
  <si>
    <t>sweet</t>
  </si>
  <si>
    <t>item</t>
  </si>
  <si>
    <t>tightened</t>
  </si>
  <si>
    <t>toward</t>
  </si>
  <si>
    <t>accomplish</t>
  </si>
  <si>
    <t>dangerously</t>
  </si>
  <si>
    <t>ambrose</t>
  </si>
  <si>
    <t>indian</t>
  </si>
  <si>
    <t>cake</t>
  </si>
  <si>
    <t>sexes</t>
  </si>
  <si>
    <t>cleansing</t>
  </si>
  <si>
    <t>meat</t>
  </si>
  <si>
    <t>abdul</t>
  </si>
  <si>
    <t>malik</t>
  </si>
  <si>
    <t>layered</t>
  </si>
  <si>
    <t>store</t>
  </si>
  <si>
    <t>ernest</t>
  </si>
  <si>
    <t>journey</t>
  </si>
  <si>
    <t>giant</t>
  </si>
  <si>
    <t>abbott</t>
  </si>
  <si>
    <t>haute</t>
  </si>
  <si>
    <t>reflects</t>
  </si>
  <si>
    <t>remember</t>
  </si>
  <si>
    <t>improvised</t>
  </si>
  <si>
    <t>tick</t>
  </si>
  <si>
    <t>taboo</t>
  </si>
  <si>
    <t>enterprise</t>
  </si>
  <si>
    <t>mischievous</t>
  </si>
  <si>
    <t>spanning</t>
  </si>
  <si>
    <t>clear</t>
  </si>
  <si>
    <t>treats</t>
  </si>
  <si>
    <t>maybe</t>
  </si>
  <si>
    <t>evolution</t>
  </si>
  <si>
    <t>procedural</t>
  </si>
  <si>
    <t>tired</t>
  </si>
  <si>
    <t>assassination</t>
  </si>
  <si>
    <t>interior</t>
  </si>
  <si>
    <t>schneider</t>
  </si>
  <si>
    <t>scrutiny</t>
  </si>
  <si>
    <t>inspired</t>
  </si>
  <si>
    <t>fate</t>
  </si>
  <si>
    <t>attempt</t>
  </si>
  <si>
    <t>sisters</t>
  </si>
  <si>
    <t>escaped</t>
  </si>
  <si>
    <t>low</t>
  </si>
  <si>
    <t>close</t>
  </si>
  <si>
    <t>origins</t>
  </si>
  <si>
    <t>norwegian</t>
  </si>
  <si>
    <t>muttering</t>
  </si>
  <si>
    <t>load</t>
  </si>
  <si>
    <t>walked</t>
  </si>
  <si>
    <t>nba</t>
  </si>
  <si>
    <t>concepts</t>
  </si>
  <si>
    <t>intact</t>
  </si>
  <si>
    <t>frequently</t>
  </si>
  <si>
    <t>destination</t>
  </si>
  <si>
    <t>clint</t>
  </si>
  <si>
    <t>reminded</t>
  </si>
  <si>
    <t>copies</t>
  </si>
  <si>
    <t>narrator</t>
  </si>
  <si>
    <t>husband</t>
  </si>
  <si>
    <t>animation</t>
  </si>
  <si>
    <t>popular</t>
  </si>
  <si>
    <t>michele</t>
  </si>
  <si>
    <t>sadness</t>
  </si>
  <si>
    <t>beginning</t>
  </si>
  <si>
    <t>impossible</t>
  </si>
  <si>
    <t>page</t>
  </si>
  <si>
    <t>lola</t>
  </si>
  <si>
    <t>setup</t>
  </si>
  <si>
    <t>slightly</t>
  </si>
  <si>
    <t>balance</t>
  </si>
  <si>
    <t>duck</t>
  </si>
  <si>
    <t>distinctive</t>
  </si>
  <si>
    <t>exceptionally</t>
  </si>
  <si>
    <t>reversal</t>
  </si>
  <si>
    <t>humor</t>
  </si>
  <si>
    <t>pat</t>
  </si>
  <si>
    <t>kazan</t>
  </si>
  <si>
    <t>timeless</t>
  </si>
  <si>
    <t>moves</t>
  </si>
  <si>
    <t>desperate</t>
  </si>
  <si>
    <t>lunch</t>
  </si>
  <si>
    <t>hugely</t>
  </si>
  <si>
    <t>computer</t>
  </si>
  <si>
    <t>blown</t>
  </si>
  <si>
    <t>camera</t>
  </si>
  <si>
    <t>jackson</t>
  </si>
  <si>
    <t>visual</t>
  </si>
  <si>
    <t>realities</t>
  </si>
  <si>
    <t>tv</t>
  </si>
  <si>
    <t>itself</t>
  </si>
  <si>
    <t>harlem</t>
  </si>
  <si>
    <t>discipline</t>
  </si>
  <si>
    <t>chooses</t>
  </si>
  <si>
    <t>monty</t>
  </si>
  <si>
    <t>constantly</t>
  </si>
  <si>
    <t>aims</t>
  </si>
  <si>
    <t>enjoyable</t>
  </si>
  <si>
    <t>moral</t>
  </si>
  <si>
    <t>both</t>
  </si>
  <si>
    <t>etched</t>
  </si>
  <si>
    <t>purely</t>
  </si>
  <si>
    <t>symbols</t>
  </si>
  <si>
    <t>question</t>
  </si>
  <si>
    <t>adult</t>
  </si>
  <si>
    <t>wounds</t>
  </si>
  <si>
    <t>episodes</t>
  </si>
  <si>
    <t>green</t>
  </si>
  <si>
    <t>forster</t>
  </si>
  <si>
    <t>generation</t>
  </si>
  <si>
    <t>whose</t>
  </si>
  <si>
    <t>stroked</t>
  </si>
  <si>
    <t>accuracy</t>
  </si>
  <si>
    <t>suffering</t>
  </si>
  <si>
    <t>childhood</t>
  </si>
  <si>
    <t>posthumously</t>
  </si>
  <si>
    <t>democracy</t>
  </si>
  <si>
    <t>using</t>
  </si>
  <si>
    <t>screenings</t>
  </si>
  <si>
    <t>thanks</t>
  </si>
  <si>
    <t>scenario</t>
  </si>
  <si>
    <t>animals</t>
  </si>
  <si>
    <t>devotees</t>
  </si>
  <si>
    <t>unpleasant</t>
  </si>
  <si>
    <t>impressed</t>
  </si>
  <si>
    <t>needs</t>
  </si>
  <si>
    <t>bile</t>
  </si>
  <si>
    <t>grow</t>
  </si>
  <si>
    <t>surreal</t>
  </si>
  <si>
    <t>vampire</t>
  </si>
  <si>
    <t>hoping</t>
  </si>
  <si>
    <t>echoes</t>
  </si>
  <si>
    <t>determined</t>
  </si>
  <si>
    <t>money</t>
  </si>
  <si>
    <t>psychotic</t>
  </si>
  <si>
    <t>tragedy</t>
  </si>
  <si>
    <t>unnecessary</t>
  </si>
  <si>
    <t>generating</t>
  </si>
  <si>
    <t>elevated</t>
  </si>
  <si>
    <t>rendering</t>
  </si>
  <si>
    <t>providing</t>
  </si>
  <si>
    <t>cabins</t>
  </si>
  <si>
    <t>spell</t>
  </si>
  <si>
    <t>astronauts</t>
  </si>
  <si>
    <t>crippled</t>
  </si>
  <si>
    <t>dolls</t>
  </si>
  <si>
    <t>prescription</t>
  </si>
  <si>
    <t>anticipation</t>
  </si>
  <si>
    <t>clinic</t>
  </si>
  <si>
    <t>classification</t>
  </si>
  <si>
    <t>previously</t>
  </si>
  <si>
    <t>repetitive</t>
  </si>
  <si>
    <t>sabotage</t>
  </si>
  <si>
    <t>spite</t>
  </si>
  <si>
    <t>portuguese</t>
  </si>
  <si>
    <t>genuine</t>
  </si>
  <si>
    <t>excited</t>
  </si>
  <si>
    <t>tones</t>
  </si>
  <si>
    <t>topic</t>
  </si>
  <si>
    <t>live</t>
  </si>
  <si>
    <t>kendall</t>
  </si>
  <si>
    <t>dose</t>
  </si>
  <si>
    <t>lane</t>
  </si>
  <si>
    <t>heard</t>
  </si>
  <si>
    <t>scandal</t>
  </si>
  <si>
    <t>starring</t>
  </si>
  <si>
    <t>mythology</t>
  </si>
  <si>
    <t>baroque</t>
  </si>
  <si>
    <t>60s</t>
  </si>
  <si>
    <t>benefited</t>
  </si>
  <si>
    <t>begins</t>
  </si>
  <si>
    <t>dish</t>
  </si>
  <si>
    <t>hardship</t>
  </si>
  <si>
    <t>plight</t>
  </si>
  <si>
    <t>poverty</t>
  </si>
  <si>
    <t>previous</t>
  </si>
  <si>
    <t>wince</t>
  </si>
  <si>
    <t>persona</t>
  </si>
  <si>
    <t>optimistic</t>
  </si>
  <si>
    <t>yourself</t>
  </si>
  <si>
    <t>leaping</t>
  </si>
  <si>
    <t>comics</t>
  </si>
  <si>
    <t>search</t>
  </si>
  <si>
    <t>nicolas</t>
  </si>
  <si>
    <t>murder</t>
  </si>
  <si>
    <t>female</t>
  </si>
  <si>
    <t>practically</t>
  </si>
  <si>
    <t>confronting</t>
  </si>
  <si>
    <t>insistent</t>
  </si>
  <si>
    <t>behold</t>
  </si>
  <si>
    <t>reputation</t>
  </si>
  <si>
    <t>paranoia</t>
  </si>
  <si>
    <t>murphy</t>
  </si>
  <si>
    <t>queen</t>
  </si>
  <si>
    <t>eddie</t>
  </si>
  <si>
    <t>nearly</t>
  </si>
  <si>
    <t>stalked</t>
  </si>
  <si>
    <t>continues</t>
  </si>
  <si>
    <t>choose</t>
  </si>
  <si>
    <t>force</t>
  </si>
  <si>
    <t>price</t>
  </si>
  <si>
    <t>murders</t>
  </si>
  <si>
    <t>sugar</t>
  </si>
  <si>
    <t>evelyn</t>
  </si>
  <si>
    <t>writer</t>
  </si>
  <si>
    <t>endless</t>
  </si>
  <si>
    <t>sonny</t>
  </si>
  <si>
    <t>memoir</t>
  </si>
  <si>
    <t>wooden</t>
  </si>
  <si>
    <t>dynamic</t>
  </si>
  <si>
    <t>couple</t>
  </si>
  <si>
    <t>ultimately</t>
  </si>
  <si>
    <t>provoked</t>
  </si>
  <si>
    <t>aimed</t>
  </si>
  <si>
    <t>changing</t>
  </si>
  <si>
    <t>invited</t>
  </si>
  <si>
    <t>tenor</t>
  </si>
  <si>
    <t>seats</t>
  </si>
  <si>
    <t>splendid</t>
  </si>
  <si>
    <t>interaction</t>
  </si>
  <si>
    <t>rampant</t>
  </si>
  <si>
    <t>starting</t>
  </si>
  <si>
    <t>kingsley</t>
  </si>
  <si>
    <t>devoid</t>
  </si>
  <si>
    <t>basic</t>
  </si>
  <si>
    <t>girls</t>
  </si>
  <si>
    <t>rate</t>
  </si>
  <si>
    <t>developed</t>
  </si>
  <si>
    <t>process</t>
  </si>
  <si>
    <t>rhetoric</t>
  </si>
  <si>
    <t>players</t>
  </si>
  <si>
    <t>sketch</t>
  </si>
  <si>
    <t>haynes</t>
  </si>
  <si>
    <t>now</t>
  </si>
  <si>
    <t>vincent</t>
  </si>
  <si>
    <t>check</t>
  </si>
  <si>
    <t>wartime</t>
  </si>
  <si>
    <t>sweetheart</t>
  </si>
  <si>
    <t>there</t>
  </si>
  <si>
    <t>surprising</t>
  </si>
  <si>
    <t>required</t>
  </si>
  <si>
    <t>hannibal</t>
  </si>
  <si>
    <t>reckless</t>
  </si>
  <si>
    <t>bollywood</t>
  </si>
  <si>
    <t>until</t>
  </si>
  <si>
    <t>unlike</t>
  </si>
  <si>
    <t>dates</t>
  </si>
  <si>
    <t>monsoon</t>
  </si>
  <si>
    <t>checking</t>
  </si>
  <si>
    <t>sex</t>
  </si>
  <si>
    <t>dollar</t>
  </si>
  <si>
    <t>turbulent</t>
  </si>
  <si>
    <t>recommendation</t>
  </si>
  <si>
    <t>searching</t>
  </si>
  <si>
    <t>egypt</t>
  </si>
  <si>
    <t>modern</t>
  </si>
  <si>
    <t>jacket</t>
  </si>
  <si>
    <t>homicide</t>
  </si>
  <si>
    <t>transformation</t>
  </si>
  <si>
    <t>widow</t>
  </si>
  <si>
    <t>sexual</t>
  </si>
  <si>
    <t>focused</t>
  </si>
  <si>
    <t>understands</t>
  </si>
  <si>
    <t>gear</t>
  </si>
  <si>
    <t>walt</t>
  </si>
  <si>
    <t>towards</t>
  </si>
  <si>
    <t>overlapping</t>
  </si>
  <si>
    <t>desperation</t>
  </si>
  <si>
    <t>delivered</t>
  </si>
  <si>
    <t>lean</t>
  </si>
  <si>
    <t>monumental</t>
  </si>
  <si>
    <t>seat</t>
  </si>
  <si>
    <t>gaining</t>
  </si>
  <si>
    <t>malcolm</t>
  </si>
  <si>
    <t>lived</t>
  </si>
  <si>
    <t>attempts</t>
  </si>
  <si>
    <t>managed</t>
  </si>
  <si>
    <t>ridley</t>
  </si>
  <si>
    <t>deserve</t>
  </si>
  <si>
    <t>potato</t>
  </si>
  <si>
    <t>stupid</t>
  </si>
  <si>
    <t>poetic</t>
  </si>
  <si>
    <t>impression</t>
  </si>
  <si>
    <t>iran</t>
  </si>
  <si>
    <t>brilliance</t>
  </si>
  <si>
    <t>subconscious</t>
  </si>
  <si>
    <t>german</t>
  </si>
  <si>
    <t>facades</t>
  </si>
  <si>
    <t>guessing</t>
  </si>
  <si>
    <t>anchors</t>
  </si>
  <si>
    <t>rae</t>
  </si>
  <si>
    <t>finally</t>
  </si>
  <si>
    <t>ought</t>
  </si>
  <si>
    <t>cheap</t>
  </si>
  <si>
    <t>patting</t>
  </si>
  <si>
    <t>norma</t>
  </si>
  <si>
    <t>seizures</t>
  </si>
  <si>
    <t>struggling</t>
  </si>
  <si>
    <t>hicks</t>
  </si>
  <si>
    <t>miserable</t>
  </si>
  <si>
    <t>pointed</t>
  </si>
  <si>
    <t>wherein</t>
  </si>
  <si>
    <t>christian</t>
  </si>
  <si>
    <t>chronicle</t>
  </si>
  <si>
    <t>thoroughly</t>
  </si>
  <si>
    <t>political</t>
  </si>
  <si>
    <t>vaudeville</t>
  </si>
  <si>
    <t>ian</t>
  </si>
  <si>
    <t>corruption</t>
  </si>
  <si>
    <t>parker</t>
  </si>
  <si>
    <t>minds</t>
  </si>
  <si>
    <t>pace</t>
  </si>
  <si>
    <t>natural</t>
  </si>
  <si>
    <t>justice</t>
  </si>
  <si>
    <t>celebrated</t>
  </si>
  <si>
    <t>monster</t>
  </si>
  <si>
    <t>serials</t>
  </si>
  <si>
    <t>thrown</t>
  </si>
  <si>
    <t>boot</t>
  </si>
  <si>
    <t>jolted</t>
  </si>
  <si>
    <t>appeal</t>
  </si>
  <si>
    <t>equivalent</t>
  </si>
  <si>
    <t>slender</t>
  </si>
  <si>
    <t>judd</t>
  </si>
  <si>
    <t>darker</t>
  </si>
  <si>
    <t>truth</t>
  </si>
  <si>
    <t>freeman</t>
  </si>
  <si>
    <t>watch</t>
  </si>
  <si>
    <t>masculine</t>
  </si>
  <si>
    <t>inherent</t>
  </si>
  <si>
    <t>fish</t>
  </si>
  <si>
    <t>seeking</t>
  </si>
  <si>
    <t>bubble</t>
  </si>
  <si>
    <t>hawk</t>
  </si>
  <si>
    <t>baird</t>
  </si>
  <si>
    <t>generated</t>
  </si>
  <si>
    <t>potential</t>
  </si>
  <si>
    <t>none</t>
  </si>
  <si>
    <t>extant</t>
  </si>
  <si>
    <t>ghosts</t>
  </si>
  <si>
    <t>characterized</t>
  </si>
  <si>
    <t>sister</t>
  </si>
  <si>
    <t>paranoid</t>
  </si>
  <si>
    <t>claim</t>
  </si>
  <si>
    <t>suitable</t>
  </si>
  <si>
    <t>heavy</t>
  </si>
  <si>
    <t>resist</t>
  </si>
  <si>
    <t>wednesday</t>
  </si>
  <si>
    <t>menace</t>
  </si>
  <si>
    <t>magic</t>
  </si>
  <si>
    <t>manifesto</t>
  </si>
  <si>
    <t>spirit</t>
  </si>
  <si>
    <t>device</t>
  </si>
  <si>
    <t>topical</t>
  </si>
  <si>
    <t>cynical</t>
  </si>
  <si>
    <t>medium</t>
  </si>
  <si>
    <t>wanderers</t>
  </si>
  <si>
    <t>finely</t>
  </si>
  <si>
    <t>equilibrium</t>
  </si>
  <si>
    <t>olympic</t>
  </si>
  <si>
    <t>cartoons</t>
  </si>
  <si>
    <t>rings</t>
  </si>
  <si>
    <t>guys</t>
  </si>
  <si>
    <t>straight</t>
  </si>
  <si>
    <t>won</t>
  </si>
  <si>
    <t>sprawling</t>
  </si>
  <si>
    <t>cover</t>
  </si>
  <si>
    <t>master</t>
  </si>
  <si>
    <t>opening</t>
  </si>
  <si>
    <t>belongs</t>
  </si>
  <si>
    <t>amassed</t>
  </si>
  <si>
    <t>start</t>
  </si>
  <si>
    <t>curiously</t>
  </si>
  <si>
    <t>linger</t>
  </si>
  <si>
    <t>luther</t>
  </si>
  <si>
    <t>floating</t>
  </si>
  <si>
    <t>characterization</t>
  </si>
  <si>
    <t>triangle</t>
  </si>
  <si>
    <t>transition</t>
  </si>
  <si>
    <t>writing</t>
  </si>
  <si>
    <t>doctorate</t>
  </si>
  <si>
    <t>bermuda</t>
  </si>
  <si>
    <t>stage</t>
  </si>
  <si>
    <t>plays</t>
  </si>
  <si>
    <t>floor</t>
  </si>
  <si>
    <t>telescope</t>
  </si>
  <si>
    <t>drowned</t>
  </si>
  <si>
    <t>screen</t>
  </si>
  <si>
    <t>testament</t>
  </si>
  <si>
    <t>areas</t>
  </si>
  <si>
    <t>analytical</t>
  </si>
  <si>
    <t>finest</t>
  </si>
  <si>
    <t>smoking</t>
  </si>
  <si>
    <t>report</t>
  </si>
  <si>
    <t>jones</t>
  </si>
  <si>
    <t>heights</t>
  </si>
  <si>
    <t>undertaking</t>
  </si>
  <si>
    <t>reel</t>
  </si>
  <si>
    <t>shapes</t>
  </si>
  <si>
    <t>exciting</t>
  </si>
  <si>
    <t>secrets</t>
  </si>
  <si>
    <t>leads</t>
  </si>
  <si>
    <t>refusing</t>
  </si>
  <si>
    <t>barrels</t>
  </si>
  <si>
    <t>decades</t>
  </si>
  <si>
    <t>loses</t>
  </si>
  <si>
    <t>fighting</t>
  </si>
  <si>
    <t>wilde</t>
  </si>
  <si>
    <t>professor</t>
  </si>
  <si>
    <t>creativity</t>
  </si>
  <si>
    <t>equal</t>
  </si>
  <si>
    <t>empowerment</t>
  </si>
  <si>
    <t>heal</t>
  </si>
  <si>
    <t>sham</t>
  </si>
  <si>
    <t>pun</t>
  </si>
  <si>
    <t>murderer</t>
  </si>
  <si>
    <t>barney</t>
  </si>
  <si>
    <t>foundation</t>
  </si>
  <si>
    <t>ideally</t>
  </si>
  <si>
    <t>legacy</t>
  </si>
  <si>
    <t>pleasing</t>
  </si>
  <si>
    <t>hurley</t>
  </si>
  <si>
    <t>indication</t>
  </si>
  <si>
    <t>passions</t>
  </si>
  <si>
    <t>purpose</t>
  </si>
  <si>
    <t>objective</t>
  </si>
  <si>
    <t>nor</t>
  </si>
  <si>
    <t>growth</t>
  </si>
  <si>
    <t>fulfill</t>
  </si>
  <si>
    <t>commercial</t>
  </si>
  <si>
    <t>theaters</t>
  </si>
  <si>
    <t>middle</t>
  </si>
  <si>
    <t>leave</t>
  </si>
  <si>
    <t>competent</t>
  </si>
  <si>
    <t>arms</t>
  </si>
  <si>
    <t>painted</t>
  </si>
  <si>
    <t>glorious</t>
  </si>
  <si>
    <t>legs</t>
  </si>
  <si>
    <t>mayhem</t>
  </si>
  <si>
    <t>roster</t>
  </si>
  <si>
    <t>added</t>
  </si>
  <si>
    <t>misses</t>
  </si>
  <si>
    <t>kathryn</t>
  </si>
  <si>
    <t>leaves</t>
  </si>
  <si>
    <t>call</t>
  </si>
  <si>
    <t>velocity</t>
  </si>
  <si>
    <t>whatever</t>
  </si>
  <si>
    <t>allow</t>
  </si>
  <si>
    <t>hundreds</t>
  </si>
  <si>
    <t>ryder</t>
  </si>
  <si>
    <t>strangely</t>
  </si>
  <si>
    <t>nominated</t>
  </si>
  <si>
    <t>violent</t>
  </si>
  <si>
    <t>brought</t>
  </si>
  <si>
    <t>boy</t>
  </si>
  <si>
    <t>pokemon</t>
  </si>
  <si>
    <t>chance</t>
  </si>
  <si>
    <t>economics</t>
  </si>
  <si>
    <t>stories</t>
  </si>
  <si>
    <t>indie</t>
  </si>
  <si>
    <t>followers</t>
  </si>
  <si>
    <t>surface</t>
  </si>
  <si>
    <t>cheese</t>
  </si>
  <si>
    <t>coupling</t>
  </si>
  <si>
    <t>stupidity</t>
  </si>
  <si>
    <t>square</t>
  </si>
  <si>
    <t>substantive</t>
  </si>
  <si>
    <t>binary</t>
  </si>
  <si>
    <t>teacher</t>
  </si>
  <si>
    <t>shapiro</t>
  </si>
  <si>
    <t>freaks</t>
  </si>
  <si>
    <t>goldman</t>
  </si>
  <si>
    <t>anatomical</t>
  </si>
  <si>
    <t>means</t>
  </si>
  <si>
    <t>rely</t>
  </si>
  <si>
    <t>demanding</t>
  </si>
  <si>
    <t>situation</t>
  </si>
  <si>
    <t>minute</t>
  </si>
  <si>
    <t>growing</t>
  </si>
  <si>
    <t>relic</t>
  </si>
  <si>
    <t>majors</t>
  </si>
  <si>
    <t>responsible</t>
  </si>
  <si>
    <t>inspire</t>
  </si>
  <si>
    <t>forget</t>
  </si>
  <si>
    <t>turks</t>
  </si>
  <si>
    <t>governments</t>
  </si>
  <si>
    <t>darkness</t>
  </si>
  <si>
    <t>painfully</t>
  </si>
  <si>
    <t>realize</t>
  </si>
  <si>
    <t>wryly</t>
  </si>
  <si>
    <t>god</t>
  </si>
  <si>
    <t>structure</t>
  </si>
  <si>
    <t>outline</t>
  </si>
  <si>
    <t>memorial</t>
  </si>
  <si>
    <t>unlikely</t>
  </si>
  <si>
    <t>hanging</t>
  </si>
  <si>
    <t>kramer</t>
  </si>
  <si>
    <t>wrong</t>
  </si>
  <si>
    <t>unexpectedly</t>
  </si>
  <si>
    <t>obstacles</t>
  </si>
  <si>
    <t>section</t>
  </si>
  <si>
    <t>undertaken</t>
  </si>
  <si>
    <t>aisles</t>
  </si>
  <si>
    <t>*</t>
  </si>
  <si>
    <t>pipeline</t>
  </si>
  <si>
    <t>romantic</t>
  </si>
  <si>
    <t>inspiring</t>
  </si>
  <si>
    <t>unified</t>
  </si>
  <si>
    <t>hitch</t>
  </si>
  <si>
    <t>tossed</t>
  </si>
  <si>
    <t>narrow</t>
  </si>
  <si>
    <t>libretto</t>
  </si>
  <si>
    <t>awe</t>
  </si>
  <si>
    <t>consequences</t>
  </si>
  <si>
    <t>signs</t>
  </si>
  <si>
    <t>shivers</t>
  </si>
  <si>
    <t>wan</t>
  </si>
  <si>
    <t>visually</t>
  </si>
  <si>
    <t>space</t>
  </si>
  <si>
    <t>lynne</t>
  </si>
  <si>
    <t>delight</t>
  </si>
  <si>
    <t>converts</t>
  </si>
  <si>
    <t>yale</t>
  </si>
  <si>
    <t>bride</t>
  </si>
  <si>
    <t>spawned</t>
  </si>
  <si>
    <t>bond</t>
  </si>
  <si>
    <t>polished</t>
  </si>
  <si>
    <t>clare</t>
  </si>
  <si>
    <t>constant</t>
  </si>
  <si>
    <t>points</t>
  </si>
  <si>
    <t>scope</t>
  </si>
  <si>
    <t>alfred</t>
  </si>
  <si>
    <t>retaining</t>
  </si>
  <si>
    <t>trace</t>
  </si>
  <si>
    <t>source</t>
  </si>
  <si>
    <t>hot</t>
  </si>
  <si>
    <t>hitchcock</t>
  </si>
  <si>
    <t>menacing</t>
  </si>
  <si>
    <t>debt</t>
  </si>
  <si>
    <t>spanish</t>
  </si>
  <si>
    <t>bears</t>
  </si>
  <si>
    <t>laughed</t>
  </si>
  <si>
    <t>technology</t>
  </si>
  <si>
    <t>self</t>
  </si>
  <si>
    <t>titans</t>
  </si>
  <si>
    <t>adhere</t>
  </si>
  <si>
    <t>score</t>
  </si>
  <si>
    <t>status</t>
  </si>
  <si>
    <t>jolt</t>
  </si>
  <si>
    <t>frame</t>
  </si>
  <si>
    <t>identity</t>
  </si>
  <si>
    <t>barlow</t>
  </si>
  <si>
    <t>markedly</t>
  </si>
  <si>
    <t>winger</t>
  </si>
  <si>
    <t>broad</t>
  </si>
  <si>
    <t>damon</t>
  </si>
  <si>
    <t>practitioners</t>
  </si>
  <si>
    <t>turkey</t>
  </si>
  <si>
    <t>dozens</t>
  </si>
  <si>
    <t>relative</t>
  </si>
  <si>
    <t>cruelty</t>
  </si>
  <si>
    <t>block</t>
  </si>
  <si>
    <t>endangered</t>
  </si>
  <si>
    <t>herring</t>
  </si>
  <si>
    <t>humans</t>
  </si>
  <si>
    <t>fame</t>
  </si>
  <si>
    <t>ruse</t>
  </si>
  <si>
    <t>distant</t>
  </si>
  <si>
    <t>enjoys</t>
  </si>
  <si>
    <t>chaplin</t>
  </si>
  <si>
    <t>russian</t>
  </si>
  <si>
    <t>exhaustion</t>
  </si>
  <si>
    <t>reassuring</t>
  </si>
  <si>
    <t>featuring</t>
  </si>
  <si>
    <t>intricate</t>
  </si>
  <si>
    <t>refusal</t>
  </si>
  <si>
    <t>ups</t>
  </si>
  <si>
    <t>collection</t>
  </si>
  <si>
    <t>discoveries</t>
  </si>
  <si>
    <t>france</t>
  </si>
  <si>
    <t>inhabitants</t>
  </si>
  <si>
    <t>destined</t>
  </si>
  <si>
    <t>cope</t>
  </si>
  <si>
    <t>charismatic</t>
  </si>
  <si>
    <t>activism</t>
  </si>
  <si>
    <t>brothers</t>
  </si>
  <si>
    <t>fears</t>
  </si>
  <si>
    <t>serve</t>
  </si>
  <si>
    <t>walsh</t>
  </si>
  <si>
    <t>fisher</t>
  </si>
  <si>
    <t>feet</t>
  </si>
  <si>
    <t>mined</t>
  </si>
  <si>
    <t>mcgrath</t>
  </si>
  <si>
    <t>editing</t>
  </si>
  <si>
    <t>bucks</t>
  </si>
  <si>
    <t>odyssey</t>
  </si>
  <si>
    <t>strength</t>
  </si>
  <si>
    <t>sandwich</t>
  </si>
  <si>
    <t>mystical</t>
  </si>
  <si>
    <t>pieces</t>
  </si>
  <si>
    <t>directors</t>
  </si>
  <si>
    <t>returning</t>
  </si>
  <si>
    <t>collision</t>
  </si>
  <si>
    <t>empty</t>
  </si>
  <si>
    <t>base</t>
  </si>
  <si>
    <t>chong</t>
  </si>
  <si>
    <t>adding</t>
  </si>
  <si>
    <t>manipulating</t>
  </si>
  <si>
    <t>metropolis</t>
  </si>
  <si>
    <t>success</t>
  </si>
  <si>
    <t>creative</t>
  </si>
  <si>
    <t>richer</t>
  </si>
  <si>
    <t>herself</t>
  </si>
  <si>
    <t>hypothesis</t>
  </si>
  <si>
    <t>achieve</t>
  </si>
  <si>
    <t>unexpected</t>
  </si>
  <si>
    <t>elemental</t>
  </si>
  <si>
    <t>places</t>
  </si>
  <si>
    <t>wrestler</t>
  </si>
  <si>
    <t>discovering</t>
  </si>
  <si>
    <t>auto</t>
  </si>
  <si>
    <t>separation</t>
  </si>
  <si>
    <t>dream</t>
  </si>
  <si>
    <t>information</t>
  </si>
  <si>
    <t>radioactive</t>
  </si>
  <si>
    <t>lingering</t>
  </si>
  <si>
    <t>stiff</t>
  </si>
  <si>
    <t>whom</t>
  </si>
  <si>
    <t>development</t>
  </si>
  <si>
    <t>frustration</t>
  </si>
  <si>
    <t>casual</t>
  </si>
  <si>
    <t>demonic</t>
  </si>
  <si>
    <t>pleasure</t>
  </si>
  <si>
    <t>manners</t>
  </si>
  <si>
    <t>hades</t>
  </si>
  <si>
    <t>themes</t>
  </si>
  <si>
    <t>established</t>
  </si>
  <si>
    <t>convictions</t>
  </si>
  <si>
    <t>betrayal</t>
  </si>
  <si>
    <t>posing</t>
  </si>
  <si>
    <t>roberts</t>
  </si>
  <si>
    <t>ellen</t>
  </si>
  <si>
    <t>wants</t>
  </si>
  <si>
    <t>reading</t>
  </si>
  <si>
    <t>populace</t>
  </si>
  <si>
    <t>gradually</t>
  </si>
  <si>
    <t>guilty</t>
  </si>
  <si>
    <t>pow</t>
  </si>
  <si>
    <t>grasping</t>
  </si>
  <si>
    <t>miracle</t>
  </si>
  <si>
    <t>fallon</t>
  </si>
  <si>
    <t>resemble</t>
  </si>
  <si>
    <t>jolly</t>
  </si>
  <si>
    <t>fingers</t>
  </si>
  <si>
    <t>playstation</t>
  </si>
  <si>
    <t>vigorously</t>
  </si>
  <si>
    <t>distracting</t>
  </si>
  <si>
    <t>pay</t>
  </si>
  <si>
    <t>barbarian</t>
  </si>
  <si>
    <t>ethan</t>
  </si>
  <si>
    <t>improvisation</t>
  </si>
  <si>
    <t>historical</t>
  </si>
  <si>
    <t>sincere</t>
  </si>
  <si>
    <t>ago</t>
  </si>
  <si>
    <t>readily</t>
  </si>
  <si>
    <t>threatens</t>
  </si>
  <si>
    <t>certain</t>
  </si>
  <si>
    <t>slim</t>
  </si>
  <si>
    <t>hotel</t>
  </si>
  <si>
    <t>resentment</t>
  </si>
  <si>
    <t>ceremonies</t>
  </si>
  <si>
    <t>assured</t>
  </si>
  <si>
    <t>eating</t>
  </si>
  <si>
    <t>friday</t>
  </si>
  <si>
    <t>crises</t>
  </si>
  <si>
    <t>settle</t>
  </si>
  <si>
    <t>solid</t>
  </si>
  <si>
    <t>von</t>
  </si>
  <si>
    <t>nonsense</t>
  </si>
  <si>
    <t>angelina</t>
  </si>
  <si>
    <t>reminds</t>
  </si>
  <si>
    <t>market</t>
  </si>
  <si>
    <t>siegel</t>
  </si>
  <si>
    <t>fundamentally</t>
  </si>
  <si>
    <t>embarrassment</t>
  </si>
  <si>
    <t>diesel</t>
  </si>
  <si>
    <t>parochial</t>
  </si>
  <si>
    <t>skies</t>
  </si>
  <si>
    <t>uncomfortably</t>
  </si>
  <si>
    <t>norm</t>
  </si>
  <si>
    <t>prevents</t>
  </si>
  <si>
    <t>imaginative</t>
  </si>
  <si>
    <t>happens</t>
  </si>
  <si>
    <t>firing</t>
  </si>
  <si>
    <t>maintain</t>
  </si>
  <si>
    <t>license</t>
  </si>
  <si>
    <t>decommissioned</t>
  </si>
  <si>
    <t>heavily</t>
  </si>
  <si>
    <t>network</t>
  </si>
  <si>
    <t>trembling</t>
  </si>
  <si>
    <t>revolutionary</t>
  </si>
  <si>
    <t>useless</t>
  </si>
  <si>
    <t>passes</t>
  </si>
  <si>
    <t>pile</t>
  </si>
  <si>
    <t>commerce</t>
  </si>
  <si>
    <t>asphalt</t>
  </si>
  <si>
    <t>moment</t>
  </si>
  <si>
    <t>almost</t>
  </si>
  <si>
    <t>persecuted</t>
  </si>
  <si>
    <t>class</t>
  </si>
  <si>
    <t>longtime</t>
  </si>
  <si>
    <t>spiritual</t>
  </si>
  <si>
    <t>elements</t>
  </si>
  <si>
    <t>hint</t>
  </si>
  <si>
    <t>tolkien</t>
  </si>
  <si>
    <t>mood</t>
  </si>
  <si>
    <t>ages</t>
  </si>
  <si>
    <t>consciousness</t>
  </si>
  <si>
    <t>methodology</t>
  </si>
  <si>
    <t>stunt</t>
  </si>
  <si>
    <t>immediate</t>
  </si>
  <si>
    <t>somebody</t>
  </si>
  <si>
    <t>eastern</t>
  </si>
  <si>
    <t>hymn</t>
  </si>
  <si>
    <t>native</t>
  </si>
  <si>
    <t>servants</t>
  </si>
  <si>
    <t>foul</t>
  </si>
  <si>
    <t>wild</t>
  </si>
  <si>
    <t>inversion</t>
  </si>
  <si>
    <t>ferris</t>
  </si>
  <si>
    <t>swift</t>
  </si>
  <si>
    <t>worry</t>
  </si>
  <si>
    <t>wore</t>
  </si>
  <si>
    <t>narrated</t>
  </si>
  <si>
    <t>paints</t>
  </si>
  <si>
    <t>convince</t>
  </si>
  <si>
    <t>wonderful</t>
  </si>
  <si>
    <t>crafted</t>
  </si>
  <si>
    <t>alive</t>
  </si>
  <si>
    <t>landau</t>
  </si>
  <si>
    <t>aging</t>
  </si>
  <si>
    <t>liked</t>
  </si>
  <si>
    <t>germanic</t>
  </si>
  <si>
    <t>imagine</t>
  </si>
  <si>
    <t>instability</t>
  </si>
  <si>
    <t>interested</t>
  </si>
  <si>
    <t>electoral</t>
  </si>
  <si>
    <t>fairly</t>
  </si>
  <si>
    <t>edge</t>
  </si>
  <si>
    <t>reportedly</t>
  </si>
  <si>
    <t>job</t>
  </si>
  <si>
    <t>confusing</t>
  </si>
  <si>
    <t>treat</t>
  </si>
  <si>
    <t>merits</t>
  </si>
  <si>
    <t>ranks</t>
  </si>
  <si>
    <t>level</t>
  </si>
  <si>
    <t>gloss</t>
  </si>
  <si>
    <t>byzantine</t>
  </si>
  <si>
    <t>daughters</t>
  </si>
  <si>
    <t>barrie</t>
  </si>
  <si>
    <t>intentions</t>
  </si>
  <si>
    <t>created</t>
  </si>
  <si>
    <t>random</t>
  </si>
  <si>
    <t>percussion</t>
  </si>
  <si>
    <t>cultural</t>
  </si>
  <si>
    <t>ballot</t>
  </si>
  <si>
    <t>indifference</t>
  </si>
  <si>
    <t>integrating</t>
  </si>
  <si>
    <t>futuristic</t>
  </si>
  <si>
    <t>notwithstanding</t>
  </si>
  <si>
    <t>humorous</t>
  </si>
  <si>
    <t>circuit</t>
  </si>
  <si>
    <t>huskies</t>
  </si>
  <si>
    <t>maintains</t>
  </si>
  <si>
    <t>swept</t>
  </si>
  <si>
    <t>lad</t>
  </si>
  <si>
    <t>holds</t>
  </si>
  <si>
    <t>millennium</t>
  </si>
  <si>
    <t>suspect</t>
  </si>
  <si>
    <t>please</t>
  </si>
  <si>
    <t>grew</t>
  </si>
  <si>
    <t>mobility</t>
  </si>
  <si>
    <t>avid</t>
  </si>
  <si>
    <t>costumes</t>
  </si>
  <si>
    <t>latin</t>
  </si>
  <si>
    <t>eisenhower</t>
  </si>
  <si>
    <t>effect</t>
  </si>
  <si>
    <t>star</t>
  </si>
  <si>
    <t>grind</t>
  </si>
  <si>
    <t>interpreting</t>
  </si>
  <si>
    <t>sands</t>
  </si>
  <si>
    <t>johnny</t>
  </si>
  <si>
    <t>hispanic</t>
  </si>
  <si>
    <t>underworld</t>
  </si>
  <si>
    <t>sewage</t>
  </si>
  <si>
    <t>generic</t>
  </si>
  <si>
    <t>gangster</t>
  </si>
  <si>
    <t>tongue</t>
  </si>
  <si>
    <t>gifford</t>
  </si>
  <si>
    <t>randall</t>
  </si>
  <si>
    <t>shovel</t>
  </si>
  <si>
    <t>package</t>
  </si>
  <si>
    <t>dragons</t>
  </si>
  <si>
    <t>afraid</t>
  </si>
  <si>
    <t>precedent</t>
  </si>
  <si>
    <t>badly</t>
  </si>
  <si>
    <t>reign</t>
  </si>
  <si>
    <t>catastrophic</t>
  </si>
  <si>
    <t>smoothly</t>
  </si>
  <si>
    <t>bag</t>
  </si>
  <si>
    <t>pact</t>
  </si>
  <si>
    <t>perception</t>
  </si>
  <si>
    <t>myself</t>
  </si>
  <si>
    <t>truck</t>
  </si>
  <si>
    <t>disguise</t>
  </si>
  <si>
    <t>chips</t>
  </si>
  <si>
    <t>spike</t>
  </si>
  <si>
    <t>pornographic</t>
  </si>
  <si>
    <t>quinn</t>
  </si>
  <si>
    <t>spin</t>
  </si>
  <si>
    <t>frontal</t>
  </si>
  <si>
    <t>catches</t>
  </si>
  <si>
    <t>complicated</t>
  </si>
  <si>
    <t>dip</t>
  </si>
  <si>
    <t>bestowed</t>
  </si>
  <si>
    <t>notion</t>
  </si>
  <si>
    <t>corner</t>
  </si>
  <si>
    <t>reginald</t>
  </si>
  <si>
    <t>newcomer</t>
  </si>
  <si>
    <t>rat</t>
  </si>
  <si>
    <t>famous</t>
  </si>
  <si>
    <t>carmichael</t>
  </si>
  <si>
    <t>quarter</t>
  </si>
  <si>
    <t>crucial</t>
  </si>
  <si>
    <t>bigger</t>
  </si>
  <si>
    <t>victorious</t>
  </si>
  <si>
    <t>hunter</t>
  </si>
  <si>
    <t>aristocracy</t>
  </si>
  <si>
    <t>exiled</t>
  </si>
  <si>
    <t>raw</t>
  </si>
  <si>
    <t>70s</t>
  </si>
  <si>
    <t>lengthy</t>
  </si>
  <si>
    <t>hounds</t>
  </si>
  <si>
    <t>sack</t>
  </si>
  <si>
    <t>conflict</t>
  </si>
  <si>
    <t>fledgling</t>
  </si>
  <si>
    <t>advance</t>
  </si>
  <si>
    <t>battle</t>
  </si>
  <si>
    <t>scenic</t>
  </si>
  <si>
    <t>hell</t>
  </si>
  <si>
    <t>presiding</t>
  </si>
  <si>
    <t>shoulders</t>
  </si>
  <si>
    <t>macbeth</t>
  </si>
  <si>
    <t>key</t>
  </si>
  <si>
    <t>seventeen</t>
  </si>
  <si>
    <t>abandon</t>
  </si>
  <si>
    <t>lacks</t>
  </si>
  <si>
    <t>professionals</t>
  </si>
  <si>
    <t>withstand</t>
  </si>
  <si>
    <t>guaranteed</t>
  </si>
  <si>
    <t>suppression</t>
  </si>
  <si>
    <t>mundane</t>
  </si>
  <si>
    <t>rapids</t>
  </si>
  <si>
    <t>vibrant</t>
  </si>
  <si>
    <t>connect</t>
  </si>
  <si>
    <t>alone</t>
  </si>
  <si>
    <t>lds</t>
  </si>
  <si>
    <t>fake</t>
  </si>
  <si>
    <t>military</t>
  </si>
  <si>
    <t>probation</t>
  </si>
  <si>
    <t>toss</t>
  </si>
  <si>
    <t>fill</t>
  </si>
  <si>
    <t>mankind</t>
  </si>
  <si>
    <t>israeli</t>
  </si>
  <si>
    <t>interpretation</t>
  </si>
  <si>
    <t>afternoon</t>
  </si>
  <si>
    <t>wasp</t>
  </si>
  <si>
    <t>realizes</t>
  </si>
  <si>
    <t>weber</t>
  </si>
  <si>
    <t>beginnings</t>
  </si>
  <si>
    <t>assumption</t>
  </si>
  <si>
    <t>terrorism</t>
  </si>
  <si>
    <t>prime</t>
  </si>
  <si>
    <t>sociology</t>
  </si>
  <si>
    <t>unchanged</t>
  </si>
  <si>
    <t>obsession</t>
  </si>
  <si>
    <t>mountain</t>
  </si>
  <si>
    <t>gesturing</t>
  </si>
  <si>
    <t>restoring</t>
  </si>
  <si>
    <t>older</t>
  </si>
  <si>
    <t>hazy</t>
  </si>
  <si>
    <t>possibly</t>
  </si>
  <si>
    <t>debts</t>
  </si>
  <si>
    <t>combined</t>
  </si>
  <si>
    <t>wife</t>
  </si>
  <si>
    <t>tax</t>
  </si>
  <si>
    <t>window</t>
  </si>
  <si>
    <t>detachment</t>
  </si>
  <si>
    <t>evening</t>
  </si>
  <si>
    <t>compass</t>
  </si>
  <si>
    <t>salaries</t>
  </si>
  <si>
    <t>prism</t>
  </si>
  <si>
    <t>fare</t>
  </si>
  <si>
    <t>male</t>
  </si>
  <si>
    <t>karim</t>
  </si>
  <si>
    <t>inherently</t>
  </si>
  <si>
    <t>mitchell</t>
  </si>
  <si>
    <t>category</t>
  </si>
  <si>
    <t>hierarchy</t>
  </si>
  <si>
    <t>lush</t>
  </si>
  <si>
    <t>recognize</t>
  </si>
  <si>
    <t>sucker</t>
  </si>
  <si>
    <t>moat</t>
  </si>
  <si>
    <t>panic</t>
  </si>
  <si>
    <t>funky</t>
  </si>
  <si>
    <t>provincial</t>
  </si>
  <si>
    <t>manage</t>
  </si>
  <si>
    <t>stewart</t>
  </si>
  <si>
    <t>bourgeois</t>
  </si>
  <si>
    <t>accuse</t>
  </si>
  <si>
    <t>campbell</t>
  </si>
  <si>
    <t>mix</t>
  </si>
  <si>
    <t>contrasting</t>
  </si>
  <si>
    <t>kung</t>
  </si>
  <si>
    <t>then</t>
  </si>
  <si>
    <t>glass</t>
  </si>
  <si>
    <t>superman</t>
  </si>
  <si>
    <t>land</t>
  </si>
  <si>
    <t>personality</t>
  </si>
  <si>
    <t>lore</t>
  </si>
  <si>
    <t>counterparts</t>
  </si>
  <si>
    <t>fraser</t>
  </si>
  <si>
    <t>awakening</t>
  </si>
  <si>
    <t>colors</t>
  </si>
  <si>
    <t>terrorists</t>
  </si>
  <si>
    <t>obscure</t>
  </si>
  <si>
    <t>sides</t>
  </si>
  <si>
    <t>sara</t>
  </si>
  <si>
    <t>rooms</t>
  </si>
  <si>
    <t>pulling</t>
  </si>
  <si>
    <t>lets</t>
  </si>
  <si>
    <t>blade</t>
  </si>
  <si>
    <t>bother</t>
  </si>
  <si>
    <t>erotic</t>
  </si>
  <si>
    <t>delivering</t>
  </si>
  <si>
    <t>rest</t>
  </si>
  <si>
    <t>corbett</t>
  </si>
  <si>
    <t>uncanny</t>
  </si>
  <si>
    <t>elusive</t>
  </si>
  <si>
    <t>moan</t>
  </si>
  <si>
    <t>longing</t>
  </si>
  <si>
    <t>annex</t>
  </si>
  <si>
    <t>scares</t>
  </si>
  <si>
    <t>pointedly</t>
  </si>
  <si>
    <t>journalism</t>
  </si>
  <si>
    <t>stopped</t>
  </si>
  <si>
    <t>requiem</t>
  </si>
  <si>
    <t>critical</t>
  </si>
  <si>
    <t>hook</t>
  </si>
  <si>
    <t>outside</t>
  </si>
  <si>
    <t>mummy</t>
  </si>
  <si>
    <t>adherents</t>
  </si>
  <si>
    <t>scottish</t>
  </si>
  <si>
    <t>framework</t>
  </si>
  <si>
    <t>mouth</t>
  </si>
  <si>
    <t>complaint</t>
  </si>
  <si>
    <t>lullaby</t>
  </si>
  <si>
    <t>strained</t>
  </si>
  <si>
    <t>suited</t>
  </si>
  <si>
    <t>synagogue</t>
  </si>
  <si>
    <t>derives</t>
  </si>
  <si>
    <t>composition</t>
  </si>
  <si>
    <t>ate</t>
  </si>
  <si>
    <t>maguire</t>
  </si>
  <si>
    <t>orthodox</t>
  </si>
  <si>
    <t>promising</t>
  </si>
  <si>
    <t>obligations</t>
  </si>
  <si>
    <t>favor</t>
  </si>
  <si>
    <t>matched</t>
  </si>
  <si>
    <t>pearce</t>
  </si>
  <si>
    <t>recognizable</t>
  </si>
  <si>
    <t>martin</t>
  </si>
  <si>
    <t>field</t>
  </si>
  <si>
    <t>rappers</t>
  </si>
  <si>
    <t>mature</t>
  </si>
  <si>
    <t>visuals</t>
  </si>
  <si>
    <t>tour</t>
  </si>
  <si>
    <t>divisions</t>
  </si>
  <si>
    <t>ensuing</t>
  </si>
  <si>
    <t>lifelong</t>
  </si>
  <si>
    <t>host</t>
  </si>
  <si>
    <t>tnt</t>
  </si>
  <si>
    <t>loud</t>
  </si>
  <si>
    <t>thinks</t>
  </si>
  <si>
    <t>rolling</t>
  </si>
  <si>
    <t>contentious</t>
  </si>
  <si>
    <t>compliment</t>
  </si>
  <si>
    <t>configurations</t>
  </si>
  <si>
    <t>waste</t>
  </si>
  <si>
    <t>deeds</t>
  </si>
  <si>
    <t>ballistic</t>
  </si>
  <si>
    <t>positively</t>
  </si>
  <si>
    <t>artists</t>
  </si>
  <si>
    <t>innate</t>
  </si>
  <si>
    <t>sleeve</t>
  </si>
  <si>
    <t>teach</t>
  </si>
  <si>
    <t>springer</t>
  </si>
  <si>
    <t>wood</t>
  </si>
  <si>
    <t>enemies</t>
  </si>
  <si>
    <t>intimacy</t>
  </si>
  <si>
    <t>media</t>
  </si>
  <si>
    <t>theological</t>
  </si>
  <si>
    <t>intimate</t>
  </si>
  <si>
    <t>genres</t>
  </si>
  <si>
    <t>studios</t>
  </si>
  <si>
    <t>conceptual</t>
  </si>
  <si>
    <t>sentiments</t>
  </si>
  <si>
    <t>paper</t>
  </si>
  <si>
    <t>alexandre</t>
  </si>
  <si>
    <t>accident</t>
  </si>
  <si>
    <t>marina</t>
  </si>
  <si>
    <t>wishing</t>
  </si>
  <si>
    <t>alabama</t>
  </si>
  <si>
    <t>setting</t>
  </si>
  <si>
    <t>writings</t>
  </si>
  <si>
    <t>holly</t>
  </si>
  <si>
    <t>events</t>
  </si>
  <si>
    <t>jagger</t>
  </si>
  <si>
    <t>naturally</t>
  </si>
  <si>
    <t>lazy</t>
  </si>
  <si>
    <t>millions</t>
  </si>
  <si>
    <t>presented</t>
  </si>
  <si>
    <t>passionate</t>
  </si>
  <si>
    <t>afterlife</t>
  </si>
  <si>
    <t>stand</t>
  </si>
  <si>
    <t>fertility</t>
  </si>
  <si>
    <t>movements</t>
  </si>
  <si>
    <t>substantial</t>
  </si>
  <si>
    <t>express</t>
  </si>
  <si>
    <t>mitch</t>
  </si>
  <si>
    <t>neil</t>
  </si>
  <si>
    <t>spring</t>
  </si>
  <si>
    <t>andrei</t>
  </si>
  <si>
    <t>calls</t>
  </si>
  <si>
    <t>simple</t>
  </si>
  <si>
    <t>casualties</t>
  </si>
  <si>
    <t>particularly</t>
  </si>
  <si>
    <t>stick</t>
  </si>
  <si>
    <t>traces</t>
  </si>
  <si>
    <t>delivery</t>
  </si>
  <si>
    <t>purposes</t>
  </si>
  <si>
    <t>dawn</t>
  </si>
  <si>
    <t>china</t>
  </si>
  <si>
    <t>spells</t>
  </si>
  <si>
    <t>gasp</t>
  </si>
  <si>
    <t>retrospective</t>
  </si>
  <si>
    <t>warrior</t>
  </si>
  <si>
    <t>escape</t>
  </si>
  <si>
    <t>control</t>
  </si>
  <si>
    <t>cup</t>
  </si>
  <si>
    <t>paralyzed</t>
  </si>
  <si>
    <t>detail</t>
  </si>
  <si>
    <t>werner</t>
  </si>
  <si>
    <t>urgently</t>
  </si>
  <si>
    <t>arrogance</t>
  </si>
  <si>
    <t>brutality</t>
  </si>
  <si>
    <t>gasping</t>
  </si>
  <si>
    <t>knows</t>
  </si>
  <si>
    <t>dug</t>
  </si>
  <si>
    <t>measure</t>
  </si>
  <si>
    <t>alterations</t>
  </si>
  <si>
    <t>compositions</t>
  </si>
  <si>
    <t>workings</t>
  </si>
  <si>
    <t>vanity</t>
  </si>
  <si>
    <t>impetus</t>
  </si>
  <si>
    <t>castro</t>
  </si>
  <si>
    <t>depression</t>
  </si>
  <si>
    <t>move</t>
  </si>
  <si>
    <t>prologue</t>
  </si>
  <si>
    <t>abyss</t>
  </si>
  <si>
    <t>hoped</t>
  </si>
  <si>
    <t>antonia</t>
  </si>
  <si>
    <t>implies</t>
  </si>
  <si>
    <t>parts</t>
  </si>
  <si>
    <t>ear</t>
  </si>
  <si>
    <t>twist</t>
  </si>
  <si>
    <t>sees</t>
  </si>
  <si>
    <t>forest</t>
  </si>
  <si>
    <t>rudd</t>
  </si>
  <si>
    <t>blessed</t>
  </si>
  <si>
    <t>shadow</t>
  </si>
  <si>
    <t>inviting</t>
  </si>
  <si>
    <t>critically</t>
  </si>
  <si>
    <t>regain</t>
  </si>
  <si>
    <t>mafia</t>
  </si>
  <si>
    <t>nurses</t>
  </si>
  <si>
    <t>leigh</t>
  </si>
  <si>
    <t>laws</t>
  </si>
  <si>
    <t>layers</t>
  </si>
  <si>
    <t>daughter</t>
  </si>
  <si>
    <t>lucia</t>
  </si>
  <si>
    <t>manipulation</t>
  </si>
  <si>
    <t>heartbreak</t>
  </si>
  <si>
    <t>inferior</t>
  </si>
  <si>
    <t>blues</t>
  </si>
  <si>
    <t>schultz</t>
  </si>
  <si>
    <t>hughes</t>
  </si>
  <si>
    <t>australia</t>
  </si>
  <si>
    <t>sheds</t>
  </si>
  <si>
    <t>similarly</t>
  </si>
  <si>
    <t>venture</t>
  </si>
  <si>
    <t>partnerships</t>
  </si>
  <si>
    <t>terror</t>
  </si>
  <si>
    <t>aged</t>
  </si>
  <si>
    <t>horrific</t>
  </si>
  <si>
    <t>hop</t>
  </si>
  <si>
    <t>impressive</t>
  </si>
  <si>
    <t>strictly</t>
  </si>
  <si>
    <t>cuts</t>
  </si>
  <si>
    <t>confused</t>
  </si>
  <si>
    <t>mick</t>
  </si>
  <si>
    <t>between</t>
  </si>
  <si>
    <t>relate</t>
  </si>
  <si>
    <t>knock</t>
  </si>
  <si>
    <t>naval</t>
  </si>
  <si>
    <t>chilly</t>
  </si>
  <si>
    <t>task</t>
  </si>
  <si>
    <t>frightening</t>
  </si>
  <si>
    <t>gang</t>
  </si>
  <si>
    <t>surely</t>
  </si>
  <si>
    <t>buttons</t>
  </si>
  <si>
    <t>creating</t>
  </si>
  <si>
    <t>terrorist</t>
  </si>
  <si>
    <t>compassionate</t>
  </si>
  <si>
    <t>smaller</t>
  </si>
  <si>
    <t>autopsy</t>
  </si>
  <si>
    <t>rural</t>
  </si>
  <si>
    <t>gay</t>
  </si>
  <si>
    <t>fancy</t>
  </si>
  <si>
    <t>staying</t>
  </si>
  <si>
    <t>christmas</t>
  </si>
  <si>
    <t>neither</t>
  </si>
  <si>
    <t>existed</t>
  </si>
  <si>
    <t>cellular</t>
  </si>
  <si>
    <t>entertain</t>
  </si>
  <si>
    <t>necessarily</t>
  </si>
  <si>
    <t>limp</t>
  </si>
  <si>
    <t>mean</t>
  </si>
  <si>
    <t>mind</t>
  </si>
  <si>
    <t>roberto</t>
  </si>
  <si>
    <t>double</t>
  </si>
  <si>
    <t>sharp</t>
  </si>
  <si>
    <t>kicks</t>
  </si>
  <si>
    <t>produce</t>
  </si>
  <si>
    <t>horizons</t>
  </si>
  <si>
    <t>triple</t>
  </si>
  <si>
    <t>sleeper</t>
  </si>
  <si>
    <t>guest</t>
  </si>
  <si>
    <t>reminder</t>
  </si>
  <si>
    <t>credit</t>
  </si>
  <si>
    <t>retaliation</t>
  </si>
  <si>
    <t>mile</t>
  </si>
  <si>
    <t>depict</t>
  </si>
  <si>
    <t>bone</t>
  </si>
  <si>
    <t>productions</t>
  </si>
  <si>
    <t>pick</t>
  </si>
  <si>
    <t>allowed</t>
  </si>
  <si>
    <t>tortured</t>
  </si>
  <si>
    <t>curse</t>
  </si>
  <si>
    <t>cash</t>
  </si>
  <si>
    <t>projectile</t>
  </si>
  <si>
    <t>bid</t>
  </si>
  <si>
    <t>lives</t>
  </si>
  <si>
    <t>embedded</t>
  </si>
  <si>
    <t>civic</t>
  </si>
  <si>
    <t>delhi</t>
  </si>
  <si>
    <t>anyway</t>
  </si>
  <si>
    <t>gratitude</t>
  </si>
  <si>
    <t>sits</t>
  </si>
  <si>
    <t>elegance</t>
  </si>
  <si>
    <t>corrupt</t>
  </si>
  <si>
    <t>dreams</t>
  </si>
  <si>
    <t>bill</t>
  </si>
  <si>
    <t>satan</t>
  </si>
  <si>
    <t>kevin</t>
  </si>
  <si>
    <t>technique</t>
  </si>
  <si>
    <t>span</t>
  </si>
  <si>
    <t>khan</t>
  </si>
  <si>
    <t>prevalent</t>
  </si>
  <si>
    <t>errors</t>
  </si>
  <si>
    <t>sound</t>
  </si>
  <si>
    <t>wrath</t>
  </si>
  <si>
    <t>taylor</t>
  </si>
  <si>
    <t>colored</t>
  </si>
  <si>
    <t>settles</t>
  </si>
  <si>
    <t>remembering</t>
  </si>
  <si>
    <t>trick</t>
  </si>
  <si>
    <t>expectation</t>
  </si>
  <si>
    <t>vu</t>
  </si>
  <si>
    <t>encompasses</t>
  </si>
  <si>
    <t>fabric</t>
  </si>
  <si>
    <t>chelsea</t>
  </si>
  <si>
    <t>parents</t>
  </si>
  <si>
    <t>compressed</t>
  </si>
  <si>
    <t>sane</t>
  </si>
  <si>
    <t>wet</t>
  </si>
  <si>
    <t>convinced</t>
  </si>
  <si>
    <t>restrictive</t>
  </si>
  <si>
    <t>faulty</t>
  </si>
  <si>
    <t>lessons</t>
  </si>
  <si>
    <t>inconsistent</t>
  </si>
  <si>
    <t>lottery</t>
  </si>
  <si>
    <t>holiday</t>
  </si>
  <si>
    <t>cry</t>
  </si>
  <si>
    <t>chair</t>
  </si>
  <si>
    <t>ai</t>
  </si>
  <si>
    <t>inevitable</t>
  </si>
  <si>
    <t>entertained</t>
  </si>
  <si>
    <t>incarnation</t>
  </si>
  <si>
    <t>hail</t>
  </si>
  <si>
    <t>bela</t>
  </si>
  <si>
    <t>brief</t>
  </si>
  <si>
    <t>shelf</t>
  </si>
  <si>
    <t>indians</t>
  </si>
  <si>
    <t>ambition</t>
  </si>
  <si>
    <t>goods</t>
  </si>
  <si>
    <t>circle</t>
  </si>
  <si>
    <t>roles</t>
  </si>
  <si>
    <t>example</t>
  </si>
  <si>
    <t>shaken</t>
  </si>
  <si>
    <t>patient</t>
  </si>
  <si>
    <t>suggest</t>
  </si>
  <si>
    <t>via</t>
  </si>
  <si>
    <t>presentation</t>
  </si>
  <si>
    <t>tattoo</t>
  </si>
  <si>
    <t>harris</t>
  </si>
  <si>
    <t>possesses</t>
  </si>
  <si>
    <t>timely</t>
  </si>
  <si>
    <t>mask</t>
  </si>
  <si>
    <t>donovan</t>
  </si>
  <si>
    <t>brand</t>
  </si>
  <si>
    <t>professors</t>
  </si>
  <si>
    <t>aesthetics</t>
  </si>
  <si>
    <t>movie</t>
  </si>
  <si>
    <t>contradiction</t>
  </si>
  <si>
    <t>vietnam</t>
  </si>
  <si>
    <t>crack</t>
  </si>
  <si>
    <t>searing</t>
  </si>
  <si>
    <t>tolerate</t>
  </si>
  <si>
    <t>despair</t>
  </si>
  <si>
    <t>movies</t>
  </si>
  <si>
    <t>fearless</t>
  </si>
  <si>
    <t>accessible</t>
  </si>
  <si>
    <t>adventure</t>
  </si>
  <si>
    <t>knees</t>
  </si>
  <si>
    <t>theater</t>
  </si>
  <si>
    <t>cool</t>
  </si>
  <si>
    <t>audience</t>
  </si>
  <si>
    <t>tug</t>
  </si>
  <si>
    <t>immersed</t>
  </si>
  <si>
    <t>gender</t>
  </si>
  <si>
    <t>overrun</t>
  </si>
  <si>
    <t>upper</t>
  </si>
  <si>
    <t>splash</t>
  </si>
  <si>
    <t>warning</t>
  </si>
  <si>
    <t>arnold</t>
  </si>
  <si>
    <t>movement</t>
  </si>
  <si>
    <t>provides</t>
  </si>
  <si>
    <t>combat</t>
  </si>
  <si>
    <t>popcorn</t>
  </si>
  <si>
    <t>enthusiasm</t>
  </si>
  <si>
    <t>lion</t>
  </si>
  <si>
    <t>teddy</t>
  </si>
  <si>
    <t>zombie</t>
  </si>
  <si>
    <t>jump</t>
  </si>
  <si>
    <t>likes</t>
  </si>
  <si>
    <t>hitting</t>
  </si>
  <si>
    <t>shoot</t>
  </si>
  <si>
    <t>celebrity</t>
  </si>
  <si>
    <t>modest</t>
  </si>
  <si>
    <t>raise</t>
  </si>
  <si>
    <t>skin</t>
  </si>
  <si>
    <t>matthew</t>
  </si>
  <si>
    <t>bones</t>
  </si>
  <si>
    <t>rumor</t>
  </si>
  <si>
    <t>develop</t>
  </si>
  <si>
    <t>element</t>
  </si>
  <si>
    <t>language</t>
  </si>
  <si>
    <t>highway</t>
  </si>
  <si>
    <t>collective</t>
  </si>
  <si>
    <t>contributed</t>
  </si>
  <si>
    <t>singles</t>
  </si>
  <si>
    <t>directions</t>
  </si>
  <si>
    <t>levy</t>
  </si>
  <si>
    <t>blockbuster</t>
  </si>
  <si>
    <t>seriousness</t>
  </si>
  <si>
    <t>fireworks</t>
  </si>
  <si>
    <t>struggles</t>
  </si>
  <si>
    <t>brains</t>
  </si>
  <si>
    <t>rates</t>
  </si>
  <si>
    <t>ill</t>
  </si>
  <si>
    <t>instinct</t>
  </si>
  <si>
    <t>lobby</t>
  </si>
  <si>
    <t>routine</t>
  </si>
  <si>
    <t>upon</t>
  </si>
  <si>
    <t>wesley</t>
  </si>
  <si>
    <t>drastic</t>
  </si>
  <si>
    <t>handled</t>
  </si>
  <si>
    <t>pronounced</t>
  </si>
  <si>
    <t>mistress</t>
  </si>
  <si>
    <t>illness</t>
  </si>
  <si>
    <t>shower</t>
  </si>
  <si>
    <t>canadians</t>
  </si>
  <si>
    <t>noise</t>
  </si>
  <si>
    <t>calculated</t>
  </si>
  <si>
    <t>liberal</t>
  </si>
  <si>
    <t>suffer</t>
  </si>
  <si>
    <t>shore</t>
  </si>
  <si>
    <t>coming</t>
  </si>
  <si>
    <t>portraying</t>
  </si>
  <si>
    <t>shake</t>
  </si>
  <si>
    <t>operational</t>
  </si>
  <si>
    <t>clouds</t>
  </si>
  <si>
    <t>wholly</t>
  </si>
  <si>
    <t>pack</t>
  </si>
  <si>
    <t>neatly</t>
  </si>
  <si>
    <t>measured</t>
  </si>
  <si>
    <t>unique</t>
  </si>
  <si>
    <t>junk</t>
  </si>
  <si>
    <t>possibilities</t>
  </si>
  <si>
    <t>ready</t>
  </si>
  <si>
    <t>expecting</t>
  </si>
  <si>
    <t>ache</t>
  </si>
  <si>
    <t>basically</t>
  </si>
  <si>
    <t>finding</t>
  </si>
  <si>
    <t>permits</t>
  </si>
  <si>
    <t>enter</t>
  </si>
  <si>
    <t>distinctly</t>
  </si>
  <si>
    <t>establishing</t>
  </si>
  <si>
    <t>pickup</t>
  </si>
  <si>
    <t>outlet</t>
  </si>
  <si>
    <t>hospital</t>
  </si>
  <si>
    <t>stretch</t>
  </si>
  <si>
    <t>content</t>
  </si>
  <si>
    <t>pool</t>
  </si>
  <si>
    <t>stays</t>
  </si>
  <si>
    <t>aware</t>
  </si>
  <si>
    <t>losers</t>
  </si>
  <si>
    <t>noon</t>
  </si>
  <si>
    <t>burr</t>
  </si>
  <si>
    <t>guts</t>
  </si>
  <si>
    <t>mine</t>
  </si>
  <si>
    <t>clown</t>
  </si>
  <si>
    <t>c</t>
  </si>
  <si>
    <t>punching</t>
  </si>
  <si>
    <t>taps</t>
  </si>
  <si>
    <t>conception</t>
  </si>
  <si>
    <t>primarily</t>
  </si>
  <si>
    <t>whipping</t>
  </si>
  <si>
    <t>broadcast</t>
  </si>
  <si>
    <t>wise</t>
  </si>
  <si>
    <t>reside</t>
  </si>
  <si>
    <t>uncle</t>
  </si>
  <si>
    <t>basis</t>
  </si>
  <si>
    <t>borrow</t>
  </si>
  <si>
    <t>dude</t>
  </si>
  <si>
    <t>evidence</t>
  </si>
  <si>
    <t>o</t>
  </si>
  <si>
    <t>tempting</t>
  </si>
  <si>
    <t>letting</t>
  </si>
  <si>
    <t>cia</t>
  </si>
  <si>
    <t>bouquet</t>
  </si>
  <si>
    <t>reasons</t>
  </si>
  <si>
    <t>winners</t>
  </si>
  <si>
    <t>majority</t>
  </si>
  <si>
    <t>spice</t>
  </si>
  <si>
    <t>strain</t>
  </si>
  <si>
    <t>receive</t>
  </si>
  <si>
    <t>rarely</t>
  </si>
  <si>
    <t>chest</t>
  </si>
  <si>
    <t>extra</t>
  </si>
  <si>
    <t>sterling</t>
  </si>
  <si>
    <t>sense</t>
  </si>
  <si>
    <t>thrusts</t>
  </si>
  <si>
    <t>locations</t>
  </si>
  <si>
    <t>jay</t>
  </si>
  <si>
    <t>himself</t>
  </si>
  <si>
    <t>thick</t>
  </si>
  <si>
    <t>overwhelming</t>
  </si>
  <si>
    <t>hope</t>
  </si>
  <si>
    <t>wonder</t>
  </si>
  <si>
    <t>cartoon</t>
  </si>
  <si>
    <t>spotlight</t>
  </si>
  <si>
    <t>pony</t>
  </si>
  <si>
    <t>racial</t>
  </si>
  <si>
    <t>appropriately</t>
  </si>
  <si>
    <t>against</t>
  </si>
  <si>
    <t>prominently</t>
  </si>
  <si>
    <t>feeling</t>
  </si>
  <si>
    <t>exceeds</t>
  </si>
  <si>
    <t>ally</t>
  </si>
  <si>
    <t>exquisite</t>
  </si>
  <si>
    <t>prowess</t>
  </si>
  <si>
    <t>waters</t>
  </si>
  <si>
    <t>grasp</t>
  </si>
  <si>
    <t>higher</t>
  </si>
  <si>
    <t>product</t>
  </si>
  <si>
    <t>trapped</t>
  </si>
  <si>
    <t>qualify</t>
  </si>
  <si>
    <t>acclaimed</t>
  </si>
  <si>
    <t>remotely</t>
  </si>
  <si>
    <t>string</t>
  </si>
  <si>
    <t>absorb</t>
  </si>
  <si>
    <t>shocks</t>
  </si>
  <si>
    <t>factor</t>
  </si>
  <si>
    <t>marine</t>
  </si>
  <si>
    <t>indeed</t>
  </si>
  <si>
    <t>standardized</t>
  </si>
  <si>
    <t>followed</t>
  </si>
  <si>
    <t>theory</t>
  </si>
  <si>
    <t>nelson</t>
  </si>
  <si>
    <t>awkward</t>
  </si>
  <si>
    <t>details</t>
  </si>
  <si>
    <t>possibility</t>
  </si>
  <si>
    <t>dizzy</t>
  </si>
  <si>
    <t>actual</t>
  </si>
  <si>
    <t>stone</t>
  </si>
  <si>
    <t>list</t>
  </si>
  <si>
    <t>majestic</t>
  </si>
  <si>
    <t>appearing</t>
  </si>
  <si>
    <t>puppets</t>
  </si>
  <si>
    <t>bear</t>
  </si>
  <si>
    <t>sloppy</t>
  </si>
  <si>
    <t>adaptations</t>
  </si>
  <si>
    <t>sparkling</t>
  </si>
  <si>
    <t>ripe</t>
  </si>
  <si>
    <t>wander</t>
  </si>
  <si>
    <t>relationships</t>
  </si>
  <si>
    <t>marquis</t>
  </si>
  <si>
    <t>gaps</t>
  </si>
  <si>
    <t>hopes</t>
  </si>
  <si>
    <t>sufficiently</t>
  </si>
  <si>
    <t>recipe</t>
  </si>
  <si>
    <t>sermon</t>
  </si>
  <si>
    <t>baffled</t>
  </si>
  <si>
    <t>brisk</t>
  </si>
  <si>
    <t>bordering</t>
  </si>
  <si>
    <t>involve</t>
  </si>
  <si>
    <t>logical</t>
  </si>
  <si>
    <t>anderson</t>
  </si>
  <si>
    <t>player</t>
  </si>
  <si>
    <t>deliver</t>
  </si>
  <si>
    <t>fairy</t>
  </si>
  <si>
    <t>pan</t>
  </si>
  <si>
    <t>underneath</t>
  </si>
  <si>
    <t>compare</t>
  </si>
  <si>
    <t>wasting</t>
  </si>
  <si>
    <t>loyal</t>
  </si>
  <si>
    <t>sleek</t>
  </si>
  <si>
    <t>variation</t>
  </si>
  <si>
    <t>marked</t>
  </si>
  <si>
    <t>legally</t>
  </si>
  <si>
    <t>besides</t>
  </si>
  <si>
    <t>accept</t>
  </si>
  <si>
    <t>executive</t>
  </si>
  <si>
    <t>stealing</t>
  </si>
  <si>
    <t>downfall</t>
  </si>
  <si>
    <t>departure</t>
  </si>
  <si>
    <t>improved</t>
  </si>
  <si>
    <t>regardless</t>
  </si>
  <si>
    <t>restrained</t>
  </si>
  <si>
    <t>devastated</t>
  </si>
  <si>
    <t>walk</t>
  </si>
  <si>
    <t>responsibilities</t>
  </si>
  <si>
    <t>simplicity</t>
  </si>
  <si>
    <t>speaks</t>
  </si>
  <si>
    <t>seemingly</t>
  </si>
  <si>
    <t>miller</t>
  </si>
  <si>
    <t>morgan</t>
  </si>
  <si>
    <t>putting</t>
  </si>
  <si>
    <t>tales</t>
  </si>
  <si>
    <t>quickly</t>
  </si>
  <si>
    <t>deaths</t>
  </si>
  <si>
    <t>resembles</t>
  </si>
  <si>
    <t>weeks</t>
  </si>
  <si>
    <t>grey</t>
  </si>
  <si>
    <t>nails</t>
  </si>
  <si>
    <t>glasses</t>
  </si>
  <si>
    <t>careers</t>
  </si>
  <si>
    <t>zone</t>
  </si>
  <si>
    <t>determination</t>
  </si>
  <si>
    <t>finished</t>
  </si>
  <si>
    <t>lies</t>
  </si>
  <si>
    <t>undo</t>
  </si>
  <si>
    <t>monday</t>
  </si>
  <si>
    <t>hong</t>
  </si>
  <si>
    <t>rain</t>
  </si>
  <si>
    <t>ramsay</t>
  </si>
  <si>
    <t>confirms</t>
  </si>
  <si>
    <t>lift</t>
  </si>
  <si>
    <t>elbows</t>
  </si>
  <si>
    <t>refreshing</t>
  </si>
  <si>
    <t>expression</t>
  </si>
  <si>
    <t>target</t>
  </si>
  <si>
    <t>oh</t>
  </si>
  <si>
    <t>pedestrian</t>
  </si>
  <si>
    <t>flaw</t>
  </si>
  <si>
    <t>energetic</t>
  </si>
  <si>
    <t>densely</t>
  </si>
  <si>
    <t>carries</t>
  </si>
  <si>
    <t>japanese</t>
  </si>
  <si>
    <t>wreck</t>
  </si>
  <si>
    <t>irresistible</t>
  </si>
  <si>
    <t>ends</t>
  </si>
  <si>
    <t>obligatory</t>
  </si>
  <si>
    <t>kinda</t>
  </si>
  <si>
    <t>saddam</t>
  </si>
  <si>
    <t>rats</t>
  </si>
  <si>
    <t>california</t>
  </si>
  <si>
    <t>drops</t>
  </si>
  <si>
    <t>supporting</t>
  </si>
  <si>
    <t>operative</t>
  </si>
  <si>
    <t>attract</t>
  </si>
  <si>
    <t>patience</t>
  </si>
  <si>
    <t>dress</t>
  </si>
  <si>
    <t>planet</t>
  </si>
  <si>
    <t>1970s</t>
  </si>
  <si>
    <t>burns</t>
  </si>
  <si>
    <t>mall</t>
  </si>
  <si>
    <t>mug</t>
  </si>
  <si>
    <t>plague</t>
  </si>
  <si>
    <t>globe</t>
  </si>
  <si>
    <t>waves</t>
  </si>
  <si>
    <t>meaning</t>
  </si>
  <si>
    <t>ethnic</t>
  </si>
  <si>
    <t>scientist</t>
  </si>
  <si>
    <t>wave</t>
  </si>
  <si>
    <t>chan</t>
  </si>
  <si>
    <t>creators</t>
  </si>
  <si>
    <t>variations</t>
  </si>
  <si>
    <t>unless</t>
  </si>
  <si>
    <t>wrestling</t>
  </si>
  <si>
    <t>hilarious</t>
  </si>
  <si>
    <t>catholic</t>
  </si>
  <si>
    <t>doomed</t>
  </si>
  <si>
    <t>petty</t>
  </si>
  <si>
    <t>weep</t>
  </si>
  <si>
    <t>connection</t>
  </si>
  <si>
    <t>access</t>
  </si>
  <si>
    <t>edward</t>
  </si>
  <si>
    <t>salvage</t>
  </si>
  <si>
    <t>pass</t>
  </si>
  <si>
    <t>nation</t>
  </si>
  <si>
    <t>ties</t>
  </si>
  <si>
    <t>cultures</t>
  </si>
  <si>
    <t>evenings</t>
  </si>
  <si>
    <t>scream</t>
  </si>
  <si>
    <t>normally</t>
  </si>
  <si>
    <t>camouflage</t>
  </si>
  <si>
    <t>laundry</t>
  </si>
  <si>
    <t>creepy</t>
  </si>
  <si>
    <t>flashbacks</t>
  </si>
  <si>
    <t>capacity</t>
  </si>
  <si>
    <t>dare</t>
  </si>
  <si>
    <t>bet</t>
  </si>
  <si>
    <t>happily</t>
  </si>
  <si>
    <t>handle</t>
  </si>
  <si>
    <t>shining</t>
  </si>
  <si>
    <t>greater</t>
  </si>
  <si>
    <t>shades</t>
  </si>
  <si>
    <t>cocktail</t>
  </si>
  <si>
    <t>sexy</t>
  </si>
  <si>
    <t>classics</t>
  </si>
  <si>
    <t>unprecedented</t>
  </si>
  <si>
    <t>mark</t>
  </si>
  <si>
    <t>executed</t>
  </si>
  <si>
    <t>battlefield</t>
  </si>
  <si>
    <t>folks</t>
  </si>
  <si>
    <t>support</t>
  </si>
  <si>
    <t>evil</t>
  </si>
  <si>
    <t>drumming</t>
  </si>
  <si>
    <t>smoky</t>
  </si>
  <si>
    <t>reid</t>
  </si>
  <si>
    <t>present</t>
  </si>
  <si>
    <t>fencing</t>
  </si>
  <si>
    <t>relevance</t>
  </si>
  <si>
    <t>forgiveness</t>
  </si>
  <si>
    <t>texture</t>
  </si>
  <si>
    <t>swinging</t>
  </si>
  <si>
    <t>wilson</t>
  </si>
  <si>
    <t>trees</t>
  </si>
  <si>
    <t>pink</t>
  </si>
  <si>
    <t>destiny</t>
  </si>
  <si>
    <t>assigned</t>
  </si>
  <si>
    <t>trilogy</t>
  </si>
  <si>
    <t>beloved</t>
  </si>
  <si>
    <t>victims</t>
  </si>
  <si>
    <t>disturbing</t>
  </si>
  <si>
    <t>arrive</t>
  </si>
  <si>
    <t>consciously</t>
  </si>
  <si>
    <t>enormous</t>
  </si>
  <si>
    <t>enjoyed</t>
  </si>
  <si>
    <t>enhance</t>
  </si>
  <si>
    <t>changes</t>
  </si>
  <si>
    <t>soldiers</t>
  </si>
  <si>
    <t>innovation</t>
  </si>
  <si>
    <t>robbed</t>
  </si>
  <si>
    <t>spiked</t>
  </si>
  <si>
    <t>teenagers</t>
  </si>
  <si>
    <t>except</t>
  </si>
  <si>
    <t>notice</t>
  </si>
  <si>
    <t>creatures</t>
  </si>
  <si>
    <t>textbook</t>
  </si>
  <si>
    <t>reminiscent</t>
  </si>
  <si>
    <t>glaring</t>
  </si>
  <si>
    <t>introduction</t>
  </si>
  <si>
    <t>crisis</t>
  </si>
  <si>
    <t>offer</t>
  </si>
  <si>
    <t>describes</t>
  </si>
  <si>
    <t>shaky</t>
  </si>
  <si>
    <t>dean</t>
  </si>
  <si>
    <t>limbs</t>
  </si>
  <si>
    <t>reno</t>
  </si>
  <si>
    <t>conditioning</t>
  </si>
  <si>
    <t>disbelief</t>
  </si>
  <si>
    <t>pocket</t>
  </si>
  <si>
    <t>figure</t>
  </si>
  <si>
    <t>traditions</t>
  </si>
  <si>
    <t>controversial</t>
  </si>
  <si>
    <t>mounted</t>
  </si>
  <si>
    <t>obscured</t>
  </si>
  <si>
    <t>supermarket</t>
  </si>
  <si>
    <t>jacques</t>
  </si>
  <si>
    <t>veteran</t>
  </si>
  <si>
    <t>grace</t>
  </si>
  <si>
    <t>fall</t>
  </si>
  <si>
    <t>legged</t>
  </si>
  <si>
    <t>brain</t>
  </si>
  <si>
    <t>settings</t>
  </si>
  <si>
    <t>saving</t>
  </si>
  <si>
    <t>sparks</t>
  </si>
  <si>
    <t>bonds</t>
  </si>
  <si>
    <t>ounce</t>
  </si>
  <si>
    <t>genuinely</t>
  </si>
  <si>
    <t>ended</t>
  </si>
  <si>
    <t>connected</t>
  </si>
  <si>
    <t>surgeon</t>
  </si>
  <si>
    <t>moods</t>
  </si>
  <si>
    <t>names</t>
  </si>
  <si>
    <t>accumulated</t>
  </si>
  <si>
    <t>elegant</t>
  </si>
  <si>
    <t>thoughts</t>
  </si>
  <si>
    <t>themselves</t>
  </si>
  <si>
    <t>dime</t>
  </si>
  <si>
    <t>vein</t>
  </si>
  <si>
    <t>grave</t>
  </si>
  <si>
    <t>equation</t>
  </si>
  <si>
    <t>stops</t>
  </si>
  <si>
    <t>dear</t>
  </si>
  <si>
    <t>molina</t>
  </si>
  <si>
    <t>trade</t>
  </si>
  <si>
    <t>grip</t>
  </si>
  <si>
    <t>seconds</t>
  </si>
  <si>
    <t>kang</t>
  </si>
  <si>
    <t>episode</t>
  </si>
  <si>
    <t>seeds</t>
  </si>
  <si>
    <t>learned</t>
  </si>
  <si>
    <t>idol</t>
  </si>
  <si>
    <t>artificial</t>
  </si>
  <si>
    <t>virtue</t>
  </si>
  <si>
    <t>settled</t>
  </si>
  <si>
    <t>eighth</t>
  </si>
  <si>
    <t>demons</t>
  </si>
  <si>
    <t>familiarity</t>
  </si>
  <si>
    <t>brother</t>
  </si>
  <si>
    <t>warriors</t>
  </si>
  <si>
    <t>blank</t>
  </si>
  <si>
    <t>common</t>
  </si>
  <si>
    <t>transparent</t>
  </si>
  <si>
    <t>safe</t>
  </si>
  <si>
    <t>genius</t>
  </si>
  <si>
    <t>streets</t>
  </si>
  <si>
    <t>challenge</t>
  </si>
  <si>
    <t>accidental</t>
  </si>
  <si>
    <t>samuel</t>
  </si>
  <si>
    <t>toes</t>
  </si>
  <si>
    <t>concerned</t>
  </si>
  <si>
    <t>flow</t>
  </si>
  <si>
    <t>adrenaline</t>
  </si>
  <si>
    <t>mixing</t>
  </si>
  <si>
    <t>preserving</t>
  </si>
  <si>
    <t>sounding</t>
  </si>
  <si>
    <t>deny</t>
  </si>
  <si>
    <t>wear</t>
  </si>
  <si>
    <t>tendency</t>
  </si>
  <si>
    <t>stimulating</t>
  </si>
  <si>
    <t>lectures</t>
  </si>
  <si>
    <t>numerous</t>
  </si>
  <si>
    <t>reception</t>
  </si>
  <si>
    <t>courtesy</t>
  </si>
  <si>
    <t>par</t>
  </si>
  <si>
    <t>twisted</t>
  </si>
  <si>
    <t>clients</t>
  </si>
  <si>
    <t>directly</t>
  </si>
  <si>
    <t>detective</t>
  </si>
  <si>
    <t>faster</t>
  </si>
  <si>
    <t>offers</t>
  </si>
  <si>
    <t>appropriate</t>
  </si>
  <si>
    <t>gall</t>
  </si>
  <si>
    <t>managing</t>
  </si>
  <si>
    <t>frank</t>
  </si>
  <si>
    <t>identification</t>
  </si>
  <si>
    <t>connections</t>
  </si>
  <si>
    <t>literal</t>
  </si>
  <si>
    <t>ripping</t>
  </si>
  <si>
    <t>handling</t>
  </si>
  <si>
    <t>plea</t>
  </si>
  <si>
    <t>howard</t>
  </si>
  <si>
    <t>potter</t>
  </si>
  <si>
    <t>drop</t>
  </si>
  <si>
    <t>charms</t>
  </si>
  <si>
    <t>mainstream</t>
  </si>
  <si>
    <t>integrity</t>
  </si>
  <si>
    <t>alice</t>
  </si>
  <si>
    <t>suspected</t>
  </si>
  <si>
    <t>spy</t>
  </si>
  <si>
    <t>abilities</t>
  </si>
  <si>
    <t>appointed</t>
  </si>
  <si>
    <t>condition</t>
  </si>
  <si>
    <t>gangs</t>
  </si>
  <si>
    <t>godzilla</t>
  </si>
  <si>
    <t>privy</t>
  </si>
  <si>
    <t>rendered</t>
  </si>
  <si>
    <t>stands</t>
  </si>
  <si>
    <t>fool</t>
  </si>
  <si>
    <t>continuing</t>
  </si>
  <si>
    <t>conventional</t>
  </si>
  <si>
    <t>hinges</t>
  </si>
  <si>
    <t>intellect</t>
  </si>
  <si>
    <t>encouraging</t>
  </si>
  <si>
    <t>lips</t>
  </si>
  <si>
    <t>prefer</t>
  </si>
  <si>
    <t>kissing</t>
  </si>
  <si>
    <t>inflammatory</t>
  </si>
  <si>
    <t>nuclear</t>
  </si>
  <si>
    <t>particular</t>
  </si>
  <si>
    <t>pencil</t>
  </si>
  <si>
    <t>markers</t>
  </si>
  <si>
    <t>cancer</t>
  </si>
  <si>
    <t>partners</t>
  </si>
  <si>
    <t>kill</t>
  </si>
  <si>
    <t>impress</t>
  </si>
  <si>
    <t>duplicate</t>
  </si>
  <si>
    <t>solutions</t>
  </si>
  <si>
    <t>memorable</t>
  </si>
  <si>
    <t>revelation</t>
  </si>
  <si>
    <t>workshops</t>
  </si>
  <si>
    <t>budget</t>
  </si>
  <si>
    <t>atmospheric</t>
  </si>
  <si>
    <t>dance</t>
  </si>
  <si>
    <t>affected</t>
  </si>
  <si>
    <t>gives</t>
  </si>
  <si>
    <t>exit</t>
  </si>
  <si>
    <t>accurately</t>
  </si>
  <si>
    <t>duke</t>
  </si>
  <si>
    <t>photos</t>
  </si>
  <si>
    <t>lady</t>
  </si>
  <si>
    <t>carol</t>
  </si>
  <si>
    <t>turmoil</t>
  </si>
  <si>
    <t>ad</t>
  </si>
  <si>
    <t>dollars</t>
  </si>
  <si>
    <t>resembling</t>
  </si>
  <si>
    <t>adventures</t>
  </si>
  <si>
    <t>earlier</t>
  </si>
  <si>
    <t>20th</t>
  </si>
  <si>
    <t>fuel</t>
  </si>
  <si>
    <t>allison</t>
  </si>
  <si>
    <t>psyche</t>
  </si>
  <si>
    <t>talk</t>
  </si>
  <si>
    <t>glimpse</t>
  </si>
  <si>
    <t>historic</t>
  </si>
  <si>
    <t>unsuccessful</t>
  </si>
  <si>
    <t>sway</t>
  </si>
  <si>
    <t>revealed</t>
  </si>
  <si>
    <t>hall</t>
  </si>
  <si>
    <t>lifted</t>
  </si>
  <si>
    <t>politically</t>
  </si>
  <si>
    <t>cute</t>
  </si>
  <si>
    <t>industry</t>
  </si>
  <si>
    <t>liberties</t>
  </si>
  <si>
    <t>individual</t>
  </si>
  <si>
    <t>handful</t>
  </si>
  <si>
    <t>tunnels</t>
  </si>
  <si>
    <t>anonymous</t>
  </si>
  <si>
    <t>resident</t>
  </si>
  <si>
    <t>technologies</t>
  </si>
  <si>
    <t>happiness</t>
  </si>
  <si>
    <t>houses</t>
  </si>
  <si>
    <t>rules</t>
  </si>
  <si>
    <t>strict</t>
  </si>
  <si>
    <t>groan</t>
  </si>
  <si>
    <t>knowing</t>
  </si>
  <si>
    <t>confined</t>
  </si>
  <si>
    <t>freddie</t>
  </si>
  <si>
    <t>consistently</t>
  </si>
  <si>
    <t>buddy</t>
  </si>
  <si>
    <t>scorpion</t>
  </si>
  <si>
    <t>closer</t>
  </si>
  <si>
    <t>reynolds</t>
  </si>
  <si>
    <t>increasingly</t>
  </si>
  <si>
    <t>rush</t>
  </si>
  <si>
    <t>bizarre</t>
  </si>
  <si>
    <t>wind</t>
  </si>
  <si>
    <t>swaying</t>
  </si>
  <si>
    <t>nonetheless</t>
  </si>
  <si>
    <t>coma</t>
  </si>
  <si>
    <t>cotton</t>
  </si>
  <si>
    <t>forth</t>
  </si>
  <si>
    <t>collected</t>
  </si>
  <si>
    <t>sinister</t>
  </si>
  <si>
    <t>outing</t>
  </si>
  <si>
    <t>strategic</t>
  </si>
  <si>
    <t>helm</t>
  </si>
  <si>
    <t>learn</t>
  </si>
  <si>
    <t>speed</t>
  </si>
  <si>
    <t>bonding</t>
  </si>
  <si>
    <t>circumstances</t>
  </si>
  <si>
    <t>finds</t>
  </si>
  <si>
    <t>ironic</t>
  </si>
  <si>
    <t>biggest</t>
  </si>
  <si>
    <t>w</t>
  </si>
  <si>
    <t>collaborative</t>
  </si>
  <si>
    <t>continuity</t>
  </si>
  <si>
    <t>irish</t>
  </si>
  <si>
    <t>weight</t>
  </si>
  <si>
    <t>event</t>
  </si>
  <si>
    <t>unnamed</t>
  </si>
  <si>
    <t>plainly</t>
  </si>
  <si>
    <t>peculiar</t>
  </si>
  <si>
    <t>backgrounds</t>
  </si>
  <si>
    <t>devices</t>
  </si>
  <si>
    <t>manhattan</t>
  </si>
  <si>
    <t>rage</t>
  </si>
  <si>
    <t>watching</t>
  </si>
  <si>
    <t>tapestry</t>
  </si>
  <si>
    <t>wondered</t>
  </si>
  <si>
    <t>blind</t>
  </si>
  <si>
    <t>ye</t>
  </si>
  <si>
    <t>witnesses</t>
  </si>
  <si>
    <t>sun</t>
  </si>
  <si>
    <t>assert</t>
  </si>
  <si>
    <t>contenders</t>
  </si>
  <si>
    <t>russell</t>
  </si>
  <si>
    <t>travel</t>
  </si>
  <si>
    <t>exhausted</t>
  </si>
  <si>
    <t>shocking</t>
  </si>
  <si>
    <t>excess</t>
  </si>
  <si>
    <t>paced</t>
  </si>
  <si>
    <t>patriotic</t>
  </si>
  <si>
    <t>contemporary</t>
  </si>
  <si>
    <t>bags</t>
  </si>
  <si>
    <t>island</t>
  </si>
  <si>
    <t>chasing</t>
  </si>
  <si>
    <t>jonathan</t>
  </si>
  <si>
    <t>foot</t>
  </si>
  <si>
    <t>clocks</t>
  </si>
  <si>
    <t>critics</t>
  </si>
  <si>
    <t>ryan</t>
  </si>
  <si>
    <t>news</t>
  </si>
  <si>
    <t>explains</t>
  </si>
  <si>
    <t>executives</t>
  </si>
  <si>
    <t>dead</t>
  </si>
  <si>
    <t>competence</t>
  </si>
  <si>
    <t>draw</t>
  </si>
  <si>
    <t>nice</t>
  </si>
  <si>
    <t>fees</t>
  </si>
  <si>
    <t>ones</t>
  </si>
  <si>
    <t>wives</t>
  </si>
  <si>
    <t>deliberate</t>
  </si>
  <si>
    <t>songs</t>
  </si>
  <si>
    <t>wireless</t>
  </si>
  <si>
    <t>athlete</t>
  </si>
  <si>
    <t>word</t>
  </si>
  <si>
    <t>ambiguous</t>
  </si>
  <si>
    <t>drawn</t>
  </si>
  <si>
    <t>expose</t>
  </si>
  <si>
    <t>soccer</t>
  </si>
  <si>
    <t>committed</t>
  </si>
  <si>
    <t>stab</t>
  </si>
  <si>
    <t>festival</t>
  </si>
  <si>
    <t>tends</t>
  </si>
  <si>
    <t>consumed</t>
  </si>
  <si>
    <t>accent</t>
  </si>
  <si>
    <t>george</t>
  </si>
  <si>
    <t>lust</t>
  </si>
  <si>
    <t>cult</t>
  </si>
  <si>
    <t>goodness</t>
  </si>
  <si>
    <t>figured</t>
  </si>
  <si>
    <t>disaster</t>
  </si>
  <si>
    <t>dancing</t>
  </si>
  <si>
    <t>yearning</t>
  </si>
  <si>
    <t>dismissed</t>
  </si>
  <si>
    <t>scale</t>
  </si>
  <si>
    <t>forced</t>
  </si>
  <si>
    <t>crap</t>
  </si>
  <si>
    <t>soul</t>
  </si>
  <si>
    <t>alternately</t>
  </si>
  <si>
    <t>payne</t>
  </si>
  <si>
    <t>apparatus</t>
  </si>
  <si>
    <t>animal</t>
  </si>
  <si>
    <t>revolution</t>
  </si>
  <si>
    <t>fully</t>
  </si>
  <si>
    <t>britney</t>
  </si>
  <si>
    <t>cared</t>
  </si>
  <si>
    <t>r</t>
  </si>
  <si>
    <t>aids</t>
  </si>
  <si>
    <t>discussion</t>
  </si>
  <si>
    <t>regarding</t>
  </si>
  <si>
    <t>plane</t>
  </si>
  <si>
    <t>peas</t>
  </si>
  <si>
    <t>agile</t>
  </si>
  <si>
    <t>burn</t>
  </si>
  <si>
    <t>proficient</t>
  </si>
  <si>
    <t>record</t>
  </si>
  <si>
    <t>sandra</t>
  </si>
  <si>
    <t>championship</t>
  </si>
  <si>
    <t>documented</t>
  </si>
  <si>
    <t>vision</t>
  </si>
  <si>
    <t>michael</t>
  </si>
  <si>
    <t>furiously</t>
  </si>
  <si>
    <t>america</t>
  </si>
  <si>
    <t>mildly</t>
  </si>
  <si>
    <t>shots</t>
  </si>
  <si>
    <t>evident</t>
  </si>
  <si>
    <t>creek</t>
  </si>
  <si>
    <t>jokes</t>
  </si>
  <si>
    <t>canon</t>
  </si>
  <si>
    <t>advice</t>
  </si>
  <si>
    <t>examine</t>
  </si>
  <si>
    <t>arguments</t>
  </si>
  <si>
    <t>relegated</t>
  </si>
  <si>
    <t>rally</t>
  </si>
  <si>
    <t>zealand</t>
  </si>
  <si>
    <t>dustin</t>
  </si>
  <si>
    <t>mention</t>
  </si>
  <si>
    <t>strange</t>
  </si>
  <si>
    <t>shepard</t>
  </si>
  <si>
    <t>feat</t>
  </si>
  <si>
    <t>appearance</t>
  </si>
  <si>
    <t>calm</t>
  </si>
  <si>
    <t>dimensions</t>
  </si>
  <si>
    <t>p</t>
  </si>
  <si>
    <t>rising</t>
  </si>
  <si>
    <t>chosen</t>
  </si>
  <si>
    <t>aside</t>
  </si>
  <si>
    <t>duly</t>
  </si>
  <si>
    <t>rigid</t>
  </si>
  <si>
    <t>cops</t>
  </si>
  <si>
    <t>jake</t>
  </si>
  <si>
    <t>prior</t>
  </si>
  <si>
    <t>scene</t>
  </si>
  <si>
    <t>sweetness</t>
  </si>
  <si>
    <t>sundance</t>
  </si>
  <si>
    <t>miraculous</t>
  </si>
  <si>
    <t>insurance</t>
  </si>
  <si>
    <t>phillip</t>
  </si>
  <si>
    <t>flood</t>
  </si>
  <si>
    <t>references</t>
  </si>
  <si>
    <t>hearts</t>
  </si>
  <si>
    <t>dependent</t>
  </si>
  <si>
    <t>worried</t>
  </si>
  <si>
    <t>skyscraper</t>
  </si>
  <si>
    <t>message</t>
  </si>
  <si>
    <t>fraction</t>
  </si>
  <si>
    <t>coal</t>
  </si>
  <si>
    <t>composed</t>
  </si>
  <si>
    <t>veil</t>
  </si>
  <si>
    <t>accents</t>
  </si>
  <si>
    <t>principles</t>
  </si>
  <si>
    <t>smackdown</t>
  </si>
  <si>
    <t>shoots</t>
  </si>
  <si>
    <t>ingredient</t>
  </si>
  <si>
    <t>preceded</t>
  </si>
  <si>
    <t>matters</t>
  </si>
  <si>
    <t>snap</t>
  </si>
  <si>
    <t>primary</t>
  </si>
  <si>
    <t>extravagant</t>
  </si>
  <si>
    <t>smirk</t>
  </si>
  <si>
    <t>william</t>
  </si>
  <si>
    <t>grinning</t>
  </si>
  <si>
    <t>definitive</t>
  </si>
  <si>
    <t>burning</t>
  </si>
  <si>
    <t>pants</t>
  </si>
  <si>
    <t>pair</t>
  </si>
  <si>
    <t>expert</t>
  </si>
  <si>
    <t>fuels</t>
  </si>
  <si>
    <t>yard</t>
  </si>
  <si>
    <t>backdrop</t>
  </si>
  <si>
    <t>ecstasy</t>
  </si>
  <si>
    <t>suit</t>
  </si>
  <si>
    <t>tier</t>
  </si>
  <si>
    <t>younger</t>
  </si>
  <si>
    <t>adults</t>
  </si>
  <si>
    <t>social</t>
  </si>
  <si>
    <t>serial</t>
  </si>
  <si>
    <t>tender</t>
  </si>
  <si>
    <t>innocent</t>
  </si>
  <si>
    <t>businesses</t>
  </si>
  <si>
    <t>embrace</t>
  </si>
  <si>
    <t>reflection</t>
  </si>
  <si>
    <t>print</t>
  </si>
  <si>
    <t>framing</t>
  </si>
  <si>
    <t>delicately</t>
  </si>
  <si>
    <t>stomach</t>
  </si>
  <si>
    <t>faults</t>
  </si>
  <si>
    <t>littered</t>
  </si>
  <si>
    <t>gates</t>
  </si>
  <si>
    <t>mourning</t>
  </si>
  <si>
    <t>flight</t>
  </si>
  <si>
    <t>range</t>
  </si>
  <si>
    <t>begin</t>
  </si>
  <si>
    <t>terminal</t>
  </si>
  <si>
    <t>odds</t>
  </si>
  <si>
    <t>remake</t>
  </si>
  <si>
    <t>traffic</t>
  </si>
  <si>
    <t>modeled</t>
  </si>
  <si>
    <t>novel</t>
  </si>
  <si>
    <t>verve</t>
  </si>
  <si>
    <t>jack</t>
  </si>
  <si>
    <t>catching</t>
  </si>
  <si>
    <t>stalking</t>
  </si>
  <si>
    <t>bleed</t>
  </si>
  <si>
    <t>falls</t>
  </si>
  <si>
    <t>rise</t>
  </si>
  <si>
    <t>broadway</t>
  </si>
  <si>
    <t>careful</t>
  </si>
  <si>
    <t>ease</t>
  </si>
  <si>
    <t>indefinitely</t>
  </si>
  <si>
    <t>wound</t>
  </si>
  <si>
    <t>occupation</t>
  </si>
  <si>
    <t>bible</t>
  </si>
  <si>
    <t>resolutions</t>
  </si>
  <si>
    <t>staring</t>
  </si>
  <si>
    <t>pray</t>
  </si>
  <si>
    <t>rap</t>
  </si>
  <si>
    <t>spirited</t>
  </si>
  <si>
    <t>rental</t>
  </si>
  <si>
    <t>fathers</t>
  </si>
  <si>
    <t>singular</t>
  </si>
  <si>
    <t>attraction</t>
  </si>
  <si>
    <t>substance</t>
  </si>
  <si>
    <t>impacts</t>
  </si>
  <si>
    <t>forcing</t>
  </si>
  <si>
    <t>inclination</t>
  </si>
  <si>
    <t>shock</t>
  </si>
  <si>
    <t>paradigm</t>
  </si>
  <si>
    <t>desired</t>
  </si>
  <si>
    <t>permitting</t>
  </si>
  <si>
    <t>arrangements</t>
  </si>
  <si>
    <t>lock</t>
  </si>
  <si>
    <t>worthless</t>
  </si>
  <si>
    <t>shooting</t>
  </si>
  <si>
    <t>omitted</t>
  </si>
  <si>
    <t>mann</t>
  </si>
  <si>
    <t>guns</t>
  </si>
  <si>
    <t>gun</t>
  </si>
  <si>
    <t>unnoticed</t>
  </si>
  <si>
    <t>honor</t>
  </si>
  <si>
    <t>devotion</t>
  </si>
  <si>
    <t>specifically</t>
  </si>
  <si>
    <t>zipper</t>
  </si>
  <si>
    <t>stabbing</t>
  </si>
  <si>
    <t>mixture</t>
  </si>
  <si>
    <t>bumps</t>
  </si>
  <si>
    <t>redemption</t>
  </si>
  <si>
    <t>threat</t>
  </si>
  <si>
    <t>todd</t>
  </si>
  <si>
    <t>jumps</t>
  </si>
  <si>
    <t>expense</t>
  </si>
  <si>
    <t>undergo</t>
  </si>
  <si>
    <t>schedule</t>
  </si>
  <si>
    <t>deepest</t>
  </si>
  <si>
    <t>ideas</t>
  </si>
  <si>
    <t>rent</t>
  </si>
  <si>
    <t>tens</t>
  </si>
  <si>
    <t>understanding</t>
  </si>
  <si>
    <t>skinny</t>
  </si>
  <si>
    <t>delicate</t>
  </si>
  <si>
    <t>japan</t>
  </si>
  <si>
    <t>archive</t>
  </si>
  <si>
    <t>listening</t>
  </si>
  <si>
    <t>stills</t>
  </si>
  <si>
    <t>healing</t>
  </si>
  <si>
    <t>encourage</t>
  </si>
  <si>
    <t>crisp</t>
  </si>
  <si>
    <t>rattling</t>
  </si>
  <si>
    <t>possess</t>
  </si>
  <si>
    <t>worthy</t>
  </si>
  <si>
    <t>insignificant</t>
  </si>
  <si>
    <t>embarrassed</t>
  </si>
  <si>
    <t>rotten</t>
  </si>
  <si>
    <t>adjective</t>
  </si>
  <si>
    <t>nail</t>
  </si>
  <si>
    <t>applies</t>
  </si>
  <si>
    <t>gel</t>
  </si>
  <si>
    <t>mill</t>
  </si>
  <si>
    <t>grandfather</t>
  </si>
  <si>
    <t>syrup</t>
  </si>
  <si>
    <t>reinforcement</t>
  </si>
  <si>
    <t>spies</t>
  </si>
  <si>
    <t>distinguish</t>
  </si>
  <si>
    <t>digest</t>
  </si>
  <si>
    <t>allen</t>
  </si>
  <si>
    <t>mounting</t>
  </si>
  <si>
    <t>ideology</t>
  </si>
  <si>
    <t>sinks</t>
  </si>
  <si>
    <t>complications</t>
  </si>
  <si>
    <t>gloom</t>
  </si>
  <si>
    <t>decision</t>
  </si>
  <si>
    <t>hideous</t>
  </si>
  <si>
    <t>li</t>
  </si>
  <si>
    <t>gong</t>
  </si>
  <si>
    <t>throbbing</t>
  </si>
  <si>
    <t>moore</t>
  </si>
  <si>
    <t>assume</t>
  </si>
  <si>
    <t>yielded</t>
  </si>
  <si>
    <t>waltz</t>
  </si>
  <si>
    <t>heads</t>
  </si>
  <si>
    <t>belly</t>
  </si>
  <si>
    <t>rank</t>
  </si>
  <si>
    <t>folds</t>
  </si>
  <si>
    <t>unit</t>
  </si>
  <si>
    <t>replaced</t>
  </si>
  <si>
    <t>sprung</t>
  </si>
  <si>
    <t>conduct</t>
  </si>
  <si>
    <t>expressions</t>
  </si>
  <si>
    <t>attack</t>
  </si>
  <si>
    <t>televised</t>
  </si>
  <si>
    <t>devote</t>
  </si>
  <si>
    <t>steady</t>
  </si>
  <si>
    <t>quest</t>
  </si>
  <si>
    <t>pitch</t>
  </si>
  <si>
    <t>picked</t>
  </si>
  <si>
    <t>sorority</t>
  </si>
  <si>
    <t>ship</t>
  </si>
  <si>
    <t>returns</t>
  </si>
  <si>
    <t>testosterone</t>
  </si>
  <si>
    <t>gravity</t>
  </si>
  <si>
    <t>raging</t>
  </si>
  <si>
    <t>barely</t>
  </si>
  <si>
    <t>deemed</t>
  </si>
  <si>
    <t>vehicle</t>
  </si>
  <si>
    <t>runner</t>
  </si>
  <si>
    <t>registering</t>
  </si>
  <si>
    <t>vastly</t>
  </si>
  <si>
    <t>damage</t>
  </si>
  <si>
    <t>con</t>
  </si>
  <si>
    <t>christopher</t>
  </si>
  <si>
    <t>fight</t>
  </si>
  <si>
    <t>classify</t>
  </si>
  <si>
    <t>ham</t>
  </si>
  <si>
    <t>satin</t>
  </si>
  <si>
    <t>proud</t>
  </si>
  <si>
    <t>rouge</t>
  </si>
  <si>
    <t>integrated</t>
  </si>
  <si>
    <t>laughing</t>
  </si>
  <si>
    <t>child</t>
  </si>
  <si>
    <t>speculative</t>
  </si>
  <si>
    <t>convention</t>
  </si>
  <si>
    <t>lightly</t>
  </si>
  <si>
    <t>tank</t>
  </si>
  <si>
    <t>versions</t>
  </si>
  <si>
    <t>comments</t>
  </si>
  <si>
    <t>bronze</t>
  </si>
  <si>
    <t>remind</t>
  </si>
  <si>
    <t>tipped</t>
  </si>
  <si>
    <t>faces</t>
  </si>
  <si>
    <t>terms</t>
  </si>
  <si>
    <t>intro</t>
  </si>
  <si>
    <t>cameo</t>
  </si>
  <si>
    <t>eager</t>
  </si>
  <si>
    <t>shape</t>
  </si>
  <si>
    <t>davis</t>
  </si>
  <si>
    <t>background</t>
  </si>
  <si>
    <t>paul</t>
  </si>
  <si>
    <t>happy</t>
  </si>
  <si>
    <t>misunderstanding</t>
  </si>
  <si>
    <t>comprehend</t>
  </si>
  <si>
    <t>controversy</t>
  </si>
  <si>
    <t>criticizing</t>
  </si>
  <si>
    <t>box</t>
  </si>
  <si>
    <t>phrase</t>
  </si>
  <si>
    <t>races</t>
  </si>
  <si>
    <t>elder</t>
  </si>
  <si>
    <t>larger</t>
  </si>
  <si>
    <t>kong</t>
  </si>
  <si>
    <t>confidently</t>
  </si>
  <si>
    <t>orchestrated</t>
  </si>
  <si>
    <t>hotels</t>
  </si>
  <si>
    <t>ten</t>
  </si>
  <si>
    <t>leather</t>
  </si>
  <si>
    <t>tears</t>
  </si>
  <si>
    <t>puff</t>
  </si>
  <si>
    <t>mormon</t>
  </si>
  <si>
    <t>action</t>
  </si>
  <si>
    <t>research</t>
  </si>
  <si>
    <t>spent</t>
  </si>
  <si>
    <t>packages</t>
  </si>
  <si>
    <t>concentration</t>
  </si>
  <si>
    <t>fit</t>
  </si>
  <si>
    <t>normal</t>
  </si>
  <si>
    <t>trailer</t>
  </si>
  <si>
    <t>production</t>
  </si>
  <si>
    <t>acknowledges</t>
  </si>
  <si>
    <t>guessed</t>
  </si>
  <si>
    <t>comparison</t>
  </si>
  <si>
    <t>coke</t>
  </si>
  <si>
    <t>attach</t>
  </si>
  <si>
    <t>chris</t>
  </si>
  <si>
    <t>pit</t>
  </si>
  <si>
    <t>beach</t>
  </si>
  <si>
    <t>columbus</t>
  </si>
  <si>
    <t>net</t>
  </si>
  <si>
    <t>becoming</t>
  </si>
  <si>
    <t>atlantic</t>
  </si>
  <si>
    <t>accepting</t>
  </si>
  <si>
    <t>sell</t>
  </si>
  <si>
    <t>ocean</t>
  </si>
  <si>
    <t>pull</t>
  </si>
  <si>
    <t>wig</t>
  </si>
  <si>
    <t>ghost</t>
  </si>
  <si>
    <t>giving</t>
  </si>
  <si>
    <t>seduce</t>
  </si>
  <si>
    <t>answer</t>
  </si>
  <si>
    <t>segment</t>
  </si>
  <si>
    <t>hallmark</t>
  </si>
  <si>
    <t>lick</t>
  </si>
  <si>
    <t>purity</t>
  </si>
  <si>
    <t>psycho</t>
  </si>
  <si>
    <t>aggressively</t>
  </si>
  <si>
    <t>surroundings</t>
  </si>
  <si>
    <t>submerged</t>
  </si>
  <si>
    <t>philosophy</t>
  </si>
  <si>
    <t>violated</t>
  </si>
  <si>
    <t>vin</t>
  </si>
  <si>
    <t>engineering</t>
  </si>
  <si>
    <t>pastry</t>
  </si>
  <si>
    <t>stroke</t>
  </si>
  <si>
    <t>beast</t>
  </si>
  <si>
    <t>onto</t>
  </si>
  <si>
    <t>improves</t>
  </si>
  <si>
    <t>sung</t>
  </si>
  <si>
    <t>spectator</t>
  </si>
  <si>
    <t>bias</t>
  </si>
  <si>
    <t>rushed</t>
  </si>
  <si>
    <t>immensely</t>
  </si>
  <si>
    <t>curiosity</t>
  </si>
  <si>
    <t>cooper</t>
  </si>
  <si>
    <t>backstage</t>
  </si>
  <si>
    <t>clock</t>
  </si>
  <si>
    <t>pivotal</t>
  </si>
  <si>
    <t>comparisons</t>
  </si>
  <si>
    <t>windows</t>
  </si>
  <si>
    <t>invites</t>
  </si>
  <si>
    <t>copy</t>
  </si>
  <si>
    <t>dying</t>
  </si>
  <si>
    <t>outward</t>
  </si>
  <si>
    <t>mad</t>
  </si>
  <si>
    <t>fleeting</t>
  </si>
  <si>
    <t>dared</t>
  </si>
  <si>
    <t>anime</t>
  </si>
  <si>
    <t>explicit</t>
  </si>
  <si>
    <t>accused</t>
  </si>
  <si>
    <t>wash</t>
  </si>
  <si>
    <t>thrust</t>
  </si>
  <si>
    <t>el</t>
  </si>
  <si>
    <t>ordinary</t>
  </si>
  <si>
    <t>messenger</t>
  </si>
  <si>
    <t>tricks</t>
  </si>
  <si>
    <t>performing</t>
  </si>
  <si>
    <t>robinson</t>
  </si>
  <si>
    <t>participants</t>
  </si>
  <si>
    <t>illuminated</t>
  </si>
  <si>
    <t>grin</t>
  </si>
  <si>
    <t>ethics</t>
  </si>
  <si>
    <t>marry</t>
  </si>
  <si>
    <t>wang</t>
  </si>
  <si>
    <t>sap</t>
  </si>
  <si>
    <t>breath</t>
  </si>
  <si>
    <t>surrender</t>
  </si>
  <si>
    <t>bowling</t>
  </si>
  <si>
    <t>durable</t>
  </si>
  <si>
    <t>memory</t>
  </si>
  <si>
    <t>seriously</t>
  </si>
  <si>
    <t>chaotic</t>
  </si>
  <si>
    <t>marilyn</t>
  </si>
  <si>
    <t>cheer</t>
  </si>
  <si>
    <t>maze</t>
  </si>
  <si>
    <t>barry</t>
  </si>
  <si>
    <t>secretary</t>
  </si>
  <si>
    <t>unaffected</t>
  </si>
  <si>
    <t>jon</t>
  </si>
  <si>
    <t>boat</t>
  </si>
  <si>
    <t>create</t>
  </si>
  <si>
    <t>13th</t>
  </si>
  <si>
    <t>angle</t>
  </si>
  <si>
    <t>monument</t>
  </si>
  <si>
    <t>sterile</t>
  </si>
  <si>
    <t>ring</t>
  </si>
  <si>
    <t>worked</t>
  </si>
  <si>
    <t>meets</t>
  </si>
  <si>
    <t>visit</t>
  </si>
  <si>
    <t>socially</t>
  </si>
  <si>
    <t>wallace</t>
  </si>
  <si>
    <t>tube</t>
  </si>
  <si>
    <t>annoying</t>
  </si>
  <si>
    <t>edit</t>
  </si>
  <si>
    <t>pipe</t>
  </si>
  <si>
    <t>baggage</t>
  </si>
  <si>
    <t>sneak</t>
  </si>
  <si>
    <t>court</t>
  </si>
  <si>
    <t>fontaine</t>
  </si>
  <si>
    <t>probing</t>
  </si>
  <si>
    <t>immature</t>
  </si>
  <si>
    <t>bang</t>
  </si>
  <si>
    <t>telenovela</t>
  </si>
  <si>
    <t>grabs</t>
  </si>
  <si>
    <t>crush</t>
  </si>
  <si>
    <t>duration</t>
  </si>
  <si>
    <t>radar</t>
  </si>
  <si>
    <t>lifetime</t>
  </si>
  <si>
    <t>companion</t>
  </si>
  <si>
    <t>desirable</t>
  </si>
  <si>
    <t>throws</t>
  </si>
  <si>
    <t>clyde</t>
  </si>
  <si>
    <t>glory</t>
  </si>
  <si>
    <t>overly</t>
  </si>
  <si>
    <t>woody</t>
  </si>
  <si>
    <t>urgent</t>
  </si>
  <si>
    <t>rewards</t>
  </si>
  <si>
    <t>juliet</t>
  </si>
  <si>
    <t>behavior</t>
  </si>
  <si>
    <t>catch</t>
  </si>
  <si>
    <t>suspects</t>
  </si>
  <si>
    <t>beaten</t>
  </si>
  <si>
    <t>forcefully</t>
  </si>
  <si>
    <t>combustion</t>
  </si>
  <si>
    <t>psychedelic</t>
  </si>
  <si>
    <t>coping</t>
  </si>
  <si>
    <t>shanghai</t>
  </si>
  <si>
    <t>clue</t>
  </si>
  <si>
    <t>cloak</t>
  </si>
  <si>
    <t>exactly</t>
  </si>
  <si>
    <t>reagan</t>
  </si>
  <si>
    <t>parent</t>
  </si>
  <si>
    <t>geared</t>
  </si>
  <si>
    <t>perch</t>
  </si>
  <si>
    <t>lake</t>
  </si>
  <si>
    <t>enthusiastic</t>
  </si>
  <si>
    <t>hybrid</t>
  </si>
  <si>
    <t>eventual</t>
  </si>
  <si>
    <t>legal</t>
  </si>
  <si>
    <t>january</t>
  </si>
  <si>
    <t>risky</t>
  </si>
  <si>
    <t>unpaid</t>
  </si>
  <si>
    <t>object</t>
  </si>
  <si>
    <t>scandals</t>
  </si>
  <si>
    <t>outcome</t>
  </si>
  <si>
    <t>bray</t>
  </si>
  <si>
    <t>encounters</t>
  </si>
  <si>
    <t>pump</t>
  </si>
  <si>
    <t>assault</t>
  </si>
  <si>
    <t>properly</t>
  </si>
  <si>
    <t>filter</t>
  </si>
  <si>
    <t>depending</t>
  </si>
  <si>
    <t>imaginary</t>
  </si>
  <si>
    <t>gap</t>
  </si>
  <si>
    <t>crosses</t>
  </si>
  <si>
    <t>christianity</t>
  </si>
  <si>
    <t>exploring</t>
  </si>
  <si>
    <t>train</t>
  </si>
  <si>
    <t>reigns</t>
  </si>
  <si>
    <t>balanced</t>
  </si>
  <si>
    <t>realizing</t>
  </si>
  <si>
    <t>notes</t>
  </si>
  <si>
    <t>amazement</t>
  </si>
  <si>
    <t>drug</t>
  </si>
  <si>
    <t>campus</t>
  </si>
  <si>
    <t>david</t>
  </si>
  <si>
    <t>purge</t>
  </si>
  <si>
    <t>darkest</t>
  </si>
  <si>
    <t>marvelous</t>
  </si>
  <si>
    <t>text</t>
  </si>
  <si>
    <t>shifted</t>
  </si>
  <si>
    <t>remembrance</t>
  </si>
  <si>
    <t>dodge</t>
  </si>
  <si>
    <t>shu</t>
  </si>
  <si>
    <t>relies</t>
  </si>
  <si>
    <t>salle</t>
  </si>
  <si>
    <t>society</t>
  </si>
  <si>
    <t>implications</t>
  </si>
  <si>
    <t>marks</t>
  </si>
  <si>
    <t>lab</t>
  </si>
  <si>
    <t>television</t>
  </si>
  <si>
    <t>conan</t>
  </si>
  <si>
    <t>staged</t>
  </si>
  <si>
    <t>latest</t>
  </si>
  <si>
    <t>christ</t>
  </si>
  <si>
    <t>web</t>
  </si>
  <si>
    <t>siren</t>
  </si>
  <si>
    <t>margin</t>
  </si>
  <si>
    <t>poking</t>
  </si>
  <si>
    <t>brit</t>
  </si>
  <si>
    <t>consider</t>
  </si>
  <si>
    <t>metropolitan</t>
  </si>
  <si>
    <t>independent</t>
  </si>
  <si>
    <t>holmes</t>
  </si>
  <si>
    <t>williams</t>
  </si>
  <si>
    <t>inspiration</t>
  </si>
  <si>
    <t>mortal</t>
  </si>
  <si>
    <t>degree</t>
  </si>
  <si>
    <t>balancing</t>
  </si>
  <si>
    <t>intent</t>
  </si>
  <si>
    <t>vs</t>
  </si>
  <si>
    <t>mika</t>
  </si>
  <si>
    <t>swear</t>
  </si>
  <si>
    <t>invasion</t>
  </si>
  <si>
    <t>cinematographer</t>
  </si>
  <si>
    <t>bursts</t>
  </si>
  <si>
    <t>goals</t>
  </si>
  <si>
    <t>extreme</t>
  </si>
  <si>
    <t>project</t>
  </si>
  <si>
    <t>mtv</t>
  </si>
  <si>
    <t>bliss</t>
  </si>
  <si>
    <t>decade</t>
  </si>
  <si>
    <t>vietnamese</t>
  </si>
  <si>
    <t>toilet</t>
  </si>
  <si>
    <t>proportions</t>
  </si>
  <si>
    <t>thousands</t>
  </si>
  <si>
    <t>librarian</t>
  </si>
  <si>
    <t>wondering</t>
  </si>
  <si>
    <t>sporadic</t>
  </si>
  <si>
    <t>medical</t>
  </si>
  <si>
    <t>myers</t>
  </si>
  <si>
    <t>variant</t>
  </si>
  <si>
    <t>silent</t>
  </si>
  <si>
    <t>thousand</t>
  </si>
  <si>
    <t>rounded</t>
  </si>
  <si>
    <t>publicity</t>
  </si>
  <si>
    <t>rape</t>
  </si>
  <si>
    <t>captured</t>
  </si>
  <si>
    <t>keen</t>
  </si>
  <si>
    <t>constraints</t>
  </si>
  <si>
    <t>romero</t>
  </si>
  <si>
    <t>household</t>
  </si>
  <si>
    <t>novels</t>
  </si>
  <si>
    <t>households</t>
  </si>
  <si>
    <t>rosario</t>
  </si>
  <si>
    <t>essence</t>
  </si>
  <si>
    <t>leading</t>
  </si>
  <si>
    <t>enhancing</t>
  </si>
  <si>
    <t>aching</t>
  </si>
  <si>
    <t>expected</t>
  </si>
  <si>
    <t>foreign</t>
  </si>
  <si>
    <t>feral</t>
  </si>
  <si>
    <t>kick</t>
  </si>
  <si>
    <t>romeo</t>
  </si>
  <si>
    <t>forbidden</t>
  </si>
  <si>
    <t>humiliated</t>
  </si>
  <si>
    <t>superior</t>
  </si>
  <si>
    <t>unbearable</t>
  </si>
  <si>
    <t>encounter</t>
  </si>
  <si>
    <t>regard</t>
  </si>
  <si>
    <t>personalities</t>
  </si>
  <si>
    <t>hawaiian</t>
  </si>
  <si>
    <t>retiring</t>
  </si>
  <si>
    <t>thankfully</t>
  </si>
  <si>
    <t>twisting</t>
  </si>
  <si>
    <t>spectacular</t>
  </si>
  <si>
    <t>smith</t>
  </si>
  <si>
    <t>cleavage</t>
  </si>
  <si>
    <t>orchard</t>
  </si>
  <si>
    <t>exterior</t>
  </si>
  <si>
    <t>youthful</t>
  </si>
  <si>
    <t>streamlined</t>
  </si>
  <si>
    <t>usually</t>
  </si>
  <si>
    <t>spaces</t>
  </si>
  <si>
    <t>inhabit</t>
  </si>
  <si>
    <t>pot</t>
  </si>
  <si>
    <t>sullivan</t>
  </si>
  <si>
    <t>villains</t>
  </si>
  <si>
    <t>fills</t>
  </si>
  <si>
    <t>encyclopedia</t>
  </si>
  <si>
    <t>guide</t>
  </si>
  <si>
    <t>weave</t>
  </si>
  <si>
    <t>nemesis</t>
  </si>
  <si>
    <t>vaguely</t>
  </si>
  <si>
    <t>display</t>
  </si>
  <si>
    <t>circus</t>
  </si>
  <si>
    <t>learns</t>
  </si>
  <si>
    <t>ethical</t>
  </si>
  <si>
    <t>artistic</t>
  </si>
  <si>
    <t>lina</t>
  </si>
  <si>
    <t>unusually</t>
  </si>
  <si>
    <t>shriek</t>
  </si>
  <si>
    <t>academic</t>
  </si>
  <si>
    <t>shine</t>
  </si>
  <si>
    <t>painting</t>
  </si>
  <si>
    <t>elite</t>
  </si>
  <si>
    <t>cross</t>
  </si>
  <si>
    <t>comedian</t>
  </si>
  <si>
    <t>split</t>
  </si>
  <si>
    <t>bouts</t>
  </si>
  <si>
    <t>collaboration</t>
  </si>
  <si>
    <t>ego</t>
  </si>
  <si>
    <t>round</t>
  </si>
  <si>
    <t>playoff</t>
  </si>
  <si>
    <t>sustained</t>
  </si>
  <si>
    <t>intellectuals</t>
  </si>
  <si>
    <t>driver</t>
  </si>
  <si>
    <t>keel</t>
  </si>
  <si>
    <t>celebrate</t>
  </si>
  <si>
    <t>filling</t>
  </si>
  <si>
    <t>margarita</t>
  </si>
  <si>
    <t>operates</t>
  </si>
  <si>
    <t>surrounding</t>
  </si>
  <si>
    <t>preaching</t>
  </si>
  <si>
    <t>strikes</t>
  </si>
  <si>
    <t>empire</t>
  </si>
  <si>
    <t>recycling</t>
  </si>
  <si>
    <t>dimensional</t>
  </si>
  <si>
    <t>treasure</t>
  </si>
  <si>
    <t>tackled</t>
  </si>
  <si>
    <t>concern</t>
  </si>
  <si>
    <t>wake</t>
  </si>
  <si>
    <t>attached</t>
  </si>
  <si>
    <t>machinery</t>
  </si>
  <si>
    <t>wicked</t>
  </si>
  <si>
    <t>myrtle</t>
  </si>
  <si>
    <t>warn</t>
  </si>
  <si>
    <t>stability</t>
  </si>
  <si>
    <t>futile</t>
  </si>
  <si>
    <t>driven</t>
  </si>
  <si>
    <t>affinity</t>
  </si>
  <si>
    <t>tops</t>
  </si>
  <si>
    <t>basketball</t>
  </si>
  <si>
    <t>hence</t>
  </si>
  <si>
    <t>ninth</t>
  </si>
  <si>
    <t>sympathy</t>
  </si>
  <si>
    <t>authentic</t>
  </si>
  <si>
    <t>fuzzy</t>
  </si>
  <si>
    <t>challenges</t>
  </si>
  <si>
    <t>nouvelle</t>
  </si>
  <si>
    <t>bluff</t>
  </si>
  <si>
    <t>carpets</t>
  </si>
  <si>
    <t>overlook</t>
  </si>
  <si>
    <t>parrot</t>
  </si>
  <si>
    <t>kiss</t>
  </si>
  <si>
    <t>interrogation</t>
  </si>
  <si>
    <t>updated</t>
  </si>
  <si>
    <t>ticking</t>
  </si>
  <si>
    <t>blonde</t>
  </si>
  <si>
    <t>invest</t>
  </si>
  <si>
    <t>x</t>
  </si>
  <si>
    <t>producer</t>
  </si>
  <si>
    <t>sight</t>
  </si>
  <si>
    <t>strands</t>
  </si>
  <si>
    <t>incapable</t>
  </si>
  <si>
    <t>actions</t>
  </si>
  <si>
    <t>drawings</t>
  </si>
  <si>
    <t>prisoners</t>
  </si>
  <si>
    <t>prolific</t>
  </si>
  <si>
    <t>spins</t>
  </si>
  <si>
    <t>hurry</t>
  </si>
  <si>
    <t>lunar</t>
  </si>
  <si>
    <t>grandparents</t>
  </si>
  <si>
    <t>emergence</t>
  </si>
  <si>
    <t>occasionally</t>
  </si>
  <si>
    <t>seven</t>
  </si>
  <si>
    <t>founders</t>
  </si>
  <si>
    <t>expands</t>
  </si>
  <si>
    <t>smash</t>
  </si>
  <si>
    <t>albeit</t>
  </si>
  <si>
    <t>sick</t>
  </si>
  <si>
    <t>sources</t>
  </si>
  <si>
    <t>cannon</t>
  </si>
  <si>
    <t>disturbance</t>
  </si>
  <si>
    <t>plausible</t>
  </si>
  <si>
    <t>enacted</t>
  </si>
  <si>
    <t>skeleton</t>
  </si>
  <si>
    <t>proved</t>
  </si>
  <si>
    <t>bender</t>
  </si>
  <si>
    <t>communal</t>
  </si>
  <si>
    <t>lan</t>
  </si>
  <si>
    <t>benefit</t>
  </si>
  <si>
    <t>charting</t>
  </si>
  <si>
    <t>inner</t>
  </si>
  <si>
    <t>import</t>
  </si>
  <si>
    <t>kurt</t>
  </si>
  <si>
    <t>cares</t>
  </si>
  <si>
    <t>alien</t>
  </si>
  <si>
    <t>jaw</t>
  </si>
  <si>
    <t>immortal</t>
  </si>
  <si>
    <t>coughed</t>
  </si>
  <si>
    <t>varying</t>
  </si>
  <si>
    <t>lighting</t>
  </si>
  <si>
    <t>lens</t>
  </si>
  <si>
    <t>ball</t>
  </si>
  <si>
    <t>losses</t>
  </si>
  <si>
    <t>stark</t>
  </si>
  <si>
    <t>waldo</t>
  </si>
  <si>
    <t>paintings</t>
  </si>
  <si>
    <t>irrational</t>
  </si>
  <si>
    <t>eyelids</t>
  </si>
  <si>
    <t>science</t>
  </si>
  <si>
    <t>engaged</t>
  </si>
  <si>
    <t>rom</t>
  </si>
  <si>
    <t>losing</t>
  </si>
  <si>
    <t>raised</t>
  </si>
  <si>
    <t>incorporate</t>
  </si>
  <si>
    <t>knowledge</t>
  </si>
  <si>
    <t>abandoned</t>
  </si>
  <si>
    <t>revolutionaries</t>
  </si>
  <si>
    <t>tremble</t>
  </si>
  <si>
    <t>teams</t>
  </si>
  <si>
    <t>introducing</t>
  </si>
  <si>
    <t>gibson</t>
  </si>
  <si>
    <t>rode</t>
  </si>
  <si>
    <t>intimidated</t>
  </si>
  <si>
    <t>slap</t>
  </si>
  <si>
    <t>daniel</t>
  </si>
  <si>
    <t>tall</t>
  </si>
  <si>
    <t>1930s</t>
  </si>
  <si>
    <t>race</t>
  </si>
  <si>
    <t>influential</t>
  </si>
  <si>
    <t>associated</t>
  </si>
  <si>
    <t>struggle</t>
  </si>
  <si>
    <t>latter</t>
  </si>
  <si>
    <t>elm</t>
  </si>
  <si>
    <t>challenging</t>
  </si>
  <si>
    <t>conflicts</t>
  </si>
  <si>
    <t>lucky</t>
  </si>
  <si>
    <t>austrian</t>
  </si>
  <si>
    <t>1950s</t>
  </si>
  <si>
    <t>pinnacle</t>
  </si>
  <si>
    <t>lawyers</t>
  </si>
  <si>
    <t>crawl</t>
  </si>
  <si>
    <t>shorts</t>
  </si>
  <si>
    <t>preview</t>
  </si>
  <si>
    <t>unrelated</t>
  </si>
  <si>
    <t>drawing</t>
  </si>
  <si>
    <t>austin</t>
  </si>
  <si>
    <t>blanket</t>
  </si>
  <si>
    <t>disappointment</t>
  </si>
  <si>
    <t>figures</t>
  </si>
  <si>
    <t>enters</t>
  </si>
  <si>
    <t>depicted</t>
  </si>
  <si>
    <t>accurate</t>
  </si>
  <si>
    <t>condensed</t>
  </si>
  <si>
    <t>daytime</t>
  </si>
  <si>
    <t>owen</t>
  </si>
  <si>
    <t>belt</t>
  </si>
  <si>
    <t>candy</t>
  </si>
  <si>
    <t>fashioned</t>
  </si>
  <si>
    <t>chimney</t>
  </si>
  <si>
    <t>heritage</t>
  </si>
  <si>
    <t>updates</t>
  </si>
  <si>
    <t>adds</t>
  </si>
  <si>
    <t>humble</t>
  </si>
  <si>
    <t>freight</t>
  </si>
  <si>
    <t>motivation</t>
  </si>
  <si>
    <t>desert</t>
  </si>
  <si>
    <t>destruction</t>
  </si>
  <si>
    <t>ninety</t>
  </si>
  <si>
    <t>paint</t>
  </si>
  <si>
    <t>missing</t>
  </si>
  <si>
    <t>plant</t>
  </si>
  <si>
    <t>gracefully</t>
  </si>
  <si>
    <t>scratches</t>
  </si>
  <si>
    <t>improvement</t>
  </si>
  <si>
    <t>governance</t>
  </si>
  <si>
    <t>sting</t>
  </si>
  <si>
    <t>fellow</t>
  </si>
  <si>
    <t>thirst</t>
  </si>
  <si>
    <t>hotter</t>
  </si>
  <si>
    <t>rejection</t>
  </si>
  <si>
    <t>barbed</t>
  </si>
  <si>
    <t>valuable</t>
  </si>
  <si>
    <t>lawn</t>
  </si>
  <si>
    <t>tied</t>
  </si>
  <si>
    <t>map</t>
  </si>
  <si>
    <t>explosions</t>
  </si>
  <si>
    <t>landscapes</t>
  </si>
  <si>
    <t>suspend</t>
  </si>
  <si>
    <t>santa</t>
  </si>
  <si>
    <t>reluctant</t>
  </si>
  <si>
    <t>styled</t>
  </si>
  <si>
    <t>skins</t>
  </si>
  <si>
    <t>emphasizing</t>
  </si>
  <si>
    <t>extent</t>
  </si>
  <si>
    <t>smashing</t>
  </si>
  <si>
    <t>unusual</t>
  </si>
  <si>
    <t>units</t>
  </si>
  <si>
    <t>lending</t>
  </si>
  <si>
    <t>dinner</t>
  </si>
  <si>
    <t>sink</t>
  </si>
  <si>
    <t>analyze</t>
  </si>
  <si>
    <t>placement</t>
  </si>
  <si>
    <t>bankrupt</t>
  </si>
  <si>
    <t>revived</t>
  </si>
  <si>
    <t>creed</t>
  </si>
  <si>
    <t>overture</t>
  </si>
  <si>
    <t>releases</t>
  </si>
  <si>
    <t>climb</t>
  </si>
  <si>
    <t>fire</t>
  </si>
  <si>
    <t>fellowship</t>
  </si>
  <si>
    <t>direct</t>
  </si>
  <si>
    <t>comfort</t>
  </si>
  <si>
    <t>sincerely</t>
  </si>
  <si>
    <t>academy</t>
  </si>
  <si>
    <t>employment</t>
  </si>
  <si>
    <t>mexican</t>
  </si>
  <si>
    <t>bodies</t>
  </si>
  <si>
    <t>chick</t>
  </si>
  <si>
    <t>prevention</t>
  </si>
  <si>
    <t>shift</t>
  </si>
  <si>
    <t>valid</t>
  </si>
  <si>
    <t>harm</t>
  </si>
  <si>
    <t>larry</t>
  </si>
  <si>
    <t>forefront</t>
  </si>
  <si>
    <t>peter</t>
  </si>
  <si>
    <t>widely</t>
  </si>
  <si>
    <t>inadequate</t>
  </si>
  <si>
    <t>nonfiction</t>
  </si>
  <si>
    <t>considered</t>
  </si>
  <si>
    <t>madonna</t>
  </si>
  <si>
    <t>graves</t>
  </si>
  <si>
    <t>rhythm</t>
  </si>
  <si>
    <t>remains</t>
  </si>
  <si>
    <t>decidedly</t>
  </si>
  <si>
    <t>peace</t>
  </si>
  <si>
    <t>apocalypse</t>
  </si>
  <si>
    <t>utter</t>
  </si>
  <si>
    <t>divided</t>
  </si>
  <si>
    <t>rigged</t>
  </si>
  <si>
    <t>stuffing</t>
  </si>
  <si>
    <t>valiant</t>
  </si>
  <si>
    <t>gaze</t>
  </si>
  <si>
    <t>facing</t>
  </si>
  <si>
    <t>tooth</t>
  </si>
  <si>
    <t>motown</t>
  </si>
  <si>
    <t>tomorrow</t>
  </si>
  <si>
    <t>disagree</t>
  </si>
  <si>
    <t>youth</t>
  </si>
  <si>
    <t>require</t>
  </si>
  <si>
    <t>muddy</t>
  </si>
  <si>
    <t>communicate</t>
  </si>
  <si>
    <t>israel</t>
  </si>
  <si>
    <t>accountant</t>
  </si>
  <si>
    <t>partly</t>
  </si>
  <si>
    <t>precision</t>
  </si>
  <si>
    <t>arrives</t>
  </si>
  <si>
    <t>bytes</t>
  </si>
  <si>
    <t>fitting</t>
  </si>
  <si>
    <t>michel</t>
  </si>
  <si>
    <t>sons</t>
  </si>
  <si>
    <t>documenting</t>
  </si>
  <si>
    <t>probe</t>
  </si>
  <si>
    <t>expects</t>
  </si>
  <si>
    <t>photography</t>
  </si>
  <si>
    <t>ventures</t>
  </si>
  <si>
    <t>sweat</t>
  </si>
  <si>
    <t>conservative</t>
  </si>
  <si>
    <t>guarded</t>
  </si>
  <si>
    <t>squeeze</t>
  </si>
  <si>
    <t>archibald</t>
  </si>
  <si>
    <t>injuries</t>
  </si>
  <si>
    <t>release</t>
  </si>
  <si>
    <t>kenneth</t>
  </si>
  <si>
    <t>enabling</t>
  </si>
  <si>
    <t>naked</t>
  </si>
  <si>
    <t>arrow</t>
  </si>
  <si>
    <t>stein</t>
  </si>
  <si>
    <t>kane</t>
  </si>
  <si>
    <t>palette</t>
  </si>
  <si>
    <t>fear</t>
  </si>
  <si>
    <t>uncover</t>
  </si>
  <si>
    <t>discuss</t>
  </si>
  <si>
    <t>consolation</t>
  </si>
  <si>
    <t>susceptible</t>
  </si>
  <si>
    <t>dimension</t>
  </si>
  <si>
    <t>sorrow</t>
  </si>
  <si>
    <t>liberalism</t>
  </si>
  <si>
    <t>wasted</t>
  </si>
  <si>
    <t>guitar</t>
  </si>
  <si>
    <t>troopers</t>
  </si>
  <si>
    <t>tiny</t>
  </si>
  <si>
    <t>inevitably</t>
  </si>
  <si>
    <t>powerhouse</t>
  </si>
  <si>
    <t>stepped</t>
  </si>
  <si>
    <t>garcia</t>
  </si>
  <si>
    <t>infants</t>
  </si>
  <si>
    <t>sunset</t>
  </si>
  <si>
    <t>boredom</t>
  </si>
  <si>
    <t>insistence</t>
  </si>
  <si>
    <t>afterwards</t>
  </si>
  <si>
    <t>stitch</t>
  </si>
  <si>
    <t>sadly</t>
  </si>
  <si>
    <t>mental</t>
  </si>
  <si>
    <t>relationship</t>
  </si>
  <si>
    <t>pill</t>
  </si>
  <si>
    <t>retail</t>
  </si>
  <si>
    <t>seek</t>
  </si>
  <si>
    <t>hardware</t>
  </si>
  <si>
    <t>flash</t>
  </si>
  <si>
    <t>beacon</t>
  </si>
  <si>
    <t>jews</t>
  </si>
  <si>
    <t>woodland</t>
  </si>
  <si>
    <t>responsibility</t>
  </si>
  <si>
    <t>pardon</t>
  </si>
  <si>
    <t>finale</t>
  </si>
  <si>
    <t>detailed</t>
  </si>
  <si>
    <t>demise</t>
  </si>
  <si>
    <t>fuss</t>
  </si>
  <si>
    <t>anne</t>
  </si>
  <si>
    <t>neutral</t>
  </si>
  <si>
    <t>sewing</t>
  </si>
  <si>
    <t>models</t>
  </si>
  <si>
    <t>aliens</t>
  </si>
  <si>
    <t>sudden</t>
  </si>
  <si>
    <t>recovering</t>
  </si>
  <si>
    <t>lodging</t>
  </si>
  <si>
    <t>adam</t>
  </si>
  <si>
    <t>volumes</t>
  </si>
  <si>
    <t>brush</t>
  </si>
  <si>
    <t>throwing</t>
  </si>
  <si>
    <t>apply</t>
  </si>
  <si>
    <t>pressed</t>
  </si>
  <si>
    <t>tools</t>
  </si>
  <si>
    <t>odd</t>
  </si>
  <si>
    <t>paths</t>
  </si>
  <si>
    <t>lead</t>
  </si>
  <si>
    <t>contender</t>
  </si>
  <si>
    <t>nose</t>
  </si>
  <si>
    <t>depleted</t>
  </si>
  <si>
    <t>lines</t>
  </si>
  <si>
    <t>styles</t>
  </si>
  <si>
    <t>sword</t>
  </si>
  <si>
    <t>finger</t>
  </si>
  <si>
    <t>define</t>
  </si>
  <si>
    <t>dentist</t>
  </si>
  <si>
    <t>anger</t>
  </si>
  <si>
    <t>teeth</t>
  </si>
  <si>
    <t>sober</t>
  </si>
  <si>
    <t>highlighted</t>
  </si>
  <si>
    <t>miniseries</t>
  </si>
  <si>
    <t>singer</t>
  </si>
  <si>
    <t>chain</t>
  </si>
  <si>
    <t>shifting</t>
  </si>
  <si>
    <t>forming</t>
  </si>
  <si>
    <t>layer</t>
  </si>
  <si>
    <t>physical</t>
  </si>
  <si>
    <t>apollo</t>
  </si>
  <si>
    <t>stunning</t>
  </si>
  <si>
    <t>gestures</t>
  </si>
  <si>
    <t>boundaries</t>
  </si>
  <si>
    <t>terrifying</t>
  </si>
  <si>
    <t>parlor</t>
  </si>
  <si>
    <t>windshield</t>
  </si>
  <si>
    <t>gas</t>
  </si>
  <si>
    <t>technical</t>
  </si>
  <si>
    <t>flame</t>
  </si>
  <si>
    <t>feathers</t>
  </si>
  <si>
    <t>intended</t>
  </si>
  <si>
    <t>carved</t>
  </si>
  <si>
    <t>necessary</t>
  </si>
  <si>
    <t>slowly</t>
  </si>
  <si>
    <t>pleas</t>
  </si>
  <si>
    <t>jersey</t>
  </si>
  <si>
    <t>peek</t>
  </si>
  <si>
    <t>denying</t>
  </si>
  <si>
    <t>distract</t>
  </si>
  <si>
    <t>amir</t>
  </si>
  <si>
    <t>hardened</t>
  </si>
  <si>
    <t>steam</t>
  </si>
  <si>
    <t>nazi</t>
  </si>
  <si>
    <t>appreciation</t>
  </si>
  <si>
    <t>sanity</t>
  </si>
  <si>
    <t>closing</t>
  </si>
  <si>
    <t>bouncing</t>
  </si>
  <si>
    <t>practiced</t>
  </si>
  <si>
    <t>skills</t>
  </si>
  <si>
    <t>forceful</t>
  </si>
  <si>
    <t>centered</t>
  </si>
  <si>
    <t>noteworthy</t>
  </si>
  <si>
    <t>survive</t>
  </si>
  <si>
    <t>highest</t>
  </si>
  <si>
    <t>tainted</t>
  </si>
  <si>
    <t>goth</t>
  </si>
  <si>
    <t>del</t>
  </si>
  <si>
    <t>tongues</t>
  </si>
  <si>
    <t>design</t>
  </si>
  <si>
    <t>showtime</t>
  </si>
  <si>
    <t>scenery</t>
  </si>
  <si>
    <t>timing</t>
  </si>
  <si>
    <t>sacrifice</t>
  </si>
  <si>
    <t>enjoyment</t>
  </si>
  <si>
    <t>admitting</t>
  </si>
  <si>
    <t>bitter</t>
  </si>
  <si>
    <t>bewildered</t>
  </si>
  <si>
    <t>believer</t>
  </si>
  <si>
    <t>supposedly</t>
  </si>
  <si>
    <t>sticks</t>
  </si>
  <si>
    <t>lord</t>
  </si>
  <si>
    <t>tricky</t>
  </si>
  <si>
    <t>approaching</t>
  </si>
  <si>
    <t>captain</t>
  </si>
  <si>
    <t>reflect</t>
  </si>
  <si>
    <t>singing</t>
  </si>
  <si>
    <t>earn</t>
  </si>
  <si>
    <t>claw</t>
  </si>
  <si>
    <t>flower</t>
  </si>
  <si>
    <t>departments</t>
  </si>
  <si>
    <t>faint</t>
  </si>
  <si>
    <t>glow</t>
  </si>
  <si>
    <t>enjoying</t>
  </si>
  <si>
    <t>functions</t>
  </si>
  <si>
    <t>banquet</t>
  </si>
  <si>
    <t>hopeful</t>
  </si>
  <si>
    <t>regards</t>
  </si>
  <si>
    <t>stacked</t>
  </si>
  <si>
    <t>newcomers</t>
  </si>
  <si>
    <t>shame</t>
  </si>
  <si>
    <t>mechanical</t>
  </si>
  <si>
    <t>asia</t>
  </si>
  <si>
    <t>artwork</t>
  </si>
  <si>
    <t>institution</t>
  </si>
  <si>
    <t>resolution</t>
  </si>
  <si>
    <t>fu</t>
  </si>
  <si>
    <t>frames</t>
  </si>
  <si>
    <t>buck</t>
  </si>
  <si>
    <t>punch</t>
  </si>
  <si>
    <t>cheering</t>
  </si>
  <si>
    <t>fide</t>
  </si>
  <si>
    <t>pitched</t>
  </si>
  <si>
    <t>prison</t>
  </si>
  <si>
    <t>recovery</t>
  </si>
  <si>
    <t>hug</t>
  </si>
  <si>
    <t>halloween</t>
  </si>
  <si>
    <t>records</t>
  </si>
  <si>
    <t>rivalry</t>
  </si>
  <si>
    <t>allowing</t>
  </si>
  <si>
    <t>remaining</t>
  </si>
  <si>
    <t>chaos</t>
  </si>
  <si>
    <t>victim</t>
  </si>
  <si>
    <t>grows</t>
  </si>
  <si>
    <t>successes</t>
  </si>
  <si>
    <t>factors</t>
  </si>
  <si>
    <t>mechanics</t>
  </si>
  <si>
    <t>foster</t>
  </si>
  <si>
    <t>resistance</t>
  </si>
  <si>
    <t>pledge</t>
  </si>
  <si>
    <t>smack</t>
  </si>
  <si>
    <t>armed</t>
  </si>
  <si>
    <t>cricket</t>
  </si>
  <si>
    <t>juicy</t>
  </si>
  <si>
    <t>axel</t>
  </si>
  <si>
    <t>athletes</t>
  </si>
  <si>
    <t>12th</t>
  </si>
  <si>
    <t>occasional</t>
  </si>
  <si>
    <t>fumbled</t>
  </si>
  <si>
    <t>slope</t>
  </si>
  <si>
    <t>grown</t>
  </si>
  <si>
    <t>ray</t>
  </si>
  <si>
    <t>breaks</t>
  </si>
  <si>
    <t>ideal</t>
  </si>
  <si>
    <t>unbelievable</t>
  </si>
  <si>
    <t>winds</t>
  </si>
  <si>
    <t>lee</t>
  </si>
  <si>
    <t>monsters</t>
  </si>
  <si>
    <t>swan</t>
  </si>
  <si>
    <t>tree</t>
  </si>
  <si>
    <t>proposal</t>
  </si>
  <si>
    <t>turning</t>
  </si>
  <si>
    <t>erin</t>
  </si>
  <si>
    <t>disease</t>
  </si>
  <si>
    <t>inquiry</t>
  </si>
  <si>
    <t>plunge</t>
  </si>
  <si>
    <t>succeeded</t>
  </si>
  <si>
    <t>immigrant</t>
  </si>
  <si>
    <t>forms</t>
  </si>
  <si>
    <t>uniformly</t>
  </si>
  <si>
    <t>switch</t>
  </si>
  <si>
    <t>salute</t>
  </si>
  <si>
    <t>evaluate</t>
  </si>
  <si>
    <t>diver</t>
  </si>
  <si>
    <t>suggests</t>
  </si>
  <si>
    <t>awarded</t>
  </si>
  <si>
    <t>consistency</t>
  </si>
  <si>
    <t>neck</t>
  </si>
  <si>
    <t>atop</t>
  </si>
  <si>
    <t>unhappy</t>
  </si>
  <si>
    <t>economic</t>
  </si>
  <si>
    <t>sunshine</t>
  </si>
  <si>
    <t>prospect</t>
  </si>
  <si>
    <t>brushes</t>
  </si>
  <si>
    <t>instrument</t>
  </si>
  <si>
    <t>traits</t>
  </si>
  <si>
    <t>trumpet</t>
  </si>
  <si>
    <t>wall</t>
  </si>
  <si>
    <t>insane</t>
  </si>
  <si>
    <t>cage</t>
  </si>
  <si>
    <t>ed</t>
  </si>
  <si>
    <t>luis</t>
  </si>
  <si>
    <t>dedicated</t>
  </si>
  <si>
    <t>rating</t>
  </si>
  <si>
    <t>biased</t>
  </si>
  <si>
    <t>warmed</t>
  </si>
  <si>
    <t>worries</t>
  </si>
  <si>
    <t>intentionally</t>
  </si>
  <si>
    <t>mild</t>
  </si>
  <si>
    <t>numbered</t>
  </si>
  <si>
    <t>leap</t>
  </si>
  <si>
    <t>unstable</t>
  </si>
  <si>
    <t>enthusiasts</t>
  </si>
  <si>
    <t>batting</t>
  </si>
  <si>
    <t>washed</t>
  </si>
  <si>
    <t>bubba</t>
  </si>
  <si>
    <t>granted</t>
  </si>
  <si>
    <t>wonders</t>
  </si>
  <si>
    <t>teenage</t>
  </si>
  <si>
    <t>guarantee</t>
  </si>
  <si>
    <t>sessions</t>
  </si>
  <si>
    <t>upbeat</t>
  </si>
  <si>
    <t>ne</t>
  </si>
  <si>
    <t>voting</t>
  </si>
  <si>
    <t>worship</t>
  </si>
  <si>
    <t>fluent</t>
  </si>
  <si>
    <t>promotion</t>
  </si>
  <si>
    <t>patch</t>
  </si>
  <si>
    <t>metal</t>
  </si>
  <si>
    <t>butt</t>
  </si>
  <si>
    <t>producers</t>
  </si>
  <si>
    <t>struck</t>
  </si>
  <si>
    <t>scare</t>
  </si>
  <si>
    <t>woo</t>
  </si>
  <si>
    <t>sublime</t>
  </si>
  <si>
    <t>aspect</t>
  </si>
  <si>
    <t>numbers</t>
  </si>
  <si>
    <t>palma</t>
  </si>
  <si>
    <t>agenda</t>
  </si>
  <si>
    <t>craft</t>
  </si>
  <si>
    <t>tactics</t>
  </si>
  <si>
    <t>explosion</t>
  </si>
  <si>
    <t>dough</t>
  </si>
  <si>
    <t>warped</t>
  </si>
  <si>
    <t>ears</t>
  </si>
  <si>
    <t>roman</t>
  </si>
  <si>
    <t>brass</t>
  </si>
  <si>
    <t>shear</t>
  </si>
  <si>
    <t>hack</t>
  </si>
  <si>
    <t>puddle</t>
  </si>
  <si>
    <t>salvation</t>
  </si>
  <si>
    <t>disdain</t>
  </si>
  <si>
    <t>bull</t>
  </si>
  <si>
    <t>imagined</t>
  </si>
  <si>
    <t>horse</t>
  </si>
  <si>
    <t>perform</t>
  </si>
  <si>
    <t>severe</t>
  </si>
  <si>
    <t>terrified</t>
  </si>
  <si>
    <t>tract</t>
  </si>
  <si>
    <t>saddle</t>
  </si>
  <si>
    <t>repeatedly</t>
  </si>
  <si>
    <t>respectively</t>
  </si>
  <si>
    <t>chew</t>
  </si>
  <si>
    <t>stages</t>
  </si>
  <si>
    <t>popped</t>
  </si>
  <si>
    <t>towering</t>
  </si>
  <si>
    <t>cocky</t>
  </si>
  <si>
    <t>twenty</t>
  </si>
  <si>
    <t>bump</t>
  </si>
  <si>
    <t>morals</t>
  </si>
  <si>
    <t>anticipated</t>
  </si>
  <si>
    <t>girlfriend</t>
  </si>
  <si>
    <t>highlight</t>
  </si>
  <si>
    <t>presence</t>
  </si>
  <si>
    <t>discontent</t>
  </si>
  <si>
    <t>build</t>
  </si>
  <si>
    <t>noticing</t>
  </si>
  <si>
    <t>gallo</t>
  </si>
  <si>
    <t>evans</t>
  </si>
  <si>
    <t>susan</t>
  </si>
  <si>
    <t>stamp</t>
  </si>
  <si>
    <t>disabilities</t>
  </si>
  <si>
    <t>surplus</t>
  </si>
  <si>
    <t>values</t>
  </si>
  <si>
    <t>specific</t>
  </si>
  <si>
    <t>absent</t>
  </si>
  <si>
    <t>blow</t>
  </si>
  <si>
    <t>conversations</t>
  </si>
  <si>
    <t>coordinated</t>
  </si>
  <si>
    <t>impulse</t>
  </si>
  <si>
    <t>dressed</t>
  </si>
  <si>
    <t>gut</t>
  </si>
  <si>
    <t>tense</t>
  </si>
  <si>
    <t>motivated</t>
  </si>
  <si>
    <t>recruiting</t>
  </si>
  <si>
    <t>sticking</t>
  </si>
  <si>
    <t>dismay</t>
  </si>
  <si>
    <t>loco</t>
  </si>
  <si>
    <t>entry</t>
  </si>
  <si>
    <t>torpedo</t>
  </si>
  <si>
    <t>activate</t>
  </si>
  <si>
    <t>choosing</t>
  </si>
  <si>
    <t>merge</t>
  </si>
  <si>
    <t>confidence</t>
  </si>
  <si>
    <t>twin</t>
  </si>
  <si>
    <t>shudder</t>
  </si>
  <si>
    <t>columbia</t>
  </si>
  <si>
    <t>bruce</t>
  </si>
  <si>
    <t>inappropriate</t>
  </si>
  <si>
    <t>muscles</t>
  </si>
  <si>
    <t>win</t>
  </si>
  <si>
    <t>escapes</t>
  </si>
  <si>
    <t>golden</t>
  </si>
  <si>
    <t>humidity</t>
  </si>
  <si>
    <t>image</t>
  </si>
  <si>
    <t>buying</t>
  </si>
  <si>
    <t>considering</t>
  </si>
  <si>
    <t>presenting</t>
  </si>
  <si>
    <t>napoleon</t>
  </si>
  <si>
    <t>verbal</t>
  </si>
  <si>
    <t>internal</t>
  </si>
  <si>
    <t>career</t>
  </si>
  <si>
    <t>diamond</t>
  </si>
  <si>
    <t>gallery</t>
  </si>
  <si>
    <t>restraint</t>
  </si>
  <si>
    <t>lecture</t>
  </si>
  <si>
    <t>mistake</t>
  </si>
  <si>
    <t>lanes</t>
  </si>
  <si>
    <t>labeled</t>
  </si>
  <si>
    <t>assignment</t>
  </si>
  <si>
    <t>skirts</t>
  </si>
  <si>
    <t>realm</t>
  </si>
  <si>
    <t>mode</t>
  </si>
  <si>
    <t>admit</t>
  </si>
  <si>
    <t>post</t>
  </si>
  <si>
    <t>studied</t>
  </si>
  <si>
    <t>suggesting</t>
  </si>
  <si>
    <t>curious</t>
  </si>
  <si>
    <t>nerves</t>
  </si>
  <si>
    <t>yank</t>
  </si>
  <si>
    <t>leash</t>
  </si>
  <si>
    <t>banking</t>
  </si>
  <si>
    <t>signals</t>
  </si>
  <si>
    <t>pages</t>
  </si>
  <si>
    <t>anchor</t>
  </si>
  <si>
    <t>duel</t>
  </si>
  <si>
    <t>swiftly</t>
  </si>
  <si>
    <t>bridget</t>
  </si>
  <si>
    <t>worlds</t>
  </si>
  <si>
    <t>remote</t>
  </si>
  <si>
    <t>hiding</t>
  </si>
  <si>
    <t>distinct</t>
  </si>
  <si>
    <t>slippery</t>
  </si>
  <si>
    <t>sheer</t>
  </si>
  <si>
    <t>waking</t>
  </si>
  <si>
    <t>hostage</t>
  </si>
  <si>
    <t>bearing</t>
  </si>
  <si>
    <t>curling</t>
  </si>
  <si>
    <t>goo</t>
  </si>
  <si>
    <t>discomfort</t>
  </si>
  <si>
    <t>discovery</t>
  </si>
  <si>
    <t>render</t>
  </si>
  <si>
    <t>indicative</t>
  </si>
  <si>
    <t>properties</t>
  </si>
  <si>
    <t>architect</t>
  </si>
  <si>
    <t>protective</t>
  </si>
  <si>
    <t>tangled</t>
  </si>
  <si>
    <t>witch</t>
  </si>
  <si>
    <t>prank</t>
  </si>
  <si>
    <t>j</t>
  </si>
  <si>
    <t>singh</t>
  </si>
  <si>
    <t>function</t>
  </si>
  <si>
    <t>guiding</t>
  </si>
  <si>
    <t>digital</t>
  </si>
  <si>
    <t>hammer</t>
  </si>
  <si>
    <t>election</t>
  </si>
  <si>
    <t>mixes</t>
  </si>
  <si>
    <t>cows</t>
  </si>
  <si>
    <t>sci</t>
  </si>
  <si>
    <t>instances</t>
  </si>
  <si>
    <t>material</t>
  </si>
  <si>
    <t>sidewalks</t>
  </si>
  <si>
    <t>outrage</t>
  </si>
  <si>
    <t>salt</t>
  </si>
  <si>
    <t>breathing</t>
  </si>
  <si>
    <t>mothers</t>
  </si>
  <si>
    <t>innovative</t>
  </si>
  <si>
    <t>breach</t>
  </si>
  <si>
    <t>experimental</t>
  </si>
  <si>
    <t>nash</t>
  </si>
  <si>
    <t>substitute</t>
  </si>
  <si>
    <t>giants</t>
  </si>
  <si>
    <t>performers</t>
  </si>
  <si>
    <t>bow</t>
  </si>
  <si>
    <t>enforced</t>
  </si>
  <si>
    <t>pic</t>
  </si>
  <si>
    <t>hiatus</t>
  </si>
  <si>
    <t>bands</t>
  </si>
  <si>
    <t>conrad</t>
  </si>
  <si>
    <t>allegedly</t>
  </si>
  <si>
    <t>chen</t>
  </si>
  <si>
    <t>gathering</t>
  </si>
  <si>
    <t>decay</t>
  </si>
  <si>
    <t>belgium</t>
  </si>
  <si>
    <t>crocodile</t>
  </si>
  <si>
    <t>bodily</t>
  </si>
  <si>
    <t>meetings</t>
  </si>
  <si>
    <t>proving</t>
  </si>
  <si>
    <t>spreads</t>
  </si>
  <si>
    <t>fling</t>
  </si>
  <si>
    <t>reef</t>
  </si>
  <si>
    <t>distinctions</t>
  </si>
  <si>
    <t>detention</t>
  </si>
  <si>
    <t>imperfect</t>
  </si>
  <si>
    <t>negotiate</t>
  </si>
  <si>
    <t>criticism</t>
  </si>
  <si>
    <t>mojo</t>
  </si>
  <si>
    <t>twilight</t>
  </si>
  <si>
    <t>nostalgia</t>
  </si>
  <si>
    <t>tie</t>
  </si>
  <si>
    <t>resorts</t>
  </si>
  <si>
    <t>lesbian</t>
  </si>
  <si>
    <t>carl</t>
  </si>
  <si>
    <t>concession</t>
  </si>
  <si>
    <t>rash</t>
  </si>
  <si>
    <t>sought</t>
  </si>
  <si>
    <t>dad</t>
  </si>
  <si>
    <t>yu</t>
  </si>
  <si>
    <t>stray</t>
  </si>
  <si>
    <t>opens</t>
  </si>
  <si>
    <t>ants</t>
  </si>
  <si>
    <t>southern</t>
  </si>
  <si>
    <t>failed</t>
  </si>
  <si>
    <t>lesson</t>
  </si>
  <si>
    <t>unclear</t>
  </si>
  <si>
    <t>maid</t>
  </si>
  <si>
    <t>merchant</t>
  </si>
  <si>
    <t>donna</t>
  </si>
  <si>
    <t>protect</t>
  </si>
  <si>
    <t>chief</t>
  </si>
  <si>
    <t>icon</t>
  </si>
  <si>
    <t>notable</t>
  </si>
  <si>
    <t>minded</t>
  </si>
  <si>
    <t>molly</t>
  </si>
  <si>
    <t>permission</t>
  </si>
  <si>
    <t>ladder</t>
  </si>
  <si>
    <t>rainbow</t>
  </si>
  <si>
    <t>defeated</t>
  </si>
  <si>
    <t>jar</t>
  </si>
  <si>
    <t>imply</t>
  </si>
  <si>
    <t>spine</t>
  </si>
  <si>
    <t>environmental</t>
  </si>
  <si>
    <t>douglas</t>
  </si>
  <si>
    <t>plus</t>
  </si>
  <si>
    <t>efforts</t>
  </si>
  <si>
    <t>topics</t>
  </si>
  <si>
    <t>scrape</t>
  </si>
  <si>
    <t>fade</t>
  </si>
  <si>
    <t>hiss</t>
  </si>
  <si>
    <t>favorably</t>
  </si>
  <si>
    <t>aesthetic</t>
  </si>
  <si>
    <t>urge</t>
  </si>
  <si>
    <t>hurts</t>
  </si>
  <si>
    <t>voices</t>
  </si>
  <si>
    <t>muse</t>
  </si>
  <si>
    <t>intern</t>
  </si>
  <si>
    <t>garbage</t>
  </si>
  <si>
    <t>adams</t>
  </si>
  <si>
    <t>leone</t>
  </si>
  <si>
    <t>pretend</t>
  </si>
  <si>
    <t>boots</t>
  </si>
  <si>
    <t>cloudy</t>
  </si>
  <si>
    <t>lucas</t>
  </si>
  <si>
    <t>clips</t>
  </si>
  <si>
    <t>fighters</t>
  </si>
  <si>
    <t>exchanges</t>
  </si>
  <si>
    <t>staggered</t>
  </si>
  <si>
    <t>robin</t>
  </si>
  <si>
    <t>piercing</t>
  </si>
  <si>
    <t>invincible</t>
  </si>
  <si>
    <t>stranded</t>
  </si>
  <si>
    <t>column</t>
  </si>
  <si>
    <t>sketches</t>
  </si>
  <si>
    <t>lingered</t>
  </si>
  <si>
    <t>buried</t>
  </si>
  <si>
    <t>copenhagen</t>
  </si>
  <si>
    <t>neighborhood</t>
  </si>
  <si>
    <t>someday</t>
  </si>
  <si>
    <t>appreciate</t>
  </si>
  <si>
    <t>drying</t>
  </si>
  <si>
    <t>angel</t>
  </si>
  <si>
    <t>eccentric</t>
  </si>
  <si>
    <t>wholesale</t>
  </si>
  <si>
    <t>calculus</t>
  </si>
  <si>
    <t>bai</t>
  </si>
  <si>
    <t>drunken</t>
  </si>
  <si>
    <t>iii</t>
  </si>
  <si>
    <t>unknown</t>
  </si>
  <si>
    <t>charles</t>
  </si>
  <si>
    <t>boost</t>
  </si>
  <si>
    <t>heavyweight</t>
  </si>
  <si>
    <t>influenced</t>
  </si>
  <si>
    <t>boasts</t>
  </si>
  <si>
    <t>exception</t>
  </si>
  <si>
    <t>reliable</t>
  </si>
  <si>
    <t>abundant</t>
  </si>
  <si>
    <t>accompanying</t>
  </si>
  <si>
    <t>installment</t>
  </si>
  <si>
    <t>exists</t>
  </si>
  <si>
    <t>region</t>
  </si>
  <si>
    <t>franco</t>
  </si>
  <si>
    <t>signing</t>
  </si>
  <si>
    <t>seas</t>
  </si>
  <si>
    <t>relevant</t>
  </si>
  <si>
    <t>collect</t>
  </si>
  <si>
    <t>favors</t>
  </si>
  <si>
    <t>burst</t>
  </si>
  <si>
    <t>triangles</t>
  </si>
  <si>
    <t>investigation</t>
  </si>
  <si>
    <t>injustice</t>
  </si>
  <si>
    <t>eileen</t>
  </si>
  <si>
    <t>swedish</t>
  </si>
  <si>
    <t>emphasis</t>
  </si>
  <si>
    <t>discreet</t>
  </si>
  <si>
    <t>disabled</t>
  </si>
  <si>
    <t>morris</t>
  </si>
  <si>
    <t>rival</t>
  </si>
  <si>
    <t>ace</t>
  </si>
  <si>
    <t>grain</t>
  </si>
  <si>
    <t>scratching</t>
  </si>
  <si>
    <t>pause</t>
  </si>
  <si>
    <t>liking</t>
  </si>
  <si>
    <t>funeral</t>
  </si>
  <si>
    <t>saga</t>
  </si>
  <si>
    <t>haul</t>
  </si>
  <si>
    <t>screwing</t>
  </si>
  <si>
    <t>shirley</t>
  </si>
  <si>
    <t>tinged</t>
  </si>
  <si>
    <t>dangerous</t>
  </si>
  <si>
    <t>arrest</t>
  </si>
  <si>
    <t>nicole</t>
  </si>
  <si>
    <t>distances</t>
  </si>
  <si>
    <t>appeals</t>
  </si>
  <si>
    <t>releasing</t>
  </si>
  <si>
    <t>proceeds</t>
  </si>
  <si>
    <t>prey</t>
  </si>
  <si>
    <t>flush</t>
  </si>
  <si>
    <t>folk</t>
  </si>
  <si>
    <t>nightmare</t>
  </si>
  <si>
    <t>mist</t>
  </si>
  <si>
    <t>needy</t>
  </si>
  <si>
    <t>relying</t>
  </si>
  <si>
    <t>refined</t>
  </si>
  <si>
    <t>angels</t>
  </si>
  <si>
    <t>crane</t>
  </si>
  <si>
    <t>jennifer</t>
  </si>
  <si>
    <t>behave</t>
  </si>
  <si>
    <t>`</t>
  </si>
  <si>
    <t>journalist</t>
  </si>
  <si>
    <t>goodwill</t>
  </si>
  <si>
    <t>excursion</t>
  </si>
  <si>
    <t>certified</t>
  </si>
  <si>
    <t>exasperated</t>
  </si>
  <si>
    <t>believing</t>
  </si>
  <si>
    <t>venice</t>
  </si>
  <si>
    <t>accumulate</t>
  </si>
  <si>
    <t>divorce</t>
  </si>
  <si>
    <t>groove</t>
  </si>
  <si>
    <t>prose</t>
  </si>
  <si>
    <t>klein</t>
  </si>
  <si>
    <t>jealous</t>
  </si>
  <si>
    <t>astronaut</t>
  </si>
  <si>
    <t>hysteria</t>
  </si>
  <si>
    <t>dumped</t>
  </si>
  <si>
    <t>cop</t>
  </si>
  <si>
    <t>cadence</t>
  </si>
  <si>
    <t>rake</t>
  </si>
  <si>
    <t>shaped</t>
  </si>
  <si>
    <t>goose</t>
  </si>
  <si>
    <t>guy</t>
  </si>
  <si>
    <t>deserved</t>
  </si>
  <si>
    <t>phenomena</t>
  </si>
  <si>
    <t>philip</t>
  </si>
  <si>
    <t>hubert</t>
  </si>
  <si>
    <t>ensure</t>
  </si>
  <si>
    <t>uncomfortable</t>
  </si>
  <si>
    <t>glee</t>
  </si>
  <si>
    <t>instincts</t>
  </si>
  <si>
    <t>legendary</t>
  </si>
  <si>
    <t>plastered</t>
  </si>
  <si>
    <t>simultaneously</t>
  </si>
  <si>
    <t>hue</t>
  </si>
  <si>
    <t>magical</t>
  </si>
  <si>
    <t>bo</t>
  </si>
  <si>
    <t>cho</t>
  </si>
  <si>
    <t>jessica</t>
  </si>
  <si>
    <t>orlando</t>
  </si>
  <si>
    <t>flag</t>
  </si>
  <si>
    <t>writers</t>
  </si>
  <si>
    <t>completion</t>
  </si>
  <si>
    <t>definition</t>
  </si>
  <si>
    <t>hunger</t>
  </si>
  <si>
    <t>anywhere</t>
  </si>
  <si>
    <t>expanse</t>
  </si>
  <si>
    <t>predict</t>
  </si>
  <si>
    <t>abrupt</t>
  </si>
  <si>
    <t>curtains</t>
  </si>
  <si>
    <t>described</t>
  </si>
  <si>
    <t>tuck</t>
  </si>
  <si>
    <t>tame</t>
  </si>
  <si>
    <t>daddy</t>
  </si>
  <si>
    <t>superstar</t>
  </si>
  <si>
    <t>cal</t>
  </si>
  <si>
    <t>korea</t>
  </si>
  <si>
    <t>wow</t>
  </si>
  <si>
    <t>succeed</t>
  </si>
  <si>
    <t>investigate</t>
  </si>
  <si>
    <t>yours</t>
  </si>
  <si>
    <t>1960s</t>
  </si>
  <si>
    <t>tolerance</t>
  </si>
  <si>
    <t>roses</t>
  </si>
  <si>
    <t>outright</t>
  </si>
  <si>
    <t>wrapping</t>
  </si>
  <si>
    <t>strokes</t>
  </si>
  <si>
    <t>desires</t>
  </si>
  <si>
    <t>destroy</t>
  </si>
  <si>
    <t>hal</t>
  </si>
  <si>
    <t>disposition</t>
  </si>
  <si>
    <t>contest</t>
  </si>
  <si>
    <t>roots</t>
  </si>
  <si>
    <t>knocks</t>
  </si>
  <si>
    <t>labor</t>
  </si>
  <si>
    <t>organizing</t>
  </si>
  <si>
    <t>pristine</t>
  </si>
  <si>
    <t>developments</t>
  </si>
  <si>
    <t>rescue</t>
  </si>
  <si>
    <t>experiment</t>
  </si>
  <si>
    <t>biting</t>
  </si>
  <si>
    <t>promenade</t>
  </si>
  <si>
    <t>mattered</t>
  </si>
  <si>
    <t>marriage</t>
  </si>
  <si>
    <t>jordan</t>
  </si>
  <si>
    <t>compromise</t>
  </si>
  <si>
    <t>contrast</t>
  </si>
  <si>
    <t>harvey</t>
  </si>
  <si>
    <t>stinging</t>
  </si>
  <si>
    <t>relied</t>
  </si>
  <si>
    <t>pearl</t>
  </si>
  <si>
    <t>launching</t>
  </si>
  <si>
    <t>scooped</t>
  </si>
  <si>
    <t>assassins</t>
  </si>
  <si>
    <t>cheek</t>
  </si>
  <si>
    <t>difficulty</t>
  </si>
  <si>
    <t>crossroads</t>
  </si>
  <si>
    <t>clash</t>
  </si>
  <si>
    <t>applying</t>
  </si>
  <si>
    <t>undercover</t>
  </si>
  <si>
    <t>benefits</t>
  </si>
  <si>
    <t>pairing</t>
  </si>
  <si>
    <t>derek</t>
  </si>
  <si>
    <t>composure</t>
  </si>
  <si>
    <t>capability</t>
  </si>
  <si>
    <t>climbing</t>
  </si>
  <si>
    <t>soothe</t>
  </si>
  <si>
    <t>mystic</t>
  </si>
  <si>
    <t>swallow</t>
  </si>
  <si>
    <t>bind</t>
  </si>
  <si>
    <t>recorded</t>
  </si>
  <si>
    <t>motions</t>
  </si>
  <si>
    <t>nair</t>
  </si>
  <si>
    <t>immune</t>
  </si>
  <si>
    <t>boardwalk</t>
  </si>
  <si>
    <t>analysis</t>
  </si>
  <si>
    <t>tailor</t>
  </si>
  <si>
    <t>gamble</t>
  </si>
  <si>
    <t>swings</t>
  </si>
  <si>
    <t>debate</t>
  </si>
  <si>
    <t>boiling</t>
  </si>
  <si>
    <t>oppressive</t>
  </si>
  <si>
    <t>broader</t>
  </si>
  <si>
    <t>structures</t>
  </si>
  <si>
    <t>spoken</t>
  </si>
  <si>
    <t>confront</t>
  </si>
  <si>
    <t>blazing</t>
  </si>
  <si>
    <t>forgiven</t>
  </si>
  <si>
    <t>melanie</t>
  </si>
  <si>
    <t>pursued</t>
  </si>
  <si>
    <t>interests</t>
  </si>
  <si>
    <t>lonely</t>
  </si>
  <si>
    <t>expressing</t>
  </si>
  <si>
    <t>summons</t>
  </si>
  <si>
    <t>lose</t>
  </si>
  <si>
    <t>gain</t>
  </si>
  <si>
    <t>glitter</t>
  </si>
  <si>
    <t>goldberg</t>
  </si>
  <si>
    <t>guilt</t>
  </si>
  <si>
    <t>forum</t>
  </si>
  <si>
    <t>uniquely</t>
  </si>
  <si>
    <t>mount</t>
  </si>
  <si>
    <t>joan</t>
  </si>
  <si>
    <t>swirling</t>
  </si>
  <si>
    <t>tourists</t>
  </si>
  <si>
    <t>breaking</t>
  </si>
  <si>
    <t>armchair</t>
  </si>
  <si>
    <t>classified</t>
  </si>
  <si>
    <t>wars</t>
  </si>
  <si>
    <t>murray</t>
  </si>
  <si>
    <t>fusion</t>
  </si>
  <si>
    <t>stud</t>
  </si>
  <si>
    <t>garner</t>
  </si>
  <si>
    <t>solo</t>
  </si>
  <si>
    <t>conversion</t>
  </si>
  <si>
    <t>clones</t>
  </si>
  <si>
    <t>criminals</t>
  </si>
  <si>
    <t>urges</t>
  </si>
  <si>
    <t>assign</t>
  </si>
  <si>
    <t>shadows</t>
  </si>
  <si>
    <t>cheerfully</t>
  </si>
  <si>
    <t>choreographed</t>
  </si>
  <si>
    <t>demographic</t>
  </si>
  <si>
    <t>winner</t>
  </si>
  <si>
    <t>press</t>
  </si>
  <si>
    <t>suddenly</t>
  </si>
  <si>
    <t>obligation</t>
  </si>
  <si>
    <t>spiral</t>
  </si>
  <si>
    <t>teens</t>
  </si>
  <si>
    <t>kitten</t>
  </si>
  <si>
    <t>portraits</t>
  </si>
  <si>
    <t>alleged</t>
  </si>
  <si>
    <t>demonstration</t>
  </si>
  <si>
    <t>ragged</t>
  </si>
  <si>
    <t>imposed</t>
  </si>
  <si>
    <t>splitting</t>
  </si>
  <si>
    <t>testing</t>
  </si>
  <si>
    <t>linking</t>
  </si>
  <si>
    <t>henry</t>
  </si>
  <si>
    <t>moaning</t>
  </si>
  <si>
    <t>ralph</t>
  </si>
  <si>
    <t>abroad</t>
  </si>
  <si>
    <t>prince</t>
  </si>
  <si>
    <t>hailed</t>
  </si>
  <si>
    <t>temple</t>
  </si>
  <si>
    <t>collar</t>
  </si>
  <si>
    <t>uk</t>
  </si>
  <si>
    <t>seasonal</t>
  </si>
  <si>
    <t>ke</t>
  </si>
  <si>
    <t>reached</t>
  </si>
  <si>
    <t>notably</t>
  </si>
  <si>
    <t>steamboat</t>
  </si>
  <si>
    <t>willie</t>
  </si>
  <si>
    <t>smeared</t>
  </si>
  <si>
    <t>gifts</t>
  </si>
  <si>
    <t>jane</t>
  </si>
  <si>
    <t>juice</t>
  </si>
  <si>
    <t>generations</t>
  </si>
  <si>
    <t>principals</t>
  </si>
  <si>
    <t>thumbs</t>
  </si>
  <si>
    <t>margins</t>
  </si>
  <si>
    <t>maiden</t>
  </si>
  <si>
    <t>refers</t>
  </si>
  <si>
    <t>portions</t>
  </si>
  <si>
    <t>21st</t>
  </si>
  <si>
    <t>silver</t>
  </si>
  <si>
    <t>thirteen</t>
  </si>
  <si>
    <t>plagued</t>
  </si>
  <si>
    <t>knitting</t>
  </si>
  <si>
    <t>fragile</t>
  </si>
  <si>
    <t>raymond</t>
  </si>
  <si>
    <t>steals</t>
  </si>
  <si>
    <t>teaming</t>
  </si>
  <si>
    <t>diversity</t>
  </si>
  <si>
    <t>trials</t>
  </si>
  <si>
    <t>screening</t>
  </si>
  <si>
    <t>australian</t>
  </si>
  <si>
    <t>pedestal</t>
  </si>
  <si>
    <t>believed</t>
  </si>
  <si>
    <t>pornography</t>
  </si>
  <si>
    <t>toys</t>
  </si>
  <si>
    <t>marred</t>
  </si>
  <si>
    <t>mermaid</t>
  </si>
  <si>
    <t>paris</t>
  </si>
  <si>
    <t>europe</t>
  </si>
  <si>
    <t>zoning</t>
  </si>
  <si>
    <t>critique</t>
  </si>
  <si>
    <t>dive</t>
  </si>
  <si>
    <t>landing</t>
  </si>
  <si>
    <t>resources</t>
  </si>
  <si>
    <t>hatfield</t>
  </si>
  <si>
    <t>thoughtfully</t>
  </si>
  <si>
    <t>hates</t>
  </si>
  <si>
    <t>searches</t>
  </si>
  <si>
    <t>annoyance</t>
  </si>
  <si>
    <t>begun</t>
  </si>
  <si>
    <t>dave</t>
  </si>
  <si>
    <t>ram</t>
  </si>
  <si>
    <t>perennial</t>
  </si>
  <si>
    <t>ransom</t>
  </si>
  <si>
    <t>illustrated</t>
  </si>
  <si>
    <t>oral</t>
  </si>
  <si>
    <t>evolved</t>
  </si>
  <si>
    <t>firth</t>
  </si>
  <si>
    <t>witness</t>
  </si>
  <si>
    <t>vampires</t>
  </si>
  <si>
    <t>fluttering</t>
  </si>
  <si>
    <t>cousin</t>
  </si>
  <si>
    <t>lyrics</t>
  </si>
  <si>
    <t>electric</t>
  </si>
  <si>
    <t>liner</t>
  </si>
  <si>
    <t>gliding</t>
  </si>
  <si>
    <t>seater</t>
  </si>
  <si>
    <t>assets</t>
  </si>
  <si>
    <t>zoe</t>
  </si>
  <si>
    <t>pre</t>
  </si>
  <si>
    <t>robust</t>
  </si>
  <si>
    <t>scratch</t>
  </si>
  <si>
    <t>recognizes</t>
  </si>
  <si>
    <t>childish</t>
  </si>
  <si>
    <t>phantom</t>
  </si>
  <si>
    <t>fuse</t>
  </si>
  <si>
    <t>honoring</t>
  </si>
  <si>
    <t>nick</t>
  </si>
  <si>
    <t>haunted</t>
  </si>
  <si>
    <t>choke</t>
  </si>
  <si>
    <t>awake</t>
  </si>
  <si>
    <t>amusement</t>
  </si>
  <si>
    <t>determine</t>
  </si>
  <si>
    <t>eventually</t>
  </si>
  <si>
    <t>kingdom</t>
  </si>
  <si>
    <t>reunion</t>
  </si>
  <si>
    <t>systematically</t>
  </si>
  <si>
    <t>turf</t>
  </si>
  <si>
    <t>mercy</t>
  </si>
  <si>
    <t>targets</t>
  </si>
  <si>
    <t>bug</t>
  </si>
  <si>
    <t>mid</t>
  </si>
  <si>
    <t>foremost</t>
  </si>
  <si>
    <t>patiently</t>
  </si>
  <si>
    <t>insider</t>
  </si>
  <si>
    <t>reveal</t>
  </si>
  <si>
    <t>edition</t>
  </si>
  <si>
    <t>proof</t>
  </si>
  <si>
    <t>competing</t>
  </si>
  <si>
    <t>concerning</t>
  </si>
  <si>
    <t>ran</t>
  </si>
  <si>
    <t>aspects</t>
  </si>
  <si>
    <t>chatter</t>
  </si>
  <si>
    <t>cure</t>
  </si>
  <si>
    <t>regrets</t>
  </si>
  <si>
    <t>senses</t>
  </si>
  <si>
    <t>multiple</t>
  </si>
  <si>
    <t>pursuing</t>
  </si>
  <si>
    <t>sealed</t>
  </si>
  <si>
    <t>pawn</t>
  </si>
  <si>
    <t>puzzled</t>
  </si>
  <si>
    <t>predominantly</t>
  </si>
  <si>
    <t>jet</t>
  </si>
  <si>
    <t>instance</t>
  </si>
  <si>
    <t>graham</t>
  </si>
  <si>
    <t>kindness</t>
  </si>
  <si>
    <t>gregory</t>
  </si>
  <si>
    <t>unleashed</t>
  </si>
  <si>
    <t>seeming</t>
  </si>
  <si>
    <t>graphic</t>
  </si>
  <si>
    <t>placing</t>
  </si>
  <si>
    <t>blushing</t>
  </si>
  <si>
    <t>reaching</t>
  </si>
  <si>
    <t>orientation</t>
  </si>
  <si>
    <t>persistence</t>
  </si>
  <si>
    <t>spain</t>
  </si>
  <si>
    <t>graphics</t>
  </si>
  <si>
    <t>library</t>
  </si>
  <si>
    <t>damaged</t>
  </si>
  <si>
    <t>fiction</t>
  </si>
  <si>
    <t>hey</t>
  </si>
  <si>
    <t>drill</t>
  </si>
  <si>
    <t>introduce</t>
  </si>
  <si>
    <t>horribly</t>
  </si>
  <si>
    <t>vacation</t>
  </si>
  <si>
    <t>homes</t>
  </si>
  <si>
    <t>drum</t>
  </si>
  <si>
    <t>accepts</t>
  </si>
  <si>
    <t>suitcase</t>
  </si>
  <si>
    <t>reduce</t>
  </si>
  <si>
    <t>tourism</t>
  </si>
  <si>
    <t>educational</t>
  </si>
  <si>
    <t>towers</t>
  </si>
  <si>
    <t>masses</t>
  </si>
  <si>
    <t>filming</t>
  </si>
  <si>
    <t>fi</t>
  </si>
  <si>
    <t>projection</t>
  </si>
  <si>
    <t>defined</t>
  </si>
  <si>
    <t>drinking</t>
  </si>
  <si>
    <t>inexperienced</t>
  </si>
  <si>
    <t>spikes</t>
  </si>
  <si>
    <t>namesake</t>
  </si>
  <si>
    <t>physician</t>
  </si>
  <si>
    <t>manual</t>
  </si>
  <si>
    <t>reminding</t>
  </si>
  <si>
    <t>surfing</t>
  </si>
  <si>
    <t>unemployment</t>
  </si>
  <si>
    <t>disturb</t>
  </si>
  <si>
    <t>addresses</t>
  </si>
  <si>
    <t>ringing</t>
  </si>
  <si>
    <t>bronx</t>
  </si>
  <si>
    <t>underway</t>
  </si>
  <si>
    <t>explode</t>
  </si>
  <si>
    <t>threatened</t>
  </si>
  <si>
    <t>danny</t>
  </si>
  <si>
    <t>grit</t>
  </si>
  <si>
    <t>extension</t>
  </si>
  <si>
    <t>loving</t>
  </si>
  <si>
    <t>vast</t>
  </si>
  <si>
    <t>frequent</t>
  </si>
  <si>
    <t>tenderness</t>
  </si>
  <si>
    <t>sexually</t>
  </si>
  <si>
    <t>julia</t>
  </si>
  <si>
    <t>squad</t>
  </si>
  <si>
    <t>objects</t>
  </si>
  <si>
    <t>eternal</t>
  </si>
  <si>
    <t>newcastle</t>
  </si>
  <si>
    <t>sat</t>
  </si>
  <si>
    <t>religion</t>
  </si>
  <si>
    <t>horses</t>
  </si>
  <si>
    <t>tanks</t>
  </si>
  <si>
    <t>examples</t>
  </si>
  <si>
    <t>rewarded</t>
  </si>
  <si>
    <t>classroom</t>
  </si>
  <si>
    <t>midst</t>
  </si>
  <si>
    <t>comparatively</t>
  </si>
  <si>
    <t>practices</t>
  </si>
  <si>
    <t>bed</t>
  </si>
  <si>
    <t>paws</t>
  </si>
  <si>
    <t>satisfaction</t>
  </si>
  <si>
    <t>sticky</t>
  </si>
  <si>
    <t>berkeley</t>
  </si>
  <si>
    <t>lacey</t>
  </si>
  <si>
    <t>conscious</t>
  </si>
  <si>
    <t>laden</t>
  </si>
  <si>
    <t>captive</t>
  </si>
  <si>
    <t>noticeable</t>
  </si>
  <si>
    <t>cushion</t>
  </si>
  <si>
    <t>acquire</t>
  </si>
  <si>
    <t>disapproval</t>
  </si>
  <si>
    <t>lo</t>
  </si>
  <si>
    <t>bucket</t>
  </si>
  <si>
    <t>sunk</t>
  </si>
  <si>
    <t>jockey</t>
  </si>
  <si>
    <t>killing</t>
  </si>
  <si>
    <t>dual</t>
  </si>
  <si>
    <t>spreading</t>
  </si>
  <si>
    <t>referred</t>
  </si>
  <si>
    <t>floats</t>
  </si>
  <si>
    <t>ivan</t>
  </si>
  <si>
    <t>conducted</t>
  </si>
  <si>
    <t>send</t>
  </si>
  <si>
    <t>glancing</t>
  </si>
  <si>
    <t>adjusting</t>
  </si>
  <si>
    <t>log</t>
  </si>
  <si>
    <t>aftermath</t>
  </si>
  <si>
    <t>don</t>
  </si>
  <si>
    <t>squeezed</t>
  </si>
  <si>
    <t>serene</t>
  </si>
  <si>
    <t>eighties</t>
  </si>
  <si>
    <t>avant</t>
  </si>
  <si>
    <t>definite</t>
  </si>
  <si>
    <t>dazed</t>
  </si>
  <si>
    <t>woods</t>
  </si>
  <si>
    <t>fueled</t>
  </si>
  <si>
    <t>pc</t>
  </si>
  <si>
    <t>sights</t>
  </si>
  <si>
    <t>torn</t>
  </si>
  <si>
    <t>pub</t>
  </si>
  <si>
    <t>undoubtedly</t>
  </si>
  <si>
    <t>philippe</t>
  </si>
  <si>
    <t>swung</t>
  </si>
  <si>
    <t>tang</t>
  </si>
  <si>
    <t>interview</t>
  </si>
  <si>
    <t>homework</t>
  </si>
  <si>
    <t>clicking</t>
  </si>
  <si>
    <t>addict</t>
  </si>
  <si>
    <t>mentioned</t>
  </si>
  <si>
    <t>lax</t>
  </si>
  <si>
    <t>diva</t>
  </si>
  <si>
    <t>bryan</t>
  </si>
  <si>
    <t>negative</t>
  </si>
  <si>
    <t>circles</t>
  </si>
  <si>
    <t>recalling</t>
  </si>
  <si>
    <t>remembered</t>
  </si>
  <si>
    <t>justine</t>
  </si>
  <si>
    <t>cub</t>
  </si>
  <si>
    <t>controlling</t>
  </si>
  <si>
    <t>guardian</t>
  </si>
  <si>
    <t>handy</t>
  </si>
  <si>
    <t>respecting</t>
  </si>
  <si>
    <t>debated</t>
  </si>
  <si>
    <t>auditorium</t>
  </si>
  <si>
    <t>editorial</t>
  </si>
  <si>
    <t>affluent</t>
  </si>
  <si>
    <t>fiji</t>
  </si>
  <si>
    <t>throat</t>
  </si>
  <si>
    <t>available</t>
  </si>
  <si>
    <t>monitor</t>
  </si>
  <si>
    <t>nationwide</t>
  </si>
  <si>
    <t>walls</t>
  </si>
  <si>
    <t>sharing</t>
  </si>
  <si>
    <t>pa</t>
  </si>
  <si>
    <t>exercises</t>
  </si>
  <si>
    <t>feminine</t>
  </si>
  <si>
    <t>naughty</t>
  </si>
  <si>
    <t>irvine</t>
  </si>
  <si>
    <t>joins</t>
  </si>
  <si>
    <t>snake</t>
  </si>
  <si>
    <t>confuse</t>
  </si>
  <si>
    <t>acquainted</t>
  </si>
  <si>
    <t>dominant</t>
  </si>
  <si>
    <t>anton</t>
  </si>
  <si>
    <t>stimulate</t>
  </si>
  <si>
    <t>meant</t>
  </si>
  <si>
    <t>marking</t>
  </si>
  <si>
    <t>marshall</t>
  </si>
  <si>
    <t>streaks</t>
  </si>
  <si>
    <t>renewal</t>
  </si>
  <si>
    <t>writes</t>
  </si>
  <si>
    <t>moist</t>
  </si>
  <si>
    <t>brow</t>
  </si>
  <si>
    <t>wherever</t>
  </si>
  <si>
    <t>charlie</t>
  </si>
  <si>
    <t>flattened</t>
  </si>
  <si>
    <t>mel</t>
  </si>
  <si>
    <t>literature</t>
  </si>
  <si>
    <t>magician</t>
  </si>
  <si>
    <t>workplace</t>
  </si>
  <si>
    <t>trusts</t>
  </si>
  <si>
    <t>clinical</t>
  </si>
  <si>
    <t>mob</t>
  </si>
  <si>
    <t>capped</t>
  </si>
  <si>
    <t>commune</t>
  </si>
  <si>
    <t>chop</t>
  </si>
  <si>
    <t>engulfed</t>
  </si>
  <si>
    <t>expansion</t>
  </si>
  <si>
    <t>considers</t>
  </si>
  <si>
    <t>anarchy</t>
  </si>
  <si>
    <t>envelope</t>
  </si>
  <si>
    <t>misunderstood</t>
  </si>
  <si>
    <t>captives</t>
  </si>
  <si>
    <t>famed</t>
  </si>
  <si>
    <t>stripe</t>
  </si>
  <si>
    <t>johnnie</t>
  </si>
  <si>
    <t>occupational</t>
  </si>
  <si>
    <t>rose</t>
  </si>
  <si>
    <t>crazed</t>
  </si>
  <si>
    <t>agency</t>
  </si>
  <si>
    <t>matrix</t>
  </si>
  <si>
    <t>producing</t>
  </si>
  <si>
    <t>confession</t>
  </si>
  <si>
    <t>wilder</t>
  </si>
  <si>
    <t>readings</t>
  </si>
  <si>
    <t>afghan</t>
  </si>
  <si>
    <t>recreation</t>
  </si>
  <si>
    <t>spade</t>
  </si>
  <si>
    <t>ops</t>
  </si>
  <si>
    <t>wide</t>
  </si>
  <si>
    <t>fits</t>
  </si>
  <si>
    <t>track</t>
  </si>
  <si>
    <t>stranger</t>
  </si>
  <si>
    <t>activities</t>
  </si>
  <si>
    <t>dusty</t>
  </si>
  <si>
    <t>cuba</t>
  </si>
  <si>
    <t>tu</t>
  </si>
  <si>
    <t>bernard</t>
  </si>
  <si>
    <t>unsuccessfully</t>
  </si>
  <si>
    <t>garde</t>
  </si>
  <si>
    <t>flavors</t>
  </si>
  <si>
    <t>province</t>
  </si>
  <si>
    <t>lectured</t>
  </si>
  <si>
    <t>editor</t>
  </si>
  <si>
    <t>cad</t>
  </si>
  <si>
    <t>cheeks</t>
  </si>
  <si>
    <t>translating</t>
  </si>
  <si>
    <t>scientific</t>
  </si>
  <si>
    <t>valentine</t>
  </si>
  <si>
    <t>ample</t>
  </si>
  <si>
    <t>suffered</t>
  </si>
  <si>
    <t>affectionately</t>
  </si>
  <si>
    <t>apex</t>
  </si>
  <si>
    <t>unaware</t>
  </si>
  <si>
    <t>vile</t>
  </si>
  <si>
    <t>bled</t>
  </si>
  <si>
    <t>scar</t>
  </si>
  <si>
    <t>stereo</t>
  </si>
  <si>
    <t>defiant</t>
  </si>
  <si>
    <t>horrified</t>
  </si>
  <si>
    <t>scented</t>
  </si>
  <si>
    <t>acidic</t>
  </si>
  <si>
    <t>defensive</t>
  </si>
  <si>
    <t>conscience</t>
  </si>
  <si>
    <t>rough</t>
  </si>
  <si>
    <t>sanders</t>
  </si>
  <si>
    <t>giggles</t>
  </si>
  <si>
    <t>laser</t>
  </si>
  <si>
    <t>linear</t>
  </si>
  <si>
    <t>separates</t>
  </si>
  <si>
    <t>tonight</t>
  </si>
  <si>
    <t>sparked</t>
  </si>
  <si>
    <t>doorstep</t>
  </si>
  <si>
    <t>wrought</t>
  </si>
  <si>
    <t>defend</t>
  </si>
  <si>
    <t>hardy</t>
  </si>
  <si>
    <t>exceeding</t>
  </si>
  <si>
    <t>geneva</t>
  </si>
  <si>
    <t>catalytic</t>
  </si>
  <si>
    <t>helene</t>
  </si>
  <si>
    <t>amp</t>
  </si>
  <si>
    <t>secondary</t>
  </si>
  <si>
    <t>airs</t>
  </si>
  <si>
    <t>conceal</t>
  </si>
  <si>
    <t>battles</t>
  </si>
  <si>
    <t>clicks</t>
  </si>
  <si>
    <t>doug</t>
  </si>
  <si>
    <t>fright</t>
  </si>
  <si>
    <t>jiang</t>
  </si>
  <si>
    <t>adolescence</t>
  </si>
  <si>
    <t>advocacy</t>
  </si>
  <si>
    <t>sacrificed</t>
  </si>
  <si>
    <t>guise</t>
  </si>
  <si>
    <t>progression</t>
  </si>
  <si>
    <t>formidable</t>
  </si>
  <si>
    <t>zhao</t>
  </si>
  <si>
    <t>traced</t>
  </si>
  <si>
    <t>graffiti</t>
  </si>
  <si>
    <t>demi</t>
  </si>
  <si>
    <t>frankie</t>
  </si>
  <si>
    <t>roland</t>
  </si>
  <si>
    <t>transform</t>
  </si>
  <si>
    <t>twinkle</t>
  </si>
  <si>
    <t>crashing</t>
  </si>
  <si>
    <t>lin</t>
  </si>
  <si>
    <t>revision</t>
  </si>
  <si>
    <t>liu</t>
  </si>
  <si>
    <t>Att</t>
  </si>
  <si>
    <t>LR</t>
  </si>
  <si>
    <t>Att X LR</t>
  </si>
  <si>
    <t>Att X LIME</t>
  </si>
  <si>
    <t>LR x LIME</t>
  </si>
  <si>
    <t>not</t>
  </si>
  <si>
    <t>amazing</t>
  </si>
  <si>
    <t>bland</t>
  </si>
  <si>
    <t>awful</t>
  </si>
  <si>
    <t>poor</t>
  </si>
  <si>
    <t>ina</t>
  </si>
  <si>
    <t>mesmerizing</t>
  </si>
  <si>
    <t>depressing</t>
  </si>
  <si>
    <t>riveting</t>
  </si>
  <si>
    <t>clichés</t>
  </si>
  <si>
    <t>well-acted</t>
  </si>
  <si>
    <t>mis</t>
  </si>
  <si>
    <t>nothing</t>
  </si>
  <si>
    <t>pretentious</t>
  </si>
  <si>
    <t>that'</t>
  </si>
  <si>
    <t>poignant</t>
  </si>
  <si>
    <t>unfunny</t>
  </si>
  <si>
    <t>tedious</t>
  </si>
  <si>
    <t>should</t>
  </si>
  <si>
    <t>##mir</t>
  </si>
  <si>
    <t>.'</t>
  </si>
  <si>
    <t>fresh</t>
  </si>
  <si>
    <t>engrossing</t>
  </si>
  <si>
    <t>gem</t>
  </si>
  <si>
    <t>downer</t>
  </si>
  <si>
    <t>heavy-handed</t>
  </si>
  <si>
    <t>boring</t>
  </si>
  <si>
    <t>.</t>
  </si>
  <si>
    <t>Att(4000) (proper weights)</t>
  </si>
  <si>
    <t>LIME (5000)</t>
  </si>
  <si>
    <t>LxA(5000)</t>
  </si>
  <si>
    <t>Correct Att (3500)</t>
  </si>
  <si>
    <t>Correct LR (1500)</t>
  </si>
  <si>
    <t>GT with ,</t>
  </si>
  <si>
    <t>LR with ,</t>
  </si>
  <si>
    <t>Att with ,</t>
  </si>
  <si>
    <t>LIG with ,</t>
  </si>
  <si>
    <t>LIME with ,</t>
  </si>
  <si>
    <t>LxA with ,</t>
  </si>
  <si>
    <t>loves</t>
  </si>
  <si>
    <t>its</t>
  </si>
  <si>
    <t>satisfied</t>
  </si>
  <si>
    <t>hollywood</t>
  </si>
  <si>
    <t>s</t>
  </si>
  <si>
    <t>can</t>
  </si>
  <si>
    <t>anymore</t>
  </si>
  <si>
    <t>swimming</t>
  </si>
  <si>
    <t>dick</t>
  </si>
  <si>
    <t>they</t>
  </si>
  <si>
    <t>dirty</t>
  </si>
  <si>
    <t>who</t>
  </si>
  <si>
    <t>camps</t>
  </si>
  <si>
    <t>karen</t>
  </si>
  <si>
    <t>acted</t>
  </si>
  <si>
    <t>tucked</t>
  </si>
  <si>
    <t>classic</t>
  </si>
  <si>
    <t>dry</t>
  </si>
  <si>
    <t>very</t>
  </si>
  <si>
    <t>given</t>
  </si>
  <si>
    <t>driving</t>
  </si>
  <si>
    <t>he</t>
  </si>
  <si>
    <t>stuff</t>
  </si>
  <si>
    <t>d</t>
  </si>
  <si>
    <t>cam</t>
  </si>
  <si>
    <t>be</t>
  </si>
  <si>
    <t>talented</t>
  </si>
  <si>
    <t>corporate</t>
  </si>
  <si>
    <t>overall</t>
  </si>
  <si>
    <t>answers</t>
  </si>
  <si>
    <t>absolute</t>
  </si>
  <si>
    <t>marginal</t>
  </si>
  <si>
    <t>;</t>
  </si>
  <si>
    <t>we</t>
  </si>
  <si>
    <t>shows</t>
  </si>
  <si>
    <t>acting</t>
  </si>
  <si>
    <t>!</t>
  </si>
  <si>
    <t>theatre</t>
  </si>
  <si>
    <t>website</t>
  </si>
  <si>
    <t>character</t>
  </si>
  <si>
    <t>gone</t>
  </si>
  <si>
    <t>completely</t>
  </si>
  <si>
    <t>distraction</t>
  </si>
  <si>
    <t>online</t>
  </si>
  <si>
    <t>under</t>
  </si>
  <si>
    <t>)</t>
  </si>
  <si>
    <t>ridiculous</t>
  </si>
  <si>
    <t>justify</t>
  </si>
  <si>
    <t>sea</t>
  </si>
  <si>
    <t>outrageous</t>
  </si>
  <si>
    <t>per</t>
  </si>
  <si>
    <t>suck</t>
  </si>
  <si>
    <t>willing</t>
  </si>
  <si>
    <t>especially</t>
  </si>
  <si>
    <t>sure</t>
  </si>
  <si>
    <t>able</t>
  </si>
  <si>
    <t>glance</t>
  </si>
  <si>
    <t>better</t>
  </si>
  <si>
    <t>screaming</t>
  </si>
  <si>
    <t>save</t>
  </si>
  <si>
    <t>chances</t>
  </si>
  <si>
    <t>path</t>
  </si>
  <si>
    <t>loaded</t>
  </si>
  <si>
    <t>girl</t>
  </si>
  <si>
    <t>studio</t>
  </si>
  <si>
    <t>smooth</t>
  </si>
  <si>
    <t>professional</t>
  </si>
  <si>
    <t>rocky</t>
  </si>
  <si>
    <t>beat</t>
  </si>
  <si>
    <t>diverse</t>
  </si>
  <si>
    <t>extremely</t>
  </si>
  <si>
    <t>plain</t>
  </si>
  <si>
    <t>value</t>
  </si>
  <si>
    <t>waiting</t>
  </si>
  <si>
    <t>distracted</t>
  </si>
  <si>
    <t>european</t>
  </si>
  <si>
    <t>easy</t>
  </si>
  <si>
    <t>diane</t>
  </si>
  <si>
    <t>messages</t>
  </si>
  <si>
    <t>spot</t>
  </si>
  <si>
    <t>organized</t>
  </si>
  <si>
    <t>richard</t>
  </si>
  <si>
    <t>excellent</t>
  </si>
  <si>
    <t>blast</t>
  </si>
  <si>
    <t>private</t>
  </si>
  <si>
    <t>honestly</t>
  </si>
  <si>
    <t>leaving</t>
  </si>
  <si>
    <t>plenty</t>
  </si>
  <si>
    <t>everything</t>
  </si>
  <si>
    <t>my</t>
  </si>
  <si>
    <t>shared</t>
  </si>
  <si>
    <t>reduced</t>
  </si>
  <si>
    <t>frozen</t>
  </si>
  <si>
    <t>greatly</t>
  </si>
  <si>
    <t>free</t>
  </si>
  <si>
    <t>chapter</t>
  </si>
  <si>
    <t>approach</t>
  </si>
  <si>
    <t>instantly</t>
  </si>
  <si>
    <t>looks</t>
  </si>
  <si>
    <t>conclusion</t>
  </si>
  <si>
    <t>always</t>
  </si>
  <si>
    <t>helps</t>
  </si>
  <si>
    <t>avoid</t>
  </si>
  <si>
    <t>equally</t>
  </si>
  <si>
    <t>terrible</t>
  </si>
  <si>
    <t>chicago</t>
  </si>
  <si>
    <t>makers</t>
  </si>
  <si>
    <t>outstanding</t>
  </si>
  <si>
    <t>caught</t>
  </si>
  <si>
    <t>greek</t>
  </si>
  <si>
    <t>slow</t>
  </si>
  <si>
    <t>sufficient</t>
  </si>
  <si>
    <t>rachel</t>
  </si>
  <si>
    <t>heated</t>
  </si>
  <si>
    <t>valley</t>
  </si>
  <si>
    <t>clearly</t>
  </si>
  <si>
    <t>cable</t>
  </si>
  <si>
    <t>existent</t>
  </si>
  <si>
    <t>joke</t>
  </si>
  <si>
    <t>agent</t>
  </si>
  <si>
    <t>terry</t>
  </si>
  <si>
    <t>passing</t>
  </si>
  <si>
    <t>various</t>
  </si>
  <si>
    <t>weird</t>
  </si>
  <si>
    <t>future</t>
  </si>
  <si>
    <t>max</t>
  </si>
  <si>
    <t>talking</t>
  </si>
  <si>
    <t>familiar</t>
  </si>
  <si>
    <t>surviving</t>
  </si>
  <si>
    <t>doubt</t>
  </si>
  <si>
    <t>ll</t>
  </si>
  <si>
    <t>okay</t>
  </si>
  <si>
    <t>witnessed</t>
  </si>
  <si>
    <t>punk</t>
  </si>
  <si>
    <t>highly</t>
  </si>
  <si>
    <t>push</t>
  </si>
  <si>
    <t>mysterious</t>
  </si>
  <si>
    <t>freshly</t>
  </si>
  <si>
    <t>hill</t>
  </si>
  <si>
    <t>domestic</t>
  </si>
  <si>
    <t>traditional</t>
  </si>
  <si>
    <t>bank</t>
  </si>
  <si>
    <t>joseph</t>
  </si>
  <si>
    <t>efficiency</t>
  </si>
  <si>
    <t>perfect</t>
  </si>
  <si>
    <t>franchise</t>
  </si>
  <si>
    <t>opportunity</t>
  </si>
  <si>
    <t>earth</t>
  </si>
  <si>
    <t>mentally</t>
  </si>
  <si>
    <t>dealing</t>
  </si>
  <si>
    <t>mostly</t>
  </si>
  <si>
    <t>rip</t>
  </si>
  <si>
    <t>explanation</t>
  </si>
  <si>
    <t>apart</t>
  </si>
  <si>
    <t>wonderland</t>
  </si>
  <si>
    <t>lifestyle</t>
  </si>
  <si>
    <t>reference</t>
  </si>
  <si>
    <t>sort</t>
  </si>
  <si>
    <t>devoted</t>
  </si>
  <si>
    <t>u</t>
  </si>
  <si>
    <t>flawless</t>
  </si>
  <si>
    <t>broken</t>
  </si>
  <si>
    <t>program</t>
  </si>
  <si>
    <t>loved</t>
  </si>
  <si>
    <t>silence</t>
  </si>
  <si>
    <t>period</t>
  </si>
  <si>
    <t>bonus</t>
  </si>
  <si>
    <t>everyone</t>
  </si>
  <si>
    <t>junior</t>
  </si>
  <si>
    <t>questionable</t>
  </si>
  <si>
    <t>must</t>
  </si>
  <si>
    <t>sad</t>
  </si>
  <si>
    <t>believes</t>
  </si>
  <si>
    <t>com</t>
  </si>
  <si>
    <t>placed</t>
  </si>
  <si>
    <t>truly</t>
  </si>
  <si>
    <t>surprised</t>
  </si>
  <si>
    <t>crazy</t>
  </si>
  <si>
    <t>beats</t>
  </si>
  <si>
    <t>struggled</t>
  </si>
  <si>
    <t>literally</t>
  </si>
  <si>
    <t>obviously</t>
  </si>
  <si>
    <t>reserved</t>
  </si>
  <si>
    <t>thank</t>
  </si>
  <si>
    <t>l</t>
  </si>
  <si>
    <t>amy</t>
  </si>
  <si>
    <t>trek</t>
  </si>
  <si>
    <t>machines</t>
  </si>
  <si>
    <t>environment</t>
  </si>
  <si>
    <t>ah</t>
  </si>
  <si>
    <t>jim</t>
  </si>
  <si>
    <t>f</t>
  </si>
  <si>
    <t>techniques</t>
  </si>
  <si>
    <t>monroe</t>
  </si>
  <si>
    <t>spider</t>
  </si>
  <si>
    <t>strongly</t>
  </si>
  <si>
    <t>act</t>
  </si>
  <si>
    <t>jewish</t>
  </si>
  <si>
    <t>dragged</t>
  </si>
  <si>
    <t>combination</t>
  </si>
  <si>
    <t>grandmother</t>
  </si>
  <si>
    <t>bare</t>
  </si>
  <si>
    <t>edges</t>
  </si>
  <si>
    <t>dated</t>
  </si>
  <si>
    <t>variety</t>
  </si>
  <si>
    <t>saying</t>
  </si>
  <si>
    <t>selection</t>
  </si>
  <si>
    <t>perfectly</t>
  </si>
  <si>
    <t>semi</t>
  </si>
  <si>
    <t>replace</t>
  </si>
  <si>
    <t>jackie</t>
  </si>
  <si>
    <t>quiet</t>
  </si>
  <si>
    <t>exist</t>
  </si>
  <si>
    <t>police</t>
  </si>
  <si>
    <t>tiger</t>
  </si>
  <si>
    <t>philadelphia</t>
  </si>
  <si>
    <t>rolls</t>
  </si>
  <si>
    <t>fell</t>
  </si>
  <si>
    <t>nevertheless</t>
  </si>
  <si>
    <t>credited</t>
  </si>
  <si>
    <t>array</t>
  </si>
  <si>
    <t>attitude</t>
  </si>
  <si>
    <t>sub</t>
  </si>
  <si>
    <t>hungry</t>
  </si>
  <si>
    <t>uh</t>
  </si>
  <si>
    <t>helped</t>
  </si>
  <si>
    <t>indoor</t>
  </si>
  <si>
    <t>somewhere</t>
  </si>
  <si>
    <t>billy</t>
  </si>
  <si>
    <t>below</t>
  </si>
  <si>
    <t>tried</t>
  </si>
  <si>
    <t>violently</t>
  </si>
  <si>
    <t>charlotte</t>
  </si>
  <si>
    <t>landmark</t>
  </si>
  <si>
    <t>argument</t>
  </si>
  <si>
    <t>forward</t>
  </si>
  <si>
    <t>atmosphere</t>
  </si>
  <si>
    <t>jesse</t>
  </si>
  <si>
    <t>daily</t>
  </si>
  <si>
    <t>apparently</t>
  </si>
  <si>
    <t>universe</t>
  </si>
  <si>
    <t>hired</t>
  </si>
  <si>
    <t>eight</t>
  </si>
  <si>
    <t>beer</t>
  </si>
  <si>
    <t>cattle</t>
  </si>
  <si>
    <t>lie</t>
  </si>
  <si>
    <t>rocket</t>
  </si>
  <si>
    <t>reasonable</t>
  </si>
  <si>
    <t>fast</t>
  </si>
  <si>
    <t>northwest</t>
  </si>
  <si>
    <t>divine</t>
  </si>
  <si>
    <t>sally</t>
  </si>
  <si>
    <t>definitely</t>
  </si>
  <si>
    <t>charge</t>
  </si>
  <si>
    <t>la</t>
  </si>
  <si>
    <t>ashley</t>
  </si>
  <si>
    <t>claims</t>
  </si>
  <si>
    <t>clerk</t>
  </si>
  <si>
    <t>elizabeth</t>
  </si>
  <si>
    <t>italian</t>
  </si>
  <si>
    <t>holding</t>
  </si>
  <si>
    <t>focus</t>
  </si>
  <si>
    <t>acceptable</t>
  </si>
  <si>
    <t>dread</t>
  </si>
  <si>
    <t>inadvertently</t>
  </si>
  <si>
    <t>participation</t>
  </si>
  <si>
    <t>smell</t>
  </si>
  <si>
    <t>demand</t>
  </si>
  <si>
    <t>lots</t>
  </si>
  <si>
    <t>separate</t>
  </si>
  <si>
    <t>experiences</t>
  </si>
  <si>
    <t>existing</t>
  </si>
  <si>
    <t>ancient</t>
  </si>
  <si>
    <t>remove</t>
  </si>
  <si>
    <t>elsewhere</t>
  </si>
  <si>
    <t>falling</t>
  </si>
  <si>
    <t>shopping</t>
  </si>
  <si>
    <t>adequate</t>
  </si>
  <si>
    <t>assembly</t>
  </si>
  <si>
    <t>talked</t>
  </si>
  <si>
    <t>spinning</t>
  </si>
  <si>
    <t>signature</t>
  </si>
  <si>
    <t>james</t>
  </si>
  <si>
    <t>tim</t>
  </si>
  <si>
    <t>ignored</t>
  </si>
  <si>
    <t>huge</t>
  </si>
  <si>
    <t>features</t>
  </si>
  <si>
    <t>disappointing</t>
  </si>
  <si>
    <t>visible</t>
  </si>
  <si>
    <t>pathetic</t>
  </si>
  <si>
    <t>hang</t>
  </si>
  <si>
    <t>families</t>
  </si>
  <si>
    <t>she</t>
  </si>
  <si>
    <t>risk</t>
  </si>
  <si>
    <t>model</t>
  </si>
  <si>
    <t>plate</t>
  </si>
  <si>
    <t>louis</t>
  </si>
  <si>
    <t>workers</t>
  </si>
  <si>
    <t>arthur</t>
  </si>
  <si>
    <t>sole</t>
  </si>
  <si>
    <t>sorry</t>
  </si>
  <si>
    <t>starving</t>
  </si>
  <si>
    <t>speaking</t>
  </si>
  <si>
    <t>trust</t>
  </si>
  <si>
    <t>damn</t>
  </si>
  <si>
    <t>telling</t>
  </si>
  <si>
    <t>choice</t>
  </si>
  <si>
    <t>paid</t>
  </si>
  <si>
    <t>restored</t>
  </si>
  <si>
    <t>rocks</t>
  </si>
  <si>
    <t>corn</t>
  </si>
  <si>
    <t>brian</t>
  </si>
  <si>
    <t>blood</t>
  </si>
  <si>
    <t>position</t>
  </si>
  <si>
    <t>killer</t>
  </si>
  <si>
    <t>opposed</t>
  </si>
  <si>
    <t>sin</t>
  </si>
  <si>
    <t>appreciated</t>
  </si>
  <si>
    <t>drives</t>
  </si>
  <si>
    <t>provided</t>
  </si>
  <si>
    <t>disregard</t>
  </si>
  <si>
    <t>scholar</t>
  </si>
  <si>
    <t>useful</t>
  </si>
  <si>
    <t>pro</t>
  </si>
  <si>
    <t>craig</t>
  </si>
  <si>
    <t>trap</t>
  </si>
  <si>
    <t>flows</t>
  </si>
  <si>
    <t>code</t>
  </si>
  <si>
    <t>boys</t>
  </si>
  <si>
    <t>danger</t>
  </si>
  <si>
    <t>springs</t>
  </si>
  <si>
    <t>anthony</t>
  </si>
  <si>
    <t>environments</t>
  </si>
  <si>
    <t>ash</t>
  </si>
  <si>
    <t>boom</t>
  </si>
  <si>
    <t>ignoring</t>
  </si>
  <si>
    <t>coffee</t>
  </si>
  <si>
    <t>nobody</t>
  </si>
  <si>
    <t>personnel</t>
  </si>
  <si>
    <t>san</t>
  </si>
  <si>
    <t>drew</t>
  </si>
  <si>
    <t>decisions</t>
  </si>
  <si>
    <t>shop</t>
  </si>
  <si>
    <t>convenient</t>
  </si>
  <si>
    <t>cat</t>
  </si>
  <si>
    <t>ground</t>
  </si>
  <si>
    <t>diego</t>
  </si>
  <si>
    <t>resulted</t>
  </si>
  <si>
    <t>heaven</t>
  </si>
  <si>
    <t>friendly</t>
  </si>
  <si>
    <t>dancers</t>
  </si>
  <si>
    <t>laid</t>
  </si>
  <si>
    <t>&amp;</t>
  </si>
  <si>
    <t>mike</t>
  </si>
  <si>
    <t>surrounded</t>
  </si>
  <si>
    <t>neat</t>
  </si>
  <si>
    <t>clad</t>
  </si>
  <si>
    <t>books</t>
  </si>
  <si>
    <t>likely</t>
  </si>
  <si>
    <t>shoulder</t>
  </si>
  <si>
    <t>clubs</t>
  </si>
  <si>
    <t>carrying</t>
  </si>
  <si>
    <t>golf</t>
  </si>
  <si>
    <t>birthday</t>
  </si>
  <si>
    <t>immediately</t>
  </si>
  <si>
    <t>rhino</t>
  </si>
  <si>
    <t>comfortable</t>
  </si>
  <si>
    <t>rope</t>
  </si>
  <si>
    <t>clean</t>
  </si>
  <si>
    <t>nervous</t>
  </si>
  <si>
    <t>pushing</t>
  </si>
  <si>
    <t>flying</t>
  </si>
  <si>
    <t>zero</t>
  </si>
  <si>
    <t>surf</t>
  </si>
  <si>
    <t>issue</t>
  </si>
  <si>
    <t>gary</t>
  </si>
  <si>
    <t>ignore</t>
  </si>
  <si>
    <t>contained</t>
  </si>
  <si>
    <t>maintaining</t>
  </si>
  <si>
    <t>luck</t>
  </si>
  <si>
    <t>sport</t>
  </si>
  <si>
    <t>denied</t>
  </si>
  <si>
    <t>defense</t>
  </si>
  <si>
    <t>walking</t>
  </si>
  <si>
    <t>student</t>
  </si>
  <si>
    <t>hated</t>
  </si>
  <si>
    <t>memories</t>
  </si>
  <si>
    <t>represent</t>
  </si>
  <si>
    <t>yesterday</t>
  </si>
  <si>
    <t>favorite</t>
  </si>
  <si>
    <t>killed</t>
  </si>
  <si>
    <t>draft</t>
  </si>
  <si>
    <t>praise</t>
  </si>
  <si>
    <t>happened</t>
  </si>
  <si>
    <t>hidden</t>
  </si>
  <si>
    <t>department</t>
  </si>
  <si>
    <t>quick</t>
  </si>
  <si>
    <t>letter</t>
  </si>
  <si>
    <t>opportunities</t>
  </si>
  <si>
    <t>developers</t>
  </si>
  <si>
    <t>volume</t>
  </si>
  <si>
    <t>ruined</t>
  </si>
  <si>
    <t>scott</t>
  </si>
  <si>
    <t>cost</t>
  </si>
  <si>
    <t>influence</t>
  </si>
  <si>
    <t>tells</t>
  </si>
  <si>
    <t>costume</t>
  </si>
  <si>
    <t>serving</t>
  </si>
  <si>
    <t>closed</t>
  </si>
  <si>
    <t>roughly</t>
  </si>
  <si>
    <t>featured</t>
  </si>
  <si>
    <t>hits</t>
  </si>
  <si>
    <t>tom</t>
  </si>
  <si>
    <t>baby</t>
  </si>
  <si>
    <t>experienced</t>
  </si>
  <si>
    <t>vintage</t>
  </si>
  <si>
    <t>rivals</t>
  </si>
  <si>
    <t>regular</t>
  </si>
  <si>
    <t>bought</t>
  </si>
  <si>
    <t>disappointed</t>
  </si>
  <si>
    <t>agreed</t>
  </si>
  <si>
    <t>realized</t>
  </si>
  <si>
    <t>meeting</t>
  </si>
  <si>
    <t>bowl</t>
  </si>
  <si>
    <t>statements</t>
  </si>
  <si>
    <t>month</t>
  </si>
  <si>
    <t>angry</t>
  </si>
  <si>
    <t>traveled</t>
  </si>
  <si>
    <t>snow</t>
  </si>
  <si>
    <t>cream</t>
  </si>
  <si>
    <t>julie</t>
  </si>
  <si>
    <t>creature</t>
  </si>
  <si>
    <t>bathroom</t>
  </si>
  <si>
    <t>travis</t>
  </si>
  <si>
    <t>says</t>
  </si>
  <si>
    <t>extensive</t>
  </si>
  <si>
    <t>option</t>
  </si>
  <si>
    <t>fields</t>
  </si>
  <si>
    <t>recognized</t>
  </si>
  <si>
    <t>garden</t>
  </si>
  <si>
    <t>fair</t>
  </si>
  <si>
    <t>strings</t>
  </si>
  <si>
    <t>1980s</t>
  </si>
  <si>
    <t>easier</t>
  </si>
  <si>
    <t>handed</t>
  </si>
  <si>
    <t>gods</t>
  </si>
  <si>
    <t>western</t>
  </si>
  <si>
    <t>gold</t>
  </si>
  <si>
    <t>aircraft</t>
  </si>
  <si>
    <t>kate</t>
  </si>
  <si>
    <t>scared</t>
  </si>
  <si>
    <t>doubles</t>
  </si>
  <si>
    <t>stare</t>
  </si>
  <si>
    <t>flies</t>
  </si>
  <si>
    <t>regret</t>
  </si>
  <si>
    <t>e</t>
  </si>
  <si>
    <t>prevent</t>
  </si>
  <si>
    <t>joe</t>
  </si>
  <si>
    <t>efficient</t>
  </si>
  <si>
    <t>medicine</t>
  </si>
  <si>
    <t>jeremy</t>
  </si>
  <si>
    <t>rated</t>
  </si>
  <si>
    <t>follows</t>
  </si>
  <si>
    <t>students</t>
  </si>
  <si>
    <t>closest</t>
  </si>
  <si>
    <t>headed</t>
  </si>
  <si>
    <t>saved</t>
  </si>
  <si>
    <t>blame</t>
  </si>
  <si>
    <t>hatred</t>
  </si>
  <si>
    <t>shell</t>
  </si>
  <si>
    <t>fail</t>
  </si>
  <si>
    <t>average</t>
  </si>
  <si>
    <t>practical</t>
  </si>
  <si>
    <t>thirty</t>
  </si>
  <si>
    <t>racing</t>
  </si>
  <si>
    <t>deliberately</t>
  </si>
  <si>
    <t>sam</t>
  </si>
  <si>
    <t>seattle</t>
  </si>
  <si>
    <t>josh</t>
  </si>
  <si>
    <t>receiving</t>
  </si>
  <si>
    <t>cherry</t>
  </si>
  <si>
    <t>lover</t>
  </si>
  <si>
    <t>crew</t>
  </si>
  <si>
    <t>baseball</t>
  </si>
  <si>
    <t>nights</t>
  </si>
  <si>
    <t>incredible</t>
  </si>
  <si>
    <t>cox</t>
  </si>
  <si>
    <t>choices</t>
  </si>
  <si>
    <t>essential</t>
  </si>
  <si>
    <t>organic</t>
  </si>
  <si>
    <t>lighter</t>
  </si>
  <si>
    <t>specialized</t>
  </si>
  <si>
    <t>mandy</t>
  </si>
  <si>
    <t>super</t>
  </si>
  <si>
    <t>dominated</t>
  </si>
  <si>
    <t>charged</t>
  </si>
  <si>
    <t>finishing</t>
  </si>
  <si>
    <t>occasion</t>
  </si>
  <si>
    <t>paying</t>
  </si>
  <si>
    <t>horrible</t>
  </si>
  <si>
    <t>gotten</t>
  </si>
  <si>
    <t>sent</t>
  </si>
  <si>
    <t>shut</t>
  </si>
  <si>
    <t>bomb</t>
  </si>
  <si>
    <t>refused</t>
  </si>
  <si>
    <t>stronger</t>
  </si>
  <si>
    <t>focuses</t>
  </si>
  <si>
    <t>tough</t>
  </si>
  <si>
    <t>strip</t>
  </si>
  <si>
    <t>steve</t>
  </si>
  <si>
    <t>formal</t>
  </si>
  <si>
    <t>pride</t>
  </si>
  <si>
    <t>distinction</t>
  </si>
  <si>
    <t>fifty</t>
  </si>
  <si>
    <t>til</t>
  </si>
  <si>
    <t>q</t>
  </si>
  <si>
    <t>entered</t>
  </si>
  <si>
    <t>van</t>
  </si>
  <si>
    <t>fortune</t>
  </si>
  <si>
    <t>noticeably</t>
  </si>
  <si>
    <t>downhill</t>
  </si>
  <si>
    <t>slides</t>
  </si>
  <si>
    <t>francisco</t>
  </si>
  <si>
    <t>emerged</t>
  </si>
  <si>
    <t>opposite</t>
  </si>
  <si>
    <t>flowers</t>
  </si>
  <si>
    <t>stellar</t>
  </si>
  <si>
    <t>al</t>
  </si>
  <si>
    <t>asset</t>
  </si>
  <si>
    <t>et</t>
  </si>
  <si>
    <t>fly</t>
  </si>
  <si>
    <t>bush</t>
  </si>
  <si>
    <t>dropped</t>
  </si>
  <si>
    <t>firmly</t>
  </si>
  <si>
    <t>opinion</t>
  </si>
  <si>
    <t>awards</t>
  </si>
  <si>
    <t>pleased</t>
  </si>
  <si>
    <t>sucked</t>
  </si>
  <si>
    <t>explain</t>
  </si>
  <si>
    <t>investment</t>
  </si>
  <si>
    <t>joined</t>
  </si>
  <si>
    <t>le</t>
  </si>
  <si>
    <t>siblings</t>
  </si>
  <si>
    <t>eleven</t>
  </si>
  <si>
    <t>rob</t>
  </si>
  <si>
    <t>brooks</t>
  </si>
  <si>
    <t>guess</t>
  </si>
  <si>
    <t>promised</t>
  </si>
  <si>
    <t>princess</t>
  </si>
  <si>
    <t>fifth</t>
  </si>
  <si>
    <t>therefore</t>
  </si>
  <si>
    <t>appeared</t>
  </si>
  <si>
    <t>lying</t>
  </si>
  <si>
    <t>lily</t>
  </si>
  <si>
    <t>fist</t>
  </si>
  <si>
    <t>hearing</t>
  </si>
  <si>
    <t>discussed</t>
  </si>
  <si>
    <t>escort</t>
  </si>
  <si>
    <t>overwhelmed</t>
  </si>
  <si>
    <t>voyage</t>
  </si>
  <si>
    <t>jr</t>
  </si>
  <si>
    <t>ballet</t>
  </si>
  <si>
    <t>association</t>
  </si>
  <si>
    <t>joint</t>
  </si>
  <si>
    <t>unlimited</t>
  </si>
  <si>
    <t>8th</t>
  </si>
  <si>
    <t>sooner</t>
  </si>
  <si>
    <t>policy</t>
  </si>
  <si>
    <t>earned</t>
  </si>
  <si>
    <t>mario</t>
  </si>
  <si>
    <t>erratic</t>
  </si>
  <si>
    <t>accompanied</t>
  </si>
  <si>
    <t>conditions</t>
  </si>
  <si>
    <t>suggested</t>
  </si>
  <si>
    <t>maintained</t>
  </si>
  <si>
    <t>decline</t>
  </si>
  <si>
    <t>rapidly</t>
  </si>
  <si>
    <t>beijing</t>
  </si>
  <si>
    <t>remained</t>
  </si>
  <si>
    <t>yellow</t>
  </si>
  <si>
    <t>talks</t>
  </si>
  <si>
    <t>couples</t>
  </si>
  <si>
    <t>tail</t>
  </si>
  <si>
    <t>dr</t>
  </si>
  <si>
    <t>rebel</t>
  </si>
  <si>
    <t>couch</t>
  </si>
  <si>
    <t>strategy</t>
  </si>
  <si>
    <t>marketing</t>
  </si>
  <si>
    <t>education</t>
  </si>
  <si>
    <t>und</t>
  </si>
  <si>
    <t>rick</t>
  </si>
  <si>
    <t>beasts</t>
  </si>
  <si>
    <t>trail</t>
  </si>
  <si>
    <t>surveillance</t>
  </si>
  <si>
    <t>fiery</t>
  </si>
  <si>
    <t>stayed</t>
  </si>
  <si>
    <t>extends</t>
  </si>
  <si>
    <t>whenever</t>
  </si>
  <si>
    <t>sale</t>
  </si>
  <si>
    <t>plastic</t>
  </si>
  <si>
    <t>garage</t>
  </si>
  <si>
    <t>prepare</t>
  </si>
  <si>
    <t>shown</t>
  </si>
  <si>
    <t>months</t>
  </si>
  <si>
    <t>feelings</t>
  </si>
  <si>
    <t>downtown</t>
  </si>
  <si>
    <t>heels</t>
  </si>
  <si>
    <t>anniversary</t>
  </si>
  <si>
    <t>wayne</t>
  </si>
  <si>
    <t>grateful</t>
  </si>
  <si>
    <t>discover</t>
  </si>
  <si>
    <t>judge</t>
  </si>
  <si>
    <t>attempted</t>
  </si>
  <si>
    <t>cafe</t>
  </si>
  <si>
    <t>di</t>
  </si>
  <si>
    <t>catherine</t>
  </si>
  <si>
    <t>doors</t>
  </si>
  <si>
    <t>dust</t>
  </si>
  <si>
    <t>continue</t>
  </si>
  <si>
    <t>crossed</t>
  </si>
  <si>
    <t>4th</t>
  </si>
  <si>
    <t>ingredients</t>
  </si>
  <si>
    <t>suppose</t>
  </si>
  <si>
    <t>backed</t>
  </si>
  <si>
    <t>relating</t>
  </si>
  <si>
    <t>riding</t>
  </si>
  <si>
    <t>parallel</t>
  </si>
  <si>
    <t>byron</t>
  </si>
  <si>
    <t>engine</t>
  </si>
  <si>
    <t>join</t>
  </si>
  <si>
    <t>aggressive</t>
  </si>
  <si>
    <t>produces</t>
  </si>
  <si>
    <t>residents</t>
  </si>
  <si>
    <t>iq</t>
  </si>
  <si>
    <t>apple</t>
  </si>
  <si>
    <t>lit</t>
  </si>
  <si>
    <t>mistaken</t>
  </si>
  <si>
    <t>masters</t>
  </si>
  <si>
    <t>er</t>
  </si>
  <si>
    <t>mud</t>
  </si>
  <si>
    <t>unable</t>
  </si>
  <si>
    <t>passed</t>
  </si>
  <si>
    <t>behalf</t>
  </si>
  <si>
    <t>consuming</t>
  </si>
  <si>
    <t>suspended</t>
  </si>
  <si>
    <t>treated</t>
  </si>
  <si>
    <t>intervention</t>
  </si>
  <si>
    <t>pissed</t>
  </si>
  <si>
    <t>holy</t>
  </si>
  <si>
    <t>controlled</t>
  </si>
  <si>
    <t>smoke</t>
  </si>
  <si>
    <t>walker</t>
  </si>
  <si>
    <t>participate</t>
  </si>
  <si>
    <t>recently</t>
  </si>
  <si>
    <t>recommended</t>
  </si>
  <si>
    <t>tested</t>
  </si>
  <si>
    <t>namely</t>
  </si>
  <si>
    <t>sean</t>
  </si>
  <si>
    <t>duty</t>
  </si>
  <si>
    <t>scotland</t>
  </si>
  <si>
    <t>limited</t>
  </si>
  <si>
    <t>baked</t>
  </si>
  <si>
    <t>colin</t>
  </si>
  <si>
    <t>cardboard</t>
  </si>
  <si>
    <t>fault</t>
  </si>
  <si>
    <t>gross</t>
  </si>
  <si>
    <t>demonstrated</t>
  </si>
  <si>
    <t>fruit</t>
  </si>
  <si>
    <t>enforcement</t>
  </si>
  <si>
    <t>equipment</t>
  </si>
  <si>
    <t>threw</t>
  </si>
  <si>
    <t>massive</t>
  </si>
  <si>
    <t>pains</t>
  </si>
  <si>
    <t>June</t>
  </si>
  <si>
    <t>anna</t>
  </si>
  <si>
    <t>principal</t>
  </si>
  <si>
    <t>thomas</t>
  </si>
  <si>
    <t>cars</t>
  </si>
  <si>
    <t>carefully</t>
  </si>
  <si>
    <t>bars</t>
  </si>
  <si>
    <t>meet</t>
  </si>
  <si>
    <t>aid</t>
  </si>
  <si>
    <t>removed</t>
  </si>
  <si>
    <t>queens</t>
  </si>
  <si>
    <t>occupied</t>
  </si>
  <si>
    <t>h</t>
  </si>
  <si>
    <t>ritual</t>
  </si>
  <si>
    <t>improve</t>
  </si>
  <si>
    <t>k</t>
  </si>
  <si>
    <t>trained</t>
  </si>
  <si>
    <t>reporting</t>
  </si>
  <si>
    <t>manager</t>
  </si>
  <si>
    <t>views</t>
  </si>
  <si>
    <t>y</t>
  </si>
  <si>
    <t>secret</t>
  </si>
  <si>
    <t>tapping</t>
  </si>
  <si>
    <t>ordered</t>
  </si>
  <si>
    <t>tend</t>
  </si>
  <si>
    <t>beers</t>
  </si>
  <si>
    <t>twelve</t>
  </si>
  <si>
    <t>outer</t>
  </si>
  <si>
    <t>limits</t>
  </si>
  <si>
    <t>pushed</t>
  </si>
  <si>
    <t>mass</t>
  </si>
  <si>
    <t>spots</t>
  </si>
  <si>
    <t>diner</t>
  </si>
  <si>
    <t>advised</t>
  </si>
  <si>
    <t>approached</t>
  </si>
  <si>
    <t>wrote</t>
  </si>
  <si>
    <t>harbor</t>
  </si>
  <si>
    <t>farm</t>
  </si>
  <si>
    <t>causes</t>
  </si>
  <si>
    <t>border</t>
  </si>
  <si>
    <t>enhanced</t>
  </si>
  <si>
    <t>boss</t>
  </si>
  <si>
    <t>bread</t>
  </si>
  <si>
    <t>maker</t>
  </si>
  <si>
    <t>classes</t>
  </si>
  <si>
    <t>housing</t>
  </si>
  <si>
    <t>options</t>
  </si>
  <si>
    <t>seemed</t>
  </si>
  <si>
    <t>eric</t>
  </si>
  <si>
    <t>ruins</t>
  </si>
  <si>
    <t>contact</t>
  </si>
  <si>
    <t>row</t>
  </si>
  <si>
    <t>limit</t>
  </si>
  <si>
    <t>parties</t>
  </si>
  <si>
    <t>les</t>
  </si>
  <si>
    <t>elderly</t>
  </si>
  <si>
    <t>concrete</t>
  </si>
  <si>
    <t>gray</t>
  </si>
  <si>
    <t>hills</t>
  </si>
  <si>
    <t>ratio</t>
  </si>
  <si>
    <t>matches</t>
  </si>
  <si>
    <t>annoyed</t>
  </si>
  <si>
    <t>replacing</t>
  </si>
  <si>
    <t>7th</t>
  </si>
  <si>
    <t>trio</t>
  </si>
  <si>
    <t>fulfilling</t>
  </si>
  <si>
    <t>discovered</t>
  </si>
  <si>
    <t>supplies</t>
  </si>
  <si>
    <t>argue</t>
  </si>
  <si>
    <t>admitted</t>
  </si>
  <si>
    <t>acres</t>
  </si>
  <si>
    <t>increase</t>
  </si>
  <si>
    <t>teachers</t>
  </si>
  <si>
    <t>reverse</t>
  </si>
  <si>
    <t>inc</t>
  </si>
  <si>
    <t>personally</t>
  </si>
  <si>
    <t>ok</t>
  </si>
  <si>
    <t>entering</t>
  </si>
  <si>
    <t>telephone</t>
  </si>
  <si>
    <t>odor</t>
  </si>
  <si>
    <t>knight</t>
  </si>
  <si>
    <t>respond</t>
  </si>
  <si>
    <t>sixth</t>
  </si>
  <si>
    <t>incident</t>
  </si>
  <si>
    <t>kept</t>
  </si>
  <si>
    <t>pointing</t>
  </si>
  <si>
    <t>faced</t>
  </si>
  <si>
    <t>peaked</t>
  </si>
  <si>
    <t>orange</t>
  </si>
  <si>
    <t>heap</t>
  </si>
  <si>
    <t>feed</t>
  </si>
  <si>
    <t>standing</t>
  </si>
  <si>
    <t>versus</t>
  </si>
  <si>
    <t>soft</t>
  </si>
  <si>
    <t>downs</t>
  </si>
  <si>
    <t>height</t>
  </si>
  <si>
    <t>everywhere</t>
  </si>
  <si>
    <t>crystal</t>
  </si>
  <si>
    <t>bath</t>
  </si>
  <si>
    <t>supply</t>
  </si>
  <si>
    <t>suicide</t>
  </si>
  <si>
    <t>pee</t>
  </si>
  <si>
    <t>eve</t>
  </si>
  <si>
    <t>retreat</t>
  </si>
  <si>
    <t>virgin</t>
  </si>
  <si>
    <t>individuals</t>
  </si>
  <si>
    <t>requiring</t>
  </si>
  <si>
    <t>calling</t>
  </si>
  <si>
    <t>variable</t>
  </si>
  <si>
    <t>whereas</t>
  </si>
  <si>
    <t>fabulous</t>
  </si>
  <si>
    <t>palm</t>
  </si>
  <si>
    <t>routes</t>
  </si>
  <si>
    <t>married</t>
  </si>
  <si>
    <t>pregnant</t>
  </si>
  <si>
    <t>plasma</t>
  </si>
  <si>
    <t>surveyed</t>
  </si>
  <si>
    <t>answered</t>
  </si>
  <si>
    <t>spicy</t>
  </si>
  <si>
    <t>expensive</t>
  </si>
  <si>
    <t>recall</t>
  </si>
  <si>
    <t>males</t>
  </si>
  <si>
    <t>aim</t>
  </si>
  <si>
    <t>underground</t>
  </si>
  <si>
    <t>tar</t>
  </si>
  <si>
    <t>walks</t>
  </si>
  <si>
    <t>write</t>
  </si>
  <si>
    <t>gained</t>
  </si>
  <si>
    <t>fried</t>
  </si>
  <si>
    <t>invented</t>
  </si>
  <si>
    <t>alert</t>
  </si>
  <si>
    <t>property</t>
  </si>
  <si>
    <t>gesture</t>
  </si>
  <si>
    <t>shaw</t>
  </si>
  <si>
    <t>sheets</t>
  </si>
  <si>
    <t>exhibit</t>
  </si>
  <si>
    <t>roy</t>
  </si>
  <si>
    <t>cook</t>
  </si>
  <si>
    <t>steal</t>
  </si>
  <si>
    <t>das</t>
  </si>
  <si>
    <t>endured</t>
  </si>
  <si>
    <t>critic</t>
  </si>
  <si>
    <t>healthy</t>
  </si>
  <si>
    <t>doc</t>
  </si>
  <si>
    <t>nighttime</t>
  </si>
  <si>
    <t>orbit</t>
  </si>
  <si>
    <t>champagne</t>
  </si>
  <si>
    <t>pin</t>
  </si>
  <si>
    <t>method</t>
  </si>
  <si>
    <t>simpson</t>
  </si>
  <si>
    <t>architecture</t>
  </si>
  <si>
    <t>suburban</t>
  </si>
  <si>
    <t>trim</t>
  </si>
  <si>
    <t>crash</t>
  </si>
  <si>
    <t>chill</t>
  </si>
  <si>
    <t>severely</t>
  </si>
  <si>
    <t>waited</t>
  </si>
  <si>
    <t>emergency</t>
  </si>
  <si>
    <t>everybody</t>
  </si>
  <si>
    <t>occur</t>
  </si>
  <si>
    <t>excellence</t>
  </si>
  <si>
    <t>lone</t>
  </si>
  <si>
    <t>launch</t>
  </si>
  <si>
    <t>toy</t>
  </si>
  <si>
    <t>pet</t>
  </si>
  <si>
    <t>items</t>
  </si>
  <si>
    <t>survives</t>
  </si>
  <si>
    <t>porn</t>
  </si>
  <si>
    <t>dylan</t>
  </si>
  <si>
    <t>kidd</t>
  </si>
  <si>
    <t>kinds</t>
  </si>
  <si>
    <t>mission</t>
  </si>
  <si>
    <t>register</t>
  </si>
  <si>
    <t>automatically</t>
  </si>
  <si>
    <t>solely</t>
  </si>
  <si>
    <t>breed</t>
  </si>
  <si>
    <t>phoenix</t>
  </si>
  <si>
    <t>communication</t>
  </si>
  <si>
    <t>mama</t>
  </si>
  <si>
    <t>fork</t>
  </si>
  <si>
    <t>reflected</t>
  </si>
  <si>
    <t>ireland</t>
  </si>
  <si>
    <t>arriving</t>
  </si>
  <si>
    <t>brussels</t>
  </si>
  <si>
    <t>fix</t>
  </si>
  <si>
    <t>apartments</t>
  </si>
  <si>
    <t>jam</t>
  </si>
  <si>
    <t>delay</t>
  </si>
  <si>
    <t>mountains</t>
  </si>
  <si>
    <t>steps</t>
  </si>
  <si>
    <t>protecting</t>
  </si>
  <si>
    <t>schools</t>
  </si>
  <si>
    <t>commitment</t>
  </si>
  <si>
    <t>loyalty</t>
  </si>
  <si>
    <t>requires</t>
  </si>
  <si>
    <t>sending</t>
  </si>
  <si>
    <t>candidate</t>
  </si>
  <si>
    <t>August</t>
  </si>
  <si>
    <t>officer</t>
  </si>
  <si>
    <t>beliefs</t>
  </si>
  <si>
    <t>cuban</t>
  </si>
  <si>
    <t>covered</t>
  </si>
  <si>
    <t>butler</t>
  </si>
  <si>
    <t>proven</t>
  </si>
  <si>
    <t>advanced</t>
  </si>
  <si>
    <t>mediterranean</t>
  </si>
  <si>
    <t>wheels</t>
  </si>
  <si>
    <t>patent</t>
  </si>
  <si>
    <t>lisa</t>
  </si>
  <si>
    <t>jury</t>
  </si>
  <si>
    <t>religious</t>
  </si>
  <si>
    <t>ceo</t>
  </si>
  <si>
    <t>ali</t>
  </si>
  <si>
    <t>communications</t>
  </si>
  <si>
    <t>closure</t>
  </si>
  <si>
    <t>hurried</t>
  </si>
  <si>
    <t>plan</t>
  </si>
  <si>
    <t>castle</t>
  </si>
  <si>
    <t>wing</t>
  </si>
  <si>
    <t>sky</t>
  </si>
  <si>
    <t>prayer</t>
  </si>
  <si>
    <t>essay</t>
  </si>
  <si>
    <t>lasting</t>
  </si>
  <si>
    <t>exposed</t>
  </si>
  <si>
    <t>lifting</t>
  </si>
  <si>
    <t>blond</t>
  </si>
  <si>
    <t>warner</t>
  </si>
  <si>
    <t>types</t>
  </si>
  <si>
    <t>trading</t>
  </si>
  <si>
    <t>echo</t>
  </si>
  <si>
    <t>africa</t>
  </si>
  <si>
    <t>hood</t>
  </si>
  <si>
    <t>occurs</t>
  </si>
  <si>
    <t>leonard</t>
  </si>
  <si>
    <t>leader</t>
  </si>
  <si>
    <t>subsequent</t>
  </si>
  <si>
    <t>michelle</t>
  </si>
  <si>
    <t>centers</t>
  </si>
  <si>
    <t>chocolate</t>
  </si>
  <si>
    <t>drunk</t>
  </si>
  <si>
    <t>considerably</t>
  </si>
  <si>
    <t>relaxed</t>
  </si>
  <si>
    <t>citizen</t>
  </si>
  <si>
    <t>GT x LR</t>
  </si>
  <si>
    <t>GT x Att</t>
  </si>
  <si>
    <t>GT x LIG</t>
  </si>
  <si>
    <t>GT x LIME</t>
  </si>
  <si>
    <t>GT x LxA</t>
  </si>
  <si>
    <t>LR x Att</t>
  </si>
  <si>
    <t>LR x LIG</t>
  </si>
  <si>
    <t>LR x LxA</t>
  </si>
  <si>
    <t>Att x LIG</t>
  </si>
  <si>
    <t>Att x LIME</t>
  </si>
  <si>
    <t>Att x LxA</t>
  </si>
  <si>
    <t>LIG x LxA</t>
  </si>
  <si>
    <t>LIME x LxA</t>
  </si>
  <si>
    <t>GT</t>
  </si>
  <si>
    <t>RQ1</t>
  </si>
  <si>
    <t>LR&gt;LIG&gt;LxA&gt;Att&gt;LIME</t>
  </si>
  <si>
    <t>Attention can be fixed</t>
  </si>
  <si>
    <t xml:space="preserve">Local </t>
  </si>
  <si>
    <t>Global</t>
  </si>
  <si>
    <t>Gradient</t>
  </si>
  <si>
    <t>Non-gradient</t>
  </si>
  <si>
    <t>Post-hoc</t>
  </si>
  <si>
    <t>Learnt</t>
  </si>
  <si>
    <t>LIG&gt;Att&gt;LxA&gt;LIME&gt;GT</t>
  </si>
  <si>
    <t>RQ1b</t>
  </si>
  <si>
    <t>GT X ATT</t>
  </si>
  <si>
    <t>LIG&gt;LxA&gt;LIME&gt;LR&gt;GT</t>
  </si>
  <si>
    <t>RP - RQ</t>
  </si>
  <si>
    <t>IoU - RQ</t>
  </si>
  <si>
    <t>LIG x GT</t>
  </si>
  <si>
    <t>LxA&gt;LR&gt;Att&gt;LIME&gt;GT</t>
  </si>
  <si>
    <t>LIME x GT</t>
  </si>
  <si>
    <t>LIME x Att</t>
  </si>
  <si>
    <t>LIME x LIG</t>
  </si>
  <si>
    <t>RQ2</t>
  </si>
  <si>
    <t>Att&gt;LxA&gt;LIG&gt;LR&gt;GT</t>
  </si>
  <si>
    <t>RQ3</t>
  </si>
  <si>
    <t>LxA x GT</t>
  </si>
  <si>
    <t>LxA x LR</t>
  </si>
  <si>
    <t>LxA x Att</t>
  </si>
  <si>
    <t>LxA x LIG</t>
  </si>
  <si>
    <t>LxA x LIME</t>
  </si>
  <si>
    <t>LxA</t>
  </si>
  <si>
    <t>LIG&gt;LR&gt;Att&gt;LIME&gt;GT</t>
  </si>
  <si>
    <t>Rescaled</t>
  </si>
  <si>
    <t>GT&gt;LIG&gt;LxA&gt;Att&gt;LIME</t>
  </si>
  <si>
    <t>GT&gt;LIG&gt;LIME&gt;LxA&gt;LR</t>
  </si>
  <si>
    <t>GT&gt;LR&gt;LxA&gt;Att&gt;LIME</t>
  </si>
  <si>
    <t>GT&gt;LIG&gt;LR&gt;Att&gt;LIME</t>
  </si>
  <si>
    <t>LIME (5000) - MR</t>
  </si>
  <si>
    <t>LIME (5000) - Yelp</t>
  </si>
  <si>
    <t>Intersection Yelp + MR</t>
  </si>
  <si>
    <t>Intersection MR + GT</t>
  </si>
  <si>
    <t>Unique MR</t>
  </si>
  <si>
    <t>Unique Yelp</t>
  </si>
  <si>
    <t>LIG (5000) - MR</t>
  </si>
  <si>
    <t>LIG (5000) - Yelp</t>
  </si>
  <si>
    <t>LxA (5000) - MR</t>
  </si>
  <si>
    <t>LxA (5000) - Yelp</t>
  </si>
  <si>
    <t>LR - MR</t>
  </si>
  <si>
    <t>LR - Yelp</t>
  </si>
  <si>
    <t>Att - MR</t>
  </si>
  <si>
    <t>Att - Yelp</t>
  </si>
  <si>
    <t>tech</t>
  </si>
  <si>
    <t>review</t>
  </si>
  <si>
    <t>virus</t>
  </si>
  <si>
    <t>stable</t>
  </si>
  <si>
    <t>mouse</t>
  </si>
  <si>
    <t>carpenter</t>
  </si>
  <si>
    <t>nine</t>
  </si>
  <si>
    <t>campaign</t>
  </si>
  <si>
    <t>fourteen</t>
  </si>
  <si>
    <t>cats</t>
  </si>
  <si>
    <t>bent</t>
  </si>
  <si>
    <t>solar</t>
  </si>
  <si>
    <t>hart</t>
  </si>
  <si>
    <t>reader</t>
  </si>
  <si>
    <t>entrance</t>
  </si>
  <si>
    <t>pen</t>
  </si>
  <si>
    <t>restroom</t>
  </si>
  <si>
    <t>verdict</t>
  </si>
  <si>
    <t>g</t>
  </si>
  <si>
    <t>partner</t>
  </si>
  <si>
    <t>commander</t>
  </si>
  <si>
    <t>induced</t>
  </si>
  <si>
    <t>moon</t>
  </si>
  <si>
    <t>rid</t>
  </si>
  <si>
    <t>aw</t>
  </si>
  <si>
    <t>jeff</t>
  </si>
  <si>
    <t>swans</t>
  </si>
  <si>
    <t>founding</t>
  </si>
  <si>
    <t>author</t>
  </si>
  <si>
    <t>trial</t>
  </si>
  <si>
    <t>reviewers</t>
  </si>
  <si>
    <t>sample</t>
  </si>
  <si>
    <t>righteous</t>
  </si>
  <si>
    <t>correctly</t>
  </si>
  <si>
    <t>ownership</t>
  </si>
  <si>
    <t>dial</t>
  </si>
  <si>
    <t>bon</t>
  </si>
  <si>
    <t>concentrate</t>
  </si>
  <si>
    <t>verge</t>
  </si>
  <si>
    <t>cleaner</t>
  </si>
  <si>
    <t>burger</t>
  </si>
  <si>
    <t>stu</t>
  </si>
  <si>
    <t>multi</t>
  </si>
  <si>
    <t>italy</t>
  </si>
  <si>
    <t>breakdown</t>
  </si>
  <si>
    <t>description</t>
  </si>
  <si>
    <t>include</t>
  </si>
  <si>
    <t>dismiss</t>
  </si>
  <si>
    <t>currently</t>
  </si>
  <si>
    <t>matt</t>
  </si>
  <si>
    <t>praised</t>
  </si>
  <si>
    <t>mouthed</t>
  </si>
  <si>
    <t>label</t>
  </si>
  <si>
    <t>expectations</t>
  </si>
  <si>
    <t>hearted</t>
  </si>
  <si>
    <t>basement</t>
  </si>
  <si>
    <t>bob</t>
  </si>
  <si>
    <t>19th</t>
  </si>
  <si>
    <t>col</t>
  </si>
  <si>
    <t>tag</t>
  </si>
  <si>
    <t>ny</t>
  </si>
  <si>
    <t>rod</t>
  </si>
  <si>
    <t>exchange</t>
  </si>
  <si>
    <t>walter</t>
  </si>
  <si>
    <t>mgm</t>
  </si>
  <si>
    <t>penn</t>
  </si>
  <si>
    <t>conceived</t>
  </si>
  <si>
    <t>advertisement</t>
  </si>
  <si>
    <t>met</t>
  </si>
  <si>
    <t>lumber</t>
  </si>
  <si>
    <t>las</t>
  </si>
  <si>
    <t>dam</t>
  </si>
  <si>
    <t>poster</t>
  </si>
  <si>
    <t>largest</t>
  </si>
  <si>
    <t>scary</t>
  </si>
  <si>
    <t>dropping</t>
  </si>
  <si>
    <t>shout</t>
  </si>
  <si>
    <t>boo</t>
  </si>
  <si>
    <t>inter</t>
  </si>
  <si>
    <t>dire</t>
  </si>
  <si>
    <t>alec</t>
  </si>
  <si>
    <t>benjamin</t>
  </si>
  <si>
    <t>usher</t>
  </si>
  <si>
    <t>incredibly</t>
  </si>
  <si>
    <t>thumb</t>
  </si>
  <si>
    <t>whatsoever</t>
  </si>
  <si>
    <t>wire</t>
  </si>
  <si>
    <t>iconic</t>
  </si>
  <si>
    <t>relocated</t>
  </si>
  <si>
    <t>generous</t>
  </si>
  <si>
    <t>ghetto</t>
  </si>
  <si>
    <t>fifteen</t>
  </si>
  <si>
    <t>jazz</t>
  </si>
  <si>
    <t>los</t>
  </si>
  <si>
    <t>capital</t>
  </si>
  <si>
    <t>mimic</t>
  </si>
  <si>
    <t>doctor</t>
  </si>
  <si>
    <t>rude</t>
  </si>
  <si>
    <t>greasy</t>
  </si>
  <si>
    <t>cradle</t>
  </si>
  <si>
    <t>delicious</t>
  </si>
  <si>
    <t>ted</t>
  </si>
  <si>
    <t>metro</t>
  </si>
  <si>
    <t>eats</t>
  </si>
  <si>
    <t>pounding</t>
  </si>
  <si>
    <t>nasty</t>
  </si>
  <si>
    <t>ultra</t>
  </si>
  <si>
    <t>thumping</t>
  </si>
  <si>
    <t>disco</t>
  </si>
  <si>
    <t>turner</t>
  </si>
  <si>
    <t>massacre</t>
  </si>
  <si>
    <t>custom</t>
  </si>
  <si>
    <t>canada</t>
  </si>
  <si>
    <t>canadian</t>
  </si>
  <si>
    <t>ass</t>
  </si>
  <si>
    <t>claws</t>
  </si>
  <si>
    <t>attending</t>
  </si>
  <si>
    <t>educate</t>
  </si>
  <si>
    <t>es</t>
  </si>
  <si>
    <t>slug</t>
  </si>
  <si>
    <t>uno</t>
  </si>
  <si>
    <t>traveler</t>
  </si>
  <si>
    <t>comical</t>
  </si>
  <si>
    <t>bitch</t>
  </si>
  <si>
    <t>mom</t>
  </si>
  <si>
    <t>knife</t>
  </si>
  <si>
    <t>pistol</t>
  </si>
  <si>
    <t>arch</t>
  </si>
  <si>
    <t>factory</t>
  </si>
  <si>
    <t>cape</t>
  </si>
  <si>
    <t>establish</t>
  </si>
  <si>
    <t>confusion</t>
  </si>
  <si>
    <t>muscle</t>
  </si>
  <si>
    <t>worn</t>
  </si>
  <si>
    <t>included</t>
  </si>
  <si>
    <t>brooklyn</t>
  </si>
  <si>
    <t>pg</t>
  </si>
  <si>
    <t>ho</t>
  </si>
  <si>
    <t>boundary</t>
  </si>
  <si>
    <t>fantastic</t>
  </si>
  <si>
    <t>england</t>
  </si>
  <si>
    <t>independence</t>
  </si>
  <si>
    <t>defining</t>
  </si>
  <si>
    <t>government</t>
  </si>
  <si>
    <t>rust</t>
  </si>
  <si>
    <t>integrate</t>
  </si>
  <si>
    <t>caliber</t>
  </si>
  <si>
    <t>def</t>
  </si>
  <si>
    <t>divert</t>
  </si>
  <si>
    <t>georgia</t>
  </si>
  <si>
    <t>whip</t>
  </si>
  <si>
    <t>suits</t>
  </si>
  <si>
    <t>marker</t>
  </si>
  <si>
    <t>buzz</t>
  </si>
  <si>
    <t>pleasantly</t>
  </si>
  <si>
    <t>notch</t>
  </si>
  <si>
    <t>carter</t>
  </si>
  <si>
    <t>ab</t>
  </si>
  <si>
    <t>ing</t>
  </si>
  <si>
    <t>ruthless</t>
  </si>
  <si>
    <t>amateur</t>
  </si>
  <si>
    <t>hank</t>
  </si>
  <si>
    <t>foreman</t>
  </si>
  <si>
    <t>scoop</t>
  </si>
  <si>
    <t>esteem</t>
  </si>
  <si>
    <t>ha</t>
  </si>
  <si>
    <t>z</t>
  </si>
  <si>
    <t>confrontation</t>
  </si>
  <si>
    <t>chemical</t>
  </si>
  <si>
    <t>brazil</t>
  </si>
  <si>
    <t>sleeping</t>
  </si>
  <si>
    <t>pal</t>
  </si>
  <si>
    <t>mommy</t>
  </si>
  <si>
    <t>ant</t>
  </si>
  <si>
    <t>quit</t>
  </si>
  <si>
    <t>ac</t>
  </si>
  <si>
    <t>noticed</t>
  </si>
  <si>
    <t>mir</t>
  </si>
  <si>
    <t>ta</t>
  </si>
  <si>
    <t>tin</t>
  </si>
  <si>
    <t>bra</t>
  </si>
  <si>
    <t>denmark</t>
  </si>
  <si>
    <t>frail</t>
  </si>
  <si>
    <t>oriented</t>
  </si>
  <si>
    <t>decides</t>
  </si>
  <si>
    <t>staggering</t>
  </si>
  <si>
    <t>gulp</t>
  </si>
  <si>
    <t>non</t>
  </si>
  <si>
    <t>achieved</t>
  </si>
  <si>
    <t>antonio</t>
  </si>
  <si>
    <t>lyric</t>
  </si>
  <si>
    <t>prof</t>
  </si>
  <si>
    <t>ma</t>
  </si>
  <si>
    <t>cliff</t>
  </si>
  <si>
    <t>battered</t>
  </si>
  <si>
    <t>mary</t>
  </si>
  <si>
    <t>amazingly</t>
  </si>
  <si>
    <t>vice</t>
  </si>
  <si>
    <t>initially</t>
  </si>
  <si>
    <t>clarke</t>
  </si>
  <si>
    <t>apt</t>
  </si>
  <si>
    <t>reasonably</t>
  </si>
  <si>
    <t>trivial</t>
  </si>
  <si>
    <t>Mar</t>
  </si>
  <si>
    <t>eva</t>
  </si>
  <si>
    <t>founder</t>
  </si>
  <si>
    <t>assess</t>
  </si>
  <si>
    <t>techno</t>
  </si>
  <si>
    <t>maxim</t>
  </si>
  <si>
    <t>hu</t>
  </si>
  <si>
    <t>voiced</t>
  </si>
  <si>
    <t>wanna</t>
  </si>
  <si>
    <t>mason</t>
  </si>
  <si>
    <t>mr</t>
  </si>
  <si>
    <t>barber</t>
  </si>
  <si>
    <t>agree</t>
  </si>
  <si>
    <t>luc</t>
  </si>
  <si>
    <t>selling</t>
  </si>
  <si>
    <t>coat</t>
  </si>
  <si>
    <t>knee</t>
  </si>
  <si>
    <t>reflex</t>
  </si>
  <si>
    <t>tap</t>
  </si>
  <si>
    <t>iron</t>
  </si>
  <si>
    <t>ridden</t>
  </si>
  <si>
    <t>doubtful</t>
  </si>
  <si>
    <t>lieutenant</t>
  </si>
  <si>
    <t>jerk</t>
  </si>
  <si>
    <t>decor</t>
  </si>
  <si>
    <t>ville</t>
  </si>
  <si>
    <t>altering</t>
  </si>
  <si>
    <t>sim</t>
  </si>
  <si>
    <t>mi</t>
  </si>
  <si>
    <t>correct</t>
  </si>
  <si>
    <t>sucking</t>
  </si>
  <si>
    <t>button</t>
  </si>
  <si>
    <t>co</t>
  </si>
  <si>
    <t>vi</t>
  </si>
  <si>
    <t>altogether</t>
  </si>
  <si>
    <t>depend</t>
  </si>
  <si>
    <t>awesome</t>
  </si>
  <si>
    <t>benign</t>
  </si>
  <si>
    <t>visitor</t>
  </si>
  <si>
    <t>caring</t>
  </si>
  <si>
    <t>Jan</t>
  </si>
  <si>
    <t>steer</t>
  </si>
  <si>
    <t>floyd</t>
  </si>
  <si>
    <t>en</t>
  </si>
  <si>
    <t>flowing</t>
  </si>
  <si>
    <t>ushered</t>
  </si>
  <si>
    <t>recommend</t>
  </si>
  <si>
    <t>bothered</t>
  </si>
  <si>
    <t>ex</t>
  </si>
  <si>
    <t>evan</t>
  </si>
  <si>
    <t>coast</t>
  </si>
  <si>
    <t>jesus</t>
  </si>
  <si>
    <t>hopefully</t>
  </si>
  <si>
    <t>describing</t>
  </si>
  <si>
    <t>wheeling</t>
  </si>
  <si>
    <t>der</t>
  </si>
  <si>
    <t>spitting</t>
  </si>
  <si>
    <t>infant</t>
  </si>
  <si>
    <t>rogue</t>
  </si>
  <si>
    <t>patrol</t>
  </si>
  <si>
    <t>shen</t>
  </si>
  <si>
    <t>julian</t>
  </si>
  <si>
    <t>global</t>
  </si>
  <si>
    <t>pressure</t>
  </si>
  <si>
    <t>bu</t>
  </si>
  <si>
    <t>sl</t>
  </si>
  <si>
    <t>ari</t>
  </si>
  <si>
    <t>inducing</t>
  </si>
  <si>
    <t>mate</t>
  </si>
  <si>
    <t>capt</t>
  </si>
  <si>
    <t>freshman</t>
  </si>
  <si>
    <t>concerns</t>
  </si>
  <si>
    <t>sami</t>
  </si>
  <si>
    <t>belong</t>
  </si>
  <si>
    <t>rec</t>
  </si>
  <si>
    <t>anybody</t>
  </si>
  <si>
    <t>yong</t>
  </si>
  <si>
    <t>prepared</t>
  </si>
  <si>
    <t>outdated</t>
  </si>
  <si>
    <t>tee</t>
  </si>
  <si>
    <t>improper</t>
  </si>
  <si>
    <t>began</t>
  </si>
  <si>
    <t>hat</t>
  </si>
  <si>
    <t>shed</t>
  </si>
  <si>
    <t>therapy</t>
  </si>
  <si>
    <t>harmon</t>
  </si>
  <si>
    <t>components</t>
  </si>
  <si>
    <t>neo</t>
  </si>
  <si>
    <t>prone</t>
  </si>
  <si>
    <t>vow</t>
  </si>
  <si>
    <t>po</t>
  </si>
  <si>
    <t>orchestra</t>
  </si>
  <si>
    <t>cu</t>
  </si>
  <si>
    <t>ar</t>
  </si>
  <si>
    <t>alexander</t>
  </si>
  <si>
    <t>cum</t>
  </si>
  <si>
    <t>demo</t>
  </si>
  <si>
    <t>eng</t>
  </si>
  <si>
    <t>ang</t>
  </si>
  <si>
    <t>mo</t>
  </si>
  <si>
    <t>tempered</t>
  </si>
  <si>
    <t>stir</t>
  </si>
  <si>
    <t>bus</t>
  </si>
  <si>
    <t>supreme</t>
  </si>
  <si>
    <t>civil</t>
  </si>
  <si>
    <t>rafael</t>
  </si>
  <si>
    <t>steaming</t>
  </si>
  <si>
    <t>painter</t>
  </si>
  <si>
    <t>af</t>
  </si>
  <si>
    <t>intention</t>
  </si>
  <si>
    <t>privileged</t>
  </si>
  <si>
    <t>fa</t>
  </si>
  <si>
    <t>phil</t>
  </si>
  <si>
    <t>uncommon</t>
  </si>
  <si>
    <t>abc</t>
  </si>
  <si>
    <t>sarah</t>
  </si>
  <si>
    <t>ki</t>
  </si>
  <si>
    <t>link</t>
  </si>
  <si>
    <t>gen</t>
  </si>
  <si>
    <t>un</t>
  </si>
  <si>
    <t>fang</t>
  </si>
  <si>
    <t>jo</t>
  </si>
  <si>
    <t>fighter</t>
  </si>
  <si>
    <t>mcdonald</t>
  </si>
  <si>
    <t>sir</t>
  </si>
  <si>
    <t>polite</t>
  </si>
  <si>
    <t>appetite</t>
  </si>
  <si>
    <t>pu</t>
  </si>
  <si>
    <t>firm</t>
  </si>
  <si>
    <t>strive</t>
  </si>
  <si>
    <t>adrian</t>
  </si>
  <si>
    <t>pac</t>
  </si>
  <si>
    <t>disneyland</t>
  </si>
  <si>
    <t>nan</t>
  </si>
  <si>
    <t>ga</t>
  </si>
  <si>
    <t>lang</t>
  </si>
  <si>
    <t>disturbed</t>
  </si>
  <si>
    <t>scotch</t>
  </si>
  <si>
    <t>accessibility</t>
  </si>
  <si>
    <t>broke</t>
  </si>
  <si>
    <t>owed</t>
  </si>
  <si>
    <t>faux</t>
  </si>
  <si>
    <t>perfection</t>
  </si>
  <si>
    <t>chi</t>
  </si>
  <si>
    <t>consists</t>
  </si>
  <si>
    <t>route</t>
  </si>
  <si>
    <t>exotic</t>
  </si>
  <si>
    <t>poke</t>
  </si>
  <si>
    <t>finer</t>
  </si>
  <si>
    <t>population</t>
  </si>
  <si>
    <t>furious</t>
  </si>
  <si>
    <t>bout</t>
  </si>
  <si>
    <t>info</t>
  </si>
  <si>
    <t>tons</t>
  </si>
  <si>
    <t>arrived</t>
  </si>
  <si>
    <t>fest</t>
  </si>
  <si>
    <t>exceptional</t>
  </si>
  <si>
    <t>returned</t>
  </si>
  <si>
    <t>chains</t>
  </si>
  <si>
    <t>gig</t>
  </si>
  <si>
    <t>paradox</t>
  </si>
  <si>
    <t>fred</t>
  </si>
  <si>
    <t>pedro</t>
  </si>
  <si>
    <t>kim</t>
  </si>
  <si>
    <t>size</t>
  </si>
  <si>
    <t>creator</t>
  </si>
  <si>
    <t>tad</t>
  </si>
  <si>
    <t>du</t>
  </si>
  <si>
    <t>refer</t>
  </si>
  <si>
    <t>jean</t>
  </si>
  <si>
    <t>mini</t>
  </si>
  <si>
    <t>tub</t>
  </si>
  <si>
    <t>playboy</t>
  </si>
  <si>
    <t>doubts</t>
  </si>
  <si>
    <t>clothing</t>
  </si>
  <si>
    <t>disgusting</t>
  </si>
  <si>
    <t>carlos</t>
  </si>
  <si>
    <t>counter</t>
  </si>
  <si>
    <t>fundamental</t>
  </si>
  <si>
    <t>worker</t>
  </si>
  <si>
    <t>helping</t>
  </si>
  <si>
    <t>marcus</t>
  </si>
  <si>
    <t>destroying</t>
  </si>
  <si>
    <t>March</t>
  </si>
  <si>
    <t>lucy</t>
  </si>
  <si>
    <t>informed</t>
  </si>
  <si>
    <t>crossing</t>
  </si>
  <si>
    <t>jimmy</t>
  </si>
  <si>
    <t>slide</t>
  </si>
  <si>
    <t>health</t>
  </si>
  <si>
    <t>chester</t>
  </si>
  <si>
    <t>holland</t>
  </si>
  <si>
    <t>idiot</t>
  </si>
  <si>
    <t>jacob</t>
  </si>
  <si>
    <t>fort</t>
  </si>
  <si>
    <t>transport</t>
  </si>
  <si>
    <t>oil</t>
  </si>
  <si>
    <t>beating</t>
  </si>
  <si>
    <t>affect</t>
  </si>
  <si>
    <t>den</t>
  </si>
  <si>
    <t>representing</t>
  </si>
  <si>
    <t>boston</t>
  </si>
  <si>
    <t>composer</t>
  </si>
  <si>
    <t>slave</t>
  </si>
  <si>
    <t>stones</t>
  </si>
  <si>
    <t>spending</t>
  </si>
  <si>
    <t>annual</t>
  </si>
  <si>
    <t>advertising</t>
  </si>
  <si>
    <t>sc</t>
  </si>
  <si>
    <t>morrison</t>
  </si>
  <si>
    <t>luke</t>
  </si>
  <si>
    <t>stress</t>
  </si>
  <si>
    <t>differences</t>
  </si>
  <si>
    <t>vertical</t>
  </si>
  <si>
    <t>rogers</t>
  </si>
  <si>
    <t>victor</t>
  </si>
  <si>
    <t>perry</t>
  </si>
  <si>
    <t>mail</t>
  </si>
  <si>
    <t>arm</t>
  </si>
  <si>
    <t>opposition</t>
  </si>
  <si>
    <t>cap</t>
  </si>
  <si>
    <t>April</t>
  </si>
  <si>
    <t>skull</t>
  </si>
  <si>
    <t>flames</t>
  </si>
  <si>
    <t>roads</t>
  </si>
  <si>
    <t>principle</t>
  </si>
  <si>
    <t>nancy</t>
  </si>
  <si>
    <t>leg</t>
  </si>
  <si>
    <t>marc</t>
  </si>
  <si>
    <t>um</t>
  </si>
  <si>
    <t>recover</t>
  </si>
  <si>
    <t>dante</t>
  </si>
  <si>
    <t>han</t>
  </si>
  <si>
    <t>india</t>
  </si>
  <si>
    <t>emperor</t>
  </si>
  <si>
    <t>tunnel</t>
  </si>
  <si>
    <t>progress</t>
  </si>
  <si>
    <t>trains</t>
  </si>
  <si>
    <t>resort</t>
  </si>
  <si>
    <t>shall</t>
  </si>
  <si>
    <t>olive</t>
  </si>
  <si>
    <t>powered</t>
  </si>
  <si>
    <t>clay</t>
  </si>
  <si>
    <t>files</t>
  </si>
  <si>
    <t>thunder</t>
  </si>
  <si>
    <t>swing</t>
  </si>
  <si>
    <t>stadium</t>
  </si>
  <si>
    <t>percentage</t>
  </si>
  <si>
    <t>5th</t>
  </si>
  <si>
    <t xml:space="preserve">MR </t>
  </si>
  <si>
    <t>LxA&gt;LR&gt;LIG&gt;LIME&gt;Att</t>
  </si>
  <si>
    <t>Yelp</t>
  </si>
  <si>
    <t>MR - Yelp</t>
  </si>
  <si>
    <t xml:space="preserve"> LR</t>
  </si>
  <si>
    <t>LR&gt;LxA&gt;LIG&gt;LIME&gt;Att</t>
  </si>
  <si>
    <t>LIME x LIME</t>
  </si>
  <si>
    <t>LIG x LIG</t>
  </si>
  <si>
    <t>LR x LR</t>
  </si>
  <si>
    <t>LxA x LxA</t>
  </si>
  <si>
    <t>Att x Att</t>
  </si>
  <si>
    <t>LR x Evidences</t>
  </si>
  <si>
    <t>Sentence count</t>
  </si>
  <si>
    <t>Score</t>
  </si>
  <si>
    <t>Alignment Ratio</t>
  </si>
  <si>
    <t>Attention x Evidences</t>
  </si>
  <si>
    <t>LIME x Evidences</t>
  </si>
  <si>
    <t>LIG x Evidences</t>
  </si>
  <si>
    <t>LxA x Evidences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</si>
</sst>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"/>
    <numFmt numFmtId="165" formatCode="m d"/>
    <numFmt numFmtId="166" formatCode="mmmm d"/>
    <numFmt numFmtId="167" formatCode="d-mmmm"/>
  </numFmts>
  <fonts count="24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7E3794"/>
      <name val="Arial"/>
      <scheme val="minor"/>
    </font>
    <font>
      <color rgb="FF000000"/>
      <name val="&quot;Arial Unicode MS&quot;"/>
    </font>
    <font>
      <sz val="11.0"/>
      <color rgb="FF000000"/>
      <name val="Calibri"/>
    </font>
    <font>
      <b/>
      <color theme="1"/>
      <name val="Arial"/>
      <scheme val="minor"/>
    </font>
    <font>
      <sz val="9.0"/>
      <color theme="1"/>
      <name val="Arial"/>
      <scheme val="minor"/>
    </font>
    <font>
      <b/>
      <u/>
      <sz val="10.0"/>
      <color theme="1"/>
      <name val="EB Garamond"/>
    </font>
    <font>
      <sz val="10.0"/>
      <color theme="1"/>
      <name val="Arial"/>
      <scheme val="minor"/>
    </font>
    <font>
      <b/>
      <u/>
      <sz val="10.0"/>
      <color theme="1"/>
      <name val="EB Garamond"/>
    </font>
    <font>
      <sz val="10.0"/>
      <color theme="1"/>
      <name val="EB Garamond"/>
    </font>
    <font>
      <sz val="10.0"/>
      <color rgb="FF000000"/>
      <name val="EB Garamond"/>
    </font>
    <font>
      <b/>
      <sz val="10.0"/>
      <color theme="1"/>
      <name val="EB Garamond"/>
    </font>
    <font>
      <b/>
      <sz val="10.0"/>
      <color rgb="FF000000"/>
      <name val="EB Garamond"/>
    </font>
    <font>
      <b/>
      <u/>
      <sz val="10.0"/>
      <color theme="1"/>
      <name val="EB Garamond"/>
    </font>
    <font>
      <b/>
      <u/>
      <color theme="1"/>
      <name val="EB Garamond"/>
    </font>
    <font>
      <b/>
      <u/>
      <color theme="1"/>
      <name val="EB Garamond"/>
    </font>
    <font>
      <b/>
      <u/>
      <color rgb="FF000000"/>
      <name val="EB Garamond"/>
    </font>
    <font>
      <b/>
      <color theme="1"/>
      <name val="EB Garamond"/>
    </font>
    <font>
      <color theme="1"/>
      <name val="EB Garamond"/>
    </font>
    <font>
      <sz val="9.0"/>
      <color rgb="FF000000"/>
      <name val="EB Garamond"/>
    </font>
    <font>
      <sz val="9.0"/>
      <color rgb="FF000000"/>
      <name val="&quot;Google Sans Mono&quot;"/>
    </font>
    <font>
      <b/>
      <u/>
      <color theme="1"/>
      <name val="Arial"/>
      <scheme val="minor"/>
    </font>
    <font>
      <b/>
      <u/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6B26B"/>
        <bgColor rgb="FFF6B26B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C27BA0"/>
        <bgColor rgb="FFC27BA0"/>
      </patternFill>
    </fill>
  </fills>
  <borders count="1">
    <border/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shrinkToFit="0" wrapText="1"/>
    </xf>
    <xf borderId="0" fillId="0" fontId="2" numFmtId="0" xfId="0" applyFont="1"/>
    <xf borderId="0" fillId="0" fontId="2" numFmtId="0" xfId="0" applyFont="1"/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2" fontId="1" numFmtId="0" xfId="0" applyFont="1"/>
    <xf borderId="0" fillId="0" fontId="1" numFmtId="0" xfId="0" applyFont="1"/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shrinkToFit="0" wrapText="0"/>
    </xf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3" numFmtId="167" xfId="0" applyAlignment="1" applyFont="1" applyNumberFormat="1">
      <alignment horizontal="right" readingOrder="0" shrinkToFit="0" wrapText="0"/>
    </xf>
    <xf borderId="0" fillId="0" fontId="3" numFmtId="164" xfId="0" applyAlignment="1" applyFont="1" applyNumberFormat="1">
      <alignment horizontal="right" readingOrder="0" shrinkToFit="0" wrapText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0" xfId="0" applyFont="1"/>
    <xf borderId="0" fillId="0" fontId="1" numFmtId="165" xfId="0" applyFont="1" applyNumberFormat="1"/>
    <xf borderId="0" fillId="0" fontId="1" numFmtId="166" xfId="0" applyFont="1" applyNumberFormat="1"/>
    <xf borderId="0" fillId="3" fontId="7" numFmtId="0" xfId="0" applyAlignment="1" applyFill="1" applyFont="1">
      <alignment readingOrder="0"/>
    </xf>
    <xf borderId="0" fillId="3" fontId="8" numFmtId="0" xfId="0" applyFont="1"/>
    <xf borderId="0" fillId="0" fontId="8" numFmtId="0" xfId="0" applyFont="1"/>
    <xf borderId="0" fillId="0" fontId="9" numFmtId="0" xfId="0" applyAlignment="1" applyFont="1">
      <alignment readingOrder="0"/>
    </xf>
    <xf borderId="0" fillId="0" fontId="10" numFmtId="0" xfId="0" applyFont="1"/>
    <xf borderId="0" fillId="3" fontId="10" numFmtId="0" xfId="0" applyFont="1"/>
    <xf borderId="0" fillId="3" fontId="11" numFmtId="0" xfId="0" applyAlignment="1" applyFont="1">
      <alignment readingOrder="0"/>
    </xf>
    <xf borderId="0" fillId="3" fontId="12" numFmtId="0" xfId="0" applyAlignment="1" applyFont="1">
      <alignment readingOrder="0"/>
    </xf>
    <xf borderId="0" fillId="4" fontId="12" numFmtId="0" xfId="0" applyAlignment="1" applyFill="1" applyFont="1">
      <alignment readingOrder="0"/>
    </xf>
    <xf borderId="0" fillId="5" fontId="12" numFmtId="0" xfId="0" applyAlignment="1" applyFill="1" applyFont="1">
      <alignment readingOrder="0"/>
    </xf>
    <xf borderId="0" fillId="6" fontId="11" numFmtId="0" xfId="0" applyAlignment="1" applyFill="1" applyFont="1">
      <alignment readingOrder="0"/>
    </xf>
    <xf borderId="0" fillId="3" fontId="10" numFmtId="0" xfId="0" applyAlignment="1" applyFont="1">
      <alignment readingOrder="0"/>
    </xf>
    <xf borderId="0" fillId="0" fontId="10" numFmtId="0" xfId="0" applyAlignment="1" applyFont="1">
      <alignment readingOrder="0"/>
    </xf>
    <xf borderId="0" fillId="6" fontId="11" numFmtId="0" xfId="0" applyFont="1"/>
    <xf borderId="0" fillId="0" fontId="11" numFmtId="0" xfId="0" applyAlignment="1" applyFont="1">
      <alignment readingOrder="0"/>
    </xf>
    <xf borderId="0" fillId="4" fontId="10" numFmtId="0" xfId="0" applyAlignment="1" applyFont="1">
      <alignment readingOrder="0"/>
    </xf>
    <xf borderId="0" fillId="2" fontId="10" numFmtId="0" xfId="0" applyAlignment="1" applyFont="1">
      <alignment readingOrder="0"/>
    </xf>
    <xf borderId="0" fillId="4" fontId="13" numFmtId="0" xfId="0" applyAlignment="1" applyFont="1">
      <alignment horizontal="left" readingOrder="0"/>
    </xf>
    <xf borderId="0" fillId="7" fontId="10" numFmtId="0" xfId="0" applyFill="1" applyFont="1"/>
    <xf borderId="0" fillId="7" fontId="14" numFmtId="0" xfId="0" applyAlignment="1" applyFont="1">
      <alignment readingOrder="0"/>
    </xf>
    <xf borderId="0" fillId="7" fontId="12" numFmtId="0" xfId="0" applyAlignment="1" applyFont="1">
      <alignment readingOrder="0"/>
    </xf>
    <xf borderId="0" fillId="0" fontId="12" numFmtId="0" xfId="0" applyAlignment="1" applyFont="1">
      <alignment readingOrder="0"/>
    </xf>
    <xf borderId="0" fillId="4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6" fontId="17" numFmtId="0" xfId="0" applyAlignment="1" applyFont="1">
      <alignment horizontal="left" readingOrder="0"/>
    </xf>
    <xf borderId="0" fillId="0" fontId="18" numFmtId="0" xfId="0" applyAlignment="1" applyFont="1">
      <alignment readingOrder="0"/>
    </xf>
    <xf borderId="0" fillId="0" fontId="19" numFmtId="0" xfId="0" applyFont="1"/>
    <xf borderId="0" fillId="0" fontId="19" numFmtId="0" xfId="0" applyAlignment="1" applyFont="1">
      <alignment readingOrder="0"/>
    </xf>
    <xf borderId="0" fillId="4" fontId="19" numFmtId="0" xfId="0" applyAlignment="1" applyFont="1">
      <alignment readingOrder="0"/>
    </xf>
    <xf borderId="0" fillId="6" fontId="20" numFmtId="0" xfId="0" applyFont="1"/>
    <xf borderId="0" fillId="0" fontId="20" numFmtId="0" xfId="0" applyFont="1"/>
    <xf borderId="0" fillId="6" fontId="21" numFmtId="0" xfId="0" applyFont="1"/>
    <xf borderId="0" fillId="0" fontId="19" numFmtId="0" xfId="0" applyAlignment="1" applyFont="1">
      <alignment readingOrder="0"/>
    </xf>
    <xf borderId="0" fillId="0" fontId="19" numFmtId="164" xfId="0" applyFont="1" applyNumberFormat="1"/>
    <xf borderId="0" fillId="0" fontId="19" numFmtId="164" xfId="0" applyAlignment="1" applyFont="1" applyNumberFormat="1">
      <alignment readingOrder="0"/>
    </xf>
    <xf borderId="0" fillId="0" fontId="19" numFmtId="0" xfId="0" applyFont="1"/>
    <xf borderId="0" fillId="4" fontId="19" numFmtId="0" xfId="0" applyFont="1"/>
    <xf borderId="0" fillId="0" fontId="22" numFmtId="0" xfId="0" applyAlignment="1" applyFont="1">
      <alignment readingOrder="0"/>
    </xf>
    <xf borderId="0" fillId="0" fontId="23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19.25"/>
    <col customWidth="1" min="9" max="9" width="16.75"/>
  </cols>
  <sheetData>
    <row r="1">
      <c r="A1" s="1" t="s">
        <v>0</v>
      </c>
      <c r="B1" s="1" t="s">
        <v>1</v>
      </c>
      <c r="C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K1" s="1" t="s">
        <v>7</v>
      </c>
      <c r="L1" s="1" t="s">
        <v>8</v>
      </c>
      <c r="N1" s="1" t="s">
        <v>9</v>
      </c>
      <c r="P1" s="1" t="s">
        <v>10</v>
      </c>
      <c r="Q1" s="1" t="s">
        <v>11</v>
      </c>
      <c r="S1" s="1" t="s">
        <v>12</v>
      </c>
      <c r="T1" s="1" t="s">
        <v>13</v>
      </c>
      <c r="V1" s="1" t="s">
        <v>14</v>
      </c>
      <c r="W1" s="2" t="s">
        <v>15</v>
      </c>
      <c r="X1" s="1" t="s">
        <v>16</v>
      </c>
      <c r="Y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F1" s="1" t="s">
        <v>22</v>
      </c>
      <c r="AG1" s="1" t="s">
        <v>23</v>
      </c>
      <c r="AH1" s="1" t="s">
        <v>24</v>
      </c>
      <c r="AJ1" s="1" t="s">
        <v>25</v>
      </c>
      <c r="AK1" s="1" t="s">
        <v>26</v>
      </c>
      <c r="AM1" s="1" t="s">
        <v>27</v>
      </c>
      <c r="AN1" s="1" t="s">
        <v>26</v>
      </c>
    </row>
    <row r="2">
      <c r="A2" s="1" t="s">
        <v>28</v>
      </c>
      <c r="B2" s="1" t="s">
        <v>29</v>
      </c>
      <c r="C2" s="3" t="str">
        <f>IFERROR(__xludf.DUMMYFUNCTION("filter(A:A, MATCH(A:A, B:B , false))"),"succeeds")</f>
        <v>succeeds</v>
      </c>
      <c r="E2" s="1" t="s">
        <v>30</v>
      </c>
      <c r="F2" s="4" t="str">
        <f>IFERROR(__xludf.DUMMYFUNCTION("filter(AM:AM, MATCH(AM:AM,E:E  , false))"),"parental")</f>
        <v>parental</v>
      </c>
      <c r="H2" s="1" t="s">
        <v>30</v>
      </c>
      <c r="I2" s="4" t="str">
        <f>IFERROR(__xludf.DUMMYFUNCTION("filter(H:H, MATCH(H:H,AM:AM  , false))"),"parental")</f>
        <v>parental</v>
      </c>
      <c r="K2" s="1" t="s">
        <v>31</v>
      </c>
      <c r="L2" s="4" t="str">
        <f>IFERROR(__xludf.DUMMYFUNCTION("filter(A:A, MATCH(A:A,K:K  , false))"),"succeeds")</f>
        <v>succeeds</v>
      </c>
      <c r="N2" s="4" t="str">
        <f>IFERROR(__xludf.DUMMYFUNCTION("filter(C:C, MATCH(B:B,K:K  , false))"),"succeeds")</f>
        <v>succeeds</v>
      </c>
      <c r="P2" s="1" t="s">
        <v>32</v>
      </c>
      <c r="Q2" s="4" t="str">
        <f>IFERROR(__xludf.DUMMYFUNCTION("filter(E:E, MATCH(E:E,P:P  , false))"),"wit")</f>
        <v>wit</v>
      </c>
      <c r="S2" s="1" t="s">
        <v>33</v>
      </c>
      <c r="T2" s="4" t="str">
        <f>IFERROR(__xludf.DUMMYFUNCTION("filter(H:H, MATCH(H:H,S:S  , false))"),"the")</f>
        <v>the</v>
      </c>
      <c r="V2" s="1" t="s">
        <v>34</v>
      </c>
      <c r="W2" s="1" t="s">
        <v>35</v>
      </c>
      <c r="X2" s="4" t="str">
        <f>IFERROR(__xludf.DUMMYFUNCTION("filter(W:W, MATCH(W:W,B:B  , false))"),"#N/A")</f>
        <v>#N/A</v>
      </c>
      <c r="Y2" s="4" t="str">
        <f>IFERROR(__xludf.DUMMYFUNCTION("filter(W:W, MATCH(W:W,L:L  , false))"),"#N/A")</f>
        <v>#N/A</v>
      </c>
      <c r="AA2" s="1" t="s">
        <v>36</v>
      </c>
      <c r="AB2" s="4" t="str">
        <f>IFERROR(__xludf.DUMMYFUNCTION("filter(AA:AA, MATCH(AA:AA,B:B  , false))"),"vivid")</f>
        <v>vivid</v>
      </c>
      <c r="AC2" s="4" t="str">
        <f>IFERROR(__xludf.DUMMYFUNCTION("filter(W:W, MATCH(W:W,AA:AA  , false))"),"#N/A")</f>
        <v>#N/A</v>
      </c>
      <c r="AD2" s="4" t="str">
        <f>IFERROR(__xludf.DUMMYFUNCTION("filter(AA:AA, MATCH(AA:AA,K:K  , false))"),"enriched")</f>
        <v>enriched</v>
      </c>
      <c r="AF2" s="1" t="s">
        <v>30</v>
      </c>
      <c r="AG2" s="4" t="str">
        <f>IFERROR(__xludf.DUMMYFUNCTION("filter(AF:AF, MATCH(AF:AF,B:B  , false))"),"succeeds")</f>
        <v>succeeds</v>
      </c>
      <c r="AH2" s="4" t="str">
        <f>IFERROR(__xludf.DUMMYFUNCTION("filter(AF:AF, MATCH(AF:AF,K:K  , false))"),"succeeds")</f>
        <v>succeeds</v>
      </c>
      <c r="AJ2" s="1" t="s">
        <v>30</v>
      </c>
      <c r="AK2" s="5" t="str">
        <f>IFERROR(__xludf.DUMMYFUNCTION("filter(AJ:AJ, MATCH(AJ:AJ,B:B  , false))"),"succeeds")</f>
        <v>succeeds</v>
      </c>
      <c r="AM2" s="1" t="s">
        <v>30</v>
      </c>
      <c r="AN2" s="5" t="str">
        <f>IFERROR(__xludf.DUMMYFUNCTION("filter(AM:AM, MATCH(AM:AM,B:B  , false))"),"succeeds")</f>
        <v>succeeds</v>
      </c>
    </row>
    <row r="3">
      <c r="A3" s="1" t="s">
        <v>37</v>
      </c>
      <c r="B3" s="1" t="s">
        <v>38</v>
      </c>
      <c r="C3" s="6" t="str">
        <f>IFERROR(__xludf.DUMMYFUNCTION("""COMPUTED_VALUE"""),"vivid")</f>
        <v>vivid</v>
      </c>
      <c r="E3" s="1" t="s">
        <v>39</v>
      </c>
      <c r="F3" s="6" t="str">
        <f>IFERROR(__xludf.DUMMYFUNCTION("""COMPUTED_VALUE"""),"wit")</f>
        <v>wit</v>
      </c>
      <c r="H3" s="1" t="s">
        <v>39</v>
      </c>
      <c r="I3" s="6" t="str">
        <f>IFERROR(__xludf.DUMMYFUNCTION("""COMPUTED_VALUE"""),"wit")</f>
        <v>wit</v>
      </c>
      <c r="K3" s="1" t="s">
        <v>29</v>
      </c>
      <c r="L3" s="6" t="str">
        <f>IFERROR(__xludf.DUMMYFUNCTION("""COMPUTED_VALUE"""),"proves")</f>
        <v>proves</v>
      </c>
      <c r="N3" s="6" t="str">
        <f>IFERROR(__xludf.DUMMYFUNCTION("""COMPUTED_VALUE"""),"vivid")</f>
        <v>vivid</v>
      </c>
      <c r="P3" s="1" t="s">
        <v>40</v>
      </c>
      <c r="Q3" s="6" t="str">
        <f>IFERROR(__xludf.DUMMYFUNCTION("""COMPUTED_VALUE"""),"human")</f>
        <v>human</v>
      </c>
      <c r="S3" s="1" t="s">
        <v>41</v>
      </c>
      <c r="T3" s="6" t="str">
        <f>IFERROR(__xludf.DUMMYFUNCTION("""COMPUTED_VALUE"""),"hide")</f>
        <v>hide</v>
      </c>
      <c r="V3" s="1" t="s">
        <v>42</v>
      </c>
      <c r="W3" s="1" t="s">
        <v>43</v>
      </c>
      <c r="AA3" s="1" t="s">
        <v>44</v>
      </c>
      <c r="AB3" s="6" t="str">
        <f>IFERROR(__xludf.DUMMYFUNCTION("""COMPUTED_VALUE"""),"storytelling")</f>
        <v>storytelling</v>
      </c>
      <c r="AD3" s="6" t="str">
        <f>IFERROR(__xludf.DUMMYFUNCTION("""COMPUTED_VALUE"""),"vivid")</f>
        <v>vivid</v>
      </c>
      <c r="AF3" s="1" t="s">
        <v>36</v>
      </c>
      <c r="AG3" s="6" t="str">
        <f>IFERROR(__xludf.DUMMYFUNCTION("""COMPUTED_VALUE"""),"vivid")</f>
        <v>vivid</v>
      </c>
      <c r="AH3" s="6" t="str">
        <f>IFERROR(__xludf.DUMMYFUNCTION("""COMPUTED_VALUE"""),"enriched")</f>
        <v>enriched</v>
      </c>
      <c r="AJ3" s="1" t="s">
        <v>45</v>
      </c>
      <c r="AK3" s="6" t="str">
        <f>IFERROR(__xludf.DUMMYFUNCTION("""COMPUTED_VALUE"""),"vivid")</f>
        <v>vivid</v>
      </c>
      <c r="AM3" s="1" t="s">
        <v>46</v>
      </c>
      <c r="AN3" s="6" t="str">
        <f>IFERROR(__xludf.DUMMYFUNCTION("""COMPUTED_VALUE"""),"vivid")</f>
        <v>vivid</v>
      </c>
    </row>
    <row r="4">
      <c r="A4" s="1" t="s">
        <v>47</v>
      </c>
      <c r="B4" s="1" t="s">
        <v>48</v>
      </c>
      <c r="C4" s="6" t="str">
        <f>IFERROR(__xludf.DUMMYFUNCTION("""COMPUTED_VALUE"""),"emptiness")</f>
        <v>emptiness</v>
      </c>
      <c r="E4" s="1" t="s">
        <v>32</v>
      </c>
      <c r="F4" s="6" t="str">
        <f>IFERROR(__xludf.DUMMYFUNCTION("""COMPUTED_VALUE"""),"characters")</f>
        <v>characters</v>
      </c>
      <c r="H4" s="1" t="s">
        <v>49</v>
      </c>
      <c r="I4" s="6" t="str">
        <f>IFERROR(__xludf.DUMMYFUNCTION("""COMPUTED_VALUE"""),"and")</f>
        <v>and</v>
      </c>
      <c r="K4" s="1" t="s">
        <v>38</v>
      </c>
      <c r="L4" s="6" t="str">
        <f>IFERROR(__xludf.DUMMYFUNCTION("""COMPUTED_VALUE"""),"vivid")</f>
        <v>vivid</v>
      </c>
      <c r="N4" s="6" t="str">
        <f>IFERROR(__xludf.DUMMYFUNCTION("""COMPUTED_VALUE"""),"conviction")</f>
        <v>conviction</v>
      </c>
      <c r="P4" s="1" t="s">
        <v>50</v>
      </c>
      <c r="Q4" s="6" t="str">
        <f>IFERROR(__xludf.DUMMYFUNCTION("""COMPUTED_VALUE"""),"filmmakers")</f>
        <v>filmmakers</v>
      </c>
      <c r="S4" s="1" t="s">
        <v>51</v>
      </c>
      <c r="T4" s="6" t="str">
        <f>IFERROR(__xludf.DUMMYFUNCTION("""COMPUTED_VALUE"""),"from")</f>
        <v>from</v>
      </c>
      <c r="V4" s="1" t="s">
        <v>52</v>
      </c>
      <c r="W4" s="1" t="s">
        <v>53</v>
      </c>
      <c r="AA4" s="1" t="s">
        <v>54</v>
      </c>
      <c r="AB4" s="6" t="str">
        <f>IFERROR(__xludf.DUMMYFUNCTION("""COMPUTED_VALUE"""),"conviction")</f>
        <v>conviction</v>
      </c>
      <c r="AD4" s="6" t="str">
        <f>IFERROR(__xludf.DUMMYFUNCTION("""COMPUTED_VALUE"""),"storytelling")</f>
        <v>storytelling</v>
      </c>
      <c r="AF4" s="1" t="s">
        <v>55</v>
      </c>
      <c r="AG4" s="6" t="str">
        <f>IFERROR(__xludf.DUMMYFUNCTION("""COMPUTED_VALUE"""),"earnest")</f>
        <v>earnest</v>
      </c>
      <c r="AH4" s="6" t="str">
        <f>IFERROR(__xludf.DUMMYFUNCTION("""COMPUTED_VALUE"""),"vivid")</f>
        <v>vivid</v>
      </c>
      <c r="AJ4" s="1" t="s">
        <v>50</v>
      </c>
      <c r="AK4" s="6" t="str">
        <f>IFERROR(__xludf.DUMMYFUNCTION("""COMPUTED_VALUE"""),"emptiness")</f>
        <v>emptiness</v>
      </c>
      <c r="AM4" s="1" t="s">
        <v>45</v>
      </c>
      <c r="AN4" s="6" t="str">
        <f>IFERROR(__xludf.DUMMYFUNCTION("""COMPUTED_VALUE"""),"emptiness")</f>
        <v>emptiness</v>
      </c>
    </row>
    <row r="5">
      <c r="A5" s="1" t="s">
        <v>55</v>
      </c>
      <c r="B5" s="1" t="s">
        <v>56</v>
      </c>
      <c r="C5" s="6" t="str">
        <f>IFERROR(__xludf.DUMMYFUNCTION("""COMPUTED_VALUE"""),"conviction")</f>
        <v>conviction</v>
      </c>
      <c r="E5" s="1" t="s">
        <v>57</v>
      </c>
      <c r="F5" s="6" t="str">
        <f>IFERROR(__xludf.DUMMYFUNCTION("""COMPUTED_VALUE"""),"and")</f>
        <v>and</v>
      </c>
      <c r="H5" s="1" t="s">
        <v>58</v>
      </c>
      <c r="I5" s="6" t="str">
        <f>IFERROR(__xludf.DUMMYFUNCTION("""COMPUTED_VALUE"""),"characters")</f>
        <v>characters</v>
      </c>
      <c r="K5" s="1" t="s">
        <v>59</v>
      </c>
      <c r="L5" s="6" t="str">
        <f>IFERROR(__xludf.DUMMYFUNCTION("""COMPUTED_VALUE"""),"emptiness")</f>
        <v>emptiness</v>
      </c>
      <c r="N5" s="6" t="str">
        <f>IFERROR(__xludf.DUMMYFUNCTION("""COMPUTED_VALUE"""),"haunting")</f>
        <v>haunting</v>
      </c>
      <c r="P5" s="1" t="s">
        <v>60</v>
      </c>
      <c r="Q5" s="6" t="str">
        <f>IFERROR(__xludf.DUMMYFUNCTION("""COMPUTED_VALUE"""),"too")</f>
        <v>too</v>
      </c>
      <c r="S5" s="1" t="s">
        <v>61</v>
      </c>
      <c r="T5" s="6" t="str">
        <f>IFERROR(__xludf.DUMMYFUNCTION("""COMPUTED_VALUE"""),"wit")</f>
        <v>wit</v>
      </c>
      <c r="V5" s="1" t="s">
        <v>62</v>
      </c>
      <c r="W5" s="1" t="s">
        <v>63</v>
      </c>
      <c r="AA5" s="1" t="s">
        <v>64</v>
      </c>
      <c r="AB5" s="6" t="str">
        <f>IFERROR(__xludf.DUMMYFUNCTION("""COMPUTED_VALUE"""),"reveals")</f>
        <v>reveals</v>
      </c>
      <c r="AD5" s="6" t="str">
        <f>IFERROR(__xludf.DUMMYFUNCTION("""COMPUTED_VALUE"""),"conviction")</f>
        <v>conviction</v>
      </c>
      <c r="AF5" s="1" t="s">
        <v>44</v>
      </c>
      <c r="AG5" s="6" t="str">
        <f>IFERROR(__xludf.DUMMYFUNCTION("""COMPUTED_VALUE"""),"storytelling")</f>
        <v>storytelling</v>
      </c>
      <c r="AH5" s="6" t="str">
        <f>IFERROR(__xludf.DUMMYFUNCTION("""COMPUTED_VALUE"""),"earnest")</f>
        <v>earnest</v>
      </c>
      <c r="AJ5" s="1" t="s">
        <v>65</v>
      </c>
      <c r="AK5" s="6" t="str">
        <f>IFERROR(__xludf.DUMMYFUNCTION("""COMPUTED_VALUE"""),"eastwood")</f>
        <v>eastwood</v>
      </c>
      <c r="AM5" s="1" t="s">
        <v>32</v>
      </c>
      <c r="AN5" s="6" t="str">
        <f>IFERROR(__xludf.DUMMYFUNCTION("""COMPUTED_VALUE"""),"relentless")</f>
        <v>relentless</v>
      </c>
    </row>
    <row r="6">
      <c r="A6" s="1" t="s">
        <v>66</v>
      </c>
      <c r="B6" s="1" t="s">
        <v>67</v>
      </c>
      <c r="C6" s="6" t="str">
        <f>IFERROR(__xludf.DUMMYFUNCTION("""COMPUTED_VALUE"""),"reveals")</f>
        <v>reveals</v>
      </c>
      <c r="E6" s="1" t="s">
        <v>68</v>
      </c>
      <c r="F6" s="6" t="str">
        <f>IFERROR(__xludf.DUMMYFUNCTION("""COMPUTED_VALUE"""),"beautiful")</f>
        <v>beautiful</v>
      </c>
      <c r="H6" s="1" t="s">
        <v>32</v>
      </c>
      <c r="I6" s="6" t="str">
        <f>IFERROR(__xludf.DUMMYFUNCTION("""COMPUTED_VALUE"""),"beautiful")</f>
        <v>beautiful</v>
      </c>
      <c r="K6" s="1" t="s">
        <v>69</v>
      </c>
      <c r="L6" s="6" t="str">
        <f>IFERROR(__xludf.DUMMYFUNCTION("""COMPUTED_VALUE"""),"masterpiece")</f>
        <v>masterpiece</v>
      </c>
      <c r="N6" s="6" t="str">
        <f>IFERROR(__xludf.DUMMYFUNCTION("""COMPUTED_VALUE"""),"captures")</f>
        <v>captures</v>
      </c>
      <c r="P6" s="1" t="s">
        <v>70</v>
      </c>
      <c r="Q6" s="6" t="str">
        <f>IFERROR(__xludf.DUMMYFUNCTION("""COMPUTED_VALUE"""),"demonstrates")</f>
        <v>demonstrates</v>
      </c>
      <c r="S6" s="1" t="s">
        <v>71</v>
      </c>
      <c r="T6" s="6" t="str">
        <f>IFERROR(__xludf.DUMMYFUNCTION("""COMPUTED_VALUE"""),"only")</f>
        <v>only</v>
      </c>
      <c r="V6" s="1" t="s">
        <v>72</v>
      </c>
      <c r="W6" s="1" t="s">
        <v>73</v>
      </c>
      <c r="AA6" s="1" t="s">
        <v>74</v>
      </c>
      <c r="AB6" s="6" t="str">
        <f>IFERROR(__xludf.DUMMYFUNCTION("""COMPUTED_VALUE"""),"adaptation")</f>
        <v>adaptation</v>
      </c>
      <c r="AD6" s="6" t="str">
        <f>IFERROR(__xludf.DUMMYFUNCTION("""COMPUTED_VALUE"""),"reveals")</f>
        <v>reveals</v>
      </c>
      <c r="AF6" s="1" t="s">
        <v>75</v>
      </c>
      <c r="AG6" s="6" t="str">
        <f>IFERROR(__xludf.DUMMYFUNCTION("""COMPUTED_VALUE"""),"conviction")</f>
        <v>conviction</v>
      </c>
      <c r="AH6" s="6" t="str">
        <f>IFERROR(__xludf.DUMMYFUNCTION("""COMPUTED_VALUE"""),"storytelling")</f>
        <v>storytelling</v>
      </c>
      <c r="AJ6" s="1" t="s">
        <v>28</v>
      </c>
      <c r="AK6" s="6" t="str">
        <f>IFERROR(__xludf.DUMMYFUNCTION("""COMPUTED_VALUE"""),"earnest")</f>
        <v>earnest</v>
      </c>
      <c r="AM6" s="1" t="s">
        <v>76</v>
      </c>
      <c r="AN6" s="6" t="str">
        <f>IFERROR(__xludf.DUMMYFUNCTION("""COMPUTED_VALUE"""),"eastwood")</f>
        <v>eastwood</v>
      </c>
    </row>
    <row r="7">
      <c r="A7" s="1" t="s">
        <v>77</v>
      </c>
      <c r="B7" s="1" t="s">
        <v>78</v>
      </c>
      <c r="C7" s="6" t="str">
        <f>IFERROR(__xludf.DUMMYFUNCTION("""COMPUTED_VALUE"""),"flashes")</f>
        <v>flashes</v>
      </c>
      <c r="E7" s="1" t="s">
        <v>76</v>
      </c>
      <c r="F7" s="6" t="str">
        <f>IFERROR(__xludf.DUMMYFUNCTION("""COMPUTED_VALUE"""),"utterly")</f>
        <v>utterly</v>
      </c>
      <c r="H7" s="1" t="s">
        <v>57</v>
      </c>
      <c r="I7" s="6" t="str">
        <f>IFERROR(__xludf.DUMMYFUNCTION("""COMPUTED_VALUE"""),"utterly")</f>
        <v>utterly</v>
      </c>
      <c r="K7" s="1" t="s">
        <v>79</v>
      </c>
      <c r="L7" s="6" t="str">
        <f>IFERROR(__xludf.DUMMYFUNCTION("""COMPUTED_VALUE"""),"clumsy")</f>
        <v>clumsy</v>
      </c>
      <c r="N7" s="6" t="str">
        <f>IFERROR(__xludf.DUMMYFUNCTION("""COMPUTED_VALUE"""),"sitcom")</f>
        <v>sitcom</v>
      </c>
      <c r="P7" s="1" t="s">
        <v>80</v>
      </c>
      <c r="Q7" s="6" t="str">
        <f>IFERROR(__xludf.DUMMYFUNCTION("""COMPUTED_VALUE"""),"of")</f>
        <v>of</v>
      </c>
      <c r="S7" s="1" t="s">
        <v>81</v>
      </c>
      <c r="T7" s="6" t="str">
        <f>IFERROR(__xludf.DUMMYFUNCTION("""COMPUTED_VALUE"""),"and")</f>
        <v>and</v>
      </c>
      <c r="V7" s="1" t="s">
        <v>82</v>
      </c>
      <c r="W7" s="1" t="s">
        <v>83</v>
      </c>
      <c r="AA7" s="1" t="s">
        <v>84</v>
      </c>
      <c r="AB7" s="6" t="str">
        <f>IFERROR(__xludf.DUMMYFUNCTION("""COMPUTED_VALUE"""),"sequel")</f>
        <v>sequel</v>
      </c>
      <c r="AD7" s="6" t="str">
        <f>IFERROR(__xludf.DUMMYFUNCTION("""COMPUTED_VALUE"""),"adaptation")</f>
        <v>adaptation</v>
      </c>
      <c r="AF7" s="1" t="s">
        <v>85</v>
      </c>
      <c r="AG7" s="6" t="str">
        <f>IFERROR(__xludf.DUMMYFUNCTION("""COMPUTED_VALUE"""),"reveals")</f>
        <v>reveals</v>
      </c>
      <c r="AH7" s="6" t="str">
        <f>IFERROR(__xludf.DUMMYFUNCTION("""COMPUTED_VALUE"""),"conviction")</f>
        <v>conviction</v>
      </c>
      <c r="AJ7" s="1" t="s">
        <v>36</v>
      </c>
      <c r="AK7" s="6" t="str">
        <f>IFERROR(__xludf.DUMMYFUNCTION("""COMPUTED_VALUE"""),"cinematic")</f>
        <v>cinematic</v>
      </c>
      <c r="AM7" s="1" t="s">
        <v>86</v>
      </c>
      <c r="AN7" s="6" t="str">
        <f>IFERROR(__xludf.DUMMYFUNCTION("""COMPUTED_VALUE"""),"earnest")</f>
        <v>earnest</v>
      </c>
    </row>
    <row r="8">
      <c r="A8" s="1" t="s">
        <v>84</v>
      </c>
      <c r="B8" s="1" t="s">
        <v>87</v>
      </c>
      <c r="C8" s="6" t="str">
        <f>IFERROR(__xludf.DUMMYFUNCTION("""COMPUTED_VALUE"""),"haunting")</f>
        <v>haunting</v>
      </c>
      <c r="E8" s="1" t="s">
        <v>88</v>
      </c>
      <c r="F8" s="6" t="str">
        <f>IFERROR(__xludf.DUMMYFUNCTION("""COMPUTED_VALUE"""),"remain")</f>
        <v>remain</v>
      </c>
      <c r="H8" s="1" t="s">
        <v>89</v>
      </c>
      <c r="I8" s="6" t="str">
        <f>IFERROR(__xludf.DUMMYFUNCTION("""COMPUTED_VALUE"""),"remain")</f>
        <v>remain</v>
      </c>
      <c r="K8" s="1" t="s">
        <v>90</v>
      </c>
      <c r="L8" s="6" t="str">
        <f>IFERROR(__xludf.DUMMYFUNCTION("""COMPUTED_VALUE"""),"conviction")</f>
        <v>conviction</v>
      </c>
      <c r="N8" s="6" t="str">
        <f>IFERROR(__xludf.DUMMYFUNCTION("""COMPUTED_VALUE"""),"bleak")</f>
        <v>bleak</v>
      </c>
      <c r="P8" s="1" t="s">
        <v>91</v>
      </c>
      <c r="Q8" s="6" t="str">
        <f>IFERROR(__xludf.DUMMYFUNCTION("""COMPUTED_VALUE"""),"intelligence")</f>
        <v>intelligence</v>
      </c>
      <c r="S8" s="1" t="s">
        <v>92</v>
      </c>
      <c r="T8" s="6" t="str">
        <f>IFERROR(__xludf.DUMMYFUNCTION("""COMPUTED_VALUE"""),"characters")</f>
        <v>characters</v>
      </c>
      <c r="V8" s="1" t="s">
        <v>93</v>
      </c>
      <c r="W8" s="1" t="s">
        <v>94</v>
      </c>
      <c r="AA8" s="1" t="s">
        <v>95</v>
      </c>
      <c r="AB8" s="6" t="str">
        <f>IFERROR(__xludf.DUMMYFUNCTION("""COMPUTED_VALUE"""),"flashes")</f>
        <v>flashes</v>
      </c>
      <c r="AD8" s="6" t="str">
        <f>IFERROR(__xludf.DUMMYFUNCTION("""COMPUTED_VALUE"""),"sequel")</f>
        <v>sequel</v>
      </c>
      <c r="AF8" s="1" t="s">
        <v>54</v>
      </c>
      <c r="AG8" s="6" t="str">
        <f>IFERROR(__xludf.DUMMYFUNCTION("""COMPUTED_VALUE"""),"adaptation")</f>
        <v>adaptation</v>
      </c>
      <c r="AH8" s="6" t="str">
        <f>IFERROR(__xludf.DUMMYFUNCTION("""COMPUTED_VALUE"""),"suspense")</f>
        <v>suspense</v>
      </c>
      <c r="AJ8" s="1" t="s">
        <v>80</v>
      </c>
      <c r="AK8" s="6" t="str">
        <f>IFERROR(__xludf.DUMMYFUNCTION("""COMPUTED_VALUE"""),"storytelling")</f>
        <v>storytelling</v>
      </c>
      <c r="AM8" s="1" t="s">
        <v>68</v>
      </c>
      <c r="AN8" s="6" t="str">
        <f>IFERROR(__xludf.DUMMYFUNCTION("""COMPUTED_VALUE"""),"cinematic")</f>
        <v>cinematic</v>
      </c>
    </row>
    <row r="9">
      <c r="A9" s="1" t="s">
        <v>96</v>
      </c>
      <c r="B9" s="1" t="s">
        <v>97</v>
      </c>
      <c r="C9" s="6" t="str">
        <f>IFERROR(__xludf.DUMMYFUNCTION("""COMPUTED_VALUE"""),"captures")</f>
        <v>captures</v>
      </c>
      <c r="E9" s="1" t="s">
        <v>98</v>
      </c>
      <c r="F9" s="6" t="str">
        <f>IFERROR(__xludf.DUMMYFUNCTION("""COMPUTED_VALUE"""),"filmmakers")</f>
        <v>filmmakers</v>
      </c>
      <c r="H9" s="1" t="s">
        <v>68</v>
      </c>
      <c r="I9" s="6" t="str">
        <f>IFERROR(__xludf.DUMMYFUNCTION("""COMPUTED_VALUE"""),"throughout")</f>
        <v>throughout</v>
      </c>
      <c r="K9" s="1" t="s">
        <v>99</v>
      </c>
      <c r="L9" s="6" t="str">
        <f>IFERROR(__xludf.DUMMYFUNCTION("""COMPUTED_VALUE"""),"reveals")</f>
        <v>reveals</v>
      </c>
      <c r="N9" s="6" t="str">
        <f>IFERROR(__xludf.DUMMYFUNCTION("""COMPUTED_VALUE"""),"affection")</f>
        <v>affection</v>
      </c>
      <c r="P9" s="1" t="s">
        <v>100</v>
      </c>
      <c r="Q9" s="6" t="str">
        <f>IFERROR(__xludf.DUMMYFUNCTION("""COMPUTED_VALUE"""),"redundant")</f>
        <v>redundant</v>
      </c>
      <c r="S9" s="1" t="s">
        <v>101</v>
      </c>
      <c r="T9" s="6" t="str">
        <f>IFERROR(__xludf.DUMMYFUNCTION("""COMPUTED_VALUE"""),"something")</f>
        <v>something</v>
      </c>
      <c r="V9" s="1" t="s">
        <v>102</v>
      </c>
      <c r="W9" s="1" t="s">
        <v>103</v>
      </c>
      <c r="AA9" s="1" t="s">
        <v>104</v>
      </c>
      <c r="AB9" s="6" t="str">
        <f>IFERROR(__xludf.DUMMYFUNCTION("""COMPUTED_VALUE"""),"thriller")</f>
        <v>thriller</v>
      </c>
      <c r="AD9" s="6" t="str">
        <f>IFERROR(__xludf.DUMMYFUNCTION("""COMPUTED_VALUE"""),"rhythms")</f>
        <v>rhythms</v>
      </c>
      <c r="AF9" s="1" t="s">
        <v>64</v>
      </c>
      <c r="AG9" s="6" t="str">
        <f>IFERROR(__xludf.DUMMYFUNCTION("""COMPUTED_VALUE"""),"sequel")</f>
        <v>sequel</v>
      </c>
      <c r="AH9" s="6" t="str">
        <f>IFERROR(__xludf.DUMMYFUNCTION("""COMPUTED_VALUE"""),"reveals")</f>
        <v>reveals</v>
      </c>
      <c r="AJ9" s="1" t="s">
        <v>70</v>
      </c>
      <c r="AK9" s="6" t="str">
        <f>IFERROR(__xludf.DUMMYFUNCTION("""COMPUTED_VALUE"""),"conviction")</f>
        <v>conviction</v>
      </c>
      <c r="AM9" s="1" t="s">
        <v>98</v>
      </c>
      <c r="AN9" s="6" t="str">
        <f>IFERROR(__xludf.DUMMYFUNCTION("""COMPUTED_VALUE"""),"storytelling")</f>
        <v>storytelling</v>
      </c>
    </row>
    <row r="10">
      <c r="A10" s="1" t="s">
        <v>105</v>
      </c>
      <c r="B10" s="1" t="s">
        <v>55</v>
      </c>
      <c r="C10" s="6" t="str">
        <f>IFERROR(__xludf.DUMMYFUNCTION("""COMPUTED_VALUE"""),"sitcom")</f>
        <v>sitcom</v>
      </c>
      <c r="E10" s="1" t="s">
        <v>40</v>
      </c>
      <c r="F10" s="6" t="str">
        <f>IFERROR(__xludf.DUMMYFUNCTION("""COMPUTED_VALUE"""),"up")</f>
        <v>up</v>
      </c>
      <c r="H10" s="1" t="s">
        <v>76</v>
      </c>
      <c r="I10" s="6" t="str">
        <f>IFERROR(__xludf.DUMMYFUNCTION("""COMPUTED_VALUE"""),"filmmakers")</f>
        <v>filmmakers</v>
      </c>
      <c r="K10" s="1" t="s">
        <v>106</v>
      </c>
      <c r="L10" s="6" t="str">
        <f>IFERROR(__xludf.DUMMYFUNCTION("""COMPUTED_VALUE"""),"considerable")</f>
        <v>considerable</v>
      </c>
      <c r="N10" s="6" t="str">
        <f>IFERROR(__xludf.DUMMYFUNCTION("""COMPUTED_VALUE"""),"gripping")</f>
        <v>gripping</v>
      </c>
      <c r="P10" s="1" t="s">
        <v>107</v>
      </c>
      <c r="Q10" s="6" t="str">
        <f>IFERROR(__xludf.DUMMYFUNCTION("""COMPUTED_VALUE"""),"succeeds")</f>
        <v>succeeds</v>
      </c>
      <c r="S10" s="1" t="s">
        <v>108</v>
      </c>
      <c r="T10" s="6" t="str">
        <f>IFERROR(__xludf.DUMMYFUNCTION("""COMPUTED_VALUE"""),"human")</f>
        <v>human</v>
      </c>
      <c r="V10" s="1" t="s">
        <v>109</v>
      </c>
      <c r="W10" s="1" t="s">
        <v>110</v>
      </c>
      <c r="AA10" s="1" t="s">
        <v>111</v>
      </c>
      <c r="AB10" s="6" t="str">
        <f>IFERROR(__xludf.DUMMYFUNCTION("""COMPUTED_VALUE"""),"wry")</f>
        <v>wry</v>
      </c>
      <c r="AD10" s="6" t="str">
        <f>IFERROR(__xludf.DUMMYFUNCTION("""COMPUTED_VALUE"""),"resonance")</f>
        <v>resonance</v>
      </c>
      <c r="AF10" s="1" t="s">
        <v>74</v>
      </c>
      <c r="AG10" s="6" t="str">
        <f>IFERROR(__xludf.DUMMYFUNCTION("""COMPUTED_VALUE"""),"flashes")</f>
        <v>flashes</v>
      </c>
      <c r="AH10" s="6" t="str">
        <f>IFERROR(__xludf.DUMMYFUNCTION("""COMPUTED_VALUE"""),"adaptation")</f>
        <v>adaptation</v>
      </c>
      <c r="AJ10" s="1" t="s">
        <v>112</v>
      </c>
      <c r="AK10" s="6" t="str">
        <f>IFERROR(__xludf.DUMMYFUNCTION("""COMPUTED_VALUE"""),"bourne")</f>
        <v>bourne</v>
      </c>
      <c r="AM10" s="1" t="s">
        <v>113</v>
      </c>
      <c r="AN10" s="6" t="str">
        <f>IFERROR(__xludf.DUMMYFUNCTION("""COMPUTED_VALUE"""),"conviction")</f>
        <v>conviction</v>
      </c>
    </row>
    <row r="11">
      <c r="A11" s="1" t="s">
        <v>95</v>
      </c>
      <c r="B11" s="1" t="s">
        <v>114</v>
      </c>
      <c r="C11" s="6" t="str">
        <f>IFERROR(__xludf.DUMMYFUNCTION("""COMPUTED_VALUE"""),"meaningful")</f>
        <v>meaningful</v>
      </c>
      <c r="E11" s="1" t="s">
        <v>115</v>
      </c>
      <c r="F11" s="6" t="str">
        <f>IFERROR(__xludf.DUMMYFUNCTION("""COMPUTED_VALUE"""),"superficial")</f>
        <v>superficial</v>
      </c>
      <c r="H11" s="1" t="s">
        <v>88</v>
      </c>
      <c r="I11" s="6" t="str">
        <f>IFERROR(__xludf.DUMMYFUNCTION("""COMPUTED_VALUE"""),"up")</f>
        <v>up</v>
      </c>
      <c r="K11" s="1" t="s">
        <v>116</v>
      </c>
      <c r="L11" s="6" t="str">
        <f>IFERROR(__xludf.DUMMYFUNCTION("""COMPUTED_VALUE"""),"haunting")</f>
        <v>haunting</v>
      </c>
      <c r="N11" s="6" t="str">
        <f>IFERROR(__xludf.DUMMYFUNCTION("""COMPUTED_VALUE"""),"startling")</f>
        <v>startling</v>
      </c>
      <c r="P11" s="1" t="s">
        <v>117</v>
      </c>
      <c r="Q11" s="6" t="str">
        <f>IFERROR(__xludf.DUMMYFUNCTION("""COMPUTED_VALUE"""),"casting")</f>
        <v>casting</v>
      </c>
      <c r="S11" s="1" t="s">
        <v>118</v>
      </c>
      <c r="T11" s="6" t="str">
        <f>IFERROR(__xludf.DUMMYFUNCTION("""COMPUTED_VALUE"""),"throughout")</f>
        <v>throughout</v>
      </c>
      <c r="V11" s="1" t="s">
        <v>119</v>
      </c>
      <c r="W11" s="1" t="s">
        <v>120</v>
      </c>
      <c r="AA11" s="1" t="s">
        <v>121</v>
      </c>
      <c r="AB11" s="6" t="str">
        <f>IFERROR(__xludf.DUMMYFUNCTION("""COMPUTED_VALUE"""),"plotted")</f>
        <v>plotted</v>
      </c>
      <c r="AD11" s="6" t="str">
        <f>IFERROR(__xludf.DUMMYFUNCTION("""COMPUTED_VALUE"""),"thriller")</f>
        <v>thriller</v>
      </c>
      <c r="AF11" s="1" t="s">
        <v>122</v>
      </c>
      <c r="AG11" s="6" t="str">
        <f>IFERROR(__xludf.DUMMYFUNCTION("""COMPUTED_VALUE"""),"viewers")</f>
        <v>viewers</v>
      </c>
      <c r="AH11" s="6" t="str">
        <f>IFERROR(__xludf.DUMMYFUNCTION("""COMPUTED_VALUE"""),"derivative")</f>
        <v>derivative</v>
      </c>
      <c r="AJ11" s="1" t="s">
        <v>123</v>
      </c>
      <c r="AK11" s="6" t="str">
        <f>IFERROR(__xludf.DUMMYFUNCTION("""COMPUTED_VALUE"""),"reveals")</f>
        <v>reveals</v>
      </c>
      <c r="AM11" s="1" t="s">
        <v>124</v>
      </c>
      <c r="AN11" s="6" t="str">
        <f>IFERROR(__xludf.DUMMYFUNCTION("""COMPUTED_VALUE"""),"bourne")</f>
        <v>bourne</v>
      </c>
    </row>
    <row r="12">
      <c r="A12" s="1" t="s">
        <v>125</v>
      </c>
      <c r="B12" s="1" t="s">
        <v>126</v>
      </c>
      <c r="C12" s="6" t="str">
        <f>IFERROR(__xludf.DUMMYFUNCTION("""COMPUTED_VALUE"""),"bleak")</f>
        <v>bleak</v>
      </c>
      <c r="E12" s="1" t="s">
        <v>127</v>
      </c>
      <c r="F12" s="6" t="str">
        <f>IFERROR(__xludf.DUMMYFUNCTION("""COMPUTED_VALUE"""),"too")</f>
        <v>too</v>
      </c>
      <c r="H12" s="1" t="s">
        <v>98</v>
      </c>
      <c r="I12" s="6" t="str">
        <f>IFERROR(__xludf.DUMMYFUNCTION("""COMPUTED_VALUE"""),"superficial")</f>
        <v>superficial</v>
      </c>
      <c r="K12" s="1" t="s">
        <v>128</v>
      </c>
      <c r="L12" s="6" t="str">
        <f>IFERROR(__xludf.DUMMYFUNCTION("""COMPUTED_VALUE"""),"affecting")</f>
        <v>affecting</v>
      </c>
      <c r="N12" s="6" t="str">
        <f>IFERROR(__xludf.DUMMYFUNCTION("""COMPUTED_VALUE"""),"fatal")</f>
        <v>fatal</v>
      </c>
      <c r="P12" s="1" t="s">
        <v>129</v>
      </c>
      <c r="Q12" s="6" t="str">
        <f>IFERROR(__xludf.DUMMYFUNCTION("""COMPUTED_VALUE"""),"actress")</f>
        <v>actress</v>
      </c>
      <c r="S12" s="1" t="s">
        <v>110</v>
      </c>
      <c r="T12" s="6" t="str">
        <f>IFERROR(__xludf.DUMMYFUNCTION("""COMPUTED_VALUE"""),"same")</f>
        <v>same</v>
      </c>
      <c r="V12" s="1" t="s">
        <v>130</v>
      </c>
      <c r="W12" s="1" t="s">
        <v>46</v>
      </c>
      <c r="AA12" s="1" t="s">
        <v>131</v>
      </c>
      <c r="AB12" s="6" t="str">
        <f>IFERROR(__xludf.DUMMYFUNCTION("""COMPUTED_VALUE"""),"literary")</f>
        <v>literary</v>
      </c>
      <c r="AD12" s="6" t="str">
        <f>IFERROR(__xludf.DUMMYFUNCTION("""COMPUTED_VALUE"""),"screenplay")</f>
        <v>screenplay</v>
      </c>
      <c r="AF12" s="1" t="s">
        <v>84</v>
      </c>
      <c r="AG12" s="6" t="str">
        <f>IFERROR(__xludf.DUMMYFUNCTION("""COMPUTED_VALUE"""),"filmmaker")</f>
        <v>filmmaker</v>
      </c>
      <c r="AH12" s="6" t="str">
        <f>IFERROR(__xludf.DUMMYFUNCTION("""COMPUTED_VALUE"""),"sequel")</f>
        <v>sequel</v>
      </c>
      <c r="AJ12" s="1" t="s">
        <v>132</v>
      </c>
      <c r="AK12" s="6" t="str">
        <f>IFERROR(__xludf.DUMMYFUNCTION("""COMPUTED_VALUE"""),"adaptation")</f>
        <v>adaptation</v>
      </c>
      <c r="AM12" s="1" t="s">
        <v>115</v>
      </c>
      <c r="AN12" s="6" t="str">
        <f>IFERROR(__xludf.DUMMYFUNCTION("""COMPUTED_VALUE"""),"reveals")</f>
        <v>reveals</v>
      </c>
    </row>
    <row r="13">
      <c r="A13" s="1" t="s">
        <v>133</v>
      </c>
      <c r="B13" s="1" t="s">
        <v>134</v>
      </c>
      <c r="C13" s="6" t="str">
        <f>IFERROR(__xludf.DUMMYFUNCTION("""COMPUTED_VALUE"""),"affection")</f>
        <v>affection</v>
      </c>
      <c r="E13" s="1" t="s">
        <v>50</v>
      </c>
      <c r="F13" s="6" t="str">
        <f>IFERROR(__xludf.DUMMYFUNCTION("""COMPUTED_VALUE"""),"patriot")</f>
        <v>patriot</v>
      </c>
      <c r="H13" s="1" t="s">
        <v>40</v>
      </c>
      <c r="I13" s="6" t="str">
        <f>IFERROR(__xludf.DUMMYFUNCTION("""COMPUTED_VALUE"""),"too")</f>
        <v>too</v>
      </c>
      <c r="K13" s="1" t="s">
        <v>135</v>
      </c>
      <c r="L13" s="6" t="str">
        <f>IFERROR(__xludf.DUMMYFUNCTION("""COMPUTED_VALUE"""),"offensive")</f>
        <v>offensive</v>
      </c>
      <c r="N13" s="6" t="str">
        <f>IFERROR(__xludf.DUMMYFUNCTION("""COMPUTED_VALUE"""),"establishes")</f>
        <v>establishes</v>
      </c>
      <c r="P13" s="1" t="s">
        <v>136</v>
      </c>
      <c r="Q13" s="6" t="str">
        <f>IFERROR(__xludf.DUMMYFUNCTION("""COMPUTED_VALUE"""),"performances")</f>
        <v>performances</v>
      </c>
      <c r="S13" s="1" t="s">
        <v>137</v>
      </c>
      <c r="T13" s="6" t="str">
        <f>IFERROR(__xludf.DUMMYFUNCTION("""COMPUTED_VALUE"""),"filmmakers")</f>
        <v>filmmakers</v>
      </c>
      <c r="V13" s="1" t="s">
        <v>138</v>
      </c>
      <c r="W13" s="1" t="s">
        <v>139</v>
      </c>
      <c r="AA13" s="1" t="s">
        <v>140</v>
      </c>
      <c r="AB13" s="6" t="str">
        <f>IFERROR(__xludf.DUMMYFUNCTION("""COMPUTED_VALUE"""),"bard")</f>
        <v>bard</v>
      </c>
      <c r="AD13" s="6" t="str">
        <f>IFERROR(__xludf.DUMMYFUNCTION("""COMPUTED_VALUE"""),"wry")</f>
        <v>wry</v>
      </c>
      <c r="AF13" s="1" t="s">
        <v>141</v>
      </c>
      <c r="AG13" s="6" t="str">
        <f>IFERROR(__xludf.DUMMYFUNCTION("""COMPUTED_VALUE"""),"thriller")</f>
        <v>thriller</v>
      </c>
      <c r="AH13" s="6" t="str">
        <f>IFERROR(__xludf.DUMMYFUNCTION("""COMPUTED_VALUE"""),"rhythms")</f>
        <v>rhythms</v>
      </c>
      <c r="AJ13" s="1" t="s">
        <v>142</v>
      </c>
      <c r="AK13" s="6" t="str">
        <f>IFERROR(__xludf.DUMMYFUNCTION("""COMPUTED_VALUE"""),"sequel")</f>
        <v>sequel</v>
      </c>
      <c r="AM13" s="1" t="s">
        <v>127</v>
      </c>
      <c r="AN13" s="6" t="str">
        <f>IFERROR(__xludf.DUMMYFUNCTION("""COMPUTED_VALUE"""),"adaptation")</f>
        <v>adaptation</v>
      </c>
    </row>
    <row r="14">
      <c r="A14" s="1" t="s">
        <v>143</v>
      </c>
      <c r="B14" s="1" t="s">
        <v>144</v>
      </c>
      <c r="C14" s="6" t="str">
        <f>IFERROR(__xludf.DUMMYFUNCTION("""COMPUTED_VALUE"""),"absorbing")</f>
        <v>absorbing</v>
      </c>
      <c r="E14" s="1" t="s">
        <v>65</v>
      </c>
      <c r="F14" s="6" t="str">
        <f>IFERROR(__xludf.DUMMYFUNCTION("""COMPUTED_VALUE"""),"demonstrates")</f>
        <v>demonstrates</v>
      </c>
      <c r="H14" s="1" t="s">
        <v>115</v>
      </c>
      <c r="I14" s="6" t="str">
        <f>IFERROR(__xludf.DUMMYFUNCTION("""COMPUTED_VALUE"""),"tragic")</f>
        <v>tragic</v>
      </c>
      <c r="K14" s="1" t="s">
        <v>56</v>
      </c>
      <c r="L14" s="6" t="str">
        <f>IFERROR(__xludf.DUMMYFUNCTION("""COMPUTED_VALUE"""),"sitcom")</f>
        <v>sitcom</v>
      </c>
      <c r="N14" s="6" t="str">
        <f>IFERROR(__xludf.DUMMYFUNCTION("""COMPUTED_VALUE"""),"cerebral")</f>
        <v>cerebral</v>
      </c>
      <c r="P14" s="1" t="s">
        <v>145</v>
      </c>
      <c r="Q14" s="6" t="str">
        <f>IFERROR(__xludf.DUMMYFUNCTION("""COMPUTED_VALUE"""),"enriched")</f>
        <v>enriched</v>
      </c>
      <c r="S14" s="1" t="s">
        <v>146</v>
      </c>
      <c r="T14" s="6" t="str">
        <f>IFERROR(__xludf.DUMMYFUNCTION("""COMPUTED_VALUE"""),"up")</f>
        <v>up</v>
      </c>
      <c r="V14" s="1" t="s">
        <v>147</v>
      </c>
      <c r="W14" s="1" t="s">
        <v>148</v>
      </c>
      <c r="AA14" s="1" t="s">
        <v>149</v>
      </c>
      <c r="AB14" s="6" t="str">
        <f>IFERROR(__xludf.DUMMYFUNCTION("""COMPUTED_VALUE"""),"innocence")</f>
        <v>innocence</v>
      </c>
      <c r="AD14" s="6" t="str">
        <f>IFERROR(__xludf.DUMMYFUNCTION("""COMPUTED_VALUE"""),"literary")</f>
        <v>literary</v>
      </c>
      <c r="AF14" s="1" t="s">
        <v>150</v>
      </c>
      <c r="AG14" s="6" t="str">
        <f>IFERROR(__xludf.DUMMYFUNCTION("""COMPUTED_VALUE"""),"sitcom")</f>
        <v>sitcom</v>
      </c>
      <c r="AH14" s="6" t="str">
        <f>IFERROR(__xludf.DUMMYFUNCTION("""COMPUTED_VALUE"""),"resonance")</f>
        <v>resonance</v>
      </c>
      <c r="AJ14" s="1" t="s">
        <v>145</v>
      </c>
      <c r="AK14" s="6" t="str">
        <f>IFERROR(__xludf.DUMMYFUNCTION("""COMPUTED_VALUE"""),"compelling")</f>
        <v>compelling</v>
      </c>
      <c r="AM14" s="1" t="s">
        <v>50</v>
      </c>
      <c r="AN14" s="6" t="str">
        <f>IFERROR(__xludf.DUMMYFUNCTION("""COMPUTED_VALUE"""),"sequel")</f>
        <v>sequel</v>
      </c>
    </row>
    <row r="15">
      <c r="A15" s="1" t="s">
        <v>151</v>
      </c>
      <c r="B15" s="1" t="s">
        <v>143</v>
      </c>
      <c r="C15" s="6" t="str">
        <f>IFERROR(__xludf.DUMMYFUNCTION("""COMPUTED_VALUE"""),"gripping")</f>
        <v>gripping</v>
      </c>
      <c r="E15" s="1" t="s">
        <v>152</v>
      </c>
      <c r="F15" s="6" t="str">
        <f>IFERROR(__xludf.DUMMYFUNCTION("""COMPUTED_VALUE"""),"director")</f>
        <v>director</v>
      </c>
      <c r="H15" s="1" t="s">
        <v>127</v>
      </c>
      <c r="I15" s="6" t="str">
        <f>IFERROR(__xludf.DUMMYFUNCTION("""COMPUTED_VALUE"""),"patriot")</f>
        <v>patriot</v>
      </c>
      <c r="K15" s="1" t="s">
        <v>153</v>
      </c>
      <c r="L15" s="6" t="str">
        <f>IFERROR(__xludf.DUMMYFUNCTION("""COMPUTED_VALUE"""),"acid")</f>
        <v>acid</v>
      </c>
      <c r="N15" s="6" t="str">
        <f>IFERROR(__xludf.DUMMYFUNCTION("""COMPUTED_VALUE"""),"fascination")</f>
        <v>fascination</v>
      </c>
      <c r="P15" s="1" t="s">
        <v>47</v>
      </c>
      <c r="Q15" s="6" t="str">
        <f>IFERROR(__xludf.DUMMYFUNCTION("""COMPUTED_VALUE"""),"cinema")</f>
        <v>cinema</v>
      </c>
      <c r="S15" s="1" t="s">
        <v>154</v>
      </c>
      <c r="T15" s="6" t="str">
        <f>IFERROR(__xludf.DUMMYFUNCTION("""COMPUTED_VALUE"""),"could")</f>
        <v>could</v>
      </c>
      <c r="V15" s="1" t="s">
        <v>155</v>
      </c>
      <c r="W15" s="1" t="s">
        <v>156</v>
      </c>
      <c r="AA15" s="1" t="s">
        <v>157</v>
      </c>
      <c r="AB15" s="6" t="str">
        <f>IFERROR(__xludf.DUMMYFUNCTION("""COMPUTED_VALUE"""),"dynamics")</f>
        <v>dynamics</v>
      </c>
      <c r="AD15" s="6" t="str">
        <f>IFERROR(__xludf.DUMMYFUNCTION("""COMPUTED_VALUE"""),"viewer")</f>
        <v>viewer</v>
      </c>
      <c r="AF15" s="1" t="s">
        <v>95</v>
      </c>
      <c r="AG15" s="6" t="str">
        <f>IFERROR(__xludf.DUMMYFUNCTION("""COMPUTED_VALUE"""),"wry")</f>
        <v>wry</v>
      </c>
      <c r="AH15" s="6" t="str">
        <f>IFERROR(__xludf.DUMMYFUNCTION("""COMPUTED_VALUE"""),"viewers")</f>
        <v>viewers</v>
      </c>
      <c r="AJ15" s="1" t="s">
        <v>47</v>
      </c>
      <c r="AK15" s="6" t="str">
        <f>IFERROR(__xludf.DUMMYFUNCTION("""COMPUTED_VALUE"""),"flashes")</f>
        <v>flashes</v>
      </c>
      <c r="AM15" s="1" t="s">
        <v>65</v>
      </c>
      <c r="AN15" s="6" t="str">
        <f>IFERROR(__xludf.DUMMYFUNCTION("""COMPUTED_VALUE"""),"compelling")</f>
        <v>compelling</v>
      </c>
    </row>
    <row r="16">
      <c r="A16" s="1" t="s">
        <v>158</v>
      </c>
      <c r="B16" s="1" t="s">
        <v>159</v>
      </c>
      <c r="C16" s="6" t="str">
        <f>IFERROR(__xludf.DUMMYFUNCTION("""COMPUTED_VALUE"""),"startling")</f>
        <v>startling</v>
      </c>
      <c r="E16" s="1" t="s">
        <v>28</v>
      </c>
      <c r="F16" s="6" t="str">
        <f>IFERROR(__xludf.DUMMYFUNCTION("""COMPUTED_VALUE"""),"suicidal")</f>
        <v>suicidal</v>
      </c>
      <c r="H16" s="1" t="s">
        <v>124</v>
      </c>
      <c r="I16" s="6" t="str">
        <f>IFERROR(__xludf.DUMMYFUNCTION("""COMPUTED_VALUE"""),"director")</f>
        <v>director</v>
      </c>
      <c r="K16" s="1" t="s">
        <v>87</v>
      </c>
      <c r="L16" s="6" t="str">
        <f>IFERROR(__xludf.DUMMYFUNCTION("""COMPUTED_VALUE"""),"juvenile")</f>
        <v>juvenile</v>
      </c>
      <c r="N16" s="6" t="str">
        <f>IFERROR(__xludf.DUMMYFUNCTION("""COMPUTED_VALUE"""),"stylized")</f>
        <v>stylized</v>
      </c>
      <c r="P16" s="1" t="s">
        <v>55</v>
      </c>
      <c r="Q16" s="6" t="str">
        <f>IFERROR(__xludf.DUMMYFUNCTION("""COMPUTED_VALUE"""),"plot")</f>
        <v>plot</v>
      </c>
      <c r="S16" s="1" t="s">
        <v>73</v>
      </c>
      <c r="T16" s="6" t="str">
        <f>IFERROR(__xludf.DUMMYFUNCTION("""COMPUTED_VALUE"""),"superficial")</f>
        <v>superficial</v>
      </c>
      <c r="V16" s="1" t="s">
        <v>160</v>
      </c>
      <c r="W16" s="1" t="s">
        <v>161</v>
      </c>
      <c r="AA16" s="1" t="s">
        <v>162</v>
      </c>
      <c r="AB16" s="6" t="str">
        <f>IFERROR(__xludf.DUMMYFUNCTION("""COMPUTED_VALUE"""),"gripping")</f>
        <v>gripping</v>
      </c>
      <c r="AD16" s="6" t="str">
        <f>IFERROR(__xludf.DUMMYFUNCTION("""COMPUTED_VALUE"""),"satire")</f>
        <v>satire</v>
      </c>
      <c r="AF16" s="1" t="s">
        <v>163</v>
      </c>
      <c r="AG16" s="6" t="str">
        <f>IFERROR(__xludf.DUMMYFUNCTION("""COMPUTED_VALUE"""),"plotted")</f>
        <v>plotted</v>
      </c>
      <c r="AH16" s="6" t="str">
        <f>IFERROR(__xludf.DUMMYFUNCTION("""COMPUTED_VALUE"""),"debut")</f>
        <v>debut</v>
      </c>
      <c r="AJ16" s="1" t="s">
        <v>55</v>
      </c>
      <c r="AK16" s="6" t="str">
        <f>IFERROR(__xludf.DUMMYFUNCTION("""COMPUTED_VALUE"""),"viewers")</f>
        <v>viewers</v>
      </c>
      <c r="AM16" s="1" t="s">
        <v>164</v>
      </c>
      <c r="AN16" s="6" t="str">
        <f>IFERROR(__xludf.DUMMYFUNCTION("""COMPUTED_VALUE"""),"flashes")</f>
        <v>flashes</v>
      </c>
    </row>
    <row r="17">
      <c r="A17" s="1" t="s">
        <v>165</v>
      </c>
      <c r="B17" s="1" t="s">
        <v>166</v>
      </c>
      <c r="C17" s="6" t="str">
        <f>IFERROR(__xludf.DUMMYFUNCTION("""COMPUTED_VALUE"""),"fatal")</f>
        <v>fatal</v>
      </c>
      <c r="E17" s="1" t="s">
        <v>60</v>
      </c>
      <c r="F17" s="6" t="str">
        <f>IFERROR(__xludf.DUMMYFUNCTION("""COMPUTED_VALUE"""),"depressed")</f>
        <v>depressed</v>
      </c>
      <c r="H17" s="1" t="s">
        <v>167</v>
      </c>
      <c r="I17" s="6" t="str">
        <f>IFERROR(__xludf.DUMMYFUNCTION("""COMPUTED_VALUE"""),"demonstrates")</f>
        <v>demonstrates</v>
      </c>
      <c r="K17" s="1" t="s">
        <v>168</v>
      </c>
      <c r="L17" s="6" t="str">
        <f>IFERROR(__xludf.DUMMYFUNCTION("""COMPUTED_VALUE"""),"bleak")</f>
        <v>bleak</v>
      </c>
      <c r="N17" s="6"/>
      <c r="P17" s="1" t="s">
        <v>169</v>
      </c>
      <c r="Q17" s="6" t="str">
        <f>IFERROR(__xludf.DUMMYFUNCTION("""COMPUTED_VALUE"""),"storyline")</f>
        <v>storyline</v>
      </c>
      <c r="S17" s="1" t="s">
        <v>170</v>
      </c>
      <c r="T17" s="6" t="str">
        <f>IFERROR(__xludf.DUMMYFUNCTION("""COMPUTED_VALUE"""),"too")</f>
        <v>too</v>
      </c>
      <c r="V17" s="1" t="s">
        <v>171</v>
      </c>
      <c r="W17" s="1" t="s">
        <v>172</v>
      </c>
      <c r="AA17" s="1" t="s">
        <v>173</v>
      </c>
      <c r="AB17" s="6" t="str">
        <f>IFERROR(__xludf.DUMMYFUNCTION("""COMPUTED_VALUE"""),"pulse")</f>
        <v>pulse</v>
      </c>
      <c r="AD17" s="6" t="str">
        <f>IFERROR(__xludf.DUMMYFUNCTION("""COMPUTED_VALUE"""),"gripping")</f>
        <v>gripping</v>
      </c>
      <c r="AF17" s="1" t="s">
        <v>174</v>
      </c>
      <c r="AG17" s="6" t="str">
        <f>IFERROR(__xludf.DUMMYFUNCTION("""COMPUTED_VALUE"""),"comedies")</f>
        <v>comedies</v>
      </c>
      <c r="AH17" s="6" t="str">
        <f>IFERROR(__xludf.DUMMYFUNCTION("""COMPUTED_VALUE"""),"filmmaker")</f>
        <v>filmmaker</v>
      </c>
      <c r="AJ17" s="1" t="s">
        <v>169</v>
      </c>
      <c r="AK17" s="6" t="str">
        <f>IFERROR(__xludf.DUMMYFUNCTION("""COMPUTED_VALUE"""),"haunting")</f>
        <v>haunting</v>
      </c>
      <c r="AM17" s="1" t="s">
        <v>28</v>
      </c>
      <c r="AN17" s="6" t="str">
        <f>IFERROR(__xludf.DUMMYFUNCTION("""COMPUTED_VALUE"""),"viewers")</f>
        <v>viewers</v>
      </c>
    </row>
    <row r="18">
      <c r="A18" s="1" t="s">
        <v>175</v>
      </c>
      <c r="B18" s="1" t="s">
        <v>176</v>
      </c>
      <c r="C18" s="6" t="str">
        <f>IFERROR(__xludf.DUMMYFUNCTION("""COMPUTED_VALUE"""),"establishes")</f>
        <v>establishes</v>
      </c>
      <c r="E18" s="1" t="s">
        <v>177</v>
      </c>
      <c r="F18" s="6" t="str">
        <f>IFERROR(__xludf.DUMMYFUNCTION("""COMPUTED_VALUE"""),"absurd")</f>
        <v>absurd</v>
      </c>
      <c r="H18" s="1" t="s">
        <v>50</v>
      </c>
      <c r="I18" s="6" t="str">
        <f>IFERROR(__xludf.DUMMYFUNCTION("""COMPUTED_VALUE"""),"out")</f>
        <v>out</v>
      </c>
      <c r="K18" s="1" t="s">
        <v>178</v>
      </c>
      <c r="L18" s="6" t="str">
        <f>IFERROR(__xludf.DUMMYFUNCTION("""COMPUTED_VALUE"""),"convincing")</f>
        <v>convincing</v>
      </c>
      <c r="N18" s="6"/>
      <c r="P18" s="1" t="s">
        <v>179</v>
      </c>
      <c r="Q18" s="6" t="str">
        <f>IFERROR(__xludf.DUMMYFUNCTION("""COMPUTED_VALUE"""),"crude")</f>
        <v>crude</v>
      </c>
      <c r="S18" s="1" t="s">
        <v>180</v>
      </c>
      <c r="T18" s="6" t="str">
        <f>IFERROR(__xludf.DUMMYFUNCTION("""COMPUTED_VALUE"""),"merit")</f>
        <v>merit</v>
      </c>
      <c r="V18" s="1" t="s">
        <v>181</v>
      </c>
      <c r="W18" s="1" t="s">
        <v>182</v>
      </c>
      <c r="AA18" s="1" t="s">
        <v>183</v>
      </c>
      <c r="AB18" s="6" t="str">
        <f>IFERROR(__xludf.DUMMYFUNCTION("""COMPUTED_VALUE"""),"establishes")</f>
        <v>establishes</v>
      </c>
      <c r="AD18" s="6" t="str">
        <f>IFERROR(__xludf.DUMMYFUNCTION("""COMPUTED_VALUE"""),"pulse")</f>
        <v>pulse</v>
      </c>
      <c r="AF18" s="1" t="s">
        <v>104</v>
      </c>
      <c r="AG18" s="6" t="str">
        <f>IFERROR(__xludf.DUMMYFUNCTION("""COMPUTED_VALUE"""),"literary")</f>
        <v>literary</v>
      </c>
      <c r="AH18" s="6" t="str">
        <f>IFERROR(__xludf.DUMMYFUNCTION("""COMPUTED_VALUE"""),"ambitious")</f>
        <v>ambitious</v>
      </c>
      <c r="AJ18" s="1" t="s">
        <v>184</v>
      </c>
      <c r="AK18" s="6" t="str">
        <f>IFERROR(__xludf.DUMMYFUNCTION("""COMPUTED_VALUE"""),"filmmaker")</f>
        <v>filmmaker</v>
      </c>
      <c r="AM18" s="1" t="s">
        <v>185</v>
      </c>
      <c r="AN18" s="6" t="str">
        <f>IFERROR(__xludf.DUMMYFUNCTION("""COMPUTED_VALUE"""),"haunting")</f>
        <v>haunting</v>
      </c>
    </row>
    <row r="19">
      <c r="A19" s="1" t="s">
        <v>186</v>
      </c>
      <c r="B19" s="1" t="s">
        <v>187</v>
      </c>
      <c r="C19" s="6" t="str">
        <f>IFERROR(__xludf.DUMMYFUNCTION("""COMPUTED_VALUE"""),"reduces")</f>
        <v>reduces</v>
      </c>
      <c r="E19" s="1" t="s">
        <v>36</v>
      </c>
      <c r="F19" s="6" t="str">
        <f>IFERROR(__xludf.DUMMYFUNCTION("""COMPUTED_VALUE"""),"bad")</f>
        <v>bad</v>
      </c>
      <c r="H19" s="1" t="s">
        <v>65</v>
      </c>
      <c r="I19" s="6" t="str">
        <f>IFERROR(__xludf.DUMMYFUNCTION("""COMPUTED_VALUE"""),"emotional")</f>
        <v>emotional</v>
      </c>
      <c r="K19" s="1" t="s">
        <v>97</v>
      </c>
      <c r="L19" s="6" t="str">
        <f>IFERROR(__xludf.DUMMYFUNCTION("""COMPUTED_VALUE"""),"courage")</f>
        <v>courage</v>
      </c>
      <c r="N19" s="6"/>
      <c r="P19" s="1" t="s">
        <v>188</v>
      </c>
      <c r="Q19" s="6" t="str">
        <f>IFERROR(__xludf.DUMMYFUNCTION("""COMPUTED_VALUE"""),"nowhere")</f>
        <v>nowhere</v>
      </c>
      <c r="S19" s="1" t="s">
        <v>189</v>
      </c>
      <c r="T19" s="6" t="str">
        <f>IFERROR(__xludf.DUMMYFUNCTION("""COMPUTED_VALUE"""),"tragic")</f>
        <v>tragic</v>
      </c>
      <c r="V19" s="1" t="s">
        <v>190</v>
      </c>
      <c r="W19" s="1" t="s">
        <v>191</v>
      </c>
      <c r="AA19" s="1" t="s">
        <v>192</v>
      </c>
      <c r="AB19" s="6" t="str">
        <f>IFERROR(__xludf.DUMMYFUNCTION("""COMPUTED_VALUE"""),"uncertain")</f>
        <v>uncertain</v>
      </c>
      <c r="AD19" s="6" t="str">
        <f>IFERROR(__xludf.DUMMYFUNCTION("""COMPUTED_VALUE"""),"satirical")</f>
        <v>satirical</v>
      </c>
      <c r="AF19" s="1" t="s">
        <v>193</v>
      </c>
      <c r="AG19" s="6" t="str">
        <f>IFERROR(__xludf.DUMMYFUNCTION("""COMPUTED_VALUE"""),"bard")</f>
        <v>bard</v>
      </c>
      <c r="AH19" s="6" t="str">
        <f>IFERROR(__xludf.DUMMYFUNCTION("""COMPUTED_VALUE"""),"thriller")</f>
        <v>thriller</v>
      </c>
      <c r="AJ19" s="1" t="s">
        <v>194</v>
      </c>
      <c r="AK19" s="6" t="str">
        <f>IFERROR(__xludf.DUMMYFUNCTION("""COMPUTED_VALUE"""),"violence")</f>
        <v>violence</v>
      </c>
      <c r="AM19" s="1" t="s">
        <v>60</v>
      </c>
      <c r="AN19" s="6" t="str">
        <f>IFERROR(__xludf.DUMMYFUNCTION("""COMPUTED_VALUE"""),"filmmaker")</f>
        <v>filmmaker</v>
      </c>
    </row>
    <row r="20">
      <c r="A20" s="1" t="s">
        <v>195</v>
      </c>
      <c r="B20" s="1" t="s">
        <v>196</v>
      </c>
      <c r="C20" s="6" t="str">
        <f>IFERROR(__xludf.DUMMYFUNCTION("""COMPUTED_VALUE"""),"jerking")</f>
        <v>jerking</v>
      </c>
      <c r="E20" s="1" t="s">
        <v>197</v>
      </c>
      <c r="F20" s="6" t="str">
        <f>IFERROR(__xludf.DUMMYFUNCTION("""COMPUTED_VALUE"""),"greatest")</f>
        <v>greatest</v>
      </c>
      <c r="H20" s="1" t="s">
        <v>152</v>
      </c>
      <c r="I20" s="6" t="str">
        <f>IFERROR(__xludf.DUMMYFUNCTION("""COMPUTED_VALUE"""),"suicidal")</f>
        <v>suicidal</v>
      </c>
      <c r="K20" s="1" t="s">
        <v>55</v>
      </c>
      <c r="L20" s="6" t="str">
        <f>IFERROR(__xludf.DUMMYFUNCTION("""COMPUTED_VALUE"""),"meditation")</f>
        <v>meditation</v>
      </c>
      <c r="N20" s="6"/>
      <c r="P20" s="1" t="s">
        <v>198</v>
      </c>
      <c r="Q20" s="6" t="str">
        <f>IFERROR(__xludf.DUMMYFUNCTION("""COMPUTED_VALUE"""),"already")</f>
        <v>already</v>
      </c>
      <c r="S20" s="1" t="s">
        <v>199</v>
      </c>
      <c r="T20" s="6" t="str">
        <f>IFERROR(__xludf.DUMMYFUNCTION("""COMPUTED_VALUE"""),"treatment")</f>
        <v>treatment</v>
      </c>
      <c r="V20" s="1" t="s">
        <v>200</v>
      </c>
      <c r="W20" s="1" t="s">
        <v>201</v>
      </c>
      <c r="AA20" s="1" t="s">
        <v>202</v>
      </c>
      <c r="AB20" s="6" t="str">
        <f>IFERROR(__xludf.DUMMYFUNCTION("""COMPUTED_VALUE"""),"cerebral")</f>
        <v>cerebral</v>
      </c>
      <c r="AD20" s="6" t="str">
        <f>IFERROR(__xludf.DUMMYFUNCTION("""COMPUTED_VALUE"""),"magnetic")</f>
        <v>magnetic</v>
      </c>
      <c r="AF20" s="1" t="s">
        <v>111</v>
      </c>
      <c r="AG20" s="6" t="str">
        <f>IFERROR(__xludf.DUMMYFUNCTION("""COMPUTED_VALUE"""),"bleak")</f>
        <v>bleak</v>
      </c>
      <c r="AH20" s="6" t="str">
        <f>IFERROR(__xludf.DUMMYFUNCTION("""COMPUTED_VALUE"""),"supernatural")</f>
        <v>supernatural</v>
      </c>
      <c r="AJ20" s="1" t="s">
        <v>44</v>
      </c>
      <c r="AK20" s="6" t="str">
        <f>IFERROR(__xludf.DUMMYFUNCTION("""COMPUTED_VALUE"""),"thriller")</f>
        <v>thriller</v>
      </c>
      <c r="AM20" s="1" t="s">
        <v>36</v>
      </c>
      <c r="AN20" s="6" t="str">
        <f>IFERROR(__xludf.DUMMYFUNCTION("""COMPUTED_VALUE"""),"violence")</f>
        <v>violence</v>
      </c>
    </row>
    <row r="21">
      <c r="A21" s="1" t="s">
        <v>140</v>
      </c>
      <c r="B21" s="1" t="s">
        <v>203</v>
      </c>
      <c r="C21" s="6" t="str">
        <f>IFERROR(__xludf.DUMMYFUNCTION("""COMPUTED_VALUE"""),"cerebral")</f>
        <v>cerebral</v>
      </c>
      <c r="E21" s="1" t="s">
        <v>204</v>
      </c>
      <c r="F21" s="6" t="str">
        <f>IFERROR(__xludf.DUMMYFUNCTION("""COMPUTED_VALUE"""),"intelligence")</f>
        <v>intelligence</v>
      </c>
      <c r="H21" s="1" t="s">
        <v>28</v>
      </c>
      <c r="I21" s="6" t="str">
        <f>IFERROR(__xludf.DUMMYFUNCTION("""COMPUTED_VALUE"""),"depressed")</f>
        <v>depressed</v>
      </c>
      <c r="K21" s="1" t="s">
        <v>205</v>
      </c>
      <c r="L21" s="6" t="str">
        <f>IFERROR(__xludf.DUMMYFUNCTION("""COMPUTED_VALUE"""),"emerge")</f>
        <v>emerge</v>
      </c>
      <c r="N21" s="6"/>
      <c r="P21" s="1" t="s">
        <v>54</v>
      </c>
      <c r="Q21" s="6" t="str">
        <f>IFERROR(__xludf.DUMMYFUNCTION("""COMPUTED_VALUE"""),"proves")</f>
        <v>proves</v>
      </c>
      <c r="S21" s="1" t="s">
        <v>43</v>
      </c>
      <c r="T21" s="6" t="str">
        <f>IFERROR(__xludf.DUMMYFUNCTION("""COMPUTED_VALUE"""),"patriot")</f>
        <v>patriot</v>
      </c>
      <c r="V21" s="1" t="s">
        <v>206</v>
      </c>
      <c r="W21" s="1" t="s">
        <v>207</v>
      </c>
      <c r="AA21" s="1" t="s">
        <v>208</v>
      </c>
      <c r="AB21" s="6" t="str">
        <f>IFERROR(__xludf.DUMMYFUNCTION("""COMPUTED_VALUE"""),"collapses")</f>
        <v>collapses</v>
      </c>
      <c r="AD21" s="6" t="str">
        <f>IFERROR(__xludf.DUMMYFUNCTION("""COMPUTED_VALUE"""),"establishes")</f>
        <v>establishes</v>
      </c>
      <c r="AF21" s="1" t="s">
        <v>121</v>
      </c>
      <c r="AG21" s="6" t="str">
        <f>IFERROR(__xludf.DUMMYFUNCTION("""COMPUTED_VALUE"""),"stereotypes")</f>
        <v>stereotypes</v>
      </c>
      <c r="AH21" s="6" t="str">
        <f>IFERROR(__xludf.DUMMYFUNCTION("""COMPUTED_VALUE"""),"screenplay")</f>
        <v>screenplay</v>
      </c>
      <c r="AJ21" s="1" t="s">
        <v>75</v>
      </c>
      <c r="AK21" s="6" t="str">
        <f>IFERROR(__xludf.DUMMYFUNCTION("""COMPUTED_VALUE"""),"captures")</f>
        <v>captures</v>
      </c>
      <c r="AM21" s="1" t="s">
        <v>80</v>
      </c>
      <c r="AN21" s="6" t="str">
        <f>IFERROR(__xludf.DUMMYFUNCTION("""COMPUTED_VALUE"""),"thriller")</f>
        <v>thriller</v>
      </c>
    </row>
    <row r="22">
      <c r="A22" s="1" t="s">
        <v>209</v>
      </c>
      <c r="B22" s="1" t="s">
        <v>210</v>
      </c>
      <c r="C22" s="6" t="str">
        <f>IFERROR(__xludf.DUMMYFUNCTION("""COMPUTED_VALUE"""),"infectious")</f>
        <v>infectious</v>
      </c>
      <c r="E22" s="1" t="s">
        <v>70</v>
      </c>
      <c r="F22" s="6" t="str">
        <f>IFERROR(__xludf.DUMMYFUNCTION("""COMPUTED_VALUE"""),"redundant")</f>
        <v>redundant</v>
      </c>
      <c r="H22" s="1" t="s">
        <v>60</v>
      </c>
      <c r="I22" s="6" t="str">
        <f>IFERROR(__xludf.DUMMYFUNCTION("""COMPUTED_VALUE"""),"deeply")</f>
        <v>deeply</v>
      </c>
      <c r="K22" s="1" t="s">
        <v>126</v>
      </c>
      <c r="L22" s="6" t="str">
        <f>IFERROR(__xludf.DUMMYFUNCTION("""COMPUTED_VALUE"""),"remarkably")</f>
        <v>remarkably</v>
      </c>
      <c r="N22" s="6"/>
      <c r="P22" s="1" t="s">
        <v>211</v>
      </c>
      <c r="Q22" s="6" t="str">
        <f>IFERROR(__xludf.DUMMYFUNCTION("""COMPUTED_VALUE"""),"has")</f>
        <v>has</v>
      </c>
      <c r="S22" s="1" t="s">
        <v>91</v>
      </c>
      <c r="T22" s="6" t="str">
        <f>IFERROR(__xludf.DUMMYFUNCTION("""COMPUTED_VALUE"""),"director")</f>
        <v>director</v>
      </c>
      <c r="V22" s="1" t="s">
        <v>212</v>
      </c>
      <c r="W22" s="1" t="s">
        <v>213</v>
      </c>
      <c r="AA22" s="1" t="s">
        <v>214</v>
      </c>
      <c r="AB22" s="6" t="str">
        <f>IFERROR(__xludf.DUMMYFUNCTION("""COMPUTED_VALUE"""),"fascination")</f>
        <v>fascination</v>
      </c>
      <c r="AD22" s="6" t="str">
        <f>IFERROR(__xludf.DUMMYFUNCTION("""COMPUTED_VALUE"""),"collapses")</f>
        <v>collapses</v>
      </c>
      <c r="AF22" s="1" t="s">
        <v>215</v>
      </c>
      <c r="AG22" s="6" t="str">
        <f>IFERROR(__xludf.DUMMYFUNCTION("""COMPUTED_VALUE"""),"innocence")</f>
        <v>innocence</v>
      </c>
      <c r="AH22" s="6" t="str">
        <f>IFERROR(__xludf.DUMMYFUNCTION("""COMPUTED_VALUE"""),"sitcom")</f>
        <v>sitcom</v>
      </c>
      <c r="AJ22" s="1" t="s">
        <v>85</v>
      </c>
      <c r="AK22" s="6" t="str">
        <f>IFERROR(__xludf.DUMMYFUNCTION("""COMPUTED_VALUE"""),"submarine")</f>
        <v>submarine</v>
      </c>
      <c r="AM22" s="1" t="s">
        <v>70</v>
      </c>
      <c r="AN22" s="6" t="str">
        <f>IFERROR(__xludf.DUMMYFUNCTION("""COMPUTED_VALUE"""),"captures")</f>
        <v>captures</v>
      </c>
    </row>
    <row r="23">
      <c r="A23" s="1" t="s">
        <v>216</v>
      </c>
      <c r="B23" s="1" t="s">
        <v>208</v>
      </c>
      <c r="C23" s="6" t="str">
        <f>IFERROR(__xludf.DUMMYFUNCTION("""COMPUTED_VALUE"""),"triumph")</f>
        <v>triumph</v>
      </c>
      <c r="E23" s="1" t="s">
        <v>91</v>
      </c>
      <c r="F23" s="6" t="str">
        <f>IFERROR(__xludf.DUMMYFUNCTION("""COMPUTED_VALUE"""),"succeeds")</f>
        <v>succeeds</v>
      </c>
      <c r="H23" s="1" t="s">
        <v>177</v>
      </c>
      <c r="I23" s="6" t="str">
        <f>IFERROR(__xludf.DUMMYFUNCTION("""COMPUTED_VALUE"""),"absurd")</f>
        <v>absurd</v>
      </c>
      <c r="K23" s="1" t="s">
        <v>217</v>
      </c>
      <c r="L23" s="6" t="str">
        <f>IFERROR(__xludf.DUMMYFUNCTION("""COMPUTED_VALUE"""),"absorbing")</f>
        <v>absorbing</v>
      </c>
      <c r="N23" s="6"/>
      <c r="P23" s="1" t="s">
        <v>218</v>
      </c>
      <c r="Q23" s="6" t="str">
        <f>IFERROR(__xludf.DUMMYFUNCTION("""COMPUTED_VALUE"""),"vivid")</f>
        <v>vivid</v>
      </c>
      <c r="S23" s="1" t="s">
        <v>219</v>
      </c>
      <c r="T23" s="6" t="str">
        <f>IFERROR(__xludf.DUMMYFUNCTION("""COMPUTED_VALUE"""),"an")</f>
        <v>an</v>
      </c>
      <c r="V23" s="1" t="s">
        <v>220</v>
      </c>
      <c r="W23" s="1" t="s">
        <v>221</v>
      </c>
      <c r="AA23" s="1" t="s">
        <v>222</v>
      </c>
      <c r="AB23" s="6" t="str">
        <f>IFERROR(__xludf.DUMMYFUNCTION("""COMPUTED_VALUE"""),"illuminating")</f>
        <v>illuminating</v>
      </c>
      <c r="AD23" s="6" t="str">
        <f>IFERROR(__xludf.DUMMYFUNCTION("""COMPUTED_VALUE"""),"climax")</f>
        <v>climax</v>
      </c>
      <c r="AF23" s="1" t="s">
        <v>223</v>
      </c>
      <c r="AG23" s="6" t="str">
        <f>IFERROR(__xludf.DUMMYFUNCTION("""COMPUTED_VALUE"""),"spielberg")</f>
        <v>spielberg</v>
      </c>
      <c r="AH23" s="6" t="str">
        <f>IFERROR(__xludf.DUMMYFUNCTION("""COMPUTED_VALUE"""),"wry")</f>
        <v>wry</v>
      </c>
      <c r="AJ23" s="1" t="s">
        <v>54</v>
      </c>
      <c r="AK23" s="6" t="str">
        <f>IFERROR(__xludf.DUMMYFUNCTION("""COMPUTED_VALUE"""),"sitcom")</f>
        <v>sitcom</v>
      </c>
      <c r="AM23" s="1" t="s">
        <v>112</v>
      </c>
      <c r="AN23" s="6" t="str">
        <f>IFERROR(__xludf.DUMMYFUNCTION("""COMPUTED_VALUE"""),"submarine")</f>
        <v>submarine</v>
      </c>
    </row>
    <row r="24">
      <c r="A24" s="1" t="s">
        <v>224</v>
      </c>
      <c r="B24" s="1" t="s">
        <v>225</v>
      </c>
      <c r="C24" s="6" t="str">
        <f>IFERROR(__xludf.DUMMYFUNCTION("""COMPUTED_VALUE"""),"fascination")</f>
        <v>fascination</v>
      </c>
      <c r="E24" s="1" t="s">
        <v>226</v>
      </c>
      <c r="F24" s="6" t="str">
        <f>IFERROR(__xludf.DUMMYFUNCTION("""COMPUTED_VALUE"""),"casting")</f>
        <v>casting</v>
      </c>
      <c r="H24" s="1" t="s">
        <v>185</v>
      </c>
      <c r="I24" s="6" t="str">
        <f>IFERROR(__xludf.DUMMYFUNCTION("""COMPUTED_VALUE"""),"bad")</f>
        <v>bad</v>
      </c>
      <c r="K24" s="1" t="s">
        <v>227</v>
      </c>
      <c r="L24" s="6" t="str">
        <f>IFERROR(__xludf.DUMMYFUNCTION("""COMPUTED_VALUE"""),"gripping")</f>
        <v>gripping</v>
      </c>
      <c r="N24" s="6"/>
      <c r="P24" s="1" t="s">
        <v>228</v>
      </c>
      <c r="Q24" s="6" t="str">
        <f>IFERROR(__xludf.DUMMYFUNCTION("""COMPUTED_VALUE"""),"pointless")</f>
        <v>pointless</v>
      </c>
      <c r="S24" s="1" t="s">
        <v>229</v>
      </c>
      <c r="T24" s="6" t="str">
        <f>IFERROR(__xludf.DUMMYFUNCTION("""COMPUTED_VALUE"""),"demonstrates")</f>
        <v>demonstrates</v>
      </c>
      <c r="V24" s="1" t="s">
        <v>230</v>
      </c>
      <c r="W24" s="1" t="s">
        <v>231</v>
      </c>
      <c r="AA24" s="1" t="s">
        <v>232</v>
      </c>
      <c r="AB24" s="6" t="str">
        <f>IFERROR(__xludf.DUMMYFUNCTION("""COMPUTED_VALUE"""),"significance")</f>
        <v>significance</v>
      </c>
      <c r="AD24" s="6" t="str">
        <f>IFERROR(__xludf.DUMMYFUNCTION("""COMPUTED_VALUE"""),"illuminating")</f>
        <v>illuminating</v>
      </c>
      <c r="AF24" s="1" t="s">
        <v>131</v>
      </c>
      <c r="AG24" s="6" t="str">
        <f>IFERROR(__xludf.DUMMYFUNCTION("""COMPUTED_VALUE"""),"stylistic")</f>
        <v>stylistic</v>
      </c>
      <c r="AH24" s="6" t="str">
        <f>IFERROR(__xludf.DUMMYFUNCTION("""COMPUTED_VALUE"""),"comedies")</f>
        <v>comedies</v>
      </c>
      <c r="AJ24" s="1" t="s">
        <v>233</v>
      </c>
      <c r="AK24" s="6" t="str">
        <f>IFERROR(__xludf.DUMMYFUNCTION("""COMPUTED_VALUE"""),"wry")</f>
        <v>wry</v>
      </c>
      <c r="AM24" s="1" t="s">
        <v>234</v>
      </c>
      <c r="AN24" s="6" t="str">
        <f>IFERROR(__xludf.DUMMYFUNCTION("""COMPUTED_VALUE"""),"sitcom")</f>
        <v>sitcom</v>
      </c>
    </row>
    <row r="25">
      <c r="A25" s="1" t="s">
        <v>149</v>
      </c>
      <c r="B25" s="1" t="s">
        <v>157</v>
      </c>
      <c r="C25" s="6" t="str">
        <f>IFERROR(__xludf.DUMMYFUNCTION("""COMPUTED_VALUE"""),"stylized")</f>
        <v>stylized</v>
      </c>
      <c r="E25" s="1" t="s">
        <v>235</v>
      </c>
      <c r="F25" s="6" t="str">
        <f>IFERROR(__xludf.DUMMYFUNCTION("""COMPUTED_VALUE"""),"face")</f>
        <v>face</v>
      </c>
      <c r="H25" s="1" t="s">
        <v>236</v>
      </c>
      <c r="I25" s="6" t="str">
        <f>IFERROR(__xludf.DUMMYFUNCTION("""COMPUTED_VALUE"""),"dumb")</f>
        <v>dumb</v>
      </c>
      <c r="K25" s="1" t="s">
        <v>134</v>
      </c>
      <c r="L25" s="6" t="str">
        <f>IFERROR(__xludf.DUMMYFUNCTION("""COMPUTED_VALUE"""),"startling")</f>
        <v>startling</v>
      </c>
      <c r="N25" s="6"/>
      <c r="P25" s="1" t="s">
        <v>237</v>
      </c>
      <c r="Q25" s="6" t="str">
        <f>IFERROR(__xludf.DUMMYFUNCTION("""COMPUTED_VALUE"""),"touching")</f>
        <v>touching</v>
      </c>
      <c r="S25" s="1" t="s">
        <v>103</v>
      </c>
      <c r="T25" s="6" t="str">
        <f>IFERROR(__xludf.DUMMYFUNCTION("""COMPUTED_VALUE"""),"of")</f>
        <v>of</v>
      </c>
      <c r="V25" s="1" t="s">
        <v>238</v>
      </c>
      <c r="W25" s="1" t="s">
        <v>239</v>
      </c>
      <c r="AA25" s="1" t="s">
        <v>240</v>
      </c>
      <c r="AB25" s="6" t="str">
        <f>IFERROR(__xludf.DUMMYFUNCTION("""COMPUTED_VALUE"""),"endurance")</f>
        <v>endurance</v>
      </c>
      <c r="AD25" s="6" t="str">
        <f>IFERROR(__xludf.DUMMYFUNCTION("""COMPUTED_VALUE"""),"endurance")</f>
        <v>endurance</v>
      </c>
      <c r="AF25" s="1" t="s">
        <v>140</v>
      </c>
      <c r="AG25" s="6" t="str">
        <f>IFERROR(__xludf.DUMMYFUNCTION("""COMPUTED_VALUE"""),"brutally")</f>
        <v>brutally</v>
      </c>
      <c r="AH25" s="6" t="str">
        <f>IFERROR(__xludf.DUMMYFUNCTION("""COMPUTED_VALUE"""),"literary")</f>
        <v>literary</v>
      </c>
      <c r="AJ25" s="1" t="s">
        <v>237</v>
      </c>
      <c r="AK25" s="6" t="str">
        <f>IFERROR(__xludf.DUMMYFUNCTION("""COMPUTED_VALUE"""),"plotted")</f>
        <v>plotted</v>
      </c>
      <c r="AM25" s="1" t="s">
        <v>197</v>
      </c>
      <c r="AN25" s="6" t="str">
        <f>IFERROR(__xludf.DUMMYFUNCTION("""COMPUTED_VALUE"""),"wry")</f>
        <v>wry</v>
      </c>
    </row>
    <row r="26">
      <c r="A26" s="1" t="s">
        <v>241</v>
      </c>
      <c r="B26" s="1" t="s">
        <v>242</v>
      </c>
      <c r="C26" s="6" t="str">
        <f>IFERROR(__xludf.DUMMYFUNCTION("""COMPUTED_VALUE"""),"prejudice")</f>
        <v>prejudice</v>
      </c>
      <c r="E26" s="1" t="s">
        <v>123</v>
      </c>
      <c r="F26" s="6" t="str">
        <f>IFERROR(__xludf.DUMMYFUNCTION("""COMPUTED_VALUE"""),"ways")</f>
        <v>ways</v>
      </c>
      <c r="H26" s="1" t="s">
        <v>36</v>
      </c>
      <c r="I26" s="6" t="str">
        <f>IFERROR(__xludf.DUMMYFUNCTION("""COMPUTED_VALUE"""),"greatest")</f>
        <v>greatest</v>
      </c>
      <c r="K26" s="1" t="s">
        <v>243</v>
      </c>
      <c r="L26" s="6" t="str">
        <f>IFERROR(__xludf.DUMMYFUNCTION("""COMPUTED_VALUE"""),"fatal")</f>
        <v>fatal</v>
      </c>
      <c r="N26" s="6"/>
      <c r="P26" s="1" t="s">
        <v>244</v>
      </c>
      <c r="Q26" s="6" t="str">
        <f>IFERROR(__xludf.DUMMYFUNCTION("""COMPUTED_VALUE"""),"veins")</f>
        <v>veins</v>
      </c>
      <c r="S26" s="1" t="s">
        <v>35</v>
      </c>
      <c r="T26" s="6" t="str">
        <f>IFERROR(__xludf.DUMMYFUNCTION("""COMPUTED_VALUE"""),"still")</f>
        <v>still</v>
      </c>
      <c r="V26" s="1" t="s">
        <v>245</v>
      </c>
      <c r="W26" s="1" t="s">
        <v>246</v>
      </c>
      <c r="AA26" s="1" t="s">
        <v>247</v>
      </c>
      <c r="AB26" s="6" t="str">
        <f>IFERROR(__xludf.DUMMYFUNCTION("""COMPUTED_VALUE"""),"prejudice")</f>
        <v>prejudice</v>
      </c>
      <c r="AD26" s="6" t="str">
        <f>IFERROR(__xludf.DUMMYFUNCTION("""COMPUTED_VALUE"""),"commended")</f>
        <v>commended</v>
      </c>
      <c r="AF26" s="1" t="s">
        <v>149</v>
      </c>
      <c r="AG26" s="6" t="str">
        <f>IFERROR(__xludf.DUMMYFUNCTION("""COMPUTED_VALUE"""),"dynamics")</f>
        <v>dynamics</v>
      </c>
      <c r="AH26" s="6" t="str">
        <f>IFERROR(__xludf.DUMMYFUNCTION("""COMPUTED_VALUE"""),"bleak")</f>
        <v>bleak</v>
      </c>
      <c r="AJ26" s="1" t="s">
        <v>248</v>
      </c>
      <c r="AK26" s="6" t="str">
        <f>IFERROR(__xludf.DUMMYFUNCTION("""COMPUTED_VALUE"""),"comedies")</f>
        <v>comedies</v>
      </c>
      <c r="AM26" s="1" t="s">
        <v>249</v>
      </c>
      <c r="AN26" s="6" t="str">
        <f>IFERROR(__xludf.DUMMYFUNCTION("""COMPUTED_VALUE"""),"plotted")</f>
        <v>plotted</v>
      </c>
    </row>
    <row r="27">
      <c r="A27" s="1" t="s">
        <v>250</v>
      </c>
      <c r="B27" s="1" t="s">
        <v>251</v>
      </c>
      <c r="C27" s="6" t="str">
        <f>IFERROR(__xludf.DUMMYFUNCTION("""COMPUTED_VALUE"""),"strains")</f>
        <v>strains</v>
      </c>
      <c r="E27" s="1" t="s">
        <v>37</v>
      </c>
      <c r="F27" s="6" t="str">
        <f>IFERROR(__xludf.DUMMYFUNCTION("""COMPUTED_VALUE"""),"feminist")</f>
        <v>feminist</v>
      </c>
      <c r="H27" s="1" t="s">
        <v>197</v>
      </c>
      <c r="I27" s="6" t="str">
        <f>IFERROR(__xludf.DUMMYFUNCTION("""COMPUTED_VALUE"""),"intelligence")</f>
        <v>intelligence</v>
      </c>
      <c r="K27" s="1" t="s">
        <v>159</v>
      </c>
      <c r="L27" s="6" t="str">
        <f>IFERROR(__xludf.DUMMYFUNCTION("""COMPUTED_VALUE"""),"rises")</f>
        <v>rises</v>
      </c>
      <c r="N27" s="6"/>
      <c r="P27" s="1" t="s">
        <v>252</v>
      </c>
      <c r="Q27" s="6" t="str">
        <f>IFERROR(__xludf.DUMMYFUNCTION("""COMPUTED_VALUE"""),"emptiness")</f>
        <v>emptiness</v>
      </c>
      <c r="S27" s="1" t="s">
        <v>253</v>
      </c>
      <c r="T27" s="6" t="str">
        <f>IFERROR(__xludf.DUMMYFUNCTION("""COMPUTED_VALUE"""),"out")</f>
        <v>out</v>
      </c>
      <c r="V27" s="1" t="s">
        <v>254</v>
      </c>
      <c r="W27" s="1" t="s">
        <v>255</v>
      </c>
      <c r="AA27" s="1" t="s">
        <v>256</v>
      </c>
      <c r="AB27" s="6" t="str">
        <f>IFERROR(__xludf.DUMMYFUNCTION("""COMPUTED_VALUE"""),"fantasies")</f>
        <v>fantasies</v>
      </c>
      <c r="AD27" s="6" t="str">
        <f>IFERROR(__xludf.DUMMYFUNCTION("""COMPUTED_VALUE"""),"depiction")</f>
        <v>depiction</v>
      </c>
      <c r="AF27" s="1" t="s">
        <v>257</v>
      </c>
      <c r="AG27" s="6" t="str">
        <f>IFERROR(__xludf.DUMMYFUNCTION("""COMPUTED_VALUE"""),"absorbing")</f>
        <v>absorbing</v>
      </c>
      <c r="AH27" s="6" t="str">
        <f>IFERROR(__xludf.DUMMYFUNCTION("""COMPUTED_VALUE"""),"viewer")</f>
        <v>viewer</v>
      </c>
      <c r="AJ27" s="1" t="s">
        <v>258</v>
      </c>
      <c r="AK27" s="6" t="str">
        <f>IFERROR(__xludf.DUMMYFUNCTION("""COMPUTED_VALUE"""),"meaningful")</f>
        <v>meaningful</v>
      </c>
      <c r="AM27" s="1" t="s">
        <v>253</v>
      </c>
      <c r="AN27" s="6" t="str">
        <f>IFERROR(__xludf.DUMMYFUNCTION("""COMPUTED_VALUE"""),"predecessor")</f>
        <v>predecessor</v>
      </c>
    </row>
    <row r="28">
      <c r="A28" s="1" t="s">
        <v>157</v>
      </c>
      <c r="B28" s="1" t="s">
        <v>259</v>
      </c>
      <c r="E28" s="1" t="s">
        <v>260</v>
      </c>
      <c r="F28" s="6" t="str">
        <f>IFERROR(__xludf.DUMMYFUNCTION("""COMPUTED_VALUE"""),"conspiracy")</f>
        <v>conspiracy</v>
      </c>
      <c r="H28" s="1" t="s">
        <v>204</v>
      </c>
      <c r="I28" s="6" t="str">
        <f>IFERROR(__xludf.DUMMYFUNCTION("""COMPUTED_VALUE"""),"redundant")</f>
        <v>redundant</v>
      </c>
      <c r="K28" s="1" t="s">
        <v>143</v>
      </c>
      <c r="L28" s="6" t="str">
        <f>IFERROR(__xludf.DUMMYFUNCTION("""COMPUTED_VALUE"""),"stirring")</f>
        <v>stirring</v>
      </c>
      <c r="N28" s="6"/>
      <c r="P28" s="1" t="s">
        <v>261</v>
      </c>
      <c r="Q28" s="6" t="str">
        <f>IFERROR(__xludf.DUMMYFUNCTION("""COMPUTED_VALUE"""),"relentless")</f>
        <v>relentless</v>
      </c>
      <c r="S28" s="1" t="s">
        <v>262</v>
      </c>
      <c r="T28" s="6" t="str">
        <f>IFERROR(__xludf.DUMMYFUNCTION("""COMPUTED_VALUE"""),"emotional")</f>
        <v>emotional</v>
      </c>
      <c r="V28" s="1" t="s">
        <v>263</v>
      </c>
      <c r="W28" s="1" t="s">
        <v>264</v>
      </c>
      <c r="AA28" s="1" t="s">
        <v>265</v>
      </c>
      <c r="AB28" s="6" t="str">
        <f>IFERROR(__xludf.DUMMYFUNCTION("""COMPUTED_VALUE"""),"explores")</f>
        <v>explores</v>
      </c>
      <c r="AD28" s="6" t="str">
        <f>IFERROR(__xludf.DUMMYFUNCTION("""COMPUTED_VALUE"""),"paxton")</f>
        <v>paxton</v>
      </c>
      <c r="AF28" s="1" t="s">
        <v>157</v>
      </c>
      <c r="AG28" s="6" t="str">
        <f>IFERROR(__xludf.DUMMYFUNCTION("""COMPUTED_VALUE"""),"gripping")</f>
        <v>gripping</v>
      </c>
      <c r="AH28" s="6" t="str">
        <f>IFERROR(__xludf.DUMMYFUNCTION("""COMPUTED_VALUE"""),"satire")</f>
        <v>satire</v>
      </c>
      <c r="AJ28" s="1" t="s">
        <v>64</v>
      </c>
      <c r="AK28" s="6" t="str">
        <f>IFERROR(__xludf.DUMMYFUNCTION("""COMPUTED_VALUE"""),"literary")</f>
        <v>literary</v>
      </c>
      <c r="AM28" s="1" t="s">
        <v>266</v>
      </c>
      <c r="AN28" s="6" t="str">
        <f>IFERROR(__xludf.DUMMYFUNCTION("""COMPUTED_VALUE"""),"comedies")</f>
        <v>comedies</v>
      </c>
    </row>
    <row r="29">
      <c r="A29" s="1" t="s">
        <v>267</v>
      </c>
      <c r="B29" s="1" t="s">
        <v>268</v>
      </c>
      <c r="E29" s="1" t="s">
        <v>269</v>
      </c>
      <c r="F29" s="6" t="str">
        <f>IFERROR(__xludf.DUMMYFUNCTION("""COMPUTED_VALUE"""),"brave")</f>
        <v>brave</v>
      </c>
      <c r="H29" s="1" t="s">
        <v>70</v>
      </c>
      <c r="I29" s="6" t="str">
        <f>IFERROR(__xludf.DUMMYFUNCTION("""COMPUTED_VALUE"""),"succeeds")</f>
        <v>succeeds</v>
      </c>
      <c r="K29" s="1" t="s">
        <v>270</v>
      </c>
      <c r="L29" s="6" t="str">
        <f>IFERROR(__xludf.DUMMYFUNCTION("""COMPUTED_VALUE"""),"magnetic")</f>
        <v>magnetic</v>
      </c>
      <c r="N29" s="6"/>
      <c r="P29" s="1" t="s">
        <v>74</v>
      </c>
      <c r="Q29" s="6" t="str">
        <f>IFERROR(__xludf.DUMMYFUNCTION("""COMPUTED_VALUE"""),"exploration")</f>
        <v>exploration</v>
      </c>
      <c r="S29" s="1" t="s">
        <v>271</v>
      </c>
      <c r="T29" s="6" t="str">
        <f>IFERROR(__xludf.DUMMYFUNCTION("""COMPUTED_VALUE"""),"suicidal")</f>
        <v>suicidal</v>
      </c>
      <c r="V29" s="1" t="s">
        <v>272</v>
      </c>
      <c r="W29" s="1" t="s">
        <v>273</v>
      </c>
      <c r="AA29" s="1" t="s">
        <v>274</v>
      </c>
      <c r="AB29" s="6" t="str">
        <f>IFERROR(__xludf.DUMMYFUNCTION("""COMPUTED_VALUE"""),"fingered")</f>
        <v>fingered</v>
      </c>
      <c r="AD29" s="6" t="str">
        <f>IFERROR(__xludf.DUMMYFUNCTION("""COMPUTED_VALUE"""),"successor")</f>
        <v>successor</v>
      </c>
      <c r="AF29" s="1" t="s">
        <v>275</v>
      </c>
      <c r="AG29" s="6" t="str">
        <f>IFERROR(__xludf.DUMMYFUNCTION("""COMPUTED_VALUE"""),"fatal")</f>
        <v>fatal</v>
      </c>
      <c r="AH29" s="6" t="str">
        <f>IFERROR(__xludf.DUMMYFUNCTION("""COMPUTED_VALUE"""),"stereotypes")</f>
        <v>stereotypes</v>
      </c>
      <c r="AJ29" s="1" t="s">
        <v>276</v>
      </c>
      <c r="AK29" s="6" t="str">
        <f>IFERROR(__xludf.DUMMYFUNCTION("""COMPUTED_VALUE"""),"bard")</f>
        <v>bard</v>
      </c>
      <c r="AM29" s="1" t="s">
        <v>123</v>
      </c>
      <c r="AN29" s="6" t="str">
        <f>IFERROR(__xludf.DUMMYFUNCTION("""COMPUTED_VALUE"""),"meaningful")</f>
        <v>meaningful</v>
      </c>
    </row>
    <row r="30">
      <c r="A30" s="1" t="s">
        <v>192</v>
      </c>
      <c r="B30" s="1" t="s">
        <v>277</v>
      </c>
      <c r="E30" s="1" t="s">
        <v>278</v>
      </c>
      <c r="F30" s="6" t="str">
        <f>IFERROR(__xludf.DUMMYFUNCTION("""COMPUTED_VALUE"""),"performances")</f>
        <v>performances</v>
      </c>
      <c r="H30" s="1" t="s">
        <v>91</v>
      </c>
      <c r="I30" s="6" t="str">
        <f>IFERROR(__xludf.DUMMYFUNCTION("""COMPUTED_VALUE"""),"casting")</f>
        <v>casting</v>
      </c>
      <c r="K30" s="1" t="s">
        <v>279</v>
      </c>
      <c r="L30" s="6" t="str">
        <f>IFERROR(__xludf.DUMMYFUNCTION("""COMPUTED_VALUE"""),"establishes")</f>
        <v>establishes</v>
      </c>
      <c r="N30" s="6"/>
      <c r="P30" s="1" t="s">
        <v>66</v>
      </c>
      <c r="Q30" s="6" t="str">
        <f>IFERROR(__xludf.DUMMYFUNCTION("""COMPUTED_VALUE"""),"eastwood")</f>
        <v>eastwood</v>
      </c>
      <c r="S30" s="1" t="s">
        <v>280</v>
      </c>
      <c r="T30" s="6" t="str">
        <f>IFERROR(__xludf.DUMMYFUNCTION("""COMPUTED_VALUE"""),"thought")</f>
        <v>thought</v>
      </c>
      <c r="V30" s="1" t="s">
        <v>281</v>
      </c>
      <c r="W30" s="1" t="s">
        <v>282</v>
      </c>
      <c r="AA30" s="1" t="s">
        <v>283</v>
      </c>
      <c r="AB30" s="6" t="str">
        <f>IFERROR(__xludf.DUMMYFUNCTION("""COMPUTED_VALUE"""),"strains")</f>
        <v>strains</v>
      </c>
      <c r="AD30" s="6" t="str">
        <f>IFERROR(__xludf.DUMMYFUNCTION("""COMPUTED_VALUE"""),"explores")</f>
        <v>explores</v>
      </c>
      <c r="AF30" s="1" t="s">
        <v>162</v>
      </c>
      <c r="AG30" s="6" t="str">
        <f>IFERROR(__xludf.DUMMYFUNCTION("""COMPUTED_VALUE"""),"pulse")</f>
        <v>pulse</v>
      </c>
      <c r="AH30" s="6" t="str">
        <f>IFERROR(__xludf.DUMMYFUNCTION("""COMPUTED_VALUE"""),"tackles")</f>
        <v>tackles</v>
      </c>
      <c r="AJ30" s="1" t="s">
        <v>284</v>
      </c>
      <c r="AK30" s="6" t="str">
        <f>IFERROR(__xludf.DUMMYFUNCTION("""COMPUTED_VALUE"""),"bleak")</f>
        <v>bleak</v>
      </c>
      <c r="AM30" s="1" t="s">
        <v>37</v>
      </c>
      <c r="AN30" s="6" t="str">
        <f>IFERROR(__xludf.DUMMYFUNCTION("""COMPUTED_VALUE"""),"literary")</f>
        <v>literary</v>
      </c>
    </row>
    <row r="31">
      <c r="A31" s="1" t="s">
        <v>285</v>
      </c>
      <c r="B31" s="1" t="s">
        <v>286</v>
      </c>
      <c r="E31" s="1" t="s">
        <v>287</v>
      </c>
      <c r="F31" s="6" t="str">
        <f>IFERROR(__xludf.DUMMYFUNCTION("""COMPUTED_VALUE"""),"enriched")</f>
        <v>enriched</v>
      </c>
      <c r="H31" s="1" t="s">
        <v>226</v>
      </c>
      <c r="I31" s="6" t="str">
        <f>IFERROR(__xludf.DUMMYFUNCTION("""COMPUTED_VALUE"""),"face")</f>
        <v>face</v>
      </c>
      <c r="K31" s="1" t="s">
        <v>166</v>
      </c>
      <c r="L31" s="6" t="str">
        <f>IFERROR(__xludf.DUMMYFUNCTION("""COMPUTED_VALUE"""),"jerking")</f>
        <v>jerking</v>
      </c>
      <c r="N31" s="6"/>
      <c r="P31" s="1" t="s">
        <v>146</v>
      </c>
      <c r="Q31" s="6" t="str">
        <f>IFERROR(__xludf.DUMMYFUNCTION("""COMPUTED_VALUE"""),"earnest")</f>
        <v>earnest</v>
      </c>
      <c r="S31" s="1" t="s">
        <v>288</v>
      </c>
      <c r="T31" s="6" t="str">
        <f>IFERROR(__xludf.DUMMYFUNCTION("""COMPUTED_VALUE"""),"in")</f>
        <v>in</v>
      </c>
      <c r="V31" s="1" t="s">
        <v>289</v>
      </c>
      <c r="W31" s="1" t="s">
        <v>290</v>
      </c>
      <c r="AA31" s="1" t="s">
        <v>291</v>
      </c>
      <c r="AD31" s="6" t="str">
        <f>IFERROR(__xludf.DUMMYFUNCTION("""COMPUTED_VALUE"""),"fable")</f>
        <v>fable</v>
      </c>
      <c r="AF31" s="1" t="s">
        <v>292</v>
      </c>
      <c r="AG31" s="6" t="str">
        <f>IFERROR(__xludf.DUMMYFUNCTION("""COMPUTED_VALUE"""),"establishes")</f>
        <v>establishes</v>
      </c>
      <c r="AH31" s="6" t="str">
        <f>IFERROR(__xludf.DUMMYFUNCTION("""COMPUTED_VALUE"""),"stylistic")</f>
        <v>stylistic</v>
      </c>
      <c r="AJ31" s="1" t="s">
        <v>74</v>
      </c>
      <c r="AK31" s="6" t="str">
        <f>IFERROR(__xludf.DUMMYFUNCTION("""COMPUTED_VALUE"""),"affection")</f>
        <v>affection</v>
      </c>
      <c r="AM31" s="1" t="s">
        <v>117</v>
      </c>
      <c r="AN31" s="6" t="str">
        <f>IFERROR(__xludf.DUMMYFUNCTION("""COMPUTED_VALUE"""),"bard")</f>
        <v>bard</v>
      </c>
    </row>
    <row r="32">
      <c r="A32" s="1" t="s">
        <v>293</v>
      </c>
      <c r="B32" s="1" t="s">
        <v>294</v>
      </c>
      <c r="E32" s="1" t="s">
        <v>295</v>
      </c>
      <c r="F32" s="6" t="str">
        <f>IFERROR(__xludf.DUMMYFUNCTION("""COMPUTED_VALUE"""),"spirits")</f>
        <v>spirits</v>
      </c>
      <c r="H32" s="1" t="s">
        <v>235</v>
      </c>
      <c r="I32" s="6" t="str">
        <f>IFERROR(__xludf.DUMMYFUNCTION("""COMPUTED_VALUE"""),"ways")</f>
        <v>ways</v>
      </c>
      <c r="K32" s="1" t="s">
        <v>237</v>
      </c>
      <c r="L32" s="6" t="str">
        <f>IFERROR(__xludf.DUMMYFUNCTION("""COMPUTED_VALUE"""),"harmless")</f>
        <v>harmless</v>
      </c>
      <c r="N32" s="6"/>
      <c r="P32" s="1" t="s">
        <v>296</v>
      </c>
      <c r="Q32" s="6" t="str">
        <f>IFERROR(__xludf.DUMMYFUNCTION("""COMPUTED_VALUE"""),"few")</f>
        <v>few</v>
      </c>
      <c r="S32" s="1" t="s">
        <v>297</v>
      </c>
      <c r="T32" s="6" t="str">
        <f>IFERROR(__xludf.DUMMYFUNCTION("""COMPUTED_VALUE"""),"through")</f>
        <v>through</v>
      </c>
      <c r="V32" s="1" t="s">
        <v>298</v>
      </c>
      <c r="W32" s="1" t="s">
        <v>299</v>
      </c>
      <c r="AA32" s="1" t="s">
        <v>300</v>
      </c>
      <c r="AD32" s="6" t="str">
        <f>IFERROR(__xludf.DUMMYFUNCTION("""COMPUTED_VALUE"""),"strains")</f>
        <v>strains</v>
      </c>
      <c r="AF32" s="1" t="s">
        <v>173</v>
      </c>
      <c r="AG32" s="6" t="str">
        <f>IFERROR(__xludf.DUMMYFUNCTION("""COMPUTED_VALUE"""),"insights")</f>
        <v>insights</v>
      </c>
      <c r="AH32" s="6" t="str">
        <f>IFERROR(__xludf.DUMMYFUNCTION("""COMPUTED_VALUE"""),"brutally")</f>
        <v>brutally</v>
      </c>
      <c r="AJ32" s="1" t="s">
        <v>122</v>
      </c>
      <c r="AK32" s="6" t="str">
        <f>IFERROR(__xludf.DUMMYFUNCTION("""COMPUTED_VALUE"""),"intellectual")</f>
        <v>intellectual</v>
      </c>
      <c r="AM32" s="1" t="s">
        <v>107</v>
      </c>
      <c r="AN32" s="6" t="str">
        <f>IFERROR(__xludf.DUMMYFUNCTION("""COMPUTED_VALUE"""),"bleak")</f>
        <v>bleak</v>
      </c>
    </row>
    <row r="33">
      <c r="A33" s="1" t="s">
        <v>301</v>
      </c>
      <c r="B33" s="1" t="s">
        <v>302</v>
      </c>
      <c r="E33" s="1" t="s">
        <v>303</v>
      </c>
      <c r="F33" s="6" t="str">
        <f>IFERROR(__xludf.DUMMYFUNCTION("""COMPUTED_VALUE"""),"cinema")</f>
        <v>cinema</v>
      </c>
      <c r="H33" s="1" t="s">
        <v>282</v>
      </c>
      <c r="I33" s="6" t="str">
        <f>IFERROR(__xludf.DUMMYFUNCTION("""COMPUTED_VALUE"""),"original")</f>
        <v>original</v>
      </c>
      <c r="K33" s="1" t="s">
        <v>304</v>
      </c>
      <c r="L33" s="6" t="str">
        <f>IFERROR(__xludf.DUMMYFUNCTION("""COMPUTED_VALUE"""),"hollow")</f>
        <v>hollow</v>
      </c>
      <c r="N33" s="6"/>
      <c r="P33" s="1" t="s">
        <v>305</v>
      </c>
      <c r="Q33" s="6" t="str">
        <f>IFERROR(__xludf.DUMMYFUNCTION("""COMPUTED_VALUE"""),"power")</f>
        <v>power</v>
      </c>
      <c r="S33" s="1" t="s">
        <v>306</v>
      </c>
      <c r="T33" s="6" t="str">
        <f>IFERROR(__xludf.DUMMYFUNCTION("""COMPUTED_VALUE"""),"films")</f>
        <v>films</v>
      </c>
      <c r="V33" s="1" t="s">
        <v>307</v>
      </c>
      <c r="W33" s="1" t="s">
        <v>88</v>
      </c>
      <c r="AA33" s="1" t="s">
        <v>308</v>
      </c>
      <c r="AF33" s="1" t="s">
        <v>309</v>
      </c>
      <c r="AG33" s="6" t="str">
        <f>IFERROR(__xludf.DUMMYFUNCTION("""COMPUTED_VALUE"""),"uncertain")</f>
        <v>uncertain</v>
      </c>
      <c r="AH33" s="6" t="str">
        <f>IFERROR(__xludf.DUMMYFUNCTION("""COMPUTED_VALUE"""),"absorbing")</f>
        <v>absorbing</v>
      </c>
      <c r="AJ33" s="1" t="s">
        <v>310</v>
      </c>
      <c r="AK33" s="6" t="str">
        <f>IFERROR(__xludf.DUMMYFUNCTION("""COMPUTED_VALUE"""),"stereotypes")</f>
        <v>stereotypes</v>
      </c>
      <c r="AM33" s="1" t="s">
        <v>295</v>
      </c>
      <c r="AN33" s="6" t="str">
        <f>IFERROR(__xludf.DUMMYFUNCTION("""COMPUTED_VALUE"""),"affection")</f>
        <v>affection</v>
      </c>
    </row>
    <row r="34">
      <c r="A34" s="1" t="s">
        <v>208</v>
      </c>
      <c r="B34" s="1" t="s">
        <v>311</v>
      </c>
      <c r="E34" s="1" t="s">
        <v>118</v>
      </c>
      <c r="F34" s="6" t="str">
        <f>IFERROR(__xludf.DUMMYFUNCTION("""COMPUTED_VALUE"""),"plot")</f>
        <v>plot</v>
      </c>
      <c r="H34" s="1" t="s">
        <v>266</v>
      </c>
      <c r="I34" s="6" t="str">
        <f>IFERROR(__xludf.DUMMYFUNCTION("""COMPUTED_VALUE"""),"feminist")</f>
        <v>feminist</v>
      </c>
      <c r="K34" s="1" t="s">
        <v>179</v>
      </c>
      <c r="L34" s="6" t="str">
        <f>IFERROR(__xludf.DUMMYFUNCTION("""COMPUTED_VALUE"""),"viewed")</f>
        <v>viewed</v>
      </c>
      <c r="N34" s="6"/>
      <c r="P34" s="1" t="s">
        <v>312</v>
      </c>
      <c r="Q34" s="6" t="str">
        <f>IFERROR(__xludf.DUMMYFUNCTION("""COMPUTED_VALUE"""),"significant")</f>
        <v>significant</v>
      </c>
      <c r="S34" s="1" t="s">
        <v>53</v>
      </c>
      <c r="T34" s="6" t="str">
        <f>IFERROR(__xludf.DUMMYFUNCTION("""COMPUTED_VALUE"""),"deeply")</f>
        <v>deeply</v>
      </c>
      <c r="V34" s="1" t="s">
        <v>313</v>
      </c>
      <c r="W34" s="1" t="s">
        <v>314</v>
      </c>
      <c r="AA34" s="1" t="s">
        <v>315</v>
      </c>
      <c r="AF34" s="1" t="s">
        <v>316</v>
      </c>
      <c r="AG34" s="6" t="str">
        <f>IFERROR(__xludf.DUMMYFUNCTION("""COMPUTED_VALUE"""),"cerebral")</f>
        <v>cerebral</v>
      </c>
      <c r="AH34" s="6" t="str">
        <f>IFERROR(__xludf.DUMMYFUNCTION("""COMPUTED_VALUE"""),"gripping")</f>
        <v>gripping</v>
      </c>
      <c r="AJ34" s="1" t="s">
        <v>84</v>
      </c>
      <c r="AK34" s="6" t="str">
        <f>IFERROR(__xludf.DUMMYFUNCTION("""COMPUTED_VALUE"""),"innocence")</f>
        <v>innocence</v>
      </c>
      <c r="AM34" s="1" t="s">
        <v>136</v>
      </c>
      <c r="AN34" s="6" t="str">
        <f>IFERROR(__xludf.DUMMYFUNCTION("""COMPUTED_VALUE"""),"intellectual")</f>
        <v>intellectual</v>
      </c>
    </row>
    <row r="35">
      <c r="A35" s="1" t="s">
        <v>317</v>
      </c>
      <c r="B35" s="1" t="s">
        <v>318</v>
      </c>
      <c r="E35" s="1" t="s">
        <v>319</v>
      </c>
      <c r="F35" s="6" t="str">
        <f>IFERROR(__xludf.DUMMYFUNCTION("""COMPUTED_VALUE"""),"find")</f>
        <v>find</v>
      </c>
      <c r="H35" s="1" t="s">
        <v>80</v>
      </c>
      <c r="I35" s="6" t="str">
        <f>IFERROR(__xludf.DUMMYFUNCTION("""COMPUTED_VALUE"""),"conspiracy")</f>
        <v>conspiracy</v>
      </c>
      <c r="K35" s="1" t="s">
        <v>320</v>
      </c>
      <c r="L35" s="6" t="str">
        <f>IFERROR(__xludf.DUMMYFUNCTION("""COMPUTED_VALUE"""),"hampered")</f>
        <v>hampered</v>
      </c>
      <c r="N35" s="6"/>
      <c r="P35" s="1" t="s">
        <v>321</v>
      </c>
      <c r="Q35" s="6" t="str">
        <f>IFERROR(__xludf.DUMMYFUNCTION("""COMPUTED_VALUE"""),"actors")</f>
        <v>actors</v>
      </c>
      <c r="S35" s="1" t="s">
        <v>322</v>
      </c>
      <c r="T35" s="6" t="str">
        <f>IFERROR(__xludf.DUMMYFUNCTION("""COMPUTED_VALUE"""),"lengths")</f>
        <v>lengths</v>
      </c>
      <c r="V35" s="1" t="s">
        <v>323</v>
      </c>
      <c r="W35" s="1" t="s">
        <v>324</v>
      </c>
      <c r="AA35" s="1" t="s">
        <v>325</v>
      </c>
      <c r="AF35" s="1" t="s">
        <v>183</v>
      </c>
      <c r="AG35" s="6" t="str">
        <f>IFERROR(__xludf.DUMMYFUNCTION("""COMPUTED_VALUE"""),"collapses")</f>
        <v>collapses</v>
      </c>
      <c r="AH35" s="6" t="str">
        <f>IFERROR(__xludf.DUMMYFUNCTION("""COMPUTED_VALUE"""),"fatal")</f>
        <v>fatal</v>
      </c>
      <c r="AJ35" s="1" t="s">
        <v>312</v>
      </c>
      <c r="AK35" s="6" t="str">
        <f>IFERROR(__xludf.DUMMYFUNCTION("""COMPUTED_VALUE"""),"spielberg")</f>
        <v>spielberg</v>
      </c>
      <c r="AM35" s="1" t="s">
        <v>326</v>
      </c>
      <c r="AN35" s="6" t="str">
        <f>IFERROR(__xludf.DUMMYFUNCTION("""COMPUTED_VALUE"""),"stereotypes")</f>
        <v>stereotypes</v>
      </c>
    </row>
    <row r="36">
      <c r="A36" s="1" t="s">
        <v>327</v>
      </c>
      <c r="B36" s="1" t="s">
        <v>183</v>
      </c>
      <c r="E36" s="1" t="s">
        <v>328</v>
      </c>
      <c r="F36" s="6" t="str">
        <f>IFERROR(__xludf.DUMMYFUNCTION("""COMPUTED_VALUE"""),"weaving")</f>
        <v>weaving</v>
      </c>
      <c r="H36" s="1" t="s">
        <v>123</v>
      </c>
      <c r="I36" s="6" t="str">
        <f>IFERROR(__xludf.DUMMYFUNCTION("""COMPUTED_VALUE"""),"smile")</f>
        <v>smile</v>
      </c>
      <c r="K36" s="1" t="s">
        <v>329</v>
      </c>
      <c r="L36" s="6" t="str">
        <f>IFERROR(__xludf.DUMMYFUNCTION("""COMPUTED_VALUE"""),"infectious")</f>
        <v>infectious</v>
      </c>
      <c r="N36" s="6"/>
      <c r="P36" s="1" t="s">
        <v>330</v>
      </c>
      <c r="Q36" s="6" t="str">
        <f>IFERROR(__xludf.DUMMYFUNCTION("""COMPUTED_VALUE"""),"generate")</f>
        <v>generate</v>
      </c>
      <c r="S36" s="1" t="s">
        <v>303</v>
      </c>
      <c r="T36" s="6" t="str">
        <f>IFERROR(__xludf.DUMMYFUNCTION("""COMPUTED_VALUE"""),"do")</f>
        <v>do</v>
      </c>
      <c r="V36" s="1" t="s">
        <v>331</v>
      </c>
      <c r="W36" s="1" t="s">
        <v>332</v>
      </c>
      <c r="AA36" s="1" t="s">
        <v>56</v>
      </c>
      <c r="AF36" s="1" t="s">
        <v>333</v>
      </c>
      <c r="AG36" s="6" t="str">
        <f>IFERROR(__xludf.DUMMYFUNCTION("""COMPUTED_VALUE"""),"brooding")</f>
        <v>brooding</v>
      </c>
      <c r="AH36" s="6" t="str">
        <f>IFERROR(__xludf.DUMMYFUNCTION("""COMPUTED_VALUE"""),"pulse")</f>
        <v>pulse</v>
      </c>
      <c r="AJ36" s="1" t="s">
        <v>96</v>
      </c>
      <c r="AK36" s="6" t="str">
        <f>IFERROR(__xludf.DUMMYFUNCTION("""COMPUTED_VALUE"""),"stylistic")</f>
        <v>stylistic</v>
      </c>
      <c r="AM36" s="1" t="s">
        <v>334</v>
      </c>
      <c r="AN36" s="6" t="str">
        <f>IFERROR(__xludf.DUMMYFUNCTION("""COMPUTED_VALUE"""),"comedic")</f>
        <v>comedic</v>
      </c>
    </row>
    <row r="37">
      <c r="A37" s="1" t="s">
        <v>335</v>
      </c>
      <c r="B37" s="1" t="s">
        <v>336</v>
      </c>
      <c r="E37" s="1" t="s">
        <v>337</v>
      </c>
      <c r="F37" s="6" t="str">
        <f>IFERROR(__xludf.DUMMYFUNCTION("""COMPUTED_VALUE"""),"funny")</f>
        <v>funny</v>
      </c>
      <c r="H37" s="1" t="s">
        <v>37</v>
      </c>
      <c r="I37" s="6" t="str">
        <f>IFERROR(__xludf.DUMMYFUNCTION("""COMPUTED_VALUE"""),"performances")</f>
        <v>performances</v>
      </c>
      <c r="K37" s="1" t="s">
        <v>338</v>
      </c>
      <c r="L37" s="6" t="str">
        <f>IFERROR(__xludf.DUMMYFUNCTION("""COMPUTED_VALUE"""),"triumph")</f>
        <v>triumph</v>
      </c>
      <c r="N37" s="6"/>
      <c r="P37" s="1" t="s">
        <v>339</v>
      </c>
      <c r="Q37" s="6" t="str">
        <f>IFERROR(__xludf.DUMMYFUNCTION("""COMPUTED_VALUE"""),"robert")</f>
        <v>robert</v>
      </c>
      <c r="S37" s="1" t="s">
        <v>340</v>
      </c>
      <c r="T37" s="6" t="str">
        <f>IFERROR(__xludf.DUMMYFUNCTION("""COMPUTED_VALUE"""),"for")</f>
        <v>for</v>
      </c>
      <c r="V37" s="1" t="s">
        <v>341</v>
      </c>
      <c r="W37" s="1" t="s">
        <v>342</v>
      </c>
      <c r="AA37" s="1" t="s">
        <v>343</v>
      </c>
      <c r="AF37" s="1" t="s">
        <v>344</v>
      </c>
      <c r="AG37" s="6" t="str">
        <f>IFERROR(__xludf.DUMMYFUNCTION("""COMPUTED_VALUE"""),"lyrical")</f>
        <v>lyrical</v>
      </c>
      <c r="AH37" s="6" t="str">
        <f>IFERROR(__xludf.DUMMYFUNCTION("""COMPUTED_VALUE"""),"satirical")</f>
        <v>satirical</v>
      </c>
      <c r="AJ37" s="1" t="s">
        <v>339</v>
      </c>
      <c r="AK37" s="6" t="str">
        <f>IFERROR(__xludf.DUMMYFUNCTION("""COMPUTED_VALUE"""),"provocative")</f>
        <v>provocative</v>
      </c>
      <c r="AM37" s="1" t="s">
        <v>337</v>
      </c>
      <c r="AN37" s="6" t="str">
        <f>IFERROR(__xludf.DUMMYFUNCTION("""COMPUTED_VALUE"""),"innocence")</f>
        <v>innocence</v>
      </c>
    </row>
    <row r="38">
      <c r="A38" s="1" t="s">
        <v>345</v>
      </c>
      <c r="B38" s="1" t="s">
        <v>346</v>
      </c>
      <c r="E38" s="1" t="s">
        <v>142</v>
      </c>
      <c r="F38" s="6" t="str">
        <f>IFERROR(__xludf.DUMMYFUNCTION("""COMPUTED_VALUE"""),"clone")</f>
        <v>clone</v>
      </c>
      <c r="H38" s="1" t="s">
        <v>100</v>
      </c>
      <c r="I38" s="6" t="str">
        <f>IFERROR(__xludf.DUMMYFUNCTION("""COMPUTED_VALUE"""),"brave")</f>
        <v>brave</v>
      </c>
      <c r="K38" s="1" t="s">
        <v>347</v>
      </c>
      <c r="L38" s="6" t="str">
        <f>IFERROR(__xludf.DUMMYFUNCTION("""COMPUTED_VALUE"""),"photographed")</f>
        <v>photographed</v>
      </c>
      <c r="N38" s="6"/>
      <c r="P38" s="1" t="s">
        <v>105</v>
      </c>
      <c r="Q38" s="6" t="str">
        <f>IFERROR(__xludf.DUMMYFUNCTION("""COMPUTED_VALUE"""),"intensity")</f>
        <v>intensity</v>
      </c>
      <c r="S38" s="1" t="s">
        <v>348</v>
      </c>
      <c r="T38" s="6" t="str">
        <f>IFERROR(__xludf.DUMMYFUNCTION("""COMPUTED_VALUE"""),"where")</f>
        <v>where</v>
      </c>
      <c r="V38" s="1" t="s">
        <v>349</v>
      </c>
      <c r="W38" s="1" t="s">
        <v>350</v>
      </c>
      <c r="AA38" s="1" t="s">
        <v>351</v>
      </c>
      <c r="AF38" s="1" t="s">
        <v>192</v>
      </c>
      <c r="AG38" s="6" t="str">
        <f>IFERROR(__xludf.DUMMYFUNCTION("""COMPUTED_VALUE"""),"fascination")</f>
        <v>fascination</v>
      </c>
      <c r="AH38" s="6" t="str">
        <f>IFERROR(__xludf.DUMMYFUNCTION("""COMPUTED_VALUE"""),"magnetic")</f>
        <v>magnetic</v>
      </c>
      <c r="AJ38" s="1" t="s">
        <v>141</v>
      </c>
      <c r="AK38" s="6" t="str">
        <f>IFERROR(__xludf.DUMMYFUNCTION("""COMPUTED_VALUE"""),"demonstrate")</f>
        <v>demonstrate</v>
      </c>
      <c r="AM38" s="1" t="s">
        <v>132</v>
      </c>
      <c r="AN38" s="6" t="str">
        <f>IFERROR(__xludf.DUMMYFUNCTION("""COMPUTED_VALUE"""),"spielberg")</f>
        <v>spielberg</v>
      </c>
    </row>
    <row r="39">
      <c r="A39" s="1" t="s">
        <v>352</v>
      </c>
      <c r="B39" s="1" t="s">
        <v>353</v>
      </c>
      <c r="E39" s="1" t="s">
        <v>145</v>
      </c>
      <c r="F39" s="6" t="str">
        <f>IFERROR(__xludf.DUMMYFUNCTION("""COMPUTED_VALUE"""),"storyline")</f>
        <v>storyline</v>
      </c>
      <c r="H39" s="1" t="s">
        <v>260</v>
      </c>
      <c r="I39" s="6" t="str">
        <f>IFERROR(__xludf.DUMMYFUNCTION("""COMPUTED_VALUE"""),"enriched")</f>
        <v>enriched</v>
      </c>
      <c r="K39" s="1" t="s">
        <v>354</v>
      </c>
      <c r="L39" s="6" t="str">
        <f>IFERROR(__xludf.DUMMYFUNCTION("""COMPUTED_VALUE"""),"lifeless")</f>
        <v>lifeless</v>
      </c>
      <c r="N39" s="6"/>
      <c r="P39" s="1" t="s">
        <v>355</v>
      </c>
      <c r="Q39" s="6" t="str">
        <f>IFERROR(__xludf.DUMMYFUNCTION("""COMPUTED_VALUE"""),"flair")</f>
        <v>flair</v>
      </c>
      <c r="S39" s="1" t="s">
        <v>68</v>
      </c>
      <c r="T39" s="6" t="str">
        <f>IFERROR(__xludf.DUMMYFUNCTION("""COMPUTED_VALUE"""),"part")</f>
        <v>part</v>
      </c>
      <c r="V39" s="1" t="s">
        <v>356</v>
      </c>
      <c r="W39" s="1" t="s">
        <v>357</v>
      </c>
      <c r="AA39" s="1" t="s">
        <v>358</v>
      </c>
      <c r="AF39" s="1" t="s">
        <v>202</v>
      </c>
      <c r="AG39" s="6" t="str">
        <f>IFERROR(__xludf.DUMMYFUNCTION("""COMPUTED_VALUE"""),"imagery")</f>
        <v>imagery</v>
      </c>
      <c r="AH39" s="6" t="str">
        <f>IFERROR(__xludf.DUMMYFUNCTION("""COMPUTED_VALUE"""),"establishes")</f>
        <v>establishes</v>
      </c>
      <c r="AJ39" s="1" t="s">
        <v>359</v>
      </c>
      <c r="AK39" s="6" t="str">
        <f>IFERROR(__xludf.DUMMYFUNCTION("""COMPUTED_VALUE"""),"brutally")</f>
        <v>brutally</v>
      </c>
      <c r="AM39" s="1" t="s">
        <v>360</v>
      </c>
      <c r="AN39" s="6" t="str">
        <f>IFERROR(__xludf.DUMMYFUNCTION("""COMPUTED_VALUE"""),"stylistic")</f>
        <v>stylistic</v>
      </c>
    </row>
    <row r="40">
      <c r="A40" s="1" t="s">
        <v>361</v>
      </c>
      <c r="B40" s="1" t="s">
        <v>362</v>
      </c>
      <c r="E40" s="1" t="s">
        <v>47</v>
      </c>
      <c r="F40" s="6" t="str">
        <f>IFERROR(__xludf.DUMMYFUNCTION("""COMPUTED_VALUE"""),"crude")</f>
        <v>crude</v>
      </c>
      <c r="H40" s="1" t="s">
        <v>269</v>
      </c>
      <c r="I40" s="6" t="str">
        <f>IFERROR(__xludf.DUMMYFUNCTION("""COMPUTED_VALUE"""),"spirits")</f>
        <v>spirits</v>
      </c>
      <c r="K40" s="1" t="s">
        <v>176</v>
      </c>
      <c r="L40" s="6" t="str">
        <f>IFERROR(__xludf.DUMMYFUNCTION("""COMPUTED_VALUE"""),"rejected")</f>
        <v>rejected</v>
      </c>
      <c r="N40" s="6"/>
      <c r="P40" s="1" t="s">
        <v>359</v>
      </c>
      <c r="Q40" s="6" t="str">
        <f>IFERROR(__xludf.DUMMYFUNCTION("""COMPUTED_VALUE"""),"animated")</f>
        <v>animated</v>
      </c>
      <c r="S40" s="1" t="s">
        <v>363</v>
      </c>
      <c r="T40" s="6" t="str">
        <f>IFERROR(__xludf.DUMMYFUNCTION("""COMPUTED_VALUE"""),"how")</f>
        <v>how</v>
      </c>
      <c r="V40" s="1" t="s">
        <v>364</v>
      </c>
      <c r="W40" s="1" t="s">
        <v>365</v>
      </c>
      <c r="AA40" s="1" t="s">
        <v>366</v>
      </c>
      <c r="AF40" s="1" t="s">
        <v>208</v>
      </c>
      <c r="AG40" s="6" t="str">
        <f>IFERROR(__xludf.DUMMYFUNCTION("""COMPUTED_VALUE"""),"illuminating")</f>
        <v>illuminating</v>
      </c>
      <c r="AH40" s="6" t="str">
        <f>IFERROR(__xludf.DUMMYFUNCTION("""COMPUTED_VALUE"""),"musicals")</f>
        <v>musicals</v>
      </c>
      <c r="AJ40" s="1" t="s">
        <v>105</v>
      </c>
      <c r="AK40" s="6" t="str">
        <f>IFERROR(__xludf.DUMMYFUNCTION("""COMPUTED_VALUE"""),"breadth")</f>
        <v>breadth</v>
      </c>
      <c r="AM40" s="1" t="s">
        <v>367</v>
      </c>
      <c r="AN40" s="6" t="str">
        <f>IFERROR(__xludf.DUMMYFUNCTION("""COMPUTED_VALUE"""),"provocative")</f>
        <v>provocative</v>
      </c>
    </row>
    <row r="41">
      <c r="A41" s="1" t="s">
        <v>31</v>
      </c>
      <c r="B41" s="1" t="s">
        <v>368</v>
      </c>
      <c r="E41" s="1" t="s">
        <v>55</v>
      </c>
      <c r="F41" s="6" t="str">
        <f>IFERROR(__xludf.DUMMYFUNCTION("""COMPUTED_VALUE"""),"real")</f>
        <v>real</v>
      </c>
      <c r="H41" s="1" t="s">
        <v>278</v>
      </c>
      <c r="I41" s="6" t="str">
        <f>IFERROR(__xludf.DUMMYFUNCTION("""COMPUTED_VALUE"""),"cast")</f>
        <v>cast</v>
      </c>
      <c r="K41" s="1" t="s">
        <v>369</v>
      </c>
      <c r="L41" s="6" t="str">
        <f>IFERROR(__xludf.DUMMYFUNCTION("""COMPUTED_VALUE"""),"effectively")</f>
        <v>effectively</v>
      </c>
      <c r="N41" s="6"/>
      <c r="P41" s="1" t="s">
        <v>370</v>
      </c>
      <c r="Q41" s="6" t="str">
        <f>IFERROR(__xludf.DUMMYFUNCTION("""COMPUTED_VALUE"""),"parody")</f>
        <v>parody</v>
      </c>
      <c r="S41" s="1" t="s">
        <v>371</v>
      </c>
      <c r="T41" s="6" t="str">
        <f>IFERROR(__xludf.DUMMYFUNCTION("""COMPUTED_VALUE"""),"was")</f>
        <v>was</v>
      </c>
      <c r="V41" s="1" t="s">
        <v>372</v>
      </c>
      <c r="W41" s="1" t="s">
        <v>373</v>
      </c>
      <c r="AA41" s="1" t="s">
        <v>374</v>
      </c>
      <c r="AF41" s="1" t="s">
        <v>375</v>
      </c>
      <c r="AG41" s="6" t="str">
        <f>IFERROR(__xludf.DUMMYFUNCTION("""COMPUTED_VALUE"""),"chuckles")</f>
        <v>chuckles</v>
      </c>
      <c r="AH41" s="6" t="str">
        <f>IFERROR(__xludf.DUMMYFUNCTION("""COMPUTED_VALUE"""),"collapses")</f>
        <v>collapses</v>
      </c>
      <c r="AJ41" s="1" t="s">
        <v>150</v>
      </c>
      <c r="AK41" s="6" t="str">
        <f>IFERROR(__xludf.DUMMYFUNCTION("""COMPUTED_VALUE"""),"dynamics")</f>
        <v>dynamics</v>
      </c>
      <c r="AM41" s="1" t="s">
        <v>142</v>
      </c>
      <c r="AN41" s="6" t="str">
        <f>IFERROR(__xludf.DUMMYFUNCTION("""COMPUTED_VALUE"""),"demonstrate")</f>
        <v>demonstrate</v>
      </c>
    </row>
    <row r="42">
      <c r="A42" s="1" t="s">
        <v>376</v>
      </c>
      <c r="B42" s="1" t="s">
        <v>193</v>
      </c>
      <c r="E42" s="1" t="s">
        <v>169</v>
      </c>
      <c r="F42" s="6" t="str">
        <f>IFERROR(__xludf.DUMMYFUNCTION("""COMPUTED_VALUE"""),"heroes")</f>
        <v>heroes</v>
      </c>
      <c r="H42" s="1" t="s">
        <v>287</v>
      </c>
      <c r="I42" s="6" t="str">
        <f>IFERROR(__xludf.DUMMYFUNCTION("""COMPUTED_VALUE"""),"cinema")</f>
        <v>cinema</v>
      </c>
      <c r="K42" s="1" t="s">
        <v>247</v>
      </c>
      <c r="L42" s="6" t="str">
        <f>IFERROR(__xludf.DUMMYFUNCTION("""COMPUTED_VALUE"""),"strains")</f>
        <v>strains</v>
      </c>
      <c r="N42" s="6"/>
      <c r="P42" s="1" t="s">
        <v>377</v>
      </c>
      <c r="Q42" s="6" t="str">
        <f>IFERROR(__xludf.DUMMYFUNCTION("""COMPUTED_VALUE"""),"intriguing")</f>
        <v>intriguing</v>
      </c>
      <c r="S42" s="1" t="s">
        <v>83</v>
      </c>
      <c r="T42" s="6" t="str">
        <f>IFERROR(__xludf.DUMMYFUNCTION("""COMPUTED_VALUE"""),"dumb")</f>
        <v>dumb</v>
      </c>
      <c r="V42" s="1" t="s">
        <v>378</v>
      </c>
      <c r="W42" s="1" t="s">
        <v>379</v>
      </c>
      <c r="AA42" s="1" t="s">
        <v>380</v>
      </c>
      <c r="AF42" s="1" t="s">
        <v>381</v>
      </c>
      <c r="AG42" s="6" t="str">
        <f>IFERROR(__xludf.DUMMYFUNCTION("""COMPUTED_VALUE"""),"stylized")</f>
        <v>stylized</v>
      </c>
      <c r="AH42" s="6" t="str">
        <f>IFERROR(__xludf.DUMMYFUNCTION("""COMPUTED_VALUE"""),"climax")</f>
        <v>climax</v>
      </c>
      <c r="AJ42" s="1" t="s">
        <v>95</v>
      </c>
      <c r="AK42" s="6" t="str">
        <f>IFERROR(__xludf.DUMMYFUNCTION("""COMPUTED_VALUE"""),"absorbing")</f>
        <v>absorbing</v>
      </c>
      <c r="AM42" s="1" t="s">
        <v>145</v>
      </c>
      <c r="AN42" s="6" t="str">
        <f>IFERROR(__xludf.DUMMYFUNCTION("""COMPUTED_VALUE"""),"brutally")</f>
        <v>brutally</v>
      </c>
    </row>
    <row r="43">
      <c r="A43" s="1" t="s">
        <v>382</v>
      </c>
      <c r="B43" s="1" t="s">
        <v>95</v>
      </c>
      <c r="E43" s="1" t="s">
        <v>179</v>
      </c>
      <c r="F43" s="6" t="str">
        <f>IFERROR(__xludf.DUMMYFUNCTION("""COMPUTED_VALUE"""),"existence")</f>
        <v>existence</v>
      </c>
      <c r="H43" s="1" t="s">
        <v>383</v>
      </c>
      <c r="I43" s="6" t="str">
        <f>IFERROR(__xludf.DUMMYFUNCTION("""COMPUTED_VALUE"""),"world")</f>
        <v>world</v>
      </c>
      <c r="K43" s="1" t="s">
        <v>384</v>
      </c>
      <c r="L43" s="6" t="str">
        <f>IFERROR(__xludf.DUMMYFUNCTION("""COMPUTED_VALUE"""),"fiercely")</f>
        <v>fiercely</v>
      </c>
      <c r="N43" s="6"/>
      <c r="P43" s="1" t="s">
        <v>229</v>
      </c>
      <c r="Q43" s="6" t="str">
        <f>IFERROR(__xludf.DUMMYFUNCTION("""COMPUTED_VALUE"""),"images")</f>
        <v>images</v>
      </c>
      <c r="S43" s="1" t="s">
        <v>65</v>
      </c>
      <c r="T43" s="6" t="str">
        <f>IFERROR(__xludf.DUMMYFUNCTION("""COMPUTED_VALUE"""),"dignity")</f>
        <v>dignity</v>
      </c>
      <c r="V43" s="1" t="s">
        <v>385</v>
      </c>
      <c r="W43" s="1" t="s">
        <v>386</v>
      </c>
      <c r="AA43" s="1" t="s">
        <v>387</v>
      </c>
      <c r="AF43" s="1" t="s">
        <v>214</v>
      </c>
      <c r="AG43" s="6" t="str">
        <f>IFERROR(__xludf.DUMMYFUNCTION("""COMPUTED_VALUE"""),"significance")</f>
        <v>significance</v>
      </c>
      <c r="AH43" s="6" t="str">
        <f>IFERROR(__xludf.DUMMYFUNCTION("""COMPUTED_VALUE"""),"optimism")</f>
        <v>optimism</v>
      </c>
      <c r="AJ43" s="1" t="s">
        <v>125</v>
      </c>
      <c r="AK43" s="6" t="str">
        <f>IFERROR(__xludf.DUMMYFUNCTION("""COMPUTED_VALUE"""),"gripping")</f>
        <v>gripping</v>
      </c>
      <c r="AM43" s="1" t="s">
        <v>388</v>
      </c>
      <c r="AN43" s="6" t="str">
        <f>IFERROR(__xludf.DUMMYFUNCTION("""COMPUTED_VALUE"""),"breadth")</f>
        <v>breadth</v>
      </c>
    </row>
    <row r="44">
      <c r="A44" s="1" t="s">
        <v>389</v>
      </c>
      <c r="B44" s="1" t="s">
        <v>390</v>
      </c>
      <c r="E44" s="1" t="s">
        <v>184</v>
      </c>
      <c r="F44" s="6" t="str">
        <f>IFERROR(__xludf.DUMMYFUNCTION("""COMPUTED_VALUE"""),"sharply")</f>
        <v>sharply</v>
      </c>
      <c r="H44" s="1" t="s">
        <v>117</v>
      </c>
      <c r="I44" s="6" t="str">
        <f>IFERROR(__xludf.DUMMYFUNCTION("""COMPUTED_VALUE"""),"plot")</f>
        <v>plot</v>
      </c>
      <c r="K44" s="1" t="s">
        <v>203</v>
      </c>
      <c r="L44" s="6" t="str">
        <f>IFERROR(__xludf.DUMMYFUNCTION("""COMPUTED_VALUE"""),"commands")</f>
        <v>commands</v>
      </c>
      <c r="N44" s="6"/>
      <c r="P44" s="1" t="s">
        <v>95</v>
      </c>
      <c r="Q44" s="6" t="str">
        <f>IFERROR(__xludf.DUMMYFUNCTION("""COMPUTED_VALUE"""),"eyes")</f>
        <v>eyes</v>
      </c>
      <c r="S44" s="1" t="s">
        <v>391</v>
      </c>
      <c r="T44" s="6" t="str">
        <f>IFERROR(__xludf.DUMMYFUNCTION("""COMPUTED_VALUE"""),"greatest")</f>
        <v>greatest</v>
      </c>
      <c r="V44" s="1" t="s">
        <v>392</v>
      </c>
      <c r="W44" s="1" t="s">
        <v>393</v>
      </c>
      <c r="AA44" s="1" t="s">
        <v>394</v>
      </c>
      <c r="AF44" s="1" t="s">
        <v>395</v>
      </c>
      <c r="AG44" s="6" t="str">
        <f>IFERROR(__xludf.DUMMYFUNCTION("""COMPUTED_VALUE"""),"primitive")</f>
        <v>primitive</v>
      </c>
      <c r="AH44" s="6" t="str">
        <f>IFERROR(__xludf.DUMMYFUNCTION("""COMPUTED_VALUE"""),"morality")</f>
        <v>morality</v>
      </c>
      <c r="AJ44" s="1" t="s">
        <v>396</v>
      </c>
      <c r="AK44" s="6" t="str">
        <f>IFERROR(__xludf.DUMMYFUNCTION("""COMPUTED_VALUE"""),"startling")</f>
        <v>startling</v>
      </c>
      <c r="AM44" s="1" t="s">
        <v>397</v>
      </c>
      <c r="AN44" s="6" t="str">
        <f>IFERROR(__xludf.DUMMYFUNCTION("""COMPUTED_VALUE"""),"dynamics")</f>
        <v>dynamics</v>
      </c>
    </row>
    <row r="45">
      <c r="A45" s="1" t="s">
        <v>398</v>
      </c>
      <c r="B45" s="1" t="s">
        <v>399</v>
      </c>
      <c r="E45" s="1" t="s">
        <v>400</v>
      </c>
      <c r="F45" s="6" t="str">
        <f>IFERROR(__xludf.DUMMYFUNCTION("""COMPUTED_VALUE"""),"nowhere")</f>
        <v>nowhere</v>
      </c>
      <c r="H45" s="1" t="s">
        <v>295</v>
      </c>
      <c r="I45" s="6" t="str">
        <f>IFERROR(__xludf.DUMMYFUNCTION("""COMPUTED_VALUE"""),"cylinders")</f>
        <v>cylinders</v>
      </c>
      <c r="K45" s="1" t="s">
        <v>401</v>
      </c>
      <c r="N45" s="6"/>
      <c r="P45" s="1" t="s">
        <v>125</v>
      </c>
      <c r="Q45" s="6" t="str">
        <f>IFERROR(__xludf.DUMMYFUNCTION("""COMPUTED_VALUE"""),"tear")</f>
        <v>tear</v>
      </c>
      <c r="S45" s="1" t="s">
        <v>402</v>
      </c>
      <c r="T45" s="6" t="str">
        <f>IFERROR(__xludf.DUMMYFUNCTION("""COMPUTED_VALUE"""),"musicians")</f>
        <v>musicians</v>
      </c>
      <c r="V45" s="1" t="s">
        <v>403</v>
      </c>
      <c r="W45" s="1" t="s">
        <v>404</v>
      </c>
      <c r="AA45" s="1" t="s">
        <v>405</v>
      </c>
      <c r="AF45" s="1" t="s">
        <v>406</v>
      </c>
      <c r="AG45" s="6" t="str">
        <f>IFERROR(__xludf.DUMMYFUNCTION("""COMPUTED_VALUE"""),"endurance")</f>
        <v>endurance</v>
      </c>
      <c r="AH45" s="6" t="str">
        <f>IFERROR(__xludf.DUMMYFUNCTION("""COMPUTED_VALUE"""),"hampered")</f>
        <v>hampered</v>
      </c>
      <c r="AJ45" s="1" t="s">
        <v>407</v>
      </c>
      <c r="AK45" s="6" t="str">
        <f>IFERROR(__xludf.DUMMYFUNCTION("""COMPUTED_VALUE"""),"fatal")</f>
        <v>fatal</v>
      </c>
      <c r="AM45" s="1" t="s">
        <v>47</v>
      </c>
      <c r="AN45" s="6" t="str">
        <f>IFERROR(__xludf.DUMMYFUNCTION("""COMPUTED_VALUE"""),"absorbing")</f>
        <v>absorbing</v>
      </c>
    </row>
    <row r="46">
      <c r="A46" s="1" t="s">
        <v>408</v>
      </c>
      <c r="B46" s="1" t="s">
        <v>409</v>
      </c>
      <c r="E46" s="1" t="s">
        <v>410</v>
      </c>
      <c r="F46" s="6" t="str">
        <f>IFERROR(__xludf.DUMMYFUNCTION("""COMPUTED_VALUE"""),"point")</f>
        <v>point</v>
      </c>
      <c r="H46" s="1" t="s">
        <v>411</v>
      </c>
      <c r="I46" s="6" t="str">
        <f>IFERROR(__xludf.DUMMYFUNCTION("""COMPUTED_VALUE"""),"find")</f>
        <v>find</v>
      </c>
      <c r="K46" s="1" t="s">
        <v>169</v>
      </c>
      <c r="N46" s="6"/>
      <c r="P46" s="1" t="s">
        <v>412</v>
      </c>
      <c r="Q46" s="6" t="str">
        <f>IFERROR(__xludf.DUMMYFUNCTION("""COMPUTED_VALUE"""),"cinematic")</f>
        <v>cinematic</v>
      </c>
      <c r="S46" s="1" t="s">
        <v>413</v>
      </c>
      <c r="T46" s="6" t="str">
        <f>IFERROR(__xludf.DUMMYFUNCTION("""COMPUTED_VALUE"""),"intelligence")</f>
        <v>intelligence</v>
      </c>
      <c r="V46" s="1" t="s">
        <v>414</v>
      </c>
      <c r="W46" s="1" t="s">
        <v>415</v>
      </c>
      <c r="AA46" s="1" t="s">
        <v>416</v>
      </c>
      <c r="AF46" s="1" t="s">
        <v>222</v>
      </c>
      <c r="AG46" s="6" t="str">
        <f>IFERROR(__xludf.DUMMYFUNCTION("""COMPUTED_VALUE"""),"prejudice")</f>
        <v>prejudice</v>
      </c>
      <c r="AH46" s="6" t="str">
        <f>IFERROR(__xludf.DUMMYFUNCTION("""COMPUTED_VALUE"""),"lyrical")</f>
        <v>lyrical</v>
      </c>
      <c r="AJ46" s="1" t="s">
        <v>133</v>
      </c>
      <c r="AK46" s="6" t="str">
        <f>IFERROR(__xludf.DUMMYFUNCTION("""COMPUTED_VALUE"""),"pulse")</f>
        <v>pulse</v>
      </c>
      <c r="AM46" s="1" t="s">
        <v>417</v>
      </c>
      <c r="AN46" s="6" t="str">
        <f>IFERROR(__xludf.DUMMYFUNCTION("""COMPUTED_VALUE"""),"gripping")</f>
        <v>gripping</v>
      </c>
    </row>
    <row r="47">
      <c r="A47" s="1" t="s">
        <v>418</v>
      </c>
      <c r="B47" s="1" t="s">
        <v>419</v>
      </c>
      <c r="E47" s="1" t="s">
        <v>44</v>
      </c>
      <c r="F47" s="6" t="str">
        <f>IFERROR(__xludf.DUMMYFUNCTION("""COMPUTED_VALUE"""),"recycled")</f>
        <v>recycled</v>
      </c>
      <c r="H47" s="1" t="s">
        <v>303</v>
      </c>
      <c r="I47" s="6" t="str">
        <f>IFERROR(__xludf.DUMMYFUNCTION("""COMPUTED_VALUE"""),"poorly")</f>
        <v>poorly</v>
      </c>
      <c r="K47" s="1" t="s">
        <v>420</v>
      </c>
      <c r="N47" s="6"/>
      <c r="P47" s="1" t="s">
        <v>133</v>
      </c>
      <c r="Q47" s="6" t="str">
        <f>IFERROR(__xludf.DUMMYFUNCTION("""COMPUTED_VALUE"""),"storytelling")</f>
        <v>storytelling</v>
      </c>
      <c r="S47" s="1" t="s">
        <v>94</v>
      </c>
      <c r="T47" s="6" t="str">
        <f>IFERROR(__xludf.DUMMYFUNCTION("""COMPUTED_VALUE"""),"redundant")</f>
        <v>redundant</v>
      </c>
      <c r="V47" s="1" t="s">
        <v>421</v>
      </c>
      <c r="W47" s="1" t="s">
        <v>422</v>
      </c>
      <c r="AA47" s="1" t="s">
        <v>423</v>
      </c>
      <c r="AF47" s="1" t="s">
        <v>424</v>
      </c>
      <c r="AG47" s="6" t="str">
        <f>IFERROR(__xludf.DUMMYFUNCTION("""COMPUTED_VALUE"""),"fantasies")</f>
        <v>fantasies</v>
      </c>
      <c r="AH47" s="6" t="str">
        <f>IFERROR(__xludf.DUMMYFUNCTION("""COMPUTED_VALUE"""),"imagery")</f>
        <v>imagery</v>
      </c>
      <c r="AJ47" s="1" t="s">
        <v>425</v>
      </c>
      <c r="AK47" s="6" t="str">
        <f>IFERROR(__xludf.DUMMYFUNCTION("""COMPUTED_VALUE"""),"friendship")</f>
        <v>friendship</v>
      </c>
      <c r="AM47" s="1" t="s">
        <v>55</v>
      </c>
      <c r="AN47" s="6" t="str">
        <f>IFERROR(__xludf.DUMMYFUNCTION("""COMPUTED_VALUE"""),"startling")</f>
        <v>startling</v>
      </c>
    </row>
    <row r="48">
      <c r="A48" s="1" t="s">
        <v>426</v>
      </c>
      <c r="B48" s="1" t="s">
        <v>173</v>
      </c>
      <c r="E48" s="1" t="s">
        <v>75</v>
      </c>
      <c r="F48" s="6" t="str">
        <f>IFERROR(__xludf.DUMMYFUNCTION("""COMPUTED_VALUE"""),"been")</f>
        <v>been</v>
      </c>
      <c r="H48" s="1" t="s">
        <v>118</v>
      </c>
      <c r="I48" s="6" t="str">
        <f>IFERROR(__xludf.DUMMYFUNCTION("""COMPUTED_VALUE"""),"weaving")</f>
        <v>weaving</v>
      </c>
      <c r="K48" s="1" t="s">
        <v>427</v>
      </c>
      <c r="N48" s="6"/>
      <c r="P48" s="1" t="s">
        <v>425</v>
      </c>
      <c r="Q48" s="6" t="str">
        <f>IFERROR(__xludf.DUMMYFUNCTION("""COMPUTED_VALUE"""),"uses")</f>
        <v>uses</v>
      </c>
      <c r="S48" s="1" t="s">
        <v>39</v>
      </c>
      <c r="T48" s="6" t="str">
        <f>IFERROR(__xludf.DUMMYFUNCTION("""COMPUTED_VALUE"""),"succeeds")</f>
        <v>succeeds</v>
      </c>
      <c r="V48" s="1" t="s">
        <v>428</v>
      </c>
      <c r="W48" s="1" t="s">
        <v>429</v>
      </c>
      <c r="AA48" s="1" t="s">
        <v>430</v>
      </c>
      <c r="AF48" s="1" t="s">
        <v>431</v>
      </c>
      <c r="AG48" s="6" t="str">
        <f>IFERROR(__xludf.DUMMYFUNCTION("""COMPUTED_VALUE"""),"explores")</f>
        <v>explores</v>
      </c>
      <c r="AH48" s="6" t="str">
        <f>IFERROR(__xludf.DUMMYFUNCTION("""COMPUTED_VALUE"""),"shimmering")</f>
        <v>shimmering</v>
      </c>
      <c r="AJ48" s="1" t="s">
        <v>163</v>
      </c>
      <c r="AK48" s="6" t="str">
        <f>IFERROR(__xludf.DUMMYFUNCTION("""COMPUTED_VALUE"""),"establishes")</f>
        <v>establishes</v>
      </c>
      <c r="AM48" s="1" t="s">
        <v>169</v>
      </c>
      <c r="AN48" s="6" t="str">
        <f>IFERROR(__xludf.DUMMYFUNCTION("""COMPUTED_VALUE"""),"fatal")</f>
        <v>fatal</v>
      </c>
    </row>
    <row r="49">
      <c r="A49" s="1" t="s">
        <v>432</v>
      </c>
      <c r="B49" s="1" t="s">
        <v>433</v>
      </c>
      <c r="E49" s="1" t="s">
        <v>434</v>
      </c>
      <c r="F49" s="6" t="str">
        <f>IFERROR(__xludf.DUMMYFUNCTION("""COMPUTED_VALUE"""),"fourth")</f>
        <v>fourth</v>
      </c>
      <c r="H49" s="1" t="s">
        <v>319</v>
      </c>
      <c r="I49" s="6" t="str">
        <f>IFERROR(__xludf.DUMMYFUNCTION("""COMPUTED_VALUE"""),"clone")</f>
        <v>clone</v>
      </c>
      <c r="K49" s="1" t="s">
        <v>225</v>
      </c>
      <c r="N49" s="6"/>
      <c r="P49" s="1" t="s">
        <v>143</v>
      </c>
      <c r="Q49" s="6" t="str">
        <f>IFERROR(__xludf.DUMMYFUNCTION("""COMPUTED_VALUE"""),"pleasures")</f>
        <v>pleasures</v>
      </c>
      <c r="S49" s="1" t="s">
        <v>435</v>
      </c>
      <c r="T49" s="6" t="str">
        <f>IFERROR(__xludf.DUMMYFUNCTION("""COMPUTED_VALUE"""),"casting")</f>
        <v>casting</v>
      </c>
      <c r="V49" s="1" t="s">
        <v>436</v>
      </c>
      <c r="W49" s="1" t="s">
        <v>437</v>
      </c>
      <c r="AA49" s="1" t="s">
        <v>438</v>
      </c>
      <c r="AF49" s="1" t="s">
        <v>439</v>
      </c>
      <c r="AG49" s="6" t="str">
        <f>IFERROR(__xludf.DUMMYFUNCTION("""COMPUTED_VALUE"""),"fingered")</f>
        <v>fingered</v>
      </c>
      <c r="AH49" s="6" t="str">
        <f>IFERROR(__xludf.DUMMYFUNCTION("""COMPUTED_VALUE"""),"illuminating")</f>
        <v>illuminating</v>
      </c>
      <c r="AJ49" s="1" t="s">
        <v>143</v>
      </c>
      <c r="AK49" s="6" t="str">
        <f>IFERROR(__xludf.DUMMYFUNCTION("""COMPUTED_VALUE"""),"plotting")</f>
        <v>plotting</v>
      </c>
      <c r="AM49" s="1" t="s">
        <v>184</v>
      </c>
      <c r="AN49" s="6" t="str">
        <f>IFERROR(__xludf.DUMMYFUNCTION("""COMPUTED_VALUE"""),"pulse")</f>
        <v>pulse</v>
      </c>
    </row>
    <row r="50">
      <c r="A50" s="1" t="s">
        <v>440</v>
      </c>
      <c r="B50" s="1" t="s">
        <v>441</v>
      </c>
      <c r="E50" s="1" t="s">
        <v>442</v>
      </c>
      <c r="F50" s="6" t="str">
        <f>IFERROR(__xludf.DUMMYFUNCTION("""COMPUTED_VALUE"""),"swords")</f>
        <v>swords</v>
      </c>
      <c r="H50" s="1" t="s">
        <v>443</v>
      </c>
      <c r="I50" s="6" t="str">
        <f>IFERROR(__xludf.DUMMYFUNCTION("""COMPUTED_VALUE"""),"funny")</f>
        <v>funny</v>
      </c>
      <c r="K50" s="1" t="s">
        <v>444</v>
      </c>
      <c r="N50" s="6"/>
      <c r="P50" s="1" t="s">
        <v>163</v>
      </c>
      <c r="Q50" s="6" t="str">
        <f>IFERROR(__xludf.DUMMYFUNCTION("""COMPUTED_VALUE"""),"masterpiece")</f>
        <v>masterpiece</v>
      </c>
      <c r="S50" s="1" t="s">
        <v>445</v>
      </c>
      <c r="T50" s="6" t="str">
        <f>IFERROR(__xludf.DUMMYFUNCTION("""COMPUTED_VALUE"""),"actress")</f>
        <v>actress</v>
      </c>
      <c r="V50" s="1" t="s">
        <v>446</v>
      </c>
      <c r="W50" s="1" t="s">
        <v>447</v>
      </c>
      <c r="AA50" s="1" t="s">
        <v>448</v>
      </c>
      <c r="AF50" s="1" t="s">
        <v>449</v>
      </c>
      <c r="AG50" s="6" t="str">
        <f>IFERROR(__xludf.DUMMYFUNCTION("""COMPUTED_VALUE"""),"strains")</f>
        <v>strains</v>
      </c>
      <c r="AH50" s="6" t="str">
        <f>IFERROR(__xludf.DUMMYFUNCTION("""COMPUTED_VALUE"""),"mendes")</f>
        <v>mendes</v>
      </c>
      <c r="AJ50" s="1" t="s">
        <v>450</v>
      </c>
      <c r="AK50" s="6" t="str">
        <f>IFERROR(__xludf.DUMMYFUNCTION("""COMPUTED_VALUE"""),"dazzling")</f>
        <v>dazzling</v>
      </c>
      <c r="AM50" s="1" t="s">
        <v>451</v>
      </c>
      <c r="AN50" s="6" t="str">
        <f>IFERROR(__xludf.DUMMYFUNCTION("""COMPUTED_VALUE"""),"friendship")</f>
        <v>friendship</v>
      </c>
    </row>
    <row r="51">
      <c r="A51" s="1" t="s">
        <v>452</v>
      </c>
      <c r="B51" s="1" t="s">
        <v>149</v>
      </c>
      <c r="E51" s="1" t="s">
        <v>188</v>
      </c>
      <c r="F51" s="6" t="str">
        <f>IFERROR(__xludf.DUMMYFUNCTION("""COMPUTED_VALUE"""),"proves")</f>
        <v>proves</v>
      </c>
      <c r="H51" s="1" t="s">
        <v>328</v>
      </c>
      <c r="I51" s="6" t="str">
        <f>IFERROR(__xludf.DUMMYFUNCTION("""COMPUTED_VALUE"""),"theme")</f>
        <v>theme</v>
      </c>
      <c r="K51" s="1" t="s">
        <v>453</v>
      </c>
      <c r="N51" s="6"/>
      <c r="P51" s="1" t="s">
        <v>433</v>
      </c>
      <c r="Q51" s="6" t="str">
        <f>IFERROR(__xludf.DUMMYFUNCTION("""COMPUTED_VALUE"""),"called")</f>
        <v>called</v>
      </c>
      <c r="S51" s="1" t="s">
        <v>63</v>
      </c>
      <c r="T51" s="6" t="str">
        <f>IFERROR(__xludf.DUMMYFUNCTION("""COMPUTED_VALUE"""),"face")</f>
        <v>face</v>
      </c>
      <c r="V51" s="1" t="s">
        <v>454</v>
      </c>
      <c r="W51" s="1" t="s">
        <v>455</v>
      </c>
      <c r="AA51" s="1" t="s">
        <v>456</v>
      </c>
      <c r="AF51" s="1" t="s">
        <v>457</v>
      </c>
      <c r="AG51" s="6" t="str">
        <f>IFERROR(__xludf.DUMMYFUNCTION("""COMPUTED_VALUE"""),"stuart")</f>
        <v>stuart</v>
      </c>
      <c r="AH51" s="6" t="str">
        <f>IFERROR(__xludf.DUMMYFUNCTION("""COMPUTED_VALUE"""),"photographed")</f>
        <v>photographed</v>
      </c>
      <c r="AJ51" s="1" t="s">
        <v>174</v>
      </c>
      <c r="AK51" s="6" t="str">
        <f>IFERROR(__xludf.DUMMYFUNCTION("""COMPUTED_VALUE"""),"inspirational")</f>
        <v>inspirational</v>
      </c>
      <c r="AM51" s="1" t="s">
        <v>458</v>
      </c>
      <c r="AN51" s="6" t="str">
        <f>IFERROR(__xludf.DUMMYFUNCTION("""COMPUTED_VALUE"""),"employs")</f>
        <v>employs</v>
      </c>
    </row>
    <row r="52">
      <c r="A52" s="1" t="s">
        <v>459</v>
      </c>
      <c r="B52" s="1" t="s">
        <v>460</v>
      </c>
      <c r="E52" s="1" t="s">
        <v>461</v>
      </c>
      <c r="F52" s="6" t="str">
        <f>IFERROR(__xludf.DUMMYFUNCTION("""COMPUTED_VALUE"""),"horrors")</f>
        <v>horrors</v>
      </c>
      <c r="H52" s="1" t="s">
        <v>337</v>
      </c>
      <c r="I52" s="6" t="str">
        <f>IFERROR(__xludf.DUMMYFUNCTION("""COMPUTED_VALUE"""),"storyline")</f>
        <v>storyline</v>
      </c>
      <c r="K52" s="1" t="s">
        <v>209</v>
      </c>
      <c r="N52" s="6"/>
      <c r="P52" s="1" t="s">
        <v>450</v>
      </c>
      <c r="Q52" s="6" t="str">
        <f>IFERROR(__xludf.DUMMYFUNCTION("""COMPUTED_VALUE"""),"hopeless")</f>
        <v>hopeless</v>
      </c>
      <c r="S52" s="1" t="s">
        <v>191</v>
      </c>
      <c r="T52" s="6" t="str">
        <f>IFERROR(__xludf.DUMMYFUNCTION("""COMPUTED_VALUE"""),"by")</f>
        <v>by</v>
      </c>
      <c r="V52" s="1" t="s">
        <v>462</v>
      </c>
      <c r="W52" s="1" t="s">
        <v>463</v>
      </c>
      <c r="AA52" s="1" t="s">
        <v>464</v>
      </c>
      <c r="AF52" s="1" t="s">
        <v>232</v>
      </c>
      <c r="AG52" s="6" t="str">
        <f>IFERROR(__xludf.DUMMYFUNCTION("""COMPUTED_VALUE"""),"friendships")</f>
        <v>friendships</v>
      </c>
      <c r="AH52" s="6" t="str">
        <f>IFERROR(__xludf.DUMMYFUNCTION("""COMPUTED_VALUE"""),"chuckles")</f>
        <v>chuckles</v>
      </c>
      <c r="AJ52" s="1" t="s">
        <v>465</v>
      </c>
      <c r="AK52" s="6" t="str">
        <f>IFERROR(__xludf.DUMMYFUNCTION("""COMPUTED_VALUE"""),"jerking")</f>
        <v>jerking</v>
      </c>
      <c r="AM52" s="1" t="s">
        <v>466</v>
      </c>
      <c r="AN52" s="6" t="str">
        <f>IFERROR(__xludf.DUMMYFUNCTION("""COMPUTED_VALUE"""),"establishes")</f>
        <v>establishes</v>
      </c>
    </row>
    <row r="53">
      <c r="A53" s="1" t="s">
        <v>467</v>
      </c>
      <c r="B53" s="1" t="s">
        <v>468</v>
      </c>
      <c r="E53" s="1" t="s">
        <v>54</v>
      </c>
      <c r="F53" s="6" t="str">
        <f>IFERROR(__xludf.DUMMYFUNCTION("""COMPUTED_VALUE"""),"vivid")</f>
        <v>vivid</v>
      </c>
      <c r="H53" s="1" t="s">
        <v>469</v>
      </c>
      <c r="I53" s="6" t="str">
        <f>IFERROR(__xludf.DUMMYFUNCTION("""COMPUTED_VALUE"""),"real")</f>
        <v>real</v>
      </c>
      <c r="K53" s="1" t="s">
        <v>157</v>
      </c>
      <c r="N53" s="6"/>
      <c r="P53" s="1" t="s">
        <v>340</v>
      </c>
      <c r="Q53" s="6" t="str">
        <f>IFERROR(__xludf.DUMMYFUNCTION("""COMPUTED_VALUE"""),"dialogue")</f>
        <v>dialogue</v>
      </c>
      <c r="S53" s="1" t="s">
        <v>60</v>
      </c>
      <c r="T53" s="6" t="str">
        <f>IFERROR(__xludf.DUMMYFUNCTION("""COMPUTED_VALUE"""),"is")</f>
        <v>is</v>
      </c>
      <c r="V53" s="1" t="s">
        <v>470</v>
      </c>
      <c r="W53" s="1" t="s">
        <v>471</v>
      </c>
      <c r="AA53" s="1" t="s">
        <v>472</v>
      </c>
      <c r="AF53" s="1" t="s">
        <v>473</v>
      </c>
      <c r="AG53" s="6" t="str">
        <f>IFERROR(__xludf.DUMMYFUNCTION("""COMPUTED_VALUE"""),"iranian")</f>
        <v>iranian</v>
      </c>
      <c r="AH53" s="6" t="str">
        <f>IFERROR(__xludf.DUMMYFUNCTION("""COMPUTED_VALUE"""),"primitive")</f>
        <v>primitive</v>
      </c>
      <c r="AJ53" s="1" t="s">
        <v>104</v>
      </c>
      <c r="AK53" s="6" t="str">
        <f>IFERROR(__xludf.DUMMYFUNCTION("""COMPUTED_VALUE"""),"insights")</f>
        <v>insights</v>
      </c>
      <c r="AM53" s="1" t="s">
        <v>194</v>
      </c>
      <c r="AN53" s="6" t="str">
        <f>IFERROR(__xludf.DUMMYFUNCTION("""COMPUTED_VALUE"""),"plotting")</f>
        <v>plotting</v>
      </c>
    </row>
    <row r="54">
      <c r="A54" s="1" t="s">
        <v>474</v>
      </c>
      <c r="B54" s="1" t="s">
        <v>475</v>
      </c>
      <c r="E54" s="1" t="s">
        <v>233</v>
      </c>
      <c r="F54" s="6" t="str">
        <f>IFERROR(__xludf.DUMMYFUNCTION("""COMPUTED_VALUE"""),"any")</f>
        <v>any</v>
      </c>
      <c r="H54" s="1" t="s">
        <v>367</v>
      </c>
      <c r="I54" s="6" t="str">
        <f>IFERROR(__xludf.DUMMYFUNCTION("""COMPUTED_VALUE"""),"crude")</f>
        <v>crude</v>
      </c>
      <c r="K54" s="1" t="s">
        <v>257</v>
      </c>
      <c r="N54" s="6"/>
      <c r="P54" s="1" t="s">
        <v>476</v>
      </c>
      <c r="Q54" s="6" t="str">
        <f>IFERROR(__xludf.DUMMYFUNCTION("""COMPUTED_VALUE"""),"clumsy")</f>
        <v>clumsy</v>
      </c>
      <c r="S54" s="1" t="s">
        <v>477</v>
      </c>
      <c r="T54" s="6" t="str">
        <f>IFERROR(__xludf.DUMMYFUNCTION("""COMPUTED_VALUE"""),"ways")</f>
        <v>ways</v>
      </c>
      <c r="V54" s="1" t="s">
        <v>478</v>
      </c>
      <c r="W54" s="1" t="s">
        <v>479</v>
      </c>
      <c r="AA54" s="1" t="s">
        <v>480</v>
      </c>
      <c r="AF54" s="1" t="s">
        <v>240</v>
      </c>
      <c r="AH54" s="6" t="str">
        <f>IFERROR(__xludf.DUMMYFUNCTION("""COMPUTED_VALUE"""),"endurance")</f>
        <v>endurance</v>
      </c>
      <c r="AJ54" s="1" t="s">
        <v>151</v>
      </c>
      <c r="AK54" s="6" t="str">
        <f>IFERROR(__xludf.DUMMYFUNCTION("""COMPUTED_VALUE"""),"uncertain")</f>
        <v>uncertain</v>
      </c>
      <c r="AM54" s="1" t="s">
        <v>410</v>
      </c>
      <c r="AN54" s="6" t="str">
        <f>IFERROR(__xludf.DUMMYFUNCTION("""COMPUTED_VALUE"""),"reduces")</f>
        <v>reduces</v>
      </c>
    </row>
    <row r="55">
      <c r="A55" s="1" t="s">
        <v>481</v>
      </c>
      <c r="B55" s="1" t="s">
        <v>482</v>
      </c>
      <c r="E55" s="1" t="s">
        <v>61</v>
      </c>
      <c r="F55" s="6" t="str">
        <f>IFERROR(__xludf.DUMMYFUNCTION("""COMPUTED_VALUE"""),"pointless")</f>
        <v>pointless</v>
      </c>
      <c r="H55" s="1" t="s">
        <v>483</v>
      </c>
      <c r="I55" s="6" t="str">
        <f>IFERROR(__xludf.DUMMYFUNCTION("""COMPUTED_VALUE"""),"heroes")</f>
        <v>heroes</v>
      </c>
      <c r="K55" s="1" t="s">
        <v>484</v>
      </c>
      <c r="N55" s="6"/>
      <c r="P55" s="1" t="s">
        <v>485</v>
      </c>
      <c r="Q55" s="6" t="str">
        <f>IFERROR(__xludf.DUMMYFUNCTION("""COMPUTED_VALUE"""),"bourne")</f>
        <v>bourne</v>
      </c>
      <c r="S55" s="1" t="s">
        <v>204</v>
      </c>
      <c r="T55" s="6" t="str">
        <f>IFERROR(__xludf.DUMMYFUNCTION("""COMPUTED_VALUE"""),"original")</f>
        <v>original</v>
      </c>
      <c r="V55" s="1" t="s">
        <v>486</v>
      </c>
      <c r="W55" s="1" t="s">
        <v>226</v>
      </c>
      <c r="AA55" s="1" t="s">
        <v>487</v>
      </c>
      <c r="AF55" s="1" t="s">
        <v>247</v>
      </c>
      <c r="AH55" s="6" t="str">
        <f>IFERROR(__xludf.DUMMYFUNCTION("""COMPUTED_VALUE"""),"commended")</f>
        <v>commended</v>
      </c>
      <c r="AJ55" s="1" t="s">
        <v>488</v>
      </c>
      <c r="AK55" s="6" t="str">
        <f>IFERROR(__xludf.DUMMYFUNCTION("""COMPUTED_VALUE"""),"cerebral")</f>
        <v>cerebral</v>
      </c>
      <c r="AM55" s="1" t="s">
        <v>44</v>
      </c>
      <c r="AN55" s="6" t="str">
        <f>IFERROR(__xludf.DUMMYFUNCTION("""COMPUTED_VALUE"""),"dazzling")</f>
        <v>dazzling</v>
      </c>
    </row>
    <row r="56">
      <c r="A56" s="1" t="s">
        <v>489</v>
      </c>
      <c r="B56" s="1" t="s">
        <v>490</v>
      </c>
      <c r="E56" s="1" t="s">
        <v>218</v>
      </c>
      <c r="F56" s="6" t="str">
        <f>IFERROR(__xludf.DUMMYFUNCTION("""COMPUTED_VALUE"""),"beautifully")</f>
        <v>beautifully</v>
      </c>
      <c r="H56" s="1" t="s">
        <v>142</v>
      </c>
      <c r="I56" s="6" t="str">
        <f>IFERROR(__xludf.DUMMYFUNCTION("""COMPUTED_VALUE"""),"existence")</f>
        <v>existence</v>
      </c>
      <c r="K56" s="1" t="s">
        <v>491</v>
      </c>
      <c r="P56" s="1" t="s">
        <v>488</v>
      </c>
      <c r="Q56" s="6" t="str">
        <f>IFERROR(__xludf.DUMMYFUNCTION("""COMPUTED_VALUE"""),"conviction")</f>
        <v>conviction</v>
      </c>
      <c r="S56" s="1" t="s">
        <v>161</v>
      </c>
      <c r="T56" s="6" t="str">
        <f>IFERROR(__xludf.DUMMYFUNCTION("""COMPUTED_VALUE"""),"feminist")</f>
        <v>feminist</v>
      </c>
      <c r="V56" s="1" t="s">
        <v>492</v>
      </c>
      <c r="W56" s="1" t="s">
        <v>493</v>
      </c>
      <c r="AA56" s="1" t="s">
        <v>494</v>
      </c>
      <c r="AF56" s="1" t="s">
        <v>495</v>
      </c>
      <c r="AH56" s="6" t="str">
        <f>IFERROR(__xludf.DUMMYFUNCTION("""COMPUTED_VALUE"""),"depiction")</f>
        <v>depiction</v>
      </c>
      <c r="AJ56" s="1" t="s">
        <v>158</v>
      </c>
      <c r="AK56" s="6" t="str">
        <f>IFERROR(__xludf.DUMMYFUNCTION("""COMPUTED_VALUE"""),"subtly")</f>
        <v>subtly</v>
      </c>
      <c r="AM56" s="1" t="s">
        <v>75</v>
      </c>
      <c r="AN56" s="6" t="str">
        <f>IFERROR(__xludf.DUMMYFUNCTION("""COMPUTED_VALUE"""),"inspirational")</f>
        <v>inspirational</v>
      </c>
    </row>
    <row r="57">
      <c r="A57" s="1" t="s">
        <v>496</v>
      </c>
      <c r="B57" s="1" t="s">
        <v>497</v>
      </c>
      <c r="E57" s="1" t="s">
        <v>237</v>
      </c>
      <c r="F57" s="6" t="str">
        <f>IFERROR(__xludf.DUMMYFUNCTION("""COMPUTED_VALUE"""),"situations")</f>
        <v>situations</v>
      </c>
      <c r="H57" s="1" t="s">
        <v>498</v>
      </c>
      <c r="I57" s="6" t="str">
        <f>IFERROR(__xludf.DUMMYFUNCTION("""COMPUTED_VALUE"""),"sharply")</f>
        <v>sharply</v>
      </c>
      <c r="K57" s="1" t="s">
        <v>259</v>
      </c>
      <c r="P57" s="1" t="s">
        <v>166</v>
      </c>
      <c r="Q57" s="6" t="str">
        <f>IFERROR(__xludf.DUMMYFUNCTION("""COMPUTED_VALUE"""),"impressions")</f>
        <v>impressions</v>
      </c>
      <c r="S57" s="1" t="s">
        <v>278</v>
      </c>
      <c r="T57" s="6" t="str">
        <f>IFERROR(__xludf.DUMMYFUNCTION("""COMPUTED_VALUE"""),"anything")</f>
        <v>anything</v>
      </c>
      <c r="V57" s="1" t="s">
        <v>499</v>
      </c>
      <c r="W57" s="1" t="s">
        <v>500</v>
      </c>
      <c r="AA57" s="1" t="s">
        <v>501</v>
      </c>
      <c r="AF57" s="1" t="s">
        <v>256</v>
      </c>
      <c r="AH57" s="6" t="str">
        <f>IFERROR(__xludf.DUMMYFUNCTION("""COMPUTED_VALUE"""),"paxton")</f>
        <v>paxton</v>
      </c>
      <c r="AJ57" s="1" t="s">
        <v>502</v>
      </c>
      <c r="AK57" s="6" t="str">
        <f>IFERROR(__xludf.DUMMYFUNCTION("""COMPUTED_VALUE"""),"collapses")</f>
        <v>collapses</v>
      </c>
      <c r="AM57" s="1" t="s">
        <v>85</v>
      </c>
      <c r="AN57" s="6" t="str">
        <f>IFERROR(__xludf.DUMMYFUNCTION("""COMPUTED_VALUE"""),"jerking")</f>
        <v>jerking</v>
      </c>
    </row>
    <row r="58">
      <c r="A58" s="1" t="s">
        <v>503</v>
      </c>
      <c r="B58" s="1" t="s">
        <v>504</v>
      </c>
      <c r="E58" s="1" t="s">
        <v>314</v>
      </c>
      <c r="F58" s="6" t="str">
        <f>IFERROR(__xludf.DUMMYFUNCTION("""COMPUTED_VALUE"""),"room")</f>
        <v>room</v>
      </c>
      <c r="H58" s="1" t="s">
        <v>505</v>
      </c>
      <c r="I58" s="6" t="str">
        <f>IFERROR(__xludf.DUMMYFUNCTION("""COMPUTED_VALUE"""),"point")</f>
        <v>point</v>
      </c>
      <c r="K58" s="1" t="s">
        <v>506</v>
      </c>
      <c r="P58" s="1" t="s">
        <v>193</v>
      </c>
      <c r="Q58" s="6" t="str">
        <f>IFERROR(__xludf.DUMMYFUNCTION("""COMPUTED_VALUE"""),"engaging")</f>
        <v>engaging</v>
      </c>
      <c r="S58" s="1" t="s">
        <v>167</v>
      </c>
      <c r="T58" s="6" t="str">
        <f>IFERROR(__xludf.DUMMYFUNCTION("""COMPUTED_VALUE"""),"smile")</f>
        <v>smile</v>
      </c>
      <c r="V58" s="1" t="s">
        <v>507</v>
      </c>
      <c r="W58" s="1" t="s">
        <v>234</v>
      </c>
      <c r="AA58" s="1" t="s">
        <v>508</v>
      </c>
      <c r="AF58" s="1" t="s">
        <v>265</v>
      </c>
      <c r="AH58" s="6" t="str">
        <f>IFERROR(__xludf.DUMMYFUNCTION("""COMPUTED_VALUE"""),"holden")</f>
        <v>holden</v>
      </c>
      <c r="AJ58" s="1" t="s">
        <v>166</v>
      </c>
      <c r="AK58" s="6" t="str">
        <f>IFERROR(__xludf.DUMMYFUNCTION("""COMPUTED_VALUE"""),"flawed")</f>
        <v>flawed</v>
      </c>
      <c r="AM58" s="1" t="s">
        <v>509</v>
      </c>
      <c r="AN58" s="6" t="str">
        <f>IFERROR(__xludf.DUMMYFUNCTION("""COMPUTED_VALUE"""),"insights")</f>
        <v>insights</v>
      </c>
    </row>
    <row r="59">
      <c r="A59" s="1" t="s">
        <v>510</v>
      </c>
      <c r="B59" s="1" t="s">
        <v>511</v>
      </c>
      <c r="E59" s="1" t="s">
        <v>64</v>
      </c>
      <c r="F59" s="6" t="str">
        <f>IFERROR(__xludf.DUMMYFUNCTION("""COMPUTED_VALUE"""),"touching")</f>
        <v>touching</v>
      </c>
      <c r="H59" s="1" t="s">
        <v>145</v>
      </c>
      <c r="I59" s="6" t="str">
        <f>IFERROR(__xludf.DUMMYFUNCTION("""COMPUTED_VALUE"""),"nowhere")</f>
        <v>nowhere</v>
      </c>
      <c r="K59" s="1" t="s">
        <v>512</v>
      </c>
      <c r="P59" s="1" t="s">
        <v>513</v>
      </c>
      <c r="Q59" s="6" t="str">
        <f>IFERROR(__xludf.DUMMYFUNCTION("""COMPUTED_VALUE"""),"effective")</f>
        <v>effective</v>
      </c>
      <c r="S59" s="1" t="s">
        <v>514</v>
      </c>
      <c r="T59" s="6" t="str">
        <f>IFERROR(__xludf.DUMMYFUNCTION("""COMPUTED_VALUE"""),"performances")</f>
        <v>performances</v>
      </c>
      <c r="V59" s="1" t="s">
        <v>515</v>
      </c>
      <c r="W59" s="1" t="s">
        <v>516</v>
      </c>
      <c r="AA59" s="1" t="s">
        <v>517</v>
      </c>
      <c r="AF59" s="1" t="s">
        <v>225</v>
      </c>
      <c r="AH59" s="6" t="str">
        <f>IFERROR(__xludf.DUMMYFUNCTION("""COMPUTED_VALUE"""),"successor")</f>
        <v>successor</v>
      </c>
      <c r="AJ59" s="1" t="s">
        <v>193</v>
      </c>
      <c r="AK59" s="6" t="str">
        <f>IFERROR(__xludf.DUMMYFUNCTION("""COMPUTED_VALUE"""),"infectious")</f>
        <v>infectious</v>
      </c>
      <c r="AM59" s="1" t="s">
        <v>461</v>
      </c>
      <c r="AN59" s="6" t="str">
        <f>IFERROR(__xludf.DUMMYFUNCTION("""COMPUTED_VALUE"""),"uncertain")</f>
        <v>uncertain</v>
      </c>
    </row>
    <row r="60">
      <c r="A60" s="1" t="s">
        <v>518</v>
      </c>
      <c r="B60" s="1" t="s">
        <v>519</v>
      </c>
      <c r="E60" s="1" t="s">
        <v>520</v>
      </c>
      <c r="F60" s="6" t="str">
        <f>IFERROR(__xludf.DUMMYFUNCTION("""COMPUTED_VALUE"""),"less")</f>
        <v>less</v>
      </c>
      <c r="H60" s="1" t="s">
        <v>47</v>
      </c>
      <c r="I60" s="6" t="str">
        <f>IFERROR(__xludf.DUMMYFUNCTION("""COMPUTED_VALUE"""),"entire")</f>
        <v>entire</v>
      </c>
      <c r="K60" s="1" t="s">
        <v>521</v>
      </c>
      <c r="P60" s="1" t="s">
        <v>522</v>
      </c>
      <c r="Q60" s="6" t="str">
        <f>IFERROR(__xludf.DUMMYFUNCTION("""COMPUTED_VALUE"""),"suspense")</f>
        <v>suspense</v>
      </c>
      <c r="S60" s="1" t="s">
        <v>523</v>
      </c>
      <c r="T60" s="6" t="str">
        <f>IFERROR(__xludf.DUMMYFUNCTION("""COMPUTED_VALUE"""),"brave")</f>
        <v>brave</v>
      </c>
      <c r="V60" s="1" t="s">
        <v>524</v>
      </c>
      <c r="W60" s="1" t="s">
        <v>525</v>
      </c>
      <c r="AA60" s="1" t="s">
        <v>526</v>
      </c>
      <c r="AF60" s="1" t="s">
        <v>527</v>
      </c>
      <c r="AH60" s="6" t="str">
        <f>IFERROR(__xludf.DUMMYFUNCTION("""COMPUTED_VALUE"""),"volatile")</f>
        <v>volatile</v>
      </c>
      <c r="AJ60" s="1" t="s">
        <v>528</v>
      </c>
      <c r="AK60" s="6" t="str">
        <f>IFERROR(__xludf.DUMMYFUNCTION("""COMPUTED_VALUE"""),"brooding")</f>
        <v>brooding</v>
      </c>
      <c r="AM60" s="1" t="s">
        <v>188</v>
      </c>
      <c r="AN60" s="6" t="str">
        <f>IFERROR(__xludf.DUMMYFUNCTION("""COMPUTED_VALUE"""),"cerebral")</f>
        <v>cerebral</v>
      </c>
    </row>
    <row r="61">
      <c r="A61" s="1" t="s">
        <v>468</v>
      </c>
      <c r="B61" s="1" t="s">
        <v>529</v>
      </c>
      <c r="E61" s="1" t="s">
        <v>276</v>
      </c>
      <c r="F61" s="6" t="str">
        <f>IFERROR(__xludf.DUMMYFUNCTION("""COMPUTED_VALUE"""),"veins")</f>
        <v>veins</v>
      </c>
      <c r="H61" s="1" t="s">
        <v>55</v>
      </c>
      <c r="I61" s="6" t="str">
        <f>IFERROR(__xludf.DUMMYFUNCTION("""COMPUTED_VALUE"""),"dog")</f>
        <v>dog</v>
      </c>
      <c r="K61" s="1" t="s">
        <v>480</v>
      </c>
      <c r="P61" s="1" t="s">
        <v>528</v>
      </c>
      <c r="Q61" s="6" t="str">
        <f>IFERROR(__xludf.DUMMYFUNCTION("""COMPUTED_VALUE"""),"realistic")</f>
        <v>realistic</v>
      </c>
      <c r="S61" s="1" t="s">
        <v>530</v>
      </c>
      <c r="T61" s="6" t="str">
        <f>IFERROR(__xludf.DUMMYFUNCTION("""COMPUTED_VALUE"""),"spirits")</f>
        <v>spirits</v>
      </c>
      <c r="V61" s="1" t="s">
        <v>531</v>
      </c>
      <c r="W61" s="1" t="s">
        <v>532</v>
      </c>
      <c r="AA61" s="1" t="s">
        <v>533</v>
      </c>
      <c r="AF61" s="1" t="s">
        <v>274</v>
      </c>
      <c r="AH61" s="6" t="str">
        <f>IFERROR(__xludf.DUMMYFUNCTION("""COMPUTED_VALUE"""),"explores")</f>
        <v>explores</v>
      </c>
      <c r="AJ61" s="1" t="s">
        <v>111</v>
      </c>
      <c r="AK61" s="6" t="str">
        <f>IFERROR(__xludf.DUMMYFUNCTION("""COMPUTED_VALUE"""),"lyrical")</f>
        <v>lyrical</v>
      </c>
      <c r="AM61" s="1" t="s">
        <v>54</v>
      </c>
      <c r="AN61" s="6" t="str">
        <f>IFERROR(__xludf.DUMMYFUNCTION("""COMPUTED_VALUE"""),"subtly")</f>
        <v>subtly</v>
      </c>
    </row>
    <row r="62">
      <c r="A62" s="1" t="s">
        <v>534</v>
      </c>
      <c r="B62" s="1" t="s">
        <v>535</v>
      </c>
      <c r="E62" s="1" t="s">
        <v>74</v>
      </c>
      <c r="F62" s="6" t="str">
        <f>IFERROR(__xludf.DUMMYFUNCTION("""COMPUTED_VALUE"""),"rich")</f>
        <v>rich</v>
      </c>
      <c r="H62" s="1" t="s">
        <v>169</v>
      </c>
      <c r="I62" s="6" t="str">
        <f>IFERROR(__xludf.DUMMYFUNCTION("""COMPUTED_VALUE"""),"recycled")</f>
        <v>recycled</v>
      </c>
      <c r="K62" s="1" t="s">
        <v>536</v>
      </c>
      <c r="P62" s="1" t="s">
        <v>537</v>
      </c>
      <c r="Q62" s="6" t="str">
        <f>IFERROR(__xludf.DUMMYFUNCTION("""COMPUTED_VALUE"""),"stunts")</f>
        <v>stunts</v>
      </c>
      <c r="S62" s="1" t="s">
        <v>538</v>
      </c>
      <c r="T62" s="6" t="str">
        <f>IFERROR(__xludf.DUMMYFUNCTION("""COMPUTED_VALUE"""),"cast")</f>
        <v>cast</v>
      </c>
      <c r="V62" s="1" t="s">
        <v>539</v>
      </c>
      <c r="W62" s="1" t="s">
        <v>540</v>
      </c>
      <c r="AA62" s="1" t="s">
        <v>541</v>
      </c>
      <c r="AF62" s="1" t="s">
        <v>283</v>
      </c>
      <c r="AH62" s="6" t="str">
        <f>IFERROR(__xludf.DUMMYFUNCTION("""COMPUTED_VALUE"""),"streamed")</f>
        <v>streamed</v>
      </c>
      <c r="AJ62" s="1" t="s">
        <v>542</v>
      </c>
      <c r="AK62" s="6" t="str">
        <f>IFERROR(__xludf.DUMMYFUNCTION("""COMPUTED_VALUE"""),"triumph")</f>
        <v>triumph</v>
      </c>
      <c r="AM62" s="1" t="s">
        <v>233</v>
      </c>
      <c r="AN62" s="6" t="str">
        <f>IFERROR(__xludf.DUMMYFUNCTION("""COMPUTED_VALUE"""),"collapses")</f>
        <v>collapses</v>
      </c>
    </row>
    <row r="63">
      <c r="A63" s="1" t="s">
        <v>543</v>
      </c>
      <c r="B63" s="1" t="s">
        <v>416</v>
      </c>
      <c r="E63" s="1" t="s">
        <v>544</v>
      </c>
      <c r="F63" s="6" t="str">
        <f>IFERROR(__xludf.DUMMYFUNCTION("""COMPUTED_VALUE"""),"joy")</f>
        <v>joy</v>
      </c>
      <c r="H63" s="1" t="s">
        <v>179</v>
      </c>
      <c r="I63" s="6" t="str">
        <f>IFERROR(__xludf.DUMMYFUNCTION("""COMPUTED_VALUE"""),"been")</f>
        <v>been</v>
      </c>
      <c r="K63" s="1" t="s">
        <v>145</v>
      </c>
      <c r="P63" s="1" t="s">
        <v>545</v>
      </c>
      <c r="Q63" s="6" t="str">
        <f>IFERROR(__xludf.DUMMYFUNCTION("""COMPUTED_VALUE"""),"reveals")</f>
        <v>reveals</v>
      </c>
      <c r="S63" s="1" t="s">
        <v>546</v>
      </c>
      <c r="T63" s="6" t="str">
        <f>IFERROR(__xludf.DUMMYFUNCTION("""COMPUTED_VALUE"""),"mixed")</f>
        <v>mixed</v>
      </c>
      <c r="V63" s="1" t="s">
        <v>547</v>
      </c>
      <c r="W63" s="1" t="s">
        <v>548</v>
      </c>
      <c r="AA63" s="1" t="s">
        <v>549</v>
      </c>
      <c r="AF63" s="1" t="s">
        <v>550</v>
      </c>
      <c r="AH63" s="6" t="str">
        <f>IFERROR(__xludf.DUMMYFUNCTION("""COMPUTED_VALUE"""),"chases")</f>
        <v>chases</v>
      </c>
      <c r="AJ63" s="1" t="s">
        <v>165</v>
      </c>
      <c r="AK63" s="6" t="str">
        <f>IFERROR(__xludf.DUMMYFUNCTION("""COMPUTED_VALUE"""),"fascination")</f>
        <v>fascination</v>
      </c>
      <c r="AM63" s="1" t="s">
        <v>211</v>
      </c>
      <c r="AN63" s="6" t="str">
        <f>IFERROR(__xludf.DUMMYFUNCTION("""COMPUTED_VALUE"""),"heightened")</f>
        <v>heightened</v>
      </c>
    </row>
    <row r="64">
      <c r="A64" s="1" t="s">
        <v>551</v>
      </c>
      <c r="B64" s="1" t="s">
        <v>352</v>
      </c>
      <c r="E64" s="1" t="s">
        <v>66</v>
      </c>
      <c r="F64" s="6" t="str">
        <f>IFERROR(__xludf.DUMMYFUNCTION("""COMPUTED_VALUE"""),"ugly")</f>
        <v>ugly</v>
      </c>
      <c r="H64" s="1" t="s">
        <v>184</v>
      </c>
      <c r="I64" s="6" t="str">
        <f>IFERROR(__xludf.DUMMYFUNCTION("""COMPUTED_VALUE"""),"care")</f>
        <v>care</v>
      </c>
      <c r="K64" s="1" t="s">
        <v>552</v>
      </c>
      <c r="P64" s="1" t="s">
        <v>553</v>
      </c>
      <c r="Q64" s="6" t="str">
        <f>IFERROR(__xludf.DUMMYFUNCTION("""COMPUTED_VALUE"""),"talents")</f>
        <v>talents</v>
      </c>
      <c r="S64" s="1" t="s">
        <v>554</v>
      </c>
      <c r="T64" s="6" t="str">
        <f>IFERROR(__xludf.DUMMYFUNCTION("""COMPUTED_VALUE"""),"or")</f>
        <v>or</v>
      </c>
      <c r="V64" s="1" t="s">
        <v>555</v>
      </c>
      <c r="W64" s="1" t="s">
        <v>556</v>
      </c>
      <c r="AA64" s="1" t="s">
        <v>557</v>
      </c>
      <c r="AF64" s="1" t="s">
        <v>38</v>
      </c>
      <c r="AH64" s="6" t="str">
        <f>IFERROR(__xludf.DUMMYFUNCTION("""COMPUTED_VALUE"""),"fictional")</f>
        <v>fictional</v>
      </c>
      <c r="AJ64" s="1" t="s">
        <v>558</v>
      </c>
      <c r="AK64" s="6" t="str">
        <f>IFERROR(__xludf.DUMMYFUNCTION("""COMPUTED_VALUE"""),"awareness")</f>
        <v>awareness</v>
      </c>
      <c r="AM64" s="1" t="s">
        <v>559</v>
      </c>
      <c r="AN64" s="6" t="str">
        <f>IFERROR(__xludf.DUMMYFUNCTION("""COMPUTED_VALUE"""),"flawed")</f>
        <v>flawed</v>
      </c>
    </row>
    <row r="65">
      <c r="A65" s="1" t="s">
        <v>560</v>
      </c>
      <c r="B65" s="1" t="s">
        <v>561</v>
      </c>
      <c r="E65" s="1" t="s">
        <v>562</v>
      </c>
      <c r="F65" s="6" t="str">
        <f>IFERROR(__xludf.DUMMYFUNCTION("""COMPUTED_VALUE"""),"exploration")</f>
        <v>exploration</v>
      </c>
      <c r="H65" s="1" t="s">
        <v>400</v>
      </c>
      <c r="I65" s="6" t="str">
        <f>IFERROR(__xludf.DUMMYFUNCTION("""COMPUTED_VALUE"""),"fourth")</f>
        <v>fourth</v>
      </c>
      <c r="K65" s="1" t="s">
        <v>268</v>
      </c>
      <c r="P65" s="1" t="s">
        <v>563</v>
      </c>
      <c r="Q65" s="6" t="str">
        <f>IFERROR(__xludf.DUMMYFUNCTION("""COMPUTED_VALUE"""),"filmmaking")</f>
        <v>filmmaking</v>
      </c>
      <c r="S65" s="1" t="s">
        <v>139</v>
      </c>
      <c r="T65" s="6" t="str">
        <f>IFERROR(__xludf.DUMMYFUNCTION("""COMPUTED_VALUE"""),"cinema")</f>
        <v>cinema</v>
      </c>
      <c r="V65" s="1" t="s">
        <v>564</v>
      </c>
      <c r="W65" s="1" t="s">
        <v>565</v>
      </c>
      <c r="AA65" s="1" t="s">
        <v>566</v>
      </c>
      <c r="AF65" s="1" t="s">
        <v>567</v>
      </c>
      <c r="AH65" s="6" t="str">
        <f>IFERROR(__xludf.DUMMYFUNCTION("""COMPUTED_VALUE"""),"zhang")</f>
        <v>zhang</v>
      </c>
      <c r="AJ65" s="1" t="s">
        <v>373</v>
      </c>
      <c r="AK65" s="6" t="str">
        <f>IFERROR(__xludf.DUMMYFUNCTION("""COMPUTED_VALUE"""),"imagery")</f>
        <v>imagery</v>
      </c>
      <c r="AM65" s="1" t="s">
        <v>568</v>
      </c>
      <c r="AN65" s="6" t="str">
        <f>IFERROR(__xludf.DUMMYFUNCTION("""COMPUTED_VALUE"""),"infectious")</f>
        <v>infectious</v>
      </c>
    </row>
    <row r="66">
      <c r="A66" s="1" t="s">
        <v>29</v>
      </c>
      <c r="B66" s="1" t="s">
        <v>456</v>
      </c>
      <c r="E66" s="1" t="s">
        <v>122</v>
      </c>
      <c r="F66" s="6" t="str">
        <f>IFERROR(__xludf.DUMMYFUNCTION("""COMPUTED_VALUE"""),"emptiness")</f>
        <v>emptiness</v>
      </c>
      <c r="H66" s="1" t="s">
        <v>445</v>
      </c>
      <c r="I66" s="6" t="str">
        <f>IFERROR(__xludf.DUMMYFUNCTION("""COMPUTED_VALUE"""),"feature")</f>
        <v>feature</v>
      </c>
      <c r="K66" s="1" t="s">
        <v>569</v>
      </c>
      <c r="P66" s="1" t="s">
        <v>570</v>
      </c>
      <c r="Q66" s="6" t="str">
        <f>IFERROR(__xludf.DUMMYFUNCTION("""COMPUTED_VALUE"""),"auschwitz")</f>
        <v>auschwitz</v>
      </c>
      <c r="S66" s="1" t="s">
        <v>231</v>
      </c>
      <c r="T66" s="6" t="str">
        <f>IFERROR(__xludf.DUMMYFUNCTION("""COMPUTED_VALUE"""),"world")</f>
        <v>world</v>
      </c>
      <c r="V66" s="1" t="s">
        <v>571</v>
      </c>
      <c r="W66" s="1" t="s">
        <v>572</v>
      </c>
      <c r="AA66" s="1" t="s">
        <v>573</v>
      </c>
      <c r="AF66" s="1" t="s">
        <v>291</v>
      </c>
      <c r="AH66" s="6" t="str">
        <f>IFERROR(__xludf.DUMMYFUNCTION("""COMPUTED_VALUE"""),"fable")</f>
        <v>fable</v>
      </c>
      <c r="AJ66" s="1" t="s">
        <v>324</v>
      </c>
      <c r="AK66" s="6" t="str">
        <f>IFERROR(__xludf.DUMMYFUNCTION("""COMPUTED_VALUE"""),"illuminating")</f>
        <v>illuminating</v>
      </c>
      <c r="AM66" s="1" t="s">
        <v>218</v>
      </c>
      <c r="AN66" s="6" t="str">
        <f>IFERROR(__xludf.DUMMYFUNCTION("""COMPUTED_VALUE"""),"brooding")</f>
        <v>brooding</v>
      </c>
    </row>
    <row r="67">
      <c r="A67" s="1" t="s">
        <v>552</v>
      </c>
      <c r="B67" s="1" t="s">
        <v>574</v>
      </c>
      <c r="E67" s="1" t="s">
        <v>77</v>
      </c>
      <c r="F67" s="6" t="str">
        <f>IFERROR(__xludf.DUMMYFUNCTION("""COMPUTED_VALUE"""),"relentless")</f>
        <v>relentless</v>
      </c>
      <c r="H67" s="1" t="s">
        <v>575</v>
      </c>
      <c r="I67" s="6" t="str">
        <f>IFERROR(__xludf.DUMMYFUNCTION("""COMPUTED_VALUE"""),"gorgeous")</f>
        <v>gorgeous</v>
      </c>
      <c r="K67" s="1" t="s">
        <v>576</v>
      </c>
      <c r="P67" s="1" t="s">
        <v>373</v>
      </c>
      <c r="Q67" s="6" t="str">
        <f>IFERROR(__xludf.DUMMYFUNCTION("""COMPUTED_VALUE"""),"theatrical")</f>
        <v>theatrical</v>
      </c>
      <c r="S67" s="1" t="s">
        <v>172</v>
      </c>
      <c r="T67" s="6" t="str">
        <f>IFERROR(__xludf.DUMMYFUNCTION("""COMPUTED_VALUE"""),"plot")</f>
        <v>plot</v>
      </c>
      <c r="V67" s="1" t="s">
        <v>577</v>
      </c>
      <c r="W67" s="1" t="s">
        <v>578</v>
      </c>
      <c r="AA67" s="1" t="s">
        <v>579</v>
      </c>
      <c r="AF67" s="1" t="s">
        <v>580</v>
      </c>
      <c r="AH67" s="6" t="str">
        <f>IFERROR(__xludf.DUMMYFUNCTION("""COMPUTED_VALUE"""),"strains")</f>
        <v>strains</v>
      </c>
      <c r="AJ67" s="1" t="s">
        <v>121</v>
      </c>
      <c r="AK67" s="6" t="str">
        <f>IFERROR(__xludf.DUMMYFUNCTION("""COMPUTED_VALUE"""),"lawrence")</f>
        <v>lawrence</v>
      </c>
      <c r="AM67" s="1" t="s">
        <v>581</v>
      </c>
      <c r="AN67" s="6" t="str">
        <f>IFERROR(__xludf.DUMMYFUNCTION("""COMPUTED_VALUE"""),"lyrical")</f>
        <v>lyrical</v>
      </c>
    </row>
    <row r="68">
      <c r="A68" s="1" t="s">
        <v>511</v>
      </c>
      <c r="B68" s="1" t="s">
        <v>481</v>
      </c>
      <c r="E68" s="1" t="s">
        <v>310</v>
      </c>
      <c r="F68" s="6" t="str">
        <f>IFERROR(__xludf.DUMMYFUNCTION("""COMPUTED_VALUE"""),"mergers")</f>
        <v>mergers</v>
      </c>
      <c r="H68" s="1" t="s">
        <v>410</v>
      </c>
      <c r="I68" s="6" t="str">
        <f>IFERROR(__xludf.DUMMYFUNCTION("""COMPUTED_VALUE"""),"swords")</f>
        <v>swords</v>
      </c>
      <c r="K68" s="1" t="s">
        <v>582</v>
      </c>
      <c r="P68" s="1" t="s">
        <v>538</v>
      </c>
      <c r="Q68" s="6" t="str">
        <f>IFERROR(__xludf.DUMMYFUNCTION("""COMPUTED_VALUE"""),"adaptation")</f>
        <v>adaptation</v>
      </c>
      <c r="S68" s="1" t="s">
        <v>583</v>
      </c>
      <c r="T68" s="6" t="str">
        <f>IFERROR(__xludf.DUMMYFUNCTION("""COMPUTED_VALUE"""),"finish")</f>
        <v>finish</v>
      </c>
      <c r="V68" s="1" t="s">
        <v>584</v>
      </c>
      <c r="W68" s="1" t="s">
        <v>585</v>
      </c>
      <c r="AA68" s="1" t="s">
        <v>586</v>
      </c>
      <c r="AF68" s="1" t="s">
        <v>587</v>
      </c>
      <c r="AH68" s="6" t="str">
        <f>IFERROR(__xludf.DUMMYFUNCTION("""COMPUTED_VALUE"""),"tenth")</f>
        <v>tenth</v>
      </c>
      <c r="AJ68" s="1" t="s">
        <v>215</v>
      </c>
      <c r="AK68" s="6" t="str">
        <f>IFERROR(__xludf.DUMMYFUNCTION("""COMPUTED_VALUE"""),"effortlessly")</f>
        <v>effortlessly</v>
      </c>
      <c r="AM68" s="1" t="s">
        <v>228</v>
      </c>
      <c r="AN68" s="6" t="str">
        <f>IFERROR(__xludf.DUMMYFUNCTION("""COMPUTED_VALUE"""),"triumph")</f>
        <v>triumph</v>
      </c>
    </row>
    <row r="69">
      <c r="A69" s="1" t="s">
        <v>588</v>
      </c>
      <c r="B69" s="1" t="s">
        <v>589</v>
      </c>
      <c r="E69" s="1" t="s">
        <v>84</v>
      </c>
      <c r="F69" s="6" t="str">
        <f>IFERROR(__xludf.DUMMYFUNCTION("""COMPUTED_VALUE"""),"storylines")</f>
        <v>storylines</v>
      </c>
      <c r="H69" s="1" t="s">
        <v>194</v>
      </c>
      <c r="I69" s="6" t="str">
        <f>IFERROR(__xludf.DUMMYFUNCTION("""COMPUTED_VALUE"""),"proves")</f>
        <v>proves</v>
      </c>
      <c r="K69" s="1" t="s">
        <v>590</v>
      </c>
      <c r="P69" s="1" t="s">
        <v>591</v>
      </c>
      <c r="Q69" s="6" t="str">
        <f>IFERROR(__xludf.DUMMYFUNCTION("""COMPUTED_VALUE"""),"derivative")</f>
        <v>derivative</v>
      </c>
      <c r="S69" s="1" t="s">
        <v>221</v>
      </c>
      <c r="T69" s="6" t="str">
        <f>IFERROR(__xludf.DUMMYFUNCTION("""COMPUTED_VALUE"""),"cylinders")</f>
        <v>cylinders</v>
      </c>
      <c r="V69" s="1" t="s">
        <v>592</v>
      </c>
      <c r="W69" s="1" t="s">
        <v>593</v>
      </c>
      <c r="AA69" s="1" t="s">
        <v>594</v>
      </c>
      <c r="AF69" s="1" t="s">
        <v>595</v>
      </c>
      <c r="AH69" s="6" t="str">
        <f>IFERROR(__xludf.DUMMYFUNCTION("""COMPUTED_VALUE"""),"heroism")</f>
        <v>heroism</v>
      </c>
      <c r="AJ69" s="1" t="s">
        <v>596</v>
      </c>
      <c r="AK69" s="6" t="str">
        <f>IFERROR(__xludf.DUMMYFUNCTION("""COMPUTED_VALUE"""),"chuckles")</f>
        <v>chuckles</v>
      </c>
      <c r="AM69" s="1" t="s">
        <v>237</v>
      </c>
      <c r="AN69" s="6" t="str">
        <f>IFERROR(__xludf.DUMMYFUNCTION("""COMPUTED_VALUE"""),"fascination")</f>
        <v>fascination</v>
      </c>
    </row>
    <row r="70">
      <c r="A70" s="1" t="s">
        <v>420</v>
      </c>
      <c r="B70" s="1" t="s">
        <v>597</v>
      </c>
      <c r="E70" s="1" t="s">
        <v>598</v>
      </c>
      <c r="F70" s="6" t="str">
        <f>IFERROR(__xludf.DUMMYFUNCTION("""COMPUTED_VALUE"""),"woven")</f>
        <v>woven</v>
      </c>
      <c r="H70" s="1" t="s">
        <v>44</v>
      </c>
      <c r="I70" s="6" t="str">
        <f>IFERROR(__xludf.DUMMYFUNCTION("""COMPUTED_VALUE"""),"touch")</f>
        <v>touch</v>
      </c>
      <c r="K70" s="1" t="s">
        <v>599</v>
      </c>
      <c r="P70" s="1" t="s">
        <v>596</v>
      </c>
      <c r="Q70" s="6" t="str">
        <f>IFERROR(__xludf.DUMMYFUNCTION("""COMPUTED_VALUE"""),"sequel")</f>
        <v>sequel</v>
      </c>
      <c r="S70" s="1" t="s">
        <v>600</v>
      </c>
      <c r="T70" s="6" t="str">
        <f>IFERROR(__xludf.DUMMYFUNCTION("""COMPUTED_VALUE"""),"find")</f>
        <v>find</v>
      </c>
      <c r="V70" s="1" t="s">
        <v>601</v>
      </c>
      <c r="W70" s="1" t="s">
        <v>602</v>
      </c>
      <c r="AA70" s="1" t="s">
        <v>603</v>
      </c>
      <c r="AF70" s="1" t="s">
        <v>604</v>
      </c>
      <c r="AH70" s="6" t="str">
        <f>IFERROR(__xludf.DUMMYFUNCTION("""COMPUTED_VALUE"""),"omnibus")</f>
        <v>omnibus</v>
      </c>
      <c r="AJ70" s="1" t="s">
        <v>605</v>
      </c>
      <c r="AK70" s="6" t="str">
        <f>IFERROR(__xludf.DUMMYFUNCTION("""COMPUTED_VALUE"""),"stylized")</f>
        <v>stylized</v>
      </c>
      <c r="AM70" s="1" t="s">
        <v>248</v>
      </c>
      <c r="AN70" s="6" t="str">
        <f>IFERROR(__xludf.DUMMYFUNCTION("""COMPUTED_VALUE"""),"awareness")</f>
        <v>awareness</v>
      </c>
    </row>
    <row r="71">
      <c r="A71" s="1" t="s">
        <v>606</v>
      </c>
      <c r="B71" s="1" t="s">
        <v>607</v>
      </c>
      <c r="E71" s="1" t="s">
        <v>312</v>
      </c>
      <c r="F71" s="6" t="str">
        <f>IFERROR(__xludf.DUMMYFUNCTION("""COMPUTED_VALUE"""),"experience")</f>
        <v>experience</v>
      </c>
      <c r="H71" s="1" t="s">
        <v>75</v>
      </c>
      <c r="I71" s="6" t="str">
        <f>IFERROR(__xludf.DUMMYFUNCTION("""COMPUTED_VALUE"""),"performance")</f>
        <v>performance</v>
      </c>
      <c r="K71" s="1" t="s">
        <v>608</v>
      </c>
      <c r="P71" s="1" t="s">
        <v>609</v>
      </c>
      <c r="Q71" s="6" t="str">
        <f>IFERROR(__xludf.DUMMYFUNCTION("""COMPUTED_VALUE"""),"ambitions")</f>
        <v>ambitions</v>
      </c>
      <c r="S71" s="1" t="s">
        <v>610</v>
      </c>
      <c r="T71" s="6" t="str">
        <f>IFERROR(__xludf.DUMMYFUNCTION("""COMPUTED_VALUE"""),"little")</f>
        <v>little</v>
      </c>
      <c r="V71" s="1" t="s">
        <v>611</v>
      </c>
      <c r="W71" s="1" t="s">
        <v>260</v>
      </c>
      <c r="AA71" s="1" t="s">
        <v>612</v>
      </c>
      <c r="AF71" s="1" t="s">
        <v>300</v>
      </c>
      <c r="AH71" s="6" t="str">
        <f>IFERROR(__xludf.DUMMYFUNCTION("""COMPUTED_VALUE"""),"murderous")</f>
        <v>murderous</v>
      </c>
      <c r="AJ71" s="1" t="s">
        <v>613</v>
      </c>
      <c r="AK71" s="6" t="str">
        <f>IFERROR(__xludf.DUMMYFUNCTION("""COMPUTED_VALUE"""),"significance")</f>
        <v>significance</v>
      </c>
      <c r="AM71" s="1" t="s">
        <v>614</v>
      </c>
      <c r="AN71" s="6" t="str">
        <f>IFERROR(__xludf.DUMMYFUNCTION("""COMPUTED_VALUE"""),"imagery")</f>
        <v>imagery</v>
      </c>
    </row>
    <row r="72">
      <c r="A72" s="1" t="s">
        <v>615</v>
      </c>
      <c r="B72" s="1" t="s">
        <v>616</v>
      </c>
      <c r="E72" s="1" t="s">
        <v>96</v>
      </c>
      <c r="F72" s="6" t="str">
        <f>IFERROR(__xludf.DUMMYFUNCTION("""COMPUTED_VALUE"""),"cruel")</f>
        <v>cruel</v>
      </c>
      <c r="H72" s="1" t="s">
        <v>434</v>
      </c>
      <c r="I72" s="6" t="str">
        <f>IFERROR(__xludf.DUMMYFUNCTION("""COMPUTED_VALUE"""),"horrors")</f>
        <v>horrors</v>
      </c>
      <c r="K72" s="1" t="s">
        <v>617</v>
      </c>
      <c r="P72" s="1" t="s">
        <v>613</v>
      </c>
      <c r="Q72" s="6" t="str">
        <f>IFERROR(__xludf.DUMMYFUNCTION("""COMPUTED_VALUE"""),"problem")</f>
        <v>problem</v>
      </c>
      <c r="S72" s="1" t="s">
        <v>618</v>
      </c>
      <c r="T72" s="6" t="str">
        <f>IFERROR(__xludf.DUMMYFUNCTION("""COMPUTED_VALUE"""),"interest")</f>
        <v>interest</v>
      </c>
      <c r="V72" s="1" t="s">
        <v>619</v>
      </c>
      <c r="W72" s="1" t="s">
        <v>620</v>
      </c>
      <c r="AA72" s="1" t="s">
        <v>302</v>
      </c>
      <c r="AF72" s="1" t="s">
        <v>308</v>
      </c>
      <c r="AH72" s="6" t="str">
        <f>IFERROR(__xludf.DUMMYFUNCTION("""COMPUTED_VALUE"""),"orbits")</f>
        <v>orbits</v>
      </c>
      <c r="AJ72" s="1" t="s">
        <v>621</v>
      </c>
      <c r="AK72" s="6" t="str">
        <f>IFERROR(__xludf.DUMMYFUNCTION("""COMPUTED_VALUE"""),"seductive")</f>
        <v>seductive</v>
      </c>
      <c r="AM72" s="1" t="s">
        <v>314</v>
      </c>
      <c r="AN72" s="6" t="str">
        <f>IFERROR(__xludf.DUMMYFUNCTION("""COMPUTED_VALUE"""),"illuminating")</f>
        <v>illuminating</v>
      </c>
    </row>
    <row r="73">
      <c r="A73" s="1" t="s">
        <v>622</v>
      </c>
      <c r="B73" s="1" t="s">
        <v>623</v>
      </c>
      <c r="E73" s="1" t="s">
        <v>330</v>
      </c>
      <c r="F73" s="6" t="str">
        <f>IFERROR(__xludf.DUMMYFUNCTION("""COMPUTED_VALUE"""),"deception")</f>
        <v>deception</v>
      </c>
      <c r="H73" s="1" t="s">
        <v>442</v>
      </c>
      <c r="I73" s="6" t="str">
        <f>IFERROR(__xludf.DUMMYFUNCTION("""COMPUTED_VALUE"""),"vivid")</f>
        <v>vivid</v>
      </c>
      <c r="K73" s="1" t="s">
        <v>296</v>
      </c>
      <c r="P73" s="1" t="s">
        <v>624</v>
      </c>
      <c r="Q73" s="6" t="str">
        <f>IFERROR(__xludf.DUMMYFUNCTION("""COMPUTED_VALUE"""),"compelling")</f>
        <v>compelling</v>
      </c>
      <c r="S73" s="1" t="s">
        <v>326</v>
      </c>
      <c r="T73" s="6" t="str">
        <f>IFERROR(__xludf.DUMMYFUNCTION("""COMPUTED_VALUE"""),"weaving")</f>
        <v>weaving</v>
      </c>
      <c r="W73" s="1" t="s">
        <v>625</v>
      </c>
      <c r="AA73" s="1" t="s">
        <v>626</v>
      </c>
      <c r="AF73" s="1" t="s">
        <v>315</v>
      </c>
      <c r="AJ73" s="1" t="s">
        <v>627</v>
      </c>
      <c r="AK73" s="6" t="str">
        <f>IFERROR(__xludf.DUMMYFUNCTION("""COMPUTED_VALUE"""),"primitive")</f>
        <v>primitive</v>
      </c>
      <c r="AM73" s="1" t="s">
        <v>258</v>
      </c>
      <c r="AN73" s="6" t="str">
        <f>IFERROR(__xludf.DUMMYFUNCTION("""COMPUTED_VALUE"""),"lawrence")</f>
        <v>lawrence</v>
      </c>
    </row>
    <row r="74">
      <c r="A74" s="1" t="s">
        <v>628</v>
      </c>
      <c r="B74" s="1" t="s">
        <v>629</v>
      </c>
      <c r="E74" s="1" t="s">
        <v>189</v>
      </c>
      <c r="F74" s="6" t="str">
        <f>IFERROR(__xludf.DUMMYFUNCTION("""COMPUTED_VALUE"""),"eastwood")</f>
        <v>eastwood</v>
      </c>
      <c r="H74" s="1" t="s">
        <v>630</v>
      </c>
      <c r="I74" s="6" t="str">
        <f>IFERROR(__xludf.DUMMYFUNCTION("""COMPUTED_VALUE"""),"any")</f>
        <v>any</v>
      </c>
      <c r="K74" s="1" t="s">
        <v>527</v>
      </c>
      <c r="P74" s="1" t="s">
        <v>627</v>
      </c>
      <c r="Q74" s="6" t="str">
        <f>IFERROR(__xludf.DUMMYFUNCTION("""COMPUTED_VALUE"""),"wildly")</f>
        <v>wildly</v>
      </c>
      <c r="S74" s="1" t="s">
        <v>631</v>
      </c>
      <c r="T74" s="6" t="str">
        <f>IFERROR(__xludf.DUMMYFUNCTION("""COMPUTED_VALUE"""),"funny")</f>
        <v>funny</v>
      </c>
      <c r="W74" s="1" t="s">
        <v>632</v>
      </c>
      <c r="AA74" s="1" t="s">
        <v>633</v>
      </c>
      <c r="AF74" s="1" t="s">
        <v>634</v>
      </c>
      <c r="AJ74" s="1" t="s">
        <v>635</v>
      </c>
      <c r="AK74" s="6" t="str">
        <f>IFERROR(__xludf.DUMMYFUNCTION("""COMPUTED_VALUE"""),"harvard")</f>
        <v>harvard</v>
      </c>
      <c r="AM74" s="1" t="s">
        <v>261</v>
      </c>
      <c r="AN74" s="6" t="str">
        <f>IFERROR(__xludf.DUMMYFUNCTION("""COMPUTED_VALUE"""),"effortlessly")</f>
        <v>effortlessly</v>
      </c>
    </row>
    <row r="75">
      <c r="A75" s="1" t="s">
        <v>636</v>
      </c>
      <c r="B75" s="1" t="s">
        <v>637</v>
      </c>
      <c r="E75" s="1" t="s">
        <v>638</v>
      </c>
      <c r="F75" s="6" t="str">
        <f>IFERROR(__xludf.DUMMYFUNCTION("""COMPUTED_VALUE"""),"earnest")</f>
        <v>earnest</v>
      </c>
      <c r="H75" s="1" t="s">
        <v>509</v>
      </c>
      <c r="I75" s="6" t="str">
        <f>IFERROR(__xludf.DUMMYFUNCTION("""COMPUTED_VALUE"""),"beauty")</f>
        <v>beauty</v>
      </c>
      <c r="K75" s="1" t="s">
        <v>494</v>
      </c>
      <c r="P75" s="1" t="s">
        <v>635</v>
      </c>
      <c r="Q75" s="6" t="str">
        <f>IFERROR(__xludf.DUMMYFUNCTION("""COMPUTED_VALUE"""),"narrative")</f>
        <v>narrative</v>
      </c>
      <c r="S75" s="1" t="s">
        <v>46</v>
      </c>
      <c r="T75" s="6" t="str">
        <f>IFERROR(__xludf.DUMMYFUNCTION("""COMPUTED_VALUE"""),"theme")</f>
        <v>theme</v>
      </c>
      <c r="W75" s="1" t="s">
        <v>639</v>
      </c>
      <c r="AA75" s="1" t="s">
        <v>640</v>
      </c>
      <c r="AF75" s="1" t="s">
        <v>641</v>
      </c>
      <c r="AJ75" s="1" t="s">
        <v>642</v>
      </c>
      <c r="AK75" s="6" t="str">
        <f>IFERROR(__xludf.DUMMYFUNCTION("""COMPUTED_VALUE"""),"endurance")</f>
        <v>endurance</v>
      </c>
      <c r="AM75" s="1" t="s">
        <v>64</v>
      </c>
      <c r="AN75" s="6" t="str">
        <f>IFERROR(__xludf.DUMMYFUNCTION("""COMPUTED_VALUE"""),"chuckles")</f>
        <v>chuckles</v>
      </c>
    </row>
    <row r="76">
      <c r="A76" s="1" t="s">
        <v>643</v>
      </c>
      <c r="B76" s="1" t="s">
        <v>430</v>
      </c>
      <c r="E76" s="1" t="s">
        <v>141</v>
      </c>
      <c r="F76" s="6" t="str">
        <f>IFERROR(__xludf.DUMMYFUNCTION("""COMPUTED_VALUE"""),"homage")</f>
        <v>homage</v>
      </c>
      <c r="H76" s="1" t="s">
        <v>188</v>
      </c>
      <c r="I76" s="6" t="str">
        <f>IFERROR(__xludf.DUMMYFUNCTION("""COMPUTED_VALUE"""),"pointless")</f>
        <v>pointless</v>
      </c>
      <c r="K76" s="1" t="s">
        <v>644</v>
      </c>
      <c r="P76" s="1" t="s">
        <v>645</v>
      </c>
      <c r="Q76" s="6" t="str">
        <f>IFERROR(__xludf.DUMMYFUNCTION("""COMPUTED_VALUE"""),"spectacle")</f>
        <v>spectacle</v>
      </c>
      <c r="S76" s="1" t="s">
        <v>213</v>
      </c>
      <c r="T76" s="6" t="str">
        <f>IFERROR(__xludf.DUMMYFUNCTION("""COMPUTED_VALUE"""),"storyline")</f>
        <v>storyline</v>
      </c>
      <c r="W76" s="1" t="s">
        <v>646</v>
      </c>
      <c r="AA76" s="1" t="s">
        <v>259</v>
      </c>
      <c r="AF76" s="1" t="s">
        <v>418</v>
      </c>
      <c r="AJ76" s="1" t="s">
        <v>647</v>
      </c>
      <c r="AK76" s="6" t="str">
        <f>IFERROR(__xludf.DUMMYFUNCTION("""COMPUTED_VALUE"""),"prejudice")</f>
        <v>prejudice</v>
      </c>
      <c r="AM76" s="1" t="s">
        <v>276</v>
      </c>
      <c r="AN76" s="6" t="str">
        <f>IFERROR(__xludf.DUMMYFUNCTION("""COMPUTED_VALUE"""),"stylized")</f>
        <v>stylized</v>
      </c>
    </row>
    <row r="77">
      <c r="A77" s="1" t="s">
        <v>648</v>
      </c>
      <c r="B77" s="1" t="s">
        <v>649</v>
      </c>
      <c r="E77" s="1" t="s">
        <v>105</v>
      </c>
      <c r="F77" s="6" t="str">
        <f>IFERROR(__xludf.DUMMYFUNCTION("""COMPUTED_VALUE"""),"few")</f>
        <v>few</v>
      </c>
      <c r="H77" s="1" t="s">
        <v>461</v>
      </c>
      <c r="I77" s="6" t="str">
        <f>IFERROR(__xludf.DUMMYFUNCTION("""COMPUTED_VALUE"""),"beautifully")</f>
        <v>beautifully</v>
      </c>
      <c r="K77" s="1" t="s">
        <v>650</v>
      </c>
      <c r="P77" s="1" t="s">
        <v>651</v>
      </c>
      <c r="Q77" s="6" t="str">
        <f>IFERROR(__xludf.DUMMYFUNCTION("""COMPUTED_VALUE"""),"dramas")</f>
        <v>dramas</v>
      </c>
      <c r="S77" s="1" t="s">
        <v>652</v>
      </c>
      <c r="T77" s="6" t="str">
        <f>IFERROR(__xludf.DUMMYFUNCTION("""COMPUTED_VALUE"""),"real")</f>
        <v>real</v>
      </c>
      <c r="W77" s="1" t="s">
        <v>653</v>
      </c>
      <c r="AA77" s="1" t="s">
        <v>654</v>
      </c>
      <c r="AF77" s="1" t="s">
        <v>325</v>
      </c>
      <c r="AJ77" s="1" t="s">
        <v>223</v>
      </c>
      <c r="AK77" s="6" t="str">
        <f>IFERROR(__xludf.DUMMYFUNCTION("""COMPUTED_VALUE"""),"fantasies")</f>
        <v>fantasies</v>
      </c>
      <c r="AM77" s="1" t="s">
        <v>284</v>
      </c>
      <c r="AN77" s="6" t="str">
        <f>IFERROR(__xludf.DUMMYFUNCTION("""COMPUTED_VALUE"""),"significance")</f>
        <v>significance</v>
      </c>
    </row>
    <row r="78">
      <c r="A78" s="1" t="s">
        <v>655</v>
      </c>
      <c r="B78" s="1" t="s">
        <v>656</v>
      </c>
      <c r="E78" s="1" t="s">
        <v>657</v>
      </c>
      <c r="F78" s="6" t="str">
        <f>IFERROR(__xludf.DUMMYFUNCTION("""COMPUTED_VALUE"""),"laughs")</f>
        <v>laughs</v>
      </c>
      <c r="H78" s="1" t="s">
        <v>54</v>
      </c>
      <c r="I78" s="6" t="str">
        <f>IFERROR(__xludf.DUMMYFUNCTION("""COMPUTED_VALUE"""),"situations")</f>
        <v>situations</v>
      </c>
      <c r="K78" s="1" t="s">
        <v>658</v>
      </c>
      <c r="P78" s="1" t="s">
        <v>659</v>
      </c>
      <c r="Q78" s="6" t="str">
        <f>IFERROR(__xludf.DUMMYFUNCTION("""COMPUTED_VALUE"""),"satisfying")</f>
        <v>satisfying</v>
      </c>
      <c r="S78" s="1" t="s">
        <v>660</v>
      </c>
      <c r="T78" s="6" t="str">
        <f>IFERROR(__xludf.DUMMYFUNCTION("""COMPUTED_VALUE"""),"crude")</f>
        <v>crude</v>
      </c>
      <c r="W78" s="1">
        <v>15.0</v>
      </c>
      <c r="AA78" s="1" t="s">
        <v>661</v>
      </c>
      <c r="AF78" s="1" t="s">
        <v>662</v>
      </c>
      <c r="AJ78" s="1" t="s">
        <v>663</v>
      </c>
      <c r="AK78" s="6" t="str">
        <f>IFERROR(__xludf.DUMMYFUNCTION("""COMPUTED_VALUE"""),"engages")</f>
        <v>engages</v>
      </c>
      <c r="AM78" s="1" t="s">
        <v>664</v>
      </c>
      <c r="AN78" s="6" t="str">
        <f>IFERROR(__xludf.DUMMYFUNCTION("""COMPUTED_VALUE"""),"seductive")</f>
        <v>seductive</v>
      </c>
    </row>
    <row r="79">
      <c r="A79" s="1" t="s">
        <v>665</v>
      </c>
      <c r="B79" s="1" t="s">
        <v>666</v>
      </c>
      <c r="E79" s="1" t="s">
        <v>229</v>
      </c>
      <c r="F79" s="6" t="str">
        <f>IFERROR(__xludf.DUMMYFUNCTION("""COMPUTED_VALUE"""),"power")</f>
        <v>power</v>
      </c>
      <c r="H79" s="1" t="s">
        <v>233</v>
      </c>
      <c r="I79" s="6" t="str">
        <f>IFERROR(__xludf.DUMMYFUNCTION("""COMPUTED_VALUE"""),"room")</f>
        <v>room</v>
      </c>
      <c r="K79" s="1" t="s">
        <v>667</v>
      </c>
      <c r="P79" s="1" t="s">
        <v>668</v>
      </c>
      <c r="Q79" s="6" t="str">
        <f>IFERROR(__xludf.DUMMYFUNCTION("""COMPUTED_VALUE"""),"considerable")</f>
        <v>considerable</v>
      </c>
      <c r="S79" s="1" t="s">
        <v>669</v>
      </c>
      <c r="T79" s="6" t="str">
        <f>IFERROR(__xludf.DUMMYFUNCTION("""COMPUTED_VALUE"""),"silly")</f>
        <v>silly</v>
      </c>
      <c r="W79" s="1" t="s">
        <v>670</v>
      </c>
      <c r="AA79" s="1" t="s">
        <v>671</v>
      </c>
      <c r="AF79" s="1" t="s">
        <v>672</v>
      </c>
      <c r="AJ79" s="1" t="s">
        <v>673</v>
      </c>
      <c r="AK79" s="6" t="str">
        <f>IFERROR(__xludf.DUMMYFUNCTION("""COMPUTED_VALUE"""),"explores")</f>
        <v>explores</v>
      </c>
      <c r="AM79" s="1" t="s">
        <v>520</v>
      </c>
      <c r="AN79" s="6" t="str">
        <f>IFERROR(__xludf.DUMMYFUNCTION("""COMPUTED_VALUE"""),"primitive")</f>
        <v>primitive</v>
      </c>
    </row>
    <row r="80">
      <c r="A80" s="1" t="s">
        <v>674</v>
      </c>
      <c r="B80" s="1" t="s">
        <v>459</v>
      </c>
      <c r="E80" s="1" t="s">
        <v>150</v>
      </c>
      <c r="F80" s="6" t="str">
        <f>IFERROR(__xludf.DUMMYFUNCTION("""COMPUTED_VALUE"""),"endure")</f>
        <v>endure</v>
      </c>
      <c r="H80" s="1" t="s">
        <v>211</v>
      </c>
      <c r="I80" s="6" t="str">
        <f>IFERROR(__xludf.DUMMYFUNCTION("""COMPUTED_VALUE"""),"touching")</f>
        <v>touching</v>
      </c>
      <c r="K80" s="1" t="s">
        <v>675</v>
      </c>
      <c r="P80" s="1" t="s">
        <v>175</v>
      </c>
      <c r="Q80" s="6" t="str">
        <f>IFERROR(__xludf.DUMMYFUNCTION("""COMPUTED_VALUE"""),"flat")</f>
        <v>flat</v>
      </c>
      <c r="S80" s="1" t="s">
        <v>246</v>
      </c>
      <c r="T80" s="6" t="str">
        <f>IFERROR(__xludf.DUMMYFUNCTION("""COMPUTED_VALUE"""),"what")</f>
        <v>what</v>
      </c>
      <c r="W80" s="1" t="s">
        <v>582</v>
      </c>
      <c r="AA80" s="1" t="s">
        <v>676</v>
      </c>
      <c r="AF80" s="1" t="s">
        <v>56</v>
      </c>
      <c r="AJ80" s="1" t="s">
        <v>677</v>
      </c>
      <c r="AK80" s="6" t="str">
        <f>IFERROR(__xludf.DUMMYFUNCTION("""COMPUTED_VALUE"""),"fingered")</f>
        <v>fingered</v>
      </c>
      <c r="AM80" s="1" t="s">
        <v>74</v>
      </c>
      <c r="AN80" s="6" t="str">
        <f>IFERROR(__xludf.DUMMYFUNCTION("""COMPUTED_VALUE"""),"harvard")</f>
        <v>harvard</v>
      </c>
    </row>
    <row r="81">
      <c r="A81" s="1" t="s">
        <v>678</v>
      </c>
      <c r="B81" s="1" t="s">
        <v>464</v>
      </c>
      <c r="E81" s="1" t="s">
        <v>95</v>
      </c>
      <c r="F81" s="6" t="str">
        <f>IFERROR(__xludf.DUMMYFUNCTION("""COMPUTED_VALUE"""),"help")</f>
        <v>help</v>
      </c>
      <c r="H81" s="1" t="s">
        <v>679</v>
      </c>
      <c r="I81" s="6" t="str">
        <f>IFERROR(__xludf.DUMMYFUNCTION("""COMPUTED_VALUE"""),"subtle")</f>
        <v>subtle</v>
      </c>
      <c r="K81" s="1" t="s">
        <v>680</v>
      </c>
      <c r="P81" s="1" t="s">
        <v>681</v>
      </c>
      <c r="Q81" s="6" t="str">
        <f>IFERROR(__xludf.DUMMYFUNCTION("""COMPUTED_VALUE"""),"flashes")</f>
        <v>flashes</v>
      </c>
      <c r="S81" s="1" t="s">
        <v>682</v>
      </c>
      <c r="T81" s="6" t="str">
        <f>IFERROR(__xludf.DUMMYFUNCTION("""COMPUTED_VALUE"""),"have")</f>
        <v>have</v>
      </c>
      <c r="W81" s="1" t="s">
        <v>683</v>
      </c>
      <c r="AA81" s="1" t="s">
        <v>589</v>
      </c>
      <c r="AF81" s="1" t="s">
        <v>343</v>
      </c>
      <c r="AJ81" s="1" t="s">
        <v>684</v>
      </c>
      <c r="AK81" s="6" t="str">
        <f>IFERROR(__xludf.DUMMYFUNCTION("""COMPUTED_VALUE"""),"curves")</f>
        <v>curves</v>
      </c>
      <c r="AM81" s="1" t="s">
        <v>66</v>
      </c>
      <c r="AN81" s="6" t="str">
        <f>IFERROR(__xludf.DUMMYFUNCTION("""COMPUTED_VALUE"""),"endurance")</f>
        <v>endurance</v>
      </c>
    </row>
    <row r="82">
      <c r="A82" s="1" t="s">
        <v>685</v>
      </c>
      <c r="B82" s="1" t="s">
        <v>686</v>
      </c>
      <c r="E82" s="1" t="s">
        <v>687</v>
      </c>
      <c r="F82" s="6" t="str">
        <f>IFERROR(__xludf.DUMMYFUNCTION("""COMPUTED_VALUE"""),"generates")</f>
        <v>generates</v>
      </c>
      <c r="H82" s="1" t="s">
        <v>61</v>
      </c>
      <c r="I82" s="6" t="str">
        <f>IFERROR(__xludf.DUMMYFUNCTION("""COMPUTED_VALUE"""),"less")</f>
        <v>less</v>
      </c>
      <c r="K82" s="1" t="s">
        <v>265</v>
      </c>
      <c r="P82" s="1" t="s">
        <v>688</v>
      </c>
      <c r="Q82" s="6" t="str">
        <f>IFERROR(__xludf.DUMMYFUNCTION("""COMPUTED_VALUE"""),"script")</f>
        <v>script</v>
      </c>
      <c r="S82" s="1" t="s">
        <v>255</v>
      </c>
      <c r="T82" s="6" t="str">
        <f>IFERROR(__xludf.DUMMYFUNCTION("""COMPUTED_VALUE"""),"heroes")</f>
        <v>heroes</v>
      </c>
      <c r="W82" s="1" t="s">
        <v>689</v>
      </c>
      <c r="AA82" s="1" t="s">
        <v>690</v>
      </c>
      <c r="AF82" s="1" t="s">
        <v>691</v>
      </c>
      <c r="AJ82" s="1" t="s">
        <v>688</v>
      </c>
      <c r="AK82" s="6" t="str">
        <f>IFERROR(__xludf.DUMMYFUNCTION("""COMPUTED_VALUE"""),"strains")</f>
        <v>strains</v>
      </c>
      <c r="AM82" s="1" t="s">
        <v>544</v>
      </c>
      <c r="AN82" s="6" t="str">
        <f>IFERROR(__xludf.DUMMYFUNCTION("""COMPUTED_VALUE"""),"prejudice")</f>
        <v>prejudice</v>
      </c>
    </row>
    <row r="83">
      <c r="A83" s="1" t="s">
        <v>692</v>
      </c>
      <c r="B83" s="1" t="s">
        <v>693</v>
      </c>
      <c r="E83" s="1" t="s">
        <v>694</v>
      </c>
      <c r="F83" s="6" t="str">
        <f>IFERROR(__xludf.DUMMYFUNCTION("""COMPUTED_VALUE"""),"historically")</f>
        <v>historically</v>
      </c>
      <c r="H83" s="1" t="s">
        <v>218</v>
      </c>
      <c r="I83" s="6" t="str">
        <f>IFERROR(__xludf.DUMMYFUNCTION("""COMPUTED_VALUE"""),"veins")</f>
        <v>veins</v>
      </c>
      <c r="K83" s="1" t="s">
        <v>695</v>
      </c>
      <c r="P83" s="1" t="s">
        <v>684</v>
      </c>
      <c r="Q83" s="6" t="str">
        <f>IFERROR(__xludf.DUMMYFUNCTION("""COMPUTED_VALUE"""),"credits")</f>
        <v>credits</v>
      </c>
      <c r="S83" s="1" t="s">
        <v>696</v>
      </c>
      <c r="T83" s="6" t="str">
        <f>IFERROR(__xludf.DUMMYFUNCTION("""COMPUTED_VALUE"""),"existence")</f>
        <v>existence</v>
      </c>
      <c r="W83" s="1" t="s">
        <v>697</v>
      </c>
      <c r="AA83" s="1" t="s">
        <v>698</v>
      </c>
      <c r="AF83" s="1" t="s">
        <v>699</v>
      </c>
      <c r="AJ83" s="1" t="s">
        <v>159</v>
      </c>
      <c r="AK83" s="6" t="str">
        <f>IFERROR(__xludf.DUMMYFUNCTION("""COMPUTED_VALUE"""),"stuart")</f>
        <v>stuart</v>
      </c>
      <c r="AM83" s="1" t="s">
        <v>700</v>
      </c>
      <c r="AN83" s="6" t="str">
        <f>IFERROR(__xludf.DUMMYFUNCTION("""COMPUTED_VALUE"""),"fantasies")</f>
        <v>fantasies</v>
      </c>
    </row>
    <row r="84">
      <c r="A84" s="1" t="s">
        <v>701</v>
      </c>
      <c r="B84" s="1" t="s">
        <v>131</v>
      </c>
      <c r="E84" s="1" t="s">
        <v>125</v>
      </c>
      <c r="F84" s="6" t="str">
        <f>IFERROR(__xludf.DUMMYFUNCTION("""COMPUTED_VALUE"""),"significant")</f>
        <v>significant</v>
      </c>
      <c r="H84" s="1" t="s">
        <v>568</v>
      </c>
      <c r="I84" s="6" t="str">
        <f>IFERROR(__xludf.DUMMYFUNCTION("""COMPUTED_VALUE"""),"rich")</f>
        <v>rich</v>
      </c>
      <c r="K84" s="1" t="s">
        <v>294</v>
      </c>
      <c r="P84" s="1" t="s">
        <v>159</v>
      </c>
      <c r="Q84" s="6" t="str">
        <f>IFERROR(__xludf.DUMMYFUNCTION("""COMPUTED_VALUE"""),"pacing")</f>
        <v>pacing</v>
      </c>
      <c r="S84" s="1" t="s">
        <v>702</v>
      </c>
      <c r="T84" s="6" t="str">
        <f>IFERROR(__xludf.DUMMYFUNCTION("""COMPUTED_VALUE"""),"nowhere")</f>
        <v>nowhere</v>
      </c>
      <c r="W84" s="1" t="s">
        <v>703</v>
      </c>
      <c r="AA84" s="1" t="s">
        <v>704</v>
      </c>
      <c r="AF84" s="1" t="s">
        <v>705</v>
      </c>
      <c r="AJ84" s="1" t="s">
        <v>131</v>
      </c>
      <c r="AK84" s="6" t="str">
        <f>IFERROR(__xludf.DUMMYFUNCTION("""COMPUTED_VALUE"""),"friendships")</f>
        <v>friendships</v>
      </c>
      <c r="AM84" s="1" t="s">
        <v>122</v>
      </c>
      <c r="AN84" s="6" t="str">
        <f>IFERROR(__xludf.DUMMYFUNCTION("""COMPUTED_VALUE"""),"revenge")</f>
        <v>revenge</v>
      </c>
    </row>
    <row r="85">
      <c r="A85" s="1" t="s">
        <v>706</v>
      </c>
      <c r="B85" s="1" t="s">
        <v>707</v>
      </c>
      <c r="E85" s="1" t="s">
        <v>708</v>
      </c>
      <c r="F85" s="6" t="str">
        <f>IFERROR(__xludf.DUMMYFUNCTION("""COMPUTED_VALUE"""),"tribute")</f>
        <v>tribute</v>
      </c>
      <c r="H85" s="1" t="s">
        <v>239</v>
      </c>
      <c r="I85" s="6" t="str">
        <f>IFERROR(__xludf.DUMMYFUNCTION("""COMPUTED_VALUE"""),"joy")</f>
        <v>joy</v>
      </c>
      <c r="K85" s="1" t="s">
        <v>311</v>
      </c>
      <c r="P85" s="1" t="s">
        <v>709</v>
      </c>
      <c r="Q85" s="6" t="str">
        <f>IFERROR(__xludf.DUMMYFUNCTION("""COMPUTED_VALUE"""),"affair")</f>
        <v>affair</v>
      </c>
      <c r="S85" s="1" t="s">
        <v>710</v>
      </c>
      <c r="T85" s="6" t="str">
        <f>IFERROR(__xludf.DUMMYFUNCTION("""COMPUTED_VALUE"""),"entire")</f>
        <v>entire</v>
      </c>
      <c r="W85" s="1" t="s">
        <v>711</v>
      </c>
      <c r="AA85" s="1" t="s">
        <v>712</v>
      </c>
      <c r="AF85" s="1" t="s">
        <v>351</v>
      </c>
      <c r="AJ85" s="1" t="s">
        <v>140</v>
      </c>
      <c r="AK85" s="6" t="str">
        <f>IFERROR(__xludf.DUMMYFUNCTION("""COMPUTED_VALUE"""),"iranian")</f>
        <v>iranian</v>
      </c>
      <c r="AM85" s="1" t="s">
        <v>310</v>
      </c>
      <c r="AN85" s="6" t="str">
        <f>IFERROR(__xludf.DUMMYFUNCTION("""COMPUTED_VALUE"""),"gore")</f>
        <v>gore</v>
      </c>
    </row>
    <row r="86">
      <c r="A86" s="1" t="s">
        <v>713</v>
      </c>
      <c r="B86" s="1" t="s">
        <v>714</v>
      </c>
      <c r="E86" s="1" t="s">
        <v>396</v>
      </c>
      <c r="F86" s="6" t="str">
        <f>IFERROR(__xludf.DUMMYFUNCTION("""COMPUTED_VALUE"""),"robert")</f>
        <v>robert</v>
      </c>
      <c r="H86" s="1" t="s">
        <v>237</v>
      </c>
      <c r="I86" s="6" t="str">
        <f>IFERROR(__xludf.DUMMYFUNCTION("""COMPUTED_VALUE"""),"ugly")</f>
        <v>ugly</v>
      </c>
      <c r="K86" s="1" t="s">
        <v>715</v>
      </c>
      <c r="P86" s="1" t="s">
        <v>191</v>
      </c>
      <c r="Q86" s="6" t="str">
        <f>IFERROR(__xludf.DUMMYFUNCTION("""COMPUTED_VALUE"""),"before")</f>
        <v>before</v>
      </c>
      <c r="S86" s="1" t="s">
        <v>716</v>
      </c>
      <c r="T86" s="6" t="str">
        <f>IFERROR(__xludf.DUMMYFUNCTION("""COMPUTED_VALUE"""),"dog")</f>
        <v>dog</v>
      </c>
      <c r="W86" s="1" t="s">
        <v>717</v>
      </c>
      <c r="AA86" s="1" t="s">
        <v>718</v>
      </c>
      <c r="AF86" s="1" t="s">
        <v>719</v>
      </c>
      <c r="AJ86" s="1" t="s">
        <v>720</v>
      </c>
      <c r="AM86" s="1" t="s">
        <v>84</v>
      </c>
      <c r="AN86" s="6" t="str">
        <f>IFERROR(__xludf.DUMMYFUNCTION("""COMPUTED_VALUE"""),"engages")</f>
        <v>engages</v>
      </c>
    </row>
    <row r="87">
      <c r="A87" s="1" t="s">
        <v>721</v>
      </c>
      <c r="B87" s="1" t="s">
        <v>722</v>
      </c>
      <c r="E87" s="1" t="s">
        <v>407</v>
      </c>
      <c r="F87" s="6" t="str">
        <f>IFERROR(__xludf.DUMMYFUNCTION("""COMPUTED_VALUE"""),"extremes")</f>
        <v>extremes</v>
      </c>
      <c r="H87" s="1" t="s">
        <v>244</v>
      </c>
      <c r="I87" s="6" t="str">
        <f>IFERROR(__xludf.DUMMYFUNCTION("""COMPUTED_VALUE"""),"emptiness")</f>
        <v>emptiness</v>
      </c>
      <c r="K87" s="1" t="s">
        <v>723</v>
      </c>
      <c r="P87" s="1" t="s">
        <v>724</v>
      </c>
      <c r="Q87" s="6" t="str">
        <f>IFERROR(__xludf.DUMMYFUNCTION("""COMPUTED_VALUE"""),"things")</f>
        <v>things</v>
      </c>
      <c r="S87" s="1" t="s">
        <v>725</v>
      </c>
      <c r="T87" s="6" t="str">
        <f>IFERROR(__xludf.DUMMYFUNCTION("""COMPUTED_VALUE"""),"recycled")</f>
        <v>recycled</v>
      </c>
      <c r="W87" s="1" t="s">
        <v>726</v>
      </c>
      <c r="AA87" s="1" t="s">
        <v>727</v>
      </c>
      <c r="AF87" s="1" t="s">
        <v>358</v>
      </c>
      <c r="AJ87" s="1" t="s">
        <v>216</v>
      </c>
      <c r="AM87" s="1" t="s">
        <v>312</v>
      </c>
      <c r="AN87" s="6" t="str">
        <f>IFERROR(__xludf.DUMMYFUNCTION("""COMPUTED_VALUE"""),"explores")</f>
        <v>explores</v>
      </c>
    </row>
    <row r="88">
      <c r="A88" s="1" t="s">
        <v>728</v>
      </c>
      <c r="B88" s="1" t="s">
        <v>729</v>
      </c>
      <c r="E88" s="1" t="s">
        <v>133</v>
      </c>
      <c r="F88" s="6" t="str">
        <f>IFERROR(__xludf.DUMMYFUNCTION("""COMPUTED_VALUE"""),"continuum")</f>
        <v>continuum</v>
      </c>
      <c r="H88" s="1" t="s">
        <v>248</v>
      </c>
      <c r="I88" s="6" t="str">
        <f>IFERROR(__xludf.DUMMYFUNCTION("""COMPUTED_VALUE"""),"relentless")</f>
        <v>relentless</v>
      </c>
      <c r="K88" s="1" t="s">
        <v>730</v>
      </c>
      <c r="P88" s="1" t="s">
        <v>731</v>
      </c>
      <c r="Q88" s="6" t="str">
        <f>IFERROR(__xludf.DUMMYFUNCTION("""COMPUTED_VALUE"""),"predictable")</f>
        <v>predictable</v>
      </c>
      <c r="S88" s="1" t="s">
        <v>732</v>
      </c>
      <c r="T88" s="6" t="str">
        <f>IFERROR(__xludf.DUMMYFUNCTION("""COMPUTED_VALUE"""),"already")</f>
        <v>already</v>
      </c>
      <c r="W88" s="1" t="s">
        <v>733</v>
      </c>
      <c r="AA88" s="1" t="s">
        <v>734</v>
      </c>
      <c r="AF88" s="1" t="s">
        <v>735</v>
      </c>
      <c r="AJ88" s="1" t="s">
        <v>736</v>
      </c>
      <c r="AM88" s="1" t="s">
        <v>598</v>
      </c>
      <c r="AN88" s="6" t="str">
        <f>IFERROR(__xludf.DUMMYFUNCTION("""COMPUTED_VALUE"""),"exploit")</f>
        <v>exploit</v>
      </c>
    </row>
    <row r="89">
      <c r="A89" s="1" t="s">
        <v>737</v>
      </c>
      <c r="B89" s="1" t="s">
        <v>738</v>
      </c>
      <c r="E89" s="1" t="s">
        <v>739</v>
      </c>
      <c r="F89" s="6" t="str">
        <f>IFERROR(__xludf.DUMMYFUNCTION("""COMPUTED_VALUE"""),"intensity")</f>
        <v>intensity</v>
      </c>
      <c r="H89" s="1" t="s">
        <v>314</v>
      </c>
      <c r="I89" s="6" t="str">
        <f>IFERROR(__xludf.DUMMYFUNCTION("""COMPUTED_VALUE"""),"exploration")</f>
        <v>exploration</v>
      </c>
      <c r="K89" s="1" t="s">
        <v>740</v>
      </c>
      <c r="P89" s="1" t="s">
        <v>741</v>
      </c>
      <c r="Q89" s="6" t="str">
        <f>IFERROR(__xludf.DUMMYFUNCTION("""COMPUTED_VALUE"""),"brilliant")</f>
        <v>brilliant</v>
      </c>
      <c r="S89" s="1" t="s">
        <v>742</v>
      </c>
      <c r="T89" s="6" t="str">
        <f>IFERROR(__xludf.DUMMYFUNCTION("""COMPUTED_VALUE"""),"been")</f>
        <v>been</v>
      </c>
      <c r="W89" s="1" t="s">
        <v>743</v>
      </c>
      <c r="AA89" s="1" t="s">
        <v>744</v>
      </c>
      <c r="AF89" s="1" t="s">
        <v>366</v>
      </c>
      <c r="AJ89" s="1" t="s">
        <v>745</v>
      </c>
      <c r="AM89" s="1" t="s">
        <v>321</v>
      </c>
      <c r="AN89" s="6" t="str">
        <f>IFERROR(__xludf.DUMMYFUNCTION("""COMPUTED_VALUE"""),"fingered")</f>
        <v>fingered</v>
      </c>
    </row>
    <row r="90">
      <c r="A90" s="1" t="s">
        <v>746</v>
      </c>
      <c r="B90" s="1" t="s">
        <v>747</v>
      </c>
      <c r="E90" s="1" t="s">
        <v>748</v>
      </c>
      <c r="F90" s="6" t="str">
        <f>IFERROR(__xludf.DUMMYFUNCTION("""COMPUTED_VALUE"""),"manages")</f>
        <v>manages</v>
      </c>
      <c r="H90" s="1" t="s">
        <v>749</v>
      </c>
      <c r="I90" s="6" t="str">
        <f>IFERROR(__xludf.DUMMYFUNCTION("""COMPUTED_VALUE"""),"thrilling")</f>
        <v>thrilling</v>
      </c>
      <c r="K90" s="1" t="s">
        <v>750</v>
      </c>
      <c r="P90" s="1" t="s">
        <v>131</v>
      </c>
      <c r="Q90" s="6" t="str">
        <f>IFERROR(__xludf.DUMMYFUNCTION("""COMPUTED_VALUE"""),"emotions")</f>
        <v>emotions</v>
      </c>
      <c r="S90" s="1" t="s">
        <v>751</v>
      </c>
      <c r="T90" s="6" t="str">
        <f>IFERROR(__xludf.DUMMYFUNCTION("""COMPUTED_VALUE"""),"having")</f>
        <v>having</v>
      </c>
      <c r="W90" s="1" t="s">
        <v>752</v>
      </c>
      <c r="AA90" s="1" t="s">
        <v>753</v>
      </c>
      <c r="AF90" s="1" t="s">
        <v>754</v>
      </c>
      <c r="AJ90" s="1" t="s">
        <v>755</v>
      </c>
      <c r="AM90" s="1" t="s">
        <v>305</v>
      </c>
      <c r="AN90" s="6" t="str">
        <f>IFERROR(__xludf.DUMMYFUNCTION("""COMPUTED_VALUE"""),"curves")</f>
        <v>curves</v>
      </c>
    </row>
    <row r="91">
      <c r="A91" s="1" t="s">
        <v>756</v>
      </c>
      <c r="B91" s="1" t="s">
        <v>757</v>
      </c>
      <c r="E91" s="1" t="s">
        <v>425</v>
      </c>
      <c r="F91" s="6" t="str">
        <f>IFERROR(__xludf.DUMMYFUNCTION("""COMPUTED_VALUE"""),"flair")</f>
        <v>flair</v>
      </c>
      <c r="H91" s="1" t="s">
        <v>252</v>
      </c>
      <c r="I91" s="6" t="str">
        <f>IFERROR(__xludf.DUMMYFUNCTION("""COMPUTED_VALUE"""),"hold")</f>
        <v>hold</v>
      </c>
      <c r="K91" s="1" t="s">
        <v>758</v>
      </c>
      <c r="P91" s="1" t="s">
        <v>759</v>
      </c>
      <c r="Q91" s="6" t="str">
        <f>IFERROR(__xludf.DUMMYFUNCTION("""COMPUTED_VALUE"""),"title")</f>
        <v>title</v>
      </c>
      <c r="S91" s="1" t="s">
        <v>760</v>
      </c>
      <c r="T91" s="6" t="str">
        <f>IFERROR(__xludf.DUMMYFUNCTION("""COMPUTED_VALUE"""),"care")</f>
        <v>care</v>
      </c>
      <c r="W91" s="1" t="s">
        <v>761</v>
      </c>
      <c r="AA91" s="1" t="s">
        <v>762</v>
      </c>
      <c r="AF91" s="1" t="s">
        <v>374</v>
      </c>
      <c r="AJ91" s="1" t="s">
        <v>763</v>
      </c>
      <c r="AM91" s="1" t="s">
        <v>764</v>
      </c>
      <c r="AN91" s="6" t="str">
        <f>IFERROR(__xludf.DUMMYFUNCTION("""COMPUTED_VALUE"""),"strains")</f>
        <v>strains</v>
      </c>
    </row>
    <row r="92">
      <c r="A92" s="1" t="s">
        <v>765</v>
      </c>
      <c r="B92" s="1" t="s">
        <v>766</v>
      </c>
      <c r="E92" s="1" t="s">
        <v>767</v>
      </c>
      <c r="F92" s="6" t="str">
        <f>IFERROR(__xludf.DUMMYFUNCTION("""COMPUTED_VALUE"""),"family")</f>
        <v>family</v>
      </c>
      <c r="H92" s="1" t="s">
        <v>614</v>
      </c>
      <c r="I92" s="6" t="str">
        <f>IFERROR(__xludf.DUMMYFUNCTION("""COMPUTED_VALUE"""),"ford")</f>
        <v>ford</v>
      </c>
      <c r="K92" s="1" t="s">
        <v>768</v>
      </c>
      <c r="P92" s="1" t="s">
        <v>769</v>
      </c>
      <c r="Q92" s="6" t="str">
        <f>IFERROR(__xludf.DUMMYFUNCTION("""COMPUTED_VALUE"""),"structured")</f>
        <v>structured</v>
      </c>
      <c r="S92" s="1" t="s">
        <v>770</v>
      </c>
      <c r="T92" s="6" t="str">
        <f>IFERROR(__xludf.DUMMYFUNCTION("""COMPUTED_VALUE"""),"fourth")</f>
        <v>fourth</v>
      </c>
      <c r="W92" s="1">
        <v>10.0</v>
      </c>
      <c r="AA92" s="1" t="s">
        <v>771</v>
      </c>
      <c r="AF92" s="1" t="s">
        <v>772</v>
      </c>
      <c r="AJ92" s="1" t="s">
        <v>149</v>
      </c>
      <c r="AM92" s="1" t="s">
        <v>96</v>
      </c>
      <c r="AN92" s="6" t="str">
        <f>IFERROR(__xludf.DUMMYFUNCTION("""COMPUTED_VALUE"""),"stuart")</f>
        <v>stuart</v>
      </c>
    </row>
    <row r="93">
      <c r="A93" s="1" t="s">
        <v>773</v>
      </c>
      <c r="B93" s="1" t="s">
        <v>774</v>
      </c>
      <c r="E93" s="1" t="s">
        <v>775</v>
      </c>
      <c r="F93" s="6" t="str">
        <f>IFERROR(__xludf.DUMMYFUNCTION("""COMPUTED_VALUE"""),"animated")</f>
        <v>animated</v>
      </c>
      <c r="H93" s="1" t="s">
        <v>64</v>
      </c>
      <c r="I93" s="6" t="str">
        <f>IFERROR(__xludf.DUMMYFUNCTION("""COMPUTED_VALUE"""),"mergers")</f>
        <v>mergers</v>
      </c>
      <c r="K93" s="1" t="s">
        <v>183</v>
      </c>
      <c r="P93" s="1" t="s">
        <v>720</v>
      </c>
      <c r="Q93" s="6" t="str">
        <f>IFERROR(__xludf.DUMMYFUNCTION("""COMPUTED_VALUE"""),"adventurous")</f>
        <v>adventurous</v>
      </c>
      <c r="S93" s="1" t="s">
        <v>776</v>
      </c>
      <c r="T93" s="6" t="str">
        <f>IFERROR(__xludf.DUMMYFUNCTION("""COMPUTED_VALUE"""),"feature")</f>
        <v>feature</v>
      </c>
      <c r="W93" s="1" t="s">
        <v>777</v>
      </c>
      <c r="AA93" s="1" t="s">
        <v>778</v>
      </c>
      <c r="AF93" s="1" t="s">
        <v>380</v>
      </c>
      <c r="AJ93" s="1" t="s">
        <v>419</v>
      </c>
      <c r="AM93" s="1" t="s">
        <v>779</v>
      </c>
      <c r="AN93" s="6" t="str">
        <f>IFERROR(__xludf.DUMMYFUNCTION("""COMPUTED_VALUE"""),"friendships")</f>
        <v>friendships</v>
      </c>
    </row>
    <row r="94">
      <c r="A94" s="1" t="s">
        <v>780</v>
      </c>
      <c r="B94" s="1" t="s">
        <v>781</v>
      </c>
      <c r="E94" s="1" t="s">
        <v>782</v>
      </c>
      <c r="F94" s="6" t="str">
        <f>IFERROR(__xludf.DUMMYFUNCTION("""COMPUTED_VALUE"""),"parody")</f>
        <v>parody</v>
      </c>
      <c r="H94" s="1" t="s">
        <v>520</v>
      </c>
      <c r="I94" s="6" t="str">
        <f>IFERROR(__xludf.DUMMYFUNCTION("""COMPUTED_VALUE"""),"woven")</f>
        <v>woven</v>
      </c>
      <c r="K94" s="1" t="s">
        <v>783</v>
      </c>
      <c r="P94" s="1" t="s">
        <v>784</v>
      </c>
      <c r="Q94" s="6" t="str">
        <f>IFERROR(__xludf.DUMMYFUNCTION("""COMPUTED_VALUE"""),"blair")</f>
        <v>blair</v>
      </c>
      <c r="S94" s="1" t="s">
        <v>264</v>
      </c>
      <c r="T94" s="6" t="str">
        <f>IFERROR(__xludf.DUMMYFUNCTION("""COMPUTED_VALUE"""),"swords")</f>
        <v>swords</v>
      </c>
      <c r="W94" s="1" t="s">
        <v>785</v>
      </c>
      <c r="AA94" s="1" t="s">
        <v>786</v>
      </c>
      <c r="AF94" s="1" t="s">
        <v>387</v>
      </c>
      <c r="AJ94" s="1" t="s">
        <v>787</v>
      </c>
      <c r="AM94" s="1" t="s">
        <v>189</v>
      </c>
      <c r="AN94" s="6" t="str">
        <f>IFERROR(__xludf.DUMMYFUNCTION("""COMPUTED_VALUE"""),"iranian")</f>
        <v>iranian</v>
      </c>
    </row>
    <row r="95">
      <c r="A95" s="1" t="s">
        <v>311</v>
      </c>
      <c r="B95" s="1" t="s">
        <v>788</v>
      </c>
      <c r="E95" s="1" t="s">
        <v>789</v>
      </c>
      <c r="F95" s="6" t="str">
        <f>IFERROR(__xludf.DUMMYFUNCTION("""COMPUTED_VALUE"""),"intriguing")</f>
        <v>intriguing</v>
      </c>
      <c r="H95" s="1" t="s">
        <v>276</v>
      </c>
      <c r="I95" s="6" t="str">
        <f>IFERROR(__xludf.DUMMYFUNCTION("""COMPUTED_VALUE"""),"storylines")</f>
        <v>storylines</v>
      </c>
      <c r="K95" s="1" t="s">
        <v>790</v>
      </c>
      <c r="P95" s="1" t="s">
        <v>209</v>
      </c>
      <c r="Q95" s="6" t="str">
        <f>IFERROR(__xludf.DUMMYFUNCTION("""COMPUTED_VALUE"""),"offering")</f>
        <v>offering</v>
      </c>
      <c r="S95" s="1" t="s">
        <v>791</v>
      </c>
      <c r="T95" s="6" t="str">
        <f>IFERROR(__xludf.DUMMYFUNCTION("""COMPUTED_VALUE"""),"proves")</f>
        <v>proves</v>
      </c>
      <c r="W95" s="1" t="s">
        <v>792</v>
      </c>
      <c r="AA95" s="1" t="s">
        <v>793</v>
      </c>
      <c r="AF95" s="1" t="s">
        <v>394</v>
      </c>
      <c r="AJ95" s="1" t="s">
        <v>794</v>
      </c>
      <c r="AM95" s="1" t="s">
        <v>795</v>
      </c>
    </row>
    <row r="96">
      <c r="A96" s="1" t="s">
        <v>796</v>
      </c>
      <c r="B96" s="1" t="s">
        <v>533</v>
      </c>
      <c r="E96" s="1" t="s">
        <v>797</v>
      </c>
      <c r="F96" s="6" t="str">
        <f>IFERROR(__xludf.DUMMYFUNCTION("""COMPUTED_VALUE"""),"android")</f>
        <v>android</v>
      </c>
      <c r="H96" s="1" t="s">
        <v>284</v>
      </c>
      <c r="I96" s="6" t="str">
        <f>IFERROR(__xludf.DUMMYFUNCTION("""COMPUTED_VALUE"""),"experience")</f>
        <v>experience</v>
      </c>
      <c r="K96" s="1" t="s">
        <v>346</v>
      </c>
      <c r="P96" s="1" t="s">
        <v>798</v>
      </c>
      <c r="Q96" s="6" t="str">
        <f>IFERROR(__xludf.DUMMYFUNCTION("""COMPUTED_VALUE"""),"exercise")</f>
        <v>exercise</v>
      </c>
      <c r="S96" s="1" t="s">
        <v>799</v>
      </c>
      <c r="T96" s="6" t="str">
        <f>IFERROR(__xludf.DUMMYFUNCTION("""COMPUTED_VALUE"""),"off")</f>
        <v>off</v>
      </c>
      <c r="W96" s="1" t="s">
        <v>800</v>
      </c>
      <c r="AA96" s="1" t="s">
        <v>801</v>
      </c>
      <c r="AF96" s="1" t="s">
        <v>481</v>
      </c>
      <c r="AJ96" s="1" t="s">
        <v>802</v>
      </c>
      <c r="AM96" s="1" t="s">
        <v>803</v>
      </c>
    </row>
    <row r="97">
      <c r="A97" s="1" t="s">
        <v>259</v>
      </c>
      <c r="E97" s="1" t="s">
        <v>143</v>
      </c>
      <c r="F97" s="6" t="str">
        <f>IFERROR(__xludf.DUMMYFUNCTION("""COMPUTED_VALUE"""),"pulp")</f>
        <v>pulp</v>
      </c>
      <c r="H97" s="1" t="s">
        <v>299</v>
      </c>
      <c r="I97" s="6" t="str">
        <f>IFERROR(__xludf.DUMMYFUNCTION("""COMPUTED_VALUE"""),"cruel")</f>
        <v>cruel</v>
      </c>
      <c r="K97" s="1" t="s">
        <v>804</v>
      </c>
      <c r="P97" s="1" t="s">
        <v>182</v>
      </c>
      <c r="Q97" s="6" t="str">
        <f>IFERROR(__xludf.DUMMYFUNCTION("""COMPUTED_VALUE"""),"fascinating")</f>
        <v>fascinating</v>
      </c>
      <c r="S97" s="1" t="s">
        <v>805</v>
      </c>
      <c r="T97" s="6" t="str">
        <f>IFERROR(__xludf.DUMMYFUNCTION("""COMPUTED_VALUE"""),"has")</f>
        <v>has</v>
      </c>
      <c r="W97" s="1" t="s">
        <v>806</v>
      </c>
      <c r="AA97" s="1" t="s">
        <v>497</v>
      </c>
      <c r="AF97" s="1" t="s">
        <v>405</v>
      </c>
      <c r="AJ97" s="1" t="s">
        <v>807</v>
      </c>
      <c r="AM97" s="1" t="s">
        <v>638</v>
      </c>
    </row>
    <row r="98">
      <c r="A98" s="1" t="s">
        <v>561</v>
      </c>
      <c r="E98" s="1" t="s">
        <v>433</v>
      </c>
      <c r="F98" s="6" t="str">
        <f>IFERROR(__xludf.DUMMYFUNCTION("""COMPUTED_VALUE"""),"comic")</f>
        <v>comic</v>
      </c>
      <c r="H98" s="1" t="s">
        <v>74</v>
      </c>
      <c r="I98" s="6" t="str">
        <f>IFERROR(__xludf.DUMMYFUNCTION("""COMPUTED_VALUE"""),"deception")</f>
        <v>deception</v>
      </c>
      <c r="K98" s="1" t="s">
        <v>808</v>
      </c>
      <c r="P98" s="1" t="s">
        <v>216</v>
      </c>
      <c r="Q98" s="6" t="str">
        <f>IFERROR(__xludf.DUMMYFUNCTION("""COMPUTED_VALUE"""),"martial")</f>
        <v>martial</v>
      </c>
      <c r="S98" s="1" t="s">
        <v>809</v>
      </c>
      <c r="T98" s="6" t="str">
        <f>IFERROR(__xludf.DUMMYFUNCTION("""COMPUTED_VALUE"""),"once")</f>
        <v>once</v>
      </c>
      <c r="W98" s="1" t="s">
        <v>810</v>
      </c>
      <c r="AA98" s="1" t="s">
        <v>811</v>
      </c>
      <c r="AF98" s="1" t="s">
        <v>416</v>
      </c>
      <c r="AJ98" s="1" t="s">
        <v>812</v>
      </c>
      <c r="AM98" s="1" t="s">
        <v>813</v>
      </c>
    </row>
    <row r="99">
      <c r="A99" s="1" t="s">
        <v>774</v>
      </c>
      <c r="E99" s="1" t="s">
        <v>163</v>
      </c>
      <c r="F99" s="6" t="str">
        <f>IFERROR(__xludf.DUMMYFUNCTION("""COMPUTED_VALUE"""),"difference")</f>
        <v>difference</v>
      </c>
      <c r="H99" s="1" t="s">
        <v>544</v>
      </c>
      <c r="I99" s="6" t="str">
        <f>IFERROR(__xludf.DUMMYFUNCTION("""COMPUTED_VALUE"""),"lack")</f>
        <v>lack</v>
      </c>
      <c r="K99" s="1" t="s">
        <v>814</v>
      </c>
      <c r="P99" s="1" t="s">
        <v>224</v>
      </c>
      <c r="Q99" s="6" t="str">
        <f>IFERROR(__xludf.DUMMYFUNCTION("""COMPUTED_VALUE"""),"rhythms")</f>
        <v>rhythms</v>
      </c>
      <c r="S99" s="1" t="s">
        <v>815</v>
      </c>
      <c r="T99" s="6" t="str">
        <f>IFERROR(__xludf.DUMMYFUNCTION("""COMPUTED_VALUE"""),"touch")</f>
        <v>touch</v>
      </c>
      <c r="W99" s="1" t="s">
        <v>816</v>
      </c>
      <c r="AA99" s="1" t="s">
        <v>817</v>
      </c>
      <c r="AF99" s="1" t="s">
        <v>423</v>
      </c>
      <c r="AJ99" s="1" t="s">
        <v>818</v>
      </c>
      <c r="AM99" s="1" t="s">
        <v>819</v>
      </c>
    </row>
    <row r="100">
      <c r="A100" s="1" t="s">
        <v>820</v>
      </c>
      <c r="E100" s="1" t="s">
        <v>821</v>
      </c>
      <c r="F100" s="6" t="str">
        <f>IFERROR(__xludf.DUMMYFUNCTION("""COMPUTED_VALUE"""),"alternating")</f>
        <v>alternating</v>
      </c>
      <c r="H100" s="1" t="s">
        <v>66</v>
      </c>
      <c r="I100" s="6" t="str">
        <f>IFERROR(__xludf.DUMMYFUNCTION("""COMPUTED_VALUE"""),"carried")</f>
        <v>carried</v>
      </c>
      <c r="K100" s="1" t="s">
        <v>822</v>
      </c>
      <c r="P100" s="1" t="s">
        <v>736</v>
      </c>
      <c r="Q100" s="6" t="str">
        <f>IFERROR(__xludf.DUMMYFUNCTION("""COMPUTED_VALUE"""),"slick")</f>
        <v>slick</v>
      </c>
      <c r="S100" s="1" t="s">
        <v>88</v>
      </c>
      <c r="T100" s="6" t="str">
        <f>IFERROR(__xludf.DUMMYFUNCTION("""COMPUTED_VALUE"""),"performance")</f>
        <v>performance</v>
      </c>
      <c r="W100" s="1" t="s">
        <v>823</v>
      </c>
      <c r="AA100" s="1" t="s">
        <v>824</v>
      </c>
      <c r="AF100" s="1" t="s">
        <v>430</v>
      </c>
      <c r="AJ100" s="1" t="s">
        <v>825</v>
      </c>
      <c r="AM100" s="1" t="s">
        <v>339</v>
      </c>
    </row>
    <row r="101">
      <c r="A101" s="1" t="s">
        <v>826</v>
      </c>
      <c r="E101" s="1" t="s">
        <v>827</v>
      </c>
      <c r="F101" s="6" t="str">
        <f>IFERROR(__xludf.DUMMYFUNCTION("""COMPUTED_VALUE"""),"artworks")</f>
        <v>artworks</v>
      </c>
      <c r="H101" s="1" t="s">
        <v>562</v>
      </c>
      <c r="I101" s="6" t="str">
        <f>IFERROR(__xludf.DUMMYFUNCTION("""COMPUTED_VALUE"""),"seem")</f>
        <v>seem</v>
      </c>
      <c r="K101" s="1" t="s">
        <v>828</v>
      </c>
      <c r="P101" s="1" t="s">
        <v>829</v>
      </c>
      <c r="Q101" s="6" t="str">
        <f>IFERROR(__xludf.DUMMYFUNCTION("""COMPUTED_VALUE"""),"actresses")</f>
        <v>actresses</v>
      </c>
      <c r="S101" s="1" t="s">
        <v>830</v>
      </c>
      <c r="T101" s="6" t="str">
        <f>IFERROR(__xludf.DUMMYFUNCTION("""COMPUTED_VALUE"""),"horrors")</f>
        <v>horrors</v>
      </c>
      <c r="W101" s="1" t="s">
        <v>831</v>
      </c>
      <c r="AA101" s="1" t="s">
        <v>832</v>
      </c>
      <c r="AF101" s="1" t="s">
        <v>482</v>
      </c>
      <c r="AJ101" s="1" t="s">
        <v>257</v>
      </c>
      <c r="AM101" s="1" t="s">
        <v>833</v>
      </c>
    </row>
    <row r="102">
      <c r="A102" s="1" t="s">
        <v>834</v>
      </c>
      <c r="E102" s="1" t="s">
        <v>776</v>
      </c>
      <c r="F102" s="6" t="str">
        <f>IFERROR(__xludf.DUMMYFUNCTION("""COMPUTED_VALUE"""),"washington")</f>
        <v>washington</v>
      </c>
      <c r="H102" s="1" t="s">
        <v>33</v>
      </c>
      <c r="I102" s="6" t="str">
        <f>IFERROR(__xludf.DUMMYFUNCTION("""COMPUTED_VALUE"""),"history")</f>
        <v>history</v>
      </c>
      <c r="K102" s="1" t="s">
        <v>835</v>
      </c>
      <c r="P102" s="1" t="s">
        <v>149</v>
      </c>
      <c r="Q102" s="6" t="str">
        <f>IFERROR(__xludf.DUMMYFUNCTION("""COMPUTED_VALUE"""),"hugh")</f>
        <v>hugh</v>
      </c>
      <c r="S102" s="1" t="s">
        <v>836</v>
      </c>
      <c r="T102" s="6" t="str">
        <f>IFERROR(__xludf.DUMMYFUNCTION("""COMPUTED_VALUE"""),"splashed")</f>
        <v>splashed</v>
      </c>
      <c r="W102" s="1" t="s">
        <v>837</v>
      </c>
      <c r="AA102" s="1" t="s">
        <v>838</v>
      </c>
      <c r="AF102" s="1" t="s">
        <v>438</v>
      </c>
      <c r="AJ102" s="1" t="s">
        <v>250</v>
      </c>
      <c r="AM102" s="1" t="s">
        <v>839</v>
      </c>
    </row>
    <row r="103">
      <c r="A103" s="1" t="s">
        <v>840</v>
      </c>
      <c r="E103" s="1" t="s">
        <v>841</v>
      </c>
      <c r="F103" s="6" t="str">
        <f>IFERROR(__xludf.DUMMYFUNCTION("""COMPUTED_VALUE"""),"eyes")</f>
        <v>eyes</v>
      </c>
      <c r="H103" s="1" t="s">
        <v>146</v>
      </c>
      <c r="I103" s="6" t="str">
        <f>IFERROR(__xludf.DUMMYFUNCTION("""COMPUTED_VALUE"""),"eastwood")</f>
        <v>eastwood</v>
      </c>
      <c r="K103" s="1" t="s">
        <v>842</v>
      </c>
      <c r="P103" s="1" t="s">
        <v>419</v>
      </c>
      <c r="Q103" s="6" t="str">
        <f>IFERROR(__xludf.DUMMYFUNCTION("""COMPUTED_VALUE"""),"grant")</f>
        <v>grant</v>
      </c>
      <c r="S103" s="1" t="s">
        <v>290</v>
      </c>
      <c r="T103" s="6" t="str">
        <f>IFERROR(__xludf.DUMMYFUNCTION("""COMPUTED_VALUE"""),"any")</f>
        <v>any</v>
      </c>
      <c r="W103" s="1" t="s">
        <v>843</v>
      </c>
      <c r="AA103" s="1" t="s">
        <v>844</v>
      </c>
      <c r="AF103" s="1" t="s">
        <v>845</v>
      </c>
      <c r="AJ103" s="1" t="s">
        <v>241</v>
      </c>
      <c r="AM103" s="1" t="s">
        <v>141</v>
      </c>
    </row>
    <row r="104">
      <c r="A104" s="1" t="s">
        <v>846</v>
      </c>
      <c r="E104" s="1" t="s">
        <v>174</v>
      </c>
      <c r="F104" s="6" t="str">
        <f>IFERROR(__xludf.DUMMYFUNCTION("""COMPUTED_VALUE"""),"images")</f>
        <v>images</v>
      </c>
      <c r="H104" s="1" t="s">
        <v>122</v>
      </c>
      <c r="I104" s="6" t="str">
        <f>IFERROR(__xludf.DUMMYFUNCTION("""COMPUTED_VALUE"""),"earnest")</f>
        <v>earnest</v>
      </c>
      <c r="K104" s="1" t="s">
        <v>826</v>
      </c>
      <c r="P104" s="1" t="s">
        <v>794</v>
      </c>
      <c r="Q104" s="6" t="str">
        <f>IFERROR(__xludf.DUMMYFUNCTION("""COMPUTED_VALUE"""),"insight")</f>
        <v>insight</v>
      </c>
      <c r="S104" s="1" t="s">
        <v>847</v>
      </c>
      <c r="T104" s="6" t="str">
        <f>IFERROR(__xludf.DUMMYFUNCTION("""COMPUTED_VALUE"""),"beauty")</f>
        <v>beauty</v>
      </c>
      <c r="W104" s="1" t="s">
        <v>848</v>
      </c>
      <c r="AA104" s="1" t="s">
        <v>849</v>
      </c>
      <c r="AF104" s="1" t="s">
        <v>448</v>
      </c>
      <c r="AJ104" s="1" t="s">
        <v>157</v>
      </c>
      <c r="AM104" s="1" t="s">
        <v>359</v>
      </c>
    </row>
    <row r="105">
      <c r="A105" s="1" t="s">
        <v>850</v>
      </c>
      <c r="E105" s="1" t="s">
        <v>151</v>
      </c>
      <c r="F105" s="6" t="str">
        <f>IFERROR(__xludf.DUMMYFUNCTION("""COMPUTED_VALUE"""),"tear")</f>
        <v>tear</v>
      </c>
      <c r="H105" s="1" t="s">
        <v>77</v>
      </c>
      <c r="I105" s="6" t="str">
        <f>IFERROR(__xludf.DUMMYFUNCTION("""COMPUTED_VALUE"""),"homage")</f>
        <v>homage</v>
      </c>
      <c r="K105" s="1" t="s">
        <v>362</v>
      </c>
      <c r="P105" s="1" t="s">
        <v>851</v>
      </c>
      <c r="Q105" s="6" t="str">
        <f>IFERROR(__xludf.DUMMYFUNCTION("""COMPUTED_VALUE"""),"celebration")</f>
        <v>celebration</v>
      </c>
      <c r="S105" s="1" t="s">
        <v>852</v>
      </c>
      <c r="T105" s="6" t="str">
        <f>IFERROR(__xludf.DUMMYFUNCTION("""COMPUTED_VALUE"""),"us")</f>
        <v>us</v>
      </c>
      <c r="W105" s="1" t="s">
        <v>853</v>
      </c>
      <c r="AA105" s="1" t="s">
        <v>854</v>
      </c>
      <c r="AF105" s="1" t="s">
        <v>456</v>
      </c>
      <c r="AJ105" s="1" t="s">
        <v>275</v>
      </c>
      <c r="AM105" s="1" t="s">
        <v>105</v>
      </c>
    </row>
    <row r="106">
      <c r="A106" s="1" t="s">
        <v>667</v>
      </c>
      <c r="E106" s="1" t="s">
        <v>855</v>
      </c>
      <c r="F106" s="6" t="str">
        <f>IFERROR(__xludf.DUMMYFUNCTION("""COMPUTED_VALUE"""),"cinematic")</f>
        <v>cinematic</v>
      </c>
      <c r="H106" s="1" t="s">
        <v>310</v>
      </c>
      <c r="I106" s="6" t="str">
        <f>IFERROR(__xludf.DUMMYFUNCTION("""COMPUTED_VALUE"""),"laughs")</f>
        <v>laughs</v>
      </c>
      <c r="K106" s="1" t="s">
        <v>856</v>
      </c>
      <c r="P106" s="1" t="s">
        <v>857</v>
      </c>
      <c r="Q106" s="6" t="str">
        <f>IFERROR(__xludf.DUMMYFUNCTION("""COMPUTED_VALUE"""),"metaphor")</f>
        <v>metaphor</v>
      </c>
      <c r="S106" s="1" t="s">
        <v>858</v>
      </c>
      <c r="T106" s="6" t="str">
        <f>IFERROR(__xludf.DUMMYFUNCTION("""COMPUTED_VALUE"""),"bloody")</f>
        <v>bloody</v>
      </c>
      <c r="W106" s="1" t="s">
        <v>443</v>
      </c>
      <c r="AA106" s="1" t="s">
        <v>859</v>
      </c>
      <c r="AF106" s="1" t="s">
        <v>860</v>
      </c>
      <c r="AJ106" s="1" t="s">
        <v>162</v>
      </c>
      <c r="AM106" s="1" t="s">
        <v>861</v>
      </c>
    </row>
    <row r="107">
      <c r="A107" s="1" t="s">
        <v>862</v>
      </c>
      <c r="E107" s="1" t="s">
        <v>104</v>
      </c>
      <c r="F107" s="6" t="str">
        <f>IFERROR(__xludf.DUMMYFUNCTION("""COMPUTED_VALUE"""),"addition")</f>
        <v>addition</v>
      </c>
      <c r="H107" s="1" t="s">
        <v>84</v>
      </c>
      <c r="I107" s="6" t="str">
        <f>IFERROR(__xludf.DUMMYFUNCTION("""COMPUTED_VALUE"""),"few")</f>
        <v>few</v>
      </c>
      <c r="K107" s="1" t="s">
        <v>193</v>
      </c>
      <c r="P107" s="1" t="s">
        <v>710</v>
      </c>
      <c r="Q107" s="6" t="str">
        <f>IFERROR(__xludf.DUMMYFUNCTION("""COMPUTED_VALUE"""),"resonance")</f>
        <v>resonance</v>
      </c>
      <c r="S107" s="1" t="s">
        <v>314</v>
      </c>
      <c r="T107" s="6" t="str">
        <f>IFERROR(__xludf.DUMMYFUNCTION("""COMPUTED_VALUE"""),"pointless")</f>
        <v>pointless</v>
      </c>
      <c r="W107" s="1" t="s">
        <v>863</v>
      </c>
      <c r="AA107" s="1" t="s">
        <v>864</v>
      </c>
      <c r="AF107" s="1" t="s">
        <v>464</v>
      </c>
      <c r="AJ107" s="1" t="s">
        <v>292</v>
      </c>
      <c r="AM107" s="1" t="s">
        <v>865</v>
      </c>
    </row>
    <row r="108">
      <c r="A108" s="1" t="s">
        <v>866</v>
      </c>
      <c r="E108" s="1" t="s">
        <v>322</v>
      </c>
      <c r="F108" s="6" t="str">
        <f>IFERROR(__xludf.DUMMYFUNCTION("""COMPUTED_VALUE"""),"generally")</f>
        <v>generally</v>
      </c>
      <c r="H108" s="1" t="s">
        <v>598</v>
      </c>
      <c r="I108" s="6" t="str">
        <f>IFERROR(__xludf.DUMMYFUNCTION("""COMPUTED_VALUE"""),"endure")</f>
        <v>endure</v>
      </c>
      <c r="K108" s="1" t="s">
        <v>867</v>
      </c>
      <c r="P108" s="1" t="s">
        <v>868</v>
      </c>
      <c r="Q108" s="6" t="str">
        <f>IFERROR(__xludf.DUMMYFUNCTION("""COMPUTED_VALUE"""),"viewers")</f>
        <v>viewers</v>
      </c>
      <c r="S108" s="1" t="s">
        <v>282</v>
      </c>
      <c r="T108" s="6" t="str">
        <f>IFERROR(__xludf.DUMMYFUNCTION("""COMPUTED_VALUE"""),"situations")</f>
        <v>situations</v>
      </c>
      <c r="W108" s="1" t="s">
        <v>869</v>
      </c>
      <c r="AA108" s="1" t="s">
        <v>870</v>
      </c>
      <c r="AF108" s="1" t="s">
        <v>871</v>
      </c>
      <c r="AJ108" s="1" t="s">
        <v>872</v>
      </c>
      <c r="AM108" s="1" t="s">
        <v>150</v>
      </c>
    </row>
    <row r="109">
      <c r="A109" s="1" t="s">
        <v>873</v>
      </c>
      <c r="E109" s="1" t="s">
        <v>158</v>
      </c>
      <c r="F109" s="6" t="str">
        <f>IFERROR(__xludf.DUMMYFUNCTION("""COMPUTED_VALUE"""),"mystery")</f>
        <v>mystery</v>
      </c>
      <c r="H109" s="1" t="s">
        <v>312</v>
      </c>
      <c r="I109" s="6" t="str">
        <f>IFERROR(__xludf.DUMMYFUNCTION("""COMPUTED_VALUE"""),"help")</f>
        <v>help</v>
      </c>
      <c r="K109" s="1" t="s">
        <v>874</v>
      </c>
      <c r="P109" s="1" t="s">
        <v>875</v>
      </c>
      <c r="Q109" s="6" t="str">
        <f>IFERROR(__xludf.DUMMYFUNCTION("""COMPUTED_VALUE"""),"format")</f>
        <v>format</v>
      </c>
      <c r="S109" s="1" t="s">
        <v>876</v>
      </c>
      <c r="T109" s="6" t="str">
        <f>IFERROR(__xludf.DUMMYFUNCTION("""COMPUTED_VALUE"""),"room")</f>
        <v>room</v>
      </c>
      <c r="W109" s="1" t="s">
        <v>877</v>
      </c>
      <c r="AA109" s="1" t="s">
        <v>67</v>
      </c>
      <c r="AF109" s="1" t="s">
        <v>878</v>
      </c>
      <c r="AJ109" s="1" t="s">
        <v>879</v>
      </c>
      <c r="AM109" s="1" t="s">
        <v>95</v>
      </c>
    </row>
    <row r="110">
      <c r="A110" s="1" t="s">
        <v>880</v>
      </c>
      <c r="E110" s="1" t="s">
        <v>881</v>
      </c>
      <c r="F110" s="6">
        <f>IFERROR(__xludf.DUMMYFUNCTION("""COMPUTED_VALUE"""),3000.0)</f>
        <v>3000</v>
      </c>
      <c r="H110" s="1" t="s">
        <v>305</v>
      </c>
      <c r="I110" s="6" t="str">
        <f>IFERROR(__xludf.DUMMYFUNCTION("""COMPUTED_VALUE"""),"power")</f>
        <v>power</v>
      </c>
      <c r="K110" s="1" t="s">
        <v>882</v>
      </c>
      <c r="P110" s="1" t="s">
        <v>883</v>
      </c>
      <c r="Q110" s="6" t="str">
        <f>IFERROR(__xludf.DUMMYFUNCTION("""COMPUTED_VALUE"""),"drama")</f>
        <v>drama</v>
      </c>
      <c r="S110" s="1" t="s">
        <v>884</v>
      </c>
      <c r="T110" s="6" t="str">
        <f>IFERROR(__xludf.DUMMYFUNCTION("""COMPUTED_VALUE"""),"touching")</f>
        <v>touching</v>
      </c>
      <c r="W110" s="1" t="s">
        <v>885</v>
      </c>
      <c r="AA110" s="1" t="s">
        <v>886</v>
      </c>
      <c r="AF110" s="1" t="s">
        <v>29</v>
      </c>
      <c r="AJ110" s="1" t="s">
        <v>887</v>
      </c>
      <c r="AM110" s="1" t="s">
        <v>888</v>
      </c>
    </row>
    <row r="111">
      <c r="A111" s="1" t="s">
        <v>889</v>
      </c>
      <c r="E111" s="1" t="s">
        <v>502</v>
      </c>
      <c r="F111" s="6" t="str">
        <f>IFERROR(__xludf.DUMMYFUNCTION("""COMPUTED_VALUE"""),"em")</f>
        <v>em</v>
      </c>
      <c r="H111" s="1" t="s">
        <v>764</v>
      </c>
      <c r="I111" s="6" t="str">
        <f>IFERROR(__xludf.DUMMYFUNCTION("""COMPUTED_VALUE"""),"generates")</f>
        <v>generates</v>
      </c>
      <c r="K111" s="1" t="s">
        <v>316</v>
      </c>
      <c r="P111" s="1" t="s">
        <v>890</v>
      </c>
      <c r="Q111" s="6" t="str">
        <f>IFERROR(__xludf.DUMMYFUNCTION("""COMPUTED_VALUE"""),"haunting")</f>
        <v>haunting</v>
      </c>
      <c r="S111" s="1" t="s">
        <v>891</v>
      </c>
      <c r="T111" s="6" t="str">
        <f>IFERROR(__xludf.DUMMYFUNCTION("""COMPUTED_VALUE"""),"subtle")</f>
        <v>subtle</v>
      </c>
      <c r="W111" s="1" t="s">
        <v>892</v>
      </c>
      <c r="AA111" s="1" t="s">
        <v>893</v>
      </c>
      <c r="AF111" s="1" t="s">
        <v>472</v>
      </c>
      <c r="AJ111" s="1" t="s">
        <v>894</v>
      </c>
      <c r="AM111" s="1" t="s">
        <v>694</v>
      </c>
    </row>
    <row r="112">
      <c r="A112" s="1" t="s">
        <v>712</v>
      </c>
      <c r="E112" s="1" t="s">
        <v>166</v>
      </c>
      <c r="F112" s="6" t="str">
        <f>IFERROR(__xludf.DUMMYFUNCTION("""COMPUTED_VALUE"""),"fluid")</f>
        <v>fluid</v>
      </c>
      <c r="H112" s="1" t="s">
        <v>96</v>
      </c>
      <c r="I112" s="6" t="str">
        <f>IFERROR(__xludf.DUMMYFUNCTION("""COMPUTED_VALUE"""),"life")</f>
        <v>life</v>
      </c>
      <c r="K112" s="1" t="s">
        <v>567</v>
      </c>
      <c r="P112" s="1" t="s">
        <v>646</v>
      </c>
      <c r="Q112" s="6" t="str">
        <f>IFERROR(__xludf.DUMMYFUNCTION("""COMPUTED_VALUE"""),"debut")</f>
        <v>debut</v>
      </c>
      <c r="S112" s="1" t="s">
        <v>895</v>
      </c>
      <c r="T112" s="6" t="str">
        <f>IFERROR(__xludf.DUMMYFUNCTION("""COMPUTED_VALUE"""),"less")</f>
        <v>less</v>
      </c>
      <c r="W112" s="1" t="s">
        <v>896</v>
      </c>
      <c r="AA112" s="1" t="s">
        <v>897</v>
      </c>
      <c r="AF112" s="1" t="s">
        <v>480</v>
      </c>
      <c r="AJ112" s="1" t="s">
        <v>173</v>
      </c>
      <c r="AM112" s="1" t="s">
        <v>125</v>
      </c>
    </row>
    <row r="113">
      <c r="A113" s="1" t="s">
        <v>898</v>
      </c>
      <c r="E113" s="1" t="s">
        <v>193</v>
      </c>
      <c r="F113" s="6" t="str">
        <f>IFERROR(__xludf.DUMMYFUNCTION("""COMPUTED_VALUE"""),"storytelling")</f>
        <v>storytelling</v>
      </c>
      <c r="H113" s="1" t="s">
        <v>330</v>
      </c>
      <c r="I113" s="6" t="str">
        <f>IFERROR(__xludf.DUMMYFUNCTION("""COMPUTED_VALUE"""),"historically")</f>
        <v>historically</v>
      </c>
      <c r="K113" s="1" t="s">
        <v>899</v>
      </c>
      <c r="P113" s="1" t="s">
        <v>257</v>
      </c>
      <c r="Q113" s="6" t="str">
        <f>IFERROR(__xludf.DUMMYFUNCTION("""COMPUTED_VALUE"""),"beings")</f>
        <v>beings</v>
      </c>
      <c r="S113" s="1" t="s">
        <v>469</v>
      </c>
      <c r="T113" s="6" t="str">
        <f>IFERROR(__xludf.DUMMYFUNCTION("""COMPUTED_VALUE"""),"veins")</f>
        <v>veins</v>
      </c>
      <c r="W113" s="1" t="s">
        <v>900</v>
      </c>
      <c r="AA113" s="1" t="s">
        <v>901</v>
      </c>
      <c r="AF113" s="1" t="s">
        <v>487</v>
      </c>
      <c r="AJ113" s="1" t="s">
        <v>309</v>
      </c>
      <c r="AM113" s="1" t="s">
        <v>708</v>
      </c>
    </row>
    <row r="114">
      <c r="A114" s="1" t="s">
        <v>902</v>
      </c>
      <c r="E114" s="1" t="s">
        <v>903</v>
      </c>
      <c r="F114" s="6" t="str">
        <f>IFERROR(__xludf.DUMMYFUNCTION("""COMPUTED_VALUE"""),"casts")</f>
        <v>casts</v>
      </c>
      <c r="H114" s="1" t="s">
        <v>189</v>
      </c>
      <c r="I114" s="6" t="str">
        <f>IFERROR(__xludf.DUMMYFUNCTION("""COMPUTED_VALUE"""),"significant")</f>
        <v>significant</v>
      </c>
      <c r="K114" s="1" t="s">
        <v>904</v>
      </c>
      <c r="P114" s="1" t="s">
        <v>241</v>
      </c>
      <c r="Q114" s="6" t="str">
        <f>IFERROR(__xludf.DUMMYFUNCTION("""COMPUTED_VALUE"""),"affecting")</f>
        <v>affecting</v>
      </c>
      <c r="S114" s="7">
        <v>4067.0</v>
      </c>
      <c r="T114" s="7" t="str">
        <f>IFERROR(__xludf.DUMMYFUNCTION("""COMPUTED_VALUE"""),"rich")</f>
        <v>rich</v>
      </c>
      <c r="W114" s="1" t="s">
        <v>152</v>
      </c>
      <c r="AA114" s="1" t="s">
        <v>714</v>
      </c>
      <c r="AF114" s="1" t="s">
        <v>494</v>
      </c>
      <c r="AJ114" s="1" t="s">
        <v>905</v>
      </c>
      <c r="AM114" s="1" t="s">
        <v>396</v>
      </c>
    </row>
    <row r="115">
      <c r="A115" s="1" t="s">
        <v>906</v>
      </c>
      <c r="E115" s="1" t="s">
        <v>907</v>
      </c>
      <c r="F115" s="6" t="str">
        <f>IFERROR(__xludf.DUMMYFUNCTION("""COMPUTED_VALUE"""),"pleasures")</f>
        <v>pleasures</v>
      </c>
      <c r="H115" s="1" t="s">
        <v>908</v>
      </c>
      <c r="I115" s="6" t="str">
        <f>IFERROR(__xludf.DUMMYFUNCTION("""COMPUTED_VALUE"""),"tribute")</f>
        <v>tribute</v>
      </c>
      <c r="K115" s="1" t="s">
        <v>95</v>
      </c>
      <c r="P115" s="1" t="s">
        <v>909</v>
      </c>
      <c r="Q115" s="6" t="str">
        <f>IFERROR(__xludf.DUMMYFUNCTION("""COMPUTED_VALUE"""),"successful")</f>
        <v>successful</v>
      </c>
      <c r="S115" s="1" t="s">
        <v>910</v>
      </c>
      <c r="T115" s="6" t="str">
        <f>IFERROR(__xludf.DUMMYFUNCTION("""COMPUTED_VALUE"""),"apparent")</f>
        <v>apparent</v>
      </c>
      <c r="W115" s="1" t="s">
        <v>724</v>
      </c>
      <c r="AA115" s="1" t="s">
        <v>911</v>
      </c>
      <c r="AF115" s="1" t="s">
        <v>912</v>
      </c>
      <c r="AJ115" s="1" t="s">
        <v>913</v>
      </c>
      <c r="AM115" s="1" t="s">
        <v>407</v>
      </c>
    </row>
    <row r="116">
      <c r="A116" s="1" t="s">
        <v>914</v>
      </c>
      <c r="E116" s="1" t="s">
        <v>915</v>
      </c>
      <c r="F116" s="6" t="str">
        <f>IFERROR(__xludf.DUMMYFUNCTION("""COMPUTED_VALUE"""),"masterpiece")</f>
        <v>masterpiece</v>
      </c>
      <c r="H116" s="1" t="s">
        <v>795</v>
      </c>
      <c r="I116" s="6" t="str">
        <f>IFERROR(__xludf.DUMMYFUNCTION("""COMPUTED_VALUE"""),"first")</f>
        <v>first</v>
      </c>
      <c r="K116" s="1" t="s">
        <v>916</v>
      </c>
      <c r="P116" s="1" t="s">
        <v>917</v>
      </c>
      <c r="Q116" s="6" t="str">
        <f>IFERROR(__xludf.DUMMYFUNCTION("""COMPUTED_VALUE"""),"moving")</f>
        <v>moving</v>
      </c>
      <c r="S116" s="1" t="s">
        <v>918</v>
      </c>
      <c r="T116" s="6" t="str">
        <f>IFERROR(__xludf.DUMMYFUNCTION("""COMPUTED_VALUE"""),"joy")</f>
        <v>joy</v>
      </c>
      <c r="W116" s="1" t="s">
        <v>664</v>
      </c>
      <c r="AA116" s="1" t="s">
        <v>919</v>
      </c>
      <c r="AF116" s="1" t="s">
        <v>920</v>
      </c>
      <c r="AJ116" s="1" t="s">
        <v>316</v>
      </c>
      <c r="AM116" s="1" t="s">
        <v>133</v>
      </c>
    </row>
    <row r="117">
      <c r="A117" s="1" t="s">
        <v>921</v>
      </c>
      <c r="E117" s="1" t="s">
        <v>528</v>
      </c>
      <c r="F117" s="6" t="str">
        <f>IFERROR(__xludf.DUMMYFUNCTION("""COMPUTED_VALUE"""),"lot")</f>
        <v>lot</v>
      </c>
      <c r="H117" s="1" t="s">
        <v>638</v>
      </c>
      <c r="I117" s="6" t="str">
        <f>IFERROR(__xludf.DUMMYFUNCTION("""COMPUTED_VALUE"""),"robert")</f>
        <v>robert</v>
      </c>
      <c r="K117" s="1" t="s">
        <v>922</v>
      </c>
      <c r="P117" s="1" t="s">
        <v>157</v>
      </c>
      <c r="Q117" s="6" t="str">
        <f>IFERROR(__xludf.DUMMYFUNCTION("""COMPUTED_VALUE"""),"intelligent")</f>
        <v>intelligent</v>
      </c>
      <c r="S117" s="1" t="s">
        <v>923</v>
      </c>
      <c r="T117" s="6" t="str">
        <f>IFERROR(__xludf.DUMMYFUNCTION("""COMPUTED_VALUE"""),"video")</f>
        <v>video</v>
      </c>
      <c r="W117" s="1" t="s">
        <v>924</v>
      </c>
      <c r="AA117" s="1" t="s">
        <v>925</v>
      </c>
      <c r="AF117" s="1" t="s">
        <v>729</v>
      </c>
      <c r="AJ117" s="1" t="s">
        <v>183</v>
      </c>
      <c r="AM117" s="1" t="s">
        <v>412</v>
      </c>
    </row>
    <row r="118">
      <c r="A118" s="1" t="s">
        <v>793</v>
      </c>
      <c r="E118" s="1" t="s">
        <v>926</v>
      </c>
      <c r="F118" s="6" t="str">
        <f>IFERROR(__xludf.DUMMYFUNCTION("""COMPUTED_VALUE"""),"hopeless")</f>
        <v>hopeless</v>
      </c>
      <c r="H118" s="1" t="s">
        <v>803</v>
      </c>
      <c r="I118" s="6" t="str">
        <f>IFERROR(__xludf.DUMMYFUNCTION("""COMPUTED_VALUE"""),"extremes")</f>
        <v>extremes</v>
      </c>
      <c r="K118" s="1" t="s">
        <v>927</v>
      </c>
      <c r="P118" s="1" t="s">
        <v>275</v>
      </c>
      <c r="Q118" s="6" t="str">
        <f>IFERROR(__xludf.DUMMYFUNCTION("""COMPUTED_VALUE"""),"sequels")</f>
        <v>sequels</v>
      </c>
      <c r="S118" s="1" t="s">
        <v>928</v>
      </c>
      <c r="T118" s="6" t="str">
        <f>IFERROR(__xludf.DUMMYFUNCTION("""COMPUTED_VALUE"""),"relentless")</f>
        <v>relentless</v>
      </c>
      <c r="W118" s="1" t="s">
        <v>929</v>
      </c>
      <c r="AA118" s="1" t="s">
        <v>930</v>
      </c>
      <c r="AF118" s="1" t="s">
        <v>931</v>
      </c>
      <c r="AJ118" s="1" t="s">
        <v>932</v>
      </c>
      <c r="AM118" s="1" t="s">
        <v>933</v>
      </c>
    </row>
    <row r="119">
      <c r="A119" s="1" t="s">
        <v>934</v>
      </c>
      <c r="E119" s="1" t="s">
        <v>810</v>
      </c>
      <c r="F119" s="6" t="str">
        <f>IFERROR(__xludf.DUMMYFUNCTION("""COMPUTED_VALUE"""),"charming")</f>
        <v>charming</v>
      </c>
      <c r="H119" s="1" t="s">
        <v>839</v>
      </c>
      <c r="I119" s="6" t="str">
        <f>IFERROR(__xludf.DUMMYFUNCTION("""COMPUTED_VALUE"""),"continuum")</f>
        <v>continuum</v>
      </c>
      <c r="K119" s="1" t="s">
        <v>935</v>
      </c>
      <c r="P119" s="1" t="s">
        <v>162</v>
      </c>
      <c r="Q119" s="6" t="str">
        <f>IFERROR(__xludf.DUMMYFUNCTION("""COMPUTED_VALUE"""),"sustain")</f>
        <v>sustain</v>
      </c>
      <c r="S119" s="1" t="s">
        <v>350</v>
      </c>
      <c r="T119" s="6" t="str">
        <f>IFERROR(__xludf.DUMMYFUNCTION("""COMPUTED_VALUE"""),"exploration")</f>
        <v>exploration</v>
      </c>
      <c r="W119" s="1" t="s">
        <v>936</v>
      </c>
      <c r="AA119" s="1" t="s">
        <v>707</v>
      </c>
      <c r="AF119" s="1" t="s">
        <v>501</v>
      </c>
      <c r="AJ119" s="1" t="s">
        <v>937</v>
      </c>
      <c r="AM119" s="1" t="s">
        <v>748</v>
      </c>
    </row>
    <row r="120">
      <c r="A120" s="1" t="s">
        <v>497</v>
      </c>
      <c r="E120" s="1" t="s">
        <v>537</v>
      </c>
      <c r="F120" s="6" t="str">
        <f>IFERROR(__xludf.DUMMYFUNCTION("""COMPUTED_VALUE"""),"dialogue")</f>
        <v>dialogue</v>
      </c>
      <c r="H120" s="1" t="s">
        <v>141</v>
      </c>
      <c r="I120" s="6" t="str">
        <f>IFERROR(__xludf.DUMMYFUNCTION("""COMPUTED_VALUE"""),"manages")</f>
        <v>manages</v>
      </c>
      <c r="K120" s="1" t="s">
        <v>390</v>
      </c>
      <c r="P120" s="1" t="s">
        <v>938</v>
      </c>
      <c r="Q120" s="6" t="str">
        <f>IFERROR(__xludf.DUMMYFUNCTION("""COMPUTED_VALUE"""),"filmmaker")</f>
        <v>filmmaker</v>
      </c>
      <c r="S120" s="1" t="s">
        <v>58</v>
      </c>
      <c r="T120" s="6" t="str">
        <f>IFERROR(__xludf.DUMMYFUNCTION("""COMPUTED_VALUE"""),"sour")</f>
        <v>sour</v>
      </c>
      <c r="W120" s="1" t="s">
        <v>939</v>
      </c>
      <c r="AA120" s="1" t="s">
        <v>940</v>
      </c>
      <c r="AF120" s="1" t="s">
        <v>941</v>
      </c>
      <c r="AJ120" s="1" t="s">
        <v>942</v>
      </c>
      <c r="AM120" s="1" t="s">
        <v>943</v>
      </c>
    </row>
    <row r="121">
      <c r="A121" s="1" t="s">
        <v>944</v>
      </c>
      <c r="E121" s="1" t="s">
        <v>111</v>
      </c>
      <c r="F121" s="6" t="str">
        <f>IFERROR(__xludf.DUMMYFUNCTION("""COMPUTED_VALUE"""),"sentiment")</f>
        <v>sentiment</v>
      </c>
      <c r="H121" s="1" t="s">
        <v>105</v>
      </c>
      <c r="I121" s="6" t="str">
        <f>IFERROR(__xludf.DUMMYFUNCTION("""COMPUTED_VALUE"""),"intensity")</f>
        <v>intensity</v>
      </c>
      <c r="K121" s="1" t="s">
        <v>945</v>
      </c>
      <c r="P121" s="1" t="s">
        <v>292</v>
      </c>
      <c r="Q121" s="6" t="str">
        <f>IFERROR(__xludf.DUMMYFUNCTION("""COMPUTED_VALUE"""),"ambitious")</f>
        <v>ambitious</v>
      </c>
      <c r="S121" s="1" t="s">
        <v>946</v>
      </c>
      <c r="T121" s="6" t="str">
        <f>IFERROR(__xludf.DUMMYFUNCTION("""COMPUTED_VALUE"""),"ending")</f>
        <v>ending</v>
      </c>
      <c r="W121" s="1" t="s">
        <v>947</v>
      </c>
      <c r="AA121" s="1" t="s">
        <v>948</v>
      </c>
      <c r="AF121" s="1" t="s">
        <v>949</v>
      </c>
      <c r="AJ121" s="1" t="s">
        <v>950</v>
      </c>
      <c r="AM121" s="1" t="s">
        <v>425</v>
      </c>
    </row>
    <row r="122">
      <c r="A122" s="1" t="s">
        <v>951</v>
      </c>
      <c r="E122" s="1" t="s">
        <v>952</v>
      </c>
      <c r="F122" s="6" t="str">
        <f>IFERROR(__xludf.DUMMYFUNCTION("""COMPUTED_VALUE"""),"clumsy")</f>
        <v>clumsy</v>
      </c>
      <c r="H122" s="1" t="s">
        <v>657</v>
      </c>
      <c r="I122" s="6" t="str">
        <f>IFERROR(__xludf.DUMMYFUNCTION("""COMPUTED_VALUE"""),"family")</f>
        <v>family</v>
      </c>
      <c r="K122" s="1" t="s">
        <v>953</v>
      </c>
      <c r="P122" s="1" t="s">
        <v>872</v>
      </c>
      <c r="Q122" s="6" t="str">
        <f>IFERROR(__xludf.DUMMYFUNCTION("""COMPUTED_VALUE"""),"weaknesses")</f>
        <v>weaknesses</v>
      </c>
      <c r="S122" s="1" t="s">
        <v>954</v>
      </c>
      <c r="T122" s="6" t="str">
        <f>IFERROR(__xludf.DUMMYFUNCTION("""COMPUTED_VALUE"""),"our")</f>
        <v>our</v>
      </c>
      <c r="W122" s="1" t="s">
        <v>955</v>
      </c>
      <c r="AA122" s="1" t="s">
        <v>956</v>
      </c>
      <c r="AF122" s="1" t="s">
        <v>957</v>
      </c>
      <c r="AJ122" s="1" t="s">
        <v>87</v>
      </c>
      <c r="AM122" s="1" t="s">
        <v>767</v>
      </c>
    </row>
    <row r="123">
      <c r="A123" s="1" t="s">
        <v>242</v>
      </c>
      <c r="E123" s="1" t="s">
        <v>653</v>
      </c>
      <c r="F123" s="6" t="str">
        <f>IFERROR(__xludf.DUMMYFUNCTION("""COMPUTED_VALUE"""),"tissues")</f>
        <v>tissues</v>
      </c>
      <c r="H123" s="1" t="s">
        <v>229</v>
      </c>
      <c r="I123" s="6" t="str">
        <f>IFERROR(__xludf.DUMMYFUNCTION("""COMPUTED_VALUE"""),"flair")</f>
        <v>flair</v>
      </c>
      <c r="K123" s="1" t="s">
        <v>958</v>
      </c>
      <c r="P123" s="1" t="s">
        <v>887</v>
      </c>
      <c r="Q123" s="6" t="str">
        <f>IFERROR(__xludf.DUMMYFUNCTION("""COMPUTED_VALUE"""),"carmen")</f>
        <v>carmen</v>
      </c>
      <c r="S123" s="1" t="s">
        <v>959</v>
      </c>
      <c r="T123" s="6" t="str">
        <f>IFERROR(__xludf.DUMMYFUNCTION("""COMPUTED_VALUE"""),"thrilling")</f>
        <v>thrilling</v>
      </c>
      <c r="W123" s="1" t="s">
        <v>960</v>
      </c>
      <c r="AA123" s="1" t="s">
        <v>961</v>
      </c>
      <c r="AF123" s="1" t="s">
        <v>508</v>
      </c>
      <c r="AJ123" s="1" t="s">
        <v>962</v>
      </c>
      <c r="AM123" s="1" t="s">
        <v>782</v>
      </c>
    </row>
    <row r="124">
      <c r="A124" s="1" t="s">
        <v>963</v>
      </c>
      <c r="E124" s="1" t="s">
        <v>165</v>
      </c>
      <c r="F124" s="6" t="str">
        <f>IFERROR(__xludf.DUMMYFUNCTION("""COMPUTED_VALUE"""),"betrayed")</f>
        <v>betrayed</v>
      </c>
      <c r="H124" s="1" t="s">
        <v>370</v>
      </c>
      <c r="I124" s="6" t="str">
        <f>IFERROR(__xludf.DUMMYFUNCTION("""COMPUTED_VALUE"""),"terrific")</f>
        <v>terrific</v>
      </c>
      <c r="K124" s="1" t="s">
        <v>409</v>
      </c>
      <c r="P124" s="1" t="s">
        <v>173</v>
      </c>
      <c r="Q124" s="6" t="str">
        <f>IFERROR(__xludf.DUMMYFUNCTION("""COMPUTED_VALUE"""),"ode")</f>
        <v>ode</v>
      </c>
      <c r="S124" s="1" t="s">
        <v>964</v>
      </c>
      <c r="T124" s="6" t="str">
        <f>IFERROR(__xludf.DUMMYFUNCTION("""COMPUTED_VALUE"""),"hold")</f>
        <v>hold</v>
      </c>
      <c r="W124" s="1" t="s">
        <v>965</v>
      </c>
      <c r="AA124" s="1" t="s">
        <v>966</v>
      </c>
      <c r="AF124" s="1" t="s">
        <v>517</v>
      </c>
      <c r="AJ124" s="1" t="s">
        <v>333</v>
      </c>
      <c r="AM124" s="1" t="s">
        <v>967</v>
      </c>
    </row>
    <row r="125">
      <c r="A125" s="1" t="s">
        <v>968</v>
      </c>
      <c r="E125" s="1" t="s">
        <v>545</v>
      </c>
      <c r="F125" s="6" t="str">
        <f>IFERROR(__xludf.DUMMYFUNCTION("""COMPUTED_VALUE"""),"conviction")</f>
        <v>conviction</v>
      </c>
      <c r="H125" s="1" t="s">
        <v>861</v>
      </c>
      <c r="I125" s="6" t="str">
        <f>IFERROR(__xludf.DUMMYFUNCTION("""COMPUTED_VALUE"""),"animated")</f>
        <v>animated</v>
      </c>
      <c r="K125" s="1" t="s">
        <v>969</v>
      </c>
      <c r="P125" s="1" t="s">
        <v>905</v>
      </c>
      <c r="Q125" s="6" t="str">
        <f>IFERROR(__xludf.DUMMYFUNCTION("""COMPUTED_VALUE"""),"luminous")</f>
        <v>luminous</v>
      </c>
      <c r="S125" s="1" t="s">
        <v>342</v>
      </c>
      <c r="T125" s="6" t="str">
        <f>IFERROR(__xludf.DUMMYFUNCTION("""COMPUTED_VALUE"""),"ford")</f>
        <v>ford</v>
      </c>
      <c r="W125" s="1" t="s">
        <v>466</v>
      </c>
      <c r="AA125" s="1" t="s">
        <v>970</v>
      </c>
      <c r="AF125" s="1" t="s">
        <v>971</v>
      </c>
      <c r="AJ125" s="1" t="s">
        <v>972</v>
      </c>
      <c r="AM125" s="1" t="s">
        <v>789</v>
      </c>
    </row>
    <row r="126">
      <c r="A126" s="1" t="s">
        <v>973</v>
      </c>
      <c r="E126" s="1" t="s">
        <v>558</v>
      </c>
      <c r="F126" s="6" t="str">
        <f>IFERROR(__xludf.DUMMYFUNCTION("""COMPUTED_VALUE"""),"bourne")</f>
        <v>bourne</v>
      </c>
      <c r="H126" s="1" t="s">
        <v>359</v>
      </c>
      <c r="I126" s="6" t="str">
        <f>IFERROR(__xludf.DUMMYFUNCTION("""COMPUTED_VALUE"""),"central")</f>
        <v>central</v>
      </c>
      <c r="K126" s="1" t="s">
        <v>974</v>
      </c>
      <c r="P126" s="1" t="s">
        <v>316</v>
      </c>
      <c r="Q126" s="6" t="str">
        <f>IFERROR(__xludf.DUMMYFUNCTION("""COMPUTED_VALUE"""),"failing")</f>
        <v>failing</v>
      </c>
      <c r="S126" s="1" t="s">
        <v>975</v>
      </c>
      <c r="T126" s="6" t="str">
        <f>IFERROR(__xludf.DUMMYFUNCTION("""COMPUTED_VALUE"""),"pretty")</f>
        <v>pretty</v>
      </c>
      <c r="W126" s="1" t="s">
        <v>976</v>
      </c>
      <c r="AA126" s="1" t="s">
        <v>977</v>
      </c>
      <c r="AF126" s="1" t="s">
        <v>526</v>
      </c>
      <c r="AJ126" s="1" t="s">
        <v>344</v>
      </c>
      <c r="AM126" s="1" t="s">
        <v>163</v>
      </c>
    </row>
    <row r="127">
      <c r="A127" s="1" t="s">
        <v>849</v>
      </c>
      <c r="E127" s="1" t="s">
        <v>553</v>
      </c>
      <c r="F127" s="6" t="str">
        <f>IFERROR(__xludf.DUMMYFUNCTION("""COMPUTED_VALUE"""),"role")</f>
        <v>role</v>
      </c>
      <c r="H127" s="1" t="s">
        <v>978</v>
      </c>
      <c r="I127" s="6" t="str">
        <f>IFERROR(__xludf.DUMMYFUNCTION("""COMPUTED_VALUE"""),"anyone")</f>
        <v>anyone</v>
      </c>
      <c r="K127" s="1" t="s">
        <v>979</v>
      </c>
      <c r="P127" s="1" t="s">
        <v>183</v>
      </c>
      <c r="Q127" s="6" t="str">
        <f>IFERROR(__xludf.DUMMYFUNCTION("""COMPUTED_VALUE"""),"soap")</f>
        <v>soap</v>
      </c>
      <c r="S127" s="1" t="s">
        <v>129</v>
      </c>
      <c r="T127" s="6" t="str">
        <f>IFERROR(__xludf.DUMMYFUNCTION("""COMPUTED_VALUE"""),"woven")</f>
        <v>woven</v>
      </c>
      <c r="W127" s="1" t="s">
        <v>980</v>
      </c>
      <c r="AA127" s="1" t="s">
        <v>981</v>
      </c>
      <c r="AF127" s="1" t="s">
        <v>628</v>
      </c>
      <c r="AJ127" s="1" t="s">
        <v>599</v>
      </c>
      <c r="AM127" s="1" t="s">
        <v>143</v>
      </c>
    </row>
    <row r="128">
      <c r="A128" s="1" t="s">
        <v>982</v>
      </c>
      <c r="E128" s="1" t="s">
        <v>570</v>
      </c>
      <c r="F128" s="6" t="str">
        <f>IFERROR(__xludf.DUMMYFUNCTION("""COMPUTED_VALUE"""),"brings")</f>
        <v>brings</v>
      </c>
      <c r="H128" s="1" t="s">
        <v>150</v>
      </c>
      <c r="I128" s="6" t="str">
        <f>IFERROR(__xludf.DUMMYFUNCTION("""COMPUTED_VALUE"""),"alternating")</f>
        <v>alternating</v>
      </c>
      <c r="K128" s="1" t="s">
        <v>173</v>
      </c>
      <c r="P128" s="1" t="s">
        <v>937</v>
      </c>
      <c r="Q128" s="6" t="str">
        <f>IFERROR(__xludf.DUMMYFUNCTION("""COMPUTED_VALUE"""),"failure")</f>
        <v>failure</v>
      </c>
      <c r="S128" s="1" t="s">
        <v>679</v>
      </c>
      <c r="T128" s="6" t="str">
        <f>IFERROR(__xludf.DUMMYFUNCTION("""COMPUTED_VALUE"""),"aerial")</f>
        <v>aerial</v>
      </c>
      <c r="W128" s="1" t="s">
        <v>983</v>
      </c>
      <c r="AA128" s="1" t="s">
        <v>984</v>
      </c>
      <c r="AF128" s="1" t="s">
        <v>985</v>
      </c>
      <c r="AJ128" s="1" t="s">
        <v>192</v>
      </c>
      <c r="AM128" s="1" t="s">
        <v>433</v>
      </c>
    </row>
    <row r="129">
      <c r="A129" s="1" t="s">
        <v>986</v>
      </c>
      <c r="E129" s="1" t="s">
        <v>987</v>
      </c>
      <c r="F129" s="6" t="str">
        <f>IFERROR(__xludf.DUMMYFUNCTION("""COMPUTED_VALUE"""),"diplomacy")</f>
        <v>diplomacy</v>
      </c>
      <c r="H129" s="1" t="s">
        <v>95</v>
      </c>
      <c r="I129" s="6" t="str">
        <f>IFERROR(__xludf.DUMMYFUNCTION("""COMPUTED_VALUE"""),"parody")</f>
        <v>parody</v>
      </c>
      <c r="K129" s="1" t="s">
        <v>988</v>
      </c>
      <c r="P129" s="1" t="s">
        <v>942</v>
      </c>
      <c r="Q129" s="6" t="str">
        <f>IFERROR(__xludf.DUMMYFUNCTION("""COMPUTED_VALUE"""),"powerful")</f>
        <v>powerful</v>
      </c>
      <c r="S129" s="1" t="s">
        <v>909</v>
      </c>
      <c r="T129" s="6" t="str">
        <f>IFERROR(__xludf.DUMMYFUNCTION("""COMPUTED_VALUE"""),"experience")</f>
        <v>experience</v>
      </c>
      <c r="W129" s="1" t="s">
        <v>749</v>
      </c>
      <c r="AA129" s="1" t="s">
        <v>989</v>
      </c>
      <c r="AF129" s="1" t="s">
        <v>648</v>
      </c>
      <c r="AJ129" s="1" t="s">
        <v>990</v>
      </c>
      <c r="AM129" s="1" t="s">
        <v>991</v>
      </c>
    </row>
    <row r="130">
      <c r="A130" s="1" t="s">
        <v>992</v>
      </c>
      <c r="E130" s="1" t="s">
        <v>993</v>
      </c>
      <c r="F130" s="6" t="str">
        <f>IFERROR(__xludf.DUMMYFUNCTION("""COMPUTED_VALUE"""),"generosity")</f>
        <v>generosity</v>
      </c>
      <c r="H130" s="1" t="s">
        <v>687</v>
      </c>
      <c r="I130" s="6" t="str">
        <f>IFERROR(__xludf.DUMMYFUNCTION("""COMPUTED_VALUE"""),"android")</f>
        <v>android</v>
      </c>
      <c r="K130" s="1" t="s">
        <v>994</v>
      </c>
      <c r="P130" s="1" t="s">
        <v>530</v>
      </c>
      <c r="Q130" s="6" t="str">
        <f>IFERROR(__xludf.DUMMYFUNCTION("""COMPUTED_VALUE"""),"cinematography")</f>
        <v>cinematography</v>
      </c>
      <c r="S130" s="1" t="s">
        <v>995</v>
      </c>
      <c r="T130" s="6" t="str">
        <f>IFERROR(__xludf.DUMMYFUNCTION("""COMPUTED_VALUE"""),"women")</f>
        <v>women</v>
      </c>
      <c r="W130" s="1" t="s">
        <v>996</v>
      </c>
      <c r="AA130" s="1" t="s">
        <v>114</v>
      </c>
      <c r="AF130" s="1" t="s">
        <v>533</v>
      </c>
      <c r="AJ130" s="1" t="s">
        <v>997</v>
      </c>
      <c r="AM130" s="1" t="s">
        <v>450</v>
      </c>
    </row>
    <row r="131">
      <c r="A131" s="1" t="s">
        <v>998</v>
      </c>
      <c r="E131" s="1" t="s">
        <v>591</v>
      </c>
      <c r="F131" s="6" t="str">
        <f>IFERROR(__xludf.DUMMYFUNCTION("""COMPUTED_VALUE"""),"engaging")</f>
        <v>engaging</v>
      </c>
      <c r="H131" s="1" t="s">
        <v>694</v>
      </c>
      <c r="I131" s="6" t="str">
        <f>IFERROR(__xludf.DUMMYFUNCTION("""COMPUTED_VALUE"""),"intriguing")</f>
        <v>intriguing</v>
      </c>
      <c r="K131" s="1" t="s">
        <v>999</v>
      </c>
      <c r="P131" s="1" t="s">
        <v>87</v>
      </c>
      <c r="Q131" s="6" t="str">
        <f>IFERROR(__xludf.DUMMYFUNCTION("""COMPUTED_VALUE"""),"chateau")</f>
        <v>chateau</v>
      </c>
      <c r="S131" s="1" t="s">
        <v>1000</v>
      </c>
      <c r="T131" s="6" t="str">
        <f>IFERROR(__xludf.DUMMYFUNCTION("""COMPUTED_VALUE"""),"deception")</f>
        <v>deception</v>
      </c>
      <c r="W131" s="1" t="s">
        <v>258</v>
      </c>
      <c r="AA131" s="1" t="s">
        <v>1001</v>
      </c>
      <c r="AF131" s="1" t="s">
        <v>1002</v>
      </c>
      <c r="AJ131" s="1" t="s">
        <v>202</v>
      </c>
      <c r="AM131" s="1" t="s">
        <v>1003</v>
      </c>
    </row>
    <row r="132">
      <c r="A132" s="1" t="s">
        <v>693</v>
      </c>
      <c r="E132" s="1" t="s">
        <v>121</v>
      </c>
      <c r="F132" s="6" t="str">
        <f>IFERROR(__xludf.DUMMYFUNCTION("""COMPUTED_VALUE"""),"collapse")</f>
        <v>collapse</v>
      </c>
      <c r="H132" s="1" t="s">
        <v>888</v>
      </c>
      <c r="I132" s="6" t="str">
        <f>IFERROR(__xludf.DUMMYFUNCTION("""COMPUTED_VALUE"""),"comic")</f>
        <v>comic</v>
      </c>
      <c r="K132" s="1" t="s">
        <v>1004</v>
      </c>
      <c r="P132" s="1" t="s">
        <v>962</v>
      </c>
      <c r="Q132" s="6" t="str">
        <f>IFERROR(__xludf.DUMMYFUNCTION("""COMPUTED_VALUE"""),"violence")</f>
        <v>violence</v>
      </c>
      <c r="S132" s="1" t="s">
        <v>365</v>
      </c>
      <c r="T132" s="6" t="str">
        <f>IFERROR(__xludf.DUMMYFUNCTION("""COMPUTED_VALUE"""),"men")</f>
        <v>men</v>
      </c>
      <c r="W132" s="1" t="s">
        <v>1005</v>
      </c>
      <c r="AA132" s="1" t="s">
        <v>1006</v>
      </c>
      <c r="AF132" s="1" t="s">
        <v>1007</v>
      </c>
      <c r="AJ132" s="1" t="s">
        <v>1008</v>
      </c>
      <c r="AM132" s="1" t="s">
        <v>1009</v>
      </c>
    </row>
    <row r="133">
      <c r="A133" s="1" t="s">
        <v>1010</v>
      </c>
      <c r="E133" s="1" t="s">
        <v>215</v>
      </c>
      <c r="F133" s="6" t="str">
        <f>IFERROR(__xludf.DUMMYFUNCTION("""COMPUTED_VALUE"""),"flaws")</f>
        <v>flaws</v>
      </c>
      <c r="H133" s="1" t="s">
        <v>593</v>
      </c>
      <c r="I133" s="6" t="str">
        <f>IFERROR(__xludf.DUMMYFUNCTION("""COMPUTED_VALUE"""),"pulp")</f>
        <v>pulp</v>
      </c>
      <c r="K133" s="1" t="s">
        <v>1011</v>
      </c>
      <c r="P133" s="1" t="s">
        <v>822</v>
      </c>
      <c r="Q133" s="6" t="str">
        <f>IFERROR(__xludf.DUMMYFUNCTION("""COMPUTED_VALUE"""),"use")</f>
        <v>use</v>
      </c>
      <c r="S133" s="1" t="s">
        <v>1012</v>
      </c>
      <c r="T133" s="6" t="str">
        <f>IFERROR(__xludf.DUMMYFUNCTION("""COMPUTED_VALUE"""),"carried")</f>
        <v>carried</v>
      </c>
      <c r="W133" s="1">
        <v>20.0</v>
      </c>
      <c r="AA133" s="1" t="s">
        <v>1013</v>
      </c>
      <c r="AF133" s="1" t="s">
        <v>1014</v>
      </c>
      <c r="AJ133" s="1" t="s">
        <v>1015</v>
      </c>
      <c r="AM133" s="1" t="s">
        <v>1016</v>
      </c>
    </row>
    <row r="134">
      <c r="A134" s="1" t="s">
        <v>1017</v>
      </c>
      <c r="E134" s="1" t="s">
        <v>605</v>
      </c>
      <c r="F134" s="6" t="str">
        <f>IFERROR(__xludf.DUMMYFUNCTION("""COMPUTED_VALUE"""),"tool")</f>
        <v>tool</v>
      </c>
      <c r="H134" s="1" t="s">
        <v>1018</v>
      </c>
      <c r="I134" s="6" t="str">
        <f>IFERROR(__xludf.DUMMYFUNCTION("""COMPUTED_VALUE"""),"difference")</f>
        <v>difference</v>
      </c>
      <c r="K134" s="1" t="s">
        <v>1019</v>
      </c>
      <c r="P134" s="1" t="s">
        <v>1020</v>
      </c>
      <c r="Q134" s="6" t="str">
        <f>IFERROR(__xludf.DUMMYFUNCTION("""COMPUTED_VALUE"""),"lesser")</f>
        <v>lesser</v>
      </c>
      <c r="S134" s="1" t="s">
        <v>1021</v>
      </c>
      <c r="T134" s="6" t="str">
        <f>IFERROR(__xludf.DUMMYFUNCTION("""COMPUTED_VALUE"""),"seem")</f>
        <v>seem</v>
      </c>
      <c r="W134" s="1" t="s">
        <v>1022</v>
      </c>
      <c r="AA134" s="1" t="s">
        <v>1023</v>
      </c>
      <c r="AF134" s="1" t="s">
        <v>1024</v>
      </c>
      <c r="AJ134" s="1" t="s">
        <v>1025</v>
      </c>
      <c r="AM134" s="1" t="s">
        <v>174</v>
      </c>
    </row>
    <row r="135">
      <c r="A135" s="1" t="s">
        <v>1026</v>
      </c>
      <c r="E135" s="1" t="s">
        <v>596</v>
      </c>
      <c r="F135" s="6" t="str">
        <f>IFERROR(__xludf.DUMMYFUNCTION("""COMPUTED_VALUE"""),"effective")</f>
        <v>effective</v>
      </c>
      <c r="H135" s="1" t="s">
        <v>125</v>
      </c>
      <c r="I135" s="6" t="str">
        <f>IFERROR(__xludf.DUMMYFUNCTION("""COMPUTED_VALUE"""),"artworks")</f>
        <v>artworks</v>
      </c>
      <c r="K135" s="1" t="s">
        <v>754</v>
      </c>
      <c r="P135" s="1" t="s">
        <v>972</v>
      </c>
      <c r="Q135" s="6" t="str">
        <f>IFERROR(__xludf.DUMMYFUNCTION("""COMPUTED_VALUE"""),"thriller")</f>
        <v>thriller</v>
      </c>
      <c r="S135" s="1" t="s">
        <v>332</v>
      </c>
      <c r="T135" s="6" t="str">
        <f>IFERROR(__xludf.DUMMYFUNCTION("""COMPUTED_VALUE"""),"earnest")</f>
        <v>earnest</v>
      </c>
      <c r="W135" s="1" t="s">
        <v>1027</v>
      </c>
      <c r="AA135" s="1" t="s">
        <v>1028</v>
      </c>
      <c r="AF135" s="1" t="s">
        <v>1029</v>
      </c>
      <c r="AJ135" s="1" t="s">
        <v>301</v>
      </c>
      <c r="AM135" s="1" t="s">
        <v>465</v>
      </c>
    </row>
    <row r="136">
      <c r="A136" s="1" t="s">
        <v>1030</v>
      </c>
      <c r="E136" s="1" t="s">
        <v>711</v>
      </c>
      <c r="F136" s="6" t="str">
        <f>IFERROR(__xludf.DUMMYFUNCTION("""COMPUTED_VALUE"""),"community")</f>
        <v>community</v>
      </c>
      <c r="H136" s="1" t="s">
        <v>708</v>
      </c>
      <c r="I136" s="6" t="str">
        <f>IFERROR(__xludf.DUMMYFUNCTION("""COMPUTED_VALUE"""),"wisdom")</f>
        <v>wisdom</v>
      </c>
      <c r="K136" s="1" t="s">
        <v>1031</v>
      </c>
      <c r="P136" s="1" t="s">
        <v>267</v>
      </c>
      <c r="Q136" s="6" t="str">
        <f>IFERROR(__xludf.DUMMYFUNCTION("""COMPUTED_VALUE"""),"manner")</f>
        <v>manner</v>
      </c>
      <c r="S136" s="1" t="s">
        <v>1032</v>
      </c>
      <c r="T136" s="6" t="str">
        <f>IFERROR(__xludf.DUMMYFUNCTION("""COMPUTED_VALUE"""),"pays")</f>
        <v>pays</v>
      </c>
      <c r="W136" s="1" t="s">
        <v>485</v>
      </c>
      <c r="AA136" s="1" t="s">
        <v>1033</v>
      </c>
      <c r="AF136" s="1" t="s">
        <v>747</v>
      </c>
      <c r="AJ136" s="1" t="s">
        <v>1034</v>
      </c>
      <c r="AM136" s="1" t="s">
        <v>1035</v>
      </c>
    </row>
    <row r="137">
      <c r="A137" s="1" t="s">
        <v>1036</v>
      </c>
      <c r="E137" s="1" t="s">
        <v>609</v>
      </c>
      <c r="F137" s="6" t="str">
        <f>IFERROR(__xludf.DUMMYFUNCTION("""COMPUTED_VALUE"""),"conquer")</f>
        <v>conquer</v>
      </c>
      <c r="H137" s="1" t="s">
        <v>396</v>
      </c>
      <c r="I137" s="6" t="str">
        <f>IFERROR(__xludf.DUMMYFUNCTION("""COMPUTED_VALUE"""),"washington")</f>
        <v>washington</v>
      </c>
      <c r="K137" s="1" t="s">
        <v>1037</v>
      </c>
      <c r="P137" s="1" t="s">
        <v>556</v>
      </c>
      <c r="Q137" s="6" t="str">
        <f>IFERROR(__xludf.DUMMYFUNCTION("""COMPUTED_VALUE"""),"potent")</f>
        <v>potent</v>
      </c>
      <c r="S137" s="1" t="s">
        <v>1038</v>
      </c>
      <c r="T137" s="6" t="str">
        <f>IFERROR(__xludf.DUMMYFUNCTION("""COMPUTED_VALUE"""),"homage")</f>
        <v>homage</v>
      </c>
      <c r="W137" s="1" t="s">
        <v>1039</v>
      </c>
      <c r="AA137" s="1" t="s">
        <v>1040</v>
      </c>
      <c r="AF137" s="1" t="s">
        <v>541</v>
      </c>
      <c r="AJ137" s="1" t="s">
        <v>208</v>
      </c>
      <c r="AM137" s="1" t="s">
        <v>1041</v>
      </c>
    </row>
    <row r="138">
      <c r="A138" s="1" t="s">
        <v>1042</v>
      </c>
      <c r="E138" s="1" t="s">
        <v>1043</v>
      </c>
      <c r="F138" s="6" t="str">
        <f>IFERROR(__xludf.DUMMYFUNCTION("""COMPUTED_VALUE"""),"delivers")</f>
        <v>delivers</v>
      </c>
      <c r="H138" s="1" t="s">
        <v>1044</v>
      </c>
      <c r="I138" s="6" t="str">
        <f>IFERROR(__xludf.DUMMYFUNCTION("""COMPUTED_VALUE"""),"respectable")</f>
        <v>respectable</v>
      </c>
      <c r="K138" s="1" t="s">
        <v>149</v>
      </c>
      <c r="P138" s="1" t="s">
        <v>1045</v>
      </c>
      <c r="Q138" s="6" t="str">
        <f>IFERROR(__xludf.DUMMYFUNCTION("""COMPUTED_VALUE"""),"insult")</f>
        <v>insult</v>
      </c>
      <c r="S138" s="1" t="s">
        <v>434</v>
      </c>
      <c r="T138" s="6" t="str">
        <f>IFERROR(__xludf.DUMMYFUNCTION("""COMPUTED_VALUE"""),"laughs")</f>
        <v>laughs</v>
      </c>
      <c r="W138" s="1" t="s">
        <v>1046</v>
      </c>
      <c r="AA138" s="1" t="s">
        <v>1047</v>
      </c>
      <c r="AF138" s="1" t="s">
        <v>649</v>
      </c>
      <c r="AJ138" s="1" t="s">
        <v>375</v>
      </c>
      <c r="AM138" s="1" t="s">
        <v>104</v>
      </c>
    </row>
    <row r="139">
      <c r="A139" s="1" t="s">
        <v>347</v>
      </c>
      <c r="E139" s="1" t="s">
        <v>613</v>
      </c>
      <c r="F139" s="6" t="str">
        <f>IFERROR(__xludf.DUMMYFUNCTION("""COMPUTED_VALUE"""),"roll")</f>
        <v>roll</v>
      </c>
      <c r="H139" s="1" t="s">
        <v>407</v>
      </c>
      <c r="I139" s="6" t="str">
        <f>IFERROR(__xludf.DUMMYFUNCTION("""COMPUTED_VALUE"""),"images")</f>
        <v>images</v>
      </c>
      <c r="K139" s="1" t="s">
        <v>1048</v>
      </c>
      <c r="P139" s="1" t="s">
        <v>751</v>
      </c>
      <c r="Q139" s="6" t="str">
        <f>IFERROR(__xludf.DUMMYFUNCTION("""COMPUTED_VALUE"""),"complete")</f>
        <v>complete</v>
      </c>
      <c r="S139" s="1" t="s">
        <v>1049</v>
      </c>
      <c r="T139" s="6" t="str">
        <f>IFERROR(__xludf.DUMMYFUNCTION("""COMPUTED_VALUE"""),"few")</f>
        <v>few</v>
      </c>
      <c r="W139" s="1" t="s">
        <v>1050</v>
      </c>
      <c r="AA139" s="1" t="s">
        <v>1051</v>
      </c>
      <c r="AF139" s="1" t="s">
        <v>1052</v>
      </c>
      <c r="AJ139" s="1" t="s">
        <v>1053</v>
      </c>
      <c r="AM139" s="1" t="s">
        <v>151</v>
      </c>
    </row>
    <row r="140">
      <c r="A140" s="1" t="s">
        <v>1054</v>
      </c>
      <c r="E140" s="1" t="s">
        <v>1055</v>
      </c>
      <c r="F140" s="6" t="str">
        <f>IFERROR(__xludf.DUMMYFUNCTION("""COMPUTED_VALUE"""),"suspense")</f>
        <v>suspense</v>
      </c>
      <c r="H140" s="1" t="s">
        <v>133</v>
      </c>
      <c r="I140" s="6" t="str">
        <f>IFERROR(__xludf.DUMMYFUNCTION("""COMPUTED_VALUE"""),"eyes")</f>
        <v>eyes</v>
      </c>
      <c r="K140" s="1" t="s">
        <v>460</v>
      </c>
      <c r="P140" s="1" t="s">
        <v>599</v>
      </c>
      <c r="Q140" s="6" t="str">
        <f>IFERROR(__xludf.DUMMYFUNCTION("""COMPUTED_VALUE"""),"politics")</f>
        <v>politics</v>
      </c>
      <c r="S140" s="1" t="s">
        <v>324</v>
      </c>
      <c r="T140" s="6" t="str">
        <f>IFERROR(__xludf.DUMMYFUNCTION("""COMPUTED_VALUE"""),"surprises")</f>
        <v>surprises</v>
      </c>
      <c r="W140" s="1" t="s">
        <v>1056</v>
      </c>
      <c r="AA140" s="1" t="s">
        <v>1057</v>
      </c>
      <c r="AF140" s="1" t="s">
        <v>549</v>
      </c>
      <c r="AJ140" s="1" t="s">
        <v>381</v>
      </c>
      <c r="AM140" s="1" t="s">
        <v>322</v>
      </c>
    </row>
    <row r="141">
      <c r="A141" s="1" t="s">
        <v>1058</v>
      </c>
      <c r="E141" s="1" t="s">
        <v>627</v>
      </c>
      <c r="F141" s="6" t="str">
        <f>IFERROR(__xludf.DUMMYFUNCTION("""COMPUTED_VALUE"""),"lacking")</f>
        <v>lacking</v>
      </c>
      <c r="H141" s="1" t="s">
        <v>412</v>
      </c>
      <c r="I141" s="6" t="str">
        <f>IFERROR(__xludf.DUMMYFUNCTION("""COMPUTED_VALUE"""),"tear")</f>
        <v>tear</v>
      </c>
      <c r="K141" s="1" t="s">
        <v>1059</v>
      </c>
      <c r="P141" s="1" t="s">
        <v>1060</v>
      </c>
      <c r="Q141" s="6" t="str">
        <f>IFERROR(__xludf.DUMMYFUNCTION("""COMPUTED_VALUE"""),"captures")</f>
        <v>captures</v>
      </c>
      <c r="S141" s="1" t="s">
        <v>1061</v>
      </c>
      <c r="T141" s="6" t="str">
        <f>IFERROR(__xludf.DUMMYFUNCTION("""COMPUTED_VALUE"""),"endure")</f>
        <v>endure</v>
      </c>
      <c r="W141" s="1" t="s">
        <v>1062</v>
      </c>
      <c r="AA141" s="1" t="s">
        <v>1063</v>
      </c>
      <c r="AF141" s="1" t="s">
        <v>1064</v>
      </c>
      <c r="AJ141" s="1" t="s">
        <v>1065</v>
      </c>
      <c r="AM141" s="1" t="s">
        <v>485</v>
      </c>
    </row>
    <row r="142">
      <c r="A142" s="1" t="s">
        <v>1066</v>
      </c>
      <c r="E142" s="1" t="s">
        <v>642</v>
      </c>
      <c r="F142" s="6" t="str">
        <f>IFERROR(__xludf.DUMMYFUNCTION("""COMPUTED_VALUE"""),"portrayal")</f>
        <v>portrayal</v>
      </c>
      <c r="H142" s="1" t="s">
        <v>739</v>
      </c>
      <c r="I142" s="6" t="str">
        <f>IFERROR(__xludf.DUMMYFUNCTION("""COMPUTED_VALUE"""),"read")</f>
        <v>read</v>
      </c>
      <c r="K142" s="1" t="s">
        <v>1067</v>
      </c>
      <c r="P142" s="1" t="s">
        <v>997</v>
      </c>
      <c r="Q142" s="6" t="str">
        <f>IFERROR(__xludf.DUMMYFUNCTION("""COMPUTED_VALUE"""),"sexuality")</f>
        <v>sexuality</v>
      </c>
      <c r="S142" s="1" t="s">
        <v>1068</v>
      </c>
      <c r="T142" s="6" t="str">
        <f>IFERROR(__xludf.DUMMYFUNCTION("""COMPUTED_VALUE"""),"help")</f>
        <v>help</v>
      </c>
      <c r="W142" s="1" t="s">
        <v>598</v>
      </c>
      <c r="AA142" s="1" t="s">
        <v>1069</v>
      </c>
      <c r="AF142" s="1" t="s">
        <v>1070</v>
      </c>
      <c r="AJ142" s="1" t="s">
        <v>214</v>
      </c>
      <c r="AM142" s="1" t="s">
        <v>488</v>
      </c>
    </row>
    <row r="143">
      <c r="A143" s="1" t="s">
        <v>714</v>
      </c>
      <c r="E143" s="1" t="s">
        <v>635</v>
      </c>
      <c r="F143" s="6" t="str">
        <f>IFERROR(__xludf.DUMMYFUNCTION("""COMPUTED_VALUE"""),"realistic")</f>
        <v>realistic</v>
      </c>
      <c r="H143" s="1" t="s">
        <v>748</v>
      </c>
      <c r="I143" s="6" t="str">
        <f>IFERROR(__xludf.DUMMYFUNCTION("""COMPUTED_VALUE"""),"hate")</f>
        <v>hate</v>
      </c>
      <c r="K143" s="1" t="s">
        <v>1071</v>
      </c>
      <c r="P143" s="1" t="s">
        <v>1072</v>
      </c>
      <c r="Q143" s="6" t="str">
        <f>IFERROR(__xludf.DUMMYFUNCTION("""COMPUTED_VALUE"""),"combining")</f>
        <v>combining</v>
      </c>
      <c r="S143" s="1" t="s">
        <v>827</v>
      </c>
      <c r="T143" s="6" t="str">
        <f>IFERROR(__xludf.DUMMYFUNCTION("""COMPUTED_VALUE"""),"power")</f>
        <v>power</v>
      </c>
      <c r="W143" s="1" t="s">
        <v>1073</v>
      </c>
      <c r="AA143" s="1" t="s">
        <v>126</v>
      </c>
      <c r="AF143" s="1" t="s">
        <v>1074</v>
      </c>
      <c r="AJ143" s="1" t="s">
        <v>1075</v>
      </c>
      <c r="AM143" s="1" t="s">
        <v>158</v>
      </c>
    </row>
    <row r="144">
      <c r="A144" s="1" t="s">
        <v>1076</v>
      </c>
      <c r="E144" s="1" t="s">
        <v>1077</v>
      </c>
      <c r="F144" s="6" t="str">
        <f>IFERROR(__xludf.DUMMYFUNCTION("""COMPUTED_VALUE"""),"trying")</f>
        <v>trying</v>
      </c>
      <c r="H144" s="1" t="s">
        <v>425</v>
      </c>
      <c r="I144" s="6" t="str">
        <f>IFERROR(__xludf.DUMMYFUNCTION("""COMPUTED_VALUE"""),"cinematic")</f>
        <v>cinematic</v>
      </c>
      <c r="K144" s="1" t="s">
        <v>105</v>
      </c>
      <c r="P144" s="1" t="s">
        <v>1008</v>
      </c>
      <c r="Q144" s="6" t="str">
        <f>IFERROR(__xludf.DUMMYFUNCTION("""COMPUTED_VALUE"""),"offensive")</f>
        <v>offensive</v>
      </c>
      <c r="S144" s="1" t="s">
        <v>1078</v>
      </c>
      <c r="T144" s="6" t="str">
        <f>IFERROR(__xludf.DUMMYFUNCTION("""COMPUTED_VALUE"""),"highs")</f>
        <v>highs</v>
      </c>
      <c r="W144" s="1" t="s">
        <v>1079</v>
      </c>
      <c r="AA144" s="1" t="s">
        <v>1080</v>
      </c>
      <c r="AF144" s="1" t="s">
        <v>1081</v>
      </c>
      <c r="AJ144" s="1" t="s">
        <v>1082</v>
      </c>
      <c r="AM144" s="1" t="s">
        <v>502</v>
      </c>
    </row>
    <row r="145">
      <c r="A145" s="1" t="s">
        <v>1083</v>
      </c>
      <c r="E145" s="1" t="s">
        <v>647</v>
      </c>
      <c r="F145" s="6" t="str">
        <f>IFERROR(__xludf.DUMMYFUNCTION("""COMPUTED_VALUE"""),"stunts")</f>
        <v>stunts</v>
      </c>
      <c r="H145" s="1" t="s">
        <v>767</v>
      </c>
      <c r="I145" s="6" t="str">
        <f>IFERROR(__xludf.DUMMYFUNCTION("""COMPUTED_VALUE"""),"addition")</f>
        <v>addition</v>
      </c>
      <c r="K145" s="1" t="s">
        <v>1084</v>
      </c>
      <c r="P145" s="1" t="s">
        <v>1085</v>
      </c>
      <c r="Q145" s="6" t="str">
        <f>IFERROR(__xludf.DUMMYFUNCTION("""COMPUTED_VALUE"""),"emotionally")</f>
        <v>emotionally</v>
      </c>
      <c r="S145" s="1" t="s">
        <v>1086</v>
      </c>
      <c r="T145" s="6" t="str">
        <f>IFERROR(__xludf.DUMMYFUNCTION("""COMPUTED_VALUE"""),"life")</f>
        <v>life</v>
      </c>
      <c r="W145" s="1" t="s">
        <v>568</v>
      </c>
      <c r="AA145" s="1" t="s">
        <v>1087</v>
      </c>
      <c r="AF145" s="1" t="s">
        <v>557</v>
      </c>
      <c r="AJ145" s="1" t="s">
        <v>1088</v>
      </c>
      <c r="AM145" s="1" t="s">
        <v>1089</v>
      </c>
    </row>
    <row r="146">
      <c r="A146" s="1" t="s">
        <v>1090</v>
      </c>
      <c r="E146" s="1" t="s">
        <v>1091</v>
      </c>
      <c r="F146" s="6" t="str">
        <f>IFERROR(__xludf.DUMMYFUNCTION("""COMPUTED_VALUE"""),"reveals")</f>
        <v>reveals</v>
      </c>
      <c r="H146" s="1" t="s">
        <v>775</v>
      </c>
      <c r="I146" s="6" t="str">
        <f>IFERROR(__xludf.DUMMYFUNCTION("""COMPUTED_VALUE"""),"generally")</f>
        <v>generally</v>
      </c>
      <c r="K146" s="1" t="s">
        <v>1092</v>
      </c>
      <c r="P146" s="1" t="s">
        <v>1015</v>
      </c>
      <c r="Q146" s="6" t="str">
        <f>IFERROR(__xludf.DUMMYFUNCTION("""COMPUTED_VALUE"""),"prove")</f>
        <v>prove</v>
      </c>
      <c r="S146" s="1" t="s">
        <v>1093</v>
      </c>
      <c r="T146" s="6" t="str">
        <f>IFERROR(__xludf.DUMMYFUNCTION("""COMPUTED_VALUE"""),"historically")</f>
        <v>historically</v>
      </c>
      <c r="W146" s="1" t="s">
        <v>1094</v>
      </c>
      <c r="AA146" s="1" t="s">
        <v>1095</v>
      </c>
      <c r="AF146" s="1" t="s">
        <v>1096</v>
      </c>
      <c r="AJ146" s="1" t="s">
        <v>395</v>
      </c>
      <c r="AM146" s="1" t="s">
        <v>1097</v>
      </c>
    </row>
    <row r="147">
      <c r="A147" s="1" t="s">
        <v>1098</v>
      </c>
      <c r="E147" s="1" t="s">
        <v>223</v>
      </c>
      <c r="F147" s="6" t="str">
        <f>IFERROR(__xludf.DUMMYFUNCTION("""COMPUTED_VALUE"""),"talents")</f>
        <v>talents</v>
      </c>
      <c r="H147" s="1" t="s">
        <v>782</v>
      </c>
      <c r="I147" s="6" t="str">
        <f>IFERROR(__xludf.DUMMYFUNCTION("""COMPUTED_VALUE"""),"mystery")</f>
        <v>mystery</v>
      </c>
      <c r="K147" s="1" t="s">
        <v>1099</v>
      </c>
      <c r="P147" s="1" t="s">
        <v>293</v>
      </c>
      <c r="Q147" s="6" t="str">
        <f>IFERROR(__xludf.DUMMYFUNCTION("""COMPUTED_VALUE"""),"revealing")</f>
        <v>revealing</v>
      </c>
      <c r="S147" s="1">
        <v>1.0</v>
      </c>
      <c r="T147" s="6" t="str">
        <f>IFERROR(__xludf.DUMMYFUNCTION("""COMPUTED_VALUE"""),"significant")</f>
        <v>significant</v>
      </c>
      <c r="W147" s="1" t="s">
        <v>1100</v>
      </c>
      <c r="AA147" s="1" t="s">
        <v>1101</v>
      </c>
      <c r="AF147" s="1" t="s">
        <v>566</v>
      </c>
      <c r="AJ147" s="1" t="s">
        <v>406</v>
      </c>
      <c r="AM147" s="1" t="s">
        <v>1102</v>
      </c>
    </row>
    <row r="148">
      <c r="A148" s="1" t="s">
        <v>925</v>
      </c>
      <c r="E148" s="1" t="s">
        <v>1103</v>
      </c>
      <c r="F148" s="6" t="str">
        <f>IFERROR(__xludf.DUMMYFUNCTION("""COMPUTED_VALUE"""),"relief")</f>
        <v>relief</v>
      </c>
      <c r="H148" s="1" t="s">
        <v>789</v>
      </c>
      <c r="I148" s="6">
        <f>IFERROR(__xludf.DUMMYFUNCTION("""COMPUTED_VALUE"""),3000.0)</f>
        <v>3000</v>
      </c>
      <c r="K148" s="1" t="s">
        <v>482</v>
      </c>
      <c r="P148" s="1" t="s">
        <v>1104</v>
      </c>
      <c r="Q148" s="6" t="str">
        <f>IFERROR(__xludf.DUMMYFUNCTION("""COMPUTED_VALUE"""),"done")</f>
        <v>done</v>
      </c>
      <c r="S148" s="1" t="s">
        <v>1105</v>
      </c>
      <c r="T148" s="6" t="str">
        <f>IFERROR(__xludf.DUMMYFUNCTION("""COMPUTED_VALUE"""),"tribute")</f>
        <v>tribute</v>
      </c>
      <c r="W148" s="1" t="s">
        <v>542</v>
      </c>
      <c r="AA148" s="1" t="s">
        <v>1106</v>
      </c>
      <c r="AF148" s="1" t="s">
        <v>573</v>
      </c>
      <c r="AJ148" s="1" t="s">
        <v>222</v>
      </c>
      <c r="AM148" s="1" t="s">
        <v>554</v>
      </c>
    </row>
    <row r="149">
      <c r="A149" s="1" t="s">
        <v>1107</v>
      </c>
      <c r="E149" s="1" t="s">
        <v>1108</v>
      </c>
      <c r="F149" s="6" t="str">
        <f>IFERROR(__xludf.DUMMYFUNCTION("""COMPUTED_VALUE"""),"filmmaking")</f>
        <v>filmmaking</v>
      </c>
      <c r="H149" s="1" t="s">
        <v>797</v>
      </c>
      <c r="I149" s="6" t="str">
        <f>IFERROR(__xludf.DUMMYFUNCTION("""COMPUTED_VALUE"""),"em")</f>
        <v>em</v>
      </c>
      <c r="K149" s="1" t="s">
        <v>1109</v>
      </c>
      <c r="P149" s="1" t="s">
        <v>1110</v>
      </c>
      <c r="Q149" s="6" t="str">
        <f>IFERROR(__xludf.DUMMYFUNCTION("""COMPUTED_VALUE"""),"chilling")</f>
        <v>chilling</v>
      </c>
      <c r="S149" s="1" t="s">
        <v>1111</v>
      </c>
      <c r="T149" s="6" t="str">
        <f>IFERROR(__xludf.DUMMYFUNCTION("""COMPUTED_VALUE"""),"actors")</f>
        <v>actors</v>
      </c>
      <c r="W149" s="1" t="s">
        <v>1112</v>
      </c>
      <c r="AA149" s="1" t="s">
        <v>1113</v>
      </c>
      <c r="AF149" s="1" t="s">
        <v>1114</v>
      </c>
      <c r="AJ149" s="1" t="s">
        <v>1115</v>
      </c>
      <c r="AM149" s="1" t="s">
        <v>1116</v>
      </c>
    </row>
    <row r="150">
      <c r="A150" s="1" t="s">
        <v>940</v>
      </c>
      <c r="E150" s="1" t="s">
        <v>1117</v>
      </c>
      <c r="F150" s="6" t="str">
        <f>IFERROR(__xludf.DUMMYFUNCTION("""COMPUTED_VALUE"""),"promise")</f>
        <v>promise</v>
      </c>
      <c r="H150" s="1" t="s">
        <v>143</v>
      </c>
      <c r="I150" s="6" t="str">
        <f>IFERROR(__xludf.DUMMYFUNCTION("""COMPUTED_VALUE"""),"late")</f>
        <v>late</v>
      </c>
      <c r="K150" s="1" t="s">
        <v>1118</v>
      </c>
      <c r="P150" s="1" t="s">
        <v>1119</v>
      </c>
      <c r="Q150" s="6" t="str">
        <f>IFERROR(__xludf.DUMMYFUNCTION("""COMPUTED_VALUE"""),"submarine")</f>
        <v>submarine</v>
      </c>
      <c r="S150" s="1" t="s">
        <v>1120</v>
      </c>
      <c r="T150" s="6" t="str">
        <f>IFERROR(__xludf.DUMMYFUNCTION("""COMPUTED_VALUE"""),"comedy")</f>
        <v>comedy</v>
      </c>
      <c r="W150" s="1" t="s">
        <v>1121</v>
      </c>
      <c r="AA150" s="1" t="s">
        <v>1122</v>
      </c>
      <c r="AF150" s="1" t="s">
        <v>579</v>
      </c>
      <c r="AJ150" s="1" t="s">
        <v>424</v>
      </c>
      <c r="AM150" s="1" t="s">
        <v>166</v>
      </c>
    </row>
    <row r="151">
      <c r="A151" s="1" t="s">
        <v>1123</v>
      </c>
      <c r="E151" s="1" t="s">
        <v>1124</v>
      </c>
      <c r="F151" s="6" t="str">
        <f>IFERROR(__xludf.DUMMYFUNCTION("""COMPUTED_VALUE"""),"wait")</f>
        <v>wait</v>
      </c>
      <c r="H151" s="1" t="s">
        <v>433</v>
      </c>
      <c r="I151" s="6" t="str">
        <f>IFERROR(__xludf.DUMMYFUNCTION("""COMPUTED_VALUE"""),"fluid")</f>
        <v>fluid</v>
      </c>
      <c r="K151" s="1" t="s">
        <v>1125</v>
      </c>
      <c r="P151" s="1" t="s">
        <v>208</v>
      </c>
      <c r="Q151" s="6" t="str">
        <f>IFERROR(__xludf.DUMMYFUNCTION("""COMPUTED_VALUE"""),"supernatural")</f>
        <v>supernatural</v>
      </c>
      <c r="S151" s="1" t="s">
        <v>1126</v>
      </c>
      <c r="T151" s="6" t="str">
        <f>IFERROR(__xludf.DUMMYFUNCTION("""COMPUTED_VALUE"""),"heat")</f>
        <v>heat</v>
      </c>
      <c r="W151" s="1" t="s">
        <v>1127</v>
      </c>
      <c r="AA151" s="1" t="s">
        <v>1128</v>
      </c>
      <c r="AF151" s="1" t="s">
        <v>586</v>
      </c>
      <c r="AJ151" s="1" t="s">
        <v>1129</v>
      </c>
      <c r="AM151" s="1" t="s">
        <v>193</v>
      </c>
    </row>
    <row r="152">
      <c r="A152" s="1" t="s">
        <v>1130</v>
      </c>
      <c r="E152" s="1" t="s">
        <v>1131</v>
      </c>
      <c r="F152" s="6" t="str">
        <f>IFERROR(__xludf.DUMMYFUNCTION("""COMPUTED_VALUE"""),"auschwitz")</f>
        <v>auschwitz</v>
      </c>
      <c r="H152" s="1" t="s">
        <v>163</v>
      </c>
      <c r="I152" s="6" t="str">
        <f>IFERROR(__xludf.DUMMYFUNCTION("""COMPUTED_VALUE"""),"storytelling")</f>
        <v>storytelling</v>
      </c>
      <c r="K152" s="1" t="s">
        <v>1132</v>
      </c>
      <c r="P152" s="1" t="s">
        <v>369</v>
      </c>
      <c r="Q152" s="6" t="str">
        <f>IFERROR(__xludf.DUMMYFUNCTION("""COMPUTED_VALUE"""),"idiots")</f>
        <v>idiots</v>
      </c>
      <c r="S152" s="1" t="s">
        <v>1133</v>
      </c>
      <c r="T152" s="6" t="str">
        <f>IFERROR(__xludf.DUMMYFUNCTION("""COMPUTED_VALUE"""),"ca")</f>
        <v>ca</v>
      </c>
      <c r="W152" s="1" t="s">
        <v>1116</v>
      </c>
      <c r="AA152" s="1" t="s">
        <v>1134</v>
      </c>
      <c r="AF152" s="1" t="s">
        <v>738</v>
      </c>
      <c r="AJ152" s="1" t="s">
        <v>1135</v>
      </c>
      <c r="AM152" s="1" t="s">
        <v>907</v>
      </c>
    </row>
    <row r="153">
      <c r="A153" s="1" t="s">
        <v>1136</v>
      </c>
      <c r="E153" s="1" t="s">
        <v>663</v>
      </c>
      <c r="F153" s="6" t="str">
        <f>IFERROR(__xludf.DUMMYFUNCTION("""COMPUTED_VALUE"""),"theatrical")</f>
        <v>theatrical</v>
      </c>
      <c r="H153" s="1" t="s">
        <v>821</v>
      </c>
      <c r="I153" s="6" t="str">
        <f>IFERROR(__xludf.DUMMYFUNCTION("""COMPUTED_VALUE"""),"piece")</f>
        <v>piece</v>
      </c>
      <c r="K153" s="1" t="s">
        <v>1137</v>
      </c>
      <c r="P153" s="1" t="s">
        <v>1065</v>
      </c>
      <c r="Q153" s="6" t="str">
        <f>IFERROR(__xludf.DUMMYFUNCTION("""COMPUTED_VALUE"""),"blend")</f>
        <v>blend</v>
      </c>
      <c r="S153" s="1" t="s">
        <v>1138</v>
      </c>
      <c r="T153" s="6" t="str">
        <f>IFERROR(__xludf.DUMMYFUNCTION("""COMPUTED_VALUE"""),"when")</f>
        <v>when</v>
      </c>
      <c r="W153" s="1" t="s">
        <v>1139</v>
      </c>
      <c r="AA153" s="1" t="s">
        <v>1140</v>
      </c>
      <c r="AF153" s="1" t="s">
        <v>594</v>
      </c>
      <c r="AJ153" s="1" t="s">
        <v>1141</v>
      </c>
      <c r="AM153" s="1" t="s">
        <v>528</v>
      </c>
    </row>
    <row r="154">
      <c r="A154" s="1" t="s">
        <v>1142</v>
      </c>
      <c r="E154" s="1" t="s">
        <v>1143</v>
      </c>
      <c r="F154" s="6" t="str">
        <f>IFERROR(__xludf.DUMMYFUNCTION("""COMPUTED_VALUE"""),"simulation")</f>
        <v>simulation</v>
      </c>
      <c r="H154" s="1" t="s">
        <v>1144</v>
      </c>
      <c r="I154" s="6" t="str">
        <f>IFERROR(__xludf.DUMMYFUNCTION("""COMPUTED_VALUE"""),"casts")</f>
        <v>casts</v>
      </c>
      <c r="K154" s="1" t="s">
        <v>293</v>
      </c>
      <c r="P154" s="1" t="s">
        <v>1145</v>
      </c>
      <c r="Q154" s="6" t="str">
        <f>IFERROR(__xludf.DUMMYFUNCTION("""COMPUTED_VALUE"""),"screenplay")</f>
        <v>screenplay</v>
      </c>
      <c r="S154" s="1" t="s">
        <v>447</v>
      </c>
      <c r="T154" s="6" t="str">
        <f>IFERROR(__xludf.DUMMYFUNCTION("""COMPUTED_VALUE"""),"first")</f>
        <v>first</v>
      </c>
      <c r="W154" s="1" t="s">
        <v>1146</v>
      </c>
      <c r="AA154" s="1" t="s">
        <v>1147</v>
      </c>
      <c r="AF154" s="1" t="s">
        <v>603</v>
      </c>
      <c r="AJ154" s="1" t="s">
        <v>116</v>
      </c>
      <c r="AM154" s="1" t="s">
        <v>915</v>
      </c>
    </row>
    <row r="155">
      <c r="A155" s="1" t="s">
        <v>1148</v>
      </c>
      <c r="E155" s="1" t="s">
        <v>172</v>
      </c>
      <c r="F155" s="6" t="str">
        <f>IFERROR(__xludf.DUMMYFUNCTION("""COMPUTED_VALUE"""),"extraordinary")</f>
        <v>extraordinary</v>
      </c>
      <c r="H155" s="1" t="s">
        <v>827</v>
      </c>
      <c r="I155" s="6" t="str">
        <f>IFERROR(__xludf.DUMMYFUNCTION("""COMPUTED_VALUE"""),"attractive")</f>
        <v>attractive</v>
      </c>
      <c r="K155" s="1" t="s">
        <v>497</v>
      </c>
      <c r="P155" s="1" t="s">
        <v>1149</v>
      </c>
      <c r="Q155" s="6" t="str">
        <f>IFERROR(__xludf.DUMMYFUNCTION("""COMPUTED_VALUE"""),"bored")</f>
        <v>bored</v>
      </c>
      <c r="S155" s="1" t="s">
        <v>1150</v>
      </c>
      <c r="T155" s="6" t="str">
        <f>IFERROR(__xludf.DUMMYFUNCTION("""COMPUTED_VALUE"""),"manages")</f>
        <v>manages</v>
      </c>
      <c r="W155" s="1" t="s">
        <v>1151</v>
      </c>
      <c r="AA155" s="1" t="s">
        <v>1152</v>
      </c>
      <c r="AF155" s="1" t="s">
        <v>1153</v>
      </c>
      <c r="AJ155" s="1" t="s">
        <v>1154</v>
      </c>
      <c r="AM155" s="1" t="s">
        <v>537</v>
      </c>
    </row>
    <row r="156">
      <c r="A156" s="1" t="s">
        <v>956</v>
      </c>
      <c r="E156" s="1" t="s">
        <v>688</v>
      </c>
      <c r="F156" s="6" t="str">
        <f>IFERROR(__xludf.DUMMYFUNCTION("""COMPUTED_VALUE"""),"champion")</f>
        <v>champion</v>
      </c>
      <c r="H156" s="1" t="s">
        <v>450</v>
      </c>
      <c r="I156" s="6" t="str">
        <f>IFERROR(__xludf.DUMMYFUNCTION("""COMPUTED_VALUE"""),"pleasures")</f>
        <v>pleasures</v>
      </c>
      <c r="K156" s="1" t="s">
        <v>1155</v>
      </c>
      <c r="P156" s="1" t="s">
        <v>1156</v>
      </c>
      <c r="Q156" s="6" t="str">
        <f>IFERROR(__xludf.DUMMYFUNCTION("""COMPUTED_VALUE"""),"thoughtful")</f>
        <v>thoughtful</v>
      </c>
      <c r="S156" s="1" t="s">
        <v>386</v>
      </c>
      <c r="T156" s="6" t="str">
        <f>IFERROR(__xludf.DUMMYFUNCTION("""COMPUTED_VALUE"""),"intensity")</f>
        <v>intensity</v>
      </c>
      <c r="W156" s="1" t="s">
        <v>1157</v>
      </c>
      <c r="AA156" s="1" t="s">
        <v>1158</v>
      </c>
      <c r="AF156" s="1" t="s">
        <v>612</v>
      </c>
      <c r="AJ156" s="1" t="s">
        <v>431</v>
      </c>
      <c r="AM156" s="1" t="s">
        <v>926</v>
      </c>
    </row>
    <row r="157">
      <c r="A157" s="1" t="s">
        <v>1159</v>
      </c>
      <c r="E157" s="1" t="s">
        <v>684</v>
      </c>
      <c r="F157" s="6" t="str">
        <f>IFERROR(__xludf.DUMMYFUNCTION("""COMPUTED_VALUE"""),"heart")</f>
        <v>heart</v>
      </c>
      <c r="H157" s="1" t="s">
        <v>1003</v>
      </c>
      <c r="I157" s="6" t="str">
        <f>IFERROR(__xludf.DUMMYFUNCTION("""COMPUTED_VALUE"""),"masterpiece")</f>
        <v>masterpiece</v>
      </c>
      <c r="K157" s="1" t="s">
        <v>1160</v>
      </c>
      <c r="P157" s="1" t="s">
        <v>1161</v>
      </c>
      <c r="Q157" s="6" t="str">
        <f>IFERROR(__xludf.DUMMYFUNCTION("""COMPUTED_VALUE"""),"tale")</f>
        <v>tale</v>
      </c>
      <c r="S157" s="1" t="s">
        <v>415</v>
      </c>
      <c r="T157" s="6" t="str">
        <f>IFERROR(__xludf.DUMMYFUNCTION("""COMPUTED_VALUE"""),"family")</f>
        <v>family</v>
      </c>
      <c r="W157" s="1" t="s">
        <v>1162</v>
      </c>
      <c r="AA157" s="1" t="s">
        <v>1163</v>
      </c>
      <c r="AF157" s="1" t="s">
        <v>302</v>
      </c>
      <c r="AJ157" s="1" t="s">
        <v>1164</v>
      </c>
      <c r="AM157" s="1" t="s">
        <v>810</v>
      </c>
    </row>
    <row r="158">
      <c r="A158" s="1" t="s">
        <v>1165</v>
      </c>
      <c r="E158" s="1" t="s">
        <v>681</v>
      </c>
      <c r="F158" s="6" t="str">
        <f>IFERROR(__xludf.DUMMYFUNCTION("""COMPUTED_VALUE"""),"adaptation")</f>
        <v>adaptation</v>
      </c>
      <c r="H158" s="1" t="s">
        <v>565</v>
      </c>
      <c r="I158" s="6" t="str">
        <f>IFERROR(__xludf.DUMMYFUNCTION("""COMPUTED_VALUE"""),"lot")</f>
        <v>lot</v>
      </c>
      <c r="K158" s="1" t="s">
        <v>1166</v>
      </c>
      <c r="P158" s="1" t="s">
        <v>1075</v>
      </c>
      <c r="Q158" s="6" t="str">
        <f>IFERROR(__xludf.DUMMYFUNCTION("""COMPUTED_VALUE"""),"sitcom")</f>
        <v>sitcom</v>
      </c>
      <c r="S158" s="1" t="s">
        <v>1167</v>
      </c>
      <c r="T158" s="6" t="str">
        <f>IFERROR(__xludf.DUMMYFUNCTION("""COMPUTED_VALUE"""),"flair")</f>
        <v>flair</v>
      </c>
      <c r="W158" s="1" t="s">
        <v>1168</v>
      </c>
      <c r="AA158" s="1" t="s">
        <v>78</v>
      </c>
      <c r="AF158" s="1" t="s">
        <v>1169</v>
      </c>
      <c r="AJ158" s="1" t="s">
        <v>1170</v>
      </c>
      <c r="AM158" s="1" t="s">
        <v>1171</v>
      </c>
    </row>
    <row r="159">
      <c r="A159" s="1" t="s">
        <v>1172</v>
      </c>
      <c r="E159" s="1" t="s">
        <v>159</v>
      </c>
      <c r="F159" s="6" t="str">
        <f>IFERROR(__xludf.DUMMYFUNCTION("""COMPUTED_VALUE"""),"descends")</f>
        <v>descends</v>
      </c>
      <c r="H159" s="1" t="s">
        <v>1009</v>
      </c>
      <c r="I159" s="6" t="str">
        <f>IFERROR(__xludf.DUMMYFUNCTION("""COMPUTED_VALUE"""),"hopeless")</f>
        <v>hopeless</v>
      </c>
      <c r="K159" s="1" t="s">
        <v>1173</v>
      </c>
      <c r="P159" s="1" t="s">
        <v>1174</v>
      </c>
      <c r="Q159" s="6" t="str">
        <f>IFERROR(__xludf.DUMMYFUNCTION("""COMPUTED_VALUE"""),"suffers")</f>
        <v>suffers</v>
      </c>
      <c r="S159" s="1" t="s">
        <v>373</v>
      </c>
      <c r="T159" s="6" t="str">
        <f>IFERROR(__xludf.DUMMYFUNCTION("""COMPUTED_VALUE"""),"keep")</f>
        <v>keep</v>
      </c>
      <c r="W159" s="1" t="s">
        <v>1175</v>
      </c>
      <c r="AA159" s="1" t="s">
        <v>1176</v>
      </c>
      <c r="AF159" s="1" t="s">
        <v>1177</v>
      </c>
      <c r="AJ159" s="1" t="s">
        <v>439</v>
      </c>
      <c r="AM159" s="1" t="s">
        <v>111</v>
      </c>
    </row>
    <row r="160">
      <c r="A160" s="1" t="s">
        <v>1178</v>
      </c>
      <c r="E160" s="1" t="s">
        <v>1179</v>
      </c>
      <c r="F160" s="6" t="str">
        <f>IFERROR(__xludf.DUMMYFUNCTION("""COMPUTED_VALUE"""),"works")</f>
        <v>works</v>
      </c>
      <c r="H160" s="1" t="s">
        <v>776</v>
      </c>
      <c r="I160" s="6" t="str">
        <f>IFERROR(__xludf.DUMMYFUNCTION("""COMPUTED_VALUE"""),"charming")</f>
        <v>charming</v>
      </c>
      <c r="K160" s="1" t="s">
        <v>1180</v>
      </c>
      <c r="P160" s="1" t="s">
        <v>1088</v>
      </c>
      <c r="Q160" s="6" t="str">
        <f>IFERROR(__xludf.DUMMYFUNCTION("""COMPUTED_VALUE"""),"strong")</f>
        <v>strong</v>
      </c>
      <c r="S160" s="1" t="s">
        <v>1181</v>
      </c>
      <c r="T160" s="6" t="str">
        <f>IFERROR(__xludf.DUMMYFUNCTION("""COMPUTED_VALUE"""),"animated")</f>
        <v>animated</v>
      </c>
      <c r="W160" s="1" t="s">
        <v>1182</v>
      </c>
      <c r="AA160" s="1" t="s">
        <v>1183</v>
      </c>
      <c r="AF160" s="1" t="s">
        <v>626</v>
      </c>
      <c r="AJ160" s="1" t="s">
        <v>1184</v>
      </c>
      <c r="AM160" s="1" t="s">
        <v>542</v>
      </c>
    </row>
    <row r="161">
      <c r="A161" s="1" t="s">
        <v>1185</v>
      </c>
      <c r="E161" s="1" t="s">
        <v>1186</v>
      </c>
      <c r="F161" s="6" t="str">
        <f>IFERROR(__xludf.DUMMYFUNCTION("""COMPUTED_VALUE"""),"derivative")</f>
        <v>derivative</v>
      </c>
      <c r="H161" s="1" t="s">
        <v>841</v>
      </c>
      <c r="I161" s="6" t="str">
        <f>IFERROR(__xludf.DUMMYFUNCTION("""COMPUTED_VALUE"""),"college")</f>
        <v>college</v>
      </c>
      <c r="K161" s="1" t="s">
        <v>1187</v>
      </c>
      <c r="P161" s="1" t="s">
        <v>1188</v>
      </c>
      <c r="Q161" s="6" t="str">
        <f>IFERROR(__xludf.DUMMYFUNCTION("""COMPUTED_VALUE"""),"rodriguez")</f>
        <v>rodriguez</v>
      </c>
      <c r="S161" s="1" t="s">
        <v>1189</v>
      </c>
      <c r="T161" s="6" t="str">
        <f>IFERROR(__xludf.DUMMYFUNCTION("""COMPUTED_VALUE"""),"central")</f>
        <v>central</v>
      </c>
      <c r="W161" s="1" t="s">
        <v>1190</v>
      </c>
      <c r="AA161" s="1" t="s">
        <v>1191</v>
      </c>
      <c r="AF161" s="1" t="s">
        <v>633</v>
      </c>
      <c r="AJ161" s="1" t="s">
        <v>945</v>
      </c>
      <c r="AM161" s="1" t="s">
        <v>165</v>
      </c>
    </row>
    <row r="162">
      <c r="A162" s="1" t="s">
        <v>304</v>
      </c>
      <c r="E162" s="1" t="s">
        <v>1192</v>
      </c>
      <c r="F162" s="6" t="str">
        <f>IFERROR(__xludf.DUMMYFUNCTION("""COMPUTED_VALUE"""),"sequel")</f>
        <v>sequel</v>
      </c>
      <c r="H162" s="1" t="s">
        <v>174</v>
      </c>
      <c r="I162" s="6" t="str">
        <f>IFERROR(__xludf.DUMMYFUNCTION("""COMPUTED_VALUE"""),"creations")</f>
        <v>creations</v>
      </c>
      <c r="K162" s="1" t="s">
        <v>1193</v>
      </c>
      <c r="P162" s="1" t="s">
        <v>884</v>
      </c>
      <c r="Q162" s="6" t="str">
        <f>IFERROR(__xludf.DUMMYFUNCTION("""COMPUTED_VALUE"""),"wry")</f>
        <v>wry</v>
      </c>
      <c r="S162" s="1" t="s">
        <v>393</v>
      </c>
      <c r="T162" s="6" t="str">
        <f>IFERROR(__xludf.DUMMYFUNCTION("""COMPUTED_VALUE"""),"you")</f>
        <v>you</v>
      </c>
      <c r="W162" s="1">
        <v>18.0</v>
      </c>
      <c r="AA162" s="1" t="s">
        <v>1194</v>
      </c>
      <c r="AF162" s="1" t="s">
        <v>311</v>
      </c>
      <c r="AJ162" s="1" t="s">
        <v>1195</v>
      </c>
      <c r="AM162" s="1" t="s">
        <v>545</v>
      </c>
    </row>
    <row r="163">
      <c r="A163" s="1" t="s">
        <v>1196</v>
      </c>
      <c r="E163" s="1" t="s">
        <v>1197</v>
      </c>
      <c r="F163" s="6" t="str">
        <f>IFERROR(__xludf.DUMMYFUNCTION("""COMPUTED_VALUE"""),"archives")</f>
        <v>archives</v>
      </c>
      <c r="H163" s="1" t="s">
        <v>151</v>
      </c>
      <c r="I163" s="6" t="str">
        <f>IFERROR(__xludf.DUMMYFUNCTION("""COMPUTED_VALUE"""),"pure")</f>
        <v>pure</v>
      </c>
      <c r="K163" s="1" t="s">
        <v>606</v>
      </c>
      <c r="P163" s="1" t="s">
        <v>1198</v>
      </c>
      <c r="Q163" s="6" t="str">
        <f>IFERROR(__xludf.DUMMYFUNCTION("""COMPUTED_VALUE"""),"reality")</f>
        <v>reality</v>
      </c>
      <c r="S163" s="1" t="s">
        <v>1199</v>
      </c>
      <c r="T163" s="6" t="str">
        <f>IFERROR(__xludf.DUMMYFUNCTION("""COMPUTED_VALUE"""),"written")</f>
        <v>written</v>
      </c>
      <c r="W163" s="1" t="s">
        <v>1200</v>
      </c>
      <c r="AA163" s="1" t="s">
        <v>409</v>
      </c>
      <c r="AF163" s="1" t="s">
        <v>1201</v>
      </c>
      <c r="AJ163" s="1" t="s">
        <v>449</v>
      </c>
      <c r="AM163" s="1" t="b">
        <v>1</v>
      </c>
    </row>
    <row r="164">
      <c r="A164" s="1" t="s">
        <v>1202</v>
      </c>
      <c r="E164" s="1" t="s">
        <v>1203</v>
      </c>
      <c r="F164" s="6" t="str">
        <f>IFERROR(__xludf.DUMMYFUNCTION("""COMPUTED_VALUE"""),"despite")</f>
        <v>despite</v>
      </c>
      <c r="H164" s="1" t="s">
        <v>855</v>
      </c>
      <c r="I164" s="6" t="str">
        <f>IFERROR(__xludf.DUMMYFUNCTION("""COMPUTED_VALUE"""),"dialogue")</f>
        <v>dialogue</v>
      </c>
      <c r="K164" s="1" t="s">
        <v>519</v>
      </c>
      <c r="P164" s="1" t="s">
        <v>1204</v>
      </c>
      <c r="Q164" s="6" t="str">
        <f>IFERROR(__xludf.DUMMYFUNCTION("""COMPUTED_VALUE"""),"plotted")</f>
        <v>plotted</v>
      </c>
      <c r="S164" s="1" t="s">
        <v>404</v>
      </c>
      <c r="T164" s="6" t="str">
        <f>IFERROR(__xludf.DUMMYFUNCTION("""COMPUTED_VALUE"""),"anyone")</f>
        <v>anyone</v>
      </c>
      <c r="W164" s="1" t="s">
        <v>1205</v>
      </c>
      <c r="AA164" s="1" t="s">
        <v>1206</v>
      </c>
      <c r="AF164" s="1" t="s">
        <v>640</v>
      </c>
      <c r="AJ164" s="1" t="s">
        <v>1207</v>
      </c>
      <c r="AM164" s="1" t="s">
        <v>558</v>
      </c>
    </row>
    <row r="165">
      <c r="A165" s="1" t="s">
        <v>1208</v>
      </c>
      <c r="E165" s="1">
        <v>3000.0</v>
      </c>
      <c r="F165" s="6" t="str">
        <f>IFERROR(__xludf.DUMMYFUNCTION("""COMPUTED_VALUE"""),"ambitions")</f>
        <v>ambitions</v>
      </c>
      <c r="H165" s="1" t="s">
        <v>104</v>
      </c>
      <c r="I165" s="6" t="str">
        <f>IFERROR(__xludf.DUMMYFUNCTION("""COMPUTED_VALUE"""),"clumsy")</f>
        <v>clumsy</v>
      </c>
      <c r="K165" s="1" t="s">
        <v>529</v>
      </c>
      <c r="P165" s="1" t="s">
        <v>1209</v>
      </c>
      <c r="Q165" s="6" t="str">
        <f>IFERROR(__xludf.DUMMYFUNCTION("""COMPUTED_VALUE"""),"depths")</f>
        <v>depths</v>
      </c>
      <c r="S165" s="1" t="s">
        <v>57</v>
      </c>
      <c r="T165" s="6" t="str">
        <f>IFERROR(__xludf.DUMMYFUNCTION("""COMPUTED_VALUE"""),"alternating")</f>
        <v>alternating</v>
      </c>
      <c r="W165" s="1" t="s">
        <v>184</v>
      </c>
      <c r="AA165" s="1" t="s">
        <v>1210</v>
      </c>
      <c r="AF165" s="1" t="s">
        <v>259</v>
      </c>
      <c r="AJ165" s="1" t="s">
        <v>1211</v>
      </c>
      <c r="AM165" s="1" t="s">
        <v>373</v>
      </c>
    </row>
    <row r="166">
      <c r="A166" s="1" t="s">
        <v>1212</v>
      </c>
      <c r="E166" s="1" t="s">
        <v>1213</v>
      </c>
      <c r="F166" s="6" t="str">
        <f>IFERROR(__xludf.DUMMYFUNCTION("""COMPUTED_VALUE"""),"compelling")</f>
        <v>compelling</v>
      </c>
      <c r="H166" s="1" t="s">
        <v>322</v>
      </c>
      <c r="I166" s="6" t="str">
        <f>IFERROR(__xludf.DUMMYFUNCTION("""COMPUTED_VALUE"""),"sentiment")</f>
        <v>sentiment</v>
      </c>
      <c r="K166" s="1" t="s">
        <v>535</v>
      </c>
      <c r="P166" s="1" t="s">
        <v>1214</v>
      </c>
      <c r="Q166" s="6" t="str">
        <f>IFERROR(__xludf.DUMMYFUNCTION("""COMPUTED_VALUE"""),"complexity")</f>
        <v>complexity</v>
      </c>
      <c r="S166" s="1" t="s">
        <v>1215</v>
      </c>
      <c r="T166" s="6" t="str">
        <f>IFERROR(__xludf.DUMMYFUNCTION("""COMPUTED_VALUE"""),"android")</f>
        <v>android</v>
      </c>
      <c r="W166" s="1" t="s">
        <v>1216</v>
      </c>
      <c r="AA166" s="1" t="s">
        <v>1217</v>
      </c>
      <c r="AF166" s="1" t="s">
        <v>1218</v>
      </c>
      <c r="AJ166" s="1" t="s">
        <v>1219</v>
      </c>
      <c r="AM166" s="1" t="s">
        <v>324</v>
      </c>
    </row>
    <row r="167">
      <c r="A167" s="1" t="s">
        <v>597</v>
      </c>
      <c r="E167" s="1" t="s">
        <v>1220</v>
      </c>
      <c r="F167" s="6" t="str">
        <f>IFERROR(__xludf.DUMMYFUNCTION("""COMPUTED_VALUE"""),"procession")</f>
        <v>procession</v>
      </c>
      <c r="H167" s="1" t="s">
        <v>476</v>
      </c>
      <c r="I167" s="6" t="str">
        <f>IFERROR(__xludf.DUMMYFUNCTION("""COMPUTED_VALUE"""),"tissues")</f>
        <v>tissues</v>
      </c>
      <c r="K167" s="1" t="s">
        <v>737</v>
      </c>
      <c r="P167" s="1" t="s">
        <v>1221</v>
      </c>
      <c r="Q167" s="6" t="str">
        <f>IFERROR(__xludf.DUMMYFUNCTION("""COMPUTED_VALUE"""),"predecessor")</f>
        <v>predecessor</v>
      </c>
      <c r="S167" s="1" t="s">
        <v>1222</v>
      </c>
      <c r="T167" s="6" t="str">
        <f>IFERROR(__xludf.DUMMYFUNCTION("""COMPUTED_VALUE"""),"intriguing")</f>
        <v>intriguing</v>
      </c>
      <c r="W167" s="1" t="s">
        <v>1223</v>
      </c>
      <c r="AA167" s="1" t="s">
        <v>1224</v>
      </c>
      <c r="AF167" s="1" t="s">
        <v>774</v>
      </c>
      <c r="AJ167" s="1" t="s">
        <v>457</v>
      </c>
      <c r="AM167" s="1" t="s">
        <v>996</v>
      </c>
    </row>
    <row r="168">
      <c r="A168" s="1" t="s">
        <v>1225</v>
      </c>
      <c r="E168" s="1" t="s">
        <v>108</v>
      </c>
      <c r="F168" s="6" t="str">
        <f>IFERROR(__xludf.DUMMYFUNCTION("""COMPUTED_VALUE"""),"remarkable")</f>
        <v>remarkable</v>
      </c>
      <c r="H168" s="1" t="s">
        <v>158</v>
      </c>
      <c r="I168" s="6" t="str">
        <f>IFERROR(__xludf.DUMMYFUNCTION("""COMPUTED_VALUE"""),"bring")</f>
        <v>bring</v>
      </c>
      <c r="K168" s="1" t="s">
        <v>690</v>
      </c>
      <c r="P168" s="1" t="s">
        <v>1226</v>
      </c>
      <c r="Q168" s="6" t="str">
        <f>IFERROR(__xludf.DUMMYFUNCTION("""COMPUTED_VALUE"""),"comedies")</f>
        <v>comedies</v>
      </c>
      <c r="S168" s="1" t="s">
        <v>429</v>
      </c>
      <c r="T168" s="6" t="str">
        <f>IFERROR(__xludf.DUMMYFUNCTION("""COMPUTED_VALUE"""),"comic")</f>
        <v>comic</v>
      </c>
      <c r="W168" s="1" t="s">
        <v>1227</v>
      </c>
      <c r="AA168" s="1" t="s">
        <v>1228</v>
      </c>
      <c r="AF168" s="1" t="s">
        <v>654</v>
      </c>
      <c r="AJ168" s="1" t="s">
        <v>1229</v>
      </c>
      <c r="AM168" s="1" t="s">
        <v>1230</v>
      </c>
    </row>
    <row r="169">
      <c r="A169" s="1" t="s">
        <v>1231</v>
      </c>
      <c r="E169" s="1" t="s">
        <v>1232</v>
      </c>
      <c r="F169" s="6" t="str">
        <f>IFERROR(__xludf.DUMMYFUNCTION("""COMPUTED_VALUE"""),"date")</f>
        <v>date</v>
      </c>
      <c r="H169" s="1" t="s">
        <v>881</v>
      </c>
      <c r="I169" s="6" t="str">
        <f>IFERROR(__xludf.DUMMYFUNCTION("""COMPUTED_VALUE"""),"betrayed")</f>
        <v>betrayed</v>
      </c>
      <c r="K169" s="1" t="s">
        <v>416</v>
      </c>
      <c r="P169" s="1" t="s">
        <v>116</v>
      </c>
      <c r="Q169" s="6" t="str">
        <f>IFERROR(__xludf.DUMMYFUNCTION("""COMPUTED_VALUE"""),"teen")</f>
        <v>teen</v>
      </c>
      <c r="S169" s="1" t="s">
        <v>379</v>
      </c>
      <c r="T169" s="6" t="str">
        <f>IFERROR(__xludf.DUMMYFUNCTION("""COMPUTED_VALUE"""),"pulp")</f>
        <v>pulp</v>
      </c>
      <c r="W169" s="1" t="s">
        <v>1233</v>
      </c>
      <c r="AA169" s="1" t="s">
        <v>1234</v>
      </c>
      <c r="AF169" s="1" t="s">
        <v>661</v>
      </c>
      <c r="AJ169" s="1" t="s">
        <v>232</v>
      </c>
      <c r="AM169" s="1" t="s">
        <v>1235</v>
      </c>
    </row>
    <row r="170">
      <c r="A170" s="1" t="s">
        <v>1236</v>
      </c>
      <c r="E170" s="1" t="s">
        <v>1237</v>
      </c>
      <c r="F170" s="6" t="str">
        <f>IFERROR(__xludf.DUMMYFUNCTION("""COMPUTED_VALUE"""),"pleasant")</f>
        <v>pleasant</v>
      </c>
      <c r="H170" s="1" t="s">
        <v>502</v>
      </c>
      <c r="I170" s="6" t="str">
        <f>IFERROR(__xludf.DUMMYFUNCTION("""COMPUTED_VALUE"""),"bourne")</f>
        <v>bourne</v>
      </c>
      <c r="K170" s="1" t="s">
        <v>70</v>
      </c>
      <c r="P170" s="1" t="s">
        <v>1238</v>
      </c>
      <c r="Q170" s="6" t="str">
        <f>IFERROR(__xludf.DUMMYFUNCTION("""COMPUTED_VALUE"""),"acid")</f>
        <v>acid</v>
      </c>
      <c r="S170" s="1" t="s">
        <v>1239</v>
      </c>
      <c r="T170" s="6" t="str">
        <f>IFERROR(__xludf.DUMMYFUNCTION("""COMPUTED_VALUE"""),"around")</f>
        <v>around</v>
      </c>
      <c r="W170" s="1">
        <v>30.0</v>
      </c>
      <c r="AA170" s="1" t="s">
        <v>1240</v>
      </c>
      <c r="AF170" s="1" t="s">
        <v>1241</v>
      </c>
      <c r="AJ170" s="1" t="s">
        <v>473</v>
      </c>
      <c r="AM170" s="1" t="s">
        <v>591</v>
      </c>
    </row>
    <row r="171">
      <c r="A171" s="1" t="s">
        <v>981</v>
      </c>
      <c r="E171" s="1" t="s">
        <v>186</v>
      </c>
      <c r="F171" s="6" t="str">
        <f>IFERROR(__xludf.DUMMYFUNCTION("""COMPUTED_VALUE"""),"slightest")</f>
        <v>slightest</v>
      </c>
      <c r="H171" s="1" t="s">
        <v>1097</v>
      </c>
      <c r="I171" s="6" t="str">
        <f>IFERROR(__xludf.DUMMYFUNCTION("""COMPUTED_VALUE"""),"conviction")</f>
        <v>conviction</v>
      </c>
      <c r="K171" s="1" t="s">
        <v>1242</v>
      </c>
      <c r="P171" s="1" t="s">
        <v>945</v>
      </c>
      <c r="Q171" s="6" t="str">
        <f>IFERROR(__xludf.DUMMYFUNCTION("""COMPUTED_VALUE"""),"meaningful")</f>
        <v>meaningful</v>
      </c>
      <c r="S171" s="1" t="s">
        <v>1243</v>
      </c>
      <c r="T171" s="6" t="str">
        <f>IFERROR(__xludf.DUMMYFUNCTION("""COMPUTED_VALUE"""),"artworks")</f>
        <v>artworks</v>
      </c>
      <c r="W171" s="1">
        <v>13.0</v>
      </c>
      <c r="AA171" s="1" t="s">
        <v>1244</v>
      </c>
      <c r="AF171" s="1" t="s">
        <v>1245</v>
      </c>
      <c r="AJ171" s="1" t="s">
        <v>1246</v>
      </c>
      <c r="AM171" s="1" t="s">
        <v>121</v>
      </c>
    </row>
    <row r="172">
      <c r="A172" s="1" t="s">
        <v>203</v>
      </c>
      <c r="E172" s="1" t="s">
        <v>514</v>
      </c>
      <c r="F172" s="6" t="str">
        <f>IFERROR(__xludf.DUMMYFUNCTION("""COMPUTED_VALUE"""),"wildly")</f>
        <v>wildly</v>
      </c>
      <c r="H172" s="1" t="s">
        <v>1247</v>
      </c>
      <c r="I172" s="6" t="str">
        <f>IFERROR(__xludf.DUMMYFUNCTION("""COMPUTED_VALUE"""),"brings")</f>
        <v>brings</v>
      </c>
      <c r="K172" s="1" t="s">
        <v>352</v>
      </c>
      <c r="P172" s="1" t="s">
        <v>1248</v>
      </c>
      <c r="Q172" s="6" t="str">
        <f>IFERROR(__xludf.DUMMYFUNCTION("""COMPUTED_VALUE"""),"laughter")</f>
        <v>laughter</v>
      </c>
      <c r="S172" s="1" t="s">
        <v>1249</v>
      </c>
      <c r="T172" s="6" t="str">
        <f>IFERROR(__xludf.DUMMYFUNCTION("""COMPUTED_VALUE"""),"does")</f>
        <v>does</v>
      </c>
      <c r="W172" s="1" t="s">
        <v>1250</v>
      </c>
      <c r="AA172" s="1" t="s">
        <v>1251</v>
      </c>
      <c r="AF172" s="1" t="s">
        <v>1252</v>
      </c>
      <c r="AJ172" s="1" t="s">
        <v>1253</v>
      </c>
      <c r="AM172" s="1" t="s">
        <v>215</v>
      </c>
    </row>
    <row r="173">
      <c r="A173" s="1" t="s">
        <v>1254</v>
      </c>
      <c r="E173" s="1" t="s">
        <v>131</v>
      </c>
      <c r="F173" s="6" t="str">
        <f>IFERROR(__xludf.DUMMYFUNCTION("""COMPUTED_VALUE"""),"music")</f>
        <v>music</v>
      </c>
      <c r="H173" s="1" t="s">
        <v>1255</v>
      </c>
      <c r="I173" s="6" t="str">
        <f>IFERROR(__xludf.DUMMYFUNCTION("""COMPUTED_VALUE"""),"role")</f>
        <v>role</v>
      </c>
      <c r="K173" s="1" t="s">
        <v>561</v>
      </c>
      <c r="P173" s="1" t="s">
        <v>1256</v>
      </c>
      <c r="Q173" s="6" t="str">
        <f>IFERROR(__xludf.DUMMYFUNCTION("""COMPUTED_VALUE"""),"invention")</f>
        <v>invention</v>
      </c>
      <c r="S173" s="1" t="s">
        <v>1257</v>
      </c>
      <c r="T173" s="6" t="str">
        <f>IFERROR(__xludf.DUMMYFUNCTION("""COMPUTED_VALUE"""),"explore")</f>
        <v>explore</v>
      </c>
      <c r="W173" s="1" t="s">
        <v>1258</v>
      </c>
      <c r="AA173" s="1" t="s">
        <v>1259</v>
      </c>
      <c r="AF173" s="1" t="s">
        <v>1260</v>
      </c>
      <c r="AJ173" s="1" t="s">
        <v>240</v>
      </c>
      <c r="AM173" s="1" t="s">
        <v>596</v>
      </c>
    </row>
    <row r="174">
      <c r="A174" s="1" t="s">
        <v>1261</v>
      </c>
      <c r="E174" s="1" t="s">
        <v>140</v>
      </c>
      <c r="F174" s="6" t="str">
        <f>IFERROR(__xludf.DUMMYFUNCTION("""COMPUTED_VALUE"""),"color")</f>
        <v>color</v>
      </c>
      <c r="H174" s="1" t="s">
        <v>1102</v>
      </c>
      <c r="I174" s="6" t="str">
        <f>IFERROR(__xludf.DUMMYFUNCTION("""COMPUTED_VALUE"""),"jason")</f>
        <v>jason</v>
      </c>
      <c r="K174" s="1" t="s">
        <v>1262</v>
      </c>
      <c r="P174" s="1" t="s">
        <v>1263</v>
      </c>
      <c r="Q174" s="6" t="str">
        <f>IFERROR(__xludf.DUMMYFUNCTION("""COMPUTED_VALUE"""),"drag")</f>
        <v>drag</v>
      </c>
      <c r="S174" s="1" t="s">
        <v>1264</v>
      </c>
      <c r="T174" s="6" t="str">
        <f>IFERROR(__xludf.DUMMYFUNCTION("""COMPUTED_VALUE"""),"standard")</f>
        <v>standard</v>
      </c>
      <c r="W174" s="1" t="s">
        <v>1265</v>
      </c>
      <c r="AA174" s="1" t="s">
        <v>251</v>
      </c>
      <c r="AF174" s="1" t="s">
        <v>1266</v>
      </c>
      <c r="AJ174" s="1" t="s">
        <v>354</v>
      </c>
      <c r="AM174" s="1" t="s">
        <v>605</v>
      </c>
    </row>
    <row r="175">
      <c r="A175" s="1" t="s">
        <v>1267</v>
      </c>
      <c r="E175" s="1" t="s">
        <v>769</v>
      </c>
      <c r="F175" s="6" t="str">
        <f>IFERROR(__xludf.DUMMYFUNCTION("""COMPUTED_VALUE"""),"preliminary")</f>
        <v>preliminary</v>
      </c>
      <c r="H175" s="1" t="s">
        <v>554</v>
      </c>
      <c r="I175" s="6" t="str">
        <f>IFERROR(__xludf.DUMMYFUNCTION("""COMPUTED_VALUE"""),"diplomacy")</f>
        <v>diplomacy</v>
      </c>
      <c r="K175" s="1" t="s">
        <v>1268</v>
      </c>
      <c r="P175" s="1" t="s">
        <v>196</v>
      </c>
      <c r="Q175" s="6" t="str">
        <f>IFERROR(__xludf.DUMMYFUNCTION("""COMPUTED_VALUE"""),"juvenile")</f>
        <v>juvenile</v>
      </c>
      <c r="S175" s="1" t="s">
        <v>1269</v>
      </c>
      <c r="T175" s="6" t="str">
        <f>IFERROR(__xludf.DUMMYFUNCTION("""COMPUTED_VALUE"""),"wisdom")</f>
        <v>wisdom</v>
      </c>
      <c r="W175" s="1">
        <v>25.0</v>
      </c>
      <c r="AA175" s="1" t="s">
        <v>1270</v>
      </c>
      <c r="AF175" s="1" t="s">
        <v>1271</v>
      </c>
      <c r="AJ175" s="1" t="s">
        <v>1272</v>
      </c>
      <c r="AM175" s="1" t="s">
        <v>609</v>
      </c>
    </row>
    <row r="176">
      <c r="A176" s="1" t="s">
        <v>1273</v>
      </c>
      <c r="E176" s="1" t="s">
        <v>720</v>
      </c>
      <c r="F176" s="6" t="str">
        <f>IFERROR(__xludf.DUMMYFUNCTION("""COMPUTED_VALUE"""),"narrative")</f>
        <v>narrative</v>
      </c>
      <c r="H176" s="1" t="s">
        <v>1116</v>
      </c>
      <c r="I176" s="6" t="str">
        <f>IFERROR(__xludf.DUMMYFUNCTION("""COMPUTED_VALUE"""),"generosity")</f>
        <v>generosity</v>
      </c>
      <c r="K176" s="1" t="s">
        <v>1274</v>
      </c>
      <c r="P176" s="1" t="s">
        <v>1275</v>
      </c>
      <c r="Q176" s="6" t="str">
        <f>IFERROR(__xludf.DUMMYFUNCTION("""COMPUTED_VALUE"""),"literary")</f>
        <v>literary</v>
      </c>
      <c r="S176" s="1" t="s">
        <v>1276</v>
      </c>
      <c r="T176" s="6" t="str">
        <f>IFERROR(__xludf.DUMMYFUNCTION("""COMPUTED_VALUE"""),"directed")</f>
        <v>directed</v>
      </c>
      <c r="W176" s="1" t="s">
        <v>407</v>
      </c>
      <c r="AA176" s="1" t="s">
        <v>1277</v>
      </c>
      <c r="AF176" s="1" t="s">
        <v>1278</v>
      </c>
      <c r="AJ176" s="1" t="s">
        <v>1279</v>
      </c>
      <c r="AM176" s="1" t="s">
        <v>1280</v>
      </c>
    </row>
    <row r="177">
      <c r="A177" s="1" t="s">
        <v>989</v>
      </c>
      <c r="E177" s="1" t="s">
        <v>209</v>
      </c>
      <c r="F177" s="6" t="str">
        <f>IFERROR(__xludf.DUMMYFUNCTION("""COMPUTED_VALUE"""),"difficult")</f>
        <v>difficult</v>
      </c>
      <c r="H177" s="1" t="s">
        <v>166</v>
      </c>
      <c r="I177" s="6" t="str">
        <f>IFERROR(__xludf.DUMMYFUNCTION("""COMPUTED_VALUE"""),"effort")</f>
        <v>effort</v>
      </c>
      <c r="K177" s="1" t="s">
        <v>1281</v>
      </c>
      <c r="P177" s="1" t="s">
        <v>1282</v>
      </c>
      <c r="Q177" s="6" t="str">
        <f>IFERROR(__xludf.DUMMYFUNCTION("""COMPUTED_VALUE"""),"dull")</f>
        <v>dull</v>
      </c>
      <c r="S177" s="1" t="s">
        <v>1283</v>
      </c>
      <c r="T177" s="6" t="str">
        <f>IFERROR(__xludf.DUMMYFUNCTION("""COMPUTED_VALUE"""),"washington")</f>
        <v>washington</v>
      </c>
      <c r="W177" s="1" t="s">
        <v>194</v>
      </c>
      <c r="AA177" s="1" t="s">
        <v>1284</v>
      </c>
      <c r="AF177" s="1" t="s">
        <v>1285</v>
      </c>
      <c r="AJ177" s="1" t="s">
        <v>247</v>
      </c>
      <c r="AM177" s="1" t="s">
        <v>711</v>
      </c>
    </row>
    <row r="178">
      <c r="A178" s="1" t="s">
        <v>114</v>
      </c>
      <c r="E178" s="1" t="s">
        <v>182</v>
      </c>
      <c r="F178" s="6" t="str">
        <f>IFERROR(__xludf.DUMMYFUNCTION("""COMPUTED_VALUE"""),"unpredictable")</f>
        <v>unpredictable</v>
      </c>
      <c r="H178" s="1" t="s">
        <v>193</v>
      </c>
      <c r="I178" s="6" t="str">
        <f>IFERROR(__xludf.DUMMYFUNCTION("""COMPUTED_VALUE"""),"share")</f>
        <v>share</v>
      </c>
      <c r="K178" s="1" t="s">
        <v>1286</v>
      </c>
      <c r="P178" s="1" t="s">
        <v>1287</v>
      </c>
      <c r="Q178" s="6" t="str">
        <f>IFERROR(__xludf.DUMMYFUNCTION("""COMPUTED_VALUE"""),"witty")</f>
        <v>witty</v>
      </c>
      <c r="S178" s="1" t="s">
        <v>1288</v>
      </c>
      <c r="T178" s="6" t="str">
        <f>IFERROR(__xludf.DUMMYFUNCTION("""COMPUTED_VALUE"""),"certainly")</f>
        <v>certainly</v>
      </c>
      <c r="W178" s="1" t="s">
        <v>1289</v>
      </c>
      <c r="AA178" s="1" t="s">
        <v>994</v>
      </c>
      <c r="AF178" s="1" t="s">
        <v>671</v>
      </c>
      <c r="AJ178" s="1" t="s">
        <v>1290</v>
      </c>
      <c r="AM178" s="1" t="s">
        <v>1291</v>
      </c>
    </row>
    <row r="179">
      <c r="A179" s="1" t="s">
        <v>1292</v>
      </c>
      <c r="E179" s="1" t="s">
        <v>1293</v>
      </c>
      <c r="F179" s="6" t="str">
        <f>IFERROR(__xludf.DUMMYFUNCTION("""COMPUTED_VALUE"""),"spectacle")</f>
        <v>spectacle</v>
      </c>
      <c r="H179" s="1" t="s">
        <v>903</v>
      </c>
      <c r="I179" s="6" t="str">
        <f>IFERROR(__xludf.DUMMYFUNCTION("""COMPUTED_VALUE"""),"engaging")</f>
        <v>engaging</v>
      </c>
      <c r="K179" s="1" t="s">
        <v>720</v>
      </c>
      <c r="P179" s="1" t="s">
        <v>1294</v>
      </c>
      <c r="Q179" s="6" t="str">
        <f>IFERROR(__xludf.DUMMYFUNCTION("""COMPUTED_VALUE"""),"portrait")</f>
        <v>portrait</v>
      </c>
      <c r="S179" s="1" t="s">
        <v>1197</v>
      </c>
      <c r="T179" s="6" t="str">
        <f>IFERROR(__xludf.DUMMYFUNCTION("""COMPUTED_VALUE"""),"ahead")</f>
        <v>ahead</v>
      </c>
      <c r="W179" s="1">
        <v>11.0</v>
      </c>
      <c r="AA179" s="1" t="s">
        <v>1295</v>
      </c>
      <c r="AF179" s="1" t="s">
        <v>676</v>
      </c>
      <c r="AJ179" s="1" t="s">
        <v>1296</v>
      </c>
      <c r="AM179" s="1" t="s">
        <v>613</v>
      </c>
    </row>
    <row r="180">
      <c r="A180" s="1" t="s">
        <v>1297</v>
      </c>
      <c r="E180" s="1" t="s">
        <v>148</v>
      </c>
      <c r="F180" s="6" t="str">
        <f>IFERROR(__xludf.DUMMYFUNCTION("""COMPUTED_VALUE"""),"conclusions")</f>
        <v>conclusions</v>
      </c>
      <c r="H180" s="1" t="s">
        <v>907</v>
      </c>
      <c r="I180" s="6" t="str">
        <f>IFERROR(__xludf.DUMMYFUNCTION("""COMPUTED_VALUE"""),"collapse")</f>
        <v>collapse</v>
      </c>
      <c r="K180" s="1" t="s">
        <v>456</v>
      </c>
      <c r="P180" s="1" t="s">
        <v>1298</v>
      </c>
      <c r="Q180" s="6" t="str">
        <f>IFERROR(__xludf.DUMMYFUNCTION("""COMPUTED_VALUE"""),"fails")</f>
        <v>fails</v>
      </c>
      <c r="S180" s="1" t="s">
        <v>455</v>
      </c>
      <c r="T180" s="6" t="str">
        <f>IFERROR(__xludf.DUMMYFUNCTION("""COMPUTED_VALUE"""),"long")</f>
        <v>long</v>
      </c>
      <c r="W180" s="1" t="s">
        <v>1299</v>
      </c>
      <c r="AA180" s="1" t="s">
        <v>1300</v>
      </c>
      <c r="AF180" s="1" t="s">
        <v>589</v>
      </c>
      <c r="AJ180" s="1" t="s">
        <v>1301</v>
      </c>
      <c r="AM180" s="1" t="s">
        <v>621</v>
      </c>
    </row>
    <row r="181">
      <c r="A181" s="1" t="s">
        <v>1302</v>
      </c>
      <c r="E181" s="1" t="s">
        <v>1303</v>
      </c>
      <c r="F181" s="6" t="str">
        <f>IFERROR(__xludf.DUMMYFUNCTION("""COMPUTED_VALUE"""),"dramas")</f>
        <v>dramas</v>
      </c>
      <c r="H181" s="1" t="s">
        <v>1304</v>
      </c>
      <c r="I181" s="6" t="str">
        <f>IFERROR(__xludf.DUMMYFUNCTION("""COMPUTED_VALUE"""),"flaws")</f>
        <v>flaws</v>
      </c>
      <c r="K181" s="1" t="s">
        <v>1305</v>
      </c>
      <c r="P181" s="1" t="s">
        <v>354</v>
      </c>
      <c r="Q181" s="6" t="str">
        <f>IFERROR(__xludf.DUMMYFUNCTION("""COMPUTED_VALUE"""),"bard")</f>
        <v>bard</v>
      </c>
      <c r="S181" s="1" t="s">
        <v>1306</v>
      </c>
      <c r="T181" s="6" t="str">
        <f>IFERROR(__xludf.DUMMYFUNCTION("""COMPUTED_VALUE"""),"images")</f>
        <v>images</v>
      </c>
      <c r="W181" s="1" t="s">
        <v>1307</v>
      </c>
      <c r="AA181" s="1" t="s">
        <v>1173</v>
      </c>
      <c r="AF181" s="1" t="s">
        <v>1308</v>
      </c>
      <c r="AJ181" s="1" t="s">
        <v>1309</v>
      </c>
      <c r="AM181" s="1" t="s">
        <v>1120</v>
      </c>
    </row>
    <row r="182">
      <c r="A182" s="1" t="s">
        <v>1310</v>
      </c>
      <c r="E182" s="1" t="s">
        <v>1311</v>
      </c>
      <c r="F182" s="6" t="str">
        <f>IFERROR(__xludf.DUMMYFUNCTION("""COMPUTED_VALUE"""),"ponder")</f>
        <v>ponder</v>
      </c>
      <c r="H182" s="1" t="s">
        <v>513</v>
      </c>
      <c r="I182" s="6" t="str">
        <f>IFERROR(__xludf.DUMMYFUNCTION("""COMPUTED_VALUE"""),"forgive")</f>
        <v>forgive</v>
      </c>
      <c r="K182" s="1" t="s">
        <v>1312</v>
      </c>
      <c r="P182" s="1" t="s">
        <v>1272</v>
      </c>
      <c r="Q182" s="6" t="str">
        <f>IFERROR(__xludf.DUMMYFUNCTION("""COMPUTED_VALUE"""),"bottom")</f>
        <v>bottom</v>
      </c>
      <c r="S182" s="1" t="s">
        <v>1313</v>
      </c>
      <c r="T182" s="6" t="str">
        <f>IFERROR(__xludf.DUMMYFUNCTION("""COMPUTED_VALUE"""),"eyes")</f>
        <v>eyes</v>
      </c>
      <c r="W182" s="1" t="s">
        <v>1314</v>
      </c>
      <c r="AA182" s="1" t="s">
        <v>1315</v>
      </c>
      <c r="AF182" s="1" t="s">
        <v>1316</v>
      </c>
      <c r="AJ182" s="1" t="s">
        <v>350</v>
      </c>
      <c r="AM182" s="1" t="s">
        <v>1307</v>
      </c>
    </row>
    <row r="183">
      <c r="A183" s="1" t="s">
        <v>1317</v>
      </c>
      <c r="E183" s="1" t="s">
        <v>836</v>
      </c>
      <c r="F183" s="6" t="str">
        <f>IFERROR(__xludf.DUMMYFUNCTION("""COMPUTED_VALUE"""),"forces")</f>
        <v>forces</v>
      </c>
      <c r="H183" s="1" t="s">
        <v>915</v>
      </c>
      <c r="I183" s="6" t="str">
        <f>IFERROR(__xludf.DUMMYFUNCTION("""COMPUTED_VALUE"""),"tool")</f>
        <v>tool</v>
      </c>
      <c r="K183" s="1" t="s">
        <v>1318</v>
      </c>
      <c r="P183" s="1" t="s">
        <v>1279</v>
      </c>
      <c r="Q183" s="6" t="str">
        <f>IFERROR(__xludf.DUMMYFUNCTION("""COMPUTED_VALUE"""),"davies")</f>
        <v>davies</v>
      </c>
      <c r="S183" s="1" t="s">
        <v>1319</v>
      </c>
      <c r="T183" s="6" t="str">
        <f>IFERROR(__xludf.DUMMYFUNCTION("""COMPUTED_VALUE"""),"tear")</f>
        <v>tear</v>
      </c>
      <c r="W183" s="1" t="s">
        <v>1320</v>
      </c>
      <c r="AA183" s="1" t="s">
        <v>607</v>
      </c>
      <c r="AF183" s="1" t="s">
        <v>1321</v>
      </c>
      <c r="AJ183" s="1" t="s">
        <v>1322</v>
      </c>
      <c r="AM183" s="1" t="s">
        <v>627</v>
      </c>
    </row>
    <row r="184">
      <c r="A184" s="1" t="s">
        <v>1323</v>
      </c>
      <c r="E184" s="1" t="s">
        <v>161</v>
      </c>
      <c r="F184" s="6" t="str">
        <f>IFERROR(__xludf.DUMMYFUNCTION("""COMPUTED_VALUE"""),"enables")</f>
        <v>enables</v>
      </c>
      <c r="H184" s="1" t="s">
        <v>528</v>
      </c>
      <c r="I184" s="6" t="str">
        <f>IFERROR(__xludf.DUMMYFUNCTION("""COMPUTED_VALUE"""),"effective")</f>
        <v>effective</v>
      </c>
      <c r="K184" s="1" t="s">
        <v>1324</v>
      </c>
      <c r="P184" s="1" t="s">
        <v>247</v>
      </c>
      <c r="Q184" s="6" t="str">
        <f>IFERROR(__xludf.DUMMYFUNCTION("""COMPUTED_VALUE"""),"bleak")</f>
        <v>bleak</v>
      </c>
      <c r="S184" s="1" t="s">
        <v>1293</v>
      </c>
      <c r="T184" s="6" t="str">
        <f>IFERROR(__xludf.DUMMYFUNCTION("""COMPUTED_VALUE"""),"read")</f>
        <v>read</v>
      </c>
      <c r="W184" s="1" t="s">
        <v>1325</v>
      </c>
      <c r="AA184" s="1" t="s">
        <v>1326</v>
      </c>
      <c r="AF184" s="1" t="s">
        <v>690</v>
      </c>
      <c r="AJ184" s="1" t="s">
        <v>1327</v>
      </c>
      <c r="AM184" s="1" t="s">
        <v>635</v>
      </c>
    </row>
    <row r="185">
      <c r="A185" s="1" t="s">
        <v>1328</v>
      </c>
      <c r="E185" s="1" t="s">
        <v>216</v>
      </c>
      <c r="F185" s="6" t="str">
        <f>IFERROR(__xludf.DUMMYFUNCTION("""COMPUTED_VALUE"""),"considerable")</f>
        <v>considerable</v>
      </c>
      <c r="H185" s="1" t="s">
        <v>522</v>
      </c>
      <c r="I185" s="6" t="str">
        <f>IFERROR(__xludf.DUMMYFUNCTION("""COMPUTED_VALUE"""),"community")</f>
        <v>community</v>
      </c>
      <c r="K185" s="1" t="s">
        <v>1329</v>
      </c>
      <c r="P185" s="1" t="s">
        <v>335</v>
      </c>
      <c r="Q185" s="6" t="str">
        <f>IFERROR(__xludf.DUMMYFUNCTION("""COMPUTED_VALUE"""),"convincing")</f>
        <v>convincing</v>
      </c>
      <c r="S185" s="1" t="s">
        <v>1330</v>
      </c>
      <c r="T185" s="6" t="str">
        <f>IFERROR(__xludf.DUMMYFUNCTION("""COMPUTED_VALUE"""),"cinematic")</f>
        <v>cinematic</v>
      </c>
      <c r="W185" s="1" t="s">
        <v>1331</v>
      </c>
      <c r="AA185" s="1" t="s">
        <v>1332</v>
      </c>
      <c r="AF185" s="1" t="s">
        <v>698</v>
      </c>
      <c r="AJ185" s="1" t="s">
        <v>1333</v>
      </c>
      <c r="AM185" s="1" t="s">
        <v>642</v>
      </c>
    </row>
    <row r="186">
      <c r="A186" s="1" t="s">
        <v>1334</v>
      </c>
      <c r="E186" s="1" t="s">
        <v>1335</v>
      </c>
      <c r="F186" s="6" t="str">
        <f>IFERROR(__xludf.DUMMYFUNCTION("""COMPUTED_VALUE"""),"bold")</f>
        <v>bold</v>
      </c>
      <c r="H186" s="1" t="s">
        <v>926</v>
      </c>
      <c r="I186" s="6" t="str">
        <f>IFERROR(__xludf.DUMMYFUNCTION("""COMPUTED_VALUE"""),"conquer")</f>
        <v>conquer</v>
      </c>
      <c r="K186" s="1" t="s">
        <v>1336</v>
      </c>
      <c r="P186" s="1" t="s">
        <v>1309</v>
      </c>
      <c r="Q186" s="6" t="str">
        <f>IFERROR(__xludf.DUMMYFUNCTION("""COMPUTED_VALUE"""),"viewer")</f>
        <v>viewer</v>
      </c>
      <c r="S186" s="1" t="s">
        <v>1337</v>
      </c>
      <c r="T186" s="6" t="str">
        <f>IFERROR(__xludf.DUMMYFUNCTION("""COMPUTED_VALUE"""),"titles")</f>
        <v>titles</v>
      </c>
      <c r="W186" s="1" t="s">
        <v>1338</v>
      </c>
      <c r="AA186" s="1" t="s">
        <v>1339</v>
      </c>
      <c r="AF186" s="1" t="s">
        <v>1340</v>
      </c>
      <c r="AJ186" s="1" t="s">
        <v>1011</v>
      </c>
      <c r="AM186" s="1" t="s">
        <v>647</v>
      </c>
    </row>
    <row r="187">
      <c r="A187" s="1" t="s">
        <v>1341</v>
      </c>
      <c r="E187" s="1" t="s">
        <v>736</v>
      </c>
      <c r="F187" s="6" t="str">
        <f>IFERROR(__xludf.DUMMYFUNCTION("""COMPUTED_VALUE"""),"effects")</f>
        <v>effects</v>
      </c>
      <c r="H187" s="1" t="s">
        <v>810</v>
      </c>
      <c r="I187" s="6" t="str">
        <f>IFERROR(__xludf.DUMMYFUNCTION("""COMPUTED_VALUE"""),"delivers")</f>
        <v>delivers</v>
      </c>
      <c r="K187" s="1" t="s">
        <v>1342</v>
      </c>
      <c r="P187" s="1" t="s">
        <v>350</v>
      </c>
      <c r="Q187" s="6" t="str">
        <f>IFERROR(__xludf.DUMMYFUNCTION("""COMPUTED_VALUE"""),"affection")</f>
        <v>affection</v>
      </c>
      <c r="S187" s="1" t="s">
        <v>471</v>
      </c>
      <c r="T187" s="6" t="str">
        <f>IFERROR(__xludf.DUMMYFUNCTION("""COMPUTED_VALUE"""),"generally")</f>
        <v>generally</v>
      </c>
      <c r="W187" s="1" t="s">
        <v>1343</v>
      </c>
      <c r="AA187" s="1" t="s">
        <v>1344</v>
      </c>
      <c r="AF187" s="1" t="s">
        <v>704</v>
      </c>
      <c r="AJ187" s="1" t="s">
        <v>1345</v>
      </c>
      <c r="AM187" s="1" t="s">
        <v>1077</v>
      </c>
    </row>
    <row r="188">
      <c r="A188" s="1" t="s">
        <v>1346</v>
      </c>
      <c r="E188" s="1" t="s">
        <v>224</v>
      </c>
      <c r="F188" s="6" t="str">
        <f>IFERROR(__xludf.DUMMYFUNCTION("""COMPUTED_VALUE"""),"flashes")</f>
        <v>flashes</v>
      </c>
      <c r="H188" s="1" t="s">
        <v>537</v>
      </c>
      <c r="I188" s="6" t="str">
        <f>IFERROR(__xludf.DUMMYFUNCTION("""COMPUTED_VALUE"""),"roll")</f>
        <v>roll</v>
      </c>
      <c r="K188" s="1" t="s">
        <v>1347</v>
      </c>
      <c r="P188" s="1" t="s">
        <v>1348</v>
      </c>
      <c r="Q188" s="6" t="str">
        <f>IFERROR(__xludf.DUMMYFUNCTION("""COMPUTED_VALUE"""),"documentary")</f>
        <v>documentary</v>
      </c>
      <c r="S188" s="1" t="s">
        <v>1349</v>
      </c>
      <c r="T188" s="6" t="str">
        <f>IFERROR(__xludf.DUMMYFUNCTION("""COMPUTED_VALUE"""),"down")</f>
        <v>down</v>
      </c>
      <c r="W188" s="1" t="s">
        <v>1350</v>
      </c>
      <c r="AA188" s="1" t="s">
        <v>1351</v>
      </c>
      <c r="AF188" s="1" t="s">
        <v>712</v>
      </c>
      <c r="AJ188" s="1" t="s">
        <v>495</v>
      </c>
      <c r="AM188" s="1" t="s">
        <v>1091</v>
      </c>
    </row>
    <row r="189">
      <c r="A189" s="1" t="s">
        <v>1352</v>
      </c>
      <c r="E189" s="1" t="s">
        <v>745</v>
      </c>
      <c r="F189" s="6" t="str">
        <f>IFERROR(__xludf.DUMMYFUNCTION("""COMPUTED_VALUE"""),"reconciliation")</f>
        <v>reconciliation</v>
      </c>
      <c r="H189" s="1" t="s">
        <v>111</v>
      </c>
      <c r="I189" s="6" t="str">
        <f>IFERROR(__xludf.DUMMYFUNCTION("""COMPUTED_VALUE"""),"suspense")</f>
        <v>suspense</v>
      </c>
      <c r="K189" s="1" t="s">
        <v>481</v>
      </c>
      <c r="P189" s="1" t="s">
        <v>1322</v>
      </c>
      <c r="Q189" s="6" t="str">
        <f>IFERROR(__xludf.DUMMYFUNCTION("""COMPUTED_VALUE"""),"kills")</f>
        <v>kills</v>
      </c>
      <c r="S189" s="1" t="s">
        <v>370</v>
      </c>
      <c r="T189" s="6">
        <f>IFERROR(__xludf.DUMMYFUNCTION("""COMPUTED_VALUE"""),3000.0)</f>
        <v>3000</v>
      </c>
      <c r="W189" s="1" t="s">
        <v>1353</v>
      </c>
      <c r="AA189" s="1" t="s">
        <v>1354</v>
      </c>
      <c r="AF189" s="1" t="s">
        <v>1355</v>
      </c>
      <c r="AJ189" s="1" t="s">
        <v>256</v>
      </c>
      <c r="AM189" s="1" t="s">
        <v>1055</v>
      </c>
    </row>
    <row r="190">
      <c r="A190" s="1" t="s">
        <v>1356</v>
      </c>
      <c r="E190" s="1" t="s">
        <v>755</v>
      </c>
      <c r="F190" s="6" t="str">
        <f>IFERROR(__xludf.DUMMYFUNCTION("""COMPUTED_VALUE"""),"sibling")</f>
        <v>sibling</v>
      </c>
      <c r="H190" s="1" t="s">
        <v>952</v>
      </c>
      <c r="I190" s="6" t="str">
        <f>IFERROR(__xludf.DUMMYFUNCTION("""COMPUTED_VALUE"""),"lacking")</f>
        <v>lacking</v>
      </c>
      <c r="K190" s="1" t="s">
        <v>589</v>
      </c>
      <c r="P190" s="1" t="s">
        <v>1327</v>
      </c>
      <c r="Q190" s="6" t="str">
        <f>IFERROR(__xludf.DUMMYFUNCTION("""COMPUTED_VALUE"""),"satire")</f>
        <v>satire</v>
      </c>
      <c r="S190" s="1" t="s">
        <v>493</v>
      </c>
      <c r="T190" s="6" t="str">
        <f>IFERROR(__xludf.DUMMYFUNCTION("""COMPUTED_VALUE"""),"own")</f>
        <v>own</v>
      </c>
      <c r="W190" s="1" t="s">
        <v>1357</v>
      </c>
      <c r="AA190" s="1" t="s">
        <v>1358</v>
      </c>
      <c r="AF190" s="1" t="s">
        <v>1359</v>
      </c>
      <c r="AJ190" s="1" t="s">
        <v>265</v>
      </c>
      <c r="AM190" s="1" t="s">
        <v>1360</v>
      </c>
    </row>
    <row r="191">
      <c r="A191" s="1" t="s">
        <v>1361</v>
      </c>
      <c r="E191" s="1" t="s">
        <v>763</v>
      </c>
      <c r="F191" s="6" t="str">
        <f>IFERROR(__xludf.DUMMYFUNCTION("""COMPUTED_VALUE"""),"warmth")</f>
        <v>warmth</v>
      </c>
      <c r="H191" s="1" t="s">
        <v>653</v>
      </c>
      <c r="I191" s="6" t="str">
        <f>IFERROR(__xludf.DUMMYFUNCTION("""COMPUTED_VALUE"""),"portrayal")</f>
        <v>portrayal</v>
      </c>
      <c r="K191" s="1" t="s">
        <v>1362</v>
      </c>
      <c r="P191" s="1" t="s">
        <v>1363</v>
      </c>
      <c r="Q191" s="6" t="str">
        <f>IFERROR(__xludf.DUMMYFUNCTION("""COMPUTED_VALUE"""),"courage")</f>
        <v>courage</v>
      </c>
      <c r="S191" s="1" t="s">
        <v>1364</v>
      </c>
      <c r="T191" s="6" t="str">
        <f>IFERROR(__xludf.DUMMYFUNCTION("""COMPUTED_VALUE"""),"other")</f>
        <v>other</v>
      </c>
      <c r="W191" s="1" t="s">
        <v>1365</v>
      </c>
      <c r="AA191" s="1" t="s">
        <v>1366</v>
      </c>
      <c r="AF191" s="1" t="s">
        <v>1367</v>
      </c>
      <c r="AJ191" s="1" t="s">
        <v>225</v>
      </c>
      <c r="AM191" s="1" t="s">
        <v>645</v>
      </c>
    </row>
    <row r="192">
      <c r="A192" s="1" t="s">
        <v>1368</v>
      </c>
      <c r="E192" s="1" t="s">
        <v>1369</v>
      </c>
      <c r="F192" s="6" t="str">
        <f>IFERROR(__xludf.DUMMYFUNCTION("""COMPUTED_VALUE"""),"avoids")</f>
        <v>avoids</v>
      </c>
      <c r="H192" s="1" t="s">
        <v>1370</v>
      </c>
      <c r="I192" s="6" t="str">
        <f>IFERROR(__xludf.DUMMYFUNCTION("""COMPUTED_VALUE"""),"realistic")</f>
        <v>realistic</v>
      </c>
      <c r="K192" s="1" t="s">
        <v>1371</v>
      </c>
      <c r="P192" s="1" t="s">
        <v>1011</v>
      </c>
      <c r="Q192" s="6" t="str">
        <f>IFERROR(__xludf.DUMMYFUNCTION("""COMPUTED_VALUE"""),"intellectual")</f>
        <v>intellectual</v>
      </c>
      <c r="S192" s="1" t="s">
        <v>1372</v>
      </c>
      <c r="T192" s="6" t="str">
        <f>IFERROR(__xludf.DUMMYFUNCTION("""COMPUTED_VALUE"""),"late")</f>
        <v>late</v>
      </c>
      <c r="W192" s="1" t="s">
        <v>1373</v>
      </c>
      <c r="AA192" s="1" t="s">
        <v>1374</v>
      </c>
      <c r="AF192" s="1" t="s">
        <v>1375</v>
      </c>
      <c r="AJ192" s="1" t="s">
        <v>1376</v>
      </c>
      <c r="AM192" s="1" t="s">
        <v>223</v>
      </c>
    </row>
    <row r="193">
      <c r="A193" s="1" t="s">
        <v>1051</v>
      </c>
      <c r="E193" s="1" t="s">
        <v>1377</v>
      </c>
      <c r="F193" s="6" t="str">
        <f>IFERROR(__xludf.DUMMYFUNCTION("""COMPUTED_VALUE"""),"script")</f>
        <v>script</v>
      </c>
      <c r="H193" s="1" t="s">
        <v>542</v>
      </c>
      <c r="I193" s="6" t="str">
        <f>IFERROR(__xludf.DUMMYFUNCTION("""COMPUTED_VALUE"""),"trying")</f>
        <v>trying</v>
      </c>
      <c r="K193" s="1" t="s">
        <v>597</v>
      </c>
      <c r="P193" s="1" t="s">
        <v>1333</v>
      </c>
      <c r="Q193" s="6" t="str">
        <f>IFERROR(__xludf.DUMMYFUNCTION("""COMPUTED_VALUE"""),"meditation")</f>
        <v>meditation</v>
      </c>
      <c r="S193" s="1" t="s">
        <v>694</v>
      </c>
      <c r="T193" s="6" t="str">
        <f>IFERROR(__xludf.DUMMYFUNCTION("""COMPUTED_VALUE"""),"concert")</f>
        <v>concert</v>
      </c>
      <c r="W193" s="1" t="s">
        <v>1378</v>
      </c>
      <c r="AA193" s="1" t="s">
        <v>1379</v>
      </c>
      <c r="AF193" s="1" t="s">
        <v>718</v>
      </c>
      <c r="AJ193" s="1" t="s">
        <v>527</v>
      </c>
      <c r="AM193" s="1" t="s">
        <v>1380</v>
      </c>
    </row>
    <row r="194">
      <c r="A194" s="1" t="s">
        <v>1381</v>
      </c>
      <c r="E194" s="1" t="s">
        <v>419</v>
      </c>
      <c r="F194" s="6" t="str">
        <f>IFERROR(__xludf.DUMMYFUNCTION("""COMPUTED_VALUE"""),"predecessors")</f>
        <v>predecessors</v>
      </c>
      <c r="H194" s="1" t="s">
        <v>165</v>
      </c>
      <c r="I194" s="6" t="str">
        <f>IFERROR(__xludf.DUMMYFUNCTION("""COMPUTED_VALUE"""),"lump")</f>
        <v>lump</v>
      </c>
      <c r="K194" s="1" t="s">
        <v>1382</v>
      </c>
      <c r="P194" s="1" t="s">
        <v>1345</v>
      </c>
      <c r="Q194" s="6" t="str">
        <f>IFERROR(__xludf.DUMMYFUNCTION("""COMPUTED_VALUE"""),"freddy")</f>
        <v>freddy</v>
      </c>
      <c r="S194" s="1" t="s">
        <v>1383</v>
      </c>
      <c r="T194" s="6" t="str">
        <f>IFERROR(__xludf.DUMMYFUNCTION("""COMPUTED_VALUE"""),"authority")</f>
        <v>authority</v>
      </c>
      <c r="W194" s="1">
        <v>16.0</v>
      </c>
      <c r="AA194" s="1" t="s">
        <v>1384</v>
      </c>
      <c r="AF194" s="1" t="s">
        <v>727</v>
      </c>
      <c r="AJ194" s="1" t="s">
        <v>352</v>
      </c>
      <c r="AM194" s="1" t="s">
        <v>1385</v>
      </c>
    </row>
    <row r="195">
      <c r="A195" s="1" t="s">
        <v>1386</v>
      </c>
      <c r="E195" s="1" t="s">
        <v>149</v>
      </c>
      <c r="F195" s="6" t="str">
        <f>IFERROR(__xludf.DUMMYFUNCTION("""COMPUTED_VALUE"""),"pacing")</f>
        <v>pacing</v>
      </c>
      <c r="H195" s="1" t="s">
        <v>545</v>
      </c>
      <c r="I195" s="6" t="str">
        <f>IFERROR(__xludf.DUMMYFUNCTION("""COMPUTED_VALUE"""),"stunts")</f>
        <v>stunts</v>
      </c>
      <c r="K195" s="1" t="s">
        <v>1387</v>
      </c>
      <c r="P195" s="1" t="s">
        <v>1388</v>
      </c>
      <c r="Q195" s="6" t="str">
        <f>IFERROR(__xludf.DUMMYFUNCTION("""COMPUTED_VALUE"""),"stereotypes")</f>
        <v>stereotypes</v>
      </c>
      <c r="S195" s="1" t="s">
        <v>516</v>
      </c>
      <c r="T195" s="6" t="str">
        <f>IFERROR(__xludf.DUMMYFUNCTION("""COMPUTED_VALUE"""),"fluid")</f>
        <v>fluid</v>
      </c>
      <c r="W195" s="1" t="s">
        <v>1389</v>
      </c>
      <c r="AA195" s="1" t="s">
        <v>1390</v>
      </c>
      <c r="AF195" s="1" t="s">
        <v>734</v>
      </c>
      <c r="AJ195" s="1" t="s">
        <v>1391</v>
      </c>
      <c r="AM195" s="1" t="s">
        <v>175</v>
      </c>
    </row>
    <row r="196">
      <c r="A196" s="1" t="s">
        <v>1392</v>
      </c>
      <c r="E196" s="1" t="s">
        <v>1393</v>
      </c>
      <c r="F196" s="6" t="str">
        <f>IFERROR(__xludf.DUMMYFUNCTION("""COMPUTED_VALUE"""),"affair")</f>
        <v>affair</v>
      </c>
      <c r="H196" s="1" t="s">
        <v>558</v>
      </c>
      <c r="I196" s="6" t="str">
        <f>IFERROR(__xludf.DUMMYFUNCTION("""COMPUTED_VALUE"""),"reveals")</f>
        <v>reveals</v>
      </c>
      <c r="K196" s="1" t="s">
        <v>1394</v>
      </c>
      <c r="P196" s="1" t="s">
        <v>1395</v>
      </c>
      <c r="Q196" s="6" t="str">
        <f>IFERROR(__xludf.DUMMYFUNCTION("""COMPUTED_VALUE"""),"bore")</f>
        <v>bore</v>
      </c>
      <c r="S196" s="1" t="s">
        <v>234</v>
      </c>
      <c r="T196" s="6" t="str">
        <f>IFERROR(__xludf.DUMMYFUNCTION("""COMPUTED_VALUE"""),"had")</f>
        <v>had</v>
      </c>
      <c r="W196" s="1" t="s">
        <v>1396</v>
      </c>
      <c r="AA196" s="1" t="s">
        <v>1397</v>
      </c>
      <c r="AF196" s="1" t="s">
        <v>744</v>
      </c>
      <c r="AJ196" s="1" t="s">
        <v>1398</v>
      </c>
      <c r="AM196" s="1" t="s">
        <v>663</v>
      </c>
    </row>
    <row r="197">
      <c r="A197" s="1" t="s">
        <v>1399</v>
      </c>
      <c r="E197" s="1" t="s">
        <v>1400</v>
      </c>
      <c r="F197" s="6" t="str">
        <f>IFERROR(__xludf.DUMMYFUNCTION("""COMPUTED_VALUE"""),"breathless")</f>
        <v>breathless</v>
      </c>
      <c r="H197" s="1" t="s">
        <v>553</v>
      </c>
      <c r="I197" s="6" t="str">
        <f>IFERROR(__xludf.DUMMYFUNCTION("""COMPUTED_VALUE"""),"talents")</f>
        <v>talents</v>
      </c>
      <c r="K197" s="1" t="s">
        <v>1401</v>
      </c>
      <c r="P197" s="1" t="s">
        <v>1402</v>
      </c>
      <c r="Q197" s="6" t="str">
        <f>IFERROR(__xludf.DUMMYFUNCTION("""COMPUTED_VALUE"""),"involving")</f>
        <v>involving</v>
      </c>
      <c r="S197" s="1" t="s">
        <v>1403</v>
      </c>
      <c r="T197" s="6" t="str">
        <f>IFERROR(__xludf.DUMMYFUNCTION("""COMPUTED_VALUE"""),"would")</f>
        <v>would</v>
      </c>
      <c r="W197" s="1" t="s">
        <v>1404</v>
      </c>
      <c r="AA197" s="1" t="s">
        <v>1405</v>
      </c>
      <c r="AF197" s="1" t="s">
        <v>753</v>
      </c>
      <c r="AJ197" s="1" t="s">
        <v>1406</v>
      </c>
      <c r="AM197" s="1" t="s">
        <v>673</v>
      </c>
    </row>
    <row r="198">
      <c r="A198" s="1" t="s">
        <v>1407</v>
      </c>
      <c r="E198" s="1" t="s">
        <v>1408</v>
      </c>
      <c r="F198" s="6" t="str">
        <f>IFERROR(__xludf.DUMMYFUNCTION("""COMPUTED_VALUE"""),"tides")</f>
        <v>tides</v>
      </c>
      <c r="H198" s="1" t="s">
        <v>570</v>
      </c>
      <c r="I198" s="6" t="str">
        <f>IFERROR(__xludf.DUMMYFUNCTION("""COMPUTED_VALUE"""),"others")</f>
        <v>others</v>
      </c>
      <c r="K198" s="1" t="s">
        <v>224</v>
      </c>
      <c r="P198" s="1" t="s">
        <v>1353</v>
      </c>
      <c r="Q198" s="6" t="str">
        <f>IFERROR(__xludf.DUMMYFUNCTION("""COMPUTED_VALUE"""),"ticket")</f>
        <v>ticket</v>
      </c>
      <c r="S198" s="1" t="s">
        <v>1282</v>
      </c>
      <c r="T198" s="6" t="str">
        <f>IFERROR(__xludf.DUMMYFUNCTION("""COMPUTED_VALUE"""),"further")</f>
        <v>further</v>
      </c>
      <c r="W198" s="1" t="s">
        <v>1409</v>
      </c>
      <c r="AA198" s="1" t="s">
        <v>1410</v>
      </c>
      <c r="AF198" s="1" t="s">
        <v>762</v>
      </c>
      <c r="AJ198" s="1" t="s">
        <v>1411</v>
      </c>
      <c r="AM198" s="1" t="s">
        <v>677</v>
      </c>
    </row>
    <row r="199">
      <c r="A199" s="1" t="s">
        <v>1412</v>
      </c>
      <c r="E199" s="1" t="s">
        <v>787</v>
      </c>
      <c r="F199" s="6" t="str">
        <f>IFERROR(__xludf.DUMMYFUNCTION("""COMPUTED_VALUE"""),"predictable")</f>
        <v>predictable</v>
      </c>
      <c r="H199" s="1" t="s">
        <v>987</v>
      </c>
      <c r="I199" s="6" t="str">
        <f>IFERROR(__xludf.DUMMYFUNCTION("""COMPUTED_VALUE"""),"relief")</f>
        <v>relief</v>
      </c>
      <c r="K199" s="1" t="s">
        <v>1413</v>
      </c>
      <c r="P199" s="1" t="s">
        <v>495</v>
      </c>
      <c r="Q199" s="6" t="str">
        <f>IFERROR(__xludf.DUMMYFUNCTION("""COMPUTED_VALUE"""),"comedic")</f>
        <v>comedic</v>
      </c>
      <c r="S199" s="1" t="s">
        <v>1414</v>
      </c>
      <c r="T199" s="6" t="str">
        <f>IFERROR(__xludf.DUMMYFUNCTION("""COMPUTED_VALUE"""),"storytelling")</f>
        <v>storytelling</v>
      </c>
      <c r="W199" s="1" t="s">
        <v>112</v>
      </c>
      <c r="AA199" s="1" t="s">
        <v>1415</v>
      </c>
      <c r="AF199" s="1" t="s">
        <v>771</v>
      </c>
      <c r="AJ199" s="1" t="s">
        <v>1416</v>
      </c>
      <c r="AM199" s="1" t="s">
        <v>684</v>
      </c>
    </row>
    <row r="200">
      <c r="A200" s="1" t="s">
        <v>1417</v>
      </c>
      <c r="E200" s="1" t="s">
        <v>1418</v>
      </c>
      <c r="F200" s="6" t="str">
        <f>IFERROR(__xludf.DUMMYFUNCTION("""COMPUTED_VALUE"""),"brilliant")</f>
        <v>brilliant</v>
      </c>
      <c r="H200" s="1" t="s">
        <v>993</v>
      </c>
      <c r="I200" s="6" t="str">
        <f>IFERROR(__xludf.DUMMYFUNCTION("""COMPUTED_VALUE"""),"filmmaking")</f>
        <v>filmmaking</v>
      </c>
      <c r="K200" s="1" t="s">
        <v>616</v>
      </c>
      <c r="P200" s="1" t="s">
        <v>265</v>
      </c>
      <c r="Q200" s="6" t="str">
        <f>IFERROR(__xludf.DUMMYFUNCTION("""COMPUTED_VALUE"""),"deals")</f>
        <v>deals</v>
      </c>
      <c r="S200" s="1" t="s">
        <v>1419</v>
      </c>
      <c r="T200" s="6" t="str">
        <f>IFERROR(__xludf.DUMMYFUNCTION("""COMPUTED_VALUE"""),"harsh")</f>
        <v>harsh</v>
      </c>
      <c r="W200" s="1" t="s">
        <v>1420</v>
      </c>
      <c r="AA200" s="1" t="s">
        <v>1421</v>
      </c>
      <c r="AF200" s="1" t="s">
        <v>778</v>
      </c>
      <c r="AJ200" s="1" t="s">
        <v>274</v>
      </c>
      <c r="AM200" s="1" t="s">
        <v>688</v>
      </c>
    </row>
    <row r="201">
      <c r="A201" s="1" t="s">
        <v>1422</v>
      </c>
      <c r="E201" s="1" t="s">
        <v>851</v>
      </c>
      <c r="F201" s="6" t="str">
        <f>IFERROR(__xludf.DUMMYFUNCTION("""COMPUTED_VALUE"""),"entertaining")</f>
        <v>entertaining</v>
      </c>
      <c r="H201" s="1" t="s">
        <v>1423</v>
      </c>
      <c r="I201" s="6" t="str">
        <f>IFERROR(__xludf.DUMMYFUNCTION("""COMPUTED_VALUE"""),"promise")</f>
        <v>promise</v>
      </c>
      <c r="K201" s="1" t="s">
        <v>1098</v>
      </c>
      <c r="P201" s="1" t="s">
        <v>225</v>
      </c>
      <c r="Q201" s="6" t="str">
        <f>IFERROR(__xludf.DUMMYFUNCTION("""COMPUTED_VALUE"""),"ensemble")</f>
        <v>ensemble</v>
      </c>
      <c r="S201" s="1" t="s">
        <v>1424</v>
      </c>
      <c r="T201" s="6" t="str">
        <f>IFERROR(__xludf.DUMMYFUNCTION("""COMPUTED_VALUE"""),"piece")</f>
        <v>piece</v>
      </c>
      <c r="W201" s="1" t="s">
        <v>1425</v>
      </c>
      <c r="AA201" s="1" t="s">
        <v>268</v>
      </c>
      <c r="AF201" s="1" t="s">
        <v>1426</v>
      </c>
      <c r="AJ201" s="1" t="s">
        <v>1427</v>
      </c>
      <c r="AM201" s="1" t="s">
        <v>1428</v>
      </c>
    </row>
    <row r="202">
      <c r="A202" s="1" t="s">
        <v>1429</v>
      </c>
      <c r="E202" s="1" t="s">
        <v>1430</v>
      </c>
      <c r="F202" s="6" t="str">
        <f>IFERROR(__xludf.DUMMYFUNCTION("""COMPUTED_VALUE"""),"subordinate")</f>
        <v>subordinate</v>
      </c>
      <c r="H202" s="1" t="s">
        <v>563</v>
      </c>
      <c r="I202" s="6" t="str">
        <f>IFERROR(__xludf.DUMMYFUNCTION("""COMPUTED_VALUE"""),"wait")</f>
        <v>wait</v>
      </c>
      <c r="K202" s="1" t="s">
        <v>467</v>
      </c>
      <c r="P202" s="1" t="s">
        <v>1431</v>
      </c>
      <c r="Q202" s="6" t="str">
        <f>IFERROR(__xludf.DUMMYFUNCTION("""COMPUTED_VALUE"""),"painful")</f>
        <v>painful</v>
      </c>
      <c r="S202" s="1" t="s">
        <v>532</v>
      </c>
      <c r="T202" s="6" t="str">
        <f>IFERROR(__xludf.DUMMYFUNCTION("""COMPUTED_VALUE"""),"uses")</f>
        <v>uses</v>
      </c>
      <c r="W202" s="1" t="s">
        <v>1432</v>
      </c>
      <c r="AA202" s="1" t="s">
        <v>1433</v>
      </c>
      <c r="AF202" s="1" t="s">
        <v>786</v>
      </c>
      <c r="AJ202" s="1" t="s">
        <v>1434</v>
      </c>
      <c r="AM202" s="1" t="s">
        <v>681</v>
      </c>
    </row>
    <row r="203">
      <c r="A203" s="1" t="s">
        <v>1435</v>
      </c>
      <c r="E203" s="1" t="s">
        <v>875</v>
      </c>
      <c r="F203" s="6" t="str">
        <f>IFERROR(__xludf.DUMMYFUNCTION("""COMPUTED_VALUE"""),"quivering")</f>
        <v>quivering</v>
      </c>
      <c r="H203" s="1" t="s">
        <v>809</v>
      </c>
      <c r="I203" s="6" t="str">
        <f>IFERROR(__xludf.DUMMYFUNCTION("""COMPUTED_VALUE"""),"auschwitz")</f>
        <v>auschwitz</v>
      </c>
      <c r="K203" s="1" t="s">
        <v>629</v>
      </c>
      <c r="P203" s="1" t="s">
        <v>1436</v>
      </c>
      <c r="Q203" s="6" t="str">
        <f>IFERROR(__xludf.DUMMYFUNCTION("""COMPUTED_VALUE"""),"allows")</f>
        <v>allows</v>
      </c>
      <c r="S203" s="1" t="s">
        <v>1437</v>
      </c>
      <c r="T203" s="6" t="str">
        <f>IFERROR(__xludf.DUMMYFUNCTION("""COMPUTED_VALUE"""),"attractive")</f>
        <v>attractive</v>
      </c>
      <c r="W203" s="1" t="s">
        <v>1438</v>
      </c>
      <c r="AA203" s="1" t="s">
        <v>1439</v>
      </c>
      <c r="AF203" s="1" t="s">
        <v>793</v>
      </c>
      <c r="AJ203" s="1" t="s">
        <v>283</v>
      </c>
      <c r="AM203" s="1" t="s">
        <v>1440</v>
      </c>
    </row>
    <row r="204">
      <c r="A204" s="1" t="s">
        <v>1441</v>
      </c>
      <c r="E204" s="1" t="s">
        <v>1442</v>
      </c>
      <c r="F204" s="6" t="str">
        <f>IFERROR(__xludf.DUMMYFUNCTION("""COMPUTED_VALUE"""),"kinetic")</f>
        <v>kinetic</v>
      </c>
      <c r="H204" s="1" t="s">
        <v>373</v>
      </c>
      <c r="I204" s="6" t="str">
        <f>IFERROR(__xludf.DUMMYFUNCTION("""COMPUTED_VALUE"""),"simulation")</f>
        <v>simulation</v>
      </c>
      <c r="K204" s="1" t="s">
        <v>394</v>
      </c>
      <c r="P204" s="1" t="s">
        <v>527</v>
      </c>
      <c r="Q204" s="6" t="str">
        <f>IFERROR(__xludf.DUMMYFUNCTION("""COMPUTED_VALUE"""),"reacting")</f>
        <v>reacting</v>
      </c>
      <c r="S204" s="1" t="s">
        <v>1443</v>
      </c>
      <c r="T204" s="6" t="str">
        <f>IFERROR(__xludf.DUMMYFUNCTION("""COMPUTED_VALUE"""),"pleasures")</f>
        <v>pleasures</v>
      </c>
      <c r="W204" s="1" t="s">
        <v>1444</v>
      </c>
      <c r="AA204" s="1" t="s">
        <v>1445</v>
      </c>
      <c r="AF204" s="1" t="s">
        <v>801</v>
      </c>
      <c r="AJ204" s="1" t="s">
        <v>1446</v>
      </c>
      <c r="AM204" s="1" t="s">
        <v>159</v>
      </c>
    </row>
    <row r="205">
      <c r="A205" s="1" t="s">
        <v>1447</v>
      </c>
      <c r="E205" s="1" t="s">
        <v>802</v>
      </c>
      <c r="F205" s="6" t="str">
        <f>IFERROR(__xludf.DUMMYFUNCTION("""COMPUTED_VALUE"""),"may")</f>
        <v>may</v>
      </c>
      <c r="H205" s="1" t="s">
        <v>591</v>
      </c>
      <c r="I205" s="6" t="str">
        <f>IFERROR(__xludf.DUMMYFUNCTION("""COMPUTED_VALUE"""),"theatrical")</f>
        <v>theatrical</v>
      </c>
      <c r="K205" s="1" t="s">
        <v>518</v>
      </c>
      <c r="P205" s="1" t="s">
        <v>352</v>
      </c>
      <c r="Q205" s="6" t="str">
        <f>IFERROR(__xludf.DUMMYFUNCTION("""COMPUTED_VALUE"""),"colorful")</f>
        <v>colorful</v>
      </c>
      <c r="S205" s="1" t="s">
        <v>1448</v>
      </c>
      <c r="T205" s="6" t="str">
        <f>IFERROR(__xludf.DUMMYFUNCTION("""COMPUTED_VALUE"""),"masterpiece")</f>
        <v>masterpiece</v>
      </c>
      <c r="W205" s="1" t="s">
        <v>1449</v>
      </c>
      <c r="AA205" s="1" t="s">
        <v>1450</v>
      </c>
      <c r="AF205" s="1" t="s">
        <v>1451</v>
      </c>
      <c r="AJ205" s="1" t="s">
        <v>1452</v>
      </c>
      <c r="AM205" s="1" t="s">
        <v>1453</v>
      </c>
    </row>
    <row r="206">
      <c r="A206" s="1" t="s">
        <v>1454</v>
      </c>
      <c r="E206" s="1" t="s">
        <v>812</v>
      </c>
      <c r="F206" s="6" t="str">
        <f>IFERROR(__xludf.DUMMYFUNCTION("""COMPUTED_VALUE"""),"term")</f>
        <v>term</v>
      </c>
      <c r="H206" s="1" t="s">
        <v>121</v>
      </c>
      <c r="I206" s="6" t="str">
        <f>IFERROR(__xludf.DUMMYFUNCTION("""COMPUTED_VALUE"""),"death")</f>
        <v>death</v>
      </c>
      <c r="K206" s="1" t="s">
        <v>1455</v>
      </c>
      <c r="P206" s="1" t="s">
        <v>1406</v>
      </c>
      <c r="Q206" s="6" t="str">
        <f>IFERROR(__xludf.DUMMYFUNCTION("""COMPUTED_VALUE"""),"marvel")</f>
        <v>marvel</v>
      </c>
      <c r="S206" s="1" t="s">
        <v>1456</v>
      </c>
      <c r="T206" s="6" t="str">
        <f>IFERROR(__xludf.DUMMYFUNCTION("""COMPUTED_VALUE"""),"kind")</f>
        <v>kind</v>
      </c>
      <c r="W206" s="1" t="s">
        <v>881</v>
      </c>
      <c r="AA206" s="1" t="s">
        <v>1457</v>
      </c>
      <c r="AF206" s="1" t="s">
        <v>1458</v>
      </c>
      <c r="AJ206" s="1" t="s">
        <v>31</v>
      </c>
      <c r="AM206" s="1" t="s">
        <v>1179</v>
      </c>
    </row>
    <row r="207">
      <c r="A207" s="1" t="s">
        <v>1459</v>
      </c>
      <c r="E207" s="1" t="s">
        <v>1460</v>
      </c>
      <c r="F207" s="6" t="str">
        <f>IFERROR(__xludf.DUMMYFUNCTION("""COMPUTED_VALUE"""),"emotions")</f>
        <v>emotions</v>
      </c>
      <c r="H207" s="1" t="s">
        <v>215</v>
      </c>
      <c r="I207" s="6" t="str">
        <f>IFERROR(__xludf.DUMMYFUNCTION("""COMPUTED_VALUE"""),"extraordinary")</f>
        <v>extraordinary</v>
      </c>
      <c r="K207" s="1" t="s">
        <v>1461</v>
      </c>
      <c r="P207" s="1" t="s">
        <v>1462</v>
      </c>
      <c r="Q207" s="6" t="str">
        <f>IFERROR(__xludf.DUMMYFUNCTION("""COMPUTED_VALUE"""),"fantasy")</f>
        <v>fantasy</v>
      </c>
      <c r="S207" s="1" t="s">
        <v>1463</v>
      </c>
      <c r="T207" s="6" t="str">
        <f>IFERROR(__xludf.DUMMYFUNCTION("""COMPUTED_VALUE"""),"lot")</f>
        <v>lot</v>
      </c>
      <c r="W207" s="1" t="s">
        <v>1464</v>
      </c>
      <c r="AA207" s="1" t="s">
        <v>1465</v>
      </c>
      <c r="AF207" s="1" t="s">
        <v>1466</v>
      </c>
      <c r="AJ207" s="1" t="s">
        <v>1467</v>
      </c>
      <c r="AM207" s="1" t="s">
        <v>1192</v>
      </c>
    </row>
    <row r="208">
      <c r="A208" s="1" t="s">
        <v>1468</v>
      </c>
      <c r="E208" s="1" t="s">
        <v>1469</v>
      </c>
      <c r="F208" s="6" t="str">
        <f>IFERROR(__xludf.DUMMYFUNCTION("""COMPUTED_VALUE"""),"confessions")</f>
        <v>confessions</v>
      </c>
      <c r="H208" s="1" t="s">
        <v>605</v>
      </c>
      <c r="I208" s="6" t="str">
        <f>IFERROR(__xludf.DUMMYFUNCTION("""COMPUTED_VALUE"""),"faith")</f>
        <v>faith</v>
      </c>
      <c r="K208" s="1" t="s">
        <v>1470</v>
      </c>
      <c r="P208" s="1" t="s">
        <v>1411</v>
      </c>
      <c r="Q208" s="6" t="str">
        <f>IFERROR(__xludf.DUMMYFUNCTION("""COMPUTED_VALUE"""),"pulls")</f>
        <v>pulls</v>
      </c>
      <c r="S208" s="1" t="s">
        <v>1471</v>
      </c>
      <c r="T208" s="6" t="str">
        <f>IFERROR(__xludf.DUMMYFUNCTION("""COMPUTED_VALUE"""),"forgotten")</f>
        <v>forgotten</v>
      </c>
      <c r="W208" s="1" t="s">
        <v>684</v>
      </c>
      <c r="AA208" s="1" t="s">
        <v>1472</v>
      </c>
      <c r="AF208" s="1" t="s">
        <v>497</v>
      </c>
      <c r="AJ208" s="1" t="s">
        <v>1473</v>
      </c>
      <c r="AM208" s="1" t="s">
        <v>1203</v>
      </c>
    </row>
    <row r="209">
      <c r="A209" s="1" t="s">
        <v>336</v>
      </c>
      <c r="E209" s="1" t="s">
        <v>1474</v>
      </c>
      <c r="F209" s="6" t="str">
        <f>IFERROR(__xludf.DUMMYFUNCTION("""COMPUTED_VALUE"""),"title")</f>
        <v>title</v>
      </c>
      <c r="H209" s="1" t="s">
        <v>596</v>
      </c>
      <c r="I209" s="6" t="str">
        <f>IFERROR(__xludf.DUMMYFUNCTION("""COMPUTED_VALUE"""),"heart")</f>
        <v>heart</v>
      </c>
      <c r="K209" s="1" t="s">
        <v>1475</v>
      </c>
      <c r="P209" s="1" t="s">
        <v>1476</v>
      </c>
      <c r="Q209" s="6" t="str">
        <f>IFERROR(__xludf.DUMMYFUNCTION("""COMPUTED_VALUE"""),"result")</f>
        <v>result</v>
      </c>
      <c r="S209" s="1" t="s">
        <v>1477</v>
      </c>
      <c r="T209" s="6" t="str">
        <f>IFERROR(__xludf.DUMMYFUNCTION("""COMPUTED_VALUE"""),"laugh")</f>
        <v>laugh</v>
      </c>
      <c r="W209" s="1" t="s">
        <v>1478</v>
      </c>
      <c r="AA209" s="1" t="s">
        <v>1479</v>
      </c>
      <c r="AF209" s="1" t="s">
        <v>811</v>
      </c>
      <c r="AJ209" s="1" t="s">
        <v>1480</v>
      </c>
      <c r="AM209" s="1" t="s">
        <v>231</v>
      </c>
    </row>
    <row r="210">
      <c r="A210" s="1" t="s">
        <v>1481</v>
      </c>
      <c r="E210" s="1" t="s">
        <v>890</v>
      </c>
      <c r="F210" s="6" t="str">
        <f>IFERROR(__xludf.DUMMYFUNCTION("""COMPUTED_VALUE"""),"wildlife")</f>
        <v>wildlife</v>
      </c>
      <c r="H210" s="1" t="s">
        <v>711</v>
      </c>
      <c r="I210" s="6" t="str">
        <f>IFERROR(__xludf.DUMMYFUNCTION("""COMPUTED_VALUE"""),"champion")</f>
        <v>champion</v>
      </c>
      <c r="K210" s="1" t="s">
        <v>674</v>
      </c>
      <c r="P210" s="1" t="s">
        <v>1482</v>
      </c>
      <c r="Q210" s="6" t="str">
        <f>IFERROR(__xludf.DUMMYFUNCTION("""COMPUTED_VALUE"""),"emerging")</f>
        <v>emerging</v>
      </c>
      <c r="S210" s="1" t="s">
        <v>1483</v>
      </c>
      <c r="T210" s="6" t="str">
        <f>IFERROR(__xludf.DUMMYFUNCTION("""COMPUTED_VALUE"""),"car")</f>
        <v>car</v>
      </c>
      <c r="W210" s="1" t="s">
        <v>1484</v>
      </c>
      <c r="AA210" s="1" t="s">
        <v>1485</v>
      </c>
      <c r="AF210" s="1" t="s">
        <v>1486</v>
      </c>
      <c r="AJ210" s="1" t="s">
        <v>1487</v>
      </c>
      <c r="AM210" s="1">
        <v>3000.0</v>
      </c>
    </row>
    <row r="211">
      <c r="A211" s="1" t="s">
        <v>1488</v>
      </c>
      <c r="E211" s="1" t="s">
        <v>1489</v>
      </c>
      <c r="F211" s="6" t="str">
        <f>IFERROR(__xludf.DUMMYFUNCTION("""COMPUTED_VALUE"""),"structured")</f>
        <v>structured</v>
      </c>
      <c r="H211" s="1" t="s">
        <v>609</v>
      </c>
      <c r="I211" s="6" t="str">
        <f>IFERROR(__xludf.DUMMYFUNCTION("""COMPUTED_VALUE"""),"adaptation")</f>
        <v>adaptation</v>
      </c>
      <c r="K211" s="1" t="s">
        <v>649</v>
      </c>
      <c r="P211" s="1" t="s">
        <v>1490</v>
      </c>
      <c r="Q211" s="6" t="str">
        <f>IFERROR(__xludf.DUMMYFUNCTION("""COMPUTED_VALUE"""),"moonlight")</f>
        <v>moonlight</v>
      </c>
      <c r="S211" s="1" t="s">
        <v>548</v>
      </c>
      <c r="T211" s="6" t="str">
        <f>IFERROR(__xludf.DUMMYFUNCTION("""COMPUTED_VALUE"""),"get")</f>
        <v>get</v>
      </c>
      <c r="W211" s="1" t="s">
        <v>1491</v>
      </c>
      <c r="AA211" s="1">
        <v>1958.0</v>
      </c>
      <c r="AF211" s="1" t="s">
        <v>817</v>
      </c>
      <c r="AJ211" s="1" t="s">
        <v>550</v>
      </c>
      <c r="AM211" s="1" t="s">
        <v>1220</v>
      </c>
    </row>
    <row r="212">
      <c r="A212" s="1" t="s">
        <v>1152</v>
      </c>
      <c r="E212" s="1" t="s">
        <v>1492</v>
      </c>
      <c r="F212" s="6" t="str">
        <f>IFERROR(__xludf.DUMMYFUNCTION("""COMPUTED_VALUE"""),"crossover")</f>
        <v>crossover</v>
      </c>
      <c r="H212" s="1" t="s">
        <v>1043</v>
      </c>
      <c r="I212" s="6" t="str">
        <f>IFERROR(__xludf.DUMMYFUNCTION("""COMPUTED_VALUE"""),"descends")</f>
        <v>descends</v>
      </c>
      <c r="K212" s="1" t="s">
        <v>656</v>
      </c>
      <c r="P212" s="1" t="s">
        <v>31</v>
      </c>
      <c r="Q212" s="6" t="str">
        <f>IFERROR(__xludf.DUMMYFUNCTION("""COMPUTED_VALUE"""),"pianist")</f>
        <v>pianist</v>
      </c>
      <c r="S212" s="1" t="s">
        <v>556</v>
      </c>
      <c r="T212" s="6" t="str">
        <f>IFERROR(__xludf.DUMMYFUNCTION("""COMPUTED_VALUE"""),"twice")</f>
        <v>twice</v>
      </c>
      <c r="W212" s="1" t="s">
        <v>1493</v>
      </c>
      <c r="AA212" s="1" t="s">
        <v>504</v>
      </c>
      <c r="AF212" s="1" t="s">
        <v>1494</v>
      </c>
      <c r="AJ212" s="1" t="s">
        <v>1495</v>
      </c>
      <c r="AM212" s="1" t="s">
        <v>1432</v>
      </c>
    </row>
    <row r="213">
      <c r="A213" s="1" t="s">
        <v>1496</v>
      </c>
      <c r="E213" s="1" t="s">
        <v>818</v>
      </c>
      <c r="F213" s="6" t="str">
        <f>IFERROR(__xludf.DUMMYFUNCTION("""COMPUTED_VALUE"""),"adventurous")</f>
        <v>adventurous</v>
      </c>
      <c r="H213" s="1" t="s">
        <v>1280</v>
      </c>
      <c r="I213" s="6" t="str">
        <f>IFERROR(__xludf.DUMMYFUNCTION("""COMPUTED_VALUE"""),"works")</f>
        <v>works</v>
      </c>
      <c r="K213" s="1" t="s">
        <v>1390</v>
      </c>
      <c r="P213" s="1" t="s">
        <v>1497</v>
      </c>
      <c r="Q213" s="6" t="str">
        <f>IFERROR(__xludf.DUMMYFUNCTION("""COMPUTED_VALUE"""),"martha")</f>
        <v>martha</v>
      </c>
      <c r="S213" s="1" t="s">
        <v>1498</v>
      </c>
      <c r="T213" s="6" t="str">
        <f>IFERROR(__xludf.DUMMYFUNCTION("""COMPUTED_VALUE"""),"hopeless")</f>
        <v>hopeless</v>
      </c>
      <c r="W213" s="1" t="s">
        <v>1499</v>
      </c>
      <c r="AA213" s="1" t="s">
        <v>1500</v>
      </c>
      <c r="AF213" s="1" t="s">
        <v>1501</v>
      </c>
      <c r="AJ213" s="1" t="s">
        <v>1502</v>
      </c>
      <c r="AM213" s="1" t="s">
        <v>724</v>
      </c>
    </row>
    <row r="214">
      <c r="A214" s="1" t="s">
        <v>1503</v>
      </c>
      <c r="E214" s="1" t="s">
        <v>1438</v>
      </c>
      <c r="F214" s="6" t="str">
        <f>IFERROR(__xludf.DUMMYFUNCTION("""COMPUTED_VALUE"""),"admission")</f>
        <v>admission</v>
      </c>
      <c r="H214" s="1" t="s">
        <v>613</v>
      </c>
      <c r="I214" s="6" t="str">
        <f>IFERROR(__xludf.DUMMYFUNCTION("""COMPUTED_VALUE"""),"derivative")</f>
        <v>derivative</v>
      </c>
      <c r="K214" s="1" t="s">
        <v>1504</v>
      </c>
      <c r="P214" s="1" t="s">
        <v>1505</v>
      </c>
      <c r="Q214" s="6" t="str">
        <f>IFERROR(__xludf.DUMMYFUNCTION("""COMPUTED_VALUE"""),"rapid")</f>
        <v>rapid</v>
      </c>
      <c r="S214" s="1" t="s">
        <v>319</v>
      </c>
      <c r="T214" s="6" t="str">
        <f>IFERROR(__xludf.DUMMYFUNCTION("""COMPUTED_VALUE"""),"charming")</f>
        <v>charming</v>
      </c>
      <c r="W214" s="1" t="s">
        <v>1506</v>
      </c>
      <c r="AA214" s="1" t="s">
        <v>1507</v>
      </c>
      <c r="AF214" s="1" t="s">
        <v>1508</v>
      </c>
      <c r="AJ214" s="1" t="s">
        <v>1509</v>
      </c>
      <c r="AM214" s="1" t="s">
        <v>939</v>
      </c>
    </row>
    <row r="215">
      <c r="A215" s="1" t="s">
        <v>1510</v>
      </c>
      <c r="E215" s="1" t="s">
        <v>1511</v>
      </c>
      <c r="F215" s="6" t="str">
        <f>IFERROR(__xludf.DUMMYFUNCTION("""COMPUTED_VALUE"""),"schumacher")</f>
        <v>schumacher</v>
      </c>
      <c r="H215" s="1" t="s">
        <v>1307</v>
      </c>
      <c r="I215" s="6" t="str">
        <f>IFERROR(__xludf.DUMMYFUNCTION("""COMPUTED_VALUE"""),"sequel")</f>
        <v>sequel</v>
      </c>
      <c r="K215" s="1" t="s">
        <v>666</v>
      </c>
      <c r="P215" s="1" t="s">
        <v>376</v>
      </c>
      <c r="Q215" s="6" t="str">
        <f>IFERROR(__xludf.DUMMYFUNCTION("""COMPUTED_VALUE"""),"virtually")</f>
        <v>virtually</v>
      </c>
      <c r="S215" s="1" t="s">
        <v>1512</v>
      </c>
      <c r="T215" s="6" t="str">
        <f>IFERROR(__xludf.DUMMYFUNCTION("""COMPUTED_VALUE"""),"college")</f>
        <v>college</v>
      </c>
      <c r="W215" s="1" t="s">
        <v>1513</v>
      </c>
      <c r="AA215" s="1" t="s">
        <v>1514</v>
      </c>
      <c r="AF215" s="1" t="s">
        <v>1515</v>
      </c>
      <c r="AJ215" s="1" t="s">
        <v>1329</v>
      </c>
      <c r="AM215" s="1" t="s">
        <v>186</v>
      </c>
    </row>
    <row r="216">
      <c r="A216" s="1" t="s">
        <v>1516</v>
      </c>
      <c r="E216" s="1" t="s">
        <v>1517</v>
      </c>
      <c r="F216" s="6" t="str">
        <f>IFERROR(__xludf.DUMMYFUNCTION("""COMPUTED_VALUE"""),"shallow")</f>
        <v>shallow</v>
      </c>
      <c r="H216" s="1" t="s">
        <v>652</v>
      </c>
      <c r="I216" s="6" t="str">
        <f>IFERROR(__xludf.DUMMYFUNCTION("""COMPUTED_VALUE"""),"archives")</f>
        <v>archives</v>
      </c>
      <c r="K216" s="1" t="s">
        <v>1518</v>
      </c>
      <c r="P216" s="1" t="s">
        <v>1487</v>
      </c>
      <c r="Q216" s="6" t="str">
        <f>IFERROR(__xludf.DUMMYFUNCTION("""COMPUTED_VALUE"""),"clever")</f>
        <v>clever</v>
      </c>
      <c r="S216" s="1" t="s">
        <v>1519</v>
      </c>
      <c r="T216" s="6" t="str">
        <f>IFERROR(__xludf.DUMMYFUNCTION("""COMPUTED_VALUE"""),"their")</f>
        <v>their</v>
      </c>
      <c r="W216" s="1" t="s">
        <v>1520</v>
      </c>
      <c r="AA216" s="1" t="s">
        <v>1521</v>
      </c>
      <c r="AF216" s="1" t="s">
        <v>1522</v>
      </c>
      <c r="AJ216" s="1" t="s">
        <v>38</v>
      </c>
      <c r="AM216" s="1" t="s">
        <v>731</v>
      </c>
    </row>
    <row r="217">
      <c r="A217" s="1" t="s">
        <v>1523</v>
      </c>
      <c r="E217" s="1" t="s">
        <v>1524</v>
      </c>
      <c r="F217" s="6" t="str">
        <f>IFERROR(__xludf.DUMMYFUNCTION("""COMPUTED_VALUE"""),"targeted")</f>
        <v>targeted</v>
      </c>
      <c r="H217" s="1" t="s">
        <v>1525</v>
      </c>
      <c r="I217" s="6" t="str">
        <f>IFERROR(__xludf.DUMMYFUNCTION("""COMPUTED_VALUE"""),"disney")</f>
        <v>disney</v>
      </c>
      <c r="K217" s="1" t="s">
        <v>1526</v>
      </c>
      <c r="P217" s="1" t="s">
        <v>550</v>
      </c>
      <c r="Q217" s="6" t="str">
        <f>IFERROR(__xludf.DUMMYFUNCTION("""COMPUTED_VALUE"""),"intense")</f>
        <v>intense</v>
      </c>
      <c r="S217" s="1" t="s">
        <v>572</v>
      </c>
      <c r="T217" s="6" t="str">
        <f>IFERROR(__xludf.DUMMYFUNCTION("""COMPUTED_VALUE"""),"creations")</f>
        <v>creations</v>
      </c>
      <c r="W217" s="1" t="s">
        <v>442</v>
      </c>
      <c r="AA217" s="1" t="s">
        <v>1527</v>
      </c>
      <c r="AF217" s="1" t="s">
        <v>1528</v>
      </c>
      <c r="AJ217" s="1" t="s">
        <v>567</v>
      </c>
      <c r="AM217" s="1" t="s">
        <v>1529</v>
      </c>
    </row>
    <row r="218">
      <c r="A218" s="1" t="s">
        <v>1530</v>
      </c>
      <c r="E218" s="1" t="s">
        <v>257</v>
      </c>
      <c r="F218" s="6" t="str">
        <f>IFERROR(__xludf.DUMMYFUNCTION("""COMPUTED_VALUE"""),"carnage")</f>
        <v>carnage</v>
      </c>
      <c r="H218" s="1" t="s">
        <v>1120</v>
      </c>
      <c r="I218" s="6" t="str">
        <f>IFERROR(__xludf.DUMMYFUNCTION("""COMPUTED_VALUE"""),"despite")</f>
        <v>despite</v>
      </c>
      <c r="K218" s="1" t="s">
        <v>1531</v>
      </c>
      <c r="P218" s="1" t="s">
        <v>1532</v>
      </c>
      <c r="Q218" s="6" t="str">
        <f>IFERROR(__xludf.DUMMYFUNCTION("""COMPUTED_VALUE"""),"faithful")</f>
        <v>faithful</v>
      </c>
      <c r="S218" s="1" t="s">
        <v>1533</v>
      </c>
      <c r="T218" s="6" t="str">
        <f>IFERROR(__xludf.DUMMYFUNCTION("""COMPUTED_VALUE"""),"pure")</f>
        <v>pure</v>
      </c>
      <c r="W218" s="1">
        <v>12.0</v>
      </c>
      <c r="AA218" s="1" t="s">
        <v>1534</v>
      </c>
      <c r="AF218" s="1" t="s">
        <v>824</v>
      </c>
      <c r="AJ218" s="1" t="s">
        <v>1535</v>
      </c>
      <c r="AM218" s="1" t="s">
        <v>1536</v>
      </c>
    </row>
    <row r="219">
      <c r="A219" s="1" t="s">
        <v>1537</v>
      </c>
      <c r="E219" s="1" t="s">
        <v>1538</v>
      </c>
      <c r="F219" s="6" t="str">
        <f>IFERROR(__xludf.DUMMYFUNCTION("""COMPUTED_VALUE"""),"handheld")</f>
        <v>handheld</v>
      </c>
      <c r="H219" s="1" t="s">
        <v>1055</v>
      </c>
      <c r="I219" s="6" t="str">
        <f>IFERROR(__xludf.DUMMYFUNCTION("""COMPUTED_VALUE"""),"fights")</f>
        <v>fights</v>
      </c>
      <c r="K219" s="1" t="s">
        <v>1539</v>
      </c>
      <c r="P219" s="1" t="s">
        <v>1540</v>
      </c>
      <c r="Q219" s="6" t="str">
        <f>IFERROR(__xludf.DUMMYFUNCTION("""COMPUTED_VALUE"""),"innocence")</f>
        <v>innocence</v>
      </c>
      <c r="S219" s="1" t="s">
        <v>578</v>
      </c>
      <c r="T219" s="6" t="str">
        <f>IFERROR(__xludf.DUMMYFUNCTION("""COMPUTED_VALUE"""),"dialogue")</f>
        <v>dialogue</v>
      </c>
      <c r="W219" s="1" t="s">
        <v>1541</v>
      </c>
      <c r="AA219" s="1" t="s">
        <v>1542</v>
      </c>
      <c r="AF219" s="1" t="s">
        <v>832</v>
      </c>
      <c r="AJ219" s="1" t="s">
        <v>1543</v>
      </c>
      <c r="AM219" s="1" t="s">
        <v>131</v>
      </c>
    </row>
    <row r="220">
      <c r="A220" s="1" t="s">
        <v>1544</v>
      </c>
      <c r="E220" s="1" t="s">
        <v>1545</v>
      </c>
      <c r="F220" s="6" t="str">
        <f>IFERROR(__xludf.DUMMYFUNCTION("""COMPUTED_VALUE"""),"footage")</f>
        <v>footage</v>
      </c>
      <c r="H220" s="1" t="s">
        <v>627</v>
      </c>
      <c r="I220" s="6" t="str">
        <f>IFERROR(__xludf.DUMMYFUNCTION("""COMPUTED_VALUE"""),"ambitions")</f>
        <v>ambitions</v>
      </c>
      <c r="K220" s="1" t="s">
        <v>1546</v>
      </c>
      <c r="P220" s="1" t="s">
        <v>1547</v>
      </c>
      <c r="Q220" s="6" t="str">
        <f>IFERROR(__xludf.DUMMYFUNCTION("""COMPUTED_VALUE"""),"tackles")</f>
        <v>tackles</v>
      </c>
      <c r="S220" s="1" t="s">
        <v>1548</v>
      </c>
      <c r="T220" s="6" t="str">
        <f>IFERROR(__xludf.DUMMYFUNCTION("""COMPUTED_VALUE"""),"clumsy")</f>
        <v>clumsy</v>
      </c>
      <c r="W220" s="1" t="s">
        <v>1549</v>
      </c>
      <c r="AA220" s="1" t="s">
        <v>1550</v>
      </c>
      <c r="AF220" s="1" t="s">
        <v>838</v>
      </c>
      <c r="AJ220" s="1" t="s">
        <v>291</v>
      </c>
      <c r="AM220" s="1" t="s">
        <v>1551</v>
      </c>
    </row>
    <row r="221">
      <c r="A221" s="1" t="s">
        <v>1552</v>
      </c>
      <c r="E221" s="1" t="s">
        <v>250</v>
      </c>
      <c r="F221" s="6" t="str">
        <f>IFERROR(__xludf.DUMMYFUNCTION("""COMPUTED_VALUE"""),"fiddle")</f>
        <v>fiddle</v>
      </c>
      <c r="H221" s="1" t="s">
        <v>642</v>
      </c>
      <c r="I221" s="6" t="str">
        <f>IFERROR(__xludf.DUMMYFUNCTION("""COMPUTED_VALUE"""),"compelling")</f>
        <v>compelling</v>
      </c>
      <c r="K221" s="1" t="s">
        <v>1553</v>
      </c>
      <c r="P221" s="1" t="s">
        <v>1554</v>
      </c>
      <c r="Q221" s="6" t="str">
        <f>IFERROR(__xludf.DUMMYFUNCTION("""COMPUTED_VALUE"""),"grotesque")</f>
        <v>grotesque</v>
      </c>
      <c r="S221" s="1" t="s">
        <v>1555</v>
      </c>
      <c r="T221" s="6" t="str">
        <f>IFERROR(__xludf.DUMMYFUNCTION("""COMPUTED_VALUE"""),"sentiment")</f>
        <v>sentiment</v>
      </c>
      <c r="W221" s="1" t="s">
        <v>978</v>
      </c>
      <c r="AA221" s="1" t="s">
        <v>1556</v>
      </c>
      <c r="AF221" s="1" t="s">
        <v>1557</v>
      </c>
      <c r="AJ221" s="1" t="s">
        <v>580</v>
      </c>
      <c r="AM221" s="1" t="s">
        <v>140</v>
      </c>
    </row>
    <row r="222">
      <c r="A222" s="1" t="s">
        <v>1558</v>
      </c>
      <c r="E222" s="1" t="s">
        <v>241</v>
      </c>
      <c r="F222" s="6" t="str">
        <f>IFERROR(__xludf.DUMMYFUNCTION("""COMPUTED_VALUE"""),"folly")</f>
        <v>folly</v>
      </c>
      <c r="H222" s="1" t="s">
        <v>635</v>
      </c>
      <c r="I222" s="6" t="str">
        <f>IFERROR(__xludf.DUMMYFUNCTION("""COMPUTED_VALUE"""),"minutes")</f>
        <v>minutes</v>
      </c>
      <c r="K222" s="1" t="s">
        <v>1559</v>
      </c>
      <c r="P222" s="1" t="s">
        <v>1329</v>
      </c>
      <c r="Q222" s="6" t="str">
        <f>IFERROR(__xludf.DUMMYFUNCTION("""COMPUTED_VALUE"""),"spielberg")</f>
        <v>spielberg</v>
      </c>
      <c r="S222" s="1" t="s">
        <v>1560</v>
      </c>
      <c r="T222" s="6" t="str">
        <f>IFERROR(__xludf.DUMMYFUNCTION("""COMPUTED_VALUE"""),"bring")</f>
        <v>bring</v>
      </c>
      <c r="W222" s="1" t="s">
        <v>1561</v>
      </c>
      <c r="AA222" s="1" t="s">
        <v>1401</v>
      </c>
      <c r="AF222" s="1" t="s">
        <v>844</v>
      </c>
      <c r="AJ222" s="1" t="s">
        <v>1562</v>
      </c>
      <c r="AM222" s="1" t="s">
        <v>759</v>
      </c>
    </row>
    <row r="223">
      <c r="A223" s="1" t="s">
        <v>1563</v>
      </c>
      <c r="E223" s="1" t="s">
        <v>1564</v>
      </c>
      <c r="F223" s="6" t="str">
        <f>IFERROR(__xludf.DUMMYFUNCTION("""COMPUTED_VALUE"""),"nomination")</f>
        <v>nomination</v>
      </c>
      <c r="H223" s="1" t="s">
        <v>1077</v>
      </c>
      <c r="I223" s="6" t="str">
        <f>IFERROR(__xludf.DUMMYFUNCTION("""COMPUTED_VALUE"""),"procession")</f>
        <v>procession</v>
      </c>
      <c r="K223" s="1" t="s">
        <v>712</v>
      </c>
      <c r="P223" s="1" t="s">
        <v>582</v>
      </c>
      <c r="Q223" s="6" t="str">
        <f>IFERROR(__xludf.DUMMYFUNCTION("""COMPUTED_VALUE"""),"trademark")</f>
        <v>trademark</v>
      </c>
      <c r="S223" s="1" t="s">
        <v>1565</v>
      </c>
      <c r="T223" s="6" t="str">
        <f>IFERROR(__xludf.DUMMYFUNCTION("""COMPUTED_VALUE"""),"betrayed")</f>
        <v>betrayed</v>
      </c>
      <c r="W223" s="1" t="s">
        <v>1164</v>
      </c>
      <c r="AA223" s="1" t="s">
        <v>1566</v>
      </c>
      <c r="AF223" s="1" t="s">
        <v>849</v>
      </c>
      <c r="AJ223" s="1" t="s">
        <v>1567</v>
      </c>
      <c r="AM223" s="1" t="s">
        <v>1568</v>
      </c>
    </row>
    <row r="224">
      <c r="A224" s="1" t="s">
        <v>251</v>
      </c>
      <c r="E224" s="1" t="s">
        <v>1569</v>
      </c>
      <c r="F224" s="6" t="str">
        <f>IFERROR(__xludf.DUMMYFUNCTION("""COMPUTED_VALUE"""),"oscar")</f>
        <v>oscar</v>
      </c>
      <c r="H224" s="1" t="s">
        <v>647</v>
      </c>
      <c r="I224" s="6" t="str">
        <f>IFERROR(__xludf.DUMMYFUNCTION("""COMPUTED_VALUE"""),"remarkable")</f>
        <v>remarkable</v>
      </c>
      <c r="K224" s="1" t="s">
        <v>1570</v>
      </c>
      <c r="P224" s="1" t="s">
        <v>567</v>
      </c>
      <c r="Q224" s="6" t="str">
        <f>IFERROR(__xludf.DUMMYFUNCTION("""COMPUTED_VALUE"""),"capable")</f>
        <v>capable</v>
      </c>
      <c r="S224" s="1" t="s">
        <v>593</v>
      </c>
      <c r="T224" s="6" t="str">
        <f>IFERROR(__xludf.DUMMYFUNCTION("""COMPUTED_VALUE"""),"makeup")</f>
        <v>makeup</v>
      </c>
      <c r="W224" s="1" t="s">
        <v>1571</v>
      </c>
      <c r="AA224" s="1" t="s">
        <v>1572</v>
      </c>
      <c r="AF224" s="1" t="s">
        <v>1573</v>
      </c>
      <c r="AJ224" s="1" t="s">
        <v>587</v>
      </c>
      <c r="AM224" s="1" t="s">
        <v>1574</v>
      </c>
    </row>
    <row r="225">
      <c r="A225" s="1" t="s">
        <v>675</v>
      </c>
      <c r="E225" s="1" t="s">
        <v>917</v>
      </c>
      <c r="F225" s="6" t="str">
        <f>IFERROR(__xludf.DUMMYFUNCTION("""COMPUTED_VALUE"""),"offering")</f>
        <v>offering</v>
      </c>
      <c r="H225" s="1" t="s">
        <v>1091</v>
      </c>
      <c r="I225" s="6" t="str">
        <f>IFERROR(__xludf.DUMMYFUNCTION("""COMPUTED_VALUE"""),"genre")</f>
        <v>genre</v>
      </c>
      <c r="K225" s="1" t="s">
        <v>1575</v>
      </c>
      <c r="P225" s="1" t="s">
        <v>38</v>
      </c>
      <c r="Q225" s="6" t="str">
        <f>IFERROR(__xludf.DUMMYFUNCTION("""COMPUTED_VALUE"""),"stylistic")</f>
        <v>stylistic</v>
      </c>
      <c r="S225" s="1" t="s">
        <v>1576</v>
      </c>
      <c r="T225" s="6" t="str">
        <f>IFERROR(__xludf.DUMMYFUNCTION("""COMPUTED_VALUE"""),"bourne")</f>
        <v>bourne</v>
      </c>
      <c r="W225" s="1" t="s">
        <v>1577</v>
      </c>
      <c r="AA225" s="1" t="s">
        <v>1578</v>
      </c>
      <c r="AF225" s="1" t="s">
        <v>1579</v>
      </c>
      <c r="AJ225" s="1" t="s">
        <v>1580</v>
      </c>
      <c r="AM225" s="1" t="s">
        <v>720</v>
      </c>
    </row>
    <row r="226">
      <c r="A226" s="1" t="s">
        <v>1581</v>
      </c>
      <c r="E226" s="1" t="s">
        <v>157</v>
      </c>
      <c r="F226" s="6" t="str">
        <f>IFERROR(__xludf.DUMMYFUNCTION("""COMPUTED_VALUE"""),"esther")</f>
        <v>esther</v>
      </c>
      <c r="H226" s="1" t="s">
        <v>386</v>
      </c>
      <c r="I226" s="6" t="str">
        <f>IFERROR(__xludf.DUMMYFUNCTION("""COMPUTED_VALUE"""),"romance")</f>
        <v>romance</v>
      </c>
      <c r="K226" s="1" t="s">
        <v>54</v>
      </c>
      <c r="P226" s="1" t="s">
        <v>291</v>
      </c>
      <c r="Q226" s="6" t="str">
        <f>IFERROR(__xludf.DUMMYFUNCTION("""COMPUTED_VALUE"""),"daring")</f>
        <v>daring</v>
      </c>
      <c r="S226" s="1" t="s">
        <v>260</v>
      </c>
      <c r="T226" s="6" t="str">
        <f>IFERROR(__xludf.DUMMYFUNCTION("""COMPUTED_VALUE"""),"brings")</f>
        <v>brings</v>
      </c>
      <c r="W226" s="1" t="s">
        <v>1582</v>
      </c>
      <c r="AA226" s="1" t="s">
        <v>1583</v>
      </c>
      <c r="AF226" s="1" t="s">
        <v>854</v>
      </c>
      <c r="AJ226" s="1" t="s">
        <v>595</v>
      </c>
      <c r="AM226" s="1" t="s">
        <v>209</v>
      </c>
    </row>
    <row r="227">
      <c r="A227" s="1" t="s">
        <v>1295</v>
      </c>
      <c r="E227" s="1" t="s">
        <v>275</v>
      </c>
      <c r="F227" s="6" t="str">
        <f>IFERROR(__xludf.DUMMYFUNCTION("""COMPUTED_VALUE"""),"exercise")</f>
        <v>exercise</v>
      </c>
      <c r="H227" s="1" t="s">
        <v>223</v>
      </c>
      <c r="I227" s="6" t="str">
        <f>IFERROR(__xludf.DUMMYFUNCTION("""COMPUTED_VALUE"""),"pictures")</f>
        <v>pictures</v>
      </c>
      <c r="K227" s="1" t="s">
        <v>596</v>
      </c>
      <c r="P227" s="1" t="s">
        <v>1584</v>
      </c>
      <c r="Q227" s="6" t="str">
        <f>IFERROR(__xludf.DUMMYFUNCTION("""COMPUTED_VALUE"""),"wo")</f>
        <v>wo</v>
      </c>
      <c r="S227" s="1" t="s">
        <v>1585</v>
      </c>
      <c r="T227" s="6" t="str">
        <f>IFERROR(__xludf.DUMMYFUNCTION("""COMPUTED_VALUE"""),"proper")</f>
        <v>proper</v>
      </c>
      <c r="W227" s="1" t="s">
        <v>1586</v>
      </c>
      <c r="AA227" s="1" t="s">
        <v>1587</v>
      </c>
      <c r="AF227" s="1" t="s">
        <v>1588</v>
      </c>
      <c r="AJ227" s="1" t="s">
        <v>604</v>
      </c>
      <c r="AM227" s="1" t="s">
        <v>139</v>
      </c>
    </row>
    <row r="228">
      <c r="A228" s="1" t="s">
        <v>1589</v>
      </c>
      <c r="E228" s="1" t="s">
        <v>1590</v>
      </c>
      <c r="F228" s="6" t="str">
        <f>IFERROR(__xludf.DUMMYFUNCTION("""COMPUTED_VALUE"""),"halfway")</f>
        <v>halfway</v>
      </c>
      <c r="H228" s="1" t="s">
        <v>1103</v>
      </c>
      <c r="I228" s="6" t="str">
        <f>IFERROR(__xludf.DUMMYFUNCTION("""COMPUTED_VALUE"""),"sweeping")</f>
        <v>sweeping</v>
      </c>
      <c r="K228" s="1" t="s">
        <v>1244</v>
      </c>
      <c r="P228" s="1" t="s">
        <v>1567</v>
      </c>
      <c r="Q228" s="6" t="str">
        <f>IFERROR(__xludf.DUMMYFUNCTION("""COMPUTED_VALUE"""),"convey")</f>
        <v>convey</v>
      </c>
      <c r="S228" s="1" t="s">
        <v>657</v>
      </c>
      <c r="T228" s="6" t="str">
        <f>IFERROR(__xludf.DUMMYFUNCTION("""COMPUTED_VALUE"""),"role")</f>
        <v>role</v>
      </c>
      <c r="W228" s="1" t="s">
        <v>1591</v>
      </c>
      <c r="AA228" s="1" t="s">
        <v>1592</v>
      </c>
      <c r="AF228" s="1" t="s">
        <v>859</v>
      </c>
      <c r="AJ228" s="1" t="s">
        <v>389</v>
      </c>
      <c r="AM228" s="1" t="s">
        <v>1293</v>
      </c>
    </row>
    <row r="229">
      <c r="A229" s="1" t="s">
        <v>1593</v>
      </c>
      <c r="E229" s="1" t="s">
        <v>103</v>
      </c>
      <c r="F229" s="6" t="str">
        <f>IFERROR(__xludf.DUMMYFUNCTION("""COMPUTED_VALUE"""),"grips")</f>
        <v>grips</v>
      </c>
      <c r="H229" s="1" t="s">
        <v>1108</v>
      </c>
      <c r="I229" s="6" t="str">
        <f>IFERROR(__xludf.DUMMYFUNCTION("""COMPUTED_VALUE"""),"date")</f>
        <v>date</v>
      </c>
      <c r="K229" s="1" t="s">
        <v>1594</v>
      </c>
      <c r="P229" s="1" t="s">
        <v>587</v>
      </c>
      <c r="Q229" s="6" t="str">
        <f>IFERROR(__xludf.DUMMYFUNCTION("""COMPUTED_VALUE"""),"emerge")</f>
        <v>emerge</v>
      </c>
      <c r="S229" s="1" t="s">
        <v>1595</v>
      </c>
      <c r="T229" s="6" t="str">
        <f>IFERROR(__xludf.DUMMYFUNCTION("""COMPUTED_VALUE"""),"generosity")</f>
        <v>generosity</v>
      </c>
      <c r="W229" s="1" t="s">
        <v>1596</v>
      </c>
      <c r="AA229" s="1" t="s">
        <v>519</v>
      </c>
      <c r="AF229" s="1" t="s">
        <v>1597</v>
      </c>
      <c r="AJ229" s="1" t="s">
        <v>1598</v>
      </c>
      <c r="AM229" s="1" t="s">
        <v>216</v>
      </c>
    </row>
    <row r="230">
      <c r="A230" s="1" t="s">
        <v>1315</v>
      </c>
      <c r="E230" s="1" t="s">
        <v>1599</v>
      </c>
      <c r="F230" s="6" t="str">
        <f>IFERROR(__xludf.DUMMYFUNCTION("""COMPUTED_VALUE"""),"fascinating")</f>
        <v>fascinating</v>
      </c>
      <c r="H230" s="1" t="s">
        <v>1117</v>
      </c>
      <c r="I230" s="6" t="str">
        <f>IFERROR(__xludf.DUMMYFUNCTION("""COMPUTED_VALUE"""),"pleasant")</f>
        <v>pleasant</v>
      </c>
      <c r="K230" s="1" t="s">
        <v>1600</v>
      </c>
      <c r="P230" s="1" t="s">
        <v>1601</v>
      </c>
      <c r="Q230" s="6" t="str">
        <f>IFERROR(__xludf.DUMMYFUNCTION("""COMPUTED_VALUE"""),"say")</f>
        <v>say</v>
      </c>
      <c r="S230" s="1" t="s">
        <v>1602</v>
      </c>
      <c r="T230" s="6" t="str">
        <f>IFERROR(__xludf.DUMMYFUNCTION("""COMPUTED_VALUE"""),"impressions")</f>
        <v>impressions</v>
      </c>
      <c r="W230" s="1" t="s">
        <v>1603</v>
      </c>
      <c r="AA230" s="1" t="s">
        <v>1604</v>
      </c>
      <c r="AF230" s="1" t="s">
        <v>864</v>
      </c>
      <c r="AJ230" s="1" t="s">
        <v>300</v>
      </c>
      <c r="AM230" s="1" t="s">
        <v>1335</v>
      </c>
    </row>
    <row r="231">
      <c r="A231" s="1" t="s">
        <v>1605</v>
      </c>
      <c r="E231" s="1" t="s">
        <v>1606</v>
      </c>
      <c r="F231" s="6" t="str">
        <f>IFERROR(__xludf.DUMMYFUNCTION("""COMPUTED_VALUE"""),"martial")</f>
        <v>martial</v>
      </c>
      <c r="H231" s="1" t="s">
        <v>1124</v>
      </c>
      <c r="I231" s="6" t="str">
        <f>IFERROR(__xludf.DUMMYFUNCTION("""COMPUTED_VALUE"""),"slightest")</f>
        <v>slightest</v>
      </c>
      <c r="K231" s="1" t="s">
        <v>1607</v>
      </c>
      <c r="P231" s="1" t="s">
        <v>1608</v>
      </c>
      <c r="Q231" s="6" t="str">
        <f>IFERROR(__xludf.DUMMYFUNCTION("""COMPUTED_VALUE"""),"kennedy")</f>
        <v>kennedy</v>
      </c>
      <c r="S231" s="1" t="s">
        <v>620</v>
      </c>
      <c r="T231" s="6" t="str">
        <f>IFERROR(__xludf.DUMMYFUNCTION("""COMPUTED_VALUE"""),"artist")</f>
        <v>artist</v>
      </c>
      <c r="W231" s="1" t="s">
        <v>1609</v>
      </c>
      <c r="AA231" s="1" t="s">
        <v>1610</v>
      </c>
      <c r="AF231" s="1" t="s">
        <v>1611</v>
      </c>
      <c r="AJ231" s="1" t="s">
        <v>308</v>
      </c>
      <c r="AM231" s="1" t="s">
        <v>877</v>
      </c>
    </row>
    <row r="232">
      <c r="A232" s="1" t="s">
        <v>1344</v>
      </c>
      <c r="E232" s="1" t="s">
        <v>162</v>
      </c>
      <c r="F232" s="6" t="str">
        <f>IFERROR(__xludf.DUMMYFUNCTION("""COMPUTED_VALUE"""),"rhythms")</f>
        <v>rhythms</v>
      </c>
      <c r="H232" s="1" t="s">
        <v>651</v>
      </c>
      <c r="I232" s="6" t="str">
        <f>IFERROR(__xludf.DUMMYFUNCTION("""COMPUTED_VALUE"""),"wildly")</f>
        <v>wildly</v>
      </c>
      <c r="K232" s="1" t="s">
        <v>1612</v>
      </c>
      <c r="P232" s="1" t="s">
        <v>1613</v>
      </c>
      <c r="Q232" s="6" t="str">
        <f>IFERROR(__xludf.DUMMYFUNCTION("""COMPUTED_VALUE"""),"assassination")</f>
        <v>assassination</v>
      </c>
      <c r="S232" s="1" t="s">
        <v>400</v>
      </c>
      <c r="T232" s="6" t="str">
        <f>IFERROR(__xludf.DUMMYFUNCTION("""COMPUTED_VALUE"""),"taking")</f>
        <v>taking</v>
      </c>
      <c r="W232" s="1" t="s">
        <v>1614</v>
      </c>
      <c r="AA232" s="1" t="s">
        <v>1615</v>
      </c>
      <c r="AF232" s="1" t="s">
        <v>286</v>
      </c>
      <c r="AJ232" s="1" t="s">
        <v>398</v>
      </c>
      <c r="AM232" s="1" t="s">
        <v>1616</v>
      </c>
    </row>
    <row r="233">
      <c r="A233" s="1" t="s">
        <v>1187</v>
      </c>
      <c r="E233" s="1" t="s">
        <v>1617</v>
      </c>
      <c r="F233" s="6" t="str">
        <f>IFERROR(__xludf.DUMMYFUNCTION("""COMPUTED_VALUE"""),"stream")</f>
        <v>stream</v>
      </c>
      <c r="H233" s="1" t="s">
        <v>175</v>
      </c>
      <c r="I233" s="6" t="str">
        <f>IFERROR(__xludf.DUMMYFUNCTION("""COMPUTED_VALUE"""),"uneven")</f>
        <v>uneven</v>
      </c>
      <c r="K233" s="1" t="s">
        <v>693</v>
      </c>
      <c r="P233" s="1" t="s">
        <v>1618</v>
      </c>
      <c r="Q233" s="6" t="str">
        <f>IFERROR(__xludf.DUMMYFUNCTION("""COMPUTED_VALUE"""),"soundtrack")</f>
        <v>soundtrack</v>
      </c>
      <c r="S233" s="1" t="s">
        <v>646</v>
      </c>
      <c r="T233" s="6" t="str">
        <f>IFERROR(__xludf.DUMMYFUNCTION("""COMPUTED_VALUE"""),"effort")</f>
        <v>effort</v>
      </c>
      <c r="W233" s="1" t="s">
        <v>1619</v>
      </c>
      <c r="AA233" s="1" t="s">
        <v>1620</v>
      </c>
      <c r="AF233" s="1" t="s">
        <v>1621</v>
      </c>
      <c r="AJ233" s="1" t="s">
        <v>315</v>
      </c>
      <c r="AM233" s="1" t="s">
        <v>1622</v>
      </c>
    </row>
    <row r="234">
      <c r="A234" s="1" t="s">
        <v>1354</v>
      </c>
      <c r="E234" s="1" t="s">
        <v>1623</v>
      </c>
      <c r="F234" s="6" t="str">
        <f>IFERROR(__xludf.DUMMYFUNCTION("""COMPUTED_VALUE"""),"manufactured")</f>
        <v>manufactured</v>
      </c>
      <c r="H234" s="1" t="s">
        <v>1131</v>
      </c>
      <c r="I234" s="6" t="str">
        <f>IFERROR(__xludf.DUMMYFUNCTION("""COMPUTED_VALUE"""),"music")</f>
        <v>music</v>
      </c>
      <c r="K234" s="1" t="s">
        <v>1624</v>
      </c>
      <c r="P234" s="1" t="s">
        <v>398</v>
      </c>
      <c r="Q234" s="6" t="str">
        <f>IFERROR(__xludf.DUMMYFUNCTION("""COMPUTED_VALUE"""),"quality")</f>
        <v>quality</v>
      </c>
      <c r="S234" s="1" t="s">
        <v>528</v>
      </c>
      <c r="T234" s="6" t="str">
        <f>IFERROR(__xludf.DUMMYFUNCTION("""COMPUTED_VALUE"""),"loss")</f>
        <v>loss</v>
      </c>
      <c r="W234" s="1" t="s">
        <v>1625</v>
      </c>
      <c r="AA234" s="1" t="s">
        <v>1626</v>
      </c>
      <c r="AF234" s="1" t="s">
        <v>1627</v>
      </c>
      <c r="AJ234" s="1" t="s">
        <v>1084</v>
      </c>
      <c r="AM234" s="1" t="s">
        <v>1628</v>
      </c>
    </row>
    <row r="235">
      <c r="A235" s="1" t="s">
        <v>1629</v>
      </c>
      <c r="E235" s="1" t="s">
        <v>610</v>
      </c>
      <c r="F235" s="6" t="str">
        <f>IFERROR(__xludf.DUMMYFUNCTION("""COMPUTED_VALUE"""),"credibility")</f>
        <v>credibility</v>
      </c>
      <c r="H235" s="1" t="s">
        <v>663</v>
      </c>
      <c r="I235" s="6" t="str">
        <f>IFERROR(__xludf.DUMMYFUNCTION("""COMPUTED_VALUE"""),"color")</f>
        <v>color</v>
      </c>
      <c r="K235" s="1" t="s">
        <v>1630</v>
      </c>
      <c r="P235" s="1" t="s">
        <v>315</v>
      </c>
      <c r="Q235" s="6" t="str">
        <f>IFERROR(__xludf.DUMMYFUNCTION("""COMPUTED_VALUE"""),"nba")</f>
        <v>nba</v>
      </c>
      <c r="S235" s="1" t="s">
        <v>1631</v>
      </c>
      <c r="T235" s="6" t="str">
        <f>IFERROR(__xludf.DUMMYFUNCTION("""COMPUTED_VALUE"""),"share")</f>
        <v>share</v>
      </c>
      <c r="W235" s="1" t="s">
        <v>1632</v>
      </c>
      <c r="AA235" s="1" t="s">
        <v>1633</v>
      </c>
      <c r="AF235" s="1" t="s">
        <v>870</v>
      </c>
      <c r="AJ235" s="1" t="s">
        <v>1634</v>
      </c>
      <c r="AM235" s="1" t="s">
        <v>736</v>
      </c>
    </row>
    <row r="236">
      <c r="A236" s="1" t="s">
        <v>1379</v>
      </c>
      <c r="E236" s="1" t="s">
        <v>292</v>
      </c>
      <c r="F236" s="6" t="str">
        <f>IFERROR(__xludf.DUMMYFUNCTION("""COMPUTED_VALUE"""),"actresses")</f>
        <v>actresses</v>
      </c>
      <c r="H236" s="1" t="s">
        <v>1143</v>
      </c>
      <c r="I236" s="6" t="str">
        <f>IFERROR(__xludf.DUMMYFUNCTION("""COMPUTED_VALUE"""),"over")</f>
        <v>over</v>
      </c>
      <c r="K236" s="1" t="s">
        <v>1635</v>
      </c>
      <c r="P236" s="1" t="s">
        <v>1636</v>
      </c>
      <c r="Q236" s="6" t="str">
        <f>IFERROR(__xludf.DUMMYFUNCTION("""COMPUTED_VALUE"""),"frequently")</f>
        <v>frequently</v>
      </c>
      <c r="S236" s="1" t="s">
        <v>1637</v>
      </c>
      <c r="T236" s="6" t="str">
        <f>IFERROR(__xludf.DUMMYFUNCTION("""COMPUTED_VALUE"""),"engaging")</f>
        <v>engaging</v>
      </c>
      <c r="W236" s="1" t="s">
        <v>1638</v>
      </c>
      <c r="AA236" s="1" t="s">
        <v>1639</v>
      </c>
      <c r="AF236" s="1" t="s">
        <v>67</v>
      </c>
      <c r="AJ236" s="1" t="s">
        <v>1640</v>
      </c>
      <c r="AM236" s="1" t="s">
        <v>745</v>
      </c>
    </row>
    <row r="237">
      <c r="A237" s="1" t="s">
        <v>1641</v>
      </c>
      <c r="E237" s="1" t="s">
        <v>879</v>
      </c>
      <c r="F237" s="6" t="str">
        <f>IFERROR(__xludf.DUMMYFUNCTION("""COMPUTED_VALUE"""),"nicely")</f>
        <v>nicely</v>
      </c>
      <c r="H237" s="1" t="s">
        <v>1642</v>
      </c>
      <c r="I237" s="6" t="str">
        <f>IFERROR(__xludf.DUMMYFUNCTION("""COMPUTED_VALUE"""),"re")</f>
        <v>re</v>
      </c>
      <c r="K237" s="1" t="s">
        <v>1643</v>
      </c>
      <c r="P237" s="1" t="s">
        <v>1084</v>
      </c>
      <c r="Q237" s="6" t="str">
        <f>IFERROR(__xludf.DUMMYFUNCTION("""COMPUTED_VALUE"""),"striking")</f>
        <v>striking</v>
      </c>
      <c r="S237" s="1" t="s">
        <v>1385</v>
      </c>
      <c r="T237" s="6" t="str">
        <f>IFERROR(__xludf.DUMMYFUNCTION("""COMPUTED_VALUE"""),"similar")</f>
        <v>similar</v>
      </c>
      <c r="W237" s="1" t="s">
        <v>1644</v>
      </c>
      <c r="AA237" s="1" t="s">
        <v>1645</v>
      </c>
      <c r="AF237" s="1" t="s">
        <v>886</v>
      </c>
      <c r="AJ237" s="1" t="s">
        <v>1646</v>
      </c>
      <c r="AM237" s="1" t="s">
        <v>224</v>
      </c>
    </row>
    <row r="238">
      <c r="A238" s="1" t="s">
        <v>1647</v>
      </c>
      <c r="E238" s="1" t="s">
        <v>872</v>
      </c>
      <c r="F238" s="6" t="str">
        <f>IFERROR(__xludf.DUMMYFUNCTION("""COMPUTED_VALUE"""),"quentin")</f>
        <v>quentin</v>
      </c>
      <c r="H238" s="1" t="s">
        <v>673</v>
      </c>
      <c r="I238" s="6" t="str">
        <f>IFERROR(__xludf.DUMMYFUNCTION("""COMPUTED_VALUE"""),"preliminary")</f>
        <v>preliminary</v>
      </c>
      <c r="K238" s="1" t="s">
        <v>1648</v>
      </c>
      <c r="P238" s="1" t="s">
        <v>1649</v>
      </c>
      <c r="Q238" s="6" t="str">
        <f>IFERROR(__xludf.DUMMYFUNCTION("""COMPUTED_VALUE"""),"narrator")</f>
        <v>narrator</v>
      </c>
      <c r="S238" s="1" t="s">
        <v>266</v>
      </c>
      <c r="T238" s="6" t="str">
        <f>IFERROR(__xludf.DUMMYFUNCTION("""COMPUTED_VALUE"""),"examination")</f>
        <v>examination</v>
      </c>
      <c r="W238" s="1" t="s">
        <v>1650</v>
      </c>
      <c r="AA238" s="1" t="s">
        <v>1651</v>
      </c>
      <c r="AF238" s="1" t="s">
        <v>1652</v>
      </c>
      <c r="AJ238" s="1" t="s">
        <v>634</v>
      </c>
      <c r="AM238" s="1" t="s">
        <v>1653</v>
      </c>
    </row>
    <row r="239">
      <c r="A239" s="1" t="s">
        <v>1654</v>
      </c>
      <c r="E239" s="1" t="s">
        <v>1655</v>
      </c>
      <c r="F239" s="6" t="str">
        <f>IFERROR(__xludf.DUMMYFUNCTION("""COMPUTED_VALUE"""),"desperately")</f>
        <v>desperately</v>
      </c>
      <c r="H239" s="1" t="s">
        <v>172</v>
      </c>
      <c r="I239" s="6" t="str">
        <f>IFERROR(__xludf.DUMMYFUNCTION("""COMPUTED_VALUE"""),"narrative")</f>
        <v>narrative</v>
      </c>
      <c r="K239" s="1" t="s">
        <v>1656</v>
      </c>
      <c r="P239" s="1" t="s">
        <v>1657</v>
      </c>
      <c r="Q239" s="6" t="str">
        <f>IFERROR(__xludf.DUMMYFUNCTION("""COMPUTED_VALUE"""),"animation")</f>
        <v>animation</v>
      </c>
      <c r="S239" s="1" t="s">
        <v>1658</v>
      </c>
      <c r="T239" s="6" t="str">
        <f>IFERROR(__xludf.DUMMYFUNCTION("""COMPUTED_VALUE"""),"collapse")</f>
        <v>collapse</v>
      </c>
      <c r="W239" s="1" t="s">
        <v>1659</v>
      </c>
      <c r="AA239" s="1" t="s">
        <v>1660</v>
      </c>
      <c r="AF239" s="1" t="s">
        <v>1661</v>
      </c>
      <c r="AJ239" s="1" t="s">
        <v>641</v>
      </c>
      <c r="AM239" s="1" t="s">
        <v>755</v>
      </c>
    </row>
    <row r="240">
      <c r="A240" s="1" t="s">
        <v>1662</v>
      </c>
      <c r="E240" s="1" t="s">
        <v>1663</v>
      </c>
      <c r="F240" s="6" t="str">
        <f>IFERROR(__xludf.DUMMYFUNCTION("""COMPUTED_VALUE"""),"grant")</f>
        <v>grant</v>
      </c>
      <c r="H240" s="1" t="s">
        <v>688</v>
      </c>
      <c r="I240" s="6" t="str">
        <f>IFERROR(__xludf.DUMMYFUNCTION("""COMPUTED_VALUE"""),"difficult")</f>
        <v>difficult</v>
      </c>
      <c r="K240" s="1" t="s">
        <v>917</v>
      </c>
      <c r="P240" s="1" t="s">
        <v>1664</v>
      </c>
      <c r="Q240" s="6" t="str">
        <f>IFERROR(__xludf.DUMMYFUNCTION("""COMPUTED_VALUE"""),"heroine")</f>
        <v>heroine</v>
      </c>
      <c r="S240" s="1" t="s">
        <v>1665</v>
      </c>
      <c r="T240" s="6" t="str">
        <f>IFERROR(__xludf.DUMMYFUNCTION("""COMPUTED_VALUE"""),"flaws")</f>
        <v>flaws</v>
      </c>
      <c r="W240" s="1" t="s">
        <v>1666</v>
      </c>
      <c r="AA240" s="1" t="s">
        <v>1667</v>
      </c>
      <c r="AF240" s="1" t="s">
        <v>893</v>
      </c>
      <c r="AJ240" s="1" t="s">
        <v>418</v>
      </c>
      <c r="AM240" s="1" t="s">
        <v>829</v>
      </c>
    </row>
    <row r="241">
      <c r="A241" s="1" t="s">
        <v>1668</v>
      </c>
      <c r="E241" s="1" t="s">
        <v>1669</v>
      </c>
      <c r="F241" s="6" t="str">
        <f>IFERROR(__xludf.DUMMYFUNCTION("""COMPUTED_VALUE"""),"hugh")</f>
        <v>hugh</v>
      </c>
      <c r="H241" s="1" t="s">
        <v>684</v>
      </c>
      <c r="I241" s="6" t="str">
        <f>IFERROR(__xludf.DUMMYFUNCTION("""COMPUTED_VALUE"""),"unpredictable")</f>
        <v>unpredictable</v>
      </c>
      <c r="K241" s="1" t="s">
        <v>1670</v>
      </c>
      <c r="P241" s="1" t="s">
        <v>48</v>
      </c>
      <c r="Q241" s="6" t="str">
        <f>IFERROR(__xludf.DUMMYFUNCTION("""COMPUTED_VALUE"""),"dramatically")</f>
        <v>dramatically</v>
      </c>
      <c r="S241" s="1" t="s">
        <v>1671</v>
      </c>
      <c r="T241" s="6" t="str">
        <f>IFERROR(__xludf.DUMMYFUNCTION("""COMPUTED_VALUE"""),"poses")</f>
        <v>poses</v>
      </c>
      <c r="W241" s="1" t="s">
        <v>1672</v>
      </c>
      <c r="AA241" s="1" t="s">
        <v>1673</v>
      </c>
      <c r="AF241" s="1" t="s">
        <v>1674</v>
      </c>
      <c r="AJ241" s="1" t="s">
        <v>325</v>
      </c>
      <c r="AM241" s="1" t="s">
        <v>763</v>
      </c>
    </row>
    <row r="242">
      <c r="A242" s="1" t="s">
        <v>1675</v>
      </c>
      <c r="E242" s="1" t="s">
        <v>894</v>
      </c>
      <c r="F242" s="6" t="str">
        <f>IFERROR(__xludf.DUMMYFUNCTION("""COMPUTED_VALUE"""),"insight")</f>
        <v>insight</v>
      </c>
      <c r="H242" s="1" t="s">
        <v>681</v>
      </c>
      <c r="I242" s="6" t="str">
        <f>IFERROR(__xludf.DUMMYFUNCTION("""COMPUTED_VALUE"""),"spectacle")</f>
        <v>spectacle</v>
      </c>
      <c r="K242" s="1" t="s">
        <v>131</v>
      </c>
      <c r="P242" s="1" t="s">
        <v>1396</v>
      </c>
      <c r="Q242" s="6" t="str">
        <f>IFERROR(__xludf.DUMMYFUNCTION("""COMPUTED_VALUE"""),"provocative")</f>
        <v>provocative</v>
      </c>
      <c r="S242" s="1" t="s">
        <v>1676</v>
      </c>
      <c r="T242" s="6" t="str">
        <f>IFERROR(__xludf.DUMMYFUNCTION("""COMPUTED_VALUE"""),"tool")</f>
        <v>tool</v>
      </c>
      <c r="W242" s="1" t="s">
        <v>1677</v>
      </c>
      <c r="AA242" s="1" t="s">
        <v>1678</v>
      </c>
      <c r="AF242" s="1" t="s">
        <v>1679</v>
      </c>
      <c r="AJ242" s="1" t="s">
        <v>662</v>
      </c>
      <c r="AM242" s="1" t="s">
        <v>149</v>
      </c>
    </row>
    <row r="243">
      <c r="A243" s="1" t="s">
        <v>1680</v>
      </c>
      <c r="E243" s="1" t="s">
        <v>173</v>
      </c>
      <c r="F243" s="6" t="str">
        <f>IFERROR(__xludf.DUMMYFUNCTION("""COMPUTED_VALUE"""),"brown")</f>
        <v>brown</v>
      </c>
      <c r="H243" s="1" t="s">
        <v>1428</v>
      </c>
      <c r="I243" s="6" t="str">
        <f>IFERROR(__xludf.DUMMYFUNCTION("""COMPUTED_VALUE"""),"epic")</f>
        <v>epic</v>
      </c>
      <c r="K243" s="1" t="s">
        <v>1681</v>
      </c>
      <c r="P243" s="1" t="s">
        <v>1682</v>
      </c>
      <c r="Q243" s="6" t="str">
        <f>IFERROR(__xludf.DUMMYFUNCTION("""COMPUTED_VALUE"""),"distinctive")</f>
        <v>distinctive</v>
      </c>
      <c r="S243" s="1" t="s">
        <v>1683</v>
      </c>
      <c r="T243" s="6" t="str">
        <f>IFERROR(__xludf.DUMMYFUNCTION("""COMPUTED_VALUE"""),"excuse")</f>
        <v>excuse</v>
      </c>
      <c r="W243" s="1" t="s">
        <v>1684</v>
      </c>
      <c r="AA243" s="1" t="s">
        <v>1685</v>
      </c>
      <c r="AF243" s="1" t="s">
        <v>1686</v>
      </c>
      <c r="AJ243" s="1" t="s">
        <v>672</v>
      </c>
      <c r="AM243" s="1" t="s">
        <v>419</v>
      </c>
    </row>
    <row r="244">
      <c r="A244" s="1" t="s">
        <v>1687</v>
      </c>
      <c r="E244" s="1" t="s">
        <v>1688</v>
      </c>
      <c r="F244" s="6" t="str">
        <f>IFERROR(__xludf.DUMMYFUNCTION("""COMPUTED_VALUE"""),"celebration")</f>
        <v>celebration</v>
      </c>
      <c r="H244" s="1" t="s">
        <v>1440</v>
      </c>
      <c r="I244" s="6" t="str">
        <f>IFERROR(__xludf.DUMMYFUNCTION("""COMPUTED_VALUE"""),"hardly")</f>
        <v>hardly</v>
      </c>
      <c r="K244" s="1" t="s">
        <v>1689</v>
      </c>
      <c r="P244" s="1" t="s">
        <v>56</v>
      </c>
      <c r="Q244" s="6" t="str">
        <f>IFERROR(__xludf.DUMMYFUNCTION("""COMPUTED_VALUE"""),"demonstrate")</f>
        <v>demonstrate</v>
      </c>
      <c r="S244" s="1" t="s">
        <v>1690</v>
      </c>
      <c r="T244" s="6" t="str">
        <f>IFERROR(__xludf.DUMMYFUNCTION("""COMPUTED_VALUE"""),"effective")</f>
        <v>effective</v>
      </c>
      <c r="W244" s="1" t="s">
        <v>1691</v>
      </c>
      <c r="AA244" s="1" t="s">
        <v>1692</v>
      </c>
      <c r="AF244" s="1" t="s">
        <v>897</v>
      </c>
      <c r="AJ244" s="1" t="s">
        <v>1693</v>
      </c>
      <c r="AM244" s="1" t="s">
        <v>1694</v>
      </c>
    </row>
    <row r="245">
      <c r="A245" s="1" t="s">
        <v>1695</v>
      </c>
      <c r="E245" s="1" t="s">
        <v>309</v>
      </c>
      <c r="F245" s="6" t="str">
        <f>IFERROR(__xludf.DUMMYFUNCTION("""COMPUTED_VALUE"""),"metaphor")</f>
        <v>metaphor</v>
      </c>
      <c r="H245" s="1" t="s">
        <v>159</v>
      </c>
      <c r="I245" s="6" t="str">
        <f>IFERROR(__xludf.DUMMYFUNCTION("""COMPUTED_VALUE"""),"conclusions")</f>
        <v>conclusions</v>
      </c>
      <c r="K245" s="1" t="s">
        <v>1696</v>
      </c>
      <c r="P245" s="1" t="s">
        <v>1697</v>
      </c>
      <c r="Q245" s="6" t="str">
        <f>IFERROR(__xludf.DUMMYFUNCTION("""COMPUTED_VALUE"""),"blown")</f>
        <v>blown</v>
      </c>
      <c r="S245" s="1" t="s">
        <v>1698</v>
      </c>
      <c r="T245" s="6" t="str">
        <f>IFERROR(__xludf.DUMMYFUNCTION("""COMPUTED_VALUE"""),"community")</f>
        <v>community</v>
      </c>
      <c r="W245" s="1" t="s">
        <v>1699</v>
      </c>
      <c r="AA245" s="1" t="s">
        <v>1700</v>
      </c>
      <c r="AF245" s="1" t="s">
        <v>901</v>
      </c>
      <c r="AJ245" s="1" t="s">
        <v>48</v>
      </c>
      <c r="AM245" s="1" t="s">
        <v>1408</v>
      </c>
    </row>
    <row r="246">
      <c r="A246" s="1" t="s">
        <v>1445</v>
      </c>
      <c r="E246" s="1" t="s">
        <v>1701</v>
      </c>
      <c r="F246" s="6" t="str">
        <f>IFERROR(__xludf.DUMMYFUNCTION("""COMPUTED_VALUE"""),"wanting")</f>
        <v>wanting</v>
      </c>
      <c r="H246" s="1" t="s">
        <v>1179</v>
      </c>
      <c r="I246" s="6" t="str">
        <f>IFERROR(__xludf.DUMMYFUNCTION("""COMPUTED_VALUE"""),"dramas")</f>
        <v>dramas</v>
      </c>
      <c r="K246" s="1" t="s">
        <v>1702</v>
      </c>
      <c r="P246" s="1" t="s">
        <v>742</v>
      </c>
      <c r="Q246" s="6" t="str">
        <f>IFERROR(__xludf.DUMMYFUNCTION("""COMPUTED_VALUE"""),"monty")</f>
        <v>monty</v>
      </c>
      <c r="S246" s="1" t="s">
        <v>1703</v>
      </c>
      <c r="T246" s="6" t="str">
        <f>IFERROR(__xludf.DUMMYFUNCTION("""COMPUTED_VALUE"""),"conquer")</f>
        <v>conquer</v>
      </c>
      <c r="W246" s="1" t="s">
        <v>1704</v>
      </c>
      <c r="AA246" s="1" t="s">
        <v>1705</v>
      </c>
      <c r="AF246" s="1" t="s">
        <v>783</v>
      </c>
      <c r="AJ246" s="1" t="s">
        <v>1706</v>
      </c>
      <c r="AM246" s="1" t="s">
        <v>1393</v>
      </c>
    </row>
    <row r="247">
      <c r="A247" s="1" t="s">
        <v>1707</v>
      </c>
      <c r="E247" s="1" t="s">
        <v>1708</v>
      </c>
      <c r="F247" s="6" t="str">
        <f>IFERROR(__xludf.DUMMYFUNCTION("""COMPUTED_VALUE"""),"retains")</f>
        <v>retains</v>
      </c>
      <c r="H247" s="1" t="s">
        <v>1186</v>
      </c>
      <c r="I247" s="6" t="str">
        <f>IFERROR(__xludf.DUMMYFUNCTION("""COMPUTED_VALUE"""),"translation")</f>
        <v>translation</v>
      </c>
      <c r="K247" s="1" t="s">
        <v>1709</v>
      </c>
      <c r="P247" s="1" t="s">
        <v>1710</v>
      </c>
      <c r="Q247" s="6" t="str">
        <f>IFERROR(__xludf.DUMMYFUNCTION("""COMPUTED_VALUE"""),"grounded")</f>
        <v>grounded</v>
      </c>
      <c r="S247" s="1" t="s">
        <v>1711</v>
      </c>
      <c r="T247" s="6" t="str">
        <f>IFERROR(__xludf.DUMMYFUNCTION("""COMPUTED_VALUE"""),"set")</f>
        <v>set</v>
      </c>
      <c r="W247" s="1" t="s">
        <v>1255</v>
      </c>
      <c r="AA247" s="1" t="s">
        <v>1712</v>
      </c>
      <c r="AF247" s="1" t="s">
        <v>1066</v>
      </c>
      <c r="AJ247" s="1" t="s">
        <v>56</v>
      </c>
      <c r="AM247" s="1" t="s">
        <v>787</v>
      </c>
    </row>
    <row r="248">
      <c r="A248" s="1" t="s">
        <v>1713</v>
      </c>
      <c r="E248" s="1" t="s">
        <v>316</v>
      </c>
      <c r="F248" s="6" t="str">
        <f>IFERROR(__xludf.DUMMYFUNCTION("""COMPUTED_VALUE"""),"resonance")</f>
        <v>resonance</v>
      </c>
      <c r="H248" s="1" t="s">
        <v>1192</v>
      </c>
      <c r="I248" s="6" t="str">
        <f>IFERROR(__xludf.DUMMYFUNCTION("""COMPUTED_VALUE"""),"ponder")</f>
        <v>ponder</v>
      </c>
      <c r="K248" s="1" t="s">
        <v>1392</v>
      </c>
      <c r="P248" s="1" t="s">
        <v>1714</v>
      </c>
      <c r="Q248" s="6" t="str">
        <f>IFERROR(__xludf.DUMMYFUNCTION("""COMPUTED_VALUE"""),"generation")</f>
        <v>generation</v>
      </c>
      <c r="S248" s="1" t="s">
        <v>1715</v>
      </c>
      <c r="T248" s="6" t="str">
        <f>IFERROR(__xludf.DUMMYFUNCTION("""COMPUTED_VALUE"""),"phones")</f>
        <v>phones</v>
      </c>
      <c r="W248" s="1" t="s">
        <v>1716</v>
      </c>
      <c r="AF248" s="1" t="s">
        <v>714</v>
      </c>
      <c r="AJ248" s="1" t="s">
        <v>343</v>
      </c>
      <c r="AM248" s="1" t="s">
        <v>794</v>
      </c>
    </row>
    <row r="249">
      <c r="A249" s="1" t="s">
        <v>1717</v>
      </c>
      <c r="E249" s="1" t="s">
        <v>183</v>
      </c>
      <c r="F249" s="6" t="str">
        <f>IFERROR(__xludf.DUMMYFUNCTION("""COMPUTED_VALUE"""),"viewers")</f>
        <v>viewers</v>
      </c>
      <c r="H249" s="1" t="s">
        <v>1197</v>
      </c>
      <c r="I249" s="6" t="str">
        <f>IFERROR(__xludf.DUMMYFUNCTION("""COMPUTED_VALUE"""),"forces")</f>
        <v>forces</v>
      </c>
      <c r="K249" s="1" t="s">
        <v>425</v>
      </c>
      <c r="P249" s="1" t="s">
        <v>1718</v>
      </c>
      <c r="Q249" s="6" t="str">
        <f>IFERROR(__xludf.DUMMYFUNCTION("""COMPUTED_VALUE"""),"episodes")</f>
        <v>episodes</v>
      </c>
      <c r="S249" s="1" t="s">
        <v>1719</v>
      </c>
      <c r="T249" s="6" t="str">
        <f>IFERROR(__xludf.DUMMYFUNCTION("""COMPUTED_VALUE"""),"look")</f>
        <v>look</v>
      </c>
      <c r="W249" s="1" t="s">
        <v>1720</v>
      </c>
      <c r="AF249" s="1" t="s">
        <v>1721</v>
      </c>
      <c r="AJ249" s="1" t="s">
        <v>1722</v>
      </c>
      <c r="AM249" s="1" t="s">
        <v>1418</v>
      </c>
    </row>
    <row r="250">
      <c r="A250" s="1" t="s">
        <v>1723</v>
      </c>
      <c r="E250" s="1" t="s">
        <v>932</v>
      </c>
      <c r="F250" s="6" t="str">
        <f>IFERROR(__xludf.DUMMYFUNCTION("""COMPUTED_VALUE"""),"format")</f>
        <v>format</v>
      </c>
      <c r="H250" s="1" t="s">
        <v>1203</v>
      </c>
      <c r="I250" s="6" t="str">
        <f>IFERROR(__xludf.DUMMYFUNCTION("""COMPUTED_VALUE"""),"enables")</f>
        <v>enables</v>
      </c>
      <c r="K250" s="1" t="s">
        <v>1724</v>
      </c>
      <c r="P250" s="1" t="s">
        <v>1725</v>
      </c>
      <c r="Q250" s="6" t="str">
        <f>IFERROR(__xludf.DUMMYFUNCTION("""COMPUTED_VALUE"""),"amused")</f>
        <v>amused</v>
      </c>
      <c r="S250" s="1" t="s">
        <v>582</v>
      </c>
      <c r="T250" s="6" t="str">
        <f>IFERROR(__xludf.DUMMYFUNCTION("""COMPUTED_VALUE"""),"promises")</f>
        <v>promises</v>
      </c>
      <c r="W250" s="1" t="s">
        <v>1726</v>
      </c>
      <c r="AF250" s="1" t="s">
        <v>1727</v>
      </c>
      <c r="AJ250" s="1" t="s">
        <v>1728</v>
      </c>
      <c r="AM250" s="1" t="s">
        <v>53</v>
      </c>
    </row>
    <row r="251">
      <c r="A251" s="1" t="s">
        <v>1729</v>
      </c>
      <c r="E251" s="1" t="s">
        <v>1730</v>
      </c>
      <c r="F251" s="6" t="str">
        <f>IFERROR(__xludf.DUMMYFUNCTION("""COMPUTED_VALUE"""),"handsome")</f>
        <v>handsome</v>
      </c>
      <c r="H251" s="1">
        <v>3000.0</v>
      </c>
      <c r="I251" s="6" t="str">
        <f>IFERROR(__xludf.DUMMYFUNCTION("""COMPUTED_VALUE"""),"considerable")</f>
        <v>considerable</v>
      </c>
      <c r="K251" s="1" t="s">
        <v>1731</v>
      </c>
      <c r="P251" s="1" t="s">
        <v>1698</v>
      </c>
      <c r="Q251" s="6" t="str">
        <f>IFERROR(__xludf.DUMMYFUNCTION("""COMPUTED_VALUE"""),"skill")</f>
        <v>skill</v>
      </c>
      <c r="S251" s="1" t="s">
        <v>683</v>
      </c>
      <c r="T251" s="6" t="str">
        <f>IFERROR(__xludf.DUMMYFUNCTION("""COMPUTED_VALUE"""),"supposed")</f>
        <v>supposed</v>
      </c>
      <c r="W251" s="1" t="s">
        <v>1732</v>
      </c>
      <c r="AF251" s="1" t="s">
        <v>911</v>
      </c>
      <c r="AJ251" s="1" t="s">
        <v>1733</v>
      </c>
      <c r="AM251" s="1" t="s">
        <v>1734</v>
      </c>
    </row>
    <row r="252">
      <c r="A252" s="1" t="s">
        <v>1735</v>
      </c>
      <c r="E252" s="1" t="s">
        <v>1736</v>
      </c>
      <c r="F252" s="6" t="str">
        <f>IFERROR(__xludf.DUMMYFUNCTION("""COMPUTED_VALUE"""),"drama")</f>
        <v>drama</v>
      </c>
      <c r="H252" s="1" t="s">
        <v>1213</v>
      </c>
      <c r="I252" s="6" t="str">
        <f>IFERROR(__xludf.DUMMYFUNCTION("""COMPUTED_VALUE"""),"scattered")</f>
        <v>scattered</v>
      </c>
      <c r="K252" s="1" t="s">
        <v>1737</v>
      </c>
      <c r="P252" s="1" t="s">
        <v>1738</v>
      </c>
      <c r="Q252" s="6" t="str">
        <f>IFERROR(__xludf.DUMMYFUNCTION("""COMPUTED_VALUE"""),"vampire")</f>
        <v>vampire</v>
      </c>
      <c r="S252" s="1" t="s">
        <v>1739</v>
      </c>
      <c r="T252" s="6" t="str">
        <f>IFERROR(__xludf.DUMMYFUNCTION("""COMPUTED_VALUE"""),"absolutely")</f>
        <v>absolutely</v>
      </c>
      <c r="W252" s="1" t="s">
        <v>1740</v>
      </c>
      <c r="AF252" s="1" t="s">
        <v>1741</v>
      </c>
      <c r="AJ252" s="1" t="s">
        <v>1742</v>
      </c>
      <c r="AM252" s="1" t="s">
        <v>857</v>
      </c>
    </row>
    <row r="253">
      <c r="A253" s="1" t="s">
        <v>1743</v>
      </c>
      <c r="E253" s="1" t="s">
        <v>942</v>
      </c>
      <c r="F253" s="6" t="str">
        <f>IFERROR(__xludf.DUMMYFUNCTION("""COMPUTED_VALUE"""),"either")</f>
        <v>either</v>
      </c>
      <c r="H253" s="1" t="s">
        <v>1220</v>
      </c>
      <c r="I253" s="6" t="str">
        <f>IFERROR(__xludf.DUMMYFUNCTION("""COMPUTED_VALUE"""),"bold")</f>
        <v>bold</v>
      </c>
      <c r="K253" s="1" t="s">
        <v>1744</v>
      </c>
      <c r="P253" s="1" t="s">
        <v>1745</v>
      </c>
      <c r="Q253" s="6" t="str">
        <f>IFERROR(__xludf.DUMMYFUNCTION("""COMPUTED_VALUE"""),"determined")</f>
        <v>determined</v>
      </c>
      <c r="S253" s="1" t="s">
        <v>670</v>
      </c>
      <c r="T253" s="6" t="str">
        <f>IFERROR(__xludf.DUMMYFUNCTION("""COMPUTED_VALUE"""),"roll")</f>
        <v>roll</v>
      </c>
      <c r="W253" s="1">
        <v>0.0</v>
      </c>
      <c r="AF253" s="1" t="s">
        <v>1746</v>
      </c>
      <c r="AJ253" s="1" t="s">
        <v>426</v>
      </c>
      <c r="AM253" s="1" t="s">
        <v>875</v>
      </c>
    </row>
    <row r="254">
      <c r="A254" s="1" t="s">
        <v>1747</v>
      </c>
      <c r="E254" s="1" t="s">
        <v>530</v>
      </c>
      <c r="F254" s="6" t="str">
        <f>IFERROR(__xludf.DUMMYFUNCTION("""COMPUTED_VALUE"""),"debut")</f>
        <v>debut</v>
      </c>
      <c r="H254" s="1" t="s">
        <v>108</v>
      </c>
      <c r="I254" s="6" t="str">
        <f>IFERROR(__xludf.DUMMYFUNCTION("""COMPUTED_VALUE"""),"effects")</f>
        <v>effects</v>
      </c>
      <c r="K254" s="1" t="s">
        <v>1002</v>
      </c>
      <c r="P254" s="1" t="s">
        <v>1748</v>
      </c>
      <c r="Q254" s="6" t="str">
        <f>IFERROR(__xludf.DUMMYFUNCTION("""COMPUTED_VALUE"""),"tragedy")</f>
        <v>tragedy</v>
      </c>
      <c r="S254" s="1" t="s">
        <v>1749</v>
      </c>
      <c r="T254" s="6" t="str">
        <f>IFERROR(__xludf.DUMMYFUNCTION("""COMPUTED_VALUE"""),"suspense")</f>
        <v>suspense</v>
      </c>
      <c r="W254" s="1" t="s">
        <v>1750</v>
      </c>
      <c r="AF254" s="1" t="s">
        <v>919</v>
      </c>
      <c r="AJ254" s="1" t="s">
        <v>691</v>
      </c>
      <c r="AM254" s="1" t="s">
        <v>802</v>
      </c>
    </row>
    <row r="255">
      <c r="A255" s="1" t="s">
        <v>1751</v>
      </c>
      <c r="E255" s="1" t="s">
        <v>87</v>
      </c>
      <c r="F255" s="6" t="str">
        <f>IFERROR(__xludf.DUMMYFUNCTION("""COMPUTED_VALUE"""),"haunting")</f>
        <v>haunting</v>
      </c>
      <c r="H255" s="1" t="s">
        <v>1432</v>
      </c>
      <c r="I255" s="6" t="str">
        <f>IFERROR(__xludf.DUMMYFUNCTION("""COMPUTED_VALUE"""),"mess")</f>
        <v>mess</v>
      </c>
      <c r="K255" s="1" t="s">
        <v>1752</v>
      </c>
      <c r="P255" s="1">
        <v>2002.0</v>
      </c>
      <c r="Q255" s="6" t="str">
        <f>IFERROR(__xludf.DUMMYFUNCTION("""COMPUTED_VALUE"""),"spell")</f>
        <v>spell</v>
      </c>
      <c r="S255" s="1" t="s">
        <v>689</v>
      </c>
      <c r="T255" s="6" t="str">
        <f>IFERROR(__xludf.DUMMYFUNCTION("""COMPUTED_VALUE"""),"portrayal")</f>
        <v>portrayal</v>
      </c>
      <c r="W255" s="1" t="s">
        <v>537</v>
      </c>
      <c r="AF255" s="1" t="s">
        <v>925</v>
      </c>
      <c r="AJ255" s="1" t="s">
        <v>1710</v>
      </c>
      <c r="AM255" s="1" t="s">
        <v>807</v>
      </c>
    </row>
    <row r="256">
      <c r="A256" s="1" t="s">
        <v>1753</v>
      </c>
      <c r="E256" s="1" t="s">
        <v>1754</v>
      </c>
      <c r="F256" s="6" t="str">
        <f>IFERROR(__xludf.DUMMYFUNCTION("""COMPUTED_VALUE"""),"fine")</f>
        <v>fine</v>
      </c>
      <c r="H256" s="1" t="s">
        <v>1232</v>
      </c>
      <c r="I256" s="6" t="str">
        <f>IFERROR(__xludf.DUMMYFUNCTION("""COMPUTED_VALUE"""),"flashes")</f>
        <v>flashes</v>
      </c>
      <c r="K256" s="1" t="s">
        <v>1755</v>
      </c>
      <c r="P256" s="1" t="s">
        <v>1756</v>
      </c>
      <c r="Q256" s="6" t="str">
        <f>IFERROR(__xludf.DUMMYFUNCTION("""COMPUTED_VALUE"""),"brutally")</f>
        <v>brutally</v>
      </c>
      <c r="S256" s="1" t="s">
        <v>1103</v>
      </c>
      <c r="T256" s="6" t="str">
        <f>IFERROR(__xludf.DUMMYFUNCTION("""COMPUTED_VALUE"""),"realistic")</f>
        <v>realistic</v>
      </c>
      <c r="W256" s="1" t="s">
        <v>1757</v>
      </c>
      <c r="AF256" s="1" t="s">
        <v>1758</v>
      </c>
      <c r="AJ256" s="1" t="s">
        <v>1759</v>
      </c>
      <c r="AM256" s="1" t="s">
        <v>812</v>
      </c>
    </row>
    <row r="257">
      <c r="A257" s="1" t="s">
        <v>1760</v>
      </c>
      <c r="E257" s="1">
        <v>84.0</v>
      </c>
      <c r="F257" s="6" t="str">
        <f>IFERROR(__xludf.DUMMYFUNCTION("""COMPUTED_VALUE"""),"passages")</f>
        <v>passages</v>
      </c>
      <c r="H257" s="1" t="s">
        <v>1237</v>
      </c>
      <c r="I257" s="6" t="str">
        <f>IFERROR(__xludf.DUMMYFUNCTION("""COMPUTED_VALUE"""),"sibling")</f>
        <v>sibling</v>
      </c>
      <c r="K257" s="1" t="s">
        <v>707</v>
      </c>
      <c r="P257" s="1" t="s">
        <v>1761</v>
      </c>
      <c r="Q257" s="6" t="str">
        <f>IFERROR(__xludf.DUMMYFUNCTION("""COMPUTED_VALUE"""),"breadth")</f>
        <v>breadth</v>
      </c>
      <c r="S257" s="1" t="s">
        <v>1762</v>
      </c>
      <c r="T257" s="6" t="str">
        <f>IFERROR(__xludf.DUMMYFUNCTION("""COMPUTED_VALUE"""),"trying")</f>
        <v>trying</v>
      </c>
      <c r="W257" s="1" t="s">
        <v>1763</v>
      </c>
      <c r="AF257" s="1" t="s">
        <v>930</v>
      </c>
      <c r="AJ257" s="1" t="s">
        <v>699</v>
      </c>
      <c r="AM257" s="1" t="s">
        <v>1469</v>
      </c>
    </row>
    <row r="258">
      <c r="A258" s="1" t="s">
        <v>1764</v>
      </c>
      <c r="E258" s="1" t="s">
        <v>333</v>
      </c>
      <c r="F258" s="6" t="str">
        <f>IFERROR(__xludf.DUMMYFUNCTION("""COMPUTED_VALUE"""),"beings")</f>
        <v>beings</v>
      </c>
      <c r="H258" s="1" t="s">
        <v>186</v>
      </c>
      <c r="I258" s="6" t="str">
        <f>IFERROR(__xludf.DUMMYFUNCTION("""COMPUTED_VALUE"""),"reconciliation")</f>
        <v>reconciliation</v>
      </c>
      <c r="K258" s="1" t="s">
        <v>1765</v>
      </c>
      <c r="P258" s="1" t="s">
        <v>459</v>
      </c>
      <c r="Q258" s="6" t="str">
        <f>IFERROR(__xludf.DUMMYFUNCTION("""COMPUTED_VALUE"""),"spite")</f>
        <v>spite</v>
      </c>
      <c r="S258" s="1" t="s">
        <v>1766</v>
      </c>
      <c r="T258" s="6" t="str">
        <f>IFERROR(__xludf.DUMMYFUNCTION("""COMPUTED_VALUE"""),"tries")</f>
        <v>tries</v>
      </c>
      <c r="W258" s="1" t="s">
        <v>1767</v>
      </c>
      <c r="AF258" s="1" t="s">
        <v>707</v>
      </c>
      <c r="AJ258" s="1" t="s">
        <v>1768</v>
      </c>
      <c r="AM258" s="1" t="s">
        <v>1769</v>
      </c>
    </row>
    <row r="259">
      <c r="A259" s="1" t="s">
        <v>519</v>
      </c>
      <c r="E259" s="1" t="s">
        <v>1770</v>
      </c>
      <c r="F259" s="6" t="str">
        <f>IFERROR(__xludf.DUMMYFUNCTION("""COMPUTED_VALUE"""),"gifted")</f>
        <v>gifted</v>
      </c>
      <c r="H259" s="1" t="s">
        <v>514</v>
      </c>
      <c r="I259" s="6" t="str">
        <f>IFERROR(__xludf.DUMMYFUNCTION("""COMPUTED_VALUE"""),"warmth")</f>
        <v>warmth</v>
      </c>
      <c r="K259" s="1" t="s">
        <v>1735</v>
      </c>
      <c r="P259" s="1" t="s">
        <v>512</v>
      </c>
      <c r="Q259" s="6" t="str">
        <f>IFERROR(__xludf.DUMMYFUNCTION("""COMPUTED_VALUE"""),"remarkably")</f>
        <v>remarkably</v>
      </c>
      <c r="S259" s="1" t="s">
        <v>355</v>
      </c>
      <c r="T259" s="6" t="str">
        <f>IFERROR(__xludf.DUMMYFUNCTION("""COMPUTED_VALUE"""),"harder")</f>
        <v>harder</v>
      </c>
      <c r="W259" s="1" t="s">
        <v>1771</v>
      </c>
      <c r="AF259" s="1" t="s">
        <v>1772</v>
      </c>
      <c r="AJ259" s="1" t="s">
        <v>1773</v>
      </c>
      <c r="AM259" s="1" t="s">
        <v>1774</v>
      </c>
    </row>
    <row r="260">
      <c r="A260" s="1" t="s">
        <v>329</v>
      </c>
      <c r="E260" s="1" t="s">
        <v>1775</v>
      </c>
      <c r="F260" s="6" t="str">
        <f>IFERROR(__xludf.DUMMYFUNCTION("""COMPUTED_VALUE"""),"fore")</f>
        <v>fore</v>
      </c>
      <c r="H260" s="1" t="s">
        <v>670</v>
      </c>
      <c r="I260" s="6" t="str">
        <f>IFERROR(__xludf.DUMMYFUNCTION("""COMPUTED_VALUE"""),"gentle")</f>
        <v>gentle</v>
      </c>
      <c r="K260" s="1" t="s">
        <v>1010</v>
      </c>
      <c r="P260" s="1" t="s">
        <v>719</v>
      </c>
      <c r="Q260" s="6" t="str">
        <f>IFERROR(__xludf.DUMMYFUNCTION("""COMPUTED_VALUE"""),"topic")</f>
        <v>topic</v>
      </c>
      <c r="S260" s="1" t="s">
        <v>703</v>
      </c>
      <c r="T260" s="6" t="str">
        <f>IFERROR(__xludf.DUMMYFUNCTION("""COMPUTED_VALUE"""),"stunts")</f>
        <v>stunts</v>
      </c>
      <c r="W260" s="1" t="s">
        <v>1776</v>
      </c>
      <c r="AF260" s="1" t="s">
        <v>940</v>
      </c>
      <c r="AJ260" s="1" t="s">
        <v>1777</v>
      </c>
      <c r="AM260" s="1" t="s">
        <v>890</v>
      </c>
    </row>
    <row r="261">
      <c r="A261" s="1" t="s">
        <v>1778</v>
      </c>
      <c r="E261" s="1" t="s">
        <v>1779</v>
      </c>
      <c r="F261" s="6" t="str">
        <f>IFERROR(__xludf.DUMMYFUNCTION("""COMPUTED_VALUE"""),"undead")</f>
        <v>undead</v>
      </c>
      <c r="H261" s="1" t="s">
        <v>1780</v>
      </c>
      <c r="I261" s="6" t="str">
        <f>IFERROR(__xludf.DUMMYFUNCTION("""COMPUTED_VALUE"""),"avoids")</f>
        <v>avoids</v>
      </c>
      <c r="K261" s="1" t="s">
        <v>1781</v>
      </c>
      <c r="P261" s="1" t="s">
        <v>467</v>
      </c>
      <c r="Q261" s="6" t="str">
        <f>IFERROR(__xludf.DUMMYFUNCTION("""COMPUTED_VALUE"""),"psychological")</f>
        <v>psychological</v>
      </c>
      <c r="S261" s="1" t="s">
        <v>1782</v>
      </c>
      <c r="T261" s="6" t="str">
        <f>IFERROR(__xludf.DUMMYFUNCTION("""COMPUTED_VALUE"""),"important")</f>
        <v>important</v>
      </c>
      <c r="W261" s="1" t="s">
        <v>1783</v>
      </c>
      <c r="AF261" s="1" t="s">
        <v>1784</v>
      </c>
      <c r="AJ261" s="1" t="s">
        <v>432</v>
      </c>
      <c r="AM261" s="1" t="s">
        <v>1489</v>
      </c>
    </row>
    <row r="262">
      <c r="A262" s="1" t="s">
        <v>1785</v>
      </c>
      <c r="E262" s="1" t="s">
        <v>1786</v>
      </c>
      <c r="F262" s="6" t="str">
        <f>IFERROR(__xludf.DUMMYFUNCTION("""COMPUTED_VALUE"""),"momentum")</f>
        <v>momentum</v>
      </c>
      <c r="H262" s="1" t="s">
        <v>131</v>
      </c>
      <c r="I262" s="6" t="str">
        <f>IFERROR(__xludf.DUMMYFUNCTION("""COMPUTED_VALUE"""),"script")</f>
        <v>script</v>
      </c>
      <c r="K262" s="1" t="s">
        <v>1787</v>
      </c>
      <c r="P262" s="1" t="s">
        <v>1788</v>
      </c>
      <c r="Q262" s="6" t="str">
        <f>IFERROR(__xludf.DUMMYFUNCTION("""COMPUTED_VALUE"""),"dynamics")</f>
        <v>dynamics</v>
      </c>
      <c r="S262" s="1" t="s">
        <v>1789</v>
      </c>
      <c r="T262" s="6" t="str">
        <f>IFERROR(__xludf.DUMMYFUNCTION("""COMPUTED_VALUE"""),"service")</f>
        <v>service</v>
      </c>
      <c r="W262" s="1" t="s">
        <v>1790</v>
      </c>
      <c r="AF262" s="1" t="s">
        <v>948</v>
      </c>
      <c r="AJ262" s="1" t="s">
        <v>1748</v>
      </c>
      <c r="AM262" s="1" t="s">
        <v>1791</v>
      </c>
    </row>
    <row r="263">
      <c r="A263" s="1" t="s">
        <v>1792</v>
      </c>
      <c r="E263" s="1" t="s">
        <v>1793</v>
      </c>
      <c r="F263" s="6" t="str">
        <f>IFERROR(__xludf.DUMMYFUNCTION("""COMPUTED_VALUE"""),"characteristic")</f>
        <v>characteristic</v>
      </c>
      <c r="H263" s="1" t="s">
        <v>1794</v>
      </c>
      <c r="I263" s="6" t="str">
        <f>IFERROR(__xludf.DUMMYFUNCTION("""COMPUTED_VALUE"""),"sensitive")</f>
        <v>sensitive</v>
      </c>
      <c r="K263" s="1" t="s">
        <v>1795</v>
      </c>
      <c r="P263" s="1" t="s">
        <v>1796</v>
      </c>
      <c r="Q263" s="6" t="str">
        <f>IFERROR(__xludf.DUMMYFUNCTION("""COMPUTED_VALUE"""),"actor")</f>
        <v>actor</v>
      </c>
      <c r="S263" s="1" t="s">
        <v>1540</v>
      </c>
      <c r="T263" s="6" t="str">
        <f>IFERROR(__xludf.DUMMYFUNCTION("""COMPUTED_VALUE"""),"others")</f>
        <v>others</v>
      </c>
      <c r="W263" s="1" t="s">
        <v>1797</v>
      </c>
      <c r="AF263" s="1" t="s">
        <v>1798</v>
      </c>
      <c r="AJ263" s="1" t="s">
        <v>1799</v>
      </c>
      <c r="AM263" s="1" t="s">
        <v>818</v>
      </c>
    </row>
    <row r="264">
      <c r="A264" s="1" t="s">
        <v>1800</v>
      </c>
      <c r="E264" s="1" t="s">
        <v>972</v>
      </c>
      <c r="F264" s="6" t="str">
        <f>IFERROR(__xludf.DUMMYFUNCTION("""COMPUTED_VALUE"""),"juliette")</f>
        <v>juliette</v>
      </c>
      <c r="H264" s="1" t="s">
        <v>1551</v>
      </c>
      <c r="I264" s="6" t="str">
        <f>IFERROR(__xludf.DUMMYFUNCTION("""COMPUTED_VALUE"""),"working")</f>
        <v>working</v>
      </c>
      <c r="K264" s="1" t="s">
        <v>1801</v>
      </c>
      <c r="P264" s="1" t="s">
        <v>1802</v>
      </c>
      <c r="Q264" s="6" t="str">
        <f>IFERROR(__xludf.DUMMYFUNCTION("""COMPUTED_VALUE"""),"nicholas")</f>
        <v>nicholas</v>
      </c>
      <c r="S264" s="1" t="s">
        <v>697</v>
      </c>
      <c r="T264" s="6" t="str">
        <f>IFERROR(__xludf.DUMMYFUNCTION("""COMPUTED_VALUE"""),"special")</f>
        <v>special</v>
      </c>
      <c r="W264" s="1" t="s">
        <v>1803</v>
      </c>
      <c r="AF264" s="1" t="s">
        <v>1804</v>
      </c>
      <c r="AJ264" s="1">
        <v>2002.0</v>
      </c>
      <c r="AM264" s="1" t="s">
        <v>825</v>
      </c>
    </row>
    <row r="265">
      <c r="A265" s="1" t="s">
        <v>1805</v>
      </c>
      <c r="E265" s="1" t="s">
        <v>1806</v>
      </c>
      <c r="F265" s="6" t="str">
        <f>IFERROR(__xludf.DUMMYFUNCTION("""COMPUTED_VALUE"""),"affecting")</f>
        <v>affecting</v>
      </c>
      <c r="H265" s="1" t="s">
        <v>1807</v>
      </c>
      <c r="I265" s="6" t="str">
        <f>IFERROR(__xludf.DUMMYFUNCTION("""COMPUTED_VALUE"""),"ride")</f>
        <v>ride</v>
      </c>
      <c r="K265" s="1" t="s">
        <v>1309</v>
      </c>
      <c r="P265" s="1" t="s">
        <v>217</v>
      </c>
      <c r="Q265" s="6" t="str">
        <f>IFERROR(__xludf.DUMMYFUNCTION("""COMPUTED_VALUE"""),"optimistic")</f>
        <v>optimistic</v>
      </c>
      <c r="S265" s="1" t="s">
        <v>1808</v>
      </c>
      <c r="T265" s="6" t="str">
        <f>IFERROR(__xludf.DUMMYFUNCTION("""COMPUTED_VALUE"""),"promise")</f>
        <v>promise</v>
      </c>
      <c r="W265" s="1" t="s">
        <v>1809</v>
      </c>
      <c r="AF265" s="1" t="s">
        <v>1810</v>
      </c>
      <c r="AJ265" s="1" t="s">
        <v>1811</v>
      </c>
      <c r="AM265" s="1" t="s">
        <v>1517</v>
      </c>
    </row>
    <row r="266">
      <c r="A266" s="1" t="s">
        <v>1702</v>
      </c>
      <c r="E266" s="1" t="s">
        <v>1121</v>
      </c>
      <c r="F266" s="6" t="str">
        <f>IFERROR(__xludf.DUMMYFUNCTION("""COMPUTED_VALUE"""),"mira")</f>
        <v>mira</v>
      </c>
      <c r="H266" s="1" t="s">
        <v>140</v>
      </c>
      <c r="I266" s="6" t="str">
        <f>IFERROR(__xludf.DUMMYFUNCTION("""COMPUTED_VALUE"""),"predecessors")</f>
        <v>predecessors</v>
      </c>
      <c r="K266" s="1" t="s">
        <v>1812</v>
      </c>
      <c r="P266" s="1" t="s">
        <v>1789</v>
      </c>
      <c r="Q266" s="6" t="str">
        <f>IFERROR(__xludf.DUMMYFUNCTION("""COMPUTED_VALUE"""),"smarter")</f>
        <v>smarter</v>
      </c>
      <c r="S266" s="1" t="s">
        <v>733</v>
      </c>
      <c r="T266" s="6" t="str">
        <f>IFERROR(__xludf.DUMMYFUNCTION("""COMPUTED_VALUE"""),"view")</f>
        <v>view</v>
      </c>
      <c r="W266" s="1" t="s">
        <v>1813</v>
      </c>
      <c r="AF266" s="1" t="s">
        <v>1814</v>
      </c>
      <c r="AJ266" s="1" t="s">
        <v>1815</v>
      </c>
      <c r="AM266" s="1" t="s">
        <v>1816</v>
      </c>
    </row>
    <row r="267">
      <c r="A267" s="1" t="s">
        <v>1817</v>
      </c>
      <c r="E267" s="1" t="s">
        <v>1818</v>
      </c>
      <c r="F267" s="6" t="str">
        <f>IFERROR(__xludf.DUMMYFUNCTION("""COMPUTED_VALUE"""),"limitations")</f>
        <v>limitations</v>
      </c>
      <c r="H267" s="1" t="s">
        <v>769</v>
      </c>
      <c r="I267" s="6" t="str">
        <f>IFERROR(__xludf.DUMMYFUNCTION("""COMPUTED_VALUE"""),"pacing")</f>
        <v>pacing</v>
      </c>
      <c r="K267" s="1" t="s">
        <v>1819</v>
      </c>
      <c r="P267" s="1" t="s">
        <v>1443</v>
      </c>
      <c r="Q267" s="6" t="str">
        <f>IFERROR(__xludf.DUMMYFUNCTION("""COMPUTED_VALUE"""),"tremendous")</f>
        <v>tremendous</v>
      </c>
      <c r="S267" s="1" t="s">
        <v>1820</v>
      </c>
      <c r="T267" s="6" t="str">
        <f>IFERROR(__xludf.DUMMYFUNCTION("""COMPUTED_VALUE"""),"wait")</f>
        <v>wait</v>
      </c>
      <c r="W267" s="1" t="s">
        <v>1821</v>
      </c>
      <c r="AF267" s="1" t="s">
        <v>1822</v>
      </c>
      <c r="AJ267" s="1" t="s">
        <v>705</v>
      </c>
      <c r="AM267" s="1" t="s">
        <v>1823</v>
      </c>
    </row>
    <row r="268">
      <c r="A268" s="1" t="s">
        <v>1824</v>
      </c>
      <c r="E268" s="1" t="s">
        <v>344</v>
      </c>
      <c r="F268" s="6" t="str">
        <f>IFERROR(__xludf.DUMMYFUNCTION("""COMPUTED_VALUE"""),"classical")</f>
        <v>classical</v>
      </c>
      <c r="H268" s="1" t="s">
        <v>1568</v>
      </c>
      <c r="I268" s="6" t="str">
        <f>IFERROR(__xludf.DUMMYFUNCTION("""COMPUTED_VALUE"""),"yes")</f>
        <v>yes</v>
      </c>
      <c r="K268" s="1" t="s">
        <v>729</v>
      </c>
      <c r="P268" s="1" t="s">
        <v>384</v>
      </c>
      <c r="Q268" s="6" t="str">
        <f>IFERROR(__xludf.DUMMYFUNCTION("""COMPUTED_VALUE"""),"eddie")</f>
        <v>eddie</v>
      </c>
      <c r="S268" s="1" t="s">
        <v>328</v>
      </c>
      <c r="T268" s="6" t="str">
        <f>IFERROR(__xludf.DUMMYFUNCTION("""COMPUTED_VALUE"""),"camp")</f>
        <v>camp</v>
      </c>
      <c r="W268" s="1" t="s">
        <v>1825</v>
      </c>
      <c r="AF268" s="1" t="s">
        <v>1826</v>
      </c>
      <c r="AJ268" s="1" t="s">
        <v>351</v>
      </c>
      <c r="AM268" s="1" t="s">
        <v>1524</v>
      </c>
    </row>
    <row r="269">
      <c r="A269" s="1" t="s">
        <v>1500</v>
      </c>
      <c r="E269" s="1" t="s">
        <v>1827</v>
      </c>
      <c r="F269" s="6" t="str">
        <f>IFERROR(__xludf.DUMMYFUNCTION("""COMPUTED_VALUE"""),"successful")</f>
        <v>successful</v>
      </c>
      <c r="H269" s="1" t="s">
        <v>720</v>
      </c>
      <c r="I269" s="6" t="str">
        <f>IFERROR(__xludf.DUMMYFUNCTION("""COMPUTED_VALUE"""),"exposure")</f>
        <v>exposure</v>
      </c>
      <c r="K269" s="1" t="s">
        <v>1828</v>
      </c>
      <c r="P269" s="1" t="s">
        <v>1829</v>
      </c>
      <c r="Q269" s="6" t="str">
        <f>IFERROR(__xludf.DUMMYFUNCTION("""COMPUTED_VALUE"""),"absorbing")</f>
        <v>absorbing</v>
      </c>
      <c r="S269" s="1" t="s">
        <v>1830</v>
      </c>
      <c r="T269" s="6" t="str">
        <f>IFERROR(__xludf.DUMMYFUNCTION("""COMPUTED_VALUE"""),"death")</f>
        <v>death</v>
      </c>
      <c r="W269" s="1" t="s">
        <v>1831</v>
      </c>
      <c r="AF269" s="1" t="s">
        <v>1262</v>
      </c>
      <c r="AJ269" s="1" t="s">
        <v>459</v>
      </c>
      <c r="AM269" s="1" t="s">
        <v>257</v>
      </c>
    </row>
    <row r="270">
      <c r="A270" s="1" t="s">
        <v>1832</v>
      </c>
      <c r="E270" s="1" t="s">
        <v>599</v>
      </c>
      <c r="F270" s="6" t="str">
        <f>IFERROR(__xludf.DUMMYFUNCTION("""COMPUTED_VALUE"""),"moving")</f>
        <v>moving</v>
      </c>
      <c r="H270" s="1" t="s">
        <v>209</v>
      </c>
      <c r="I270" s="6" t="str">
        <f>IFERROR(__xludf.DUMMYFUNCTION("""COMPUTED_VALUE"""),"entirely")</f>
        <v>entirely</v>
      </c>
      <c r="K270" s="1" t="s">
        <v>738</v>
      </c>
      <c r="P270" s="1" t="s">
        <v>1833</v>
      </c>
      <c r="Q270" s="6" t="str">
        <f>IFERROR(__xludf.DUMMYFUNCTION("""COMPUTED_VALUE"""),"treatise")</f>
        <v>treatise</v>
      </c>
      <c r="S270" s="1" t="s">
        <v>1799</v>
      </c>
      <c r="T270" s="6" t="str">
        <f>IFERROR(__xludf.DUMMYFUNCTION("""COMPUTED_VALUE"""),"extraordinary")</f>
        <v>extraordinary</v>
      </c>
      <c r="W270" s="1" t="s">
        <v>1834</v>
      </c>
      <c r="AF270" s="1" t="s">
        <v>1835</v>
      </c>
      <c r="AJ270" s="1" t="s">
        <v>719</v>
      </c>
      <c r="AM270" s="1" t="s">
        <v>1836</v>
      </c>
    </row>
    <row r="271">
      <c r="A271" s="1" t="s">
        <v>1837</v>
      </c>
      <c r="E271" s="1" t="s">
        <v>1838</v>
      </c>
      <c r="F271" s="6" t="str">
        <f>IFERROR(__xludf.DUMMYFUNCTION("""COMPUTED_VALUE"""),"intelligent")</f>
        <v>intelligent</v>
      </c>
      <c r="H271" s="1" t="s">
        <v>182</v>
      </c>
      <c r="I271" s="6" t="str">
        <f>IFERROR(__xludf.DUMMYFUNCTION("""COMPUTED_VALUE"""),"affair")</f>
        <v>affair</v>
      </c>
      <c r="K271" s="1" t="s">
        <v>1839</v>
      </c>
      <c r="P271" s="1" t="s">
        <v>210</v>
      </c>
      <c r="Q271" s="6" t="str">
        <f>IFERROR(__xludf.DUMMYFUNCTION("""COMPUTED_VALUE"""),"caine")</f>
        <v>caine</v>
      </c>
      <c r="S271" s="1" t="s">
        <v>1840</v>
      </c>
      <c r="T271" s="6" t="str">
        <f>IFERROR(__xludf.DUMMYFUNCTION("""COMPUTED_VALUE"""),"faith")</f>
        <v>faith</v>
      </c>
      <c r="W271" s="8"/>
      <c r="AF271" s="1" t="s">
        <v>1841</v>
      </c>
      <c r="AJ271" s="1" t="s">
        <v>512</v>
      </c>
      <c r="AM271" s="1" t="s">
        <v>1545</v>
      </c>
    </row>
    <row r="272">
      <c r="A272" s="1" t="s">
        <v>1842</v>
      </c>
      <c r="E272" s="1" t="s">
        <v>192</v>
      </c>
      <c r="F272" s="6" t="str">
        <f>IFERROR(__xludf.DUMMYFUNCTION("""COMPUTED_VALUE"""),"sequels")</f>
        <v>sequels</v>
      </c>
      <c r="H272" s="1" t="s">
        <v>847</v>
      </c>
      <c r="I272" s="6" t="str">
        <f>IFERROR(__xludf.DUMMYFUNCTION("""COMPUTED_VALUE"""),"breathless")</f>
        <v>breathless</v>
      </c>
      <c r="K272" s="1" t="s">
        <v>1843</v>
      </c>
      <c r="P272" s="1" t="s">
        <v>754</v>
      </c>
      <c r="Q272" s="6" t="str">
        <f>IFERROR(__xludf.DUMMYFUNCTION("""COMPUTED_VALUE"""),"dynamic")</f>
        <v>dynamic</v>
      </c>
      <c r="S272" s="1" t="s">
        <v>711</v>
      </c>
      <c r="T272" s="6" t="str">
        <f>IFERROR(__xludf.DUMMYFUNCTION("""COMPUTED_VALUE"""),"heart")</f>
        <v>heart</v>
      </c>
      <c r="W272" s="8"/>
      <c r="AF272" s="1" t="s">
        <v>521</v>
      </c>
      <c r="AJ272" s="1" t="s">
        <v>358</v>
      </c>
      <c r="AM272" s="1" t="s">
        <v>250</v>
      </c>
    </row>
    <row r="273">
      <c r="A273" s="1" t="s">
        <v>1844</v>
      </c>
      <c r="E273" s="1" t="s">
        <v>1845</v>
      </c>
      <c r="F273" s="6" t="str">
        <f>IFERROR(__xludf.DUMMYFUNCTION("""COMPUTED_VALUE"""),"accomplish")</f>
        <v>accomplish</v>
      </c>
      <c r="H273" s="1" t="s">
        <v>1293</v>
      </c>
      <c r="I273" s="6" t="str">
        <f>IFERROR(__xludf.DUMMYFUNCTION("""COMPUTED_VALUE"""),"tides")</f>
        <v>tides</v>
      </c>
      <c r="K273" s="1" t="s">
        <v>1846</v>
      </c>
      <c r="P273" s="1" t="s">
        <v>1847</v>
      </c>
      <c r="Q273" s="6" t="str">
        <f>IFERROR(__xludf.DUMMYFUNCTION("""COMPUTED_VALUE"""),"changing")</f>
        <v>changing</v>
      </c>
      <c r="S273" s="1" t="s">
        <v>752</v>
      </c>
      <c r="T273" s="6" t="str">
        <f>IFERROR(__xludf.DUMMYFUNCTION("""COMPUTED_VALUE"""),"champion")</f>
        <v>champion</v>
      </c>
      <c r="W273" s="8"/>
      <c r="AF273" s="1" t="s">
        <v>956</v>
      </c>
      <c r="AJ273" s="1" t="s">
        <v>1848</v>
      </c>
      <c r="AM273" s="1" t="s">
        <v>241</v>
      </c>
    </row>
    <row r="274">
      <c r="A274" s="1" t="s">
        <v>1849</v>
      </c>
      <c r="E274" s="1" t="s">
        <v>997</v>
      </c>
      <c r="F274" s="6" t="str">
        <f>IFERROR(__xludf.DUMMYFUNCTION("""COMPUTED_VALUE"""),"poet")</f>
        <v>poet</v>
      </c>
      <c r="H274" s="1" t="s">
        <v>148</v>
      </c>
      <c r="I274" s="6" t="str">
        <f>IFERROR(__xludf.DUMMYFUNCTION("""COMPUTED_VALUE"""),"predictable")</f>
        <v>predictable</v>
      </c>
      <c r="K274" s="1" t="s">
        <v>1850</v>
      </c>
      <c r="P274" s="1" t="s">
        <v>342</v>
      </c>
      <c r="Q274" s="6" t="str">
        <f>IFERROR(__xludf.DUMMYFUNCTION("""COMPUTED_VALUE"""),"gripping")</f>
        <v>gripping</v>
      </c>
      <c r="S274" s="1" t="s">
        <v>1851</v>
      </c>
      <c r="T274" s="6" t="str">
        <f>IFERROR(__xludf.DUMMYFUNCTION("""COMPUTED_VALUE"""),"interesting")</f>
        <v>interesting</v>
      </c>
      <c r="W274" s="8"/>
      <c r="AF274" s="1" t="s">
        <v>1852</v>
      </c>
      <c r="AJ274" s="1" t="s">
        <v>1853</v>
      </c>
      <c r="AM274" s="1" t="s">
        <v>909</v>
      </c>
    </row>
    <row r="275">
      <c r="A275" s="1" t="s">
        <v>1854</v>
      </c>
      <c r="E275" s="1" t="s">
        <v>202</v>
      </c>
      <c r="F275" s="6" t="str">
        <f>IFERROR(__xludf.DUMMYFUNCTION("""COMPUTED_VALUE"""),"sustain")</f>
        <v>sustain</v>
      </c>
      <c r="H275" s="1" t="s">
        <v>1303</v>
      </c>
      <c r="I275" s="6" t="str">
        <f>IFERROR(__xludf.DUMMYFUNCTION("""COMPUTED_VALUE"""),"entertaining")</f>
        <v>entertaining</v>
      </c>
      <c r="K275" s="1" t="s">
        <v>1855</v>
      </c>
      <c r="P275" s="1" t="s">
        <v>1856</v>
      </c>
      <c r="Q275" s="6" t="str">
        <f>IFERROR(__xludf.DUMMYFUNCTION("""COMPUTED_VALUE"""),"startling")</f>
        <v>startling</v>
      </c>
      <c r="S275" s="1" t="s">
        <v>1857</v>
      </c>
      <c r="T275" s="6" t="str">
        <f>IFERROR(__xludf.DUMMYFUNCTION("""COMPUTED_VALUE"""),"descends")</f>
        <v>descends</v>
      </c>
      <c r="W275" s="8"/>
      <c r="AF275" s="1" t="s">
        <v>961</v>
      </c>
      <c r="AJ275" s="1" t="s">
        <v>217</v>
      </c>
      <c r="AM275" s="1" t="s">
        <v>1564</v>
      </c>
    </row>
    <row r="276">
      <c r="A276" s="1" t="s">
        <v>1858</v>
      </c>
      <c r="E276" s="1" t="s">
        <v>1008</v>
      </c>
      <c r="F276" s="6" t="str">
        <f>IFERROR(__xludf.DUMMYFUNCTION("""COMPUTED_VALUE"""),"summer")</f>
        <v>summer</v>
      </c>
      <c r="H276" s="1" t="s">
        <v>1311</v>
      </c>
      <c r="I276" s="6" t="str">
        <f>IFERROR(__xludf.DUMMYFUNCTION("""COMPUTED_VALUE"""),"brilliant")</f>
        <v>brilliant</v>
      </c>
      <c r="K276" s="1" t="s">
        <v>766</v>
      </c>
      <c r="P276" s="1" t="s">
        <v>1859</v>
      </c>
      <c r="Q276" s="6" t="str">
        <f>IFERROR(__xludf.DUMMYFUNCTION("""COMPUTED_VALUE"""),"devoid")</f>
        <v>devoid</v>
      </c>
      <c r="S276" s="1" t="s">
        <v>1860</v>
      </c>
      <c r="T276" s="6" t="str">
        <f>IFERROR(__xludf.DUMMYFUNCTION("""COMPUTED_VALUE"""),"works")</f>
        <v>works</v>
      </c>
      <c r="W276" s="8"/>
      <c r="AF276" s="1" t="s">
        <v>966</v>
      </c>
      <c r="AJ276" s="1" t="s">
        <v>1861</v>
      </c>
      <c r="AM276" s="1" t="s">
        <v>1862</v>
      </c>
    </row>
    <row r="277">
      <c r="A277" s="1" t="s">
        <v>1863</v>
      </c>
      <c r="E277" s="1" t="s">
        <v>1864</v>
      </c>
      <c r="F277" s="6" t="str">
        <f>IFERROR(__xludf.DUMMYFUNCTION("""COMPUTED_VALUE"""),"filmmaker")</f>
        <v>filmmaker</v>
      </c>
      <c r="H277" s="1" t="s">
        <v>836</v>
      </c>
      <c r="I277" s="6" t="str">
        <f>IFERROR(__xludf.DUMMYFUNCTION("""COMPUTED_VALUE"""),"subordinate")</f>
        <v>subordinate</v>
      </c>
      <c r="K277" s="1" t="s">
        <v>1865</v>
      </c>
      <c r="P277" s="1" t="s">
        <v>1866</v>
      </c>
      <c r="Q277" s="6" t="str">
        <f>IFERROR(__xludf.DUMMYFUNCTION("""COMPUTED_VALUE"""),"fatal")</f>
        <v>fatal</v>
      </c>
      <c r="S277" s="1" t="s">
        <v>1867</v>
      </c>
      <c r="T277" s="6" t="str">
        <f>IFERROR(__xludf.DUMMYFUNCTION("""COMPUTED_VALUE"""),"keeping")</f>
        <v>keeping</v>
      </c>
      <c r="W277" s="8"/>
      <c r="AF277" s="1" t="s">
        <v>1868</v>
      </c>
      <c r="AJ277" s="1" t="s">
        <v>735</v>
      </c>
      <c r="AM277" s="1" t="s">
        <v>917</v>
      </c>
    </row>
    <row r="278">
      <c r="A278" s="1" t="s">
        <v>1869</v>
      </c>
      <c r="E278" s="1" t="s">
        <v>1085</v>
      </c>
      <c r="F278" s="6" t="str">
        <f>IFERROR(__xludf.DUMMYFUNCTION("""COMPUTED_VALUE"""),"ambitious")</f>
        <v>ambitious</v>
      </c>
      <c r="H278" s="1" t="s">
        <v>161</v>
      </c>
      <c r="I278" s="6" t="str">
        <f>IFERROR(__xludf.DUMMYFUNCTION("""COMPUTED_VALUE"""),"positive")</f>
        <v>positive</v>
      </c>
      <c r="K278" s="1" t="s">
        <v>1870</v>
      </c>
      <c r="P278" s="1" t="s">
        <v>1871</v>
      </c>
      <c r="Q278" s="6" t="str">
        <f>IFERROR(__xludf.DUMMYFUNCTION("""COMPUTED_VALUE"""),"surprising")</f>
        <v>surprising</v>
      </c>
      <c r="S278" s="1">
        <v>4.0</v>
      </c>
      <c r="T278" s="6" t="str">
        <f>IFERROR(__xludf.DUMMYFUNCTION("""COMPUTED_VALUE"""),"sequel")</f>
        <v>sequel</v>
      </c>
      <c r="W278" s="8"/>
      <c r="AF278" s="1" t="s">
        <v>1872</v>
      </c>
      <c r="AJ278" s="1" t="s">
        <v>366</v>
      </c>
      <c r="AM278" s="1" t="s">
        <v>157</v>
      </c>
    </row>
    <row r="279">
      <c r="A279" s="1" t="s">
        <v>1873</v>
      </c>
      <c r="E279" s="1" t="s">
        <v>1025</v>
      </c>
      <c r="F279" s="6" t="str">
        <f>IFERROR(__xludf.DUMMYFUNCTION("""COMPUTED_VALUE"""),"subject")</f>
        <v>subject</v>
      </c>
      <c r="H279" s="1" t="s">
        <v>1874</v>
      </c>
      <c r="I279" s="6" t="str">
        <f>IFERROR(__xludf.DUMMYFUNCTION("""COMPUTED_VALUE"""),"dim")</f>
        <v>dim</v>
      </c>
      <c r="K279" s="1" t="s">
        <v>1875</v>
      </c>
      <c r="P279" s="1" t="s">
        <v>394</v>
      </c>
      <c r="Q279" s="6" t="str">
        <f>IFERROR(__xludf.DUMMYFUNCTION("""COMPUTED_VALUE"""),"bollywood")</f>
        <v>bollywood</v>
      </c>
      <c r="S279" s="1" t="s">
        <v>1876</v>
      </c>
      <c r="T279" s="6" t="str">
        <f>IFERROR(__xludf.DUMMYFUNCTION("""COMPUTED_VALUE"""),"disney")</f>
        <v>disney</v>
      </c>
      <c r="W279" s="8"/>
      <c r="AF279" s="1" t="s">
        <v>1877</v>
      </c>
      <c r="AJ279" s="1" t="s">
        <v>754</v>
      </c>
      <c r="AM279" s="1" t="s">
        <v>275</v>
      </c>
    </row>
    <row r="280">
      <c r="A280" s="1" t="s">
        <v>1878</v>
      </c>
      <c r="E280" s="1" t="s">
        <v>1879</v>
      </c>
      <c r="F280" s="6" t="str">
        <f>IFERROR(__xludf.DUMMYFUNCTION("""COMPUTED_VALUE"""),"taboo")</f>
        <v>taboo</v>
      </c>
      <c r="H280" s="1" t="s">
        <v>1880</v>
      </c>
      <c r="I280" s="6" t="str">
        <f>IFERROR(__xludf.DUMMYFUNCTION("""COMPUTED_VALUE"""),"quivering")</f>
        <v>quivering</v>
      </c>
      <c r="K280" s="1" t="s">
        <v>774</v>
      </c>
      <c r="P280" s="1" t="s">
        <v>1881</v>
      </c>
      <c r="Q280" s="6" t="str">
        <f>IFERROR(__xludf.DUMMYFUNCTION("""COMPUTED_VALUE"""),"profoundly")</f>
        <v>profoundly</v>
      </c>
      <c r="S280" s="1" t="s">
        <v>777</v>
      </c>
      <c r="T280" s="6" t="str">
        <f>IFERROR(__xludf.DUMMYFUNCTION("""COMPUTED_VALUE"""),"despite")</f>
        <v>despite</v>
      </c>
      <c r="W280" s="8"/>
      <c r="AF280" s="1" t="s">
        <v>1882</v>
      </c>
      <c r="AJ280" s="1" t="s">
        <v>210</v>
      </c>
      <c r="AM280" s="1" t="s">
        <v>1883</v>
      </c>
    </row>
    <row r="281">
      <c r="A281" s="1" t="s">
        <v>1884</v>
      </c>
      <c r="E281" s="1" t="s">
        <v>1885</v>
      </c>
      <c r="F281" s="6" t="str">
        <f>IFERROR(__xludf.DUMMYFUNCTION("""COMPUTED_VALUE"""),"weaknesses")</f>
        <v>weaknesses</v>
      </c>
      <c r="H281" s="1" t="s">
        <v>216</v>
      </c>
      <c r="I281" s="6" t="str">
        <f>IFERROR(__xludf.DUMMYFUNCTION("""COMPUTED_VALUE"""),"kinetic")</f>
        <v>kinetic</v>
      </c>
      <c r="K281" s="1" t="s">
        <v>1886</v>
      </c>
      <c r="P281" s="1" t="s">
        <v>1887</v>
      </c>
      <c r="Q281" s="6" t="str">
        <f>IFERROR(__xludf.DUMMYFUNCTION("""COMPUTED_VALUE"""),"cannes")</f>
        <v>cannes</v>
      </c>
      <c r="S281" s="1" t="s">
        <v>1888</v>
      </c>
      <c r="T281" s="6" t="str">
        <f>IFERROR(__xludf.DUMMYFUNCTION("""COMPUTED_VALUE"""),"fights")</f>
        <v>fights</v>
      </c>
      <c r="W281" s="8"/>
      <c r="AF281" s="1" t="s">
        <v>1889</v>
      </c>
      <c r="AJ281" s="1" t="s">
        <v>342</v>
      </c>
      <c r="AM281" s="1" t="s">
        <v>1606</v>
      </c>
    </row>
    <row r="282">
      <c r="A282" s="1" t="s">
        <v>1890</v>
      </c>
      <c r="E282" s="1" t="s">
        <v>301</v>
      </c>
      <c r="F282" s="6" t="str">
        <f>IFERROR(__xludf.DUMMYFUNCTION("""COMPUTED_VALUE"""),"interference")</f>
        <v>interference</v>
      </c>
      <c r="H282" s="1" t="s">
        <v>1335</v>
      </c>
      <c r="I282" s="6" t="str">
        <f>IFERROR(__xludf.DUMMYFUNCTION("""COMPUTED_VALUE"""),"may")</f>
        <v>may</v>
      </c>
      <c r="K282" s="1" t="s">
        <v>1891</v>
      </c>
      <c r="P282" s="1" t="s">
        <v>474</v>
      </c>
      <c r="Q282" s="6" t="str">
        <f>IFERROR(__xludf.DUMMYFUNCTION("""COMPUTED_VALUE"""),"understands")</f>
        <v>understands</v>
      </c>
      <c r="S282" s="1" t="s">
        <v>1892</v>
      </c>
      <c r="T282" s="6" t="str">
        <f>IFERROR(__xludf.DUMMYFUNCTION("""COMPUTED_VALUE"""),"ambitions")</f>
        <v>ambitions</v>
      </c>
      <c r="W282" s="8"/>
      <c r="AF282" s="1" t="s">
        <v>1893</v>
      </c>
      <c r="AJ282" s="1" t="s">
        <v>374</v>
      </c>
      <c r="AM282" s="1" t="s">
        <v>1894</v>
      </c>
    </row>
    <row r="283">
      <c r="A283" s="1" t="s">
        <v>1895</v>
      </c>
      <c r="E283" s="1" t="s">
        <v>293</v>
      </c>
      <c r="F283" s="6" t="str">
        <f>IFERROR(__xludf.DUMMYFUNCTION("""COMPUTED_VALUE"""),"overcome")</f>
        <v>overcome</v>
      </c>
      <c r="H283" s="1" t="s">
        <v>877</v>
      </c>
      <c r="I283" s="6" t="str">
        <f>IFERROR(__xludf.DUMMYFUNCTION("""COMPUTED_VALUE"""),"term")</f>
        <v>term</v>
      </c>
      <c r="K283" s="1" t="s">
        <v>1896</v>
      </c>
      <c r="P283" s="1" t="s">
        <v>1897</v>
      </c>
      <c r="Q283" s="6" t="str">
        <f>IFERROR(__xludf.DUMMYFUNCTION("""COMPUTED_VALUE"""),"rises")</f>
        <v>rises</v>
      </c>
      <c r="S283" s="1" t="s">
        <v>1898</v>
      </c>
      <c r="T283" s="6" t="str">
        <f>IFERROR(__xludf.DUMMYFUNCTION("""COMPUTED_VALUE"""),"problem")</f>
        <v>problem</v>
      </c>
      <c r="W283" s="8"/>
      <c r="AF283" s="1" t="s">
        <v>1899</v>
      </c>
      <c r="AJ283" s="1" t="s">
        <v>772</v>
      </c>
      <c r="AM283" s="1" t="s">
        <v>162</v>
      </c>
    </row>
    <row r="284">
      <c r="A284" s="1" t="s">
        <v>1900</v>
      </c>
      <c r="E284" s="1" t="s">
        <v>525</v>
      </c>
      <c r="F284" s="6" t="str">
        <f>IFERROR(__xludf.DUMMYFUNCTION("""COMPUTED_VALUE"""),"carmen")</f>
        <v>carmen</v>
      </c>
      <c r="H284" s="1" t="s">
        <v>1477</v>
      </c>
      <c r="I284" s="6" t="str">
        <f>IFERROR(__xludf.DUMMYFUNCTION("""COMPUTED_VALUE"""),"emotions")</f>
        <v>emotions</v>
      </c>
      <c r="K284" s="1" t="s">
        <v>948</v>
      </c>
      <c r="P284" s="1" t="s">
        <v>1901</v>
      </c>
      <c r="Q284" s="6" t="str">
        <f>IFERROR(__xludf.DUMMYFUNCTION("""COMPUTED_VALUE"""),"holm")</f>
        <v>holm</v>
      </c>
      <c r="S284" s="1" t="s">
        <v>1902</v>
      </c>
      <c r="T284" s="6" t="str">
        <f>IFERROR(__xludf.DUMMYFUNCTION("""COMPUTED_VALUE"""),"compelling")</f>
        <v>compelling</v>
      </c>
      <c r="W284" s="8"/>
      <c r="AF284" s="1" t="s">
        <v>1903</v>
      </c>
      <c r="AJ284" s="1" t="s">
        <v>380</v>
      </c>
      <c r="AM284" s="1" t="s">
        <v>1617</v>
      </c>
    </row>
    <row r="285">
      <c r="A285" s="1" t="s">
        <v>1904</v>
      </c>
      <c r="E285" s="1" t="s">
        <v>1110</v>
      </c>
      <c r="F285" s="6" t="str">
        <f>IFERROR(__xludf.DUMMYFUNCTION("""COMPUTED_VALUE"""),"low")</f>
        <v>low</v>
      </c>
      <c r="H285" s="1" t="s">
        <v>1628</v>
      </c>
      <c r="I285" s="6" t="str">
        <f>IFERROR(__xludf.DUMMYFUNCTION("""COMPUTED_VALUE"""),"honest")</f>
        <v>honest</v>
      </c>
      <c r="K285" s="1" t="s">
        <v>1156</v>
      </c>
      <c r="P285" s="1" t="s">
        <v>481</v>
      </c>
      <c r="Q285" s="6" t="str">
        <f>IFERROR(__xludf.DUMMYFUNCTION("""COMPUTED_VALUE"""),"monumental")</f>
        <v>monumental</v>
      </c>
      <c r="S285" s="1" t="s">
        <v>1905</v>
      </c>
      <c r="T285" s="6" t="str">
        <f>IFERROR(__xludf.DUMMYFUNCTION("""COMPUTED_VALUE"""),"mere")</f>
        <v>mere</v>
      </c>
      <c r="W285" s="8"/>
      <c r="AF285" s="1" t="s">
        <v>1906</v>
      </c>
      <c r="AJ285" s="1" t="s">
        <v>387</v>
      </c>
      <c r="AM285" s="1" t="s">
        <v>610</v>
      </c>
    </row>
    <row r="286">
      <c r="A286" s="1" t="s">
        <v>1907</v>
      </c>
      <c r="E286" s="1" t="s">
        <v>1908</v>
      </c>
      <c r="F286" s="6" t="str">
        <f>IFERROR(__xludf.DUMMYFUNCTION("""COMPUTED_VALUE"""),"ode")</f>
        <v>ode</v>
      </c>
      <c r="H286" s="1" t="s">
        <v>1616</v>
      </c>
      <c r="I286" s="6" t="str">
        <f>IFERROR(__xludf.DUMMYFUNCTION("""COMPUTED_VALUE"""),"lame")</f>
        <v>lame</v>
      </c>
      <c r="K286" s="1" t="s">
        <v>1909</v>
      </c>
      <c r="P286" s="1" t="s">
        <v>1910</v>
      </c>
      <c r="Q286" s="6" t="str">
        <f>IFERROR(__xludf.DUMMYFUNCTION("""COMPUTED_VALUE"""),"logic")</f>
        <v>logic</v>
      </c>
      <c r="S286" s="1" t="s">
        <v>1911</v>
      </c>
      <c r="T286" s="6">
        <f>IFERROR(__xludf.DUMMYFUNCTION("""COMPUTED_VALUE"""),84.0)</f>
        <v>84</v>
      </c>
      <c r="W286" s="8"/>
      <c r="AF286" s="1" t="s">
        <v>1912</v>
      </c>
      <c r="AJ286" s="1" t="s">
        <v>394</v>
      </c>
      <c r="AM286" s="1" t="s">
        <v>292</v>
      </c>
    </row>
    <row r="287">
      <c r="A287" s="1" t="s">
        <v>1913</v>
      </c>
      <c r="E287" s="1" t="s">
        <v>1914</v>
      </c>
      <c r="F287" s="6" t="str">
        <f>IFERROR(__xludf.DUMMYFUNCTION("""COMPUTED_VALUE"""),"walked")</f>
        <v>walked</v>
      </c>
      <c r="H287" s="1" t="s">
        <v>736</v>
      </c>
      <c r="I287" s="6" t="str">
        <f>IFERROR(__xludf.DUMMYFUNCTION("""COMPUTED_VALUE"""),"confessions")</f>
        <v>confessions</v>
      </c>
      <c r="K287" s="1" t="s">
        <v>534</v>
      </c>
      <c r="P287" s="1" t="s">
        <v>496</v>
      </c>
      <c r="Q287" s="6" t="str">
        <f>IFERROR(__xludf.DUMMYFUNCTION("""COMPUTED_VALUE"""),"frantic")</f>
        <v>frantic</v>
      </c>
      <c r="S287" s="1" t="s">
        <v>792</v>
      </c>
      <c r="T287" s="6" t="str">
        <f>IFERROR(__xludf.DUMMYFUNCTION("""COMPUTED_VALUE"""),"minutes")</f>
        <v>minutes</v>
      </c>
      <c r="W287" s="8"/>
      <c r="AF287" s="1" t="s">
        <v>304</v>
      </c>
      <c r="AJ287" s="1" t="s">
        <v>474</v>
      </c>
      <c r="AM287" s="1" t="s">
        <v>872</v>
      </c>
    </row>
    <row r="288">
      <c r="A288" s="1" t="s">
        <v>1915</v>
      </c>
      <c r="E288" s="1" t="s">
        <v>1916</v>
      </c>
      <c r="F288" s="6" t="str">
        <f>IFERROR(__xludf.DUMMYFUNCTION("""COMPUTED_VALUE"""),"muttering")</f>
        <v>muttering</v>
      </c>
      <c r="H288" s="1" t="s">
        <v>224</v>
      </c>
      <c r="I288" s="6" t="str">
        <f>IFERROR(__xludf.DUMMYFUNCTION("""COMPUTED_VALUE"""),"bio")</f>
        <v>bio</v>
      </c>
      <c r="K288" s="1" t="s">
        <v>1917</v>
      </c>
      <c r="P288" s="1" t="s">
        <v>1918</v>
      </c>
      <c r="Q288" s="6" t="str">
        <f>IFERROR(__xludf.DUMMYFUNCTION("""COMPUTED_VALUE"""),"amusing")</f>
        <v>amusing</v>
      </c>
      <c r="S288" s="1" t="s">
        <v>1642</v>
      </c>
      <c r="T288" s="6" t="str">
        <f>IFERROR(__xludf.DUMMYFUNCTION("""COMPUTED_VALUE"""),"remarkable")</f>
        <v>remarkable</v>
      </c>
      <c r="W288" s="8"/>
      <c r="AF288" s="1" t="s">
        <v>970</v>
      </c>
      <c r="AJ288" s="1" t="s">
        <v>481</v>
      </c>
      <c r="AM288" s="1" t="s">
        <v>879</v>
      </c>
    </row>
    <row r="289">
      <c r="A289" s="1" t="s">
        <v>1919</v>
      </c>
      <c r="E289" s="1" t="s">
        <v>208</v>
      </c>
      <c r="F289" s="6" t="str">
        <f>IFERROR(__xludf.DUMMYFUNCTION("""COMPUTED_VALUE"""),"backward")</f>
        <v>backward</v>
      </c>
      <c r="H289" s="1" t="s">
        <v>745</v>
      </c>
      <c r="I289" s="6" t="str">
        <f>IFERROR(__xludf.DUMMYFUNCTION("""COMPUTED_VALUE"""),"title")</f>
        <v>title</v>
      </c>
      <c r="K289" s="1" t="s">
        <v>1920</v>
      </c>
      <c r="P289" s="1" t="s">
        <v>1921</v>
      </c>
      <c r="Q289" s="6" t="str">
        <f>IFERROR(__xludf.DUMMYFUNCTION("""COMPUTED_VALUE"""),"pulse")</f>
        <v>pulse</v>
      </c>
      <c r="S289" s="1" t="s">
        <v>1922</v>
      </c>
      <c r="T289" s="6" t="str">
        <f>IFERROR(__xludf.DUMMYFUNCTION("""COMPUTED_VALUE"""),"romance")</f>
        <v>romance</v>
      </c>
      <c r="W289" s="8"/>
      <c r="AF289" s="1" t="s">
        <v>1923</v>
      </c>
      <c r="AJ289" s="1" t="s">
        <v>1924</v>
      </c>
      <c r="AM289" s="1" t="s">
        <v>1331</v>
      </c>
    </row>
    <row r="290">
      <c r="A290" s="1" t="s">
        <v>1925</v>
      </c>
      <c r="E290" s="1" t="s">
        <v>1053</v>
      </c>
      <c r="F290" s="6" t="str">
        <f>IFERROR(__xludf.DUMMYFUNCTION("""COMPUTED_VALUE"""),"luminous")</f>
        <v>luminous</v>
      </c>
      <c r="H290" s="1" t="s">
        <v>1926</v>
      </c>
      <c r="I290" s="6" t="str">
        <f>IFERROR(__xludf.DUMMYFUNCTION("""COMPUTED_VALUE"""),"delightful")</f>
        <v>delightful</v>
      </c>
      <c r="K290" s="1" t="s">
        <v>1927</v>
      </c>
      <c r="P290" s="1" t="s">
        <v>1928</v>
      </c>
      <c r="Q290" s="6" t="str">
        <f>IFERROR(__xludf.DUMMYFUNCTION("""COMPUTED_VALUE"""),"subconscious")</f>
        <v>subconscious</v>
      </c>
      <c r="S290" s="1" t="s">
        <v>1929</v>
      </c>
      <c r="T290" s="6" t="str">
        <f>IFERROR(__xludf.DUMMYFUNCTION("""COMPUTED_VALUE"""),"pictures")</f>
        <v>pictures</v>
      </c>
      <c r="W290" s="8"/>
      <c r="AF290" s="1" t="s">
        <v>1930</v>
      </c>
      <c r="AJ290" s="1" t="s">
        <v>1931</v>
      </c>
      <c r="AM290" s="1" t="s">
        <v>887</v>
      </c>
    </row>
    <row r="291">
      <c r="A291" s="1" t="s">
        <v>1932</v>
      </c>
      <c r="E291" s="1" t="s">
        <v>375</v>
      </c>
      <c r="F291" s="6" t="str">
        <f>IFERROR(__xludf.DUMMYFUNCTION("""COMPUTED_VALUE"""),"interviews")</f>
        <v>interviews</v>
      </c>
      <c r="H291" s="1" t="s">
        <v>755</v>
      </c>
      <c r="I291" s="6" t="str">
        <f>IFERROR(__xludf.DUMMYFUNCTION("""COMPUTED_VALUE"""),"wildlife")</f>
        <v>wildlife</v>
      </c>
      <c r="K291" s="1" t="s">
        <v>1933</v>
      </c>
      <c r="P291" s="1" t="s">
        <v>168</v>
      </c>
      <c r="Q291" s="6" t="str">
        <f>IFERROR(__xludf.DUMMYFUNCTION("""COMPUTED_VALUE"""),"stirring")</f>
        <v>stirring</v>
      </c>
      <c r="S291" s="1" t="s">
        <v>1934</v>
      </c>
      <c r="T291" s="6" t="str">
        <f>IFERROR(__xludf.DUMMYFUNCTION("""COMPUTED_VALUE"""),"sweeping")</f>
        <v>sweeping</v>
      </c>
      <c r="W291" s="8"/>
      <c r="AF291" s="1" t="s">
        <v>1935</v>
      </c>
      <c r="AJ291" s="1" t="s">
        <v>1936</v>
      </c>
      <c r="AM291" s="1" t="s">
        <v>1663</v>
      </c>
    </row>
    <row r="292">
      <c r="A292" s="1" t="s">
        <v>1937</v>
      </c>
      <c r="E292" s="1" t="s">
        <v>1938</v>
      </c>
      <c r="F292" s="6" t="str">
        <f>IFERROR(__xludf.DUMMYFUNCTION("""COMPUTED_VALUE"""),"trier")</f>
        <v>trier</v>
      </c>
      <c r="H292" s="1" t="s">
        <v>829</v>
      </c>
      <c r="I292" s="6" t="str">
        <f>IFERROR(__xludf.DUMMYFUNCTION("""COMPUTED_VALUE"""),"spare")</f>
        <v>spare</v>
      </c>
      <c r="K292" s="1" t="s">
        <v>1939</v>
      </c>
      <c r="P292" s="1" t="s">
        <v>416</v>
      </c>
      <c r="Q292" s="6" t="str">
        <f>IFERROR(__xludf.DUMMYFUNCTION("""COMPUTED_VALUE"""),"struggling")</f>
        <v>struggling</v>
      </c>
      <c r="S292" s="1" t="s">
        <v>1940</v>
      </c>
      <c r="T292" s="6" t="str">
        <f>IFERROR(__xludf.DUMMYFUNCTION("""COMPUTED_VALUE"""),"date")</f>
        <v>date</v>
      </c>
      <c r="W292" s="8"/>
      <c r="AF292" s="1" t="s">
        <v>475</v>
      </c>
      <c r="AJ292" s="1" t="s">
        <v>1941</v>
      </c>
      <c r="AM292" s="1" t="s">
        <v>894</v>
      </c>
    </row>
    <row r="293">
      <c r="A293" s="1" t="s">
        <v>1942</v>
      </c>
      <c r="E293" s="1" t="s">
        <v>381</v>
      </c>
      <c r="F293" s="6" t="str">
        <f>IFERROR(__xludf.DUMMYFUNCTION("""COMPUTED_VALUE"""),"lynch")</f>
        <v>lynch</v>
      </c>
      <c r="H293" s="1" t="s">
        <v>763</v>
      </c>
      <c r="I293" s="6" t="str">
        <f>IFERROR(__xludf.DUMMYFUNCTION("""COMPUTED_VALUE"""),"structured")</f>
        <v>structured</v>
      </c>
      <c r="K293" s="1" t="s">
        <v>1943</v>
      </c>
      <c r="P293" s="1" t="s">
        <v>1944</v>
      </c>
      <c r="Q293" s="6" t="str">
        <f>IFERROR(__xludf.DUMMYFUNCTION("""COMPUTED_VALUE"""),"corruption")</f>
        <v>corruption</v>
      </c>
      <c r="S293" s="1" t="s">
        <v>1945</v>
      </c>
      <c r="T293" s="6" t="str">
        <f>IFERROR(__xludf.DUMMYFUNCTION("""COMPUTED_VALUE"""),"short")</f>
        <v>short</v>
      </c>
      <c r="W293" s="8"/>
      <c r="AF293" s="1" t="s">
        <v>977</v>
      </c>
      <c r="AJ293" s="1" t="s">
        <v>1928</v>
      </c>
      <c r="AM293" s="1" t="s">
        <v>1669</v>
      </c>
    </row>
    <row r="294">
      <c r="A294" s="1" t="s">
        <v>1946</v>
      </c>
      <c r="E294" s="1" t="s">
        <v>369</v>
      </c>
      <c r="F294" s="6" t="str">
        <f>IFERROR(__xludf.DUMMYFUNCTION("""COMPUTED_VALUE"""),"failing")</f>
        <v>failing</v>
      </c>
      <c r="H294" s="1" t="s">
        <v>1369</v>
      </c>
      <c r="I294" s="6" t="str">
        <f>IFERROR(__xludf.DUMMYFUNCTION("""COMPUTED_VALUE"""),"crossover")</f>
        <v>crossover</v>
      </c>
      <c r="K294" s="1" t="s">
        <v>781</v>
      </c>
      <c r="P294" s="1" t="s">
        <v>430</v>
      </c>
      <c r="Q294" s="6" t="str">
        <f>IFERROR(__xludf.DUMMYFUNCTION("""COMPUTED_VALUE"""),"christian")</f>
        <v>christian</v>
      </c>
      <c r="S294" s="1" t="s">
        <v>1947</v>
      </c>
      <c r="T294" s="6" t="str">
        <f>IFERROR(__xludf.DUMMYFUNCTION("""COMPUTED_VALUE"""),"slightest")</f>
        <v>slightest</v>
      </c>
      <c r="W294" s="8"/>
      <c r="AF294" s="1" t="s">
        <v>1948</v>
      </c>
      <c r="AJ294" s="1" t="s">
        <v>1949</v>
      </c>
      <c r="AM294" s="1" t="s">
        <v>173</v>
      </c>
    </row>
    <row r="295">
      <c r="A295" s="1" t="s">
        <v>1626</v>
      </c>
      <c r="E295" s="1" t="s">
        <v>1161</v>
      </c>
      <c r="F295" s="6" t="str">
        <f>IFERROR(__xludf.DUMMYFUNCTION("""COMPUTED_VALUE"""),"thrill")</f>
        <v>thrill</v>
      </c>
      <c r="H295" s="1" t="s">
        <v>1377</v>
      </c>
      <c r="I295" s="6" t="str">
        <f>IFERROR(__xludf.DUMMYFUNCTION("""COMPUTED_VALUE"""),"adventurous")</f>
        <v>adventurous</v>
      </c>
      <c r="K295" s="1" t="s">
        <v>1950</v>
      </c>
      <c r="P295" s="1" t="s">
        <v>1951</v>
      </c>
      <c r="Q295" s="6" t="str">
        <f>IFERROR(__xludf.DUMMYFUNCTION("""COMPUTED_VALUE"""),"leon")</f>
        <v>leon</v>
      </c>
      <c r="S295" s="1" t="s">
        <v>1952</v>
      </c>
      <c r="T295" s="6" t="str">
        <f>IFERROR(__xludf.DUMMYFUNCTION("""COMPUTED_VALUE"""),"videos")</f>
        <v>videos</v>
      </c>
      <c r="W295" s="8"/>
      <c r="AF295" s="1" t="s">
        <v>1953</v>
      </c>
      <c r="AJ295" s="1" t="s">
        <v>168</v>
      </c>
      <c r="AM295" s="1" t="s">
        <v>309</v>
      </c>
    </row>
    <row r="296">
      <c r="A296" s="1" t="s">
        <v>1954</v>
      </c>
      <c r="E296" s="1" t="s">
        <v>1955</v>
      </c>
      <c r="F296" s="6" t="str">
        <f>IFERROR(__xludf.DUMMYFUNCTION("""COMPUTED_VALUE"""),"astonishing")</f>
        <v>astonishing</v>
      </c>
      <c r="H296" s="1" t="s">
        <v>419</v>
      </c>
      <c r="I296" s="6" t="str">
        <f>IFERROR(__xludf.DUMMYFUNCTION("""COMPUTED_VALUE"""),"indian")</f>
        <v>indian</v>
      </c>
      <c r="K296" s="1" t="s">
        <v>1956</v>
      </c>
      <c r="P296" s="1" t="s">
        <v>1957</v>
      </c>
      <c r="Q296" s="6" t="str">
        <f>IFERROR(__xludf.DUMMYFUNCTION("""COMPUTED_VALUE"""),"satirical")</f>
        <v>satirical</v>
      </c>
      <c r="S296" s="1" t="s">
        <v>1958</v>
      </c>
      <c r="T296" s="6" t="str">
        <f>IFERROR(__xludf.DUMMYFUNCTION("""COMPUTED_VALUE"""),"music")</f>
        <v>music</v>
      </c>
      <c r="W296" s="8"/>
      <c r="AF296" s="1" t="s">
        <v>1959</v>
      </c>
      <c r="AJ296" s="1" t="s">
        <v>405</v>
      </c>
      <c r="AM296" s="1" t="s">
        <v>905</v>
      </c>
    </row>
    <row r="297">
      <c r="A297" s="1" t="s">
        <v>1960</v>
      </c>
      <c r="E297" s="1" t="s">
        <v>1961</v>
      </c>
      <c r="F297" s="6" t="str">
        <f>IFERROR(__xludf.DUMMYFUNCTION("""COMPUTED_VALUE"""),"showdown")</f>
        <v>showdown</v>
      </c>
      <c r="H297" s="1" t="s">
        <v>149</v>
      </c>
      <c r="I297" s="6" t="str">
        <f>IFERROR(__xludf.DUMMYFUNCTION("""COMPUTED_VALUE"""),"toward")</f>
        <v>toward</v>
      </c>
      <c r="K297" s="1" t="s">
        <v>1962</v>
      </c>
      <c r="P297" s="1" t="s">
        <v>1963</v>
      </c>
      <c r="Q297" s="6" t="str">
        <f>IFERROR(__xludf.DUMMYFUNCTION("""COMPUTED_VALUE"""),"equivalent")</f>
        <v>equivalent</v>
      </c>
      <c r="S297" s="1" t="s">
        <v>1964</v>
      </c>
      <c r="T297" s="6">
        <f>IFERROR(__xludf.DUMMYFUNCTION("""COMPUTED_VALUE"""),90.0)</f>
        <v>90</v>
      </c>
      <c r="W297" s="8"/>
      <c r="AF297" s="1" t="s">
        <v>1231</v>
      </c>
      <c r="AJ297" s="1" t="s">
        <v>416</v>
      </c>
      <c r="AM297" s="1" t="s">
        <v>913</v>
      </c>
    </row>
    <row r="298">
      <c r="A298" s="1" t="s">
        <v>1965</v>
      </c>
      <c r="E298" s="1" t="s">
        <v>214</v>
      </c>
      <c r="F298" s="6" t="str">
        <f>IFERROR(__xludf.DUMMYFUNCTION("""COMPUTED_VALUE"""),"species")</f>
        <v>species</v>
      </c>
      <c r="H298" s="1" t="s">
        <v>1393</v>
      </c>
      <c r="I298" s="6" t="str">
        <f>IFERROR(__xludf.DUMMYFUNCTION("""COMPUTED_VALUE"""),"admission")</f>
        <v>admission</v>
      </c>
      <c r="K298" s="1" t="s">
        <v>1966</v>
      </c>
      <c r="P298" s="1" t="s">
        <v>1274</v>
      </c>
      <c r="Q298" s="6" t="str">
        <f>IFERROR(__xludf.DUMMYFUNCTION("""COMPUTED_VALUE"""),"magnetic")</f>
        <v>magnetic</v>
      </c>
      <c r="S298" s="1" t="s">
        <v>1967</v>
      </c>
      <c r="T298" s="6" t="str">
        <f>IFERROR(__xludf.DUMMYFUNCTION("""COMPUTED_VALUE"""),"color")</f>
        <v>color</v>
      </c>
      <c r="W298" s="8"/>
      <c r="AF298" s="1" t="s">
        <v>656</v>
      </c>
      <c r="AJ298" s="1" t="s">
        <v>423</v>
      </c>
      <c r="AM298" s="1" t="s">
        <v>1701</v>
      </c>
    </row>
    <row r="299">
      <c r="A299" s="1" t="s">
        <v>1968</v>
      </c>
      <c r="E299" s="1" t="s">
        <v>1969</v>
      </c>
      <c r="F299" s="6" t="str">
        <f>IFERROR(__xludf.DUMMYFUNCTION("""COMPUTED_VALUE"""),"evade")</f>
        <v>evade</v>
      </c>
      <c r="H299" s="1" t="s">
        <v>1400</v>
      </c>
      <c r="I299" s="6" t="str">
        <f>IFERROR(__xludf.DUMMYFUNCTION("""COMPUTED_VALUE"""),"schumacher")</f>
        <v>schumacher</v>
      </c>
      <c r="K299" s="1" t="s">
        <v>1970</v>
      </c>
      <c r="P299" s="1" t="s">
        <v>1971</v>
      </c>
      <c r="Q299" s="6" t="str">
        <f>IFERROR(__xludf.DUMMYFUNCTION("""COMPUTED_VALUE"""),"inherent")</f>
        <v>inherent</v>
      </c>
      <c r="S299" s="1" t="s">
        <v>1972</v>
      </c>
      <c r="T299" s="6" t="str">
        <f>IFERROR(__xludf.DUMMYFUNCTION("""COMPUTED_VALUE"""),"being")</f>
        <v>being</v>
      </c>
      <c r="W299" s="8"/>
      <c r="AF299" s="1" t="s">
        <v>981</v>
      </c>
      <c r="AJ299" s="1" t="s">
        <v>1973</v>
      </c>
      <c r="AM299" s="1" t="s">
        <v>1349</v>
      </c>
    </row>
    <row r="300">
      <c r="A300" s="1" t="s">
        <v>1974</v>
      </c>
      <c r="E300" s="1" t="s">
        <v>1975</v>
      </c>
      <c r="F300" s="6" t="str">
        <f>IFERROR(__xludf.DUMMYFUNCTION("""COMPUTED_VALUE"""),"purely")</f>
        <v>purely</v>
      </c>
      <c r="H300" s="1" t="s">
        <v>1408</v>
      </c>
      <c r="I300" s="6" t="str">
        <f>IFERROR(__xludf.DUMMYFUNCTION("""COMPUTED_VALUE"""),"shallow")</f>
        <v>shallow</v>
      </c>
      <c r="K300" s="1" t="s">
        <v>1976</v>
      </c>
      <c r="P300" s="1" t="s">
        <v>1299</v>
      </c>
      <c r="Q300" s="6" t="str">
        <f>IFERROR(__xludf.DUMMYFUNCTION("""COMPUTED_VALUE"""),"ghosts")</f>
        <v>ghosts</v>
      </c>
      <c r="S300" s="1" t="s">
        <v>1977</v>
      </c>
      <c r="T300" s="6" t="str">
        <f>IFERROR(__xludf.DUMMYFUNCTION("""COMPUTED_VALUE"""),"re")</f>
        <v>re</v>
      </c>
      <c r="W300" s="8"/>
      <c r="AF300" s="1" t="s">
        <v>984</v>
      </c>
      <c r="AJ300" s="1" t="s">
        <v>1978</v>
      </c>
      <c r="AM300" s="1" t="s">
        <v>316</v>
      </c>
    </row>
    <row r="301">
      <c r="A301" s="1" t="s">
        <v>1979</v>
      </c>
      <c r="E301" s="1" t="s">
        <v>1075</v>
      </c>
      <c r="F301" s="6" t="str">
        <f>IFERROR(__xludf.DUMMYFUNCTION("""COMPUTED_VALUE"""),"enjoyable")</f>
        <v>enjoyable</v>
      </c>
      <c r="H301" s="1" t="s">
        <v>1694</v>
      </c>
      <c r="I301" s="6" t="str">
        <f>IFERROR(__xludf.DUMMYFUNCTION("""COMPUTED_VALUE"""),"targeted")</f>
        <v>targeted</v>
      </c>
      <c r="K301" s="1" t="s">
        <v>1980</v>
      </c>
      <c r="P301" s="1" t="s">
        <v>460</v>
      </c>
      <c r="Q301" s="6" t="str">
        <f>IFERROR(__xludf.DUMMYFUNCTION("""COMPUTED_VALUE"""),"suitable")</f>
        <v>suitable</v>
      </c>
      <c r="S301" s="1" t="s">
        <v>330</v>
      </c>
      <c r="T301" s="6" t="str">
        <f>IFERROR(__xludf.DUMMYFUNCTION("""COMPUTED_VALUE"""),"preliminary")</f>
        <v>preliminary</v>
      </c>
      <c r="W301" s="8"/>
      <c r="AF301" s="1" t="s">
        <v>1261</v>
      </c>
      <c r="AJ301" s="1" t="s">
        <v>430</v>
      </c>
      <c r="AM301" s="1" t="s">
        <v>183</v>
      </c>
    </row>
    <row r="302">
      <c r="E302" s="1" t="s">
        <v>1088</v>
      </c>
      <c r="F302" s="6" t="str">
        <f>IFERROR(__xludf.DUMMYFUNCTION("""COMPUTED_VALUE"""),"question")</f>
        <v>question</v>
      </c>
      <c r="H302" s="1" t="s">
        <v>787</v>
      </c>
      <c r="I302" s="6" t="str">
        <f>IFERROR(__xludf.DUMMYFUNCTION("""COMPUTED_VALUE"""),"reflects")</f>
        <v>reflects</v>
      </c>
      <c r="P302" s="1" t="s">
        <v>1981</v>
      </c>
      <c r="Q302" s="6" t="str">
        <f>IFERROR(__xludf.DUMMYFUNCTION("""COMPUTED_VALUE"""),"magic")</f>
        <v>magic</v>
      </c>
      <c r="S302" s="1" t="s">
        <v>1982</v>
      </c>
      <c r="T302" s="6" t="str">
        <f>IFERROR(__xludf.DUMMYFUNCTION("""COMPUTED_VALUE"""),"style")</f>
        <v>style</v>
      </c>
      <c r="W302" s="8"/>
      <c r="AF302" s="1" t="s">
        <v>1983</v>
      </c>
      <c r="AJ302" s="1" t="s">
        <v>1984</v>
      </c>
      <c r="AM302" s="1" t="s">
        <v>932</v>
      </c>
    </row>
    <row r="303">
      <c r="E303" s="1" t="s">
        <v>1198</v>
      </c>
      <c r="F303" s="6" t="str">
        <f>IFERROR(__xludf.DUMMYFUNCTION("""COMPUTED_VALUE"""),"failure")</f>
        <v>failure</v>
      </c>
      <c r="H303" s="1" t="s">
        <v>1418</v>
      </c>
      <c r="I303" s="6" t="str">
        <f>IFERROR(__xludf.DUMMYFUNCTION("""COMPUTED_VALUE"""),"carnage")</f>
        <v>carnage</v>
      </c>
      <c r="P303" s="1" t="s">
        <v>1985</v>
      </c>
      <c r="Q303" s="6" t="str">
        <f>IFERROR(__xludf.DUMMYFUNCTION("""COMPUTED_VALUE"""),"vulgar")</f>
        <v>vulgar</v>
      </c>
      <c r="S303" s="1" t="s">
        <v>800</v>
      </c>
      <c r="T303" s="6" t="str">
        <f>IFERROR(__xludf.DUMMYFUNCTION("""COMPUTED_VALUE"""),"narrative")</f>
        <v>narrative</v>
      </c>
      <c r="W303" s="8"/>
      <c r="AF303" s="1" t="s">
        <v>1267</v>
      </c>
      <c r="AJ303" s="1" t="s">
        <v>1986</v>
      </c>
      <c r="AM303" s="1" t="s">
        <v>937</v>
      </c>
    </row>
    <row r="304">
      <c r="E304" s="1" t="s">
        <v>884</v>
      </c>
      <c r="F304" s="6" t="str">
        <f>IFERROR(__xludf.DUMMYFUNCTION("""COMPUTED_VALUE"""),"suffering")</f>
        <v>suffering</v>
      </c>
      <c r="H304" s="1" t="s">
        <v>1987</v>
      </c>
      <c r="I304" s="6" t="str">
        <f>IFERROR(__xludf.DUMMYFUNCTION("""COMPUTED_VALUE"""),"handheld")</f>
        <v>handheld</v>
      </c>
      <c r="P304" s="1" t="s">
        <v>482</v>
      </c>
      <c r="Q304" s="6" t="str">
        <f>IFERROR(__xludf.DUMMYFUNCTION("""COMPUTED_VALUE"""),"cartoons")</f>
        <v>cartoons</v>
      </c>
      <c r="S304" s="1" t="s">
        <v>1988</v>
      </c>
      <c r="T304" s="6" t="str">
        <f>IFERROR(__xludf.DUMMYFUNCTION("""COMPUTED_VALUE"""),"difficult")</f>
        <v>difficult</v>
      </c>
      <c r="W304" s="8"/>
      <c r="AF304" s="1" t="s">
        <v>989</v>
      </c>
      <c r="AJ304" s="1" t="s">
        <v>1989</v>
      </c>
      <c r="AM304" s="1" t="s">
        <v>1730</v>
      </c>
    </row>
    <row r="305">
      <c r="E305" s="1" t="s">
        <v>395</v>
      </c>
      <c r="F305" s="6" t="str">
        <f>IFERROR(__xludf.DUMMYFUNCTION("""COMPUTED_VALUE"""),"powerful")</f>
        <v>powerful</v>
      </c>
      <c r="H305" s="1" t="s">
        <v>851</v>
      </c>
      <c r="I305" s="6" t="str">
        <f>IFERROR(__xludf.DUMMYFUNCTION("""COMPUTED_VALUE"""),"footage")</f>
        <v>footage</v>
      </c>
      <c r="P305" s="1" t="s">
        <v>1990</v>
      </c>
      <c r="Q305" s="6" t="str">
        <f>IFERROR(__xludf.DUMMYFUNCTION("""COMPUTED_VALUE"""),"transporting")</f>
        <v>transporting</v>
      </c>
      <c r="S305" s="1" t="s">
        <v>1991</v>
      </c>
      <c r="T305" s="6" t="str">
        <f>IFERROR(__xludf.DUMMYFUNCTION("""COMPUTED_VALUE"""),"unpredictable")</f>
        <v>unpredictable</v>
      </c>
      <c r="W305" s="8"/>
      <c r="AF305" s="1" t="s">
        <v>114</v>
      </c>
      <c r="AJ305" s="1" t="s">
        <v>1274</v>
      </c>
      <c r="AM305" s="1" t="s">
        <v>1992</v>
      </c>
    </row>
    <row r="306">
      <c r="E306" s="1" t="s">
        <v>1993</v>
      </c>
      <c r="F306" s="6" t="str">
        <f>IFERROR(__xludf.DUMMYFUNCTION("""COMPUTED_VALUE"""),"cinematography")</f>
        <v>cinematography</v>
      </c>
      <c r="H306" s="1" t="s">
        <v>1430</v>
      </c>
      <c r="I306" s="6" t="str">
        <f>IFERROR(__xludf.DUMMYFUNCTION("""COMPUTED_VALUE"""),"fiddle")</f>
        <v>fiddle</v>
      </c>
      <c r="P306" s="1" t="s">
        <v>518</v>
      </c>
      <c r="Q306" s="6" t="str">
        <f>IFERROR(__xludf.DUMMYFUNCTION("""COMPUTED_VALUE"""),"belongs")</f>
        <v>belongs</v>
      </c>
      <c r="S306" s="1" t="s">
        <v>810</v>
      </c>
      <c r="T306" s="6" t="str">
        <f>IFERROR(__xludf.DUMMYFUNCTION("""COMPUTED_VALUE"""),"running")</f>
        <v>running</v>
      </c>
      <c r="W306" s="8"/>
      <c r="AF306" s="1" t="s">
        <v>1994</v>
      </c>
      <c r="AJ306" s="1" t="s">
        <v>1995</v>
      </c>
      <c r="AM306" s="1" t="s">
        <v>942</v>
      </c>
    </row>
    <row r="307">
      <c r="E307" s="1" t="s">
        <v>406</v>
      </c>
      <c r="F307" s="6" t="str">
        <f>IFERROR(__xludf.DUMMYFUNCTION("""COMPUTED_VALUE"""),"needs")</f>
        <v>needs</v>
      </c>
      <c r="H307" s="1" t="s">
        <v>710</v>
      </c>
      <c r="I307" s="6" t="str">
        <f>IFERROR(__xludf.DUMMYFUNCTION("""COMPUTED_VALUE"""),"folly")</f>
        <v>folly</v>
      </c>
      <c r="P307" s="1" t="s">
        <v>1996</v>
      </c>
      <c r="Q307" s="6" t="str">
        <f>IFERROR(__xludf.DUMMYFUNCTION("""COMPUTED_VALUE"""),"diversion")</f>
        <v>diversion</v>
      </c>
      <c r="S307" s="1" t="s">
        <v>1997</v>
      </c>
      <c r="T307" s="6" t="str">
        <f>IFERROR(__xludf.DUMMYFUNCTION("""COMPUTED_VALUE"""),"spectacle")</f>
        <v>spectacle</v>
      </c>
      <c r="W307" s="8"/>
      <c r="AF307" s="1" t="s">
        <v>1998</v>
      </c>
      <c r="AJ307" s="1">
        <v>1984.0</v>
      </c>
      <c r="AM307" s="1" t="s">
        <v>950</v>
      </c>
    </row>
    <row r="308">
      <c r="E308" s="1" t="s">
        <v>1204</v>
      </c>
      <c r="F308" s="6" t="str">
        <f>IFERROR(__xludf.DUMMYFUNCTION("""COMPUTED_VALUE"""),"making")</f>
        <v>making</v>
      </c>
      <c r="H308" s="1" t="s">
        <v>857</v>
      </c>
      <c r="I308" s="6" t="str">
        <f>IFERROR(__xludf.DUMMYFUNCTION("""COMPUTED_VALUE"""),"nomination")</f>
        <v>nomination</v>
      </c>
      <c r="P308" s="1" t="s">
        <v>1999</v>
      </c>
      <c r="Q308" s="6" t="str">
        <f>IFERROR(__xludf.DUMMYFUNCTION("""COMPUTED_VALUE"""),"opaque")</f>
        <v>opaque</v>
      </c>
      <c r="S308" s="1" t="s">
        <v>1119</v>
      </c>
      <c r="T308" s="6" t="str">
        <f>IFERROR(__xludf.DUMMYFUNCTION("""COMPUTED_VALUE"""),"epic")</f>
        <v>epic</v>
      </c>
      <c r="W308" s="8"/>
      <c r="AF308" s="1" t="s">
        <v>2000</v>
      </c>
      <c r="AJ308" s="1" t="s">
        <v>482</v>
      </c>
      <c r="AM308" s="1" t="s">
        <v>87</v>
      </c>
    </row>
    <row r="309">
      <c r="E309" s="1" t="s">
        <v>2001</v>
      </c>
      <c r="F309" s="6" t="str">
        <f>IFERROR(__xludf.DUMMYFUNCTION("""COMPUTED_VALUE"""),"surreal")</f>
        <v>surreal</v>
      </c>
      <c r="H309" s="1" t="s">
        <v>2002</v>
      </c>
      <c r="I309" s="6" t="str">
        <f>IFERROR(__xludf.DUMMYFUNCTION("""COMPUTED_VALUE"""),"offering")</f>
        <v>offering</v>
      </c>
      <c r="P309" s="1" t="s">
        <v>2003</v>
      </c>
      <c r="Q309" s="6" t="str">
        <f>IFERROR(__xludf.DUMMYFUNCTION("""COMPUTED_VALUE"""),"finest")</f>
        <v>finest</v>
      </c>
      <c r="S309" s="1" t="s">
        <v>816</v>
      </c>
      <c r="T309" s="6" t="str">
        <f>IFERROR(__xludf.DUMMYFUNCTION("""COMPUTED_VALUE"""),"ask")</f>
        <v>ask</v>
      </c>
      <c r="W309" s="8"/>
      <c r="AF309" s="1" t="s">
        <v>1001</v>
      </c>
      <c r="AJ309" s="1" t="s">
        <v>510</v>
      </c>
      <c r="AM309" s="1" t="s">
        <v>962</v>
      </c>
    </row>
    <row r="310">
      <c r="E310" s="1" t="s">
        <v>1209</v>
      </c>
      <c r="F310" s="6" t="str">
        <f>IFERROR(__xludf.DUMMYFUNCTION("""COMPUTED_VALUE"""),"chateau")</f>
        <v>chateau</v>
      </c>
      <c r="H310" s="1" t="s">
        <v>1734</v>
      </c>
      <c r="I310" s="6" t="str">
        <f>IFERROR(__xludf.DUMMYFUNCTION("""COMPUTED_VALUE"""),"oscar")</f>
        <v>oscar</v>
      </c>
      <c r="P310" s="1" t="s">
        <v>2004</v>
      </c>
      <c r="Q310" s="6" t="str">
        <f>IFERROR(__xludf.DUMMYFUNCTION("""COMPUTED_VALUE"""),"reel")</f>
        <v>reel</v>
      </c>
      <c r="S310" s="1" t="s">
        <v>2005</v>
      </c>
      <c r="T310" s="6" t="str">
        <f>IFERROR(__xludf.DUMMYFUNCTION("""COMPUTED_VALUE"""),"conclusions")</f>
        <v>conclusions</v>
      </c>
      <c r="W310" s="8"/>
      <c r="AF310" s="1" t="s">
        <v>1006</v>
      </c>
      <c r="AJ310" s="1" t="s">
        <v>2003</v>
      </c>
      <c r="AM310" s="1" t="s">
        <v>1257</v>
      </c>
    </row>
    <row r="311">
      <c r="E311" s="1" t="s">
        <v>222</v>
      </c>
      <c r="F311" s="6" t="str">
        <f>IFERROR(__xludf.DUMMYFUNCTION("""COMPUTED_VALUE"""),"passion")</f>
        <v>passion</v>
      </c>
      <c r="H311" s="1" t="s">
        <v>875</v>
      </c>
      <c r="I311" s="6" t="str">
        <f>IFERROR(__xludf.DUMMYFUNCTION("""COMPUTED_VALUE"""),"esther")</f>
        <v>esther</v>
      </c>
      <c r="P311" s="1" t="s">
        <v>468</v>
      </c>
      <c r="Q311" s="6" t="str">
        <f>IFERROR(__xludf.DUMMYFUNCTION("""COMPUTED_VALUE"""),"friendship")</f>
        <v>friendship</v>
      </c>
      <c r="S311" s="1" t="s">
        <v>2006</v>
      </c>
      <c r="T311" s="6" t="str">
        <f>IFERROR(__xludf.DUMMYFUNCTION("""COMPUTED_VALUE"""),"dramas")</f>
        <v>dramas</v>
      </c>
      <c r="W311" s="8"/>
      <c r="AF311" s="1" t="s">
        <v>2007</v>
      </c>
      <c r="AJ311" s="1" t="s">
        <v>438</v>
      </c>
      <c r="AM311" s="1" t="s">
        <v>918</v>
      </c>
    </row>
    <row r="312">
      <c r="E312" s="1" t="s">
        <v>2008</v>
      </c>
      <c r="F312" s="6" t="str">
        <f>IFERROR(__xludf.DUMMYFUNCTION("""COMPUTED_VALUE"""),"rendering")</f>
        <v>rendering</v>
      </c>
      <c r="H312" s="1" t="s">
        <v>1442</v>
      </c>
      <c r="I312" s="6" t="str">
        <f>IFERROR(__xludf.DUMMYFUNCTION("""COMPUTED_VALUE"""),"irritating")</f>
        <v>irritating</v>
      </c>
      <c r="P312" s="1" t="s">
        <v>2009</v>
      </c>
      <c r="Q312" s="6" t="str">
        <f>IFERROR(__xludf.DUMMYFUNCTION("""COMPUTED_VALUE"""),"creates")</f>
        <v>creates</v>
      </c>
      <c r="S312" s="1" t="s">
        <v>2010</v>
      </c>
      <c r="T312" s="6" t="str">
        <f>IFERROR(__xludf.DUMMYFUNCTION("""COMPUTED_VALUE"""),"translation")</f>
        <v>translation</v>
      </c>
      <c r="W312" s="8"/>
      <c r="AF312" s="1" t="s">
        <v>2011</v>
      </c>
      <c r="AJ312" s="1" t="s">
        <v>468</v>
      </c>
      <c r="AM312" s="1" t="s">
        <v>333</v>
      </c>
    </row>
    <row r="313">
      <c r="E313" s="1" t="s">
        <v>317</v>
      </c>
      <c r="F313" s="6" t="str">
        <f>IFERROR(__xludf.DUMMYFUNCTION("""COMPUTED_VALUE"""),"dolls")</f>
        <v>dolls</v>
      </c>
      <c r="H313" s="1" t="s">
        <v>868</v>
      </c>
      <c r="I313" s="6" t="str">
        <f>IFERROR(__xludf.DUMMYFUNCTION("""COMPUTED_VALUE"""),"exercise")</f>
        <v>exercise</v>
      </c>
      <c r="P313" s="1" t="s">
        <v>2012</v>
      </c>
      <c r="Q313" s="6" t="str">
        <f>IFERROR(__xludf.DUMMYFUNCTION("""COMPUTED_VALUE"""),"sham")</f>
        <v>sham</v>
      </c>
      <c r="S313" s="1" t="s">
        <v>2013</v>
      </c>
      <c r="T313" s="6" t="str">
        <f>IFERROR(__xludf.DUMMYFUNCTION("""COMPUTED_VALUE"""),"forces")</f>
        <v>forces</v>
      </c>
      <c r="W313" s="8"/>
      <c r="AF313" s="1" t="s">
        <v>1013</v>
      </c>
      <c r="AJ313" s="1" t="s">
        <v>845</v>
      </c>
      <c r="AM313" s="1" t="s">
        <v>2014</v>
      </c>
    </row>
    <row r="314">
      <c r="E314" s="1" t="s">
        <v>2015</v>
      </c>
      <c r="F314" s="6" t="str">
        <f>IFERROR(__xludf.DUMMYFUNCTION("""COMPUTED_VALUE"""),"man")</f>
        <v>man</v>
      </c>
      <c r="H314" s="1" t="s">
        <v>802</v>
      </c>
      <c r="I314" s="6" t="str">
        <f>IFERROR(__xludf.DUMMYFUNCTION("""COMPUTED_VALUE"""),"halfway")</f>
        <v>halfway</v>
      </c>
      <c r="P314" s="1" t="s">
        <v>2016</v>
      </c>
      <c r="Q314" s="6" t="str">
        <f>IFERROR(__xludf.DUMMYFUNCTION("""COMPUTED_VALUE"""),"hurley")</f>
        <v>hurley</v>
      </c>
      <c r="S314" s="1" t="s">
        <v>823</v>
      </c>
      <c r="T314" s="6" t="str">
        <f>IFERROR(__xludf.DUMMYFUNCTION("""COMPUTED_VALUE"""),"speak")</f>
        <v>speak</v>
      </c>
      <c r="W314" s="8"/>
      <c r="AF314" s="1" t="s">
        <v>2017</v>
      </c>
      <c r="AJ314" s="1" t="s">
        <v>2018</v>
      </c>
      <c r="AM314" s="1" t="s">
        <v>1770</v>
      </c>
    </row>
    <row r="315">
      <c r="E315" s="1" t="s">
        <v>424</v>
      </c>
      <c r="F315" s="6" t="str">
        <f>IFERROR(__xludf.DUMMYFUNCTION("""COMPUTED_VALUE"""),"nonstop")</f>
        <v>nonstop</v>
      </c>
      <c r="H315" s="1" t="s">
        <v>812</v>
      </c>
      <c r="I315" s="6" t="str">
        <f>IFERROR(__xludf.DUMMYFUNCTION("""COMPUTED_VALUE"""),"grips")</f>
        <v>grips</v>
      </c>
      <c r="P315" s="1" t="s">
        <v>2019</v>
      </c>
      <c r="Q315" s="6" t="str">
        <f>IFERROR(__xludf.DUMMYFUNCTION("""COMPUTED_VALUE"""),"misses")</f>
        <v>misses</v>
      </c>
      <c r="S315" s="1" t="s">
        <v>2020</v>
      </c>
      <c r="T315" s="6" t="str">
        <f>IFERROR(__xludf.DUMMYFUNCTION("""COMPUTED_VALUE"""),"while")</f>
        <v>while</v>
      </c>
      <c r="W315" s="8"/>
      <c r="AF315" s="1" t="s">
        <v>2021</v>
      </c>
      <c r="AJ315" s="1" t="s">
        <v>2022</v>
      </c>
      <c r="AM315" s="1" t="s">
        <v>2023</v>
      </c>
    </row>
    <row r="316">
      <c r="E316" s="1" t="s">
        <v>1129</v>
      </c>
      <c r="F316" s="6" t="str">
        <f>IFERROR(__xludf.DUMMYFUNCTION("""COMPUTED_VALUE"""),"partisans")</f>
        <v>partisans</v>
      </c>
      <c r="H316" s="1" t="s">
        <v>1460</v>
      </c>
      <c r="I316" s="6" t="str">
        <f>IFERROR(__xludf.DUMMYFUNCTION("""COMPUTED_VALUE"""),"fascinating")</f>
        <v>fascinating</v>
      </c>
      <c r="P316" s="1" t="s">
        <v>800</v>
      </c>
      <c r="Q316" s="6" t="str">
        <f>IFERROR(__xludf.DUMMYFUNCTION("""COMPUTED_VALUE"""),"employs")</f>
        <v>employs</v>
      </c>
      <c r="S316" s="1" t="s">
        <v>2024</v>
      </c>
      <c r="T316" s="6" t="str">
        <f>IFERROR(__xludf.DUMMYFUNCTION("""COMPUTED_VALUE"""),"enables")</f>
        <v>enables</v>
      </c>
      <c r="W316" s="8"/>
      <c r="AF316" s="1" t="s">
        <v>2025</v>
      </c>
      <c r="AJ316" s="1" t="s">
        <v>2016</v>
      </c>
      <c r="AM316" s="1" t="s">
        <v>822</v>
      </c>
    </row>
    <row r="317">
      <c r="E317" s="1" t="s">
        <v>936</v>
      </c>
      <c r="F317" s="6" t="str">
        <f>IFERROR(__xludf.DUMMYFUNCTION("""COMPUTED_VALUE"""),"torture")</f>
        <v>torture</v>
      </c>
      <c r="H317" s="1" t="s">
        <v>807</v>
      </c>
      <c r="I317" s="6" t="str">
        <f>IFERROR(__xludf.DUMMYFUNCTION("""COMPUTED_VALUE"""),"martial")</f>
        <v>martial</v>
      </c>
      <c r="P317" s="1" t="s">
        <v>2026</v>
      </c>
      <c r="Q317" s="6" t="str">
        <f>IFERROR(__xludf.DUMMYFUNCTION("""COMPUTED_VALUE"""),"strangely")</f>
        <v>strangely</v>
      </c>
      <c r="S317" s="1" t="s">
        <v>2027</v>
      </c>
      <c r="T317" s="6" t="str">
        <f>IFERROR(__xludf.DUMMYFUNCTION("""COMPUTED_VALUE"""),"considerable")</f>
        <v>considerable</v>
      </c>
      <c r="W317" s="8"/>
      <c r="AF317" s="1" t="s">
        <v>2028</v>
      </c>
      <c r="AJ317" s="1" t="s">
        <v>448</v>
      </c>
      <c r="AM317" s="1" t="s">
        <v>1020</v>
      </c>
    </row>
    <row r="318">
      <c r="E318" s="1" t="s">
        <v>1498</v>
      </c>
      <c r="F318" s="6" t="str">
        <f>IFERROR(__xludf.DUMMYFUNCTION("""COMPUTED_VALUE"""),"argentine")</f>
        <v>argentine</v>
      </c>
      <c r="H318" s="1" t="s">
        <v>1469</v>
      </c>
      <c r="I318" s="6" t="str">
        <f>IFERROR(__xludf.DUMMYFUNCTION("""COMPUTED_VALUE"""),"rhythms")</f>
        <v>rhythms</v>
      </c>
      <c r="P318" s="1" t="s">
        <v>2029</v>
      </c>
      <c r="Q318" s="6" t="str">
        <f>IFERROR(__xludf.DUMMYFUNCTION("""COMPUTED_VALUE"""),"cheat")</f>
        <v>cheat</v>
      </c>
      <c r="S318" s="1" t="s">
        <v>2030</v>
      </c>
      <c r="T318" s="6" t="str">
        <f>IFERROR(__xludf.DUMMYFUNCTION("""COMPUTED_VALUE"""),"flat")</f>
        <v>flat</v>
      </c>
      <c r="W318" s="8"/>
      <c r="AF318" s="1" t="s">
        <v>1023</v>
      </c>
      <c r="AJ318" s="1" t="s">
        <v>534</v>
      </c>
      <c r="AM318" s="1" t="s">
        <v>1775</v>
      </c>
    </row>
    <row r="319">
      <c r="E319" s="1" t="s">
        <v>1141</v>
      </c>
      <c r="F319" s="6" t="str">
        <f>IFERROR(__xludf.DUMMYFUNCTION("""COMPUTED_VALUE"""),"celebrates")</f>
        <v>celebrates</v>
      </c>
      <c r="H319" s="1" t="s">
        <v>1474</v>
      </c>
      <c r="I319" s="6" t="str">
        <f>IFERROR(__xludf.DUMMYFUNCTION("""COMPUTED_VALUE"""),"stream")</f>
        <v>stream</v>
      </c>
      <c r="P319" s="1" t="s">
        <v>534</v>
      </c>
      <c r="Q319" s="6" t="str">
        <f>IFERROR(__xludf.DUMMYFUNCTION("""COMPUTED_VALUE"""),"hopkins")</f>
        <v>hopkins</v>
      </c>
      <c r="S319" s="1" t="s">
        <v>2031</v>
      </c>
      <c r="T319" s="6" t="str">
        <f>IFERROR(__xludf.DUMMYFUNCTION("""COMPUTED_VALUE"""),"bold")</f>
        <v>bold</v>
      </c>
      <c r="W319" s="8"/>
      <c r="AF319" s="1" t="s">
        <v>2032</v>
      </c>
      <c r="AJ319" s="1" t="s">
        <v>456</v>
      </c>
      <c r="AM319" s="1" t="s">
        <v>1786</v>
      </c>
    </row>
    <row r="320">
      <c r="E320" s="1" t="s">
        <v>116</v>
      </c>
      <c r="F320" s="6" t="str">
        <f>IFERROR(__xludf.DUMMYFUNCTION("""COMPUTED_VALUE"""),"white")</f>
        <v>white</v>
      </c>
      <c r="H320" s="1" t="s">
        <v>890</v>
      </c>
      <c r="I320" s="6" t="str">
        <f>IFERROR(__xludf.DUMMYFUNCTION("""COMPUTED_VALUE"""),"manufactured")</f>
        <v>manufactured</v>
      </c>
      <c r="P320" s="1" t="s">
        <v>814</v>
      </c>
      <c r="Q320" s="6" t="str">
        <f>IFERROR(__xludf.DUMMYFUNCTION("""COMPUTED_VALUE"""),"establishes")</f>
        <v>establishes</v>
      </c>
      <c r="S320" s="1" t="s">
        <v>837</v>
      </c>
      <c r="T320" s="6" t="str">
        <f>IFERROR(__xludf.DUMMYFUNCTION("""COMPUTED_VALUE"""),"effects")</f>
        <v>effects</v>
      </c>
      <c r="W320" s="8"/>
      <c r="AF320" s="1" t="s">
        <v>2033</v>
      </c>
      <c r="AJ320" s="1" t="s">
        <v>2034</v>
      </c>
      <c r="AM320" s="1" t="s">
        <v>1793</v>
      </c>
    </row>
    <row r="321">
      <c r="E321" s="1" t="s">
        <v>431</v>
      </c>
      <c r="F321" s="6" t="str">
        <f>IFERROR(__xludf.DUMMYFUNCTION("""COMPUTED_VALUE"""),"vulnerable")</f>
        <v>vulnerable</v>
      </c>
      <c r="H321" s="1" t="s">
        <v>1489</v>
      </c>
      <c r="I321" s="6" t="str">
        <f>IFERROR(__xludf.DUMMYFUNCTION("""COMPUTED_VALUE"""),"credibility")</f>
        <v>credibility</v>
      </c>
      <c r="P321" s="1" t="s">
        <v>2035</v>
      </c>
      <c r="Q321" s="6" t="str">
        <f>IFERROR(__xludf.DUMMYFUNCTION("""COMPUTED_VALUE"""),"teacher")</f>
        <v>teacher</v>
      </c>
      <c r="S321" s="1" t="s">
        <v>843</v>
      </c>
      <c r="T321" s="6" t="str">
        <f>IFERROR(__xludf.DUMMYFUNCTION("""COMPUTED_VALUE"""),"thing")</f>
        <v>thing</v>
      </c>
      <c r="W321" s="8"/>
      <c r="AF321" s="1" t="s">
        <v>2036</v>
      </c>
      <c r="AJ321" s="1" t="s">
        <v>178</v>
      </c>
      <c r="AM321" s="1" t="s">
        <v>2037</v>
      </c>
    </row>
    <row r="322">
      <c r="E322" s="1" t="s">
        <v>2038</v>
      </c>
      <c r="F322" s="6" t="str">
        <f>IFERROR(__xludf.DUMMYFUNCTION("""COMPUTED_VALUE"""),"watts")</f>
        <v>watts</v>
      </c>
      <c r="H322" s="1" t="s">
        <v>1492</v>
      </c>
      <c r="I322" s="6" t="str">
        <f>IFERROR(__xludf.DUMMYFUNCTION("""COMPUTED_VALUE"""),"actresses")</f>
        <v>actresses</v>
      </c>
      <c r="P322" s="1" t="s">
        <v>456</v>
      </c>
      <c r="Q322" s="6" t="str">
        <f>IFERROR(__xludf.DUMMYFUNCTION("""COMPUTED_VALUE"""),"plotting")</f>
        <v>plotting</v>
      </c>
      <c r="S322" s="1" t="s">
        <v>2039</v>
      </c>
      <c r="T322" s="6" t="str">
        <f>IFERROR(__xludf.DUMMYFUNCTION("""COMPUTED_VALUE"""),"flashes")</f>
        <v>flashes</v>
      </c>
      <c r="W322" s="8"/>
      <c r="AF322" s="1" t="s">
        <v>781</v>
      </c>
      <c r="AJ322" s="1" t="s">
        <v>2040</v>
      </c>
      <c r="AM322" s="1" t="s">
        <v>2041</v>
      </c>
    </row>
    <row r="323">
      <c r="E323" s="1" t="s">
        <v>1238</v>
      </c>
      <c r="F323" s="6" t="str">
        <f>IFERROR(__xludf.DUMMYFUNCTION("""COMPUTED_VALUE"""),"isolation")</f>
        <v>isolation</v>
      </c>
      <c r="H323" s="1" t="s">
        <v>818</v>
      </c>
      <c r="I323" s="6" t="str">
        <f>IFERROR(__xludf.DUMMYFUNCTION("""COMPUTED_VALUE"""),"nicely")</f>
        <v>nicely</v>
      </c>
      <c r="P323" s="1" t="s">
        <v>2034</v>
      </c>
      <c r="Q323" s="6" t="str">
        <f>IFERROR(__xludf.DUMMYFUNCTION("""COMPUTED_VALUE"""),"reduces")</f>
        <v>reduces</v>
      </c>
      <c r="S323" s="1" t="s">
        <v>2042</v>
      </c>
      <c r="T323" s="6" t="str">
        <f>IFERROR(__xludf.DUMMYFUNCTION("""COMPUTED_VALUE"""),"sibling")</f>
        <v>sibling</v>
      </c>
      <c r="W323" s="8"/>
      <c r="AF323" s="1" t="s">
        <v>2043</v>
      </c>
      <c r="AJ323" s="1" t="s">
        <v>860</v>
      </c>
      <c r="AM323" s="1" t="s">
        <v>972</v>
      </c>
    </row>
    <row r="324">
      <c r="E324" s="1" t="s">
        <v>2044</v>
      </c>
      <c r="F324" s="6" t="str">
        <f>IFERROR(__xludf.DUMMYFUNCTION("""COMPUTED_VALUE"""),"plight")</f>
        <v>plight</v>
      </c>
      <c r="H324" s="1" t="s">
        <v>1438</v>
      </c>
      <c r="I324" s="6" t="str">
        <f>IFERROR(__xludf.DUMMYFUNCTION("""COMPUTED_VALUE"""),"take")</f>
        <v>take</v>
      </c>
      <c r="P324" s="1" t="s">
        <v>178</v>
      </c>
      <c r="Q324" s="6" t="str">
        <f>IFERROR(__xludf.DUMMYFUNCTION("""COMPUTED_VALUE"""),"painfully")</f>
        <v>painfully</v>
      </c>
      <c r="S324" s="1" t="s">
        <v>2045</v>
      </c>
      <c r="T324" s="6" t="str">
        <f>IFERROR(__xludf.DUMMYFUNCTION("""COMPUTED_VALUE"""),"warmth")</f>
        <v>warmth</v>
      </c>
      <c r="W324" s="8"/>
      <c r="AF324" s="1" t="s">
        <v>1028</v>
      </c>
      <c r="AJ324" s="1" t="s">
        <v>543</v>
      </c>
      <c r="AM324" s="1" t="s">
        <v>267</v>
      </c>
    </row>
    <row r="325">
      <c r="E325" s="1" t="s">
        <v>439</v>
      </c>
      <c r="F325" s="6" t="str">
        <f>IFERROR(__xludf.DUMMYFUNCTION("""COMPUTED_VALUE"""),"darling")</f>
        <v>darling</v>
      </c>
      <c r="H325" s="1" t="s">
        <v>1511</v>
      </c>
      <c r="I325" s="6" t="str">
        <f>IFERROR(__xludf.DUMMYFUNCTION("""COMPUTED_VALUE"""),"quentin")</f>
        <v>quentin</v>
      </c>
      <c r="P325" s="1" t="s">
        <v>2046</v>
      </c>
      <c r="Q325" s="6" t="str">
        <f>IFERROR(__xludf.DUMMYFUNCTION("""COMPUTED_VALUE"""),"unlikely")</f>
        <v>unlikely</v>
      </c>
      <c r="S325" s="1" t="s">
        <v>877</v>
      </c>
      <c r="T325" s="6" t="str">
        <f>IFERROR(__xludf.DUMMYFUNCTION("""COMPUTED_VALUE"""),"humor")</f>
        <v>humor</v>
      </c>
      <c r="W325" s="8"/>
      <c r="AF325" s="1" t="s">
        <v>758</v>
      </c>
      <c r="AJ325" s="1" t="s">
        <v>2047</v>
      </c>
      <c r="AM325" s="1" t="s">
        <v>1121</v>
      </c>
    </row>
    <row r="326">
      <c r="E326" s="1" t="s">
        <v>945</v>
      </c>
      <c r="F326" s="6" t="str">
        <f>IFERROR(__xludf.DUMMYFUNCTION("""COMPUTED_VALUE"""),"violence")</f>
        <v>violence</v>
      </c>
      <c r="H326" s="1" t="s">
        <v>1517</v>
      </c>
      <c r="I326" s="6" t="str">
        <f>IFERROR(__xludf.DUMMYFUNCTION("""COMPUTED_VALUE"""),"desperately")</f>
        <v>desperately</v>
      </c>
      <c r="P326" s="1" t="s">
        <v>543</v>
      </c>
      <c r="Q326" s="6" t="str">
        <f>IFERROR(__xludf.DUMMYFUNCTION("""COMPUTED_VALUE"""),"obstacles")</f>
        <v>obstacles</v>
      </c>
      <c r="S326" s="1" t="s">
        <v>443</v>
      </c>
      <c r="T326" s="6" t="str">
        <f>IFERROR(__xludf.DUMMYFUNCTION("""COMPUTED_VALUE"""),"gentle")</f>
        <v>gentle</v>
      </c>
      <c r="W326" s="8"/>
      <c r="AF326" s="1" t="s">
        <v>1323</v>
      </c>
      <c r="AJ326" s="1" t="s">
        <v>2048</v>
      </c>
      <c r="AM326" s="1" t="s">
        <v>1818</v>
      </c>
    </row>
    <row r="327">
      <c r="E327" s="1" t="s">
        <v>2049</v>
      </c>
      <c r="F327" s="6" t="str">
        <f>IFERROR(__xludf.DUMMYFUNCTION("""COMPUTED_VALUE"""),"force")</f>
        <v>force</v>
      </c>
      <c r="H327" s="1" t="s">
        <v>646</v>
      </c>
      <c r="I327" s="6" t="str">
        <f>IFERROR(__xludf.DUMMYFUNCTION("""COMPUTED_VALUE"""),"grow")</f>
        <v>grow</v>
      </c>
      <c r="P327" s="1" t="s">
        <v>2050</v>
      </c>
      <c r="Q327" s="6" t="str">
        <f>IFERROR(__xludf.DUMMYFUNCTION("""COMPUTED_VALUE"""),"centuries")</f>
        <v>centuries</v>
      </c>
      <c r="S327" s="1" t="s">
        <v>869</v>
      </c>
      <c r="T327" s="6" t="str">
        <f>IFERROR(__xludf.DUMMYFUNCTION("""COMPUTED_VALUE"""),"script")</f>
        <v>script</v>
      </c>
      <c r="W327" s="8"/>
      <c r="AF327" s="1" t="s">
        <v>1328</v>
      </c>
      <c r="AJ327" s="1" t="s">
        <v>2051</v>
      </c>
      <c r="AM327" s="1" t="s">
        <v>1045</v>
      </c>
    </row>
    <row r="328">
      <c r="E328" s="1" t="s">
        <v>1195</v>
      </c>
      <c r="F328" s="6" t="str">
        <f>IFERROR(__xludf.DUMMYFUNCTION("""COMPUTED_VALUE"""),"thriller")</f>
        <v>thriller</v>
      </c>
      <c r="H328" s="1" t="s">
        <v>2052</v>
      </c>
      <c r="I328" s="6" t="str">
        <f>IFERROR(__xludf.DUMMYFUNCTION("""COMPUTED_VALUE"""),"well")</f>
        <v>well</v>
      </c>
      <c r="P328" s="1" t="s">
        <v>2053</v>
      </c>
      <c r="Q328" s="6" t="str">
        <f>IFERROR(__xludf.DUMMYFUNCTION("""COMPUTED_VALUE"""),"inspiring")</f>
        <v>inspiring</v>
      </c>
      <c r="S328" s="1" t="s">
        <v>853</v>
      </c>
      <c r="T328" s="6" t="str">
        <f>IFERROR(__xludf.DUMMYFUNCTION("""COMPUTED_VALUE"""),"sensitive")</f>
        <v>sensitive</v>
      </c>
      <c r="W328" s="8"/>
      <c r="AF328" s="1">
        <v>1899.0</v>
      </c>
      <c r="AJ328" s="1" t="s">
        <v>551</v>
      </c>
      <c r="AM328" s="1" t="s">
        <v>2054</v>
      </c>
    </row>
    <row r="329">
      <c r="E329" s="1" t="s">
        <v>1248</v>
      </c>
      <c r="F329" s="6" t="str">
        <f>IFERROR(__xludf.DUMMYFUNCTION("""COMPUTED_VALUE"""),"maternal")</f>
        <v>maternal</v>
      </c>
      <c r="H329" s="1" t="s">
        <v>2055</v>
      </c>
      <c r="I329" s="6" t="str">
        <f>IFERROR(__xludf.DUMMYFUNCTION("""COMPUTED_VALUE"""),"hugh")</f>
        <v>hugh</v>
      </c>
      <c r="P329" s="1" t="s">
        <v>464</v>
      </c>
      <c r="Q329" s="6" t="str">
        <f>IFERROR(__xludf.DUMMYFUNCTION("""COMPUTED_VALUE"""),"consequences")</f>
        <v>consequences</v>
      </c>
      <c r="S329" s="1" t="s">
        <v>2056</v>
      </c>
      <c r="T329" s="6" t="str">
        <f>IFERROR(__xludf.DUMMYFUNCTION("""COMPUTED_VALUE"""),"working")</f>
        <v>working</v>
      </c>
      <c r="W329" s="8"/>
      <c r="AF329" s="1" t="s">
        <v>2057</v>
      </c>
      <c r="AJ329" s="1" t="s">
        <v>464</v>
      </c>
      <c r="AM329" s="1" t="s">
        <v>219</v>
      </c>
    </row>
    <row r="330">
      <c r="E330" s="1" t="s">
        <v>2058</v>
      </c>
      <c r="F330" s="6" t="str">
        <f>IFERROR(__xludf.DUMMYFUNCTION("""COMPUTED_VALUE"""),"fury")</f>
        <v>fury</v>
      </c>
      <c r="H330" s="1" t="s">
        <v>2059</v>
      </c>
      <c r="I330" s="6" t="str">
        <f>IFERROR(__xludf.DUMMYFUNCTION("""COMPUTED_VALUE"""),"grant")</f>
        <v>grant</v>
      </c>
      <c r="P330" s="1" t="s">
        <v>2060</v>
      </c>
      <c r="Q330" s="6" t="str">
        <f>IFERROR(__xludf.DUMMYFUNCTION("""COMPUTED_VALUE"""),"chuckle")</f>
        <v>chuckle</v>
      </c>
      <c r="S330" s="1" t="s">
        <v>863</v>
      </c>
      <c r="T330" s="6" t="str">
        <f>IFERROR(__xludf.DUMMYFUNCTION("""COMPUTED_VALUE"""),"credits")</f>
        <v>credits</v>
      </c>
      <c r="W330" s="8"/>
      <c r="AF330" s="1" t="s">
        <v>1033</v>
      </c>
      <c r="AJ330" s="1" t="s">
        <v>2061</v>
      </c>
      <c r="AM330" s="1" t="s">
        <v>344</v>
      </c>
    </row>
    <row r="331">
      <c r="E331" s="1" t="s">
        <v>2062</v>
      </c>
      <c r="F331" s="6" t="str">
        <f>IFERROR(__xludf.DUMMYFUNCTION("""COMPUTED_VALUE"""),"wooden")</f>
        <v>wooden</v>
      </c>
      <c r="H331" s="1" t="s">
        <v>1524</v>
      </c>
      <c r="I331" s="6" t="str">
        <f>IFERROR(__xludf.DUMMYFUNCTION("""COMPUTED_VALUE"""),"stay")</f>
        <v>stay</v>
      </c>
      <c r="P331" s="1" t="s">
        <v>1032</v>
      </c>
      <c r="Q331" s="6" t="str">
        <f>IFERROR(__xludf.DUMMYFUNCTION("""COMPUTED_VALUE"""),"maneuvers")</f>
        <v>maneuvers</v>
      </c>
      <c r="S331" s="1" t="s">
        <v>2063</v>
      </c>
      <c r="T331" s="6" t="str">
        <f>IFERROR(__xludf.DUMMYFUNCTION("""COMPUTED_VALUE"""),"ride")</f>
        <v>ride</v>
      </c>
      <c r="W331" s="8"/>
      <c r="AF331" s="1" t="s">
        <v>1040</v>
      </c>
      <c r="AJ331" s="1" t="s">
        <v>871</v>
      </c>
      <c r="AM331" s="1" t="s">
        <v>599</v>
      </c>
    </row>
    <row r="332">
      <c r="E332" s="1" t="s">
        <v>2064</v>
      </c>
      <c r="F332" s="6" t="str">
        <f>IFERROR(__xludf.DUMMYFUNCTION("""COMPUTED_VALUE"""),"risks")</f>
        <v>risks</v>
      </c>
      <c r="H332" s="1" t="s">
        <v>257</v>
      </c>
      <c r="I332" s="6" t="str">
        <f>IFERROR(__xludf.DUMMYFUNCTION("""COMPUTED_VALUE"""),"insight")</f>
        <v>insight</v>
      </c>
      <c r="P332" s="1" t="s">
        <v>2065</v>
      </c>
      <c r="Q332" s="6" t="str">
        <f>IFERROR(__xludf.DUMMYFUNCTION("""COMPUTED_VALUE"""),"twists")</f>
        <v>twists</v>
      </c>
      <c r="S332" s="1" t="s">
        <v>2066</v>
      </c>
      <c r="T332" s="6" t="str">
        <f>IFERROR(__xludf.DUMMYFUNCTION("""COMPUTED_VALUE"""),"pacing")</f>
        <v>pacing</v>
      </c>
      <c r="W332" s="8"/>
      <c r="AF332" s="1" t="s">
        <v>1047</v>
      </c>
      <c r="AJ332" s="1" t="s">
        <v>2060</v>
      </c>
      <c r="AM332" s="1" t="s">
        <v>1838</v>
      </c>
    </row>
    <row r="333">
      <c r="E333" s="1" t="s">
        <v>449</v>
      </c>
      <c r="F333" s="6" t="str">
        <f>IFERROR(__xludf.DUMMYFUNCTION("""COMPUTED_VALUE"""),"progresses")</f>
        <v>progresses</v>
      </c>
      <c r="H333" s="1" t="s">
        <v>1538</v>
      </c>
      <c r="I333" s="6" t="str">
        <f>IFERROR(__xludf.DUMMYFUNCTION("""COMPUTED_VALUE"""),"genuine")</f>
        <v>genuine</v>
      </c>
      <c r="P333" s="1" t="s">
        <v>878</v>
      </c>
      <c r="Q333" s="6" t="str">
        <f>IFERROR(__xludf.DUMMYFUNCTION("""COMPUTED_VALUE"""),"dazzling")</f>
        <v>dazzling</v>
      </c>
      <c r="S333" s="1">
        <v>1998.0</v>
      </c>
      <c r="T333" s="6" t="str">
        <f>IFERROR(__xludf.DUMMYFUNCTION("""COMPUTED_VALUE"""),"exposure")</f>
        <v>exposure</v>
      </c>
      <c r="W333" s="8"/>
      <c r="AF333" s="1" t="s">
        <v>2067</v>
      </c>
      <c r="AJ333" s="1" t="s">
        <v>2068</v>
      </c>
      <c r="AM333" s="1" t="s">
        <v>2069</v>
      </c>
    </row>
    <row r="334">
      <c r="E334" s="1" t="s">
        <v>1207</v>
      </c>
      <c r="F334" s="6" t="str">
        <f>IFERROR(__xludf.DUMMYFUNCTION("""COMPUTED_VALUE"""),"strongest")</f>
        <v>strongest</v>
      </c>
      <c r="H334" s="1" t="s">
        <v>1545</v>
      </c>
      <c r="I334" s="6" t="str">
        <f>IFERROR(__xludf.DUMMYFUNCTION("""COMPUTED_VALUE"""),"brown")</f>
        <v>brown</v>
      </c>
      <c r="P334" s="1" t="s">
        <v>2070</v>
      </c>
      <c r="Q334" s="6" t="str">
        <f>IFERROR(__xludf.DUMMYFUNCTION("""COMPUTED_VALUE"""),"technology")</f>
        <v>technology</v>
      </c>
      <c r="S334" s="1" t="s">
        <v>885</v>
      </c>
      <c r="T334" s="6" t="str">
        <f>IFERROR(__xludf.DUMMYFUNCTION("""COMPUTED_VALUE"""),"affair")</f>
        <v>affair</v>
      </c>
      <c r="W334" s="8"/>
      <c r="AF334" s="1" t="s">
        <v>2071</v>
      </c>
      <c r="AJ334" s="1" t="s">
        <v>2072</v>
      </c>
      <c r="AM334" s="1" t="s">
        <v>2073</v>
      </c>
    </row>
    <row r="335">
      <c r="E335" s="1" t="s">
        <v>2074</v>
      </c>
      <c r="F335" s="6" t="str">
        <f>IFERROR(__xludf.DUMMYFUNCTION("""COMPUTED_VALUE"""),"dover")</f>
        <v>dover</v>
      </c>
      <c r="H335" s="1" t="s">
        <v>250</v>
      </c>
      <c r="I335" s="6" t="str">
        <f>IFERROR(__xludf.DUMMYFUNCTION("""COMPUTED_VALUE"""),"celebration")</f>
        <v>celebration</v>
      </c>
      <c r="P335" s="1" t="s">
        <v>2075</v>
      </c>
      <c r="Q335" s="6" t="str">
        <f>IFERROR(__xludf.DUMMYFUNCTION("""COMPUTED_VALUE"""),"inspirational")</f>
        <v>inspirational</v>
      </c>
      <c r="S335" s="1" t="s">
        <v>2076</v>
      </c>
      <c r="T335" s="6" t="str">
        <f>IFERROR(__xludf.DUMMYFUNCTION("""COMPUTED_VALUE"""),"feels")</f>
        <v>feels</v>
      </c>
      <c r="W335" s="8"/>
      <c r="AF335" s="1" t="s">
        <v>2077</v>
      </c>
      <c r="AJ335" s="1" t="s">
        <v>2078</v>
      </c>
      <c r="AM335" s="1" t="s">
        <v>1060</v>
      </c>
    </row>
    <row r="336">
      <c r="E336" s="1" t="s">
        <v>2079</v>
      </c>
      <c r="F336" s="6" t="str">
        <f>IFERROR(__xludf.DUMMYFUNCTION("""COMPUTED_VALUE"""),"potent")</f>
        <v>potent</v>
      </c>
      <c r="H336" s="1" t="s">
        <v>241</v>
      </c>
      <c r="I336" s="6" t="str">
        <f>IFERROR(__xludf.DUMMYFUNCTION("""COMPUTED_VALUE"""),"warm")</f>
        <v>warm</v>
      </c>
      <c r="P336" s="1" t="s">
        <v>29</v>
      </c>
      <c r="Q336" s="6" t="str">
        <f>IFERROR(__xludf.DUMMYFUNCTION("""COMPUTED_VALUE"""),"status")</f>
        <v>status</v>
      </c>
      <c r="S336" s="1" t="s">
        <v>2080</v>
      </c>
      <c r="T336" s="6" t="str">
        <f>IFERROR(__xludf.DUMMYFUNCTION("""COMPUTED_VALUE"""),"before")</f>
        <v>before</v>
      </c>
      <c r="W336" s="8"/>
      <c r="AF336" s="1" t="s">
        <v>1051</v>
      </c>
      <c r="AJ336" s="1" t="s">
        <v>2081</v>
      </c>
      <c r="AM336" s="1" t="s">
        <v>192</v>
      </c>
    </row>
    <row r="337">
      <c r="E337" s="1" t="s">
        <v>1211</v>
      </c>
      <c r="F337" s="6" t="str">
        <f>IFERROR(__xludf.DUMMYFUNCTION("""COMPUTED_VALUE"""),"seeks")</f>
        <v>seeks</v>
      </c>
      <c r="H337" s="1" t="s">
        <v>1564</v>
      </c>
      <c r="I337" s="6" t="str">
        <f>IFERROR(__xludf.DUMMYFUNCTION("""COMPUTED_VALUE"""),"metaphor")</f>
        <v>metaphor</v>
      </c>
      <c r="P337" s="1" t="s">
        <v>2082</v>
      </c>
      <c r="Q337" s="6" t="str">
        <f>IFERROR(__xludf.DUMMYFUNCTION("""COMPUTED_VALUE"""),"jerking")</f>
        <v>jerking</v>
      </c>
      <c r="S337" s="1" t="s">
        <v>2083</v>
      </c>
      <c r="T337" s="6" t="str">
        <f>IFERROR(__xludf.DUMMYFUNCTION("""COMPUTED_VALUE"""),"things")</f>
        <v>things</v>
      </c>
      <c r="W337" s="8"/>
      <c r="AF337" s="1" t="s">
        <v>2084</v>
      </c>
      <c r="AJ337" s="1" t="s">
        <v>878</v>
      </c>
      <c r="AM337" s="1" t="s">
        <v>990</v>
      </c>
    </row>
    <row r="338">
      <c r="E338" s="1" t="s">
        <v>196</v>
      </c>
      <c r="F338" s="6" t="str">
        <f>IFERROR(__xludf.DUMMYFUNCTION("""COMPUTED_VALUE"""),"insult")</f>
        <v>insult</v>
      </c>
      <c r="H338" s="1" t="s">
        <v>1569</v>
      </c>
      <c r="I338" s="6" t="str">
        <f>IFERROR(__xludf.DUMMYFUNCTION("""COMPUTED_VALUE"""),"wanting")</f>
        <v>wanting</v>
      </c>
      <c r="P338" s="1" t="s">
        <v>2085</v>
      </c>
      <c r="Q338" s="6" t="str">
        <f>IFERROR(__xludf.DUMMYFUNCTION("""COMPUTED_VALUE"""),"turkey")</f>
        <v>turkey</v>
      </c>
      <c r="S338" s="1" t="s">
        <v>1192</v>
      </c>
      <c r="T338" s="6" t="str">
        <f>IFERROR(__xludf.DUMMYFUNCTION("""COMPUTED_VALUE"""),"significantly")</f>
        <v>significantly</v>
      </c>
      <c r="W338" s="8"/>
      <c r="AF338" s="1" t="s">
        <v>2086</v>
      </c>
      <c r="AJ338" s="1" t="s">
        <v>2087</v>
      </c>
      <c r="AM338" s="1" t="s">
        <v>997</v>
      </c>
    </row>
    <row r="339">
      <c r="E339" s="1" t="s">
        <v>1219</v>
      </c>
      <c r="F339" s="6" t="str">
        <f>IFERROR(__xludf.DUMMYFUNCTION("""COMPUTED_VALUE"""),"apartheid")</f>
        <v>apartheid</v>
      </c>
      <c r="H339" s="1" t="s">
        <v>2088</v>
      </c>
      <c r="I339" s="6" t="str">
        <f>IFERROR(__xludf.DUMMYFUNCTION("""COMPUTED_VALUE"""),"retains")</f>
        <v>retains</v>
      </c>
      <c r="P339" s="1" t="s">
        <v>552</v>
      </c>
      <c r="Q339" s="6" t="str">
        <f>IFERROR(__xludf.DUMMYFUNCTION("""COMPUTED_VALUE"""),"cruelty")</f>
        <v>cruelty</v>
      </c>
      <c r="S339" s="1" t="s">
        <v>2089</v>
      </c>
      <c r="T339" s="6" t="str">
        <f>IFERROR(__xludf.DUMMYFUNCTION("""COMPUTED_VALUE"""),"tides")</f>
        <v>tides</v>
      </c>
      <c r="W339" s="8"/>
      <c r="AF339" s="1" t="s">
        <v>2090</v>
      </c>
      <c r="AJ339" s="1" t="s">
        <v>29</v>
      </c>
      <c r="AM339" s="1" t="s">
        <v>285</v>
      </c>
    </row>
    <row r="340">
      <c r="E340" s="1" t="s">
        <v>2091</v>
      </c>
      <c r="F340" s="6" t="str">
        <f>IFERROR(__xludf.DUMMYFUNCTION("""COMPUTED_VALUE"""),"korean")</f>
        <v>korean</v>
      </c>
      <c r="H340" s="1" t="s">
        <v>1862</v>
      </c>
      <c r="I340" s="6" t="str">
        <f>IFERROR(__xludf.DUMMYFUNCTION("""COMPUTED_VALUE"""),"resonance")</f>
        <v>resonance</v>
      </c>
      <c r="P340" s="1" t="s">
        <v>480</v>
      </c>
      <c r="Q340" s="6" t="str">
        <f>IFERROR(__xludf.DUMMYFUNCTION("""COMPUTED_VALUE"""),"english")</f>
        <v>english</v>
      </c>
      <c r="S340" s="1" t="s">
        <v>1636</v>
      </c>
      <c r="T340" s="6" t="str">
        <f>IFERROR(__xludf.DUMMYFUNCTION("""COMPUTED_VALUE"""),"predictable")</f>
        <v>predictable</v>
      </c>
      <c r="W340" s="8"/>
      <c r="AF340" s="1" t="s">
        <v>1057</v>
      </c>
      <c r="AJ340" s="1" t="s">
        <v>2092</v>
      </c>
      <c r="AM340" s="1" t="s">
        <v>2093</v>
      </c>
    </row>
    <row r="341">
      <c r="E341" s="1" t="s">
        <v>457</v>
      </c>
      <c r="F341" s="6" t="str">
        <f>IFERROR(__xludf.DUMMYFUNCTION("""COMPUTED_VALUE"""),"canvas")</f>
        <v>canvas</v>
      </c>
      <c r="H341" s="1" t="s">
        <v>917</v>
      </c>
      <c r="I341" s="6" t="str">
        <f>IFERROR(__xludf.DUMMYFUNCTION("""COMPUTED_VALUE"""),"viewers")</f>
        <v>viewers</v>
      </c>
      <c r="P341" s="1" t="s">
        <v>804</v>
      </c>
      <c r="Q341" s="6" t="str">
        <f>IFERROR(__xludf.DUMMYFUNCTION("""COMPUTED_VALUE"""),"pushes")</f>
        <v>pushes</v>
      </c>
      <c r="S341" s="1" t="s">
        <v>2094</v>
      </c>
      <c r="T341" s="6" t="str">
        <f>IFERROR(__xludf.DUMMYFUNCTION("""COMPUTED_VALUE"""),"entertaining")</f>
        <v>entertaining</v>
      </c>
      <c r="W341" s="8"/>
      <c r="AF341" s="1" t="s">
        <v>1063</v>
      </c>
      <c r="AJ341" s="1" t="s">
        <v>472</v>
      </c>
      <c r="AM341" s="1" t="s">
        <v>2095</v>
      </c>
    </row>
    <row r="342">
      <c r="E342" s="1" t="s">
        <v>1229</v>
      </c>
      <c r="F342" s="6" t="str">
        <f>IFERROR(__xludf.DUMMYFUNCTION("""COMPUTED_VALUE"""),"irony")</f>
        <v>irony</v>
      </c>
      <c r="H342" s="1" t="s">
        <v>157</v>
      </c>
      <c r="I342" s="6" t="str">
        <f>IFERROR(__xludf.DUMMYFUNCTION("""COMPUTED_VALUE"""),"format")</f>
        <v>format</v>
      </c>
      <c r="P342" s="1" t="s">
        <v>2096</v>
      </c>
      <c r="Q342" s="6" t="str">
        <f>IFERROR(__xludf.DUMMYFUNCTION("""COMPUTED_VALUE"""),"hoffman")</f>
        <v>hoffman</v>
      </c>
      <c r="S342" s="1" t="s">
        <v>1823</v>
      </c>
      <c r="T342" s="6" t="str">
        <f>IFERROR(__xludf.DUMMYFUNCTION("""COMPUTED_VALUE"""),"positive")</f>
        <v>positive</v>
      </c>
      <c r="W342" s="8"/>
      <c r="AF342" s="1" t="s">
        <v>2097</v>
      </c>
      <c r="AJ342" s="1" t="s">
        <v>552</v>
      </c>
      <c r="AM342" s="1" t="s">
        <v>1072</v>
      </c>
    </row>
    <row r="343">
      <c r="E343" s="1" t="s">
        <v>232</v>
      </c>
      <c r="F343" s="6" t="str">
        <f>IFERROR(__xludf.DUMMYFUNCTION("""COMPUTED_VALUE"""),"complete")</f>
        <v>complete</v>
      </c>
      <c r="H343" s="1" t="s">
        <v>275</v>
      </c>
      <c r="I343" s="6" t="str">
        <f>IFERROR(__xludf.DUMMYFUNCTION("""COMPUTED_VALUE"""),"handsome")</f>
        <v>handsome</v>
      </c>
      <c r="P343" s="1" t="s">
        <v>511</v>
      </c>
      <c r="Q343" s="6" t="str">
        <f>IFERROR(__xludf.DUMMYFUNCTION("""COMPUTED_VALUE"""),"charismatic")</f>
        <v>charismatic</v>
      </c>
      <c r="S343" s="1" t="s">
        <v>2098</v>
      </c>
      <c r="T343" s="6" t="str">
        <f>IFERROR(__xludf.DUMMYFUNCTION("""COMPUTED_VALUE"""),"dim")</f>
        <v>dim</v>
      </c>
      <c r="W343" s="8"/>
      <c r="AF343" s="1" t="s">
        <v>2099</v>
      </c>
      <c r="AJ343" s="1" t="s">
        <v>480</v>
      </c>
      <c r="AM343" s="1" t="s">
        <v>202</v>
      </c>
    </row>
    <row r="344">
      <c r="E344" s="1" t="s">
        <v>1275</v>
      </c>
      <c r="F344" s="6" t="str">
        <f>IFERROR(__xludf.DUMMYFUNCTION("""COMPUTED_VALUE"""),"thematic")</f>
        <v>thematic</v>
      </c>
      <c r="H344" s="1" t="s">
        <v>1590</v>
      </c>
      <c r="I344" s="6" t="str">
        <f>IFERROR(__xludf.DUMMYFUNCTION("""COMPUTED_VALUE"""),"drama")</f>
        <v>drama</v>
      </c>
      <c r="P344" s="1" t="s">
        <v>2100</v>
      </c>
      <c r="Q344" s="6" t="str">
        <f>IFERROR(__xludf.DUMMYFUNCTION("""COMPUTED_VALUE"""),"harmless")</f>
        <v>harmless</v>
      </c>
      <c r="S344" s="1" t="s">
        <v>2101</v>
      </c>
      <c r="T344" s="6" t="str">
        <f>IFERROR(__xludf.DUMMYFUNCTION("""COMPUTED_VALUE"""),"vicious")</f>
        <v>vicious</v>
      </c>
      <c r="W344" s="8"/>
      <c r="AF344" s="1" t="s">
        <v>1069</v>
      </c>
      <c r="AJ344" s="1" t="s">
        <v>511</v>
      </c>
      <c r="AM344" s="1" t="s">
        <v>1008</v>
      </c>
    </row>
    <row r="345">
      <c r="E345" s="1" t="s">
        <v>2102</v>
      </c>
      <c r="F345" s="6" t="str">
        <f>IFERROR(__xludf.DUMMYFUNCTION("""COMPUTED_VALUE"""),"politics")</f>
        <v>politics</v>
      </c>
      <c r="H345" s="1" t="s">
        <v>103</v>
      </c>
      <c r="I345" s="6" t="str">
        <f>IFERROR(__xludf.DUMMYFUNCTION("""COMPUTED_VALUE"""),"either")</f>
        <v>either</v>
      </c>
      <c r="P345" s="1" t="s">
        <v>588</v>
      </c>
      <c r="Q345" s="6" t="str">
        <f>IFERROR(__xludf.DUMMYFUNCTION("""COMPUTED_VALUE"""),"uncertain")</f>
        <v>uncertain</v>
      </c>
      <c r="S345" s="1" t="s">
        <v>2103</v>
      </c>
      <c r="T345" s="6" t="str">
        <f>IFERROR(__xludf.DUMMYFUNCTION("""COMPUTED_VALUE"""),"goofy")</f>
        <v>goofy</v>
      </c>
      <c r="W345" s="8"/>
      <c r="AF345" s="1" t="s">
        <v>2104</v>
      </c>
      <c r="AJ345" s="1" t="s">
        <v>487</v>
      </c>
      <c r="AM345" s="1" t="s">
        <v>1015</v>
      </c>
    </row>
    <row r="346">
      <c r="E346" s="1" t="s">
        <v>1246</v>
      </c>
      <c r="F346" s="6" t="str">
        <f>IFERROR(__xludf.DUMMYFUNCTION("""COMPUTED_VALUE"""),"road")</f>
        <v>road</v>
      </c>
      <c r="H346" s="1" t="s">
        <v>1883</v>
      </c>
      <c r="I346" s="6" t="str">
        <f>IFERROR(__xludf.DUMMYFUNCTION("""COMPUTED_VALUE"""),"her")</f>
        <v>her</v>
      </c>
      <c r="P346" s="1" t="s">
        <v>494</v>
      </c>
      <c r="Q346" s="6" t="str">
        <f>IFERROR(__xludf.DUMMYFUNCTION("""COMPUTED_VALUE"""),"editing")</f>
        <v>editing</v>
      </c>
      <c r="S346" s="1" t="s">
        <v>1149</v>
      </c>
      <c r="T346" s="6" t="str">
        <f>IFERROR(__xludf.DUMMYFUNCTION("""COMPUTED_VALUE"""),"may")</f>
        <v>may</v>
      </c>
      <c r="W346" s="8"/>
      <c r="AF346" s="1" t="s">
        <v>2105</v>
      </c>
      <c r="AJ346" s="1" t="s">
        <v>2106</v>
      </c>
      <c r="AM346" s="1" t="s">
        <v>1025</v>
      </c>
    </row>
    <row r="347">
      <c r="E347" s="1" t="s">
        <v>1294</v>
      </c>
      <c r="F347" s="6" t="str">
        <f>IFERROR(__xludf.DUMMYFUNCTION("""COMPUTED_VALUE"""),"smug")</f>
        <v>smug</v>
      </c>
      <c r="H347" s="1" t="s">
        <v>2107</v>
      </c>
      <c r="I347" s="6" t="str">
        <f>IFERROR(__xludf.DUMMYFUNCTION("""COMPUTED_VALUE"""),"haunting")</f>
        <v>haunting</v>
      </c>
      <c r="P347" s="1" t="s">
        <v>420</v>
      </c>
      <c r="Q347" s="6" t="str">
        <f>IFERROR(__xludf.DUMMYFUNCTION("""COMPUTED_VALUE"""),"strength")</f>
        <v>strength</v>
      </c>
      <c r="S347" s="1" t="s">
        <v>2108</v>
      </c>
      <c r="T347" s="6" t="str">
        <f>IFERROR(__xludf.DUMMYFUNCTION("""COMPUTED_VALUE"""),"inside")</f>
        <v>inside</v>
      </c>
      <c r="W347" s="8"/>
      <c r="AF347" s="1" t="s">
        <v>2109</v>
      </c>
      <c r="AJ347" s="1" t="s">
        <v>2110</v>
      </c>
      <c r="AM347" s="1" t="s">
        <v>1879</v>
      </c>
    </row>
    <row r="348">
      <c r="E348" s="1" t="s">
        <v>1253</v>
      </c>
      <c r="F348" s="6" t="str">
        <f>IFERROR(__xludf.DUMMYFUNCTION("""COMPUTED_VALUE"""),"obvious")</f>
        <v>obvious</v>
      </c>
      <c r="H348" s="1" t="s">
        <v>1599</v>
      </c>
      <c r="I348" s="6" t="str">
        <f>IFERROR(__xludf.DUMMYFUNCTION("""COMPUTED_VALUE"""),"debut")</f>
        <v>debut</v>
      </c>
      <c r="P348" s="1" t="s">
        <v>2111</v>
      </c>
      <c r="Q348" s="6" t="str">
        <f>IFERROR(__xludf.DUMMYFUNCTION("""COMPUTED_VALUE"""),"directors")</f>
        <v>directors</v>
      </c>
      <c r="S348" s="1" t="s">
        <v>2112</v>
      </c>
      <c r="T348" s="6" t="str">
        <f>IFERROR(__xludf.DUMMYFUNCTION("""COMPUTED_VALUE"""),"length")</f>
        <v>length</v>
      </c>
      <c r="W348" s="8"/>
      <c r="AF348" s="1" t="s">
        <v>2113</v>
      </c>
      <c r="AJ348" s="1" t="s">
        <v>2114</v>
      </c>
      <c r="AM348" s="1" t="s">
        <v>301</v>
      </c>
    </row>
    <row r="349">
      <c r="E349" s="1" t="s">
        <v>240</v>
      </c>
      <c r="F349" s="6" t="str">
        <f>IFERROR(__xludf.DUMMYFUNCTION("""COMPUTED_VALUE"""),"equations")</f>
        <v>equations</v>
      </c>
      <c r="H349" s="1" t="s">
        <v>1606</v>
      </c>
      <c r="I349" s="6" t="str">
        <f>IFERROR(__xludf.DUMMYFUNCTION("""COMPUTED_VALUE"""),"fine")</f>
        <v>fine</v>
      </c>
      <c r="P349" s="1" t="s">
        <v>144</v>
      </c>
      <c r="Q349" s="6" t="str">
        <f>IFERROR(__xludf.DUMMYFUNCTION("""COMPUTED_VALUE"""),"stephen")</f>
        <v>stephen</v>
      </c>
      <c r="S349" s="1" t="s">
        <v>107</v>
      </c>
      <c r="T349" s="6" t="str">
        <f>IFERROR(__xludf.DUMMYFUNCTION("""COMPUTED_VALUE"""),"term")</f>
        <v>term</v>
      </c>
      <c r="W349" s="8"/>
      <c r="AF349" s="1" t="s">
        <v>126</v>
      </c>
      <c r="AJ349" s="1" t="s">
        <v>2100</v>
      </c>
      <c r="AM349" s="1" t="s">
        <v>293</v>
      </c>
    </row>
    <row r="350">
      <c r="E350" s="1" t="s">
        <v>354</v>
      </c>
      <c r="F350" s="6" t="str">
        <f>IFERROR(__xludf.DUMMYFUNCTION("""COMPUTED_VALUE"""),"captures")</f>
        <v>captures</v>
      </c>
      <c r="H350" s="1" t="s">
        <v>162</v>
      </c>
      <c r="I350" s="6" t="str">
        <f>IFERROR(__xludf.DUMMYFUNCTION("""COMPUTED_VALUE"""),"kids")</f>
        <v>kids</v>
      </c>
      <c r="P350" s="1" t="s">
        <v>2115</v>
      </c>
      <c r="Q350" s="6" t="str">
        <f>IFERROR(__xludf.DUMMYFUNCTION("""COMPUTED_VALUE"""),"fact")</f>
        <v>fact</v>
      </c>
      <c r="S350" s="1" t="s">
        <v>2116</v>
      </c>
      <c r="T350" s="6" t="str">
        <f>IFERROR(__xludf.DUMMYFUNCTION("""COMPUTED_VALUE"""),"respect")</f>
        <v>respect</v>
      </c>
      <c r="W350" s="8"/>
      <c r="AF350" s="1" t="s">
        <v>2117</v>
      </c>
      <c r="AJ350" s="1" t="s">
        <v>2118</v>
      </c>
      <c r="AM350" s="1" t="s">
        <v>2119</v>
      </c>
    </row>
    <row r="351">
      <c r="E351" s="1" t="s">
        <v>1272</v>
      </c>
      <c r="F351" s="6" t="str">
        <f>IFERROR(__xludf.DUMMYFUNCTION("""COMPUTED_VALUE"""),"deserve")</f>
        <v>deserve</v>
      </c>
      <c r="H351" s="1" t="s">
        <v>1617</v>
      </c>
      <c r="I351" s="6" t="str">
        <f>IFERROR(__xludf.DUMMYFUNCTION("""COMPUTED_VALUE"""),"aimed")</f>
        <v>aimed</v>
      </c>
      <c r="P351" s="1" t="s">
        <v>606</v>
      </c>
      <c r="Q351" s="6" t="str">
        <f>IFERROR(__xludf.DUMMYFUNCTION("""COMPUTED_VALUE"""),"richer")</f>
        <v>richer</v>
      </c>
      <c r="S351" s="1" t="s">
        <v>2120</v>
      </c>
      <c r="T351" s="6" t="str">
        <f>IFERROR(__xludf.DUMMYFUNCTION("""COMPUTED_VALUE"""),"emotions")</f>
        <v>emotions</v>
      </c>
      <c r="W351" s="8"/>
      <c r="AF351" s="1" t="s">
        <v>2121</v>
      </c>
      <c r="AJ351" s="1" t="s">
        <v>494</v>
      </c>
      <c r="AM351" s="1" t="s">
        <v>2122</v>
      </c>
    </row>
    <row r="352">
      <c r="E352" s="1" t="s">
        <v>327</v>
      </c>
      <c r="F352" s="6" t="str">
        <f>IFERROR(__xludf.DUMMYFUNCTION("""COMPUTED_VALUE"""),"stupid")</f>
        <v>stupid</v>
      </c>
      <c r="H352" s="1" t="s">
        <v>1623</v>
      </c>
      <c r="I352" s="6" t="str">
        <f>IFERROR(__xludf.DUMMYFUNCTION("""COMPUTED_VALUE"""),"passages")</f>
        <v>passages</v>
      </c>
      <c r="P352" s="1" t="s">
        <v>2123</v>
      </c>
      <c r="Q352" s="6" t="str">
        <f>IFERROR(__xludf.DUMMYFUNCTION("""COMPUTED_VALUE"""),"hearst")</f>
        <v>hearst</v>
      </c>
      <c r="S352" s="1" t="s">
        <v>2124</v>
      </c>
      <c r="T352" s="6" t="str">
        <f>IFERROR(__xludf.DUMMYFUNCTION("""COMPUTED_VALUE"""),"showing")</f>
        <v>showing</v>
      </c>
      <c r="W352" s="8"/>
      <c r="AF352" s="1" t="s">
        <v>484</v>
      </c>
      <c r="AJ352" s="1" t="s">
        <v>912</v>
      </c>
      <c r="AM352" s="1" t="s">
        <v>1908</v>
      </c>
    </row>
    <row r="353">
      <c r="E353" s="1" t="s">
        <v>2125</v>
      </c>
      <c r="F353" s="6" t="str">
        <f>IFERROR(__xludf.DUMMYFUNCTION("""COMPUTED_VALUE"""),"sexuality")</f>
        <v>sexuality</v>
      </c>
      <c r="H353" s="1" t="s">
        <v>610</v>
      </c>
      <c r="I353" s="6" t="str">
        <f>IFERROR(__xludf.DUMMYFUNCTION("""COMPUTED_VALUE"""),"fore")</f>
        <v>fore</v>
      </c>
      <c r="P353" s="1" t="s">
        <v>2126</v>
      </c>
      <c r="Q353" s="6" t="str">
        <f>IFERROR(__xludf.DUMMYFUNCTION("""COMPUTED_VALUE"""),"hollow")</f>
        <v>hollow</v>
      </c>
      <c r="S353" s="1" t="s">
        <v>2127</v>
      </c>
      <c r="T353" s="6" t="str">
        <f>IFERROR(__xludf.DUMMYFUNCTION("""COMPUTED_VALUE"""),"title")</f>
        <v>title</v>
      </c>
      <c r="W353" s="8"/>
      <c r="AF353" s="1" t="s">
        <v>1392</v>
      </c>
      <c r="AJ353" s="1" t="s">
        <v>420</v>
      </c>
      <c r="AM353" s="1" t="s">
        <v>2128</v>
      </c>
    </row>
    <row r="354">
      <c r="E354" s="1" t="s">
        <v>247</v>
      </c>
      <c r="F354" s="6" t="str">
        <f>IFERROR(__xludf.DUMMYFUNCTION("""COMPUTED_VALUE"""),"combining")</f>
        <v>combining</v>
      </c>
      <c r="H354" s="1" t="s">
        <v>938</v>
      </c>
      <c r="I354" s="6" t="str">
        <f>IFERROR(__xludf.DUMMYFUNCTION("""COMPUTED_VALUE"""),"beings")</f>
        <v>beings</v>
      </c>
      <c r="P354" s="1" t="s">
        <v>2129</v>
      </c>
      <c r="Q354" s="6" t="str">
        <f>IFERROR(__xludf.DUMMYFUNCTION("""COMPUTED_VALUE"""),"groundbreaking")</f>
        <v>groundbreaking</v>
      </c>
      <c r="S354" s="1" t="s">
        <v>152</v>
      </c>
      <c r="T354" s="6" t="str">
        <f>IFERROR(__xludf.DUMMYFUNCTION("""COMPUTED_VALUE"""),"thin")</f>
        <v>thin</v>
      </c>
      <c r="W354" s="8"/>
      <c r="AF354" s="1" t="s">
        <v>1080</v>
      </c>
      <c r="AJ354" s="1" t="s">
        <v>2130</v>
      </c>
      <c r="AM354" s="1" t="s">
        <v>1914</v>
      </c>
    </row>
    <row r="355">
      <c r="E355" s="1" t="s">
        <v>2131</v>
      </c>
      <c r="F355" s="6" t="str">
        <f>IFERROR(__xludf.DUMMYFUNCTION("""COMPUTED_VALUE"""),"indictment")</f>
        <v>indictment</v>
      </c>
      <c r="H355" s="1" t="s">
        <v>292</v>
      </c>
      <c r="I355" s="6" t="str">
        <f>IFERROR(__xludf.DUMMYFUNCTION("""COMPUTED_VALUE"""),"gifted")</f>
        <v>gifted</v>
      </c>
      <c r="P355" s="1" t="s">
        <v>729</v>
      </c>
      <c r="Q355" s="6" t="str">
        <f>IFERROR(__xludf.DUMMYFUNCTION("""COMPUTED_VALUE"""),"endeavor")</f>
        <v>endeavor</v>
      </c>
      <c r="S355" s="1" t="s">
        <v>2132</v>
      </c>
      <c r="T355" s="6" t="str">
        <f>IFERROR(__xludf.DUMMYFUNCTION("""COMPUTED_VALUE"""),"wildlife")</f>
        <v>wildlife</v>
      </c>
      <c r="W355" s="8"/>
      <c r="AF355" s="1" t="s">
        <v>2133</v>
      </c>
      <c r="AJ355" s="1" t="s">
        <v>920</v>
      </c>
      <c r="AM355" s="1" t="s">
        <v>2134</v>
      </c>
    </row>
    <row r="356">
      <c r="E356" s="1" t="s">
        <v>1290</v>
      </c>
      <c r="F356" s="6" t="str">
        <f>IFERROR(__xludf.DUMMYFUNCTION("""COMPUTED_VALUE"""),"offensive")</f>
        <v>offensive</v>
      </c>
      <c r="H356" s="1" t="s">
        <v>879</v>
      </c>
      <c r="I356" s="6" t="str">
        <f>IFERROR(__xludf.DUMMYFUNCTION("""COMPUTED_VALUE"""),"becomes")</f>
        <v>becomes</v>
      </c>
      <c r="P356" s="1" t="s">
        <v>1560</v>
      </c>
      <c r="Q356" s="6" t="str">
        <f>IFERROR(__xludf.DUMMYFUNCTION("""COMPUTED_VALUE"""),"musicals")</f>
        <v>musicals</v>
      </c>
      <c r="S356" s="1" t="s">
        <v>2135</v>
      </c>
      <c r="T356" s="6" t="str">
        <f>IFERROR(__xludf.DUMMYFUNCTION("""COMPUTED_VALUE"""),"spare")</f>
        <v>spare</v>
      </c>
      <c r="W356" s="8"/>
      <c r="AF356" s="1" t="s">
        <v>2136</v>
      </c>
      <c r="AJ356" s="1" t="s">
        <v>144</v>
      </c>
      <c r="AM356" s="1" t="s">
        <v>1034</v>
      </c>
    </row>
    <row r="357">
      <c r="E357" s="1" t="s">
        <v>335</v>
      </c>
      <c r="F357" s="6" t="str">
        <f>IFERROR(__xludf.DUMMYFUNCTION("""COMPUTED_VALUE"""),"clause")</f>
        <v>clause</v>
      </c>
      <c r="H357" s="1" t="s">
        <v>872</v>
      </c>
      <c r="I357" s="6" t="str">
        <f>IFERROR(__xludf.DUMMYFUNCTION("""COMPUTED_VALUE"""),"sex")</f>
        <v>sex</v>
      </c>
      <c r="P357" s="1" t="s">
        <v>2137</v>
      </c>
      <c r="Q357" s="6" t="str">
        <f>IFERROR(__xludf.DUMMYFUNCTION("""COMPUTED_VALUE"""),"cerebral")</f>
        <v>cerebral</v>
      </c>
      <c r="S357" s="1" t="s">
        <v>664</v>
      </c>
      <c r="T357" s="6" t="str">
        <f>IFERROR(__xludf.DUMMYFUNCTION("""COMPUTED_VALUE"""),"structured")</f>
        <v>structured</v>
      </c>
      <c r="W357" s="8"/>
      <c r="AF357" s="1" t="s">
        <v>1087</v>
      </c>
      <c r="AJ357" s="1" t="s">
        <v>2129</v>
      </c>
      <c r="AM357" s="1" t="s">
        <v>2138</v>
      </c>
    </row>
    <row r="358">
      <c r="E358" s="1" t="s">
        <v>2139</v>
      </c>
      <c r="F358" s="6" t="str">
        <f>IFERROR(__xludf.DUMMYFUNCTION("""COMPUTED_VALUE"""),"emotionally")</f>
        <v>emotionally</v>
      </c>
      <c r="H358" s="1" t="s">
        <v>1655</v>
      </c>
      <c r="I358" s="6" t="str">
        <f>IFERROR(__xludf.DUMMYFUNCTION("""COMPUTED_VALUE"""),"demands")</f>
        <v>demands</v>
      </c>
      <c r="P358" s="1" t="s">
        <v>941</v>
      </c>
      <c r="Q358" s="6" t="str">
        <f>IFERROR(__xludf.DUMMYFUNCTION("""COMPUTED_VALUE"""),"manners")</f>
        <v>manners</v>
      </c>
      <c r="S358" s="1" t="s">
        <v>2140</v>
      </c>
      <c r="T358" s="6" t="str">
        <f>IFERROR(__xludf.DUMMYFUNCTION("""COMPUTED_VALUE"""),"different")</f>
        <v>different</v>
      </c>
      <c r="W358" s="8"/>
      <c r="AF358" s="1" t="s">
        <v>2141</v>
      </c>
      <c r="AJ358" s="1" t="s">
        <v>729</v>
      </c>
      <c r="AM358" s="1" t="s">
        <v>208</v>
      </c>
    </row>
    <row r="359">
      <c r="E359" s="1" t="s">
        <v>1309</v>
      </c>
      <c r="F359" s="6" t="str">
        <f>IFERROR(__xludf.DUMMYFUNCTION("""COMPUTED_VALUE"""),"loose")</f>
        <v>loose</v>
      </c>
      <c r="H359" s="1" t="s">
        <v>1331</v>
      </c>
      <c r="I359" s="6" t="str">
        <f>IFERROR(__xludf.DUMMYFUNCTION("""COMPUTED_VALUE"""),"undead")</f>
        <v>undead</v>
      </c>
      <c r="P359" s="1" t="s">
        <v>2142</v>
      </c>
      <c r="Q359" s="6" t="str">
        <f>IFERROR(__xludf.DUMMYFUNCTION("""COMPUTED_VALUE"""),"themes")</f>
        <v>themes</v>
      </c>
      <c r="S359" s="1" t="s">
        <v>929</v>
      </c>
      <c r="T359" s="6" t="str">
        <f>IFERROR(__xludf.DUMMYFUNCTION("""COMPUTED_VALUE"""),"crossover")</f>
        <v>crossover</v>
      </c>
      <c r="W359" s="8"/>
      <c r="AF359" s="1" t="s">
        <v>2143</v>
      </c>
      <c r="AJ359" s="1" t="s">
        <v>931</v>
      </c>
      <c r="AM359" s="1" t="s">
        <v>375</v>
      </c>
    </row>
    <row r="360">
      <c r="E360" s="1" t="s">
        <v>2144</v>
      </c>
      <c r="F360" s="6" t="str">
        <f>IFERROR(__xludf.DUMMYFUNCTION("""COMPUTED_VALUE"""),"revealing")</f>
        <v>revealing</v>
      </c>
      <c r="H360" s="1" t="s">
        <v>1663</v>
      </c>
      <c r="I360" s="6" t="str">
        <f>IFERROR(__xludf.DUMMYFUNCTION("""COMPUTED_VALUE"""),"culture")</f>
        <v>culture</v>
      </c>
      <c r="P360" s="1" t="s">
        <v>2145</v>
      </c>
      <c r="Q360" s="6" t="str">
        <f>IFERROR(__xludf.DUMMYFUNCTION("""COMPUTED_VALUE"""),"betrayal")</f>
        <v>betrayal</v>
      </c>
      <c r="S360" s="1" t="s">
        <v>2146</v>
      </c>
      <c r="T360" s="6" t="str">
        <f>IFERROR(__xludf.DUMMYFUNCTION("""COMPUTED_VALUE"""),"adventurous")</f>
        <v>adventurous</v>
      </c>
      <c r="W360" s="8"/>
      <c r="AF360" s="1" t="s">
        <v>1095</v>
      </c>
      <c r="AJ360" s="1" t="s">
        <v>2147</v>
      </c>
      <c r="AM360" s="1" t="s">
        <v>1053</v>
      </c>
    </row>
    <row r="361">
      <c r="E361" s="1" t="s">
        <v>2148</v>
      </c>
      <c r="F361" s="6" t="str">
        <f>IFERROR(__xludf.DUMMYFUNCTION("""COMPUTED_VALUE"""),"illumination")</f>
        <v>illumination</v>
      </c>
      <c r="H361" s="1" t="s">
        <v>887</v>
      </c>
      <c r="I361" s="6" t="str">
        <f>IFERROR(__xludf.DUMMYFUNCTION("""COMPUTED_VALUE"""),"momentum")</f>
        <v>momentum</v>
      </c>
      <c r="P361" s="1" t="s">
        <v>2149</v>
      </c>
      <c r="Q361" s="6" t="str">
        <f>IFERROR(__xludf.DUMMYFUNCTION("""COMPUTED_VALUE"""),"wants")</f>
        <v>wants</v>
      </c>
      <c r="S361" s="1" t="s">
        <v>2150</v>
      </c>
      <c r="T361" s="6" t="str">
        <f>IFERROR(__xludf.DUMMYFUNCTION("""COMPUTED_VALUE"""),"toward")</f>
        <v>toward</v>
      </c>
      <c r="W361" s="8"/>
      <c r="AF361" s="1" t="s">
        <v>2151</v>
      </c>
      <c r="AJ361" s="1" t="s">
        <v>2152</v>
      </c>
      <c r="AM361" s="1" t="s">
        <v>1938</v>
      </c>
    </row>
    <row r="362">
      <c r="E362" s="1" t="s">
        <v>2056</v>
      </c>
      <c r="F362" s="6" t="str">
        <f>IFERROR(__xludf.DUMMYFUNCTION("""COMPUTED_VALUE"""),"darker")</f>
        <v>darker</v>
      </c>
      <c r="H362" s="1" t="s">
        <v>1669</v>
      </c>
      <c r="I362" s="6" t="str">
        <f>IFERROR(__xludf.DUMMYFUNCTION("""COMPUTED_VALUE"""),"gaining")</f>
        <v>gaining</v>
      </c>
      <c r="P362" s="1" t="s">
        <v>617</v>
      </c>
      <c r="Q362" s="6" t="str">
        <f>IFERROR(__xludf.DUMMYFUNCTION("""COMPUTED_VALUE"""),"african")</f>
        <v>african</v>
      </c>
      <c r="S362" s="1" t="s">
        <v>700</v>
      </c>
      <c r="T362" s="6" t="str">
        <f>IFERROR(__xludf.DUMMYFUNCTION("""COMPUTED_VALUE"""),"admission")</f>
        <v>admission</v>
      </c>
      <c r="W362" s="8"/>
      <c r="AF362" s="1" t="s">
        <v>1101</v>
      </c>
      <c r="AJ362" s="1" t="s">
        <v>1560</v>
      </c>
      <c r="AM362" s="1" t="s">
        <v>2153</v>
      </c>
    </row>
    <row r="363">
      <c r="E363" s="1" t="s">
        <v>1327</v>
      </c>
      <c r="F363" s="6" t="str">
        <f>IFERROR(__xludf.DUMMYFUNCTION("""COMPUTED_VALUE"""),"chilling")</f>
        <v>chilling</v>
      </c>
      <c r="H363" s="1" t="s">
        <v>894</v>
      </c>
      <c r="I363" s="6" t="str">
        <f>IFERROR(__xludf.DUMMYFUNCTION("""COMPUTED_VALUE"""),"characteristic")</f>
        <v>characteristic</v>
      </c>
      <c r="P363" s="1" t="s">
        <v>490</v>
      </c>
      <c r="Q363" s="6" t="str">
        <f>IFERROR(__xludf.DUMMYFUNCTION("""COMPUTED_VALUE"""),"jolly")</f>
        <v>jolly</v>
      </c>
      <c r="S363" s="1" t="s">
        <v>724</v>
      </c>
      <c r="T363" s="6" t="str">
        <f>IFERROR(__xludf.DUMMYFUNCTION("""COMPUTED_VALUE"""),"idea")</f>
        <v>idea</v>
      </c>
      <c r="W363" s="8"/>
      <c r="AF363" s="1" t="s">
        <v>2154</v>
      </c>
      <c r="AJ363" s="1" t="s">
        <v>615</v>
      </c>
      <c r="AM363" s="1" t="s">
        <v>381</v>
      </c>
    </row>
    <row r="364">
      <c r="E364" s="1" t="s">
        <v>1322</v>
      </c>
      <c r="F364" s="6" t="str">
        <f>IFERROR(__xludf.DUMMYFUNCTION("""COMPUTED_VALUE"""),"reefs")</f>
        <v>reefs</v>
      </c>
      <c r="H364" s="1" t="s">
        <v>173</v>
      </c>
      <c r="I364" s="6" t="str">
        <f>IFERROR(__xludf.DUMMYFUNCTION("""COMPUTED_VALUE"""),"juliette")</f>
        <v>juliette</v>
      </c>
      <c r="P364" s="1" t="s">
        <v>2155</v>
      </c>
      <c r="Q364" s="6" t="str">
        <f>IFERROR(__xludf.DUMMYFUNCTION("""COMPUTED_VALUE"""),"survivors")</f>
        <v>survivors</v>
      </c>
      <c r="S364" s="1" t="s">
        <v>2156</v>
      </c>
      <c r="T364" s="6" t="str">
        <f>IFERROR(__xludf.DUMMYFUNCTION("""COMPUTED_VALUE"""),"shallow")</f>
        <v>shallow</v>
      </c>
      <c r="W364" s="8"/>
      <c r="AF364" s="1" t="s">
        <v>1106</v>
      </c>
      <c r="AJ364" s="1" t="s">
        <v>501</v>
      </c>
      <c r="AM364" s="1" t="s">
        <v>1065</v>
      </c>
    </row>
    <row r="365">
      <c r="E365" s="1" t="s">
        <v>1011</v>
      </c>
      <c r="F365" s="6" t="str">
        <f>IFERROR(__xludf.DUMMYFUNCTION("""COMPUTED_VALUE"""),"supernatural")</f>
        <v>supernatural</v>
      </c>
      <c r="H365" s="1" t="s">
        <v>1688</v>
      </c>
      <c r="I365" s="6" t="str">
        <f>IFERROR(__xludf.DUMMYFUNCTION("""COMPUTED_VALUE"""),"affecting")</f>
        <v>affecting</v>
      </c>
      <c r="P365" s="1" t="s">
        <v>808</v>
      </c>
      <c r="Q365" s="6" t="str">
        <f>IFERROR(__xludf.DUMMYFUNCTION("""COMPUTED_VALUE"""),"slim")</f>
        <v>slim</v>
      </c>
      <c r="S365" s="1" t="s">
        <v>1428</v>
      </c>
      <c r="T365" s="6" t="str">
        <f>IFERROR(__xludf.DUMMYFUNCTION("""COMPUTED_VALUE"""),"joel")</f>
        <v>joel</v>
      </c>
      <c r="W365" s="8"/>
      <c r="AF365" s="1" t="s">
        <v>2157</v>
      </c>
      <c r="AJ365" s="1" t="s">
        <v>2158</v>
      </c>
      <c r="AM365" s="1" t="s">
        <v>369</v>
      </c>
    </row>
    <row r="366">
      <c r="E366" s="1" t="s">
        <v>2159</v>
      </c>
      <c r="F366" s="6" t="str">
        <f>IFERROR(__xludf.DUMMYFUNCTION("""COMPUTED_VALUE"""),"submarine")</f>
        <v>submarine</v>
      </c>
      <c r="H366" s="1" t="s">
        <v>309</v>
      </c>
      <c r="I366" s="6" t="str">
        <f>IFERROR(__xludf.DUMMYFUNCTION("""COMPUTED_VALUE"""),"mira")</f>
        <v>mira</v>
      </c>
      <c r="P366" s="1" t="s">
        <v>2160</v>
      </c>
      <c r="Q366" s="6" t="str">
        <f>IFERROR(__xludf.DUMMYFUNCTION("""COMPUTED_VALUE"""),"nonsense")</f>
        <v>nonsense</v>
      </c>
      <c r="S366" s="1" t="s">
        <v>936</v>
      </c>
      <c r="T366" s="6" t="str">
        <f>IFERROR(__xludf.DUMMYFUNCTION("""COMPUTED_VALUE"""),"targeted")</f>
        <v>targeted</v>
      </c>
      <c r="W366" s="8"/>
      <c r="AF366" s="1" t="s">
        <v>2161</v>
      </c>
      <c r="AJ366" s="1" t="s">
        <v>941</v>
      </c>
      <c r="AM366" s="1" t="s">
        <v>2162</v>
      </c>
    </row>
    <row r="367">
      <c r="E367" s="1" t="s">
        <v>2163</v>
      </c>
      <c r="F367" s="6" t="str">
        <f>IFERROR(__xludf.DUMMYFUNCTION("""COMPUTED_VALUE"""),"paranoid")</f>
        <v>paranoid</v>
      </c>
      <c r="H367" s="1" t="s">
        <v>1701</v>
      </c>
      <c r="I367" s="6" t="str">
        <f>IFERROR(__xludf.DUMMYFUNCTION("""COMPUTED_VALUE"""),"limitations")</f>
        <v>limitations</v>
      </c>
      <c r="P367" s="1" t="s">
        <v>2164</v>
      </c>
      <c r="Q367" s="6" t="str">
        <f>IFERROR(__xludf.DUMMYFUNCTION("""COMPUTED_VALUE"""),"embarrassment")</f>
        <v>embarrassment</v>
      </c>
      <c r="S367" s="1" t="s">
        <v>2162</v>
      </c>
      <c r="T367" s="6" t="str">
        <f>IFERROR(__xludf.DUMMYFUNCTION("""COMPUTED_VALUE"""),"carnage")</f>
        <v>carnage</v>
      </c>
      <c r="W367" s="8"/>
      <c r="AF367" s="1" t="s">
        <v>1113</v>
      </c>
      <c r="AJ367" s="1" t="s">
        <v>2165</v>
      </c>
      <c r="AM367" s="1" t="s">
        <v>2166</v>
      </c>
    </row>
    <row r="368">
      <c r="E368" s="1" t="s">
        <v>2167</v>
      </c>
      <c r="F368" s="6" t="str">
        <f>IFERROR(__xludf.DUMMYFUNCTION("""COMPUTED_VALUE"""),"simulate")</f>
        <v>simulate</v>
      </c>
      <c r="H368" s="1" t="s">
        <v>1708</v>
      </c>
      <c r="I368" s="6" t="str">
        <f>IFERROR(__xludf.DUMMYFUNCTION("""COMPUTED_VALUE"""),"classical")</f>
        <v>classical</v>
      </c>
      <c r="P368" s="1" t="s">
        <v>2168</v>
      </c>
      <c r="Q368" s="6" t="str">
        <f>IFERROR(__xludf.DUMMYFUNCTION("""COMPUTED_VALUE"""),"imaginative")</f>
        <v>imaginative</v>
      </c>
      <c r="S368" s="1" t="s">
        <v>955</v>
      </c>
      <c r="T368" s="6" t="str">
        <f>IFERROR(__xludf.DUMMYFUNCTION("""COMPUTED_VALUE"""),"blair")</f>
        <v>blair</v>
      </c>
      <c r="W368" s="8"/>
      <c r="AF368" s="1" t="s">
        <v>2169</v>
      </c>
      <c r="AJ368" s="1" t="s">
        <v>2170</v>
      </c>
      <c r="AM368" s="1" t="s">
        <v>214</v>
      </c>
    </row>
    <row r="369">
      <c r="E369" s="1" t="s">
        <v>2171</v>
      </c>
      <c r="F369" s="6" t="str">
        <f>IFERROR(__xludf.DUMMYFUNCTION("""COMPUTED_VALUE"""),"idiots")</f>
        <v>idiots</v>
      </c>
      <c r="H369" s="1" t="s">
        <v>2172</v>
      </c>
      <c r="I369" s="6" t="str">
        <f>IFERROR(__xludf.DUMMYFUNCTION("""COMPUTED_VALUE"""),"successful")</f>
        <v>successful</v>
      </c>
      <c r="P369" s="1" t="s">
        <v>2173</v>
      </c>
      <c r="Q369" s="6" t="str">
        <f>IFERROR(__xludf.DUMMYFUNCTION("""COMPUTED_VALUE"""),"somber")</f>
        <v>somber</v>
      </c>
      <c r="S369" s="1" t="s">
        <v>466</v>
      </c>
      <c r="T369" s="6" t="str">
        <f>IFERROR(__xludf.DUMMYFUNCTION("""COMPUTED_VALUE"""),"footage")</f>
        <v>footage</v>
      </c>
      <c r="W369" s="8"/>
      <c r="AF369" s="1" t="s">
        <v>1122</v>
      </c>
      <c r="AJ369" s="1" t="s">
        <v>2174</v>
      </c>
      <c r="AM369" s="1" t="s">
        <v>2175</v>
      </c>
    </row>
    <row r="370">
      <c r="E370" s="1" t="s">
        <v>2176</v>
      </c>
      <c r="F370" s="6" t="str">
        <f>IFERROR(__xludf.DUMMYFUNCTION("""COMPUTED_VALUE"""),"spirit")</f>
        <v>spirit</v>
      </c>
      <c r="H370" s="1" t="s">
        <v>316</v>
      </c>
      <c r="I370" s="6" t="str">
        <f>IFERROR(__xludf.DUMMYFUNCTION("""COMPUTED_VALUE"""),"moving")</f>
        <v>moving</v>
      </c>
      <c r="P370" s="1" t="s">
        <v>2177</v>
      </c>
      <c r="Q370" s="6" t="str">
        <f>IFERROR(__xludf.DUMMYFUNCTION("""COMPUTED_VALUE"""),"commerce")</f>
        <v>commerce</v>
      </c>
      <c r="S370" s="1" t="s">
        <v>939</v>
      </c>
      <c r="T370" s="6" t="str">
        <f>IFERROR(__xludf.DUMMYFUNCTION("""COMPUTED_VALUE"""),"fiddle")</f>
        <v>fiddle</v>
      </c>
      <c r="W370" s="8"/>
      <c r="AF370" s="1" t="s">
        <v>1128</v>
      </c>
      <c r="AJ370" s="1" t="s">
        <v>617</v>
      </c>
      <c r="AM370" s="1" t="s">
        <v>2178</v>
      </c>
    </row>
    <row r="371">
      <c r="E371" s="1" t="s">
        <v>2179</v>
      </c>
      <c r="F371" s="6" t="str">
        <f>IFERROR(__xludf.DUMMYFUNCTION("""COMPUTED_VALUE"""),"gaping")</f>
        <v>gaping</v>
      </c>
      <c r="H371" s="1" t="s">
        <v>183</v>
      </c>
      <c r="I371" s="6" t="str">
        <f>IFERROR(__xludf.DUMMYFUNCTION("""COMPUTED_VALUE"""),"intelligent")</f>
        <v>intelligent</v>
      </c>
      <c r="P371" s="1" t="s">
        <v>1099</v>
      </c>
      <c r="Q371" s="6" t="str">
        <f>IFERROR(__xludf.DUMMYFUNCTION("""COMPUTED_VALUE"""),"subtly")</f>
        <v>subtly</v>
      </c>
      <c r="S371" s="1" t="s">
        <v>2180</v>
      </c>
      <c r="T371" s="6" t="str">
        <f>IFERROR(__xludf.DUMMYFUNCTION("""COMPUTED_VALUE"""),"nomination")</f>
        <v>nomination</v>
      </c>
      <c r="W371" s="8"/>
      <c r="AF371" s="1" t="s">
        <v>2181</v>
      </c>
      <c r="AJ371" s="1" t="s">
        <v>2182</v>
      </c>
      <c r="AM371" s="1" t="s">
        <v>1075</v>
      </c>
    </row>
    <row r="372">
      <c r="E372" s="1" t="s">
        <v>1345</v>
      </c>
      <c r="F372" s="6" t="str">
        <f>IFERROR(__xludf.DUMMYFUNCTION("""COMPUTED_VALUE"""),"claude")</f>
        <v>claude</v>
      </c>
      <c r="H372" s="1" t="s">
        <v>932</v>
      </c>
      <c r="I372" s="6" t="str">
        <f>IFERROR(__xludf.DUMMYFUNCTION("""COMPUTED_VALUE"""),"sequels")</f>
        <v>sequels</v>
      </c>
      <c r="P372" s="1" t="s">
        <v>2183</v>
      </c>
      <c r="Q372" s="6" t="str">
        <f>IFERROR(__xludf.DUMMYFUNCTION("""COMPUTED_VALUE"""),"provoke")</f>
        <v>provoke</v>
      </c>
      <c r="S372" s="1" t="s">
        <v>2184</v>
      </c>
      <c r="T372" s="6" t="str">
        <f>IFERROR(__xludf.DUMMYFUNCTION("""COMPUTED_VALUE"""),"offering")</f>
        <v>offering</v>
      </c>
      <c r="W372" s="8"/>
      <c r="AF372" s="1" t="s">
        <v>2185</v>
      </c>
      <c r="AJ372" s="1" t="s">
        <v>808</v>
      </c>
      <c r="AM372" s="1" t="s">
        <v>1174</v>
      </c>
    </row>
    <row r="373">
      <c r="E373" s="1" t="s">
        <v>495</v>
      </c>
      <c r="F373" s="6" t="str">
        <f>IFERROR(__xludf.DUMMYFUNCTION("""COMPUTED_VALUE"""),"master")</f>
        <v>master</v>
      </c>
      <c r="H373" s="1" t="s">
        <v>937</v>
      </c>
      <c r="I373" s="6" t="str">
        <f>IFERROR(__xludf.DUMMYFUNCTION("""COMPUTED_VALUE"""),"accomplish")</f>
        <v>accomplish</v>
      </c>
      <c r="P373" s="1" t="s">
        <v>2186</v>
      </c>
      <c r="Q373" s="6" t="str">
        <f>IFERROR(__xludf.DUMMYFUNCTION("""COMPUTED_VALUE"""),"collapses")</f>
        <v>collapses</v>
      </c>
      <c r="S373" s="1" t="s">
        <v>2187</v>
      </c>
      <c r="T373" s="6" t="str">
        <f>IFERROR(__xludf.DUMMYFUNCTION("""COMPUTED_VALUE"""),"oscar")</f>
        <v>oscar</v>
      </c>
      <c r="W373" s="8"/>
      <c r="AF373" s="1" t="s">
        <v>629</v>
      </c>
      <c r="AJ373" s="1" t="s">
        <v>863</v>
      </c>
      <c r="AM373" s="1" t="s">
        <v>1082</v>
      </c>
    </row>
    <row r="374">
      <c r="E374" s="1" t="s">
        <v>1061</v>
      </c>
      <c r="F374" s="6" t="str">
        <f>IFERROR(__xludf.DUMMYFUNCTION("""COMPUTED_VALUE"""),"inuit")</f>
        <v>inuit</v>
      </c>
      <c r="H374" s="1" t="s">
        <v>1730</v>
      </c>
      <c r="I374" s="6" t="str">
        <f>IFERROR(__xludf.DUMMYFUNCTION("""COMPUTED_VALUE"""),"poet")</f>
        <v>poet</v>
      </c>
      <c r="P374" s="1" t="s">
        <v>2188</v>
      </c>
      <c r="Q374" s="6" t="str">
        <f>IFERROR(__xludf.DUMMYFUNCTION("""COMPUTED_VALUE"""),"consciousness")</f>
        <v>consciousness</v>
      </c>
      <c r="S374" s="1" t="s">
        <v>2189</v>
      </c>
      <c r="T374" s="6" t="str">
        <f>IFERROR(__xludf.DUMMYFUNCTION("""COMPUTED_VALUE"""),"somehow")</f>
        <v>somehow</v>
      </c>
      <c r="W374" s="8"/>
      <c r="AF374" s="1" t="s">
        <v>2190</v>
      </c>
      <c r="AJ374" s="1" t="s">
        <v>949</v>
      </c>
      <c r="AM374" s="1" t="s">
        <v>2191</v>
      </c>
    </row>
    <row r="375">
      <c r="E375" s="1" t="s">
        <v>256</v>
      </c>
      <c r="F375" s="6" t="str">
        <f>IFERROR(__xludf.DUMMYFUNCTION("""COMPUTED_VALUE"""),"screenplay")</f>
        <v>screenplay</v>
      </c>
      <c r="H375" s="1" t="s">
        <v>1736</v>
      </c>
      <c r="I375" s="6" t="str">
        <f>IFERROR(__xludf.DUMMYFUNCTION("""COMPUTED_VALUE"""),"celebrated")</f>
        <v>celebrated</v>
      </c>
      <c r="P375" s="1" t="s">
        <v>2192</v>
      </c>
      <c r="Q375" s="6" t="str">
        <f>IFERROR(__xludf.DUMMYFUNCTION("""COMPUTED_VALUE"""),"climax")</f>
        <v>climax</v>
      </c>
      <c r="S375" s="1" t="s">
        <v>2193</v>
      </c>
      <c r="T375" s="6" t="str">
        <f>IFERROR(__xludf.DUMMYFUNCTION("""COMPUTED_VALUE"""),"exercise")</f>
        <v>exercise</v>
      </c>
      <c r="W375" s="8"/>
      <c r="AF375" s="1" t="s">
        <v>336</v>
      </c>
      <c r="AJ375" s="1" t="s">
        <v>2194</v>
      </c>
      <c r="AM375" s="1" t="s">
        <v>1088</v>
      </c>
    </row>
    <row r="376">
      <c r="E376" s="1" t="s">
        <v>265</v>
      </c>
      <c r="F376" s="6" t="str">
        <f>IFERROR(__xludf.DUMMYFUNCTION("""COMPUTED_VALUE"""),"tale")</f>
        <v>tale</v>
      </c>
      <c r="H376" s="1" t="s">
        <v>1992</v>
      </c>
      <c r="I376" s="6" t="str">
        <f>IFERROR(__xludf.DUMMYFUNCTION("""COMPUTED_VALUE"""),"sustain")</f>
        <v>sustain</v>
      </c>
      <c r="P376" s="1" t="s">
        <v>2195</v>
      </c>
      <c r="Q376" s="6" t="str">
        <f>IFERROR(__xludf.DUMMYFUNCTION("""COMPUTED_VALUE"""),"jealousy")</f>
        <v>jealousy</v>
      </c>
      <c r="S376" s="1" t="s">
        <v>2196</v>
      </c>
      <c r="T376" s="6" t="str">
        <f>IFERROR(__xludf.DUMMYFUNCTION("""COMPUTED_VALUE"""),"hard")</f>
        <v>hard</v>
      </c>
      <c r="W376" s="8"/>
      <c r="AF376" s="1" t="s">
        <v>2197</v>
      </c>
      <c r="AJ376" s="1" t="s">
        <v>957</v>
      </c>
      <c r="AM376" s="1" t="s">
        <v>395</v>
      </c>
    </row>
    <row r="377">
      <c r="E377" s="1" t="s">
        <v>225</v>
      </c>
      <c r="F377" s="6" t="str">
        <f>IFERROR(__xludf.DUMMYFUNCTION("""COMPUTED_VALUE"""),"thoughtful")</f>
        <v>thoughtful</v>
      </c>
      <c r="H377" s="1" t="s">
        <v>942</v>
      </c>
      <c r="I377" s="6" t="str">
        <f>IFERROR(__xludf.DUMMYFUNCTION("""COMPUTED_VALUE"""),"summer")</f>
        <v>summer</v>
      </c>
      <c r="P377" s="1" t="s">
        <v>1939</v>
      </c>
      <c r="Q377" s="6" t="str">
        <f>IFERROR(__xludf.DUMMYFUNCTION("""COMPUTED_VALUE"""),"autobiographical")</f>
        <v>autobiographical</v>
      </c>
      <c r="S377" s="1" t="s">
        <v>2198</v>
      </c>
      <c r="T377" s="6" t="str">
        <f>IFERROR(__xludf.DUMMYFUNCTION("""COMPUTED_VALUE"""),"fascinating")</f>
        <v>fascinating</v>
      </c>
      <c r="W377" s="8"/>
      <c r="AF377" s="1" t="s">
        <v>1134</v>
      </c>
      <c r="AJ377" s="1" t="s">
        <v>2199</v>
      </c>
      <c r="AM377" s="1" t="s">
        <v>406</v>
      </c>
    </row>
    <row r="378">
      <c r="E378" s="1" t="s">
        <v>1431</v>
      </c>
      <c r="F378" s="6" t="str">
        <f>IFERROR(__xludf.DUMMYFUNCTION("""COMPUTED_VALUE"""),"sitcom")</f>
        <v>sitcom</v>
      </c>
      <c r="H378" s="1" t="s">
        <v>530</v>
      </c>
      <c r="I378" s="6" t="str">
        <f>IFERROR(__xludf.DUMMYFUNCTION("""COMPUTED_VALUE"""),"right")</f>
        <v>right</v>
      </c>
      <c r="P378" s="1" t="s">
        <v>2200</v>
      </c>
      <c r="Q378" s="6" t="str">
        <f>IFERROR(__xludf.DUMMYFUNCTION("""COMPUTED_VALUE"""),"crafted")</f>
        <v>crafted</v>
      </c>
      <c r="S378" s="1" t="s">
        <v>2201</v>
      </c>
      <c r="T378" s="6" t="str">
        <f>IFERROR(__xludf.DUMMYFUNCTION("""COMPUTED_VALUE"""),"martial")</f>
        <v>martial</v>
      </c>
      <c r="W378" s="8"/>
      <c r="AF378" s="1" t="s">
        <v>1140</v>
      </c>
      <c r="AJ378" s="1" t="s">
        <v>2202</v>
      </c>
      <c r="AM378" s="1" t="s">
        <v>1204</v>
      </c>
    </row>
    <row r="379">
      <c r="E379" s="1" t="s">
        <v>2203</v>
      </c>
      <c r="F379" s="6" t="str">
        <f>IFERROR(__xludf.DUMMYFUNCTION("""COMPUTED_VALUE"""),"testament")</f>
        <v>testament</v>
      </c>
      <c r="H379" s="1" t="s">
        <v>87</v>
      </c>
      <c r="I379" s="6" t="str">
        <f>IFERROR(__xludf.DUMMYFUNCTION("""COMPUTED_VALUE"""),"filmmaker")</f>
        <v>filmmaker</v>
      </c>
      <c r="P379" s="1" t="s">
        <v>1982</v>
      </c>
      <c r="Q379" s="6" t="str">
        <f>IFERROR(__xludf.DUMMYFUNCTION("""COMPUTED_VALUE"""),"aging")</f>
        <v>aging</v>
      </c>
      <c r="S379" s="1" t="s">
        <v>960</v>
      </c>
      <c r="T379" s="6" t="str">
        <f>IFERROR(__xludf.DUMMYFUNCTION("""COMPUTED_VALUE"""),"jagged")</f>
        <v>jagged</v>
      </c>
      <c r="W379" s="8"/>
      <c r="AF379" s="1" t="s">
        <v>2204</v>
      </c>
      <c r="AJ379" s="1" t="s">
        <v>2173</v>
      </c>
      <c r="AM379" s="1" t="s">
        <v>1209</v>
      </c>
    </row>
    <row r="380">
      <c r="E380" s="1" t="s">
        <v>1436</v>
      </c>
      <c r="F380" s="6" t="str">
        <f>IFERROR(__xludf.DUMMYFUNCTION("""COMPUTED_VALUE"""),"ability")</f>
        <v>ability</v>
      </c>
      <c r="H380" s="1" t="s">
        <v>1754</v>
      </c>
      <c r="I380" s="6" t="str">
        <f>IFERROR(__xludf.DUMMYFUNCTION("""COMPUTED_VALUE"""),"ambitious")</f>
        <v>ambitious</v>
      </c>
      <c r="P380" s="1" t="s">
        <v>2205</v>
      </c>
      <c r="Q380" s="6" t="str">
        <f>IFERROR(__xludf.DUMMYFUNCTION("""COMPUTED_VALUE"""),"heightened")</f>
        <v>heightened</v>
      </c>
      <c r="S380" s="1" t="s">
        <v>983</v>
      </c>
      <c r="T380" s="6" t="str">
        <f>IFERROR(__xludf.DUMMYFUNCTION("""COMPUTED_VALUE"""),"stream")</f>
        <v>stream</v>
      </c>
      <c r="W380" s="8"/>
      <c r="AF380" s="1" t="s">
        <v>2206</v>
      </c>
      <c r="AJ380" s="1" t="s">
        <v>508</v>
      </c>
      <c r="AM380" s="1" t="s">
        <v>2001</v>
      </c>
    </row>
    <row r="381">
      <c r="E381" s="1" t="s">
        <v>1972</v>
      </c>
      <c r="F381" s="6" t="str">
        <f>IFERROR(__xludf.DUMMYFUNCTION("""COMPUTED_VALUE"""),"report")</f>
        <v>report</v>
      </c>
      <c r="H381" s="1">
        <v>84.0</v>
      </c>
      <c r="I381" s="6" t="str">
        <f>IFERROR(__xludf.DUMMYFUNCTION("""COMPUTED_VALUE"""),"taboo")</f>
        <v>taboo</v>
      </c>
      <c r="P381" s="1" t="s">
        <v>2207</v>
      </c>
      <c r="Q381" s="6" t="str">
        <f>IFERROR(__xludf.DUMMYFUNCTION("""COMPUTED_VALUE"""),"virtues")</f>
        <v>virtues</v>
      </c>
      <c r="S381" s="1" t="s">
        <v>980</v>
      </c>
      <c r="T381" s="6" t="str">
        <f>IFERROR(__xludf.DUMMYFUNCTION("""COMPUTED_VALUE"""),"manufactured")</f>
        <v>manufactured</v>
      </c>
      <c r="W381" s="8"/>
      <c r="AF381" s="1" t="s">
        <v>2208</v>
      </c>
      <c r="AJ381" s="1" t="s">
        <v>517</v>
      </c>
      <c r="AM381" s="1" t="s">
        <v>222</v>
      </c>
    </row>
    <row r="382">
      <c r="E382" s="1" t="s">
        <v>352</v>
      </c>
      <c r="F382" s="6" t="str">
        <f>IFERROR(__xludf.DUMMYFUNCTION("""COMPUTED_VALUE"""),"palestinian")</f>
        <v>palestinian</v>
      </c>
      <c r="H382" s="1" t="s">
        <v>1257</v>
      </c>
      <c r="I382" s="6" t="str">
        <f>IFERROR(__xludf.DUMMYFUNCTION("""COMPUTED_VALUE"""),"subject")</f>
        <v>subject</v>
      </c>
      <c r="P382" s="1" t="s">
        <v>2209</v>
      </c>
      <c r="Q382" s="6" t="str">
        <f>IFERROR(__xludf.DUMMYFUNCTION("""COMPUTED_VALUE"""),"flawed")</f>
        <v>flawed</v>
      </c>
      <c r="S382" s="1" t="s">
        <v>1883</v>
      </c>
      <c r="T382" s="6" t="str">
        <f>IFERROR(__xludf.DUMMYFUNCTION("""COMPUTED_VALUE"""),"slick")</f>
        <v>slick</v>
      </c>
      <c r="W382" s="8"/>
      <c r="AF382" s="1" t="s">
        <v>2210</v>
      </c>
      <c r="AJ382" s="1" t="s">
        <v>971</v>
      </c>
      <c r="AM382" s="1" t="s">
        <v>2211</v>
      </c>
    </row>
    <row r="383">
      <c r="E383" s="1" t="s">
        <v>527</v>
      </c>
      <c r="F383" s="6" t="str">
        <f>IFERROR(__xludf.DUMMYFUNCTION("""COMPUTED_VALUE"""),"suffers")</f>
        <v>suffers</v>
      </c>
      <c r="H383" s="1" t="s">
        <v>333</v>
      </c>
      <c r="I383" s="6" t="str">
        <f>IFERROR(__xludf.DUMMYFUNCTION("""COMPUTED_VALUE"""),"interference")</f>
        <v>interference</v>
      </c>
      <c r="P383" s="1" t="s">
        <v>2212</v>
      </c>
      <c r="Q383" s="6" t="str">
        <f>IFERROR(__xludf.DUMMYFUNCTION("""COMPUTED_VALUE"""),"optimism")</f>
        <v>optimism</v>
      </c>
      <c r="S383" s="1" t="s">
        <v>2213</v>
      </c>
      <c r="T383" s="6" t="str">
        <f>IFERROR(__xludf.DUMMYFUNCTION("""COMPUTED_VALUE"""),"credibility")</f>
        <v>credibility</v>
      </c>
      <c r="W383" s="8"/>
      <c r="AF383" s="1" t="s">
        <v>1147</v>
      </c>
      <c r="AJ383" s="1" t="s">
        <v>2214</v>
      </c>
      <c r="AM383" s="1" t="s">
        <v>2215</v>
      </c>
    </row>
    <row r="384">
      <c r="E384" s="1" t="s">
        <v>960</v>
      </c>
      <c r="F384" s="6" t="str">
        <f>IFERROR(__xludf.DUMMYFUNCTION("""COMPUTED_VALUE"""),"strong")</f>
        <v>strong</v>
      </c>
      <c r="H384" s="1" t="s">
        <v>1770</v>
      </c>
      <c r="I384" s="6" t="str">
        <f>IFERROR(__xludf.DUMMYFUNCTION("""COMPUTED_VALUE"""),"weaknesses")</f>
        <v>weaknesses</v>
      </c>
      <c r="P384" s="1" t="s">
        <v>2216</v>
      </c>
      <c r="Q384" s="6" t="str">
        <f>IFERROR(__xludf.DUMMYFUNCTION("""COMPUTED_VALUE"""),"intentions")</f>
        <v>intentions</v>
      </c>
      <c r="S384" s="1" t="s">
        <v>976</v>
      </c>
      <c r="T384" s="6" t="str">
        <f>IFERROR(__xludf.DUMMYFUNCTION("""COMPUTED_VALUE"""),"actresses")</f>
        <v>actresses</v>
      </c>
      <c r="W384" s="8"/>
      <c r="AF384" s="1" t="s">
        <v>1152</v>
      </c>
      <c r="AJ384" s="1" t="s">
        <v>526</v>
      </c>
      <c r="AM384" s="1" t="s">
        <v>2217</v>
      </c>
    </row>
    <row r="385">
      <c r="E385" s="1" t="s">
        <v>1215</v>
      </c>
      <c r="F385" s="6" t="str">
        <f>IFERROR(__xludf.DUMMYFUNCTION("""COMPUTED_VALUE"""),"flickering")</f>
        <v>flickering</v>
      </c>
      <c r="H385" s="1" t="s">
        <v>822</v>
      </c>
      <c r="I385" s="6" t="str">
        <f>IFERROR(__xludf.DUMMYFUNCTION("""COMPUTED_VALUE"""),"overcome")</f>
        <v>overcome</v>
      </c>
      <c r="P385" s="1" t="s">
        <v>882</v>
      </c>
      <c r="Q385" s="6" t="str">
        <f>IFERROR(__xludf.DUMMYFUNCTION("""COMPUTED_VALUE"""),"chamber")</f>
        <v>chamber</v>
      </c>
      <c r="S385" s="1" t="s">
        <v>2218</v>
      </c>
      <c r="T385" s="6" t="str">
        <f>IFERROR(__xludf.DUMMYFUNCTION("""COMPUTED_VALUE"""),"take")</f>
        <v>take</v>
      </c>
      <c r="W385" s="8"/>
      <c r="AF385" s="1" t="s">
        <v>1496</v>
      </c>
      <c r="AJ385" s="1" t="s">
        <v>2219</v>
      </c>
      <c r="AM385" s="1" t="s">
        <v>760</v>
      </c>
    </row>
    <row r="386">
      <c r="E386" s="1" t="s">
        <v>1398</v>
      </c>
      <c r="F386" s="6" t="str">
        <f>IFERROR(__xludf.DUMMYFUNCTION("""COMPUTED_VALUE"""),"midway")</f>
        <v>midway</v>
      </c>
      <c r="H386" s="1" t="s">
        <v>1020</v>
      </c>
      <c r="I386" s="6" t="str">
        <f>IFERROR(__xludf.DUMMYFUNCTION("""COMPUTED_VALUE"""),"carmen")</f>
        <v>carmen</v>
      </c>
      <c r="P386" s="1" t="s">
        <v>2220</v>
      </c>
      <c r="Q386" s="6" t="str">
        <f>IFERROR(__xludf.DUMMYFUNCTION("""COMPUTED_VALUE"""),"cultural")</f>
        <v>cultural</v>
      </c>
      <c r="S386" s="1" t="s">
        <v>2221</v>
      </c>
      <c r="T386" s="6" t="str">
        <f>IFERROR(__xludf.DUMMYFUNCTION("""COMPUTED_VALUE"""),"quentin")</f>
        <v>quentin</v>
      </c>
      <c r="W386" s="8"/>
      <c r="AF386" s="1" t="s">
        <v>1158</v>
      </c>
      <c r="AJ386" s="1" t="s">
        <v>2200</v>
      </c>
      <c r="AM386" s="1" t="s">
        <v>1115</v>
      </c>
    </row>
    <row r="387">
      <c r="E387" s="1" t="s">
        <v>2222</v>
      </c>
      <c r="F387" s="6" t="str">
        <f>IFERROR(__xludf.DUMMYFUNCTION("""COMPUTED_VALUE"""),"dragon")</f>
        <v>dragon</v>
      </c>
      <c r="H387" s="1" t="s">
        <v>2023</v>
      </c>
      <c r="I387" s="6" t="str">
        <f>IFERROR(__xludf.DUMMYFUNCTION("""COMPUTED_VALUE"""),"run")</f>
        <v>run</v>
      </c>
      <c r="P387" s="1" t="s">
        <v>2223</v>
      </c>
      <c r="Q387" s="6" t="str">
        <f>IFERROR(__xludf.DUMMYFUNCTION("""COMPUTED_VALUE"""),"amid")</f>
        <v>amid</v>
      </c>
      <c r="S387" s="1" t="s">
        <v>2224</v>
      </c>
      <c r="T387" s="6" t="str">
        <f>IFERROR(__xludf.DUMMYFUNCTION("""COMPUTED_VALUE"""),"desperately")</f>
        <v>desperately</v>
      </c>
      <c r="W387" s="8"/>
      <c r="AF387" s="1" t="s">
        <v>1163</v>
      </c>
      <c r="AJ387" s="1" t="s">
        <v>628</v>
      </c>
      <c r="AM387" s="1" t="s">
        <v>2225</v>
      </c>
    </row>
    <row r="388">
      <c r="E388" s="1" t="s">
        <v>1411</v>
      </c>
      <c r="F388" s="6" t="str">
        <f>IFERROR(__xludf.DUMMYFUNCTION("""COMPUTED_VALUE"""),"rodriguez")</f>
        <v>rodriguez</v>
      </c>
      <c r="H388" s="1" t="s">
        <v>2014</v>
      </c>
      <c r="I388" s="6" t="str">
        <f>IFERROR(__xludf.DUMMYFUNCTION("""COMPUTED_VALUE"""),"low")</f>
        <v>low</v>
      </c>
      <c r="P388" s="1" t="s">
        <v>2226</v>
      </c>
      <c r="Q388" s="6" t="str">
        <f>IFERROR(__xludf.DUMMYFUNCTION("""COMPUTED_VALUE"""),"morality")</f>
        <v>morality</v>
      </c>
      <c r="S388" s="1" t="s">
        <v>2227</v>
      </c>
      <c r="T388" s="6" t="str">
        <f>IFERROR(__xludf.DUMMYFUNCTION("""COMPUTED_VALUE"""),"grow")</f>
        <v>grow</v>
      </c>
      <c r="W388" s="8"/>
      <c r="AF388" s="1" t="s">
        <v>78</v>
      </c>
      <c r="AJ388" s="1" t="s">
        <v>2228</v>
      </c>
      <c r="AM388" s="1" t="s">
        <v>424</v>
      </c>
    </row>
    <row r="389">
      <c r="E389" s="1" t="s">
        <v>2229</v>
      </c>
      <c r="F389" s="6" t="str">
        <f>IFERROR(__xludf.DUMMYFUNCTION("""COMPUTED_VALUE"""),"lightweight")</f>
        <v>lightweight</v>
      </c>
      <c r="H389" s="1" t="s">
        <v>1775</v>
      </c>
      <c r="I389" s="6" t="str">
        <f>IFERROR(__xludf.DUMMYFUNCTION("""COMPUTED_VALUE"""),"ode")</f>
        <v>ode</v>
      </c>
      <c r="P389" s="1" t="s">
        <v>2230</v>
      </c>
      <c r="Q389" s="6" t="str">
        <f>IFERROR(__xludf.DUMMYFUNCTION("""COMPUTED_VALUE"""),"futuristic")</f>
        <v>futuristic</v>
      </c>
      <c r="S389" s="1" t="s">
        <v>2231</v>
      </c>
      <c r="T389" s="6" t="str">
        <f>IFERROR(__xludf.DUMMYFUNCTION("""COMPUTED_VALUE"""),"well")</f>
        <v>well</v>
      </c>
      <c r="W389" s="8"/>
      <c r="AF389" s="1" t="s">
        <v>2232</v>
      </c>
      <c r="AJ389" s="1" t="s">
        <v>882</v>
      </c>
      <c r="AM389" s="1" t="s">
        <v>1129</v>
      </c>
    </row>
    <row r="390">
      <c r="E390" s="1" t="s">
        <v>2233</v>
      </c>
      <c r="F390" s="6" t="str">
        <f>IFERROR(__xludf.DUMMYFUNCTION("""COMPUTED_VALUE"""),"pleasing")</f>
        <v>pleasing</v>
      </c>
      <c r="H390" s="1" t="s">
        <v>1779</v>
      </c>
      <c r="I390" s="6" t="str">
        <f>IFERROR(__xludf.DUMMYFUNCTION("""COMPUTED_VALUE"""),"muttering")</f>
        <v>muttering</v>
      </c>
      <c r="P390" s="1" t="s">
        <v>636</v>
      </c>
      <c r="Q390" s="6" t="str">
        <f>IFERROR(__xludf.DUMMYFUNCTION("""COMPUTED_VALUE"""),"circuit")</f>
        <v>circuit</v>
      </c>
      <c r="S390" s="1" t="s">
        <v>2234</v>
      </c>
      <c r="T390" s="6" t="str">
        <f>IFERROR(__xludf.DUMMYFUNCTION("""COMPUTED_VALUE"""),"hugh")</f>
        <v>hugh</v>
      </c>
      <c r="W390" s="8"/>
      <c r="AF390" s="1" t="s">
        <v>2235</v>
      </c>
      <c r="AJ390" s="1" t="s">
        <v>2223</v>
      </c>
      <c r="AM390" s="1" t="s">
        <v>1135</v>
      </c>
    </row>
    <row r="391">
      <c r="E391" s="1" t="s">
        <v>2236</v>
      </c>
      <c r="F391" s="6" t="str">
        <f>IFERROR(__xludf.DUMMYFUNCTION("""COMPUTED_VALUE"""),"purpose")</f>
        <v>purpose</v>
      </c>
      <c r="H391" s="1" t="s">
        <v>1786</v>
      </c>
      <c r="I391" s="6" t="str">
        <f>IFERROR(__xludf.DUMMYFUNCTION("""COMPUTED_VALUE"""),"walked")</f>
        <v>walked</v>
      </c>
      <c r="P391" s="1" t="s">
        <v>2237</v>
      </c>
      <c r="Q391" s="6" t="str">
        <f>IFERROR(__xludf.DUMMYFUNCTION("""COMPUTED_VALUE"""),"swept")</f>
        <v>swept</v>
      </c>
      <c r="S391" s="1" t="s">
        <v>2238</v>
      </c>
      <c r="T391" s="6" t="str">
        <f>IFERROR(__xludf.DUMMYFUNCTION("""COMPUTED_VALUE"""),"grant")</f>
        <v>grant</v>
      </c>
      <c r="W391" s="8"/>
      <c r="AF391" s="1" t="s">
        <v>2239</v>
      </c>
      <c r="AJ391" s="1" t="s">
        <v>636</v>
      </c>
      <c r="AM391" s="1" t="s">
        <v>936</v>
      </c>
    </row>
    <row r="392">
      <c r="E392" s="1" t="s">
        <v>2240</v>
      </c>
      <c r="F392" s="6" t="str">
        <f>IFERROR(__xludf.DUMMYFUNCTION("""COMPUTED_VALUE"""),"triumphant")</f>
        <v>triumphant</v>
      </c>
      <c r="H392" s="1" t="s">
        <v>1793</v>
      </c>
      <c r="I392" s="6" t="str">
        <f>IFERROR(__xludf.DUMMYFUNCTION("""COMPUTED_VALUE"""),"backward")</f>
        <v>backward</v>
      </c>
      <c r="P392" s="1" t="s">
        <v>2241</v>
      </c>
      <c r="Q392" s="6" t="str">
        <f>IFERROR(__xludf.DUMMYFUNCTION("""COMPUTED_VALUE"""),"lad")</f>
        <v>lad</v>
      </c>
      <c r="S392" s="1" t="s">
        <v>388</v>
      </c>
      <c r="T392" s="6" t="str">
        <f>IFERROR(__xludf.DUMMYFUNCTION("""COMPUTED_VALUE"""),"early")</f>
        <v>early</v>
      </c>
      <c r="W392" s="8"/>
      <c r="AF392" s="1" t="s">
        <v>2242</v>
      </c>
      <c r="AJ392" s="1" t="s">
        <v>885</v>
      </c>
      <c r="AM392" s="1" t="s">
        <v>1141</v>
      </c>
    </row>
    <row r="393">
      <c r="E393" s="1" t="s">
        <v>274</v>
      </c>
      <c r="F393" s="6" t="str">
        <f>IFERROR(__xludf.DUMMYFUNCTION("""COMPUTED_VALUE"""),"wry")</f>
        <v>wry</v>
      </c>
      <c r="H393" s="1" t="s">
        <v>972</v>
      </c>
      <c r="I393" s="6" t="str">
        <f>IFERROR(__xludf.DUMMYFUNCTION("""COMPUTED_VALUE"""),"exciting")</f>
        <v>exciting</v>
      </c>
      <c r="P393" s="1" t="s">
        <v>2243</v>
      </c>
      <c r="Q393" s="6" t="str">
        <f>IFERROR(__xludf.DUMMYFUNCTION("""COMPUTED_VALUE"""),"homosexual")</f>
        <v>homosexual</v>
      </c>
      <c r="S393" s="1" t="s">
        <v>996</v>
      </c>
      <c r="T393" s="6" t="str">
        <f>IFERROR(__xludf.DUMMYFUNCTION("""COMPUTED_VALUE"""),"insight")</f>
        <v>insight</v>
      </c>
      <c r="W393" s="8"/>
      <c r="AF393" s="1" t="s">
        <v>2244</v>
      </c>
      <c r="AJ393" s="1" t="s">
        <v>985</v>
      </c>
      <c r="AM393" s="1" t="s">
        <v>116</v>
      </c>
    </row>
    <row r="394">
      <c r="E394" s="1" t="s">
        <v>283</v>
      </c>
      <c r="F394" s="6" t="str">
        <f>IFERROR(__xludf.DUMMYFUNCTION("""COMPUTED_VALUE"""),"mayhem")</f>
        <v>mayhem</v>
      </c>
      <c r="H394" s="1" t="s">
        <v>267</v>
      </c>
      <c r="I394" s="6" t="str">
        <f>IFERROR(__xludf.DUMMYFUNCTION("""COMPUTED_VALUE"""),"luminous")</f>
        <v>luminous</v>
      </c>
      <c r="P394" s="1" t="s">
        <v>154</v>
      </c>
      <c r="Q394" s="6" t="str">
        <f>IFERROR(__xludf.DUMMYFUNCTION("""COMPUTED_VALUE"""),"gangster")</f>
        <v>gangster</v>
      </c>
      <c r="S394" s="1" t="s">
        <v>749</v>
      </c>
      <c r="T394" s="6" t="str">
        <f>IFERROR(__xludf.DUMMYFUNCTION("""COMPUTED_VALUE"""),"hours")</f>
        <v>hours</v>
      </c>
      <c r="W394" s="8"/>
      <c r="AF394" s="1" t="s">
        <v>2245</v>
      </c>
      <c r="AJ394" s="1" t="s">
        <v>154</v>
      </c>
      <c r="AM394" s="1" t="s">
        <v>2246</v>
      </c>
    </row>
    <row r="395">
      <c r="E395" s="1" t="s">
        <v>1452</v>
      </c>
      <c r="F395" s="6" t="str">
        <f>IFERROR(__xludf.DUMMYFUNCTION("""COMPUTED_VALUE"""),"plots")</f>
        <v>plots</v>
      </c>
      <c r="H395" s="1" t="s">
        <v>1806</v>
      </c>
      <c r="I395" s="6" t="str">
        <f>IFERROR(__xludf.DUMMYFUNCTION("""COMPUTED_VALUE"""),"interviews")</f>
        <v>interviews</v>
      </c>
      <c r="P395" s="1" t="s">
        <v>643</v>
      </c>
      <c r="Q395" s="6" t="str">
        <f>IFERROR(__xludf.DUMMYFUNCTION("""COMPUTED_VALUE"""),"reign")</f>
        <v>reign</v>
      </c>
      <c r="S395" s="1" t="s">
        <v>2247</v>
      </c>
      <c r="T395" s="6" t="str">
        <f>IFERROR(__xludf.DUMMYFUNCTION("""COMPUTED_VALUE"""),"blue")</f>
        <v>blue</v>
      </c>
      <c r="W395" s="8"/>
      <c r="AF395" s="1" t="s">
        <v>2248</v>
      </c>
      <c r="AJ395" s="1" t="s">
        <v>643</v>
      </c>
      <c r="AM395" s="1" t="s">
        <v>1154</v>
      </c>
    </row>
    <row r="396">
      <c r="E396" s="1" t="s">
        <v>361</v>
      </c>
      <c r="F396" s="6" t="str">
        <f>IFERROR(__xludf.DUMMYFUNCTION("""COMPUTED_VALUE"""),"plotted")</f>
        <v>plotted</v>
      </c>
      <c r="H396" s="1" t="s">
        <v>1121</v>
      </c>
      <c r="I396" s="6" t="str">
        <f>IFERROR(__xludf.DUMMYFUNCTION("""COMPUTED_VALUE"""),"lynch")</f>
        <v>lynch</v>
      </c>
      <c r="P396" s="1" t="s">
        <v>2249</v>
      </c>
      <c r="Q396" s="6" t="str">
        <f>IFERROR(__xludf.DUMMYFUNCTION("""COMPUTED_VALUE"""),"disguise")</f>
        <v>disguise</v>
      </c>
      <c r="S396" s="1" t="s">
        <v>2250</v>
      </c>
      <c r="T396" s="6" t="str">
        <f>IFERROR(__xludf.DUMMYFUNCTION("""COMPUTED_VALUE"""),"brown")</f>
        <v>brown</v>
      </c>
      <c r="W396" s="8"/>
      <c r="AF396" s="1" t="s">
        <v>176</v>
      </c>
      <c r="AJ396" s="1" t="s">
        <v>648</v>
      </c>
      <c r="AM396" s="1" t="s">
        <v>431</v>
      </c>
    </row>
    <row r="397">
      <c r="E397" s="1" t="s">
        <v>2251</v>
      </c>
      <c r="F397" s="6" t="str">
        <f>IFERROR(__xludf.DUMMYFUNCTION("""COMPUTED_VALUE"""),"hastily")</f>
        <v>hastily</v>
      </c>
      <c r="H397" s="1">
        <v>90.0</v>
      </c>
      <c r="I397" s="6" t="str">
        <f>IFERROR(__xludf.DUMMYFUNCTION("""COMPUTED_VALUE"""),"trier")</f>
        <v>trier</v>
      </c>
      <c r="P397" s="1" t="s">
        <v>533</v>
      </c>
      <c r="Q397" s="6" t="str">
        <f>IFERROR(__xludf.DUMMYFUNCTION("""COMPUTED_VALUE"""),"hampered")</f>
        <v>hampered</v>
      </c>
      <c r="S397" s="1" t="s">
        <v>2252</v>
      </c>
      <c r="T397" s="6" t="str">
        <f>IFERROR(__xludf.DUMMYFUNCTION("""COMPUTED_VALUE"""),"green")</f>
        <v>green</v>
      </c>
      <c r="W397" s="8"/>
      <c r="AF397" s="1" t="s">
        <v>1176</v>
      </c>
      <c r="AJ397" s="1" t="s">
        <v>2253</v>
      </c>
      <c r="AM397" s="1" t="s">
        <v>2254</v>
      </c>
    </row>
    <row r="398">
      <c r="E398" s="1" t="s">
        <v>31</v>
      </c>
      <c r="F398" s="6" t="str">
        <f>IFERROR(__xludf.DUMMYFUNCTION("""COMPUTED_VALUE"""),"bombs")</f>
        <v>bombs</v>
      </c>
      <c r="H398" s="1" t="s">
        <v>1818</v>
      </c>
      <c r="I398" s="6" t="str">
        <f>IFERROR(__xludf.DUMMYFUNCTION("""COMPUTED_VALUE"""),"failing")</f>
        <v>failing</v>
      </c>
      <c r="P398" s="1" t="s">
        <v>2255</v>
      </c>
      <c r="Q398" s="6" t="str">
        <f>IFERROR(__xludf.DUMMYFUNCTION("""COMPUTED_VALUE"""),"notion")</f>
        <v>notion</v>
      </c>
      <c r="S398" s="1" t="s">
        <v>258</v>
      </c>
      <c r="T398" s="6" t="str">
        <f>IFERROR(__xludf.DUMMYFUNCTION("""COMPUTED_VALUE"""),"crime")</f>
        <v>crime</v>
      </c>
      <c r="W398" s="8"/>
      <c r="AF398" s="1" t="s">
        <v>2256</v>
      </c>
      <c r="AJ398" s="1" t="s">
        <v>2257</v>
      </c>
      <c r="AM398" s="1" t="s">
        <v>1164</v>
      </c>
    </row>
    <row r="399">
      <c r="E399" s="1" t="s">
        <v>1467</v>
      </c>
      <c r="F399" s="6" t="str">
        <f>IFERROR(__xludf.DUMMYFUNCTION("""COMPUTED_VALUE"""),"stories")</f>
        <v>stories</v>
      </c>
      <c r="H399" s="1" t="s">
        <v>306</v>
      </c>
      <c r="I399" s="6" t="str">
        <f>IFERROR(__xludf.DUMMYFUNCTION("""COMPUTED_VALUE"""),"astonishing")</f>
        <v>astonishing</v>
      </c>
      <c r="P399" s="1" t="s">
        <v>2258</v>
      </c>
      <c r="Q399" s="6" t="str">
        <f>IFERROR(__xludf.DUMMYFUNCTION("""COMPUTED_VALUE"""),"crucial")</f>
        <v>crucial</v>
      </c>
      <c r="S399" s="1" t="s">
        <v>2259</v>
      </c>
      <c r="T399" s="6" t="str">
        <f>IFERROR(__xludf.DUMMYFUNCTION("""COMPUTED_VALUE"""),"celebration")</f>
        <v>celebration</v>
      </c>
      <c r="W399" s="8"/>
      <c r="AF399" s="1" t="s">
        <v>1183</v>
      </c>
      <c r="AJ399" s="1" t="s">
        <v>533</v>
      </c>
      <c r="AM399" s="1" t="s">
        <v>1170</v>
      </c>
    </row>
    <row r="400">
      <c r="E400" s="1" t="s">
        <v>1473</v>
      </c>
      <c r="F400" s="6" t="str">
        <f>IFERROR(__xludf.DUMMYFUNCTION("""COMPUTED_VALUE"""),"surface")</f>
        <v>surface</v>
      </c>
      <c r="H400" s="1" t="s">
        <v>2054</v>
      </c>
      <c r="I400" s="6" t="str">
        <f>IFERROR(__xludf.DUMMYFUNCTION("""COMPUTED_VALUE"""),"thrill")</f>
        <v>thrill</v>
      </c>
      <c r="P400" s="1" t="s">
        <v>927</v>
      </c>
      <c r="Q400" s="6" t="str">
        <f>IFERROR(__xludf.DUMMYFUNCTION("""COMPUTED_VALUE"""),"slump")</f>
        <v>slump</v>
      </c>
      <c r="S400" s="1" t="s">
        <v>2260</v>
      </c>
      <c r="T400" s="6" t="str">
        <f>IFERROR(__xludf.DUMMYFUNCTION("""COMPUTED_VALUE"""),"heal")</f>
        <v>heal</v>
      </c>
      <c r="W400" s="8"/>
      <c r="AF400" s="1" t="s">
        <v>2261</v>
      </c>
      <c r="AJ400" s="1" t="s">
        <v>1002</v>
      </c>
      <c r="AM400" s="1" t="s">
        <v>1238</v>
      </c>
    </row>
    <row r="401">
      <c r="E401" s="1" t="s">
        <v>1480</v>
      </c>
      <c r="F401" s="6" t="str">
        <f>IFERROR(__xludf.DUMMYFUNCTION("""COMPUTED_VALUE"""),"stupidity")</f>
        <v>stupidity</v>
      </c>
      <c r="H401" s="1" t="s">
        <v>219</v>
      </c>
      <c r="I401" s="6" t="str">
        <f>IFERROR(__xludf.DUMMYFUNCTION("""COMPUTED_VALUE"""),"growth")</f>
        <v>growth</v>
      </c>
      <c r="P401" s="1" t="s">
        <v>1002</v>
      </c>
      <c r="Q401" s="6" t="str">
        <f>IFERROR(__xludf.DUMMYFUNCTION("""COMPUTED_VALUE"""),"sophomore")</f>
        <v>sophomore</v>
      </c>
      <c r="S401" s="1" t="s">
        <v>2262</v>
      </c>
      <c r="T401" s="6" t="str">
        <f>IFERROR(__xludf.DUMMYFUNCTION("""COMPUTED_VALUE"""),"red")</f>
        <v>red</v>
      </c>
      <c r="W401" s="8"/>
      <c r="AF401" s="1" t="s">
        <v>1191</v>
      </c>
      <c r="AJ401" s="1" t="s">
        <v>1007</v>
      </c>
      <c r="AM401" s="1" t="s">
        <v>2263</v>
      </c>
    </row>
    <row r="402">
      <c r="E402" s="1" t="s">
        <v>1497</v>
      </c>
      <c r="F402" s="6" t="str">
        <f>IFERROR(__xludf.DUMMYFUNCTION("""COMPUTED_VALUE"""),"depths")</f>
        <v>depths</v>
      </c>
      <c r="H402" s="1" t="s">
        <v>344</v>
      </c>
      <c r="I402" s="6" t="str">
        <f>IFERROR(__xludf.DUMMYFUNCTION("""COMPUTED_VALUE"""),"opera")</f>
        <v>opera</v>
      </c>
      <c r="P402" s="1" t="s">
        <v>2264</v>
      </c>
      <c r="Q402" s="6" t="str">
        <f>IFERROR(__xludf.DUMMYFUNCTION("""COMPUTED_VALUE"""),"70s")</f>
        <v>70s</v>
      </c>
      <c r="S402" s="1" t="s">
        <v>2265</v>
      </c>
      <c r="T402" s="6" t="str">
        <f>IFERROR(__xludf.DUMMYFUNCTION("""COMPUTED_VALUE"""),"warm")</f>
        <v>warm</v>
      </c>
      <c r="W402" s="8"/>
      <c r="AF402" s="1" t="s">
        <v>1194</v>
      </c>
      <c r="AJ402" s="1" t="s">
        <v>2266</v>
      </c>
      <c r="AM402" s="1" t="s">
        <v>439</v>
      </c>
    </row>
    <row r="403">
      <c r="E403" s="1" t="s">
        <v>2267</v>
      </c>
      <c r="F403" s="6" t="str">
        <f>IFERROR(__xludf.DUMMYFUNCTION("""COMPUTED_VALUE"""),"machine")</f>
        <v>machine</v>
      </c>
      <c r="H403" s="1" t="s">
        <v>1827</v>
      </c>
      <c r="I403" s="6" t="str">
        <f>IFERROR(__xludf.DUMMYFUNCTION("""COMPUTED_VALUE"""),"showdown")</f>
        <v>showdown</v>
      </c>
      <c r="P403" s="1" t="s">
        <v>2268</v>
      </c>
      <c r="Q403" s="6" t="str">
        <f>IFERROR(__xludf.DUMMYFUNCTION("""COMPUTED_VALUE"""),"conflict")</f>
        <v>conflict</v>
      </c>
      <c r="S403" s="1" t="s">
        <v>2269</v>
      </c>
      <c r="T403" s="6" t="str">
        <f>IFERROR(__xludf.DUMMYFUNCTION("""COMPUTED_VALUE"""),"energy")</f>
        <v>energy</v>
      </c>
      <c r="W403" s="8"/>
      <c r="AF403" s="1" t="s">
        <v>2270</v>
      </c>
      <c r="AJ403" s="1" t="s">
        <v>2271</v>
      </c>
      <c r="AM403" s="1" t="s">
        <v>1184</v>
      </c>
    </row>
    <row r="404">
      <c r="E404" s="1" t="s">
        <v>1487</v>
      </c>
      <c r="F404" s="6" t="str">
        <f>IFERROR(__xludf.DUMMYFUNCTION("""COMPUTED_VALUE"""),"complexity")</f>
        <v>complexity</v>
      </c>
      <c r="H404" s="1" t="s">
        <v>599</v>
      </c>
      <c r="I404" s="6" t="str">
        <f>IFERROR(__xludf.DUMMYFUNCTION("""COMPUTED_VALUE"""),"species")</f>
        <v>species</v>
      </c>
      <c r="P404" s="1" t="s">
        <v>2272</v>
      </c>
      <c r="Q404" s="6" t="str">
        <f>IFERROR(__xludf.DUMMYFUNCTION("""COMPUTED_VALUE"""),"recalls")</f>
        <v>recalls</v>
      </c>
      <c r="S404" s="1" t="s">
        <v>1022</v>
      </c>
      <c r="T404" s="6" t="str">
        <f>IFERROR(__xludf.DUMMYFUNCTION("""COMPUTED_VALUE"""),"metaphor")</f>
        <v>metaphor</v>
      </c>
      <c r="W404" s="8"/>
      <c r="AF404" s="1" t="s">
        <v>2273</v>
      </c>
      <c r="AJ404" s="1" t="s">
        <v>1014</v>
      </c>
      <c r="AM404" s="1" t="s">
        <v>945</v>
      </c>
    </row>
    <row r="405">
      <c r="E405" s="1" t="s">
        <v>376</v>
      </c>
      <c r="F405" s="6" t="str">
        <f>IFERROR(__xludf.DUMMYFUNCTION("""COMPUTED_VALUE"""),"darkness")</f>
        <v>darkness</v>
      </c>
      <c r="H405" s="1" t="s">
        <v>1838</v>
      </c>
      <c r="I405" s="6" t="str">
        <f>IFERROR(__xludf.DUMMYFUNCTION("""COMPUTED_VALUE"""),"evade")</f>
        <v>evade</v>
      </c>
      <c r="P405" s="1" t="s">
        <v>747</v>
      </c>
      <c r="Q405" s="6" t="str">
        <f>IFERROR(__xludf.DUMMYFUNCTION("""COMPUTED_VALUE"""),"infectious")</f>
        <v>infectious</v>
      </c>
      <c r="S405" s="1" t="s">
        <v>2274</v>
      </c>
      <c r="T405" s="6" t="str">
        <f>IFERROR(__xludf.DUMMYFUNCTION("""COMPUTED_VALUE"""),"wanting")</f>
        <v>wanting</v>
      </c>
      <c r="W405" s="8"/>
      <c r="AF405" s="1" t="s">
        <v>2275</v>
      </c>
      <c r="AJ405" s="1" t="s">
        <v>1024</v>
      </c>
      <c r="AM405" s="1" t="s">
        <v>1195</v>
      </c>
    </row>
    <row r="406">
      <c r="E406" s="1" t="s">
        <v>2276</v>
      </c>
      <c r="F406" s="6" t="str">
        <f>IFERROR(__xludf.DUMMYFUNCTION("""COMPUTED_VALUE"""),"insults")</f>
        <v>insults</v>
      </c>
      <c r="H406" s="1" t="s">
        <v>192</v>
      </c>
      <c r="I406" s="6" t="str">
        <f>IFERROR(__xludf.DUMMYFUNCTION("""COMPUTED_VALUE"""),"enjoyable")</f>
        <v>enjoyable</v>
      </c>
      <c r="P406" s="1" t="s">
        <v>2277</v>
      </c>
      <c r="Q406" s="6" t="str">
        <f>IFERROR(__xludf.DUMMYFUNCTION("""COMPUTED_VALUE"""),"brooding")</f>
        <v>brooding</v>
      </c>
      <c r="S406" s="1" t="s">
        <v>2278</v>
      </c>
      <c r="T406" s="6" t="str">
        <f>IFERROR(__xludf.DUMMYFUNCTION("""COMPUTED_VALUE"""),"retains")</f>
        <v>retains</v>
      </c>
      <c r="W406" s="8"/>
      <c r="AF406" s="1" t="s">
        <v>409</v>
      </c>
      <c r="AJ406" s="1" t="s">
        <v>1029</v>
      </c>
      <c r="AM406" s="1" t="s">
        <v>1248</v>
      </c>
    </row>
    <row r="407">
      <c r="E407" s="1" t="s">
        <v>550</v>
      </c>
      <c r="F407" s="6">
        <f>IFERROR(__xludf.DUMMYFUNCTION("""COMPUTED_VALUE"""),1984.0)</f>
        <v>1984</v>
      </c>
      <c r="H407" s="1" t="s">
        <v>1845</v>
      </c>
      <c r="I407" s="6" t="str">
        <f>IFERROR(__xludf.DUMMYFUNCTION("""COMPUTED_VALUE"""),"purely")</f>
        <v>purely</v>
      </c>
      <c r="P407" s="1" t="s">
        <v>655</v>
      </c>
      <c r="Q407" s="6" t="str">
        <f>IFERROR(__xludf.DUMMYFUNCTION("""COMPUTED_VALUE"""),"withstand")</f>
        <v>withstand</v>
      </c>
      <c r="S407" s="1" t="s">
        <v>2279</v>
      </c>
      <c r="T407" s="6" t="str">
        <f>IFERROR(__xludf.DUMMYFUNCTION("""COMPUTED_VALUE"""),"added")</f>
        <v>added</v>
      </c>
      <c r="W407" s="8"/>
      <c r="AF407" s="1" t="s">
        <v>2280</v>
      </c>
      <c r="AJ407" s="1" t="s">
        <v>747</v>
      </c>
      <c r="AM407" s="1" t="s">
        <v>2281</v>
      </c>
    </row>
    <row r="408">
      <c r="E408" s="1" t="s">
        <v>2282</v>
      </c>
      <c r="F408" s="6" t="str">
        <f>IFERROR(__xludf.DUMMYFUNCTION("""COMPUTED_VALUE"""),"predecessor")</f>
        <v>predecessor</v>
      </c>
      <c r="H408" s="1" t="s">
        <v>997</v>
      </c>
      <c r="I408" s="6" t="str">
        <f>IFERROR(__xludf.DUMMYFUNCTION("""COMPUTED_VALUE"""),"question")</f>
        <v>question</v>
      </c>
      <c r="P408" s="1" t="s">
        <v>2283</v>
      </c>
      <c r="Q408" s="6" t="str">
        <f>IFERROR(__xludf.DUMMYFUNCTION("""COMPUTED_VALUE"""),"mundane")</f>
        <v>mundane</v>
      </c>
      <c r="S408" s="1" t="s">
        <v>1887</v>
      </c>
      <c r="T408" s="6" t="str">
        <f>IFERROR(__xludf.DUMMYFUNCTION("""COMPUTED_VALUE"""),"format")</f>
        <v>format</v>
      </c>
      <c r="W408" s="8"/>
      <c r="AF408" s="1" t="s">
        <v>2284</v>
      </c>
      <c r="AJ408" s="1" t="s">
        <v>541</v>
      </c>
      <c r="AM408" s="1" t="s">
        <v>2285</v>
      </c>
    </row>
    <row r="409">
      <c r="E409" s="1" t="s">
        <v>1502</v>
      </c>
      <c r="F409" s="6" t="str">
        <f>IFERROR(__xludf.DUMMYFUNCTION("""COMPUTED_VALUE"""),"unexpectedly")</f>
        <v>unexpectedly</v>
      </c>
      <c r="H409" s="1" t="s">
        <v>285</v>
      </c>
      <c r="I409" s="6" t="str">
        <f>IFERROR(__xludf.DUMMYFUNCTION("""COMPUTED_VALUE"""),"failure")</f>
        <v>failure</v>
      </c>
      <c r="P409" s="1" t="s">
        <v>649</v>
      </c>
      <c r="Q409" s="6" t="str">
        <f>IFERROR(__xludf.DUMMYFUNCTION("""COMPUTED_VALUE"""),"toss")</f>
        <v>toss</v>
      </c>
      <c r="S409" s="1" t="s">
        <v>2286</v>
      </c>
      <c r="T409" s="6" t="str">
        <f>IFERROR(__xludf.DUMMYFUNCTION("""COMPUTED_VALUE"""),"handsome")</f>
        <v>handsome</v>
      </c>
      <c r="W409" s="8"/>
      <c r="AF409" s="1" t="s">
        <v>2287</v>
      </c>
      <c r="AJ409" s="1" t="s">
        <v>2288</v>
      </c>
      <c r="AM409" s="1" t="s">
        <v>2064</v>
      </c>
    </row>
    <row r="410">
      <c r="E410" s="1" t="s">
        <v>923</v>
      </c>
      <c r="F410" s="6" t="str">
        <f>IFERROR(__xludf.DUMMYFUNCTION("""COMPUTED_VALUE"""),"comedies")</f>
        <v>comedies</v>
      </c>
      <c r="H410" s="1" t="s">
        <v>2095</v>
      </c>
      <c r="I410" s="6" t="str">
        <f>IFERROR(__xludf.DUMMYFUNCTION("""COMPUTED_VALUE"""),"suffering")</f>
        <v>suffering</v>
      </c>
      <c r="P410" s="1" t="s">
        <v>665</v>
      </c>
      <c r="Q410" s="6" t="str">
        <f>IFERROR(__xludf.DUMMYFUNCTION("""COMPUTED_VALUE"""),"interpretation")</f>
        <v>interpretation</v>
      </c>
      <c r="S410" s="1" t="s">
        <v>2289</v>
      </c>
      <c r="T410" s="6" t="str">
        <f>IFERROR(__xludf.DUMMYFUNCTION("""COMPUTED_VALUE"""),"drama")</f>
        <v>drama</v>
      </c>
      <c r="W410" s="8"/>
      <c r="AF410" s="1" t="s">
        <v>2290</v>
      </c>
      <c r="AJ410" s="1" t="s">
        <v>649</v>
      </c>
      <c r="AM410" s="1" t="s">
        <v>449</v>
      </c>
    </row>
    <row r="411">
      <c r="E411" s="1" t="s">
        <v>1329</v>
      </c>
      <c r="F411" s="6" t="str">
        <f>IFERROR(__xludf.DUMMYFUNCTION("""COMPUTED_VALUE"""),"enduring")</f>
        <v>enduring</v>
      </c>
      <c r="H411" s="1" t="s">
        <v>1126</v>
      </c>
      <c r="I411" s="6" t="str">
        <f>IFERROR(__xludf.DUMMYFUNCTION("""COMPUTED_VALUE"""),"powerful")</f>
        <v>powerful</v>
      </c>
      <c r="P411" s="1" t="s">
        <v>427</v>
      </c>
      <c r="Q411" s="6" t="str">
        <f>IFERROR(__xludf.DUMMYFUNCTION("""COMPUTED_VALUE"""),"lyrical")</f>
        <v>lyrical</v>
      </c>
      <c r="S411" s="1" t="s">
        <v>748</v>
      </c>
      <c r="T411" s="6" t="str">
        <f>IFERROR(__xludf.DUMMYFUNCTION("""COMPUTED_VALUE"""),"either")</f>
        <v>either</v>
      </c>
      <c r="W411" s="8"/>
      <c r="AF411" s="1" t="s">
        <v>2291</v>
      </c>
      <c r="AJ411" s="1" t="s">
        <v>2292</v>
      </c>
      <c r="AM411" s="1" t="s">
        <v>1207</v>
      </c>
    </row>
    <row r="412">
      <c r="E412" s="1" t="s">
        <v>546</v>
      </c>
      <c r="F412" s="6" t="str">
        <f>IFERROR(__xludf.DUMMYFUNCTION("""COMPUTED_VALUE"""),"teen")</f>
        <v>teen</v>
      </c>
      <c r="H412" s="1" t="s">
        <v>202</v>
      </c>
      <c r="I412" s="6" t="str">
        <f>IFERROR(__xludf.DUMMYFUNCTION("""COMPUTED_VALUE"""),"cinematography")</f>
        <v>cinematography</v>
      </c>
      <c r="P412" s="1" t="s">
        <v>715</v>
      </c>
      <c r="Q412" s="6" t="str">
        <f>IFERROR(__xludf.DUMMYFUNCTION("""COMPUTED_VALUE"""),"emotion")</f>
        <v>emotion</v>
      </c>
      <c r="S412" s="1" t="s">
        <v>2293</v>
      </c>
      <c r="T412" s="6" t="str">
        <f>IFERROR(__xludf.DUMMYFUNCTION("""COMPUTED_VALUE"""),"her")</f>
        <v>her</v>
      </c>
      <c r="W412" s="8"/>
      <c r="AF412" s="1" t="s">
        <v>2294</v>
      </c>
      <c r="AJ412" s="1" t="s">
        <v>665</v>
      </c>
      <c r="AM412" s="1" t="s">
        <v>2079</v>
      </c>
    </row>
    <row r="413">
      <c r="E413" s="1" t="s">
        <v>38</v>
      </c>
      <c r="F413" s="6" t="str">
        <f>IFERROR(__xludf.DUMMYFUNCTION("""COMPUTED_VALUE"""),"wan")</f>
        <v>wan</v>
      </c>
      <c r="H413" s="1" t="s">
        <v>1008</v>
      </c>
      <c r="I413" s="6" t="str">
        <f>IFERROR(__xludf.DUMMYFUNCTION("""COMPUTED_VALUE"""),"reason")</f>
        <v>reason</v>
      </c>
      <c r="P413" s="1" t="s">
        <v>2295</v>
      </c>
      <c r="Q413" s="6" t="str">
        <f>IFERROR(__xludf.DUMMYFUNCTION("""COMPUTED_VALUE"""),"triumph")</f>
        <v>triumph</v>
      </c>
      <c r="S413" s="1" t="s">
        <v>2296</v>
      </c>
      <c r="T413" s="6" t="str">
        <f>IFERROR(__xludf.DUMMYFUNCTION("""COMPUTED_VALUE"""),"haunting")</f>
        <v>haunting</v>
      </c>
      <c r="W413" s="8"/>
      <c r="AF413" s="1" t="s">
        <v>2297</v>
      </c>
      <c r="AJ413" s="1" t="s">
        <v>2298</v>
      </c>
      <c r="AM413" s="1" t="s">
        <v>2299</v>
      </c>
    </row>
    <row r="414">
      <c r="E414" s="1" t="s">
        <v>567</v>
      </c>
      <c r="F414" s="6" t="str">
        <f>IFERROR(__xludf.DUMMYFUNCTION("""COMPUTED_VALUE"""),"sweet")</f>
        <v>sweet</v>
      </c>
      <c r="H414" s="1" t="s">
        <v>1864</v>
      </c>
      <c r="I414" s="6" t="str">
        <f>IFERROR(__xludf.DUMMYFUNCTION("""COMPUTED_VALUE"""),"making")</f>
        <v>making</v>
      </c>
      <c r="P414" s="1" t="s">
        <v>674</v>
      </c>
      <c r="Q414" s="6" t="str">
        <f>IFERROR(__xludf.DUMMYFUNCTION("""COMPUTED_VALUE"""),"capture")</f>
        <v>capture</v>
      </c>
      <c r="S414" s="1" t="s">
        <v>2300</v>
      </c>
      <c r="T414" s="6" t="str">
        <f>IFERROR(__xludf.DUMMYFUNCTION("""COMPUTED_VALUE"""),"debut")</f>
        <v>debut</v>
      </c>
      <c r="W414" s="8"/>
      <c r="AF414" s="1" t="s">
        <v>2301</v>
      </c>
      <c r="AJ414" s="1" t="s">
        <v>2302</v>
      </c>
      <c r="AM414" s="1" t="s">
        <v>1211</v>
      </c>
    </row>
    <row r="415">
      <c r="E415" s="1" t="s">
        <v>2303</v>
      </c>
      <c r="F415" s="6" t="str">
        <f>IFERROR(__xludf.DUMMYFUNCTION("""COMPUTED_VALUE"""),"delight")</f>
        <v>delight</v>
      </c>
      <c r="H415" s="1" t="s">
        <v>1085</v>
      </c>
      <c r="I415" s="6" t="str">
        <f>IFERROR(__xludf.DUMMYFUNCTION("""COMPUTED_VALUE"""),"needs")</f>
        <v>needs</v>
      </c>
      <c r="P415" s="1" t="s">
        <v>2304</v>
      </c>
      <c r="Q415" s="6" t="str">
        <f>IFERROR(__xludf.DUMMYFUNCTION("""COMPUTED_VALUE"""),"fascination")</f>
        <v>fascination</v>
      </c>
      <c r="S415" s="1" t="s">
        <v>1770</v>
      </c>
      <c r="T415" s="6" t="str">
        <f>IFERROR(__xludf.DUMMYFUNCTION("""COMPUTED_VALUE"""),"behind")</f>
        <v>behind</v>
      </c>
      <c r="W415" s="8"/>
      <c r="AF415" s="1" t="s">
        <v>2305</v>
      </c>
      <c r="AJ415" s="1" t="s">
        <v>2306</v>
      </c>
      <c r="AM415" s="1" t="s">
        <v>1219</v>
      </c>
    </row>
    <row r="416">
      <c r="E416" s="1" t="s">
        <v>1543</v>
      </c>
      <c r="F416" s="6" t="str">
        <f>IFERROR(__xludf.DUMMYFUNCTION("""COMPUTED_VALUE"""),"harvesting")</f>
        <v>harvesting</v>
      </c>
      <c r="H416" s="1" t="s">
        <v>1015</v>
      </c>
      <c r="I416" s="6" t="str">
        <f>IFERROR(__xludf.DUMMYFUNCTION("""COMPUTED_VALUE"""),"demanding")</f>
        <v>demanding</v>
      </c>
      <c r="P416" s="1" t="s">
        <v>816</v>
      </c>
      <c r="Q416" s="6" t="str">
        <f>IFERROR(__xludf.DUMMYFUNCTION("""COMPUTED_VALUE"""),"vague")</f>
        <v>vague</v>
      </c>
      <c r="S416" s="1" t="s">
        <v>2307</v>
      </c>
      <c r="T416" s="6" t="str">
        <f>IFERROR(__xludf.DUMMYFUNCTION("""COMPUTED_VALUE"""),"fine")</f>
        <v>fine</v>
      </c>
      <c r="W416" s="8"/>
      <c r="AF416" s="1" t="s">
        <v>1206</v>
      </c>
      <c r="AJ416" s="1" t="s">
        <v>1052</v>
      </c>
      <c r="AM416" s="1" t="s">
        <v>2091</v>
      </c>
    </row>
    <row r="417">
      <c r="E417" s="1" t="s">
        <v>580</v>
      </c>
      <c r="F417" s="6" t="str">
        <f>IFERROR(__xludf.DUMMYFUNCTION("""COMPUTED_VALUE"""),"meaningful")</f>
        <v>meaningful</v>
      </c>
      <c r="H417" s="1" t="s">
        <v>1025</v>
      </c>
      <c r="I417" s="6" t="str">
        <f>IFERROR(__xludf.DUMMYFUNCTION("""COMPUTED_VALUE"""),"surreal")</f>
        <v>surreal</v>
      </c>
      <c r="P417" s="1" t="s">
        <v>2308</v>
      </c>
      <c r="Q417" s="6" t="str">
        <f>IFERROR(__xludf.DUMMYFUNCTION("""COMPUTED_VALUE"""),"awareness")</f>
        <v>awareness</v>
      </c>
      <c r="S417" s="1" t="s">
        <v>2309</v>
      </c>
      <c r="T417" s="6" t="str">
        <f>IFERROR(__xludf.DUMMYFUNCTION("""COMPUTED_VALUE"""),"kids")</f>
        <v>kids</v>
      </c>
      <c r="W417" s="8"/>
      <c r="AF417" s="1" t="s">
        <v>1210</v>
      </c>
      <c r="AJ417" s="1" t="s">
        <v>2310</v>
      </c>
      <c r="AM417" s="1" t="s">
        <v>457</v>
      </c>
    </row>
    <row r="418">
      <c r="E418" s="1" t="s">
        <v>291</v>
      </c>
      <c r="F418" s="6" t="str">
        <f>IFERROR(__xludf.DUMMYFUNCTION("""COMPUTED_VALUE"""),"construct")</f>
        <v>construct</v>
      </c>
      <c r="H418" s="1" t="s">
        <v>1879</v>
      </c>
      <c r="I418" s="6" t="str">
        <f>IFERROR(__xludf.DUMMYFUNCTION("""COMPUTED_VALUE"""),"chateau")</f>
        <v>chateau</v>
      </c>
      <c r="P418" s="1" t="s">
        <v>1070</v>
      </c>
      <c r="Q418" s="6" t="str">
        <f>IFERROR(__xludf.DUMMYFUNCTION("""COMPUTED_VALUE"""),"counterparts")</f>
        <v>counterparts</v>
      </c>
      <c r="S418" s="1" t="s">
        <v>417</v>
      </c>
      <c r="T418" s="6" t="str">
        <f>IFERROR(__xludf.DUMMYFUNCTION("""COMPUTED_VALUE"""),"beings")</f>
        <v>beings</v>
      </c>
      <c r="W418" s="8"/>
      <c r="AF418" s="1" t="s">
        <v>2311</v>
      </c>
      <c r="AJ418" s="1" t="s">
        <v>2312</v>
      </c>
      <c r="AM418" s="1" t="s">
        <v>1162</v>
      </c>
    </row>
    <row r="419">
      <c r="E419" s="1" t="s">
        <v>1562</v>
      </c>
      <c r="F419" s="6" t="str">
        <f>IFERROR(__xludf.DUMMYFUNCTION("""COMPUTED_VALUE"""),"trace")</f>
        <v>trace</v>
      </c>
      <c r="H419" s="1" t="s">
        <v>1885</v>
      </c>
      <c r="I419" s="6" t="str">
        <f>IFERROR(__xludf.DUMMYFUNCTION("""COMPUTED_VALUE"""),"passion")</f>
        <v>passion</v>
      </c>
      <c r="P419" s="1" t="s">
        <v>2313</v>
      </c>
      <c r="Q419" s="6" t="str">
        <f>IFERROR(__xludf.DUMMYFUNCTION("""COMPUTED_VALUE"""),"equal")</f>
        <v>equal</v>
      </c>
      <c r="S419" s="1" t="s">
        <v>2314</v>
      </c>
      <c r="T419" s="6" t="str">
        <f>IFERROR(__xludf.DUMMYFUNCTION("""COMPUTED_VALUE"""),"gifted")</f>
        <v>gifted</v>
      </c>
      <c r="W419" s="8"/>
      <c r="AF419" s="1" t="s">
        <v>2315</v>
      </c>
      <c r="AJ419" s="1" t="s">
        <v>2316</v>
      </c>
      <c r="AM419" s="1" t="s">
        <v>1229</v>
      </c>
    </row>
    <row r="420">
      <c r="E420" s="1" t="s">
        <v>1584</v>
      </c>
      <c r="F420" s="6" t="str">
        <f>IFERROR(__xludf.DUMMYFUNCTION("""COMPUTED_VALUE"""),"debt")</f>
        <v>debt</v>
      </c>
      <c r="H420" s="1" t="s">
        <v>946</v>
      </c>
      <c r="I420" s="6" t="str">
        <f>IFERROR(__xludf.DUMMYFUNCTION("""COMPUTED_VALUE"""),"rendering")</f>
        <v>rendering</v>
      </c>
      <c r="P420" s="1" t="s">
        <v>2317</v>
      </c>
      <c r="Q420" s="6" t="str">
        <f>IFERROR(__xludf.DUMMYFUNCTION("""COMPUTED_VALUE"""),"sara")</f>
        <v>sara</v>
      </c>
      <c r="S420" s="1" t="s">
        <v>485</v>
      </c>
      <c r="T420" s="6" t="str">
        <f>IFERROR(__xludf.DUMMYFUNCTION("""COMPUTED_VALUE"""),"contribution")</f>
        <v>contribution</v>
      </c>
      <c r="W420" s="8"/>
      <c r="AF420" s="1" t="s">
        <v>1217</v>
      </c>
      <c r="AJ420" s="1" t="s">
        <v>549</v>
      </c>
      <c r="AM420" s="1" t="s">
        <v>232</v>
      </c>
    </row>
    <row r="421">
      <c r="E421" s="1" t="s">
        <v>2318</v>
      </c>
      <c r="F421" s="6" t="str">
        <f>IFERROR(__xludf.DUMMYFUNCTION("""COMPUTED_VALUE"""),"laughed")</f>
        <v>laughed</v>
      </c>
      <c r="H421" s="1" t="s">
        <v>301</v>
      </c>
      <c r="I421" s="6" t="str">
        <f>IFERROR(__xludf.DUMMYFUNCTION("""COMPUTED_VALUE"""),"man")</f>
        <v>man</v>
      </c>
      <c r="P421" s="1" t="s">
        <v>2319</v>
      </c>
      <c r="Q421" s="6" t="str">
        <f>IFERROR(__xludf.DUMMYFUNCTION("""COMPUTED_VALUE"""),"lets")</f>
        <v>lets</v>
      </c>
      <c r="S421" s="1" t="s">
        <v>2320</v>
      </c>
      <c r="T421" s="6" t="str">
        <f>IFERROR(__xludf.DUMMYFUNCTION("""COMPUTED_VALUE"""),"prom")</f>
        <v>prom</v>
      </c>
      <c r="W421" s="8"/>
      <c r="AF421" s="1" t="s">
        <v>1224</v>
      </c>
      <c r="AJ421" s="1" t="s">
        <v>2321</v>
      </c>
      <c r="AM421" s="1" t="s">
        <v>2102</v>
      </c>
    </row>
    <row r="422">
      <c r="E422" s="1" t="s">
        <v>2322</v>
      </c>
      <c r="F422" s="6" t="str">
        <f>IFERROR(__xludf.DUMMYFUNCTION("""COMPUTED_VALUE"""),"endeavors")</f>
        <v>endeavors</v>
      </c>
      <c r="H422" s="1" t="s">
        <v>293</v>
      </c>
      <c r="I422" s="6" t="str">
        <f>IFERROR(__xludf.DUMMYFUNCTION("""COMPUTED_VALUE"""),"dolls")</f>
        <v>dolls</v>
      </c>
      <c r="P422" s="1" t="s">
        <v>935</v>
      </c>
      <c r="Q422" s="6" t="str">
        <f>IFERROR(__xludf.DUMMYFUNCTION("""COMPUTED_VALUE"""),"raises")</f>
        <v>raises</v>
      </c>
      <c r="S422" s="1" t="s">
        <v>2323</v>
      </c>
      <c r="T422" s="6" t="str">
        <f>IFERROR(__xludf.DUMMYFUNCTION("""COMPUTED_VALUE"""),"becomes")</f>
        <v>becomes</v>
      </c>
      <c r="W422" s="8"/>
      <c r="AF422" s="1" t="s">
        <v>2324</v>
      </c>
      <c r="AJ422" s="1" t="s">
        <v>1064</v>
      </c>
      <c r="AM422" s="1" t="s">
        <v>1275</v>
      </c>
    </row>
    <row r="423">
      <c r="E423" s="1" t="s">
        <v>1567</v>
      </c>
      <c r="F423" s="6" t="str">
        <f>IFERROR(__xludf.DUMMYFUNCTION("""COMPUTED_VALUE"""),"laughter")</f>
        <v>laughter</v>
      </c>
      <c r="H423" s="1" t="s">
        <v>525</v>
      </c>
      <c r="I423" s="6" t="str">
        <f>IFERROR(__xludf.DUMMYFUNCTION("""COMPUTED_VALUE"""),"nonstop")</f>
        <v>nonstop</v>
      </c>
      <c r="P423" s="1" t="s">
        <v>791</v>
      </c>
      <c r="Q423" s="6" t="str">
        <f>IFERROR(__xludf.DUMMYFUNCTION("""COMPUTED_VALUE"""),"delivering")</f>
        <v>delivering</v>
      </c>
      <c r="S423" s="1" t="s">
        <v>1039</v>
      </c>
      <c r="T423" s="6" t="str">
        <f>IFERROR(__xludf.DUMMYFUNCTION("""COMPUTED_VALUE"""),"high")</f>
        <v>high</v>
      </c>
      <c r="W423" s="8"/>
      <c r="AF423" s="1" t="s">
        <v>1228</v>
      </c>
      <c r="AJ423" s="1" t="s">
        <v>1070</v>
      </c>
      <c r="AM423" s="1" t="s">
        <v>2325</v>
      </c>
    </row>
    <row r="424">
      <c r="E424" s="1" t="s">
        <v>2326</v>
      </c>
      <c r="F424" s="6" t="str">
        <f>IFERROR(__xludf.DUMMYFUNCTION("""COMPUTED_VALUE"""),"adhere")</f>
        <v>adhere</v>
      </c>
      <c r="H424" s="1" t="s">
        <v>1110</v>
      </c>
      <c r="I424" s="6" t="str">
        <f>IFERROR(__xludf.DUMMYFUNCTION("""COMPUTED_VALUE"""),"partisans")</f>
        <v>partisans</v>
      </c>
      <c r="P424" s="1" t="s">
        <v>2327</v>
      </c>
      <c r="Q424" s="6" t="str">
        <f>IFERROR(__xludf.DUMMYFUNCTION("""COMPUTED_VALUE"""),"elusive")</f>
        <v>elusive</v>
      </c>
      <c r="S424" s="1" t="s">
        <v>1018</v>
      </c>
      <c r="T424" s="6" t="str">
        <f>IFERROR(__xludf.DUMMYFUNCTION("""COMPUTED_VALUE"""),"school")</f>
        <v>school</v>
      </c>
      <c r="W424" s="8"/>
      <c r="AF424" s="1" t="s">
        <v>1234</v>
      </c>
      <c r="AJ424" s="1" t="s">
        <v>935</v>
      </c>
      <c r="AM424" s="1" t="s">
        <v>473</v>
      </c>
    </row>
    <row r="425">
      <c r="E425" s="1" t="s">
        <v>2328</v>
      </c>
      <c r="F425" s="6" t="str">
        <f>IFERROR(__xludf.DUMMYFUNCTION("""COMPUTED_VALUE"""),"philosophical")</f>
        <v>philosophical</v>
      </c>
      <c r="H425" s="1" t="s">
        <v>2119</v>
      </c>
      <c r="I425" s="6" t="str">
        <f>IFERROR(__xludf.DUMMYFUNCTION("""COMPUTED_VALUE"""),"torture")</f>
        <v>torture</v>
      </c>
      <c r="P425" s="1" t="s">
        <v>2329</v>
      </c>
      <c r="Q425" s="6" t="str">
        <f>IFERROR(__xludf.DUMMYFUNCTION("""COMPUTED_VALUE"""),"longing")</f>
        <v>longing</v>
      </c>
      <c r="S425" s="1" t="s">
        <v>1046</v>
      </c>
      <c r="T425" s="6" t="str">
        <f>IFERROR(__xludf.DUMMYFUNCTION("""COMPUTED_VALUE"""),"sex")</f>
        <v>sex</v>
      </c>
      <c r="W425" s="8"/>
      <c r="AF425" s="1" t="s">
        <v>1240</v>
      </c>
      <c r="AJ425" s="1" t="s">
        <v>2330</v>
      </c>
      <c r="AM425" s="1" t="s">
        <v>1246</v>
      </c>
    </row>
    <row r="426">
      <c r="E426" s="1" t="s">
        <v>2331</v>
      </c>
      <c r="F426" s="6" t="str">
        <f>IFERROR(__xludf.DUMMYFUNCTION("""COMPUTED_VALUE"""),"invention")</f>
        <v>invention</v>
      </c>
      <c r="H426" s="1" t="s">
        <v>1908</v>
      </c>
      <c r="I426" s="6" t="str">
        <f>IFERROR(__xludf.DUMMYFUNCTION("""COMPUTED_VALUE"""),"argentine")</f>
        <v>argentine</v>
      </c>
      <c r="P426" s="1" t="s">
        <v>2332</v>
      </c>
      <c r="Q426" s="6" t="str">
        <f>IFERROR(__xludf.DUMMYFUNCTION("""COMPUTED_VALUE"""),"imagery")</f>
        <v>imagery</v>
      </c>
      <c r="S426" s="1" t="s">
        <v>2333</v>
      </c>
      <c r="T426" s="6" t="str">
        <f>IFERROR(__xludf.DUMMYFUNCTION("""COMPUTED_VALUE"""),"receives")</f>
        <v>receives</v>
      </c>
      <c r="W426" s="8"/>
      <c r="AF426" s="1" t="s">
        <v>2334</v>
      </c>
      <c r="AJ426" s="1" t="s">
        <v>678</v>
      </c>
      <c r="AM426" s="1" t="s">
        <v>1287</v>
      </c>
    </row>
    <row r="427">
      <c r="E427" s="1" t="s">
        <v>382</v>
      </c>
      <c r="F427" s="6" t="str">
        <f>IFERROR(__xludf.DUMMYFUNCTION("""COMPUTED_VALUE"""),"drag")</f>
        <v>drag</v>
      </c>
      <c r="H427" s="1" t="s">
        <v>1914</v>
      </c>
      <c r="I427" s="6" t="str">
        <f>IFERROR(__xludf.DUMMYFUNCTION("""COMPUTED_VALUE"""),"celebrates")</f>
        <v>celebrates</v>
      </c>
      <c r="P427" s="1" t="s">
        <v>685</v>
      </c>
      <c r="Q427" s="6" t="str">
        <f>IFERROR(__xludf.DUMMYFUNCTION("""COMPUTED_VALUE"""),"shimmering")</f>
        <v>shimmering</v>
      </c>
      <c r="S427" s="1" t="s">
        <v>2335</v>
      </c>
      <c r="T427" s="6" t="str">
        <f>IFERROR(__xludf.DUMMYFUNCTION("""COMPUTED_VALUE"""),"demands")</f>
        <v>demands</v>
      </c>
      <c r="W427" s="8"/>
      <c r="AF427" s="1" t="s">
        <v>1244</v>
      </c>
      <c r="AJ427" s="1" t="s">
        <v>1074</v>
      </c>
      <c r="AM427" s="1" t="s">
        <v>1294</v>
      </c>
    </row>
    <row r="428">
      <c r="E428" s="1" t="s">
        <v>2336</v>
      </c>
      <c r="F428" s="6" t="str">
        <f>IFERROR(__xludf.DUMMYFUNCTION("""COMPUTED_VALUE"""),"juvenile")</f>
        <v>juvenile</v>
      </c>
      <c r="H428" s="1" t="s">
        <v>1119</v>
      </c>
      <c r="I428" s="6" t="str">
        <f>IFERROR(__xludf.DUMMYFUNCTION("""COMPUTED_VALUE"""),"white")</f>
        <v>white</v>
      </c>
      <c r="P428" s="1" t="s">
        <v>2337</v>
      </c>
      <c r="Q428" s="6" t="str">
        <f>IFERROR(__xludf.DUMMYFUNCTION("""COMPUTED_VALUE"""),"adolescent")</f>
        <v>adolescent</v>
      </c>
      <c r="S428" s="1" t="s">
        <v>2338</v>
      </c>
      <c r="T428" s="6" t="str">
        <f>IFERROR(__xludf.DUMMYFUNCTION("""COMPUTED_VALUE"""),"gaining")</f>
        <v>gaining</v>
      </c>
      <c r="W428" s="8"/>
      <c r="AF428" s="1" t="s">
        <v>1251</v>
      </c>
      <c r="AJ428" s="1" t="s">
        <v>685</v>
      </c>
      <c r="AM428" s="1" t="s">
        <v>1253</v>
      </c>
    </row>
    <row r="429">
      <c r="E429" s="1" t="s">
        <v>587</v>
      </c>
      <c r="F429" s="6" t="str">
        <f>IFERROR(__xludf.DUMMYFUNCTION("""COMPUTED_VALUE"""),"literary")</f>
        <v>literary</v>
      </c>
      <c r="H429" s="1" t="s">
        <v>1916</v>
      </c>
      <c r="I429" s="6" t="str">
        <f>IFERROR(__xludf.DUMMYFUNCTION("""COMPUTED_VALUE"""),"points")</f>
        <v>points</v>
      </c>
      <c r="P429" s="1" t="s">
        <v>2339</v>
      </c>
      <c r="Q429" s="6" t="str">
        <f>IFERROR(__xludf.DUMMYFUNCTION("""COMPUTED_VALUE"""),"seat")</f>
        <v>seat</v>
      </c>
      <c r="S429" s="1" t="s">
        <v>2340</v>
      </c>
      <c r="T429" s="6" t="str">
        <f>IFERROR(__xludf.DUMMYFUNCTION("""COMPUTED_VALUE"""),"characteristic")</f>
        <v>characteristic</v>
      </c>
      <c r="W429" s="8"/>
      <c r="AF429" s="1" t="s">
        <v>2341</v>
      </c>
      <c r="AJ429" s="1" t="s">
        <v>2342</v>
      </c>
      <c r="AM429" s="1" t="s">
        <v>2343</v>
      </c>
    </row>
    <row r="430">
      <c r="E430" s="1" t="s">
        <v>1580</v>
      </c>
      <c r="F430" s="6" t="str">
        <f>IFERROR(__xludf.DUMMYFUNCTION("""COMPUTED_VALUE"""),"dull")</f>
        <v>dull</v>
      </c>
      <c r="H430" s="1" t="s">
        <v>2138</v>
      </c>
      <c r="I430" s="6" t="str">
        <f>IFERROR(__xludf.DUMMYFUNCTION("""COMPUTED_VALUE"""),"vulnerable")</f>
        <v>vulnerable</v>
      </c>
      <c r="P430" s="1" t="s">
        <v>2344</v>
      </c>
      <c r="Q430" s="6" t="str">
        <f>IFERROR(__xludf.DUMMYFUNCTION("""COMPUTED_VALUE"""),"visuals")</f>
        <v>visuals</v>
      </c>
      <c r="S430" s="1" t="s">
        <v>2345</v>
      </c>
      <c r="T430" s="6" t="str">
        <f>IFERROR(__xludf.DUMMYFUNCTION("""COMPUTED_VALUE"""),"pale")</f>
        <v>pale</v>
      </c>
      <c r="W430" s="8"/>
      <c r="AF430" s="1" t="s">
        <v>1259</v>
      </c>
      <c r="AJ430" s="1" t="s">
        <v>2346</v>
      </c>
      <c r="AM430" s="1" t="s">
        <v>2347</v>
      </c>
    </row>
    <row r="431">
      <c r="E431" s="1" t="s">
        <v>604</v>
      </c>
      <c r="F431" s="6" t="str">
        <f>IFERROR(__xludf.DUMMYFUNCTION("""COMPUTED_VALUE"""),"distant")</f>
        <v>distant</v>
      </c>
      <c r="H431" s="1" t="s">
        <v>208</v>
      </c>
      <c r="I431" s="6" t="str">
        <f>IFERROR(__xludf.DUMMYFUNCTION("""COMPUTED_VALUE"""),"isolation")</f>
        <v>isolation</v>
      </c>
      <c r="P431" s="1" t="s">
        <v>557</v>
      </c>
      <c r="Q431" s="6" t="str">
        <f>IFERROR(__xludf.DUMMYFUNCTION("""COMPUTED_VALUE"""),"lifelong")</f>
        <v>lifelong</v>
      </c>
      <c r="S431" s="1" t="s">
        <v>2348</v>
      </c>
      <c r="T431" s="6" t="str">
        <f>IFERROR(__xludf.DUMMYFUNCTION("""COMPUTED_VALUE"""),"juliette")</f>
        <v>juliette</v>
      </c>
      <c r="W431" s="8"/>
      <c r="AF431" s="1" t="s">
        <v>251</v>
      </c>
      <c r="AJ431" s="1" t="s">
        <v>1081</v>
      </c>
      <c r="AM431" s="1" t="s">
        <v>240</v>
      </c>
    </row>
    <row r="432">
      <c r="E432" s="1" t="s">
        <v>595</v>
      </c>
      <c r="F432" s="6" t="str">
        <f>IFERROR(__xludf.DUMMYFUNCTION("""COMPUTED_VALUE"""),"witty")</f>
        <v>witty</v>
      </c>
      <c r="H432" s="1" t="s">
        <v>1053</v>
      </c>
      <c r="I432" s="6" t="str">
        <f>IFERROR(__xludf.DUMMYFUNCTION("""COMPUTED_VALUE"""),"plight")</f>
        <v>plight</v>
      </c>
      <c r="P432" s="1" t="s">
        <v>692</v>
      </c>
      <c r="Q432" s="6" t="str">
        <f>IFERROR(__xludf.DUMMYFUNCTION("""COMPUTED_VALUE"""),"pity")</f>
        <v>pity</v>
      </c>
      <c r="S432" s="1" t="s">
        <v>2349</v>
      </c>
      <c r="T432" s="6" t="str">
        <f>IFERROR(__xludf.DUMMYFUNCTION("""COMPUTED_VALUE"""),"affecting")</f>
        <v>affecting</v>
      </c>
      <c r="W432" s="8"/>
      <c r="AF432" s="1" t="s">
        <v>1270</v>
      </c>
      <c r="AJ432" s="1" t="s">
        <v>2337</v>
      </c>
      <c r="AM432" s="1" t="s">
        <v>354</v>
      </c>
    </row>
    <row r="433">
      <c r="E433" s="1" t="s">
        <v>1601</v>
      </c>
      <c r="F433" s="6" t="str">
        <f>IFERROR(__xludf.DUMMYFUNCTION("""COMPUTED_VALUE"""),"accomplished")</f>
        <v>accomplished</v>
      </c>
      <c r="H433" s="1" t="s">
        <v>375</v>
      </c>
      <c r="I433" s="6" t="str">
        <f>IFERROR(__xludf.DUMMYFUNCTION("""COMPUTED_VALUE"""),"watts")</f>
        <v>watts</v>
      </c>
      <c r="P433" s="1" t="s">
        <v>353</v>
      </c>
      <c r="Q433" s="6" t="str">
        <f>IFERROR(__xludf.DUMMYFUNCTION("""COMPUTED_VALUE"""),"sleeve")</f>
        <v>sleeve</v>
      </c>
      <c r="S433" s="1" t="s">
        <v>2350</v>
      </c>
      <c r="T433" s="6" t="str">
        <f>IFERROR(__xludf.DUMMYFUNCTION("""COMPUTED_VALUE"""),"mira")</f>
        <v>mira</v>
      </c>
      <c r="W433" s="8"/>
      <c r="AF433" s="1" t="s">
        <v>1277</v>
      </c>
      <c r="AJ433" s="1" t="s">
        <v>2339</v>
      </c>
      <c r="AM433" s="1" t="s">
        <v>1272</v>
      </c>
    </row>
    <row r="434">
      <c r="E434" s="1" t="s">
        <v>1598</v>
      </c>
      <c r="F434" s="6" t="str">
        <f>IFERROR(__xludf.DUMMYFUNCTION("""COMPUTED_VALUE"""),"primal")</f>
        <v>primal</v>
      </c>
      <c r="H434" s="1" t="s">
        <v>1938</v>
      </c>
      <c r="I434" s="6" t="str">
        <f>IFERROR(__xludf.DUMMYFUNCTION("""COMPUTED_VALUE"""),"darling")</f>
        <v>darling</v>
      </c>
      <c r="P434" s="1" t="s">
        <v>2351</v>
      </c>
      <c r="Q434" s="6" t="str">
        <f>IFERROR(__xludf.DUMMYFUNCTION("""COMPUTED_VALUE"""),"wears")</f>
        <v>wears</v>
      </c>
      <c r="S434" s="1" t="s">
        <v>2352</v>
      </c>
      <c r="T434" s="6" t="str">
        <f>IFERROR(__xludf.DUMMYFUNCTION("""COMPUTED_VALUE"""),"limitations")</f>
        <v>limitations</v>
      </c>
      <c r="W434" s="8"/>
      <c r="AF434" s="1" t="s">
        <v>2353</v>
      </c>
      <c r="AJ434" s="1" t="s">
        <v>557</v>
      </c>
      <c r="AM434" s="1" t="s">
        <v>1279</v>
      </c>
    </row>
    <row r="435">
      <c r="E435" s="1" t="s">
        <v>389</v>
      </c>
      <c r="F435" s="6" t="str">
        <f>IFERROR(__xludf.DUMMYFUNCTION("""COMPUTED_VALUE"""),"fears")</f>
        <v>fears</v>
      </c>
      <c r="H435" s="1" t="s">
        <v>2354</v>
      </c>
      <c r="I435" s="6" t="str">
        <f>IFERROR(__xludf.DUMMYFUNCTION("""COMPUTED_VALUE"""),"violence")</f>
        <v>violence</v>
      </c>
      <c r="P435" s="1" t="s">
        <v>788</v>
      </c>
      <c r="Q435" s="6" t="str">
        <f>IFERROR(__xludf.DUMMYFUNCTION("""COMPUTED_VALUE"""),"intimacy")</f>
        <v>intimacy</v>
      </c>
      <c r="S435" s="1" t="s">
        <v>2355</v>
      </c>
      <c r="T435" s="6" t="str">
        <f>IFERROR(__xludf.DUMMYFUNCTION("""COMPUTED_VALUE"""),"classical")</f>
        <v>classical</v>
      </c>
      <c r="W435" s="8"/>
      <c r="AF435" s="1" t="s">
        <v>2356</v>
      </c>
      <c r="AJ435" s="1" t="s">
        <v>2357</v>
      </c>
      <c r="AM435" s="1" t="s">
        <v>2358</v>
      </c>
    </row>
    <row r="436">
      <c r="E436" s="1" t="s">
        <v>1613</v>
      </c>
      <c r="F436" s="6" t="str">
        <f>IFERROR(__xludf.DUMMYFUNCTION("""COMPUTED_VALUE"""),"cope")</f>
        <v>cope</v>
      </c>
      <c r="H436" s="1" t="s">
        <v>2153</v>
      </c>
      <c r="I436" s="6" t="str">
        <f>IFERROR(__xludf.DUMMYFUNCTION("""COMPUTED_VALUE"""),"humanity")</f>
        <v>humanity</v>
      </c>
      <c r="P436" s="1" t="s">
        <v>2359</v>
      </c>
      <c r="Q436" s="6" t="str">
        <f>IFERROR(__xludf.DUMMYFUNCTION("""COMPUTED_VALUE"""),"sentiments")</f>
        <v>sentiments</v>
      </c>
      <c r="S436" s="1" t="s">
        <v>2360</v>
      </c>
      <c r="T436" s="6" t="str">
        <f>IFERROR(__xludf.DUMMYFUNCTION("""COMPUTED_VALUE"""),"successful")</f>
        <v>successful</v>
      </c>
      <c r="W436" s="8"/>
      <c r="AF436" s="1" t="s">
        <v>1284</v>
      </c>
      <c r="AJ436" s="1" t="s">
        <v>2361</v>
      </c>
      <c r="AM436" s="1" t="s">
        <v>2362</v>
      </c>
    </row>
    <row r="437">
      <c r="E437" s="1" t="s">
        <v>300</v>
      </c>
      <c r="F437" s="6" t="str">
        <f>IFERROR(__xludf.DUMMYFUNCTION("""COMPUTED_VALUE"""),"portrait")</f>
        <v>portrait</v>
      </c>
      <c r="H437" s="1" t="s">
        <v>381</v>
      </c>
      <c r="I437" s="6" t="str">
        <f>IFERROR(__xludf.DUMMYFUNCTION("""COMPUTED_VALUE"""),"force")</f>
        <v>force</v>
      </c>
      <c r="P437" s="1" t="s">
        <v>2363</v>
      </c>
      <c r="Q437" s="6" t="str">
        <f>IFERROR(__xludf.DUMMYFUNCTION("""COMPUTED_VALUE"""),"alabama")</f>
        <v>alabama</v>
      </c>
      <c r="S437" s="1" t="s">
        <v>1188</v>
      </c>
      <c r="T437" s="6" t="str">
        <f>IFERROR(__xludf.DUMMYFUNCTION("""COMPUTED_VALUE"""),"seeing")</f>
        <v>seeing</v>
      </c>
      <c r="W437" s="8"/>
      <c r="AF437" s="1" t="s">
        <v>994</v>
      </c>
      <c r="AJ437" s="1" t="s">
        <v>353</v>
      </c>
      <c r="AM437" s="1" t="s">
        <v>2364</v>
      </c>
    </row>
    <row r="438">
      <c r="E438" s="1" t="s">
        <v>1825</v>
      </c>
      <c r="F438" s="6" t="str">
        <f>IFERROR(__xludf.DUMMYFUNCTION("""COMPUTED_VALUE"""),"rare")</f>
        <v>rare</v>
      </c>
      <c r="H438" s="1" t="s">
        <v>369</v>
      </c>
      <c r="I438" s="6" t="str">
        <f>IFERROR(__xludf.DUMMYFUNCTION("""COMPUTED_VALUE"""),"thriller")</f>
        <v>thriller</v>
      </c>
      <c r="P438" s="1" t="s">
        <v>2365</v>
      </c>
      <c r="Q438" s="6" t="str">
        <f>IFERROR(__xludf.DUMMYFUNCTION("""COMPUTED_VALUE"""),"impact")</f>
        <v>impact</v>
      </c>
      <c r="S438" s="1" t="s">
        <v>124</v>
      </c>
      <c r="T438" s="6" t="str">
        <f>IFERROR(__xludf.DUMMYFUNCTION("""COMPUTED_VALUE"""),"moving")</f>
        <v>moving</v>
      </c>
      <c r="W438" s="8"/>
      <c r="AF438" s="1" t="s">
        <v>1295</v>
      </c>
      <c r="AJ438" s="1" t="s">
        <v>1096</v>
      </c>
      <c r="AM438" s="1" t="s">
        <v>247</v>
      </c>
    </row>
    <row r="439">
      <c r="E439" s="1" t="s">
        <v>308</v>
      </c>
      <c r="F439" s="6" t="str">
        <f>IFERROR(__xludf.DUMMYFUNCTION("""COMPUTED_VALUE"""),"draws")</f>
        <v>draws</v>
      </c>
      <c r="H439" s="1" t="s">
        <v>1065</v>
      </c>
      <c r="I439" s="6" t="str">
        <f>IFERROR(__xludf.DUMMYFUNCTION("""COMPUTED_VALUE"""),"maternal")</f>
        <v>maternal</v>
      </c>
      <c r="P439" s="1" t="s">
        <v>2366</v>
      </c>
      <c r="Q439" s="6" t="str">
        <f>IFERROR(__xludf.DUMMYFUNCTION("""COMPUTED_VALUE"""),"oliver")</f>
        <v>oliver</v>
      </c>
      <c r="S439" s="1" t="s">
        <v>1214</v>
      </c>
      <c r="T439" s="6" t="str">
        <f>IFERROR(__xludf.DUMMYFUNCTION("""COMPUTED_VALUE"""),"intelligent")</f>
        <v>intelligent</v>
      </c>
      <c r="W439" s="8"/>
      <c r="AF439" s="1" t="s">
        <v>2367</v>
      </c>
      <c r="AJ439" s="1" t="s">
        <v>788</v>
      </c>
      <c r="AM439" s="1" t="s">
        <v>2131</v>
      </c>
    </row>
    <row r="440">
      <c r="E440" s="1" t="s">
        <v>2368</v>
      </c>
      <c r="F440" s="6" t="str">
        <f>IFERROR(__xludf.DUMMYFUNCTION("""COMPUTED_VALUE"""),"fails")</f>
        <v>fails</v>
      </c>
      <c r="H440" s="1" t="s">
        <v>2162</v>
      </c>
      <c r="I440" s="6" t="str">
        <f>IFERROR(__xludf.DUMMYFUNCTION("""COMPUTED_VALUE"""),"fury")</f>
        <v>fury</v>
      </c>
      <c r="P440" s="1" t="s">
        <v>2323</v>
      </c>
      <c r="Q440" s="6" t="str">
        <f>IFERROR(__xludf.DUMMYFUNCTION("""COMPUTED_VALUE"""),"chemistry")</f>
        <v>chemistry</v>
      </c>
      <c r="S440" s="1" t="s">
        <v>2369</v>
      </c>
      <c r="T440" s="6" t="str">
        <f>IFERROR(__xludf.DUMMYFUNCTION("""COMPUTED_VALUE"""),"appears")</f>
        <v>appears</v>
      </c>
      <c r="W440" s="8"/>
      <c r="AF440" s="1" t="s">
        <v>2370</v>
      </c>
      <c r="AJ440" s="1" t="s">
        <v>2371</v>
      </c>
      <c r="AM440" s="1" t="s">
        <v>1290</v>
      </c>
    </row>
    <row r="441">
      <c r="E441" s="1" t="s">
        <v>2372</v>
      </c>
      <c r="F441" s="6" t="str">
        <f>IFERROR(__xludf.DUMMYFUNCTION("""COMPUTED_VALUE"""),"compassion")</f>
        <v>compassion</v>
      </c>
      <c r="H441" s="1" t="s">
        <v>1161</v>
      </c>
      <c r="I441" s="6" t="str">
        <f>IFERROR(__xludf.DUMMYFUNCTION("""COMPUTED_VALUE"""),"complex")</f>
        <v>complex</v>
      </c>
      <c r="P441" s="1" t="s">
        <v>2373</v>
      </c>
      <c r="Q441" s="6" t="str">
        <f>IFERROR(__xludf.DUMMYFUNCTION("""COMPUTED_VALUE"""),"control")</f>
        <v>control</v>
      </c>
      <c r="S441" s="1" t="s">
        <v>2374</v>
      </c>
      <c r="T441" s="6" t="str">
        <f>IFERROR(__xludf.DUMMYFUNCTION("""COMPUTED_VALUE"""),"accomplish")</f>
        <v>accomplish</v>
      </c>
      <c r="W441" s="8"/>
      <c r="AF441" s="1" t="s">
        <v>1300</v>
      </c>
      <c r="AJ441" s="1" t="s">
        <v>2375</v>
      </c>
      <c r="AM441" s="1" t="s">
        <v>2139</v>
      </c>
    </row>
    <row r="442">
      <c r="E442" s="1" t="s">
        <v>2376</v>
      </c>
      <c r="F442" s="6" t="str">
        <f>IFERROR(__xludf.DUMMYFUNCTION("""COMPUTED_VALUE"""),"unexpected")</f>
        <v>unexpected</v>
      </c>
      <c r="H442" s="1" t="s">
        <v>1955</v>
      </c>
      <c r="I442" s="6" t="str">
        <f>IFERROR(__xludf.DUMMYFUNCTION("""COMPUTED_VALUE"""),"wooden")</f>
        <v>wooden</v>
      </c>
      <c r="P442" s="1" t="s">
        <v>2377</v>
      </c>
      <c r="Q442" s="6" t="str">
        <f>IFERROR(__xludf.DUMMYFUNCTION("""COMPUTED_VALUE"""),"willis")</f>
        <v>willis</v>
      </c>
      <c r="S442" s="1" t="s">
        <v>2378</v>
      </c>
      <c r="T442" s="6" t="str">
        <f>IFERROR(__xludf.DUMMYFUNCTION("""COMPUTED_VALUE"""),"poet")</f>
        <v>poet</v>
      </c>
      <c r="W442" s="8"/>
      <c r="AF442" s="1" t="s">
        <v>2379</v>
      </c>
      <c r="AJ442" s="1" t="s">
        <v>566</v>
      </c>
      <c r="AM442" s="1" t="s">
        <v>1296</v>
      </c>
    </row>
    <row r="443">
      <c r="E443" s="1" t="s">
        <v>2380</v>
      </c>
      <c r="F443" s="6" t="str">
        <f>IFERROR(__xludf.DUMMYFUNCTION("""COMPUTED_VALUE"""),"bard")</f>
        <v>bard</v>
      </c>
      <c r="H443" s="1" t="s">
        <v>1961</v>
      </c>
      <c r="I443" s="6" t="str">
        <f>IFERROR(__xludf.DUMMYFUNCTION("""COMPUTED_VALUE"""),"progresses")</f>
        <v>progresses</v>
      </c>
      <c r="P443" s="1" t="s">
        <v>99</v>
      </c>
      <c r="Q443" s="6" t="str">
        <f>IFERROR(__xludf.DUMMYFUNCTION("""COMPUTED_VALUE"""),"illuminating")</f>
        <v>illuminating</v>
      </c>
      <c r="S443" s="1" t="s">
        <v>1669</v>
      </c>
      <c r="T443" s="6" t="str">
        <f>IFERROR(__xludf.DUMMYFUNCTION("""COMPUTED_VALUE"""),"detailing")</f>
        <v>detailing</v>
      </c>
      <c r="W443" s="8"/>
      <c r="AF443" s="1" t="s">
        <v>2381</v>
      </c>
      <c r="AJ443" s="1" t="s">
        <v>573</v>
      </c>
      <c r="AM443" s="1" t="s">
        <v>1301</v>
      </c>
    </row>
    <row r="444">
      <c r="E444" s="1" t="s">
        <v>2382</v>
      </c>
      <c r="F444" s="6" t="str">
        <f>IFERROR(__xludf.DUMMYFUNCTION("""COMPUTED_VALUE"""),"strengths")</f>
        <v>strengths</v>
      </c>
      <c r="H444" s="1" t="s">
        <v>2166</v>
      </c>
      <c r="I444" s="6" t="str">
        <f>IFERROR(__xludf.DUMMYFUNCTION("""COMPUTED_VALUE"""),"risks")</f>
        <v>risks</v>
      </c>
      <c r="P444" s="1" t="s">
        <v>2383</v>
      </c>
      <c r="Q444" s="6" t="str">
        <f>IFERROR(__xludf.DUMMYFUNCTION("""COMPUTED_VALUE"""),"static")</f>
        <v>static</v>
      </c>
      <c r="S444" s="1" t="s">
        <v>1056</v>
      </c>
      <c r="T444" s="6" t="str">
        <f>IFERROR(__xludf.DUMMYFUNCTION("""COMPUTED_VALUE"""),"looking")</f>
        <v>looking</v>
      </c>
      <c r="W444" s="8"/>
      <c r="AF444" s="1" t="s">
        <v>1173</v>
      </c>
      <c r="AJ444" s="1" t="s">
        <v>1114</v>
      </c>
      <c r="AM444" s="1" t="s">
        <v>1309</v>
      </c>
    </row>
    <row r="445">
      <c r="E445" s="1" t="s">
        <v>2384</v>
      </c>
      <c r="F445" s="6" t="str">
        <f>IFERROR(__xludf.DUMMYFUNCTION("""COMPUTED_VALUE"""),"dream")</f>
        <v>dream</v>
      </c>
      <c r="H445" s="1" t="s">
        <v>214</v>
      </c>
      <c r="I445" s="6" t="str">
        <f>IFERROR(__xludf.DUMMYFUNCTION("""COMPUTED_VALUE"""),"strongest")</f>
        <v>strongest</v>
      </c>
      <c r="P445" s="1" t="s">
        <v>2385</v>
      </c>
      <c r="Q445" s="6" t="str">
        <f>IFERROR(__xludf.DUMMYFUNCTION("""COMPUTED_VALUE"""),"photographed")</f>
        <v>photographed</v>
      </c>
      <c r="S445" s="1" t="s">
        <v>2386</v>
      </c>
      <c r="T445" s="6" t="str">
        <f>IFERROR(__xludf.DUMMYFUNCTION("""COMPUTED_VALUE"""),"sustain")</f>
        <v>sustain</v>
      </c>
      <c r="W445" s="8"/>
      <c r="AF445" s="1" t="s">
        <v>2387</v>
      </c>
      <c r="AJ445" s="1" t="s">
        <v>99</v>
      </c>
      <c r="AM445" s="1" t="s">
        <v>350</v>
      </c>
    </row>
    <row r="446">
      <c r="E446" s="1" t="s">
        <v>1618</v>
      </c>
      <c r="F446" s="6" t="str">
        <f>IFERROR(__xludf.DUMMYFUNCTION("""COMPUTED_VALUE"""),"stiff")</f>
        <v>stiff</v>
      </c>
      <c r="H446" s="1" t="s">
        <v>1969</v>
      </c>
      <c r="I446" s="6" t="str">
        <f>IFERROR(__xludf.DUMMYFUNCTION("""COMPUTED_VALUE"""),"dover")</f>
        <v>dover</v>
      </c>
      <c r="P446" s="1" t="s">
        <v>2388</v>
      </c>
      <c r="Q446" s="6" t="str">
        <f>IFERROR(__xludf.DUMMYFUNCTION("""COMPUTED_VALUE"""),"mendes")</f>
        <v>mendes</v>
      </c>
      <c r="S446" s="1" t="s">
        <v>2389</v>
      </c>
      <c r="T446" s="6" t="str">
        <f>IFERROR(__xludf.DUMMYFUNCTION("""COMPUTED_VALUE"""),"summer")</f>
        <v>summer</v>
      </c>
      <c r="W446" s="8"/>
      <c r="AF446" s="1" t="s">
        <v>2390</v>
      </c>
      <c r="AJ446" s="1" t="s">
        <v>2391</v>
      </c>
      <c r="AM446" s="1" t="s">
        <v>2144</v>
      </c>
    </row>
    <row r="447">
      <c r="E447" s="1" t="s">
        <v>2392</v>
      </c>
      <c r="F447" s="6" t="str">
        <f>IFERROR(__xludf.DUMMYFUNCTION("""COMPUTED_VALUE"""),"frustration")</f>
        <v>frustration</v>
      </c>
      <c r="H447" s="1" t="s">
        <v>1975</v>
      </c>
      <c r="I447" s="6" t="str">
        <f>IFERROR(__xludf.DUMMYFUNCTION("""COMPUTED_VALUE"""),"potent")</f>
        <v>potent</v>
      </c>
      <c r="P447" s="1" t="s">
        <v>1242</v>
      </c>
      <c r="Q447" s="6" t="str">
        <f>IFERROR(__xludf.DUMMYFUNCTION("""COMPUTED_VALUE"""),"lawrence")</f>
        <v>lawrence</v>
      </c>
      <c r="S447" s="1" t="s">
        <v>2393</v>
      </c>
      <c r="T447" s="6" t="str">
        <f>IFERROR(__xludf.DUMMYFUNCTION("""COMPUTED_VALUE"""),"right")</f>
        <v>right</v>
      </c>
      <c r="W447" s="8"/>
      <c r="AF447" s="1" t="s">
        <v>2394</v>
      </c>
      <c r="AJ447" s="1" t="s">
        <v>2395</v>
      </c>
      <c r="AM447" s="1" t="s">
        <v>1348</v>
      </c>
    </row>
    <row r="448">
      <c r="E448" s="1" t="s">
        <v>398</v>
      </c>
      <c r="F448" s="6" t="str">
        <f>IFERROR(__xludf.DUMMYFUNCTION("""COMPUTED_VALUE"""),"antics")</f>
        <v>antics</v>
      </c>
      <c r="H448" s="1" t="s">
        <v>1075</v>
      </c>
      <c r="I448" s="6" t="str">
        <f>IFERROR(__xludf.DUMMYFUNCTION("""COMPUTED_VALUE"""),"seeks")</f>
        <v>seeks</v>
      </c>
      <c r="P448" s="1" t="s">
        <v>658</v>
      </c>
      <c r="Q448" s="6" t="str">
        <f>IFERROR(__xludf.DUMMYFUNCTION("""COMPUTED_VALUE"""),"operatic")</f>
        <v>operatic</v>
      </c>
      <c r="S448" s="1" t="s">
        <v>2396</v>
      </c>
      <c r="T448" s="6" t="str">
        <f>IFERROR(__xludf.DUMMYFUNCTION("""COMPUTED_VALUE"""),"ambitious")</f>
        <v>ambitious</v>
      </c>
      <c r="W448" s="8"/>
      <c r="AF448" s="1" t="s">
        <v>2397</v>
      </c>
      <c r="AJ448" s="1" t="s">
        <v>579</v>
      </c>
      <c r="AM448" s="1" t="s">
        <v>2398</v>
      </c>
    </row>
    <row r="449">
      <c r="E449" s="1" t="s">
        <v>315</v>
      </c>
      <c r="F449" s="6" t="str">
        <f>IFERROR(__xludf.DUMMYFUNCTION("""COMPUTED_VALUE"""),"miracles")</f>
        <v>miracles</v>
      </c>
      <c r="H449" s="1" t="s">
        <v>1174</v>
      </c>
      <c r="I449" s="6" t="str">
        <f>IFERROR(__xludf.DUMMYFUNCTION("""COMPUTED_VALUE"""),"excitement")</f>
        <v>excitement</v>
      </c>
      <c r="P449" s="1" t="s">
        <v>2399</v>
      </c>
      <c r="Q449" s="6" t="str">
        <f>IFERROR(__xludf.DUMMYFUNCTION("""COMPUTED_VALUE"""),"effortlessly")</f>
        <v>effortlessly</v>
      </c>
      <c r="S449" s="1" t="s">
        <v>2400</v>
      </c>
      <c r="T449" s="6" t="str">
        <f>IFERROR(__xludf.DUMMYFUNCTION("""COMPUTED_VALUE"""),"subject")</f>
        <v>subject</v>
      </c>
      <c r="W449" s="8"/>
      <c r="AF449" s="1" t="s">
        <v>1315</v>
      </c>
      <c r="AJ449" s="1" t="s">
        <v>2401</v>
      </c>
      <c r="AM449" s="1" t="s">
        <v>2148</v>
      </c>
    </row>
    <row r="450">
      <c r="E450" s="1" t="s">
        <v>447</v>
      </c>
      <c r="F450" s="6" t="str">
        <f>IFERROR(__xludf.DUMMYFUNCTION("""COMPUTED_VALUE"""),"miracle")</f>
        <v>miracle</v>
      </c>
      <c r="H450" s="1" t="s">
        <v>2402</v>
      </c>
      <c r="I450" s="6" t="str">
        <f>IFERROR(__xludf.DUMMYFUNCTION("""COMPUTED_VALUE"""),"insult")</f>
        <v>insult</v>
      </c>
      <c r="P450" s="1" t="s">
        <v>2403</v>
      </c>
      <c r="Q450" s="6" t="str">
        <f>IFERROR(__xludf.DUMMYFUNCTION("""COMPUTED_VALUE"""),"mick")</f>
        <v>mick</v>
      </c>
      <c r="S450" s="1" t="s">
        <v>1697</v>
      </c>
      <c r="T450" s="6" t="str">
        <f>IFERROR(__xludf.DUMMYFUNCTION("""COMPUTED_VALUE"""),"overcome")</f>
        <v>overcome</v>
      </c>
      <c r="W450" s="8"/>
      <c r="AF450" s="1" t="s">
        <v>607</v>
      </c>
      <c r="AJ450" s="1" t="s">
        <v>2385</v>
      </c>
      <c r="AM450" s="1" t="s">
        <v>2056</v>
      </c>
    </row>
    <row r="451">
      <c r="E451" s="1" t="s">
        <v>2404</v>
      </c>
      <c r="F451" s="6" t="str">
        <f>IFERROR(__xludf.DUMMYFUNCTION("""COMPUTED_VALUE"""),"lewis")</f>
        <v>lewis</v>
      </c>
      <c r="H451" s="1" t="s">
        <v>2191</v>
      </c>
      <c r="I451" s="6" t="str">
        <f>IFERROR(__xludf.DUMMYFUNCTION("""COMPUTED_VALUE"""),"empty")</f>
        <v>empty</v>
      </c>
      <c r="P451" s="1" t="s">
        <v>706</v>
      </c>
      <c r="Q451" s="6" t="str">
        <f>IFERROR(__xludf.DUMMYFUNCTION("""COMPUTED_VALUE"""),"giggle")</f>
        <v>giggle</v>
      </c>
      <c r="S451" s="1" t="s">
        <v>1062</v>
      </c>
      <c r="T451" s="6" t="str">
        <f>IFERROR(__xludf.DUMMYFUNCTION("""COMPUTED_VALUE"""),"carmen")</f>
        <v>carmen</v>
      </c>
      <c r="W451" s="8"/>
      <c r="AF451" s="1" t="s">
        <v>1326</v>
      </c>
      <c r="AJ451" s="1" t="s">
        <v>2405</v>
      </c>
      <c r="AM451" s="1" t="s">
        <v>2406</v>
      </c>
    </row>
    <row r="452">
      <c r="E452" s="1" t="s">
        <v>2407</v>
      </c>
      <c r="F452" s="6" t="str">
        <f>IFERROR(__xludf.DUMMYFUNCTION("""COMPUTED_VALUE"""),"davies")</f>
        <v>davies</v>
      </c>
      <c r="H452" s="1" t="s">
        <v>1082</v>
      </c>
      <c r="I452" s="6" t="str">
        <f>IFERROR(__xludf.DUMMYFUNCTION("""COMPUTED_VALUE"""),"problems")</f>
        <v>problems</v>
      </c>
      <c r="P452" s="1" t="s">
        <v>2408</v>
      </c>
      <c r="Q452" s="6" t="str">
        <f>IFERROR(__xludf.DUMMYFUNCTION("""COMPUTED_VALUE"""),"gang")</f>
        <v>gang</v>
      </c>
      <c r="S452" s="1" t="s">
        <v>2409</v>
      </c>
      <c r="T452" s="6" t="str">
        <f>IFERROR(__xludf.DUMMYFUNCTION("""COMPUTED_VALUE"""),"fate")</f>
        <v>fate</v>
      </c>
      <c r="W452" s="8"/>
      <c r="AF452" s="1" t="s">
        <v>2410</v>
      </c>
      <c r="AJ452" s="1" t="s">
        <v>658</v>
      </c>
      <c r="AM452" s="1" t="s">
        <v>345</v>
      </c>
    </row>
    <row r="453">
      <c r="E453" s="1" t="s">
        <v>1084</v>
      </c>
      <c r="F453" s="6" t="str">
        <f>IFERROR(__xludf.DUMMYFUNCTION("""COMPUTED_VALUE"""),"bleak")</f>
        <v>bleak</v>
      </c>
      <c r="H453" s="1" t="s">
        <v>1088</v>
      </c>
      <c r="I453" s="6" t="str">
        <f>IFERROR(__xludf.DUMMYFUNCTION("""COMPUTED_VALUE"""),"apartheid")</f>
        <v>apartheid</v>
      </c>
      <c r="P453" s="1" t="s">
        <v>2411</v>
      </c>
      <c r="Q453" s="6" t="str">
        <f>IFERROR(__xludf.DUMMYFUNCTION("""COMPUTED_VALUE"""),"disgust")</f>
        <v>disgust</v>
      </c>
      <c r="S453" s="1" t="s">
        <v>2412</v>
      </c>
      <c r="T453" s="6" t="str">
        <f>IFERROR(__xludf.DUMMYFUNCTION("""COMPUTED_VALUE"""),"run")</f>
        <v>run</v>
      </c>
      <c r="W453" s="8"/>
      <c r="AF453" s="1" t="s">
        <v>2413</v>
      </c>
      <c r="AJ453" s="1" t="s">
        <v>2408</v>
      </c>
      <c r="AM453" s="1" t="s">
        <v>63</v>
      </c>
    </row>
    <row r="454">
      <c r="E454" s="1" t="s">
        <v>1634</v>
      </c>
      <c r="F454" s="6" t="str">
        <f>IFERROR(__xludf.DUMMYFUNCTION("""COMPUTED_VALUE"""),"sincere")</f>
        <v>sincere</v>
      </c>
      <c r="H454" s="1" t="s">
        <v>1188</v>
      </c>
      <c r="I454" s="6" t="str">
        <f>IFERROR(__xludf.DUMMYFUNCTION("""COMPUTED_VALUE"""),"imagination")</f>
        <v>imagination</v>
      </c>
      <c r="P454" s="1" t="s">
        <v>2414</v>
      </c>
      <c r="Q454" s="6" t="str">
        <f>IFERROR(__xludf.DUMMYFUNCTION("""COMPUTED_VALUE"""),"terrorist")</f>
        <v>terrorist</v>
      </c>
      <c r="S454" s="1" t="s">
        <v>2415</v>
      </c>
      <c r="T454" s="6" t="str">
        <f>IFERROR(__xludf.DUMMYFUNCTION("""COMPUTED_VALUE"""),"low")</f>
        <v>low</v>
      </c>
      <c r="W454" s="8"/>
      <c r="AF454" s="1" t="s">
        <v>2416</v>
      </c>
      <c r="AJ454" s="1" t="s">
        <v>2066</v>
      </c>
      <c r="AM454" s="1" t="s">
        <v>2417</v>
      </c>
    </row>
    <row r="455">
      <c r="E455" s="1" t="s">
        <v>2418</v>
      </c>
      <c r="F455" s="6" t="str">
        <f>IFERROR(__xludf.DUMMYFUNCTION("""COMPUTED_VALUE"""),"bullets")</f>
        <v>bullets</v>
      </c>
      <c r="H455" s="1" t="s">
        <v>1198</v>
      </c>
      <c r="I455" s="6" t="str">
        <f>IFERROR(__xludf.DUMMYFUNCTION("""COMPUTED_VALUE"""),"appealing")</f>
        <v>appealing</v>
      </c>
      <c r="P455" s="1" t="s">
        <v>2419</v>
      </c>
      <c r="Q455" s="6" t="str">
        <f>IFERROR(__xludf.DUMMYFUNCTION("""COMPUTED_VALUE"""),"chuckles")</f>
        <v>chuckles</v>
      </c>
      <c r="S455" s="1" t="s">
        <v>1043</v>
      </c>
      <c r="T455" s="6" t="str">
        <f>IFERROR(__xludf.DUMMYFUNCTION("""COMPUTED_VALUE"""),"ode")</f>
        <v>ode</v>
      </c>
      <c r="W455" s="8"/>
      <c r="AF455" s="1" t="s">
        <v>2420</v>
      </c>
      <c r="AJ455" s="1" t="s">
        <v>713</v>
      </c>
      <c r="AM455" s="1" t="s">
        <v>1322</v>
      </c>
    </row>
    <row r="456">
      <c r="E456" s="1" t="s">
        <v>332</v>
      </c>
      <c r="F456" s="6" t="str">
        <f>IFERROR(__xludf.DUMMYFUNCTION("""COMPUTED_VALUE"""),"none")</f>
        <v>none</v>
      </c>
      <c r="H456" s="1" t="s">
        <v>884</v>
      </c>
      <c r="I456" s="6" t="str">
        <f>IFERROR(__xludf.DUMMYFUNCTION("""COMPUTED_VALUE"""),"irrelevant")</f>
        <v>irrelevant</v>
      </c>
      <c r="P456" s="1" t="s">
        <v>2421</v>
      </c>
      <c r="Q456" s="6" t="str">
        <f>IFERROR(__xludf.DUMMYFUNCTION("""COMPUTED_VALUE"""),"stylized")</f>
        <v>stylized</v>
      </c>
      <c r="S456" s="1" t="s">
        <v>821</v>
      </c>
      <c r="T456" s="6" t="str">
        <f>IFERROR(__xludf.DUMMYFUNCTION("""COMPUTED_VALUE"""),"muttering")</f>
        <v>muttering</v>
      </c>
      <c r="W456" s="8"/>
      <c r="AF456" s="1" t="s">
        <v>2422</v>
      </c>
      <c r="AJ456" s="1" t="s">
        <v>2423</v>
      </c>
      <c r="AM456" s="1" t="s">
        <v>1327</v>
      </c>
    </row>
    <row r="457">
      <c r="E457" s="1" t="s">
        <v>2424</v>
      </c>
      <c r="F457" s="6" t="str">
        <f>IFERROR(__xludf.DUMMYFUNCTION("""COMPUTED_VALUE"""),"poem")</f>
        <v>poem</v>
      </c>
      <c r="H457" s="1" t="s">
        <v>395</v>
      </c>
      <c r="I457" s="6" t="str">
        <f>IFERROR(__xludf.DUMMYFUNCTION("""COMPUTED_VALUE"""),"korean")</f>
        <v>korean</v>
      </c>
      <c r="P457" s="1" t="s">
        <v>738</v>
      </c>
      <c r="Q457" s="6">
        <f>IFERROR(__xludf.DUMMYFUNCTION("""COMPUTED_VALUE"""),89.0)</f>
        <v>89</v>
      </c>
      <c r="S457" s="1" t="s">
        <v>2425</v>
      </c>
      <c r="T457" s="6" t="str">
        <f>IFERROR(__xludf.DUMMYFUNCTION("""COMPUTED_VALUE"""),"walked")</f>
        <v>walked</v>
      </c>
      <c r="W457" s="8"/>
      <c r="AF457" s="1" t="s">
        <v>1332</v>
      </c>
      <c r="AJ457" s="1" t="s">
        <v>2414</v>
      </c>
      <c r="AM457" s="1" t="s">
        <v>1363</v>
      </c>
    </row>
    <row r="458">
      <c r="E458" s="1" t="s">
        <v>1646</v>
      </c>
      <c r="F458" s="6" t="str">
        <f>IFERROR(__xludf.DUMMYFUNCTION("""COMPUTED_VALUE"""),"convincing")</f>
        <v>convincing</v>
      </c>
      <c r="H458" s="1" t="s">
        <v>2426</v>
      </c>
      <c r="I458" s="6" t="str">
        <f>IFERROR(__xludf.DUMMYFUNCTION("""COMPUTED_VALUE"""),"canvas")</f>
        <v>canvas</v>
      </c>
      <c r="P458" s="1" t="s">
        <v>1424</v>
      </c>
      <c r="Q458" s="6" t="str">
        <f>IFERROR(__xludf.DUMMYFUNCTION("""COMPUTED_VALUE"""),"aspirations")</f>
        <v>aspirations</v>
      </c>
      <c r="S458" s="1" t="s">
        <v>2427</v>
      </c>
      <c r="T458" s="6" t="str">
        <f>IFERROR(__xludf.DUMMYFUNCTION("""COMPUTED_VALUE"""),"intact")</f>
        <v>intact</v>
      </c>
      <c r="W458" s="8"/>
      <c r="AF458" s="1" t="s">
        <v>2428</v>
      </c>
      <c r="AJ458" s="1" t="s">
        <v>1857</v>
      </c>
      <c r="AM458" s="1" t="s">
        <v>1333</v>
      </c>
    </row>
    <row r="459">
      <c r="E459" s="1" t="s">
        <v>634</v>
      </c>
      <c r="F459" s="6" t="str">
        <f>IFERROR(__xludf.DUMMYFUNCTION("""COMPUTED_VALUE"""),"viewer")</f>
        <v>viewer</v>
      </c>
      <c r="H459" s="1" t="s">
        <v>1993</v>
      </c>
      <c r="I459" s="6" t="str">
        <f>IFERROR(__xludf.DUMMYFUNCTION("""COMPUTED_VALUE"""),"historical")</f>
        <v>historical</v>
      </c>
      <c r="P459" s="1" t="s">
        <v>368</v>
      </c>
      <c r="Q459" s="6" t="str">
        <f>IFERROR(__xludf.DUMMYFUNCTION("""COMPUTED_VALUE"""),"underlying")</f>
        <v>underlying</v>
      </c>
      <c r="S459" s="1" t="s">
        <v>2429</v>
      </c>
      <c r="T459" s="6" t="str">
        <f>IFERROR(__xludf.DUMMYFUNCTION("""COMPUTED_VALUE"""),"ellen")</f>
        <v>ellen</v>
      </c>
      <c r="W459" s="8"/>
      <c r="AF459" s="1" t="s">
        <v>1339</v>
      </c>
      <c r="AJ459" s="1" t="s">
        <v>2430</v>
      </c>
      <c r="AM459" s="1" t="s">
        <v>1011</v>
      </c>
    </row>
    <row r="460">
      <c r="E460" s="1" t="s">
        <v>2431</v>
      </c>
      <c r="F460" s="6" t="str">
        <f>IFERROR(__xludf.DUMMYFUNCTION("""COMPUTED_VALUE"""),"maintain")</f>
        <v>maintain</v>
      </c>
      <c r="H460" s="1" t="s">
        <v>406</v>
      </c>
      <c r="I460" s="6" t="str">
        <f>IFERROR(__xludf.DUMMYFUNCTION("""COMPUTED_VALUE"""),"irony")</f>
        <v>irony</v>
      </c>
      <c r="P460" s="1" t="s">
        <v>2432</v>
      </c>
      <c r="Q460" s="6" t="str">
        <f>IFERROR(__xludf.DUMMYFUNCTION("""COMPUTED_VALUE"""),"horizons")</f>
        <v>horizons</v>
      </c>
      <c r="S460" s="1" t="s">
        <v>2433</v>
      </c>
      <c r="T460" s="6" t="str">
        <f>IFERROR(__xludf.DUMMYFUNCTION("""COMPUTED_VALUE"""),"backward")</f>
        <v>backward</v>
      </c>
      <c r="W460" s="8"/>
      <c r="AF460" s="1" t="s">
        <v>1344</v>
      </c>
      <c r="AJ460" s="1" t="s">
        <v>586</v>
      </c>
      <c r="AM460" s="1" t="s">
        <v>2434</v>
      </c>
    </row>
    <row r="461">
      <c r="E461" s="1" t="s">
        <v>408</v>
      </c>
      <c r="F461" s="6" t="str">
        <f>IFERROR(__xludf.DUMMYFUNCTION("""COMPUTED_VALUE"""),"pile")</f>
        <v>pile</v>
      </c>
      <c r="H461" s="1" t="s">
        <v>1204</v>
      </c>
      <c r="I461" s="6" t="str">
        <f>IFERROR(__xludf.DUMMYFUNCTION("""COMPUTED_VALUE"""),"complete")</f>
        <v>complete</v>
      </c>
      <c r="P461" s="1" t="s">
        <v>737</v>
      </c>
      <c r="Q461" s="6" t="str">
        <f>IFERROR(__xludf.DUMMYFUNCTION("""COMPUTED_VALUE"""),"hole")</f>
        <v>hole</v>
      </c>
      <c r="S461" s="1" t="s">
        <v>2435</v>
      </c>
      <c r="T461" s="6" t="str">
        <f>IFERROR(__xludf.DUMMYFUNCTION("""COMPUTED_VALUE"""),"copies")</f>
        <v>copies</v>
      </c>
      <c r="W461" s="8"/>
      <c r="AF461" s="1" t="s">
        <v>1351</v>
      </c>
      <c r="AJ461" s="1" t="s">
        <v>2421</v>
      </c>
      <c r="AM461" s="1" t="s">
        <v>2436</v>
      </c>
    </row>
    <row r="462">
      <c r="E462" s="1" t="s">
        <v>641</v>
      </c>
      <c r="F462" s="6" t="str">
        <f>IFERROR(__xludf.DUMMYFUNCTION("""COMPUTED_VALUE"""),"affection")</f>
        <v>affection</v>
      </c>
      <c r="H462" s="1" t="s">
        <v>2001</v>
      </c>
      <c r="I462" s="6" t="str">
        <f>IFERROR(__xludf.DUMMYFUNCTION("""COMPUTED_VALUE"""),"assured")</f>
        <v>assured</v>
      </c>
      <c r="P462" s="1" t="s">
        <v>2437</v>
      </c>
      <c r="Q462" s="6" t="str">
        <f>IFERROR(__xludf.DUMMYFUNCTION("""COMPUTED_VALUE"""),"reminder")</f>
        <v>reminder</v>
      </c>
      <c r="S462" s="1" t="s">
        <v>2438</v>
      </c>
      <c r="T462" s="6" t="str">
        <f>IFERROR(__xludf.DUMMYFUNCTION("""COMPUTED_VALUE"""),"exciting")</f>
        <v>exciting</v>
      </c>
      <c r="W462" s="8"/>
      <c r="AF462" s="1" t="s">
        <v>1354</v>
      </c>
      <c r="AJ462" s="1" t="s">
        <v>738</v>
      </c>
      <c r="AM462" s="1" t="s">
        <v>2167</v>
      </c>
    </row>
    <row r="463">
      <c r="E463" s="1" t="s">
        <v>1614</v>
      </c>
      <c r="F463" s="6" t="str">
        <f>IFERROR(__xludf.DUMMYFUNCTION("""COMPUTED_VALUE"""),"pathology")</f>
        <v>pathology</v>
      </c>
      <c r="H463" s="1" t="s">
        <v>1209</v>
      </c>
      <c r="I463" s="6" t="str">
        <f>IFERROR(__xludf.DUMMYFUNCTION("""COMPUTED_VALUE"""),"solid")</f>
        <v>solid</v>
      </c>
      <c r="P463" s="1" t="s">
        <v>680</v>
      </c>
      <c r="Q463" s="6" t="str">
        <f>IFERROR(__xludf.DUMMYFUNCTION("""COMPUTED_VALUE"""),"significance")</f>
        <v>significance</v>
      </c>
      <c r="S463" s="1" t="s">
        <v>1073</v>
      </c>
      <c r="T463" s="6" t="str">
        <f>IFERROR(__xludf.DUMMYFUNCTION("""COMPUTED_VALUE"""),"interviews")</f>
        <v>interviews</v>
      </c>
      <c r="W463" s="8"/>
      <c r="AF463" s="1" t="s">
        <v>2439</v>
      </c>
      <c r="AJ463" s="1" t="s">
        <v>2440</v>
      </c>
      <c r="AM463" s="1" t="s">
        <v>2441</v>
      </c>
    </row>
    <row r="464">
      <c r="E464" s="1" t="s">
        <v>418</v>
      </c>
      <c r="F464" s="6" t="str">
        <f>IFERROR(__xludf.DUMMYFUNCTION("""COMPUTED_VALUE"""),"souls")</f>
        <v>souls</v>
      </c>
      <c r="H464" s="1" t="s">
        <v>222</v>
      </c>
      <c r="I464" s="6" t="str">
        <f>IFERROR(__xludf.DUMMYFUNCTION("""COMPUTED_VALUE"""),"thematic")</f>
        <v>thematic</v>
      </c>
      <c r="P464" s="1" t="s">
        <v>302</v>
      </c>
      <c r="Q464" s="6" t="str">
        <f>IFERROR(__xludf.DUMMYFUNCTION("""COMPUTED_VALUE"""),"seductive")</f>
        <v>seductive</v>
      </c>
      <c r="S464" s="1" t="s">
        <v>2442</v>
      </c>
      <c r="T464" s="6" t="str">
        <f>IFERROR(__xludf.DUMMYFUNCTION("""COMPUTED_VALUE"""),"ago")</f>
        <v>ago</v>
      </c>
      <c r="W464" s="8"/>
      <c r="AF464" s="1" t="s">
        <v>1358</v>
      </c>
      <c r="AJ464" s="1" t="s">
        <v>2443</v>
      </c>
      <c r="AM464" s="1" t="s">
        <v>1038</v>
      </c>
    </row>
    <row r="465">
      <c r="E465" s="1" t="s">
        <v>1022</v>
      </c>
      <c r="F465" s="6" t="str">
        <f>IFERROR(__xludf.DUMMYFUNCTION("""COMPUTED_VALUE"""),"ages")</f>
        <v>ages</v>
      </c>
      <c r="H465" s="1" t="s">
        <v>2008</v>
      </c>
      <c r="I465" s="6" t="str">
        <f>IFERROR(__xludf.DUMMYFUNCTION("""COMPUTED_VALUE"""),"road")</f>
        <v>road</v>
      </c>
      <c r="P465" s="1" t="s">
        <v>2444</v>
      </c>
      <c r="Q465" s="6" t="str">
        <f>IFERROR(__xludf.DUMMYFUNCTION("""COMPUTED_VALUE"""),"meaningless")</f>
        <v>meaningless</v>
      </c>
      <c r="S465" s="1" t="s">
        <v>1957</v>
      </c>
      <c r="T465" s="6" t="str">
        <f>IFERROR(__xludf.DUMMYFUNCTION("""COMPUTED_VALUE"""),"von")</f>
        <v>von</v>
      </c>
      <c r="W465" s="8"/>
      <c r="AF465" s="1" t="s">
        <v>2445</v>
      </c>
      <c r="AJ465" s="1" t="s">
        <v>2446</v>
      </c>
      <c r="AM465" s="1" t="s">
        <v>1345</v>
      </c>
    </row>
    <row r="466">
      <c r="E466" s="1" t="s">
        <v>325</v>
      </c>
      <c r="F466" s="6" t="str">
        <f>IFERROR(__xludf.DUMMYFUNCTION("""COMPUTED_VALUE"""),"substances")</f>
        <v>substances</v>
      </c>
      <c r="H466" s="1" t="s">
        <v>2217</v>
      </c>
      <c r="I466" s="6" t="str">
        <f>IFERROR(__xludf.DUMMYFUNCTION("""COMPUTED_VALUE"""),"politics")</f>
        <v>politics</v>
      </c>
      <c r="P466" s="1" t="s">
        <v>2447</v>
      </c>
      <c r="Q466" s="6" t="str">
        <f>IFERROR(__xludf.DUMMYFUNCTION("""COMPUTED_VALUE"""),"bid")</f>
        <v>bid</v>
      </c>
      <c r="S466" s="1" t="s">
        <v>2107</v>
      </c>
      <c r="T466" s="6" t="str">
        <f>IFERROR(__xludf.DUMMYFUNCTION("""COMPUTED_VALUE"""),"astonishing")</f>
        <v>astonishing</v>
      </c>
      <c r="W466" s="8"/>
      <c r="AF466" s="1" t="s">
        <v>2448</v>
      </c>
      <c r="AJ466" s="1" t="s">
        <v>368</v>
      </c>
      <c r="AM466" s="1" t="s">
        <v>1395</v>
      </c>
    </row>
    <row r="467">
      <c r="E467" s="1" t="s">
        <v>672</v>
      </c>
      <c r="F467" s="6" t="str">
        <f>IFERROR(__xludf.DUMMYFUNCTION("""COMPUTED_VALUE"""),"subjected")</f>
        <v>subjected</v>
      </c>
      <c r="H467" s="1" t="s">
        <v>1115</v>
      </c>
      <c r="I467" s="6" t="str">
        <f>IFERROR(__xludf.DUMMYFUNCTION("""COMPUTED_VALUE"""),"smug")</f>
        <v>smug</v>
      </c>
      <c r="P467" s="1" t="s">
        <v>2449</v>
      </c>
      <c r="Q467" s="6" t="str">
        <f>IFERROR(__xludf.DUMMYFUNCTION("""COMPUTED_VALUE"""),"embedded")</f>
        <v>embedded</v>
      </c>
      <c r="S467" s="1" t="s">
        <v>2450</v>
      </c>
      <c r="T467" s="6" t="str">
        <f>IFERROR(__xludf.DUMMYFUNCTION("""COMPUTED_VALUE"""),"thrill")</f>
        <v>thrill</v>
      </c>
      <c r="W467" s="8"/>
      <c r="AF467" s="1">
        <v>1938.0</v>
      </c>
      <c r="AJ467" s="1" t="s">
        <v>2451</v>
      </c>
      <c r="AM467" s="1" t="s">
        <v>1388</v>
      </c>
    </row>
    <row r="468">
      <c r="E468" s="1" t="s">
        <v>2452</v>
      </c>
      <c r="F468" s="6" t="str">
        <f>IFERROR(__xludf.DUMMYFUNCTION("""COMPUTED_VALUE"""),"documentary")</f>
        <v>documentary</v>
      </c>
      <c r="H468" s="1" t="s">
        <v>317</v>
      </c>
      <c r="I468" s="6" t="str">
        <f>IFERROR(__xludf.DUMMYFUNCTION("""COMPUTED_VALUE"""),"obvious")</f>
        <v>obvious</v>
      </c>
      <c r="P468" s="1" t="s">
        <v>874</v>
      </c>
      <c r="Q468" s="6" t="str">
        <f>IFERROR(__xludf.DUMMYFUNCTION("""COMPUTED_VALUE"""),"primitive")</f>
        <v>primitive</v>
      </c>
      <c r="S468" s="1" t="s">
        <v>568</v>
      </c>
      <c r="T468" s="6" t="str">
        <f>IFERROR(__xludf.DUMMYFUNCTION("""COMPUTED_VALUE"""),"growth")</f>
        <v>growth</v>
      </c>
      <c r="W468" s="8"/>
      <c r="AF468" s="1" t="s">
        <v>135</v>
      </c>
      <c r="AJ468" s="1" t="s">
        <v>2453</v>
      </c>
      <c r="AM468" s="1" t="s">
        <v>495</v>
      </c>
    </row>
    <row r="469">
      <c r="E469" s="1" t="s">
        <v>662</v>
      </c>
      <c r="F469" s="6" t="str">
        <f>IFERROR(__xludf.DUMMYFUNCTION("""COMPUTED_VALUE"""),"racism")</f>
        <v>racism</v>
      </c>
      <c r="H469" s="1" t="s">
        <v>2015</v>
      </c>
      <c r="I469" s="6" t="str">
        <f>IFERROR(__xludf.DUMMYFUNCTION("""COMPUTED_VALUE"""),"equations")</f>
        <v>equations</v>
      </c>
      <c r="P469" s="1" t="s">
        <v>1169</v>
      </c>
      <c r="Q469" s="6" t="str">
        <f>IFERROR(__xludf.DUMMYFUNCTION("""COMPUTED_VALUE"""),"prevalent")</f>
        <v>prevalent</v>
      </c>
      <c r="S469" s="1" t="s">
        <v>2454</v>
      </c>
      <c r="T469" s="6" t="str">
        <f>IFERROR(__xludf.DUMMYFUNCTION("""COMPUTED_VALUE"""),"soap")</f>
        <v>soap</v>
      </c>
      <c r="W469" s="8"/>
      <c r="AF469" s="1" t="s">
        <v>2455</v>
      </c>
      <c r="AJ469" s="1" t="s">
        <v>594</v>
      </c>
      <c r="AM469" s="1" t="s">
        <v>1061</v>
      </c>
    </row>
    <row r="470">
      <c r="E470" s="1" t="s">
        <v>2456</v>
      </c>
      <c r="F470" s="6" t="str">
        <f>IFERROR(__xludf.DUMMYFUNCTION("""COMPUTED_VALUE"""),"edge")</f>
        <v>edge</v>
      </c>
      <c r="H470" s="1" t="s">
        <v>424</v>
      </c>
      <c r="I470" s="6" t="str">
        <f>IFERROR(__xludf.DUMMYFUNCTION("""COMPUTED_VALUE"""),"captures")</f>
        <v>captures</v>
      </c>
      <c r="P470" s="1" t="s">
        <v>2457</v>
      </c>
      <c r="Q470" s="6" t="str">
        <f>IFERROR(__xludf.DUMMYFUNCTION("""COMPUTED_VALUE"""),"taylor")</f>
        <v>taylor</v>
      </c>
      <c r="S470" s="1" t="s">
        <v>2458</v>
      </c>
      <c r="T470" s="6" t="str">
        <f>IFERROR(__xludf.DUMMYFUNCTION("""COMPUTED_VALUE"""),"opera")</f>
        <v>opera</v>
      </c>
      <c r="W470" s="8"/>
      <c r="AF470" s="1" t="s">
        <v>2459</v>
      </c>
      <c r="AJ470" s="1" t="s">
        <v>1078</v>
      </c>
      <c r="AM470" s="1" t="s">
        <v>256</v>
      </c>
    </row>
    <row r="471">
      <c r="E471" s="1" t="s">
        <v>2460</v>
      </c>
      <c r="F471" s="6" t="str">
        <f>IFERROR(__xludf.DUMMYFUNCTION("""COMPUTED_VALUE"""),"satire")</f>
        <v>satire</v>
      </c>
      <c r="H471" s="1" t="s">
        <v>1129</v>
      </c>
      <c r="I471" s="6" t="str">
        <f>IFERROR(__xludf.DUMMYFUNCTION("""COMPUTED_VALUE"""),"deserve")</f>
        <v>deserve</v>
      </c>
      <c r="P471" s="1" t="s">
        <v>842</v>
      </c>
      <c r="Q471" s="6" t="str">
        <f>IFERROR(__xludf.DUMMYFUNCTION("""COMPUTED_VALUE"""),"harvard")</f>
        <v>harvard</v>
      </c>
      <c r="S471" s="1" t="s">
        <v>2461</v>
      </c>
      <c r="T471" s="6" t="str">
        <f>IFERROR(__xludf.DUMMYFUNCTION("""COMPUTED_VALUE"""),"species")</f>
        <v>species</v>
      </c>
      <c r="W471" s="8"/>
      <c r="AF471" s="1" t="s">
        <v>2462</v>
      </c>
      <c r="AJ471" s="1" t="s">
        <v>2463</v>
      </c>
      <c r="AM471" s="1" t="s">
        <v>265</v>
      </c>
    </row>
    <row r="472">
      <c r="E472" s="1" t="s">
        <v>2464</v>
      </c>
      <c r="F472" s="6" t="str">
        <f>IFERROR(__xludf.DUMMYFUNCTION("""COMPUTED_VALUE"""),"courage")</f>
        <v>courage</v>
      </c>
      <c r="H472" s="1" t="s">
        <v>936</v>
      </c>
      <c r="I472" s="6" t="str">
        <f>IFERROR(__xludf.DUMMYFUNCTION("""COMPUTED_VALUE"""),"stupid")</f>
        <v>stupid</v>
      </c>
      <c r="P472" s="1" t="s">
        <v>2465</v>
      </c>
      <c r="Q472" s="6" t="str">
        <f>IFERROR(__xludf.DUMMYFUNCTION("""COMPUTED_VALUE"""),"encompasses")</f>
        <v>encompasses</v>
      </c>
      <c r="S472" s="1" t="s">
        <v>1143</v>
      </c>
      <c r="T472" s="6" t="str">
        <f>IFERROR(__xludf.DUMMYFUNCTION("""COMPUTED_VALUE"""),"tv")</f>
        <v>tv</v>
      </c>
      <c r="W472" s="8"/>
      <c r="AF472" s="1" t="s">
        <v>2466</v>
      </c>
      <c r="AJ472" s="1" t="s">
        <v>2467</v>
      </c>
      <c r="AM472" s="1" t="s">
        <v>225</v>
      </c>
    </row>
    <row r="473">
      <c r="E473" s="1" t="s">
        <v>1693</v>
      </c>
      <c r="F473" s="6" t="str">
        <f>IFERROR(__xludf.DUMMYFUNCTION("""COMPUTED_VALUE"""),"embracing")</f>
        <v>embracing</v>
      </c>
      <c r="H473" s="1" t="s">
        <v>1498</v>
      </c>
      <c r="I473" s="6" t="str">
        <f>IFERROR(__xludf.DUMMYFUNCTION("""COMPUTED_VALUE"""),"sexuality")</f>
        <v>sexuality</v>
      </c>
      <c r="P473" s="1" t="s">
        <v>2468</v>
      </c>
      <c r="Q473" s="6" t="str">
        <f>IFERROR(__xludf.DUMMYFUNCTION("""COMPUTED_VALUE"""),"ritchie")</f>
        <v>ritchie</v>
      </c>
      <c r="S473" s="1" t="s">
        <v>2469</v>
      </c>
      <c r="T473" s="6" t="str">
        <f>IFERROR(__xludf.DUMMYFUNCTION("""COMPUTED_VALUE"""),"chooses")</f>
        <v>chooses</v>
      </c>
      <c r="W473" s="8"/>
      <c r="AF473" s="1" t="s">
        <v>2470</v>
      </c>
      <c r="AJ473" s="1" t="s">
        <v>603</v>
      </c>
      <c r="AM473" s="1" t="s">
        <v>1376</v>
      </c>
    </row>
    <row r="474">
      <c r="E474" s="1" t="s">
        <v>48</v>
      </c>
      <c r="F474" s="6" t="str">
        <f>IFERROR(__xludf.DUMMYFUNCTION("""COMPUTED_VALUE"""),"intellectual")</f>
        <v>intellectual</v>
      </c>
      <c r="H474" s="1" t="s">
        <v>1221</v>
      </c>
      <c r="I474" s="6" t="str">
        <f>IFERROR(__xludf.DUMMYFUNCTION("""COMPUTED_VALUE"""),"combining")</f>
        <v>combining</v>
      </c>
      <c r="P474" s="1" t="s">
        <v>773</v>
      </c>
      <c r="Q474" s="6" t="str">
        <f>IFERROR(__xludf.DUMMYFUNCTION("""COMPUTED_VALUE"""),"endurance")</f>
        <v>endurance</v>
      </c>
      <c r="S474" s="1" t="s">
        <v>1524</v>
      </c>
      <c r="T474" s="6" t="str">
        <f>IFERROR(__xludf.DUMMYFUNCTION("""COMPUTED_VALUE"""),"question")</f>
        <v>question</v>
      </c>
      <c r="W474" s="8"/>
      <c r="AF474" s="1" t="s">
        <v>1366</v>
      </c>
      <c r="AJ474" s="1" t="s">
        <v>1153</v>
      </c>
      <c r="AM474" s="1" t="s">
        <v>1431</v>
      </c>
    </row>
    <row r="475">
      <c r="E475" s="1" t="s">
        <v>1396</v>
      </c>
      <c r="F475" s="6" t="str">
        <f>IFERROR(__xludf.DUMMYFUNCTION("""COMPUTED_VALUE"""),"meditation")</f>
        <v>meditation</v>
      </c>
      <c r="H475" s="1" t="s">
        <v>1141</v>
      </c>
      <c r="I475" s="6" t="str">
        <f>IFERROR(__xludf.DUMMYFUNCTION("""COMPUTED_VALUE"""),"elements")</f>
        <v>elements</v>
      </c>
      <c r="P475" s="1" t="s">
        <v>2471</v>
      </c>
      <c r="Q475" s="6" t="str">
        <f>IFERROR(__xludf.DUMMYFUNCTION("""COMPUTED_VALUE"""),"ai")</f>
        <v>ai</v>
      </c>
      <c r="S475" s="1" t="s">
        <v>2472</v>
      </c>
      <c r="T475" s="6" t="str">
        <f>IFERROR(__xludf.DUMMYFUNCTION("""COMPUTED_VALUE"""),"wounds")</f>
        <v>wounds</v>
      </c>
      <c r="W475" s="8"/>
      <c r="AF475" s="1" t="s">
        <v>1374</v>
      </c>
      <c r="AJ475" s="1" t="s">
        <v>612</v>
      </c>
      <c r="AM475" s="1" t="s">
        <v>2203</v>
      </c>
    </row>
    <row r="476">
      <c r="E476" s="1" t="s">
        <v>1682</v>
      </c>
      <c r="F476" s="6" t="str">
        <f>IFERROR(__xludf.DUMMYFUNCTION("""COMPUTED_VALUE"""),"freddy")</f>
        <v>freddy</v>
      </c>
      <c r="H476" s="1" t="s">
        <v>1226</v>
      </c>
      <c r="I476" s="6" t="str">
        <f>IFERROR(__xludf.DUMMYFUNCTION("""COMPUTED_VALUE"""),"indictment")</f>
        <v>indictment</v>
      </c>
      <c r="P476" s="1" t="s">
        <v>2473</v>
      </c>
      <c r="Q476" s="6" t="str">
        <f>IFERROR(__xludf.DUMMYFUNCTION("""COMPUTED_VALUE"""),"stretched")</f>
        <v>stretched</v>
      </c>
      <c r="S476" s="1" t="s">
        <v>2474</v>
      </c>
      <c r="T476" s="6" t="str">
        <f>IFERROR(__xludf.DUMMYFUNCTION("""COMPUTED_VALUE"""),"suffering")</f>
        <v>suffering</v>
      </c>
      <c r="W476" s="8"/>
      <c r="AF476" s="1" t="s">
        <v>2475</v>
      </c>
      <c r="AJ476" s="1" t="s">
        <v>302</v>
      </c>
      <c r="AM476" s="1" t="s">
        <v>1436</v>
      </c>
    </row>
    <row r="477">
      <c r="E477" s="1" t="s">
        <v>2476</v>
      </c>
      <c r="F477" s="6" t="str">
        <f>IFERROR(__xludf.DUMMYFUNCTION("""COMPUTED_VALUE"""),"stereotypes")</f>
        <v>stereotypes</v>
      </c>
      <c r="H477" s="1" t="s">
        <v>116</v>
      </c>
      <c r="I477" s="6" t="str">
        <f>IFERROR(__xludf.DUMMYFUNCTION("""COMPUTED_VALUE"""),"offensive")</f>
        <v>offensive</v>
      </c>
      <c r="P477" s="1" t="s">
        <v>311</v>
      </c>
      <c r="Q477" s="6" t="str">
        <f>IFERROR(__xludf.DUMMYFUNCTION("""COMPUTED_VALUE"""),"ambition")</f>
        <v>ambition</v>
      </c>
      <c r="S477" s="1" t="s">
        <v>2477</v>
      </c>
      <c r="T477" s="6" t="str">
        <f>IFERROR(__xludf.DUMMYFUNCTION("""COMPUTED_VALUE"""),"powerful")</f>
        <v>powerful</v>
      </c>
      <c r="W477" s="8"/>
      <c r="AF477" s="1" t="s">
        <v>1379</v>
      </c>
      <c r="AJ477" s="1" t="s">
        <v>756</v>
      </c>
      <c r="AM477" s="1" t="s">
        <v>1972</v>
      </c>
    </row>
    <row r="478">
      <c r="E478" s="1" t="s">
        <v>2478</v>
      </c>
      <c r="F478" s="6" t="str">
        <f>IFERROR(__xludf.DUMMYFUNCTION("""COMPUTED_VALUE"""),"outsiders")</f>
        <v>outsiders</v>
      </c>
      <c r="H478" s="1" t="s">
        <v>2246</v>
      </c>
      <c r="I478" s="6" t="str">
        <f>IFERROR(__xludf.DUMMYFUNCTION("""COMPUTED_VALUE"""),"clause")</f>
        <v>clause</v>
      </c>
      <c r="P478" s="1" t="s">
        <v>633</v>
      </c>
      <c r="Q478" s="6" t="str">
        <f>IFERROR(__xludf.DUMMYFUNCTION("""COMPUTED_VALUE"""),"roles")</f>
        <v>roles</v>
      </c>
      <c r="S478" s="1" t="s">
        <v>2479</v>
      </c>
      <c r="T478" s="6" t="str">
        <f>IFERROR(__xludf.DUMMYFUNCTION("""COMPUTED_VALUE"""),"reason")</f>
        <v>reason</v>
      </c>
      <c r="W478" s="8"/>
      <c r="AF478" s="1" t="s">
        <v>2480</v>
      </c>
      <c r="AJ478" s="1" t="s">
        <v>874</v>
      </c>
      <c r="AM478" s="1" t="s">
        <v>2094</v>
      </c>
    </row>
    <row r="479">
      <c r="E479" s="1" t="s">
        <v>56</v>
      </c>
      <c r="F479" s="6" t="str">
        <f>IFERROR(__xludf.DUMMYFUNCTION("""COMPUTED_VALUE"""),"bore")</f>
        <v>bore</v>
      </c>
      <c r="H479" s="1" t="s">
        <v>2030</v>
      </c>
      <c r="I479" s="6" t="str">
        <f>IFERROR(__xludf.DUMMYFUNCTION("""COMPUTED_VALUE"""),"emotionally")</f>
        <v>emotionally</v>
      </c>
      <c r="P479" s="1" t="s">
        <v>796</v>
      </c>
      <c r="Q479" s="6" t="str">
        <f>IFERROR(__xludf.DUMMYFUNCTION("""COMPUTED_VALUE"""),"lean")</f>
        <v>lean</v>
      </c>
      <c r="S479" s="1" t="s">
        <v>2481</v>
      </c>
      <c r="T479" s="6" t="str">
        <f>IFERROR(__xludf.DUMMYFUNCTION("""COMPUTED_VALUE"""),"making")</f>
        <v>making</v>
      </c>
      <c r="W479" s="8"/>
      <c r="AF479" s="1" t="s">
        <v>2482</v>
      </c>
      <c r="AJ479" s="1" t="s">
        <v>765</v>
      </c>
      <c r="AM479" s="1" t="s">
        <v>527</v>
      </c>
    </row>
    <row r="480">
      <c r="E480" s="1" t="s">
        <v>343</v>
      </c>
      <c r="F480" s="6" t="str">
        <f>IFERROR(__xludf.DUMMYFUNCTION("""COMPUTED_VALUE"""),"universal")</f>
        <v>universal</v>
      </c>
      <c r="H480" s="1" t="s">
        <v>1154</v>
      </c>
      <c r="I480" s="6" t="str">
        <f>IFERROR(__xludf.DUMMYFUNCTION("""COMPUTED_VALUE"""),"engage")</f>
        <v>engage</v>
      </c>
      <c r="P480" s="1" t="s">
        <v>2483</v>
      </c>
      <c r="Q480" s="6" t="str">
        <f>IFERROR(__xludf.DUMMYFUNCTION("""COMPUTED_VALUE"""),"donovan")</f>
        <v>donovan</v>
      </c>
      <c r="S480" s="1" t="s">
        <v>2484</v>
      </c>
      <c r="T480" s="6" t="str">
        <f>IFERROR(__xludf.DUMMYFUNCTION("""COMPUTED_VALUE"""),"demanding")</f>
        <v>demanding</v>
      </c>
      <c r="W480" s="8"/>
      <c r="AF480" s="1" t="s">
        <v>2485</v>
      </c>
      <c r="AJ480" s="1" t="s">
        <v>1169</v>
      </c>
      <c r="AM480" s="1" t="s">
        <v>352</v>
      </c>
    </row>
    <row r="481">
      <c r="E481" s="1" t="s">
        <v>1722</v>
      </c>
      <c r="F481" s="6" t="str">
        <f>IFERROR(__xludf.DUMMYFUNCTION("""COMPUTED_VALUE"""),"involving")</f>
        <v>involving</v>
      </c>
      <c r="H481" s="1" t="s">
        <v>431</v>
      </c>
      <c r="I481" s="6" t="str">
        <f>IFERROR(__xludf.DUMMYFUNCTION("""COMPUTED_VALUE"""),"were")</f>
        <v>were</v>
      </c>
      <c r="P481" s="1" t="s">
        <v>640</v>
      </c>
      <c r="Q481" s="6" t="str">
        <f>IFERROR(__xludf.DUMMYFUNCTION("""COMPUTED_VALUE"""),"irwin")</f>
        <v>irwin</v>
      </c>
      <c r="S481" s="1" t="s">
        <v>2344</v>
      </c>
      <c r="T481" s="6" t="str">
        <f>IFERROR(__xludf.DUMMYFUNCTION("""COMPUTED_VALUE"""),"level")</f>
        <v>level</v>
      </c>
      <c r="W481" s="8"/>
      <c r="AF481" s="1" t="s">
        <v>2486</v>
      </c>
      <c r="AJ481" s="1" t="s">
        <v>842</v>
      </c>
      <c r="AM481" s="1" t="s">
        <v>1391</v>
      </c>
    </row>
    <row r="482">
      <c r="E482" s="1" t="s">
        <v>2487</v>
      </c>
      <c r="F482" s="6" t="str">
        <f>IFERROR(__xludf.DUMMYFUNCTION("""COMPUTED_VALUE"""),"titular")</f>
        <v>titular</v>
      </c>
      <c r="H482" s="1" t="s">
        <v>2038</v>
      </c>
      <c r="I482" s="6" t="str">
        <f>IFERROR(__xludf.DUMMYFUNCTION("""COMPUTED_VALUE"""),"loose")</f>
        <v>loose</v>
      </c>
      <c r="P482" s="1" t="s">
        <v>2488</v>
      </c>
      <c r="Q482" s="6" t="str">
        <f>IFERROR(__xludf.DUMMYFUNCTION("""COMPUTED_VALUE"""),"despair")</f>
        <v>despair</v>
      </c>
      <c r="S482" s="1" t="s">
        <v>825</v>
      </c>
      <c r="T482" s="6" t="str">
        <f>IFERROR(__xludf.DUMMYFUNCTION("""COMPUTED_VALUE"""),"passion")</f>
        <v>passion</v>
      </c>
      <c r="W482" s="8"/>
      <c r="AF482" s="1" t="s">
        <v>1647</v>
      </c>
      <c r="AJ482" s="1" t="s">
        <v>2489</v>
      </c>
      <c r="AM482" s="1" t="s">
        <v>1215</v>
      </c>
    </row>
    <row r="483">
      <c r="E483" s="1" t="s">
        <v>1742</v>
      </c>
      <c r="F483" s="6" t="str">
        <f>IFERROR(__xludf.DUMMYFUNCTION("""COMPUTED_VALUE"""),"sands")</f>
        <v>sands</v>
      </c>
      <c r="H483" s="1" t="s">
        <v>2254</v>
      </c>
      <c r="I483" s="6" t="str">
        <f>IFERROR(__xludf.DUMMYFUNCTION("""COMPUTED_VALUE"""),"revealing")</f>
        <v>revealing</v>
      </c>
      <c r="P483" s="1" t="s">
        <v>2490</v>
      </c>
      <c r="Q483" s="6" t="str">
        <f>IFERROR(__xludf.DUMMYFUNCTION("""COMPUTED_VALUE"""),"whale")</f>
        <v>whale</v>
      </c>
      <c r="S483" s="1" t="s">
        <v>2489</v>
      </c>
      <c r="T483" s="6" t="str">
        <f>IFERROR(__xludf.DUMMYFUNCTION("""COMPUTED_VALUE"""),"rendering")</f>
        <v>rendering</v>
      </c>
      <c r="W483" s="8"/>
      <c r="AF483" s="1" t="s">
        <v>2491</v>
      </c>
      <c r="AJ483" s="1" t="s">
        <v>1177</v>
      </c>
      <c r="AM483" s="1" t="s">
        <v>2492</v>
      </c>
    </row>
    <row r="484">
      <c r="E484" s="1" t="s">
        <v>1733</v>
      </c>
      <c r="F484" s="6" t="str">
        <f>IFERROR(__xludf.DUMMYFUNCTION("""COMPUTED_VALUE"""),"edited")</f>
        <v>edited</v>
      </c>
      <c r="H484" s="1" t="s">
        <v>1238</v>
      </c>
      <c r="I484" s="6" t="str">
        <f>IFERROR(__xludf.DUMMYFUNCTION("""COMPUTED_VALUE"""),"job")</f>
        <v>job</v>
      </c>
      <c r="P484" s="1" t="s">
        <v>2493</v>
      </c>
      <c r="Q484" s="6" t="str">
        <f>IFERROR(__xludf.DUMMYFUNCTION("""COMPUTED_VALUE"""),"arnold")</f>
        <v>arnold</v>
      </c>
      <c r="S484" s="1" t="s">
        <v>2494</v>
      </c>
      <c r="T484" s="6" t="str">
        <f>IFERROR(__xludf.DUMMYFUNCTION("""COMPUTED_VALUE"""),"man")</f>
        <v>man</v>
      </c>
      <c r="W484" s="8"/>
      <c r="AF484" s="1" t="s">
        <v>2495</v>
      </c>
      <c r="AJ484" s="1" t="s">
        <v>780</v>
      </c>
      <c r="AM484" s="1" t="s">
        <v>2496</v>
      </c>
    </row>
    <row r="485">
      <c r="E485" s="1" t="s">
        <v>1697</v>
      </c>
      <c r="F485" s="6" t="str">
        <f>IFERROR(__xludf.DUMMYFUNCTION("""COMPUTED_VALUE"""),"unnecessary")</f>
        <v>unnecessary</v>
      </c>
      <c r="H485" s="1" t="s">
        <v>2044</v>
      </c>
      <c r="I485" s="6" t="str">
        <f>IFERROR(__xludf.DUMMYFUNCTION("""COMPUTED_VALUE"""),"illumination")</f>
        <v>illumination</v>
      </c>
      <c r="P485" s="1" t="s">
        <v>1643</v>
      </c>
      <c r="Q485" s="6" t="str">
        <f>IFERROR(__xludf.DUMMYFUNCTION("""COMPUTED_VALUE"""),"combat")</f>
        <v>combat</v>
      </c>
      <c r="S485" s="1" t="s">
        <v>305</v>
      </c>
      <c r="T485" s="6" t="str">
        <f>IFERROR(__xludf.DUMMYFUNCTION("""COMPUTED_VALUE"""),"nonstop")</f>
        <v>nonstop</v>
      </c>
      <c r="W485" s="8"/>
      <c r="AF485" s="1" t="s">
        <v>1384</v>
      </c>
      <c r="AJ485" s="1" t="s">
        <v>2497</v>
      </c>
      <c r="AM485" s="1" t="s">
        <v>1840</v>
      </c>
    </row>
    <row r="486">
      <c r="E486" s="1" t="s">
        <v>426</v>
      </c>
      <c r="F486" s="6" t="str">
        <f>IFERROR(__xludf.DUMMYFUNCTION("""COMPUTED_VALUE"""),"badly")</f>
        <v>badly</v>
      </c>
      <c r="H486" s="1" t="s">
        <v>2263</v>
      </c>
      <c r="I486" s="6" t="str">
        <f>IFERROR(__xludf.DUMMYFUNCTION("""COMPUTED_VALUE"""),"darker")</f>
        <v>darker</v>
      </c>
      <c r="P486" s="1" t="s">
        <v>259</v>
      </c>
      <c r="Q486" s="6" t="str">
        <f>IFERROR(__xludf.DUMMYFUNCTION("""COMPUTED_VALUE"""),"prejudice")</f>
        <v>prejudice</v>
      </c>
      <c r="S486" s="1" t="s">
        <v>2498</v>
      </c>
      <c r="T486" s="6" t="str">
        <f>IFERROR(__xludf.DUMMYFUNCTION("""COMPUTED_VALUE"""),"argentine")</f>
        <v>argentine</v>
      </c>
      <c r="W486" s="8"/>
      <c r="AF486" s="1" t="s">
        <v>2499</v>
      </c>
      <c r="AJ486" s="1" t="s">
        <v>626</v>
      </c>
      <c r="AM486" s="1" t="s">
        <v>1398</v>
      </c>
    </row>
    <row r="487">
      <c r="E487" s="1" t="s">
        <v>691</v>
      </c>
      <c r="F487" s="6" t="str">
        <f>IFERROR(__xludf.DUMMYFUNCTION("""COMPUTED_VALUE"""),"simone")</f>
        <v>simone</v>
      </c>
      <c r="H487" s="1" t="s">
        <v>439</v>
      </c>
      <c r="I487" s="6" t="str">
        <f>IFERROR(__xludf.DUMMYFUNCTION("""COMPUTED_VALUE"""),"chilling")</f>
        <v>chilling</v>
      </c>
      <c r="P487" s="1" t="s">
        <v>561</v>
      </c>
      <c r="Q487" s="6" t="str">
        <f>IFERROR(__xludf.DUMMYFUNCTION("""COMPUTED_VALUE"""),"screenwriter")</f>
        <v>screenwriter</v>
      </c>
      <c r="S487" s="1" t="s">
        <v>2500</v>
      </c>
      <c r="T487" s="6" t="str">
        <f>IFERROR(__xludf.DUMMYFUNCTION("""COMPUTED_VALUE"""),"celebrates")</f>
        <v>celebrates</v>
      </c>
      <c r="W487" s="8"/>
      <c r="AF487" s="1" t="s">
        <v>2501</v>
      </c>
      <c r="AJ487" s="1" t="s">
        <v>633</v>
      </c>
      <c r="AM487" s="1" t="s">
        <v>1406</v>
      </c>
    </row>
    <row r="488">
      <c r="E488" s="1" t="s">
        <v>1710</v>
      </c>
      <c r="F488" s="6" t="str">
        <f>IFERROR(__xludf.DUMMYFUNCTION("""COMPUTED_VALUE"""),"check")</f>
        <v>check</v>
      </c>
      <c r="H488" s="1" t="s">
        <v>1184</v>
      </c>
      <c r="I488" s="6" t="str">
        <f>IFERROR(__xludf.DUMMYFUNCTION("""COMPUTED_VALUE"""),"reefs")</f>
        <v>reefs</v>
      </c>
      <c r="P488" s="1" t="s">
        <v>2502</v>
      </c>
      <c r="Q488" s="6" t="str">
        <f>IFERROR(__xludf.DUMMYFUNCTION("""COMPUTED_VALUE"""),"lifeless")</f>
        <v>lifeless</v>
      </c>
      <c r="S488" s="1" t="s">
        <v>2503</v>
      </c>
      <c r="T488" s="6" t="str">
        <f>IFERROR(__xludf.DUMMYFUNCTION("""COMPUTED_VALUE"""),"white")</f>
        <v>white</v>
      </c>
      <c r="W488" s="8"/>
      <c r="AF488" s="1" t="s">
        <v>1390</v>
      </c>
      <c r="AJ488" s="1" t="s">
        <v>311</v>
      </c>
      <c r="AM488" s="1" t="s">
        <v>2504</v>
      </c>
    </row>
    <row r="489">
      <c r="E489" s="1" t="s">
        <v>1759</v>
      </c>
      <c r="F489" s="6" t="str">
        <f>IFERROR(__xludf.DUMMYFUNCTION("""COMPUTED_VALUE"""),"ticket")</f>
        <v>ticket</v>
      </c>
      <c r="H489" s="1" t="s">
        <v>945</v>
      </c>
      <c r="I489" s="6" t="str">
        <f>IFERROR(__xludf.DUMMYFUNCTION("""COMPUTED_VALUE"""),"submarine")</f>
        <v>submarine</v>
      </c>
      <c r="P489" s="1" t="s">
        <v>774</v>
      </c>
      <c r="Q489" s="6" t="str">
        <f>IFERROR(__xludf.DUMMYFUNCTION("""COMPUTED_VALUE"""),"depiction")</f>
        <v>depiction</v>
      </c>
      <c r="S489" s="1" t="s">
        <v>2505</v>
      </c>
      <c r="T489" s="6" t="str">
        <f>IFERROR(__xludf.DUMMYFUNCTION("""COMPUTED_VALUE"""),"points")</f>
        <v>points</v>
      </c>
      <c r="W489" s="8"/>
      <c r="AF489" s="1" t="s">
        <v>695</v>
      </c>
      <c r="AJ489" s="1" t="s">
        <v>1201</v>
      </c>
      <c r="AM489" s="1" t="s">
        <v>1411</v>
      </c>
    </row>
    <row r="490">
      <c r="E490" s="1" t="s">
        <v>1718</v>
      </c>
      <c r="F490" s="6" t="str">
        <f>IFERROR(__xludf.DUMMYFUNCTION("""COMPUTED_VALUE"""),"pantheon")</f>
        <v>pantheon</v>
      </c>
      <c r="H490" s="1" t="s">
        <v>2049</v>
      </c>
      <c r="I490" s="6" t="str">
        <f>IFERROR(__xludf.DUMMYFUNCTION("""COMPUTED_VALUE"""),"supernatural")</f>
        <v>supernatural</v>
      </c>
      <c r="P490" s="1" t="s">
        <v>2506</v>
      </c>
      <c r="Q490" s="6" t="str">
        <f>IFERROR(__xludf.DUMMYFUNCTION("""COMPUTED_VALUE"""),"paxton")</f>
        <v>paxton</v>
      </c>
      <c r="S490" s="1" t="s">
        <v>2507</v>
      </c>
      <c r="T490" s="6" t="str">
        <f>IFERROR(__xludf.DUMMYFUNCTION("""COMPUTED_VALUE"""),"package")</f>
        <v>package</v>
      </c>
      <c r="W490" s="8"/>
      <c r="AF490" s="1" t="s">
        <v>2508</v>
      </c>
      <c r="AJ490" s="1" t="s">
        <v>2483</v>
      </c>
      <c r="AM490" s="1" t="s">
        <v>2509</v>
      </c>
    </row>
    <row r="491">
      <c r="E491" s="1" t="s">
        <v>699</v>
      </c>
      <c r="F491" s="6" t="str">
        <f>IFERROR(__xludf.DUMMYFUNCTION("""COMPUTED_VALUE"""),"complicated")</f>
        <v>complicated</v>
      </c>
      <c r="H491" s="1" t="s">
        <v>752</v>
      </c>
      <c r="I491" s="6" t="str">
        <f>IFERROR(__xludf.DUMMYFUNCTION("""COMPUTED_VALUE"""),"paranoid")</f>
        <v>paranoid</v>
      </c>
      <c r="P491" s="1" t="s">
        <v>2510</v>
      </c>
      <c r="Q491" s="6" t="str">
        <f>IFERROR(__xludf.DUMMYFUNCTION("""COMPUTED_VALUE"""),"levy")</f>
        <v>levy</v>
      </c>
      <c r="S491" s="1" t="s">
        <v>2046</v>
      </c>
      <c r="T491" s="6" t="str">
        <f>IFERROR(__xludf.DUMMYFUNCTION("""COMPUTED_VALUE"""),"isolation")</f>
        <v>isolation</v>
      </c>
      <c r="W491" s="8"/>
      <c r="AF491" s="1" t="s">
        <v>2511</v>
      </c>
      <c r="AJ491" s="1" t="s">
        <v>640</v>
      </c>
      <c r="AM491" s="1" t="s">
        <v>2229</v>
      </c>
    </row>
    <row r="492">
      <c r="E492" s="1" t="s">
        <v>2512</v>
      </c>
      <c r="F492" s="6" t="str">
        <f>IFERROR(__xludf.DUMMYFUNCTION("""COMPUTED_VALUE"""),"comedic")</f>
        <v>comedic</v>
      </c>
      <c r="H492" s="1" t="s">
        <v>1195</v>
      </c>
      <c r="I492" s="6" t="str">
        <f>IFERROR(__xludf.DUMMYFUNCTION("""COMPUTED_VALUE"""),"found")</f>
        <v>found</v>
      </c>
      <c r="P492" s="1" t="s">
        <v>2513</v>
      </c>
      <c r="Q492" s="6" t="str">
        <f>IFERROR(__xludf.DUMMYFUNCTION("""COMPUTED_VALUE"""),"forster")</f>
        <v>forster</v>
      </c>
      <c r="S492" s="1" t="s">
        <v>2514</v>
      </c>
      <c r="T492" s="6" t="str">
        <f>IFERROR(__xludf.DUMMYFUNCTION("""COMPUTED_VALUE"""),"plight")</f>
        <v>plight</v>
      </c>
      <c r="W492" s="8"/>
      <c r="AF492" s="1" t="s">
        <v>2515</v>
      </c>
      <c r="AJ492" s="1" t="s">
        <v>2516</v>
      </c>
      <c r="AM492" s="1" t="s">
        <v>2222</v>
      </c>
    </row>
    <row r="493">
      <c r="E493" s="1" t="s">
        <v>2517</v>
      </c>
      <c r="F493" s="6" t="str">
        <f>IFERROR(__xludf.DUMMYFUNCTION("""COMPUTED_VALUE"""),"ensemble")</f>
        <v>ensemble</v>
      </c>
      <c r="H493" s="1" t="s">
        <v>1248</v>
      </c>
      <c r="I493" s="6" t="str">
        <f>IFERROR(__xludf.DUMMYFUNCTION("""COMPUTED_VALUE"""),"star")</f>
        <v>star</v>
      </c>
      <c r="P493" s="1" t="s">
        <v>2518</v>
      </c>
      <c r="Q493" s="6" t="str">
        <f>IFERROR(__xludf.DUMMYFUNCTION("""COMPUTED_VALUE"""),"seriousness")</f>
        <v>seriousness</v>
      </c>
      <c r="S493" s="1" t="s">
        <v>2519</v>
      </c>
      <c r="T493" s="6" t="str">
        <f>IFERROR(__xludf.DUMMYFUNCTION("""COMPUTED_VALUE"""),"comics")</f>
        <v>comics</v>
      </c>
      <c r="W493" s="8"/>
      <c r="AF493" s="1" t="s">
        <v>2520</v>
      </c>
      <c r="AJ493" s="1" t="s">
        <v>2521</v>
      </c>
      <c r="AM493" s="1" t="s">
        <v>831</v>
      </c>
    </row>
    <row r="494">
      <c r="E494" s="1" t="s">
        <v>1811</v>
      </c>
      <c r="F494" s="6" t="str">
        <f>IFERROR(__xludf.DUMMYFUNCTION("""COMPUTED_VALUE"""),"painful")</f>
        <v>painful</v>
      </c>
      <c r="H494" s="1" t="s">
        <v>2058</v>
      </c>
      <c r="I494" s="6" t="str">
        <f>IFERROR(__xludf.DUMMYFUNCTION("""COMPUTED_VALUE"""),"simulate")</f>
        <v>simulate</v>
      </c>
      <c r="P494" s="1" t="s">
        <v>2522</v>
      </c>
      <c r="Q494" s="6" t="str">
        <f>IFERROR(__xludf.DUMMYFUNCTION("""COMPUTED_VALUE"""),"brains")</f>
        <v>brains</v>
      </c>
      <c r="S494" s="1" t="s">
        <v>2523</v>
      </c>
      <c r="T494" s="6" t="str">
        <f>IFERROR(__xludf.DUMMYFUNCTION("""COMPUTED_VALUE"""),"channel")</f>
        <v>channel</v>
      </c>
      <c r="W494" s="8"/>
      <c r="AF494" s="1" t="s">
        <v>1397</v>
      </c>
      <c r="AJ494" s="1" t="s">
        <v>2524</v>
      </c>
      <c r="AM494" s="1" t="s">
        <v>2525</v>
      </c>
    </row>
    <row r="495">
      <c r="E495" s="1" t="s">
        <v>440</v>
      </c>
      <c r="F495" s="6" t="str">
        <f>IFERROR(__xludf.DUMMYFUNCTION("""COMPUTED_VALUE"""),"symbolism")</f>
        <v>symbolism</v>
      </c>
      <c r="H495" s="1" t="s">
        <v>2285</v>
      </c>
      <c r="I495" s="6" t="str">
        <f>IFERROR(__xludf.DUMMYFUNCTION("""COMPUTED_VALUE"""),"idiots")</f>
        <v>idiots</v>
      </c>
      <c r="P495" s="1" t="s">
        <v>2526</v>
      </c>
      <c r="Q495" s="6" t="str">
        <f>IFERROR(__xludf.DUMMYFUNCTION("""COMPUTED_VALUE"""),"flesh")</f>
        <v>flesh</v>
      </c>
      <c r="S495" s="1" t="s">
        <v>2527</v>
      </c>
      <c r="T495" s="6" t="str">
        <f>IFERROR(__xludf.DUMMYFUNCTION("""COMPUTED_VALUE"""),"violence")</f>
        <v>violence</v>
      </c>
      <c r="W495" s="8"/>
      <c r="AF495" s="1" t="s">
        <v>1405</v>
      </c>
      <c r="AJ495" s="1" t="s">
        <v>259</v>
      </c>
      <c r="AM495" s="1" t="s">
        <v>2528</v>
      </c>
    </row>
    <row r="496">
      <c r="E496" s="1" t="s">
        <v>1815</v>
      </c>
      <c r="F496" s="6" t="str">
        <f>IFERROR(__xludf.DUMMYFUNCTION("""COMPUTED_VALUE"""),"psychology")</f>
        <v>psychology</v>
      </c>
      <c r="H496" s="1" t="s">
        <v>2281</v>
      </c>
      <c r="I496" s="6" t="str">
        <f>IFERROR(__xludf.DUMMYFUNCTION("""COMPUTED_VALUE"""),"sewage")</f>
        <v>sewage</v>
      </c>
      <c r="P496" s="1" t="s">
        <v>1118</v>
      </c>
      <c r="Q496" s="6" t="str">
        <f>IFERROR(__xludf.DUMMYFUNCTION("""COMPUTED_VALUE"""),"drastic")</f>
        <v>drastic</v>
      </c>
      <c r="S496" s="1" t="s">
        <v>2529</v>
      </c>
      <c r="T496" s="6" t="str">
        <f>IFERROR(__xludf.DUMMYFUNCTION("""COMPUTED_VALUE"""),"use")</f>
        <v>use</v>
      </c>
      <c r="W496" s="8"/>
      <c r="AF496" s="1" t="s">
        <v>2530</v>
      </c>
      <c r="AJ496" s="1" t="s">
        <v>1218</v>
      </c>
      <c r="AM496" s="1" t="s">
        <v>1476</v>
      </c>
    </row>
    <row r="497">
      <c r="E497" s="1" t="s">
        <v>1756</v>
      </c>
      <c r="F497" s="6" t="str">
        <f>IFERROR(__xludf.DUMMYFUNCTION("""COMPUTED_VALUE"""),"renowned")</f>
        <v>renowned</v>
      </c>
      <c r="H497" s="1" t="s">
        <v>2062</v>
      </c>
      <c r="I497" s="6" t="str">
        <f>IFERROR(__xludf.DUMMYFUNCTION("""COMPUTED_VALUE"""),"spirit")</f>
        <v>spirit</v>
      </c>
      <c r="P497" s="1" t="s">
        <v>2531</v>
      </c>
      <c r="Q497" s="6" t="str">
        <f>IFERROR(__xludf.DUMMYFUNCTION("""COMPUTED_VALUE"""),"fantasies")</f>
        <v>fantasies</v>
      </c>
      <c r="S497" s="1" t="s">
        <v>2532</v>
      </c>
      <c r="T497" s="6" t="str">
        <f>IFERROR(__xludf.DUMMYFUNCTION("""COMPUTED_VALUE"""),"humanity")</f>
        <v>humanity</v>
      </c>
      <c r="W497" s="8"/>
      <c r="AF497" s="1" t="s">
        <v>2533</v>
      </c>
      <c r="AJ497" s="1" t="s">
        <v>561</v>
      </c>
      <c r="AM497" s="1" t="s">
        <v>1416</v>
      </c>
    </row>
    <row r="498">
      <c r="E498" s="1" t="s">
        <v>2534</v>
      </c>
      <c r="F498" s="6" t="str">
        <f>IFERROR(__xludf.DUMMYFUNCTION("""COMPUTED_VALUE"""),"allows")</f>
        <v>allows</v>
      </c>
      <c r="H498" s="1" t="s">
        <v>2064</v>
      </c>
      <c r="I498" s="6" t="str">
        <f>IFERROR(__xludf.DUMMYFUNCTION("""COMPUTED_VALUE"""),"gaping")</f>
        <v>gaping</v>
      </c>
      <c r="P498" s="1" t="s">
        <v>363</v>
      </c>
      <c r="Q498" s="6" t="str">
        <f>IFERROR(__xludf.DUMMYFUNCTION("""COMPUTED_VALUE"""),"illness")</f>
        <v>illness</v>
      </c>
      <c r="S498" s="1" t="s">
        <v>2535</v>
      </c>
      <c r="T498" s="6" t="str">
        <f>IFERROR(__xludf.DUMMYFUNCTION("""COMPUTED_VALUE"""),"lesser")</f>
        <v>lesser</v>
      </c>
      <c r="W498" s="8"/>
      <c r="AF498" s="1" t="s">
        <v>2536</v>
      </c>
      <c r="AJ498" s="1" t="s">
        <v>2537</v>
      </c>
      <c r="AM498" s="1" t="s">
        <v>274</v>
      </c>
    </row>
    <row r="499">
      <c r="E499" s="1" t="s">
        <v>705</v>
      </c>
      <c r="F499" s="6" t="str">
        <f>IFERROR(__xludf.DUMMYFUNCTION("""COMPUTED_VALUE"""),"professionals")</f>
        <v>professionals</v>
      </c>
      <c r="H499" s="1" t="s">
        <v>1138</v>
      </c>
      <c r="I499" s="6" t="str">
        <f>IFERROR(__xludf.DUMMYFUNCTION("""COMPUTED_VALUE"""),"holes")</f>
        <v>holes</v>
      </c>
      <c r="P499" s="1" t="s">
        <v>1260</v>
      </c>
      <c r="Q499" s="6" t="str">
        <f>IFERROR(__xludf.DUMMYFUNCTION("""COMPUTED_VALUE"""),"canadians")</f>
        <v>canadians</v>
      </c>
      <c r="S499" s="1" t="s">
        <v>2093</v>
      </c>
      <c r="T499" s="6" t="str">
        <f>IFERROR(__xludf.DUMMYFUNCTION("""COMPUTED_VALUE"""),"force")</f>
        <v>force</v>
      </c>
      <c r="W499" s="8"/>
      <c r="AF499" s="1" t="s">
        <v>1410</v>
      </c>
      <c r="AJ499" s="1" t="s">
        <v>2538</v>
      </c>
      <c r="AM499" s="1" t="s">
        <v>1427</v>
      </c>
    </row>
    <row r="500">
      <c r="E500" s="1" t="s">
        <v>2539</v>
      </c>
      <c r="F500" s="6" t="str">
        <f>IFERROR(__xludf.DUMMYFUNCTION("""COMPUTED_VALUE"""),"reacting")</f>
        <v>reacting</v>
      </c>
      <c r="H500" s="1" t="s">
        <v>449</v>
      </c>
      <c r="I500" s="6" t="str">
        <f>IFERROR(__xludf.DUMMYFUNCTION("""COMPUTED_VALUE"""),"claude")</f>
        <v>claude</v>
      </c>
      <c r="P500" s="1" t="s">
        <v>2540</v>
      </c>
      <c r="Q500" s="6" t="str">
        <f>IFERROR(__xludf.DUMMYFUNCTION("""COMPUTED_VALUE"""),"calculated")</f>
        <v>calculated</v>
      </c>
      <c r="S500" s="1">
        <v>2001.0</v>
      </c>
      <c r="T500" s="6" t="str">
        <f>IFERROR(__xludf.DUMMYFUNCTION("""COMPUTED_VALUE"""),"fury")</f>
        <v>fury</v>
      </c>
      <c r="W500" s="8"/>
      <c r="AF500" s="1" t="s">
        <v>1415</v>
      </c>
      <c r="AJ500" s="1" t="s">
        <v>2502</v>
      </c>
      <c r="AM500" s="1" t="s">
        <v>1482</v>
      </c>
    </row>
    <row r="501">
      <c r="E501" s="1" t="s">
        <v>110</v>
      </c>
      <c r="F501" s="6" t="str">
        <f>IFERROR(__xludf.DUMMYFUNCTION("""COMPUTED_VALUE"""),"vibrant")</f>
        <v>vibrant</v>
      </c>
      <c r="H501" s="1" t="s">
        <v>1207</v>
      </c>
      <c r="I501" s="6" t="str">
        <f>IFERROR(__xludf.DUMMYFUNCTION("""COMPUTED_VALUE"""),"master")</f>
        <v>master</v>
      </c>
      <c r="P501" s="1" t="s">
        <v>2541</v>
      </c>
      <c r="Q501" s="6" t="str">
        <f>IFERROR(__xludf.DUMMYFUNCTION("""COMPUTED_VALUE"""),"suffer")</f>
        <v>suffer</v>
      </c>
      <c r="S501" s="1" t="s">
        <v>2542</v>
      </c>
      <c r="T501" s="6" t="str">
        <f>IFERROR(__xludf.DUMMYFUNCTION("""COMPUTED_VALUE"""),"complex")</f>
        <v>complex</v>
      </c>
      <c r="W501" s="8"/>
      <c r="AF501" s="1" t="s">
        <v>2543</v>
      </c>
      <c r="AJ501" s="1" t="s">
        <v>774</v>
      </c>
      <c r="AM501" s="1" t="s">
        <v>1434</v>
      </c>
    </row>
    <row r="502">
      <c r="E502" s="1" t="s">
        <v>1761</v>
      </c>
      <c r="F502" s="6" t="str">
        <f>IFERROR(__xludf.DUMMYFUNCTION("""COMPUTED_VALUE"""),"colorful")</f>
        <v>colorful</v>
      </c>
      <c r="H502" s="1" t="s">
        <v>2074</v>
      </c>
      <c r="I502" s="6" t="str">
        <f>IFERROR(__xludf.DUMMYFUNCTION("""COMPUTED_VALUE"""),"inuit")</f>
        <v>inuit</v>
      </c>
      <c r="P502" s="1" t="s">
        <v>826</v>
      </c>
      <c r="Q502" s="6" t="str">
        <f>IFERROR(__xludf.DUMMYFUNCTION("""COMPUTED_VALUE"""),"portraying")</f>
        <v>portraying</v>
      </c>
      <c r="S502" s="1" t="s">
        <v>2544</v>
      </c>
      <c r="T502" s="6" t="str">
        <f>IFERROR(__xludf.DUMMYFUNCTION("""COMPUTED_VALUE"""),"wooden")</f>
        <v>wooden</v>
      </c>
      <c r="W502" s="8"/>
      <c r="AF502" s="1" t="s">
        <v>2545</v>
      </c>
      <c r="AJ502" s="1" t="s">
        <v>2546</v>
      </c>
      <c r="AM502" s="1" t="s">
        <v>2547</v>
      </c>
    </row>
    <row r="503">
      <c r="E503" s="1" t="s">
        <v>452</v>
      </c>
      <c r="F503" s="6" t="str">
        <f>IFERROR(__xludf.DUMMYFUNCTION("""COMPUTED_VALUE"""),"marvel")</f>
        <v>marvel</v>
      </c>
      <c r="H503" s="1" t="s">
        <v>2079</v>
      </c>
      <c r="I503" s="6" t="str">
        <f>IFERROR(__xludf.DUMMYFUNCTION("""COMPUTED_VALUE"""),"screenplay")</f>
        <v>screenplay</v>
      </c>
      <c r="P503" s="1" t="s">
        <v>1059</v>
      </c>
      <c r="Q503" s="6" t="str">
        <f>IFERROR(__xludf.DUMMYFUNCTION("""COMPUTED_VALUE"""),"revenge")</f>
        <v>revenge</v>
      </c>
      <c r="S503" s="1" t="s">
        <v>2548</v>
      </c>
      <c r="T503" s="6" t="str">
        <f>IFERROR(__xludf.DUMMYFUNCTION("""COMPUTED_VALUE"""),"progresses")</f>
        <v>progresses</v>
      </c>
      <c r="W503" s="8"/>
      <c r="AF503" s="1" t="s">
        <v>1421</v>
      </c>
      <c r="AJ503" s="1" t="s">
        <v>2522</v>
      </c>
      <c r="AM503" s="1" t="s">
        <v>1490</v>
      </c>
    </row>
    <row r="504">
      <c r="E504" s="1" t="s">
        <v>696</v>
      </c>
      <c r="F504" s="6" t="str">
        <f>IFERROR(__xludf.DUMMYFUNCTION("""COMPUTED_VALUE"""),"sequences")</f>
        <v>sequences</v>
      </c>
      <c r="H504" s="1" t="s">
        <v>2299</v>
      </c>
      <c r="I504" s="6" t="str">
        <f>IFERROR(__xludf.DUMMYFUNCTION("""COMPUTED_VALUE"""),"thoughtful")</f>
        <v>thoughtful</v>
      </c>
      <c r="P504" s="1" t="s">
        <v>1271</v>
      </c>
      <c r="Q504" s="6" t="str">
        <f>IFERROR(__xludf.DUMMYFUNCTION("""COMPUTED_VALUE"""),"clouds")</f>
        <v>clouds</v>
      </c>
      <c r="S504" s="1" t="s">
        <v>2163</v>
      </c>
      <c r="T504" s="6" t="str">
        <f>IFERROR(__xludf.DUMMYFUNCTION("""COMPUTED_VALUE"""),"risks")</f>
        <v>risks</v>
      </c>
      <c r="W504" s="8"/>
      <c r="AF504" s="1" t="s">
        <v>1695</v>
      </c>
      <c r="AJ504" s="1" t="s">
        <v>654</v>
      </c>
      <c r="AM504" s="1" t="s">
        <v>283</v>
      </c>
    </row>
    <row r="505">
      <c r="E505" s="1" t="s">
        <v>351</v>
      </c>
      <c r="F505" s="6" t="str">
        <f>IFERROR(__xludf.DUMMYFUNCTION("""COMPUTED_VALUE"""),"pulls")</f>
        <v>pulls</v>
      </c>
      <c r="H505" s="1" t="s">
        <v>1211</v>
      </c>
      <c r="I505" s="6" t="str">
        <f>IFERROR(__xludf.DUMMYFUNCTION("""COMPUTED_VALUE"""),"tale")</f>
        <v>tale</v>
      </c>
      <c r="P505" s="1" t="s">
        <v>2549</v>
      </c>
      <c r="Q505" s="6" t="str">
        <f>IFERROR(__xludf.DUMMYFUNCTION("""COMPUTED_VALUE"""),"junk")</f>
        <v>junk</v>
      </c>
      <c r="S505" s="1" t="s">
        <v>2550</v>
      </c>
      <c r="T505" s="6" t="str">
        <f>IFERROR(__xludf.DUMMYFUNCTION("""COMPUTED_VALUE"""),"manner")</f>
        <v>manner</v>
      </c>
      <c r="W505" s="8"/>
      <c r="AF505" s="1" t="s">
        <v>268</v>
      </c>
      <c r="AJ505" s="1" t="s">
        <v>1118</v>
      </c>
      <c r="AM505" s="1" t="s">
        <v>2551</v>
      </c>
    </row>
    <row r="506">
      <c r="E506" s="1" t="s">
        <v>459</v>
      </c>
      <c r="F506" s="6" t="str">
        <f>IFERROR(__xludf.DUMMYFUNCTION("""COMPUTED_VALUE"""),"fantasy")</f>
        <v>fantasy</v>
      </c>
      <c r="H506" s="1" t="s">
        <v>196</v>
      </c>
      <c r="I506" s="6" t="str">
        <f>IFERROR(__xludf.DUMMYFUNCTION("""COMPUTED_VALUE"""),"sitcom")</f>
        <v>sitcom</v>
      </c>
      <c r="P506" s="1" t="s">
        <v>1846</v>
      </c>
      <c r="Q506" s="6" t="str">
        <f>IFERROR(__xludf.DUMMYFUNCTION("""COMPUTED_VALUE"""),"rejected")</f>
        <v>rejected</v>
      </c>
      <c r="S506" s="1" t="s">
        <v>1730</v>
      </c>
      <c r="T506" s="6" t="str">
        <f>IFERROR(__xludf.DUMMYFUNCTION("""COMPUTED_VALUE"""),"strongest")</f>
        <v>strongest</v>
      </c>
      <c r="W506" s="8"/>
      <c r="AF506" s="1" t="s">
        <v>2552</v>
      </c>
      <c r="AJ506" s="1" t="s">
        <v>661</v>
      </c>
      <c r="AM506" s="1" t="s">
        <v>1446</v>
      </c>
    </row>
    <row r="507">
      <c r="E507" s="1" t="s">
        <v>2553</v>
      </c>
      <c r="F507" s="6" t="str">
        <f>IFERROR(__xludf.DUMMYFUNCTION("""COMPUTED_VALUE"""),"illustrates")</f>
        <v>illustrates</v>
      </c>
      <c r="H507" s="1" t="s">
        <v>1219</v>
      </c>
      <c r="I507" s="6" t="str">
        <f>IFERROR(__xludf.DUMMYFUNCTION("""COMPUTED_VALUE"""),"testament")</f>
        <v>testament</v>
      </c>
      <c r="P507" s="1" t="s">
        <v>2554</v>
      </c>
      <c r="Q507" s="6" t="str">
        <f>IFERROR(__xludf.DUMMYFUNCTION("""COMPUTED_VALUE"""),"directs")</f>
        <v>directs</v>
      </c>
      <c r="S507" s="1" t="s">
        <v>2555</v>
      </c>
      <c r="T507" s="6" t="str">
        <f>IFERROR(__xludf.DUMMYFUNCTION("""COMPUTED_VALUE"""),"dover")</f>
        <v>dover</v>
      </c>
      <c r="W507" s="8"/>
      <c r="AF507" s="1" t="s">
        <v>2556</v>
      </c>
      <c r="AJ507" s="1" t="s">
        <v>1241</v>
      </c>
      <c r="AM507" s="1" t="s">
        <v>1452</v>
      </c>
    </row>
    <row r="508">
      <c r="E508" s="1" t="s">
        <v>2557</v>
      </c>
      <c r="F508" s="6" t="str">
        <f>IFERROR(__xludf.DUMMYFUNCTION("""COMPUTED_VALUE"""),"restoring")</f>
        <v>restoring</v>
      </c>
      <c r="H508" s="1" t="s">
        <v>2091</v>
      </c>
      <c r="I508" s="6" t="str">
        <f>IFERROR(__xludf.DUMMYFUNCTION("""COMPUTED_VALUE"""),"ability")</f>
        <v>ability</v>
      </c>
      <c r="P508" s="1" t="s">
        <v>846</v>
      </c>
      <c r="Q508" s="6" t="str">
        <f>IFERROR(__xludf.DUMMYFUNCTION("""COMPUTED_VALUE"""),"holden")</f>
        <v>holden</v>
      </c>
      <c r="S508" s="1" t="s">
        <v>2558</v>
      </c>
      <c r="T508" s="6" t="str">
        <f>IFERROR(__xludf.DUMMYFUNCTION("""COMPUTED_VALUE"""),"potent")</f>
        <v>potent</v>
      </c>
      <c r="W508" s="8"/>
      <c r="AF508" s="1" t="s">
        <v>1433</v>
      </c>
      <c r="AJ508" s="1" t="s">
        <v>1245</v>
      </c>
      <c r="AM508" s="1" t="s">
        <v>2251</v>
      </c>
    </row>
    <row r="509">
      <c r="E509" s="1" t="s">
        <v>2559</v>
      </c>
      <c r="F509" s="6" t="str">
        <f>IFERROR(__xludf.DUMMYFUNCTION("""COMPUTED_VALUE"""),"emerging")</f>
        <v>emerging</v>
      </c>
      <c r="H509" s="1" t="s">
        <v>457</v>
      </c>
      <c r="I509" s="6" t="str">
        <f>IFERROR(__xludf.DUMMYFUNCTION("""COMPUTED_VALUE"""),"lacks")</f>
        <v>lacks</v>
      </c>
      <c r="P509" s="1" t="s">
        <v>850</v>
      </c>
      <c r="Q509" s="6" t="str">
        <f>IFERROR(__xludf.DUMMYFUNCTION("""COMPUTED_VALUE"""),"gore")</f>
        <v>gore</v>
      </c>
      <c r="S509" s="1" t="s">
        <v>542</v>
      </c>
      <c r="T509" s="6" t="str">
        <f>IFERROR(__xludf.DUMMYFUNCTION("""COMPUTED_VALUE"""),"excitement")</f>
        <v>excitement</v>
      </c>
      <c r="W509" s="8"/>
      <c r="AF509" s="1" t="s">
        <v>1630</v>
      </c>
      <c r="AJ509" s="1" t="s">
        <v>2560</v>
      </c>
      <c r="AM509" s="1" t="s">
        <v>31</v>
      </c>
    </row>
    <row r="510">
      <c r="E510" s="1" t="s">
        <v>719</v>
      </c>
      <c r="F510" s="6" t="str">
        <f>IFERROR(__xludf.DUMMYFUNCTION("""COMPUTED_VALUE"""),"entity")</f>
        <v>entity</v>
      </c>
      <c r="H510" s="1" t="s">
        <v>1229</v>
      </c>
      <c r="I510" s="6" t="str">
        <f>IFERROR(__xludf.DUMMYFUNCTION("""COMPUTED_VALUE"""),"report")</f>
        <v>report</v>
      </c>
      <c r="P510" s="1" t="s">
        <v>589</v>
      </c>
      <c r="Q510" s="6" t="str">
        <f>IFERROR(__xludf.DUMMYFUNCTION("""COMPUTED_VALUE"""),"phenomenon")</f>
        <v>phenomenon</v>
      </c>
      <c r="S510" s="1" t="s">
        <v>2561</v>
      </c>
      <c r="T510" s="6" t="str">
        <f>IFERROR(__xludf.DUMMYFUNCTION("""COMPUTED_VALUE"""),"insult")</f>
        <v>insult</v>
      </c>
      <c r="W510" s="8"/>
      <c r="AF510" s="1" t="s">
        <v>2562</v>
      </c>
      <c r="AJ510" s="1" t="s">
        <v>2563</v>
      </c>
      <c r="AM510" s="1" t="s">
        <v>1467</v>
      </c>
    </row>
    <row r="511">
      <c r="E511" s="1" t="s">
        <v>512</v>
      </c>
      <c r="F511" s="6" t="str">
        <f>IFERROR(__xludf.DUMMYFUNCTION("""COMPUTED_VALUE"""),"moonlight")</f>
        <v>moonlight</v>
      </c>
      <c r="H511" s="1" t="s">
        <v>232</v>
      </c>
      <c r="I511" s="6" t="str">
        <f>IFERROR(__xludf.DUMMYFUNCTION("""COMPUTED_VALUE"""),"abuse")</f>
        <v>abuse</v>
      </c>
      <c r="P511" s="1" t="s">
        <v>2564</v>
      </c>
      <c r="Q511" s="6" t="str">
        <f>IFERROR(__xludf.DUMMYFUNCTION("""COMPUTED_VALUE"""),"viewpoint")</f>
        <v>viewpoint</v>
      </c>
      <c r="S511" s="1" t="s">
        <v>2565</v>
      </c>
      <c r="T511" s="6" t="str">
        <f>IFERROR(__xludf.DUMMYFUNCTION("""COMPUTED_VALUE"""),"problems")</f>
        <v>problems</v>
      </c>
      <c r="W511" s="8"/>
      <c r="AF511" s="1" t="s">
        <v>2566</v>
      </c>
      <c r="AJ511" s="1" t="s">
        <v>1252</v>
      </c>
      <c r="AM511" s="1" t="s">
        <v>1473</v>
      </c>
    </row>
    <row r="512">
      <c r="E512" s="1" t="s">
        <v>358</v>
      </c>
      <c r="F512" s="6" t="str">
        <f>IFERROR(__xludf.DUMMYFUNCTION("""COMPUTED_VALUE"""),"pianist")</f>
        <v>pianist</v>
      </c>
      <c r="H512" s="1" t="s">
        <v>1275</v>
      </c>
      <c r="I512" s="6" t="str">
        <f>IFERROR(__xludf.DUMMYFUNCTION("""COMPUTED_VALUE"""),"fake")</f>
        <v>fake</v>
      </c>
      <c r="P512" s="1" t="s">
        <v>2567</v>
      </c>
      <c r="Q512" s="6" t="str">
        <f>IFERROR(__xludf.DUMMYFUNCTION("""COMPUTED_VALUE"""),"content")</f>
        <v>content</v>
      </c>
      <c r="S512" s="1" t="s">
        <v>1112</v>
      </c>
      <c r="T512" s="6" t="str">
        <f>IFERROR(__xludf.DUMMYFUNCTION("""COMPUTED_VALUE"""),"wedding")</f>
        <v>wedding</v>
      </c>
      <c r="W512" s="8"/>
      <c r="AF512" s="1" t="s">
        <v>2568</v>
      </c>
      <c r="AJ512" s="1" t="s">
        <v>2569</v>
      </c>
      <c r="AM512" s="1" t="s">
        <v>1480</v>
      </c>
    </row>
    <row r="513">
      <c r="E513" s="1" t="s">
        <v>2570</v>
      </c>
      <c r="F513" s="6" t="str">
        <f>IFERROR(__xludf.DUMMYFUNCTION("""COMPUTED_VALUE"""),"detached")</f>
        <v>detached</v>
      </c>
      <c r="H513" s="1" t="s">
        <v>2102</v>
      </c>
      <c r="I513" s="6" t="str">
        <f>IFERROR(__xludf.DUMMYFUNCTION("""COMPUTED_VALUE"""),"palestinian")</f>
        <v>palestinian</v>
      </c>
      <c r="P513" s="1" t="s">
        <v>2571</v>
      </c>
      <c r="Q513" s="6" t="str">
        <f>IFERROR(__xludf.DUMMYFUNCTION("""COMPUTED_VALUE"""),"stays")</f>
        <v>stays</v>
      </c>
      <c r="S513" s="1" t="s">
        <v>2572</v>
      </c>
      <c r="T513" s="6" t="str">
        <f>IFERROR(__xludf.DUMMYFUNCTION("""COMPUTED_VALUE"""),"fat")</f>
        <v>fat</v>
      </c>
      <c r="W513" s="8"/>
      <c r="AF513" s="1" t="s">
        <v>2573</v>
      </c>
      <c r="AJ513" s="1" t="s">
        <v>2574</v>
      </c>
      <c r="AM513" s="1" t="s">
        <v>1497</v>
      </c>
    </row>
    <row r="514">
      <c r="E514" s="1" t="s">
        <v>467</v>
      </c>
      <c r="F514" s="6" t="str">
        <f>IFERROR(__xludf.DUMMYFUNCTION("""COMPUTED_VALUE"""),"represented")</f>
        <v>represented</v>
      </c>
      <c r="H514" s="1" t="s">
        <v>1282</v>
      </c>
      <c r="I514" s="6" t="str">
        <f>IFERROR(__xludf.DUMMYFUNCTION("""COMPUTED_VALUE"""),"suffers")</f>
        <v>suffers</v>
      </c>
      <c r="P514" s="1" t="s">
        <v>667</v>
      </c>
      <c r="Q514" s="6" t="str">
        <f>IFERROR(__xludf.DUMMYFUNCTION("""COMPUTED_VALUE"""),"stretches")</f>
        <v>stretches</v>
      </c>
      <c r="S514" s="1" t="s">
        <v>2575</v>
      </c>
      <c r="T514" s="6" t="str">
        <f>IFERROR(__xludf.DUMMYFUNCTION("""COMPUTED_VALUE"""),"imagination")</f>
        <v>imagination</v>
      </c>
      <c r="W514" s="8"/>
      <c r="AF514" s="1" t="s">
        <v>1439</v>
      </c>
      <c r="AJ514" s="1" t="s">
        <v>1260</v>
      </c>
      <c r="AM514" s="1" t="s">
        <v>1487</v>
      </c>
    </row>
    <row r="515">
      <c r="E515" s="1" t="s">
        <v>1848</v>
      </c>
      <c r="F515" s="6" t="str">
        <f>IFERROR(__xludf.DUMMYFUNCTION("""COMPUTED_VALUE"""),"lush")</f>
        <v>lush</v>
      </c>
      <c r="H515" s="1" t="s">
        <v>1246</v>
      </c>
      <c r="I515" s="6" t="str">
        <f>IFERROR(__xludf.DUMMYFUNCTION("""COMPUTED_VALUE"""),"strong")</f>
        <v>strong</v>
      </c>
      <c r="P515" s="1" t="s">
        <v>2576</v>
      </c>
      <c r="Q515" s="6" t="str">
        <f>IFERROR(__xludf.DUMMYFUNCTION("""COMPUTED_VALUE"""),"clown")</f>
        <v>clown</v>
      </c>
      <c r="S515" s="1" t="s">
        <v>1121</v>
      </c>
      <c r="T515" s="6" t="str">
        <f>IFERROR(__xludf.DUMMYFUNCTION("""COMPUTED_VALUE"""),"appealing")</f>
        <v>appealing</v>
      </c>
      <c r="W515" s="8"/>
      <c r="AF515" s="1" t="s">
        <v>1445</v>
      </c>
      <c r="AJ515" s="1" t="s">
        <v>1266</v>
      </c>
      <c r="AM515" s="1" t="s">
        <v>376</v>
      </c>
    </row>
    <row r="516">
      <c r="E516" s="1" t="s">
        <v>1796</v>
      </c>
      <c r="F516" s="6" t="str">
        <f>IFERROR(__xludf.DUMMYFUNCTION("""COMPUTED_VALUE"""),"martha")</f>
        <v>martha</v>
      </c>
      <c r="H516" s="1" t="s">
        <v>1287</v>
      </c>
      <c r="I516" s="6" t="str">
        <f>IFERROR(__xludf.DUMMYFUNCTION("""COMPUTED_VALUE"""),"flickering")</f>
        <v>flickering</v>
      </c>
      <c r="P516" s="1" t="s">
        <v>862</v>
      </c>
      <c r="Q516" s="6" t="str">
        <f>IFERROR(__xludf.DUMMYFUNCTION("""COMPUTED_VALUE"""),"conception")</f>
        <v>conception</v>
      </c>
      <c r="S516" s="1" t="s">
        <v>1127</v>
      </c>
      <c r="T516" s="6" t="str">
        <f>IFERROR(__xludf.DUMMYFUNCTION("""COMPUTED_VALUE"""),"irrelevant")</f>
        <v>irrelevant</v>
      </c>
      <c r="W516" s="8"/>
      <c r="AF516" s="1" t="s">
        <v>2577</v>
      </c>
      <c r="AJ516" s="1" t="s">
        <v>2541</v>
      </c>
      <c r="AM516" s="1" t="s">
        <v>2578</v>
      </c>
    </row>
    <row r="517">
      <c r="E517" s="1" t="s">
        <v>1853</v>
      </c>
      <c r="F517" s="6" t="str">
        <f>IFERROR(__xludf.DUMMYFUNCTION("""COMPUTED_VALUE"""),"rapid")</f>
        <v>rapid</v>
      </c>
      <c r="H517" s="1" t="s">
        <v>1294</v>
      </c>
      <c r="I517" s="6" t="str">
        <f>IFERROR(__xludf.DUMMYFUNCTION("""COMPUTED_VALUE"""),"dragon")</f>
        <v>dragon</v>
      </c>
      <c r="P517" s="1" t="s">
        <v>2579</v>
      </c>
      <c r="Q517" s="6" t="str">
        <f>IFERROR(__xludf.DUMMYFUNCTION("""COMPUTED_VALUE"""),"broadcast")</f>
        <v>broadcast</v>
      </c>
      <c r="S517" s="1" t="s">
        <v>244</v>
      </c>
      <c r="T517" s="6" t="str">
        <f>IFERROR(__xludf.DUMMYFUNCTION("""COMPUTED_VALUE"""),"korean")</f>
        <v>korean</v>
      </c>
      <c r="W517" s="8"/>
      <c r="AF517" s="1" t="s">
        <v>1450</v>
      </c>
      <c r="AJ517" s="1" t="s">
        <v>2580</v>
      </c>
      <c r="AM517" s="1" t="s">
        <v>550</v>
      </c>
    </row>
    <row r="518">
      <c r="E518" s="1" t="s">
        <v>1802</v>
      </c>
      <c r="F518" s="6" t="str">
        <f>IFERROR(__xludf.DUMMYFUNCTION("""COMPUTED_VALUE"""),"virtually")</f>
        <v>virtually</v>
      </c>
      <c r="H518" s="1" t="s">
        <v>1253</v>
      </c>
      <c r="I518" s="6" t="str">
        <f>IFERROR(__xludf.DUMMYFUNCTION("""COMPUTED_VALUE"""),"midway")</f>
        <v>midway</v>
      </c>
      <c r="P518" s="1" t="s">
        <v>2581</v>
      </c>
      <c r="Q518" s="6" t="str">
        <f>IFERROR(__xludf.DUMMYFUNCTION("""COMPUTED_VALUE"""),"accomplishment")</f>
        <v>accomplishment</v>
      </c>
      <c r="S518" s="1" t="s">
        <v>795</v>
      </c>
      <c r="T518" s="6" t="str">
        <f>IFERROR(__xludf.DUMMYFUNCTION("""COMPUTED_VALUE"""),"canvas")</f>
        <v>canvas</v>
      </c>
      <c r="W518" s="8"/>
      <c r="AF518" s="1" t="s">
        <v>2582</v>
      </c>
      <c r="AJ518" s="1" t="s">
        <v>1271</v>
      </c>
      <c r="AM518" s="1" t="s">
        <v>2282</v>
      </c>
    </row>
    <row r="519">
      <c r="E519" s="1" t="s">
        <v>217</v>
      </c>
      <c r="F519" s="6" t="str">
        <f>IFERROR(__xludf.DUMMYFUNCTION("""COMPUTED_VALUE"""),"clever")</f>
        <v>clever</v>
      </c>
      <c r="H519" s="1" t="s">
        <v>2583</v>
      </c>
      <c r="I519" s="6" t="str">
        <f>IFERROR(__xludf.DUMMYFUNCTION("""COMPUTED_VALUE"""),"nearly")</f>
        <v>nearly</v>
      </c>
      <c r="P519" s="1" t="s">
        <v>2584</v>
      </c>
      <c r="Q519" s="6" t="str">
        <f>IFERROR(__xludf.DUMMYFUNCTION("""COMPUTED_VALUE"""),"successor")</f>
        <v>successor</v>
      </c>
      <c r="S519" s="1" t="s">
        <v>1688</v>
      </c>
      <c r="T519" s="6" t="str">
        <f>IFERROR(__xludf.DUMMYFUNCTION("""COMPUTED_VALUE"""),"historical")</f>
        <v>historical</v>
      </c>
      <c r="W519" s="8"/>
      <c r="AF519" s="1" t="s">
        <v>2585</v>
      </c>
      <c r="AJ519" s="1" t="s">
        <v>2586</v>
      </c>
      <c r="AM519" s="1" t="s">
        <v>1495</v>
      </c>
    </row>
    <row r="520">
      <c r="E520" s="1" t="s">
        <v>1789</v>
      </c>
      <c r="F520" s="6" t="str">
        <f>IFERROR(__xludf.DUMMYFUNCTION("""COMPUTED_VALUE"""),"plunging")</f>
        <v>plunging</v>
      </c>
      <c r="H520" s="1" t="s">
        <v>240</v>
      </c>
      <c r="I520" s="6" t="str">
        <f>IFERROR(__xludf.DUMMYFUNCTION("""COMPUTED_VALUE"""),"rodriguez")</f>
        <v>rodriguez</v>
      </c>
      <c r="P520" s="1" t="s">
        <v>2587</v>
      </c>
      <c r="Q520" s="6" t="str">
        <f>IFERROR(__xludf.DUMMYFUNCTION("""COMPUTED_VALUE"""),"volatile")</f>
        <v>volatile</v>
      </c>
      <c r="S520" s="1" t="s">
        <v>1139</v>
      </c>
      <c r="T520" s="6" t="str">
        <f>IFERROR(__xludf.DUMMYFUNCTION("""COMPUTED_VALUE"""),"assured")</f>
        <v>assured</v>
      </c>
      <c r="W520" s="8"/>
      <c r="AF520" s="1" t="s">
        <v>2588</v>
      </c>
      <c r="AJ520" s="1" t="s">
        <v>2589</v>
      </c>
      <c r="AM520" s="1" t="s">
        <v>1502</v>
      </c>
    </row>
    <row r="521">
      <c r="E521" s="1" t="s">
        <v>2590</v>
      </c>
      <c r="F521" s="6" t="str">
        <f>IFERROR(__xludf.DUMMYFUNCTION("""COMPUTED_VALUE"""),"intense")</f>
        <v>intense</v>
      </c>
      <c r="H521" s="1" t="s">
        <v>1403</v>
      </c>
      <c r="I521" s="6" t="str">
        <f>IFERROR(__xludf.DUMMYFUNCTION("""COMPUTED_VALUE"""),"pleasing")</f>
        <v>pleasing</v>
      </c>
      <c r="P521" s="1" t="s">
        <v>730</v>
      </c>
      <c r="Q521" s="6" t="str">
        <f>IFERROR(__xludf.DUMMYFUNCTION("""COMPUTED_VALUE"""),"transformed")</f>
        <v>transformed</v>
      </c>
      <c r="S521" s="1" t="s">
        <v>2591</v>
      </c>
      <c r="T521" s="6" t="str">
        <f>IFERROR(__xludf.DUMMYFUNCTION("""COMPUTED_VALUE"""),"sexual")</f>
        <v>sexual</v>
      </c>
      <c r="W521" s="8"/>
      <c r="AF521" s="1" t="s">
        <v>1457</v>
      </c>
      <c r="AJ521" s="1" t="s">
        <v>2592</v>
      </c>
      <c r="AM521" s="1" t="s">
        <v>2593</v>
      </c>
    </row>
    <row r="522">
      <c r="E522" s="1" t="s">
        <v>2338</v>
      </c>
      <c r="F522" s="6" t="str">
        <f>IFERROR(__xludf.DUMMYFUNCTION("""COMPUTED_VALUE"""),"faithful")</f>
        <v>faithful</v>
      </c>
      <c r="H522" s="1" t="s">
        <v>354</v>
      </c>
      <c r="I522" s="6" t="str">
        <f>IFERROR(__xludf.DUMMYFUNCTION("""COMPUTED_VALUE"""),"purpose")</f>
        <v>purpose</v>
      </c>
      <c r="P522" s="1" t="s">
        <v>2594</v>
      </c>
      <c r="Q522" s="6" t="str">
        <f>IFERROR(__xludf.DUMMYFUNCTION("""COMPUTED_VALUE"""),"cartoon")</f>
        <v>cartoon</v>
      </c>
      <c r="S522" s="1" t="s">
        <v>1453</v>
      </c>
      <c r="T522" s="6" t="str">
        <f>IFERROR(__xludf.DUMMYFUNCTION("""COMPUTED_VALUE"""),"road")</f>
        <v>road</v>
      </c>
      <c r="W522" s="8"/>
      <c r="AF522" s="1" t="s">
        <v>2595</v>
      </c>
      <c r="AJ522" s="1" t="s">
        <v>1278</v>
      </c>
      <c r="AM522" s="1" t="s">
        <v>1509</v>
      </c>
    </row>
    <row r="523">
      <c r="E523" s="1" t="s">
        <v>2596</v>
      </c>
      <c r="F523" s="6" t="str">
        <f>IFERROR(__xludf.DUMMYFUNCTION("""COMPUTED_VALUE"""),"exaggerated")</f>
        <v>exaggerated</v>
      </c>
      <c r="H523" s="1" t="s">
        <v>1272</v>
      </c>
      <c r="I523" s="6" t="str">
        <f>IFERROR(__xludf.DUMMYFUNCTION("""COMPUTED_VALUE"""),"lightweight")</f>
        <v>lightweight</v>
      </c>
      <c r="P523" s="1" t="s">
        <v>690</v>
      </c>
      <c r="Q523" s="6" t="str">
        <f>IFERROR(__xludf.DUMMYFUNCTION("""COMPUTED_VALUE"""),"unconventional")</f>
        <v>unconventional</v>
      </c>
      <c r="S523" s="1" t="s">
        <v>2597</v>
      </c>
      <c r="T523" s="6" t="str">
        <f>IFERROR(__xludf.DUMMYFUNCTION("""COMPUTED_VALUE"""),"politics")</f>
        <v>politics</v>
      </c>
      <c r="W523" s="8"/>
      <c r="AF523" s="1" t="s">
        <v>2598</v>
      </c>
      <c r="AJ523" s="1" t="s">
        <v>1285</v>
      </c>
      <c r="AM523" s="1" t="s">
        <v>2599</v>
      </c>
    </row>
    <row r="524">
      <c r="E524" s="1" t="s">
        <v>735</v>
      </c>
      <c r="F524" s="6" t="str">
        <f>IFERROR(__xludf.DUMMYFUNCTION("""COMPUTED_VALUE"""),"yarn")</f>
        <v>yarn</v>
      </c>
      <c r="H524" s="1" t="s">
        <v>327</v>
      </c>
      <c r="I524" s="6" t="str">
        <f>IFERROR(__xludf.DUMMYFUNCTION("""COMPUTED_VALUE"""),"fare")</f>
        <v>fare</v>
      </c>
      <c r="P524" s="1" t="s">
        <v>2600</v>
      </c>
      <c r="Q524" s="6" t="str">
        <f>IFERROR(__xludf.DUMMYFUNCTION("""COMPUTED_VALUE"""),"racial")</f>
        <v>racial</v>
      </c>
      <c r="S524" s="1" t="s">
        <v>1146</v>
      </c>
      <c r="T524" s="6" t="str">
        <f>IFERROR(__xludf.DUMMYFUNCTION("""COMPUTED_VALUE"""),"obvious")</f>
        <v>obvious</v>
      </c>
      <c r="W524" s="8"/>
      <c r="AF524" s="1" t="s">
        <v>2601</v>
      </c>
      <c r="AJ524" s="1" t="s">
        <v>2602</v>
      </c>
      <c r="AM524" s="1" t="s">
        <v>1329</v>
      </c>
    </row>
    <row r="525">
      <c r="E525" s="1" t="s">
        <v>2603</v>
      </c>
      <c r="F525" s="6" t="str">
        <f>IFERROR(__xludf.DUMMYFUNCTION("""COMPUTED_VALUE"""),"punishment")</f>
        <v>punishment</v>
      </c>
      <c r="H525" s="1" t="s">
        <v>2125</v>
      </c>
      <c r="I525" s="6" t="str">
        <f>IFERROR(__xludf.DUMMYFUNCTION("""COMPUTED_VALUE"""),"triumphant")</f>
        <v>triumphant</v>
      </c>
      <c r="P525" s="1" t="s">
        <v>2604</v>
      </c>
      <c r="Q525" s="6" t="str">
        <f>IFERROR(__xludf.DUMMYFUNCTION("""COMPUTED_VALUE"""),"harrison")</f>
        <v>harrison</v>
      </c>
      <c r="S525" s="1" t="s">
        <v>2166</v>
      </c>
      <c r="T525" s="6" t="str">
        <f>IFERROR(__xludf.DUMMYFUNCTION("""COMPUTED_VALUE"""),"captures")</f>
        <v>captures</v>
      </c>
      <c r="W525" s="8"/>
      <c r="AF525" s="1" t="s">
        <v>1465</v>
      </c>
      <c r="AJ525" s="1" t="s">
        <v>2605</v>
      </c>
      <c r="AM525" s="1" t="s">
        <v>697</v>
      </c>
    </row>
    <row r="526">
      <c r="E526" s="1" t="s">
        <v>384</v>
      </c>
      <c r="F526" s="6" t="str">
        <f>IFERROR(__xludf.DUMMYFUNCTION("""COMPUTED_VALUE"""),"innocence")</f>
        <v>innocence</v>
      </c>
      <c r="H526" s="1" t="s">
        <v>247</v>
      </c>
      <c r="I526" s="6" t="str">
        <f>IFERROR(__xludf.DUMMYFUNCTION("""COMPUTED_VALUE"""),"wry")</f>
        <v>wry</v>
      </c>
      <c r="P526" s="1" t="s">
        <v>712</v>
      </c>
      <c r="Q526" s="6" t="str">
        <f>IFERROR(__xludf.DUMMYFUNCTION("""COMPUTED_VALUE"""),"engages")</f>
        <v>engages</v>
      </c>
      <c r="S526" s="1" t="s">
        <v>2606</v>
      </c>
      <c r="T526" s="6" t="str">
        <f>IFERROR(__xludf.DUMMYFUNCTION("""COMPUTED_VALUE"""),"deserve")</f>
        <v>deserve</v>
      </c>
      <c r="W526" s="8"/>
      <c r="AF526" s="1" t="s">
        <v>2607</v>
      </c>
      <c r="AJ526" s="1" t="s">
        <v>1846</v>
      </c>
      <c r="AM526" s="1" t="s">
        <v>546</v>
      </c>
    </row>
    <row r="527">
      <c r="E527" s="1" t="s">
        <v>366</v>
      </c>
      <c r="F527" s="6" t="str">
        <f>IFERROR(__xludf.DUMMYFUNCTION("""COMPUTED_VALUE"""),"tackles")</f>
        <v>tackles</v>
      </c>
      <c r="H527" s="1" t="s">
        <v>2131</v>
      </c>
      <c r="I527" s="6" t="str">
        <f>IFERROR(__xludf.DUMMYFUNCTION("""COMPUTED_VALUE"""),"mayhem")</f>
        <v>mayhem</v>
      </c>
      <c r="P527" s="1" t="s">
        <v>2608</v>
      </c>
      <c r="Q527" s="6" t="str">
        <f>IFERROR(__xludf.DUMMYFUNCTION("""COMPUTED_VALUE"""),"collateral")</f>
        <v>collateral</v>
      </c>
      <c r="S527" s="1" t="s">
        <v>2609</v>
      </c>
      <c r="T527" s="6" t="str">
        <f>IFERROR(__xludf.DUMMYFUNCTION("""COMPUTED_VALUE"""),"stupid")</f>
        <v>stupid</v>
      </c>
      <c r="W527" s="8"/>
      <c r="AF527" s="1" t="s">
        <v>1472</v>
      </c>
      <c r="AJ527" s="1" t="s">
        <v>671</v>
      </c>
      <c r="AM527" s="1" t="s">
        <v>38</v>
      </c>
    </row>
    <row r="528">
      <c r="E528" s="1" t="s">
        <v>2610</v>
      </c>
      <c r="F528" s="6" t="str">
        <f>IFERROR(__xludf.DUMMYFUNCTION("""COMPUTED_VALUE"""),"grotesque")</f>
        <v>grotesque</v>
      </c>
      <c r="H528" s="1" t="s">
        <v>1290</v>
      </c>
      <c r="I528" s="6" t="str">
        <f>IFERROR(__xludf.DUMMYFUNCTION("""COMPUTED_VALUE"""),"plots")</f>
        <v>plots</v>
      </c>
      <c r="P528" s="1" t="s">
        <v>2611</v>
      </c>
      <c r="Q528" s="6" t="str">
        <f>IFERROR(__xludf.DUMMYFUNCTION("""COMPUTED_VALUE"""),"grasp")</f>
        <v>grasp</v>
      </c>
      <c r="S528" s="1" t="s">
        <v>2612</v>
      </c>
      <c r="T528" s="6" t="str">
        <f>IFERROR(__xludf.DUMMYFUNCTION("""COMPUTED_VALUE"""),"sexuality")</f>
        <v>sexuality</v>
      </c>
      <c r="W528" s="8"/>
      <c r="AF528" s="1" t="s">
        <v>2613</v>
      </c>
      <c r="AJ528" s="1" t="s">
        <v>2614</v>
      </c>
      <c r="AM528" s="1" t="s">
        <v>567</v>
      </c>
    </row>
    <row r="529">
      <c r="E529" s="1" t="s">
        <v>210</v>
      </c>
      <c r="F529" s="6" t="str">
        <f>IFERROR(__xludf.DUMMYFUNCTION("""COMPUTED_VALUE"""),"stanley")</f>
        <v>stanley</v>
      </c>
      <c r="H529" s="1" t="s">
        <v>335</v>
      </c>
      <c r="I529" s="6" t="str">
        <f>IFERROR(__xludf.DUMMYFUNCTION("""COMPUTED_VALUE"""),"sentimental")</f>
        <v>sentimental</v>
      </c>
      <c r="P529" s="1" t="s">
        <v>2615</v>
      </c>
      <c r="Q529" s="6" t="str">
        <f>IFERROR(__xludf.DUMMYFUNCTION("""COMPUTED_VALUE"""),"higher")</f>
        <v>higher</v>
      </c>
      <c r="S529" s="1" t="s">
        <v>2616</v>
      </c>
      <c r="T529" s="6" t="str">
        <f>IFERROR(__xludf.DUMMYFUNCTION("""COMPUTED_VALUE"""),"combining")</f>
        <v>combining</v>
      </c>
      <c r="W529" s="8"/>
      <c r="AF529" s="1" t="s">
        <v>2617</v>
      </c>
      <c r="AJ529" s="1" t="s">
        <v>840</v>
      </c>
      <c r="AM529" s="1" t="s">
        <v>1535</v>
      </c>
    </row>
    <row r="530">
      <c r="E530" s="1" t="s">
        <v>754</v>
      </c>
      <c r="F530" s="6" t="str">
        <f>IFERROR(__xludf.DUMMYFUNCTION("""COMPUTED_VALUE"""),"kwan")</f>
        <v>kwan</v>
      </c>
      <c r="H530" s="1" t="s">
        <v>2139</v>
      </c>
      <c r="I530" s="6" t="str">
        <f>IFERROR(__xludf.DUMMYFUNCTION("""COMPUTED_VALUE"""),"money")</f>
        <v>money</v>
      </c>
      <c r="P530" s="1" t="s">
        <v>2618</v>
      </c>
      <c r="Q530" s="6" t="str">
        <f>IFERROR(__xludf.DUMMYFUNCTION("""COMPUTED_VALUE"""),"trapped")</f>
        <v>trapped</v>
      </c>
      <c r="S530" s="1">
        <v>90.0</v>
      </c>
      <c r="T530" s="6" t="str">
        <f>IFERROR(__xludf.DUMMYFUNCTION("""COMPUTED_VALUE"""),"elements")</f>
        <v>elements</v>
      </c>
      <c r="W530" s="8"/>
      <c r="AF530" s="1" t="s">
        <v>2619</v>
      </c>
      <c r="AJ530" s="1" t="s">
        <v>676</v>
      </c>
      <c r="AM530" s="1" t="s">
        <v>2620</v>
      </c>
    </row>
    <row r="531">
      <c r="E531" s="1" t="s">
        <v>2621</v>
      </c>
      <c r="F531" s="6" t="str">
        <f>IFERROR(__xludf.DUMMYFUNCTION("""COMPUTED_VALUE"""),"wore")</f>
        <v>wore</v>
      </c>
      <c r="H531" s="1" t="s">
        <v>2622</v>
      </c>
      <c r="I531" s="6" t="str">
        <f>IFERROR(__xludf.DUMMYFUNCTION("""COMPUTED_VALUE"""),"plotted")</f>
        <v>plotted</v>
      </c>
      <c r="P531" s="1" t="s">
        <v>2623</v>
      </c>
      <c r="Q531" s="6" t="str">
        <f>IFERROR(__xludf.DUMMYFUNCTION("""COMPUTED_VALUE"""),"explores")</f>
        <v>explores</v>
      </c>
      <c r="S531" s="1" t="s">
        <v>2624</v>
      </c>
      <c r="T531" s="6" t="str">
        <f>IFERROR(__xludf.DUMMYFUNCTION("""COMPUTED_VALUE"""),"emotionally")</f>
        <v>emotionally</v>
      </c>
      <c r="W531" s="8"/>
      <c r="AF531" s="1" t="s">
        <v>1479</v>
      </c>
      <c r="AJ531" s="1" t="s">
        <v>2625</v>
      </c>
      <c r="AM531" s="1" t="s">
        <v>1543</v>
      </c>
    </row>
    <row r="532">
      <c r="E532" s="1" t="s">
        <v>374</v>
      </c>
      <c r="F532" s="6" t="str">
        <f>IFERROR(__xludf.DUMMYFUNCTION("""COMPUTED_VALUE"""),"clive")</f>
        <v>clive</v>
      </c>
      <c r="H532" s="1" t="s">
        <v>1309</v>
      </c>
      <c r="I532" s="6" t="str">
        <f>IFERROR(__xludf.DUMMYFUNCTION("""COMPUTED_VALUE"""),"hastily")</f>
        <v>hastily</v>
      </c>
      <c r="P532" s="1" t="s">
        <v>1312</v>
      </c>
      <c r="Q532" s="6" t="str">
        <f>IFERROR(__xludf.DUMMYFUNCTION("""COMPUTED_VALUE"""),"exploit")</f>
        <v>exploit</v>
      </c>
      <c r="S532" s="1" t="s">
        <v>2626</v>
      </c>
      <c r="T532" s="6" t="str">
        <f>IFERROR(__xludf.DUMMYFUNCTION("""COMPUTED_VALUE"""),"children")</f>
        <v>children</v>
      </c>
      <c r="W532" s="8"/>
      <c r="AF532" s="1" t="s">
        <v>2627</v>
      </c>
      <c r="AJ532" s="1" t="s">
        <v>589</v>
      </c>
      <c r="AM532" s="1" t="s">
        <v>2303</v>
      </c>
    </row>
    <row r="533">
      <c r="E533" s="1" t="s">
        <v>1856</v>
      </c>
      <c r="F533" s="6" t="str">
        <f>IFERROR(__xludf.DUMMYFUNCTION("""COMPUTED_VALUE"""),"barker")</f>
        <v>barker</v>
      </c>
      <c r="H533" s="1" t="s">
        <v>2144</v>
      </c>
      <c r="I533" s="6" t="str">
        <f>IFERROR(__xludf.DUMMYFUNCTION("""COMPUTED_VALUE"""),"drown")</f>
        <v>drown</v>
      </c>
      <c r="P533" s="1" t="s">
        <v>2628</v>
      </c>
      <c r="Q533" s="6" t="str">
        <f>IFERROR(__xludf.DUMMYFUNCTION("""COMPUTED_VALUE"""),"holocaust")</f>
        <v>holocaust</v>
      </c>
      <c r="S533" s="1" t="s">
        <v>1238</v>
      </c>
      <c r="T533" s="6" t="str">
        <f>IFERROR(__xludf.DUMMYFUNCTION("""COMPUTED_VALUE"""),"engage")</f>
        <v>engage</v>
      </c>
      <c r="W533" s="8"/>
      <c r="AF533" s="1" t="s">
        <v>2629</v>
      </c>
      <c r="AJ533" s="1" t="s">
        <v>2564</v>
      </c>
      <c r="AM533" s="1" t="s">
        <v>291</v>
      </c>
    </row>
    <row r="534">
      <c r="E534" s="1" t="s">
        <v>2630</v>
      </c>
      <c r="F534" s="6" t="str">
        <f>IFERROR(__xludf.DUMMYFUNCTION("""COMPUTED_VALUE"""),"recognizable")</f>
        <v>recognizable</v>
      </c>
      <c r="H534" s="1" t="s">
        <v>350</v>
      </c>
      <c r="I534" s="6" t="str">
        <f>IFERROR(__xludf.DUMMYFUNCTION("""COMPUTED_VALUE"""),"bombs")</f>
        <v>bombs</v>
      </c>
      <c r="P534" s="1" t="s">
        <v>2631</v>
      </c>
      <c r="Q534" s="6" t="str">
        <f>IFERROR(__xludf.DUMMYFUNCTION("""COMPUTED_VALUE"""),"streamed")</f>
        <v>streamed</v>
      </c>
      <c r="S534" s="1" t="s">
        <v>1157</v>
      </c>
      <c r="T534" s="6" t="str">
        <f>IFERROR(__xludf.DUMMYFUNCTION("""COMPUTED_VALUE"""),"were")</f>
        <v>were</v>
      </c>
      <c r="W534" s="8"/>
      <c r="AF534" s="1" t="s">
        <v>2632</v>
      </c>
      <c r="AJ534" s="1" t="s">
        <v>2633</v>
      </c>
      <c r="AM534" s="1" t="s">
        <v>580</v>
      </c>
    </row>
    <row r="535">
      <c r="E535" s="1" t="s">
        <v>2634</v>
      </c>
      <c r="F535" s="6" t="str">
        <f>IFERROR(__xludf.DUMMYFUNCTION("""COMPUTED_VALUE"""),"propelled")</f>
        <v>propelled</v>
      </c>
      <c r="H535" s="1" t="s">
        <v>2148</v>
      </c>
      <c r="I535" s="6" t="str">
        <f>IFERROR(__xludf.DUMMYFUNCTION("""COMPUTED_VALUE"""),"stories")</f>
        <v>stories</v>
      </c>
      <c r="P535" s="1" t="s">
        <v>1281</v>
      </c>
      <c r="Q535" s="6" t="str">
        <f>IFERROR(__xludf.DUMMYFUNCTION("""COMPUTED_VALUE"""),"appearing")</f>
        <v>appearing</v>
      </c>
      <c r="S535" s="1" t="s">
        <v>1072</v>
      </c>
      <c r="T535" s="6" t="str">
        <f>IFERROR(__xludf.DUMMYFUNCTION("""COMPUTED_VALUE"""),"wishing")</f>
        <v>wishing</v>
      </c>
      <c r="W535" s="8"/>
      <c r="AF535" s="1" t="s">
        <v>2635</v>
      </c>
      <c r="AJ535" s="1" t="s">
        <v>667</v>
      </c>
      <c r="AM535" s="1" t="s">
        <v>1562</v>
      </c>
    </row>
    <row r="536">
      <c r="E536" s="1" t="s">
        <v>772</v>
      </c>
      <c r="F536" s="6" t="str">
        <f>IFERROR(__xludf.DUMMYFUNCTION("""COMPUTED_VALUE"""),"spielberg")</f>
        <v>spielberg</v>
      </c>
      <c r="H536" s="1" t="s">
        <v>2056</v>
      </c>
      <c r="I536" s="6" t="str">
        <f>IFERROR(__xludf.DUMMYFUNCTION("""COMPUTED_VALUE"""),"surface")</f>
        <v>surface</v>
      </c>
      <c r="P536" s="1" t="s">
        <v>2636</v>
      </c>
      <c r="Q536" s="6" t="str">
        <f>IFERROR(__xludf.DUMMYFUNCTION("""COMPUTED_VALUE"""),"chronicle")</f>
        <v>chronicle</v>
      </c>
      <c r="S536" s="1" t="s">
        <v>1041</v>
      </c>
      <c r="T536" s="6" t="str">
        <f>IFERROR(__xludf.DUMMYFUNCTION("""COMPUTED_VALUE"""),"loose")</f>
        <v>loose</v>
      </c>
      <c r="W536" s="8"/>
      <c r="AF536" s="1" t="s">
        <v>2637</v>
      </c>
      <c r="AJ536" s="1" t="s">
        <v>2576</v>
      </c>
      <c r="AM536" s="1" t="s">
        <v>1584</v>
      </c>
    </row>
    <row r="537">
      <c r="E537" s="1" t="s">
        <v>2638</v>
      </c>
      <c r="F537" s="6" t="str">
        <f>IFERROR(__xludf.DUMMYFUNCTION("""COMPUTED_VALUE"""),"trademark")</f>
        <v>trademark</v>
      </c>
      <c r="H537" s="1" t="s">
        <v>2406</v>
      </c>
      <c r="I537" s="6" t="str">
        <f>IFERROR(__xludf.DUMMYFUNCTION("""COMPUTED_VALUE"""),"stupidity")</f>
        <v>stupidity</v>
      </c>
      <c r="P537" s="1" t="s">
        <v>2639</v>
      </c>
      <c r="Q537" s="6" t="str">
        <f>IFERROR(__xludf.DUMMYFUNCTION("""COMPUTED_VALUE"""),"parker")</f>
        <v>parker</v>
      </c>
      <c r="S537" s="1" t="s">
        <v>2640</v>
      </c>
      <c r="T537" s="6" t="str">
        <f>IFERROR(__xludf.DUMMYFUNCTION("""COMPUTED_VALUE"""),"prove")</f>
        <v>prove</v>
      </c>
      <c r="W537" s="8"/>
      <c r="AF537" s="1" t="s">
        <v>1485</v>
      </c>
      <c r="AJ537" s="1" t="s">
        <v>866</v>
      </c>
      <c r="AM537" s="1" t="s">
        <v>2458</v>
      </c>
    </row>
    <row r="538">
      <c r="E538" s="1" t="s">
        <v>1871</v>
      </c>
      <c r="F538" s="6" t="str">
        <f>IFERROR(__xludf.DUMMYFUNCTION("""COMPUTED_VALUE"""),"revelations")</f>
        <v>revelations</v>
      </c>
      <c r="H538" s="1" t="s">
        <v>2641</v>
      </c>
      <c r="I538" s="6" t="str">
        <f>IFERROR(__xludf.DUMMYFUNCTION("""COMPUTED_VALUE"""),"depths")</f>
        <v>depths</v>
      </c>
      <c r="P538" s="1" t="s">
        <v>2642</v>
      </c>
      <c r="Q538" s="6" t="str">
        <f>IFERROR(__xludf.DUMMYFUNCTION("""COMPUTED_VALUE"""),"adaptations")</f>
        <v>adaptations</v>
      </c>
      <c r="S538" s="1" t="s">
        <v>2643</v>
      </c>
      <c r="T538" s="6" t="str">
        <f>IFERROR(__xludf.DUMMYFUNCTION("""COMPUTED_VALUE"""),"revealing")</f>
        <v>revealing</v>
      </c>
      <c r="W538" s="8"/>
      <c r="AF538" s="1">
        <v>295.0</v>
      </c>
      <c r="AJ538" s="1" t="s">
        <v>2644</v>
      </c>
      <c r="AM538" s="1" t="s">
        <v>1330</v>
      </c>
    </row>
    <row r="539">
      <c r="E539" s="1" t="s">
        <v>380</v>
      </c>
      <c r="F539" s="6" t="str">
        <f>IFERROR(__xludf.DUMMYFUNCTION("""COMPUTED_VALUE"""),"stylistic")</f>
        <v>stylistic</v>
      </c>
      <c r="H539" s="1" t="s">
        <v>63</v>
      </c>
      <c r="I539" s="6" t="str">
        <f>IFERROR(__xludf.DUMMYFUNCTION("""COMPUTED_VALUE"""),"decent")</f>
        <v>decent</v>
      </c>
      <c r="P539" s="1" t="s">
        <v>823</v>
      </c>
      <c r="Q539" s="6" t="str">
        <f>IFERROR(__xludf.DUMMYFUNCTION("""COMPUTED_VALUE"""),"characterized")</f>
        <v>characterized</v>
      </c>
      <c r="S539" s="1" t="s">
        <v>967</v>
      </c>
      <c r="T539" s="6" t="str">
        <f>IFERROR(__xludf.DUMMYFUNCTION("""COMPUTED_VALUE"""),"main")</f>
        <v>main</v>
      </c>
      <c r="W539" s="8"/>
      <c r="AF539" s="1">
        <v>1958.0</v>
      </c>
      <c r="AJ539" s="1" t="s">
        <v>880</v>
      </c>
      <c r="AM539" s="1" t="s">
        <v>2645</v>
      </c>
    </row>
    <row r="540">
      <c r="E540" s="1" t="s">
        <v>2646</v>
      </c>
      <c r="F540" s="6" t="str">
        <f>IFERROR(__xludf.DUMMYFUNCTION("""COMPUTED_VALUE"""),"layered")</f>
        <v>layered</v>
      </c>
      <c r="H540" s="1" t="s">
        <v>1327</v>
      </c>
      <c r="I540" s="6" t="str">
        <f>IFERROR(__xludf.DUMMYFUNCTION("""COMPUTED_VALUE"""),"machine")</f>
        <v>machine</v>
      </c>
      <c r="P540" s="1" t="s">
        <v>1980</v>
      </c>
      <c r="Q540" s="6" t="str">
        <f>IFERROR(__xludf.DUMMYFUNCTION("""COMPUTED_VALUE"""),"marquis")</f>
        <v>marquis</v>
      </c>
      <c r="S540" s="1" t="s">
        <v>2647</v>
      </c>
      <c r="T540" s="6" t="str">
        <f>IFERROR(__xludf.DUMMYFUNCTION("""COMPUTED_VALUE"""),"done")</f>
        <v>done</v>
      </c>
      <c r="W540" s="8"/>
      <c r="AF540" s="1" t="s">
        <v>504</v>
      </c>
      <c r="AJ540" s="1" t="s">
        <v>1308</v>
      </c>
      <c r="AM540" s="1" t="s">
        <v>2322</v>
      </c>
    </row>
    <row r="541">
      <c r="E541" s="1" t="s">
        <v>387</v>
      </c>
      <c r="F541" s="6" t="str">
        <f>IFERROR(__xludf.DUMMYFUNCTION("""COMPUTED_VALUE"""),"daring")</f>
        <v>daring</v>
      </c>
      <c r="H541" s="1" t="s">
        <v>1322</v>
      </c>
      <c r="I541" s="6" t="str">
        <f>IFERROR(__xludf.DUMMYFUNCTION("""COMPUTED_VALUE"""),"complexity")</f>
        <v>complexity</v>
      </c>
      <c r="P541" s="1" t="s">
        <v>2648</v>
      </c>
      <c r="Q541" s="6" t="str">
        <f>IFERROR(__xludf.DUMMYFUNCTION("""COMPUTED_VALUE"""),"menace")</f>
        <v>menace</v>
      </c>
      <c r="S541" s="1" t="s">
        <v>1162</v>
      </c>
      <c r="T541" s="6" t="str">
        <f>IFERROR(__xludf.DUMMYFUNCTION("""COMPUTED_VALUE"""),"pace")</f>
        <v>pace</v>
      </c>
      <c r="W541" s="8"/>
      <c r="AF541" s="1" t="s">
        <v>2649</v>
      </c>
      <c r="AJ541" s="1" t="s">
        <v>1316</v>
      </c>
      <c r="AM541" s="1" t="s">
        <v>1567</v>
      </c>
    </row>
    <row r="542">
      <c r="E542" s="1" t="s">
        <v>394</v>
      </c>
      <c r="F542" s="6" t="str">
        <f>IFERROR(__xludf.DUMMYFUNCTION("""COMPUTED_VALUE"""),"convey")</f>
        <v>convey</v>
      </c>
      <c r="H542" s="1" t="s">
        <v>1005</v>
      </c>
      <c r="I542" s="6" t="str">
        <f>IFERROR(__xludf.DUMMYFUNCTION("""COMPUTED_VALUE"""),"darkness")</f>
        <v>darkness</v>
      </c>
      <c r="P542" s="1" t="s">
        <v>1781</v>
      </c>
      <c r="Q542" s="6" t="str">
        <f>IFERROR(__xludf.DUMMYFUNCTION("""COMPUTED_VALUE"""),"fingered")</f>
        <v>fingered</v>
      </c>
      <c r="S542" s="1" t="s">
        <v>2650</v>
      </c>
      <c r="T542" s="6" t="str">
        <f>IFERROR(__xludf.DUMMYFUNCTION("""COMPUTED_VALUE"""),"husband")</f>
        <v>husband</v>
      </c>
      <c r="W542" s="8"/>
      <c r="AF542" s="1" t="s">
        <v>2651</v>
      </c>
      <c r="AJ542" s="1" t="s">
        <v>2584</v>
      </c>
      <c r="AM542" s="1" t="s">
        <v>2328</v>
      </c>
    </row>
    <row r="543">
      <c r="E543" s="1" t="s">
        <v>1881</v>
      </c>
      <c r="F543" s="6" t="str">
        <f>IFERROR(__xludf.DUMMYFUNCTION("""COMPUTED_VALUE"""),"spanning")</f>
        <v>spanning</v>
      </c>
      <c r="H543" s="1" t="s">
        <v>1363</v>
      </c>
      <c r="I543" s="6" t="str">
        <f>IFERROR(__xludf.DUMMYFUNCTION("""COMPUTED_VALUE"""),"insults")</f>
        <v>insults</v>
      </c>
      <c r="P543" s="1" t="s">
        <v>2652</v>
      </c>
      <c r="Q543" s="6" t="str">
        <f>IFERROR(__xludf.DUMMYFUNCTION("""COMPUTED_VALUE"""),"characterization")</f>
        <v>characterization</v>
      </c>
      <c r="S543" s="1" t="s">
        <v>1198</v>
      </c>
      <c r="T543" s="6" t="str">
        <f>IFERROR(__xludf.DUMMYFUNCTION("""COMPUTED_VALUE"""),"book")</f>
        <v>book</v>
      </c>
      <c r="W543" s="8"/>
      <c r="AF543" s="1" t="s">
        <v>2653</v>
      </c>
      <c r="AJ543" s="1" t="s">
        <v>1321</v>
      </c>
      <c r="AM543" s="1" t="s">
        <v>2326</v>
      </c>
    </row>
    <row r="544">
      <c r="E544" s="1" t="s">
        <v>1897</v>
      </c>
      <c r="F544" s="6" t="str">
        <f>IFERROR(__xludf.DUMMYFUNCTION("""COMPUTED_VALUE"""),"marina")</f>
        <v>marina</v>
      </c>
      <c r="H544" s="1" t="s">
        <v>843</v>
      </c>
      <c r="I544" s="6">
        <f>IFERROR(__xludf.DUMMYFUNCTION("""COMPUTED_VALUE"""),1984.0)</f>
        <v>1984</v>
      </c>
      <c r="P544" s="1" t="s">
        <v>2654</v>
      </c>
      <c r="Q544" s="6" t="str">
        <f>IFERROR(__xludf.DUMMYFUNCTION("""COMPUTED_VALUE"""),"effectively")</f>
        <v>effectively</v>
      </c>
      <c r="S544" s="1" t="s">
        <v>1880</v>
      </c>
      <c r="T544" s="6" t="str">
        <f>IFERROR(__xludf.DUMMYFUNCTION("""COMPUTED_VALUE"""),"darker")</f>
        <v>darker</v>
      </c>
      <c r="W544" s="8"/>
      <c r="AF544" s="1" t="s">
        <v>2655</v>
      </c>
      <c r="AJ544" s="1" t="s">
        <v>2656</v>
      </c>
      <c r="AM544" s="1" t="s">
        <v>2657</v>
      </c>
    </row>
    <row r="545">
      <c r="E545" s="1" t="s">
        <v>474</v>
      </c>
      <c r="F545" s="6" t="str">
        <f>IFERROR(__xludf.DUMMYFUNCTION("""COMPUTED_VALUE"""),"holly")</f>
        <v>holly</v>
      </c>
      <c r="H545" s="1" t="s">
        <v>1011</v>
      </c>
      <c r="I545" s="6" t="str">
        <f>IFERROR(__xludf.DUMMYFUNCTION("""COMPUTED_VALUE"""),"waste")</f>
        <v>waste</v>
      </c>
      <c r="P545" s="1" t="s">
        <v>1350</v>
      </c>
      <c r="Q545" s="6" t="str">
        <f>IFERROR(__xludf.DUMMYFUNCTION("""COMPUTED_VALUE"""),"chases")</f>
        <v>chases</v>
      </c>
      <c r="S545" s="1" t="s">
        <v>2658</v>
      </c>
      <c r="T545" s="6" t="str">
        <f>IFERROR(__xludf.DUMMYFUNCTION("""COMPUTED_VALUE"""),"chilling")</f>
        <v>chilling</v>
      </c>
      <c r="W545" s="8"/>
      <c r="AF545" s="1" t="s">
        <v>2659</v>
      </c>
      <c r="AJ545" s="1" t="s">
        <v>2660</v>
      </c>
      <c r="AM545" s="1" t="s">
        <v>2661</v>
      </c>
    </row>
    <row r="546">
      <c r="E546" s="1" t="s">
        <v>481</v>
      </c>
      <c r="F546" s="6" t="str">
        <f>IFERROR(__xludf.DUMMYFUNCTION("""COMPUTED_VALUE"""),"emerge")</f>
        <v>emerge</v>
      </c>
      <c r="H546" s="1" t="s">
        <v>2434</v>
      </c>
      <c r="I546" s="6" t="str">
        <f>IFERROR(__xludf.DUMMYFUNCTION("""COMPUTED_VALUE"""),"predecessor")</f>
        <v>predecessor</v>
      </c>
      <c r="P546" s="1" t="s">
        <v>2662</v>
      </c>
      <c r="Q546" s="6" t="str">
        <f>IFERROR(__xludf.DUMMYFUNCTION("""COMPUTED_VALUE"""),"fictional")</f>
        <v>fictional</v>
      </c>
      <c r="S546" s="1" t="s">
        <v>2663</v>
      </c>
      <c r="T546" s="6" t="str">
        <f>IFERROR(__xludf.DUMMYFUNCTION("""COMPUTED_VALUE"""),"seeking")</f>
        <v>seeking</v>
      </c>
      <c r="W546" s="8"/>
      <c r="AF546" s="1" t="s">
        <v>2664</v>
      </c>
      <c r="AJ546" s="1" t="s">
        <v>2665</v>
      </c>
      <c r="AM546" s="1" t="s">
        <v>2666</v>
      </c>
    </row>
    <row r="547">
      <c r="E547" s="1" t="s">
        <v>2667</v>
      </c>
      <c r="F547" s="6" t="str">
        <f>IFERROR(__xludf.DUMMYFUNCTION("""COMPUTED_VALUE"""),"passionate")</f>
        <v>passionate</v>
      </c>
      <c r="H547" s="1" t="s">
        <v>2159</v>
      </c>
      <c r="I547" s="6" t="str">
        <f>IFERROR(__xludf.DUMMYFUNCTION("""COMPUTED_VALUE"""),"unexpectedly")</f>
        <v>unexpectedly</v>
      </c>
      <c r="P547" s="1" t="s">
        <v>744</v>
      </c>
      <c r="Q547" s="6" t="str">
        <f>IFERROR(__xludf.DUMMYFUNCTION("""COMPUTED_VALUE"""),"velocity")</f>
        <v>velocity</v>
      </c>
      <c r="S547" s="1" t="s">
        <v>2668</v>
      </c>
      <c r="T547" s="6" t="str">
        <f>IFERROR(__xludf.DUMMYFUNCTION("""COMPUTED_VALUE"""),"submarine")</f>
        <v>submarine</v>
      </c>
      <c r="W547" s="8"/>
      <c r="AF547" s="1" t="s">
        <v>2669</v>
      </c>
      <c r="AJ547" s="1" t="s">
        <v>730</v>
      </c>
      <c r="AM547" s="1" t="s">
        <v>221</v>
      </c>
    </row>
    <row r="548">
      <c r="E548" s="1" t="s">
        <v>1924</v>
      </c>
      <c r="F548" s="6" t="str">
        <f>IFERROR(__xludf.DUMMYFUNCTION("""COMPUTED_VALUE"""),"adolescents")</f>
        <v>adolescents</v>
      </c>
      <c r="H548" s="1" t="s">
        <v>2163</v>
      </c>
      <c r="I548" s="6" t="str">
        <f>IFERROR(__xludf.DUMMYFUNCTION("""COMPUTED_VALUE"""),"comedies")</f>
        <v>comedies</v>
      </c>
      <c r="P548" s="1" t="s">
        <v>2670</v>
      </c>
      <c r="Q548" s="6" t="str">
        <f>IFERROR(__xludf.DUMMYFUNCTION("""COMPUTED_VALUE"""),"restrained")</f>
        <v>restrained</v>
      </c>
      <c r="S548" s="1" t="s">
        <v>2671</v>
      </c>
      <c r="T548" s="6" t="str">
        <f>IFERROR(__xludf.DUMMYFUNCTION("""COMPUTED_VALUE"""),"paranoid")</f>
        <v>paranoid</v>
      </c>
      <c r="W548" s="8"/>
      <c r="AF548" s="1" t="s">
        <v>1854</v>
      </c>
      <c r="AJ548" s="1" t="s">
        <v>690</v>
      </c>
      <c r="AM548" s="1" t="s">
        <v>382</v>
      </c>
    </row>
    <row r="549">
      <c r="E549" s="1" t="s">
        <v>2672</v>
      </c>
      <c r="F549" s="6" t="str">
        <f>IFERROR(__xludf.DUMMYFUNCTION("""COMPUTED_VALUE"""),"evolution")</f>
        <v>evolution</v>
      </c>
      <c r="H549" s="1" t="s">
        <v>2167</v>
      </c>
      <c r="I549" s="6" t="str">
        <f>IFERROR(__xludf.DUMMYFUNCTION("""COMPUTED_VALUE"""),"enduring")</f>
        <v>enduring</v>
      </c>
      <c r="P549" s="1" t="s">
        <v>2673</v>
      </c>
      <c r="Q549" s="6" t="str">
        <f>IFERROR(__xludf.DUMMYFUNCTION("""COMPUTED_VALUE"""),"barrage")</f>
        <v>barrage</v>
      </c>
      <c r="S549" s="1" t="s">
        <v>2674</v>
      </c>
      <c r="T549" s="6" t="str">
        <f>IFERROR(__xludf.DUMMYFUNCTION("""COMPUTED_VALUE"""),"found")</f>
        <v>found</v>
      </c>
      <c r="W549" s="8"/>
      <c r="AF549" s="1" t="s">
        <v>2675</v>
      </c>
      <c r="AJ549" s="1" t="s">
        <v>698</v>
      </c>
      <c r="AM549" s="1" t="s">
        <v>2296</v>
      </c>
    </row>
    <row r="550">
      <c r="E550" s="1" t="s">
        <v>1931</v>
      </c>
      <c r="F550" s="6" t="str">
        <f>IFERROR(__xludf.DUMMYFUNCTION("""COMPUTED_VALUE"""),"tired")</f>
        <v>tired</v>
      </c>
      <c r="H550" s="1" t="s">
        <v>2386</v>
      </c>
      <c r="I550" s="6" t="str">
        <f>IFERROR(__xludf.DUMMYFUNCTION("""COMPUTED_VALUE"""),"teen")</f>
        <v>teen</v>
      </c>
      <c r="P550" s="1" t="s">
        <v>2676</v>
      </c>
      <c r="Q550" s="6" t="str">
        <f>IFERROR(__xludf.DUMMYFUNCTION("""COMPUTED_VALUE"""),"zhang")</f>
        <v>zhang</v>
      </c>
      <c r="S550" s="1" t="s">
        <v>2677</v>
      </c>
      <c r="T550" s="6" t="str">
        <f>IFERROR(__xludf.DUMMYFUNCTION("""COMPUTED_VALUE"""),"star")</f>
        <v>star</v>
      </c>
      <c r="W550" s="8"/>
      <c r="AF550" s="1" t="s">
        <v>1500</v>
      </c>
      <c r="AJ550" s="1" t="s">
        <v>1340</v>
      </c>
      <c r="AM550" s="1" t="s">
        <v>2678</v>
      </c>
    </row>
    <row r="551">
      <c r="E551" s="1" t="s">
        <v>496</v>
      </c>
      <c r="F551" s="6" t="str">
        <f>IFERROR(__xludf.DUMMYFUNCTION("""COMPUTED_VALUE"""),"scrutiny")</f>
        <v>scrutiny</v>
      </c>
      <c r="H551" s="1" t="s">
        <v>2171</v>
      </c>
      <c r="I551" s="6" t="str">
        <f>IFERROR(__xludf.DUMMYFUNCTION("""COMPUTED_VALUE"""),"wan")</f>
        <v>wan</v>
      </c>
      <c r="P551" s="1" t="s">
        <v>294</v>
      </c>
      <c r="Q551" s="6" t="str">
        <f>IFERROR(__xludf.DUMMYFUNCTION("""COMPUTED_VALUE"""),"fable")</f>
        <v>fable</v>
      </c>
      <c r="S551" s="1" t="s">
        <v>509</v>
      </c>
      <c r="T551" s="6" t="str">
        <f>IFERROR(__xludf.DUMMYFUNCTION("""COMPUTED_VALUE"""),"spirit")</f>
        <v>spirit</v>
      </c>
      <c r="W551" s="8"/>
      <c r="AF551" s="1" t="s">
        <v>1387</v>
      </c>
      <c r="AJ551" s="1" t="s">
        <v>2679</v>
      </c>
      <c r="AM551" s="1" t="s">
        <v>587</v>
      </c>
    </row>
    <row r="552">
      <c r="E552" s="1" t="s">
        <v>1918</v>
      </c>
      <c r="F552" s="6" t="str">
        <f>IFERROR(__xludf.DUMMYFUNCTION("""COMPUTED_VALUE"""),"radiant")</f>
        <v>radiant</v>
      </c>
      <c r="H552" s="1" t="s">
        <v>2176</v>
      </c>
      <c r="I552" s="6" t="str">
        <f>IFERROR(__xludf.DUMMYFUNCTION("""COMPUTED_VALUE"""),"sweet")</f>
        <v>sweet</v>
      </c>
      <c r="P552" s="1" t="s">
        <v>2680</v>
      </c>
      <c r="Q552" s="6" t="str">
        <f>IFERROR(__xludf.DUMMYFUNCTION("""COMPUTED_VALUE"""),"determination")</f>
        <v>determination</v>
      </c>
      <c r="S552" s="1" t="s">
        <v>1623</v>
      </c>
      <c r="T552" s="6" t="str">
        <f>IFERROR(__xludf.DUMMYFUNCTION("""COMPUTED_VALUE"""),"medium")</f>
        <v>medium</v>
      </c>
      <c r="W552" s="8"/>
      <c r="AF552" s="1" t="s">
        <v>1507</v>
      </c>
      <c r="AJ552" s="1" t="s">
        <v>704</v>
      </c>
      <c r="AM552" s="1" t="s">
        <v>1580</v>
      </c>
    </row>
    <row r="553">
      <c r="E553" s="1" t="s">
        <v>1936</v>
      </c>
      <c r="F553" s="6" t="str">
        <f>IFERROR(__xludf.DUMMYFUNCTION("""COMPUTED_VALUE"""),"escaped")</f>
        <v>escaped</v>
      </c>
      <c r="H553" s="1" t="s">
        <v>2179</v>
      </c>
      <c r="I553" s="6" t="str">
        <f>IFERROR(__xludf.DUMMYFUNCTION("""COMPUTED_VALUE"""),"delight")</f>
        <v>delight</v>
      </c>
      <c r="P553" s="1" t="s">
        <v>2681</v>
      </c>
      <c r="Q553" s="6" t="str">
        <f>IFERROR(__xludf.DUMMYFUNCTION("""COMPUTED_VALUE"""),"minority")</f>
        <v>minority</v>
      </c>
      <c r="S553" s="1" t="s">
        <v>1168</v>
      </c>
      <c r="T553" s="6" t="str">
        <f>IFERROR(__xludf.DUMMYFUNCTION("""COMPUTED_VALUE"""),"holes")</f>
        <v>holes</v>
      </c>
      <c r="W553" s="8"/>
      <c r="AF553" s="1" t="s">
        <v>1514</v>
      </c>
      <c r="AJ553" s="1" t="s">
        <v>2682</v>
      </c>
      <c r="AM553" s="1" t="s">
        <v>2683</v>
      </c>
    </row>
    <row r="554">
      <c r="E554" s="1" t="s">
        <v>2684</v>
      </c>
      <c r="F554" s="6" t="str">
        <f>IFERROR(__xludf.DUMMYFUNCTION("""COMPUTED_VALUE"""),"speculation")</f>
        <v>speculation</v>
      </c>
      <c r="H554" s="1" t="s">
        <v>2685</v>
      </c>
      <c r="I554" s="6" t="str">
        <f>IFERROR(__xludf.DUMMYFUNCTION("""COMPUTED_VALUE"""),"meaningful")</f>
        <v>meaningful</v>
      </c>
      <c r="P554" s="1" t="s">
        <v>921</v>
      </c>
      <c r="Q554" s="6" t="str">
        <f>IFERROR(__xludf.DUMMYFUNCTION("""COMPUTED_VALUE"""),"ramsay")</f>
        <v>ramsay</v>
      </c>
      <c r="S554" s="1" t="s">
        <v>1248</v>
      </c>
      <c r="T554" s="6" t="str">
        <f>IFERROR(__xludf.DUMMYFUNCTION("""COMPUTED_VALUE"""),"blend")</f>
        <v>blend</v>
      </c>
      <c r="W554" s="8"/>
      <c r="AF554" s="1" t="s">
        <v>2686</v>
      </c>
      <c r="AJ554" s="1" t="s">
        <v>2687</v>
      </c>
      <c r="AM554" s="1" t="s">
        <v>595</v>
      </c>
    </row>
    <row r="555">
      <c r="E555" s="1" t="s">
        <v>1690</v>
      </c>
      <c r="F555" s="6" t="str">
        <f>IFERROR(__xludf.DUMMYFUNCTION("""COMPUTED_VALUE"""),"kennedy")</f>
        <v>kennedy</v>
      </c>
      <c r="H555" s="1" t="s">
        <v>1345</v>
      </c>
      <c r="I555" s="6" t="str">
        <f>IFERROR(__xludf.DUMMYFUNCTION("""COMPUTED_VALUE"""),"harvesting")</f>
        <v>harvesting</v>
      </c>
      <c r="P555" s="1" t="s">
        <v>2688</v>
      </c>
      <c r="Q555" s="6" t="str">
        <f>IFERROR(__xludf.DUMMYFUNCTION("""COMPUTED_VALUE"""),"hitchcock")</f>
        <v>hitchcock</v>
      </c>
      <c r="S555" s="1" t="s">
        <v>2689</v>
      </c>
      <c r="T555" s="6" t="str">
        <f>IFERROR(__xludf.DUMMYFUNCTION("""COMPUTED_VALUE"""),"master")</f>
        <v>master</v>
      </c>
      <c r="W555" s="8"/>
      <c r="AF555" s="1" t="s">
        <v>2690</v>
      </c>
      <c r="AJ555" s="1" t="s">
        <v>712</v>
      </c>
      <c r="AM555" s="1" t="s">
        <v>604</v>
      </c>
    </row>
    <row r="556">
      <c r="E556" s="1" t="s">
        <v>1941</v>
      </c>
      <c r="F556" s="6" t="str">
        <f>IFERROR(__xludf.DUMMYFUNCTION("""COMPUTED_VALUE"""),"assassination")</f>
        <v>assassination</v>
      </c>
      <c r="H556" s="1" t="s">
        <v>2691</v>
      </c>
      <c r="I556" s="6" t="str">
        <f>IFERROR(__xludf.DUMMYFUNCTION("""COMPUTED_VALUE"""),"purposes")</f>
        <v>purposes</v>
      </c>
      <c r="P556" s="1" t="s">
        <v>2692</v>
      </c>
      <c r="Q556" s="6" t="str">
        <f>IFERROR(__xludf.DUMMYFUNCTION("""COMPUTED_VALUE"""),"wreck")</f>
        <v>wreck</v>
      </c>
      <c r="S556" s="1" t="s">
        <v>2693</v>
      </c>
      <c r="T556" s="6" t="str">
        <f>IFERROR(__xludf.DUMMYFUNCTION("""COMPUTED_VALUE"""),"thoughtful")</f>
        <v>thoughtful</v>
      </c>
      <c r="W556" s="8"/>
      <c r="AF556" s="1" t="s">
        <v>2694</v>
      </c>
      <c r="AJ556" s="1" t="s">
        <v>2695</v>
      </c>
      <c r="AM556" s="1" t="s">
        <v>1601</v>
      </c>
    </row>
    <row r="557">
      <c r="E557" s="1" t="s">
        <v>1928</v>
      </c>
      <c r="F557" s="6" t="str">
        <f>IFERROR(__xludf.DUMMYFUNCTION("""COMPUTED_VALUE"""),"soundtrack")</f>
        <v>soundtrack</v>
      </c>
      <c r="H557" s="1" t="s">
        <v>1216</v>
      </c>
      <c r="I557" s="6" t="str">
        <f>IFERROR(__xludf.DUMMYFUNCTION("""COMPUTED_VALUE"""),"construct")</f>
        <v>construct</v>
      </c>
      <c r="P557" s="1" t="s">
        <v>2696</v>
      </c>
      <c r="Q557" s="6" t="str">
        <f>IFERROR(__xludf.DUMMYFUNCTION("""COMPUTED_VALUE"""),"curves")</f>
        <v>curves</v>
      </c>
      <c r="S557" s="1" t="s">
        <v>1474</v>
      </c>
      <c r="T557" s="6" t="str">
        <f>IFERROR(__xludf.DUMMYFUNCTION("""COMPUTED_VALUE"""),"tale")</f>
        <v>tale</v>
      </c>
      <c r="W557" s="8"/>
      <c r="AF557" s="1" t="s">
        <v>2697</v>
      </c>
      <c r="AJ557" s="1" t="s">
        <v>2698</v>
      </c>
      <c r="AM557" s="1" t="s">
        <v>389</v>
      </c>
    </row>
    <row r="558">
      <c r="E558" s="1" t="s">
        <v>2699</v>
      </c>
      <c r="F558" s="6" t="str">
        <f>IFERROR(__xludf.DUMMYFUNCTION("""COMPUTED_VALUE"""),"layers")</f>
        <v>layers</v>
      </c>
      <c r="H558" s="1" t="s">
        <v>1395</v>
      </c>
      <c r="I558" s="6" t="str">
        <f>IFERROR(__xludf.DUMMYFUNCTION("""COMPUTED_VALUE"""),"trace")</f>
        <v>trace</v>
      </c>
      <c r="P558" s="1" t="s">
        <v>2700</v>
      </c>
      <c r="Q558" s="6" t="str">
        <f>IFERROR(__xludf.DUMMYFUNCTION("""COMPUTED_VALUE"""),"strains")</f>
        <v>strains</v>
      </c>
      <c r="S558" s="1" t="s">
        <v>2701</v>
      </c>
      <c r="T558" s="6" t="str">
        <f>IFERROR(__xludf.DUMMYFUNCTION("""COMPUTED_VALUE"""),"sitcom")</f>
        <v>sitcom</v>
      </c>
      <c r="W558" s="8"/>
      <c r="AF558" s="1" t="s">
        <v>2702</v>
      </c>
      <c r="AJ558" s="1" t="s">
        <v>1355</v>
      </c>
      <c r="AM558" s="1" t="s">
        <v>1598</v>
      </c>
    </row>
    <row r="559">
      <c r="E559" s="1" t="s">
        <v>2703</v>
      </c>
      <c r="F559" s="6" t="str">
        <f>IFERROR(__xludf.DUMMYFUNCTION("""COMPUTED_VALUE"""),"deadly")</f>
        <v>deadly</v>
      </c>
      <c r="H559" s="1" t="s">
        <v>1402</v>
      </c>
      <c r="I559" s="6" t="str">
        <f>IFERROR(__xludf.DUMMYFUNCTION("""COMPUTED_VALUE"""),"arrogance")</f>
        <v>arrogance</v>
      </c>
      <c r="P559" s="1" t="s">
        <v>2704</v>
      </c>
      <c r="Q559" s="6" t="str">
        <f>IFERROR(__xludf.DUMMYFUNCTION("""COMPUTED_VALUE"""),"damon")</f>
        <v>damon</v>
      </c>
      <c r="S559" s="1" t="s">
        <v>2705</v>
      </c>
      <c r="T559" s="6" t="str">
        <f>IFERROR(__xludf.DUMMYFUNCTION("""COMPUTED_VALUE"""),"testament")</f>
        <v>testament</v>
      </c>
      <c r="W559" s="8"/>
      <c r="AF559" s="1" t="s">
        <v>1521</v>
      </c>
      <c r="AJ559" s="1" t="s">
        <v>898</v>
      </c>
      <c r="AM559" s="1" t="s">
        <v>2706</v>
      </c>
    </row>
    <row r="560">
      <c r="E560" s="1" t="s">
        <v>1949</v>
      </c>
      <c r="F560" s="6" t="str">
        <f>IFERROR(__xludf.DUMMYFUNCTION("""COMPUTED_VALUE"""),"chords")</f>
        <v>chords</v>
      </c>
      <c r="H560" s="1" t="s">
        <v>495</v>
      </c>
      <c r="I560" s="6" t="str">
        <f>IFERROR(__xludf.DUMMYFUNCTION("""COMPUTED_VALUE"""),"knows")</f>
        <v>knows</v>
      </c>
      <c r="P560" s="1" t="s">
        <v>2707</v>
      </c>
      <c r="Q560" s="6" t="str">
        <f>IFERROR(__xludf.DUMMYFUNCTION("""COMPUTED_VALUE"""),"commands")</f>
        <v>commands</v>
      </c>
      <c r="S560" s="1" t="s">
        <v>1175</v>
      </c>
      <c r="T560" s="6" t="str">
        <f>IFERROR(__xludf.DUMMYFUNCTION("""COMPUTED_VALUE"""),"ability")</f>
        <v>ability</v>
      </c>
      <c r="W560" s="8"/>
      <c r="AF560" s="1" t="s">
        <v>1527</v>
      </c>
      <c r="AJ560" s="1" t="s">
        <v>2608</v>
      </c>
      <c r="AM560" s="1" t="s">
        <v>1608</v>
      </c>
    </row>
    <row r="561">
      <c r="E561" s="1" t="s">
        <v>2708</v>
      </c>
      <c r="F561" s="6" t="str">
        <f>IFERROR(__xludf.DUMMYFUNCTION("""COMPUTED_VALUE"""),"striking")</f>
        <v>striking</v>
      </c>
      <c r="H561" s="1" t="s">
        <v>1061</v>
      </c>
      <c r="I561" s="6" t="str">
        <f>IFERROR(__xludf.DUMMYFUNCTION("""COMPUTED_VALUE"""),"debt")</f>
        <v>debt</v>
      </c>
      <c r="P561" s="1" t="s">
        <v>2709</v>
      </c>
      <c r="Q561" s="6" t="str">
        <f>IFERROR(__xludf.DUMMYFUNCTION("""COMPUTED_VALUE"""),"precise")</f>
        <v>precise</v>
      </c>
      <c r="S561" s="1" t="s">
        <v>2710</v>
      </c>
      <c r="T561" s="6" t="str">
        <f>IFERROR(__xludf.DUMMYFUNCTION("""COMPUTED_VALUE"""),"report")</f>
        <v>report</v>
      </c>
      <c r="W561" s="8"/>
      <c r="AF561" s="1" t="s">
        <v>1534</v>
      </c>
      <c r="AJ561" s="1" t="s">
        <v>2618</v>
      </c>
      <c r="AM561" s="1" t="s">
        <v>300</v>
      </c>
    </row>
    <row r="562">
      <c r="E562" s="1" t="s">
        <v>405</v>
      </c>
      <c r="F562" s="6" t="str">
        <f>IFERROR(__xludf.DUMMYFUNCTION("""COMPUTED_VALUE"""),"impressive")</f>
        <v>impressive</v>
      </c>
      <c r="H562" s="1" t="s">
        <v>2711</v>
      </c>
      <c r="I562" s="6" t="str">
        <f>IFERROR(__xludf.DUMMYFUNCTION("""COMPUTED_VALUE"""),"vanity")</f>
        <v>vanity</v>
      </c>
      <c r="P562" s="1" t="s">
        <v>2712</v>
      </c>
      <c r="Q562" s="6" t="str">
        <f>IFERROR(__xludf.DUMMYFUNCTION("""COMPUTED_VALUE"""),"fiercely")</f>
        <v>fiercely</v>
      </c>
      <c r="S562" s="1" t="s">
        <v>2713</v>
      </c>
      <c r="T562" s="6" t="str">
        <f>IFERROR(__xludf.DUMMYFUNCTION("""COMPUTED_VALUE"""),"palestinian")</f>
        <v>palestinian</v>
      </c>
      <c r="W562" s="8"/>
      <c r="AF562" s="1" t="s">
        <v>1542</v>
      </c>
      <c r="AJ562" s="1" t="s">
        <v>2714</v>
      </c>
      <c r="AM562" s="1" t="s">
        <v>1739</v>
      </c>
    </row>
    <row r="563">
      <c r="E563" s="1" t="s">
        <v>416</v>
      </c>
      <c r="F563" s="6" t="str">
        <f>IFERROR(__xludf.DUMMYFUNCTION("""COMPUTED_VALUE"""),"biography")</f>
        <v>biography</v>
      </c>
      <c r="H563" s="1" t="s">
        <v>256</v>
      </c>
      <c r="I563" s="6" t="str">
        <f>IFERROR(__xludf.DUMMYFUNCTION("""COMPUTED_VALUE"""),"laughed")</f>
        <v>laughed</v>
      </c>
      <c r="P563" s="1" t="s">
        <v>2715</v>
      </c>
      <c r="Q563" s="6" t="str">
        <f>IFERROR(__xludf.DUMMYFUNCTION("""COMPUTED_VALUE"""),"courtroom")</f>
        <v>courtroom</v>
      </c>
      <c r="S563" s="1" t="s">
        <v>2716</v>
      </c>
      <c r="T563" s="6" t="str">
        <f>IFERROR(__xludf.DUMMYFUNCTION("""COMPUTED_VALUE"""),"suffers")</f>
        <v>suffers</v>
      </c>
      <c r="W563" s="8"/>
      <c r="AF563" s="1" t="s">
        <v>750</v>
      </c>
      <c r="AJ563" s="1" t="s">
        <v>2231</v>
      </c>
      <c r="AM563" s="1" t="s">
        <v>1825</v>
      </c>
    </row>
    <row r="564">
      <c r="E564" s="1" t="s">
        <v>2717</v>
      </c>
      <c r="F564" s="6" t="str">
        <f>IFERROR(__xludf.DUMMYFUNCTION("""COMPUTED_VALUE"""),"narrator")</f>
        <v>narrator</v>
      </c>
      <c r="H564" s="1" t="s">
        <v>265</v>
      </c>
      <c r="I564" s="6" t="str">
        <f>IFERROR(__xludf.DUMMYFUNCTION("""COMPUTED_VALUE"""),"endeavors")</f>
        <v>endeavors</v>
      </c>
      <c r="P564" s="1" t="s">
        <v>1672</v>
      </c>
      <c r="Q564" s="6" t="str">
        <f>IFERROR(__xludf.DUMMYFUNCTION("""COMPUTED_VALUE"""),"inhabitants")</f>
        <v>inhabitants</v>
      </c>
      <c r="S564" s="1" t="s">
        <v>1779</v>
      </c>
      <c r="T564" s="6" t="str">
        <f>IFERROR(__xludf.DUMMYFUNCTION("""COMPUTED_VALUE"""),"strong")</f>
        <v>strong</v>
      </c>
      <c r="W564" s="8"/>
      <c r="AF564" s="1" t="s">
        <v>2718</v>
      </c>
      <c r="AJ564" s="1" t="s">
        <v>1359</v>
      </c>
      <c r="AM564" s="1" t="s">
        <v>308</v>
      </c>
    </row>
    <row r="565">
      <c r="E565" s="1" t="s">
        <v>423</v>
      </c>
      <c r="F565" s="6" t="str">
        <f>IFERROR(__xludf.DUMMYFUNCTION("""COMPUTED_VALUE"""),"animation")</f>
        <v>animation</v>
      </c>
      <c r="H565" s="1" t="s">
        <v>2719</v>
      </c>
      <c r="I565" s="6" t="str">
        <f>IFERROR(__xludf.DUMMYFUNCTION("""COMPUTED_VALUE"""),"adhere")</f>
        <v>adhere</v>
      </c>
      <c r="P565" s="1" t="s">
        <v>2720</v>
      </c>
      <c r="Q565" s="6" t="str">
        <f>IFERROR(__xludf.DUMMYFUNCTION("""COMPUTED_VALUE"""),"salvage")</f>
        <v>salvage</v>
      </c>
      <c r="S565" s="1" t="s">
        <v>1182</v>
      </c>
      <c r="T565" s="6" t="str">
        <f>IFERROR(__xludf.DUMMYFUNCTION("""COMPUTED_VALUE"""),"flickering")</f>
        <v>flickering</v>
      </c>
      <c r="W565" s="8"/>
      <c r="AF565" s="1" t="s">
        <v>2721</v>
      </c>
      <c r="AJ565" s="1" t="s">
        <v>1367</v>
      </c>
      <c r="AM565" s="1" t="s">
        <v>2722</v>
      </c>
    </row>
    <row r="566">
      <c r="E566" s="1" t="s">
        <v>1944</v>
      </c>
      <c r="F566" s="6" t="str">
        <f>IFERROR(__xludf.DUMMYFUNCTION("""COMPUTED_VALUE"""),"heroine")</f>
        <v>heroine</v>
      </c>
      <c r="H566" s="1" t="s">
        <v>225</v>
      </c>
      <c r="I566" s="6" t="str">
        <f>IFERROR(__xludf.DUMMYFUNCTION("""COMPUTED_VALUE"""),"laughter")</f>
        <v>laughter</v>
      </c>
      <c r="P566" s="1" t="s">
        <v>318</v>
      </c>
      <c r="Q566" s="6" t="str">
        <f>IFERROR(__xludf.DUMMYFUNCTION("""COMPUTED_VALUE"""),"ties")</f>
        <v>ties</v>
      </c>
      <c r="S566" s="1" t="s">
        <v>2723</v>
      </c>
      <c r="T566" s="6" t="str">
        <f>IFERROR(__xludf.DUMMYFUNCTION("""COMPUTED_VALUE"""),"loses")</f>
        <v>loses</v>
      </c>
      <c r="W566" s="8"/>
      <c r="AF566" s="1" t="s">
        <v>2724</v>
      </c>
      <c r="AJ566" s="1" t="s">
        <v>1312</v>
      </c>
      <c r="AM566" s="1" t="s">
        <v>2380</v>
      </c>
    </row>
    <row r="567">
      <c r="E567" s="1" t="s">
        <v>2725</v>
      </c>
      <c r="F567" s="6" t="str">
        <f>IFERROR(__xludf.DUMMYFUNCTION("""COMPUTED_VALUE"""),"dramatically")</f>
        <v>dramatically</v>
      </c>
      <c r="H567" s="1" t="s">
        <v>1431</v>
      </c>
      <c r="I567" s="6" t="str">
        <f>IFERROR(__xludf.DUMMYFUNCTION("""COMPUTED_VALUE"""),"philosophical")</f>
        <v>philosophical</v>
      </c>
      <c r="P567" s="1" t="s">
        <v>2726</v>
      </c>
      <c r="Q567" s="6" t="str">
        <f>IFERROR(__xludf.DUMMYFUNCTION("""COMPUTED_VALUE"""),"cultures")</f>
        <v>cultures</v>
      </c>
      <c r="S567" s="1" t="s">
        <v>2727</v>
      </c>
      <c r="T567" s="6" t="str">
        <f>IFERROR(__xludf.DUMMYFUNCTION("""COMPUTED_VALUE"""),"dragon")</f>
        <v>dragon</v>
      </c>
      <c r="W567" s="8"/>
      <c r="AF567" s="1" t="s">
        <v>2728</v>
      </c>
      <c r="AJ567" s="1" t="s">
        <v>1375</v>
      </c>
      <c r="AM567" s="1" t="s">
        <v>2376</v>
      </c>
    </row>
    <row r="568">
      <c r="E568" s="1" t="s">
        <v>430</v>
      </c>
      <c r="F568" s="6" t="str">
        <f>IFERROR(__xludf.DUMMYFUNCTION("""COMPUTED_VALUE"""),"compassionate")</f>
        <v>compassionate</v>
      </c>
      <c r="H568" s="1" t="s">
        <v>2203</v>
      </c>
      <c r="I568" s="6" t="str">
        <f>IFERROR(__xludf.DUMMYFUNCTION("""COMPUTED_VALUE"""),"invention")</f>
        <v>invention</v>
      </c>
      <c r="P568" s="1" t="s">
        <v>2729</v>
      </c>
      <c r="Q568" s="6" t="str">
        <f>IFERROR(__xludf.DUMMYFUNCTION("""COMPUTED_VALUE"""),"taut")</f>
        <v>taut</v>
      </c>
      <c r="S568" s="1">
        <v>8.0</v>
      </c>
      <c r="T568" s="6" t="str">
        <f>IFERROR(__xludf.DUMMYFUNCTION("""COMPUTED_VALUE"""),"midway")</f>
        <v>midway</v>
      </c>
      <c r="W568" s="8"/>
      <c r="AF568" s="1" t="s">
        <v>2730</v>
      </c>
      <c r="AJ568" s="1" t="s">
        <v>2731</v>
      </c>
      <c r="AM568" s="1" t="s">
        <v>2382</v>
      </c>
    </row>
    <row r="569">
      <c r="E569" s="1" t="s">
        <v>1984</v>
      </c>
      <c r="F569" s="6" t="str">
        <f>IFERROR(__xludf.DUMMYFUNCTION("""COMPUTED_VALUE"""),"timeless")</f>
        <v>timeless</v>
      </c>
      <c r="H569" s="1" t="s">
        <v>1436</v>
      </c>
      <c r="I569" s="6" t="str">
        <f>IFERROR(__xludf.DUMMYFUNCTION("""COMPUTED_VALUE"""),"drag")</f>
        <v>drag</v>
      </c>
      <c r="P569" s="1" t="s">
        <v>2732</v>
      </c>
      <c r="Q569" s="6" t="str">
        <f>IFERROR(__xludf.DUMMYFUNCTION("""COMPUTED_VALUE"""),"flashbacks")</f>
        <v>flashbacks</v>
      </c>
      <c r="S569" s="1" t="s">
        <v>2733</v>
      </c>
      <c r="T569" s="6" t="str">
        <f>IFERROR(__xludf.DUMMYFUNCTION("""COMPUTED_VALUE"""),"touches")</f>
        <v>touches</v>
      </c>
      <c r="W569" s="8"/>
      <c r="AF569" s="1" t="s">
        <v>1550</v>
      </c>
      <c r="AJ569" s="1" t="s">
        <v>2734</v>
      </c>
      <c r="AM569" s="1" t="s">
        <v>1223</v>
      </c>
    </row>
    <row r="570">
      <c r="E570" s="1" t="s">
        <v>1986</v>
      </c>
      <c r="F570" s="6" t="str">
        <f>IFERROR(__xludf.DUMMYFUNCTION("""COMPUTED_VALUE"""),"eastern")</f>
        <v>eastern</v>
      </c>
      <c r="H570" s="1" t="s">
        <v>1972</v>
      </c>
      <c r="I570" s="6" t="str">
        <f>IFERROR(__xludf.DUMMYFUNCTION("""COMPUTED_VALUE"""),"juvenile")</f>
        <v>juvenile</v>
      </c>
      <c r="P570" s="1" t="s">
        <v>1896</v>
      </c>
      <c r="Q570" s="6" t="str">
        <f>IFERROR(__xludf.DUMMYFUNCTION("""COMPUTED_VALUE"""),"elemental")</f>
        <v>elemental</v>
      </c>
      <c r="S570" s="1" t="s">
        <v>2735</v>
      </c>
      <c r="T570" s="6" t="str">
        <f>IFERROR(__xludf.DUMMYFUNCTION("""COMPUTED_VALUE"""),"nearly")</f>
        <v>nearly</v>
      </c>
      <c r="W570" s="8"/>
      <c r="AF570" s="1" t="s">
        <v>2736</v>
      </c>
      <c r="AJ570" s="1" t="s">
        <v>1929</v>
      </c>
      <c r="AM570" s="1" t="s">
        <v>1618</v>
      </c>
    </row>
    <row r="571">
      <c r="E571" s="1" t="s">
        <v>2737</v>
      </c>
      <c r="F571" s="6" t="str">
        <f>IFERROR(__xludf.DUMMYFUNCTION("""COMPUTED_VALUE"""),"humane")</f>
        <v>humane</v>
      </c>
      <c r="H571" s="1" t="s">
        <v>2094</v>
      </c>
      <c r="I571" s="6" t="str">
        <f>IFERROR(__xludf.DUMMYFUNCTION("""COMPUTED_VALUE"""),"literary")</f>
        <v>literary</v>
      </c>
      <c r="P571" s="1" t="s">
        <v>2738</v>
      </c>
      <c r="Q571" s="6" t="str">
        <f>IFERROR(__xludf.DUMMYFUNCTION("""COMPUTED_VALUE"""),"arc")</f>
        <v>arc</v>
      </c>
      <c r="S571" s="1" t="s">
        <v>651</v>
      </c>
      <c r="T571" s="6" t="str">
        <f>IFERROR(__xludf.DUMMYFUNCTION("""COMPUTED_VALUE"""),"pleasing")</f>
        <v>pleasing</v>
      </c>
      <c r="W571" s="8"/>
      <c r="AF571" s="1" t="s">
        <v>2739</v>
      </c>
      <c r="AJ571" s="1" t="s">
        <v>718</v>
      </c>
      <c r="AM571" s="1" t="s">
        <v>2392</v>
      </c>
    </row>
    <row r="572">
      <c r="E572" s="1" t="s">
        <v>2740</v>
      </c>
      <c r="F572" s="6" t="str">
        <f>IFERROR(__xludf.DUMMYFUNCTION("""COMPUTED_VALUE"""),"neither")</f>
        <v>neither</v>
      </c>
      <c r="H572" s="1" t="s">
        <v>352</v>
      </c>
      <c r="I572" s="6" t="str">
        <f>IFERROR(__xludf.DUMMYFUNCTION("""COMPUTED_VALUE"""),"distant")</f>
        <v>distant</v>
      </c>
      <c r="P572" s="1" t="s">
        <v>1466</v>
      </c>
      <c r="Q572" s="6" t="str">
        <f>IFERROR(__xludf.DUMMYFUNCTION("""COMPUTED_VALUE"""),"destructive")</f>
        <v>destructive</v>
      </c>
      <c r="S572" s="1" t="s">
        <v>2741</v>
      </c>
      <c r="T572" s="6" t="str">
        <f>IFERROR(__xludf.DUMMYFUNCTION("""COMPUTED_VALUE"""),"purpose")</f>
        <v>purpose</v>
      </c>
      <c r="W572" s="8"/>
      <c r="AF572" s="1" t="s">
        <v>2742</v>
      </c>
      <c r="AJ572" s="1" t="s">
        <v>1980</v>
      </c>
      <c r="AM572" s="1" t="s">
        <v>398</v>
      </c>
    </row>
    <row r="573">
      <c r="E573" s="1" t="s">
        <v>2743</v>
      </c>
      <c r="F573" s="6" t="str">
        <f>IFERROR(__xludf.DUMMYFUNCTION("""COMPUTED_VALUE"""),"entertain")</f>
        <v>entertain</v>
      </c>
      <c r="H573" s="1" t="s">
        <v>527</v>
      </c>
      <c r="I573" s="6" t="str">
        <f>IFERROR(__xludf.DUMMYFUNCTION("""COMPUTED_VALUE"""),"dull")</f>
        <v>dull</v>
      </c>
      <c r="P573" s="1" t="s">
        <v>497</v>
      </c>
      <c r="Q573" s="6" t="str">
        <f>IFERROR(__xludf.DUMMYFUNCTION("""COMPUTED_VALUE"""),"fallon")</f>
        <v>fallon</v>
      </c>
      <c r="S573" s="1" t="s">
        <v>2744</v>
      </c>
      <c r="T573" s="6" t="str">
        <f>IFERROR(__xludf.DUMMYFUNCTION("""COMPUTED_VALUE"""),"lightweight")</f>
        <v>lightweight</v>
      </c>
      <c r="W573" s="8"/>
      <c r="AF573" s="1" t="s">
        <v>2745</v>
      </c>
      <c r="AJ573" s="1" t="s">
        <v>727</v>
      </c>
      <c r="AM573" s="1" t="s">
        <v>2427</v>
      </c>
    </row>
    <row r="574">
      <c r="E574" s="1" t="s">
        <v>1963</v>
      </c>
      <c r="F574" s="6" t="str">
        <f>IFERROR(__xludf.DUMMYFUNCTION("""COMPUTED_VALUE"""),"provocative")</f>
        <v>provocative</v>
      </c>
      <c r="H574" s="1" t="s">
        <v>960</v>
      </c>
      <c r="I574" s="6" t="str">
        <f>IFERROR(__xludf.DUMMYFUNCTION("""COMPUTED_VALUE"""),"witty")</f>
        <v>witty</v>
      </c>
      <c r="P574" s="1" t="s">
        <v>2348</v>
      </c>
      <c r="Q574" s="6" t="str">
        <f>IFERROR(__xludf.DUMMYFUNCTION("""COMPUTED_VALUE"""),"forgiveness")</f>
        <v>forgiveness</v>
      </c>
      <c r="S574" s="1" t="s">
        <v>2590</v>
      </c>
      <c r="T574" s="6" t="str">
        <f>IFERROR(__xludf.DUMMYFUNCTION("""COMPUTED_VALUE"""),"commercial")</f>
        <v>commercial</v>
      </c>
      <c r="W574" s="8"/>
      <c r="AF574" s="1" t="s">
        <v>2746</v>
      </c>
      <c r="AJ574" s="1" t="s">
        <v>1781</v>
      </c>
      <c r="AM574" s="1" t="s">
        <v>315</v>
      </c>
    </row>
    <row r="575">
      <c r="E575" s="1" t="s">
        <v>1989</v>
      </c>
      <c r="F575" s="6" t="str">
        <f>IFERROR(__xludf.DUMMYFUNCTION("""COMPUTED_VALUE"""),"longest")</f>
        <v>longest</v>
      </c>
      <c r="H575" s="1" t="s">
        <v>1215</v>
      </c>
      <c r="I575" s="6" t="str">
        <f>IFERROR(__xludf.DUMMYFUNCTION("""COMPUTED_VALUE"""),"accomplished")</f>
        <v>accomplished</v>
      </c>
      <c r="P575" s="1" t="s">
        <v>2747</v>
      </c>
      <c r="Q575" s="6" t="str">
        <f>IFERROR(__xludf.DUMMYFUNCTION("""COMPUTED_VALUE"""),"stevens")</f>
        <v>stevens</v>
      </c>
      <c r="S575" s="1" t="s">
        <v>1827</v>
      </c>
      <c r="T575" s="6" t="str">
        <f>IFERROR(__xludf.DUMMYFUNCTION("""COMPUTED_VALUE"""),"move")</f>
        <v>move</v>
      </c>
      <c r="W575" s="8"/>
      <c r="AF575" s="1" t="s">
        <v>2748</v>
      </c>
      <c r="AJ575" s="1" t="s">
        <v>2749</v>
      </c>
      <c r="AM575" s="1" t="s">
        <v>1636</v>
      </c>
    </row>
    <row r="576">
      <c r="E576" s="1" t="s">
        <v>1274</v>
      </c>
      <c r="F576" s="6" t="str">
        <f>IFERROR(__xludf.DUMMYFUNCTION("""COMPUTED_VALUE"""),"sharp")</f>
        <v>sharp</v>
      </c>
      <c r="H576" s="1" t="s">
        <v>1840</v>
      </c>
      <c r="I576" s="6" t="str">
        <f>IFERROR(__xludf.DUMMYFUNCTION("""COMPUTED_VALUE"""),"primal")</f>
        <v>primal</v>
      </c>
      <c r="P576" s="1" t="s">
        <v>616</v>
      </c>
      <c r="Q576" s="6" t="str">
        <f>IFERROR(__xludf.DUMMYFUNCTION("""COMPUTED_VALUE"""),"stuart")</f>
        <v>stuart</v>
      </c>
      <c r="S576" s="1" t="s">
        <v>198</v>
      </c>
      <c r="T576" s="6" t="str">
        <f>IFERROR(__xludf.DUMMYFUNCTION("""COMPUTED_VALUE"""),"fare")</f>
        <v>fare</v>
      </c>
      <c r="W576" s="8"/>
      <c r="AF576" s="1" t="s">
        <v>2750</v>
      </c>
      <c r="AJ576" s="1" t="s">
        <v>2751</v>
      </c>
      <c r="AM576" s="1" t="s">
        <v>2404</v>
      </c>
    </row>
    <row r="577">
      <c r="E577" s="1" t="s">
        <v>2752</v>
      </c>
      <c r="F577" s="6" t="str">
        <f>IFERROR(__xludf.DUMMYFUNCTION("""COMPUTED_VALUE"""),"discourse")</f>
        <v>discourse</v>
      </c>
      <c r="H577" s="1" t="s">
        <v>2492</v>
      </c>
      <c r="I577" s="6" t="str">
        <f>IFERROR(__xludf.DUMMYFUNCTION("""COMPUTED_VALUE"""),"cope")</f>
        <v>cope</v>
      </c>
      <c r="P577" s="1" t="s">
        <v>242</v>
      </c>
      <c r="Q577" s="6" t="str">
        <f>IFERROR(__xludf.DUMMYFUNCTION("""COMPUTED_VALUE"""),"friendships")</f>
        <v>friendships</v>
      </c>
      <c r="S577" s="1" t="s">
        <v>1423</v>
      </c>
      <c r="T577" s="6" t="str">
        <f>IFERROR(__xludf.DUMMYFUNCTION("""COMPUTED_VALUE"""),"probably")</f>
        <v>probably</v>
      </c>
      <c r="W577" s="8"/>
      <c r="AF577" s="1" t="s">
        <v>1556</v>
      </c>
      <c r="AJ577" s="1" t="s">
        <v>2753</v>
      </c>
      <c r="AM577" s="1" t="s">
        <v>2754</v>
      </c>
    </row>
    <row r="578">
      <c r="E578" s="1" t="s">
        <v>2755</v>
      </c>
      <c r="F578" s="6" t="str">
        <f>IFERROR(__xludf.DUMMYFUNCTION("""COMPUTED_VALUE"""),"distinctive")</f>
        <v>distinctive</v>
      </c>
      <c r="H578" s="1" t="s">
        <v>1398</v>
      </c>
      <c r="I578" s="6" t="str">
        <f>IFERROR(__xludf.DUMMYFUNCTION("""COMPUTED_VALUE"""),"fears")</f>
        <v>fears</v>
      </c>
      <c r="P578" s="1" t="s">
        <v>2756</v>
      </c>
      <c r="Q578" s="6" t="str">
        <f>IFERROR(__xludf.DUMMYFUNCTION("""COMPUTED_VALUE"""),"sacrifices")</f>
        <v>sacrifices</v>
      </c>
      <c r="S578" s="1" t="s">
        <v>2757</v>
      </c>
      <c r="T578" s="6" t="str">
        <f>IFERROR(__xludf.DUMMYFUNCTION("""COMPUTED_VALUE"""),"reality")</f>
        <v>reality</v>
      </c>
      <c r="W578" s="8"/>
      <c r="AF578" s="1" t="s">
        <v>2758</v>
      </c>
      <c r="AJ578" s="1" t="s">
        <v>2759</v>
      </c>
      <c r="AM578" s="1" t="s">
        <v>447</v>
      </c>
    </row>
    <row r="579">
      <c r="E579" s="1" t="s">
        <v>2760</v>
      </c>
      <c r="F579" s="6" t="str">
        <f>IFERROR(__xludf.DUMMYFUNCTION("""COMPUTED_VALUE"""),"demonstrate")</f>
        <v>demonstrate</v>
      </c>
      <c r="H579" s="1" t="s">
        <v>2222</v>
      </c>
      <c r="I579" s="6" t="str">
        <f>IFERROR(__xludf.DUMMYFUNCTION("""COMPUTED_VALUE"""),"brutal")</f>
        <v>brutal</v>
      </c>
      <c r="P579" s="1" t="s">
        <v>2761</v>
      </c>
      <c r="Q579" s="6" t="str">
        <f>IFERROR(__xludf.DUMMYFUNCTION("""COMPUTED_VALUE"""),"consciously")</f>
        <v>consciously</v>
      </c>
      <c r="S579" s="1" t="s">
        <v>2762</v>
      </c>
      <c r="T579" s="6" t="str">
        <f>IFERROR(__xludf.DUMMYFUNCTION("""COMPUTED_VALUE"""),"whatever")</f>
        <v>whatever</v>
      </c>
      <c r="W579" s="8"/>
      <c r="AF579" s="1" t="s">
        <v>2763</v>
      </c>
      <c r="AJ579" s="1" t="s">
        <v>2764</v>
      </c>
      <c r="AM579" s="1" t="s">
        <v>2407</v>
      </c>
    </row>
    <row r="580">
      <c r="E580" s="1" t="s">
        <v>2765</v>
      </c>
      <c r="F580" s="6" t="str">
        <f>IFERROR(__xludf.DUMMYFUNCTION("""COMPUTED_VALUE"""),"blown")</f>
        <v>blown</v>
      </c>
      <c r="H580" s="1" t="s">
        <v>1411</v>
      </c>
      <c r="I580" s="6" t="str">
        <f>IFERROR(__xludf.DUMMYFUNCTION("""COMPUTED_VALUE"""),"portrait")</f>
        <v>portrait</v>
      </c>
      <c r="P580" s="1" t="s">
        <v>2766</v>
      </c>
      <c r="Q580" s="6" t="str">
        <f>IFERROR(__xludf.DUMMYFUNCTION("""COMPUTED_VALUE"""),"grim")</f>
        <v>grim</v>
      </c>
      <c r="S580" s="1" t="s">
        <v>1910</v>
      </c>
      <c r="T580" s="6" t="str">
        <f>IFERROR(__xludf.DUMMYFUNCTION("""COMPUTED_VALUE"""),"sentimental")</f>
        <v>sentimental</v>
      </c>
      <c r="W580" s="8"/>
      <c r="AF580" s="1" t="s">
        <v>1286</v>
      </c>
      <c r="AJ580" s="1" t="s">
        <v>734</v>
      </c>
      <c r="AM580" s="1" t="s">
        <v>1084</v>
      </c>
    </row>
    <row r="581">
      <c r="E581" s="1" t="s">
        <v>1995</v>
      </c>
      <c r="F581" s="6" t="str">
        <f>IFERROR(__xludf.DUMMYFUNCTION("""COMPUTED_VALUE"""),"aims")</f>
        <v>aims</v>
      </c>
      <c r="H581" s="1" t="s">
        <v>2229</v>
      </c>
      <c r="I581" s="6" t="str">
        <f>IFERROR(__xludf.DUMMYFUNCTION("""COMPUTED_VALUE"""),"rare")</f>
        <v>rare</v>
      </c>
      <c r="P581" s="1" t="s">
        <v>2767</v>
      </c>
      <c r="Q581" s="6" t="str">
        <f>IFERROR(__xludf.DUMMYFUNCTION("""COMPUTED_VALUE"""),"prowess")</f>
        <v>prowess</v>
      </c>
      <c r="S581" s="1" t="s">
        <v>2217</v>
      </c>
      <c r="T581" s="6" t="str">
        <f>IFERROR(__xludf.DUMMYFUNCTION("""COMPUTED_VALUE"""),"lessons")</f>
        <v>lessons</v>
      </c>
      <c r="W581" s="8"/>
      <c r="AF581" s="1" t="s">
        <v>2768</v>
      </c>
      <c r="AJ581" s="1" t="s">
        <v>2769</v>
      </c>
      <c r="AM581" s="1" t="s">
        <v>1634</v>
      </c>
    </row>
    <row r="582">
      <c r="E582" s="1">
        <v>1984.0</v>
      </c>
      <c r="F582" s="6" t="str">
        <f>IFERROR(__xludf.DUMMYFUNCTION("""COMPUTED_VALUE"""),"monty")</f>
        <v>monty</v>
      </c>
      <c r="H582" s="1" t="s">
        <v>2233</v>
      </c>
      <c r="I582" s="6" t="str">
        <f>IFERROR(__xludf.DUMMYFUNCTION("""COMPUTED_VALUE"""),"draws")</f>
        <v>draws</v>
      </c>
      <c r="P582" s="1" t="s">
        <v>2770</v>
      </c>
      <c r="Q582" s="6" t="str">
        <f>IFERROR(__xludf.DUMMYFUNCTION("""COMPUTED_VALUE"""),"marching")</f>
        <v>marching</v>
      </c>
      <c r="S582" s="1" t="s">
        <v>2756</v>
      </c>
      <c r="T582" s="6" t="str">
        <f>IFERROR(__xludf.DUMMYFUNCTION("""COMPUTED_VALUE"""),"cry")</f>
        <v>cry</v>
      </c>
      <c r="W582" s="8"/>
      <c r="AF582" s="1" t="s">
        <v>2771</v>
      </c>
      <c r="AJ582" s="1" t="s">
        <v>2772</v>
      </c>
      <c r="AM582" s="1" t="s">
        <v>1640</v>
      </c>
    </row>
    <row r="583">
      <c r="E583" s="1" t="s">
        <v>460</v>
      </c>
      <c r="F583" s="6" t="str">
        <f>IFERROR(__xludf.DUMMYFUNCTION("""COMPUTED_VALUE"""),"assaults")</f>
        <v>assaults</v>
      </c>
      <c r="H583" s="1" t="s">
        <v>2236</v>
      </c>
      <c r="I583" s="6" t="str">
        <f>IFERROR(__xludf.DUMMYFUNCTION("""COMPUTED_VALUE"""),"bits")</f>
        <v>bits</v>
      </c>
      <c r="P583" s="1" t="s">
        <v>2773</v>
      </c>
      <c r="Q583" s="6" t="str">
        <f>IFERROR(__xludf.DUMMYFUNCTION("""COMPUTED_VALUE"""),"develops")</f>
        <v>develops</v>
      </c>
      <c r="S583" s="1" t="s">
        <v>2774</v>
      </c>
      <c r="T583" s="6" t="str">
        <f>IFERROR(__xludf.DUMMYFUNCTION("""COMPUTED_VALUE"""),"money")</f>
        <v>money</v>
      </c>
      <c r="W583" s="8"/>
      <c r="AF583" s="1" t="s">
        <v>1401</v>
      </c>
      <c r="AJ583" s="1" t="s">
        <v>2775</v>
      </c>
      <c r="AM583" s="1" t="s">
        <v>2776</v>
      </c>
    </row>
    <row r="584">
      <c r="E584" s="1" t="s">
        <v>2777</v>
      </c>
      <c r="F584" s="6" t="str">
        <f>IFERROR(__xludf.DUMMYFUNCTION("""COMPUTED_VALUE"""),"realism")</f>
        <v>realism</v>
      </c>
      <c r="H584" s="1" t="s">
        <v>1476</v>
      </c>
      <c r="I584" s="6" t="str">
        <f>IFERROR(__xludf.DUMMYFUNCTION("""COMPUTED_VALUE"""),"fails")</f>
        <v>fails</v>
      </c>
      <c r="P584" s="1" t="s">
        <v>2778</v>
      </c>
      <c r="Q584" s="6" t="str">
        <f>IFERROR(__xludf.DUMMYFUNCTION("""COMPUTED_VALUE"""),"obscured")</f>
        <v>obscured</v>
      </c>
      <c r="S584" s="1" t="s">
        <v>2779</v>
      </c>
      <c r="T584" s="6" t="str">
        <f>IFERROR(__xludf.DUMMYFUNCTION("""COMPUTED_VALUE"""),"hastily")</f>
        <v>hastily</v>
      </c>
      <c r="W584" s="8"/>
      <c r="AF584" s="1" t="s">
        <v>2780</v>
      </c>
      <c r="AJ584" s="1" t="s">
        <v>744</v>
      </c>
      <c r="AM584" s="1" t="s">
        <v>1649</v>
      </c>
    </row>
    <row r="585">
      <c r="E585" s="1" t="s">
        <v>482</v>
      </c>
      <c r="F585" s="6" t="str">
        <f>IFERROR(__xludf.DUMMYFUNCTION("""COMPUTED_VALUE"""),"novak")</f>
        <v>novak</v>
      </c>
      <c r="H585" s="1" t="s">
        <v>1227</v>
      </c>
      <c r="I585" s="6" t="str">
        <f>IFERROR(__xludf.DUMMYFUNCTION("""COMPUTED_VALUE"""),"busy")</f>
        <v>busy</v>
      </c>
      <c r="P585" s="1" t="s">
        <v>1528</v>
      </c>
      <c r="Q585" s="6" t="str">
        <f>IFERROR(__xludf.DUMMYFUNCTION("""COMPUTED_VALUE"""),"grave")</f>
        <v>grave</v>
      </c>
      <c r="S585" s="1" t="s">
        <v>2781</v>
      </c>
      <c r="T585" s="6" t="str">
        <f>IFERROR(__xludf.DUMMYFUNCTION("""COMPUTED_VALUE"""),"talent")</f>
        <v>talent</v>
      </c>
      <c r="W585" s="8"/>
      <c r="AF585" s="1" t="s">
        <v>1566</v>
      </c>
      <c r="AJ585" s="1" t="s">
        <v>753</v>
      </c>
      <c r="AM585" s="1" t="s">
        <v>2418</v>
      </c>
    </row>
    <row r="586">
      <c r="E586" s="1" t="s">
        <v>510</v>
      </c>
      <c r="F586" s="6" t="str">
        <f>IFERROR(__xludf.DUMMYFUNCTION("""COMPUTED_VALUE"""),"grounded")</f>
        <v>grounded</v>
      </c>
      <c r="H586" s="1" t="s">
        <v>853</v>
      </c>
      <c r="I586" s="6" t="str">
        <f>IFERROR(__xludf.DUMMYFUNCTION("""COMPUTED_VALUE"""),"compassion")</f>
        <v>compassion</v>
      </c>
      <c r="P586" s="1" t="s">
        <v>824</v>
      </c>
      <c r="Q586" s="6" t="str">
        <f>IFERROR(__xludf.DUMMYFUNCTION("""COMPUTED_VALUE"""),"frontal")</f>
        <v>frontal</v>
      </c>
      <c r="S586" s="1" t="s">
        <v>2782</v>
      </c>
      <c r="T586" s="6" t="str">
        <f>IFERROR(__xludf.DUMMYFUNCTION("""COMPUTED_VALUE"""),"living")</f>
        <v>living</v>
      </c>
      <c r="W586" s="8"/>
      <c r="AF586" s="1" t="s">
        <v>1572</v>
      </c>
      <c r="AJ586" s="1" t="s">
        <v>2783</v>
      </c>
      <c r="AM586" s="1" t="s">
        <v>2424</v>
      </c>
    </row>
    <row r="587">
      <c r="E587" s="1" t="s">
        <v>2784</v>
      </c>
      <c r="F587" s="6" t="str">
        <f>IFERROR(__xludf.DUMMYFUNCTION("""COMPUTED_VALUE"""),"accuracy")</f>
        <v>accuracy</v>
      </c>
      <c r="H587" s="1" t="s">
        <v>2528</v>
      </c>
      <c r="I587" s="6" t="str">
        <f>IFERROR(__xludf.DUMMYFUNCTION("""COMPUTED_VALUE"""),"unexpected")</f>
        <v>unexpected</v>
      </c>
      <c r="P587" s="1" t="s">
        <v>2785</v>
      </c>
      <c r="Q587" s="6" t="str">
        <f>IFERROR(__xludf.DUMMYFUNCTION("""COMPUTED_VALUE"""),"familiarity")</f>
        <v>familiarity</v>
      </c>
      <c r="S587" s="1" t="s">
        <v>458</v>
      </c>
      <c r="T587" s="6" t="str">
        <f>IFERROR(__xludf.DUMMYFUNCTION("""COMPUTED_VALUE"""),"drown")</f>
        <v>drown</v>
      </c>
      <c r="W587" s="8"/>
      <c r="AF587" s="1" t="s">
        <v>2786</v>
      </c>
      <c r="AJ587" s="1" t="s">
        <v>2787</v>
      </c>
      <c r="AM587" s="1" t="s">
        <v>332</v>
      </c>
    </row>
    <row r="588">
      <c r="E588" s="1" t="s">
        <v>1996</v>
      </c>
      <c r="F588" s="6" t="str">
        <f>IFERROR(__xludf.DUMMYFUNCTION("""COMPUTED_VALUE"""),"civic")</f>
        <v>civic</v>
      </c>
      <c r="H588" s="1" t="s">
        <v>2240</v>
      </c>
      <c r="I588" s="6" t="str">
        <f>IFERROR(__xludf.DUMMYFUNCTION("""COMPUTED_VALUE"""),"bard")</f>
        <v>bard</v>
      </c>
      <c r="P588" s="1" t="s">
        <v>2788</v>
      </c>
      <c r="Q588" s="6" t="str">
        <f>IFERROR(__xludf.DUMMYFUNCTION("""COMPUTED_VALUE"""),"iranian")</f>
        <v>iranian</v>
      </c>
      <c r="S588" s="1" t="s">
        <v>2789</v>
      </c>
      <c r="T588" s="6" t="str">
        <f>IFERROR(__xludf.DUMMYFUNCTION("""COMPUTED_VALUE"""),"bombs")</f>
        <v>bombs</v>
      </c>
      <c r="W588" s="8"/>
      <c r="AF588" s="1" t="s">
        <v>2790</v>
      </c>
      <c r="AJ588" s="1" t="s">
        <v>762</v>
      </c>
      <c r="AM588" s="1" t="s">
        <v>2791</v>
      </c>
    </row>
    <row r="589">
      <c r="E589" s="1" t="s">
        <v>518</v>
      </c>
      <c r="F589" s="6" t="str">
        <f>IFERROR(__xludf.DUMMYFUNCTION("""COMPUTED_VALUE"""),"place")</f>
        <v>place</v>
      </c>
      <c r="H589" s="1" t="s">
        <v>1416</v>
      </c>
      <c r="I589" s="6" t="str">
        <f>IFERROR(__xludf.DUMMYFUNCTION("""COMPUTED_VALUE"""),"strengths")</f>
        <v>strengths</v>
      </c>
      <c r="P589" s="1" t="s">
        <v>2792</v>
      </c>
      <c r="Q589" s="6" t="str">
        <f>IFERROR(__xludf.DUMMYFUNCTION("""COMPUTED_VALUE"""),"charitable")</f>
        <v>charitable</v>
      </c>
      <c r="S589" s="1" t="s">
        <v>2793</v>
      </c>
      <c r="T589" s="6" t="str">
        <f>IFERROR(__xludf.DUMMYFUNCTION("""COMPUTED_VALUE"""),"stories")</f>
        <v>stories</v>
      </c>
      <c r="W589" s="8"/>
      <c r="AF589" s="1" t="s">
        <v>2794</v>
      </c>
      <c r="AJ589" s="1" t="s">
        <v>771</v>
      </c>
      <c r="AM589" s="1" t="s">
        <v>1646</v>
      </c>
    </row>
    <row r="590">
      <c r="E590" s="1" t="s">
        <v>2795</v>
      </c>
      <c r="F590" s="6" t="str">
        <f>IFERROR(__xludf.DUMMYFUNCTION("""COMPUTED_VALUE"""),"maturity")</f>
        <v>maturity</v>
      </c>
      <c r="H590" s="1" t="s">
        <v>274</v>
      </c>
      <c r="I590" s="6" t="str">
        <f>IFERROR(__xludf.DUMMYFUNCTION("""COMPUTED_VALUE"""),"dream")</f>
        <v>dream</v>
      </c>
      <c r="P590" s="1" t="s">
        <v>2796</v>
      </c>
      <c r="Q590" s="6" t="str">
        <f>IFERROR(__xludf.DUMMYFUNCTION("""COMPUTED_VALUE"""),"introduces")</f>
        <v>introduces</v>
      </c>
      <c r="S590" s="1" t="s">
        <v>2797</v>
      </c>
      <c r="T590" s="6" t="str">
        <f>IFERROR(__xludf.DUMMYFUNCTION("""COMPUTED_VALUE"""),"surface")</f>
        <v>surface</v>
      </c>
      <c r="W590" s="8"/>
      <c r="AF590" s="1" t="s">
        <v>1578</v>
      </c>
      <c r="AJ590" s="1" t="s">
        <v>778</v>
      </c>
      <c r="AM590" s="1" t="s">
        <v>634</v>
      </c>
    </row>
    <row r="591">
      <c r="E591" s="1" t="s">
        <v>2278</v>
      </c>
      <c r="F591" s="6" t="str">
        <f>IFERROR(__xludf.DUMMYFUNCTION("""COMPUTED_VALUE"""),"elegance")</f>
        <v>elegance</v>
      </c>
      <c r="H591" s="1" t="s">
        <v>1434</v>
      </c>
      <c r="I591" s="6" t="str">
        <f>IFERROR(__xludf.DUMMYFUNCTION("""COMPUTED_VALUE"""),"stiff")</f>
        <v>stiff</v>
      </c>
      <c r="P591" s="1" t="s">
        <v>973</v>
      </c>
      <c r="Q591" s="6" t="str">
        <f>IFERROR(__xludf.DUMMYFUNCTION("""COMPUTED_VALUE"""),"orbits")</f>
        <v>orbits</v>
      </c>
      <c r="S591" s="1" t="s">
        <v>764</v>
      </c>
      <c r="T591" s="6" t="str">
        <f>IFERROR(__xludf.DUMMYFUNCTION("""COMPUTED_VALUE"""),"stupidity")</f>
        <v>stupidity</v>
      </c>
      <c r="W591" s="8"/>
      <c r="AF591" s="1" t="s">
        <v>2798</v>
      </c>
      <c r="AJ591" s="1" t="s">
        <v>2676</v>
      </c>
      <c r="AM591" s="1" t="s">
        <v>408</v>
      </c>
    </row>
    <row r="592">
      <c r="E592" s="1" t="s">
        <v>2799</v>
      </c>
      <c r="F592" s="6" t="str">
        <f>IFERROR(__xludf.DUMMYFUNCTION("""COMPUTED_VALUE"""),"devotees")</f>
        <v>devotees</v>
      </c>
      <c r="H592" s="1" t="s">
        <v>283</v>
      </c>
      <c r="I592" s="6" t="str">
        <f>IFERROR(__xludf.DUMMYFUNCTION("""COMPUTED_VALUE"""),"frustration")</f>
        <v>frustration</v>
      </c>
      <c r="P592" s="1" t="s">
        <v>1765</v>
      </c>
      <c r="Q592" s="6" t="str">
        <f>IFERROR(__xludf.DUMMYFUNCTION("""COMPUTED_VALUE"""),"detective")</f>
        <v>detective</v>
      </c>
      <c r="S592" s="1" t="s">
        <v>1205</v>
      </c>
      <c r="T592" s="6" t="str">
        <f>IFERROR(__xludf.DUMMYFUNCTION("""COMPUTED_VALUE"""),"depths")</f>
        <v>depths</v>
      </c>
      <c r="W592" s="8"/>
      <c r="AF592" s="1" t="s">
        <v>2800</v>
      </c>
      <c r="AJ592" s="1" t="s">
        <v>2801</v>
      </c>
      <c r="AM592" s="1" t="s">
        <v>641</v>
      </c>
    </row>
    <row r="593">
      <c r="E593" s="1" t="s">
        <v>468</v>
      </c>
      <c r="F593" s="6" t="str">
        <f>IFERROR(__xludf.DUMMYFUNCTION("""COMPUTED_VALUE"""),"episodes")</f>
        <v>episodes</v>
      </c>
      <c r="H593" s="1" t="s">
        <v>2551</v>
      </c>
      <c r="I593" s="6" t="str">
        <f>IFERROR(__xludf.DUMMYFUNCTION("""COMPUTED_VALUE"""),"antics")</f>
        <v>antics</v>
      </c>
      <c r="P593" s="1" t="s">
        <v>1362</v>
      </c>
      <c r="Q593" s="6" t="str">
        <f>IFERROR(__xludf.DUMMYFUNCTION("""COMPUTED_VALUE"""),"nuclear")</f>
        <v>nuclear</v>
      </c>
      <c r="S593" s="1" t="s">
        <v>681</v>
      </c>
      <c r="T593" s="6" t="str">
        <f>IFERROR(__xludf.DUMMYFUNCTION("""COMPUTED_VALUE"""),"decent")</f>
        <v>decent</v>
      </c>
      <c r="W593" s="8"/>
      <c r="AF593" s="1" t="s">
        <v>1583</v>
      </c>
      <c r="AJ593" s="1" t="s">
        <v>294</v>
      </c>
      <c r="AM593" s="1" t="s">
        <v>2802</v>
      </c>
    </row>
    <row r="594">
      <c r="E594" s="1" t="s">
        <v>438</v>
      </c>
      <c r="F594" s="6" t="str">
        <f>IFERROR(__xludf.DUMMYFUNCTION("""COMPUTED_VALUE"""),"generation")</f>
        <v>generation</v>
      </c>
      <c r="H594" s="1" t="s">
        <v>1452</v>
      </c>
      <c r="I594" s="6" t="str">
        <f>IFERROR(__xludf.DUMMYFUNCTION("""COMPUTED_VALUE"""),"barrel")</f>
        <v>barrel</v>
      </c>
      <c r="P594" s="1" t="s">
        <v>1444</v>
      </c>
      <c r="Q594" s="6" t="str">
        <f>IFERROR(__xludf.DUMMYFUNCTION("""COMPUTED_VALUE"""),"leigh")</f>
        <v>leigh</v>
      </c>
      <c r="S594" s="1" t="s">
        <v>1617</v>
      </c>
      <c r="T594" s="6" t="str">
        <f>IFERROR(__xludf.DUMMYFUNCTION("""COMPUTED_VALUE"""),"machine")</f>
        <v>machine</v>
      </c>
      <c r="W594" s="8"/>
      <c r="AF594" s="1" t="s">
        <v>2803</v>
      </c>
      <c r="AJ594" s="1" t="s">
        <v>2804</v>
      </c>
      <c r="AM594" s="1" t="s">
        <v>418</v>
      </c>
    </row>
    <row r="595">
      <c r="E595" s="1" t="s">
        <v>2805</v>
      </c>
      <c r="F595" s="6" t="str">
        <f>IFERROR(__xludf.DUMMYFUNCTION("""COMPUTED_VALUE"""),"bile")</f>
        <v>bile</v>
      </c>
      <c r="H595" s="1" t="s">
        <v>361</v>
      </c>
      <c r="I595" s="6" t="str">
        <f>IFERROR(__xludf.DUMMYFUNCTION("""COMPUTED_VALUE"""),"miracles")</f>
        <v>miracles</v>
      </c>
      <c r="P595" s="1" t="s">
        <v>666</v>
      </c>
      <c r="S595" s="1" t="s">
        <v>184</v>
      </c>
      <c r="T595" s="6" t="str">
        <f>IFERROR(__xludf.DUMMYFUNCTION("""COMPUTED_VALUE"""),"complexity")</f>
        <v>complexity</v>
      </c>
      <c r="W595" s="8"/>
      <c r="AF595" s="1" t="s">
        <v>2806</v>
      </c>
      <c r="AJ595" s="1" t="s">
        <v>2807</v>
      </c>
      <c r="AM595" s="1" t="s">
        <v>2808</v>
      </c>
    </row>
    <row r="596">
      <c r="E596" s="1" t="s">
        <v>845</v>
      </c>
      <c r="F596" s="6" t="str">
        <f>IFERROR(__xludf.DUMMYFUNCTION("""COMPUTED_VALUE"""),"faulty")</f>
        <v>faulty</v>
      </c>
      <c r="H596" s="1" t="s">
        <v>2251</v>
      </c>
      <c r="I596" s="6" t="str">
        <f>IFERROR(__xludf.DUMMYFUNCTION("""COMPUTED_VALUE"""),"miracle")</f>
        <v>miracle</v>
      </c>
      <c r="P596" s="1" t="s">
        <v>2809</v>
      </c>
      <c r="S596" s="1" t="s">
        <v>1216</v>
      </c>
      <c r="T596" s="6" t="str">
        <f>IFERROR(__xludf.DUMMYFUNCTION("""COMPUTED_VALUE"""),"means")</f>
        <v>means</v>
      </c>
      <c r="W596" s="8"/>
      <c r="AF596" s="1" t="s">
        <v>2810</v>
      </c>
      <c r="AJ596" s="1" t="s">
        <v>2811</v>
      </c>
      <c r="AM596" s="1" t="s">
        <v>1022</v>
      </c>
    </row>
    <row r="597">
      <c r="E597" s="1" t="s">
        <v>2812</v>
      </c>
      <c r="F597" s="6" t="str">
        <f>IFERROR(__xludf.DUMMYFUNCTION("""COMPUTED_VALUE"""),"skill")</f>
        <v>skill</v>
      </c>
      <c r="H597" s="1" t="s">
        <v>31</v>
      </c>
      <c r="I597" s="6" t="str">
        <f>IFERROR(__xludf.DUMMYFUNCTION("""COMPUTED_VALUE"""),"lewis")</f>
        <v>lewis</v>
      </c>
      <c r="P597" s="1" t="s">
        <v>2813</v>
      </c>
      <c r="S597" s="1" t="s">
        <v>2814</v>
      </c>
      <c r="T597" s="6" t="str">
        <f>IFERROR(__xludf.DUMMYFUNCTION("""COMPUTED_VALUE"""),"situation")</f>
        <v>situation</v>
      </c>
      <c r="W597" s="8"/>
      <c r="AF597" s="1" t="s">
        <v>2815</v>
      </c>
      <c r="AJ597" s="1" t="s">
        <v>2816</v>
      </c>
      <c r="AM597" s="1" t="s">
        <v>1657</v>
      </c>
    </row>
    <row r="598">
      <c r="E598" s="1" t="s">
        <v>2817</v>
      </c>
      <c r="F598" s="6" t="str">
        <f>IFERROR(__xludf.DUMMYFUNCTION("""COMPUTED_VALUE"""),"amused")</f>
        <v>amused</v>
      </c>
      <c r="H598" s="1" t="s">
        <v>1467</v>
      </c>
      <c r="I598" s="6" t="str">
        <f>IFERROR(__xludf.DUMMYFUNCTION("""COMPUTED_VALUE"""),"davies")</f>
        <v>davies</v>
      </c>
      <c r="P598" s="1" t="s">
        <v>2818</v>
      </c>
      <c r="S598" s="1" t="s">
        <v>1213</v>
      </c>
      <c r="T598" s="6" t="str">
        <f>IFERROR(__xludf.DUMMYFUNCTION("""COMPUTED_VALUE"""),"darkness")</f>
        <v>darkness</v>
      </c>
      <c r="W598" s="8"/>
      <c r="AF598" s="1" t="s">
        <v>1587</v>
      </c>
      <c r="AJ598" s="1" t="s">
        <v>2819</v>
      </c>
      <c r="AM598" s="1" t="s">
        <v>325</v>
      </c>
    </row>
    <row r="599">
      <c r="E599" s="1" t="s">
        <v>2820</v>
      </c>
      <c r="F599" s="6" t="str">
        <f>IFERROR(__xludf.DUMMYFUNCTION("""COMPUTED_VALUE"""),"vampire")</f>
        <v>vampire</v>
      </c>
      <c r="H599" s="1" t="s">
        <v>1473</v>
      </c>
      <c r="I599" s="6" t="str">
        <f>IFERROR(__xludf.DUMMYFUNCTION("""COMPUTED_VALUE"""),"perspective")</f>
        <v>perspective</v>
      </c>
      <c r="P599" s="1" t="s">
        <v>891</v>
      </c>
      <c r="S599" s="1" t="s">
        <v>1223</v>
      </c>
      <c r="T599" s="6" t="str">
        <f>IFERROR(__xludf.DUMMYFUNCTION("""COMPUTED_VALUE"""),"insults")</f>
        <v>insults</v>
      </c>
      <c r="W599" s="8"/>
      <c r="AF599" s="1" t="s">
        <v>1592</v>
      </c>
      <c r="AJ599" s="1" t="s">
        <v>1426</v>
      </c>
      <c r="AM599" s="1" t="s">
        <v>662</v>
      </c>
    </row>
    <row r="600">
      <c r="E600" s="1" t="s">
        <v>2018</v>
      </c>
      <c r="F600" s="6" t="str">
        <f>IFERROR(__xludf.DUMMYFUNCTION("""COMPUTED_VALUE"""),"determined")</f>
        <v>determined</v>
      </c>
      <c r="H600" s="1" t="s">
        <v>1480</v>
      </c>
      <c r="I600" s="6" t="str">
        <f>IFERROR(__xludf.DUMMYFUNCTION("""COMPUTED_VALUE"""),"showcases")</f>
        <v>showcases</v>
      </c>
      <c r="P600" s="1" t="s">
        <v>2821</v>
      </c>
      <c r="S600" s="1" t="s">
        <v>2822</v>
      </c>
      <c r="T600" s="6">
        <f>IFERROR(__xludf.DUMMYFUNCTION("""COMPUTED_VALUE"""),1984.0)</f>
        <v>1984</v>
      </c>
      <c r="W600" s="8"/>
      <c r="AF600" s="1" t="s">
        <v>2823</v>
      </c>
      <c r="AJ600" s="1" t="s">
        <v>786</v>
      </c>
      <c r="AM600" s="1" t="s">
        <v>672</v>
      </c>
    </row>
    <row r="601">
      <c r="E601" s="1" t="s">
        <v>2824</v>
      </c>
      <c r="F601" s="6" t="str">
        <f>IFERROR(__xludf.DUMMYFUNCTION("""COMPUTED_VALUE"""),"typical")</f>
        <v>typical</v>
      </c>
      <c r="H601" s="1" t="s">
        <v>1497</v>
      </c>
      <c r="I601" s="6" t="str">
        <f>IFERROR(__xludf.DUMMYFUNCTION("""COMPUTED_VALUE"""),"bleak")</f>
        <v>bleak</v>
      </c>
      <c r="P601" s="1" t="s">
        <v>637</v>
      </c>
      <c r="S601" s="1" t="s">
        <v>2825</v>
      </c>
      <c r="T601" s="6" t="str">
        <f>IFERROR(__xludf.DUMMYFUNCTION("""COMPUTED_VALUE"""),"predecessor")</f>
        <v>predecessor</v>
      </c>
      <c r="W601" s="8"/>
      <c r="AF601" s="1" t="s">
        <v>519</v>
      </c>
      <c r="AJ601" s="1" t="s">
        <v>793</v>
      </c>
      <c r="AM601" s="1" t="s">
        <v>2452</v>
      </c>
    </row>
    <row r="602">
      <c r="E602" s="1" t="s">
        <v>2016</v>
      </c>
      <c r="F602" s="6" t="str">
        <f>IFERROR(__xludf.DUMMYFUNCTION("""COMPUTED_VALUE"""),"fierce")</f>
        <v>fierce</v>
      </c>
      <c r="H602" s="1" t="s">
        <v>2267</v>
      </c>
      <c r="I602" s="6" t="str">
        <f>IFERROR(__xludf.DUMMYFUNCTION("""COMPUTED_VALUE"""),"sincere")</f>
        <v>sincere</v>
      </c>
      <c r="P602" s="1" t="s">
        <v>2826</v>
      </c>
      <c r="S602" s="1" t="s">
        <v>1227</v>
      </c>
      <c r="T602" s="6" t="str">
        <f>IFERROR(__xludf.DUMMYFUNCTION("""COMPUTED_VALUE"""),"unexpectedly")</f>
        <v>unexpectedly</v>
      </c>
      <c r="W602" s="8"/>
      <c r="AF602" s="1" t="s">
        <v>2827</v>
      </c>
      <c r="AJ602" s="1" t="s">
        <v>801</v>
      </c>
      <c r="AM602" s="1" t="s">
        <v>2828</v>
      </c>
    </row>
    <row r="603">
      <c r="E603" s="1" t="s">
        <v>448</v>
      </c>
      <c r="F603" s="6" t="str">
        <f>IFERROR(__xludf.DUMMYFUNCTION("""COMPUTED_VALUE"""),"crippled")</f>
        <v>crippled</v>
      </c>
      <c r="H603" s="1" t="s">
        <v>1487</v>
      </c>
      <c r="I603" s="6" t="str">
        <f>IFERROR(__xludf.DUMMYFUNCTION("""COMPUTED_VALUE"""),"bullets")</f>
        <v>bullets</v>
      </c>
      <c r="P603" s="1" t="s">
        <v>2829</v>
      </c>
      <c r="S603" s="1" t="s">
        <v>2070</v>
      </c>
      <c r="T603" s="6" t="str">
        <f>IFERROR(__xludf.DUMMYFUNCTION("""COMPUTED_VALUE"""),"comedies")</f>
        <v>comedies</v>
      </c>
      <c r="W603" s="8"/>
      <c r="AF603" s="1" t="s">
        <v>2830</v>
      </c>
      <c r="AJ603" s="1" t="s">
        <v>2831</v>
      </c>
      <c r="AM603" s="1" t="s">
        <v>1693</v>
      </c>
    </row>
    <row r="604">
      <c r="E604" s="1" t="s">
        <v>2026</v>
      </c>
      <c r="F604" s="6" t="str">
        <f>IFERROR(__xludf.DUMMYFUNCTION("""COMPUTED_VALUE"""),"tragedy")</f>
        <v>tragedy</v>
      </c>
      <c r="H604" s="1" t="s">
        <v>376</v>
      </c>
      <c r="I604" s="6" t="str">
        <f>IFERROR(__xludf.DUMMYFUNCTION("""COMPUTED_VALUE"""),"none")</f>
        <v>none</v>
      </c>
      <c r="P604" s="1" t="s">
        <v>693</v>
      </c>
      <c r="S604" s="1" t="s">
        <v>1275</v>
      </c>
      <c r="T604" s="6" t="str">
        <f>IFERROR(__xludf.DUMMYFUNCTION("""COMPUTED_VALUE"""),"enduring")</f>
        <v>enduring</v>
      </c>
      <c r="W604" s="8"/>
      <c r="AF604" s="1" t="s">
        <v>2832</v>
      </c>
      <c r="AJ604" s="1" t="s">
        <v>934</v>
      </c>
      <c r="AM604" s="1" t="s">
        <v>48</v>
      </c>
    </row>
    <row r="605">
      <c r="E605" s="1" t="s">
        <v>2029</v>
      </c>
      <c r="F605" s="6" t="str">
        <f>IFERROR(__xludf.DUMMYFUNCTION("""COMPUTED_VALUE"""),"repetitive")</f>
        <v>repetitive</v>
      </c>
      <c r="H605" s="1" t="s">
        <v>2276</v>
      </c>
      <c r="I605" s="6" t="str">
        <f>IFERROR(__xludf.DUMMYFUNCTION("""COMPUTED_VALUE"""),"poem")</f>
        <v>poem</v>
      </c>
      <c r="P605" s="1" t="s">
        <v>1588</v>
      </c>
      <c r="S605" s="1" t="s">
        <v>2833</v>
      </c>
      <c r="T605" s="6" t="str">
        <f>IFERROR(__xludf.DUMMYFUNCTION("""COMPUTED_VALUE"""),"teen")</f>
        <v>teen</v>
      </c>
      <c r="W605" s="8"/>
      <c r="AF605" s="1" t="s">
        <v>2834</v>
      </c>
      <c r="AJ605" s="1" t="s">
        <v>2835</v>
      </c>
      <c r="AM605" s="1" t="s">
        <v>1706</v>
      </c>
    </row>
    <row r="606">
      <c r="E606" s="1" t="s">
        <v>534</v>
      </c>
      <c r="F606" s="6" t="str">
        <f>IFERROR(__xludf.DUMMYFUNCTION("""COMPUTED_VALUE"""),"melancholy")</f>
        <v>melancholy</v>
      </c>
      <c r="H606" s="1" t="s">
        <v>550</v>
      </c>
      <c r="I606" s="6" t="str">
        <f>IFERROR(__xludf.DUMMYFUNCTION("""COMPUTED_VALUE"""),"convincing")</f>
        <v>convincing</v>
      </c>
      <c r="P606" s="1" t="s">
        <v>2836</v>
      </c>
      <c r="S606" s="1" t="s">
        <v>2837</v>
      </c>
      <c r="T606" s="6" t="str">
        <f>IFERROR(__xludf.DUMMYFUNCTION("""COMPUTED_VALUE"""),"sweet")</f>
        <v>sweet</v>
      </c>
      <c r="W606" s="8"/>
      <c r="AF606" s="1">
        <v>163.0</v>
      </c>
      <c r="AJ606" s="1" t="s">
        <v>2838</v>
      </c>
      <c r="AM606" s="1" t="s">
        <v>2478</v>
      </c>
    </row>
    <row r="607">
      <c r="E607" s="1" t="s">
        <v>456</v>
      </c>
      <c r="F607" s="6" t="str">
        <f>IFERROR(__xludf.DUMMYFUNCTION("""COMPUTED_VALUE"""),"spell")</f>
        <v>spell</v>
      </c>
      <c r="H607" s="1" t="s">
        <v>2282</v>
      </c>
      <c r="I607" s="6" t="str">
        <f>IFERROR(__xludf.DUMMYFUNCTION("""COMPUTED_VALUE"""),"viewer")</f>
        <v>viewer</v>
      </c>
      <c r="P607" s="1" t="s">
        <v>2839</v>
      </c>
      <c r="S607" s="1" t="s">
        <v>2840</v>
      </c>
      <c r="T607" s="6" t="str">
        <f>IFERROR(__xludf.DUMMYFUNCTION("""COMPUTED_VALUE"""),"meaningful")</f>
        <v>meaningful</v>
      </c>
      <c r="W607" s="8"/>
      <c r="AF607" s="1" t="s">
        <v>2841</v>
      </c>
      <c r="AJ607" s="1" t="s">
        <v>2842</v>
      </c>
      <c r="AM607" s="1" t="s">
        <v>56</v>
      </c>
    </row>
    <row r="608">
      <c r="E608" s="1" t="s">
        <v>2843</v>
      </c>
      <c r="F608" s="6" t="str">
        <f>IFERROR(__xludf.DUMMYFUNCTION("""COMPUTED_VALUE"""),"fallen")</f>
        <v>fallen</v>
      </c>
      <c r="H608" s="1" t="s">
        <v>1502</v>
      </c>
      <c r="I608" s="6" t="str">
        <f>IFERROR(__xludf.DUMMYFUNCTION("""COMPUTED_VALUE"""),"patient")</f>
        <v>patient</v>
      </c>
      <c r="P608" s="1" t="s">
        <v>2844</v>
      </c>
      <c r="S608" s="1" t="s">
        <v>1568</v>
      </c>
      <c r="T608" s="6" t="str">
        <f>IFERROR(__xludf.DUMMYFUNCTION("""COMPUTED_VALUE"""),"purposes")</f>
        <v>purposes</v>
      </c>
      <c r="W608" s="8"/>
      <c r="AF608" s="1" t="s">
        <v>2845</v>
      </c>
      <c r="AJ608" s="1" t="s">
        <v>2700</v>
      </c>
      <c r="AM608" s="1" t="s">
        <v>343</v>
      </c>
    </row>
    <row r="609">
      <c r="E609" s="1" t="s">
        <v>2846</v>
      </c>
      <c r="F609" s="6" t="str">
        <f>IFERROR(__xludf.DUMMYFUNCTION("""COMPUTED_VALUE"""),"brutally")</f>
        <v>brutally</v>
      </c>
      <c r="H609" s="1" t="s">
        <v>2593</v>
      </c>
      <c r="I609" s="6" t="str">
        <f>IFERROR(__xludf.DUMMYFUNCTION("""COMPUTED_VALUE"""),"maintain")</f>
        <v>maintain</v>
      </c>
      <c r="P609" s="1" t="s">
        <v>2847</v>
      </c>
      <c r="S609" s="1" t="s">
        <v>2322</v>
      </c>
      <c r="T609" s="6" t="str">
        <f>IFERROR(__xludf.DUMMYFUNCTION("""COMPUTED_VALUE"""),"bigger")</f>
        <v>bigger</v>
      </c>
      <c r="W609" s="8"/>
      <c r="AF609" s="1" t="s">
        <v>2848</v>
      </c>
      <c r="AJ609" s="1" t="s">
        <v>2704</v>
      </c>
      <c r="AM609" s="1" t="s">
        <v>1722</v>
      </c>
    </row>
    <row r="610">
      <c r="E610" s="1" t="s">
        <v>2034</v>
      </c>
      <c r="F610" s="6" t="str">
        <f>IFERROR(__xludf.DUMMYFUNCTION("""COMPUTED_VALUE"""),"tolerate")</f>
        <v>tolerate</v>
      </c>
      <c r="H610" s="1" t="s">
        <v>1532</v>
      </c>
      <c r="I610" s="6" t="str">
        <f>IFERROR(__xludf.DUMMYFUNCTION("""COMPUTED_VALUE"""),"pile")</f>
        <v>pile</v>
      </c>
      <c r="P610" s="1" t="s">
        <v>2849</v>
      </c>
      <c r="S610" s="1">
        <v>30.0</v>
      </c>
      <c r="T610" s="6" t="str">
        <f>IFERROR(__xludf.DUMMYFUNCTION("""COMPUTED_VALUE"""),"polished")</f>
        <v>polished</v>
      </c>
      <c r="W610" s="8"/>
      <c r="AF610" s="1" t="s">
        <v>2850</v>
      </c>
      <c r="AJ610" s="1" t="s">
        <v>2851</v>
      </c>
      <c r="AM610" s="1" t="s">
        <v>1728</v>
      </c>
    </row>
    <row r="611">
      <c r="E611" s="1" t="s">
        <v>178</v>
      </c>
      <c r="F611" s="6" t="str">
        <f>IFERROR(__xludf.DUMMYFUNCTION("""COMPUTED_VALUE"""),"scandal")</f>
        <v>scandal</v>
      </c>
      <c r="H611" s="1" t="s">
        <v>923</v>
      </c>
      <c r="I611" s="6" t="str">
        <f>IFERROR(__xludf.DUMMYFUNCTION("""COMPUTED_VALUE"""),"affection")</f>
        <v>affection</v>
      </c>
      <c r="P611" s="1" t="s">
        <v>1666</v>
      </c>
      <c r="S611" s="1" t="s">
        <v>2852</v>
      </c>
      <c r="T611" s="6" t="str">
        <f>IFERROR(__xludf.DUMMYFUNCTION("""COMPUTED_VALUE"""),"trace")</f>
        <v>trace</v>
      </c>
      <c r="W611" s="8"/>
      <c r="AF611" s="1" t="s">
        <v>1125</v>
      </c>
      <c r="AJ611" s="1" t="s">
        <v>2853</v>
      </c>
      <c r="AM611" s="1" t="s">
        <v>2487</v>
      </c>
    </row>
    <row r="612">
      <c r="E612" s="1" t="s">
        <v>2854</v>
      </c>
      <c r="F612" s="6" t="str">
        <f>IFERROR(__xludf.DUMMYFUNCTION("""COMPUTED_VALUE"""),"baroque")</f>
        <v>baroque</v>
      </c>
      <c r="H612" s="1" t="s">
        <v>1554</v>
      </c>
      <c r="I612" s="6" t="str">
        <f>IFERROR(__xludf.DUMMYFUNCTION("""COMPUTED_VALUE"""),"pathology")</f>
        <v>pathology</v>
      </c>
      <c r="P612" s="1" t="s">
        <v>1855</v>
      </c>
      <c r="S612" s="1" t="s">
        <v>2855</v>
      </c>
      <c r="T612" s="6" t="str">
        <f>IFERROR(__xludf.DUMMYFUNCTION("""COMPUTED_VALUE"""),"knows")</f>
        <v>knows</v>
      </c>
      <c r="W612" s="8"/>
      <c r="AF612" s="1" t="s">
        <v>1849</v>
      </c>
      <c r="AJ612" s="1" t="s">
        <v>1451</v>
      </c>
      <c r="AM612" s="1" t="s">
        <v>1733</v>
      </c>
    </row>
    <row r="613">
      <c r="E613" s="1" t="s">
        <v>2040</v>
      </c>
      <c r="F613" s="6" t="str">
        <f>IFERROR(__xludf.DUMMYFUNCTION("""COMPUTED_VALUE"""),"breadth")</f>
        <v>breadth</v>
      </c>
      <c r="H613" s="1" t="s">
        <v>1329</v>
      </c>
      <c r="I613" s="6" t="str">
        <f>IFERROR(__xludf.DUMMYFUNCTION("""COMPUTED_VALUE"""),"vietnam")</f>
        <v>vietnam</v>
      </c>
      <c r="P613" s="1" t="s">
        <v>1611</v>
      </c>
      <c r="S613" s="1" t="s">
        <v>2856</v>
      </c>
      <c r="T613" s="6" t="str">
        <f>IFERROR(__xludf.DUMMYFUNCTION("""COMPUTED_VALUE"""),"debt")</f>
        <v>debt</v>
      </c>
      <c r="W613" s="8"/>
      <c r="AF613" s="1" t="s">
        <v>2857</v>
      </c>
      <c r="AJ613" s="1" t="s">
        <v>2858</v>
      </c>
      <c r="AM613" s="1" t="s">
        <v>1742</v>
      </c>
    </row>
    <row r="614">
      <c r="E614" s="1" t="s">
        <v>860</v>
      </c>
      <c r="F614" s="6" t="str">
        <f>IFERROR(__xludf.DUMMYFUNCTION("""COMPUTED_VALUE"""),"hardship")</f>
        <v>hardship</v>
      </c>
      <c r="H614" s="1" t="s">
        <v>546</v>
      </c>
      <c r="I614" s="6" t="str">
        <f>IFERROR(__xludf.DUMMYFUNCTION("""COMPUTED_VALUE"""),"souls")</f>
        <v>souls</v>
      </c>
      <c r="P614" s="1" t="s">
        <v>1627</v>
      </c>
      <c r="S614" s="1" t="s">
        <v>2059</v>
      </c>
      <c r="T614" s="6" t="str">
        <f>IFERROR(__xludf.DUMMYFUNCTION("""COMPUTED_VALUE"""),"vanity")</f>
        <v>vanity</v>
      </c>
      <c r="W614" s="8"/>
      <c r="AF614" s="1" t="s">
        <v>2859</v>
      </c>
      <c r="AJ614" s="1" t="s">
        <v>2860</v>
      </c>
      <c r="AM614" s="1" t="s">
        <v>426</v>
      </c>
    </row>
    <row r="615">
      <c r="E615" s="1" t="s">
        <v>2861</v>
      </c>
      <c r="F615" s="6" t="str">
        <f>IFERROR(__xludf.DUMMYFUNCTION("""COMPUTED_VALUE"""),"poverty")</f>
        <v>poverty</v>
      </c>
      <c r="H615" s="1" t="s">
        <v>697</v>
      </c>
      <c r="I615" s="6" t="str">
        <f>IFERROR(__xludf.DUMMYFUNCTION("""COMPUTED_VALUE"""),"ages")</f>
        <v>ages</v>
      </c>
      <c r="P615" s="1" t="s">
        <v>2862</v>
      </c>
      <c r="S615" s="1" t="s">
        <v>2328</v>
      </c>
      <c r="T615" s="6" t="str">
        <f>IFERROR(__xludf.DUMMYFUNCTION("""COMPUTED_VALUE"""),"endeavors")</f>
        <v>endeavors</v>
      </c>
      <c r="W615" s="8"/>
      <c r="AF615" s="1" t="s">
        <v>2863</v>
      </c>
      <c r="AJ615" s="1" t="s">
        <v>1458</v>
      </c>
      <c r="AM615" s="1" t="s">
        <v>2864</v>
      </c>
    </row>
    <row r="616">
      <c r="E616" s="1" t="s">
        <v>2865</v>
      </c>
      <c r="F616" s="6" t="str">
        <f>IFERROR(__xludf.DUMMYFUNCTION("""COMPUTED_VALUE"""),"enthusiasm")</f>
        <v>enthusiasm</v>
      </c>
      <c r="H616" s="1" t="s">
        <v>2866</v>
      </c>
      <c r="I616" s="6" t="str">
        <f>IFERROR(__xludf.DUMMYFUNCTION("""COMPUTED_VALUE"""),"adventure")</f>
        <v>adventure</v>
      </c>
      <c r="P616" s="1" t="s">
        <v>1010</v>
      </c>
      <c r="S616" s="1" t="s">
        <v>2159</v>
      </c>
      <c r="T616" s="6" t="str">
        <f>IFERROR(__xludf.DUMMYFUNCTION("""COMPUTED_VALUE"""),"adhere")</f>
        <v>adhere</v>
      </c>
      <c r="W616" s="8"/>
      <c r="AF616" s="1" t="s">
        <v>2867</v>
      </c>
      <c r="AJ616" s="1" t="s">
        <v>2729</v>
      </c>
      <c r="AM616" s="1" t="s">
        <v>691</v>
      </c>
    </row>
    <row r="617">
      <c r="E617" s="1" t="s">
        <v>543</v>
      </c>
      <c r="F617" s="6" t="str">
        <f>IFERROR(__xludf.DUMMYFUNCTION("""COMPUTED_VALUE"""),"protagonists")</f>
        <v>protagonists</v>
      </c>
      <c r="H617" s="1" t="s">
        <v>38</v>
      </c>
      <c r="I617" s="6" t="str">
        <f>IFERROR(__xludf.DUMMYFUNCTION("""COMPUTED_VALUE"""),"substances")</f>
        <v>substances</v>
      </c>
      <c r="P617" s="1" t="s">
        <v>67</v>
      </c>
      <c r="S617" s="1" t="s">
        <v>829</v>
      </c>
      <c r="T617" s="6" t="str">
        <f>IFERROR(__xludf.DUMMYFUNCTION("""COMPUTED_VALUE"""),"laughter")</f>
        <v>laughter</v>
      </c>
      <c r="W617" s="8"/>
      <c r="AF617" s="1" t="s">
        <v>1604</v>
      </c>
      <c r="AJ617" s="1" t="s">
        <v>2868</v>
      </c>
      <c r="AM617" s="1" t="s">
        <v>1710</v>
      </c>
    </row>
    <row r="618">
      <c r="E618" s="1" t="s">
        <v>2047</v>
      </c>
      <c r="F618" s="6" t="str">
        <f>IFERROR(__xludf.DUMMYFUNCTION("""COMPUTED_VALUE"""),"shoot")</f>
        <v>shoot</v>
      </c>
      <c r="H618" s="1" t="s">
        <v>567</v>
      </c>
      <c r="I618" s="6" t="str">
        <f>IFERROR(__xludf.DUMMYFUNCTION("""COMPUTED_VALUE"""),"subjected")</f>
        <v>subjected</v>
      </c>
      <c r="P618" s="1" t="s">
        <v>1594</v>
      </c>
      <c r="S618" s="1" t="s">
        <v>2869</v>
      </c>
      <c r="T618" s="6" t="str">
        <f>IFERROR(__xludf.DUMMYFUNCTION("""COMPUTED_VALUE"""),"invention")</f>
        <v>invention</v>
      </c>
      <c r="W618" s="8"/>
      <c r="AF618" s="1" t="s">
        <v>2870</v>
      </c>
      <c r="AJ618" s="1" t="s">
        <v>2871</v>
      </c>
      <c r="AM618" s="1" t="s">
        <v>1759</v>
      </c>
    </row>
    <row r="619">
      <c r="E619" s="1" t="s">
        <v>2127</v>
      </c>
      <c r="F619" s="6" t="str">
        <f>IFERROR(__xludf.DUMMYFUNCTION("""COMPUTED_VALUE"""),"murder")</f>
        <v>murder</v>
      </c>
      <c r="H619" s="1" t="s">
        <v>2303</v>
      </c>
      <c r="I619" s="6" t="str">
        <f>IFERROR(__xludf.DUMMYFUNCTION("""COMPUTED_VALUE"""),"overrun")</f>
        <v>overrun</v>
      </c>
      <c r="P619" s="1" t="s">
        <v>2872</v>
      </c>
      <c r="S619" s="1" t="s">
        <v>2873</v>
      </c>
      <c r="T619" s="6" t="str">
        <f>IFERROR(__xludf.DUMMYFUNCTION("""COMPUTED_VALUE"""),"drag")</f>
        <v>drag</v>
      </c>
      <c r="W619" s="8"/>
      <c r="AF619" s="1" t="s">
        <v>1610</v>
      </c>
      <c r="AJ619" s="1" t="s">
        <v>2874</v>
      </c>
      <c r="AM619" s="1" t="s">
        <v>1714</v>
      </c>
    </row>
    <row r="620">
      <c r="E620" s="1" t="s">
        <v>2048</v>
      </c>
      <c r="F620" s="6" t="str">
        <f>IFERROR(__xludf.DUMMYFUNCTION("""COMPUTED_VALUE"""),"remarkably")</f>
        <v>remarkably</v>
      </c>
      <c r="H620" s="1" t="s">
        <v>1543</v>
      </c>
      <c r="I620" s="6" t="str">
        <f>IFERROR(__xludf.DUMMYFUNCTION("""COMPUTED_VALUE"""),"documentary")</f>
        <v>documentary</v>
      </c>
      <c r="P620" s="1" t="s">
        <v>2875</v>
      </c>
      <c r="S620" s="1" t="s">
        <v>2876</v>
      </c>
      <c r="T620" s="6" t="str">
        <f>IFERROR(__xludf.DUMMYFUNCTION("""COMPUTED_VALUE"""),"juvenile")</f>
        <v>juvenile</v>
      </c>
      <c r="W620" s="8"/>
      <c r="AF620" s="1" t="s">
        <v>2877</v>
      </c>
      <c r="AJ620" s="1" t="s">
        <v>1466</v>
      </c>
      <c r="AM620" s="1" t="s">
        <v>1718</v>
      </c>
    </row>
    <row r="621">
      <c r="E621" s="1" t="s">
        <v>2878</v>
      </c>
      <c r="F621" s="6" t="str">
        <f>IFERROR(__xludf.DUMMYFUNCTION("""COMPUTED_VALUE"""),"insistent")</f>
        <v>insistent</v>
      </c>
      <c r="H621" s="1" t="s">
        <v>580</v>
      </c>
      <c r="I621" s="6" t="str">
        <f>IFERROR(__xludf.DUMMYFUNCTION("""COMPUTED_VALUE"""),"racism")</f>
        <v>racism</v>
      </c>
      <c r="P621" s="1" t="s">
        <v>2879</v>
      </c>
      <c r="S621" s="1" t="s">
        <v>2880</v>
      </c>
      <c r="T621" s="6" t="str">
        <f>IFERROR(__xludf.DUMMYFUNCTION("""COMPUTED_VALUE"""),"literary")</f>
        <v>literary</v>
      </c>
      <c r="W621" s="8"/>
      <c r="AF621" s="1" t="s">
        <v>1615</v>
      </c>
      <c r="AJ621" s="1" t="s">
        <v>2881</v>
      </c>
      <c r="AM621" s="1" t="s">
        <v>2882</v>
      </c>
    </row>
    <row r="622">
      <c r="E622" s="1" t="s">
        <v>2053</v>
      </c>
      <c r="F622" s="6" t="str">
        <f>IFERROR(__xludf.DUMMYFUNCTION("""COMPUTED_VALUE"""),"nausea")</f>
        <v>nausea</v>
      </c>
      <c r="H622" s="1" t="s">
        <v>291</v>
      </c>
      <c r="I622" s="6" t="str">
        <f>IFERROR(__xludf.DUMMYFUNCTION("""COMPUTED_VALUE"""),"edge")</f>
        <v>edge</v>
      </c>
      <c r="P622" s="1" t="s">
        <v>1661</v>
      </c>
      <c r="S622" s="1" t="s">
        <v>2883</v>
      </c>
      <c r="T622" s="6" t="str">
        <f>IFERROR(__xludf.DUMMYFUNCTION("""COMPUTED_VALUE"""),"humans")</f>
        <v>humans</v>
      </c>
      <c r="W622" s="8"/>
      <c r="AF622" s="1" t="s">
        <v>2884</v>
      </c>
      <c r="AJ622" s="1" t="s">
        <v>497</v>
      </c>
      <c r="AM622" s="1" t="s">
        <v>1725</v>
      </c>
    </row>
    <row r="623">
      <c r="E623" s="1" t="s">
        <v>551</v>
      </c>
      <c r="F623" s="6" t="str">
        <f>IFERROR(__xludf.DUMMYFUNCTION("""COMPUTED_VALUE"""),"survival")</f>
        <v>survival</v>
      </c>
      <c r="H623" s="1" t="s">
        <v>1562</v>
      </c>
      <c r="I623" s="6" t="str">
        <f>IFERROR(__xludf.DUMMYFUNCTION("""COMPUTED_VALUE"""),"satire")</f>
        <v>satire</v>
      </c>
      <c r="P623" s="1" t="s">
        <v>1820</v>
      </c>
      <c r="S623" s="1" t="s">
        <v>2885</v>
      </c>
      <c r="T623" s="6" t="str">
        <f>IFERROR(__xludf.DUMMYFUNCTION("""COMPUTED_VALUE"""),"distant")</f>
        <v>distant</v>
      </c>
      <c r="W623" s="8"/>
      <c r="AF623" s="1" t="s">
        <v>2886</v>
      </c>
      <c r="AJ623" s="1" t="s">
        <v>2887</v>
      </c>
      <c r="AM623" s="1" t="s">
        <v>699</v>
      </c>
    </row>
    <row r="624">
      <c r="E624" s="1" t="s">
        <v>2888</v>
      </c>
      <c r="F624" s="6" t="str">
        <f>IFERROR(__xludf.DUMMYFUNCTION("""COMPUTED_VALUE"""),"psychological")</f>
        <v>psychological</v>
      </c>
      <c r="H624" s="1" t="s">
        <v>2889</v>
      </c>
      <c r="I624" s="6" t="str">
        <f>IFERROR(__xludf.DUMMYFUNCTION("""COMPUTED_VALUE"""),"courage")</f>
        <v>courage</v>
      </c>
      <c r="P624" s="1" t="s">
        <v>2890</v>
      </c>
      <c r="S624" s="1" t="s">
        <v>2891</v>
      </c>
      <c r="T624" s="6" t="str">
        <f>IFERROR(__xludf.DUMMYFUNCTION("""COMPUTED_VALUE"""),"witty")</f>
        <v>witty</v>
      </c>
      <c r="W624" s="8"/>
      <c r="AF624" s="1" t="s">
        <v>2892</v>
      </c>
      <c r="AJ624" s="1" t="s">
        <v>811</v>
      </c>
      <c r="AM624" s="1" t="s">
        <v>2893</v>
      </c>
    </row>
    <row r="625">
      <c r="E625" s="1" t="s">
        <v>2894</v>
      </c>
      <c r="F625" s="6" t="str">
        <f>IFERROR(__xludf.DUMMYFUNCTION("""COMPUTED_VALUE"""),"coherent")</f>
        <v>coherent</v>
      </c>
      <c r="H625" s="1" t="s">
        <v>1584</v>
      </c>
      <c r="I625" s="6" t="str">
        <f>IFERROR(__xludf.DUMMYFUNCTION("""COMPUTED_VALUE"""),"top")</f>
        <v>top</v>
      </c>
      <c r="P625" s="1" t="s">
        <v>1679</v>
      </c>
      <c r="S625" s="1" t="s">
        <v>993</v>
      </c>
      <c r="T625" s="6" t="str">
        <f>IFERROR(__xludf.DUMMYFUNCTION("""COMPUTED_VALUE"""),"pickup")</f>
        <v>pickup</v>
      </c>
      <c r="W625" s="8"/>
      <c r="AF625" s="1" t="s">
        <v>2895</v>
      </c>
      <c r="AJ625" s="1" t="s">
        <v>2896</v>
      </c>
      <c r="AM625" s="1" t="s">
        <v>1768</v>
      </c>
    </row>
    <row r="626">
      <c r="E626" s="1" t="s">
        <v>464</v>
      </c>
      <c r="F626" s="6" t="str">
        <f>IFERROR(__xludf.DUMMYFUNCTION("""COMPUTED_VALUE"""),"victories")</f>
        <v>victories</v>
      </c>
      <c r="H626" s="1" t="s">
        <v>2318</v>
      </c>
      <c r="I626" s="6" t="str">
        <f>IFERROR(__xludf.DUMMYFUNCTION("""COMPUTED_VALUE"""),"graduated")</f>
        <v>graduated</v>
      </c>
      <c r="P626" s="1" t="s">
        <v>347</v>
      </c>
      <c r="S626" s="1" t="s">
        <v>1250</v>
      </c>
      <c r="T626" s="6" t="str">
        <f>IFERROR(__xludf.DUMMYFUNCTION("""COMPUTED_VALUE"""),"accomplished")</f>
        <v>accomplished</v>
      </c>
      <c r="W626" s="8"/>
      <c r="AF626" s="1" t="s">
        <v>2897</v>
      </c>
      <c r="AJ626" s="1" t="s">
        <v>2898</v>
      </c>
      <c r="AM626" s="1" t="s">
        <v>2899</v>
      </c>
    </row>
    <row r="627">
      <c r="E627" s="1" t="s">
        <v>2061</v>
      </c>
      <c r="F627" s="6" t="str">
        <f>IFERROR(__xludf.DUMMYFUNCTION("""COMPUTED_VALUE"""),"dynamics")</f>
        <v>dynamics</v>
      </c>
      <c r="H627" s="1" t="s">
        <v>1330</v>
      </c>
      <c r="I627" s="6" t="str">
        <f>IFERROR(__xludf.DUMMYFUNCTION("""COMPUTED_VALUE"""),"embracing")</f>
        <v>embracing</v>
      </c>
      <c r="P627" s="1" t="s">
        <v>1531</v>
      </c>
      <c r="S627" s="1" t="s">
        <v>2900</v>
      </c>
      <c r="T627" s="6" t="str">
        <f>IFERROR(__xludf.DUMMYFUNCTION("""COMPUTED_VALUE"""),"fears")</f>
        <v>fears</v>
      </c>
      <c r="W627" s="8"/>
      <c r="AF627" s="1" t="s">
        <v>1620</v>
      </c>
      <c r="AJ627" s="1" t="s">
        <v>616</v>
      </c>
      <c r="AM627" s="1" t="s">
        <v>1738</v>
      </c>
    </row>
    <row r="628">
      <c r="E628" s="1" t="s">
        <v>2901</v>
      </c>
      <c r="F628" s="6" t="str">
        <f>IFERROR(__xludf.DUMMYFUNCTION("""COMPUTED_VALUE"""),"class")</f>
        <v>class</v>
      </c>
      <c r="H628" s="1" t="s">
        <v>2322</v>
      </c>
      <c r="I628" s="6" t="str">
        <f>IFERROR(__xludf.DUMMYFUNCTION("""COMPUTED_VALUE"""),"intellectual")</f>
        <v>intellectual</v>
      </c>
      <c r="P628" s="1" t="s">
        <v>901</v>
      </c>
      <c r="S628" s="1" t="s">
        <v>2902</v>
      </c>
      <c r="T628" s="6" t="str">
        <f>IFERROR(__xludf.DUMMYFUNCTION("""COMPUTED_VALUE"""),"brutal")</f>
        <v>brutal</v>
      </c>
      <c r="W628" s="8"/>
      <c r="AF628" s="1" t="s">
        <v>2903</v>
      </c>
      <c r="AJ628" s="1" t="s">
        <v>1486</v>
      </c>
      <c r="AM628" s="1" t="s">
        <v>2904</v>
      </c>
    </row>
    <row r="629">
      <c r="E629" s="1" t="s">
        <v>2905</v>
      </c>
      <c r="F629" s="6" t="str">
        <f>IFERROR(__xludf.DUMMYFUNCTION("""COMPUTED_VALUE"""),"morning")</f>
        <v>morning</v>
      </c>
      <c r="H629" s="1" t="s">
        <v>1567</v>
      </c>
      <c r="I629" s="6" t="str">
        <f>IFERROR(__xludf.DUMMYFUNCTION("""COMPUTED_VALUE"""),"admire")</f>
        <v>admire</v>
      </c>
      <c r="P629" s="1" t="s">
        <v>783</v>
      </c>
      <c r="S629" s="1" t="s">
        <v>2906</v>
      </c>
      <c r="T629" s="6" t="str">
        <f>IFERROR(__xludf.DUMMYFUNCTION("""COMPUTED_VALUE"""),"taps")</f>
        <v>taps</v>
      </c>
      <c r="W629" s="8"/>
      <c r="AF629" s="1" t="s">
        <v>1626</v>
      </c>
      <c r="AJ629" s="1" t="s">
        <v>2907</v>
      </c>
      <c r="AM629" s="1" t="s">
        <v>1745</v>
      </c>
    </row>
    <row r="630">
      <c r="E630" s="1" t="s">
        <v>2908</v>
      </c>
      <c r="F630" s="6" t="str">
        <f>IFERROR(__xludf.DUMMYFUNCTION("""COMPUTED_VALUE"""),"brightly")</f>
        <v>brightly</v>
      </c>
      <c r="H630" s="1" t="s">
        <v>2909</v>
      </c>
      <c r="I630" s="6" t="str">
        <f>IFERROR(__xludf.DUMMYFUNCTION("""COMPUTED_VALUE"""),"meditation")</f>
        <v>meditation</v>
      </c>
      <c r="P630" s="1" t="s">
        <v>714</v>
      </c>
      <c r="S630" s="1" t="s">
        <v>2804</v>
      </c>
      <c r="T630" s="6" t="str">
        <f>IFERROR(__xludf.DUMMYFUNCTION("""COMPUTED_VALUE"""),"friends")</f>
        <v>friends</v>
      </c>
      <c r="W630" s="8"/>
      <c r="AF630" s="1" t="s">
        <v>2910</v>
      </c>
      <c r="AJ630" s="1" t="s">
        <v>817</v>
      </c>
      <c r="AM630" s="1" t="s">
        <v>1773</v>
      </c>
    </row>
    <row r="631">
      <c r="E631" s="1" t="s">
        <v>2911</v>
      </c>
      <c r="F631" s="6" t="str">
        <f>IFERROR(__xludf.DUMMYFUNCTION("""COMPUTED_VALUE"""),"actor")</f>
        <v>actor</v>
      </c>
      <c r="H631" s="1" t="s">
        <v>2326</v>
      </c>
      <c r="I631" s="6" t="str">
        <f>IFERROR(__xludf.DUMMYFUNCTION("""COMPUTED_VALUE"""),"freddy")</f>
        <v>freddy</v>
      </c>
      <c r="P631" s="1" t="s">
        <v>2912</v>
      </c>
      <c r="S631" s="1" t="s">
        <v>1777</v>
      </c>
      <c r="T631" s="6" t="str">
        <f>IFERROR(__xludf.DUMMYFUNCTION("""COMPUTED_VALUE"""),"group")</f>
        <v>group</v>
      </c>
      <c r="W631" s="8"/>
      <c r="AF631" s="1" t="s">
        <v>2913</v>
      </c>
      <c r="AJ631" s="1" t="s">
        <v>1494</v>
      </c>
      <c r="AM631" s="1" t="s">
        <v>1777</v>
      </c>
    </row>
    <row r="632">
      <c r="E632" s="1" t="s">
        <v>2068</v>
      </c>
      <c r="F632" s="6" t="str">
        <f>IFERROR(__xludf.DUMMYFUNCTION("""COMPUTED_VALUE"""),"british")</f>
        <v>british</v>
      </c>
      <c r="H632" s="1" t="s">
        <v>2328</v>
      </c>
      <c r="I632" s="6" t="str">
        <f>IFERROR(__xludf.DUMMYFUNCTION("""COMPUTED_VALUE"""),"moody")</f>
        <v>moody</v>
      </c>
      <c r="P632" s="1" t="s">
        <v>2914</v>
      </c>
      <c r="S632" s="1" t="s">
        <v>2915</v>
      </c>
      <c r="T632" s="6" t="str">
        <f>IFERROR(__xludf.DUMMYFUNCTION("""COMPUTED_VALUE"""),"portrait")</f>
        <v>portrait</v>
      </c>
      <c r="W632" s="8"/>
      <c r="AF632" s="1" t="s">
        <v>2916</v>
      </c>
      <c r="AJ632" s="1" t="s">
        <v>2766</v>
      </c>
      <c r="AM632" s="1" t="s">
        <v>432</v>
      </c>
    </row>
    <row r="633">
      <c r="E633" s="1" t="s">
        <v>1032</v>
      </c>
      <c r="F633" s="6" t="str">
        <f>IFERROR(__xludf.DUMMYFUNCTION("""COMPUTED_VALUE"""),"playful")</f>
        <v>playful</v>
      </c>
      <c r="H633" s="1" t="s">
        <v>2331</v>
      </c>
      <c r="I633" s="6" t="str">
        <f>IFERROR(__xludf.DUMMYFUNCTION("""COMPUTED_VALUE"""),"stereotypes")</f>
        <v>stereotypes</v>
      </c>
      <c r="P633" s="1" t="s">
        <v>2917</v>
      </c>
      <c r="S633" s="1" t="s">
        <v>1487</v>
      </c>
      <c r="T633" s="6" t="str">
        <f>IFERROR(__xludf.DUMMYFUNCTION("""COMPUTED_VALUE"""),"rare")</f>
        <v>rare</v>
      </c>
      <c r="W633" s="8"/>
      <c r="AF633" s="1" t="s">
        <v>2918</v>
      </c>
      <c r="AJ633" s="1" t="s">
        <v>2919</v>
      </c>
      <c r="AM633" s="1" t="s">
        <v>1748</v>
      </c>
    </row>
    <row r="634">
      <c r="E634" s="1" t="s">
        <v>2078</v>
      </c>
      <c r="F634" s="6" t="str">
        <f>IFERROR(__xludf.DUMMYFUNCTION("""COMPUTED_VALUE"""),"nicholas")</f>
        <v>nicholas</v>
      </c>
      <c r="H634" s="1" t="s">
        <v>2920</v>
      </c>
      <c r="I634" s="6" t="str">
        <f>IFERROR(__xludf.DUMMYFUNCTION("""COMPUTED_VALUE"""),"outsiders")</f>
        <v>outsiders</v>
      </c>
      <c r="P634" s="1" t="s">
        <v>2921</v>
      </c>
      <c r="S634" s="1" t="s">
        <v>2922</v>
      </c>
      <c r="T634" s="6" t="str">
        <f>IFERROR(__xludf.DUMMYFUNCTION("""COMPUTED_VALUE"""),"pain")</f>
        <v>pain</v>
      </c>
      <c r="W634" s="8"/>
      <c r="AF634" s="1" t="s">
        <v>2923</v>
      </c>
      <c r="AJ634" s="1" t="s">
        <v>1501</v>
      </c>
      <c r="AM634" s="1" t="s">
        <v>2924</v>
      </c>
    </row>
    <row r="635">
      <c r="E635" s="1" t="s">
        <v>2925</v>
      </c>
      <c r="F635" s="6" t="str">
        <f>IFERROR(__xludf.DUMMYFUNCTION("""COMPUTED_VALUE"""),"optimistic")</f>
        <v>optimistic</v>
      </c>
      <c r="H635" s="1" t="s">
        <v>382</v>
      </c>
      <c r="I635" s="6" t="str">
        <f>IFERROR(__xludf.DUMMYFUNCTION("""COMPUTED_VALUE"""),"observations")</f>
        <v>observations</v>
      </c>
      <c r="P635" s="1" t="s">
        <v>2926</v>
      </c>
      <c r="S635" s="1" t="s">
        <v>1701</v>
      </c>
      <c r="T635" s="6" t="str">
        <f>IFERROR(__xludf.DUMMYFUNCTION("""COMPUTED_VALUE"""),"draws")</f>
        <v>draws</v>
      </c>
      <c r="W635" s="8"/>
      <c r="AF635" s="1" t="s">
        <v>1633</v>
      </c>
      <c r="AJ635" s="1" t="s">
        <v>2927</v>
      </c>
      <c r="AM635" s="1" t="s">
        <v>1799</v>
      </c>
    </row>
    <row r="636">
      <c r="E636" s="1" t="s">
        <v>2928</v>
      </c>
      <c r="F636" s="6" t="str">
        <f>IFERROR(__xludf.DUMMYFUNCTION("""COMPUTED_VALUE"""),"smarter")</f>
        <v>smarter</v>
      </c>
      <c r="H636" s="1" t="s">
        <v>2336</v>
      </c>
      <c r="I636" s="6" t="str">
        <f>IFERROR(__xludf.DUMMYFUNCTION("""COMPUTED_VALUE"""),"ill")</f>
        <v>ill</v>
      </c>
      <c r="P636" s="1" t="s">
        <v>1943</v>
      </c>
      <c r="S636" s="1" t="s">
        <v>2035</v>
      </c>
      <c r="T636" s="6" t="str">
        <f>IFERROR(__xludf.DUMMYFUNCTION("""COMPUTED_VALUE"""),"bits")</f>
        <v>bits</v>
      </c>
      <c r="W636" s="8"/>
      <c r="AF636" s="1" t="s">
        <v>2929</v>
      </c>
      <c r="AJ636" s="1" t="s">
        <v>2930</v>
      </c>
      <c r="AM636" s="1">
        <v>2002.0</v>
      </c>
    </row>
    <row r="637">
      <c r="E637" s="1" t="s">
        <v>2081</v>
      </c>
      <c r="F637" s="6" t="str">
        <f>IFERROR(__xludf.DUMMYFUNCTION("""COMPUTED_VALUE"""),"pack")</f>
        <v>pack</v>
      </c>
      <c r="H637" s="1" t="s">
        <v>2678</v>
      </c>
      <c r="I637" s="6" t="str">
        <f>IFERROR(__xludf.DUMMYFUNCTION("""COMPUTED_VALUE"""),"bore")</f>
        <v>bore</v>
      </c>
      <c r="P637" s="1" t="s">
        <v>2931</v>
      </c>
      <c r="S637" s="1" t="s">
        <v>2932</v>
      </c>
      <c r="T637" s="6" t="str">
        <f>IFERROR(__xludf.DUMMYFUNCTION("""COMPUTED_VALUE"""),"busy")</f>
        <v>busy</v>
      </c>
      <c r="W637" s="8"/>
      <c r="AF637" s="1" t="s">
        <v>2933</v>
      </c>
      <c r="AJ637" s="1" t="s">
        <v>2934</v>
      </c>
      <c r="AM637" s="1" t="s">
        <v>1811</v>
      </c>
    </row>
    <row r="638">
      <c r="E638" s="1" t="s">
        <v>878</v>
      </c>
      <c r="F638" s="6" t="str">
        <f>IFERROR(__xludf.DUMMYFUNCTION("""COMPUTED_VALUE"""),"measured")</f>
        <v>measured</v>
      </c>
      <c r="H638" s="1" t="s">
        <v>587</v>
      </c>
      <c r="I638" s="6" t="str">
        <f>IFERROR(__xludf.DUMMYFUNCTION("""COMPUTED_VALUE"""),"involving")</f>
        <v>involving</v>
      </c>
      <c r="P638" s="1" t="s">
        <v>2935</v>
      </c>
      <c r="S638" s="1" t="s">
        <v>2936</v>
      </c>
      <c r="T638" s="6" t="str">
        <f>IFERROR(__xludf.DUMMYFUNCTION("""COMPUTED_VALUE"""),"compassion")</f>
        <v>compassion</v>
      </c>
      <c r="W638" s="8"/>
      <c r="AF638" s="1" t="s">
        <v>2937</v>
      </c>
      <c r="AJ638" s="1" t="s">
        <v>1508</v>
      </c>
      <c r="AM638" s="1" t="s">
        <v>440</v>
      </c>
    </row>
    <row r="639">
      <c r="E639" s="1" t="s">
        <v>29</v>
      </c>
      <c r="F639" s="6" t="str">
        <f>IFERROR(__xludf.DUMMYFUNCTION("""COMPUTED_VALUE"""),"permits")</f>
        <v>permits</v>
      </c>
      <c r="H639" s="1" t="s">
        <v>1580</v>
      </c>
      <c r="I639" s="6" t="str">
        <f>IFERROR(__xludf.DUMMYFUNCTION("""COMPUTED_VALUE"""),"universal")</f>
        <v>universal</v>
      </c>
      <c r="P639" s="1" t="s">
        <v>1727</v>
      </c>
      <c r="S639" s="1" t="s">
        <v>1258</v>
      </c>
      <c r="T639" s="6" t="str">
        <f>IFERROR(__xludf.DUMMYFUNCTION("""COMPUTED_VALUE"""),"success")</f>
        <v>success</v>
      </c>
      <c r="W639" s="8"/>
      <c r="AF639" s="1" t="s">
        <v>2938</v>
      </c>
      <c r="AJ639" s="1" t="s">
        <v>2939</v>
      </c>
      <c r="AM639" s="1" t="s">
        <v>2940</v>
      </c>
    </row>
    <row r="640">
      <c r="E640" s="1" t="s">
        <v>2941</v>
      </c>
      <c r="F640" s="6" t="str">
        <f>IFERROR(__xludf.DUMMYFUNCTION("""COMPUTED_VALUE"""),"acute")</f>
        <v>acute</v>
      </c>
      <c r="H640" s="1" t="s">
        <v>2942</v>
      </c>
      <c r="I640" s="6" t="str">
        <f>IFERROR(__xludf.DUMMYFUNCTION("""COMPUTED_VALUE"""),"titular")</f>
        <v>titular</v>
      </c>
      <c r="P640" s="1" t="s">
        <v>2943</v>
      </c>
      <c r="S640" s="1" t="s">
        <v>2921</v>
      </c>
      <c r="T640" s="6" t="str">
        <f>IFERROR(__xludf.DUMMYFUNCTION("""COMPUTED_VALUE"""),"unexpected")</f>
        <v>unexpected</v>
      </c>
      <c r="W640" s="8"/>
      <c r="AF640" s="1" t="s">
        <v>2944</v>
      </c>
      <c r="AJ640" s="1" t="s">
        <v>2945</v>
      </c>
      <c r="AM640" s="1" t="s">
        <v>1815</v>
      </c>
    </row>
    <row r="641">
      <c r="E641" s="1" t="s">
        <v>2198</v>
      </c>
      <c r="F641" s="6" t="str">
        <f>IFERROR(__xludf.DUMMYFUNCTION("""COMPUTED_VALUE"""),"splendid")</f>
        <v>splendid</v>
      </c>
      <c r="H641" s="1" t="s">
        <v>604</v>
      </c>
      <c r="I641" s="6" t="str">
        <f>IFERROR(__xludf.DUMMYFUNCTION("""COMPUTED_VALUE"""),"sands")</f>
        <v>sands</v>
      </c>
      <c r="P641" s="1" t="s">
        <v>2946</v>
      </c>
      <c r="S641" s="1" t="s">
        <v>2947</v>
      </c>
      <c r="T641" s="6" t="str">
        <f>IFERROR(__xludf.DUMMYFUNCTION("""COMPUTED_VALUE"""),"strengths")</f>
        <v>strengths</v>
      </c>
      <c r="W641" s="8"/>
      <c r="AF641" s="1" t="s">
        <v>2948</v>
      </c>
      <c r="AJ641" s="1" t="s">
        <v>2949</v>
      </c>
      <c r="AM641" s="1" t="s">
        <v>2950</v>
      </c>
    </row>
    <row r="642">
      <c r="E642" s="1" t="s">
        <v>1561</v>
      </c>
      <c r="F642" s="6" t="str">
        <f>IFERROR(__xludf.DUMMYFUNCTION("""COMPUTED_VALUE"""),"spirituality")</f>
        <v>spirituality</v>
      </c>
      <c r="H642" s="1" t="s">
        <v>595</v>
      </c>
      <c r="I642" s="6" t="str">
        <f>IFERROR(__xludf.DUMMYFUNCTION("""COMPUTED_VALUE"""),"edited")</f>
        <v>edited</v>
      </c>
      <c r="P642" s="1" t="s">
        <v>2951</v>
      </c>
      <c r="S642" s="1" t="s">
        <v>2952</v>
      </c>
      <c r="T642" s="6" t="str">
        <f>IFERROR(__xludf.DUMMYFUNCTION("""COMPUTED_VALUE"""),"stiff")</f>
        <v>stiff</v>
      </c>
      <c r="W642" s="8"/>
      <c r="AF642" s="1" t="s">
        <v>1639</v>
      </c>
      <c r="AJ642" s="1" t="s">
        <v>2953</v>
      </c>
      <c r="AM642" s="1" t="s">
        <v>1756</v>
      </c>
    </row>
    <row r="643">
      <c r="E643" s="1" t="s">
        <v>2092</v>
      </c>
      <c r="F643" s="6" t="str">
        <f>IFERROR(__xludf.DUMMYFUNCTION("""COMPUTED_VALUE"""),"treatise")</f>
        <v>treatise</v>
      </c>
      <c r="H643" s="1" t="s">
        <v>1601</v>
      </c>
      <c r="I643" s="6" t="str">
        <f>IFERROR(__xludf.DUMMYFUNCTION("""COMPUTED_VALUE"""),"unnecessary")</f>
        <v>unnecessary</v>
      </c>
      <c r="P643" s="1" t="s">
        <v>2954</v>
      </c>
      <c r="S643" s="1" t="s">
        <v>407</v>
      </c>
      <c r="T643" s="6" t="str">
        <f>IFERROR(__xludf.DUMMYFUNCTION("""COMPUTED_VALUE"""),"bottom")</f>
        <v>bottom</v>
      </c>
      <c r="W643" s="8"/>
      <c r="AF643" s="1" t="s">
        <v>1645</v>
      </c>
      <c r="AJ643" s="1" t="s">
        <v>1515</v>
      </c>
      <c r="AM643" s="1" t="s">
        <v>2955</v>
      </c>
    </row>
    <row r="644">
      <c r="E644" s="1" t="s">
        <v>2616</v>
      </c>
      <c r="F644" s="6" t="str">
        <f>IFERROR(__xludf.DUMMYFUNCTION("""COMPUTED_VALUE"""),"absorbing")</f>
        <v>absorbing</v>
      </c>
      <c r="H644" s="1" t="s">
        <v>2956</v>
      </c>
      <c r="I644" s="6" t="str">
        <f>IFERROR(__xludf.DUMMYFUNCTION("""COMPUTED_VALUE"""),"badly")</f>
        <v>badly</v>
      </c>
      <c r="P644" s="1" t="s">
        <v>2957</v>
      </c>
      <c r="S644" s="1" t="s">
        <v>194</v>
      </c>
      <c r="T644" s="6" t="str">
        <f>IFERROR(__xludf.DUMMYFUNCTION("""COMPUTED_VALUE"""),"barrel")</f>
        <v>barrel</v>
      </c>
      <c r="W644" s="8"/>
      <c r="AF644" s="1" t="s">
        <v>757</v>
      </c>
      <c r="AJ644" s="1" t="s">
        <v>2958</v>
      </c>
      <c r="AM644" s="1" t="s">
        <v>705</v>
      </c>
    </row>
    <row r="645">
      <c r="E645" s="1" t="s">
        <v>472</v>
      </c>
      <c r="F645" s="6" t="str">
        <f>IFERROR(__xludf.DUMMYFUNCTION("""COMPUTED_VALUE"""),"liberation")</f>
        <v>liberation</v>
      </c>
      <c r="H645" s="1" t="s">
        <v>1598</v>
      </c>
      <c r="I645" s="6" t="str">
        <f>IFERROR(__xludf.DUMMYFUNCTION("""COMPUTED_VALUE"""),"sequence")</f>
        <v>sequence</v>
      </c>
      <c r="P645" s="1" t="s">
        <v>2959</v>
      </c>
      <c r="S645" s="1" t="s">
        <v>2960</v>
      </c>
      <c r="T645" s="6" t="str">
        <f>IFERROR(__xludf.DUMMYFUNCTION("""COMPUTED_VALUE"""),"miracles")</f>
        <v>miracles</v>
      </c>
      <c r="W645" s="8"/>
      <c r="AF645" s="1" t="s">
        <v>2961</v>
      </c>
      <c r="AJ645" s="1" t="s">
        <v>2962</v>
      </c>
      <c r="AM645" s="1" t="s">
        <v>1761</v>
      </c>
    </row>
    <row r="646">
      <c r="E646" s="1" t="s">
        <v>552</v>
      </c>
      <c r="F646" s="6" t="str">
        <f>IFERROR(__xludf.DUMMYFUNCTION("""COMPUTED_VALUE"""),"caine")</f>
        <v>caine</v>
      </c>
      <c r="H646" s="1" t="s">
        <v>389</v>
      </c>
      <c r="I646" s="6" t="str">
        <f>IFERROR(__xludf.DUMMYFUNCTION("""COMPUTED_VALUE"""),"simone")</f>
        <v>simone</v>
      </c>
      <c r="P646" s="1" t="s">
        <v>2963</v>
      </c>
      <c r="S646" s="1" t="s">
        <v>2964</v>
      </c>
      <c r="T646" s="6" t="str">
        <f>IFERROR(__xludf.DUMMYFUNCTION("""COMPUTED_VALUE"""),"miracle")</f>
        <v>miracle</v>
      </c>
      <c r="W646" s="8"/>
      <c r="AF646" s="1" t="s">
        <v>2965</v>
      </c>
      <c r="AJ646" s="1" t="s">
        <v>2966</v>
      </c>
      <c r="AM646" s="1" t="s">
        <v>110</v>
      </c>
    </row>
    <row r="647">
      <c r="E647" s="1">
        <v>1989.0</v>
      </c>
      <c r="F647" s="6" t="str">
        <f>IFERROR(__xludf.DUMMYFUNCTION("""COMPUTED_VALUE"""),"punching")</f>
        <v>punching</v>
      </c>
      <c r="H647" s="1" t="s">
        <v>2706</v>
      </c>
      <c r="I647" s="6" t="str">
        <f>IFERROR(__xludf.DUMMYFUNCTION("""COMPUTED_VALUE"""),"check")</f>
        <v>check</v>
      </c>
      <c r="P647" s="1" t="s">
        <v>2967</v>
      </c>
      <c r="S647" s="1" t="s">
        <v>2968</v>
      </c>
      <c r="T647" s="6" t="str">
        <f>IFERROR(__xludf.DUMMYFUNCTION("""COMPUTED_VALUE"""),"feeling")</f>
        <v>feeling</v>
      </c>
      <c r="W647" s="8"/>
      <c r="AF647" s="1" t="s">
        <v>441</v>
      </c>
      <c r="AJ647" s="1" t="s">
        <v>2969</v>
      </c>
      <c r="AM647" s="1" t="s">
        <v>452</v>
      </c>
    </row>
    <row r="648">
      <c r="E648" s="1" t="s">
        <v>480</v>
      </c>
      <c r="F648" s="6" t="str">
        <f>IFERROR(__xludf.DUMMYFUNCTION("""COMPUTED_VALUE"""),"reckless")</f>
        <v>reckless</v>
      </c>
      <c r="H648" s="1" t="s">
        <v>1613</v>
      </c>
      <c r="I648" s="6" t="str">
        <f>IFERROR(__xludf.DUMMYFUNCTION("""COMPUTED_VALUE"""),"ticket")</f>
        <v>ticket</v>
      </c>
      <c r="P648" s="1" t="s">
        <v>2970</v>
      </c>
      <c r="S648" s="1" t="s">
        <v>2971</v>
      </c>
      <c r="T648" s="6" t="str">
        <f>IFERROR(__xludf.DUMMYFUNCTION("""COMPUTED_VALUE"""),"lewis")</f>
        <v>lewis</v>
      </c>
      <c r="W648" s="8"/>
      <c r="AF648" s="1" t="s">
        <v>1651</v>
      </c>
      <c r="AJ648" s="1" t="s">
        <v>2972</v>
      </c>
      <c r="AM648" s="1" t="s">
        <v>696</v>
      </c>
    </row>
    <row r="649">
      <c r="E649" s="1" t="s">
        <v>2973</v>
      </c>
      <c r="F649" s="6" t="str">
        <f>IFERROR(__xludf.DUMMYFUNCTION("""COMPUTED_VALUE"""),"changing")</f>
        <v>changing</v>
      </c>
      <c r="H649" s="1" t="s">
        <v>1608</v>
      </c>
      <c r="I649" s="6" t="str">
        <f>IFERROR(__xludf.DUMMYFUNCTION("""COMPUTED_VALUE"""),"instead")</f>
        <v>instead</v>
      </c>
      <c r="P649" s="1" t="s">
        <v>1394</v>
      </c>
      <c r="S649" s="1" t="s">
        <v>2974</v>
      </c>
      <c r="T649" s="6" t="str">
        <f>IFERROR(__xludf.DUMMYFUNCTION("""COMPUTED_VALUE"""),"why")</f>
        <v>why</v>
      </c>
      <c r="W649" s="8"/>
      <c r="AF649" s="1" t="s">
        <v>2975</v>
      </c>
      <c r="AJ649" s="1" t="s">
        <v>1522</v>
      </c>
      <c r="AM649" s="1" t="s">
        <v>351</v>
      </c>
    </row>
    <row r="650">
      <c r="E650" s="1" t="s">
        <v>2976</v>
      </c>
      <c r="F650" s="6" t="str">
        <f>IFERROR(__xludf.DUMMYFUNCTION("""COMPUTED_VALUE"""),"cia")</f>
        <v>cia</v>
      </c>
      <c r="H650" s="1" t="s">
        <v>300</v>
      </c>
      <c r="I650" s="6" t="str">
        <f>IFERROR(__xludf.DUMMYFUNCTION("""COMPUTED_VALUE"""),"pantheon")</f>
        <v>pantheon</v>
      </c>
      <c r="P650" s="1" t="s">
        <v>1098</v>
      </c>
      <c r="S650" s="1" t="s">
        <v>2977</v>
      </c>
      <c r="T650" s="6" t="str">
        <f>IFERROR(__xludf.DUMMYFUNCTION("""COMPUTED_VALUE"""),"via")</f>
        <v>via</v>
      </c>
      <c r="W650" s="8"/>
      <c r="AF650" s="1" t="s">
        <v>2978</v>
      </c>
      <c r="AJ650" s="1" t="s">
        <v>2979</v>
      </c>
      <c r="AM650" s="1" t="s">
        <v>459</v>
      </c>
    </row>
    <row r="651">
      <c r="E651" s="1" t="s">
        <v>2980</v>
      </c>
      <c r="F651" s="6" t="str">
        <f>IFERROR(__xludf.DUMMYFUNCTION("""COMPUTED_VALUE"""),"gripping")</f>
        <v>gripping</v>
      </c>
      <c r="H651" s="1" t="s">
        <v>1825</v>
      </c>
      <c r="I651" s="6" t="str">
        <f>IFERROR(__xludf.DUMMYFUNCTION("""COMPUTED_VALUE"""),"complicated")</f>
        <v>complicated</v>
      </c>
      <c r="P651" s="1" t="s">
        <v>919</v>
      </c>
      <c r="S651" s="1" t="s">
        <v>2981</v>
      </c>
      <c r="T651" s="6" t="str">
        <f>IFERROR(__xludf.DUMMYFUNCTION("""COMPUTED_VALUE"""),"perspective")</f>
        <v>perspective</v>
      </c>
      <c r="W651" s="8"/>
      <c r="AF651" s="1">
        <v>451.0</v>
      </c>
      <c r="AJ651" s="1" t="s">
        <v>2735</v>
      </c>
      <c r="AM651" s="1" t="s">
        <v>2557</v>
      </c>
    </row>
    <row r="652">
      <c r="E652" s="1" t="s">
        <v>2982</v>
      </c>
      <c r="F652" s="6" t="str">
        <f>IFERROR(__xludf.DUMMYFUNCTION("""COMPUTED_VALUE"""),"tunisian")</f>
        <v>tunisian</v>
      </c>
      <c r="H652" s="1" t="s">
        <v>308</v>
      </c>
      <c r="I652" s="6" t="str">
        <f>IFERROR(__xludf.DUMMYFUNCTION("""COMPUTED_VALUE"""),"smart")</f>
        <v>smart</v>
      </c>
      <c r="P652" s="1" t="s">
        <v>2983</v>
      </c>
      <c r="S652" s="1" t="s">
        <v>1237</v>
      </c>
      <c r="T652" s="6" t="str">
        <f>IFERROR(__xludf.DUMMYFUNCTION("""COMPUTED_VALUE"""),"showcases")</f>
        <v>showcases</v>
      </c>
      <c r="W652" s="8"/>
      <c r="AF652" s="1" t="s">
        <v>1526</v>
      </c>
      <c r="AJ652" s="1" t="s">
        <v>2778</v>
      </c>
      <c r="AM652" s="1" t="s">
        <v>2559</v>
      </c>
    </row>
    <row r="653">
      <c r="E653" s="1" t="s">
        <v>511</v>
      </c>
      <c r="F653" s="6" t="str">
        <f>IFERROR(__xludf.DUMMYFUNCTION("""COMPUTED_VALUE"""),"startling")</f>
        <v>startling</v>
      </c>
      <c r="H653" s="1" t="s">
        <v>2368</v>
      </c>
      <c r="I653" s="6" t="str">
        <f>IFERROR(__xludf.DUMMYFUNCTION("""COMPUTED_VALUE"""),"comedic")</f>
        <v>comedic</v>
      </c>
      <c r="P653" s="1" t="s">
        <v>535</v>
      </c>
      <c r="S653" s="1" t="s">
        <v>1845</v>
      </c>
      <c r="T653" s="6" t="str">
        <f>IFERROR(__xludf.DUMMYFUNCTION("""COMPUTED_VALUE"""),"sincere")</f>
        <v>sincere</v>
      </c>
      <c r="W653" s="8"/>
      <c r="AF653" s="1" t="s">
        <v>2984</v>
      </c>
      <c r="AJ653" s="1" t="s">
        <v>2985</v>
      </c>
      <c r="AM653" s="1" t="s">
        <v>719</v>
      </c>
    </row>
    <row r="654">
      <c r="E654" s="1" t="s">
        <v>487</v>
      </c>
      <c r="F654" s="6" t="str">
        <f>IFERROR(__xludf.DUMMYFUNCTION("""COMPUTED_VALUE"""),"transformation")</f>
        <v>transformation</v>
      </c>
      <c r="H654" s="1" t="s">
        <v>2372</v>
      </c>
      <c r="I654" s="6" t="str">
        <f>IFERROR(__xludf.DUMMYFUNCTION("""COMPUTED_VALUE"""),"aware")</f>
        <v>aware</v>
      </c>
      <c r="P654" s="1" t="s">
        <v>1132</v>
      </c>
      <c r="S654" s="1" t="s">
        <v>2986</v>
      </c>
      <c r="T654" s="6" t="str">
        <f>IFERROR(__xludf.DUMMYFUNCTION("""COMPUTED_VALUE"""),"each")</f>
        <v>each</v>
      </c>
      <c r="W654" s="8"/>
      <c r="AF654" s="1" t="s">
        <v>2987</v>
      </c>
      <c r="AJ654" s="1" t="s">
        <v>1528</v>
      </c>
      <c r="AM654" s="1" t="s">
        <v>512</v>
      </c>
    </row>
    <row r="655">
      <c r="E655" s="1" t="s">
        <v>2106</v>
      </c>
      <c r="F655" s="6" t="str">
        <f>IFERROR(__xludf.DUMMYFUNCTION("""COMPUTED_VALUE"""),"widow")</f>
        <v>widow</v>
      </c>
      <c r="H655" s="1" t="s">
        <v>2376</v>
      </c>
      <c r="I655" s="6" t="str">
        <f>IFERROR(__xludf.DUMMYFUNCTION("""COMPUTED_VALUE"""),"ensemble")</f>
        <v>ensemble</v>
      </c>
      <c r="P655" s="1" t="s">
        <v>1092</v>
      </c>
      <c r="S655" s="1" t="s">
        <v>2988</v>
      </c>
      <c r="T655" s="6" t="str">
        <f>IFERROR(__xludf.DUMMYFUNCTION("""COMPUTED_VALUE"""),"office")</f>
        <v>office</v>
      </c>
      <c r="W655" s="8"/>
      <c r="AF655" s="1" t="s">
        <v>2989</v>
      </c>
      <c r="AJ655" s="1" t="s">
        <v>2990</v>
      </c>
      <c r="AM655" s="1" t="s">
        <v>2991</v>
      </c>
    </row>
    <row r="656">
      <c r="E656" s="1" t="s">
        <v>2992</v>
      </c>
      <c r="F656" s="6" t="str">
        <f>IFERROR(__xludf.DUMMYFUNCTION("""COMPUTED_VALUE"""),"french")</f>
        <v>french</v>
      </c>
      <c r="H656" s="1" t="s">
        <v>2380</v>
      </c>
      <c r="I656" s="6" t="str">
        <f>IFERROR(__xludf.DUMMYFUNCTION("""COMPUTED_VALUE"""),"painful")</f>
        <v>painful</v>
      </c>
      <c r="P656" s="1" t="s">
        <v>707</v>
      </c>
      <c r="S656" s="1">
        <v>1997.0</v>
      </c>
      <c r="T656" s="6" t="str">
        <f>IFERROR(__xludf.DUMMYFUNCTION("""COMPUTED_VALUE"""),"bullets")</f>
        <v>bullets</v>
      </c>
      <c r="W656" s="8"/>
      <c r="AF656" s="1" t="s">
        <v>2993</v>
      </c>
      <c r="AJ656" s="1" t="s">
        <v>824</v>
      </c>
      <c r="AM656" s="1" t="s">
        <v>2994</v>
      </c>
    </row>
    <row r="657">
      <c r="E657" s="1" t="s">
        <v>2995</v>
      </c>
      <c r="F657" s="6" t="str">
        <f>IFERROR(__xludf.DUMMYFUNCTION("""COMPUTED_VALUE"""),"wonder")</f>
        <v>wonder</v>
      </c>
      <c r="H657" s="1" t="s">
        <v>2382</v>
      </c>
      <c r="I657" s="6" t="str">
        <f>IFERROR(__xludf.DUMMYFUNCTION("""COMPUTED_VALUE"""),"symbolism")</f>
        <v>symbolism</v>
      </c>
      <c r="P657" s="1" t="s">
        <v>2996</v>
      </c>
      <c r="S657" s="1" t="s">
        <v>1838</v>
      </c>
      <c r="T657" s="6" t="str">
        <f>IFERROR(__xludf.DUMMYFUNCTION("""COMPUTED_VALUE"""),"none")</f>
        <v>none</v>
      </c>
      <c r="W657" s="8"/>
      <c r="AF657" s="1" t="s">
        <v>2997</v>
      </c>
      <c r="AJ657" s="1" t="s">
        <v>2998</v>
      </c>
      <c r="AM657" s="1" t="s">
        <v>358</v>
      </c>
    </row>
    <row r="658">
      <c r="E658" s="1" t="s">
        <v>2999</v>
      </c>
      <c r="F658" s="6" t="str">
        <f>IFERROR(__xludf.DUMMYFUNCTION("""COMPUTED_VALUE"""),"devoid")</f>
        <v>devoid</v>
      </c>
      <c r="H658" s="1" t="s">
        <v>2384</v>
      </c>
      <c r="I658" s="6" t="str">
        <f>IFERROR(__xludf.DUMMYFUNCTION("""COMPUTED_VALUE"""),"psychology")</f>
        <v>psychology</v>
      </c>
      <c r="P658" s="1" t="s">
        <v>3000</v>
      </c>
      <c r="S658" s="1" t="s">
        <v>3001</v>
      </c>
      <c r="T658" s="6" t="str">
        <f>IFERROR(__xludf.DUMMYFUNCTION("""COMPUTED_VALUE"""),"convincing")</f>
        <v>convincing</v>
      </c>
      <c r="W658" s="8"/>
      <c r="AF658" s="1" t="s">
        <v>3002</v>
      </c>
      <c r="AJ658" s="1" t="s">
        <v>832</v>
      </c>
      <c r="AM658" s="1" t="s">
        <v>467</v>
      </c>
    </row>
    <row r="659">
      <c r="E659" s="1" t="s">
        <v>2110</v>
      </c>
      <c r="F659" s="6" t="str">
        <f>IFERROR(__xludf.DUMMYFUNCTION("""COMPUTED_VALUE"""),"fatal")</f>
        <v>fatal</v>
      </c>
      <c r="H659" s="1" t="s">
        <v>1618</v>
      </c>
      <c r="I659" s="6" t="str">
        <f>IFERROR(__xludf.DUMMYFUNCTION("""COMPUTED_VALUE"""),"allows")</f>
        <v>allows</v>
      </c>
      <c r="P659" s="1" t="s">
        <v>948</v>
      </c>
      <c r="S659" s="1" t="s">
        <v>3003</v>
      </c>
      <c r="T659" s="6" t="str">
        <f>IFERROR(__xludf.DUMMYFUNCTION("""COMPUTED_VALUE"""),"pile")</f>
        <v>pile</v>
      </c>
      <c r="W659" s="8"/>
      <c r="AF659" s="1" t="s">
        <v>3004</v>
      </c>
      <c r="AJ659" s="1" t="s">
        <v>838</v>
      </c>
      <c r="AM659" s="1" t="s">
        <v>1848</v>
      </c>
    </row>
    <row r="660">
      <c r="E660" s="1" t="s">
        <v>3005</v>
      </c>
      <c r="F660" s="6" t="str">
        <f>IFERROR(__xludf.DUMMYFUNCTION("""COMPUTED_VALUE"""),"desperation")</f>
        <v>desperation</v>
      </c>
      <c r="H660" s="1" t="s">
        <v>2392</v>
      </c>
      <c r="I660" s="6" t="str">
        <f>IFERROR(__xludf.DUMMYFUNCTION("""COMPUTED_VALUE"""),"renowned")</f>
        <v>renowned</v>
      </c>
      <c r="P660" s="1" t="s">
        <v>1798</v>
      </c>
      <c r="S660" s="1" t="s">
        <v>3006</v>
      </c>
      <c r="T660" s="6" t="str">
        <f>IFERROR(__xludf.DUMMYFUNCTION("""COMPUTED_VALUE"""),"affection")</f>
        <v>affection</v>
      </c>
      <c r="W660" s="8"/>
      <c r="AF660" s="1" t="s">
        <v>3007</v>
      </c>
      <c r="AJ660" s="1" t="s">
        <v>1557</v>
      </c>
      <c r="AM660" s="1" t="s">
        <v>1788</v>
      </c>
    </row>
    <row r="661">
      <c r="E661" s="1" t="s">
        <v>2114</v>
      </c>
      <c r="F661" s="6" t="str">
        <f>IFERROR(__xludf.DUMMYFUNCTION("""COMPUTED_VALUE"""),"glossy")</f>
        <v>glossy</v>
      </c>
      <c r="H661" s="1" t="s">
        <v>398</v>
      </c>
      <c r="I661" s="6" t="str">
        <f>IFERROR(__xludf.DUMMYFUNCTION("""COMPUTED_VALUE"""),"professionals")</f>
        <v>professionals</v>
      </c>
      <c r="P661" s="1" t="s">
        <v>536</v>
      </c>
      <c r="S661" s="1" t="s">
        <v>1289</v>
      </c>
      <c r="T661" s="6" t="str">
        <f>IFERROR(__xludf.DUMMYFUNCTION("""COMPUTED_VALUE"""),"vietnam")</f>
        <v>vietnam</v>
      </c>
      <c r="W661" s="8"/>
      <c r="AF661" s="1" t="s">
        <v>3008</v>
      </c>
      <c r="AJ661" s="1" t="s">
        <v>3009</v>
      </c>
      <c r="AM661" s="1" t="s">
        <v>1796</v>
      </c>
    </row>
    <row r="662">
      <c r="E662" s="1" t="s">
        <v>3010</v>
      </c>
      <c r="F662" s="6" t="str">
        <f>IFERROR(__xludf.DUMMYFUNCTION("""COMPUTED_VALUE"""),"exquisite")</f>
        <v>exquisite</v>
      </c>
      <c r="H662" s="1" t="s">
        <v>315</v>
      </c>
      <c r="I662" s="6" t="str">
        <f>IFERROR(__xludf.DUMMYFUNCTION("""COMPUTED_VALUE"""),"reacting")</f>
        <v>reacting</v>
      </c>
      <c r="P662" s="1" t="s">
        <v>1810</v>
      </c>
      <c r="S662" s="1" t="s">
        <v>3011</v>
      </c>
      <c r="T662" s="6" t="str">
        <f>IFERROR(__xludf.DUMMYFUNCTION("""COMPUTED_VALUE"""),"tell")</f>
        <v>tell</v>
      </c>
      <c r="W662" s="8"/>
      <c r="AF662" s="1" t="s">
        <v>3012</v>
      </c>
      <c r="AJ662" s="1" t="s">
        <v>3013</v>
      </c>
      <c r="AM662" s="1" t="s">
        <v>1239</v>
      </c>
    </row>
    <row r="663">
      <c r="E663" s="1" t="s">
        <v>3014</v>
      </c>
      <c r="F663" s="6" t="str">
        <f>IFERROR(__xludf.DUMMYFUNCTION("""COMPUTED_VALUE"""),"bollywood")</f>
        <v>bollywood</v>
      </c>
      <c r="H663" s="1" t="s">
        <v>3015</v>
      </c>
      <c r="I663" s="6" t="str">
        <f>IFERROR(__xludf.DUMMYFUNCTION("""COMPUTED_VALUE"""),"vibrant")</f>
        <v>vibrant</v>
      </c>
      <c r="P663" s="1" t="s">
        <v>3016</v>
      </c>
      <c r="S663" s="1" t="s">
        <v>3017</v>
      </c>
      <c r="T663" s="6" t="str">
        <f>IFERROR(__xludf.DUMMYFUNCTION("""COMPUTED_VALUE"""),"souls")</f>
        <v>souls</v>
      </c>
      <c r="W663" s="8"/>
      <c r="AF663" s="1" t="s">
        <v>3018</v>
      </c>
      <c r="AJ663" s="1" t="s">
        <v>968</v>
      </c>
      <c r="AM663" s="1" t="s">
        <v>1853</v>
      </c>
    </row>
    <row r="664">
      <c r="E664" s="1" t="s">
        <v>2100</v>
      </c>
      <c r="F664" s="6" t="str">
        <f>IFERROR(__xludf.DUMMYFUNCTION("""COMPUTED_VALUE"""),"devastating")</f>
        <v>devastating</v>
      </c>
      <c r="H664" s="1" t="s">
        <v>1636</v>
      </c>
      <c r="I664" s="6" t="str">
        <f>IFERROR(__xludf.DUMMYFUNCTION("""COMPUTED_VALUE"""),"colorful")</f>
        <v>colorful</v>
      </c>
      <c r="P664" s="1" t="s">
        <v>3019</v>
      </c>
      <c r="S664" s="1" t="s">
        <v>3020</v>
      </c>
      <c r="T664" s="6" t="str">
        <f>IFERROR(__xludf.DUMMYFUNCTION("""COMPUTED_VALUE"""),"hint")</f>
        <v>hint</v>
      </c>
      <c r="W664" s="8"/>
      <c r="AF664" s="1" t="s">
        <v>3021</v>
      </c>
      <c r="AJ664" s="1" t="s">
        <v>973</v>
      </c>
      <c r="AM664" s="1" t="s">
        <v>217</v>
      </c>
    </row>
    <row r="665">
      <c r="E665" s="1" t="s">
        <v>2118</v>
      </c>
      <c r="F665" s="6" t="str">
        <f>IFERROR(__xludf.DUMMYFUNCTION("""COMPUTED_VALUE"""),"profoundly")</f>
        <v>profoundly</v>
      </c>
      <c r="H665" s="1" t="s">
        <v>447</v>
      </c>
      <c r="I665" s="6" t="str">
        <f>IFERROR(__xludf.DUMMYFUNCTION("""COMPUTED_VALUE"""),"marvel")</f>
        <v>marvel</v>
      </c>
      <c r="P665" s="1" t="s">
        <v>766</v>
      </c>
      <c r="S665" s="1" t="s">
        <v>3022</v>
      </c>
      <c r="T665" s="6" t="str">
        <f>IFERROR(__xludf.DUMMYFUNCTION("""COMPUTED_VALUE"""),"ages")</f>
        <v>ages</v>
      </c>
      <c r="W665" s="8"/>
      <c r="AF665" s="1" t="s">
        <v>3023</v>
      </c>
      <c r="AJ665" s="1" t="s">
        <v>844</v>
      </c>
      <c r="AM665" s="1" t="s">
        <v>1861</v>
      </c>
    </row>
    <row r="666">
      <c r="E666" s="1" t="s">
        <v>588</v>
      </c>
      <c r="F666" s="6" t="str">
        <f>IFERROR(__xludf.DUMMYFUNCTION("""COMPUTED_VALUE"""),"achievements")</f>
        <v>achievements</v>
      </c>
      <c r="H666" s="1" t="s">
        <v>2404</v>
      </c>
      <c r="I666" s="6" t="str">
        <f>IFERROR(__xludf.DUMMYFUNCTION("""COMPUTED_VALUE"""),"sequences")</f>
        <v>sequences</v>
      </c>
      <c r="P666" s="1" t="s">
        <v>279</v>
      </c>
      <c r="S666" s="1" t="s">
        <v>3024</v>
      </c>
      <c r="T666" s="6" t="str">
        <f>IFERROR(__xludf.DUMMYFUNCTION("""COMPUTED_VALUE"""),"adventure")</f>
        <v>adventure</v>
      </c>
      <c r="W666" s="8"/>
      <c r="AF666" s="1" t="s">
        <v>3025</v>
      </c>
      <c r="AJ666" s="1" t="s">
        <v>1765</v>
      </c>
      <c r="AM666" s="1" t="s">
        <v>3026</v>
      </c>
    </row>
    <row r="667">
      <c r="E667" s="1" t="s">
        <v>3027</v>
      </c>
      <c r="F667" s="6" t="str">
        <f>IFERROR(__xludf.DUMMYFUNCTION("""COMPUTED_VALUE"""),"bullock")</f>
        <v>bullock</v>
      </c>
      <c r="H667" s="1" t="s">
        <v>2754</v>
      </c>
      <c r="I667" s="6" t="str">
        <f>IFERROR(__xludf.DUMMYFUNCTION("""COMPUTED_VALUE"""),"fantasy")</f>
        <v>fantasy</v>
      </c>
      <c r="P667" s="1" t="s">
        <v>686</v>
      </c>
      <c r="S667" s="1" t="s">
        <v>2504</v>
      </c>
      <c r="T667" s="6" t="str">
        <f>IFERROR(__xludf.DUMMYFUNCTION("""COMPUTED_VALUE"""),"immediate")</f>
        <v>immediate</v>
      </c>
      <c r="W667" s="8"/>
      <c r="AF667" s="1" t="s">
        <v>3028</v>
      </c>
      <c r="AJ667" s="1" t="s">
        <v>849</v>
      </c>
      <c r="AM667" s="1" t="s">
        <v>3029</v>
      </c>
    </row>
    <row r="668">
      <c r="E668" s="1" t="s">
        <v>494</v>
      </c>
      <c r="F668" s="6" t="str">
        <f>IFERROR(__xludf.DUMMYFUNCTION("""COMPUTED_VALUE"""),"poetic")</f>
        <v>poetic</v>
      </c>
      <c r="H668" s="1" t="s">
        <v>3030</v>
      </c>
      <c r="I668" s="6" t="str">
        <f>IFERROR(__xludf.DUMMYFUNCTION("""COMPUTED_VALUE"""),"pulls")</f>
        <v>pulls</v>
      </c>
      <c r="P668" s="1" t="s">
        <v>3031</v>
      </c>
      <c r="S668" s="1" t="s">
        <v>3032</v>
      </c>
      <c r="T668" s="6" t="str">
        <f>IFERROR(__xludf.DUMMYFUNCTION("""COMPUTED_VALUE"""),"substances")</f>
        <v>substances</v>
      </c>
      <c r="W668" s="8"/>
      <c r="AF668" s="1" t="s">
        <v>1660</v>
      </c>
      <c r="AJ668" s="1" t="s">
        <v>1573</v>
      </c>
      <c r="AM668" s="1" t="s">
        <v>735</v>
      </c>
    </row>
    <row r="669">
      <c r="E669" s="1" t="s">
        <v>3033</v>
      </c>
      <c r="F669" s="6" t="str">
        <f>IFERROR(__xludf.DUMMYFUNCTION("""COMPUTED_VALUE"""),"brilliance")</f>
        <v>brilliance</v>
      </c>
      <c r="H669" s="1" t="s">
        <v>3034</v>
      </c>
      <c r="I669" s="6" t="str">
        <f>IFERROR(__xludf.DUMMYFUNCTION("""COMPUTED_VALUE"""),"illustrates")</f>
        <v>illustrates</v>
      </c>
      <c r="P669" s="1" t="s">
        <v>3035</v>
      </c>
      <c r="S669" s="1" t="s">
        <v>1170</v>
      </c>
      <c r="T669" s="6" t="str">
        <f>IFERROR(__xludf.DUMMYFUNCTION("""COMPUTED_VALUE"""),"subjected")</f>
        <v>subjected</v>
      </c>
      <c r="W669" s="8"/>
      <c r="AF669" s="1" t="s">
        <v>3036</v>
      </c>
      <c r="AJ669" s="1" t="s">
        <v>666</v>
      </c>
      <c r="AM669" s="1" t="s">
        <v>3037</v>
      </c>
    </row>
    <row r="670">
      <c r="E670" s="1" t="s">
        <v>420</v>
      </c>
      <c r="F670" s="6" t="str">
        <f>IFERROR(__xludf.DUMMYFUNCTION("""COMPUTED_VALUE"""),"sloppy")</f>
        <v>sloppy</v>
      </c>
      <c r="H670" s="1" t="s">
        <v>2407</v>
      </c>
      <c r="I670" s="6" t="str">
        <f>IFERROR(__xludf.DUMMYFUNCTION("""COMPUTED_VALUE"""),"parts")</f>
        <v>parts</v>
      </c>
      <c r="P670" s="1" t="s">
        <v>1262</v>
      </c>
      <c r="S670" s="1" t="s">
        <v>2055</v>
      </c>
      <c r="T670" s="6" t="str">
        <f>IFERROR(__xludf.DUMMYFUNCTION("""COMPUTED_VALUE"""),"worry")</f>
        <v>worry</v>
      </c>
      <c r="W670" s="8"/>
      <c r="AF670" s="1" t="s">
        <v>3038</v>
      </c>
      <c r="AJ670" s="1" t="s">
        <v>982</v>
      </c>
      <c r="AM670" s="1" t="s">
        <v>2603</v>
      </c>
    </row>
    <row r="671">
      <c r="E671" s="1" t="s">
        <v>920</v>
      </c>
      <c r="F671" s="6" t="str">
        <f>IFERROR(__xludf.DUMMYFUNCTION("""COMPUTED_VALUE"""),"sparkling")</f>
        <v>sparkling</v>
      </c>
      <c r="H671" s="1" t="s">
        <v>1084</v>
      </c>
      <c r="I671" s="6" t="str">
        <f>IFERROR(__xludf.DUMMYFUNCTION("""COMPUTED_VALUE"""),"restoring")</f>
        <v>restoring</v>
      </c>
      <c r="P671" s="1" t="s">
        <v>3039</v>
      </c>
      <c r="S671" s="1">
        <v>11.0</v>
      </c>
      <c r="T671" s="6" t="str">
        <f>IFERROR(__xludf.DUMMYFUNCTION("""COMPUTED_VALUE"""),"convince")</f>
        <v>convince</v>
      </c>
      <c r="W671" s="8"/>
      <c r="AF671" s="1" t="s">
        <v>1667</v>
      </c>
      <c r="AJ671" s="1" t="s">
        <v>1579</v>
      </c>
      <c r="AM671" s="1" t="s">
        <v>3040</v>
      </c>
    </row>
    <row r="672">
      <c r="E672" s="1" t="s">
        <v>144</v>
      </c>
      <c r="F672" s="6" t="str">
        <f>IFERROR(__xludf.DUMMYFUNCTION("""COMPUTED_VALUE"""),"lopez")</f>
        <v>lopez</v>
      </c>
      <c r="H672" s="1" t="s">
        <v>1634</v>
      </c>
      <c r="I672" s="6" t="str">
        <f>IFERROR(__xludf.DUMMYFUNCTION("""COMPUTED_VALUE"""),"emerging")</f>
        <v>emerging</v>
      </c>
      <c r="P672" s="1" t="s">
        <v>187</v>
      </c>
      <c r="S672" s="1" t="s">
        <v>3041</v>
      </c>
      <c r="T672" s="6" t="str">
        <f>IFERROR(__xludf.DUMMYFUNCTION("""COMPUTED_VALUE"""),"documentary")</f>
        <v>documentary</v>
      </c>
      <c r="W672" s="8"/>
      <c r="AF672" s="1" t="s">
        <v>3042</v>
      </c>
      <c r="AJ672" s="1" t="s">
        <v>986</v>
      </c>
      <c r="AM672" s="1" t="s">
        <v>384</v>
      </c>
    </row>
    <row r="673">
      <c r="E673" s="1" t="s">
        <v>606</v>
      </c>
      <c r="F673" s="6" t="str">
        <f>IFERROR(__xludf.DUMMYFUNCTION("""COMPUTED_VALUE"""),"relationships")</f>
        <v>relationships</v>
      </c>
      <c r="H673" s="1" t="s">
        <v>2418</v>
      </c>
      <c r="I673" s="6" t="str">
        <f>IFERROR(__xludf.DUMMYFUNCTION("""COMPUTED_VALUE"""),"entity")</f>
        <v>entity</v>
      </c>
      <c r="P673" s="1" t="s">
        <v>3043</v>
      </c>
      <c r="S673" s="1" t="s">
        <v>1299</v>
      </c>
      <c r="T673" s="6" t="str">
        <f>IFERROR(__xludf.DUMMYFUNCTION("""COMPUTED_VALUE"""),"edge")</f>
        <v>edge</v>
      </c>
      <c r="W673" s="8"/>
      <c r="AF673" s="1" t="s">
        <v>3044</v>
      </c>
      <c r="AJ673" s="1" t="s">
        <v>3045</v>
      </c>
      <c r="AM673" s="1" t="s">
        <v>366</v>
      </c>
    </row>
    <row r="674">
      <c r="E674" s="1" t="s">
        <v>2126</v>
      </c>
      <c r="F674" s="6" t="str">
        <f>IFERROR(__xludf.DUMMYFUNCTION("""COMPUTED_VALUE"""),"rae")</f>
        <v>rae</v>
      </c>
      <c r="H674" s="1" t="s">
        <v>332</v>
      </c>
      <c r="I674" s="6" t="str">
        <f>IFERROR(__xludf.DUMMYFUNCTION("""COMPUTED_VALUE"""),"moonlight")</f>
        <v>moonlight</v>
      </c>
      <c r="P674" s="1" t="s">
        <v>608</v>
      </c>
      <c r="S674" s="1" t="s">
        <v>2732</v>
      </c>
      <c r="T674" s="6" t="str">
        <f>IFERROR(__xludf.DUMMYFUNCTION("""COMPUTED_VALUE"""),"courage")</f>
        <v>courage</v>
      </c>
      <c r="W674" s="8"/>
      <c r="AF674" s="1" t="s">
        <v>1673</v>
      </c>
      <c r="AJ674" s="1" t="s">
        <v>992</v>
      </c>
      <c r="AM674" s="1" t="s">
        <v>1829</v>
      </c>
    </row>
    <row r="675">
      <c r="E675" s="1" t="s">
        <v>729</v>
      </c>
      <c r="F675" s="6" t="str">
        <f>IFERROR(__xludf.DUMMYFUNCTION("""COMPUTED_VALUE"""),"norma")</f>
        <v>norma</v>
      </c>
      <c r="H675" s="1" t="s">
        <v>2424</v>
      </c>
      <c r="I675" s="6" t="str">
        <f>IFERROR(__xludf.DUMMYFUNCTION("""COMPUTED_VALUE"""),"pianist")</f>
        <v>pianist</v>
      </c>
      <c r="P675" s="1" t="s">
        <v>521</v>
      </c>
      <c r="S675" s="1" t="s">
        <v>2319</v>
      </c>
      <c r="T675" s="6" t="str">
        <f>IFERROR(__xludf.DUMMYFUNCTION("""COMPUTED_VALUE"""),"top")</f>
        <v>top</v>
      </c>
      <c r="W675" s="8"/>
      <c r="AF675" s="1" t="s">
        <v>3046</v>
      </c>
      <c r="AJ675" s="1" t="s">
        <v>854</v>
      </c>
      <c r="AM675" s="1" t="s">
        <v>1833</v>
      </c>
    </row>
    <row r="676">
      <c r="E676" s="1" t="s">
        <v>931</v>
      </c>
      <c r="F676" s="6" t="str">
        <f>IFERROR(__xludf.DUMMYFUNCTION("""COMPUTED_VALUE"""),"cannes")</f>
        <v>cannes</v>
      </c>
      <c r="H676" s="1" t="s">
        <v>1646</v>
      </c>
      <c r="I676" s="6" t="str">
        <f>IFERROR(__xludf.DUMMYFUNCTION("""COMPUTED_VALUE"""),"detached")</f>
        <v>detached</v>
      </c>
      <c r="P676" s="1" t="s">
        <v>3047</v>
      </c>
      <c r="S676" s="1" t="s">
        <v>1569</v>
      </c>
      <c r="T676" s="6" t="str">
        <f>IFERROR(__xludf.DUMMYFUNCTION("""COMPUTED_VALUE"""),"graduated")</f>
        <v>graduated</v>
      </c>
      <c r="W676" s="8"/>
      <c r="AF676" s="1" t="s">
        <v>1778</v>
      </c>
      <c r="AJ676" s="1" t="s">
        <v>3048</v>
      </c>
      <c r="AM676" s="1" t="s">
        <v>754</v>
      </c>
    </row>
    <row r="677">
      <c r="E677" s="1" t="s">
        <v>3049</v>
      </c>
      <c r="F677" s="6" t="str">
        <f>IFERROR(__xludf.DUMMYFUNCTION("""COMPUTED_VALUE"""),"raphael")</f>
        <v>raphael</v>
      </c>
      <c r="H677" s="1" t="s">
        <v>634</v>
      </c>
      <c r="I677" s="6" t="str">
        <f>IFERROR(__xludf.DUMMYFUNCTION("""COMPUTED_VALUE"""),"represented")</f>
        <v>represented</v>
      </c>
      <c r="P677" s="1" t="s">
        <v>3050</v>
      </c>
      <c r="S677" s="1" t="s">
        <v>2951</v>
      </c>
      <c r="T677" s="6" t="str">
        <f>IFERROR(__xludf.DUMMYFUNCTION("""COMPUTED_VALUE"""),"intellectual")</f>
        <v>intellectual</v>
      </c>
      <c r="W677" s="8"/>
      <c r="AF677" s="1" t="s">
        <v>3051</v>
      </c>
      <c r="AJ677" s="1" t="s">
        <v>3052</v>
      </c>
      <c r="AM677" s="1" t="s">
        <v>210</v>
      </c>
    </row>
    <row r="678">
      <c r="E678" s="1" t="s">
        <v>1233</v>
      </c>
      <c r="F678" s="6" t="str">
        <f>IFERROR(__xludf.DUMMYFUNCTION("""COMPUTED_VALUE"""),"understands")</f>
        <v>understands</v>
      </c>
      <c r="H678" s="1" t="s">
        <v>2431</v>
      </c>
      <c r="I678" s="6" t="str">
        <f>IFERROR(__xludf.DUMMYFUNCTION("""COMPUTED_VALUE"""),"premise")</f>
        <v>premise</v>
      </c>
      <c r="P678" s="1" t="s">
        <v>3053</v>
      </c>
      <c r="S678" s="1" t="s">
        <v>2599</v>
      </c>
      <c r="T678" s="6" t="str">
        <f>IFERROR(__xludf.DUMMYFUNCTION("""COMPUTED_VALUE"""),"admire")</f>
        <v>admire</v>
      </c>
      <c r="W678" s="8"/>
      <c r="AF678" s="1" t="s">
        <v>1805</v>
      </c>
      <c r="AJ678" s="1" t="s">
        <v>637</v>
      </c>
      <c r="AM678" s="1" t="s">
        <v>2621</v>
      </c>
    </row>
    <row r="679">
      <c r="E679" s="1" t="s">
        <v>1560</v>
      </c>
      <c r="F679" s="6" t="str">
        <f>IFERROR(__xludf.DUMMYFUNCTION("""COMPUTED_VALUE"""),"anderson")</f>
        <v>anderson</v>
      </c>
      <c r="H679" s="1" t="s">
        <v>408</v>
      </c>
      <c r="I679" s="6" t="str">
        <f>IFERROR(__xludf.DUMMYFUNCTION("""COMPUTED_VALUE"""),"lush")</f>
        <v>lush</v>
      </c>
      <c r="P679" s="1" t="s">
        <v>3054</v>
      </c>
      <c r="S679" s="1" t="s">
        <v>3055</v>
      </c>
      <c r="T679" s="6" t="str">
        <f>IFERROR(__xludf.DUMMYFUNCTION("""COMPUTED_VALUE"""),"meditation")</f>
        <v>meditation</v>
      </c>
      <c r="W679" s="8"/>
      <c r="AF679" s="1" t="s">
        <v>3056</v>
      </c>
      <c r="AJ679" s="1" t="s">
        <v>1588</v>
      </c>
      <c r="AM679" s="1" t="s">
        <v>1847</v>
      </c>
    </row>
    <row r="680">
      <c r="E680" s="1" t="s">
        <v>3057</v>
      </c>
      <c r="F680" s="6" t="str">
        <f>IFERROR(__xludf.DUMMYFUNCTION("""COMPUTED_VALUE"""),"wherein")</f>
        <v>wherein</v>
      </c>
      <c r="H680" s="1" t="s">
        <v>641</v>
      </c>
      <c r="I680" s="6" t="str">
        <f>IFERROR(__xludf.DUMMYFUNCTION("""COMPUTED_VALUE"""),"chase")</f>
        <v>chase</v>
      </c>
      <c r="P680" s="1" t="s">
        <v>1917</v>
      </c>
      <c r="S680" s="1" t="s">
        <v>3058</v>
      </c>
      <c r="T680" s="6" t="str">
        <f>IFERROR(__xludf.DUMMYFUNCTION("""COMPUTED_VALUE"""),"outsiders")</f>
        <v>outsiders</v>
      </c>
      <c r="W680" s="8"/>
      <c r="AF680" s="1" t="s">
        <v>1048</v>
      </c>
      <c r="AJ680" s="1" t="s">
        <v>693</v>
      </c>
      <c r="AM680" s="1" t="s">
        <v>342</v>
      </c>
    </row>
    <row r="681">
      <c r="E681" s="1" t="s">
        <v>2137</v>
      </c>
      <c r="F681" s="6" t="str">
        <f>IFERROR(__xludf.DUMMYFUNCTION("""COMPUTED_VALUE"""),"loyal")</f>
        <v>loyal</v>
      </c>
      <c r="H681" s="1" t="s">
        <v>1614</v>
      </c>
      <c r="I681" s="6" t="str">
        <f>IFERROR(__xludf.DUMMYFUNCTION("""COMPUTED_VALUE"""),"martha")</f>
        <v>martha</v>
      </c>
      <c r="P681" s="1" t="s">
        <v>79</v>
      </c>
      <c r="S681" s="1" t="s">
        <v>3059</v>
      </c>
      <c r="T681" s="6" t="str">
        <f>IFERROR(__xludf.DUMMYFUNCTION("""COMPUTED_VALUE"""),"humorous")</f>
        <v>humorous</v>
      </c>
      <c r="W681" s="8"/>
      <c r="AF681" s="1" t="s">
        <v>3060</v>
      </c>
      <c r="AJ681" s="1" t="s">
        <v>859</v>
      </c>
      <c r="AM681" s="1" t="s">
        <v>3061</v>
      </c>
    </row>
    <row r="682">
      <c r="E682" s="1" t="s">
        <v>615</v>
      </c>
      <c r="F682" s="6" t="str">
        <f>IFERROR(__xludf.DUMMYFUNCTION("""COMPUTED_VALUE"""),"holm")</f>
        <v>holm</v>
      </c>
      <c r="H682" s="1" t="s">
        <v>418</v>
      </c>
      <c r="I682" s="6" t="str">
        <f>IFERROR(__xludf.DUMMYFUNCTION("""COMPUTED_VALUE"""),"rapid")</f>
        <v>rapid</v>
      </c>
      <c r="P682" s="1" t="s">
        <v>3062</v>
      </c>
      <c r="S682" s="1" t="s">
        <v>3063</v>
      </c>
      <c r="T682" s="6" t="str">
        <f>IFERROR(__xludf.DUMMYFUNCTION("""COMPUTED_VALUE"""),"observations")</f>
        <v>observations</v>
      </c>
      <c r="W682" s="8"/>
      <c r="AF682" s="1" t="s">
        <v>3064</v>
      </c>
      <c r="AJ682" s="1" t="s">
        <v>3065</v>
      </c>
      <c r="AM682" s="1" t="s">
        <v>3066</v>
      </c>
    </row>
    <row r="683">
      <c r="E683" s="1" t="s">
        <v>501</v>
      </c>
      <c r="F683" s="6" t="str">
        <f>IFERROR(__xludf.DUMMYFUNCTION("""COMPUTED_VALUE"""),"ian")</f>
        <v>ian</v>
      </c>
      <c r="H683" s="1" t="s">
        <v>1022</v>
      </c>
      <c r="I683" s="6" t="str">
        <f>IFERROR(__xludf.DUMMYFUNCTION("""COMPUTED_VALUE"""),"virtually")</f>
        <v>virtually</v>
      </c>
      <c r="P683" s="1" t="s">
        <v>3067</v>
      </c>
      <c r="S683" s="1" t="s">
        <v>1307</v>
      </c>
      <c r="T683" s="6" t="str">
        <f>IFERROR(__xludf.DUMMYFUNCTION("""COMPUTED_VALUE"""),"bore")</f>
        <v>bore</v>
      </c>
      <c r="W683" s="8"/>
      <c r="AF683" s="1" t="s">
        <v>3068</v>
      </c>
      <c r="AJ683" s="1" t="s">
        <v>1597</v>
      </c>
      <c r="AM683" s="1" t="s">
        <v>374</v>
      </c>
    </row>
    <row r="684">
      <c r="E684" s="1" t="s">
        <v>3069</v>
      </c>
      <c r="F684" s="6" t="str">
        <f>IFERROR(__xludf.DUMMYFUNCTION("""COMPUTED_VALUE"""),"minds")</f>
        <v>minds</v>
      </c>
      <c r="H684" s="1" t="s">
        <v>2808</v>
      </c>
      <c r="I684" s="6" t="str">
        <f>IFERROR(__xludf.DUMMYFUNCTION("""COMPUTED_VALUE"""),"clever")</f>
        <v>clever</v>
      </c>
      <c r="P684" s="1" t="s">
        <v>3070</v>
      </c>
      <c r="S684" s="1" t="s">
        <v>3071</v>
      </c>
      <c r="T684" s="6" t="str">
        <f>IFERROR(__xludf.DUMMYFUNCTION("""COMPUTED_VALUE"""),"mix")</f>
        <v>mix</v>
      </c>
      <c r="W684" s="8"/>
      <c r="AF684" s="1" t="s">
        <v>3072</v>
      </c>
      <c r="AJ684" s="1" t="s">
        <v>2849</v>
      </c>
      <c r="AM684" s="1" t="s">
        <v>3073</v>
      </c>
    </row>
    <row r="685">
      <c r="E685" s="1" t="s">
        <v>2165</v>
      </c>
      <c r="F685" s="6" t="str">
        <f>IFERROR(__xludf.DUMMYFUNCTION("""COMPUTED_VALUE"""),"justice")</f>
        <v>justice</v>
      </c>
      <c r="H685" s="1" t="s">
        <v>3074</v>
      </c>
      <c r="I685" s="6" t="str">
        <f>IFERROR(__xludf.DUMMYFUNCTION("""COMPUTED_VALUE"""),"public")</f>
        <v>public</v>
      </c>
      <c r="P685" s="1" t="s">
        <v>3075</v>
      </c>
      <c r="S685" s="1" t="s">
        <v>3076</v>
      </c>
      <c r="T685" s="6" t="str">
        <f>IFERROR(__xludf.DUMMYFUNCTION("""COMPUTED_VALUE"""),"involving")</f>
        <v>involving</v>
      </c>
      <c r="W685" s="8"/>
      <c r="AF685" s="1" t="s">
        <v>3077</v>
      </c>
      <c r="AJ685" s="1" t="s">
        <v>3078</v>
      </c>
      <c r="AM685" s="1" t="s">
        <v>3079</v>
      </c>
    </row>
    <row r="686">
      <c r="E686" s="1" t="s">
        <v>2415</v>
      </c>
      <c r="F686" s="6" t="str">
        <f>IFERROR(__xludf.DUMMYFUNCTION("""COMPUTED_VALUE"""),"dawson")</f>
        <v>dawson</v>
      </c>
      <c r="H686" s="1" t="s">
        <v>3080</v>
      </c>
      <c r="I686" s="6" t="str">
        <f>IFERROR(__xludf.DUMMYFUNCTION("""COMPUTED_VALUE"""),"plunging")</f>
        <v>plunging</v>
      </c>
      <c r="P686" s="1" t="s">
        <v>3081</v>
      </c>
      <c r="S686" s="1" t="s">
        <v>3082</v>
      </c>
      <c r="T686" s="6" t="str">
        <f>IFERROR(__xludf.DUMMYFUNCTION("""COMPUTED_VALUE"""),"universal")</f>
        <v>universal</v>
      </c>
      <c r="W686" s="8"/>
      <c r="AF686" s="1" t="s">
        <v>3083</v>
      </c>
      <c r="AJ686" s="1" t="s">
        <v>864</v>
      </c>
      <c r="AM686" s="1" t="s">
        <v>1856</v>
      </c>
    </row>
    <row r="687">
      <c r="E687" s="1" t="s">
        <v>3084</v>
      </c>
      <c r="F687" s="6" t="str">
        <f>IFERROR(__xludf.DUMMYFUNCTION("""COMPUTED_VALUE"""),"portray")</f>
        <v>portray</v>
      </c>
      <c r="H687" s="1" t="s">
        <v>325</v>
      </c>
      <c r="I687" s="6" t="str">
        <f>IFERROR(__xludf.DUMMYFUNCTION("""COMPUTED_VALUE"""),"intense")</f>
        <v>intense</v>
      </c>
      <c r="P687" s="1" t="s">
        <v>3085</v>
      </c>
      <c r="S687" s="1" t="s">
        <v>1314</v>
      </c>
      <c r="T687" s="6" t="str">
        <f>IFERROR(__xludf.DUMMYFUNCTION("""COMPUTED_VALUE"""),"sands")</f>
        <v>sands</v>
      </c>
      <c r="W687" s="8"/>
      <c r="AF687" s="1" t="s">
        <v>3086</v>
      </c>
      <c r="AJ687" s="1" t="s">
        <v>1611</v>
      </c>
      <c r="AM687" s="1" t="s">
        <v>2630</v>
      </c>
    </row>
    <row r="688">
      <c r="E688" s="1" t="s">
        <v>3087</v>
      </c>
      <c r="F688" s="6" t="str">
        <f>IFERROR(__xludf.DUMMYFUNCTION("""COMPUTED_VALUE"""),"someone")</f>
        <v>someone</v>
      </c>
      <c r="H688" s="1" t="s">
        <v>672</v>
      </c>
      <c r="I688" s="6" t="str">
        <f>IFERROR(__xludf.DUMMYFUNCTION("""COMPUTED_VALUE"""),"underneath")</f>
        <v>underneath</v>
      </c>
      <c r="P688" s="1" t="s">
        <v>3088</v>
      </c>
      <c r="S688" s="1" t="s">
        <v>544</v>
      </c>
      <c r="T688" s="6" t="str">
        <f>IFERROR(__xludf.DUMMYFUNCTION("""COMPUTED_VALUE"""),"unnecessary")</f>
        <v>unnecessary</v>
      </c>
      <c r="W688" s="8"/>
      <c r="AF688" s="1" t="s">
        <v>3089</v>
      </c>
      <c r="AJ688" s="1" t="s">
        <v>286</v>
      </c>
      <c r="AM688" s="1" t="s">
        <v>3090</v>
      </c>
    </row>
    <row r="689">
      <c r="E689" s="1" t="s">
        <v>2170</v>
      </c>
      <c r="F689" s="6" t="str">
        <f>IFERROR(__xludf.DUMMYFUNCTION("""COMPUTED_VALUE"""),"monumental")</f>
        <v>monumental</v>
      </c>
      <c r="H689" s="1" t="s">
        <v>2452</v>
      </c>
      <c r="I689" s="6" t="str">
        <f>IFERROR(__xludf.DUMMYFUNCTION("""COMPUTED_VALUE"""),"deeper")</f>
        <v>deeper</v>
      </c>
      <c r="P689" s="1" t="s">
        <v>3091</v>
      </c>
      <c r="S689" s="1" t="s">
        <v>3092</v>
      </c>
      <c r="T689" s="6" t="str">
        <f>IFERROR(__xludf.DUMMYFUNCTION("""COMPUTED_VALUE"""),"badly")</f>
        <v>badly</v>
      </c>
      <c r="W689" s="8"/>
      <c r="AF689" s="1" t="s">
        <v>1678</v>
      </c>
      <c r="AJ689" s="1" t="s">
        <v>1621</v>
      </c>
      <c r="AM689" s="1" t="s">
        <v>772</v>
      </c>
    </row>
    <row r="690">
      <c r="E690" s="1" t="s">
        <v>2514</v>
      </c>
      <c r="F690" s="6" t="str">
        <f>IFERROR(__xludf.DUMMYFUNCTION("""COMPUTED_VALUE"""),"judd")</f>
        <v>judd</v>
      </c>
      <c r="H690" s="1" t="s">
        <v>662</v>
      </c>
      <c r="I690" s="6" t="str">
        <f>IFERROR(__xludf.DUMMYFUNCTION("""COMPUTED_VALUE"""),"faithful")</f>
        <v>faithful</v>
      </c>
      <c r="P690" s="1" t="s">
        <v>3093</v>
      </c>
      <c r="S690" s="1" t="s">
        <v>3094</v>
      </c>
      <c r="T690" s="6" t="str">
        <f>IFERROR(__xludf.DUMMYFUNCTION("""COMPUTED_VALUE"""),"sequence")</f>
        <v>sequence</v>
      </c>
      <c r="W690" s="8"/>
      <c r="AF690" s="1" t="s">
        <v>1685</v>
      </c>
      <c r="AJ690" s="1" t="s">
        <v>3095</v>
      </c>
      <c r="AM690" s="1" t="s">
        <v>1859</v>
      </c>
    </row>
    <row r="691">
      <c r="E691" s="1" t="s">
        <v>2145</v>
      </c>
      <c r="F691" s="6" t="str">
        <f>IFERROR(__xludf.DUMMYFUNCTION("""COMPUTED_VALUE"""),"freeman")</f>
        <v>freeman</v>
      </c>
      <c r="H691" s="1" t="s">
        <v>2456</v>
      </c>
      <c r="I691" s="6" t="str">
        <f>IFERROR(__xludf.DUMMYFUNCTION("""COMPUTED_VALUE"""),"exaggerated")</f>
        <v>exaggerated</v>
      </c>
      <c r="P691" s="1" t="s">
        <v>1716</v>
      </c>
      <c r="S691" s="1" t="s">
        <v>2233</v>
      </c>
      <c r="T691" s="6" t="str">
        <f>IFERROR(__xludf.DUMMYFUNCTION("""COMPUTED_VALUE"""),"check")</f>
        <v>check</v>
      </c>
      <c r="W691" s="8"/>
      <c r="AF691" s="1" t="s">
        <v>3096</v>
      </c>
      <c r="AJ691" s="1" t="s">
        <v>980</v>
      </c>
      <c r="AM691" s="1" t="s">
        <v>380</v>
      </c>
    </row>
    <row r="692">
      <c r="E692" s="1" t="s">
        <v>2174</v>
      </c>
      <c r="F692" s="6" t="str">
        <f>IFERROR(__xludf.DUMMYFUNCTION("""COMPUTED_VALUE"""),"logic")</f>
        <v>logic</v>
      </c>
      <c r="H692" s="1" t="s">
        <v>2460</v>
      </c>
      <c r="I692" s="6" t="str">
        <f>IFERROR(__xludf.DUMMYFUNCTION("""COMPUTED_VALUE"""),"yarn")</f>
        <v>yarn</v>
      </c>
      <c r="P692" s="1" t="s">
        <v>3097</v>
      </c>
      <c r="S692" s="1" t="s">
        <v>3098</v>
      </c>
      <c r="T692" s="6" t="str">
        <f>IFERROR(__xludf.DUMMYFUNCTION("""COMPUTED_VALUE"""),"ticket")</f>
        <v>ticket</v>
      </c>
      <c r="W692" s="8"/>
      <c r="AF692" s="1" t="s">
        <v>3099</v>
      </c>
      <c r="AJ692" s="1" t="s">
        <v>3100</v>
      </c>
      <c r="AM692" s="1" t="s">
        <v>2646</v>
      </c>
    </row>
    <row r="693">
      <c r="E693" s="1" t="s">
        <v>3101</v>
      </c>
      <c r="F693" s="6" t="str">
        <f>IFERROR(__xludf.DUMMYFUNCTION("""COMPUTED_VALUE"""),"morgan")</f>
        <v>morgan</v>
      </c>
      <c r="H693" s="1" t="s">
        <v>2464</v>
      </c>
      <c r="I693" s="6" t="str">
        <f>IFERROR(__xludf.DUMMYFUNCTION("""COMPUTED_VALUE"""),"punishment")</f>
        <v>punishment</v>
      </c>
      <c r="P693" s="1" t="s">
        <v>304</v>
      </c>
      <c r="S693" s="1" t="s">
        <v>3102</v>
      </c>
      <c r="T693" s="6" t="str">
        <f>IFERROR(__xludf.DUMMYFUNCTION("""COMPUTED_VALUE"""),"instead")</f>
        <v>instead</v>
      </c>
      <c r="W693" s="8"/>
      <c r="AF693" s="1" t="s">
        <v>3103</v>
      </c>
      <c r="AJ693" s="1" t="s">
        <v>1627</v>
      </c>
      <c r="AM693" s="1" t="s">
        <v>387</v>
      </c>
    </row>
    <row r="694">
      <c r="E694" s="1" t="s">
        <v>490</v>
      </c>
      <c r="F694" s="6" t="str">
        <f>IFERROR(__xludf.DUMMYFUNCTION("""COMPUTED_VALUE"""),"zone")</f>
        <v>zone</v>
      </c>
      <c r="H694" s="1" t="s">
        <v>1693</v>
      </c>
      <c r="I694" s="6" t="str">
        <f>IFERROR(__xludf.DUMMYFUNCTION("""COMPUTED_VALUE"""),"innocence")</f>
        <v>innocence</v>
      </c>
      <c r="P694" s="1" t="s">
        <v>3104</v>
      </c>
      <c r="S694" s="1" t="s">
        <v>3105</v>
      </c>
      <c r="T694" s="6" t="str">
        <f>IFERROR(__xludf.DUMMYFUNCTION("""COMPUTED_VALUE"""),"pantheon")</f>
        <v>pantheon</v>
      </c>
      <c r="W694" s="8"/>
      <c r="AF694" s="1" t="s">
        <v>3106</v>
      </c>
      <c r="AJ694" s="1" t="s">
        <v>3107</v>
      </c>
      <c r="AM694" s="1" t="s">
        <v>394</v>
      </c>
    </row>
    <row r="695">
      <c r="E695" s="1" t="s">
        <v>2155</v>
      </c>
      <c r="F695" s="6" t="str">
        <f>IFERROR(__xludf.DUMMYFUNCTION("""COMPUTED_VALUE"""),"grey")</f>
        <v>grey</v>
      </c>
      <c r="H695" s="1" t="s">
        <v>1664</v>
      </c>
      <c r="I695" s="6" t="str">
        <f>IFERROR(__xludf.DUMMYFUNCTION("""COMPUTED_VALUE"""),"tackles")</f>
        <v>tackles</v>
      </c>
      <c r="P695" s="1" t="s">
        <v>3108</v>
      </c>
      <c r="S695" s="1" t="s">
        <v>3109</v>
      </c>
      <c r="T695" s="6" t="str">
        <f>IFERROR(__xludf.DUMMYFUNCTION("""COMPUTED_VALUE"""),"complicated")</f>
        <v>complicated</v>
      </c>
      <c r="W695" s="8"/>
      <c r="AF695" s="1" t="s">
        <v>3110</v>
      </c>
      <c r="AJ695" s="1" t="s">
        <v>2862</v>
      </c>
      <c r="AM695" s="1" t="s">
        <v>1887</v>
      </c>
    </row>
    <row r="696">
      <c r="E696" s="1" t="s">
        <v>3111</v>
      </c>
      <c r="F696" s="6" t="str">
        <f>IFERROR(__xludf.DUMMYFUNCTION("""COMPUTED_VALUE"""),"shadowy")</f>
        <v>shadowy</v>
      </c>
      <c r="H696" s="1" t="s">
        <v>48</v>
      </c>
      <c r="I696" s="6" t="str">
        <f>IFERROR(__xludf.DUMMYFUNCTION("""COMPUTED_VALUE"""),"grotesque")</f>
        <v>grotesque</v>
      </c>
      <c r="P696" s="1" t="s">
        <v>3112</v>
      </c>
      <c r="S696" s="1" t="s">
        <v>3113</v>
      </c>
      <c r="T696" s="6" t="str">
        <f>IFERROR(__xludf.DUMMYFUNCTION("""COMPUTED_VALUE"""),"smart")</f>
        <v>smart</v>
      </c>
      <c r="W696" s="8"/>
      <c r="AF696" s="1" t="s">
        <v>3114</v>
      </c>
      <c r="AJ696" s="1" t="s">
        <v>3115</v>
      </c>
      <c r="AM696" s="1" t="s">
        <v>474</v>
      </c>
    </row>
    <row r="697">
      <c r="E697" s="1" t="s">
        <v>808</v>
      </c>
      <c r="F697" s="6" t="str">
        <f>IFERROR(__xludf.DUMMYFUNCTION("""COMPUTED_VALUE"""),"generated")</f>
        <v>generated</v>
      </c>
      <c r="H697" s="1" t="s">
        <v>1396</v>
      </c>
      <c r="I697" s="6" t="str">
        <f>IFERROR(__xludf.DUMMYFUNCTION("""COMPUTED_VALUE"""),"kwan")</f>
        <v>kwan</v>
      </c>
      <c r="P697" s="1" t="s">
        <v>491</v>
      </c>
      <c r="S697" s="1" t="s">
        <v>1564</v>
      </c>
      <c r="T697" s="6" t="str">
        <f>IFERROR(__xludf.DUMMYFUNCTION("""COMPUTED_VALUE"""),"comedic")</f>
        <v>comedic</v>
      </c>
      <c r="W697" s="8"/>
      <c r="AF697" s="1" t="s">
        <v>3116</v>
      </c>
      <c r="AJ697" s="1" t="s">
        <v>870</v>
      </c>
      <c r="AM697" s="1" t="s">
        <v>1897</v>
      </c>
    </row>
    <row r="698">
      <c r="E698" s="1" t="s">
        <v>2160</v>
      </c>
      <c r="F698" s="6" t="str">
        <f>IFERROR(__xludf.DUMMYFUNCTION("""COMPUTED_VALUE"""),"graceful")</f>
        <v>graceful</v>
      </c>
      <c r="H698" s="1" t="s">
        <v>1706</v>
      </c>
      <c r="I698" s="6" t="str">
        <f>IFERROR(__xludf.DUMMYFUNCTION("""COMPUTED_VALUE"""),"stanley")</f>
        <v>stanley</v>
      </c>
      <c r="P698" s="1" t="s">
        <v>1923</v>
      </c>
      <c r="S698" s="1" t="s">
        <v>1748</v>
      </c>
      <c r="T698" s="6" t="str">
        <f>IFERROR(__xludf.DUMMYFUNCTION("""COMPUTED_VALUE"""),"quarter")</f>
        <v>quarter</v>
      </c>
      <c r="W698" s="8"/>
      <c r="AF698" s="1" t="s">
        <v>3117</v>
      </c>
      <c r="AJ698" s="1" t="s">
        <v>1017</v>
      </c>
      <c r="AM698" s="1" t="s">
        <v>3118</v>
      </c>
    </row>
    <row r="699">
      <c r="E699" s="1" t="s">
        <v>949</v>
      </c>
      <c r="F699" s="6" t="str">
        <f>IFERROR(__xludf.DUMMYFUNCTION("""COMPUTED_VALUE"""),"frontman")</f>
        <v>frontman</v>
      </c>
      <c r="H699" s="1" t="s">
        <v>1682</v>
      </c>
      <c r="I699" s="6" t="str">
        <f>IFERROR(__xludf.DUMMYFUNCTION("""COMPUTED_VALUE"""),"wore")</f>
        <v>wore</v>
      </c>
      <c r="P699" s="1" t="s">
        <v>3119</v>
      </c>
      <c r="S699" s="1" t="s">
        <v>3120</v>
      </c>
      <c r="T699" s="6" t="str">
        <f>IFERROR(__xludf.DUMMYFUNCTION("""COMPUTED_VALUE"""),"ensemble")</f>
        <v>ensemble</v>
      </c>
      <c r="W699" s="8"/>
      <c r="AF699" s="1" t="s">
        <v>3121</v>
      </c>
      <c r="AJ699" s="1" t="s">
        <v>3122</v>
      </c>
      <c r="AM699" s="1" t="s">
        <v>481</v>
      </c>
    </row>
    <row r="700">
      <c r="E700" s="1" t="s">
        <v>2194</v>
      </c>
      <c r="F700" s="6" t="str">
        <f>IFERROR(__xludf.DUMMYFUNCTION("""COMPUTED_VALUE"""),"resist")</f>
        <v>resist</v>
      </c>
      <c r="H700" s="1" t="s">
        <v>2476</v>
      </c>
      <c r="I700" s="6" t="str">
        <f>IFERROR(__xludf.DUMMYFUNCTION("""COMPUTED_VALUE"""),"me")</f>
        <v>me</v>
      </c>
      <c r="P700" s="1" t="s">
        <v>3123</v>
      </c>
      <c r="S700" s="1" t="s">
        <v>1325</v>
      </c>
      <c r="T700" s="6" t="str">
        <f>IFERROR(__xludf.DUMMYFUNCTION("""COMPUTED_VALUE"""),"psychology")</f>
        <v>psychology</v>
      </c>
      <c r="W700" s="8"/>
      <c r="AF700" s="1" t="s">
        <v>3124</v>
      </c>
      <c r="AJ700" s="1" t="s">
        <v>67</v>
      </c>
      <c r="AM700" s="1" t="s">
        <v>2667</v>
      </c>
    </row>
    <row r="701">
      <c r="E701" s="1" t="s">
        <v>2484</v>
      </c>
      <c r="F701" s="6" t="str">
        <f>IFERROR(__xludf.DUMMYFUNCTION("""COMPUTED_VALUE"""),"energetic")</f>
        <v>energetic</v>
      </c>
      <c r="H701" s="1" t="s">
        <v>2478</v>
      </c>
      <c r="I701" s="6" t="str">
        <f>IFERROR(__xludf.DUMMYFUNCTION("""COMPUTED_VALUE"""),"refreshing")</f>
        <v>refreshing</v>
      </c>
      <c r="P701" s="1" t="s">
        <v>3125</v>
      </c>
      <c r="S701" s="1" t="s">
        <v>2942</v>
      </c>
      <c r="T701" s="6" t="str">
        <f>IFERROR(__xludf.DUMMYFUNCTION("""COMPUTED_VALUE"""),"endless")</f>
        <v>endless</v>
      </c>
      <c r="W701" s="8"/>
      <c r="AF701" s="1" t="s">
        <v>399</v>
      </c>
      <c r="AJ701" s="1" t="s">
        <v>3126</v>
      </c>
      <c r="AM701" s="1" t="s">
        <v>1924</v>
      </c>
    </row>
    <row r="702">
      <c r="E702" s="1" t="s">
        <v>3127</v>
      </c>
      <c r="F702" s="6" t="str">
        <f>IFERROR(__xludf.DUMMYFUNCTION("""COMPUTED_VALUE"""),"amusing")</f>
        <v>amusing</v>
      </c>
      <c r="H702" s="1" t="s">
        <v>56</v>
      </c>
      <c r="I702" s="6" t="str">
        <f>IFERROR(__xludf.DUMMYFUNCTION("""COMPUTED_VALUE"""),"clive")</f>
        <v>clive</v>
      </c>
      <c r="P702" s="1" t="s">
        <v>1933</v>
      </c>
      <c r="S702" s="1" t="s">
        <v>3128</v>
      </c>
      <c r="T702" s="6" t="str">
        <f>IFERROR(__xludf.DUMMYFUNCTION("""COMPUTED_VALUE"""),"scenic")</f>
        <v>scenic</v>
      </c>
      <c r="W702" s="8"/>
      <c r="AF702" s="1" t="s">
        <v>3129</v>
      </c>
      <c r="AJ702" s="1" t="s">
        <v>886</v>
      </c>
      <c r="AM702" s="1" t="s">
        <v>3130</v>
      </c>
    </row>
    <row r="703">
      <c r="E703" s="1" t="s">
        <v>2164</v>
      </c>
      <c r="F703" s="6" t="str">
        <f>IFERROR(__xludf.DUMMYFUNCTION("""COMPUTED_VALUE"""),"obligatory")</f>
        <v>obligatory</v>
      </c>
      <c r="H703" s="1" t="s">
        <v>343</v>
      </c>
      <c r="I703" s="6" t="str">
        <f>IFERROR(__xludf.DUMMYFUNCTION("""COMPUTED_VALUE"""),"barker")</f>
        <v>barker</v>
      </c>
      <c r="P703" s="1" t="s">
        <v>597</v>
      </c>
      <c r="S703" s="1" t="s">
        <v>2211</v>
      </c>
      <c r="T703" s="6" t="str">
        <f>IFERROR(__xludf.DUMMYFUNCTION("""COMPUTED_VALUE"""),"allows")</f>
        <v>allows</v>
      </c>
      <c r="W703" s="8"/>
      <c r="AF703" s="1" t="s">
        <v>3131</v>
      </c>
      <c r="AJ703" s="1" t="s">
        <v>1652</v>
      </c>
      <c r="AM703" s="1" t="s">
        <v>2833</v>
      </c>
    </row>
    <row r="704">
      <c r="E704" s="1" t="s">
        <v>2199</v>
      </c>
      <c r="F704" s="6" t="str">
        <f>IFERROR(__xludf.DUMMYFUNCTION("""COMPUTED_VALUE"""),"pulse")</f>
        <v>pulse</v>
      </c>
      <c r="H704" s="1" t="s">
        <v>1722</v>
      </c>
      <c r="I704" s="6" t="str">
        <f>IFERROR(__xludf.DUMMYFUNCTION("""COMPUTED_VALUE"""),"recognizable")</f>
        <v>recognizable</v>
      </c>
      <c r="P704" s="1" t="s">
        <v>475</v>
      </c>
      <c r="S704" s="1" t="s">
        <v>3132</v>
      </c>
      <c r="T704" s="6" t="str">
        <f>IFERROR(__xludf.DUMMYFUNCTION("""COMPUTED_VALUE"""),"renowned")</f>
        <v>renowned</v>
      </c>
      <c r="W704" s="8"/>
      <c r="AF704" s="1" t="s">
        <v>3133</v>
      </c>
      <c r="AJ704" s="1" t="s">
        <v>3134</v>
      </c>
      <c r="AM704" s="1" t="s">
        <v>3135</v>
      </c>
    </row>
    <row r="705">
      <c r="E705" s="1" t="s">
        <v>3136</v>
      </c>
      <c r="F705" s="6" t="str">
        <f>IFERROR(__xludf.DUMMYFUNCTION("""COMPUTED_VALUE"""),"subconscious")</f>
        <v>subconscious</v>
      </c>
      <c r="H705" s="1" t="s">
        <v>1728</v>
      </c>
      <c r="I705" s="6" t="str">
        <f>IFERROR(__xludf.DUMMYFUNCTION("""COMPUTED_VALUE"""),"propelled")</f>
        <v>propelled</v>
      </c>
      <c r="P705" s="1" t="s">
        <v>3137</v>
      </c>
      <c r="S705" s="1" t="s">
        <v>3138</v>
      </c>
      <c r="T705" s="6" t="str">
        <f>IFERROR(__xludf.DUMMYFUNCTION("""COMPUTED_VALUE"""),"professionals")</f>
        <v>professionals</v>
      </c>
      <c r="W705" s="8"/>
      <c r="AF705" s="1" t="s">
        <v>3139</v>
      </c>
      <c r="AJ705" s="1" t="s">
        <v>1661</v>
      </c>
      <c r="AM705" s="1" t="s">
        <v>2672</v>
      </c>
    </row>
    <row r="706">
      <c r="E706" s="1" t="s">
        <v>2173</v>
      </c>
      <c r="F706" s="6" t="str">
        <f>IFERROR(__xludf.DUMMYFUNCTION("""COMPUTED_VALUE"""),"cynical")</f>
        <v>cynical</v>
      </c>
      <c r="H706" s="1" t="s">
        <v>2487</v>
      </c>
      <c r="I706" s="6" t="str">
        <f>IFERROR(__xludf.DUMMYFUNCTION("""COMPUTED_VALUE"""),"spielberg")</f>
        <v>spielberg</v>
      </c>
      <c r="P706" s="1" t="s">
        <v>3140</v>
      </c>
      <c r="S706" s="1" t="s">
        <v>1331</v>
      </c>
      <c r="T706" s="6" t="str">
        <f>IFERROR(__xludf.DUMMYFUNCTION("""COMPUTED_VALUE"""),"vibrant")</f>
        <v>vibrant</v>
      </c>
      <c r="W706" s="8"/>
      <c r="AF706" s="1" t="s">
        <v>3141</v>
      </c>
      <c r="AJ706" s="1" t="s">
        <v>2890</v>
      </c>
      <c r="AM706" s="1" t="s">
        <v>489</v>
      </c>
    </row>
    <row r="707">
      <c r="E707" s="1" t="s">
        <v>3142</v>
      </c>
      <c r="F707" s="6" t="str">
        <f>IFERROR(__xludf.DUMMYFUNCTION("""COMPUTED_VALUE"""),"stirring")</f>
        <v>stirring</v>
      </c>
      <c r="H707" s="1" t="s">
        <v>1742</v>
      </c>
      <c r="I707" s="6" t="str">
        <f>IFERROR(__xludf.DUMMYFUNCTION("""COMPUTED_VALUE"""),"trademark")</f>
        <v>trademark</v>
      </c>
      <c r="P707" s="1" t="s">
        <v>3143</v>
      </c>
      <c r="S707" s="1" t="s">
        <v>3144</v>
      </c>
      <c r="T707" s="6" t="str">
        <f>IFERROR(__xludf.DUMMYFUNCTION("""COMPUTED_VALUE"""),"colorful")</f>
        <v>colorful</v>
      </c>
      <c r="W707" s="8"/>
      <c r="AF707" s="1" t="s">
        <v>3145</v>
      </c>
      <c r="AJ707" s="1" t="s">
        <v>893</v>
      </c>
      <c r="AM707" s="1" t="s">
        <v>3146</v>
      </c>
    </row>
    <row r="708">
      <c r="E708" s="1" t="s">
        <v>2177</v>
      </c>
      <c r="F708" s="6" t="str">
        <f>IFERROR(__xludf.DUMMYFUNCTION("""COMPUTED_VALUE"""),"struggling")</f>
        <v>struggling</v>
      </c>
      <c r="H708" s="1" t="s">
        <v>1733</v>
      </c>
      <c r="I708" s="6" t="str">
        <f>IFERROR(__xludf.DUMMYFUNCTION("""COMPUTED_VALUE"""),"revelations")</f>
        <v>revelations</v>
      </c>
      <c r="P708" s="1" t="s">
        <v>3147</v>
      </c>
      <c r="S708" s="1" t="s">
        <v>1338</v>
      </c>
      <c r="T708" s="6" t="str">
        <f>IFERROR(__xludf.DUMMYFUNCTION("""COMPUTED_VALUE"""),"introduction")</f>
        <v>introduction</v>
      </c>
      <c r="W708" s="8"/>
      <c r="AF708" s="1" t="s">
        <v>3148</v>
      </c>
      <c r="AJ708" s="1" t="s">
        <v>1674</v>
      </c>
      <c r="AM708" s="1" t="s">
        <v>1931</v>
      </c>
    </row>
    <row r="709">
      <c r="E709" s="1" t="s">
        <v>2183</v>
      </c>
      <c r="F709" s="6" t="str">
        <f>IFERROR(__xludf.DUMMYFUNCTION("""COMPUTED_VALUE"""),"flourish")</f>
        <v>flourish</v>
      </c>
      <c r="H709" s="1" t="s">
        <v>1697</v>
      </c>
      <c r="I709" s="6" t="str">
        <f>IFERROR(__xludf.DUMMYFUNCTION("""COMPUTED_VALUE"""),"stylistic")</f>
        <v>stylistic</v>
      </c>
      <c r="P709" s="1" t="s">
        <v>3149</v>
      </c>
      <c r="S709" s="1" t="s">
        <v>3150</v>
      </c>
      <c r="T709" s="6" t="str">
        <f>IFERROR(__xludf.DUMMYFUNCTION("""COMPUTED_VALUE"""),"marvel")</f>
        <v>marvel</v>
      </c>
      <c r="W709" s="8"/>
      <c r="AF709" s="1" t="s">
        <v>3151</v>
      </c>
      <c r="AJ709" s="1" t="s">
        <v>1679</v>
      </c>
      <c r="AM709" s="1" t="s">
        <v>3152</v>
      </c>
    </row>
    <row r="710">
      <c r="E710" s="1" t="s">
        <v>517</v>
      </c>
      <c r="F710" s="6" t="str">
        <f>IFERROR(__xludf.DUMMYFUNCTION("""COMPUTED_VALUE"""),"sprawling")</f>
        <v>sprawling</v>
      </c>
      <c r="H710" s="1" t="s">
        <v>426</v>
      </c>
      <c r="I710" s="6" t="str">
        <f>IFERROR(__xludf.DUMMYFUNCTION("""COMPUTED_VALUE"""),"layered")</f>
        <v>layered</v>
      </c>
      <c r="P710" s="1" t="s">
        <v>3153</v>
      </c>
      <c r="S710" s="1" t="s">
        <v>3154</v>
      </c>
      <c r="T710" s="6" t="str">
        <f>IFERROR(__xludf.DUMMYFUNCTION("""COMPUTED_VALUE"""),"fantasy")</f>
        <v>fantasy</v>
      </c>
      <c r="W710" s="8"/>
      <c r="AF710" s="1" t="s">
        <v>3155</v>
      </c>
      <c r="AJ710" s="1" t="s">
        <v>1686</v>
      </c>
      <c r="AM710" s="1" t="s">
        <v>496</v>
      </c>
    </row>
    <row r="711">
      <c r="E711" s="1" t="s">
        <v>2188</v>
      </c>
      <c r="F711" s="6" t="str">
        <f>IFERROR(__xludf.DUMMYFUNCTION("""COMPUTED_VALUE"""),"scientist")</f>
        <v>scientist</v>
      </c>
      <c r="H711" s="1" t="s">
        <v>691</v>
      </c>
      <c r="I711" s="6" t="str">
        <f>IFERROR(__xludf.DUMMYFUNCTION("""COMPUTED_VALUE"""),"daring")</f>
        <v>daring</v>
      </c>
      <c r="P711" s="1" t="s">
        <v>1236</v>
      </c>
      <c r="S711" s="1" t="s">
        <v>3156</v>
      </c>
      <c r="T711" s="6" t="str">
        <f>IFERROR(__xludf.DUMMYFUNCTION("""COMPUTED_VALUE"""),"pulls")</f>
        <v>pulls</v>
      </c>
      <c r="W711" s="8"/>
      <c r="AF711" s="1" t="s">
        <v>3157</v>
      </c>
      <c r="AJ711" s="1" t="s">
        <v>3158</v>
      </c>
      <c r="AM711" s="1" t="s">
        <v>1918</v>
      </c>
    </row>
    <row r="712">
      <c r="E712" s="1" t="s">
        <v>2186</v>
      </c>
      <c r="F712" s="6" t="str">
        <f>IFERROR(__xludf.DUMMYFUNCTION("""COMPUTED_VALUE"""),"chan")</f>
        <v>chan</v>
      </c>
      <c r="H712" s="1" t="s">
        <v>1710</v>
      </c>
      <c r="I712" s="6" t="str">
        <f>IFERROR(__xludf.DUMMYFUNCTION("""COMPUTED_VALUE"""),"convey")</f>
        <v>convey</v>
      </c>
      <c r="P712" s="1" t="s">
        <v>656</v>
      </c>
      <c r="S712" s="1" t="s">
        <v>3159</v>
      </c>
      <c r="T712" s="6" t="str">
        <f>IFERROR(__xludf.DUMMYFUNCTION("""COMPUTED_VALUE"""),"result")</f>
        <v>result</v>
      </c>
      <c r="W712" s="8"/>
      <c r="AF712" s="1" t="s">
        <v>3160</v>
      </c>
      <c r="AJ712" s="1" t="s">
        <v>1058</v>
      </c>
      <c r="AM712" s="1" t="s">
        <v>1936</v>
      </c>
    </row>
    <row r="713">
      <c r="E713" s="1" t="s">
        <v>971</v>
      </c>
      <c r="F713" s="6" t="str">
        <f>IFERROR(__xludf.DUMMYFUNCTION("""COMPUTED_VALUE"""),"problematic")</f>
        <v>problematic</v>
      </c>
      <c r="H713" s="1" t="s">
        <v>1759</v>
      </c>
      <c r="I713" s="6" t="str">
        <f>IFERROR(__xludf.DUMMYFUNCTION("""COMPUTED_VALUE"""),"spanning")</f>
        <v>spanning</v>
      </c>
      <c r="P713" s="1" t="s">
        <v>106</v>
      </c>
      <c r="S713" s="1" t="s">
        <v>3161</v>
      </c>
      <c r="T713" s="6" t="str">
        <f>IFERROR(__xludf.DUMMYFUNCTION("""COMPUTED_VALUE"""),"parts")</f>
        <v>parts</v>
      </c>
      <c r="W713" s="8"/>
      <c r="AF713" s="1" t="s">
        <v>3162</v>
      </c>
      <c r="AJ713" s="1" t="s">
        <v>3163</v>
      </c>
      <c r="AM713" s="1" t="s">
        <v>1941</v>
      </c>
    </row>
    <row r="714">
      <c r="E714" s="1" t="s">
        <v>2195</v>
      </c>
      <c r="F714" s="6" t="str">
        <f>IFERROR(__xludf.DUMMYFUNCTION("""COMPUTED_VALUE"""),"hilarious")</f>
        <v>hilarious</v>
      </c>
      <c r="H714" s="1" t="s">
        <v>1714</v>
      </c>
      <c r="I714" s="6" t="str">
        <f>IFERROR(__xludf.DUMMYFUNCTION("""COMPUTED_VALUE"""),"marina")</f>
        <v>marina</v>
      </c>
      <c r="P714" s="1" t="s">
        <v>3164</v>
      </c>
      <c r="S714" s="1" t="s">
        <v>3165</v>
      </c>
      <c r="T714" s="6" t="str">
        <f>IFERROR(__xludf.DUMMYFUNCTION("""COMPUTED_VALUE"""),"released")</f>
        <v>released</v>
      </c>
      <c r="W714" s="8"/>
      <c r="AF714" s="1" t="s">
        <v>3166</v>
      </c>
      <c r="AJ714" s="1" t="s">
        <v>897</v>
      </c>
      <c r="AM714" s="1" t="s">
        <v>2474</v>
      </c>
    </row>
    <row r="715">
      <c r="E715" s="1" t="s">
        <v>3167</v>
      </c>
      <c r="F715" s="6" t="str">
        <f>IFERROR(__xludf.DUMMYFUNCTION("""COMPUTED_VALUE"""),"fantasia")</f>
        <v>fantasia</v>
      </c>
      <c r="H715" s="1" t="s">
        <v>1718</v>
      </c>
      <c r="I715" s="6" t="str">
        <f>IFERROR(__xludf.DUMMYFUNCTION("""COMPUTED_VALUE"""),"holly")</f>
        <v>holly</v>
      </c>
      <c r="P715" s="1" t="s">
        <v>203</v>
      </c>
      <c r="S715" s="1" t="s">
        <v>3168</v>
      </c>
      <c r="T715" s="6" t="str">
        <f>IFERROR(__xludf.DUMMYFUNCTION("""COMPUTED_VALUE"""),"entity")</f>
        <v>entity</v>
      </c>
      <c r="W715" s="8"/>
      <c r="AF715" s="1" t="s">
        <v>3169</v>
      </c>
      <c r="AJ715" s="1" t="s">
        <v>901</v>
      </c>
      <c r="AM715" s="1" t="s">
        <v>1690</v>
      </c>
    </row>
    <row r="716">
      <c r="E716" s="1" t="s">
        <v>1939</v>
      </c>
      <c r="F716" s="6" t="str">
        <f>IFERROR(__xludf.DUMMYFUNCTION("""COMPUTED_VALUE"""),"biographical")</f>
        <v>biographical</v>
      </c>
      <c r="H716" s="1" t="s">
        <v>2882</v>
      </c>
      <c r="I716" s="6" t="str">
        <f>IFERROR(__xludf.DUMMYFUNCTION("""COMPUTED_VALUE"""),"emerge")</f>
        <v>emerge</v>
      </c>
      <c r="P716" s="1" t="s">
        <v>1254</v>
      </c>
      <c r="S716" s="1" t="s">
        <v>3170</v>
      </c>
      <c r="T716" s="6" t="str">
        <f>IFERROR(__xludf.DUMMYFUNCTION("""COMPUTED_VALUE"""),"tax")</f>
        <v>tax</v>
      </c>
      <c r="W716" s="8"/>
      <c r="AF716" s="1" t="s">
        <v>3171</v>
      </c>
      <c r="AJ716" s="1" t="s">
        <v>783</v>
      </c>
      <c r="AM716" s="1" t="s">
        <v>1928</v>
      </c>
    </row>
    <row r="717">
      <c r="E717" s="1" t="s">
        <v>2219</v>
      </c>
      <c r="F717" s="6" t="str">
        <f>IFERROR(__xludf.DUMMYFUNCTION("""COMPUTED_VALUE"""),"christian")</f>
        <v>christian</v>
      </c>
      <c r="H717" s="1" t="s">
        <v>1725</v>
      </c>
      <c r="I717" s="6" t="str">
        <f>IFERROR(__xludf.DUMMYFUNCTION("""COMPUTED_VALUE"""),"passionate")</f>
        <v>passionate</v>
      </c>
      <c r="P717" s="1" t="s">
        <v>3172</v>
      </c>
      <c r="S717" s="1" t="s">
        <v>3173</v>
      </c>
      <c r="T717" s="6" t="str">
        <f>IFERROR(__xludf.DUMMYFUNCTION("""COMPUTED_VALUE"""),"brain")</f>
        <v>brain</v>
      </c>
      <c r="W717" s="8"/>
      <c r="AF717" s="1" t="s">
        <v>1518</v>
      </c>
      <c r="AJ717" s="1" t="s">
        <v>1066</v>
      </c>
      <c r="AM717" s="1" t="s">
        <v>1949</v>
      </c>
    </row>
    <row r="718">
      <c r="E718" s="1" t="s">
        <v>3174</v>
      </c>
      <c r="F718" s="6" t="str">
        <f>IFERROR(__xludf.DUMMYFUNCTION("""COMPUTED_VALUE"""),"triangle")</f>
        <v>triangle</v>
      </c>
      <c r="H718" s="1" t="s">
        <v>699</v>
      </c>
      <c r="I718" s="6" t="str">
        <f>IFERROR(__xludf.DUMMYFUNCTION("""COMPUTED_VALUE"""),"evolution")</f>
        <v>evolution</v>
      </c>
      <c r="P718" s="1" t="s">
        <v>3175</v>
      </c>
      <c r="S718" s="1" t="s">
        <v>2985</v>
      </c>
      <c r="T718" s="6" t="str">
        <f>IFERROR(__xludf.DUMMYFUNCTION("""COMPUTED_VALUE"""),"moonlight")</f>
        <v>moonlight</v>
      </c>
      <c r="W718" s="8"/>
      <c r="AF718" s="1" t="s">
        <v>3176</v>
      </c>
      <c r="AJ718" s="1" t="s">
        <v>714</v>
      </c>
      <c r="AM718" s="1" t="s">
        <v>168</v>
      </c>
    </row>
    <row r="719">
      <c r="E719" s="1" t="s">
        <v>2209</v>
      </c>
      <c r="F719" s="6" t="str">
        <f>IFERROR(__xludf.DUMMYFUNCTION("""COMPUTED_VALUE"""),"leon")</f>
        <v>leon</v>
      </c>
      <c r="H719" s="1" t="s">
        <v>1199</v>
      </c>
      <c r="I719" s="6" t="str">
        <f>IFERROR(__xludf.DUMMYFUNCTION("""COMPUTED_VALUE"""),"adolescents")</f>
        <v>adolescents</v>
      </c>
      <c r="P719" s="1" t="s">
        <v>1273</v>
      </c>
      <c r="S719" s="1" t="s">
        <v>3177</v>
      </c>
      <c r="T719" s="6" t="str">
        <f>IFERROR(__xludf.DUMMYFUNCTION("""COMPUTED_VALUE"""),"pianist")</f>
        <v>pianist</v>
      </c>
      <c r="W719" s="8"/>
      <c r="AF719" s="1" t="s">
        <v>3178</v>
      </c>
      <c r="AJ719" s="1" t="s">
        <v>1721</v>
      </c>
      <c r="AM719" s="1" t="s">
        <v>2699</v>
      </c>
    </row>
    <row r="720">
      <c r="E720" s="1" t="s">
        <v>2216</v>
      </c>
      <c r="F720" s="6" t="str">
        <f>IFERROR(__xludf.DUMMYFUNCTION("""COMPUTED_VALUE"""),"satirical")</f>
        <v>satirical</v>
      </c>
      <c r="H720" s="1" t="s">
        <v>1698</v>
      </c>
      <c r="I720" s="6" t="str">
        <f>IFERROR(__xludf.DUMMYFUNCTION("""COMPUTED_VALUE"""),"tired")</f>
        <v>tired</v>
      </c>
      <c r="P720" s="1" t="s">
        <v>114</v>
      </c>
      <c r="S720" s="1" t="s">
        <v>861</v>
      </c>
      <c r="T720" s="6" t="str">
        <f>IFERROR(__xludf.DUMMYFUNCTION("""COMPUTED_VALUE"""),"surgeon")</f>
        <v>surgeon</v>
      </c>
      <c r="W720" s="8"/>
      <c r="AF720" s="1" t="s">
        <v>3179</v>
      </c>
      <c r="AJ720" s="1" t="s">
        <v>3180</v>
      </c>
      <c r="AM720" s="1" t="s">
        <v>3181</v>
      </c>
    </row>
    <row r="721">
      <c r="E721" s="1" t="s">
        <v>628</v>
      </c>
      <c r="F721" s="6" t="str">
        <f>IFERROR(__xludf.DUMMYFUNCTION("""COMPUTED_VALUE"""),"pained")</f>
        <v>pained</v>
      </c>
      <c r="H721" s="1" t="s">
        <v>3182</v>
      </c>
      <c r="I721" s="6" t="str">
        <f>IFERROR(__xludf.DUMMYFUNCTION("""COMPUTED_VALUE"""),"scrutiny")</f>
        <v>scrutiny</v>
      </c>
      <c r="P721" s="1" t="s">
        <v>1696</v>
      </c>
      <c r="S721" s="1" t="s">
        <v>136</v>
      </c>
      <c r="T721" s="6" t="str">
        <f>IFERROR(__xludf.DUMMYFUNCTION("""COMPUTED_VALUE"""),"premise")</f>
        <v>premise</v>
      </c>
      <c r="W721" s="8"/>
      <c r="AF721" s="1" t="s">
        <v>3183</v>
      </c>
      <c r="AJ721" s="1" t="s">
        <v>3184</v>
      </c>
      <c r="AM721" s="1" t="s">
        <v>3185</v>
      </c>
    </row>
    <row r="722">
      <c r="E722" s="1" t="s">
        <v>2228</v>
      </c>
      <c r="F722" s="6" t="str">
        <f>IFERROR(__xludf.DUMMYFUNCTION("""COMPUTED_VALUE"""),"equivalent")</f>
        <v>equivalent</v>
      </c>
      <c r="H722" s="1" t="s">
        <v>2512</v>
      </c>
      <c r="I722" s="6" t="str">
        <f>IFERROR(__xludf.DUMMYFUNCTION("""COMPUTED_VALUE"""),"skin")</f>
        <v>skin</v>
      </c>
      <c r="P722" s="1" t="s">
        <v>3186</v>
      </c>
      <c r="S722" s="1" t="s">
        <v>1350</v>
      </c>
      <c r="T722" s="6" t="str">
        <f>IFERROR(__xludf.DUMMYFUNCTION("""COMPUTED_VALUE"""),"vein")</f>
        <v>vein</v>
      </c>
      <c r="W722" s="8"/>
      <c r="AF722" s="1" t="s">
        <v>3187</v>
      </c>
      <c r="AJ722" s="1" t="s">
        <v>2917</v>
      </c>
      <c r="AM722" s="1" t="s">
        <v>2703</v>
      </c>
    </row>
    <row r="723">
      <c r="E723" s="1" t="s">
        <v>3188</v>
      </c>
      <c r="F723" s="6" t="str">
        <f>IFERROR(__xludf.DUMMYFUNCTION("""COMPUTED_VALUE"""),"bracing")</f>
        <v>bracing</v>
      </c>
      <c r="H723" s="1" t="s">
        <v>1745</v>
      </c>
      <c r="I723" s="6" t="str">
        <f>IFERROR(__xludf.DUMMYFUNCTION("""COMPUTED_VALUE"""),"radiant")</f>
        <v>radiant</v>
      </c>
      <c r="P723" s="1" t="s">
        <v>3189</v>
      </c>
      <c r="S723" s="1" t="s">
        <v>3190</v>
      </c>
      <c r="T723" s="6" t="str">
        <f>IFERROR(__xludf.DUMMYFUNCTION("""COMPUTED_VALUE"""),"lush")</f>
        <v>lush</v>
      </c>
      <c r="W723" s="8"/>
      <c r="AF723" s="1" t="s">
        <v>3191</v>
      </c>
      <c r="AJ723" s="1" t="s">
        <v>3192</v>
      </c>
      <c r="AM723" s="1" t="s">
        <v>405</v>
      </c>
    </row>
    <row r="724">
      <c r="E724" s="1" t="s">
        <v>2223</v>
      </c>
      <c r="F724" s="6" t="str">
        <f>IFERROR(__xludf.DUMMYFUNCTION("""COMPUTED_VALUE"""),"secrets")</f>
        <v>secrets</v>
      </c>
      <c r="H724" s="1" t="s">
        <v>1773</v>
      </c>
      <c r="I724" s="6" t="str">
        <f>IFERROR(__xludf.DUMMYFUNCTION("""COMPUTED_VALUE"""),"escaped")</f>
        <v>escaped</v>
      </c>
      <c r="P724" s="1" t="s">
        <v>623</v>
      </c>
      <c r="S724" s="1" t="s">
        <v>3193</v>
      </c>
      <c r="T724" s="6" t="str">
        <f>IFERROR(__xludf.DUMMYFUNCTION("""COMPUTED_VALUE"""),"chase")</f>
        <v>chase</v>
      </c>
      <c r="W724" s="8"/>
      <c r="AF724" s="1" t="s">
        <v>3194</v>
      </c>
      <c r="AJ724" s="1" t="s">
        <v>3195</v>
      </c>
      <c r="AM724" s="1" t="s">
        <v>416</v>
      </c>
    </row>
    <row r="725">
      <c r="E725" s="1" t="s">
        <v>3196</v>
      </c>
      <c r="F725" s="6" t="str">
        <f>IFERROR(__xludf.DUMMYFUNCTION("""COMPUTED_VALUE"""),"motives")</f>
        <v>motives</v>
      </c>
      <c r="H725" s="1" t="s">
        <v>2517</v>
      </c>
      <c r="I725" s="6" t="str">
        <f>IFERROR(__xludf.DUMMYFUNCTION("""COMPUTED_VALUE"""),"kennedy")</f>
        <v>kennedy</v>
      </c>
      <c r="P725" s="1" t="s">
        <v>1292</v>
      </c>
      <c r="S725" s="1" t="s">
        <v>1918</v>
      </c>
      <c r="T725" s="6" t="str">
        <f>IFERROR(__xludf.DUMMYFUNCTION("""COMPUTED_VALUE"""),"martha")</f>
        <v>martha</v>
      </c>
      <c r="W725" s="8"/>
      <c r="AF725" s="1" t="s">
        <v>3197</v>
      </c>
      <c r="AJ725" s="1" t="s">
        <v>3198</v>
      </c>
      <c r="AM725" s="1" t="s">
        <v>2717</v>
      </c>
    </row>
    <row r="726">
      <c r="E726" s="1" t="s">
        <v>2226</v>
      </c>
      <c r="F726" s="6" t="str">
        <f>IFERROR(__xludf.DUMMYFUNCTION("""COMPUTED_VALUE"""),"sexy")</f>
        <v>sexy</v>
      </c>
      <c r="H726" s="1" t="s">
        <v>432</v>
      </c>
      <c r="I726" s="6" t="str">
        <f>IFERROR(__xludf.DUMMYFUNCTION("""COMPUTED_VALUE"""),"speculation")</f>
        <v>speculation</v>
      </c>
      <c r="P726" s="1" t="s">
        <v>3199</v>
      </c>
      <c r="S726" s="1" t="s">
        <v>3200</v>
      </c>
      <c r="T726" s="6" t="str">
        <f>IFERROR(__xludf.DUMMYFUNCTION("""COMPUTED_VALUE"""),"stewart")</f>
        <v>stewart</v>
      </c>
      <c r="W726" s="8"/>
      <c r="AF726" s="1" t="s">
        <v>3201</v>
      </c>
      <c r="AJ726" s="1" t="s">
        <v>3202</v>
      </c>
      <c r="AM726" s="1" t="s">
        <v>423</v>
      </c>
    </row>
    <row r="727">
      <c r="E727" s="1" t="s">
        <v>2230</v>
      </c>
      <c r="F727" s="6" t="str">
        <f>IFERROR(__xludf.DUMMYFUNCTION("""COMPUTED_VALUE"""),"magnetic")</f>
        <v>magnetic</v>
      </c>
      <c r="H727" s="1" t="s">
        <v>3203</v>
      </c>
      <c r="I727" s="6" t="str">
        <f>IFERROR(__xludf.DUMMYFUNCTION("""COMPUTED_VALUE"""),"assassination")</f>
        <v>assassination</v>
      </c>
      <c r="P727" s="1" t="s">
        <v>1250</v>
      </c>
      <c r="S727" s="1" t="s">
        <v>3204</v>
      </c>
      <c r="T727" s="6" t="str">
        <f>IFERROR(__xludf.DUMMYFUNCTION("""COMPUTED_VALUE"""),"rapid")</f>
        <v>rapid</v>
      </c>
      <c r="W727" s="8"/>
      <c r="AF727" s="1" t="s">
        <v>3205</v>
      </c>
      <c r="AJ727" s="1" t="s">
        <v>2926</v>
      </c>
      <c r="AM727" s="1" t="s">
        <v>1973</v>
      </c>
    </row>
    <row r="728">
      <c r="E728" s="1" t="s">
        <v>636</v>
      </c>
      <c r="F728" s="6" t="str">
        <f>IFERROR(__xludf.DUMMYFUNCTION("""COMPUTED_VALUE"""),"legacy")</f>
        <v>legacy</v>
      </c>
      <c r="H728" s="1" t="s">
        <v>1811</v>
      </c>
      <c r="I728" s="6" t="str">
        <f>IFERROR(__xludf.DUMMYFUNCTION("""COMPUTED_VALUE"""),"attempt")</f>
        <v>attempt</v>
      </c>
      <c r="P728" s="1" t="s">
        <v>3206</v>
      </c>
      <c r="S728" s="1" t="s">
        <v>3207</v>
      </c>
      <c r="T728" s="6" t="str">
        <f>IFERROR(__xludf.DUMMYFUNCTION("""COMPUTED_VALUE"""),"virtually")</f>
        <v>virtually</v>
      </c>
      <c r="W728" s="8"/>
      <c r="AF728" s="1" t="s">
        <v>3208</v>
      </c>
      <c r="AJ728" s="1" t="s">
        <v>2931</v>
      </c>
      <c r="AM728" s="1" t="s">
        <v>1978</v>
      </c>
    </row>
    <row r="729">
      <c r="E729" s="1" t="s">
        <v>985</v>
      </c>
      <c r="F729" s="6" t="str">
        <f>IFERROR(__xludf.DUMMYFUNCTION("""COMPUTED_VALUE"""),"lunatic")</f>
        <v>lunatic</v>
      </c>
      <c r="H729" s="1" t="s">
        <v>440</v>
      </c>
      <c r="I729" s="6" t="str">
        <f>IFERROR(__xludf.DUMMYFUNCTION("""COMPUTED_VALUE"""),"soundtrack")</f>
        <v>soundtrack</v>
      </c>
      <c r="P729" s="1" t="s">
        <v>3209</v>
      </c>
      <c r="S729" s="1" t="s">
        <v>2073</v>
      </c>
      <c r="T729" s="6" t="str">
        <f>IFERROR(__xludf.DUMMYFUNCTION("""COMPUTED_VALUE"""),"clever")</f>
        <v>clever</v>
      </c>
      <c r="W729" s="8"/>
      <c r="AF729" s="1" t="s">
        <v>3210</v>
      </c>
      <c r="AJ729" s="1" t="s">
        <v>3211</v>
      </c>
      <c r="AM729" s="1" t="s">
        <v>3212</v>
      </c>
    </row>
    <row r="730">
      <c r="E730" s="1" t="s">
        <v>2243</v>
      </c>
      <c r="F730" s="6" t="str">
        <f>IFERROR(__xludf.DUMMYFUNCTION("""COMPUTED_VALUE"""),"monstrous")</f>
        <v>monstrous</v>
      </c>
      <c r="H730" s="1" t="s">
        <v>2940</v>
      </c>
      <c r="I730" s="6" t="str">
        <f>IFERROR(__xludf.DUMMYFUNCTION("""COMPUTED_VALUE"""),"concepts")</f>
        <v>concepts</v>
      </c>
      <c r="P730" s="1" t="s">
        <v>2689</v>
      </c>
      <c r="S730" s="1" t="s">
        <v>2152</v>
      </c>
      <c r="T730" s="6" t="str">
        <f>IFERROR(__xludf.DUMMYFUNCTION("""COMPUTED_VALUE"""),"public")</f>
        <v>public</v>
      </c>
      <c r="W730" s="8"/>
      <c r="AF730" s="1" t="s">
        <v>3213</v>
      </c>
      <c r="AJ730" s="1" t="s">
        <v>3214</v>
      </c>
      <c r="AM730" s="1" t="s">
        <v>2412</v>
      </c>
    </row>
    <row r="731">
      <c r="E731" s="1" t="s">
        <v>3215</v>
      </c>
      <c r="F731" s="6" t="str">
        <f>IFERROR(__xludf.DUMMYFUNCTION("""COMPUTED_VALUE"""),"inherent")</f>
        <v>inherent</v>
      </c>
      <c r="H731" s="1" t="s">
        <v>1815</v>
      </c>
      <c r="I731" s="6" t="str">
        <f>IFERROR(__xludf.DUMMYFUNCTION("""COMPUTED_VALUE"""),"layers")</f>
        <v>layers</v>
      </c>
      <c r="P731" s="1" t="s">
        <v>3216</v>
      </c>
      <c r="S731" s="1" t="s">
        <v>3217</v>
      </c>
      <c r="T731" s="6" t="str">
        <f>IFERROR(__xludf.DUMMYFUNCTION("""COMPUTED_VALUE"""),"intense")</f>
        <v>intense</v>
      </c>
      <c r="W731" s="8"/>
      <c r="AF731" s="1" t="s">
        <v>1692</v>
      </c>
      <c r="AJ731" s="1" t="s">
        <v>1727</v>
      </c>
      <c r="AM731" s="1" t="s">
        <v>430</v>
      </c>
    </row>
    <row r="732">
      <c r="E732" s="1" t="s">
        <v>3218</v>
      </c>
      <c r="F732" s="6" t="str">
        <f>IFERROR(__xludf.DUMMYFUNCTION("""COMPUTED_VALUE"""),"ghosts")</f>
        <v>ghosts</v>
      </c>
      <c r="H732" s="1" t="s">
        <v>1756</v>
      </c>
      <c r="I732" s="6" t="str">
        <f>IFERROR(__xludf.DUMMYFUNCTION("""COMPUTED_VALUE"""),"deadly")</f>
        <v>deadly</v>
      </c>
      <c r="P732" s="1" t="s">
        <v>3219</v>
      </c>
      <c r="S732" s="1" t="s">
        <v>1353</v>
      </c>
      <c r="T732" s="6" t="str">
        <f>IFERROR(__xludf.DUMMYFUNCTION("""COMPUTED_VALUE"""),"sides")</f>
        <v>sides</v>
      </c>
      <c r="W732" s="8"/>
      <c r="AF732" s="1" t="s">
        <v>790</v>
      </c>
      <c r="AJ732" s="1" t="s">
        <v>3220</v>
      </c>
      <c r="AM732" s="1" t="s">
        <v>1984</v>
      </c>
    </row>
    <row r="733">
      <c r="E733" s="1" t="s">
        <v>643</v>
      </c>
      <c r="F733" s="6" t="str">
        <f>IFERROR(__xludf.DUMMYFUNCTION("""COMPUTED_VALUE"""),"praises")</f>
        <v>praises</v>
      </c>
      <c r="H733" s="1" t="s">
        <v>2534</v>
      </c>
      <c r="I733" s="6" t="str">
        <f>IFERROR(__xludf.DUMMYFUNCTION("""COMPUTED_VALUE"""),"chords")</f>
        <v>chords</v>
      </c>
      <c r="P733" s="1" t="s">
        <v>1927</v>
      </c>
      <c r="S733" s="1" t="s">
        <v>3221</v>
      </c>
      <c r="T733" s="6" t="str">
        <f>IFERROR(__xludf.DUMMYFUNCTION("""COMPUTED_VALUE"""),"underneath")</f>
        <v>underneath</v>
      </c>
      <c r="W733" s="8"/>
      <c r="AF733" s="1" t="s">
        <v>1700</v>
      </c>
      <c r="AJ733" s="1" t="s">
        <v>3222</v>
      </c>
      <c r="AM733" s="1" t="s">
        <v>503</v>
      </c>
    </row>
    <row r="734">
      <c r="E734" s="1" t="s">
        <v>648</v>
      </c>
      <c r="F734" s="6" t="str">
        <f>IFERROR(__xludf.DUMMYFUNCTION("""COMPUTED_VALUE"""),"destiny")</f>
        <v>destiny</v>
      </c>
      <c r="H734" s="1" t="s">
        <v>2950</v>
      </c>
      <c r="I734" s="6" t="str">
        <f>IFERROR(__xludf.DUMMYFUNCTION("""COMPUTED_VALUE"""),"striking")</f>
        <v>striking</v>
      </c>
      <c r="P734" s="1" t="s">
        <v>3223</v>
      </c>
      <c r="S734" s="1" t="s">
        <v>3224</v>
      </c>
      <c r="T734" s="6" t="str">
        <f>IFERROR(__xludf.DUMMYFUNCTION("""COMPUTED_VALUE"""),"deeper")</f>
        <v>deeper</v>
      </c>
      <c r="W734" s="8"/>
      <c r="AF734" s="1" t="s">
        <v>3225</v>
      </c>
      <c r="AJ734" s="1" t="s">
        <v>3226</v>
      </c>
      <c r="AM734" s="1" t="s">
        <v>2532</v>
      </c>
    </row>
    <row r="735">
      <c r="E735" s="1" t="s">
        <v>2253</v>
      </c>
      <c r="F735" s="6" t="str">
        <f>IFERROR(__xludf.DUMMYFUNCTION("""COMPUTED_VALUE"""),"ecological")</f>
        <v>ecological</v>
      </c>
      <c r="H735" s="1" t="s">
        <v>2955</v>
      </c>
      <c r="I735" s="6" t="str">
        <f>IFERROR(__xludf.DUMMYFUNCTION("""COMPUTED_VALUE"""),"impressive")</f>
        <v>impressive</v>
      </c>
      <c r="P735" s="1" t="s">
        <v>3227</v>
      </c>
      <c r="S735" s="1" t="s">
        <v>621</v>
      </c>
      <c r="T735" s="6" t="str">
        <f>IFERROR(__xludf.DUMMYFUNCTION("""COMPUTED_VALUE"""),"faithful")</f>
        <v>faithful</v>
      </c>
      <c r="W735" s="8"/>
      <c r="AF735" s="1" t="s">
        <v>3228</v>
      </c>
      <c r="AJ735" s="1" t="s">
        <v>911</v>
      </c>
      <c r="AM735" s="1" t="s">
        <v>1986</v>
      </c>
    </row>
    <row r="736">
      <c r="E736" s="1" t="s">
        <v>975</v>
      </c>
      <c r="F736" s="6" t="str">
        <f>IFERROR(__xludf.DUMMYFUNCTION("""COMPUTED_VALUE"""),"suitable")</f>
        <v>suitable</v>
      </c>
      <c r="H736" s="1" t="s">
        <v>705</v>
      </c>
      <c r="I736" s="6" t="str">
        <f>IFERROR(__xludf.DUMMYFUNCTION("""COMPUTED_VALUE"""),"reminiscent")</f>
        <v>reminiscent</v>
      </c>
      <c r="P736" s="1" t="s">
        <v>3229</v>
      </c>
      <c r="S736" s="1" t="s">
        <v>1657</v>
      </c>
      <c r="T736" s="6" t="str">
        <f>IFERROR(__xludf.DUMMYFUNCTION("""COMPUTED_VALUE"""),"exaggerated")</f>
        <v>exaggerated</v>
      </c>
      <c r="W736" s="8"/>
      <c r="AF736" s="1" t="s">
        <v>3230</v>
      </c>
      <c r="AJ736" s="1" t="s">
        <v>1741</v>
      </c>
      <c r="AM736" s="1" t="s">
        <v>2737</v>
      </c>
    </row>
    <row r="737">
      <c r="E737" s="1" t="s">
        <v>2257</v>
      </c>
      <c r="F737" s="6" t="str">
        <f>IFERROR(__xludf.DUMMYFUNCTION("""COMPUTED_VALUE"""),"sociological")</f>
        <v>sociological</v>
      </c>
      <c r="H737" s="1" t="s">
        <v>2539</v>
      </c>
      <c r="I737" s="6" t="str">
        <f>IFERROR(__xludf.DUMMYFUNCTION("""COMPUTED_VALUE"""),"biography")</f>
        <v>biography</v>
      </c>
      <c r="P737" s="1" t="s">
        <v>3231</v>
      </c>
      <c r="S737" s="1" t="s">
        <v>2167</v>
      </c>
      <c r="T737" s="6" t="str">
        <f>IFERROR(__xludf.DUMMYFUNCTION("""COMPUTED_VALUE"""),"yarn")</f>
        <v>yarn</v>
      </c>
      <c r="W737" s="8"/>
      <c r="AF737" s="1" t="s">
        <v>3232</v>
      </c>
      <c r="AJ737" s="1" t="s">
        <v>3233</v>
      </c>
      <c r="AM737" s="1" t="s">
        <v>2740</v>
      </c>
    </row>
    <row r="738">
      <c r="E738" s="1" t="s">
        <v>533</v>
      </c>
      <c r="F738" s="6" t="str">
        <f>IFERROR(__xludf.DUMMYFUNCTION("""COMPUTED_VALUE"""),"innovation")</f>
        <v>innovation</v>
      </c>
      <c r="H738" s="1" t="s">
        <v>110</v>
      </c>
      <c r="I738" s="6" t="str">
        <f>IFERROR(__xludf.DUMMYFUNCTION("""COMPUTED_VALUE"""),"narrator")</f>
        <v>narrator</v>
      </c>
      <c r="P738" s="1" t="s">
        <v>2902</v>
      </c>
      <c r="S738" s="1" t="s">
        <v>3234</v>
      </c>
      <c r="T738" s="6" t="str">
        <f>IFERROR(__xludf.DUMMYFUNCTION("""COMPUTED_VALUE"""),"bite")</f>
        <v>bite</v>
      </c>
      <c r="W738" s="8"/>
      <c r="AF738" s="1" t="s">
        <v>3235</v>
      </c>
      <c r="AJ738" s="1" t="s">
        <v>3236</v>
      </c>
      <c r="AM738" s="1" t="s">
        <v>2743</v>
      </c>
    </row>
    <row r="739">
      <c r="E739" s="1" t="s">
        <v>2045</v>
      </c>
      <c r="F739" s="6" t="str">
        <f>IFERROR(__xludf.DUMMYFUNCTION("""COMPUTED_VALUE"""),"glaring")</f>
        <v>glaring</v>
      </c>
      <c r="H739" s="1" t="s">
        <v>1761</v>
      </c>
      <c r="I739" s="6" t="str">
        <f>IFERROR(__xludf.DUMMYFUNCTION("""COMPUTED_VALUE"""),"animation")</f>
        <v>animation</v>
      </c>
      <c r="P739" s="1" t="s">
        <v>3237</v>
      </c>
      <c r="S739" s="1" t="s">
        <v>3238</v>
      </c>
      <c r="T739" s="6" t="str">
        <f>IFERROR(__xludf.DUMMYFUNCTION("""COMPUTED_VALUE"""),"punishment")</f>
        <v>punishment</v>
      </c>
      <c r="W739" s="8"/>
      <c r="AF739" s="1" t="s">
        <v>3239</v>
      </c>
      <c r="AJ739" s="1" t="s">
        <v>3240</v>
      </c>
      <c r="AM739" s="1" t="s">
        <v>1963</v>
      </c>
    </row>
    <row r="740">
      <c r="E740" s="1" t="s">
        <v>1002</v>
      </c>
      <c r="F740" s="6" t="str">
        <f>IFERROR(__xludf.DUMMYFUNCTION("""COMPUTED_VALUE"""),"violent")</f>
        <v>violent</v>
      </c>
      <c r="H740" s="1" t="s">
        <v>452</v>
      </c>
      <c r="I740" s="6" t="str">
        <f>IFERROR(__xludf.DUMMYFUNCTION("""COMPUTED_VALUE"""),"heroine")</f>
        <v>heroine</v>
      </c>
      <c r="P740" s="1" t="s">
        <v>3241</v>
      </c>
      <c r="S740" s="1" t="s">
        <v>1395</v>
      </c>
      <c r="T740" s="6" t="str">
        <f>IFERROR(__xludf.DUMMYFUNCTION("""COMPUTED_VALUE"""),"today")</f>
        <v>today</v>
      </c>
      <c r="W740" s="8"/>
      <c r="AF740" s="1" t="s">
        <v>3242</v>
      </c>
      <c r="AJ740" s="1" t="s">
        <v>1746</v>
      </c>
      <c r="AM740" s="1" t="s">
        <v>3243</v>
      </c>
    </row>
    <row r="741">
      <c r="E741" s="1" t="s">
        <v>2264</v>
      </c>
      <c r="F741" s="6" t="str">
        <f>IFERROR(__xludf.DUMMYFUNCTION("""COMPUTED_VALUE"""),"vulgar")</f>
        <v>vulgar</v>
      </c>
      <c r="H741" s="1" t="s">
        <v>696</v>
      </c>
      <c r="I741" s="6" t="str">
        <f>IFERROR(__xludf.DUMMYFUNCTION("""COMPUTED_VALUE"""),"dramatically")</f>
        <v>dramatically</v>
      </c>
      <c r="P741" s="1" t="s">
        <v>781</v>
      </c>
      <c r="S741" s="1" t="s">
        <v>3244</v>
      </c>
      <c r="T741" s="6" t="str">
        <f>IFERROR(__xludf.DUMMYFUNCTION("""COMPUTED_VALUE"""),"grotesque")</f>
        <v>grotesque</v>
      </c>
      <c r="W741" s="8"/>
      <c r="AF741" s="1" t="s">
        <v>3245</v>
      </c>
      <c r="AJ741" s="1" t="s">
        <v>3246</v>
      </c>
      <c r="AM741" s="1" t="s">
        <v>1364</v>
      </c>
    </row>
    <row r="742">
      <c r="E742" s="1" t="s">
        <v>2266</v>
      </c>
      <c r="F742" s="6" t="str">
        <f>IFERROR(__xludf.DUMMYFUNCTION("""COMPUTED_VALUE"""),"pokemon")</f>
        <v>pokemon</v>
      </c>
      <c r="H742" s="1" t="s">
        <v>351</v>
      </c>
      <c r="I742" s="6" t="str">
        <f>IFERROR(__xludf.DUMMYFUNCTION("""COMPUTED_VALUE"""),"compassionate")</f>
        <v>compassionate</v>
      </c>
      <c r="P742" s="1" t="s">
        <v>3247</v>
      </c>
      <c r="S742" s="1" t="s">
        <v>2044</v>
      </c>
      <c r="T742" s="6" t="str">
        <f>IFERROR(__xludf.DUMMYFUNCTION("""COMPUTED_VALUE"""),"stanley")</f>
        <v>stanley</v>
      </c>
      <c r="W742" s="8"/>
      <c r="AF742" s="1" t="s">
        <v>3248</v>
      </c>
      <c r="AJ742" s="1" t="s">
        <v>2970</v>
      </c>
      <c r="AM742" s="1" t="s">
        <v>1989</v>
      </c>
    </row>
    <row r="743">
      <c r="E743" s="1" t="s">
        <v>1007</v>
      </c>
      <c r="F743" s="6" t="str">
        <f>IFERROR(__xludf.DUMMYFUNCTION("""COMPUTED_VALUE"""),"incorporates")</f>
        <v>incorporates</v>
      </c>
      <c r="H743" s="1" t="s">
        <v>459</v>
      </c>
      <c r="I743" s="6" t="str">
        <f>IFERROR(__xludf.DUMMYFUNCTION("""COMPUTED_VALUE"""),"timeless")</f>
        <v>timeless</v>
      </c>
      <c r="P743" s="1" t="s">
        <v>758</v>
      </c>
      <c r="S743" s="1" t="s">
        <v>3243</v>
      </c>
      <c r="T743" s="6" t="str">
        <f>IFERROR(__xludf.DUMMYFUNCTION("""COMPUTED_VALUE"""),"wore")</f>
        <v>wore</v>
      </c>
      <c r="W743" s="8"/>
      <c r="AF743" s="1" t="s">
        <v>3249</v>
      </c>
      <c r="AJ743" s="1" t="s">
        <v>3250</v>
      </c>
      <c r="AM743" s="1" t="s">
        <v>1274</v>
      </c>
    </row>
    <row r="744">
      <c r="E744" s="1" t="s">
        <v>3011</v>
      </c>
      <c r="F744" s="6" t="str">
        <f>IFERROR(__xludf.DUMMYFUNCTION("""COMPUTED_VALUE"""),"transporting")</f>
        <v>transporting</v>
      </c>
      <c r="H744" s="1" t="s">
        <v>2553</v>
      </c>
      <c r="I744" s="6" t="str">
        <f>IFERROR(__xludf.DUMMYFUNCTION("""COMPUTED_VALUE"""),"grace")</f>
        <v>grace</v>
      </c>
      <c r="P744" s="1" t="s">
        <v>1342</v>
      </c>
      <c r="S744" s="1" t="s">
        <v>3251</v>
      </c>
      <c r="T744" s="6" t="str">
        <f>IFERROR(__xludf.DUMMYFUNCTION("""COMPUTED_VALUE"""),"me")</f>
        <v>me</v>
      </c>
      <c r="W744" s="8"/>
      <c r="AF744" s="1" t="s">
        <v>3252</v>
      </c>
      <c r="AJ744" s="1" t="s">
        <v>1098</v>
      </c>
      <c r="AM744" s="1" t="s">
        <v>3253</v>
      </c>
    </row>
    <row r="745">
      <c r="E745" s="1" t="s">
        <v>1014</v>
      </c>
      <c r="F745" s="6" t="str">
        <f>IFERROR(__xludf.DUMMYFUNCTION("""COMPUTED_VALUE"""),"diaz")</f>
        <v>diaz</v>
      </c>
      <c r="H745" s="1" t="s">
        <v>2557</v>
      </c>
      <c r="I745" s="6" t="str">
        <f>IFERROR(__xludf.DUMMYFUNCTION("""COMPUTED_VALUE"""),"eastern")</f>
        <v>eastern</v>
      </c>
      <c r="P745" s="1" t="s">
        <v>2550</v>
      </c>
      <c r="S745" s="1" t="s">
        <v>3254</v>
      </c>
      <c r="T745" s="6" t="str">
        <f>IFERROR(__xludf.DUMMYFUNCTION("""COMPUTED_VALUE"""),"recognizable")</f>
        <v>recognizable</v>
      </c>
      <c r="W745" s="8"/>
      <c r="AF745" s="1" t="s">
        <v>3255</v>
      </c>
      <c r="AJ745" s="1" t="s">
        <v>919</v>
      </c>
      <c r="AM745" s="1" t="s">
        <v>3256</v>
      </c>
    </row>
    <row r="746">
      <c r="E746" s="1" t="s">
        <v>1024</v>
      </c>
      <c r="F746" s="6" t="str">
        <f>IFERROR(__xludf.DUMMYFUNCTION("""COMPUTED_VALUE"""),"belongs")</f>
        <v>belongs</v>
      </c>
      <c r="H746" s="1" t="s">
        <v>2559</v>
      </c>
      <c r="I746" s="6" t="str">
        <f>IFERROR(__xludf.DUMMYFUNCTION("""COMPUTED_VALUE"""),"humane")</f>
        <v>humane</v>
      </c>
      <c r="P746" s="1" t="s">
        <v>3257</v>
      </c>
      <c r="S746" s="1" t="s">
        <v>2463</v>
      </c>
      <c r="T746" s="6" t="str">
        <f>IFERROR(__xludf.DUMMYFUNCTION("""COMPUTED_VALUE"""),"presents")</f>
        <v>presents</v>
      </c>
      <c r="W746" s="8"/>
      <c r="AF746" s="1" t="s">
        <v>3258</v>
      </c>
      <c r="AJ746" s="1" t="s">
        <v>925</v>
      </c>
      <c r="AM746" s="1" t="s">
        <v>1971</v>
      </c>
    </row>
    <row r="747">
      <c r="E747" s="1" t="s">
        <v>3259</v>
      </c>
      <c r="F747" s="6" t="str">
        <f>IFERROR(__xludf.DUMMYFUNCTION("""COMPUTED_VALUE"""),"jacques")</f>
        <v>jacques</v>
      </c>
      <c r="H747" s="1" t="s">
        <v>719</v>
      </c>
      <c r="I747" s="6" t="str">
        <f>IFERROR(__xludf.DUMMYFUNCTION("""COMPUTED_VALUE"""),"neither")</f>
        <v>neither</v>
      </c>
      <c r="P747" s="1" t="s">
        <v>3260</v>
      </c>
      <c r="S747" s="1" t="s">
        <v>3261</v>
      </c>
      <c r="T747" s="6" t="str">
        <f>IFERROR(__xludf.DUMMYFUNCTION("""COMPUTED_VALUE"""),"trademark")</f>
        <v>trademark</v>
      </c>
      <c r="W747" s="8"/>
      <c r="AF747" s="1" t="s">
        <v>3262</v>
      </c>
      <c r="AJ747" s="1" t="s">
        <v>3263</v>
      </c>
      <c r="AM747" s="1" t="s">
        <v>2765</v>
      </c>
    </row>
    <row r="748">
      <c r="E748" s="1" t="s">
        <v>1029</v>
      </c>
      <c r="F748" s="6" t="str">
        <f>IFERROR(__xludf.DUMMYFUNCTION("""COMPUTED_VALUE"""),"diversion")</f>
        <v>diversion</v>
      </c>
      <c r="H748" s="1" t="s">
        <v>512</v>
      </c>
      <c r="I748" s="6" t="str">
        <f>IFERROR(__xludf.DUMMYFUNCTION("""COMPUTED_VALUE"""),"entertain")</f>
        <v>entertain</v>
      </c>
      <c r="P748" s="1" t="s">
        <v>3264</v>
      </c>
      <c r="S748" s="1" t="s">
        <v>3265</v>
      </c>
      <c r="T748" s="6" t="str">
        <f>IFERROR(__xludf.DUMMYFUNCTION("""COMPUTED_VALUE"""),"capable")</f>
        <v>capable</v>
      </c>
      <c r="W748" s="8"/>
      <c r="AF748" s="1" t="s">
        <v>3266</v>
      </c>
      <c r="AJ748" s="1" t="s">
        <v>3267</v>
      </c>
      <c r="AM748" s="1" t="s">
        <v>1995</v>
      </c>
    </row>
    <row r="749">
      <c r="E749" s="1" t="s">
        <v>747</v>
      </c>
      <c r="F749" s="6" t="str">
        <f>IFERROR(__xludf.DUMMYFUNCTION("""COMPUTED_VALUE"""),"freaks")</f>
        <v>freaks</v>
      </c>
      <c r="H749" s="1" t="s">
        <v>2991</v>
      </c>
      <c r="I749" s="6" t="str">
        <f>IFERROR(__xludf.DUMMYFUNCTION("""COMPUTED_VALUE"""),"provocative")</f>
        <v>provocative</v>
      </c>
      <c r="P749" s="1" t="s">
        <v>3268</v>
      </c>
      <c r="S749" s="1" t="s">
        <v>3269</v>
      </c>
      <c r="T749" s="6" t="str">
        <f>IFERROR(__xludf.DUMMYFUNCTION("""COMPUTED_VALUE"""),"stylistic")</f>
        <v>stylistic</v>
      </c>
      <c r="W749" s="8"/>
      <c r="AF749" s="1" t="s">
        <v>3270</v>
      </c>
      <c r="AJ749" s="1" t="s">
        <v>1758</v>
      </c>
      <c r="AM749" s="1" t="s">
        <v>3271</v>
      </c>
    </row>
    <row r="750">
      <c r="E750" s="1" t="s">
        <v>2277</v>
      </c>
      <c r="F750" s="6" t="str">
        <f>IFERROR(__xludf.DUMMYFUNCTION("""COMPUTED_VALUE"""),"legged")</f>
        <v>legged</v>
      </c>
      <c r="H750" s="1" t="s">
        <v>358</v>
      </c>
      <c r="I750" s="6" t="str">
        <f>IFERROR(__xludf.DUMMYFUNCTION("""COMPUTED_VALUE"""),"longest")</f>
        <v>longest</v>
      </c>
      <c r="P750" s="1" t="s">
        <v>3272</v>
      </c>
      <c r="S750" s="1" t="s">
        <v>3273</v>
      </c>
      <c r="T750" s="6" t="str">
        <f>IFERROR(__xludf.DUMMYFUNCTION("""COMPUTED_VALUE"""),"layered")</f>
        <v>layered</v>
      </c>
      <c r="W750" s="8"/>
      <c r="AF750" s="1" t="s">
        <v>3274</v>
      </c>
      <c r="AJ750" s="1" t="s">
        <v>2983</v>
      </c>
      <c r="AM750" s="1">
        <v>1984.0</v>
      </c>
    </row>
    <row r="751">
      <c r="E751" s="1" t="s">
        <v>655</v>
      </c>
      <c r="F751" s="6" t="str">
        <f>IFERROR(__xludf.DUMMYFUNCTION("""COMPUTED_VALUE"""),"bonds")</f>
        <v>bonds</v>
      </c>
      <c r="H751" s="1" t="s">
        <v>2570</v>
      </c>
      <c r="I751" s="6" t="str">
        <f>IFERROR(__xludf.DUMMYFUNCTION("""COMPUTED_VALUE"""),"mean")</f>
        <v>mean</v>
      </c>
      <c r="P751" s="1" t="s">
        <v>3275</v>
      </c>
      <c r="S751" s="1" t="s">
        <v>1365</v>
      </c>
      <c r="T751" s="6" t="str">
        <f>IFERROR(__xludf.DUMMYFUNCTION("""COMPUTED_VALUE"""),"daring")</f>
        <v>daring</v>
      </c>
      <c r="W751" s="8"/>
      <c r="AF751" s="1" t="s">
        <v>3276</v>
      </c>
      <c r="AJ751" s="1" t="s">
        <v>535</v>
      </c>
      <c r="AM751" s="1" t="s">
        <v>3277</v>
      </c>
    </row>
    <row r="752">
      <c r="E752" s="1" t="s">
        <v>541</v>
      </c>
      <c r="F752" s="6" t="str">
        <f>IFERROR(__xludf.DUMMYFUNCTION("""COMPUTED_VALUE"""),"anatomical")</f>
        <v>anatomical</v>
      </c>
      <c r="H752" s="1" t="s">
        <v>467</v>
      </c>
      <c r="I752" s="6" t="str">
        <f>IFERROR(__xludf.DUMMYFUNCTION("""COMPUTED_VALUE"""),"sharp")</f>
        <v>sharp</v>
      </c>
      <c r="P752" s="1" t="s">
        <v>1352</v>
      </c>
      <c r="S752" s="1" t="s">
        <v>2343</v>
      </c>
      <c r="T752" s="6" t="str">
        <f>IFERROR(__xludf.DUMMYFUNCTION("""COMPUTED_VALUE"""),"wo")</f>
        <v>wo</v>
      </c>
      <c r="W752" s="8"/>
      <c r="AF752" s="1" t="s">
        <v>3278</v>
      </c>
      <c r="AJ752" s="1" t="s">
        <v>3279</v>
      </c>
      <c r="AM752" s="1" t="s">
        <v>460</v>
      </c>
    </row>
    <row r="753">
      <c r="E753" s="1" t="s">
        <v>649</v>
      </c>
      <c r="F753" s="6" t="str">
        <f>IFERROR(__xludf.DUMMYFUNCTION("""COMPUTED_VALUE"""),"rely")</f>
        <v>rely</v>
      </c>
      <c r="H753" s="1" t="s">
        <v>1848</v>
      </c>
      <c r="I753" s="6" t="str">
        <f>IFERROR(__xludf.DUMMYFUNCTION("""COMPUTED_VALUE"""),"discourse")</f>
        <v>discourse</v>
      </c>
      <c r="P753" s="1" t="s">
        <v>3280</v>
      </c>
      <c r="S753" s="1" t="s">
        <v>3281</v>
      </c>
      <c r="T753" s="6" t="str">
        <f>IFERROR(__xludf.DUMMYFUNCTION("""COMPUTED_VALUE"""),"convey")</f>
        <v>convey</v>
      </c>
      <c r="W753" s="8"/>
      <c r="AF753" s="1" t="s">
        <v>3282</v>
      </c>
      <c r="AJ753" s="1" t="s">
        <v>1132</v>
      </c>
      <c r="AM753" s="1" t="s">
        <v>1981</v>
      </c>
    </row>
    <row r="754">
      <c r="E754" s="1" t="s">
        <v>2292</v>
      </c>
      <c r="F754" s="6" t="str">
        <f>IFERROR(__xludf.DUMMYFUNCTION("""COMPUTED_VALUE"""),"elegant")</f>
        <v>elegant</v>
      </c>
      <c r="H754" s="1" t="s">
        <v>1796</v>
      </c>
      <c r="I754" s="6" t="str">
        <f>IFERROR(__xludf.DUMMYFUNCTION("""COMPUTED_VALUE"""),"distinctive")</f>
        <v>distinctive</v>
      </c>
      <c r="P754" s="1" t="s">
        <v>3283</v>
      </c>
      <c r="S754" s="1" t="s">
        <v>3284</v>
      </c>
      <c r="T754" s="6" t="str">
        <f>IFERROR(__xludf.DUMMYFUNCTION("""COMPUTED_VALUE"""),"spanning")</f>
        <v>spanning</v>
      </c>
      <c r="W754" s="8"/>
      <c r="AF754" s="1" t="s">
        <v>3285</v>
      </c>
      <c r="AJ754" s="1" t="s">
        <v>930</v>
      </c>
      <c r="AM754" s="1" t="s">
        <v>1985</v>
      </c>
    </row>
    <row r="755">
      <c r="E755" s="1" t="s">
        <v>665</v>
      </c>
      <c r="F755" s="6" t="str">
        <f>IFERROR(__xludf.DUMMYFUNCTION("""COMPUTED_VALUE"""),"majors")</f>
        <v>majors</v>
      </c>
      <c r="H755" s="1" t="s">
        <v>1506</v>
      </c>
      <c r="I755" s="6" t="str">
        <f>IFERROR(__xludf.DUMMYFUNCTION("""COMPUTED_VALUE"""),"demonstrate")</f>
        <v>demonstrate</v>
      </c>
      <c r="P755" s="1" t="s">
        <v>1356</v>
      </c>
      <c r="S755" s="1" t="s">
        <v>3286</v>
      </c>
      <c r="T755" s="6" t="str">
        <f>IFERROR(__xludf.DUMMYFUNCTION("""COMPUTED_VALUE"""),"emerge")</f>
        <v>emerge</v>
      </c>
      <c r="W755" s="8"/>
      <c r="AF755" s="1" t="s">
        <v>3287</v>
      </c>
      <c r="AJ755" s="1" t="s">
        <v>707</v>
      </c>
      <c r="AM755" s="1" t="s">
        <v>2777</v>
      </c>
    </row>
    <row r="756">
      <c r="E756" s="1" t="s">
        <v>427</v>
      </c>
      <c r="F756" s="6" t="str">
        <f>IFERROR(__xludf.DUMMYFUNCTION("""COMPUTED_VALUE"""),"governments")</f>
        <v>governments</v>
      </c>
      <c r="H756" s="1" t="s">
        <v>1788</v>
      </c>
      <c r="I756" s="6" t="str">
        <f>IFERROR(__xludf.DUMMYFUNCTION("""COMPUTED_VALUE"""),"blown")</f>
        <v>blown</v>
      </c>
      <c r="P756" s="1" t="s">
        <v>3288</v>
      </c>
      <c r="S756" s="1" t="s">
        <v>3289</v>
      </c>
      <c r="T756" s="6" t="str">
        <f>IFERROR(__xludf.DUMMYFUNCTION("""COMPUTED_VALUE"""),"say")</f>
        <v>say</v>
      </c>
      <c r="W756" s="8"/>
      <c r="AF756" s="1" t="s">
        <v>3290</v>
      </c>
      <c r="AJ756" s="1" t="s">
        <v>2996</v>
      </c>
      <c r="AM756" s="1" t="s">
        <v>482</v>
      </c>
    </row>
    <row r="757">
      <c r="E757" s="1" t="s">
        <v>715</v>
      </c>
      <c r="F757" s="6" t="str">
        <f>IFERROR(__xludf.DUMMYFUNCTION("""COMPUTED_VALUE"""),"reconstruction")</f>
        <v>reconstruction</v>
      </c>
      <c r="H757" s="1" t="s">
        <v>3291</v>
      </c>
      <c r="I757" s="6" t="str">
        <f>IFERROR(__xludf.DUMMYFUNCTION("""COMPUTED_VALUE"""),"discipline")</f>
        <v>discipline</v>
      </c>
      <c r="P757" s="1" t="s">
        <v>3292</v>
      </c>
      <c r="S757" s="1" t="s">
        <v>3293</v>
      </c>
      <c r="T757" s="6" t="str">
        <f>IFERROR(__xludf.DUMMYFUNCTION("""COMPUTED_VALUE"""),"movements")</f>
        <v>movements</v>
      </c>
      <c r="W757" s="8"/>
      <c r="AF757" s="1" t="s">
        <v>1705</v>
      </c>
      <c r="AJ757" s="1" t="s">
        <v>3294</v>
      </c>
      <c r="AM757" s="1" t="s">
        <v>510</v>
      </c>
    </row>
    <row r="758">
      <c r="E758" s="1" t="s">
        <v>2306</v>
      </c>
      <c r="F758" s="6" t="str">
        <f>IFERROR(__xludf.DUMMYFUNCTION("""COMPUTED_VALUE"""),"episode")</f>
        <v>episode</v>
      </c>
      <c r="H758" s="1" t="s">
        <v>1239</v>
      </c>
      <c r="I758" s="6" t="str">
        <f>IFERROR(__xludf.DUMMYFUNCTION("""COMPUTED_VALUE"""),"jackson")</f>
        <v>jackson</v>
      </c>
      <c r="P758" s="1" t="s">
        <v>3295</v>
      </c>
      <c r="S758" s="1" t="s">
        <v>3296</v>
      </c>
      <c r="T758" s="6" t="str">
        <f>IFERROR(__xludf.DUMMYFUNCTION("""COMPUTED_VALUE"""),"evolution")</f>
        <v>evolution</v>
      </c>
      <c r="W758" s="8"/>
      <c r="AF758" s="1" t="s">
        <v>3297</v>
      </c>
      <c r="AJ758" s="1" t="s">
        <v>3298</v>
      </c>
      <c r="AM758" s="1" t="s">
        <v>1990</v>
      </c>
    </row>
    <row r="759">
      <c r="E759" s="1" t="s">
        <v>3299</v>
      </c>
      <c r="F759" s="6" t="str">
        <f>IFERROR(__xludf.DUMMYFUNCTION("""COMPUTED_VALUE"""),"opaque")</f>
        <v>opaque</v>
      </c>
      <c r="H759" s="1" t="s">
        <v>3300</v>
      </c>
      <c r="I759" s="6" t="str">
        <f>IFERROR(__xludf.DUMMYFUNCTION("""COMPUTED_VALUE"""),"aims")</f>
        <v>aims</v>
      </c>
      <c r="P759" s="1" t="s">
        <v>3301</v>
      </c>
      <c r="S759" s="1" t="s">
        <v>3302</v>
      </c>
      <c r="T759" s="6" t="str">
        <f>IFERROR(__xludf.DUMMYFUNCTION("""COMPUTED_VALUE"""),"tired")</f>
        <v>tired</v>
      </c>
      <c r="W759" s="8"/>
      <c r="AF759" s="1" t="s">
        <v>3303</v>
      </c>
      <c r="AJ759" s="1" t="s">
        <v>1772</v>
      </c>
      <c r="AM759" s="1" t="s">
        <v>1999</v>
      </c>
    </row>
    <row r="760">
      <c r="E760" s="1" t="s">
        <v>3304</v>
      </c>
      <c r="F760" s="6" t="str">
        <f>IFERROR(__xludf.DUMMYFUNCTION("""COMPUTED_VALUE"""),"artificial")</f>
        <v>artificial</v>
      </c>
      <c r="H760" s="1" t="s">
        <v>1853</v>
      </c>
      <c r="I760" s="6" t="str">
        <f>IFERROR(__xludf.DUMMYFUNCTION("""COMPUTED_VALUE"""),"visual")</f>
        <v>visual</v>
      </c>
      <c r="P760" s="1" t="s">
        <v>1368</v>
      </c>
      <c r="S760" s="1" t="s">
        <v>3305</v>
      </c>
      <c r="T760" s="6" t="str">
        <f>IFERROR(__xludf.DUMMYFUNCTION("""COMPUTED_VALUE"""),"escape")</f>
        <v>escape</v>
      </c>
      <c r="W760" s="8"/>
      <c r="AF760" s="1" t="s">
        <v>3306</v>
      </c>
      <c r="AJ760" s="1" t="s">
        <v>3307</v>
      </c>
      <c r="AM760" s="1" t="s">
        <v>1996</v>
      </c>
    </row>
    <row r="761">
      <c r="E761" s="1" t="s">
        <v>674</v>
      </c>
      <c r="F761" s="6" t="str">
        <f>IFERROR(__xludf.DUMMYFUNCTION("""COMPUTED_VALUE"""),"demons")</f>
        <v>demons</v>
      </c>
      <c r="H761" s="1" t="s">
        <v>3308</v>
      </c>
      <c r="I761" s="6" t="str">
        <f>IFERROR(__xludf.DUMMYFUNCTION("""COMPUTED_VALUE"""),"close")</f>
        <v>close</v>
      </c>
      <c r="P761" s="1" t="s">
        <v>3309</v>
      </c>
      <c r="S761" s="1" t="s">
        <v>3310</v>
      </c>
      <c r="T761" s="6" t="str">
        <f>IFERROR(__xludf.DUMMYFUNCTION("""COMPUTED_VALUE"""),"skin")</f>
        <v>skin</v>
      </c>
      <c r="W761" s="8"/>
      <c r="AF761" s="1">
        <v>1962.0</v>
      </c>
      <c r="AJ761" s="1" t="s">
        <v>940</v>
      </c>
      <c r="AM761" s="1" t="s">
        <v>2795</v>
      </c>
    </row>
    <row r="762">
      <c r="E762" s="1" t="s">
        <v>3311</v>
      </c>
      <c r="F762" s="6" t="str">
        <f>IFERROR(__xludf.DUMMYFUNCTION("""COMPUTED_VALUE"""),"blank")</f>
        <v>blank</v>
      </c>
      <c r="H762" s="1" t="s">
        <v>1802</v>
      </c>
      <c r="I762" s="6" t="str">
        <f>IFERROR(__xludf.DUMMYFUNCTION("""COMPUTED_VALUE"""),"monty")</f>
        <v>monty</v>
      </c>
      <c r="P762" s="1" t="s">
        <v>1867</v>
      </c>
      <c r="S762" s="1" t="s">
        <v>803</v>
      </c>
      <c r="T762" s="6" t="str">
        <f>IFERROR(__xludf.DUMMYFUNCTION("""COMPUTED_VALUE"""),"escaped")</f>
        <v>escaped</v>
      </c>
      <c r="W762" s="8"/>
      <c r="AF762" s="1" t="s">
        <v>3312</v>
      </c>
      <c r="AJ762" s="1" t="s">
        <v>1784</v>
      </c>
      <c r="AM762" s="1" t="s">
        <v>2003</v>
      </c>
    </row>
    <row r="763">
      <c r="E763" s="1" t="s">
        <v>816</v>
      </c>
      <c r="F763" s="6" t="str">
        <f>IFERROR(__xludf.DUMMYFUNCTION("""COMPUTED_VALUE"""),"lark")</f>
        <v>lark</v>
      </c>
      <c r="H763" s="1" t="s">
        <v>217</v>
      </c>
      <c r="I763" s="6" t="str">
        <f>IFERROR(__xludf.DUMMYFUNCTION("""COMPUTED_VALUE"""),"assaults")</f>
        <v>assaults</v>
      </c>
      <c r="P763" s="1" t="s">
        <v>1757</v>
      </c>
      <c r="S763" s="1" t="s">
        <v>3313</v>
      </c>
      <c r="T763" s="6" t="str">
        <f>IFERROR(__xludf.DUMMYFUNCTION("""COMPUTED_VALUE"""),"unsuccessful")</f>
        <v>unsuccessful</v>
      </c>
      <c r="W763" s="8"/>
      <c r="AF763" s="1" t="s">
        <v>3314</v>
      </c>
      <c r="AJ763" s="1" t="s">
        <v>948</v>
      </c>
      <c r="AM763" s="1" t="s">
        <v>2278</v>
      </c>
    </row>
    <row r="764">
      <c r="E764" s="1" t="s">
        <v>3315</v>
      </c>
      <c r="F764" s="6" t="str">
        <f>IFERROR(__xludf.DUMMYFUNCTION("""COMPUTED_VALUE"""),"pipeline")</f>
        <v>pipeline</v>
      </c>
      <c r="H764" s="1" t="s">
        <v>255</v>
      </c>
      <c r="I764" s="6" t="str">
        <f>IFERROR(__xludf.DUMMYFUNCTION("""COMPUTED_VALUE"""),"accuracy")</f>
        <v>accuracy</v>
      </c>
      <c r="P764" s="1" t="s">
        <v>3316</v>
      </c>
      <c r="S764" s="1" t="s">
        <v>3317</v>
      </c>
      <c r="T764" s="6" t="str">
        <f>IFERROR(__xludf.DUMMYFUNCTION("""COMPUTED_VALUE"""),"attempt")</f>
        <v>attempt</v>
      </c>
      <c r="W764" s="8"/>
      <c r="AF764" s="1" t="s">
        <v>3318</v>
      </c>
      <c r="AJ764" s="1" t="s">
        <v>3319</v>
      </c>
      <c r="AM764" s="1" t="s">
        <v>2799</v>
      </c>
    </row>
    <row r="765">
      <c r="E765" s="1" t="s">
        <v>2310</v>
      </c>
      <c r="F765" s="6" t="str">
        <f>IFERROR(__xludf.DUMMYFUNCTION("""COMPUTED_VALUE"""),"flow")</f>
        <v>flow</v>
      </c>
      <c r="H765" s="1" t="s">
        <v>1789</v>
      </c>
      <c r="I765" s="6" t="str">
        <f>IFERROR(__xludf.DUMMYFUNCTION("""COMPUTED_VALUE"""),"grounded")</f>
        <v>grounded</v>
      </c>
      <c r="P765" s="1" t="s">
        <v>988</v>
      </c>
      <c r="S765" s="1" t="s">
        <v>3320</v>
      </c>
      <c r="T765" s="6" t="str">
        <f>IFERROR(__xludf.DUMMYFUNCTION("""COMPUTED_VALUE"""),"soundtrack")</f>
        <v>soundtrack</v>
      </c>
      <c r="W765" s="8"/>
      <c r="AF765" s="1" t="s">
        <v>3321</v>
      </c>
      <c r="AJ765" s="1" t="s">
        <v>1798</v>
      </c>
      <c r="AM765" s="1" t="s">
        <v>438</v>
      </c>
    </row>
    <row r="766">
      <c r="E766" s="1" t="s">
        <v>1052</v>
      </c>
      <c r="F766" s="6" t="str">
        <f>IFERROR(__xludf.DUMMYFUNCTION("""COMPUTED_VALUE"""),"abstract")</f>
        <v>abstract</v>
      </c>
      <c r="H766" s="1" t="s">
        <v>3029</v>
      </c>
      <c r="I766" s="6" t="str">
        <f>IFERROR(__xludf.DUMMYFUNCTION("""COMPUTED_VALUE"""),"realism")</f>
        <v>realism</v>
      </c>
      <c r="P766" s="1" t="s">
        <v>3322</v>
      </c>
      <c r="S766" s="1" t="s">
        <v>3323</v>
      </c>
      <c r="T766" s="6" t="str">
        <f>IFERROR(__xludf.DUMMYFUNCTION("""COMPUTED_VALUE"""),"quality")</f>
        <v>quality</v>
      </c>
      <c r="W766" s="8"/>
      <c r="AF766" s="1" t="s">
        <v>3324</v>
      </c>
      <c r="AJ766" s="1" t="s">
        <v>1804</v>
      </c>
      <c r="AM766" s="1" t="s">
        <v>468</v>
      </c>
    </row>
    <row r="767">
      <c r="E767" s="1" t="s">
        <v>3325</v>
      </c>
      <c r="F767" s="6" t="str">
        <f>IFERROR(__xludf.DUMMYFUNCTION("""COMPUTED_VALUE"""),"diaries")</f>
        <v>diaries</v>
      </c>
      <c r="H767" s="1" t="s">
        <v>2590</v>
      </c>
      <c r="I767" s="6" t="str">
        <f>IFERROR(__xludf.DUMMYFUNCTION("""COMPUTED_VALUE"""),"novak")</f>
        <v>novak</v>
      </c>
      <c r="P767" s="1" t="s">
        <v>904</v>
      </c>
      <c r="S767" s="1" t="s">
        <v>3326</v>
      </c>
      <c r="T767" s="6" t="str">
        <f>IFERROR(__xludf.DUMMYFUNCTION("""COMPUTED_VALUE"""),"twist")</f>
        <v>twist</v>
      </c>
      <c r="W767" s="8"/>
      <c r="AF767" s="1" t="s">
        <v>3327</v>
      </c>
      <c r="AJ767" s="1" t="s">
        <v>3328</v>
      </c>
      <c r="AM767" s="1" t="s">
        <v>3329</v>
      </c>
    </row>
    <row r="768">
      <c r="E768" s="1" t="s">
        <v>2312</v>
      </c>
      <c r="F768" s="6" t="str">
        <f>IFERROR(__xludf.DUMMYFUNCTION("""COMPUTED_VALUE"""),"stimulating")</f>
        <v>stimulating</v>
      </c>
      <c r="H768" s="1" t="s">
        <v>2338</v>
      </c>
      <c r="I768" s="6" t="str">
        <f>IFERROR(__xludf.DUMMYFUNCTION("""COMPUTED_VALUE"""),"frank")</f>
        <v>frank</v>
      </c>
      <c r="P768" s="1" t="s">
        <v>3330</v>
      </c>
      <c r="S768" s="1" t="s">
        <v>3331</v>
      </c>
      <c r="T768" s="6" t="str">
        <f>IFERROR(__xludf.DUMMYFUNCTION("""COMPUTED_VALUE"""),"otherwise")</f>
        <v>otherwise</v>
      </c>
      <c r="W768" s="8"/>
      <c r="AF768" s="1" t="s">
        <v>3332</v>
      </c>
      <c r="AJ768" s="1" t="s">
        <v>536</v>
      </c>
      <c r="AM768" s="1" t="s">
        <v>2009</v>
      </c>
    </row>
    <row r="769">
      <c r="E769" s="1" t="s">
        <v>2316</v>
      </c>
      <c r="F769" s="6" t="str">
        <f>IFERROR(__xludf.DUMMYFUNCTION("""COMPUTED_VALUE"""),"courtship")</f>
        <v>courtship</v>
      </c>
      <c r="H769" s="1" t="s">
        <v>2596</v>
      </c>
      <c r="I769" s="6" t="str">
        <f>IFERROR(__xludf.DUMMYFUNCTION("""COMPUTED_VALUE"""),"civic")</f>
        <v>civic</v>
      </c>
      <c r="P769" s="1" t="s">
        <v>3333</v>
      </c>
      <c r="S769" s="1" t="s">
        <v>3034</v>
      </c>
      <c r="T769" s="6" t="str">
        <f>IFERROR(__xludf.DUMMYFUNCTION("""COMPUTED_VALUE"""),"concepts")</f>
        <v>concepts</v>
      </c>
      <c r="W769" s="8"/>
      <c r="AF769" s="1" t="s">
        <v>3334</v>
      </c>
      <c r="AJ769" s="1" t="s">
        <v>3335</v>
      </c>
      <c r="AM769" s="1" t="s">
        <v>845</v>
      </c>
    </row>
    <row r="770">
      <c r="E770" s="1" t="s">
        <v>3336</v>
      </c>
      <c r="F770" s="6" t="str">
        <f>IFERROR(__xludf.DUMMYFUNCTION("""COMPUTED_VALUE"""),"reel")</f>
        <v>reel</v>
      </c>
      <c r="H770" s="1" t="s">
        <v>1325</v>
      </c>
      <c r="I770" s="6" t="str">
        <f>IFERROR(__xludf.DUMMYFUNCTION("""COMPUTED_VALUE"""),"place")</f>
        <v>place</v>
      </c>
      <c r="P770" s="1" t="s">
        <v>3337</v>
      </c>
      <c r="S770" s="1" t="s">
        <v>3338</v>
      </c>
      <c r="T770" s="6" t="str">
        <f>IFERROR(__xludf.DUMMYFUNCTION("""COMPUTED_VALUE"""),"load")</f>
        <v>load</v>
      </c>
      <c r="W770" s="8"/>
      <c r="AF770" s="1" t="s">
        <v>3339</v>
      </c>
      <c r="AJ770" s="1" t="s">
        <v>1810</v>
      </c>
      <c r="AM770" s="1" t="s">
        <v>2812</v>
      </c>
    </row>
    <row r="771">
      <c r="E771" s="1" t="s">
        <v>549</v>
      </c>
      <c r="F771" s="6" t="str">
        <f>IFERROR(__xludf.DUMMYFUNCTION("""COMPUTED_VALUE"""),"yale")</f>
        <v>yale</v>
      </c>
      <c r="H771" s="1" t="s">
        <v>735</v>
      </c>
      <c r="I771" s="6" t="str">
        <f>IFERROR(__xludf.DUMMYFUNCTION("""COMPUTED_VALUE"""),"maturity")</f>
        <v>maturity</v>
      </c>
      <c r="P771" s="1" t="s">
        <v>2109</v>
      </c>
      <c r="S771" s="1" t="s">
        <v>3340</v>
      </c>
      <c r="T771" s="6" t="str">
        <f>IFERROR(__xludf.DUMMYFUNCTION("""COMPUTED_VALUE"""),"nba")</f>
        <v>nba</v>
      </c>
      <c r="W771" s="8"/>
      <c r="AF771" s="1" t="s">
        <v>3341</v>
      </c>
      <c r="AJ771" s="1" t="s">
        <v>3342</v>
      </c>
      <c r="AM771" s="1" t="s">
        <v>3343</v>
      </c>
    </row>
    <row r="772">
      <c r="E772" s="1" t="s">
        <v>2321</v>
      </c>
      <c r="F772" s="6" t="str">
        <f>IFERROR(__xludf.DUMMYFUNCTION("""COMPUTED_VALUE"""),"twisted")</f>
        <v>twisted</v>
      </c>
      <c r="H772" s="1" t="s">
        <v>2603</v>
      </c>
      <c r="I772" s="6" t="str">
        <f>IFERROR(__xludf.DUMMYFUNCTION("""COMPUTED_VALUE"""),"elegance")</f>
        <v>elegance</v>
      </c>
      <c r="P772" s="1" t="s">
        <v>126</v>
      </c>
      <c r="S772" s="1" t="s">
        <v>1993</v>
      </c>
      <c r="T772" s="6" t="str">
        <f>IFERROR(__xludf.DUMMYFUNCTION("""COMPUTED_VALUE"""),"layers")</f>
        <v>layers</v>
      </c>
      <c r="W772" s="8"/>
      <c r="AF772" s="1" t="s">
        <v>3344</v>
      </c>
      <c r="AJ772" s="1" t="s">
        <v>3345</v>
      </c>
      <c r="AM772" s="1" t="s">
        <v>3346</v>
      </c>
    </row>
    <row r="773">
      <c r="E773" s="1" t="s">
        <v>3347</v>
      </c>
      <c r="F773" s="6" t="str">
        <f>IFERROR(__xludf.DUMMYFUNCTION("""COMPUTED_VALUE"""),"friendship")</f>
        <v>friendship</v>
      </c>
      <c r="H773" s="1" t="s">
        <v>384</v>
      </c>
      <c r="I773" s="6" t="str">
        <f>IFERROR(__xludf.DUMMYFUNCTION("""COMPUTED_VALUE"""),"spy")</f>
        <v>spy</v>
      </c>
      <c r="P773" s="1" t="s">
        <v>3348</v>
      </c>
      <c r="S773" s="1" t="s">
        <v>3349</v>
      </c>
      <c r="T773" s="6" t="str">
        <f>IFERROR(__xludf.DUMMYFUNCTION("""COMPUTED_VALUE"""),"paper")</f>
        <v>paper</v>
      </c>
      <c r="W773" s="8"/>
      <c r="AF773" s="1" t="s">
        <v>3350</v>
      </c>
      <c r="AJ773" s="1" t="s">
        <v>3351</v>
      </c>
      <c r="AM773" s="1" t="s">
        <v>3352</v>
      </c>
    </row>
    <row r="774">
      <c r="E774" s="1" t="s">
        <v>1070</v>
      </c>
      <c r="F774" s="6" t="str">
        <f>IFERROR(__xludf.DUMMYFUNCTION("""COMPUTED_VALUE"""),"constant")</f>
        <v>constant</v>
      </c>
      <c r="H774" s="1" t="s">
        <v>366</v>
      </c>
      <c r="I774" s="6" t="str">
        <f>IFERROR(__xludf.DUMMYFUNCTION("""COMPUTED_VALUE"""),"devotees")</f>
        <v>devotees</v>
      </c>
      <c r="P774" s="1" t="s">
        <v>1386</v>
      </c>
      <c r="S774" s="1" t="s">
        <v>1221</v>
      </c>
      <c r="T774" s="6" t="str">
        <f>IFERROR(__xludf.DUMMYFUNCTION("""COMPUTED_VALUE"""),"deadly")</f>
        <v>deadly</v>
      </c>
      <c r="W774" s="8"/>
      <c r="AF774" s="1" t="s">
        <v>3353</v>
      </c>
      <c r="AJ774" s="1" t="s">
        <v>1814</v>
      </c>
      <c r="AM774" s="1" t="s">
        <v>2817</v>
      </c>
    </row>
    <row r="775">
      <c r="E775" s="1" t="s">
        <v>1064</v>
      </c>
      <c r="F775" s="6" t="str">
        <f>IFERROR(__xludf.DUMMYFUNCTION("""COMPUTED_VALUE"""),"identification")</f>
        <v>identification</v>
      </c>
      <c r="H775" s="1" t="s">
        <v>2610</v>
      </c>
      <c r="I775" s="6" t="str">
        <f>IFERROR(__xludf.DUMMYFUNCTION("""COMPUTED_VALUE"""),"generation")</f>
        <v>generation</v>
      </c>
      <c r="P775" s="1" t="s">
        <v>1392</v>
      </c>
      <c r="S775" s="1" t="s">
        <v>908</v>
      </c>
      <c r="T775" s="6" t="str">
        <f>IFERROR(__xludf.DUMMYFUNCTION("""COMPUTED_VALUE"""),"striking")</f>
        <v>striking</v>
      </c>
      <c r="W775" s="8"/>
      <c r="AF775" s="1" t="s">
        <v>3354</v>
      </c>
      <c r="AJ775" s="1" t="s">
        <v>3355</v>
      </c>
      <c r="AM775" s="1" t="s">
        <v>2820</v>
      </c>
    </row>
    <row r="776">
      <c r="E776" s="1" t="s">
        <v>2313</v>
      </c>
      <c r="F776" s="6" t="str">
        <f>IFERROR(__xludf.DUMMYFUNCTION("""COMPUTED_VALUE"""),"built")</f>
        <v>built</v>
      </c>
      <c r="H776" s="1" t="s">
        <v>210</v>
      </c>
      <c r="I776" s="6" t="str">
        <f>IFERROR(__xludf.DUMMYFUNCTION("""COMPUTED_VALUE"""),"episodes")</f>
        <v>episodes</v>
      </c>
      <c r="P776" s="1" t="s">
        <v>484</v>
      </c>
      <c r="S776" s="1" t="s">
        <v>3356</v>
      </c>
      <c r="T776" s="6" t="str">
        <f>IFERROR(__xludf.DUMMYFUNCTION("""COMPUTED_VALUE"""),"impressive")</f>
        <v>impressive</v>
      </c>
      <c r="W776" s="8"/>
      <c r="AF776" s="1" t="s">
        <v>3357</v>
      </c>
      <c r="AJ776" s="1" t="s">
        <v>3358</v>
      </c>
      <c r="AM776" s="1" t="s">
        <v>2018</v>
      </c>
    </row>
    <row r="777">
      <c r="E777" s="1" t="s">
        <v>935</v>
      </c>
      <c r="F777" s="6" t="str">
        <f>IFERROR(__xludf.DUMMYFUNCTION("""COMPUTED_VALUE"""),"retaining")</f>
        <v>retaining</v>
      </c>
      <c r="H777" s="1" t="s">
        <v>754</v>
      </c>
      <c r="I777" s="6" t="str">
        <f>IFERROR(__xludf.DUMMYFUNCTION("""COMPUTED_VALUE"""),"bile")</f>
        <v>bile</v>
      </c>
      <c r="P777" s="1" t="s">
        <v>1719</v>
      </c>
      <c r="S777" s="1" t="s">
        <v>3359</v>
      </c>
      <c r="T777" s="6" t="str">
        <f>IFERROR(__xludf.DUMMYFUNCTION("""COMPUTED_VALUE"""),"scorpion")</f>
        <v>scorpion</v>
      </c>
      <c r="W777" s="8"/>
      <c r="AF777" s="1" t="s">
        <v>3360</v>
      </c>
      <c r="AJ777" s="1" t="s">
        <v>1822</v>
      </c>
      <c r="AM777" s="1" t="s">
        <v>2022</v>
      </c>
    </row>
    <row r="778">
      <c r="E778" s="1" t="s">
        <v>791</v>
      </c>
      <c r="F778" s="6" t="str">
        <f>IFERROR(__xludf.DUMMYFUNCTION("""COMPUTED_VALUE"""),"mainstream")</f>
        <v>mainstream</v>
      </c>
      <c r="H778" s="1" t="s">
        <v>2621</v>
      </c>
      <c r="I778" s="6" t="str">
        <f>IFERROR(__xludf.DUMMYFUNCTION("""COMPUTED_VALUE"""),"faulty")</f>
        <v>faulty</v>
      </c>
      <c r="P778" s="1" t="s">
        <v>3361</v>
      </c>
      <c r="S778" s="1" t="s">
        <v>3362</v>
      </c>
      <c r="T778" s="6" t="str">
        <f>IFERROR(__xludf.DUMMYFUNCTION("""COMPUTED_VALUE"""),"animation")</f>
        <v>animation</v>
      </c>
      <c r="W778" s="8"/>
      <c r="AF778" s="1" t="s">
        <v>1712</v>
      </c>
      <c r="AJ778" s="1" t="s">
        <v>3363</v>
      </c>
      <c r="AM778" s="1" t="s">
        <v>2016</v>
      </c>
    </row>
    <row r="779">
      <c r="E779" s="1" t="s">
        <v>3364</v>
      </c>
      <c r="F779" s="6" t="str">
        <f>IFERROR(__xludf.DUMMYFUNCTION("""COMPUTED_VALUE"""),"menacing")</f>
        <v>menacing</v>
      </c>
      <c r="H779" s="1" t="s">
        <v>342</v>
      </c>
      <c r="I779" s="6" t="str">
        <f>IFERROR(__xludf.DUMMYFUNCTION("""COMPUTED_VALUE"""),"amused")</f>
        <v>amused</v>
      </c>
      <c r="P779" s="1" t="s">
        <v>3365</v>
      </c>
      <c r="S779" s="1" t="s">
        <v>3366</v>
      </c>
      <c r="T779" s="6" t="str">
        <f>IFERROR(__xludf.DUMMYFUNCTION("""COMPUTED_VALUE"""),"task")</f>
        <v>task</v>
      </c>
      <c r="W779" s="8"/>
      <c r="AF779" s="1" t="s">
        <v>3367</v>
      </c>
      <c r="AJ779" s="1" t="s">
        <v>686</v>
      </c>
      <c r="AM779" s="1" t="s">
        <v>2824</v>
      </c>
    </row>
    <row r="780">
      <c r="E780" s="1">
        <v>20.0</v>
      </c>
      <c r="F780" s="6" t="str">
        <f>IFERROR(__xludf.DUMMYFUNCTION("""COMPUTED_VALUE"""),"gangs")</f>
        <v>gangs</v>
      </c>
      <c r="H780" s="1" t="s">
        <v>3368</v>
      </c>
      <c r="I780" s="6" t="str">
        <f>IFERROR(__xludf.DUMMYFUNCTION("""COMPUTED_VALUE"""),"skill")</f>
        <v>skill</v>
      </c>
      <c r="P780" s="1" t="s">
        <v>3369</v>
      </c>
      <c r="S780" s="1" t="s">
        <v>3370</v>
      </c>
      <c r="T780" s="6" t="str">
        <f>IFERROR(__xludf.DUMMYFUNCTION("""COMPUTED_VALUE"""),"creating")</f>
        <v>creating</v>
      </c>
      <c r="W780" s="8"/>
      <c r="AF780" s="1" t="s">
        <v>3371</v>
      </c>
      <c r="AJ780" s="1" t="s">
        <v>3372</v>
      </c>
      <c r="AM780" s="1" t="s">
        <v>800</v>
      </c>
    </row>
    <row r="781">
      <c r="E781" s="1" t="s">
        <v>2329</v>
      </c>
      <c r="F781" s="6" t="str">
        <f>IFERROR(__xludf.DUMMYFUNCTION("""COMPUTED_VALUE"""),"got")</f>
        <v>got</v>
      </c>
      <c r="H781" s="1" t="s">
        <v>3066</v>
      </c>
      <c r="I781" s="6" t="str">
        <f>IFERROR(__xludf.DUMMYFUNCTION("""COMPUTED_VALUE"""),"constructed")</f>
        <v>constructed</v>
      </c>
      <c r="P781" s="1" t="s">
        <v>3373</v>
      </c>
      <c r="S781" s="1" t="s">
        <v>3374</v>
      </c>
      <c r="T781" s="6" t="str">
        <f>IFERROR(__xludf.DUMMYFUNCTION("""COMPUTED_VALUE"""),"timeless")</f>
        <v>timeless</v>
      </c>
      <c r="W781" s="8"/>
      <c r="AF781" s="1" t="s">
        <v>3375</v>
      </c>
      <c r="AJ781" s="1" t="s">
        <v>1826</v>
      </c>
      <c r="AM781" s="1" t="s">
        <v>3376</v>
      </c>
    </row>
    <row r="782">
      <c r="E782" s="1" t="s">
        <v>3377</v>
      </c>
      <c r="F782" s="6" t="str">
        <f>IFERROR(__xludf.DUMMYFUNCTION("""COMPUTED_VALUE"""),"creates")</f>
        <v>creates</v>
      </c>
      <c r="H782" s="1" t="s">
        <v>374</v>
      </c>
      <c r="I782" s="6" t="str">
        <f>IFERROR(__xludf.DUMMYFUNCTION("""COMPUTED_VALUE"""),"vampire")</f>
        <v>vampire</v>
      </c>
      <c r="P782" s="1" t="s">
        <v>128</v>
      </c>
      <c r="S782" s="1" t="s">
        <v>3378</v>
      </c>
      <c r="T782" s="6" t="str">
        <f>IFERROR(__xludf.DUMMYFUNCTION("""COMPUTED_VALUE"""),"featuring")</f>
        <v>featuring</v>
      </c>
      <c r="W782" s="8"/>
      <c r="AF782" s="1" t="s">
        <v>3379</v>
      </c>
      <c r="AJ782" s="1" t="s">
        <v>3380</v>
      </c>
      <c r="AM782" s="1" t="s">
        <v>448</v>
      </c>
    </row>
    <row r="783">
      <c r="E783" s="1" t="s">
        <v>678</v>
      </c>
      <c r="F783" s="6" t="str">
        <f>IFERROR(__xludf.DUMMYFUNCTION("""COMPUTED_VALUE"""),"demonstrating")</f>
        <v>demonstrating</v>
      </c>
      <c r="H783" s="1" t="s">
        <v>1856</v>
      </c>
      <c r="I783" s="6" t="str">
        <f>IFERROR(__xludf.DUMMYFUNCTION("""COMPUTED_VALUE"""),"determined")</f>
        <v>determined</v>
      </c>
      <c r="P783" s="1" t="s">
        <v>277</v>
      </c>
      <c r="S783" s="1" t="s">
        <v>950</v>
      </c>
      <c r="T783" s="6" t="str">
        <f>IFERROR(__xludf.DUMMYFUNCTION("""COMPUTED_VALUE"""),"grace")</f>
        <v>grace</v>
      </c>
      <c r="W783" s="8"/>
      <c r="AF783" s="1" t="s">
        <v>3381</v>
      </c>
      <c r="AJ783" s="1" t="s">
        <v>1262</v>
      </c>
      <c r="AM783" s="1" t="s">
        <v>2026</v>
      </c>
    </row>
    <row r="784">
      <c r="E784" s="1" t="s">
        <v>3382</v>
      </c>
      <c r="F784" s="6" t="str">
        <f>IFERROR(__xludf.DUMMYFUNCTION("""COMPUTED_VALUE"""),"encouraging")</f>
        <v>encouraging</v>
      </c>
      <c r="H784" s="1" t="s">
        <v>3073</v>
      </c>
      <c r="I784" s="6" t="str">
        <f>IFERROR(__xludf.DUMMYFUNCTION("""COMPUTED_VALUE"""),"typical")</f>
        <v>typical</v>
      </c>
      <c r="P784" s="1" t="s">
        <v>922</v>
      </c>
      <c r="S784" s="1" t="s">
        <v>3383</v>
      </c>
      <c r="T784" s="6" t="str">
        <f>IFERROR(__xludf.DUMMYFUNCTION("""COMPUTED_VALUE"""),"eastern")</f>
        <v>eastern</v>
      </c>
      <c r="W784" s="8"/>
      <c r="AF784" s="1" t="s">
        <v>3384</v>
      </c>
      <c r="AJ784" s="1" t="s">
        <v>3385</v>
      </c>
      <c r="AM784" s="1" t="s">
        <v>2029</v>
      </c>
    </row>
    <row r="785">
      <c r="E785" s="1" t="s">
        <v>2332</v>
      </c>
      <c r="F785" s="6" t="str">
        <f>IFERROR(__xludf.DUMMYFUNCTION("""COMPUTED_VALUE"""),"note")</f>
        <v>note</v>
      </c>
      <c r="H785" s="1" t="s">
        <v>2630</v>
      </c>
      <c r="I785" s="6" t="str">
        <f>IFERROR(__xludf.DUMMYFUNCTION("""COMPUTED_VALUE"""),"heavy")</f>
        <v>heavy</v>
      </c>
      <c r="P785" s="1">
        <v>51.0</v>
      </c>
      <c r="S785" s="1" t="s">
        <v>2615</v>
      </c>
      <c r="T785" s="6" t="str">
        <f>IFERROR(__xludf.DUMMYFUNCTION("""COMPUTED_VALUE"""),"humane")</f>
        <v>humane</v>
      </c>
      <c r="W785" s="8"/>
      <c r="AF785" s="1" t="s">
        <v>3386</v>
      </c>
      <c r="AJ785" s="1" t="s">
        <v>3387</v>
      </c>
      <c r="AM785" s="1" t="s">
        <v>534</v>
      </c>
    </row>
    <row r="786">
      <c r="E786" s="1" t="s">
        <v>1074</v>
      </c>
      <c r="F786" s="6" t="str">
        <f>IFERROR(__xludf.DUMMYFUNCTION("""COMPUTED_VALUE"""),"friend")</f>
        <v>friend</v>
      </c>
      <c r="H786" s="1" t="s">
        <v>2634</v>
      </c>
      <c r="I786" s="6" t="str">
        <f>IFERROR(__xludf.DUMMYFUNCTION("""COMPUTED_VALUE"""),"fierce")</f>
        <v>fierce</v>
      </c>
      <c r="P786" s="1" t="s">
        <v>3388</v>
      </c>
      <c r="S786" s="1" t="s">
        <v>3389</v>
      </c>
      <c r="T786" s="6" t="str">
        <f>IFERROR(__xludf.DUMMYFUNCTION("""COMPUTED_VALUE"""),"side")</f>
        <v>side</v>
      </c>
      <c r="W786" s="8"/>
      <c r="AF786" s="1" t="s">
        <v>3390</v>
      </c>
      <c r="AJ786" s="1" t="s">
        <v>3391</v>
      </c>
      <c r="AM786" s="1" t="s">
        <v>2519</v>
      </c>
    </row>
    <row r="787">
      <c r="E787" s="1" t="s">
        <v>685</v>
      </c>
      <c r="F787" s="6" t="str">
        <f>IFERROR(__xludf.DUMMYFUNCTION("""COMPUTED_VALUE"""),"dickens")</f>
        <v>dickens</v>
      </c>
      <c r="H787" s="1" t="s">
        <v>772</v>
      </c>
      <c r="I787" s="6" t="str">
        <f>IFERROR(__xludf.DUMMYFUNCTION("""COMPUTED_VALUE"""),"crippled")</f>
        <v>crippled</v>
      </c>
      <c r="P787" s="1" t="s">
        <v>134</v>
      </c>
      <c r="S787" s="1" t="s">
        <v>3392</v>
      </c>
      <c r="T787" s="6" t="str">
        <f>IFERROR(__xludf.DUMMYFUNCTION("""COMPUTED_VALUE"""),"entertain")</f>
        <v>entertain</v>
      </c>
      <c r="W787" s="8"/>
      <c r="AJ787" s="1" t="s">
        <v>3393</v>
      </c>
      <c r="AM787" s="1" t="s">
        <v>3394</v>
      </c>
    </row>
    <row r="788">
      <c r="E788" s="1" t="s">
        <v>3395</v>
      </c>
      <c r="F788" s="6" t="str">
        <f>IFERROR(__xludf.DUMMYFUNCTION("""COMPUTED_VALUE"""),"expresses")</f>
        <v>expresses</v>
      </c>
      <c r="H788" s="1" t="s">
        <v>2638</v>
      </c>
      <c r="I788" s="6" t="str">
        <f>IFERROR(__xludf.DUMMYFUNCTION("""COMPUTED_VALUE"""),"duke")</f>
        <v>duke</v>
      </c>
      <c r="P788" s="1" t="s">
        <v>3396</v>
      </c>
      <c r="S788" s="1" t="s">
        <v>3397</v>
      </c>
      <c r="T788" s="6" t="str">
        <f>IFERROR(__xludf.DUMMYFUNCTION("""COMPUTED_VALUE"""),"provocative")</f>
        <v>provocative</v>
      </c>
      <c r="W788" s="8"/>
      <c r="AJ788" s="1" t="s">
        <v>3039</v>
      </c>
      <c r="AM788" s="1" t="s">
        <v>456</v>
      </c>
    </row>
    <row r="789">
      <c r="E789" s="1" t="s">
        <v>1081</v>
      </c>
      <c r="F789" s="6" t="str">
        <f>IFERROR(__xludf.DUMMYFUNCTION("""COMPUTED_VALUE"""),"evergreen")</f>
        <v>evergreen</v>
      </c>
      <c r="H789" s="1" t="s">
        <v>1859</v>
      </c>
      <c r="I789" s="6" t="str">
        <f>IFERROR(__xludf.DUMMYFUNCTION("""COMPUTED_VALUE"""),"lady")</f>
        <v>lady</v>
      </c>
      <c r="P789" s="1" t="s">
        <v>3398</v>
      </c>
      <c r="S789" s="1" t="s">
        <v>2712</v>
      </c>
      <c r="T789" s="6" t="str">
        <f>IFERROR(__xludf.DUMMYFUNCTION("""COMPUTED_VALUE"""),"mean")</f>
        <v>mean</v>
      </c>
      <c r="W789" s="8"/>
      <c r="AJ789" s="1" t="s">
        <v>1835</v>
      </c>
      <c r="AM789" s="1" t="s">
        <v>2034</v>
      </c>
    </row>
    <row r="790">
      <c r="E790" s="1" t="s">
        <v>2337</v>
      </c>
      <c r="F790" s="6" t="str">
        <f>IFERROR(__xludf.DUMMYFUNCTION("""COMPUTED_VALUE"""),"markedly")</f>
        <v>markedly</v>
      </c>
      <c r="H790" s="1" t="s">
        <v>1871</v>
      </c>
      <c r="I790" s="6" t="str">
        <f>IFERROR(__xludf.DUMMYFUNCTION("""COMPUTED_VALUE"""),"tragedy")</f>
        <v>tragedy</v>
      </c>
      <c r="P790" s="1" t="s">
        <v>3399</v>
      </c>
      <c r="S790" s="1" t="s">
        <v>3400</v>
      </c>
      <c r="T790" s="6" t="str">
        <f>IFERROR(__xludf.DUMMYFUNCTION("""COMPUTED_VALUE"""),"sharp")</f>
        <v>sharp</v>
      </c>
      <c r="W790" s="8"/>
      <c r="AJ790" s="1" t="s">
        <v>1841</v>
      </c>
      <c r="AM790" s="1" t="s">
        <v>2846</v>
      </c>
    </row>
    <row r="791">
      <c r="E791" s="1" t="s">
        <v>2339</v>
      </c>
      <c r="F791" s="6" t="str">
        <f>IFERROR(__xludf.DUMMYFUNCTION("""COMPUTED_VALUE"""),"inactive")</f>
        <v>inactive</v>
      </c>
      <c r="H791" s="1" t="s">
        <v>380</v>
      </c>
      <c r="I791" s="6" t="str">
        <f>IFERROR(__xludf.DUMMYFUNCTION("""COMPUTED_VALUE"""),"repetitive")</f>
        <v>repetitive</v>
      </c>
      <c r="P791" s="1" t="s">
        <v>3401</v>
      </c>
      <c r="S791" s="1" t="s">
        <v>3402</v>
      </c>
      <c r="T791" s="6" t="str">
        <f>IFERROR(__xludf.DUMMYFUNCTION("""COMPUTED_VALUE"""),"distinctive")</f>
        <v>distinctive</v>
      </c>
      <c r="W791" s="8"/>
      <c r="AJ791" s="1" t="s">
        <v>3403</v>
      </c>
      <c r="AM791" s="1" t="s">
        <v>3404</v>
      </c>
    </row>
    <row r="792">
      <c r="E792" s="1" t="s">
        <v>3405</v>
      </c>
      <c r="F792" s="6" t="str">
        <f>IFERROR(__xludf.DUMMYFUNCTION("""COMPUTED_VALUE"""),"memorable")</f>
        <v>memorable</v>
      </c>
      <c r="H792" s="1" t="s">
        <v>2646</v>
      </c>
      <c r="I792" s="6" t="str">
        <f>IFERROR(__xludf.DUMMYFUNCTION("""COMPUTED_VALUE"""),"adventures")</f>
        <v>adventures</v>
      </c>
      <c r="P792" s="1" t="s">
        <v>1336</v>
      </c>
      <c r="S792" s="1" t="s">
        <v>1529</v>
      </c>
      <c r="T792" s="6" t="str">
        <f>IFERROR(__xludf.DUMMYFUNCTION("""COMPUTED_VALUE"""),"demonstrate")</f>
        <v>demonstrate</v>
      </c>
      <c r="W792" s="8"/>
      <c r="AJ792" s="1" t="s">
        <v>3406</v>
      </c>
      <c r="AM792" s="1" t="s">
        <v>178</v>
      </c>
    </row>
    <row r="793">
      <c r="E793" s="1" t="s">
        <v>557</v>
      </c>
      <c r="F793" s="6" t="str">
        <f>IFERROR(__xludf.DUMMYFUNCTION("""COMPUTED_VALUE"""),"affected")</f>
        <v>affected</v>
      </c>
      <c r="H793" s="1" t="s">
        <v>387</v>
      </c>
      <c r="I793" s="6" t="str">
        <f>IFERROR(__xludf.DUMMYFUNCTION("""COMPUTED_VALUE"""),"melancholy")</f>
        <v>melancholy</v>
      </c>
      <c r="P793" s="1" t="s">
        <v>3407</v>
      </c>
      <c r="S793" s="1" t="s">
        <v>2634</v>
      </c>
      <c r="T793" s="6" t="str">
        <f>IFERROR(__xludf.DUMMYFUNCTION("""COMPUTED_VALUE"""),"desperate")</f>
        <v>desperate</v>
      </c>
      <c r="W793" s="8"/>
      <c r="AJ793" s="1" t="s">
        <v>3408</v>
      </c>
      <c r="AM793" s="1" t="s">
        <v>3409</v>
      </c>
    </row>
    <row r="794">
      <c r="E794" s="1" t="s">
        <v>3410</v>
      </c>
      <c r="F794" s="6" t="str">
        <f>IFERROR(__xludf.DUMMYFUNCTION("""COMPUTED_VALUE"""),"hurley")</f>
        <v>hurley</v>
      </c>
      <c r="H794" s="1" t="s">
        <v>394</v>
      </c>
      <c r="I794" s="6" t="str">
        <f>IFERROR(__xludf.DUMMYFUNCTION("""COMPUTED_VALUE"""),"fallen")</f>
        <v>fallen</v>
      </c>
      <c r="P794" s="1" t="s">
        <v>1459</v>
      </c>
      <c r="S794" s="1">
        <v>95.0</v>
      </c>
      <c r="T794" s="6" t="str">
        <f>IFERROR(__xludf.DUMMYFUNCTION("""COMPUTED_VALUE"""),"discipline")</f>
        <v>discipline</v>
      </c>
      <c r="W794" s="8"/>
      <c r="AJ794" s="1" t="s">
        <v>608</v>
      </c>
      <c r="AM794" s="1" t="s">
        <v>2040</v>
      </c>
    </row>
    <row r="795">
      <c r="E795" s="1" t="s">
        <v>692</v>
      </c>
      <c r="F795" s="6" t="str">
        <f>IFERROR(__xludf.DUMMYFUNCTION("""COMPUTED_VALUE"""),"reassuring")</f>
        <v>reassuring</v>
      </c>
      <c r="H795" s="1" t="s">
        <v>1881</v>
      </c>
      <c r="I795" s="6" t="str">
        <f>IFERROR(__xludf.DUMMYFUNCTION("""COMPUTED_VALUE"""),"spell")</f>
        <v>spell</v>
      </c>
      <c r="P795" s="1" t="s">
        <v>3411</v>
      </c>
      <c r="S795" s="1" t="s">
        <v>1590</v>
      </c>
      <c r="T795" s="6" t="str">
        <f>IFERROR(__xludf.DUMMYFUNCTION("""COMPUTED_VALUE"""),"jackson")</f>
        <v>jackson</v>
      </c>
      <c r="W795" s="8"/>
      <c r="AJ795" s="1" t="s">
        <v>521</v>
      </c>
      <c r="AM795" s="1" t="s">
        <v>860</v>
      </c>
    </row>
    <row r="796">
      <c r="E796" s="1" t="s">
        <v>3412</v>
      </c>
      <c r="F796" s="6" t="str">
        <f>IFERROR(__xludf.DUMMYFUNCTION("""COMPUTED_VALUE"""),"carol")</f>
        <v>carol</v>
      </c>
      <c r="H796" s="1" t="s">
        <v>1897</v>
      </c>
      <c r="I796" s="6" t="str">
        <f>IFERROR(__xludf.DUMMYFUNCTION("""COMPUTED_VALUE"""),"brutally")</f>
        <v>brutally</v>
      </c>
      <c r="P796" s="1" t="s">
        <v>629</v>
      </c>
      <c r="S796" s="1" t="s">
        <v>3413</v>
      </c>
      <c r="T796" s="6" t="str">
        <f>IFERROR(__xludf.DUMMYFUNCTION("""COMPUTED_VALUE"""),"aims")</f>
        <v>aims</v>
      </c>
      <c r="W796" s="8"/>
      <c r="AJ796" s="1" t="s">
        <v>3047</v>
      </c>
      <c r="AM796" s="1" t="s">
        <v>2865</v>
      </c>
    </row>
    <row r="797">
      <c r="E797" s="1" t="s">
        <v>2357</v>
      </c>
      <c r="F797" s="6" t="str">
        <f>IFERROR(__xludf.DUMMYFUNCTION("""COMPUTED_VALUE"""),"intricate")</f>
        <v>intricate</v>
      </c>
      <c r="H797" s="1" t="s">
        <v>474</v>
      </c>
      <c r="I797" s="6" t="str">
        <f>IFERROR(__xludf.DUMMYFUNCTION("""COMPUTED_VALUE"""),"tolerate")</f>
        <v>tolerate</v>
      </c>
      <c r="P797" s="1" t="s">
        <v>336</v>
      </c>
      <c r="S797" s="1" t="s">
        <v>2382</v>
      </c>
      <c r="T797" s="6" t="str">
        <f>IFERROR(__xludf.DUMMYFUNCTION("""COMPUTED_VALUE"""),"visual")</f>
        <v>visual</v>
      </c>
      <c r="W797" s="8"/>
      <c r="AJ797" s="1" t="s">
        <v>3414</v>
      </c>
      <c r="AM797" s="1" t="s">
        <v>2046</v>
      </c>
    </row>
    <row r="798">
      <c r="E798" s="1" t="s">
        <v>2852</v>
      </c>
      <c r="F798" s="6" t="str">
        <f>IFERROR(__xludf.DUMMYFUNCTION("""COMPUTED_VALUE"""),"crimes")</f>
        <v>crimes</v>
      </c>
      <c r="H798" s="1" t="s">
        <v>1901</v>
      </c>
      <c r="I798" s="6" t="str">
        <f>IFERROR(__xludf.DUMMYFUNCTION("""COMPUTED_VALUE"""),"scandal")</f>
        <v>scandal</v>
      </c>
      <c r="P798" s="1" t="s">
        <v>3415</v>
      </c>
      <c r="S798" s="1" t="s">
        <v>261</v>
      </c>
      <c r="T798" s="6" t="str">
        <f>IFERROR(__xludf.DUMMYFUNCTION("""COMPUTED_VALUE"""),"close")</f>
        <v>close</v>
      </c>
      <c r="W798" s="8"/>
      <c r="AJ798" s="1" t="s">
        <v>956</v>
      </c>
      <c r="AM798" s="1" t="s">
        <v>2861</v>
      </c>
    </row>
    <row r="799">
      <c r="E799" s="1" t="s">
        <v>3001</v>
      </c>
      <c r="F799" s="6" t="str">
        <f>IFERROR(__xludf.DUMMYFUNCTION("""COMPUTED_VALUE"""),"france")</f>
        <v>france</v>
      </c>
      <c r="H799" s="1" t="s">
        <v>481</v>
      </c>
      <c r="I799" s="6" t="str">
        <f>IFERROR(__xludf.DUMMYFUNCTION("""COMPUTED_VALUE"""),"historic")</f>
        <v>historic</v>
      </c>
      <c r="P799" s="1">
        <v>89.0</v>
      </c>
      <c r="S799" s="1" t="s">
        <v>3416</v>
      </c>
      <c r="T799" s="6" t="str">
        <f>IFERROR(__xludf.DUMMYFUNCTION("""COMPUTED_VALUE"""),"monty")</f>
        <v>monty</v>
      </c>
      <c r="W799" s="8"/>
      <c r="AJ799" s="1" t="s">
        <v>3050</v>
      </c>
      <c r="AM799" s="1" t="s">
        <v>543</v>
      </c>
    </row>
    <row r="800">
      <c r="E800" s="1" t="s">
        <v>2120</v>
      </c>
      <c r="F800" s="6" t="str">
        <f>IFERROR(__xludf.DUMMYFUNCTION("""COMPUTED_VALUE"""),"20th")</f>
        <v>20th</v>
      </c>
      <c r="H800" s="1" t="s">
        <v>2667</v>
      </c>
      <c r="I800" s="6" t="str">
        <f>IFERROR(__xludf.DUMMYFUNCTION("""COMPUTED_VALUE"""),"baroque")</f>
        <v>baroque</v>
      </c>
      <c r="P800" s="1" t="s">
        <v>3417</v>
      </c>
      <c r="S800" s="1" t="s">
        <v>3418</v>
      </c>
      <c r="T800" s="6" t="str">
        <f>IFERROR(__xludf.DUMMYFUNCTION("""COMPUTED_VALUE"""),"accuracy")</f>
        <v>accuracy</v>
      </c>
      <c r="W800" s="8"/>
      <c r="AJ800" s="1" t="s">
        <v>1852</v>
      </c>
      <c r="AM800" s="1" t="s">
        <v>2047</v>
      </c>
    </row>
    <row r="801">
      <c r="E801" s="1" t="s">
        <v>404</v>
      </c>
      <c r="F801" s="6" t="str">
        <f>IFERROR(__xludf.DUMMYFUNCTION("""COMPUTED_VALUE"""),"destined")</f>
        <v>destined</v>
      </c>
      <c r="H801" s="1" t="s">
        <v>1924</v>
      </c>
      <c r="I801" s="6" t="str">
        <f>IFERROR(__xludf.DUMMYFUNCTION("""COMPUTED_VALUE"""),"breadth")</f>
        <v>breadth</v>
      </c>
      <c r="P801" s="1" t="s">
        <v>3170</v>
      </c>
      <c r="S801" s="1" t="s">
        <v>3419</v>
      </c>
      <c r="T801" s="6" t="str">
        <f>IFERROR(__xludf.DUMMYFUNCTION("""COMPUTED_VALUE"""),"grounded")</f>
        <v>grounded</v>
      </c>
      <c r="W801" s="8"/>
      <c r="AJ801" s="1" t="s">
        <v>1159</v>
      </c>
      <c r="AM801" s="1" t="s">
        <v>2048</v>
      </c>
    </row>
    <row r="802">
      <c r="E802" s="1" t="s">
        <v>3420</v>
      </c>
      <c r="F802" s="6" t="str">
        <f>IFERROR(__xludf.DUMMYFUNCTION("""COMPUTED_VALUE"""),"griffith")</f>
        <v>griffith</v>
      </c>
      <c r="H802" s="1" t="s">
        <v>3135</v>
      </c>
      <c r="I802" s="6" t="str">
        <f>IFERROR(__xludf.DUMMYFUNCTION("""COMPUTED_VALUE"""),"poverty")</f>
        <v>poverty</v>
      </c>
      <c r="P802" s="1" t="s">
        <v>2206</v>
      </c>
      <c r="S802" s="1" t="s">
        <v>3421</v>
      </c>
      <c r="T802" s="6" t="str">
        <f>IFERROR(__xludf.DUMMYFUNCTION("""COMPUTED_VALUE"""),"frank")</f>
        <v>frank</v>
      </c>
      <c r="W802" s="8"/>
      <c r="AJ802" s="1" t="s">
        <v>3422</v>
      </c>
      <c r="AM802" s="1" t="s">
        <v>2051</v>
      </c>
    </row>
    <row r="803">
      <c r="E803" s="1" t="s">
        <v>3423</v>
      </c>
      <c r="F803" s="6" t="str">
        <f>IFERROR(__xludf.DUMMYFUNCTION("""COMPUTED_VALUE"""),"misses")</f>
        <v>misses</v>
      </c>
      <c r="H803" s="1" t="s">
        <v>2672</v>
      </c>
      <c r="I803" s="6" t="str">
        <f>IFERROR(__xludf.DUMMYFUNCTION("""COMPUTED_VALUE"""),"hardship")</f>
        <v>hardship</v>
      </c>
      <c r="P803" s="1" t="s">
        <v>1318</v>
      </c>
      <c r="S803" s="1" t="s">
        <v>3424</v>
      </c>
      <c r="T803" s="6" t="str">
        <f>IFERROR(__xludf.DUMMYFUNCTION("""COMPUTED_VALUE"""),"civic")</f>
        <v>civic</v>
      </c>
      <c r="W803" s="8"/>
      <c r="AJ803" s="1" t="s">
        <v>961</v>
      </c>
      <c r="AM803" s="1" t="s">
        <v>1249</v>
      </c>
    </row>
    <row r="804">
      <c r="E804" s="1" t="s">
        <v>353</v>
      </c>
      <c r="F804" s="6" t="str">
        <f>IFERROR(__xludf.DUMMYFUNCTION("""COMPUTED_VALUE"""),"employs")</f>
        <v>employs</v>
      </c>
      <c r="H804" s="1" t="s">
        <v>489</v>
      </c>
      <c r="I804" s="6" t="str">
        <f>IFERROR(__xludf.DUMMYFUNCTION("""COMPUTED_VALUE"""),"enthusiasm")</f>
        <v>enthusiasm</v>
      </c>
      <c r="P804" s="1" t="s">
        <v>3425</v>
      </c>
      <c r="S804" s="1" t="s">
        <v>3426</v>
      </c>
      <c r="T804" s="6" t="str">
        <f>IFERROR(__xludf.DUMMYFUNCTION("""COMPUTED_VALUE"""),"place")</f>
        <v>place</v>
      </c>
      <c r="W804" s="8"/>
      <c r="AJ804" s="1" t="s">
        <v>966</v>
      </c>
      <c r="AM804" s="1" t="s">
        <v>3427</v>
      </c>
    </row>
    <row r="805">
      <c r="E805" s="1" t="s">
        <v>701</v>
      </c>
      <c r="F805" s="6" t="str">
        <f>IFERROR(__xludf.DUMMYFUNCTION("""COMPUTED_VALUE"""),"strangely")</f>
        <v>strangely</v>
      </c>
      <c r="H805" s="1" t="s">
        <v>3146</v>
      </c>
      <c r="I805" s="6" t="str">
        <f>IFERROR(__xludf.DUMMYFUNCTION("""COMPUTED_VALUE"""),"protagonists")</f>
        <v>protagonists</v>
      </c>
      <c r="P805" s="1" t="s">
        <v>3428</v>
      </c>
      <c r="S805" s="1" t="s">
        <v>3429</v>
      </c>
      <c r="T805" s="6" t="str">
        <f>IFERROR(__xludf.DUMMYFUNCTION("""COMPUTED_VALUE"""),"dreams")</f>
        <v>dreams</v>
      </c>
      <c r="W805" s="8"/>
      <c r="AJ805" s="1" t="s">
        <v>1868</v>
      </c>
      <c r="AM805" s="1" t="s">
        <v>2053</v>
      </c>
    </row>
    <row r="806">
      <c r="E806" s="1" t="s">
        <v>3430</v>
      </c>
      <c r="F806" s="6" t="str">
        <f>IFERROR(__xludf.DUMMYFUNCTION("""COMPUTED_VALUE"""),"cute")</f>
        <v>cute</v>
      </c>
      <c r="H806" s="1" t="s">
        <v>1931</v>
      </c>
      <c r="I806" s="6" t="str">
        <f>IFERROR(__xludf.DUMMYFUNCTION("""COMPUTED_VALUE"""),"shoot")</f>
        <v>shoot</v>
      </c>
      <c r="P806" s="1" t="s">
        <v>3431</v>
      </c>
      <c r="S806" s="1" t="s">
        <v>3432</v>
      </c>
      <c r="T806" s="6" t="str">
        <f>IFERROR(__xludf.DUMMYFUNCTION("""COMPUTED_VALUE"""),"spy")</f>
        <v>spy</v>
      </c>
      <c r="W806" s="8"/>
      <c r="AJ806" s="1" t="s">
        <v>3128</v>
      </c>
      <c r="AM806" s="1" t="s">
        <v>1167</v>
      </c>
    </row>
    <row r="807">
      <c r="E807" s="1" t="s">
        <v>1096</v>
      </c>
      <c r="F807" s="6" t="str">
        <f>IFERROR(__xludf.DUMMYFUNCTION("""COMPUTED_VALUE"""),"liberties")</f>
        <v>liberties</v>
      </c>
      <c r="H807" s="1" t="s">
        <v>496</v>
      </c>
      <c r="I807" s="6" t="str">
        <f>IFERROR(__xludf.DUMMYFUNCTION("""COMPUTED_VALUE"""),"head")</f>
        <v>head</v>
      </c>
      <c r="P807" s="1" t="s">
        <v>3433</v>
      </c>
      <c r="S807" s="1" t="s">
        <v>3434</v>
      </c>
      <c r="T807" s="6" t="str">
        <f>IFERROR(__xludf.DUMMYFUNCTION("""COMPUTED_VALUE"""),"khan")</f>
        <v>khan</v>
      </c>
      <c r="W807" s="8"/>
      <c r="AJ807" s="1" t="s">
        <v>1872</v>
      </c>
      <c r="AM807" s="1" t="s">
        <v>551</v>
      </c>
    </row>
    <row r="808">
      <c r="E808" s="1" t="s">
        <v>2351</v>
      </c>
      <c r="F808" s="6" t="str">
        <f>IFERROR(__xludf.DUMMYFUNCTION("""COMPUTED_VALUE"""),"cheat")</f>
        <v>cheat</v>
      </c>
      <c r="H808" s="1" t="s">
        <v>1918</v>
      </c>
      <c r="I808" s="6" t="str">
        <f>IFERROR(__xludf.DUMMYFUNCTION("""COMPUTED_VALUE"""),"kill")</f>
        <v>kill</v>
      </c>
      <c r="P808" s="1" t="s">
        <v>1711</v>
      </c>
      <c r="S808" s="1" t="s">
        <v>1396</v>
      </c>
      <c r="T808" s="6" t="str">
        <f>IFERROR(__xludf.DUMMYFUNCTION("""COMPUTED_VALUE"""),"vu")</f>
        <v>vu</v>
      </c>
      <c r="W808" s="8"/>
      <c r="AJ808" s="1" t="s">
        <v>1877</v>
      </c>
      <c r="AM808" s="1" t="s">
        <v>3435</v>
      </c>
    </row>
    <row r="809">
      <c r="E809" s="1" t="s">
        <v>788</v>
      </c>
      <c r="F809" s="6" t="str">
        <f>IFERROR(__xludf.DUMMYFUNCTION("""COMPUTED_VALUE"""),"fisher")</f>
        <v>fisher</v>
      </c>
      <c r="H809" s="1" t="s">
        <v>1936</v>
      </c>
      <c r="I809" s="6" t="str">
        <f>IFERROR(__xludf.DUMMYFUNCTION("""COMPUTED_VALUE"""),"murder")</f>
        <v>murder</v>
      </c>
      <c r="P809" s="1" t="s">
        <v>1180</v>
      </c>
      <c r="S809" s="1" t="s">
        <v>3436</v>
      </c>
      <c r="T809" s="6" t="str">
        <f>IFERROR(__xludf.DUMMYFUNCTION("""COMPUTED_VALUE"""),"generation")</f>
        <v>generation</v>
      </c>
      <c r="W809" s="8"/>
      <c r="AJ809" s="1" t="s">
        <v>1882</v>
      </c>
      <c r="AM809" s="1" t="s">
        <v>2894</v>
      </c>
    </row>
    <row r="810">
      <c r="E810" s="1" t="s">
        <v>2363</v>
      </c>
      <c r="F810" s="6" t="str">
        <f>IFERROR(__xludf.DUMMYFUNCTION("""COMPUTED_VALUE"""),"mcgrath")</f>
        <v>mcgrath</v>
      </c>
      <c r="H810" s="1" t="s">
        <v>2684</v>
      </c>
      <c r="I810" s="6" t="str">
        <f>IFERROR(__xludf.DUMMYFUNCTION("""COMPUTED_VALUE"""),"remarkably")</f>
        <v>remarkably</v>
      </c>
      <c r="P810" s="1" t="s">
        <v>3437</v>
      </c>
      <c r="S810" s="1" t="s">
        <v>3438</v>
      </c>
      <c r="T810" s="6" t="str">
        <f>IFERROR(__xludf.DUMMYFUNCTION("""COMPUTED_VALUE"""),"episodes")</f>
        <v>episodes</v>
      </c>
      <c r="W810" s="8"/>
      <c r="AJ810" s="1" t="s">
        <v>3439</v>
      </c>
      <c r="AM810" s="1" t="s">
        <v>464</v>
      </c>
    </row>
    <row r="811">
      <c r="E811" s="1" t="s">
        <v>2375</v>
      </c>
      <c r="F811" s="6" t="str">
        <f>IFERROR(__xludf.DUMMYFUNCTION("""COMPUTED_VALUE"""),"odyssey")</f>
        <v>odyssey</v>
      </c>
      <c r="H811" s="1" t="s">
        <v>1690</v>
      </c>
      <c r="I811" s="6" t="str">
        <f>IFERROR(__xludf.DUMMYFUNCTION("""COMPUTED_VALUE"""),"insistent")</f>
        <v>insistent</v>
      </c>
      <c r="P811" s="1" t="s">
        <v>78</v>
      </c>
      <c r="S811" s="1" t="s">
        <v>3440</v>
      </c>
      <c r="T811" s="6" t="str">
        <f>IFERROR(__xludf.DUMMYFUNCTION("""COMPUTED_VALUE"""),"bile")</f>
        <v>bile</v>
      </c>
      <c r="W811" s="8"/>
      <c r="AJ811" s="1" t="s">
        <v>3441</v>
      </c>
      <c r="AM811" s="1" t="s">
        <v>560</v>
      </c>
    </row>
    <row r="812">
      <c r="E812" s="1" t="s">
        <v>2373</v>
      </c>
      <c r="F812" s="6" t="str">
        <f>IFERROR(__xludf.DUMMYFUNCTION("""COMPUTED_VALUE"""),"hopkins")</f>
        <v>hopkins</v>
      </c>
      <c r="H812" s="1" t="s">
        <v>1941</v>
      </c>
      <c r="I812" s="6" t="str">
        <f>IFERROR(__xludf.DUMMYFUNCTION("""COMPUTED_VALUE"""),"nausea")</f>
        <v>nausea</v>
      </c>
      <c r="P812" s="1" t="s">
        <v>97</v>
      </c>
      <c r="S812" s="1" t="s">
        <v>2755</v>
      </c>
      <c r="T812" s="6" t="str">
        <f>IFERROR(__xludf.DUMMYFUNCTION("""COMPUTED_VALUE"""),"amused")</f>
        <v>amused</v>
      </c>
      <c r="W812" s="8"/>
      <c r="AJ812" s="1" t="s">
        <v>79</v>
      </c>
      <c r="AM812" s="1" t="s">
        <v>3442</v>
      </c>
    </row>
    <row r="813">
      <c r="E813" s="1" t="s">
        <v>566</v>
      </c>
      <c r="F813" s="6" t="str">
        <f>IFERROR(__xludf.DUMMYFUNCTION("""COMPUTED_VALUE"""),"establishes")</f>
        <v>establishes</v>
      </c>
      <c r="H813" s="1" t="s">
        <v>1921</v>
      </c>
      <c r="I813" s="6" t="str">
        <f>IFERROR(__xludf.DUMMYFUNCTION("""COMPUTED_VALUE"""),"survival")</f>
        <v>survival</v>
      </c>
      <c r="P813" s="1" t="s">
        <v>3443</v>
      </c>
      <c r="S813" s="1" t="s">
        <v>3444</v>
      </c>
      <c r="T813" s="6" t="str">
        <f>IFERROR(__xludf.DUMMYFUNCTION("""COMPUTED_VALUE"""),"skill")</f>
        <v>skill</v>
      </c>
      <c r="W813" s="8"/>
      <c r="AJ813" s="1" t="s">
        <v>1889</v>
      </c>
      <c r="AM813" s="1" t="s">
        <v>2061</v>
      </c>
    </row>
    <row r="814">
      <c r="E814" s="1" t="s">
        <v>2391</v>
      </c>
      <c r="F814" s="6" t="str">
        <f>IFERROR(__xludf.DUMMYFUNCTION("""COMPUTED_VALUE"""),"metropolis")</f>
        <v>metropolis</v>
      </c>
      <c r="H814" s="1" t="s">
        <v>2474</v>
      </c>
      <c r="I814" s="6" t="str">
        <f>IFERROR(__xludf.DUMMYFUNCTION("""COMPUTED_VALUE"""),"psychological")</f>
        <v>psychological</v>
      </c>
      <c r="P814" s="1" t="s">
        <v>1656</v>
      </c>
      <c r="S814" s="1" t="s">
        <v>3445</v>
      </c>
      <c r="T814" s="6" t="str">
        <f>IFERROR(__xludf.DUMMYFUNCTION("""COMPUTED_VALUE"""),"entertained")</f>
        <v>entertained</v>
      </c>
      <c r="W814" s="8"/>
      <c r="AJ814" s="1" t="s">
        <v>3446</v>
      </c>
      <c r="AM814" s="1" t="s">
        <v>2901</v>
      </c>
    </row>
    <row r="815">
      <c r="E815" s="1" t="s">
        <v>99</v>
      </c>
      <c r="F815" s="6" t="str">
        <f>IFERROR(__xludf.DUMMYFUNCTION("""COMPUTED_VALUE"""),"villain")</f>
        <v>villain</v>
      </c>
      <c r="H815" s="1" t="s">
        <v>1928</v>
      </c>
      <c r="I815" s="6" t="str">
        <f>IFERROR(__xludf.DUMMYFUNCTION("""COMPUTED_VALUE"""),"coherent")</f>
        <v>coherent</v>
      </c>
      <c r="P815" s="1" t="s">
        <v>3447</v>
      </c>
      <c r="S815" s="1" t="s">
        <v>3448</v>
      </c>
      <c r="T815" s="6" t="str">
        <f>IFERROR(__xludf.DUMMYFUNCTION("""COMPUTED_VALUE"""),"constructed")</f>
        <v>constructed</v>
      </c>
      <c r="W815" s="8"/>
      <c r="AJ815" s="1" t="s">
        <v>3449</v>
      </c>
      <c r="AM815" s="1" t="s">
        <v>2905</v>
      </c>
    </row>
    <row r="816">
      <c r="E816" s="1" t="s">
        <v>573</v>
      </c>
      <c r="F816" s="6" t="str">
        <f>IFERROR(__xludf.DUMMYFUNCTION("""COMPUTED_VALUE"""),"lavish")</f>
        <v>lavish</v>
      </c>
      <c r="H816" s="1" t="s">
        <v>2699</v>
      </c>
      <c r="I816" s="6" t="str">
        <f>IFERROR(__xludf.DUMMYFUNCTION("""COMPUTED_VALUE"""),"victories")</f>
        <v>victories</v>
      </c>
      <c r="P816" s="1" t="s">
        <v>3450</v>
      </c>
      <c r="S816" s="1" t="s">
        <v>2539</v>
      </c>
      <c r="T816" s="6" t="str">
        <f>IFERROR(__xludf.DUMMYFUNCTION("""COMPUTED_VALUE"""),"vampire")</f>
        <v>vampire</v>
      </c>
      <c r="W816" s="8"/>
      <c r="AJ816" s="1" t="s">
        <v>1893</v>
      </c>
      <c r="AM816" s="1" t="s">
        <v>3451</v>
      </c>
    </row>
    <row r="817">
      <c r="E817" s="1" t="s">
        <v>1114</v>
      </c>
      <c r="F817" s="6" t="str">
        <f>IFERROR(__xludf.DUMMYFUNCTION("""COMPUTED_VALUE"""),"let")</f>
        <v>let</v>
      </c>
      <c r="H817" s="1" t="s">
        <v>2703</v>
      </c>
      <c r="I817" s="6" t="str">
        <f>IFERROR(__xludf.DUMMYFUNCTION("""COMPUTED_VALUE"""),"bizarre")</f>
        <v>bizarre</v>
      </c>
      <c r="P817" s="1" t="s">
        <v>3452</v>
      </c>
      <c r="S817" s="1" t="s">
        <v>66</v>
      </c>
      <c r="T817" s="6" t="str">
        <f>IFERROR(__xludf.DUMMYFUNCTION("""COMPUTED_VALUE"""),"determined")</f>
        <v>determined</v>
      </c>
      <c r="W817" s="8"/>
      <c r="AJ817" s="1" t="s">
        <v>1172</v>
      </c>
      <c r="AM817" s="1" t="s">
        <v>871</v>
      </c>
    </row>
    <row r="818">
      <c r="E818" s="1" t="s">
        <v>3453</v>
      </c>
      <c r="F818" s="6" t="str">
        <f>IFERROR(__xludf.DUMMYFUNCTION("""COMPUTED_VALUE"""),"teacher")</f>
        <v>teacher</v>
      </c>
      <c r="H818" s="1" t="s">
        <v>1949</v>
      </c>
      <c r="I818" s="6" t="str">
        <f>IFERROR(__xludf.DUMMYFUNCTION("""COMPUTED_VALUE"""),"dynamics")</f>
        <v>dynamics</v>
      </c>
      <c r="P818" s="1" t="s">
        <v>3454</v>
      </c>
      <c r="S818" s="1" t="s">
        <v>3455</v>
      </c>
      <c r="T818" s="6" t="str">
        <f>IFERROR(__xludf.DUMMYFUNCTION("""COMPUTED_VALUE"""),"typical")</f>
        <v>typical</v>
      </c>
      <c r="W818" s="8"/>
      <c r="AJ818" s="1" t="s">
        <v>3456</v>
      </c>
      <c r="AM818" s="1" t="s">
        <v>2908</v>
      </c>
    </row>
    <row r="819">
      <c r="E819" s="1" t="s">
        <v>83</v>
      </c>
      <c r="F819" s="6" t="str">
        <f>IFERROR(__xludf.DUMMYFUNCTION("""COMPUTED_VALUE"""),"increasingly")</f>
        <v>increasingly</v>
      </c>
      <c r="H819" s="1" t="s">
        <v>2708</v>
      </c>
      <c r="I819" s="6" t="str">
        <f>IFERROR(__xludf.DUMMYFUNCTION("""COMPUTED_VALUE"""),"class")</f>
        <v>class</v>
      </c>
      <c r="P819" s="1" t="s">
        <v>3457</v>
      </c>
      <c r="S819" s="1" t="s">
        <v>1404</v>
      </c>
      <c r="T819" s="6" t="str">
        <f>IFERROR(__xludf.DUMMYFUNCTION("""COMPUTED_VALUE"""),"heavy")</f>
        <v>heavy</v>
      </c>
      <c r="W819" s="8"/>
      <c r="AJ819" s="1" t="s">
        <v>3085</v>
      </c>
      <c r="AM819" s="1" t="s">
        <v>2060</v>
      </c>
    </row>
    <row r="820">
      <c r="E820" s="1" t="s">
        <v>579</v>
      </c>
      <c r="F820" s="6" t="str">
        <f>IFERROR(__xludf.DUMMYFUNCTION("""COMPUTED_VALUE"""),"plotting")</f>
        <v>plotting</v>
      </c>
      <c r="H820" s="1" t="s">
        <v>3356</v>
      </c>
      <c r="I820" s="6" t="str">
        <f>IFERROR(__xludf.DUMMYFUNCTION("""COMPUTED_VALUE"""),"cheap")</f>
        <v>cheap</v>
      </c>
      <c r="P820" s="1" t="s">
        <v>1516</v>
      </c>
      <c r="S820" s="1" t="s">
        <v>1622</v>
      </c>
      <c r="T820" s="6" t="str">
        <f>IFERROR(__xludf.DUMMYFUNCTION("""COMPUTED_VALUE"""),"fierce")</f>
        <v>fierce</v>
      </c>
      <c r="W820" s="8"/>
      <c r="AJ820" s="1" t="s">
        <v>3081</v>
      </c>
      <c r="AM820" s="1" t="s">
        <v>2068</v>
      </c>
    </row>
    <row r="821">
      <c r="E821" s="1" t="s">
        <v>3458</v>
      </c>
      <c r="F821" s="6" t="str">
        <f>IFERROR(__xludf.DUMMYFUNCTION("""COMPUTED_VALUE"""),"reduces")</f>
        <v>reduces</v>
      </c>
      <c r="H821" s="1" t="s">
        <v>3181</v>
      </c>
      <c r="I821" s="6" t="str">
        <f>IFERROR(__xludf.DUMMYFUNCTION("""COMPUTED_VALUE"""),"morning")</f>
        <v>morning</v>
      </c>
      <c r="P821" s="1" t="s">
        <v>2244</v>
      </c>
      <c r="S821" s="1" t="s">
        <v>1110</v>
      </c>
      <c r="T821" s="6" t="str">
        <f>IFERROR(__xludf.DUMMYFUNCTION("""COMPUTED_VALUE"""),"crippled")</f>
        <v>crippled</v>
      </c>
      <c r="W821" s="8"/>
      <c r="AJ821" s="1" t="s">
        <v>3459</v>
      </c>
      <c r="AM821" s="1" t="s">
        <v>2072</v>
      </c>
    </row>
    <row r="822">
      <c r="E822" s="1" t="s">
        <v>3460</v>
      </c>
      <c r="F822" s="6" t="str">
        <f>IFERROR(__xludf.DUMMYFUNCTION("""COMPUTED_VALUE"""),"specimen")</f>
        <v>specimen</v>
      </c>
      <c r="H822" s="1" t="s">
        <v>2005</v>
      </c>
      <c r="I822" s="6" t="str">
        <f>IFERROR(__xludf.DUMMYFUNCTION("""COMPUTED_VALUE"""),"brightly")</f>
        <v>brightly</v>
      </c>
      <c r="P822" s="1" t="s">
        <v>176</v>
      </c>
      <c r="S822" s="1" t="s">
        <v>3461</v>
      </c>
      <c r="T822" s="6" t="str">
        <f>IFERROR(__xludf.DUMMYFUNCTION("""COMPUTED_VALUE"""),"tragedy")</f>
        <v>tragedy</v>
      </c>
      <c r="W822" s="8"/>
      <c r="AJ822" s="1" t="s">
        <v>3462</v>
      </c>
      <c r="AM822" s="1" t="s">
        <v>2078</v>
      </c>
    </row>
    <row r="823">
      <c r="E823" s="1" t="s">
        <v>3463</v>
      </c>
      <c r="F823" s="6" t="str">
        <f>IFERROR(__xludf.DUMMYFUNCTION("""COMPUTED_VALUE"""),"shrill")</f>
        <v>shrill</v>
      </c>
      <c r="H823" s="1" t="s">
        <v>405</v>
      </c>
      <c r="I823" s="6" t="str">
        <f>IFERROR(__xludf.DUMMYFUNCTION("""COMPUTED_VALUE"""),"british")</f>
        <v>british</v>
      </c>
      <c r="P823" s="1" t="s">
        <v>3464</v>
      </c>
      <c r="S823" s="1" t="s">
        <v>3417</v>
      </c>
      <c r="T823" s="6" t="str">
        <f>IFERROR(__xludf.DUMMYFUNCTION("""COMPUTED_VALUE"""),"past")</f>
        <v>past</v>
      </c>
      <c r="W823" s="8"/>
      <c r="AJ823" s="1" t="s">
        <v>3465</v>
      </c>
      <c r="AM823" s="1" t="s">
        <v>2928</v>
      </c>
    </row>
    <row r="824">
      <c r="E824" s="1" t="s">
        <v>3466</v>
      </c>
      <c r="F824" s="6" t="str">
        <f>IFERROR(__xludf.DUMMYFUNCTION("""COMPUTED_VALUE"""),"sinister")</f>
        <v>sinister</v>
      </c>
      <c r="H824" s="1" t="s">
        <v>416</v>
      </c>
      <c r="I824" s="6" t="str">
        <f>IFERROR(__xludf.DUMMYFUNCTION("""COMPUTED_VALUE"""),"actor")</f>
        <v>actor</v>
      </c>
      <c r="P824" s="1" t="s">
        <v>3467</v>
      </c>
      <c r="S824" s="1" t="s">
        <v>3468</v>
      </c>
      <c r="T824" s="6" t="str">
        <f>IFERROR(__xludf.DUMMYFUNCTION("""COMPUTED_VALUE"""),"repetitive")</f>
        <v>repetitive</v>
      </c>
      <c r="W824" s="8"/>
      <c r="AJ824" s="1" t="s">
        <v>3469</v>
      </c>
      <c r="AM824" s="1" t="s">
        <v>2081</v>
      </c>
    </row>
    <row r="825">
      <c r="E825" s="1" t="s">
        <v>3470</v>
      </c>
      <c r="F825" s="6" t="str">
        <f>IFERROR(__xludf.DUMMYFUNCTION("""COMPUTED_VALUE"""),"aground")</f>
        <v>aground</v>
      </c>
      <c r="H825" s="1" t="s">
        <v>2717</v>
      </c>
      <c r="I825" s="6" t="str">
        <f>IFERROR(__xludf.DUMMYFUNCTION("""COMPUTED_VALUE"""),"playful")</f>
        <v>playful</v>
      </c>
      <c r="P825" s="1" t="s">
        <v>3471</v>
      </c>
      <c r="S825" s="1" t="s">
        <v>3472</v>
      </c>
      <c r="T825" s="6" t="str">
        <f>IFERROR(__xludf.DUMMYFUNCTION("""COMPUTED_VALUE"""),"adventures")</f>
        <v>adventures</v>
      </c>
      <c r="W825" s="8"/>
      <c r="AJ825" s="1" t="s">
        <v>3473</v>
      </c>
      <c r="AM825" s="1" t="s">
        <v>3474</v>
      </c>
    </row>
    <row r="826">
      <c r="E826" s="1" t="s">
        <v>2401</v>
      </c>
      <c r="F826" s="6" t="str">
        <f>IFERROR(__xludf.DUMMYFUNCTION("""COMPUTED_VALUE"""),"painfully")</f>
        <v>painfully</v>
      </c>
      <c r="H826" s="1" t="s">
        <v>423</v>
      </c>
      <c r="I826" s="6" t="str">
        <f>IFERROR(__xludf.DUMMYFUNCTION("""COMPUTED_VALUE"""),"nicholas")</f>
        <v>nicholas</v>
      </c>
      <c r="P826" s="1" t="s">
        <v>390</v>
      </c>
      <c r="S826" s="1" t="s">
        <v>3475</v>
      </c>
      <c r="T826" s="6" t="str">
        <f>IFERROR(__xludf.DUMMYFUNCTION("""COMPUTED_VALUE"""),"fallen")</f>
        <v>fallen</v>
      </c>
      <c r="W826" s="8"/>
      <c r="AJ826" s="1" t="s">
        <v>3476</v>
      </c>
      <c r="AM826" s="1" t="s">
        <v>878</v>
      </c>
    </row>
    <row r="827">
      <c r="E827" s="1" t="s">
        <v>3477</v>
      </c>
      <c r="F827" s="6" t="str">
        <f>IFERROR(__xludf.DUMMYFUNCTION("""COMPUTED_VALUE"""),"roberts")</f>
        <v>roberts</v>
      </c>
      <c r="H827" s="1" t="s">
        <v>1944</v>
      </c>
      <c r="I827" s="6" t="str">
        <f>IFERROR(__xludf.DUMMYFUNCTION("""COMPUTED_VALUE"""),"optimistic")</f>
        <v>optimistic</v>
      </c>
      <c r="P827" s="1" t="s">
        <v>3478</v>
      </c>
      <c r="S827" s="1" t="s">
        <v>3479</v>
      </c>
      <c r="T827" s="6" t="str">
        <f>IFERROR(__xludf.DUMMYFUNCTION("""COMPUTED_VALUE"""),"spell")</f>
        <v>spell</v>
      </c>
      <c r="W827" s="8"/>
      <c r="AJ827" s="1" t="s">
        <v>1178</v>
      </c>
      <c r="AM827" s="1" t="s">
        <v>2087</v>
      </c>
    </row>
    <row r="828">
      <c r="E828" s="1" t="s">
        <v>2388</v>
      </c>
      <c r="F828" s="6" t="str">
        <f>IFERROR(__xludf.DUMMYFUNCTION("""COMPUTED_VALUE"""),"workshop")</f>
        <v>workshop</v>
      </c>
      <c r="H828" s="1" t="s">
        <v>2725</v>
      </c>
      <c r="I828" s="6" t="str">
        <f>IFERROR(__xludf.DUMMYFUNCTION("""COMPUTED_VALUE"""),"smarter")</f>
        <v>smarter</v>
      </c>
      <c r="P828" s="1" t="s">
        <v>3480</v>
      </c>
      <c r="S828" s="1" t="s">
        <v>3481</v>
      </c>
      <c r="T828" s="6" t="str">
        <f>IFERROR(__xludf.DUMMYFUNCTION("""COMPUTED_VALUE"""),"brutally")</f>
        <v>brutally</v>
      </c>
      <c r="W828" s="8"/>
      <c r="AJ828" s="1" t="s">
        <v>3482</v>
      </c>
      <c r="AM828" s="1" t="s">
        <v>2065</v>
      </c>
    </row>
    <row r="829">
      <c r="E829" s="1" t="s">
        <v>2385</v>
      </c>
      <c r="F829" s="6" t="str">
        <f>IFERROR(__xludf.DUMMYFUNCTION("""COMPUTED_VALUE"""),"grasping")</f>
        <v>grasping</v>
      </c>
      <c r="H829" s="1" t="s">
        <v>1978</v>
      </c>
      <c r="I829" s="6" t="str">
        <f>IFERROR(__xludf.DUMMYFUNCTION("""COMPUTED_VALUE"""),"pack")</f>
        <v>pack</v>
      </c>
      <c r="P829" s="1" t="s">
        <v>2270</v>
      </c>
      <c r="S829" s="1" t="s">
        <v>3483</v>
      </c>
      <c r="T829" s="6" t="str">
        <f>IFERROR(__xludf.DUMMYFUNCTION("""COMPUTED_VALUE"""),"tolerate")</f>
        <v>tolerate</v>
      </c>
      <c r="W829" s="8"/>
      <c r="AJ829" s="1" t="s">
        <v>1899</v>
      </c>
      <c r="AM829" s="1" t="s">
        <v>29</v>
      </c>
    </row>
    <row r="830">
      <c r="E830" s="1" t="s">
        <v>2405</v>
      </c>
      <c r="F830" s="6" t="str">
        <f>IFERROR(__xludf.DUMMYFUNCTION("""COMPUTED_VALUE"""),"resemble")</f>
        <v>resemble</v>
      </c>
      <c r="H830" s="1" t="s">
        <v>3484</v>
      </c>
      <c r="I830" s="6" t="str">
        <f>IFERROR(__xludf.DUMMYFUNCTION("""COMPUTED_VALUE"""),"couple")</f>
        <v>couple</v>
      </c>
      <c r="P830" s="1" t="s">
        <v>2527</v>
      </c>
      <c r="S830" s="1" t="s">
        <v>3485</v>
      </c>
      <c r="T830" s="6" t="str">
        <f>IFERROR(__xludf.DUMMYFUNCTION("""COMPUTED_VALUE"""),"except")</f>
        <v>except</v>
      </c>
      <c r="W830" s="8"/>
      <c r="AJ830" s="1" t="s">
        <v>3486</v>
      </c>
      <c r="AM830" s="1" t="s">
        <v>2941</v>
      </c>
    </row>
    <row r="831">
      <c r="E831" s="1" t="s">
        <v>3487</v>
      </c>
      <c r="F831" s="6" t="str">
        <f>IFERROR(__xludf.DUMMYFUNCTION("""COMPUTED_VALUE"""),"vigorously")</f>
        <v>vigorously</v>
      </c>
      <c r="H831" s="1" t="s">
        <v>3488</v>
      </c>
      <c r="I831" s="6" t="str">
        <f>IFERROR(__xludf.DUMMYFUNCTION("""COMPUTED_VALUE"""),"measured")</f>
        <v>measured</v>
      </c>
      <c r="P831" s="1" t="s">
        <v>3489</v>
      </c>
      <c r="S831" s="1" t="s">
        <v>3490</v>
      </c>
      <c r="T831" s="6" t="str">
        <f>IFERROR(__xludf.DUMMYFUNCTION("""COMPUTED_VALUE"""),"breadth")</f>
        <v>breadth</v>
      </c>
      <c r="W831" s="8"/>
      <c r="AJ831" s="1" t="s">
        <v>1185</v>
      </c>
      <c r="AM831" s="1" t="s">
        <v>3491</v>
      </c>
    </row>
    <row r="832">
      <c r="E832" s="1" t="s">
        <v>1242</v>
      </c>
      <c r="F832" s="6" t="str">
        <f>IFERROR(__xludf.DUMMYFUNCTION("""COMPUTED_VALUE"""),"experimentation")</f>
        <v>experimentation</v>
      </c>
      <c r="H832" s="1" t="s">
        <v>3492</v>
      </c>
      <c r="I832" s="6" t="str">
        <f>IFERROR(__xludf.DUMMYFUNCTION("""COMPUTED_VALUE"""),"plainly")</f>
        <v>plainly</v>
      </c>
      <c r="P832" s="1" t="s">
        <v>409</v>
      </c>
      <c r="S832" s="1" t="s">
        <v>3493</v>
      </c>
      <c r="T832" s="6" t="str">
        <f>IFERROR(__xludf.DUMMYFUNCTION("""COMPUTED_VALUE"""),"upper")</f>
        <v>upper</v>
      </c>
      <c r="W832" s="8"/>
      <c r="AJ832" s="1" t="s">
        <v>1903</v>
      </c>
      <c r="AM832" s="1" t="s">
        <v>2092</v>
      </c>
    </row>
    <row r="833">
      <c r="E833" s="1" t="s">
        <v>706</v>
      </c>
      <c r="F833" s="6" t="str">
        <f>IFERROR(__xludf.DUMMYFUNCTION("""COMPUTED_VALUE"""),"improvisation")</f>
        <v>improvisation</v>
      </c>
      <c r="H833" s="1" t="s">
        <v>2412</v>
      </c>
      <c r="I833" s="6" t="str">
        <f>IFERROR(__xludf.DUMMYFUNCTION("""COMPUTED_VALUE"""),"figure")</f>
        <v>figure</v>
      </c>
      <c r="P833" s="1" t="s">
        <v>3494</v>
      </c>
      <c r="S833" s="1" t="s">
        <v>2531</v>
      </c>
      <c r="T833" s="6" t="str">
        <f>IFERROR(__xludf.DUMMYFUNCTION("""COMPUTED_VALUE"""),"vision")</f>
        <v>vision</v>
      </c>
      <c r="W833" s="8"/>
      <c r="AJ833" s="1" t="s">
        <v>3495</v>
      </c>
      <c r="AM833" s="1" t="s">
        <v>2616</v>
      </c>
    </row>
    <row r="834">
      <c r="E834" s="1" t="s">
        <v>3496</v>
      </c>
      <c r="F834" s="6" t="str">
        <f>IFERROR(__xludf.DUMMYFUNCTION("""COMPUTED_VALUE"""),"certain")</f>
        <v>certain</v>
      </c>
      <c r="H834" s="1" t="s">
        <v>430</v>
      </c>
      <c r="I834" s="6" t="str">
        <f>IFERROR(__xludf.DUMMYFUNCTION("""COMPUTED_VALUE"""),"behold")</f>
        <v>behold</v>
      </c>
      <c r="P834" s="1" t="s">
        <v>1530</v>
      </c>
      <c r="S834" s="1" t="s">
        <v>345</v>
      </c>
      <c r="T834" s="6" t="str">
        <f>IFERROR(__xludf.DUMMYFUNCTION("""COMPUTED_VALUE"""),"poverty")</f>
        <v>poverty</v>
      </c>
      <c r="W834" s="8"/>
      <c r="AJ834" s="1" t="s">
        <v>3497</v>
      </c>
      <c r="AM834" s="1" t="s">
        <v>3498</v>
      </c>
    </row>
    <row r="835">
      <c r="E835" s="1" t="s">
        <v>3499</v>
      </c>
      <c r="F835" s="6" t="str">
        <f>IFERROR(__xludf.DUMMYFUNCTION("""COMPUTED_VALUE"""),"ceremonies")</f>
        <v>ceremonies</v>
      </c>
      <c r="H835" s="1" t="s">
        <v>1984</v>
      </c>
      <c r="I835" s="6" t="str">
        <f>IFERROR(__xludf.DUMMYFUNCTION("""COMPUTED_VALUE"""),"permits")</f>
        <v>permits</v>
      </c>
      <c r="P835" s="1" t="s">
        <v>3500</v>
      </c>
      <c r="S835" s="1" t="s">
        <v>3501</v>
      </c>
      <c r="T835" s="6" t="str">
        <f>IFERROR(__xludf.DUMMYFUNCTION("""COMPUTED_VALUE"""),"enthusiasm")</f>
        <v>enthusiasm</v>
      </c>
      <c r="W835" s="8"/>
      <c r="AJ835" s="1" t="s">
        <v>3502</v>
      </c>
      <c r="AM835" s="1" t="s">
        <v>472</v>
      </c>
    </row>
    <row r="836">
      <c r="E836" s="1" t="s">
        <v>2408</v>
      </c>
      <c r="F836" s="6" t="str">
        <f>IFERROR(__xludf.DUMMYFUNCTION("""COMPUTED_VALUE"""),"crises")</f>
        <v>crises</v>
      </c>
      <c r="H836" s="1" t="s">
        <v>1951</v>
      </c>
      <c r="I836" s="6" t="str">
        <f>IFERROR(__xludf.DUMMYFUNCTION("""COMPUTED_VALUE"""),"acute")</f>
        <v>acute</v>
      </c>
      <c r="P836" s="1" t="s">
        <v>3503</v>
      </c>
      <c r="S836" s="1" t="s">
        <v>3504</v>
      </c>
      <c r="T836" s="6" t="str">
        <f>IFERROR(__xludf.DUMMYFUNCTION("""COMPUTED_VALUE"""),"evident")</f>
        <v>evident</v>
      </c>
      <c r="W836" s="8"/>
      <c r="AJ836" s="1" t="s">
        <v>3505</v>
      </c>
      <c r="AM836" s="1" t="s">
        <v>552</v>
      </c>
    </row>
    <row r="837">
      <c r="E837" s="1" t="s">
        <v>2411</v>
      </c>
      <c r="F837" s="6" t="b">
        <f>IFERROR(__xludf.DUMMYFUNCTION("""COMPUTED_VALUE"""),FALSE)</f>
        <v>0</v>
      </c>
      <c r="H837" s="1" t="s">
        <v>1957</v>
      </c>
      <c r="I837" s="6" t="str">
        <f>IFERROR(__xludf.DUMMYFUNCTION("""COMPUTED_VALUE"""),"splendid")</f>
        <v>splendid</v>
      </c>
      <c r="P837" s="1" t="s">
        <v>3506</v>
      </c>
      <c r="S837" s="1" t="s">
        <v>3507</v>
      </c>
      <c r="T837" s="6" t="str">
        <f>IFERROR(__xludf.DUMMYFUNCTION("""COMPUTED_VALUE"""),"shoot")</f>
        <v>shoot</v>
      </c>
      <c r="W837" s="8"/>
      <c r="AJ837" s="1" t="s">
        <v>1906</v>
      </c>
      <c r="AM837" s="1" t="s">
        <v>480</v>
      </c>
    </row>
    <row r="838">
      <c r="E838" s="1" t="s">
        <v>2066</v>
      </c>
      <c r="F838" s="6" t="str">
        <f>IFERROR(__xludf.DUMMYFUNCTION("""COMPUTED_VALUE"""),"weight")</f>
        <v>weight</v>
      </c>
      <c r="H838" s="1" t="s">
        <v>503</v>
      </c>
      <c r="I838" s="6" t="str">
        <f>IFERROR(__xludf.DUMMYFUNCTION("""COMPUTED_VALUE"""),"absorbing")</f>
        <v>absorbing</v>
      </c>
      <c r="P838" s="1" t="s">
        <v>2674</v>
      </c>
      <c r="S838" s="1">
        <v>99.0</v>
      </c>
      <c r="T838" s="6" t="str">
        <f>IFERROR(__xludf.DUMMYFUNCTION("""COMPUTED_VALUE"""),"head")</f>
        <v>head</v>
      </c>
      <c r="W838" s="8"/>
      <c r="AJ838" s="1" t="s">
        <v>3508</v>
      </c>
      <c r="AM838" s="1" t="s">
        <v>3509</v>
      </c>
    </row>
    <row r="839">
      <c r="E839" s="1" t="s">
        <v>713</v>
      </c>
      <c r="F839" s="6" t="str">
        <f>IFERROR(__xludf.DUMMYFUNCTION("""COMPUTED_VALUE"""),"devices")</f>
        <v>devices</v>
      </c>
      <c r="H839" s="1" t="s">
        <v>1986</v>
      </c>
      <c r="I839" s="6" t="str">
        <f>IFERROR(__xludf.DUMMYFUNCTION("""COMPUTED_VALUE"""),"spirituality")</f>
        <v>spirituality</v>
      </c>
      <c r="P839" s="1" t="s">
        <v>3510</v>
      </c>
      <c r="S839" s="1" t="s">
        <v>3511</v>
      </c>
      <c r="T839" s="6" t="str">
        <f>IFERROR(__xludf.DUMMYFUNCTION("""COMPUTED_VALUE"""),"taken")</f>
        <v>taken</v>
      </c>
      <c r="W839" s="8"/>
      <c r="AJ839" s="1" t="s">
        <v>1912</v>
      </c>
      <c r="AM839" s="1" t="s">
        <v>2973</v>
      </c>
    </row>
    <row r="840">
      <c r="E840" s="1" t="s">
        <v>2423</v>
      </c>
      <c r="F840" s="6" t="str">
        <f>IFERROR(__xludf.DUMMYFUNCTION("""COMPUTED_VALUE"""),"fundamentally")</f>
        <v>fundamentally</v>
      </c>
      <c r="H840" s="1" t="s">
        <v>2737</v>
      </c>
      <c r="I840" s="6" t="str">
        <f>IFERROR(__xludf.DUMMYFUNCTION("""COMPUTED_VALUE"""),"treatise")</f>
        <v>treatise</v>
      </c>
      <c r="P840" s="1" t="s">
        <v>3512</v>
      </c>
      <c r="S840" s="1" t="s">
        <v>50</v>
      </c>
      <c r="T840" s="6" t="str">
        <f>IFERROR(__xludf.DUMMYFUNCTION("""COMPUTED_VALUE"""),"kill")</f>
        <v>kill</v>
      </c>
      <c r="W840" s="8"/>
      <c r="AJ840" s="1" t="s">
        <v>304</v>
      </c>
      <c r="AM840" s="1" t="s">
        <v>3513</v>
      </c>
    </row>
    <row r="841">
      <c r="E841" s="1" t="s">
        <v>2414</v>
      </c>
      <c r="F841" s="6" t="str">
        <f>IFERROR(__xludf.DUMMYFUNCTION("""COMPUTED_VALUE"""),"conventional")</f>
        <v>conventional</v>
      </c>
      <c r="H841" s="1" t="s">
        <v>2740</v>
      </c>
      <c r="I841" s="6" t="str">
        <f>IFERROR(__xludf.DUMMYFUNCTION("""COMPUTED_VALUE"""),"liberation")</f>
        <v>liberation</v>
      </c>
      <c r="P841" s="1" t="s">
        <v>2548</v>
      </c>
      <c r="S841" s="1" t="s">
        <v>3514</v>
      </c>
      <c r="T841" s="6" t="str">
        <f>IFERROR(__xludf.DUMMYFUNCTION("""COMPUTED_VALUE"""),"murder")</f>
        <v>murder</v>
      </c>
      <c r="W841" s="8"/>
      <c r="AJ841" s="1" t="s">
        <v>3515</v>
      </c>
      <c r="AM841" s="1" t="s">
        <v>3516</v>
      </c>
    </row>
    <row r="842">
      <c r="E842" s="1" t="s">
        <v>2430</v>
      </c>
      <c r="F842" s="6" t="str">
        <f>IFERROR(__xludf.DUMMYFUNCTION("""COMPUTED_VALUE"""),"manhattan")</f>
        <v>manhattan</v>
      </c>
      <c r="H842" s="1" t="s">
        <v>2743</v>
      </c>
      <c r="I842" s="6" t="str">
        <f>IFERROR(__xludf.DUMMYFUNCTION("""COMPUTED_VALUE"""),"childhood")</f>
        <v>childhood</v>
      </c>
      <c r="P842" s="1" t="s">
        <v>3517</v>
      </c>
      <c r="S842" s="1" t="s">
        <v>617</v>
      </c>
      <c r="T842" s="6" t="str">
        <f>IFERROR(__xludf.DUMMYFUNCTION("""COMPUTED_VALUE"""),"shepard")</f>
        <v>shepard</v>
      </c>
      <c r="W842" s="8"/>
      <c r="AJ842" s="1" t="s">
        <v>970</v>
      </c>
      <c r="AM842" s="1" t="s">
        <v>2982</v>
      </c>
    </row>
    <row r="843">
      <c r="E843" s="1" t="s">
        <v>586</v>
      </c>
      <c r="F843" s="6" t="str">
        <f>IFERROR(__xludf.DUMMYFUNCTION("""COMPUTED_VALUE"""),"skies")</f>
        <v>skies</v>
      </c>
      <c r="H843" s="1" t="s">
        <v>1963</v>
      </c>
      <c r="I843" s="6" t="str">
        <f>IFERROR(__xludf.DUMMYFUNCTION("""COMPUTED_VALUE"""),"writer")</f>
        <v>writer</v>
      </c>
      <c r="P843" s="1" t="s">
        <v>3518</v>
      </c>
      <c r="S843" s="1" t="s">
        <v>2709</v>
      </c>
      <c r="T843" s="6" t="str">
        <f>IFERROR(__xludf.DUMMYFUNCTION("""COMPUTED_VALUE"""),"remarkably")</f>
        <v>remarkably</v>
      </c>
      <c r="W843" s="8"/>
      <c r="AJ843" s="1" t="s">
        <v>3519</v>
      </c>
      <c r="AM843" s="1" t="s">
        <v>511</v>
      </c>
    </row>
    <row r="844">
      <c r="E844" s="1" t="s">
        <v>721</v>
      </c>
      <c r="F844" s="6" t="str">
        <f>IFERROR(__xludf.DUMMYFUNCTION("""COMPUTED_VALUE"""),"prevents")</f>
        <v>prevents</v>
      </c>
      <c r="H844" s="1" t="s">
        <v>1364</v>
      </c>
      <c r="I844" s="6" t="str">
        <f>IFERROR(__xludf.DUMMYFUNCTION("""COMPUTED_VALUE"""),"caine")</f>
        <v>caine</v>
      </c>
      <c r="P844" s="1" t="s">
        <v>1210</v>
      </c>
      <c r="S844" s="1" t="s">
        <v>2496</v>
      </c>
      <c r="T844" s="6" t="str">
        <f>IFERROR(__xludf.DUMMYFUNCTION("""COMPUTED_VALUE"""),"cheese")</f>
        <v>cheese</v>
      </c>
      <c r="W844" s="8"/>
      <c r="AJ844" s="1" t="s">
        <v>3520</v>
      </c>
      <c r="AM844" s="1" t="s">
        <v>487</v>
      </c>
    </row>
    <row r="845">
      <c r="E845" s="1" t="s">
        <v>2421</v>
      </c>
      <c r="F845" s="6" t="str">
        <f>IFERROR(__xludf.DUMMYFUNCTION("""COMPUTED_VALUE"""),"firing")</f>
        <v>firing</v>
      </c>
      <c r="H845" s="1" t="s">
        <v>1989</v>
      </c>
      <c r="I845" s="6" t="str">
        <f>IFERROR(__xludf.DUMMYFUNCTION("""COMPUTED_VALUE"""),"punching")</f>
        <v>punching</v>
      </c>
      <c r="P845" s="1" t="s">
        <v>3521</v>
      </c>
      <c r="S845" s="1" t="s">
        <v>3522</v>
      </c>
      <c r="T845" s="6" t="str">
        <f>IFERROR(__xludf.DUMMYFUNCTION("""COMPUTED_VALUE"""),"topic")</f>
        <v>topic</v>
      </c>
      <c r="W845" s="8"/>
      <c r="AJ845" s="1" t="s">
        <v>3523</v>
      </c>
      <c r="AM845" s="1" t="s">
        <v>3524</v>
      </c>
    </row>
    <row r="846">
      <c r="E846" s="1" t="s">
        <v>738</v>
      </c>
      <c r="F846" s="6" t="str">
        <f>IFERROR(__xludf.DUMMYFUNCTION("""COMPUTED_VALUE"""),"testimony")</f>
        <v>testimony</v>
      </c>
      <c r="H846" s="1" t="s">
        <v>1274</v>
      </c>
      <c r="I846" s="6" t="str">
        <f>IFERROR(__xludf.DUMMYFUNCTION("""COMPUTED_VALUE"""),"sweetheart")</f>
        <v>sweetheart</v>
      </c>
      <c r="P846" s="1" t="s">
        <v>3525</v>
      </c>
      <c r="S846" s="1" t="s">
        <v>383</v>
      </c>
      <c r="T846" s="6" t="str">
        <f>IFERROR(__xludf.DUMMYFUNCTION("""COMPUTED_VALUE"""),"chosen")</f>
        <v>chosen</v>
      </c>
      <c r="W846" s="8"/>
      <c r="AJ846" s="1" t="s">
        <v>3526</v>
      </c>
      <c r="AM846" s="1" t="s">
        <v>2106</v>
      </c>
    </row>
    <row r="847">
      <c r="E847" s="1" t="s">
        <v>3527</v>
      </c>
      <c r="F847" s="6" t="str">
        <f>IFERROR(__xludf.DUMMYFUNCTION("""COMPUTED_VALUE"""),"revolutionary")</f>
        <v>revolutionary</v>
      </c>
      <c r="H847" s="1" t="s">
        <v>2752</v>
      </c>
      <c r="I847" s="6" t="str">
        <f>IFERROR(__xludf.DUMMYFUNCTION("""COMPUTED_VALUE"""),"ultimately")</f>
        <v>ultimately</v>
      </c>
      <c r="P847" s="1" t="s">
        <v>3528</v>
      </c>
      <c r="S847" s="1" t="s">
        <v>3529</v>
      </c>
      <c r="T847" s="6" t="str">
        <f>IFERROR(__xludf.DUMMYFUNCTION("""COMPUTED_VALUE"""),"insistent")</f>
        <v>insistent</v>
      </c>
      <c r="W847" s="8"/>
      <c r="AJ847" s="1" t="s">
        <v>3530</v>
      </c>
      <c r="AM847" s="1" t="s">
        <v>2995</v>
      </c>
    </row>
    <row r="848">
      <c r="E848" s="1" t="s">
        <v>2443</v>
      </c>
      <c r="F848" s="6" t="str">
        <f>IFERROR(__xludf.DUMMYFUNCTION("""COMPUTED_VALUE"""),"obstacles")</f>
        <v>obstacles</v>
      </c>
      <c r="H848" s="1" t="s">
        <v>2755</v>
      </c>
      <c r="I848" s="6" t="str">
        <f>IFERROR(__xludf.DUMMYFUNCTION("""COMPUTED_VALUE"""),"reckless")</f>
        <v>reckless</v>
      </c>
      <c r="P848" s="1" t="s">
        <v>1347</v>
      </c>
      <c r="S848" s="1" t="s">
        <v>3531</v>
      </c>
      <c r="T848" s="6" t="str">
        <f>IFERROR(__xludf.DUMMYFUNCTION("""COMPUTED_VALUE"""),"survival")</f>
        <v>survival</v>
      </c>
      <c r="W848" s="8"/>
      <c r="AJ848" s="1" t="s">
        <v>1923</v>
      </c>
      <c r="AM848" s="1" t="s">
        <v>3532</v>
      </c>
    </row>
    <row r="849">
      <c r="E849" s="1" t="s">
        <v>2446</v>
      </c>
      <c r="F849" s="6" t="str">
        <f>IFERROR(__xludf.DUMMYFUNCTION("""COMPUTED_VALUE"""),"centuries")</f>
        <v>centuries</v>
      </c>
      <c r="H849" s="1" t="s">
        <v>2760</v>
      </c>
      <c r="I849" s="6" t="str">
        <f>IFERROR(__xludf.DUMMYFUNCTION("""COMPUTED_VALUE"""),"cia")</f>
        <v>cia</v>
      </c>
      <c r="P849" s="1" t="s">
        <v>3533</v>
      </c>
      <c r="S849" s="1" t="s">
        <v>3534</v>
      </c>
      <c r="T849" s="6" t="str">
        <f>IFERROR(__xludf.DUMMYFUNCTION("""COMPUTED_VALUE"""),"victories")</f>
        <v>victories</v>
      </c>
      <c r="W849" s="8"/>
      <c r="AJ849" s="1" t="s">
        <v>491</v>
      </c>
      <c r="AM849" s="1" t="s">
        <v>2110</v>
      </c>
    </row>
    <row r="850">
      <c r="E850" s="1" t="s">
        <v>3535</v>
      </c>
      <c r="F850" s="6" t="str">
        <f>IFERROR(__xludf.DUMMYFUNCTION("""COMPUTED_VALUE"""),"spiritual")</f>
        <v>spiritual</v>
      </c>
      <c r="H850" s="1" t="s">
        <v>2765</v>
      </c>
      <c r="I850" s="6" t="str">
        <f>IFERROR(__xludf.DUMMYFUNCTION("""COMPUTED_VALUE"""),"changing")</f>
        <v>changing</v>
      </c>
      <c r="P850" s="1" t="s">
        <v>1244</v>
      </c>
      <c r="S850" s="1" t="s">
        <v>3536</v>
      </c>
      <c r="T850" s="6" t="str">
        <f>IFERROR(__xludf.DUMMYFUNCTION("""COMPUTED_VALUE"""),"struggles")</f>
        <v>struggles</v>
      </c>
      <c r="W850" s="8"/>
      <c r="AJ850" s="1" t="s">
        <v>3537</v>
      </c>
      <c r="AM850" s="1" t="s">
        <v>2114</v>
      </c>
    </row>
    <row r="851">
      <c r="E851" s="1" t="s">
        <v>368</v>
      </c>
      <c r="F851" s="6" t="str">
        <f>IFERROR(__xludf.DUMMYFUNCTION("""COMPUTED_VALUE"""),"inspiring")</f>
        <v>inspiring</v>
      </c>
      <c r="H851" s="1" t="s">
        <v>1995</v>
      </c>
      <c r="I851" s="6" t="str">
        <f>IFERROR(__xludf.DUMMYFUNCTION("""COMPUTED_VALUE"""),"dead")</f>
        <v>dead</v>
      </c>
      <c r="P851" s="1" t="s">
        <v>1563</v>
      </c>
      <c r="S851" s="1" t="s">
        <v>3538</v>
      </c>
      <c r="T851" s="6" t="str">
        <f>IFERROR(__xludf.DUMMYFUNCTION("""COMPUTED_VALUE"""),"class")</f>
        <v>class</v>
      </c>
      <c r="W851" s="8"/>
      <c r="AJ851" s="1" t="s">
        <v>3539</v>
      </c>
      <c r="AM851" s="1" t="s">
        <v>3540</v>
      </c>
    </row>
    <row r="852">
      <c r="E852" s="1" t="s">
        <v>3541</v>
      </c>
      <c r="F852" s="6" t="str">
        <f>IFERROR(__xludf.DUMMYFUNCTION("""COMPUTED_VALUE"""),"stunt")</f>
        <v>stunt</v>
      </c>
      <c r="H852" s="1">
        <v>1984.0</v>
      </c>
      <c r="I852" s="6" t="str">
        <f>IFERROR(__xludf.DUMMYFUNCTION("""COMPUTED_VALUE"""),"nice")</f>
        <v>nice</v>
      </c>
      <c r="P852" s="1" t="s">
        <v>3542</v>
      </c>
      <c r="S852" s="1" t="s">
        <v>112</v>
      </c>
      <c r="T852" s="6" t="str">
        <f>IFERROR(__xludf.DUMMYFUNCTION("""COMPUTED_VALUE"""),"routine")</f>
        <v>routine</v>
      </c>
      <c r="W852" s="8"/>
      <c r="AJ852" s="1" t="s">
        <v>1930</v>
      </c>
      <c r="AM852" s="1" t="s">
        <v>2100</v>
      </c>
    </row>
    <row r="853">
      <c r="E853" s="1" t="s">
        <v>2453</v>
      </c>
      <c r="F853" s="6" t="str">
        <f>IFERROR(__xludf.DUMMYFUNCTION("""COMPUTED_VALUE"""),"laboratory")</f>
        <v>laboratory</v>
      </c>
      <c r="H853" s="1" t="s">
        <v>3543</v>
      </c>
      <c r="I853" s="6" t="str">
        <f>IFERROR(__xludf.DUMMYFUNCTION("""COMPUTED_VALUE"""),"gripping")</f>
        <v>gripping</v>
      </c>
      <c r="P853" s="1" t="s">
        <v>3544</v>
      </c>
      <c r="S853" s="1" t="s">
        <v>3545</v>
      </c>
      <c r="T853" s="6" t="str">
        <f>IFERROR(__xludf.DUMMYFUNCTION("""COMPUTED_VALUE"""),"cheap")</f>
        <v>cheap</v>
      </c>
      <c r="W853" s="8"/>
      <c r="AJ853" s="1" t="s">
        <v>1935</v>
      </c>
      <c r="AM853" s="1" t="s">
        <v>2118</v>
      </c>
    </row>
    <row r="854">
      <c r="E854" s="1" t="s">
        <v>2451</v>
      </c>
      <c r="F854" s="6" t="str">
        <f>IFERROR(__xludf.DUMMYFUNCTION("""COMPUTED_VALUE"""),"schemes")</f>
        <v>schemes</v>
      </c>
      <c r="H854" s="1" t="s">
        <v>3546</v>
      </c>
      <c r="I854" s="6" t="str">
        <f>IFERROR(__xludf.DUMMYFUNCTION("""COMPUTED_VALUE"""),"startling")</f>
        <v>startling</v>
      </c>
      <c r="P854" s="1" t="s">
        <v>3547</v>
      </c>
      <c r="S854" s="1" t="s">
        <v>3548</v>
      </c>
      <c r="T854" s="6" t="str">
        <f>IFERROR(__xludf.DUMMYFUNCTION("""COMPUTED_VALUE"""),"started")</f>
        <v>started</v>
      </c>
      <c r="W854" s="8"/>
      <c r="AJ854" s="1" t="s">
        <v>1933</v>
      </c>
      <c r="AM854" s="1" t="s">
        <v>3027</v>
      </c>
    </row>
    <row r="855">
      <c r="E855" s="1" t="s">
        <v>2432</v>
      </c>
      <c r="F855" s="6" t="str">
        <f>IFERROR(__xludf.DUMMYFUNCTION("""COMPUTED_VALUE"""),"consequences")</f>
        <v>consequences</v>
      </c>
      <c r="H855" s="1" t="s">
        <v>3277</v>
      </c>
      <c r="I855" s="6" t="str">
        <f>IFERROR(__xludf.DUMMYFUNCTION("""COMPUTED_VALUE"""),"transformation")</f>
        <v>transformation</v>
      </c>
      <c r="P855" s="1" t="s">
        <v>251</v>
      </c>
      <c r="S855" s="1" t="s">
        <v>1420</v>
      </c>
      <c r="T855" s="6" t="str">
        <f>IFERROR(__xludf.DUMMYFUNCTION("""COMPUTED_VALUE"""),"morning")</f>
        <v>morning</v>
      </c>
      <c r="W855" s="8"/>
      <c r="AJ855" s="1" t="s">
        <v>1212</v>
      </c>
      <c r="AM855" s="1" t="s">
        <v>494</v>
      </c>
    </row>
    <row r="856">
      <c r="E856" s="1" t="s">
        <v>3549</v>
      </c>
      <c r="F856" s="6" t="str">
        <f>IFERROR(__xludf.DUMMYFUNCTION("""COMPUTED_VALUE"""),"critics")</f>
        <v>critics</v>
      </c>
      <c r="H856" s="1" t="s">
        <v>460</v>
      </c>
      <c r="I856" s="6" t="str">
        <f>IFERROR(__xludf.DUMMYFUNCTION("""COMPUTED_VALUE"""),"widow")</f>
        <v>widow</v>
      </c>
      <c r="P856" s="1" t="s">
        <v>1277</v>
      </c>
      <c r="S856" s="1" t="s">
        <v>1311</v>
      </c>
      <c r="T856" s="6" t="str">
        <f>IFERROR(__xludf.DUMMYFUNCTION("""COMPUTED_VALUE"""),"brightly")</f>
        <v>brightly</v>
      </c>
      <c r="W856" s="8"/>
      <c r="AJ856" s="1" t="s">
        <v>597</v>
      </c>
      <c r="AM856" s="1" t="s">
        <v>912</v>
      </c>
    </row>
    <row r="857">
      <c r="E857" s="1" t="s">
        <v>594</v>
      </c>
      <c r="F857" s="6" t="str">
        <f>IFERROR(__xludf.DUMMYFUNCTION("""COMPUTED_VALUE"""),"paints")</f>
        <v>paints</v>
      </c>
      <c r="H857" s="1" t="s">
        <v>2777</v>
      </c>
      <c r="I857" s="6" t="str">
        <f>IFERROR(__xludf.DUMMYFUNCTION("""COMPUTED_VALUE"""),"tunisian")</f>
        <v>tunisian</v>
      </c>
      <c r="P857" s="1" t="s">
        <v>3550</v>
      </c>
      <c r="S857" s="1" t="s">
        <v>2725</v>
      </c>
      <c r="T857" s="6" t="str">
        <f>IFERROR(__xludf.DUMMYFUNCTION("""COMPUTED_VALUE"""),"british")</f>
        <v>british</v>
      </c>
      <c r="W857" s="8"/>
      <c r="AJ857" s="1" t="s">
        <v>475</v>
      </c>
      <c r="AM857" s="1" t="s">
        <v>3551</v>
      </c>
    </row>
    <row r="858">
      <c r="E858" s="1" t="s">
        <v>3552</v>
      </c>
      <c r="F858" s="6" t="str">
        <f>IFERROR(__xludf.DUMMYFUNCTION("""COMPUTED_VALUE"""),"competence")</f>
        <v>competence</v>
      </c>
      <c r="H858" s="1" t="s">
        <v>482</v>
      </c>
      <c r="I858" s="6" t="str">
        <f>IFERROR(__xludf.DUMMYFUNCTION("""COMPUTED_VALUE"""),"drawn")</f>
        <v>drawn</v>
      </c>
      <c r="P858" s="1" t="s">
        <v>3553</v>
      </c>
      <c r="S858" s="1" t="s">
        <v>3554</v>
      </c>
      <c r="T858" s="6" t="str">
        <f>IFERROR(__xludf.DUMMYFUNCTION("""COMPUTED_VALUE"""),"playful")</f>
        <v>playful</v>
      </c>
      <c r="W858" s="8"/>
      <c r="AJ858" s="1" t="s">
        <v>3555</v>
      </c>
      <c r="AM858" s="1" t="s">
        <v>420</v>
      </c>
    </row>
    <row r="859">
      <c r="E859" s="1" t="s">
        <v>3556</v>
      </c>
      <c r="F859" s="6" t="str">
        <f>IFERROR(__xludf.DUMMYFUNCTION("""COMPUTED_VALUE"""),"clarity")</f>
        <v>clarity</v>
      </c>
      <c r="H859" s="1" t="s">
        <v>510</v>
      </c>
      <c r="I859" s="6" t="str">
        <f>IFERROR(__xludf.DUMMYFUNCTION("""COMPUTED_VALUE"""),"soccer")</f>
        <v>soccer</v>
      </c>
      <c r="P859" s="1" t="s">
        <v>3557</v>
      </c>
      <c r="S859" s="1" t="s">
        <v>2547</v>
      </c>
      <c r="T859" s="6" t="str">
        <f>IFERROR(__xludf.DUMMYFUNCTION("""COMPUTED_VALUE"""),"nicholas")</f>
        <v>nicholas</v>
      </c>
      <c r="W859" s="8"/>
      <c r="AJ859" s="1" t="s">
        <v>3558</v>
      </c>
      <c r="AM859" s="1" t="s">
        <v>1146</v>
      </c>
    </row>
    <row r="860">
      <c r="E860" s="1" t="s">
        <v>2463</v>
      </c>
      <c r="F860" s="6" t="str">
        <f>IFERROR(__xludf.DUMMYFUNCTION("""COMPUTED_VALUE"""),"chuckle")</f>
        <v>chuckle</v>
      </c>
      <c r="H860" s="1" t="s">
        <v>2784</v>
      </c>
      <c r="I860" s="6" t="str">
        <f>IFERROR(__xludf.DUMMYFUNCTION("""COMPUTED_VALUE"""),"stab")</f>
        <v>stab</v>
      </c>
      <c r="P860" s="1" t="s">
        <v>3559</v>
      </c>
      <c r="S860" s="1" t="s">
        <v>3560</v>
      </c>
      <c r="T860" s="6" t="str">
        <f>IFERROR(__xludf.DUMMYFUNCTION("""COMPUTED_VALUE"""),"optimistic")</f>
        <v>optimistic</v>
      </c>
      <c r="W860" s="8"/>
      <c r="AJ860" s="1" t="s">
        <v>977</v>
      </c>
      <c r="AM860" s="1" t="s">
        <v>2130</v>
      </c>
    </row>
    <row r="861">
      <c r="E861" s="1" t="s">
        <v>3561</v>
      </c>
      <c r="F861" s="6" t="str">
        <f>IFERROR(__xludf.DUMMYFUNCTION("""COMPUTED_VALUE"""),"songs")</f>
        <v>songs</v>
      </c>
      <c r="H861" s="1" t="s">
        <v>1996</v>
      </c>
      <c r="I861" s="6" t="str">
        <f>IFERROR(__xludf.DUMMYFUNCTION("""COMPUTED_VALUE"""),"french")</f>
        <v>french</v>
      </c>
      <c r="P861" s="1" t="s">
        <v>675</v>
      </c>
      <c r="S861" s="1" t="s">
        <v>3562</v>
      </c>
      <c r="T861" s="6" t="str">
        <f>IFERROR(__xludf.DUMMYFUNCTION("""COMPUTED_VALUE"""),"dogs")</f>
        <v>dogs</v>
      </c>
      <c r="W861" s="8"/>
      <c r="AJ861" s="1" t="s">
        <v>1225</v>
      </c>
      <c r="AM861" s="1" t="s">
        <v>920</v>
      </c>
    </row>
    <row r="862">
      <c r="E862" s="1" t="s">
        <v>737</v>
      </c>
      <c r="F862" s="6" t="str">
        <f>IFERROR(__xludf.DUMMYFUNCTION("""COMPUTED_VALUE"""),"uhf")</f>
        <v>uhf</v>
      </c>
      <c r="H862" s="1" t="s">
        <v>518</v>
      </c>
      <c r="I862" s="6" t="str">
        <f>IFERROR(__xludf.DUMMYFUNCTION("""COMPUTED_VALUE"""),"wonder")</f>
        <v>wonder</v>
      </c>
      <c r="P862" s="1" t="s">
        <v>3563</v>
      </c>
      <c r="S862" s="1" t="s">
        <v>1003</v>
      </c>
      <c r="T862" s="6" t="str">
        <f>IFERROR(__xludf.DUMMYFUNCTION("""COMPUTED_VALUE"""),"smarter")</f>
        <v>smarter</v>
      </c>
      <c r="W862" s="8"/>
      <c r="AJ862" s="1" t="s">
        <v>3564</v>
      </c>
      <c r="AM862" s="1" t="s">
        <v>144</v>
      </c>
    </row>
    <row r="863">
      <c r="E863" s="1" t="s">
        <v>2741</v>
      </c>
      <c r="F863" s="6" t="str">
        <f>IFERROR(__xludf.DUMMYFUNCTION("""COMPUTED_VALUE"""),"maneuvers")</f>
        <v>maneuvers</v>
      </c>
      <c r="H863" s="1" t="s">
        <v>2795</v>
      </c>
      <c r="I863" s="6" t="str">
        <f>IFERROR(__xludf.DUMMYFUNCTION("""COMPUTED_VALUE"""),"devoid")</f>
        <v>devoid</v>
      </c>
      <c r="P863" s="1" t="s">
        <v>3565</v>
      </c>
      <c r="S863" s="1" t="s">
        <v>2050</v>
      </c>
      <c r="T863" s="6" t="str">
        <f>IFERROR(__xludf.DUMMYFUNCTION("""COMPUTED_VALUE"""),"pack")</f>
        <v>pack</v>
      </c>
      <c r="W863" s="8"/>
      <c r="AJ863" s="1" t="s">
        <v>3566</v>
      </c>
      <c r="AM863" s="1" t="s">
        <v>2111</v>
      </c>
    </row>
    <row r="864">
      <c r="E864" s="1" t="s">
        <v>2437</v>
      </c>
      <c r="F864" s="6" t="str">
        <f>IFERROR(__xludf.DUMMYFUNCTION("""COMPUTED_VALUE"""),"commanding")</f>
        <v>commanding</v>
      </c>
      <c r="H864" s="1" t="s">
        <v>2278</v>
      </c>
      <c r="I864" s="6" t="str">
        <f>IFERROR(__xludf.DUMMYFUNCTION("""COMPUTED_VALUE"""),"fatal")</f>
        <v>fatal</v>
      </c>
      <c r="P864" s="1" t="s">
        <v>994</v>
      </c>
      <c r="S864" s="1" t="s">
        <v>1425</v>
      </c>
      <c r="T864" s="6" t="str">
        <f>IFERROR(__xludf.DUMMYFUNCTION("""COMPUTED_VALUE"""),"couple")</f>
        <v>couple</v>
      </c>
      <c r="W864" s="8"/>
      <c r="AJ864" s="1" t="s">
        <v>1948</v>
      </c>
      <c r="AM864" s="1" t="s">
        <v>2115</v>
      </c>
    </row>
    <row r="865">
      <c r="E865" s="1" t="s">
        <v>2467</v>
      </c>
      <c r="F865" s="6" t="str">
        <f>IFERROR(__xludf.DUMMYFUNCTION("""COMPUTED_VALUE"""),"tends")</f>
        <v>tends</v>
      </c>
      <c r="H865" s="1" t="s">
        <v>3567</v>
      </c>
      <c r="I865" s="6" t="str">
        <f>IFERROR(__xludf.DUMMYFUNCTION("""COMPUTED_VALUE"""),"desperation")</f>
        <v>desperation</v>
      </c>
      <c r="P865" s="1" t="s">
        <v>3568</v>
      </c>
      <c r="S865" s="1" t="s">
        <v>1432</v>
      </c>
      <c r="T865" s="6" t="str">
        <f>IFERROR(__xludf.DUMMYFUNCTION("""COMPUTED_VALUE"""),"measured")</f>
        <v>measured</v>
      </c>
      <c r="W865" s="8"/>
      <c r="AJ865" s="1" t="s">
        <v>1953</v>
      </c>
      <c r="AM865" s="1" t="s">
        <v>606</v>
      </c>
    </row>
    <row r="866">
      <c r="E866" s="1" t="s">
        <v>746</v>
      </c>
      <c r="F866" s="6" t="str">
        <f>IFERROR(__xludf.DUMMYFUNCTION("""COMPUTED_VALUE"""),"comprehension")</f>
        <v>comprehension</v>
      </c>
      <c r="H866" s="1" t="s">
        <v>2799</v>
      </c>
      <c r="I866" s="6" t="str">
        <f>IFERROR(__xludf.DUMMYFUNCTION("""COMPUTED_VALUE"""),"glossy")</f>
        <v>glossy</v>
      </c>
      <c r="P866" s="1" t="s">
        <v>3569</v>
      </c>
      <c r="S866" s="9">
        <v>436.0</v>
      </c>
      <c r="T866" s="6" t="str">
        <f>IFERROR(__xludf.DUMMYFUNCTION("""COMPUTED_VALUE"""),"members")</f>
        <v>members</v>
      </c>
      <c r="W866" s="8"/>
      <c r="AJ866" s="1" t="s">
        <v>1959</v>
      </c>
      <c r="AM866" s="1" t="s">
        <v>2126</v>
      </c>
    </row>
    <row r="867">
      <c r="E867" s="1" t="s">
        <v>603</v>
      </c>
      <c r="F867" s="6" t="str">
        <f>IFERROR(__xludf.DUMMYFUNCTION("""COMPUTED_VALUE"""),"dazzling")</f>
        <v>dazzling</v>
      </c>
      <c r="H867" s="1" t="s">
        <v>468</v>
      </c>
      <c r="I867" s="6" t="str">
        <f>IFERROR(__xludf.DUMMYFUNCTION("""COMPUTED_VALUE"""),"exquisite")</f>
        <v>exquisite</v>
      </c>
      <c r="P867" s="1" t="s">
        <v>3570</v>
      </c>
      <c r="S867" s="1" t="s">
        <v>1438</v>
      </c>
      <c r="T867" s="6" t="str">
        <f>IFERROR(__xludf.DUMMYFUNCTION("""COMPUTED_VALUE"""),"plainly")</f>
        <v>plainly</v>
      </c>
      <c r="W867" s="8"/>
      <c r="AJ867" s="1" t="s">
        <v>1231</v>
      </c>
      <c r="AM867" s="1" t="s">
        <v>2129</v>
      </c>
    </row>
    <row r="868">
      <c r="E868" s="1" t="s">
        <v>680</v>
      </c>
      <c r="F868" s="6" t="str">
        <f>IFERROR(__xludf.DUMMYFUNCTION("""COMPUTED_VALUE"""),"fabricated")</f>
        <v>fabricated</v>
      </c>
      <c r="H868" s="1" t="s">
        <v>438</v>
      </c>
      <c r="I868" s="6" t="str">
        <f>IFERROR(__xludf.DUMMYFUNCTION("""COMPUTED_VALUE"""),"developed")</f>
        <v>developed</v>
      </c>
      <c r="P868" s="1" t="s">
        <v>1173</v>
      </c>
      <c r="S868" s="1" t="s">
        <v>3571</v>
      </c>
      <c r="T868" s="6" t="str">
        <f>IFERROR(__xludf.DUMMYFUNCTION("""COMPUTED_VALUE"""),"figure")</f>
        <v>figure</v>
      </c>
      <c r="W868" s="8"/>
      <c r="AJ868" s="1" t="s">
        <v>3153</v>
      </c>
      <c r="AM868" s="1" t="s">
        <v>729</v>
      </c>
    </row>
    <row r="869">
      <c r="E869" s="1" t="s">
        <v>1153</v>
      </c>
      <c r="F869" s="6" t="str">
        <f>IFERROR(__xludf.DUMMYFUNCTION("""COMPUTED_VALUE"""),"dismissed")</f>
        <v>dismissed</v>
      </c>
      <c r="H869" s="1" t="s">
        <v>3329</v>
      </c>
      <c r="I869" s="6" t="str">
        <f>IFERROR(__xludf.DUMMYFUNCTION("""COMPUTED_VALUE"""),"sketch")</f>
        <v>sketch</v>
      </c>
      <c r="P869" s="1" t="s">
        <v>2387</v>
      </c>
      <c r="S869" s="1" t="s">
        <v>3142</v>
      </c>
      <c r="T869" s="6" t="str">
        <f>IFERROR(__xludf.DUMMYFUNCTION("""COMPUTED_VALUE"""),"behold")</f>
        <v>behold</v>
      </c>
      <c r="W869" s="8"/>
      <c r="AJ869" s="1" t="s">
        <v>656</v>
      </c>
      <c r="AM869" s="1" t="s">
        <v>931</v>
      </c>
    </row>
    <row r="870">
      <c r="E870" s="1" t="s">
        <v>612</v>
      </c>
      <c r="F870" s="6" t="str">
        <f>IFERROR(__xludf.DUMMYFUNCTION("""COMPUTED_VALUE"""),"forced")</f>
        <v>forced</v>
      </c>
      <c r="H870" s="1" t="s">
        <v>3113</v>
      </c>
      <c r="I870" s="6" t="str">
        <f>IFERROR(__xludf.DUMMYFUNCTION("""COMPUTED_VALUE"""),"bollywood")</f>
        <v>bollywood</v>
      </c>
      <c r="P870" s="1" t="s">
        <v>3572</v>
      </c>
      <c r="S870" s="1" t="s">
        <v>2588</v>
      </c>
      <c r="T870" s="6" t="str">
        <f>IFERROR(__xludf.DUMMYFUNCTION("""COMPUTED_VALUE"""),"tremendous")</f>
        <v>tremendous</v>
      </c>
      <c r="W870" s="8"/>
      <c r="AJ870" s="1" t="s">
        <v>3573</v>
      </c>
      <c r="AM870" s="1" t="s">
        <v>2147</v>
      </c>
    </row>
    <row r="871">
      <c r="E871" s="1" t="s">
        <v>302</v>
      </c>
      <c r="F871" s="6" t="str">
        <f>IFERROR(__xludf.DUMMYFUNCTION("""COMPUTED_VALUE"""),"schmidt")</f>
        <v>schmidt</v>
      </c>
      <c r="H871" s="1" t="s">
        <v>2805</v>
      </c>
      <c r="I871" s="6" t="str">
        <f>IFERROR(__xludf.DUMMYFUNCTION("""COMPUTED_VALUE"""),"monsoon")</f>
        <v>monsoon</v>
      </c>
      <c r="P871" s="1" t="s">
        <v>3574</v>
      </c>
      <c r="S871" s="1" t="s">
        <v>3575</v>
      </c>
      <c r="T871" s="6" t="str">
        <f>IFERROR(__xludf.DUMMYFUNCTION("""COMPUTED_VALUE"""),"aged")</f>
        <v>aged</v>
      </c>
      <c r="W871" s="8"/>
      <c r="AJ871" s="1" t="s">
        <v>981</v>
      </c>
      <c r="AM871" s="1" t="s">
        <v>2152</v>
      </c>
    </row>
    <row r="872">
      <c r="E872" s="1" t="s">
        <v>3576</v>
      </c>
      <c r="F872" s="6" t="str">
        <f>IFERROR(__xludf.DUMMYFUNCTION("""COMPUTED_VALUE"""),"uneasy")</f>
        <v>uneasy</v>
      </c>
      <c r="H872" s="1" t="s">
        <v>845</v>
      </c>
      <c r="I872" s="6" t="str">
        <f>IFERROR(__xludf.DUMMYFUNCTION("""COMPUTED_VALUE"""),"devastating")</f>
        <v>devastating</v>
      </c>
      <c r="P872" s="1" t="s">
        <v>3577</v>
      </c>
      <c r="S872" s="1" t="s">
        <v>3578</v>
      </c>
      <c r="T872" s="6" t="str">
        <f>IFERROR(__xludf.DUMMYFUNCTION("""COMPUTED_VALUE"""),"permits")</f>
        <v>permits</v>
      </c>
      <c r="W872" s="8"/>
      <c r="AJ872" s="1" t="s">
        <v>106</v>
      </c>
      <c r="AM872" s="1" t="s">
        <v>3579</v>
      </c>
    </row>
    <row r="873">
      <c r="E873" s="1" t="s">
        <v>2988</v>
      </c>
      <c r="F873" s="6" t="str">
        <f>IFERROR(__xludf.DUMMYFUNCTION("""COMPUTED_VALUE"""),"payne")</f>
        <v>payne</v>
      </c>
      <c r="H873" s="1" t="s">
        <v>2812</v>
      </c>
      <c r="I873" s="6" t="str">
        <f>IFERROR(__xludf.DUMMYFUNCTION("""COMPUTED_VALUE"""),"profoundly")</f>
        <v>profoundly</v>
      </c>
      <c r="P873" s="1" t="s">
        <v>3580</v>
      </c>
      <c r="S873" s="1" t="s">
        <v>3581</v>
      </c>
      <c r="T873" s="6" t="str">
        <f>IFERROR(__xludf.DUMMYFUNCTION("""COMPUTED_VALUE"""),"acute")</f>
        <v>acute</v>
      </c>
      <c r="W873" s="8"/>
      <c r="AJ873" s="1" t="s">
        <v>203</v>
      </c>
      <c r="AM873" s="1" t="s">
        <v>1560</v>
      </c>
    </row>
    <row r="874">
      <c r="E874" s="1" t="s">
        <v>3582</v>
      </c>
      <c r="F874" s="6" t="str">
        <f>IFERROR(__xludf.DUMMYFUNCTION("""COMPUTED_VALUE"""),"indifference")</f>
        <v>indifference</v>
      </c>
      <c r="H874" s="1" t="s">
        <v>3343</v>
      </c>
      <c r="I874" s="6" t="str">
        <f>IFERROR(__xludf.DUMMYFUNCTION("""COMPUTED_VALUE"""),"recommendation")</f>
        <v>recommendation</v>
      </c>
      <c r="P874" s="1" t="s">
        <v>969</v>
      </c>
      <c r="S874" s="1" t="s">
        <v>3583</v>
      </c>
      <c r="T874" s="6" t="str">
        <f>IFERROR(__xludf.DUMMYFUNCTION("""COMPUTED_VALUE"""),"spirituality")</f>
        <v>spirituality</v>
      </c>
      <c r="W874" s="8"/>
      <c r="AJ874" s="1" t="s">
        <v>3584</v>
      </c>
      <c r="AM874" s="1" t="s">
        <v>615</v>
      </c>
    </row>
    <row r="875">
      <c r="E875" s="1" t="s">
        <v>477</v>
      </c>
      <c r="F875" s="6" t="str">
        <f>IFERROR(__xludf.DUMMYFUNCTION("""COMPUTED_VALUE"""),"revolution")</f>
        <v>revolution</v>
      </c>
      <c r="H875" s="1" t="s">
        <v>3346</v>
      </c>
      <c r="I875" s="6" t="str">
        <f>IFERROR(__xludf.DUMMYFUNCTION("""COMPUTED_VALUE"""),"achievements")</f>
        <v>achievements</v>
      </c>
      <c r="P875" s="1" t="s">
        <v>3585</v>
      </c>
      <c r="S875" s="1" t="s">
        <v>3586</v>
      </c>
      <c r="T875" s="6" t="str">
        <f>IFERROR(__xludf.DUMMYFUNCTION("""COMPUTED_VALUE"""),"childhood")</f>
        <v>childhood</v>
      </c>
      <c r="W875" s="8"/>
      <c r="AJ875" s="1" t="s">
        <v>984</v>
      </c>
      <c r="AM875" s="1" t="s">
        <v>2137</v>
      </c>
    </row>
    <row r="876">
      <c r="E876" s="1" t="s">
        <v>756</v>
      </c>
      <c r="F876" s="6" t="str">
        <f>IFERROR(__xludf.DUMMYFUNCTION("""COMPUTED_VALUE"""),"precisely")</f>
        <v>precisely</v>
      </c>
      <c r="H876" s="1" t="s">
        <v>2817</v>
      </c>
      <c r="I876" s="6" t="str">
        <f>IFERROR(__xludf.DUMMYFUNCTION("""COMPUTED_VALUE"""),"bullock")</f>
        <v>bullock</v>
      </c>
      <c r="P876" s="1" t="s">
        <v>607</v>
      </c>
      <c r="S876" s="1" t="s">
        <v>3587</v>
      </c>
      <c r="T876" s="6" t="str">
        <f>IFERROR(__xludf.DUMMYFUNCTION("""COMPUTED_VALUE"""),"burr")</f>
        <v>burr</v>
      </c>
      <c r="W876" s="8"/>
      <c r="AJ876" s="1" t="s">
        <v>3588</v>
      </c>
      <c r="AM876" s="1" t="s">
        <v>501</v>
      </c>
    </row>
    <row r="877">
      <c r="E877" s="1" t="s">
        <v>1776</v>
      </c>
      <c r="F877" s="6" t="str">
        <f>IFERROR(__xludf.DUMMYFUNCTION("""COMPUTED_VALUE"""),"loneliness")</f>
        <v>loneliness</v>
      </c>
      <c r="H877" s="1" t="s">
        <v>3352</v>
      </c>
      <c r="I877" s="6" t="str">
        <f>IFERROR(__xludf.DUMMYFUNCTION("""COMPUTED_VALUE"""),"poetic")</f>
        <v>poetic</v>
      </c>
      <c r="P877" s="1" t="s">
        <v>3589</v>
      </c>
      <c r="S877" s="1" t="s">
        <v>3590</v>
      </c>
      <c r="T877" s="6" t="str">
        <f>IFERROR(__xludf.DUMMYFUNCTION("""COMPUTED_VALUE"""),"writer")</f>
        <v>writer</v>
      </c>
      <c r="W877" s="8"/>
      <c r="AJ877" s="1" t="s">
        <v>1261</v>
      </c>
      <c r="AM877" s="1" t="s">
        <v>3069</v>
      </c>
    </row>
    <row r="878">
      <c r="E878" s="1" t="s">
        <v>874</v>
      </c>
      <c r="F878" s="6" t="str">
        <f>IFERROR(__xludf.DUMMYFUNCTION("""COMPUTED_VALUE"""),"technology")</f>
        <v>technology</v>
      </c>
      <c r="H878" s="1" t="s">
        <v>2820</v>
      </c>
      <c r="I878" s="6" t="str">
        <f>IFERROR(__xludf.DUMMYFUNCTION("""COMPUTED_VALUE"""),"brilliance")</f>
        <v>brilliance</v>
      </c>
      <c r="P878" s="1" t="s">
        <v>3591</v>
      </c>
      <c r="S878" s="1" t="s">
        <v>3592</v>
      </c>
      <c r="T878" s="6" t="str">
        <f>IFERROR(__xludf.DUMMYFUNCTION("""COMPUTED_VALUE"""),"punching")</f>
        <v>punching</v>
      </c>
      <c r="W878" s="8"/>
      <c r="AJ878" s="1" t="s">
        <v>1983</v>
      </c>
      <c r="AM878" s="1" t="s">
        <v>2158</v>
      </c>
    </row>
    <row r="879">
      <c r="E879" s="1" t="s">
        <v>765</v>
      </c>
      <c r="F879" s="6" t="str">
        <f>IFERROR(__xludf.DUMMYFUNCTION("""COMPUTED_VALUE"""),"notwithstanding")</f>
        <v>notwithstanding</v>
      </c>
      <c r="H879" s="1" t="s">
        <v>2018</v>
      </c>
      <c r="I879" s="6" t="str">
        <f>IFERROR(__xludf.DUMMYFUNCTION("""COMPUTED_VALUE"""),"sloppy")</f>
        <v>sloppy</v>
      </c>
      <c r="P879" s="1" t="s">
        <v>3593</v>
      </c>
      <c r="S879" s="1" t="s">
        <v>1580</v>
      </c>
      <c r="T879" s="6" t="str">
        <f>IFERROR(__xludf.DUMMYFUNCTION("""COMPUTED_VALUE"""),"whipping")</f>
        <v>whipping</v>
      </c>
      <c r="W879" s="8"/>
      <c r="AJ879" s="1" t="s">
        <v>1267</v>
      </c>
      <c r="AM879" s="1" t="s">
        <v>3594</v>
      </c>
    </row>
    <row r="880">
      <c r="E880" s="1" t="s">
        <v>1169</v>
      </c>
      <c r="F880" s="6" t="str">
        <f>IFERROR(__xludf.DUMMYFUNCTION("""COMPUTED_VALUE"""),"inspirational")</f>
        <v>inspirational</v>
      </c>
      <c r="H880" s="1" t="s">
        <v>2824</v>
      </c>
      <c r="I880" s="6" t="str">
        <f>IFERROR(__xludf.DUMMYFUNCTION("""COMPUTED_VALUE"""),"sparkling")</f>
        <v>sparkling</v>
      </c>
      <c r="P880" s="1" t="s">
        <v>3595</v>
      </c>
      <c r="S880" s="1" t="s">
        <v>3596</v>
      </c>
      <c r="T880" s="6" t="str">
        <f>IFERROR(__xludf.DUMMYFUNCTION("""COMPUTED_VALUE"""),"sweetheart")</f>
        <v>sweetheart</v>
      </c>
      <c r="W880" s="8"/>
      <c r="AJ880" s="1" t="s">
        <v>989</v>
      </c>
      <c r="AM880" s="1" t="s">
        <v>941</v>
      </c>
    </row>
    <row r="881">
      <c r="E881" s="1" t="s">
        <v>2457</v>
      </c>
      <c r="F881" s="6" t="str">
        <f>IFERROR(__xludf.DUMMYFUNCTION("""COMPUTED_VALUE"""),"pat")</f>
        <v>pat</v>
      </c>
      <c r="H881" s="1" t="s">
        <v>2016</v>
      </c>
      <c r="I881" s="6" t="str">
        <f>IFERROR(__xludf.DUMMYFUNCTION("""COMPUTED_VALUE"""),"lopez")</f>
        <v>lopez</v>
      </c>
      <c r="P881" s="1">
        <v>93.0</v>
      </c>
      <c r="S881" s="1" t="s">
        <v>1449</v>
      </c>
      <c r="T881" s="6" t="str">
        <f>IFERROR(__xludf.DUMMYFUNCTION("""COMPUTED_VALUE"""),"moved")</f>
        <v>moved</v>
      </c>
      <c r="W881" s="8"/>
      <c r="AJ881" s="1" t="s">
        <v>114</v>
      </c>
      <c r="AM881" s="1" t="s">
        <v>2165</v>
      </c>
    </row>
    <row r="882">
      <c r="E882" s="1" t="s">
        <v>3597</v>
      </c>
      <c r="F882" s="6" t="str">
        <f>IFERROR(__xludf.DUMMYFUNCTION("""COMPUTED_VALUE"""),"status")</f>
        <v>status</v>
      </c>
      <c r="H882" s="1" t="s">
        <v>448</v>
      </c>
      <c r="I882" s="6" t="str">
        <f>IFERROR(__xludf.DUMMYFUNCTION("""COMPUTED_VALUE"""),"relationships")</f>
        <v>relationships</v>
      </c>
      <c r="P882" s="1" t="s">
        <v>3598</v>
      </c>
      <c r="S882" s="1" t="s">
        <v>3599</v>
      </c>
      <c r="T882" s="6" t="str">
        <f>IFERROR(__xludf.DUMMYFUNCTION("""COMPUTED_VALUE"""),"ultimately")</f>
        <v>ultimately</v>
      </c>
      <c r="W882" s="8"/>
      <c r="AJ882" s="1" t="s">
        <v>3600</v>
      </c>
      <c r="AM882" s="1" t="s">
        <v>2415</v>
      </c>
    </row>
    <row r="883">
      <c r="E883" s="1" t="s">
        <v>2098</v>
      </c>
      <c r="F883" s="6" t="str">
        <f>IFERROR(__xludf.DUMMYFUNCTION("""COMPUTED_VALUE"""),"jerking")</f>
        <v>jerking</v>
      </c>
      <c r="H883" s="1" t="s">
        <v>2026</v>
      </c>
      <c r="I883" s="6" t="str">
        <f>IFERROR(__xludf.DUMMYFUNCTION("""COMPUTED_VALUE"""),"norma")</f>
        <v>norma</v>
      </c>
      <c r="P883" s="1" t="s">
        <v>362</v>
      </c>
      <c r="S883" s="1" t="s">
        <v>1664</v>
      </c>
      <c r="T883" s="6" t="str">
        <f>IFERROR(__xludf.DUMMYFUNCTION("""COMPUTED_VALUE"""),"dude")</f>
        <v>dude</v>
      </c>
      <c r="W883" s="8"/>
      <c r="AJ883" s="1" t="s">
        <v>1696</v>
      </c>
      <c r="AM883" s="1" t="s">
        <v>3084</v>
      </c>
    </row>
    <row r="884">
      <c r="E884" s="1" t="s">
        <v>842</v>
      </c>
      <c r="F884" s="6" t="str">
        <f>IFERROR(__xludf.DUMMYFUNCTION("""COMPUTED_VALUE"""),"dubbed")</f>
        <v>dubbed</v>
      </c>
      <c r="H884" s="1" t="s">
        <v>2029</v>
      </c>
      <c r="I884" s="6" t="str">
        <f>IFERROR(__xludf.DUMMYFUNCTION("""COMPUTED_VALUE"""),"rae")</f>
        <v>rae</v>
      </c>
      <c r="P884" s="1" t="s">
        <v>3601</v>
      </c>
      <c r="S884" s="1" t="s">
        <v>2457</v>
      </c>
      <c r="T884" s="6" t="str">
        <f>IFERROR(__xludf.DUMMYFUNCTION("""COMPUTED_VALUE"""),"reckless")</f>
        <v>reckless</v>
      </c>
      <c r="W884" s="8"/>
      <c r="AJ884" s="1" t="s">
        <v>1994</v>
      </c>
      <c r="AM884" s="1" t="s">
        <v>3602</v>
      </c>
    </row>
    <row r="885">
      <c r="E885" s="1" t="s">
        <v>3603</v>
      </c>
      <c r="F885" s="6" t="str">
        <f>IFERROR(__xludf.DUMMYFUNCTION("""COMPUTED_VALUE"""),"cruelty")</f>
        <v>cruelty</v>
      </c>
      <c r="H885" s="1" t="s">
        <v>534</v>
      </c>
      <c r="I885" s="6" t="str">
        <f>IFERROR(__xludf.DUMMYFUNCTION("""COMPUTED_VALUE"""),"cannes")</f>
        <v>cannes</v>
      </c>
      <c r="P885" s="1" t="s">
        <v>3604</v>
      </c>
      <c r="S885" s="1" t="s">
        <v>2368</v>
      </c>
      <c r="T885" s="6" t="str">
        <f>IFERROR(__xludf.DUMMYFUNCTION("""COMPUTED_VALUE"""),"begin")</f>
        <v>begin</v>
      </c>
      <c r="W885" s="8"/>
      <c r="AJ885" s="1" t="s">
        <v>1998</v>
      </c>
      <c r="AM885" s="1" t="s">
        <v>622</v>
      </c>
    </row>
    <row r="886">
      <c r="E886" s="1" t="s">
        <v>3605</v>
      </c>
      <c r="F886" s="6" t="str">
        <f>IFERROR(__xludf.DUMMYFUNCTION("""COMPUTED_VALUE"""),"documented")</f>
        <v>documented</v>
      </c>
      <c r="H886" s="1" t="s">
        <v>3606</v>
      </c>
      <c r="I886" s="6" t="str">
        <f>IFERROR(__xludf.DUMMYFUNCTION("""COMPUTED_VALUE"""),"raphael")</f>
        <v>raphael</v>
      </c>
      <c r="P886" s="1" t="s">
        <v>3607</v>
      </c>
      <c r="S886" s="1" t="s">
        <v>1725</v>
      </c>
      <c r="T886" s="6" t="str">
        <f>IFERROR(__xludf.DUMMYFUNCTION("""COMPUTED_VALUE"""),"jack")</f>
        <v>jack</v>
      </c>
      <c r="W886" s="8"/>
      <c r="AJ886" s="1" t="s">
        <v>3608</v>
      </c>
      <c r="AM886" s="1" t="s">
        <v>2170</v>
      </c>
    </row>
    <row r="887">
      <c r="E887" s="1" t="s">
        <v>773</v>
      </c>
      <c r="F887" s="6" t="str">
        <f>IFERROR(__xludf.DUMMYFUNCTION("""COMPUTED_VALUE"""),"popcorn")</f>
        <v>popcorn</v>
      </c>
      <c r="H887" s="1" t="s">
        <v>456</v>
      </c>
      <c r="I887" s="6" t="str">
        <f>IFERROR(__xludf.DUMMYFUNCTION("""COMPUTED_VALUE"""),"relegated")</f>
        <v>relegated</v>
      </c>
      <c r="P887" s="1" t="s">
        <v>1187</v>
      </c>
      <c r="S887" s="1" t="s">
        <v>3609</v>
      </c>
      <c r="T887" s="6" t="str">
        <f>IFERROR(__xludf.DUMMYFUNCTION("""COMPUTED_VALUE"""),"falls")</f>
        <v>falls</v>
      </c>
      <c r="W887" s="8"/>
      <c r="AJ887" s="1" t="s">
        <v>623</v>
      </c>
      <c r="AM887" s="1" t="s">
        <v>2514</v>
      </c>
    </row>
    <row r="888">
      <c r="E888" s="1" t="s">
        <v>3392</v>
      </c>
      <c r="F888" s="6" t="str">
        <f>IFERROR(__xludf.DUMMYFUNCTION("""COMPUTED_VALUE"""),"america")</f>
        <v>america</v>
      </c>
      <c r="H888" s="1" t="s">
        <v>2843</v>
      </c>
      <c r="I888" s="6" t="str">
        <f>IFERROR(__xludf.DUMMYFUNCTION("""COMPUTED_VALUE"""),"understands")</f>
        <v>understands</v>
      </c>
      <c r="P888" s="1" t="s">
        <v>1624</v>
      </c>
      <c r="S888" s="1" t="s">
        <v>3610</v>
      </c>
      <c r="T888" s="6" t="str">
        <f>IFERROR(__xludf.DUMMYFUNCTION("""COMPUTED_VALUE"""),"quickly")</f>
        <v>quickly</v>
      </c>
      <c r="W888" s="8"/>
      <c r="AJ888" s="1" t="s">
        <v>3611</v>
      </c>
      <c r="AM888" s="1" t="s">
        <v>2189</v>
      </c>
    </row>
    <row r="889">
      <c r="E889" s="1" t="s">
        <v>2473</v>
      </c>
      <c r="F889" s="6" t="str">
        <f>IFERROR(__xludf.DUMMYFUNCTION("""COMPUTED_VALUE"""),"english")</f>
        <v>english</v>
      </c>
      <c r="H889" s="1" t="s">
        <v>2846</v>
      </c>
      <c r="I889" s="6" t="str">
        <f>IFERROR(__xludf.DUMMYFUNCTION("""COMPUTED_VALUE"""),"anderson")</f>
        <v>anderson</v>
      </c>
      <c r="P889" s="1" t="s">
        <v>3612</v>
      </c>
      <c r="S889" s="1" t="s">
        <v>3613</v>
      </c>
      <c r="T889" s="6" t="str">
        <f>IFERROR(__xludf.DUMMYFUNCTION("""COMPUTED_VALUE"""),"strain")</f>
        <v>strain</v>
      </c>
      <c r="W889" s="8"/>
      <c r="AJ889" s="1" t="s">
        <v>2000</v>
      </c>
      <c r="AM889" s="1" t="s">
        <v>2149</v>
      </c>
    </row>
    <row r="890">
      <c r="E890" s="1" t="s">
        <v>3614</v>
      </c>
      <c r="F890" s="6" t="str">
        <f>IFERROR(__xludf.DUMMYFUNCTION("""COMPUTED_VALUE"""),"randall")</f>
        <v>randall</v>
      </c>
      <c r="H890" s="1" t="s">
        <v>2034</v>
      </c>
      <c r="I890" s="6" t="str">
        <f>IFERROR(__xludf.DUMMYFUNCTION("""COMPUTED_VALUE"""),"wherein")</f>
        <v>wherein</v>
      </c>
      <c r="P890" s="1" t="s">
        <v>135</v>
      </c>
      <c r="S890" s="1" t="s">
        <v>3615</v>
      </c>
      <c r="T890" s="6" t="str">
        <f>IFERROR(__xludf.DUMMYFUNCTION("""COMPUTED_VALUE"""),"startling")</f>
        <v>startling</v>
      </c>
      <c r="W890" s="8"/>
      <c r="AJ890" s="1" t="s">
        <v>3616</v>
      </c>
      <c r="AM890" s="1" t="s">
        <v>2145</v>
      </c>
    </row>
    <row r="891">
      <c r="E891" s="1" t="s">
        <v>780</v>
      </c>
      <c r="F891" s="6" t="str">
        <f>IFERROR(__xludf.DUMMYFUNCTION("""COMPUTED_VALUE"""),"tensions")</f>
        <v>tensions</v>
      </c>
      <c r="H891" s="1" t="s">
        <v>178</v>
      </c>
      <c r="I891" s="6" t="str">
        <f>IFERROR(__xludf.DUMMYFUNCTION("""COMPUTED_VALUE"""),"loyal")</f>
        <v>loyal</v>
      </c>
      <c r="P891" s="1" t="s">
        <v>529</v>
      </c>
      <c r="S891" s="1" t="s">
        <v>2703</v>
      </c>
      <c r="T891" s="6" t="str">
        <f>IFERROR(__xludf.DUMMYFUNCTION("""COMPUTED_VALUE"""),"transformation")</f>
        <v>transformation</v>
      </c>
      <c r="W891" s="8"/>
      <c r="AJ891" s="1" t="s">
        <v>3617</v>
      </c>
      <c r="AM891" s="1" t="s">
        <v>2174</v>
      </c>
    </row>
    <row r="892">
      <c r="E892" s="1" t="s">
        <v>2497</v>
      </c>
      <c r="F892" s="6" t="str">
        <f>IFERROR(__xludf.DUMMYFUNCTION("""COMPUTED_VALUE"""),"insights")</f>
        <v>insights</v>
      </c>
      <c r="H892" s="1" t="s">
        <v>3618</v>
      </c>
      <c r="I892" s="6" t="str">
        <f>IFERROR(__xludf.DUMMYFUNCTION("""COMPUTED_VALUE"""),"harry")</f>
        <v>harry</v>
      </c>
      <c r="P892" s="1" t="s">
        <v>1629</v>
      </c>
      <c r="S892" s="1" t="s">
        <v>3619</v>
      </c>
      <c r="T892" s="6" t="str">
        <f>IFERROR(__xludf.DUMMYFUNCTION("""COMPUTED_VALUE"""),"widow")</f>
        <v>widow</v>
      </c>
      <c r="W892" s="8"/>
      <c r="AJ892" s="1" t="s">
        <v>3620</v>
      </c>
      <c r="AM892" s="1" t="s">
        <v>617</v>
      </c>
    </row>
    <row r="893">
      <c r="E893" s="1" t="s">
        <v>311</v>
      </c>
      <c r="F893" s="6" t="str">
        <f>IFERROR(__xludf.DUMMYFUNCTION("""COMPUTED_VALUE"""),"pushes")</f>
        <v>pushes</v>
      </c>
      <c r="H893" s="1" t="s">
        <v>2854</v>
      </c>
      <c r="I893" s="6" t="str">
        <f>IFERROR(__xludf.DUMMYFUNCTION("""COMPUTED_VALUE"""),"holm")</f>
        <v>holm</v>
      </c>
      <c r="P893" s="1" t="s">
        <v>1461</v>
      </c>
      <c r="S893" s="1" t="s">
        <v>609</v>
      </c>
      <c r="T893" s="6" t="str">
        <f>IFERROR(__xludf.DUMMYFUNCTION("""COMPUTED_VALUE"""),"drawn")</f>
        <v>drawn</v>
      </c>
      <c r="W893" s="8"/>
      <c r="AJ893" s="1" t="s">
        <v>3621</v>
      </c>
      <c r="AM893" s="1" t="s">
        <v>3101</v>
      </c>
    </row>
    <row r="894">
      <c r="E894" s="1" t="s">
        <v>626</v>
      </c>
      <c r="F894" s="6" t="str">
        <f>IFERROR(__xludf.DUMMYFUNCTION("""COMPUTED_VALUE"""),"eyre")</f>
        <v>eyre</v>
      </c>
      <c r="H894" s="1" t="s">
        <v>437</v>
      </c>
      <c r="I894" s="6" t="str">
        <f>IFERROR(__xludf.DUMMYFUNCTION("""COMPUTED_VALUE"""),"ian")</f>
        <v>ian</v>
      </c>
      <c r="P894" s="1" t="s">
        <v>3622</v>
      </c>
      <c r="S894" s="1" t="s">
        <v>3215</v>
      </c>
      <c r="T894" s="6" t="str">
        <f>IFERROR(__xludf.DUMMYFUNCTION("""COMPUTED_VALUE"""),"soccer")</f>
        <v>soccer</v>
      </c>
      <c r="W894" s="8"/>
      <c r="AJ894" s="1" t="s">
        <v>1001</v>
      </c>
      <c r="AM894" s="1" t="s">
        <v>2182</v>
      </c>
    </row>
    <row r="895">
      <c r="E895" s="1" t="s">
        <v>633</v>
      </c>
      <c r="F895" s="6" t="str">
        <f>IFERROR(__xludf.DUMMYFUNCTION("""COMPUTED_VALUE"""),"spike")</f>
        <v>spike</v>
      </c>
      <c r="H895" s="1" t="s">
        <v>2040</v>
      </c>
      <c r="I895" s="6" t="str">
        <f>IFERROR(__xludf.DUMMYFUNCTION("""COMPUTED_VALUE"""),"minds")</f>
        <v>minds</v>
      </c>
      <c r="P895" s="1" t="s">
        <v>3623</v>
      </c>
      <c r="S895" s="1" t="s">
        <v>881</v>
      </c>
      <c r="T895" s="6" t="str">
        <f>IFERROR(__xludf.DUMMYFUNCTION("""COMPUTED_VALUE"""),"stab")</f>
        <v>stab</v>
      </c>
      <c r="W895" s="8"/>
      <c r="AJ895" s="1" t="s">
        <v>1006</v>
      </c>
      <c r="AM895" s="1" t="s">
        <v>490</v>
      </c>
    </row>
    <row r="896">
      <c r="E896" s="1" t="s">
        <v>1201</v>
      </c>
      <c r="F896" s="6" t="str">
        <f>IFERROR(__xludf.DUMMYFUNCTION("""COMPUTED_VALUE"""),"catches")</f>
        <v>catches</v>
      </c>
      <c r="H896" s="1" t="s">
        <v>860</v>
      </c>
      <c r="I896" s="6" t="str">
        <f>IFERROR(__xludf.DUMMYFUNCTION("""COMPUTED_VALUE"""),"hearts")</f>
        <v>hearts</v>
      </c>
      <c r="P896" s="1" t="s">
        <v>3624</v>
      </c>
      <c r="S896" s="1" t="s">
        <v>560</v>
      </c>
      <c r="T896" s="6" t="str">
        <f>IFERROR(__xludf.DUMMYFUNCTION("""COMPUTED_VALUE"""),"french")</f>
        <v>french</v>
      </c>
      <c r="W896" s="8"/>
      <c r="AJ896" s="1" t="s">
        <v>2007</v>
      </c>
      <c r="AM896" s="1" t="s">
        <v>3625</v>
      </c>
    </row>
    <row r="897">
      <c r="E897" s="1" t="s">
        <v>3626</v>
      </c>
      <c r="F897" s="6" t="str">
        <f>IFERROR(__xludf.DUMMYFUNCTION("""COMPUTED_VALUE"""),"hoffman")</f>
        <v>hoffman</v>
      </c>
      <c r="H897" s="1" t="s">
        <v>2861</v>
      </c>
      <c r="I897" s="6" t="str">
        <f>IFERROR(__xludf.DUMMYFUNCTION("""COMPUTED_VALUE"""),"justice")</f>
        <v>justice</v>
      </c>
      <c r="P897" s="1" t="s">
        <v>1160</v>
      </c>
      <c r="S897" s="1" t="s">
        <v>3627</v>
      </c>
      <c r="T897" s="6" t="str">
        <f>IFERROR(__xludf.DUMMYFUNCTION("""COMPUTED_VALUE"""),"wonder")</f>
        <v>wonder</v>
      </c>
      <c r="W897" s="8"/>
      <c r="AJ897" s="1" t="s">
        <v>3206</v>
      </c>
      <c r="AM897" s="1" t="s">
        <v>808</v>
      </c>
    </row>
    <row r="898">
      <c r="E898" s="1" t="s">
        <v>3628</v>
      </c>
      <c r="F898" s="6" t="str">
        <f>IFERROR(__xludf.DUMMYFUNCTION("""COMPUTED_VALUE"""),"newcomer")</f>
        <v>newcomer</v>
      </c>
      <c r="H898" s="1" t="s">
        <v>2865</v>
      </c>
      <c r="I898" s="6" t="str">
        <f>IFERROR(__xludf.DUMMYFUNCTION("""COMPUTED_VALUE"""),"dawson")</f>
        <v>dawson</v>
      </c>
      <c r="P898" s="1" t="s">
        <v>3629</v>
      </c>
      <c r="S898" s="1" t="s">
        <v>3630</v>
      </c>
      <c r="T898" s="6" t="str">
        <f>IFERROR(__xludf.DUMMYFUNCTION("""COMPUTED_VALUE"""),"devoid")</f>
        <v>devoid</v>
      </c>
      <c r="W898" s="8"/>
      <c r="AJ898" s="1" t="s">
        <v>2011</v>
      </c>
      <c r="AM898" s="1" t="s">
        <v>2160</v>
      </c>
    </row>
    <row r="899">
      <c r="E899" s="1" t="s">
        <v>640</v>
      </c>
      <c r="F899" s="6" t="str">
        <f>IFERROR(__xludf.DUMMYFUNCTION("""COMPUTED_VALUE"""),"charismatic")</f>
        <v>charismatic</v>
      </c>
      <c r="H899" s="1" t="s">
        <v>2046</v>
      </c>
      <c r="I899" s="6" t="str">
        <f>IFERROR(__xludf.DUMMYFUNCTION("""COMPUTED_VALUE"""),"portray")</f>
        <v>portray</v>
      </c>
      <c r="P899" s="1" t="s">
        <v>3631</v>
      </c>
      <c r="S899" s="1" t="s">
        <v>3632</v>
      </c>
      <c r="T899" s="6" t="str">
        <f>IFERROR(__xludf.DUMMYFUNCTION("""COMPUTED_VALUE"""),"fatal")</f>
        <v>fatal</v>
      </c>
      <c r="W899" s="8"/>
      <c r="AJ899" s="1" t="s">
        <v>1013</v>
      </c>
      <c r="AM899" s="1" t="s">
        <v>863</v>
      </c>
    </row>
    <row r="900">
      <c r="E900" s="1" t="s">
        <v>3633</v>
      </c>
      <c r="F900" s="6" t="str">
        <f>IFERROR(__xludf.DUMMYFUNCTION("""COMPUTED_VALUE"""),"hunter")</f>
        <v>hunter</v>
      </c>
      <c r="H900" s="1" t="s">
        <v>3634</v>
      </c>
      <c r="I900" s="6" t="str">
        <f>IFERROR(__xludf.DUMMYFUNCTION("""COMPUTED_VALUE"""),"someone")</f>
        <v>someone</v>
      </c>
      <c r="P900" s="1" t="s">
        <v>3635</v>
      </c>
      <c r="S900" s="1" t="s">
        <v>3214</v>
      </c>
      <c r="T900" s="6" t="str">
        <f>IFERROR(__xludf.DUMMYFUNCTION("""COMPUTED_VALUE"""),"desperation")</f>
        <v>desperation</v>
      </c>
      <c r="W900" s="8"/>
      <c r="AJ900" s="1" t="s">
        <v>3636</v>
      </c>
      <c r="AM900" s="1" t="s">
        <v>949</v>
      </c>
    </row>
    <row r="901">
      <c r="E901" s="1" t="s">
        <v>3637</v>
      </c>
      <c r="F901" s="6" t="str">
        <f>IFERROR(__xludf.DUMMYFUNCTION("""COMPUTED_VALUE"""),"feat")</f>
        <v>feat</v>
      </c>
      <c r="H901" s="1" t="s">
        <v>2063</v>
      </c>
      <c r="I901" s="6" t="str">
        <f>IFERROR(__xludf.DUMMYFUNCTION("""COMPUTED_VALUE"""),"monumental")</f>
        <v>monumental</v>
      </c>
      <c r="P901" s="1" t="s">
        <v>3638</v>
      </c>
      <c r="S901" s="1" t="s">
        <v>3639</v>
      </c>
      <c r="T901" s="6" t="str">
        <f>IFERROR(__xludf.DUMMYFUNCTION("""COMPUTED_VALUE"""),"glossy")</f>
        <v>glossy</v>
      </c>
      <c r="W901" s="8"/>
      <c r="AJ901" s="1" t="s">
        <v>3640</v>
      </c>
      <c r="AM901" s="1" t="s">
        <v>2194</v>
      </c>
    </row>
    <row r="902">
      <c r="E902" s="1" t="s">
        <v>2488</v>
      </c>
      <c r="F902" s="6" t="str">
        <f>IFERROR(__xludf.DUMMYFUNCTION("""COMPUTED_VALUE"""),"harmless")</f>
        <v>harmless</v>
      </c>
      <c r="H902" s="1" t="s">
        <v>1046</v>
      </c>
      <c r="I902" s="6" t="str">
        <f>IFERROR(__xludf.DUMMYFUNCTION("""COMPUTED_VALUE"""),"accents")</f>
        <v>accents</v>
      </c>
      <c r="P902" s="1" t="s">
        <v>1731</v>
      </c>
      <c r="S902" s="1" t="s">
        <v>3641</v>
      </c>
      <c r="T902" s="6" t="str">
        <f>IFERROR(__xludf.DUMMYFUNCTION("""COMPUTED_VALUE"""),"waters")</f>
        <v>waters</v>
      </c>
      <c r="W902" s="8"/>
      <c r="AJ902" s="1" t="s">
        <v>2017</v>
      </c>
      <c r="AM902" s="1" t="s">
        <v>957</v>
      </c>
    </row>
    <row r="903">
      <c r="E903" s="1" t="s">
        <v>733</v>
      </c>
      <c r="F903" s="6" t="str">
        <f>IFERROR(__xludf.DUMMYFUNCTION("""COMPUTED_VALUE"""),"vulnerability")</f>
        <v>vulnerability</v>
      </c>
      <c r="H903" s="1" t="s">
        <v>543</v>
      </c>
      <c r="I903" s="6" t="str">
        <f>IFERROR(__xludf.DUMMYFUNCTION("""COMPUTED_VALUE"""),"morgan")</f>
        <v>morgan</v>
      </c>
      <c r="P903" s="1" t="s">
        <v>3642</v>
      </c>
      <c r="S903" s="1" t="s">
        <v>3643</v>
      </c>
      <c r="T903" s="6" t="str">
        <f>IFERROR(__xludf.DUMMYFUNCTION("""COMPUTED_VALUE"""),"developed")</f>
        <v>developed</v>
      </c>
      <c r="W903" s="8"/>
      <c r="AJ903" s="1" t="s">
        <v>1927</v>
      </c>
      <c r="AM903" s="1" t="s">
        <v>2199</v>
      </c>
    </row>
    <row r="904">
      <c r="E904" s="1" t="s">
        <v>3644</v>
      </c>
      <c r="F904" s="6" t="str">
        <f>IFERROR(__xludf.DUMMYFUNCTION("""COMPUTED_VALUE"""),"sweetness")</f>
        <v>sweetness</v>
      </c>
      <c r="H904" s="1" t="s">
        <v>2047</v>
      </c>
      <c r="I904" s="6" t="str">
        <f>IFERROR(__xludf.DUMMYFUNCTION("""COMPUTED_VALUE"""),"freeman")</f>
        <v>freeman</v>
      </c>
      <c r="P904" s="1" t="s">
        <v>3645</v>
      </c>
      <c r="S904" s="1" t="s">
        <v>3646</v>
      </c>
      <c r="T904" s="6" t="str">
        <f>IFERROR(__xludf.DUMMYFUNCTION("""COMPUTED_VALUE"""),"sketch")</f>
        <v>sketch</v>
      </c>
      <c r="W904" s="8"/>
      <c r="AJ904" s="1" t="s">
        <v>2021</v>
      </c>
      <c r="AM904" s="1" t="s">
        <v>2202</v>
      </c>
    </row>
    <row r="905">
      <c r="E905" s="1" t="s">
        <v>2521</v>
      </c>
      <c r="F905" s="6" t="str">
        <f>IFERROR(__xludf.DUMMYFUNCTION("""COMPUTED_VALUE"""),"adequately")</f>
        <v>adequately</v>
      </c>
      <c r="H905" s="1" t="s">
        <v>2127</v>
      </c>
      <c r="I905" s="6" t="str">
        <f>IFERROR(__xludf.DUMMYFUNCTION("""COMPUTED_VALUE"""),"judd")</f>
        <v>judd</v>
      </c>
      <c r="P905" s="1" t="s">
        <v>3647</v>
      </c>
      <c r="S905" s="1" t="s">
        <v>3648</v>
      </c>
      <c r="T905" s="6" t="str">
        <f>IFERROR(__xludf.DUMMYFUNCTION("""COMPUTED_VALUE"""),"surprising")</f>
        <v>surprising</v>
      </c>
      <c r="W905" s="8"/>
      <c r="AJ905" s="1" t="s">
        <v>2025</v>
      </c>
      <c r="AM905" s="1" t="s">
        <v>2164</v>
      </c>
    </row>
    <row r="906">
      <c r="E906" s="1" t="s">
        <v>3649</v>
      </c>
      <c r="F906" s="6" t="str">
        <f>IFERROR(__xludf.DUMMYFUNCTION("""COMPUTED_VALUE"""),"dependent")</f>
        <v>dependent</v>
      </c>
      <c r="H906" s="1" t="s">
        <v>2048</v>
      </c>
      <c r="I906" s="6" t="str">
        <f>IFERROR(__xludf.DUMMYFUNCTION("""COMPUTED_VALUE"""),"logic")</f>
        <v>logic</v>
      </c>
      <c r="P906" s="1" t="s">
        <v>3650</v>
      </c>
      <c r="S906" s="1" t="s">
        <v>3651</v>
      </c>
      <c r="T906" s="6" t="str">
        <f>IFERROR(__xludf.DUMMYFUNCTION("""COMPUTED_VALUE"""),"bollywood")</f>
        <v>bollywood</v>
      </c>
      <c r="W906" s="8"/>
      <c r="AJ906" s="1" t="s">
        <v>3227</v>
      </c>
      <c r="AM906" s="1" t="s">
        <v>3652</v>
      </c>
    </row>
    <row r="907">
      <c r="E907" s="1" t="s">
        <v>2493</v>
      </c>
      <c r="F907" s="6" t="str">
        <f>IFERROR(__xludf.DUMMYFUNCTION("""COMPUTED_VALUE"""),"uncertain")</f>
        <v>uncertain</v>
      </c>
      <c r="H907" s="1" t="s">
        <v>2878</v>
      </c>
      <c r="I907" s="6" t="str">
        <f>IFERROR(__xludf.DUMMYFUNCTION("""COMPUTED_VALUE"""),"grey")</f>
        <v>grey</v>
      </c>
      <c r="P907" s="1" t="s">
        <v>3653</v>
      </c>
      <c r="S907" s="1" t="s">
        <v>3654</v>
      </c>
      <c r="T907" s="6" t="str">
        <f>IFERROR(__xludf.DUMMYFUNCTION("""COMPUTED_VALUE"""),"remotely")</f>
        <v>remotely</v>
      </c>
      <c r="W907" s="8"/>
      <c r="AJ907" s="1" t="s">
        <v>3231</v>
      </c>
      <c r="AM907" s="1" t="s">
        <v>3136</v>
      </c>
    </row>
    <row r="908">
      <c r="E908" s="1" t="s">
        <v>3655</v>
      </c>
      <c r="F908" s="6" t="str">
        <f>IFERROR(__xludf.DUMMYFUNCTION("""COMPUTED_VALUE"""),"insulting")</f>
        <v>insulting</v>
      </c>
      <c r="H908" s="1" t="s">
        <v>2051</v>
      </c>
      <c r="I908" s="6" t="str">
        <f>IFERROR(__xludf.DUMMYFUNCTION("""COMPUTED_VALUE"""),"zone")</f>
        <v>zone</v>
      </c>
      <c r="P908" s="1" t="s">
        <v>1390</v>
      </c>
      <c r="S908" s="1" t="s">
        <v>3524</v>
      </c>
      <c r="T908" s="6" t="str">
        <f>IFERROR(__xludf.DUMMYFUNCTION("""COMPUTED_VALUE"""),"monsoon")</f>
        <v>monsoon</v>
      </c>
      <c r="W908" s="8"/>
      <c r="AJ908" s="1" t="s">
        <v>3545</v>
      </c>
      <c r="AM908" s="1" t="s">
        <v>3656</v>
      </c>
    </row>
    <row r="909">
      <c r="E909" s="1" t="s">
        <v>259</v>
      </c>
      <c r="F909" s="6" t="str">
        <f>IFERROR(__xludf.DUMMYFUNCTION("""COMPUTED_VALUE"""),"morally")</f>
        <v>morally</v>
      </c>
      <c r="H909" s="1" t="s">
        <v>2053</v>
      </c>
      <c r="I909" s="6" t="str">
        <f>IFERROR(__xludf.DUMMYFUNCTION("""COMPUTED_VALUE"""),"attempts")</f>
        <v>attempts</v>
      </c>
      <c r="P909" s="1" t="s">
        <v>1654</v>
      </c>
      <c r="S909" s="1" t="s">
        <v>2312</v>
      </c>
      <c r="T909" s="6" t="str">
        <f>IFERROR(__xludf.DUMMYFUNCTION("""COMPUTED_VALUE"""),"profoundly")</f>
        <v>profoundly</v>
      </c>
      <c r="W909" s="8"/>
      <c r="AJ909" s="1" t="s">
        <v>2028</v>
      </c>
      <c r="AM909" s="1" t="s">
        <v>3657</v>
      </c>
    </row>
    <row r="910">
      <c r="E910" s="1" t="s">
        <v>561</v>
      </c>
      <c r="F910" s="6" t="str">
        <f>IFERROR(__xludf.DUMMYFUNCTION("""COMPUTED_VALUE"""),"editing")</f>
        <v>editing</v>
      </c>
      <c r="H910" s="1" t="s">
        <v>1167</v>
      </c>
      <c r="I910" s="6" t="str">
        <f>IFERROR(__xludf.DUMMYFUNCTION("""COMPUTED_VALUE"""),"shadowy")</f>
        <v>shadowy</v>
      </c>
      <c r="P910" s="1" t="s">
        <v>3658</v>
      </c>
      <c r="S910" s="1" t="s">
        <v>3659</v>
      </c>
      <c r="T910" s="6" t="str">
        <f>IFERROR(__xludf.DUMMYFUNCTION("""COMPUTED_VALUE"""),"followed")</f>
        <v>followed</v>
      </c>
      <c r="W910" s="8"/>
      <c r="AJ910" s="1" t="s">
        <v>3660</v>
      </c>
      <c r="AM910" s="1" t="s">
        <v>2173</v>
      </c>
    </row>
    <row r="911">
      <c r="E911" s="1" t="s">
        <v>2537</v>
      </c>
      <c r="F911" s="6" t="str">
        <f>IFERROR(__xludf.DUMMYFUNCTION("""COMPUTED_VALUE"""),"strength")</f>
        <v>strength</v>
      </c>
      <c r="H911" s="1" t="s">
        <v>551</v>
      </c>
      <c r="I911" s="6" t="str">
        <f>IFERROR(__xludf.DUMMYFUNCTION("""COMPUTED_VALUE"""),"generated")</f>
        <v>generated</v>
      </c>
      <c r="P911" s="1" t="s">
        <v>695</v>
      </c>
      <c r="S911" s="1" t="s">
        <v>3661</v>
      </c>
      <c r="T911" s="6" t="str">
        <f>IFERROR(__xludf.DUMMYFUNCTION("""COMPUTED_VALUE"""),"healing")</f>
        <v>healing</v>
      </c>
      <c r="W911" s="8"/>
      <c r="AJ911" s="1" t="s">
        <v>3662</v>
      </c>
      <c r="AM911" s="1" t="s">
        <v>3663</v>
      </c>
    </row>
    <row r="912">
      <c r="E912" s="1" t="s">
        <v>2538</v>
      </c>
      <c r="F912" s="6" t="str">
        <f>IFERROR(__xludf.DUMMYFUNCTION("""COMPUTED_VALUE"""),"confident")</f>
        <v>confident</v>
      </c>
      <c r="H912" s="1" t="s">
        <v>2888</v>
      </c>
      <c r="I912" s="6" t="str">
        <f>IFERROR(__xludf.DUMMYFUNCTION("""COMPUTED_VALUE"""),"graceful")</f>
        <v>graceful</v>
      </c>
      <c r="P912" s="1" t="s">
        <v>3664</v>
      </c>
      <c r="S912" s="1" t="s">
        <v>3665</v>
      </c>
      <c r="T912" s="6" t="str">
        <f>IFERROR(__xludf.DUMMYFUNCTION("""COMPUTED_VALUE"""),"possibility")</f>
        <v>possibility</v>
      </c>
      <c r="W912" s="8"/>
      <c r="AJ912" s="1" t="s">
        <v>1023</v>
      </c>
      <c r="AM912" s="1" t="s">
        <v>3142</v>
      </c>
    </row>
    <row r="913">
      <c r="E913" s="1" t="s">
        <v>1218</v>
      </c>
      <c r="F913" s="6" t="str">
        <f>IFERROR(__xludf.DUMMYFUNCTION("""COMPUTED_VALUE"""),"scripts")</f>
        <v>scripts</v>
      </c>
      <c r="H913" s="1" t="s">
        <v>2894</v>
      </c>
      <c r="I913" s="6" t="str">
        <f>IFERROR(__xludf.DUMMYFUNCTION("""COMPUTED_VALUE"""),"frontman")</f>
        <v>frontman</v>
      </c>
      <c r="P913" s="1" t="s">
        <v>1668</v>
      </c>
      <c r="S913" s="1" t="s">
        <v>3666</v>
      </c>
      <c r="T913" s="6" t="str">
        <f>IFERROR(__xludf.DUMMYFUNCTION("""COMPUTED_VALUE"""),"desire")</f>
        <v>desire</v>
      </c>
      <c r="W913" s="8"/>
      <c r="AJ913" s="1">
        <v>1993.0</v>
      </c>
      <c r="AM913" s="1" t="s">
        <v>2177</v>
      </c>
    </row>
    <row r="914">
      <c r="E914" s="1" t="s">
        <v>1289</v>
      </c>
      <c r="F914" s="6" t="str">
        <f>IFERROR(__xludf.DUMMYFUNCTION("""COMPUTED_VALUE"""),"abandon")</f>
        <v>abandon</v>
      </c>
      <c r="H914" s="1" t="s">
        <v>464</v>
      </c>
      <c r="I914" s="6" t="str">
        <f>IFERROR(__xludf.DUMMYFUNCTION("""COMPUTED_VALUE"""),"energetic")</f>
        <v>energetic</v>
      </c>
      <c r="P914" s="1" t="s">
        <v>3667</v>
      </c>
      <c r="S914" s="1" t="s">
        <v>3668</v>
      </c>
      <c r="T914" s="6" t="str">
        <f>IFERROR(__xludf.DUMMYFUNCTION("""COMPUTED_VALUE"""),"recommendation")</f>
        <v>recommendation</v>
      </c>
      <c r="W914" s="8"/>
      <c r="AJ914" s="1" t="s">
        <v>2032</v>
      </c>
      <c r="AM914" s="1" t="s">
        <v>508</v>
      </c>
    </row>
    <row r="915">
      <c r="E915" s="1" t="s">
        <v>3669</v>
      </c>
      <c r="F915" s="6" t="str">
        <f>IFERROR(__xludf.DUMMYFUNCTION("""COMPUTED_VALUE"""),"stephen")</f>
        <v>stephen</v>
      </c>
      <c r="H915" s="1" t="s">
        <v>2061</v>
      </c>
      <c r="I915" s="6" t="str">
        <f>IFERROR(__xludf.DUMMYFUNCTION("""COMPUTED_VALUE"""),"resist")</f>
        <v>resist</v>
      </c>
      <c r="P915" s="1" t="s">
        <v>3670</v>
      </c>
      <c r="S915" s="1" t="s">
        <v>2646</v>
      </c>
      <c r="T915" s="6" t="str">
        <f>IFERROR(__xludf.DUMMYFUNCTION("""COMPUTED_VALUE"""),"poetic")</f>
        <v>poetic</v>
      </c>
      <c r="W915" s="8"/>
      <c r="AJ915" s="1" t="s">
        <v>2033</v>
      </c>
      <c r="AM915" s="1" t="s">
        <v>2183</v>
      </c>
    </row>
    <row r="916">
      <c r="E916" s="1" t="s">
        <v>3671</v>
      </c>
      <c r="F916" s="6" t="str">
        <f>IFERROR(__xludf.DUMMYFUNCTION("""COMPUTED_VALUE"""),"richer")</f>
        <v>richer</v>
      </c>
      <c r="H916" s="1" t="s">
        <v>2901</v>
      </c>
      <c r="I916" s="6" t="str">
        <f>IFERROR(__xludf.DUMMYFUNCTION("""COMPUTED_VALUE"""),"amusing")</f>
        <v>amusing</v>
      </c>
      <c r="P916" s="1" t="s">
        <v>1755</v>
      </c>
      <c r="S916" s="1" t="s">
        <v>3066</v>
      </c>
      <c r="T916" s="6" t="str">
        <f>IFERROR(__xludf.DUMMYFUNCTION("""COMPUTED_VALUE"""),"brilliance")</f>
        <v>brilliance</v>
      </c>
      <c r="W916" s="8"/>
      <c r="AJ916" s="1" t="s">
        <v>3672</v>
      </c>
      <c r="AM916" s="1" t="s">
        <v>517</v>
      </c>
    </row>
    <row r="917">
      <c r="E917" s="1" t="s">
        <v>2502</v>
      </c>
      <c r="F917" s="6" t="str">
        <f>IFERROR(__xludf.DUMMYFUNCTION("""COMPUTED_VALUE"""),"publishing")</f>
        <v>publishing</v>
      </c>
      <c r="H917" s="1" t="s">
        <v>2905</v>
      </c>
      <c r="I917" s="6" t="str">
        <f>IFERROR(__xludf.DUMMYFUNCTION("""COMPUTED_VALUE"""),"obligatory")</f>
        <v>obligatory</v>
      </c>
      <c r="P917" s="1" t="s">
        <v>3673</v>
      </c>
      <c r="S917" s="1" t="s">
        <v>1464</v>
      </c>
      <c r="T917" s="6" t="str">
        <f>IFERROR(__xludf.DUMMYFUNCTION("""COMPUTED_VALUE"""),"sparkling")</f>
        <v>sparkling</v>
      </c>
      <c r="W917" s="8"/>
      <c r="AJ917" s="1" t="s">
        <v>2036</v>
      </c>
      <c r="AM917" s="1" t="s">
        <v>2186</v>
      </c>
    </row>
    <row r="918">
      <c r="E918" s="1" t="s">
        <v>774</v>
      </c>
      <c r="F918" s="6" t="str">
        <f>IFERROR(__xludf.DUMMYFUNCTION("""COMPUTED_VALUE"""),"hearst")</f>
        <v>hearst</v>
      </c>
      <c r="H918" s="1" t="s">
        <v>2908</v>
      </c>
      <c r="I918" s="6" t="str">
        <f>IFERROR(__xludf.DUMMYFUNCTION("""COMPUTED_VALUE"""),"pulse")</f>
        <v>pulse</v>
      </c>
      <c r="P918" s="1" t="s">
        <v>3674</v>
      </c>
      <c r="S918" s="1" t="s">
        <v>3675</v>
      </c>
      <c r="T918" s="6" t="str">
        <f>IFERROR(__xludf.DUMMYFUNCTION("""COMPUTED_VALUE"""),"relationships")</f>
        <v>relationships</v>
      </c>
      <c r="W918" s="8"/>
      <c r="AJ918" s="1" t="s">
        <v>3676</v>
      </c>
      <c r="AM918" s="1" t="s">
        <v>2188</v>
      </c>
    </row>
    <row r="919">
      <c r="E919" s="1" t="s">
        <v>2546</v>
      </c>
      <c r="F919" s="6" t="str">
        <f>IFERROR(__xludf.DUMMYFUNCTION("""COMPUTED_VALUE"""),"william")</f>
        <v>william</v>
      </c>
      <c r="H919" s="1" t="s">
        <v>2911</v>
      </c>
      <c r="I919" s="6" t="str">
        <f>IFERROR(__xludf.DUMMYFUNCTION("""COMPUTED_VALUE"""),"subconscious")</f>
        <v>subconscious</v>
      </c>
      <c r="P919" s="1" t="s">
        <v>1415</v>
      </c>
      <c r="S919" s="1" t="s">
        <v>3677</v>
      </c>
      <c r="T919" s="6" t="str">
        <f>IFERROR(__xludf.DUMMYFUNCTION("""COMPUTED_VALUE"""),"gaps")</f>
        <v>gaps</v>
      </c>
      <c r="W919" s="8"/>
      <c r="AJ919" s="1" t="s">
        <v>3678</v>
      </c>
      <c r="AM919" s="1" t="s">
        <v>3679</v>
      </c>
    </row>
    <row r="920">
      <c r="E920" s="1" t="s">
        <v>820</v>
      </c>
      <c r="F920" s="6" t="str">
        <f>IFERROR(__xludf.DUMMYFUNCTION("""COMPUTED_VALUE"""),"hollow")</f>
        <v>hollow</v>
      </c>
      <c r="H920" s="1" t="s">
        <v>2068</v>
      </c>
      <c r="I920" s="6" t="str">
        <f>IFERROR(__xludf.DUMMYFUNCTION("""COMPUTED_VALUE"""),"cynical")</f>
        <v>cynical</v>
      </c>
      <c r="P920" s="1" t="s">
        <v>346</v>
      </c>
      <c r="S920" s="1" t="s">
        <v>3091</v>
      </c>
      <c r="T920" s="6" t="str">
        <f>IFERROR(__xludf.DUMMYFUNCTION("""COMPUTED_VALUE"""),"rae")</f>
        <v>rae</v>
      </c>
      <c r="W920" s="8"/>
      <c r="AJ920" s="1" t="s">
        <v>3538</v>
      </c>
      <c r="AM920" s="1" t="s">
        <v>971</v>
      </c>
    </row>
    <row r="921">
      <c r="E921" s="1" t="s">
        <v>3680</v>
      </c>
      <c r="F921" s="6" t="str">
        <f>IFERROR(__xludf.DUMMYFUNCTION("""COMPUTED_VALUE"""),"beginnings")</f>
        <v>beginnings</v>
      </c>
      <c r="H921" s="1" t="s">
        <v>1032</v>
      </c>
      <c r="I921" s="6" t="str">
        <f>IFERROR(__xludf.DUMMYFUNCTION("""COMPUTED_VALUE"""),"guessing")</f>
        <v>guessing</v>
      </c>
      <c r="P921" s="1" t="s">
        <v>338</v>
      </c>
      <c r="S921" s="1" t="s">
        <v>3681</v>
      </c>
      <c r="T921" s="6" t="str">
        <f>IFERROR(__xludf.DUMMYFUNCTION("""COMPUTED_VALUE"""),"relegated")</f>
        <v>relegated</v>
      </c>
      <c r="W921" s="8"/>
      <c r="AJ921" s="1" t="s">
        <v>781</v>
      </c>
      <c r="AM921" s="1" t="s">
        <v>2214</v>
      </c>
    </row>
    <row r="922">
      <c r="E922" s="1" t="s">
        <v>3682</v>
      </c>
      <c r="F922" s="6" t="str">
        <f>IFERROR(__xludf.DUMMYFUNCTION("""COMPUTED_VALUE"""),"burning")</f>
        <v>burning</v>
      </c>
      <c r="H922" s="1" t="s">
        <v>2072</v>
      </c>
      <c r="I922" s="6" t="str">
        <f>IFERROR(__xludf.DUMMYFUNCTION("""COMPUTED_VALUE"""),"ought")</f>
        <v>ought</v>
      </c>
      <c r="P922" s="1" t="s">
        <v>3683</v>
      </c>
      <c r="S922" s="1" t="s">
        <v>2243</v>
      </c>
      <c r="T922" s="6" t="str">
        <f>IFERROR(__xludf.DUMMYFUNCTION("""COMPUTED_VALUE"""),"understands")</f>
        <v>understands</v>
      </c>
      <c r="W922" s="8"/>
      <c r="AJ922" s="1" t="s">
        <v>2043</v>
      </c>
      <c r="AM922" s="1" t="s">
        <v>3362</v>
      </c>
    </row>
    <row r="923">
      <c r="E923" s="1" t="s">
        <v>2518</v>
      </c>
      <c r="F923" s="6" t="str">
        <f>IFERROR(__xludf.DUMMYFUNCTION("""COMPUTED_VALUE"""),"sincerity")</f>
        <v>sincerity</v>
      </c>
      <c r="H923" s="1" t="s">
        <v>2078</v>
      </c>
      <c r="I923" s="6" t="str">
        <f>IFERROR(__xludf.DUMMYFUNCTION("""COMPUTED_VALUE"""),"stirring")</f>
        <v>stirring</v>
      </c>
      <c r="P923" s="1" t="s">
        <v>3684</v>
      </c>
      <c r="S923" s="1" t="s">
        <v>3685</v>
      </c>
      <c r="T923" s="6" t="str">
        <f>IFERROR(__xludf.DUMMYFUNCTION("""COMPUTED_VALUE"""),"anderson")</f>
        <v>anderson</v>
      </c>
      <c r="W923" s="8"/>
      <c r="AJ923" s="1" t="s">
        <v>1028</v>
      </c>
      <c r="AM923" s="1" t="s">
        <v>526</v>
      </c>
    </row>
    <row r="924">
      <c r="E924" s="1" t="s">
        <v>2522</v>
      </c>
      <c r="F924" s="6" t="str">
        <f>IFERROR(__xludf.DUMMYFUNCTION("""COMPUTED_VALUE"""),"unchanged")</f>
        <v>unchanged</v>
      </c>
      <c r="H924" s="1" t="s">
        <v>2925</v>
      </c>
      <c r="I924" s="6" t="str">
        <f>IFERROR(__xludf.DUMMYFUNCTION("""COMPUTED_VALUE"""),"struggling")</f>
        <v>struggling</v>
      </c>
      <c r="P924" s="1" t="s">
        <v>3686</v>
      </c>
      <c r="S924" s="1" t="s">
        <v>252</v>
      </c>
      <c r="T924" s="6" t="str">
        <f>IFERROR(__xludf.DUMMYFUNCTION("""COMPUTED_VALUE"""),"possible")</f>
        <v>possible</v>
      </c>
      <c r="W924" s="8"/>
      <c r="AJ924" s="1" t="s">
        <v>758</v>
      </c>
      <c r="AM924" s="1" t="s">
        <v>1582</v>
      </c>
    </row>
    <row r="925">
      <c r="E925" s="1" t="s">
        <v>3687</v>
      </c>
      <c r="F925" s="6" t="str">
        <f>IFERROR(__xludf.DUMMYFUNCTION("""COMPUTED_VALUE"""),"portrayed")</f>
        <v>portrayed</v>
      </c>
      <c r="H925" s="1" t="s">
        <v>2928</v>
      </c>
      <c r="I925" s="6" t="str">
        <f>IFERROR(__xludf.DUMMYFUNCTION("""COMPUTED_VALUE"""),"tier")</f>
        <v>tier</v>
      </c>
      <c r="P925" s="1" t="s">
        <v>268</v>
      </c>
      <c r="S925" s="1" t="s">
        <v>3688</v>
      </c>
      <c r="T925" s="6" t="str">
        <f>IFERROR(__xludf.DUMMYFUNCTION("""COMPUTED_VALUE"""),"rises")</f>
        <v>rises</v>
      </c>
      <c r="W925" s="8"/>
      <c r="AJ925" s="1" t="s">
        <v>1342</v>
      </c>
      <c r="AM925" s="1" t="s">
        <v>3167</v>
      </c>
    </row>
    <row r="926">
      <c r="E926" s="1" t="s">
        <v>3689</v>
      </c>
      <c r="F926" s="6" t="str">
        <f>IFERROR(__xludf.DUMMYFUNCTION("""COMPUTED_VALUE"""),"groundbreaking")</f>
        <v>groundbreaking</v>
      </c>
      <c r="H926" s="1" t="s">
        <v>3677</v>
      </c>
      <c r="I926" s="6" t="str">
        <f>IFERROR(__xludf.DUMMYFUNCTION("""COMPUTED_VALUE"""),"flourish")</f>
        <v>flourish</v>
      </c>
      <c r="P926" s="1" t="s">
        <v>3690</v>
      </c>
      <c r="S926" s="1" t="s">
        <v>3691</v>
      </c>
      <c r="T926" s="6" t="str">
        <f>IFERROR(__xludf.DUMMYFUNCTION("""COMPUTED_VALUE"""),"wherein")</f>
        <v>wherein</v>
      </c>
      <c r="W926" s="8"/>
      <c r="AJ926" s="1" t="s">
        <v>3692</v>
      </c>
      <c r="AM926" s="1" t="s">
        <v>3693</v>
      </c>
    </row>
    <row r="927">
      <c r="E927" s="1" t="s">
        <v>654</v>
      </c>
      <c r="F927" s="6" t="str">
        <f>IFERROR(__xludf.DUMMYFUNCTION("""COMPUTED_VALUE"""),"endeavor")</f>
        <v>endeavor</v>
      </c>
      <c r="H927" s="1" t="s">
        <v>2081</v>
      </c>
      <c r="I927" s="6" t="str">
        <f>IFERROR(__xludf.DUMMYFUNCTION("""COMPUTED_VALUE"""),"builds")</f>
        <v>builds</v>
      </c>
      <c r="P927" s="1" t="s">
        <v>574</v>
      </c>
      <c r="S927" s="1" t="s">
        <v>2142</v>
      </c>
      <c r="T927" s="6" t="str">
        <f>IFERROR(__xludf.DUMMYFUNCTION("""COMPUTED_VALUE"""),"loyal")</f>
        <v>loyal</v>
      </c>
      <c r="W927" s="8"/>
      <c r="AJ927" s="1" t="s">
        <v>3694</v>
      </c>
      <c r="AM927" s="1" t="s">
        <v>1939</v>
      </c>
    </row>
    <row r="928">
      <c r="E928" s="1" t="s">
        <v>1118</v>
      </c>
      <c r="F928" s="6" t="str">
        <f>IFERROR(__xludf.DUMMYFUNCTION("""COMPUTED_VALUE"""),"musicals")</f>
        <v>musicals</v>
      </c>
      <c r="H928" s="1" t="s">
        <v>1456</v>
      </c>
      <c r="I928" s="6" t="str">
        <f>IFERROR(__xludf.DUMMYFUNCTION("""COMPUTED_VALUE"""),"sprawling")</f>
        <v>sprawling</v>
      </c>
      <c r="P928" s="1" t="s">
        <v>2552</v>
      </c>
      <c r="S928" s="1" t="s">
        <v>3695</v>
      </c>
      <c r="T928" s="6" t="str">
        <f>IFERROR(__xludf.DUMMYFUNCTION("""COMPUTED_VALUE"""),"holm")</f>
        <v>holm</v>
      </c>
      <c r="W928" s="8"/>
      <c r="AJ928" s="1" t="s">
        <v>3696</v>
      </c>
      <c r="AM928" s="1" t="s">
        <v>2219</v>
      </c>
    </row>
    <row r="929">
      <c r="E929" s="1" t="s">
        <v>3697</v>
      </c>
      <c r="F929" s="6">
        <f>IFERROR(__xludf.DUMMYFUNCTION("""COMPUTED_VALUE"""),30.0)</f>
        <v>30</v>
      </c>
      <c r="H929" s="1" t="s">
        <v>878</v>
      </c>
      <c r="I929" s="6" t="str">
        <f>IFERROR(__xludf.DUMMYFUNCTION("""COMPUTED_VALUE"""),"scientist")</f>
        <v>scientist</v>
      </c>
      <c r="P929" s="1" t="s">
        <v>1433</v>
      </c>
      <c r="S929" s="1" t="s">
        <v>3698</v>
      </c>
      <c r="T929" s="6" t="str">
        <f>IFERROR(__xludf.DUMMYFUNCTION("""COMPUTED_VALUE"""),"ian")</f>
        <v>ian</v>
      </c>
      <c r="W929" s="8"/>
      <c r="AJ929" s="1" t="s">
        <v>1323</v>
      </c>
      <c r="AM929" s="1" t="s">
        <v>2200</v>
      </c>
    </row>
    <row r="930">
      <c r="E930" s="1" t="s">
        <v>3699</v>
      </c>
      <c r="F930" s="6" t="str">
        <f>IFERROR(__xludf.DUMMYFUNCTION("""COMPUTED_VALUE"""),"sensual")</f>
        <v>sensual</v>
      </c>
      <c r="H930" s="1" t="s">
        <v>3511</v>
      </c>
      <c r="I930" s="6" t="str">
        <f>IFERROR(__xludf.DUMMYFUNCTION("""COMPUTED_VALUE"""),"chan")</f>
        <v>chan</v>
      </c>
      <c r="P930" s="1" t="s">
        <v>1630</v>
      </c>
      <c r="S930" s="1" t="s">
        <v>3700</v>
      </c>
      <c r="T930" s="6" t="str">
        <f>IFERROR(__xludf.DUMMYFUNCTION("""COMPUTED_VALUE"""),"minds")</f>
        <v>minds</v>
      </c>
      <c r="W930" s="8"/>
      <c r="AJ930" s="1" t="s">
        <v>3701</v>
      </c>
      <c r="AM930" s="1" t="s">
        <v>2132</v>
      </c>
    </row>
    <row r="931">
      <c r="E931" s="1" t="s">
        <v>3702</v>
      </c>
      <c r="F931" s="6" t="str">
        <f>IFERROR(__xludf.DUMMYFUNCTION("""COMPUTED_VALUE"""),"cerebral")</f>
        <v>cerebral</v>
      </c>
      <c r="H931" s="1" t="s">
        <v>2087</v>
      </c>
      <c r="I931" s="6" t="str">
        <f>IFERROR(__xludf.DUMMYFUNCTION("""COMPUTED_VALUE"""),"tender")</f>
        <v>tender</v>
      </c>
      <c r="P931" s="1" t="s">
        <v>3703</v>
      </c>
      <c r="S931" s="1" t="s">
        <v>3704</v>
      </c>
      <c r="T931" s="6" t="str">
        <f>IFERROR(__xludf.DUMMYFUNCTION("""COMPUTED_VALUE"""),"hearts")</f>
        <v>hearts</v>
      </c>
      <c r="W931" s="8"/>
      <c r="AJ931" s="1" t="s">
        <v>3264</v>
      </c>
      <c r="AM931" s="1" t="s">
        <v>3440</v>
      </c>
    </row>
    <row r="932">
      <c r="E932" s="1" t="s">
        <v>1241</v>
      </c>
      <c r="F932" s="6" t="str">
        <f>IFERROR(__xludf.DUMMYFUNCTION("""COMPUTED_VALUE"""),"prism")</f>
        <v>prism</v>
      </c>
      <c r="H932" s="1" t="s">
        <v>2065</v>
      </c>
      <c r="I932" s="6" t="str">
        <f>IFERROR(__xludf.DUMMYFUNCTION("""COMPUTED_VALUE"""),"problematic")</f>
        <v>problematic</v>
      </c>
      <c r="P932" s="1" t="s">
        <v>3705</v>
      </c>
      <c r="S932" s="1" t="s">
        <v>3706</v>
      </c>
      <c r="T932" s="6" t="str">
        <f>IFERROR(__xludf.DUMMYFUNCTION("""COMPUTED_VALUE"""),"justice")</f>
        <v>justice</v>
      </c>
      <c r="W932" s="8"/>
      <c r="AJ932" s="1" t="s">
        <v>3707</v>
      </c>
      <c r="AM932" s="1" t="s">
        <v>2209</v>
      </c>
    </row>
    <row r="933">
      <c r="E933" s="1" t="s">
        <v>1245</v>
      </c>
      <c r="F933" s="6" t="str">
        <f>IFERROR(__xludf.DUMMYFUNCTION("""COMPUTED_VALUE"""),"themes")</f>
        <v>themes</v>
      </c>
      <c r="H933" s="1" t="s">
        <v>29</v>
      </c>
      <c r="I933" s="6" t="str">
        <f>IFERROR(__xludf.DUMMYFUNCTION("""COMPUTED_VALUE"""),"hilarious")</f>
        <v>hilarious</v>
      </c>
      <c r="P933" s="1" t="s">
        <v>3708</v>
      </c>
      <c r="S933" s="1" t="s">
        <v>684</v>
      </c>
      <c r="T933" s="6" t="str">
        <f>IFERROR(__xludf.DUMMYFUNCTION("""COMPUTED_VALUE"""),"portray")</f>
        <v>portray</v>
      </c>
      <c r="W933" s="8"/>
      <c r="AJ933" s="1" t="s">
        <v>1328</v>
      </c>
      <c r="AM933" s="1" t="s">
        <v>2205</v>
      </c>
    </row>
    <row r="934">
      <c r="E934" s="1" t="s">
        <v>2560</v>
      </c>
      <c r="F934" s="6" t="str">
        <f>IFERROR(__xludf.DUMMYFUNCTION("""COMPUTED_VALUE"""),"inherently")</f>
        <v>inherently</v>
      </c>
      <c r="H934" s="1" t="s">
        <v>2941</v>
      </c>
      <c r="I934" s="6" t="str">
        <f>IFERROR(__xludf.DUMMYFUNCTION("""COMPUTED_VALUE"""),"fantasia")</f>
        <v>fantasia</v>
      </c>
      <c r="P934" s="1" t="s">
        <v>2582</v>
      </c>
      <c r="S934" s="1" t="s">
        <v>1478</v>
      </c>
      <c r="T934" s="6" t="str">
        <f>IFERROR(__xludf.DUMMYFUNCTION("""COMPUTED_VALUE"""),"someone")</f>
        <v>someone</v>
      </c>
      <c r="W934" s="8"/>
      <c r="AJ934" s="1" t="s">
        <v>3709</v>
      </c>
      <c r="AM934" s="1" t="s">
        <v>2212</v>
      </c>
    </row>
    <row r="935">
      <c r="E935" s="1" t="s">
        <v>2563</v>
      </c>
      <c r="F935" s="6" t="str">
        <f>IFERROR(__xludf.DUMMYFUNCTION("""COMPUTED_VALUE"""),"innocent")</f>
        <v>innocent</v>
      </c>
      <c r="H935" s="1" t="s">
        <v>2082</v>
      </c>
      <c r="I935" s="6" t="str">
        <f>IFERROR(__xludf.DUMMYFUNCTION("""COMPUTED_VALUE"""),"biographical")</f>
        <v>biographical</v>
      </c>
      <c r="P935" s="1" t="s">
        <v>2588</v>
      </c>
      <c r="S935" s="1" t="s">
        <v>3175</v>
      </c>
      <c r="T935" s="6" t="str">
        <f>IFERROR(__xludf.DUMMYFUNCTION("""COMPUTED_VALUE"""),"deemed")</f>
        <v>deemed</v>
      </c>
      <c r="W935" s="8"/>
      <c r="AJ935" s="1" t="s">
        <v>3710</v>
      </c>
      <c r="AM935" s="1" t="s">
        <v>2247</v>
      </c>
    </row>
    <row r="936">
      <c r="E936" s="1" t="s">
        <v>3711</v>
      </c>
      <c r="F936" s="6" t="str">
        <f>IFERROR(__xludf.DUMMYFUNCTION("""COMPUTED_VALUE"""),"betrayal")</f>
        <v>betrayal</v>
      </c>
      <c r="H936" s="1" t="s">
        <v>2198</v>
      </c>
      <c r="I936" s="6" t="str">
        <f>IFERROR(__xludf.DUMMYFUNCTION("""COMPUTED_VALUE"""),"christian")</f>
        <v>christian</v>
      </c>
      <c r="P936" s="1" t="s">
        <v>3712</v>
      </c>
      <c r="S936" s="1" t="s">
        <v>1484</v>
      </c>
      <c r="T936" s="6" t="str">
        <f>IFERROR(__xludf.DUMMYFUNCTION("""COMPUTED_VALUE"""),"responsibilities")</f>
        <v>responsibilities</v>
      </c>
      <c r="W936" s="8"/>
      <c r="AJ936" s="1">
        <v>1899.0</v>
      </c>
      <c r="AM936" s="1" t="s">
        <v>2216</v>
      </c>
    </row>
    <row r="937">
      <c r="E937" s="1" t="s">
        <v>3713</v>
      </c>
      <c r="F937" s="6" t="str">
        <f>IFERROR(__xludf.DUMMYFUNCTION("""COMPUTED_VALUE"""),"panic")</f>
        <v>panic</v>
      </c>
      <c r="H937" s="1" t="s">
        <v>1561</v>
      </c>
      <c r="I937" s="6" t="str">
        <f>IFERROR(__xludf.DUMMYFUNCTION("""COMPUTED_VALUE"""),"triangle")</f>
        <v>triangle</v>
      </c>
      <c r="P937" s="1" t="s">
        <v>3714</v>
      </c>
      <c r="S937" s="1" t="s">
        <v>1491</v>
      </c>
      <c r="T937" s="6" t="str">
        <f>IFERROR(__xludf.DUMMYFUNCTION("""COMPUTED_VALUE"""),"achievement")</f>
        <v>achievement</v>
      </c>
      <c r="W937" s="8"/>
      <c r="AJ937" s="1" t="s">
        <v>1346</v>
      </c>
      <c r="AM937" s="1" t="s">
        <v>628</v>
      </c>
    </row>
    <row r="938">
      <c r="E938" s="1" t="s">
        <v>1252</v>
      </c>
      <c r="F938" s="6" t="str">
        <f>IFERROR(__xludf.DUMMYFUNCTION("""COMPUTED_VALUE"""),"glued")</f>
        <v>glued</v>
      </c>
      <c r="H938" s="1" t="s">
        <v>2092</v>
      </c>
      <c r="I938" s="6" t="str">
        <f>IFERROR(__xludf.DUMMYFUNCTION("""COMPUTED_VALUE"""),"drowned")</f>
        <v>drowned</v>
      </c>
      <c r="P938" s="1" t="s">
        <v>2619</v>
      </c>
      <c r="S938" s="1" t="s">
        <v>287</v>
      </c>
      <c r="T938" s="6" t="str">
        <f>IFERROR(__xludf.DUMMYFUNCTION("""COMPUTED_VALUE"""),"monumental")</f>
        <v>monumental</v>
      </c>
      <c r="W938" s="8"/>
      <c r="AJ938" s="1" t="s">
        <v>3715</v>
      </c>
      <c r="AM938" s="1" t="s">
        <v>2228</v>
      </c>
    </row>
    <row r="939">
      <c r="E939" s="1" t="s">
        <v>3716</v>
      </c>
      <c r="F939" s="6" t="str">
        <f>IFERROR(__xludf.DUMMYFUNCTION("""COMPUTED_VALUE"""),"manage")</f>
        <v>manage</v>
      </c>
      <c r="H939" s="1" t="s">
        <v>2616</v>
      </c>
      <c r="I939" s="6" t="str">
        <f>IFERROR(__xludf.DUMMYFUNCTION("""COMPUTED_VALUE"""),"leon")</f>
        <v>leon</v>
      </c>
      <c r="P939" s="1" t="s">
        <v>3717</v>
      </c>
      <c r="S939" s="1" t="s">
        <v>1908</v>
      </c>
      <c r="T939" s="6" t="str">
        <f>IFERROR(__xludf.DUMMYFUNCTION("""COMPUTED_VALUE"""),"accents")</f>
        <v>accents</v>
      </c>
      <c r="W939" s="8"/>
      <c r="AJ939" s="1" t="s">
        <v>1352</v>
      </c>
      <c r="AM939" s="1" t="s">
        <v>882</v>
      </c>
    </row>
    <row r="940">
      <c r="E940" s="1" t="s">
        <v>3718</v>
      </c>
      <c r="F940" s="6" t="str">
        <f>IFERROR(__xludf.DUMMYFUNCTION("""COMPUTED_VALUE"""),"accuse")</f>
        <v>accuse</v>
      </c>
      <c r="H940" s="1" t="s">
        <v>472</v>
      </c>
      <c r="I940" s="6" t="str">
        <f>IFERROR(__xludf.DUMMYFUNCTION("""COMPUTED_VALUE"""),"novel")</f>
        <v>novel</v>
      </c>
      <c r="P940" s="1" t="s">
        <v>2627</v>
      </c>
      <c r="S940" s="1" t="s">
        <v>3719</v>
      </c>
      <c r="T940" s="6" t="str">
        <f>IFERROR(__xludf.DUMMYFUNCTION("""COMPUTED_VALUE"""),"morgan")</f>
        <v>morgan</v>
      </c>
      <c r="W940" s="8"/>
      <c r="AJ940" s="1" t="s">
        <v>2057</v>
      </c>
      <c r="AM940" s="1" t="s">
        <v>3188</v>
      </c>
    </row>
    <row r="941">
      <c r="E941" s="1" t="s">
        <v>2574</v>
      </c>
      <c r="F941" s="6" t="str">
        <f>IFERROR(__xludf.DUMMYFUNCTION("""COMPUTED_VALUE"""),"wants")</f>
        <v>wants</v>
      </c>
      <c r="H941" s="1" t="s">
        <v>552</v>
      </c>
      <c r="I941" s="6" t="str">
        <f>IFERROR(__xludf.DUMMYFUNCTION("""COMPUTED_VALUE"""),"satirical")</f>
        <v>satirical</v>
      </c>
      <c r="P941" s="1" t="s">
        <v>3720</v>
      </c>
      <c r="S941" s="1" t="s">
        <v>3721</v>
      </c>
      <c r="T941" s="6" t="str">
        <f>IFERROR(__xludf.DUMMYFUNCTION("""COMPUTED_VALUE"""),"judd")</f>
        <v>judd</v>
      </c>
      <c r="W941" s="8"/>
      <c r="AJ941" s="1" t="s">
        <v>3288</v>
      </c>
      <c r="AM941" s="1" t="s">
        <v>2220</v>
      </c>
    </row>
    <row r="942">
      <c r="E942" s="1" t="s">
        <v>2569</v>
      </c>
      <c r="F942" s="6" t="str">
        <f>IFERROR(__xludf.DUMMYFUNCTION("""COMPUTED_VALUE"""),"african")</f>
        <v>african</v>
      </c>
      <c r="H942" s="1">
        <v>1989.0</v>
      </c>
      <c r="I942" s="6" t="str">
        <f>IFERROR(__xludf.DUMMYFUNCTION("""COMPUTED_VALUE"""),"pained")</f>
        <v>pained</v>
      </c>
      <c r="P942" s="1" t="s">
        <v>1288</v>
      </c>
      <c r="S942" s="1" t="s">
        <v>3492</v>
      </c>
      <c r="T942" s="6" t="str">
        <f>IFERROR(__xludf.DUMMYFUNCTION("""COMPUTED_VALUE"""),"logic")</f>
        <v>logic</v>
      </c>
      <c r="W942" s="8"/>
      <c r="AJ942" s="1" t="s">
        <v>3722</v>
      </c>
      <c r="AM942" s="1" t="s">
        <v>2223</v>
      </c>
    </row>
    <row r="943">
      <c r="E943" s="1" t="s">
        <v>3723</v>
      </c>
      <c r="F943" s="6" t="str">
        <f>IFERROR(__xludf.DUMMYFUNCTION("""COMPUTED_VALUE"""),"odds")</f>
        <v>odds</v>
      </c>
      <c r="H943" s="1" t="s">
        <v>480</v>
      </c>
      <c r="I943" s="6" t="str">
        <f>IFERROR(__xludf.DUMMYFUNCTION("""COMPUTED_VALUE"""),"equivalent")</f>
        <v>equivalent</v>
      </c>
      <c r="P943" s="1" t="s">
        <v>504</v>
      </c>
      <c r="S943" s="1" t="s">
        <v>276</v>
      </c>
      <c r="T943" s="6" t="str">
        <f>IFERROR(__xludf.DUMMYFUNCTION("""COMPUTED_VALUE"""),"laughing")</f>
        <v>laughing</v>
      </c>
      <c r="W943" s="8"/>
      <c r="AJ943" s="1" t="s">
        <v>3724</v>
      </c>
      <c r="AM943" s="1" t="s">
        <v>2226</v>
      </c>
    </row>
    <row r="944">
      <c r="E944" s="1" t="s">
        <v>1260</v>
      </c>
      <c r="F944" s="6" t="str">
        <f>IFERROR(__xludf.DUMMYFUNCTION("""COMPUTED_VALUE"""),"verve")</f>
        <v>verve</v>
      </c>
      <c r="H944" s="1" t="s">
        <v>3509</v>
      </c>
      <c r="I944" s="6" t="str">
        <f>IFERROR(__xludf.DUMMYFUNCTION("""COMPUTED_VALUE"""),"bracing")</f>
        <v>bracing</v>
      </c>
      <c r="P944" s="1" t="s">
        <v>2655</v>
      </c>
      <c r="S944" s="1" t="s">
        <v>3346</v>
      </c>
      <c r="T944" s="6" t="str">
        <f>IFERROR(__xludf.DUMMYFUNCTION("""COMPUTED_VALUE"""),"zone")</f>
        <v>zone</v>
      </c>
      <c r="W944" s="8"/>
      <c r="AJ944" s="1" t="s">
        <v>3725</v>
      </c>
      <c r="AM944" s="1" t="s">
        <v>2230</v>
      </c>
    </row>
    <row r="945">
      <c r="E945" s="1" t="s">
        <v>1266</v>
      </c>
      <c r="F945" s="6" t="str">
        <f>IFERROR(__xludf.DUMMYFUNCTION("""COMPUTED_VALUE"""),"rise")</f>
        <v>rise</v>
      </c>
      <c r="H945" s="1" t="s">
        <v>2973</v>
      </c>
      <c r="I945" s="6" t="str">
        <f>IFERROR(__xludf.DUMMYFUNCTION("""COMPUTED_VALUE"""),"secrets")</f>
        <v>secrets</v>
      </c>
      <c r="P945" s="1" t="s">
        <v>2713</v>
      </c>
      <c r="S945" s="1" t="s">
        <v>2959</v>
      </c>
      <c r="T945" s="6" t="str">
        <f>IFERROR(__xludf.DUMMYFUNCTION("""COMPUTED_VALUE"""),"attempts")</f>
        <v>attempts</v>
      </c>
      <c r="W945" s="8"/>
      <c r="AJ945" s="1" t="s">
        <v>1033</v>
      </c>
      <c r="AM945" s="1" t="s">
        <v>636</v>
      </c>
    </row>
    <row r="946">
      <c r="E946" s="1" t="s">
        <v>2541</v>
      </c>
      <c r="F946" s="6" t="str">
        <f>IFERROR(__xludf.DUMMYFUNCTION("""COMPUTED_VALUE"""),"jolly")</f>
        <v>jolly</v>
      </c>
      <c r="H946" s="1" t="s">
        <v>2976</v>
      </c>
      <c r="I946" s="6" t="str">
        <f>IFERROR(__xludf.DUMMYFUNCTION("""COMPUTED_VALUE"""),"motives")</f>
        <v>motives</v>
      </c>
      <c r="P946" s="1" t="s">
        <v>3726</v>
      </c>
      <c r="S946" s="1" t="s">
        <v>1376</v>
      </c>
      <c r="T946" s="6" t="str">
        <f>IFERROR(__xludf.DUMMYFUNCTION("""COMPUTED_VALUE"""),"graceful")</f>
        <v>graceful</v>
      </c>
      <c r="W946" s="8"/>
      <c r="AJ946" s="1" t="s">
        <v>3727</v>
      </c>
      <c r="AM946" s="1" t="s">
        <v>885</v>
      </c>
    </row>
    <row r="947">
      <c r="E947" s="1" t="s">
        <v>3728</v>
      </c>
      <c r="F947" s="6" t="str">
        <f>IFERROR(__xludf.DUMMYFUNCTION("""COMPUTED_VALUE"""),"broadway")</f>
        <v>broadway</v>
      </c>
      <c r="H947" s="1" t="s">
        <v>2980</v>
      </c>
      <c r="I947" s="6" t="str">
        <f>IFERROR(__xludf.DUMMYFUNCTION("""COMPUTED_VALUE"""),"sexy")</f>
        <v>sexy</v>
      </c>
      <c r="P947" s="1" t="s">
        <v>3729</v>
      </c>
      <c r="S947" s="1" t="s">
        <v>3730</v>
      </c>
      <c r="T947" s="6" t="str">
        <f>IFERROR(__xludf.DUMMYFUNCTION("""COMPUTED_VALUE"""),"frantic")</f>
        <v>frantic</v>
      </c>
      <c r="W947" s="8"/>
      <c r="AJ947" s="1" t="s">
        <v>3700</v>
      </c>
      <c r="AM947" s="1" t="s">
        <v>985</v>
      </c>
    </row>
    <row r="948">
      <c r="E948" s="1" t="s">
        <v>2112</v>
      </c>
      <c r="F948" s="6" t="str">
        <f>IFERROR(__xludf.DUMMYFUNCTION("""COMPUTED_VALUE"""),"occupation")</f>
        <v>occupation</v>
      </c>
      <c r="H948" s="1" t="s">
        <v>2982</v>
      </c>
      <c r="I948" s="6" t="str">
        <f>IFERROR(__xludf.DUMMYFUNCTION("""COMPUTED_VALUE"""),"magnetic")</f>
        <v>magnetic</v>
      </c>
      <c r="P948" s="1" t="s">
        <v>1735</v>
      </c>
      <c r="S948" s="1" t="s">
        <v>2905</v>
      </c>
      <c r="T948" s="6" t="str">
        <f>IFERROR(__xludf.DUMMYFUNCTION("""COMPUTED_VALUE"""),"expression")</f>
        <v>expression</v>
      </c>
      <c r="W948" s="8"/>
      <c r="AJ948" s="1" t="s">
        <v>3731</v>
      </c>
      <c r="AM948" s="1" t="s">
        <v>154</v>
      </c>
    </row>
    <row r="949">
      <c r="E949" s="1" t="s">
        <v>826</v>
      </c>
      <c r="F949" s="6" t="str">
        <f>IFERROR(__xludf.DUMMYFUNCTION("""COMPUTED_VALUE"""),"spirited")</f>
        <v>spirited</v>
      </c>
      <c r="H949" s="1" t="s">
        <v>511</v>
      </c>
      <c r="I949" s="6" t="str">
        <f>IFERROR(__xludf.DUMMYFUNCTION("""COMPUTED_VALUE"""),"barney")</f>
        <v>barney</v>
      </c>
      <c r="P949" s="1" t="s">
        <v>1387</v>
      </c>
      <c r="S949" s="1" t="s">
        <v>3732</v>
      </c>
      <c r="T949" s="6" t="str">
        <f>IFERROR(__xludf.DUMMYFUNCTION("""COMPUTED_VALUE"""),"energetic")</f>
        <v>energetic</v>
      </c>
      <c r="W949" s="8"/>
      <c r="AJ949" s="1" t="s">
        <v>3295</v>
      </c>
      <c r="AM949" s="1" t="s">
        <v>3733</v>
      </c>
    </row>
    <row r="950">
      <c r="E950" s="1" t="s">
        <v>2580</v>
      </c>
      <c r="F950" s="6" t="str">
        <f>IFERROR(__xludf.DUMMYFUNCTION("""COMPUTED_VALUE"""),"awakening")</f>
        <v>awakening</v>
      </c>
      <c r="H950" s="1" t="s">
        <v>487</v>
      </c>
      <c r="I950" s="6" t="str">
        <f>IFERROR(__xludf.DUMMYFUNCTION("""COMPUTED_VALUE"""),"legacy")</f>
        <v>legacy</v>
      </c>
      <c r="P950" s="1">
        <v>94.0</v>
      </c>
      <c r="S950" s="1" t="s">
        <v>3734</v>
      </c>
      <c r="T950" s="6" t="str">
        <f>IFERROR(__xludf.DUMMYFUNCTION("""COMPUTED_VALUE"""),"amusing")</f>
        <v>amusing</v>
      </c>
      <c r="W950" s="8"/>
      <c r="AJ950" s="1" t="s">
        <v>3735</v>
      </c>
      <c r="AM950" s="1" t="s">
        <v>2237</v>
      </c>
    </row>
    <row r="951">
      <c r="E951" s="1" t="s">
        <v>3736</v>
      </c>
      <c r="F951" s="6" t="str">
        <f>IFERROR(__xludf.DUMMYFUNCTION("""COMPUTED_VALUE"""),"obscure")</f>
        <v>obscure</v>
      </c>
      <c r="H951" s="1" t="s">
        <v>3524</v>
      </c>
      <c r="I951" s="6" t="str">
        <f>IFERROR(__xludf.DUMMYFUNCTION("""COMPUTED_VALUE"""),"lunatic")</f>
        <v>lunatic</v>
      </c>
      <c r="P951" s="1" t="s">
        <v>3737</v>
      </c>
      <c r="S951" s="1" t="s">
        <v>3738</v>
      </c>
      <c r="T951" s="6" t="str">
        <f>IFERROR(__xludf.DUMMYFUNCTION("""COMPUTED_VALUE"""),"obligatory")</f>
        <v>obligatory</v>
      </c>
      <c r="W951" s="8"/>
      <c r="AJ951" s="1" t="s">
        <v>3301</v>
      </c>
      <c r="AM951" s="1" t="s">
        <v>2241</v>
      </c>
    </row>
    <row r="952">
      <c r="E952" s="1" t="s">
        <v>1271</v>
      </c>
      <c r="F952" s="6" t="str">
        <f>IFERROR(__xludf.DUMMYFUNCTION("""COMPUTED_VALUE"""),"fathers")</f>
        <v>fathers</v>
      </c>
      <c r="H952" s="1" t="s">
        <v>429</v>
      </c>
      <c r="I952" s="6" t="str">
        <f>IFERROR(__xludf.DUMMYFUNCTION("""COMPUTED_VALUE"""),"monstrous")</f>
        <v>monstrous</v>
      </c>
      <c r="P952" s="1" t="s">
        <v>835</v>
      </c>
      <c r="S952" s="1" t="s">
        <v>3739</v>
      </c>
      <c r="T952" s="6" t="str">
        <f>IFERROR(__xludf.DUMMYFUNCTION("""COMPUTED_VALUE"""),"pulse")</f>
        <v>pulse</v>
      </c>
      <c r="W952" s="8"/>
      <c r="AJ952" s="1" t="s">
        <v>3740</v>
      </c>
      <c r="AM952" s="1" t="s">
        <v>2243</v>
      </c>
    </row>
    <row r="953">
      <c r="E953" s="1" t="s">
        <v>2586</v>
      </c>
      <c r="F953" s="6" t="str">
        <f>IFERROR(__xludf.DUMMYFUNCTION("""COMPUTED_VALUE"""),"survivors")</f>
        <v>survivors</v>
      </c>
      <c r="H953" s="1" t="s">
        <v>2106</v>
      </c>
      <c r="I953" s="6" t="str">
        <f>IFERROR(__xludf.DUMMYFUNCTION("""COMPUTED_VALUE"""),"inherent")</f>
        <v>inherent</v>
      </c>
      <c r="P953" s="1" t="s">
        <v>3741</v>
      </c>
      <c r="S953" s="1" t="s">
        <v>3742</v>
      </c>
      <c r="T953" s="6" t="str">
        <f>IFERROR(__xludf.DUMMYFUNCTION("""COMPUTED_VALUE"""),"attract")</f>
        <v>attract</v>
      </c>
      <c r="W953" s="8"/>
      <c r="AJ953" s="1" t="s">
        <v>3743</v>
      </c>
      <c r="AM953" s="1" t="s">
        <v>643</v>
      </c>
    </row>
    <row r="954">
      <c r="E954" s="1" t="s">
        <v>2589</v>
      </c>
      <c r="F954" s="6" t="str">
        <f>IFERROR(__xludf.DUMMYFUNCTION("""COMPUTED_VALUE"""),"impacts")</f>
        <v>impacts</v>
      </c>
      <c r="H954" s="1" t="s">
        <v>2992</v>
      </c>
      <c r="I954" s="6" t="str">
        <f>IFERROR(__xludf.DUMMYFUNCTION("""COMPUTED_VALUE"""),"ghosts")</f>
        <v>ghosts</v>
      </c>
      <c r="P954" s="1" t="s">
        <v>3744</v>
      </c>
      <c r="S954" s="1" t="s">
        <v>3745</v>
      </c>
      <c r="T954" s="6" t="str">
        <f>IFERROR(__xludf.DUMMYFUNCTION("""COMPUTED_VALUE"""),"guessing")</f>
        <v>guessing</v>
      </c>
      <c r="W954" s="8"/>
      <c r="AJ954" s="1" t="s">
        <v>1040</v>
      </c>
      <c r="AM954" s="1" t="s">
        <v>648</v>
      </c>
    </row>
    <row r="955">
      <c r="E955" s="1" t="s">
        <v>2592</v>
      </c>
      <c r="F955" s="6" t="str">
        <f>IFERROR(__xludf.DUMMYFUNCTION("""COMPUTED_VALUE"""),"blade")</f>
        <v>blade</v>
      </c>
      <c r="H955" s="1" t="s">
        <v>2995</v>
      </c>
      <c r="I955" s="6" t="str">
        <f>IFERROR(__xludf.DUMMYFUNCTION("""COMPUTED_VALUE"""),"painted")</f>
        <v>painted</v>
      </c>
      <c r="P955" s="1" t="s">
        <v>750</v>
      </c>
      <c r="S955" s="1" t="s">
        <v>3746</v>
      </c>
      <c r="T955" s="6" t="str">
        <f>IFERROR(__xludf.DUMMYFUNCTION("""COMPUTED_VALUE"""),"ought")</f>
        <v>ought</v>
      </c>
      <c r="W955" s="8"/>
      <c r="AJ955" s="1" t="s">
        <v>1047</v>
      </c>
      <c r="AM955" s="1" t="s">
        <v>3747</v>
      </c>
    </row>
    <row r="956">
      <c r="E956" s="1" t="s">
        <v>1278</v>
      </c>
      <c r="F956" s="6" t="str">
        <f>IFERROR(__xludf.DUMMYFUNCTION("""COMPUTED_VALUE"""),"erotic")</f>
        <v>erotic</v>
      </c>
      <c r="H956" s="1" t="s">
        <v>3748</v>
      </c>
      <c r="I956" s="6" t="str">
        <f>IFERROR(__xludf.DUMMYFUNCTION("""COMPUTED_VALUE"""),"praises")</f>
        <v>praises</v>
      </c>
      <c r="P956" s="1" t="s">
        <v>2724</v>
      </c>
      <c r="S956" s="1" t="s">
        <v>3556</v>
      </c>
      <c r="T956" s="6" t="str">
        <f>IFERROR(__xludf.DUMMYFUNCTION("""COMPUTED_VALUE"""),"stirring")</f>
        <v>stirring</v>
      </c>
      <c r="W956" s="8"/>
      <c r="AJ956" s="1" t="s">
        <v>2067</v>
      </c>
      <c r="AM956" s="1" t="s">
        <v>3583</v>
      </c>
    </row>
    <row r="957">
      <c r="E957" s="1" t="s">
        <v>1285</v>
      </c>
      <c r="F957" s="6" t="str">
        <f>IFERROR(__xludf.DUMMYFUNCTION("""COMPUTED_VALUE"""),"uncanny")</f>
        <v>uncanny</v>
      </c>
      <c r="H957" s="1" t="s">
        <v>3532</v>
      </c>
      <c r="I957" s="6" t="str">
        <f>IFERROR(__xludf.DUMMYFUNCTION("""COMPUTED_VALUE"""),"destiny")</f>
        <v>destiny</v>
      </c>
      <c r="P957" s="1" t="s">
        <v>3749</v>
      </c>
      <c r="S957" s="1" t="s">
        <v>3623</v>
      </c>
      <c r="T957" s="6" t="str">
        <f>IFERROR(__xludf.DUMMYFUNCTION("""COMPUTED_VALUE"""),"struggling")</f>
        <v>struggling</v>
      </c>
      <c r="W957" s="8"/>
      <c r="AJ957" s="1" t="s">
        <v>3750</v>
      </c>
      <c r="AM957" s="1" t="s">
        <v>2253</v>
      </c>
    </row>
    <row r="958">
      <c r="E958" s="1" t="s">
        <v>2140</v>
      </c>
      <c r="F958" s="6" t="str">
        <f>IFERROR(__xludf.DUMMYFUNCTION("""COMPUTED_VALUE"""),"mann")</f>
        <v>mann</v>
      </c>
      <c r="H958" s="1" t="s">
        <v>2999</v>
      </c>
      <c r="I958" s="6" t="str">
        <f>IFERROR(__xludf.DUMMYFUNCTION("""COMPUTED_VALUE"""),"ecological")</f>
        <v>ecological</v>
      </c>
      <c r="P958" s="1" t="s">
        <v>1475</v>
      </c>
      <c r="S958" s="1" t="s">
        <v>3565</v>
      </c>
      <c r="T958" s="6" t="str">
        <f>IFERROR(__xludf.DUMMYFUNCTION("""COMPUTED_VALUE"""),"tier")</f>
        <v>tier</v>
      </c>
      <c r="W958" s="8"/>
      <c r="AJ958" s="1" t="s">
        <v>2071</v>
      </c>
      <c r="AM958" s="1" t="s">
        <v>3751</v>
      </c>
    </row>
    <row r="959">
      <c r="E959" s="1" t="s">
        <v>3752</v>
      </c>
      <c r="F959" s="6" t="str">
        <f>IFERROR(__xludf.DUMMYFUNCTION("""COMPUTED_VALUE"""),"cultivation")</f>
        <v>cultivation</v>
      </c>
      <c r="H959" s="1" t="s">
        <v>2110</v>
      </c>
      <c r="I959" s="6" t="str">
        <f>IFERROR(__xludf.DUMMYFUNCTION("""COMPUTED_VALUE"""),"suitable")</f>
        <v>suitable</v>
      </c>
      <c r="P959" s="1" t="s">
        <v>3753</v>
      </c>
      <c r="S959" s="1" t="s">
        <v>2115</v>
      </c>
      <c r="T959" s="6" t="str">
        <f>IFERROR(__xludf.DUMMYFUNCTION("""COMPUTED_VALUE"""),"flourish")</f>
        <v>flourish</v>
      </c>
      <c r="W959" s="8"/>
      <c r="AJ959" s="1" t="s">
        <v>2077</v>
      </c>
      <c r="AM959" s="1" t="s">
        <v>2300</v>
      </c>
    </row>
    <row r="960">
      <c r="E960" s="1" t="s">
        <v>834</v>
      </c>
      <c r="F960" s="6" t="str">
        <f>IFERROR(__xludf.DUMMYFUNCTION("""COMPUTED_VALUE"""),"devotion")</f>
        <v>devotion</v>
      </c>
      <c r="H960" s="1" t="s">
        <v>3005</v>
      </c>
      <c r="I960" s="6" t="str">
        <f>IFERROR(__xludf.DUMMYFUNCTION("""COMPUTED_VALUE"""),"delicate")</f>
        <v>delicate</v>
      </c>
      <c r="P960" s="1" t="s">
        <v>3754</v>
      </c>
      <c r="S960" s="1" t="s">
        <v>3755</v>
      </c>
      <c r="T960" s="6" t="str">
        <f>IFERROR(__xludf.DUMMYFUNCTION("""COMPUTED_VALUE"""),"builds")</f>
        <v>builds</v>
      </c>
      <c r="W960" s="8"/>
      <c r="AJ960" s="1" t="s">
        <v>1051</v>
      </c>
      <c r="AM960" s="1" t="s">
        <v>2257</v>
      </c>
    </row>
    <row r="961">
      <c r="E961" s="1" t="s">
        <v>2549</v>
      </c>
      <c r="F961" s="6" t="str">
        <f>IFERROR(__xludf.DUMMYFUNCTION("""COMPUTED_VALUE"""),"access")</f>
        <v>access</v>
      </c>
      <c r="H961" s="1" t="s">
        <v>2114</v>
      </c>
      <c r="I961" s="6" t="str">
        <f>IFERROR(__xludf.DUMMYFUNCTION("""COMPUTED_VALUE"""),"sociological")</f>
        <v>sociological</v>
      </c>
      <c r="P961" s="1" t="s">
        <v>3756</v>
      </c>
      <c r="S961" s="1" t="s">
        <v>2317</v>
      </c>
      <c r="T961" s="6" t="str">
        <f>IFERROR(__xludf.DUMMYFUNCTION("""COMPUTED_VALUE"""),"mormon")</f>
        <v>mormon</v>
      </c>
      <c r="W961" s="8"/>
      <c r="AJ961" s="1" t="s">
        <v>1381</v>
      </c>
      <c r="AM961" s="1" t="s">
        <v>533</v>
      </c>
    </row>
    <row r="962">
      <c r="E962" s="1" t="s">
        <v>3757</v>
      </c>
      <c r="F962" s="6" t="str">
        <f>IFERROR(__xludf.DUMMYFUNCTION("""COMPUTED_VALUE"""),"godfrey")</f>
        <v>godfrey</v>
      </c>
      <c r="H962" s="1" t="s">
        <v>3010</v>
      </c>
      <c r="I962" s="6" t="str">
        <f>IFERROR(__xludf.DUMMYFUNCTION("""COMPUTED_VALUE"""),"commentary")</f>
        <v>commentary</v>
      </c>
      <c r="P962" s="1" t="s">
        <v>1286</v>
      </c>
      <c r="S962" s="1" t="s">
        <v>3758</v>
      </c>
      <c r="T962" s="6" t="str">
        <f>IFERROR(__xludf.DUMMYFUNCTION("""COMPUTED_VALUE"""),"touched")</f>
        <v>touched</v>
      </c>
      <c r="W962" s="8"/>
      <c r="AJ962" s="1" t="s">
        <v>3759</v>
      </c>
      <c r="AM962" s="1" t="s">
        <v>2255</v>
      </c>
    </row>
    <row r="963">
      <c r="E963" s="1" t="s">
        <v>2605</v>
      </c>
      <c r="F963" s="6" t="str">
        <f>IFERROR(__xludf.DUMMYFUNCTION("""COMPUTED_VALUE"""),"slim")</f>
        <v>slim</v>
      </c>
      <c r="H963" s="1" t="s">
        <v>3540</v>
      </c>
      <c r="I963" s="6" t="str">
        <f>IFERROR(__xludf.DUMMYFUNCTION("""COMPUTED_VALUE"""),"innovation")</f>
        <v>innovation</v>
      </c>
      <c r="P963" s="1" t="s">
        <v>1371</v>
      </c>
      <c r="S963" s="1" t="s">
        <v>3760</v>
      </c>
      <c r="T963" s="6" t="str">
        <f>IFERROR(__xludf.DUMMYFUNCTION("""COMPUTED_VALUE"""),"chan")</f>
        <v>chan</v>
      </c>
      <c r="W963" s="8"/>
      <c r="AJ963" s="1" t="s">
        <v>3761</v>
      </c>
      <c r="AM963" s="1" t="s">
        <v>2258</v>
      </c>
    </row>
    <row r="964">
      <c r="E964" s="1" t="s">
        <v>2602</v>
      </c>
      <c r="F964" s="6" t="str">
        <f>IFERROR(__xludf.DUMMYFUNCTION("""COMPUTED_VALUE"""),"zipper")</f>
        <v>zipper</v>
      </c>
      <c r="H964" s="1" t="s">
        <v>3014</v>
      </c>
      <c r="I964" s="6" t="str">
        <f>IFERROR(__xludf.DUMMYFUNCTION("""COMPUTED_VALUE"""),"glaring")</f>
        <v>glaring</v>
      </c>
      <c r="P964" s="1" t="s">
        <v>3762</v>
      </c>
      <c r="S964" s="1" t="s">
        <v>1818</v>
      </c>
      <c r="T964" s="6" t="str">
        <f>IFERROR(__xludf.DUMMYFUNCTION("""COMPUTED_VALUE"""),"problematic")</f>
        <v>problematic</v>
      </c>
      <c r="W964" s="8"/>
      <c r="AJ964" s="1" t="s">
        <v>2084</v>
      </c>
      <c r="AM964" s="1" t="s">
        <v>1002</v>
      </c>
    </row>
    <row r="965">
      <c r="E965" s="1" t="s">
        <v>1846</v>
      </c>
      <c r="F965" s="6" t="str">
        <f>IFERROR(__xludf.DUMMYFUNCTION("""COMPUTED_VALUE"""),"journalism")</f>
        <v>journalism</v>
      </c>
      <c r="H965" s="1" t="s">
        <v>2100</v>
      </c>
      <c r="I965" s="6" t="str">
        <f>IFERROR(__xludf.DUMMYFUNCTION("""COMPUTED_VALUE"""),"embarrassed")</f>
        <v>embarrassed</v>
      </c>
      <c r="P965" s="1" t="s">
        <v>1401</v>
      </c>
      <c r="S965" s="1" t="s">
        <v>3763</v>
      </c>
      <c r="T965" s="6" t="str">
        <f>IFERROR(__xludf.DUMMYFUNCTION("""COMPUTED_VALUE"""),"hilarious")</f>
        <v>hilarious</v>
      </c>
      <c r="W965" s="8"/>
      <c r="AJ965" s="1" t="s">
        <v>2086</v>
      </c>
      <c r="AM965" s="1" t="s">
        <v>2264</v>
      </c>
    </row>
    <row r="966">
      <c r="E966" s="1" t="s">
        <v>3764</v>
      </c>
      <c r="F966" s="6" t="str">
        <f>IFERROR(__xludf.DUMMYFUNCTION("""COMPUTED_VALUE"""),"threat")</f>
        <v>threat</v>
      </c>
      <c r="H966" s="1" t="s">
        <v>2118</v>
      </c>
      <c r="I966" s="6" t="str">
        <f>IFERROR(__xludf.DUMMYFUNCTION("""COMPUTED_VALUE"""),"vulgar")</f>
        <v>vulgar</v>
      </c>
      <c r="P966" s="1" t="s">
        <v>3765</v>
      </c>
      <c r="S966" s="1" t="s">
        <v>3766</v>
      </c>
      <c r="T966" s="6" t="str">
        <f>IFERROR(__xludf.DUMMYFUNCTION("""COMPUTED_VALUE"""),"corruption")</f>
        <v>corruption</v>
      </c>
      <c r="W966" s="8"/>
      <c r="AJ966" s="1" t="s">
        <v>3767</v>
      </c>
      <c r="AM966" s="1" t="s">
        <v>1007</v>
      </c>
    </row>
    <row r="967">
      <c r="E967" s="1" t="s">
        <v>3768</v>
      </c>
      <c r="F967" s="6" t="str">
        <f>IFERROR(__xludf.DUMMYFUNCTION("""COMPUTED_VALUE"""),"expense")</f>
        <v>expense</v>
      </c>
      <c r="H967" s="1" t="s">
        <v>588</v>
      </c>
      <c r="I967" s="6" t="str">
        <f>IFERROR(__xludf.DUMMYFUNCTION("""COMPUTED_VALUE"""),"violent")</f>
        <v>violent</v>
      </c>
      <c r="P967" s="1" t="s">
        <v>3769</v>
      </c>
      <c r="S967" s="1" t="s">
        <v>3770</v>
      </c>
      <c r="T967" s="6" t="str">
        <f>IFERROR(__xludf.DUMMYFUNCTION("""COMPUTED_VALUE"""),"christian")</f>
        <v>christian</v>
      </c>
      <c r="W967" s="8"/>
      <c r="AJ967" s="1" t="s">
        <v>2090</v>
      </c>
      <c r="AM967" s="1" t="s">
        <v>2266</v>
      </c>
    </row>
    <row r="968">
      <c r="E968" s="1" t="s">
        <v>671</v>
      </c>
      <c r="F968" s="6" t="str">
        <f>IFERROR(__xludf.DUMMYFUNCTION("""COMPUTED_VALUE"""),"nonsense")</f>
        <v>nonsense</v>
      </c>
      <c r="H968" s="1" t="s">
        <v>3027</v>
      </c>
      <c r="I968" s="6" t="str">
        <f>IFERROR(__xludf.DUMMYFUNCTION("""COMPUTED_VALUE"""),"mill")</f>
        <v>mill</v>
      </c>
      <c r="P968" s="1" t="s">
        <v>3771</v>
      </c>
      <c r="S968" s="1" t="s">
        <v>1506</v>
      </c>
      <c r="T968" s="6" t="str">
        <f>IFERROR(__xludf.DUMMYFUNCTION("""COMPUTED_VALUE"""),"triangle")</f>
        <v>triangle</v>
      </c>
      <c r="W968" s="8"/>
      <c r="AJ968" s="1" t="s">
        <v>3772</v>
      </c>
      <c r="AM968" s="1" t="s">
        <v>2271</v>
      </c>
    </row>
    <row r="969">
      <c r="E969" s="1" t="s">
        <v>2614</v>
      </c>
      <c r="F969" s="6" t="str">
        <f>IFERROR(__xludf.DUMMYFUNCTION("""COMPUTED_VALUE"""),"snaps")</f>
        <v>snaps</v>
      </c>
      <c r="H969" s="1" t="s">
        <v>494</v>
      </c>
      <c r="I969" s="6" t="str">
        <f>IFERROR(__xludf.DUMMYFUNCTION("""COMPUTED_VALUE"""),"pokemon")</f>
        <v>pokemon</v>
      </c>
      <c r="P969" s="1" t="s">
        <v>974</v>
      </c>
      <c r="S969" s="1" t="s">
        <v>3773</v>
      </c>
      <c r="T969" s="6" t="str">
        <f>IFERROR(__xludf.DUMMYFUNCTION("""COMPUTED_VALUE"""),"net")</f>
        <v>net</v>
      </c>
      <c r="W969" s="8"/>
      <c r="AJ969" s="1" t="s">
        <v>1057</v>
      </c>
      <c r="AM969" s="1" t="s">
        <v>3774</v>
      </c>
    </row>
    <row r="970">
      <c r="E970" s="1" t="s">
        <v>3775</v>
      </c>
      <c r="F970" s="6" t="str">
        <f>IFERROR(__xludf.DUMMYFUNCTION("""COMPUTED_VALUE"""),"critical")</f>
        <v>critical</v>
      </c>
      <c r="H970" s="1" t="s">
        <v>3033</v>
      </c>
      <c r="I970" s="6" t="str">
        <f>IFERROR(__xludf.DUMMYFUNCTION("""COMPUTED_VALUE"""),"breathe")</f>
        <v>breathe</v>
      </c>
      <c r="P970" s="1" t="s">
        <v>3776</v>
      </c>
      <c r="S970" s="1" t="s">
        <v>1104</v>
      </c>
      <c r="T970" s="6" t="str">
        <f>IFERROR(__xludf.DUMMYFUNCTION("""COMPUTED_VALUE"""),"atlantic")</f>
        <v>atlantic</v>
      </c>
      <c r="W970" s="8"/>
      <c r="AJ970" s="1" t="s">
        <v>1063</v>
      </c>
      <c r="AM970" s="1" t="s">
        <v>170</v>
      </c>
    </row>
    <row r="971">
      <c r="E971" s="1" t="s">
        <v>840</v>
      </c>
      <c r="F971" s="6" t="str">
        <f>IFERROR(__xludf.DUMMYFUNCTION("""COMPUTED_VALUE"""),"convinced")</f>
        <v>convinced</v>
      </c>
      <c r="H971" s="1" t="s">
        <v>420</v>
      </c>
      <c r="I971" s="6" t="str">
        <f>IFERROR(__xludf.DUMMYFUNCTION("""COMPUTED_VALUE"""),"allen")</f>
        <v>allen</v>
      </c>
      <c r="P971" s="1" t="s">
        <v>3777</v>
      </c>
      <c r="S971" s="1" t="s">
        <v>2230</v>
      </c>
      <c r="T971" s="6" t="str">
        <f>IFERROR(__xludf.DUMMYFUNCTION("""COMPUTED_VALUE"""),"ocean")</f>
        <v>ocean</v>
      </c>
      <c r="W971" s="8"/>
      <c r="AJ971" s="1" t="s">
        <v>1596</v>
      </c>
      <c r="AM971" s="1" t="s">
        <v>3011</v>
      </c>
    </row>
    <row r="972">
      <c r="E972" s="1" t="s">
        <v>846</v>
      </c>
      <c r="F972" s="6" t="str">
        <f>IFERROR(__xludf.DUMMYFUNCTION("""COMPUTED_VALUE"""),"eye")</f>
        <v>eye</v>
      </c>
      <c r="H972" s="1" t="s">
        <v>1146</v>
      </c>
      <c r="I972" s="6" t="str">
        <f>IFERROR(__xludf.DUMMYFUNCTION("""COMPUTED_VALUE"""),"finely")</f>
        <v>finely</v>
      </c>
      <c r="P972" s="1" t="s">
        <v>3778</v>
      </c>
      <c r="S972" s="1" t="s">
        <v>3779</v>
      </c>
      <c r="T972" s="6" t="str">
        <f>IFERROR(__xludf.DUMMYFUNCTION("""COMPUTED_VALUE"""),"novel")</f>
        <v>novel</v>
      </c>
      <c r="W972" s="8"/>
      <c r="AJ972" s="1" t="s">
        <v>3316</v>
      </c>
      <c r="AM972" s="1" t="s">
        <v>3780</v>
      </c>
    </row>
    <row r="973">
      <c r="E973" s="1" t="s">
        <v>3781</v>
      </c>
      <c r="F973" s="6" t="str">
        <f>IFERROR(__xludf.DUMMYFUNCTION("""COMPUTED_VALUE"""),"adherents")</f>
        <v>adherents</v>
      </c>
      <c r="H973" s="1" t="s">
        <v>3782</v>
      </c>
      <c r="I973" s="6" t="str">
        <f>IFERROR(__xludf.DUMMYFUNCTION("""COMPUTED_VALUE"""),"light")</f>
        <v>light</v>
      </c>
      <c r="P973" s="1" t="s">
        <v>3783</v>
      </c>
      <c r="S973" s="1" t="s">
        <v>3778</v>
      </c>
      <c r="T973" s="6" t="str">
        <f>IFERROR(__xludf.DUMMYFUNCTION("""COMPUTED_VALUE"""),"rent")</f>
        <v>rent</v>
      </c>
      <c r="W973" s="8"/>
      <c r="AJ973" s="1" t="s">
        <v>2097</v>
      </c>
      <c r="AM973" s="1" t="s">
        <v>1014</v>
      </c>
    </row>
    <row r="974">
      <c r="E974" s="1" t="s">
        <v>676</v>
      </c>
      <c r="F974" s="6" t="str">
        <f>IFERROR(__xludf.DUMMYFUNCTION("""COMPUTED_VALUE"""),"trombone")</f>
        <v>trombone</v>
      </c>
      <c r="H974" s="1" t="s">
        <v>2130</v>
      </c>
      <c r="I974" s="6" t="str">
        <f>IFERROR(__xludf.DUMMYFUNCTION("""COMPUTED_VALUE"""),"incorporates")</f>
        <v>incorporates</v>
      </c>
      <c r="P974" s="1" t="s">
        <v>3784</v>
      </c>
      <c r="S974" s="1" t="s">
        <v>3395</v>
      </c>
      <c r="T974" s="6" t="str">
        <f>IFERROR(__xludf.DUMMYFUNCTION("""COMPUTED_VALUE"""),"during")</f>
        <v>during</v>
      </c>
      <c r="W974" s="8"/>
      <c r="AJ974" s="1" t="s">
        <v>3785</v>
      </c>
      <c r="AM974" s="1" t="s">
        <v>1024</v>
      </c>
    </row>
    <row r="975">
      <c r="E975" s="1" t="s">
        <v>3786</v>
      </c>
      <c r="F975" s="6" t="str">
        <f>IFERROR(__xludf.DUMMYFUNCTION("""COMPUTED_VALUE"""),"possess")</f>
        <v>possess</v>
      </c>
      <c r="H975" s="1" t="s">
        <v>920</v>
      </c>
      <c r="I975" s="6" t="str">
        <f>IFERROR(__xludf.DUMMYFUNCTION("""COMPUTED_VALUE"""),"transporting")</f>
        <v>transporting</v>
      </c>
      <c r="P975" s="1" t="s">
        <v>3787</v>
      </c>
      <c r="S975" s="1">
        <v>9.0</v>
      </c>
      <c r="T975" s="6" t="str">
        <f>IFERROR(__xludf.DUMMYFUNCTION("""COMPUTED_VALUE"""),"equivalent")</f>
        <v>equivalent</v>
      </c>
      <c r="W975" s="8"/>
      <c r="AJ975" s="1" t="s">
        <v>3788</v>
      </c>
      <c r="AM975" s="1" t="s">
        <v>2268</v>
      </c>
    </row>
    <row r="976">
      <c r="E976" s="1" t="s">
        <v>2625</v>
      </c>
      <c r="F976" s="6" t="str">
        <f>IFERROR(__xludf.DUMMYFUNCTION("""COMPUTED_VALUE"""),"embarrassment")</f>
        <v>embarrassment</v>
      </c>
      <c r="H976" s="1" t="s">
        <v>144</v>
      </c>
      <c r="I976" s="6" t="str">
        <f>IFERROR(__xludf.DUMMYFUNCTION("""COMPUTED_VALUE"""),"starting")</f>
        <v>starting</v>
      </c>
      <c r="P976" s="1" t="s">
        <v>2815</v>
      </c>
      <c r="S976" s="1" t="s">
        <v>3789</v>
      </c>
      <c r="T976" s="6" t="str">
        <f>IFERROR(__xludf.DUMMYFUNCTION("""COMPUTED_VALUE"""),"bracing")</f>
        <v>bracing</v>
      </c>
      <c r="W976" s="8"/>
      <c r="AJ976" s="1" t="s">
        <v>988</v>
      </c>
      <c r="AM976" s="1" t="s">
        <v>3259</v>
      </c>
    </row>
    <row r="977">
      <c r="E977" s="1" t="s">
        <v>850</v>
      </c>
      <c r="F977" s="6" t="str">
        <f>IFERROR(__xludf.DUMMYFUNCTION("""COMPUTED_VALUE"""),"strained")</f>
        <v>strained</v>
      </c>
      <c r="H977" s="1" t="s">
        <v>2111</v>
      </c>
      <c r="I977" s="6" t="str">
        <f>IFERROR(__xludf.DUMMYFUNCTION("""COMPUTED_VALUE"""),"diaz")</f>
        <v>diaz</v>
      </c>
      <c r="P977" s="1" t="s">
        <v>3790</v>
      </c>
      <c r="S977" s="1" t="s">
        <v>3100</v>
      </c>
      <c r="T977" s="6" t="str">
        <f>IFERROR(__xludf.DUMMYFUNCTION("""COMPUTED_VALUE"""),"shake")</f>
        <v>shake</v>
      </c>
      <c r="W977" s="8"/>
      <c r="AJ977" s="1" t="s">
        <v>3791</v>
      </c>
      <c r="AM977" s="1" t="s">
        <v>3792</v>
      </c>
    </row>
    <row r="978">
      <c r="E978" s="1" t="s">
        <v>3793</v>
      </c>
      <c r="F978" s="6" t="str">
        <f>IFERROR(__xludf.DUMMYFUNCTION("""COMPUTED_VALUE"""),"imaginative")</f>
        <v>imaginative</v>
      </c>
      <c r="H978" s="1" t="s">
        <v>606</v>
      </c>
      <c r="I978" s="6" t="str">
        <f>IFERROR(__xludf.DUMMYFUNCTION("""COMPUTED_VALUE"""),"belongs")</f>
        <v>belongs</v>
      </c>
      <c r="P978" s="1" t="s">
        <v>722</v>
      </c>
      <c r="S978" s="1" t="s">
        <v>913</v>
      </c>
      <c r="T978" s="6" t="str">
        <f>IFERROR(__xludf.DUMMYFUNCTION("""COMPUTED_VALUE"""),"sexy")</f>
        <v>sexy</v>
      </c>
      <c r="W978" s="8"/>
      <c r="AJ978" s="1" t="s">
        <v>2099</v>
      </c>
      <c r="AM978" s="1" t="s">
        <v>3794</v>
      </c>
    </row>
    <row r="979">
      <c r="E979" s="1" t="s">
        <v>589</v>
      </c>
      <c r="F979" s="6" t="str">
        <f>IFERROR(__xludf.DUMMYFUNCTION("""COMPUTED_VALUE"""),"digest")</f>
        <v>digest</v>
      </c>
      <c r="H979" s="1" t="s">
        <v>2126</v>
      </c>
      <c r="I979" s="6" t="str">
        <f>IFERROR(__xludf.DUMMYFUNCTION("""COMPUTED_VALUE"""),"jacques")</f>
        <v>jacques</v>
      </c>
      <c r="P979" s="1" t="s">
        <v>519</v>
      </c>
      <c r="S979" s="1" t="s">
        <v>2277</v>
      </c>
      <c r="T979" s="6" t="str">
        <f>IFERROR(__xludf.DUMMYFUNCTION("""COMPUTED_VALUE"""),"stock")</f>
        <v>stock</v>
      </c>
      <c r="W979" s="8"/>
      <c r="AJ979" s="1" t="s">
        <v>3795</v>
      </c>
      <c r="AM979" s="1" t="s">
        <v>1029</v>
      </c>
    </row>
    <row r="980">
      <c r="E980" s="1" t="s">
        <v>2564</v>
      </c>
      <c r="F980" s="6" t="str">
        <f>IFERROR(__xludf.DUMMYFUNCTION("""COMPUTED_VALUE"""),"composition")</f>
        <v>composition</v>
      </c>
      <c r="H980" s="1" t="s">
        <v>2129</v>
      </c>
      <c r="I980" s="6" t="str">
        <f>IFERROR(__xludf.DUMMYFUNCTION("""COMPUTED_VALUE"""),"diversion")</f>
        <v>diversion</v>
      </c>
      <c r="P980" s="1" t="s">
        <v>3796</v>
      </c>
      <c r="S980" s="1" t="s">
        <v>3797</v>
      </c>
      <c r="T980" s="6" t="str">
        <f>IFERROR(__xludf.DUMMYFUNCTION("""COMPUTED_VALUE"""),"beast")</f>
        <v>beast</v>
      </c>
      <c r="W980" s="8"/>
      <c r="AJ980" s="1" t="s">
        <v>3609</v>
      </c>
      <c r="AM980" s="1" t="s">
        <v>747</v>
      </c>
    </row>
    <row r="981">
      <c r="E981" s="1" t="s">
        <v>2633</v>
      </c>
      <c r="F981" s="6" t="str">
        <f>IFERROR(__xludf.DUMMYFUNCTION("""COMPUTED_VALUE"""),"somber")</f>
        <v>somber</v>
      </c>
      <c r="H981" s="1" t="s">
        <v>729</v>
      </c>
      <c r="I981" s="6" t="str">
        <f>IFERROR(__xludf.DUMMYFUNCTION("""COMPUTED_VALUE"""),"legged")</f>
        <v>legged</v>
      </c>
      <c r="P981" s="1" t="s">
        <v>3798</v>
      </c>
      <c r="S981" s="1" t="s">
        <v>3799</v>
      </c>
      <c r="T981" s="6" t="str">
        <f>IFERROR(__xludf.DUMMYFUNCTION("""COMPUTED_VALUE"""),"legacy")</f>
        <v>legacy</v>
      </c>
      <c r="W981" s="8"/>
      <c r="AJ981" s="1" t="s">
        <v>3800</v>
      </c>
      <c r="AM981" s="1" t="s">
        <v>2277</v>
      </c>
    </row>
    <row r="982">
      <c r="E982" s="1" t="s">
        <v>3801</v>
      </c>
      <c r="F982" s="6" t="str">
        <f>IFERROR(__xludf.DUMMYFUNCTION("""COMPUTED_VALUE"""),"credible")</f>
        <v>credible</v>
      </c>
      <c r="H982" s="1" t="s">
        <v>931</v>
      </c>
      <c r="I982" s="6" t="str">
        <f>IFERROR(__xludf.DUMMYFUNCTION("""COMPUTED_VALUE"""),"freaks")</f>
        <v>freaks</v>
      </c>
      <c r="P982" s="1" t="s">
        <v>153</v>
      </c>
      <c r="S982" s="1" t="s">
        <v>3663</v>
      </c>
      <c r="T982" s="6" t="str">
        <f>IFERROR(__xludf.DUMMYFUNCTION("""COMPUTED_VALUE"""),"smoky")</f>
        <v>smoky</v>
      </c>
      <c r="W982" s="8"/>
      <c r="AJ982" s="1" t="s">
        <v>1069</v>
      </c>
      <c r="AM982" s="1" t="s">
        <v>2825</v>
      </c>
    </row>
    <row r="983">
      <c r="E983" s="1" t="s">
        <v>667</v>
      </c>
      <c r="F983" s="6" t="str">
        <f>IFERROR(__xludf.DUMMYFUNCTION("""COMPUTED_VALUE"""),"mature")</f>
        <v>mature</v>
      </c>
      <c r="H983" s="1" t="s">
        <v>3049</v>
      </c>
      <c r="I983" s="6" t="str">
        <f>IFERROR(__xludf.DUMMYFUNCTION("""COMPUTED_VALUE"""),"bonds")</f>
        <v>bonds</v>
      </c>
      <c r="P983" s="1" t="s">
        <v>2834</v>
      </c>
      <c r="S983" s="1" t="s">
        <v>1303</v>
      </c>
      <c r="T983" s="6" t="str">
        <f>IFERROR(__xludf.DUMMYFUNCTION("""COMPUTED_VALUE"""),"inviting")</f>
        <v>inviting</v>
      </c>
      <c r="W983" s="8"/>
      <c r="AJ983" s="1" t="s">
        <v>3802</v>
      </c>
      <c r="AM983" s="1" t="s">
        <v>541</v>
      </c>
    </row>
    <row r="984">
      <c r="E984" s="1" t="s">
        <v>2576</v>
      </c>
      <c r="F984" s="6" t="str">
        <f>IFERROR(__xludf.DUMMYFUNCTION("""COMPUTED_VALUE"""),"ensuing")</f>
        <v>ensuing</v>
      </c>
      <c r="H984" s="1" t="s">
        <v>1233</v>
      </c>
      <c r="I984" s="6" t="str">
        <f>IFERROR(__xludf.DUMMYFUNCTION("""COMPUTED_VALUE"""),"anatomical")</f>
        <v>anatomical</v>
      </c>
      <c r="P984" s="1" t="s">
        <v>1702</v>
      </c>
      <c r="S984" s="1" t="s">
        <v>3803</v>
      </c>
      <c r="T984" s="6" t="str">
        <f>IFERROR(__xludf.DUMMYFUNCTION("""COMPUTED_VALUE"""),"ghosts")</f>
        <v>ghosts</v>
      </c>
      <c r="W984" s="8"/>
      <c r="AJ984" s="1" t="s">
        <v>2104</v>
      </c>
      <c r="AM984" s="1" t="s">
        <v>3804</v>
      </c>
    </row>
    <row r="985">
      <c r="E985" s="1" t="s">
        <v>3805</v>
      </c>
      <c r="F985" s="6" t="str">
        <f>IFERROR(__xludf.DUMMYFUNCTION("""COMPUTED_VALUE"""),"commerce")</f>
        <v>commerce</v>
      </c>
      <c r="H985" s="1" t="s">
        <v>2147</v>
      </c>
      <c r="I985" s="6" t="str">
        <f>IFERROR(__xludf.DUMMYFUNCTION("""COMPUTED_VALUE"""),"rely")</f>
        <v>rely</v>
      </c>
      <c r="P985" s="1" t="s">
        <v>3806</v>
      </c>
      <c r="S985" s="1" t="s">
        <v>3807</v>
      </c>
      <c r="T985" s="6" t="str">
        <f>IFERROR(__xludf.DUMMYFUNCTION("""COMPUTED_VALUE"""),"painted")</f>
        <v>painted</v>
      </c>
      <c r="W985" s="8"/>
      <c r="AJ985" s="1" t="s">
        <v>904</v>
      </c>
      <c r="AM985" s="1" t="s">
        <v>3808</v>
      </c>
    </row>
    <row r="986">
      <c r="E986" s="1" t="s">
        <v>866</v>
      </c>
      <c r="F986" s="6" t="str">
        <f>IFERROR(__xludf.DUMMYFUNCTION("""COMPUTED_VALUE"""),"subtly")</f>
        <v>subtly</v>
      </c>
      <c r="H986" s="1" t="s">
        <v>3809</v>
      </c>
      <c r="I986" s="6" t="str">
        <f>IFERROR(__xludf.DUMMYFUNCTION("""COMPUTED_VALUE"""),"elegant")</f>
        <v>elegant</v>
      </c>
      <c r="P986" s="1" t="s">
        <v>1743</v>
      </c>
      <c r="S986" s="1" t="s">
        <v>1513</v>
      </c>
      <c r="T986" s="6" t="str">
        <f>IFERROR(__xludf.DUMMYFUNCTION("""COMPUTED_VALUE"""),"trees")</f>
        <v>trees</v>
      </c>
      <c r="W986" s="8"/>
      <c r="AJ986" s="1" t="s">
        <v>2105</v>
      </c>
      <c r="AM986" s="1" t="s">
        <v>2288</v>
      </c>
    </row>
    <row r="987">
      <c r="E987" s="1" t="s">
        <v>2644</v>
      </c>
      <c r="F987" s="6" t="str">
        <f>IFERROR(__xludf.DUMMYFUNCTION("""COMPUTED_VALUE"""),"ballistic")</f>
        <v>ballistic</v>
      </c>
      <c r="H987" s="1" t="s">
        <v>3579</v>
      </c>
      <c r="I987" s="6" t="str">
        <f>IFERROR(__xludf.DUMMYFUNCTION("""COMPUTED_VALUE"""),"majors")</f>
        <v>majors</v>
      </c>
      <c r="P987" s="1" t="s">
        <v>3810</v>
      </c>
      <c r="S987" s="1" t="s">
        <v>3811</v>
      </c>
      <c r="T987" s="6" t="str">
        <f>IFERROR(__xludf.DUMMYFUNCTION("""COMPUTED_VALUE"""),"praises")</f>
        <v>praises</v>
      </c>
      <c r="W987" s="8"/>
      <c r="AJ987" s="1" t="s">
        <v>3812</v>
      </c>
      <c r="AM987" s="1" t="s">
        <v>3813</v>
      </c>
    </row>
    <row r="988">
      <c r="E988" s="1" t="s">
        <v>3814</v>
      </c>
      <c r="F988" s="6" t="str">
        <f>IFERROR(__xludf.DUMMYFUNCTION("""COMPUTED_VALUE"""),"waltz")</f>
        <v>waltz</v>
      </c>
      <c r="H988" s="1" t="s">
        <v>1560</v>
      </c>
      <c r="I988" s="6" t="str">
        <f>IFERROR(__xludf.DUMMYFUNCTION("""COMPUTED_VALUE"""),"governments")</f>
        <v>governments</v>
      </c>
      <c r="P988" s="1" t="s">
        <v>329</v>
      </c>
      <c r="S988" s="1" t="s">
        <v>3815</v>
      </c>
      <c r="T988" s="6" t="str">
        <f>IFERROR(__xludf.DUMMYFUNCTION("""COMPUTED_VALUE"""),"destiny")</f>
        <v>destiny</v>
      </c>
      <c r="W988" s="8"/>
      <c r="AJ988" s="1" t="s">
        <v>2109</v>
      </c>
      <c r="AM988" s="1" t="s">
        <v>649</v>
      </c>
    </row>
    <row r="989">
      <c r="E989" s="1" t="s">
        <v>3816</v>
      </c>
      <c r="F989" s="6" t="str">
        <f>IFERROR(__xludf.DUMMYFUNCTION("""COMPUTED_VALUE"""),"provoke")</f>
        <v>provoke</v>
      </c>
      <c r="H989" s="1" t="s">
        <v>3200</v>
      </c>
      <c r="I989" s="6" t="str">
        <f>IFERROR(__xludf.DUMMYFUNCTION("""COMPUTED_VALUE"""),"reconstruction")</f>
        <v>reconstruction</v>
      </c>
      <c r="P989" s="1" t="s">
        <v>1504</v>
      </c>
      <c r="S989" s="1" t="s">
        <v>3792</v>
      </c>
      <c r="T989" s="6" t="str">
        <f>IFERROR(__xludf.DUMMYFUNCTION("""COMPUTED_VALUE"""),"suitable")</f>
        <v>suitable</v>
      </c>
      <c r="W989" s="8"/>
      <c r="AJ989" s="1" t="s">
        <v>3817</v>
      </c>
      <c r="AM989" s="1" t="s">
        <v>2292</v>
      </c>
    </row>
    <row r="990">
      <c r="E990" s="1" t="s">
        <v>880</v>
      </c>
      <c r="F990" s="6" t="str">
        <f>IFERROR(__xludf.DUMMYFUNCTION("""COMPUTED_VALUE"""),"collapses")</f>
        <v>collapses</v>
      </c>
      <c r="H990" s="1" t="s">
        <v>3057</v>
      </c>
      <c r="I990" s="6" t="str">
        <f>IFERROR(__xludf.DUMMYFUNCTION("""COMPUTED_VALUE"""),"god")</f>
        <v>god</v>
      </c>
      <c r="P990" s="1" t="s">
        <v>3818</v>
      </c>
      <c r="S990" s="1" t="s">
        <v>3819</v>
      </c>
      <c r="T990" s="6" t="str">
        <f>IFERROR(__xludf.DUMMYFUNCTION("""COMPUTED_VALUE"""),"delicate")</f>
        <v>delicate</v>
      </c>
      <c r="W990" s="8"/>
      <c r="AJ990" s="1" t="s">
        <v>3820</v>
      </c>
      <c r="AM990" s="1" t="s">
        <v>665</v>
      </c>
    </row>
    <row r="991">
      <c r="E991" s="1" t="s">
        <v>3821</v>
      </c>
      <c r="F991" s="6" t="str">
        <f>IFERROR(__xludf.DUMMYFUNCTION("""COMPUTED_VALUE"""),"consciousness")</f>
        <v>consciousness</v>
      </c>
      <c r="H991" s="1" t="s">
        <v>2137</v>
      </c>
      <c r="I991" s="6" t="str">
        <f>IFERROR(__xludf.DUMMYFUNCTION("""COMPUTED_VALUE"""),"memorial")</f>
        <v>memorial</v>
      </c>
      <c r="P991" s="1" t="s">
        <v>3822</v>
      </c>
      <c r="S991" s="1" t="s">
        <v>2362</v>
      </c>
      <c r="T991" s="6" t="str">
        <f>IFERROR(__xludf.DUMMYFUNCTION("""COMPUTED_VALUE"""),"magic")</f>
        <v>magic</v>
      </c>
      <c r="W991" s="8"/>
      <c r="AJ991" s="1" t="s">
        <v>3823</v>
      </c>
      <c r="AM991" s="1" t="s">
        <v>2298</v>
      </c>
    </row>
    <row r="992">
      <c r="E992" s="1" t="s">
        <v>1308</v>
      </c>
      <c r="F992" s="6" t="str">
        <f>IFERROR(__xludf.DUMMYFUNCTION("""COMPUTED_VALUE"""),"conceptual")</f>
        <v>conceptual</v>
      </c>
      <c r="H992" s="1" t="s">
        <v>615</v>
      </c>
      <c r="I992" s="6" t="str">
        <f>IFERROR(__xludf.DUMMYFUNCTION("""COMPUTED_VALUE"""),"episode")</f>
        <v>episode</v>
      </c>
      <c r="P992" s="1" t="s">
        <v>3824</v>
      </c>
      <c r="S992" s="1" t="s">
        <v>1861</v>
      </c>
      <c r="T992" s="6" t="str">
        <f>IFERROR(__xludf.DUMMYFUNCTION("""COMPUTED_VALUE"""),"commentary")</f>
        <v>commentary</v>
      </c>
      <c r="W992" s="8"/>
      <c r="AJ992" s="1" t="s">
        <v>3825</v>
      </c>
      <c r="AM992" s="1" t="s">
        <v>715</v>
      </c>
    </row>
    <row r="993">
      <c r="E993" s="1" t="s">
        <v>1316</v>
      </c>
      <c r="F993" s="6" t="str">
        <f>IFERROR(__xludf.DUMMYFUNCTION("""COMPUTED_VALUE"""),"puzzle")</f>
        <v>puzzle</v>
      </c>
      <c r="H993" s="1" t="s">
        <v>501</v>
      </c>
      <c r="I993" s="6" t="str">
        <f>IFERROR(__xludf.DUMMYFUNCTION("""COMPUTED_VALUE"""),"opaque")</f>
        <v>opaque</v>
      </c>
      <c r="P993" s="1" t="s">
        <v>1125</v>
      </c>
      <c r="S993" s="1" t="s">
        <v>3826</v>
      </c>
      <c r="T993" s="6" t="str">
        <f>IFERROR(__xludf.DUMMYFUNCTION("""COMPUTED_VALUE"""),"innovation")</f>
        <v>innovation</v>
      </c>
      <c r="W993" s="8"/>
      <c r="AJ993" s="1" t="s">
        <v>2113</v>
      </c>
      <c r="AM993" s="1" t="s">
        <v>2302</v>
      </c>
    </row>
    <row r="994">
      <c r="E994" s="1" t="s">
        <v>2587</v>
      </c>
      <c r="F994" s="6" t="str">
        <f>IFERROR(__xludf.DUMMYFUNCTION("""COMPUTED_VALUE"""),"sorority")</f>
        <v>sorority</v>
      </c>
      <c r="H994" s="1" t="s">
        <v>3069</v>
      </c>
      <c r="I994" s="6" t="str">
        <f>IFERROR(__xludf.DUMMYFUNCTION("""COMPUTED_VALUE"""),"artificial")</f>
        <v>artificial</v>
      </c>
      <c r="P994" s="1" t="s">
        <v>2859</v>
      </c>
      <c r="S994" s="1" t="s">
        <v>3827</v>
      </c>
      <c r="T994" s="6" t="str">
        <f>IFERROR(__xludf.DUMMYFUNCTION("""COMPUTED_VALUE"""),"glaring")</f>
        <v>glaring</v>
      </c>
      <c r="W994" s="8"/>
      <c r="AJ994" s="1" t="s">
        <v>3828</v>
      </c>
      <c r="AM994" s="1" t="s">
        <v>2306</v>
      </c>
    </row>
    <row r="995">
      <c r="E995" s="1" t="s">
        <v>2581</v>
      </c>
      <c r="F995" s="6" t="str">
        <f>IFERROR(__xludf.DUMMYFUNCTION("""COMPUTED_VALUE"""),"naturally")</f>
        <v>naturally</v>
      </c>
      <c r="H995" s="1" t="s">
        <v>2165</v>
      </c>
      <c r="I995" s="6" t="str">
        <f>IFERROR(__xludf.DUMMYFUNCTION("""COMPUTED_VALUE"""),"demons")</f>
        <v>demons</v>
      </c>
      <c r="P995" s="1" t="s">
        <v>3829</v>
      </c>
      <c r="S995" s="1" t="s">
        <v>3830</v>
      </c>
      <c r="T995" s="6" t="str">
        <f>IFERROR(__xludf.DUMMYFUNCTION("""COMPUTED_VALUE"""),"rush")</f>
        <v>rush</v>
      </c>
      <c r="W995" s="8"/>
      <c r="AJ995" s="1" t="s">
        <v>3831</v>
      </c>
      <c r="AM995" s="1" t="s">
        <v>2295</v>
      </c>
    </row>
    <row r="996">
      <c r="E996" s="1" t="s">
        <v>2656</v>
      </c>
      <c r="F996" s="6" t="str">
        <f>IFERROR(__xludf.DUMMYFUNCTION("""COMPUTED_VALUE"""),"corpse")</f>
        <v>corpse</v>
      </c>
      <c r="H996" s="1" t="s">
        <v>2415</v>
      </c>
      <c r="I996" s="6" t="str">
        <f>IFERROR(__xludf.DUMMYFUNCTION("""COMPUTED_VALUE"""),"blank")</f>
        <v>blank</v>
      </c>
      <c r="P996" s="1" t="s">
        <v>3832</v>
      </c>
      <c r="S996" s="1" t="s">
        <v>3808</v>
      </c>
      <c r="T996" s="6" t="str">
        <f>IFERROR(__xludf.DUMMYFUNCTION("""COMPUTED_VALUE"""),"vulgar")</f>
        <v>vulgar</v>
      </c>
      <c r="W996" s="8"/>
      <c r="AJ996" s="1" t="s">
        <v>126</v>
      </c>
      <c r="AM996" s="1" t="s">
        <v>3299</v>
      </c>
    </row>
    <row r="997">
      <c r="E997" s="1" t="s">
        <v>730</v>
      </c>
      <c r="F997" s="6" t="str">
        <f>IFERROR(__xludf.DUMMYFUNCTION("""COMPUTED_VALUE"""),"siege")</f>
        <v>siege</v>
      </c>
      <c r="H997" s="1" t="s">
        <v>3084</v>
      </c>
      <c r="I997" s="6" t="str">
        <f>IFERROR(__xludf.DUMMYFUNCTION("""COMPUTED_VALUE"""),"lark")</f>
        <v>lark</v>
      </c>
      <c r="P997" s="1" t="s">
        <v>3833</v>
      </c>
      <c r="S997" s="1" t="s">
        <v>3834</v>
      </c>
      <c r="T997" s="6" t="str">
        <f>IFERROR(__xludf.DUMMYFUNCTION("""COMPUTED_VALUE"""),"violent")</f>
        <v>violent</v>
      </c>
      <c r="W997" s="8"/>
      <c r="AJ997" s="1" t="s">
        <v>3835</v>
      </c>
      <c r="AM997" s="1" t="s">
        <v>3304</v>
      </c>
    </row>
    <row r="998">
      <c r="E998" s="1" t="s">
        <v>2027</v>
      </c>
      <c r="F998" s="6" t="str">
        <f>IFERROR(__xludf.DUMMYFUNCTION("""COMPUTED_VALUE"""),"gravity")</f>
        <v>gravity</v>
      </c>
      <c r="H998" s="1" t="s">
        <v>941</v>
      </c>
      <c r="I998" s="6" t="str">
        <f>IFERROR(__xludf.DUMMYFUNCTION("""COMPUTED_VALUE"""),"pipeline")</f>
        <v>pipeline</v>
      </c>
      <c r="P998" s="1" t="s">
        <v>1689</v>
      </c>
      <c r="S998" s="1" t="s">
        <v>3836</v>
      </c>
      <c r="T998" s="6" t="str">
        <f>IFERROR(__xludf.DUMMYFUNCTION("""COMPUTED_VALUE"""),"mill")</f>
        <v>mill</v>
      </c>
      <c r="W998" s="8"/>
      <c r="AJ998" s="1" t="s">
        <v>3837</v>
      </c>
      <c r="AM998" s="1" t="s">
        <v>674</v>
      </c>
    </row>
    <row r="999">
      <c r="E999" s="1" t="s">
        <v>690</v>
      </c>
      <c r="F999" s="6" t="str">
        <f>IFERROR(__xludf.DUMMYFUNCTION("""COMPUTED_VALUE"""),"popular")</f>
        <v>popular</v>
      </c>
      <c r="H999" s="1" t="s">
        <v>3087</v>
      </c>
      <c r="I999" s="6" t="str">
        <f>IFERROR(__xludf.DUMMYFUNCTION("""COMPUTED_VALUE"""),"flow")</f>
        <v>flow</v>
      </c>
      <c r="P999" s="1" t="s">
        <v>1907</v>
      </c>
      <c r="S999" s="1" t="s">
        <v>3838</v>
      </c>
      <c r="T999" s="6" t="str">
        <f>IFERROR(__xludf.DUMMYFUNCTION("""COMPUTED_VALUE"""),"pokemon")</f>
        <v>pokemon</v>
      </c>
      <c r="W999" s="8"/>
      <c r="AJ999" s="1" t="s">
        <v>2117</v>
      </c>
      <c r="AM999" s="1" t="s">
        <v>3311</v>
      </c>
    </row>
    <row r="1000">
      <c r="E1000" s="1" t="s">
        <v>698</v>
      </c>
      <c r="F1000" s="6" t="str">
        <f>IFERROR(__xludf.DUMMYFUNCTION("""COMPUTED_VALUE"""),"climax")</f>
        <v>climax</v>
      </c>
      <c r="H1000" s="1" t="s">
        <v>3839</v>
      </c>
      <c r="I1000" s="6" t="str">
        <f>IFERROR(__xludf.DUMMYFUNCTION("""COMPUTED_VALUE"""),"abstract")</f>
        <v>abstract</v>
      </c>
      <c r="P1000" s="1" t="s">
        <v>3840</v>
      </c>
      <c r="S1000" s="1" t="s">
        <v>3841</v>
      </c>
      <c r="T1000" s="6" t="str">
        <f>IFERROR(__xludf.DUMMYFUNCTION("""COMPUTED_VALUE"""),"crowd")</f>
        <v>crowd</v>
      </c>
      <c r="W1000" s="8"/>
      <c r="AJ1000" s="1" t="s">
        <v>3587</v>
      </c>
      <c r="AM1000" s="1" t="s">
        <v>3842</v>
      </c>
    </row>
    <row r="1001">
      <c r="E1001" s="1" t="s">
        <v>2600</v>
      </c>
      <c r="F1001" s="6" t="str">
        <f>IFERROR(__xludf.DUMMYFUNCTION("""COMPUTED_VALUE"""),"jealousy")</f>
        <v>jealousy</v>
      </c>
      <c r="H1001" s="1" t="s">
        <v>2170</v>
      </c>
      <c r="I1001" s="6" t="str">
        <f>IFERROR(__xludf.DUMMYFUNCTION("""COMPUTED_VALUE"""),"diaries")</f>
        <v>diaries</v>
      </c>
      <c r="P1001" s="1" t="s">
        <v>3843</v>
      </c>
      <c r="S1001" s="1" t="s">
        <v>1520</v>
      </c>
      <c r="T1001" s="6" t="str">
        <f>IFERROR(__xludf.DUMMYFUNCTION("""COMPUTED_VALUE"""),"breathe")</f>
        <v>breathe</v>
      </c>
      <c r="W1001" s="8"/>
      <c r="AJ1001" s="1" t="s">
        <v>2121</v>
      </c>
      <c r="AM1001" s="1" t="s">
        <v>1052</v>
      </c>
    </row>
    <row r="1002">
      <c r="E1002" s="1" t="s">
        <v>1340</v>
      </c>
      <c r="F1002" s="6" t="str">
        <f>IFERROR(__xludf.DUMMYFUNCTION("""COMPUTED_VALUE"""),"christopher")</f>
        <v>christopher</v>
      </c>
      <c r="H1002" s="1" t="s">
        <v>2514</v>
      </c>
      <c r="I1002" s="6" t="str">
        <f>IFERROR(__xludf.DUMMYFUNCTION("""COMPUTED_VALUE"""),"stimulating")</f>
        <v>stimulating</v>
      </c>
      <c r="P1002" s="1" t="s">
        <v>3844</v>
      </c>
      <c r="S1002" s="1" t="s">
        <v>3845</v>
      </c>
      <c r="T1002" s="6" t="str">
        <f>IFERROR(__xludf.DUMMYFUNCTION("""COMPUTED_VALUE"""),"allen")</f>
        <v>allen</v>
      </c>
      <c r="W1002" s="8"/>
      <c r="AJ1002" s="1" t="s">
        <v>3846</v>
      </c>
      <c r="AM1002" s="1" t="s">
        <v>2310</v>
      </c>
    </row>
    <row r="1003">
      <c r="E1003" s="1" t="s">
        <v>2679</v>
      </c>
      <c r="F1003" s="6" t="str">
        <f>IFERROR(__xludf.DUMMYFUNCTION("""COMPUTED_VALUE"""),"classify")</f>
        <v>classify</v>
      </c>
      <c r="H1003" s="1" t="s">
        <v>2145</v>
      </c>
      <c r="I1003" s="6" t="str">
        <f>IFERROR(__xludf.DUMMYFUNCTION("""COMPUTED_VALUE"""),"reel")</f>
        <v>reel</v>
      </c>
      <c r="P1003" s="1" t="s">
        <v>413</v>
      </c>
      <c r="S1003" s="1" t="s">
        <v>2808</v>
      </c>
      <c r="T1003" s="6" t="str">
        <f>IFERROR(__xludf.DUMMYFUNCTION("""COMPUTED_VALUE"""),"finely")</f>
        <v>finely</v>
      </c>
      <c r="W1003" s="8"/>
      <c r="AJ1003" s="1" t="s">
        <v>484</v>
      </c>
      <c r="AM1003" s="1" t="s">
        <v>3847</v>
      </c>
    </row>
    <row r="1004">
      <c r="E1004" s="1" t="s">
        <v>704</v>
      </c>
      <c r="F1004" s="6" t="str">
        <f>IFERROR(__xludf.DUMMYFUNCTION("""COMPUTED_VALUE"""),"warrior")</f>
        <v>warrior</v>
      </c>
      <c r="H1004" s="1" t="s">
        <v>2189</v>
      </c>
      <c r="I1004" s="6" t="str">
        <f>IFERROR(__xludf.DUMMYFUNCTION("""COMPUTED_VALUE"""),"courtship")</f>
        <v>courtship</v>
      </c>
      <c r="P1004" s="1" t="s">
        <v>3848</v>
      </c>
      <c r="S1004" s="1" t="s">
        <v>3849</v>
      </c>
      <c r="T1004" s="6" t="str">
        <f>IFERROR(__xludf.DUMMYFUNCTION("""COMPUTED_VALUE"""),"cartoons")</f>
        <v>cartoons</v>
      </c>
      <c r="W1004" s="8"/>
      <c r="AJ1004" s="1" t="s">
        <v>1392</v>
      </c>
      <c r="AM1004" s="1" t="s">
        <v>2312</v>
      </c>
    </row>
    <row r="1005">
      <c r="E1005" s="1" t="s">
        <v>3850</v>
      </c>
      <c r="F1005" s="6" t="str">
        <f>IFERROR(__xludf.DUMMYFUNCTION("""COMPUTED_VALUE"""),"proud")</f>
        <v>proud</v>
      </c>
      <c r="H1005" s="1" t="s">
        <v>2174</v>
      </c>
      <c r="I1005" s="6" t="str">
        <f>IFERROR(__xludf.DUMMYFUNCTION("""COMPUTED_VALUE"""),"yale")</f>
        <v>yale</v>
      </c>
      <c r="P1005" s="1" t="s">
        <v>2895</v>
      </c>
      <c r="S1005" s="1" t="s">
        <v>3851</v>
      </c>
      <c r="T1005" s="6" t="str">
        <f>IFERROR(__xludf.DUMMYFUNCTION("""COMPUTED_VALUE"""),"light")</f>
        <v>light</v>
      </c>
      <c r="W1005" s="8"/>
      <c r="AJ1005" s="1" t="s">
        <v>3554</v>
      </c>
      <c r="AM1005" s="1" t="s">
        <v>2316</v>
      </c>
    </row>
    <row r="1006">
      <c r="E1006" s="1" t="s">
        <v>712</v>
      </c>
      <c r="F1006" s="6" t="str">
        <f>IFERROR(__xludf.DUMMYFUNCTION("""COMPUTED_VALUE"""),"autobiographical")</f>
        <v>autobiographical</v>
      </c>
      <c r="H1006" s="1" t="s">
        <v>3101</v>
      </c>
      <c r="I1006" s="6" t="str">
        <f>IFERROR(__xludf.DUMMYFUNCTION("""COMPUTED_VALUE"""),"twisted")</f>
        <v>twisted</v>
      </c>
      <c r="P1006" s="1" t="s">
        <v>1019</v>
      </c>
      <c r="S1006" s="1" t="s">
        <v>2719</v>
      </c>
      <c r="T1006" s="6" t="str">
        <f>IFERROR(__xludf.DUMMYFUNCTION("""COMPUTED_VALUE"""),"incorporates")</f>
        <v>incorporates</v>
      </c>
      <c r="W1006" s="8"/>
      <c r="AJ1006" s="1" t="s">
        <v>3852</v>
      </c>
      <c r="AM1006" s="1" t="s">
        <v>3853</v>
      </c>
    </row>
    <row r="1007">
      <c r="E1007" s="1" t="s">
        <v>2698</v>
      </c>
      <c r="F1007" s="6" t="str">
        <f>IFERROR(__xludf.DUMMYFUNCTION("""COMPUTED_VALUE"""),"crafted")</f>
        <v>crafted</v>
      </c>
      <c r="H1007" s="1" t="s">
        <v>617</v>
      </c>
      <c r="I1007" s="6" t="str">
        <f>IFERROR(__xludf.DUMMYFUNCTION("""COMPUTED_VALUE"""),"friendship")</f>
        <v>friendship</v>
      </c>
      <c r="P1007" s="1" t="s">
        <v>1626</v>
      </c>
      <c r="S1007" s="1" t="s">
        <v>3854</v>
      </c>
      <c r="T1007" s="6" t="str">
        <f>IFERROR(__xludf.DUMMYFUNCTION("""COMPUTED_VALUE"""),"starting")</f>
        <v>starting</v>
      </c>
      <c r="W1007" s="8"/>
      <c r="AJ1007" s="1" t="s">
        <v>3855</v>
      </c>
      <c r="AM1007" s="1" t="s">
        <v>3560</v>
      </c>
    </row>
    <row r="1008">
      <c r="E1008" s="1" t="s">
        <v>1355</v>
      </c>
      <c r="F1008" s="6" t="str">
        <f>IFERROR(__xludf.DUMMYFUNCTION("""COMPUTED_VALUE"""),"convention")</f>
        <v>convention</v>
      </c>
      <c r="H1008" s="1" t="s">
        <v>3856</v>
      </c>
      <c r="I1008" s="6" t="str">
        <f>IFERROR(__xludf.DUMMYFUNCTION("""COMPUTED_VALUE"""),"bond")</f>
        <v>bond</v>
      </c>
      <c r="P1008" s="1" t="s">
        <v>3857</v>
      </c>
      <c r="S1008" s="1" t="s">
        <v>2729</v>
      </c>
      <c r="T1008" s="6" t="str">
        <f>IFERROR(__xludf.DUMMYFUNCTION("""COMPUTED_VALUE"""),"bowling")</f>
        <v>bowling</v>
      </c>
      <c r="W1008" s="8"/>
      <c r="AJ1008" s="1" t="s">
        <v>1399</v>
      </c>
      <c r="AM1008" s="1" t="s">
        <v>549</v>
      </c>
    </row>
    <row r="1009">
      <c r="E1009" s="1" t="s">
        <v>3858</v>
      </c>
      <c r="F1009" s="6" t="str">
        <f>IFERROR(__xludf.DUMMYFUNCTION("""COMPUTED_VALUE"""),"urgently")</f>
        <v>urgently</v>
      </c>
      <c r="H1009" s="1" t="s">
        <v>490</v>
      </c>
      <c r="I1009" s="6" t="str">
        <f>IFERROR(__xludf.DUMMYFUNCTION("""COMPUTED_VALUE"""),"constant")</f>
        <v>constant</v>
      </c>
      <c r="P1009" s="1" t="s">
        <v>3504</v>
      </c>
      <c r="S1009" s="1" t="s">
        <v>840</v>
      </c>
      <c r="T1009" s="6" t="str">
        <f>IFERROR(__xludf.DUMMYFUNCTION("""COMPUTED_VALUE"""),"belongs")</f>
        <v>belongs</v>
      </c>
      <c r="W1009" s="8"/>
      <c r="AJ1009" s="1" t="s">
        <v>3859</v>
      </c>
      <c r="AM1009" s="1" t="s">
        <v>2321</v>
      </c>
    </row>
    <row r="1010">
      <c r="E1010" s="1" t="s">
        <v>898</v>
      </c>
      <c r="F1010" s="6" t="str">
        <f>IFERROR(__xludf.DUMMYFUNCTION("""COMPUTED_VALUE"""),"gasping")</f>
        <v>gasping</v>
      </c>
      <c r="H1010" s="1" t="s">
        <v>2155</v>
      </c>
      <c r="I1010" s="6" t="str">
        <f>IFERROR(__xludf.DUMMYFUNCTION("""COMPUTED_VALUE"""),"identification")</f>
        <v>identification</v>
      </c>
      <c r="P1010" s="1" t="s">
        <v>2918</v>
      </c>
      <c r="S1010" s="1" t="s">
        <v>3195</v>
      </c>
      <c r="T1010" s="6" t="str">
        <f>IFERROR(__xludf.DUMMYFUNCTION("""COMPUTED_VALUE"""),"jacques")</f>
        <v>jacques</v>
      </c>
      <c r="W1010" s="8"/>
      <c r="AJ1010" s="1" t="s">
        <v>1080</v>
      </c>
      <c r="AM1010" s="1" t="s">
        <v>1064</v>
      </c>
    </row>
    <row r="1011">
      <c r="E1011" s="1" t="s">
        <v>3860</v>
      </c>
      <c r="F1011" s="6" t="str">
        <f>IFERROR(__xludf.DUMMYFUNCTION("""COMPUTED_VALUE"""),"workings")</f>
        <v>workings</v>
      </c>
      <c r="H1011" s="1" t="s">
        <v>3625</v>
      </c>
      <c r="I1011" s="6" t="str">
        <f>IFERROR(__xludf.DUMMYFUNCTION("""COMPUTED_VALUE"""),"built")</f>
        <v>built</v>
      </c>
      <c r="P1011" s="1" t="s">
        <v>3861</v>
      </c>
      <c r="S1011" s="1" t="s">
        <v>3862</v>
      </c>
      <c r="T1011" s="6" t="str">
        <f>IFERROR(__xludf.DUMMYFUNCTION("""COMPUTED_VALUE"""),"known")</f>
        <v>known</v>
      </c>
      <c r="W1011" s="8"/>
      <c r="AJ1011" s="1" t="s">
        <v>3863</v>
      </c>
      <c r="AM1011" s="1" t="s">
        <v>1070</v>
      </c>
    </row>
    <row r="1012">
      <c r="E1012" s="1" t="s">
        <v>2608</v>
      </c>
      <c r="F1012" s="6" t="str">
        <f>IFERROR(__xludf.DUMMYFUNCTION("""COMPUTED_VALUE"""),"heightened")</f>
        <v>heightened</v>
      </c>
      <c r="H1012" s="1" t="s">
        <v>3111</v>
      </c>
      <c r="I1012" s="6" t="str">
        <f>IFERROR(__xludf.DUMMYFUNCTION("""COMPUTED_VALUE"""),"retaining")</f>
        <v>retaining</v>
      </c>
      <c r="P1012" s="1" t="s">
        <v>2929</v>
      </c>
      <c r="S1012" s="1" t="s">
        <v>132</v>
      </c>
      <c r="T1012" s="6" t="str">
        <f>IFERROR(__xludf.DUMMYFUNCTION("""COMPUTED_VALUE"""),"diversion")</f>
        <v>diversion</v>
      </c>
      <c r="W1012" s="8"/>
      <c r="AJ1012" s="1" t="s">
        <v>3864</v>
      </c>
      <c r="AM1012" s="1" t="s">
        <v>2317</v>
      </c>
    </row>
    <row r="1013">
      <c r="E1013" s="1" t="s">
        <v>2618</v>
      </c>
      <c r="F1013" s="6" t="str">
        <f>IFERROR(__xludf.DUMMYFUNCTION("""COMPUTED_VALUE"""),"virtues")</f>
        <v>virtues</v>
      </c>
      <c r="H1013" s="1" t="s">
        <v>808</v>
      </c>
      <c r="I1013" s="6" t="str">
        <f>IFERROR(__xludf.DUMMYFUNCTION("""COMPUTED_VALUE"""),"mainstream")</f>
        <v>mainstream</v>
      </c>
      <c r="P1013" s="1" t="s">
        <v>3865</v>
      </c>
      <c r="S1013" s="1" t="s">
        <v>2001</v>
      </c>
      <c r="T1013" s="6" t="str">
        <f>IFERROR(__xludf.DUMMYFUNCTION("""COMPUTED_VALUE"""),"legged")</f>
        <v>legged</v>
      </c>
      <c r="W1013" s="8"/>
      <c r="AJ1013" s="1" t="s">
        <v>3866</v>
      </c>
      <c r="AM1013" s="1" t="s">
        <v>2313</v>
      </c>
    </row>
    <row r="1014">
      <c r="E1014" s="1" t="s">
        <v>3867</v>
      </c>
      <c r="F1014" s="6" t="str">
        <f>IFERROR(__xludf.DUMMYFUNCTION("""COMPUTED_VALUE"""),"cameo")</f>
        <v>cameo</v>
      </c>
      <c r="H1014" s="1" t="s">
        <v>2160</v>
      </c>
      <c r="I1014" s="6" t="str">
        <f>IFERROR(__xludf.DUMMYFUNCTION("""COMPUTED_VALUE"""),"menacing")</f>
        <v>menacing</v>
      </c>
      <c r="P1014" s="1" t="s">
        <v>1681</v>
      </c>
      <c r="S1014" s="1" t="s">
        <v>1613</v>
      </c>
      <c r="T1014" s="6" t="str">
        <f>IFERROR(__xludf.DUMMYFUNCTION("""COMPUTED_VALUE"""),"freaks")</f>
        <v>freaks</v>
      </c>
      <c r="W1014" s="8"/>
      <c r="AJ1014" s="1" t="s">
        <v>3868</v>
      </c>
      <c r="AM1014" s="1" t="s">
        <v>2319</v>
      </c>
    </row>
    <row r="1015">
      <c r="E1015" s="1" t="s">
        <v>3869</v>
      </c>
      <c r="F1015" s="6" t="str">
        <f>IFERROR(__xludf.DUMMYFUNCTION("""COMPUTED_VALUE"""),"depression")</f>
        <v>depression</v>
      </c>
      <c r="H1015" s="1" t="s">
        <v>949</v>
      </c>
      <c r="I1015" s="6" t="str">
        <f>IFERROR(__xludf.DUMMYFUNCTION("""COMPUTED_VALUE"""),"gangs")</f>
        <v>gangs</v>
      </c>
      <c r="P1015" s="1" t="s">
        <v>2938</v>
      </c>
      <c r="S1015" s="1" t="s">
        <v>2085</v>
      </c>
      <c r="T1015" s="6" t="str">
        <f>IFERROR(__xludf.DUMMYFUNCTION("""COMPUTED_VALUE"""),"bonds")</f>
        <v>bonds</v>
      </c>
      <c r="W1015" s="8"/>
      <c r="AJ1015" s="1" t="s">
        <v>3870</v>
      </c>
      <c r="AM1015" s="1" t="s">
        <v>935</v>
      </c>
    </row>
    <row r="1016">
      <c r="E1016" s="1" t="s">
        <v>2231</v>
      </c>
      <c r="F1016" s="6" t="str">
        <f>IFERROR(__xludf.DUMMYFUNCTION("""COMPUTED_VALUE"""),"abyss")</f>
        <v>abyss</v>
      </c>
      <c r="H1016" s="1" t="s">
        <v>2194</v>
      </c>
      <c r="I1016" s="6" t="str">
        <f>IFERROR(__xludf.DUMMYFUNCTION("""COMPUTED_VALUE"""),"got")</f>
        <v>got</v>
      </c>
      <c r="P1016" s="1" t="s">
        <v>757</v>
      </c>
      <c r="S1016" s="1" t="s">
        <v>2419</v>
      </c>
      <c r="T1016" s="6" t="str">
        <f>IFERROR(__xludf.DUMMYFUNCTION("""COMPUTED_VALUE"""),"simple")</f>
        <v>simple</v>
      </c>
      <c r="W1016" s="8"/>
      <c r="AJ1016" s="1" t="s">
        <v>2133</v>
      </c>
      <c r="AM1016" s="1" t="s">
        <v>2330</v>
      </c>
    </row>
    <row r="1017">
      <c r="E1017" s="1" t="s">
        <v>3871</v>
      </c>
      <c r="F1017" s="6" t="str">
        <f>IFERROR(__xludf.DUMMYFUNCTION("""COMPUTED_VALUE"""),"sinks")</f>
        <v>sinks</v>
      </c>
      <c r="H1017" s="1" t="s">
        <v>2484</v>
      </c>
      <c r="I1017" s="6" t="str">
        <f>IFERROR(__xludf.DUMMYFUNCTION("""COMPUTED_VALUE"""),"creates")</f>
        <v>creates</v>
      </c>
      <c r="P1017" s="1" t="s">
        <v>441</v>
      </c>
      <c r="S1017" s="1" t="s">
        <v>3872</v>
      </c>
      <c r="T1017" s="6" t="str">
        <f>IFERROR(__xludf.DUMMYFUNCTION("""COMPUTED_VALUE"""),"anatomical")</f>
        <v>anatomical</v>
      </c>
      <c r="W1017" s="8"/>
      <c r="AJ1017" s="1" t="s">
        <v>2136</v>
      </c>
      <c r="AM1017" s="1" t="s">
        <v>3377</v>
      </c>
    </row>
    <row r="1018">
      <c r="E1018" s="1" t="s">
        <v>1359</v>
      </c>
      <c r="F1018" s="6" t="str">
        <f>IFERROR(__xludf.DUMMYFUNCTION("""COMPUTED_VALUE"""),"eroded")</f>
        <v>eroded</v>
      </c>
      <c r="H1018" s="1" t="s">
        <v>3127</v>
      </c>
      <c r="I1018" s="6" t="str">
        <f>IFERROR(__xludf.DUMMYFUNCTION("""COMPUTED_VALUE"""),"demonstrating")</f>
        <v>demonstrating</v>
      </c>
      <c r="P1018" s="1" t="s">
        <v>3873</v>
      </c>
      <c r="S1018" s="1" t="s">
        <v>3874</v>
      </c>
      <c r="T1018" s="6" t="str">
        <f>IFERROR(__xludf.DUMMYFUNCTION("""COMPUTED_VALUE"""),"elegant")</f>
        <v>elegant</v>
      </c>
      <c r="W1018" s="8"/>
      <c r="AJ1018" s="1" t="s">
        <v>3875</v>
      </c>
      <c r="AM1018" s="1" t="s">
        <v>678</v>
      </c>
    </row>
    <row r="1019">
      <c r="E1019" s="1" t="s">
        <v>3876</v>
      </c>
      <c r="F1019" s="6" t="str">
        <f>IFERROR(__xludf.DUMMYFUNCTION("""COMPUTED_VALUE"""),"flawed")</f>
        <v>flawed</v>
      </c>
      <c r="H1019" s="1" t="s">
        <v>2164</v>
      </c>
      <c r="I1019" s="6" t="str">
        <f>IFERROR(__xludf.DUMMYFUNCTION("""COMPUTED_VALUE"""),"encouraging")</f>
        <v>encouraging</v>
      </c>
      <c r="P1019" s="1" t="s">
        <v>644</v>
      </c>
      <c r="S1019" s="1" t="s">
        <v>3720</v>
      </c>
      <c r="T1019" s="6" t="str">
        <f>IFERROR(__xludf.DUMMYFUNCTION("""COMPUTED_VALUE"""),"radar")</f>
        <v>radar</v>
      </c>
      <c r="W1019" s="8"/>
      <c r="AJ1019" s="1" t="s">
        <v>1087</v>
      </c>
      <c r="AM1019" s="1" t="s">
        <v>1074</v>
      </c>
    </row>
    <row r="1020">
      <c r="E1020" s="1" t="s">
        <v>2623</v>
      </c>
      <c r="F1020" s="6" t="str">
        <f>IFERROR(__xludf.DUMMYFUNCTION("""COMPUTED_VALUE"""),"comprehend")</f>
        <v>comprehend</v>
      </c>
      <c r="H1020" s="1" t="s">
        <v>2199</v>
      </c>
      <c r="I1020" s="6" t="str">
        <f>IFERROR(__xludf.DUMMYFUNCTION("""COMPUTED_VALUE"""),"note")</f>
        <v>note</v>
      </c>
      <c r="P1020" s="1" t="s">
        <v>1526</v>
      </c>
      <c r="S1020" s="1" t="s">
        <v>3877</v>
      </c>
      <c r="T1020" s="6" t="str">
        <f>IFERROR(__xludf.DUMMYFUNCTION("""COMPUTED_VALUE"""),"reconstruction")</f>
        <v>reconstruction</v>
      </c>
      <c r="W1020" s="8"/>
      <c r="AJ1020" s="1" t="s">
        <v>2141</v>
      </c>
      <c r="AM1020" s="1" t="s">
        <v>685</v>
      </c>
    </row>
    <row r="1021">
      <c r="E1021" s="1" t="s">
        <v>1367</v>
      </c>
      <c r="F1021" s="6" t="str">
        <f>IFERROR(__xludf.DUMMYFUNCTION("""COMPUTED_VALUE"""),"lifts")</f>
        <v>lifts</v>
      </c>
      <c r="H1021" s="1" t="s">
        <v>3136</v>
      </c>
      <c r="I1021" s="6" t="str">
        <f>IFERROR(__xludf.DUMMYFUNCTION("""COMPUTED_VALUE"""),"friend")</f>
        <v>friend</v>
      </c>
      <c r="P1021" s="1" t="s">
        <v>3878</v>
      </c>
      <c r="S1021" s="1" t="s">
        <v>3879</v>
      </c>
      <c r="T1021" s="6" t="str">
        <f>IFERROR(__xludf.DUMMYFUNCTION("""COMPUTED_VALUE"""),"glory")</f>
        <v>glory</v>
      </c>
      <c r="W1021" s="8"/>
      <c r="AJ1021" s="1" t="s">
        <v>128</v>
      </c>
      <c r="AM1021" s="1" t="s">
        <v>2342</v>
      </c>
    </row>
    <row r="1022">
      <c r="E1022" s="1" t="s">
        <v>2628</v>
      </c>
      <c r="F1022" s="6" t="str">
        <f>IFERROR(__xludf.DUMMYFUNCTION("""COMPUTED_VALUE"""),"regain")</f>
        <v>regain</v>
      </c>
      <c r="H1022" s="1" t="s">
        <v>3880</v>
      </c>
      <c r="I1022" s="6" t="str">
        <f>IFERROR(__xludf.DUMMYFUNCTION("""COMPUTED_VALUE"""),"dickens")</f>
        <v>dickens</v>
      </c>
      <c r="P1022" s="1" t="s">
        <v>3881</v>
      </c>
      <c r="S1022" s="1" t="s">
        <v>3882</v>
      </c>
      <c r="T1022" s="6" t="str">
        <f>IFERROR(__xludf.DUMMYFUNCTION("""COMPUTED_VALUE"""),"god")</f>
        <v>god</v>
      </c>
      <c r="W1022" s="8"/>
      <c r="AJ1022" s="1" t="s">
        <v>3883</v>
      </c>
      <c r="AM1022" s="1" t="s">
        <v>3395</v>
      </c>
    </row>
    <row r="1023">
      <c r="E1023" s="1" t="s">
        <v>3884</v>
      </c>
      <c r="F1023" s="6" t="str">
        <f>IFERROR(__xludf.DUMMYFUNCTION("""COMPUTED_VALUE"""),"manipulation")</f>
        <v>manipulation</v>
      </c>
      <c r="H1023" s="1" t="s">
        <v>2173</v>
      </c>
      <c r="I1023" s="6" t="str">
        <f>IFERROR(__xludf.DUMMYFUNCTION("""COMPUTED_VALUE"""),"expresses")</f>
        <v>expresses</v>
      </c>
      <c r="P1023" s="1" t="s">
        <v>3885</v>
      </c>
      <c r="S1023" s="1" t="s">
        <v>741</v>
      </c>
      <c r="T1023" s="6" t="str">
        <f>IFERROR(__xludf.DUMMYFUNCTION("""COMPUTED_VALUE"""),"memorial")</f>
        <v>memorial</v>
      </c>
      <c r="W1023" s="8"/>
      <c r="AJ1023" s="1" t="s">
        <v>3886</v>
      </c>
      <c r="AM1023" s="1" t="s">
        <v>1659</v>
      </c>
    </row>
    <row r="1024">
      <c r="E1024" s="1" t="s">
        <v>3887</v>
      </c>
      <c r="F1024" s="6" t="str">
        <f>IFERROR(__xludf.DUMMYFUNCTION("""COMPUTED_VALUE"""),"optimism")</f>
        <v>optimism</v>
      </c>
      <c r="H1024" s="1" t="s">
        <v>3142</v>
      </c>
      <c r="I1024" s="6" t="str">
        <f>IFERROR(__xludf.DUMMYFUNCTION("""COMPUTED_VALUE"""),"evergreen")</f>
        <v>evergreen</v>
      </c>
      <c r="P1024" s="1" t="s">
        <v>227</v>
      </c>
      <c r="S1024" s="1" t="s">
        <v>3888</v>
      </c>
      <c r="T1024" s="6" t="str">
        <f>IFERROR(__xludf.DUMMYFUNCTION("""COMPUTED_VALUE"""),"episode")</f>
        <v>episode</v>
      </c>
      <c r="W1024" s="8"/>
      <c r="AJ1024" s="1" t="s">
        <v>277</v>
      </c>
      <c r="AM1024" s="1" t="s">
        <v>2346</v>
      </c>
    </row>
    <row r="1025">
      <c r="E1025" s="1" t="s">
        <v>3889</v>
      </c>
      <c r="F1025" s="6" t="str">
        <f>IFERROR(__xludf.DUMMYFUNCTION("""COMPUTED_VALUE"""),"hughes")</f>
        <v>hughes</v>
      </c>
      <c r="H1025" s="1" t="s">
        <v>2177</v>
      </c>
      <c r="I1025" s="6" t="str">
        <f>IFERROR(__xludf.DUMMYFUNCTION("""COMPUTED_VALUE"""),"inactive")</f>
        <v>inactive</v>
      </c>
      <c r="P1025" s="1" t="s">
        <v>3890</v>
      </c>
      <c r="S1025" s="1" t="s">
        <v>3669</v>
      </c>
      <c r="T1025" s="6" t="str">
        <f>IFERROR(__xludf.DUMMYFUNCTION("""COMPUTED_VALUE"""),"plays")</f>
        <v>plays</v>
      </c>
      <c r="W1025" s="8"/>
      <c r="AJ1025" s="1" t="s">
        <v>3891</v>
      </c>
      <c r="AM1025" s="1" t="s">
        <v>3892</v>
      </c>
    </row>
    <row r="1026">
      <c r="E1026" s="1" t="s">
        <v>3893</v>
      </c>
      <c r="F1026" s="6" t="str">
        <f>IFERROR(__xludf.DUMMYFUNCTION("""COMPUTED_VALUE"""),"elder")</f>
        <v>elder</v>
      </c>
      <c r="H1026" s="1" t="s">
        <v>3894</v>
      </c>
      <c r="I1026" s="6" t="str">
        <f>IFERROR(__xludf.DUMMYFUNCTION("""COMPUTED_VALUE"""),"markedly")</f>
        <v>markedly</v>
      </c>
      <c r="P1026" s="1" t="s">
        <v>3895</v>
      </c>
      <c r="S1026" s="1" t="s">
        <v>1833</v>
      </c>
      <c r="T1026" s="6" t="str">
        <f>IFERROR(__xludf.DUMMYFUNCTION("""COMPUTED_VALUE"""),"opaque")</f>
        <v>opaque</v>
      </c>
      <c r="W1026" s="8"/>
      <c r="AJ1026" s="1" t="s">
        <v>1407</v>
      </c>
      <c r="AM1026" s="1" t="s">
        <v>2710</v>
      </c>
    </row>
    <row r="1027">
      <c r="E1027" s="1" t="s">
        <v>1281</v>
      </c>
      <c r="F1027" s="6" t="str">
        <f>IFERROR(__xludf.DUMMYFUNCTION("""COMPUTED_VALUE"""),"musical")</f>
        <v>musical</v>
      </c>
      <c r="H1027" s="1" t="s">
        <v>3896</v>
      </c>
      <c r="I1027" s="6" t="str">
        <f>IFERROR(__xludf.DUMMYFUNCTION("""COMPUTED_VALUE"""),"memorable")</f>
        <v>memorable</v>
      </c>
      <c r="P1027" s="1" t="s">
        <v>3897</v>
      </c>
      <c r="S1027" s="1" t="s">
        <v>3125</v>
      </c>
      <c r="T1027" s="6" t="str">
        <f>IFERROR(__xludf.DUMMYFUNCTION("""COMPUTED_VALUE"""),"borrowed")</f>
        <v>borrowed</v>
      </c>
      <c r="W1027" s="8"/>
      <c r="AJ1027" s="1" t="s">
        <v>922</v>
      </c>
      <c r="AM1027" s="1" t="s">
        <v>1081</v>
      </c>
    </row>
    <row r="1028">
      <c r="E1028" s="1" t="s">
        <v>2731</v>
      </c>
      <c r="F1028" s="6" t="str">
        <f>IFERROR(__xludf.DUMMYFUNCTION("""COMPUTED_VALUE"""),"terror")</f>
        <v>terror</v>
      </c>
      <c r="H1028" s="1" t="s">
        <v>2183</v>
      </c>
      <c r="I1028" s="6" t="str">
        <f>IFERROR(__xludf.DUMMYFUNCTION("""COMPUTED_VALUE"""),"affected")</f>
        <v>affected</v>
      </c>
      <c r="P1028" s="1" t="s">
        <v>3898</v>
      </c>
      <c r="S1028" s="1" t="s">
        <v>3899</v>
      </c>
      <c r="T1028" s="6" t="str">
        <f>IFERROR(__xludf.DUMMYFUNCTION("""COMPUTED_VALUE"""),"voice")</f>
        <v>voice</v>
      </c>
      <c r="W1028" s="8"/>
      <c r="AJ1028" s="1" t="s">
        <v>3900</v>
      </c>
      <c r="AM1028" s="1" t="s">
        <v>2337</v>
      </c>
    </row>
    <row r="1029">
      <c r="E1029" s="1" t="s">
        <v>2734</v>
      </c>
      <c r="F1029" s="6" t="str">
        <f>IFERROR(__xludf.DUMMYFUNCTION("""COMPUTED_VALUE"""),"intentions")</f>
        <v>intentions</v>
      </c>
      <c r="H1029" s="1" t="s">
        <v>517</v>
      </c>
      <c r="I1029" s="6" t="str">
        <f>IFERROR(__xludf.DUMMYFUNCTION("""COMPUTED_VALUE"""),"hurley")</f>
        <v>hurley</v>
      </c>
      <c r="P1029" s="1" t="s">
        <v>3901</v>
      </c>
      <c r="S1029" s="1" t="s">
        <v>3902</v>
      </c>
      <c r="T1029" s="6" t="str">
        <f>IFERROR(__xludf.DUMMYFUNCTION("""COMPUTED_VALUE"""),"demons")</f>
        <v>demons</v>
      </c>
      <c r="W1029" s="8"/>
      <c r="AJ1029" s="1" t="s">
        <v>3903</v>
      </c>
      <c r="AM1029" s="1" t="s">
        <v>2339</v>
      </c>
    </row>
    <row r="1030">
      <c r="E1030" s="1" t="s">
        <v>928</v>
      </c>
      <c r="F1030" s="6" t="str">
        <f>IFERROR(__xludf.DUMMYFUNCTION("""COMPUTED_VALUE"""),"owes")</f>
        <v>owes</v>
      </c>
      <c r="H1030" s="1" t="s">
        <v>2188</v>
      </c>
      <c r="I1030" s="6" t="str">
        <f>IFERROR(__xludf.DUMMYFUNCTION("""COMPUTED_VALUE"""),"pastry")</f>
        <v>pastry</v>
      </c>
      <c r="P1030" s="1" t="s">
        <v>3904</v>
      </c>
      <c r="S1030" s="1" t="s">
        <v>3905</v>
      </c>
      <c r="T1030" s="6" t="str">
        <f>IFERROR(__xludf.DUMMYFUNCTION("""COMPUTED_VALUE"""),"lark")</f>
        <v>lark</v>
      </c>
      <c r="W1030" s="8"/>
      <c r="AJ1030" s="1" t="s">
        <v>3906</v>
      </c>
      <c r="AM1030" s="1" t="s">
        <v>2344</v>
      </c>
    </row>
    <row r="1031">
      <c r="E1031" s="1" t="s">
        <v>2639</v>
      </c>
      <c r="F1031" s="6" t="str">
        <f>IFERROR(__xludf.DUMMYFUNCTION("""COMPUTED_VALUE"""),"genesis")</f>
        <v>genesis</v>
      </c>
      <c r="H1031" s="1" t="s">
        <v>2186</v>
      </c>
      <c r="I1031" s="6" t="str">
        <f>IFERROR(__xludf.DUMMYFUNCTION("""COMPUTED_VALUE"""),"objective")</f>
        <v>objective</v>
      </c>
      <c r="P1031" s="1" t="s">
        <v>3681</v>
      </c>
      <c r="S1031" s="1" t="s">
        <v>3111</v>
      </c>
      <c r="T1031" s="6" t="str">
        <f>IFERROR(__xludf.DUMMYFUNCTION("""COMPUTED_VALUE"""),"flow")</f>
        <v>flow</v>
      </c>
      <c r="W1031" s="8"/>
      <c r="AJ1031" s="1" t="s">
        <v>2143</v>
      </c>
      <c r="AM1031" s="1" t="s">
        <v>3340</v>
      </c>
    </row>
    <row r="1032">
      <c r="E1032" s="1" t="s">
        <v>718</v>
      </c>
      <c r="F1032" s="6" t="str">
        <f>IFERROR(__xludf.DUMMYFUNCTION("""COMPUTED_VALUE"""),"naval")</f>
        <v>naval</v>
      </c>
      <c r="H1032" s="1" t="s">
        <v>971</v>
      </c>
      <c r="I1032" s="6" t="str">
        <f>IFERROR(__xludf.DUMMYFUNCTION("""COMPUTED_VALUE"""),"carol")</f>
        <v>carol</v>
      </c>
      <c r="P1032" s="1" t="s">
        <v>3907</v>
      </c>
      <c r="S1032" s="1" t="s">
        <v>1551</v>
      </c>
      <c r="T1032" s="6" t="str">
        <f>IFERROR(__xludf.DUMMYFUNCTION("""COMPUTED_VALUE"""),"stimulating")</f>
        <v>stimulating</v>
      </c>
      <c r="W1032" s="8"/>
      <c r="AJ1032" s="1" t="s">
        <v>3261</v>
      </c>
      <c r="AM1032" s="1" t="s">
        <v>557</v>
      </c>
    </row>
    <row r="1033">
      <c r="E1033" s="1" t="s">
        <v>1980</v>
      </c>
      <c r="F1033" s="6" t="str">
        <f>IFERROR(__xludf.DUMMYFUNCTION("""COMPUTED_VALUE"""),"tears")</f>
        <v>tears</v>
      </c>
      <c r="H1033" s="1" t="s">
        <v>2195</v>
      </c>
      <c r="I1033" s="6" t="str">
        <f>IFERROR(__xludf.DUMMYFUNCTION("""COMPUTED_VALUE"""),"reassuring")</f>
        <v>reassuring</v>
      </c>
      <c r="P1033" s="1" t="s">
        <v>3908</v>
      </c>
      <c r="S1033" s="1" t="s">
        <v>339</v>
      </c>
      <c r="T1033" s="6" t="str">
        <f>IFERROR(__xludf.DUMMYFUNCTION("""COMPUTED_VALUE"""),"twisted")</f>
        <v>twisted</v>
      </c>
      <c r="W1033" s="8"/>
      <c r="AJ1033" s="1" t="s">
        <v>1422</v>
      </c>
      <c r="AM1033" s="1" t="s">
        <v>692</v>
      </c>
    </row>
    <row r="1034">
      <c r="E1034" s="1" t="s">
        <v>727</v>
      </c>
      <c r="F1034" s="6" t="str">
        <f>IFERROR(__xludf.DUMMYFUNCTION("""COMPUTED_VALUE"""),"frightening")</f>
        <v>frightening</v>
      </c>
      <c r="H1034" s="1" t="s">
        <v>3362</v>
      </c>
      <c r="I1034" s="6" t="str">
        <f>IFERROR(__xludf.DUMMYFUNCTION("""COMPUTED_VALUE"""),"sung")</f>
        <v>sung</v>
      </c>
      <c r="P1034" s="1" t="s">
        <v>1667</v>
      </c>
      <c r="S1034" s="1" t="s">
        <v>1728</v>
      </c>
      <c r="T1034" s="6" t="str">
        <f>IFERROR(__xludf.DUMMYFUNCTION("""COMPUTED_VALUE"""),"friendship")</f>
        <v>friendship</v>
      </c>
      <c r="W1034" s="8"/>
      <c r="AJ1034" s="1" t="s">
        <v>1095</v>
      </c>
      <c r="AM1034" s="1" t="s">
        <v>3412</v>
      </c>
    </row>
    <row r="1035">
      <c r="E1035" s="1" t="s">
        <v>2648</v>
      </c>
      <c r="F1035" s="6" t="str">
        <f>IFERROR(__xludf.DUMMYFUNCTION("""COMPUTED_VALUE"""),"amid")</f>
        <v>amid</v>
      </c>
      <c r="H1035" s="1" t="s">
        <v>3167</v>
      </c>
      <c r="I1035" s="6" t="str">
        <f>IFERROR(__xludf.DUMMYFUNCTION("""COMPUTED_VALUE"""),"intricate")</f>
        <v>intricate</v>
      </c>
      <c r="P1035" s="1" t="s">
        <v>1670</v>
      </c>
      <c r="S1035" s="1" t="s">
        <v>2826</v>
      </c>
      <c r="T1035" s="6" t="str">
        <f>IFERROR(__xludf.DUMMYFUNCTION("""COMPUTED_VALUE"""),"bond")</f>
        <v>bond</v>
      </c>
      <c r="W1035" s="8"/>
      <c r="AJ1035" s="1" t="s">
        <v>2151</v>
      </c>
      <c r="AM1035" s="1" t="s">
        <v>2357</v>
      </c>
    </row>
    <row r="1036">
      <c r="E1036" s="1" t="s">
        <v>1409</v>
      </c>
      <c r="F1036" s="6" t="str">
        <f>IFERROR(__xludf.DUMMYFUNCTION("""COMPUTED_VALUE"""),"morality")</f>
        <v>morality</v>
      </c>
      <c r="H1036" s="1" t="s">
        <v>1939</v>
      </c>
      <c r="I1036" s="6" t="str">
        <f>IFERROR(__xludf.DUMMYFUNCTION("""COMPUTED_VALUE"""),"product")</f>
        <v>product</v>
      </c>
      <c r="P1036" s="1" t="s">
        <v>3909</v>
      </c>
      <c r="S1036" s="1" t="s">
        <v>3910</v>
      </c>
      <c r="T1036" s="6" t="str">
        <f>IFERROR(__xludf.DUMMYFUNCTION("""COMPUTED_VALUE"""),"constant")</f>
        <v>constant</v>
      </c>
      <c r="W1036" s="8"/>
      <c r="AJ1036" s="1" t="s">
        <v>1101</v>
      </c>
      <c r="AM1036" s="1" t="s">
        <v>2361</v>
      </c>
    </row>
    <row r="1037">
      <c r="E1037" s="1" t="s">
        <v>3911</v>
      </c>
      <c r="F1037" s="6" t="str">
        <f>IFERROR(__xludf.DUMMYFUNCTION("""COMPUTED_VALUE"""),"futuristic")</f>
        <v>futuristic</v>
      </c>
      <c r="H1037" s="1" t="s">
        <v>1763</v>
      </c>
      <c r="I1037" s="6" t="str">
        <f>IFERROR(__xludf.DUMMYFUNCTION("""COMPUTED_VALUE"""),"crimes")</f>
        <v>crimes</v>
      </c>
      <c r="P1037" s="1" t="s">
        <v>3912</v>
      </c>
      <c r="S1037" s="1" t="s">
        <v>3603</v>
      </c>
      <c r="T1037" s="6" t="str">
        <f>IFERROR(__xludf.DUMMYFUNCTION("""COMPUTED_VALUE"""),"gall")</f>
        <v>gall</v>
      </c>
      <c r="W1037" s="8"/>
      <c r="AJ1037" s="1" t="s">
        <v>1435</v>
      </c>
      <c r="AM1037" s="1" t="s">
        <v>3913</v>
      </c>
    </row>
    <row r="1038">
      <c r="E1038" s="1" t="s">
        <v>1781</v>
      </c>
      <c r="F1038" s="6" t="str">
        <f>IFERROR(__xludf.DUMMYFUNCTION("""COMPUTED_VALUE"""),"autopsy")</f>
        <v>autopsy</v>
      </c>
      <c r="H1038" s="1" t="s">
        <v>2219</v>
      </c>
      <c r="I1038" s="6" t="str">
        <f>IFERROR(__xludf.DUMMYFUNCTION("""COMPUTED_VALUE"""),"20th")</f>
        <v>20th</v>
      </c>
      <c r="P1038" s="1" t="s">
        <v>1048</v>
      </c>
      <c r="S1038" s="1" t="s">
        <v>1885</v>
      </c>
      <c r="T1038" s="6" t="str">
        <f>IFERROR(__xludf.DUMMYFUNCTION("""COMPUTED_VALUE"""),"identification")</f>
        <v>identification</v>
      </c>
      <c r="W1038" s="8"/>
      <c r="AJ1038" s="1" t="s">
        <v>134</v>
      </c>
      <c r="AM1038" s="1" t="s">
        <v>3914</v>
      </c>
    </row>
    <row r="1039">
      <c r="E1039" s="1" t="s">
        <v>3915</v>
      </c>
      <c r="F1039" s="6" t="str">
        <f>IFERROR(__xludf.DUMMYFUNCTION("""COMPUTED_VALUE"""),"bravery")</f>
        <v>bravery</v>
      </c>
      <c r="H1039" s="1" t="s">
        <v>3174</v>
      </c>
      <c r="I1039" s="6" t="str">
        <f>IFERROR(__xludf.DUMMYFUNCTION("""COMPUTED_VALUE"""),"france")</f>
        <v>france</v>
      </c>
      <c r="P1039" s="1" t="s">
        <v>2779</v>
      </c>
      <c r="S1039" s="1" t="s">
        <v>3913</v>
      </c>
      <c r="T1039" s="6" t="str">
        <f>IFERROR(__xludf.DUMMYFUNCTION("""COMPUTED_VALUE"""),"connection")</f>
        <v>connection</v>
      </c>
      <c r="W1039" s="8"/>
      <c r="AJ1039" s="1" t="s">
        <v>1441</v>
      </c>
      <c r="AM1039" s="1" t="s">
        <v>3001</v>
      </c>
    </row>
    <row r="1040">
      <c r="E1040" s="1" t="s">
        <v>2749</v>
      </c>
      <c r="F1040" s="6" t="str">
        <f>IFERROR(__xludf.DUMMYFUNCTION("""COMPUTED_VALUE"""),"circuit")</f>
        <v>circuit</v>
      </c>
      <c r="H1040" s="1" t="s">
        <v>3916</v>
      </c>
      <c r="I1040" s="6" t="str">
        <f>IFERROR(__xludf.DUMMYFUNCTION("""COMPUTED_VALUE"""),"destined")</f>
        <v>destined</v>
      </c>
      <c r="P1040" s="1" t="s">
        <v>3917</v>
      </c>
      <c r="S1040" s="1" t="s">
        <v>3918</v>
      </c>
      <c r="T1040" s="6" t="str">
        <f>IFERROR(__xludf.DUMMYFUNCTION("""COMPUTED_VALUE"""),"built")</f>
        <v>built</v>
      </c>
      <c r="W1040" s="8"/>
      <c r="AJ1040" s="1" t="s">
        <v>3919</v>
      </c>
      <c r="AM1040" s="1" t="s">
        <v>2120</v>
      </c>
    </row>
    <row r="1041">
      <c r="E1041" s="1" t="s">
        <v>3920</v>
      </c>
      <c r="F1041" s="6" t="str">
        <f>IFERROR(__xludf.DUMMYFUNCTION("""COMPUTED_VALUE"""),"minnie")</f>
        <v>minnie</v>
      </c>
      <c r="H1041" s="1" t="s">
        <v>2209</v>
      </c>
      <c r="I1041" s="6" t="str">
        <f>IFERROR(__xludf.DUMMYFUNCTION("""COMPUTED_VALUE"""),"griffith")</f>
        <v>griffith</v>
      </c>
      <c r="P1041" s="1" t="s">
        <v>3746</v>
      </c>
      <c r="S1041" s="1" t="s">
        <v>3921</v>
      </c>
      <c r="T1041" s="6" t="str">
        <f>IFERROR(__xludf.DUMMYFUNCTION("""COMPUTED_VALUE"""),"retaining")</f>
        <v>retaining</v>
      </c>
      <c r="W1041" s="8"/>
      <c r="AJ1041" s="1" t="s">
        <v>2154</v>
      </c>
      <c r="AM1041" s="1" t="s">
        <v>3922</v>
      </c>
    </row>
    <row r="1042">
      <c r="E1042" s="1" t="s">
        <v>3923</v>
      </c>
      <c r="F1042" s="6" t="str">
        <f>IFERROR(__xludf.DUMMYFUNCTION("""COMPUTED_VALUE"""),"spontaneous")</f>
        <v>spontaneous</v>
      </c>
      <c r="H1042" s="1" t="s">
        <v>2216</v>
      </c>
      <c r="I1042" s="6" t="str">
        <f>IFERROR(__xludf.DUMMYFUNCTION("""COMPUTED_VALUE"""),"glorious")</f>
        <v>glorious</v>
      </c>
      <c r="P1042" s="1" t="s">
        <v>1031</v>
      </c>
      <c r="S1042" s="1" t="s">
        <v>3924</v>
      </c>
      <c r="T1042" s="6" t="str">
        <f>IFERROR(__xludf.DUMMYFUNCTION("""COMPUTED_VALUE"""),"mainstream")</f>
        <v>mainstream</v>
      </c>
      <c r="W1042" s="8"/>
      <c r="AJ1042" s="1" t="s">
        <v>1106</v>
      </c>
      <c r="AM1042" s="1" t="s">
        <v>3420</v>
      </c>
    </row>
    <row r="1043">
      <c r="E1043" s="1" t="s">
        <v>2751</v>
      </c>
      <c r="F1043" s="6" t="str">
        <f>IFERROR(__xludf.DUMMYFUNCTION("""COMPUTED_VALUE"""),"savage")</f>
        <v>savage</v>
      </c>
      <c r="H1043" s="1" t="s">
        <v>3925</v>
      </c>
      <c r="I1043" s="6" t="str">
        <f>IFERROR(__xludf.DUMMYFUNCTION("""COMPUTED_VALUE"""),"misses")</f>
        <v>misses</v>
      </c>
      <c r="P1043" s="1" t="s">
        <v>3926</v>
      </c>
      <c r="S1043" s="1" t="s">
        <v>3927</v>
      </c>
      <c r="T1043" s="6" t="str">
        <f>IFERROR(__xludf.DUMMYFUNCTION("""COMPUTED_VALUE"""),"integrity")</f>
        <v>integrity</v>
      </c>
      <c r="W1043" s="8"/>
      <c r="AJ1043" s="1" t="s">
        <v>2157</v>
      </c>
      <c r="AM1043" s="1" t="s">
        <v>3423</v>
      </c>
    </row>
    <row r="1044">
      <c r="E1044" s="1" t="s">
        <v>2753</v>
      </c>
      <c r="F1044" s="6" t="str">
        <f>IFERROR(__xludf.DUMMYFUNCTION("""COMPUTED_VALUE"""),"hell")</f>
        <v>hell</v>
      </c>
      <c r="H1044" s="1" t="s">
        <v>628</v>
      </c>
      <c r="I1044" s="6" t="str">
        <f>IFERROR(__xludf.DUMMYFUNCTION("""COMPUTED_VALUE"""),"employs")</f>
        <v>employs</v>
      </c>
      <c r="P1044" s="1" t="s">
        <v>3928</v>
      </c>
      <c r="S1044" s="1" t="s">
        <v>1718</v>
      </c>
      <c r="T1044" s="6" t="str">
        <f>IFERROR(__xludf.DUMMYFUNCTION("""COMPUTED_VALUE"""),"nor")</f>
        <v>nor</v>
      </c>
      <c r="W1044" s="8"/>
      <c r="AJ1044" s="1" t="s">
        <v>2161</v>
      </c>
      <c r="AM1044" s="1" t="s">
        <v>353</v>
      </c>
    </row>
    <row r="1045">
      <c r="E1045" s="1" t="s">
        <v>3929</v>
      </c>
      <c r="F1045" s="6" t="str">
        <f>IFERROR(__xludf.DUMMYFUNCTION("""COMPUTED_VALUE"""),"participant")</f>
        <v>participant</v>
      </c>
      <c r="H1045" s="1" t="s">
        <v>2228</v>
      </c>
      <c r="I1045" s="6" t="str">
        <f>IFERROR(__xludf.DUMMYFUNCTION("""COMPUTED_VALUE"""),"strangely")</f>
        <v>strangely</v>
      </c>
      <c r="P1045" s="1" t="s">
        <v>3930</v>
      </c>
      <c r="S1045" s="1" t="s">
        <v>3931</v>
      </c>
      <c r="T1045" s="6" t="str">
        <f>IFERROR(__xludf.DUMMYFUNCTION("""COMPUTED_VALUE"""),"gangs")</f>
        <v>gangs</v>
      </c>
      <c r="W1045" s="8"/>
      <c r="AJ1045" s="1" t="s">
        <v>1113</v>
      </c>
      <c r="AM1045" s="1" t="s">
        <v>3932</v>
      </c>
    </row>
    <row r="1046">
      <c r="E1046" s="1" t="s">
        <v>2759</v>
      </c>
      <c r="F1046" s="6" t="str">
        <f>IFERROR(__xludf.DUMMYFUNCTION("""COMPUTED_VALUE"""),"rushed")</f>
        <v>rushed</v>
      </c>
      <c r="H1046" s="1" t="s">
        <v>882</v>
      </c>
      <c r="I1046" s="6" t="str">
        <f>IFERROR(__xludf.DUMMYFUNCTION("""COMPUTED_VALUE"""),"ordinary")</f>
        <v>ordinary</v>
      </c>
      <c r="P1046" s="1" t="s">
        <v>1268</v>
      </c>
      <c r="S1046" s="1" t="s">
        <v>3657</v>
      </c>
      <c r="T1046" s="6" t="str">
        <f>IFERROR(__xludf.DUMMYFUNCTION("""COMPUTED_VALUE"""),"got")</f>
        <v>got</v>
      </c>
      <c r="W1046" s="8"/>
      <c r="AJ1046" s="1" t="s">
        <v>2169</v>
      </c>
      <c r="AM1046" s="1" t="s">
        <v>3426</v>
      </c>
    </row>
    <row r="1047">
      <c r="E1047" s="1" t="s">
        <v>2764</v>
      </c>
      <c r="F1047" s="6" t="str">
        <f>IFERROR(__xludf.DUMMYFUNCTION("""COMPUTED_VALUE"""),"immensely")</f>
        <v>immensely</v>
      </c>
      <c r="H1047" s="1" t="s">
        <v>3933</v>
      </c>
      <c r="I1047" s="6" t="str">
        <f>IFERROR(__xludf.DUMMYFUNCTION("""COMPUTED_VALUE"""),"cute")</f>
        <v>cute</v>
      </c>
      <c r="P1047" s="1" t="s">
        <v>3934</v>
      </c>
      <c r="S1047" s="1" t="s">
        <v>3031</v>
      </c>
      <c r="T1047" s="6" t="str">
        <f>IFERROR(__xludf.DUMMYFUNCTION("""COMPUTED_VALUE"""),"creates")</f>
        <v>creates</v>
      </c>
      <c r="W1047" s="8"/>
      <c r="AJ1047" s="1" t="s">
        <v>3935</v>
      </c>
      <c r="AM1047" s="1" t="s">
        <v>3936</v>
      </c>
    </row>
    <row r="1048">
      <c r="E1048" s="1" t="s">
        <v>734</v>
      </c>
      <c r="F1048" s="6" t="str">
        <f>IFERROR(__xludf.DUMMYFUNCTION("""COMPUTED_VALUE"""),"technological")</f>
        <v>technological</v>
      </c>
      <c r="H1048" s="1" t="s">
        <v>3188</v>
      </c>
      <c r="I1048" s="6" t="str">
        <f>IFERROR(__xludf.DUMMYFUNCTION("""COMPUTED_VALUE"""),"tricks")</f>
        <v>tricks</v>
      </c>
      <c r="P1048" s="1" t="s">
        <v>3937</v>
      </c>
      <c r="S1048" s="1" t="s">
        <v>3322</v>
      </c>
      <c r="T1048" s="6" t="str">
        <f>IFERROR(__xludf.DUMMYFUNCTION("""COMPUTED_VALUE"""),"call")</f>
        <v>call</v>
      </c>
      <c r="W1048" s="8"/>
      <c r="AJ1048" s="1" t="s">
        <v>3938</v>
      </c>
      <c r="AM1048" s="1" t="s">
        <v>701</v>
      </c>
    </row>
    <row r="1049">
      <c r="E1049" s="1" t="s">
        <v>3939</v>
      </c>
      <c r="F1049" s="6" t="str">
        <f>IFERROR(__xludf.DUMMYFUNCTION("""COMPUTED_VALUE"""),"concentrating")</f>
        <v>concentrating</v>
      </c>
      <c r="H1049" s="1" t="s">
        <v>2220</v>
      </c>
      <c r="I1049" s="6" t="str">
        <f>IFERROR(__xludf.DUMMYFUNCTION("""COMPUTED_VALUE"""),"liberties")</f>
        <v>liberties</v>
      </c>
      <c r="P1049" s="1" t="s">
        <v>3940</v>
      </c>
      <c r="S1049" s="1" t="s">
        <v>3941</v>
      </c>
      <c r="T1049" s="6" t="str">
        <f>IFERROR(__xludf.DUMMYFUNCTION("""COMPUTED_VALUE"""),"encouraging")</f>
        <v>encouraging</v>
      </c>
      <c r="W1049" s="8"/>
      <c r="AJ1049" s="1" t="s">
        <v>3942</v>
      </c>
      <c r="AM1049" s="1" t="s">
        <v>3430</v>
      </c>
    </row>
    <row r="1050">
      <c r="E1050" s="1" t="s">
        <v>3943</v>
      </c>
      <c r="F1050" s="6" t="str">
        <f>IFERROR(__xludf.DUMMYFUNCTION("""COMPUTED_VALUE"""),"retaliation")</f>
        <v>retaliation</v>
      </c>
      <c r="H1050" s="1" t="s">
        <v>2223</v>
      </c>
      <c r="I1050" s="6" t="str">
        <f>IFERROR(__xludf.DUMMYFUNCTION("""COMPUTED_VALUE"""),"cheat")</f>
        <v>cheat</v>
      </c>
      <c r="P1050" s="1" t="s">
        <v>3944</v>
      </c>
      <c r="S1050" s="1" t="s">
        <v>3945</v>
      </c>
      <c r="T1050" s="6" t="str">
        <f>IFERROR(__xludf.DUMMYFUNCTION("""COMPUTED_VALUE"""),"marks")</f>
        <v>marks</v>
      </c>
      <c r="W1050" s="8"/>
      <c r="AJ1050" s="1" t="s">
        <v>1122</v>
      </c>
      <c r="AM1050" s="1" t="s">
        <v>1096</v>
      </c>
    </row>
    <row r="1051">
      <c r="E1051" s="1" t="s">
        <v>744</v>
      </c>
      <c r="F1051" s="6" t="str">
        <f>IFERROR(__xludf.DUMMYFUNCTION("""COMPUTED_VALUE"""),"depict")</f>
        <v>depict</v>
      </c>
      <c r="H1051" s="1" t="s">
        <v>3196</v>
      </c>
      <c r="I1051" s="6" t="str">
        <f>IFERROR(__xludf.DUMMYFUNCTION("""COMPUTED_VALUE"""),"fisher")</f>
        <v>fisher</v>
      </c>
      <c r="P1051" s="1" t="s">
        <v>3099</v>
      </c>
      <c r="S1051" s="1" t="s">
        <v>784</v>
      </c>
      <c r="T1051" s="6" t="str">
        <f>IFERROR(__xludf.DUMMYFUNCTION("""COMPUTED_VALUE"""),"inflammatory")</f>
        <v>inflammatory</v>
      </c>
      <c r="W1051" s="8"/>
      <c r="AJ1051" s="1" t="s">
        <v>3946</v>
      </c>
      <c r="AM1051" s="1" t="s">
        <v>2351</v>
      </c>
    </row>
    <row r="1052">
      <c r="E1052" s="1" t="s">
        <v>3947</v>
      </c>
      <c r="F1052" s="6" t="str">
        <f>IFERROR(__xludf.DUMMYFUNCTION("""COMPUTED_VALUE"""),"homosexual")</f>
        <v>homosexual</v>
      </c>
      <c r="H1052" s="1" t="s">
        <v>2226</v>
      </c>
      <c r="I1052" s="6" t="str">
        <f>IFERROR(__xludf.DUMMYFUNCTION("""COMPUTED_VALUE"""),"odyssey")</f>
        <v>odyssey</v>
      </c>
      <c r="P1052" s="1" t="s">
        <v>3948</v>
      </c>
      <c r="S1052" s="1" t="s">
        <v>2954</v>
      </c>
      <c r="T1052" s="6" t="str">
        <f>IFERROR(__xludf.DUMMYFUNCTION("""COMPUTED_VALUE"""),"note")</f>
        <v>note</v>
      </c>
      <c r="W1052" s="8"/>
      <c r="AJ1052" s="1" t="s">
        <v>1128</v>
      </c>
      <c r="AM1052" s="1" t="s">
        <v>788</v>
      </c>
    </row>
    <row r="1053">
      <c r="E1053" s="1" t="s">
        <v>914</v>
      </c>
      <c r="F1053" s="6" t="str">
        <f>IFERROR(__xludf.DUMMYFUNCTION("""COMPUTED_VALUE"""),"wise")</f>
        <v>wise</v>
      </c>
      <c r="H1053" s="1" t="s">
        <v>2230</v>
      </c>
      <c r="I1053" s="6" t="str">
        <f>IFERROR(__xludf.DUMMYFUNCTION("""COMPUTED_VALUE"""),"mcgrath")</f>
        <v>mcgrath</v>
      </c>
      <c r="P1053" s="1" t="s">
        <v>3106</v>
      </c>
      <c r="S1053" s="1" t="s">
        <v>3949</v>
      </c>
      <c r="T1053" s="6" t="str">
        <f>IFERROR(__xludf.DUMMYFUNCTION("""COMPUTED_VALUE"""),"friend")</f>
        <v>friend</v>
      </c>
      <c r="W1053" s="8"/>
      <c r="AJ1053" s="1" t="s">
        <v>3950</v>
      </c>
      <c r="AM1053" s="1" t="s">
        <v>799</v>
      </c>
    </row>
    <row r="1054">
      <c r="E1054" s="1" t="s">
        <v>3951</v>
      </c>
      <c r="F1054" s="6" t="str">
        <f>IFERROR(__xludf.DUMMYFUNCTION("""COMPUTED_VALUE"""),"distinguished")</f>
        <v>distinguished</v>
      </c>
      <c r="H1054" s="1" t="s">
        <v>636</v>
      </c>
      <c r="I1054" s="6" t="str">
        <f>IFERROR(__xludf.DUMMYFUNCTION("""COMPUTED_VALUE"""),"hopkins")</f>
        <v>hopkins</v>
      </c>
      <c r="P1054" s="1" t="s">
        <v>3952</v>
      </c>
      <c r="S1054" s="1" t="s">
        <v>3953</v>
      </c>
      <c r="T1054" s="6" t="str">
        <f>IFERROR(__xludf.DUMMYFUNCTION("""COMPUTED_VALUE"""),"inactive")</f>
        <v>inactive</v>
      </c>
      <c r="W1054" s="8"/>
      <c r="AJ1054" s="1" t="s">
        <v>3954</v>
      </c>
      <c r="AM1054" s="1" t="s">
        <v>2363</v>
      </c>
    </row>
    <row r="1055">
      <c r="E1055" s="1" t="s">
        <v>3955</v>
      </c>
      <c r="F1055" s="6" t="str">
        <f>IFERROR(__xludf.DUMMYFUNCTION("""COMPUTED_VALUE"""),"tortured")</f>
        <v>tortured</v>
      </c>
      <c r="H1055" s="1" t="s">
        <v>885</v>
      </c>
      <c r="I1055" s="6" t="str">
        <f>IFERROR(__xludf.DUMMYFUNCTION("""COMPUTED_VALUE"""),"collision")</f>
        <v>collision</v>
      </c>
      <c r="P1055" s="1" t="s">
        <v>399</v>
      </c>
      <c r="S1055" s="1" t="s">
        <v>3956</v>
      </c>
      <c r="T1055" s="6" t="str">
        <f>IFERROR(__xludf.DUMMYFUNCTION("""COMPUTED_VALUE"""),"markedly")</f>
        <v>markedly</v>
      </c>
      <c r="W1055" s="8"/>
      <c r="AJ1055" s="1" t="s">
        <v>3957</v>
      </c>
      <c r="AM1055" s="1" t="s">
        <v>3958</v>
      </c>
    </row>
    <row r="1056">
      <c r="E1056" s="1" t="s">
        <v>753</v>
      </c>
      <c r="F1056" s="6" t="str">
        <f>IFERROR(__xludf.DUMMYFUNCTION("""COMPUTED_VALUE"""),"projectile")</f>
        <v>projectile</v>
      </c>
      <c r="H1056" s="1" t="s">
        <v>985</v>
      </c>
      <c r="I1056" s="6" t="str">
        <f>IFERROR(__xludf.DUMMYFUNCTION("""COMPUTED_VALUE"""),"establishes")</f>
        <v>establishes</v>
      </c>
      <c r="P1056" s="1" t="s">
        <v>3959</v>
      </c>
      <c r="S1056" s="1" t="s">
        <v>3960</v>
      </c>
      <c r="T1056" s="6" t="str">
        <f>IFERROR(__xludf.DUMMYFUNCTION("""COMPUTED_VALUE"""),"memorable")</f>
        <v>memorable</v>
      </c>
      <c r="W1056" s="8"/>
      <c r="AJ1056" s="1" t="s">
        <v>3401</v>
      </c>
      <c r="AM1056" s="1" t="s">
        <v>2371</v>
      </c>
    </row>
    <row r="1057">
      <c r="E1057" s="1" t="s">
        <v>2670</v>
      </c>
      <c r="F1057" s="6" t="str">
        <f>IFERROR(__xludf.DUMMYFUNCTION("""COMPUTED_VALUE"""),"seizing")</f>
        <v>seizing</v>
      </c>
      <c r="H1057" s="1" t="s">
        <v>2243</v>
      </c>
      <c r="I1057" s="6" t="str">
        <f>IFERROR(__xludf.DUMMYFUNCTION("""COMPUTED_VALUE"""),"metropolis")</f>
        <v>metropolis</v>
      </c>
      <c r="P1057" s="1" t="s">
        <v>3961</v>
      </c>
      <c r="S1057" s="1" t="s">
        <v>3328</v>
      </c>
      <c r="T1057" s="6" t="str">
        <f>IFERROR(__xludf.DUMMYFUNCTION("""COMPUTED_VALUE"""),"workshops")</f>
        <v>workshops</v>
      </c>
      <c r="W1057" s="8"/>
      <c r="AJ1057" s="1" t="s">
        <v>3962</v>
      </c>
      <c r="AM1057" s="1" t="s">
        <v>3963</v>
      </c>
    </row>
    <row r="1058">
      <c r="E1058" s="1" t="s">
        <v>2783</v>
      </c>
      <c r="F1058" s="6" t="str">
        <f>IFERROR(__xludf.DUMMYFUNCTION("""COMPUTED_VALUE"""),"portrays")</f>
        <v>portrays</v>
      </c>
      <c r="H1058" s="1" t="s">
        <v>3215</v>
      </c>
      <c r="I1058" s="6" t="str">
        <f>IFERROR(__xludf.DUMMYFUNCTION("""COMPUTED_VALUE"""),"villain")</f>
        <v>villain</v>
      </c>
      <c r="P1058" s="1" t="s">
        <v>3964</v>
      </c>
      <c r="S1058" s="1" t="s">
        <v>3965</v>
      </c>
      <c r="T1058" s="6" t="str">
        <f>IFERROR(__xludf.DUMMYFUNCTION("""COMPUTED_VALUE"""),"affected")</f>
        <v>affected</v>
      </c>
      <c r="W1058" s="8"/>
      <c r="AJ1058" s="1" t="s">
        <v>2181</v>
      </c>
      <c r="AM1058" s="1" t="s">
        <v>2365</v>
      </c>
    </row>
    <row r="1059">
      <c r="E1059" s="1" t="s">
        <v>3966</v>
      </c>
      <c r="F1059" s="6" t="str">
        <f>IFERROR(__xludf.DUMMYFUNCTION("""COMPUTED_VALUE"""),"reign")</f>
        <v>reign</v>
      </c>
      <c r="H1059" s="1" t="s">
        <v>3218</v>
      </c>
      <c r="I1059" s="6" t="str">
        <f>IFERROR(__xludf.DUMMYFUNCTION("""COMPUTED_VALUE"""),"let")</f>
        <v>let</v>
      </c>
      <c r="P1059" s="1" t="s">
        <v>453</v>
      </c>
      <c r="S1059" s="1" t="s">
        <v>1442</v>
      </c>
      <c r="T1059" s="6" t="str">
        <f>IFERROR(__xludf.DUMMYFUNCTION("""COMPUTED_VALUE"""),"hurley")</f>
        <v>hurley</v>
      </c>
      <c r="W1059" s="8"/>
      <c r="AJ1059" s="1" t="s">
        <v>3967</v>
      </c>
      <c r="AM1059" s="1" t="s">
        <v>2375</v>
      </c>
    </row>
    <row r="1060">
      <c r="E1060" s="1" t="s">
        <v>762</v>
      </c>
      <c r="F1060" s="6" t="str">
        <f>IFERROR(__xludf.DUMMYFUNCTION("""COMPUTED_VALUE"""),"grin")</f>
        <v>grin</v>
      </c>
      <c r="H1060" s="1" t="s">
        <v>3733</v>
      </c>
      <c r="I1060" s="6" t="str">
        <f>IFERROR(__xludf.DUMMYFUNCTION("""COMPUTED_VALUE"""),"lavish")</f>
        <v>lavish</v>
      </c>
      <c r="P1060" s="1" t="s">
        <v>1828</v>
      </c>
      <c r="S1060" s="1" t="s">
        <v>3968</v>
      </c>
      <c r="T1060" s="6" t="str">
        <f>IFERROR(__xludf.DUMMYFUNCTION("""COMPUTED_VALUE"""),"pastry")</f>
        <v>pastry</v>
      </c>
      <c r="W1060" s="8"/>
      <c r="AJ1060" s="1" t="s">
        <v>3969</v>
      </c>
      <c r="AM1060" s="1" t="s">
        <v>3970</v>
      </c>
    </row>
    <row r="1061">
      <c r="E1061" s="1" t="s">
        <v>771</v>
      </c>
      <c r="F1061" s="6" t="str">
        <f>IFERROR(__xludf.DUMMYFUNCTION("""COMPUTED_VALUE"""),"wang")</f>
        <v>wang</v>
      </c>
      <c r="H1061" s="1" t="s">
        <v>2237</v>
      </c>
      <c r="I1061" s="6" t="str">
        <f>IFERROR(__xludf.DUMMYFUNCTION("""COMPUTED_VALUE"""),"teacher")</f>
        <v>teacher</v>
      </c>
      <c r="P1061" s="1" t="s">
        <v>3971</v>
      </c>
      <c r="S1061" s="1" t="s">
        <v>3972</v>
      </c>
      <c r="T1061" s="6" t="str">
        <f>IFERROR(__xludf.DUMMYFUNCTION("""COMPUTED_VALUE"""),"objective")</f>
        <v>objective</v>
      </c>
      <c r="W1061" s="8"/>
      <c r="AJ1061" s="1" t="s">
        <v>3973</v>
      </c>
      <c r="AM1061" s="1" t="s">
        <v>2366</v>
      </c>
    </row>
    <row r="1062">
      <c r="E1062" s="1" t="s">
        <v>3974</v>
      </c>
      <c r="F1062" s="6" t="str">
        <f>IFERROR(__xludf.DUMMYFUNCTION("""COMPUTED_VALUE"""),"corrupt")</f>
        <v>corrupt</v>
      </c>
      <c r="H1062" s="1" t="s">
        <v>643</v>
      </c>
      <c r="I1062" s="6" t="str">
        <f>IFERROR(__xludf.DUMMYFUNCTION("""COMPUTED_VALUE"""),"increasingly")</f>
        <v>increasingly</v>
      </c>
      <c r="P1062" s="1" t="s">
        <v>1518</v>
      </c>
      <c r="S1062" s="1" t="s">
        <v>3765</v>
      </c>
      <c r="T1062" s="6" t="str">
        <f>IFERROR(__xludf.DUMMYFUNCTION("""COMPUTED_VALUE"""),"carol")</f>
        <v>carol</v>
      </c>
      <c r="W1062" s="8"/>
      <c r="AJ1062" s="1" t="s">
        <v>3975</v>
      </c>
      <c r="AM1062" s="1" t="s">
        <v>2323</v>
      </c>
    </row>
    <row r="1063">
      <c r="E1063" s="1" t="s">
        <v>2676</v>
      </c>
      <c r="F1063" s="6" t="str">
        <f>IFERROR(__xludf.DUMMYFUNCTION("""COMPUTED_VALUE"""),"disguise")</f>
        <v>disguise</v>
      </c>
      <c r="H1063" s="1" t="s">
        <v>3976</v>
      </c>
      <c r="I1063" s="6" t="str">
        <f>IFERROR(__xludf.DUMMYFUNCTION("""COMPUTED_VALUE"""),"plotting")</f>
        <v>plotting</v>
      </c>
      <c r="P1063" s="1" t="s">
        <v>1600</v>
      </c>
      <c r="S1063" s="1" t="s">
        <v>3080</v>
      </c>
      <c r="T1063" s="6" t="str">
        <f>IFERROR(__xludf.DUMMYFUNCTION("""COMPUTED_VALUE"""),"reassuring")</f>
        <v>reassuring</v>
      </c>
      <c r="W1063" s="8"/>
      <c r="AJ1063" s="1" t="s">
        <v>2185</v>
      </c>
      <c r="AM1063" s="1" t="s">
        <v>2373</v>
      </c>
    </row>
    <row r="1064">
      <c r="E1064" s="1" t="s">
        <v>778</v>
      </c>
      <c r="F1064" s="6" t="str">
        <f>IFERROR(__xludf.DUMMYFUNCTION("""COMPUTED_VALUE"""),"surrender")</f>
        <v>surrender</v>
      </c>
      <c r="H1064" s="1" t="s">
        <v>648</v>
      </c>
      <c r="I1064" s="6" t="str">
        <f>IFERROR(__xludf.DUMMYFUNCTION("""COMPUTED_VALUE"""),"reduces")</f>
        <v>reduces</v>
      </c>
      <c r="P1064" s="1" t="s">
        <v>444</v>
      </c>
      <c r="S1064" s="1" t="s">
        <v>1226</v>
      </c>
      <c r="T1064" s="6" t="str">
        <f>IFERROR(__xludf.DUMMYFUNCTION("""COMPUTED_VALUE"""),"sung")</f>
        <v>sung</v>
      </c>
      <c r="W1064" s="8"/>
      <c r="AJ1064" s="1" t="s">
        <v>629</v>
      </c>
      <c r="AM1064" s="1" t="s">
        <v>566</v>
      </c>
    </row>
    <row r="1065">
      <c r="E1065" s="1" t="s">
        <v>2801</v>
      </c>
      <c r="F1065" s="6" t="str">
        <f>IFERROR(__xludf.DUMMYFUNCTION("""COMPUTED_VALUE"""),"settles")</f>
        <v>settles</v>
      </c>
      <c r="H1065" s="1" t="s">
        <v>2253</v>
      </c>
      <c r="I1065" s="6" t="str">
        <f>IFERROR(__xludf.DUMMYFUNCTION("""COMPUTED_VALUE"""),"specimen")</f>
        <v>specimen</v>
      </c>
      <c r="P1065" s="1" t="s">
        <v>790</v>
      </c>
      <c r="S1065" s="1" t="s">
        <v>3977</v>
      </c>
      <c r="T1065" s="6" t="str">
        <f>IFERROR(__xludf.DUMMYFUNCTION("""COMPUTED_VALUE"""),"intricate")</f>
        <v>intricate</v>
      </c>
      <c r="W1065" s="8"/>
      <c r="AJ1065" s="1" t="s">
        <v>1831</v>
      </c>
      <c r="AM1065" s="1" t="s">
        <v>2377</v>
      </c>
    </row>
    <row r="1066">
      <c r="E1066" s="1" t="s">
        <v>1190</v>
      </c>
      <c r="F1066" s="6" t="str">
        <f>IFERROR(__xludf.DUMMYFUNCTION("""COMPUTED_VALUE"""),"profound")</f>
        <v>profound</v>
      </c>
      <c r="H1066" s="1" t="s">
        <v>975</v>
      </c>
      <c r="I1066" s="6" t="str">
        <f>IFERROR(__xludf.DUMMYFUNCTION("""COMPUTED_VALUE"""),"worked")</f>
        <v>worked</v>
      </c>
      <c r="P1066" s="1" t="s">
        <v>723</v>
      </c>
      <c r="S1066" s="1" t="s">
        <v>3978</v>
      </c>
      <c r="T1066" s="6" t="str">
        <f>IFERROR(__xludf.DUMMYFUNCTION("""COMPUTED_VALUE"""),"product")</f>
        <v>product</v>
      </c>
      <c r="W1066" s="8"/>
      <c r="AJ1066" s="1" t="s">
        <v>2190</v>
      </c>
      <c r="AM1066" s="1" t="s">
        <v>3979</v>
      </c>
    </row>
    <row r="1067">
      <c r="E1067" s="1" t="s">
        <v>3980</v>
      </c>
      <c r="F1067" s="6" t="str">
        <f>IFERROR(__xludf.DUMMYFUNCTION("""COMPUTED_VALUE"""),"compressed")</f>
        <v>compressed</v>
      </c>
      <c r="H1067" s="1" t="s">
        <v>2257</v>
      </c>
      <c r="I1067" s="6" t="str">
        <f>IFERROR(__xludf.DUMMYFUNCTION("""COMPUTED_VALUE"""),"shrill")</f>
        <v>shrill</v>
      </c>
      <c r="P1067" s="1" t="s">
        <v>1455</v>
      </c>
      <c r="S1067" s="1" t="s">
        <v>3981</v>
      </c>
      <c r="T1067" s="6" t="str">
        <f>IFERROR(__xludf.DUMMYFUNCTION("""COMPUTED_VALUE"""),"goals")</f>
        <v>goals</v>
      </c>
      <c r="W1067" s="8"/>
      <c r="AJ1067" s="1" t="s">
        <v>336</v>
      </c>
      <c r="AM1067" s="1" t="s">
        <v>573</v>
      </c>
    </row>
    <row r="1068">
      <c r="E1068" s="1" t="s">
        <v>294</v>
      </c>
      <c r="F1068" s="6" t="str">
        <f>IFERROR(__xludf.DUMMYFUNCTION("""COMPUTED_VALUE"""),"catalyst")</f>
        <v>catalyst</v>
      </c>
      <c r="H1068" s="1" t="s">
        <v>533</v>
      </c>
      <c r="I1068" s="6" t="str">
        <f>IFERROR(__xludf.DUMMYFUNCTION("""COMPUTED_VALUE"""),"sinister")</f>
        <v>sinister</v>
      </c>
      <c r="P1068" s="1" t="s">
        <v>506</v>
      </c>
      <c r="S1068" s="1" t="s">
        <v>3982</v>
      </c>
      <c r="T1068" s="6" t="str">
        <f>IFERROR(__xludf.DUMMYFUNCTION("""COMPUTED_VALUE"""),"project")</f>
        <v>project</v>
      </c>
      <c r="W1068" s="8"/>
      <c r="AJ1068" s="1" t="s">
        <v>2197</v>
      </c>
      <c r="AM1068" s="1" t="s">
        <v>1114</v>
      </c>
    </row>
    <row r="1069">
      <c r="E1069" s="1" t="s">
        <v>2807</v>
      </c>
      <c r="F1069" s="6" t="str">
        <f>IFERROR(__xludf.DUMMYFUNCTION("""COMPUTED_VALUE"""),"restrictive")</f>
        <v>restrictive</v>
      </c>
      <c r="H1069" s="1" t="s">
        <v>2045</v>
      </c>
      <c r="I1069" s="6" t="str">
        <f>IFERROR(__xludf.DUMMYFUNCTION("""COMPUTED_VALUE"""),"seconds")</f>
        <v>seconds</v>
      </c>
      <c r="P1069" s="1" t="s">
        <v>3983</v>
      </c>
      <c r="S1069" s="1" t="s">
        <v>3984</v>
      </c>
      <c r="T1069" s="6" t="str">
        <f>IFERROR(__xludf.DUMMYFUNCTION("""COMPUTED_VALUE"""),"20th")</f>
        <v>20th</v>
      </c>
      <c r="W1069" s="8"/>
      <c r="AJ1069" s="1" t="s">
        <v>1134</v>
      </c>
      <c r="AM1069" s="1" t="s">
        <v>99</v>
      </c>
    </row>
    <row r="1070">
      <c r="E1070" s="1" t="s">
        <v>3985</v>
      </c>
      <c r="F1070" s="6" t="str">
        <f>IFERROR(__xludf.DUMMYFUNCTION("""COMPUTED_VALUE"""),"dubious")</f>
        <v>dubious</v>
      </c>
      <c r="H1070" s="1" t="s">
        <v>1002</v>
      </c>
      <c r="I1070" s="6" t="str">
        <f>IFERROR(__xludf.DUMMYFUNCTION("""COMPUTED_VALUE"""),"aground")</f>
        <v>aground</v>
      </c>
      <c r="P1070" s="1" t="s">
        <v>3986</v>
      </c>
      <c r="S1070" s="1" t="s">
        <v>1541</v>
      </c>
      <c r="T1070" s="6" t="str">
        <f>IFERROR(__xludf.DUMMYFUNCTION("""COMPUTED_VALUE"""),"century")</f>
        <v>century</v>
      </c>
      <c r="W1070" s="8"/>
      <c r="AJ1070" s="1" t="s">
        <v>1140</v>
      </c>
      <c r="AM1070" s="1" t="s">
        <v>2391</v>
      </c>
    </row>
    <row r="1071">
      <c r="E1071" s="1" t="s">
        <v>3987</v>
      </c>
      <c r="F1071" s="6" t="str">
        <f>IFERROR(__xludf.DUMMYFUNCTION("""COMPUTED_VALUE"""),"cheer")</f>
        <v>cheer</v>
      </c>
      <c r="H1071" s="1" t="s">
        <v>2264</v>
      </c>
      <c r="I1071" s="6" t="str">
        <f>IFERROR(__xludf.DUMMYFUNCTION("""COMPUTED_VALUE"""),"painfully")</f>
        <v>painfully</v>
      </c>
      <c r="P1071" s="1" t="s">
        <v>3988</v>
      </c>
      <c r="S1071" s="1" t="s">
        <v>3189</v>
      </c>
      <c r="T1071" s="6" t="str">
        <f>IFERROR(__xludf.DUMMYFUNCTION("""COMPUTED_VALUE"""),"destined")</f>
        <v>destined</v>
      </c>
      <c r="W1071" s="8"/>
      <c r="AJ1071" s="1" t="s">
        <v>3415</v>
      </c>
      <c r="AM1071" s="1" t="s">
        <v>3989</v>
      </c>
    </row>
    <row r="1072">
      <c r="E1072" s="1" t="s">
        <v>3990</v>
      </c>
      <c r="F1072" s="6" t="str">
        <f>IFERROR(__xludf.DUMMYFUNCTION("""COMPUTED_VALUE"""),"secretary")</f>
        <v>secretary</v>
      </c>
      <c r="H1072" s="1" t="s">
        <v>2266</v>
      </c>
      <c r="I1072" s="6" t="str">
        <f>IFERROR(__xludf.DUMMYFUNCTION("""COMPUTED_VALUE"""),"roberts")</f>
        <v>roberts</v>
      </c>
      <c r="P1072" s="1" t="s">
        <v>3991</v>
      </c>
      <c r="S1072" s="1" t="s">
        <v>3992</v>
      </c>
      <c r="T1072" s="6" t="str">
        <f>IFERROR(__xludf.DUMMYFUNCTION("""COMPUTED_VALUE"""),"silent")</f>
        <v>silent</v>
      </c>
      <c r="W1072" s="8"/>
      <c r="AJ1072" s="1" t="s">
        <v>2204</v>
      </c>
      <c r="AM1072" s="1" t="s">
        <v>2395</v>
      </c>
    </row>
    <row r="1073">
      <c r="E1073" s="1" t="s">
        <v>3826</v>
      </c>
      <c r="F1073" s="6" t="str">
        <f>IFERROR(__xludf.DUMMYFUNCTION("""COMPUTED_VALUE"""),"stepmother")</f>
        <v>stepmother</v>
      </c>
      <c r="H1073" s="1" t="s">
        <v>1007</v>
      </c>
      <c r="I1073" s="6" t="str">
        <f>IFERROR(__xludf.DUMMYFUNCTION("""COMPUTED_VALUE"""),"workshop")</f>
        <v>workshop</v>
      </c>
      <c r="P1073" s="1" t="s">
        <v>3993</v>
      </c>
      <c r="S1073" s="1" t="s">
        <v>3994</v>
      </c>
      <c r="T1073" s="6" t="str">
        <f>IFERROR(__xludf.DUMMYFUNCTION("""COMPUTED_VALUE"""),"glorious")</f>
        <v>glorious</v>
      </c>
      <c r="W1073" s="8"/>
      <c r="AJ1073" s="1" t="s">
        <v>1488</v>
      </c>
      <c r="AM1073" s="1" t="s">
        <v>3995</v>
      </c>
    </row>
    <row r="1074">
      <c r="E1074" s="1" t="s">
        <v>1591</v>
      </c>
      <c r="F1074" s="6" t="str">
        <f>IFERROR(__xludf.DUMMYFUNCTION("""COMPUTED_VALUE"""),"inevitable")</f>
        <v>inevitable</v>
      </c>
      <c r="H1074" s="1" t="s">
        <v>3011</v>
      </c>
      <c r="I1074" s="6" t="str">
        <f>IFERROR(__xludf.DUMMYFUNCTION("""COMPUTED_VALUE"""),"grasping")</f>
        <v>grasping</v>
      </c>
      <c r="P1074" s="1" t="s">
        <v>3996</v>
      </c>
      <c r="S1074" s="1" t="s">
        <v>655</v>
      </c>
      <c r="T1074" s="6" t="str">
        <f>IFERROR(__xludf.DUMMYFUNCTION("""COMPUTED_VALUE"""),"series")</f>
        <v>series</v>
      </c>
      <c r="W1074" s="8"/>
      <c r="AJ1074" s="1" t="s">
        <v>2206</v>
      </c>
      <c r="AM1074" s="1" t="s">
        <v>3453</v>
      </c>
    </row>
    <row r="1075">
      <c r="E1075" s="1" t="s">
        <v>2811</v>
      </c>
      <c r="F1075" s="6" t="str">
        <f>IFERROR(__xludf.DUMMYFUNCTION("""COMPUTED_VALUE"""),"incarnation")</f>
        <v>incarnation</v>
      </c>
      <c r="H1075" s="1" t="s">
        <v>170</v>
      </c>
      <c r="I1075" s="6" t="str">
        <f>IFERROR(__xludf.DUMMYFUNCTION("""COMPUTED_VALUE"""),"resemble")</f>
        <v>resemble</v>
      </c>
      <c r="P1075" s="1" t="s">
        <v>3997</v>
      </c>
      <c r="S1075" s="1" t="s">
        <v>3998</v>
      </c>
      <c r="T1075" s="6" t="str">
        <f>IFERROR(__xludf.DUMMYFUNCTION("""COMPUTED_VALUE"""),"psyche")</f>
        <v>psyche</v>
      </c>
      <c r="W1075" s="8"/>
      <c r="AJ1075" s="1" t="s">
        <v>3999</v>
      </c>
      <c r="AM1075" s="1" t="s">
        <v>83</v>
      </c>
    </row>
    <row r="1076">
      <c r="E1076" s="1" t="s">
        <v>4000</v>
      </c>
      <c r="F1076" s="6" t="str">
        <f>IFERROR(__xludf.DUMMYFUNCTION("""COMPUTED_VALUE"""),"indians")</f>
        <v>indians</v>
      </c>
      <c r="H1076" s="1" t="s">
        <v>3780</v>
      </c>
      <c r="I1076" s="6" t="str">
        <f>IFERROR(__xludf.DUMMYFUNCTION("""COMPUTED_VALUE"""),"vigorously")</f>
        <v>vigorously</v>
      </c>
      <c r="P1076" s="1" t="s">
        <v>1819</v>
      </c>
      <c r="S1076" s="1" t="s">
        <v>2706</v>
      </c>
      <c r="T1076" s="6" t="str">
        <f>IFERROR(__xludf.DUMMYFUNCTION("""COMPUTED_VALUE"""),"misses")</f>
        <v>misses</v>
      </c>
      <c r="W1076" s="8"/>
      <c r="AJ1076" s="1" t="s">
        <v>3416</v>
      </c>
      <c r="AM1076" s="1" t="s">
        <v>579</v>
      </c>
    </row>
    <row r="1077">
      <c r="E1077" s="1" t="s">
        <v>4001</v>
      </c>
      <c r="F1077" s="6" t="str">
        <f>IFERROR(__xludf.DUMMYFUNCTION("""COMPUTED_VALUE"""),"distinguishing")</f>
        <v>distinguishing</v>
      </c>
      <c r="H1077" s="1" t="s">
        <v>1014</v>
      </c>
      <c r="I1077" s="6" t="str">
        <f>IFERROR(__xludf.DUMMYFUNCTION("""COMPUTED_VALUE"""),"improvisation")</f>
        <v>improvisation</v>
      </c>
      <c r="P1077" s="1" t="s">
        <v>4002</v>
      </c>
      <c r="S1077" s="1" t="s">
        <v>1476</v>
      </c>
      <c r="T1077" s="6" t="str">
        <f>IFERROR(__xludf.DUMMYFUNCTION("""COMPUTED_VALUE"""),"spin")</f>
        <v>spin</v>
      </c>
      <c r="W1077" s="8"/>
      <c r="AJ1077" s="1" t="s">
        <v>4003</v>
      </c>
      <c r="AM1077" s="1" t="s">
        <v>4004</v>
      </c>
    </row>
    <row r="1078">
      <c r="E1078" s="1" t="s">
        <v>2816</v>
      </c>
      <c r="F1078" s="6" t="str">
        <f>IFERROR(__xludf.DUMMYFUNCTION("""COMPUTED_VALUE"""),"wallace")</f>
        <v>wallace</v>
      </c>
      <c r="H1078" s="1" t="s">
        <v>1024</v>
      </c>
      <c r="I1078" s="6" t="str">
        <f>IFERROR(__xludf.DUMMYFUNCTION("""COMPUTED_VALUE"""),"experimentation")</f>
        <v>experimentation</v>
      </c>
      <c r="P1078" s="1" t="s">
        <v>3479</v>
      </c>
      <c r="S1078" s="1" t="s">
        <v>2567</v>
      </c>
      <c r="T1078" s="6" t="str">
        <f>IFERROR(__xludf.DUMMYFUNCTION("""COMPUTED_VALUE"""),"revealed")</f>
        <v>revealed</v>
      </c>
      <c r="W1078" s="8"/>
      <c r="AJ1078" s="1" t="s">
        <v>2208</v>
      </c>
      <c r="AM1078" s="1" t="s">
        <v>2383</v>
      </c>
    </row>
    <row r="1079">
      <c r="E1079" s="1" t="s">
        <v>2705</v>
      </c>
      <c r="F1079" s="6" t="str">
        <f>IFERROR(__xludf.DUMMYFUNCTION("""COMPUTED_VALUE"""),"transparency")</f>
        <v>transparency</v>
      </c>
      <c r="H1079" s="1" t="s">
        <v>3259</v>
      </c>
      <c r="I1079" s="6" t="str">
        <f>IFERROR(__xludf.DUMMYFUNCTION("""COMPUTED_VALUE"""),"certain")</f>
        <v>certain</v>
      </c>
      <c r="P1079" s="1" t="s">
        <v>4005</v>
      </c>
      <c r="S1079" s="1" t="s">
        <v>4006</v>
      </c>
      <c r="T1079" s="6" t="str">
        <f>IFERROR(__xludf.DUMMYFUNCTION("""COMPUTED_VALUE"""),"strangely")</f>
        <v>strangely</v>
      </c>
      <c r="W1079" s="8"/>
      <c r="AJ1079" s="1" t="s">
        <v>4007</v>
      </c>
      <c r="AM1079" s="1" t="s">
        <v>3458</v>
      </c>
    </row>
    <row r="1080">
      <c r="E1080" s="1" t="s">
        <v>4008</v>
      </c>
      <c r="F1080" s="6" t="str">
        <f>IFERROR(__xludf.DUMMYFUNCTION("""COMPUTED_VALUE"""),"hampered")</f>
        <v>hampered</v>
      </c>
      <c r="H1080" s="1" t="s">
        <v>1029</v>
      </c>
      <c r="I1080" s="6" t="str">
        <f>IFERROR(__xludf.DUMMYFUNCTION("""COMPUTED_VALUE"""),"ceremonies")</f>
        <v>ceremonies</v>
      </c>
      <c r="P1080" s="1" t="s">
        <v>4009</v>
      </c>
      <c r="S1080" s="1" t="s">
        <v>775</v>
      </c>
      <c r="T1080" s="6" t="str">
        <f>IFERROR(__xludf.DUMMYFUNCTION("""COMPUTED_VALUE"""),"leading")</f>
        <v>leading</v>
      </c>
      <c r="W1080" s="8"/>
      <c r="AJ1080" s="1" t="s">
        <v>4010</v>
      </c>
      <c r="AM1080" s="1" t="s">
        <v>4011</v>
      </c>
    </row>
    <row r="1081">
      <c r="E1081" s="1" t="s">
        <v>777</v>
      </c>
      <c r="F1081" s="6" t="str">
        <f>IFERROR(__xludf.DUMMYFUNCTION("""COMPUTED_VALUE"""),"notion")</f>
        <v>notion</v>
      </c>
      <c r="H1081" s="1" t="s">
        <v>2272</v>
      </c>
      <c r="I1081" s="6" t="str">
        <f>IFERROR(__xludf.DUMMYFUNCTION("""COMPUTED_VALUE"""),"crises")</f>
        <v>crises</v>
      </c>
      <c r="P1081" s="1" t="s">
        <v>4012</v>
      </c>
      <c r="S1081" s="1" t="s">
        <v>2128</v>
      </c>
      <c r="T1081" s="6" t="str">
        <f>IFERROR(__xludf.DUMMYFUNCTION("""COMPUTED_VALUE"""),"brought")</f>
        <v>brought</v>
      </c>
      <c r="W1081" s="8"/>
      <c r="AJ1081" s="1" t="s">
        <v>4013</v>
      </c>
      <c r="AM1081" s="1" t="s">
        <v>2401</v>
      </c>
    </row>
    <row r="1082">
      <c r="E1082" s="1" t="s">
        <v>921</v>
      </c>
      <c r="F1082" s="6" t="str">
        <f>IFERROR(__xludf.DUMMYFUNCTION("""COMPUTED_VALUE"""),"possesses")</f>
        <v>possesses</v>
      </c>
      <c r="H1082" s="1" t="s">
        <v>747</v>
      </c>
      <c r="I1082" s="6" t="b">
        <f>IFERROR(__xludf.DUMMYFUNCTION("""COMPUTED_VALUE"""),FALSE)</f>
        <v>0</v>
      </c>
      <c r="P1082" s="1" t="s">
        <v>4014</v>
      </c>
      <c r="S1082" s="1" t="s">
        <v>4015</v>
      </c>
      <c r="T1082" s="6" t="str">
        <f>IFERROR(__xludf.DUMMYFUNCTION("""COMPUTED_VALUE"""),"cheat")</f>
        <v>cheat</v>
      </c>
      <c r="W1082" s="8"/>
      <c r="AJ1082" s="1" t="s">
        <v>1318</v>
      </c>
      <c r="AM1082" s="1" t="s">
        <v>2385</v>
      </c>
    </row>
    <row r="1083">
      <c r="E1083" s="1" t="s">
        <v>2723</v>
      </c>
      <c r="F1083" s="6" t="str">
        <f>IFERROR(__xludf.DUMMYFUNCTION("""COMPUTED_VALUE"""),"proficiency")</f>
        <v>proficiency</v>
      </c>
      <c r="H1083" s="1" t="s">
        <v>2277</v>
      </c>
      <c r="I1083" s="6" t="str">
        <f>IFERROR(__xludf.DUMMYFUNCTION("""COMPUTED_VALUE"""),"weight")</f>
        <v>weight</v>
      </c>
      <c r="P1083" s="1" t="s">
        <v>1839</v>
      </c>
      <c r="S1083" s="1" t="s">
        <v>2281</v>
      </c>
      <c r="T1083" s="6" t="str">
        <f>IFERROR(__xludf.DUMMYFUNCTION("""COMPUTED_VALUE"""),"odyssey")</f>
        <v>odyssey</v>
      </c>
      <c r="W1083" s="8"/>
      <c r="AJ1083" s="1" t="s">
        <v>2210</v>
      </c>
      <c r="AM1083" s="1" t="s">
        <v>2388</v>
      </c>
    </row>
    <row r="1084">
      <c r="E1084" s="1" t="s">
        <v>1426</v>
      </c>
      <c r="F1084" s="6" t="str">
        <f>IFERROR(__xludf.DUMMYFUNCTION("""COMPUTED_VALUE"""),"professors")</f>
        <v>professors</v>
      </c>
      <c r="H1084" s="1" t="s">
        <v>655</v>
      </c>
      <c r="I1084" s="6" t="str">
        <f>IFERROR(__xludf.DUMMYFUNCTION("""COMPUTED_VALUE"""),"devices")</f>
        <v>devices</v>
      </c>
      <c r="P1084" s="1" t="s">
        <v>4016</v>
      </c>
      <c r="S1084" s="1" t="s">
        <v>3219</v>
      </c>
      <c r="T1084" s="6" t="str">
        <f>IFERROR(__xludf.DUMMYFUNCTION("""COMPUTED_VALUE"""),"mcgrath")</f>
        <v>mcgrath</v>
      </c>
      <c r="W1084" s="8"/>
      <c r="AJ1084" s="1" t="s">
        <v>4017</v>
      </c>
      <c r="AM1084" s="1" t="s">
        <v>2405</v>
      </c>
    </row>
    <row r="1085">
      <c r="E1085" s="1" t="s">
        <v>4018</v>
      </c>
      <c r="F1085" s="6" t="str">
        <f>IFERROR(__xludf.DUMMYFUNCTION("""COMPUTED_VALUE"""),"contradiction")</f>
        <v>contradiction</v>
      </c>
      <c r="H1085" s="1" t="s">
        <v>541</v>
      </c>
      <c r="I1085" s="6" t="str">
        <f>IFERROR(__xludf.DUMMYFUNCTION("""COMPUTED_VALUE"""),"fundamentally")</f>
        <v>fundamentally</v>
      </c>
      <c r="P1085" s="1" t="s">
        <v>4019</v>
      </c>
      <c r="S1085" s="1" t="s">
        <v>4020</v>
      </c>
      <c r="T1085" s="6" t="str">
        <f>IFERROR(__xludf.DUMMYFUNCTION("""COMPUTED_VALUE"""),"collision")</f>
        <v>collision</v>
      </c>
      <c r="W1085" s="8"/>
      <c r="AJ1085" s="1" t="s">
        <v>4021</v>
      </c>
      <c r="AM1085" s="1" t="s">
        <v>3487</v>
      </c>
    </row>
    <row r="1086">
      <c r="E1086" s="1" t="s">
        <v>4022</v>
      </c>
      <c r="F1086" s="6" t="str">
        <f>IFERROR(__xludf.DUMMYFUNCTION("""COMPUTED_VALUE"""),"searing")</f>
        <v>searing</v>
      </c>
      <c r="H1086" s="1" t="s">
        <v>649</v>
      </c>
      <c r="I1086" s="6" t="str">
        <f>IFERROR(__xludf.DUMMYFUNCTION("""COMPUTED_VALUE"""),"conventional")</f>
        <v>conventional</v>
      </c>
      <c r="P1086" s="1" t="s">
        <v>4023</v>
      </c>
      <c r="S1086" s="1" t="s">
        <v>4024</v>
      </c>
      <c r="T1086" s="6" t="str">
        <f>IFERROR(__xludf.DUMMYFUNCTION("""COMPUTED_VALUE"""),"let")</f>
        <v>let</v>
      </c>
      <c r="W1086" s="8"/>
      <c r="AJ1086" s="1" t="s">
        <v>4025</v>
      </c>
      <c r="AM1086" s="1" t="s">
        <v>658</v>
      </c>
    </row>
    <row r="1087">
      <c r="E1087" s="1" t="s">
        <v>1111</v>
      </c>
      <c r="F1087" s="6" t="str">
        <f>IFERROR(__xludf.DUMMYFUNCTION("""COMPUTED_VALUE"""),"lifetime")</f>
        <v>lifetime</v>
      </c>
      <c r="H1087" s="1" t="s">
        <v>2292</v>
      </c>
      <c r="I1087" s="6" t="str">
        <f>IFERROR(__xludf.DUMMYFUNCTION("""COMPUTED_VALUE"""),"manhattan")</f>
        <v>manhattan</v>
      </c>
      <c r="P1087" s="1" t="s">
        <v>4026</v>
      </c>
      <c r="S1087" s="1" t="s">
        <v>731</v>
      </c>
      <c r="T1087" s="6" t="str">
        <f>IFERROR(__xludf.DUMMYFUNCTION("""COMPUTED_VALUE"""),"lavish")</f>
        <v>lavish</v>
      </c>
      <c r="W1087" s="8"/>
      <c r="AJ1087" s="1" t="s">
        <v>1147</v>
      </c>
      <c r="AM1087" s="1" t="s">
        <v>706</v>
      </c>
    </row>
    <row r="1088">
      <c r="E1088" s="1" t="s">
        <v>2089</v>
      </c>
      <c r="F1088" s="6" t="str">
        <f>IFERROR(__xludf.DUMMYFUNCTION("""COMPUTED_VALUE"""),"fearless")</f>
        <v>fearless</v>
      </c>
      <c r="H1088" s="1" t="s">
        <v>665</v>
      </c>
      <c r="I1088" s="6" t="str">
        <f>IFERROR(__xludf.DUMMYFUNCTION("""COMPUTED_VALUE"""),"exactly")</f>
        <v>exactly</v>
      </c>
      <c r="P1088" s="1" t="s">
        <v>3429</v>
      </c>
      <c r="S1088" s="1" t="s">
        <v>4027</v>
      </c>
      <c r="T1088" s="6" t="str">
        <f>IFERROR(__xludf.DUMMYFUNCTION("""COMPUTED_VALUE"""),"teacher")</f>
        <v>teacher</v>
      </c>
      <c r="W1088" s="8"/>
      <c r="AJ1088" s="1" t="s">
        <v>1152</v>
      </c>
      <c r="AM1088" s="1" t="s">
        <v>1242</v>
      </c>
    </row>
    <row r="1089">
      <c r="E1089" s="1" t="s">
        <v>786</v>
      </c>
      <c r="F1089" s="6" t="str">
        <f>IFERROR(__xludf.DUMMYFUNCTION("""COMPUTED_VALUE"""),"niche")</f>
        <v>niche</v>
      </c>
      <c r="H1089" s="1" t="s">
        <v>427</v>
      </c>
      <c r="I1089" s="6" t="str">
        <f>IFERROR(__xludf.DUMMYFUNCTION("""COMPUTED_VALUE"""),"skies")</f>
        <v>skies</v>
      </c>
      <c r="P1089" s="1" t="s">
        <v>3375</v>
      </c>
      <c r="S1089" s="1" t="s">
        <v>2047</v>
      </c>
      <c r="T1089" s="6" t="str">
        <f>IFERROR(__xludf.DUMMYFUNCTION("""COMPUTED_VALUE"""),"reduces")</f>
        <v>reduces</v>
      </c>
      <c r="W1089" s="8"/>
      <c r="AJ1089" s="1" t="s">
        <v>3425</v>
      </c>
      <c r="AM1089" s="1" t="s">
        <v>2408</v>
      </c>
    </row>
    <row r="1090">
      <c r="E1090" s="1" t="s">
        <v>793</v>
      </c>
      <c r="F1090" s="6" t="str">
        <f>IFERROR(__xludf.DUMMYFUNCTION("""COMPUTED_VALUE"""),"overly")</f>
        <v>overly</v>
      </c>
      <c r="H1090" s="1" t="s">
        <v>715</v>
      </c>
      <c r="I1090" s="6" t="str">
        <f>IFERROR(__xludf.DUMMYFUNCTION("""COMPUTED_VALUE"""),"prevents")</f>
        <v>prevents</v>
      </c>
      <c r="P1090" s="1" t="s">
        <v>4028</v>
      </c>
      <c r="S1090" s="1" t="s">
        <v>4029</v>
      </c>
      <c r="T1090" s="6" t="str">
        <f>IFERROR(__xludf.DUMMYFUNCTION("""COMPUTED_VALUE"""),"specimen")</f>
        <v>specimen</v>
      </c>
      <c r="W1090" s="8"/>
      <c r="AJ1090" s="1" t="s">
        <v>1496</v>
      </c>
      <c r="AM1090" s="1" t="s">
        <v>2411</v>
      </c>
    </row>
    <row r="1091">
      <c r="E1091" s="1" t="s">
        <v>801</v>
      </c>
      <c r="F1091" s="6" t="str">
        <f>IFERROR(__xludf.DUMMYFUNCTION("""COMPUTED_VALUE"""),"sophomore")</f>
        <v>sophomore</v>
      </c>
      <c r="H1091" s="1" t="s">
        <v>2306</v>
      </c>
      <c r="I1091" s="6" t="str">
        <f>IFERROR(__xludf.DUMMYFUNCTION("""COMPUTED_VALUE"""),"firing")</f>
        <v>firing</v>
      </c>
      <c r="S1091" s="1" t="s">
        <v>944</v>
      </c>
      <c r="T1091" s="6" t="str">
        <f>IFERROR(__xludf.DUMMYFUNCTION("""COMPUTED_VALUE"""),"coma")</f>
        <v>coma</v>
      </c>
      <c r="W1091" s="8"/>
      <c r="AJ1091" s="1" t="s">
        <v>4030</v>
      </c>
      <c r="AM1091" s="1" t="s">
        <v>4031</v>
      </c>
    </row>
    <row r="1092">
      <c r="E1092" s="1" t="s">
        <v>934</v>
      </c>
      <c r="F1092" s="6" t="str">
        <f>IFERROR(__xludf.DUMMYFUNCTION("""COMPUTED_VALUE"""),"slump")</f>
        <v>slump</v>
      </c>
      <c r="H1092" s="1" t="s">
        <v>3299</v>
      </c>
      <c r="I1092" s="6" t="str">
        <f>IFERROR(__xludf.DUMMYFUNCTION("""COMPUTED_VALUE"""),"testimony")</f>
        <v>testimony</v>
      </c>
      <c r="S1092" s="1" t="s">
        <v>2145</v>
      </c>
      <c r="T1092" s="6" t="str">
        <f>IFERROR(__xludf.DUMMYFUNCTION("""COMPUTED_VALUE"""),"seconds")</f>
        <v>seconds</v>
      </c>
      <c r="W1092" s="8"/>
      <c r="AJ1092" s="1" t="s">
        <v>4032</v>
      </c>
      <c r="AM1092" s="1" t="s">
        <v>2066</v>
      </c>
    </row>
    <row r="1093">
      <c r="E1093" s="1" t="s">
        <v>2831</v>
      </c>
      <c r="F1093" s="6" t="str">
        <f>IFERROR(__xludf.DUMMYFUNCTION("""COMPUTED_VALUE"""),"tug")</f>
        <v>tug</v>
      </c>
      <c r="H1093" s="1" t="s">
        <v>3304</v>
      </c>
      <c r="I1093" s="6" t="str">
        <f>IFERROR(__xludf.DUMMYFUNCTION("""COMPUTED_VALUE"""),"revolutionary")</f>
        <v>revolutionary</v>
      </c>
      <c r="S1093" s="1" t="s">
        <v>1549</v>
      </c>
      <c r="T1093" s="6" t="str">
        <f>IFERROR(__xludf.DUMMYFUNCTION("""COMPUTED_VALUE"""),"phrase")</f>
        <v>phrase</v>
      </c>
      <c r="W1093" s="8"/>
      <c r="AJ1093" s="1" t="s">
        <v>1158</v>
      </c>
      <c r="AM1093" s="1" t="s">
        <v>2624</v>
      </c>
    </row>
    <row r="1094">
      <c r="E1094" s="1" t="s">
        <v>4033</v>
      </c>
      <c r="F1094" s="6" t="str">
        <f>IFERROR(__xludf.DUMMYFUNCTION("""COMPUTED_VALUE"""),"slack")</f>
        <v>slack</v>
      </c>
      <c r="H1094" s="1" t="s">
        <v>674</v>
      </c>
      <c r="I1094" s="6" t="str">
        <f>IFERROR(__xludf.DUMMYFUNCTION("""COMPUTED_VALUE"""),"chance")</f>
        <v>chance</v>
      </c>
      <c r="S1094" s="1" t="s">
        <v>1530</v>
      </c>
      <c r="T1094" s="6" t="str">
        <f>IFERROR(__xludf.DUMMYFUNCTION("""COMPUTED_VALUE"""),"workshop")</f>
        <v>workshop</v>
      </c>
      <c r="W1094" s="8"/>
      <c r="AJ1094" s="1" t="s">
        <v>4034</v>
      </c>
      <c r="AM1094" s="1" t="s">
        <v>713</v>
      </c>
    </row>
    <row r="1095">
      <c r="E1095" s="1" t="s">
        <v>4035</v>
      </c>
      <c r="F1095" s="6" t="str">
        <f>IFERROR(__xludf.DUMMYFUNCTION("""COMPUTED_VALUE"""),"70s")</f>
        <v>70s</v>
      </c>
      <c r="H1095" s="1" t="s">
        <v>3311</v>
      </c>
      <c r="I1095" s="6" t="str">
        <f>IFERROR(__xludf.DUMMYFUNCTION("""COMPUTED_VALUE"""),"obstacles")</f>
        <v>obstacles</v>
      </c>
      <c r="S1095" s="1" t="s">
        <v>4036</v>
      </c>
      <c r="T1095" s="6" t="str">
        <f>IFERROR(__xludf.DUMMYFUNCTION("""COMPUTED_VALUE"""),"grasping")</f>
        <v>grasping</v>
      </c>
      <c r="W1095" s="8"/>
      <c r="AJ1095" s="1" t="s">
        <v>4037</v>
      </c>
      <c r="AM1095" s="1" t="s">
        <v>4038</v>
      </c>
    </row>
    <row r="1096">
      <c r="E1096" s="1" t="s">
        <v>4039</v>
      </c>
      <c r="F1096" s="6" t="str">
        <f>IFERROR(__xludf.DUMMYFUNCTION("""COMPUTED_VALUE"""),"prophet")</f>
        <v>prophet</v>
      </c>
      <c r="H1096" s="1" t="s">
        <v>4040</v>
      </c>
      <c r="I1096" s="6" t="str">
        <f>IFERROR(__xludf.DUMMYFUNCTION("""COMPUTED_VALUE"""),"centuries")</f>
        <v>centuries</v>
      </c>
      <c r="S1096" s="1" t="s">
        <v>4041</v>
      </c>
      <c r="T1096" s="6" t="str">
        <f>IFERROR(__xludf.DUMMYFUNCTION("""COMPUTED_VALUE"""),"resemble")</f>
        <v>resemble</v>
      </c>
      <c r="W1096" s="8"/>
      <c r="AJ1096" s="1" t="s">
        <v>3433</v>
      </c>
      <c r="AM1096" s="1" t="s">
        <v>2423</v>
      </c>
    </row>
    <row r="1097">
      <c r="E1097" s="1" t="s">
        <v>2692</v>
      </c>
      <c r="F1097" s="6" t="str">
        <f>IFERROR(__xludf.DUMMYFUNCTION("""COMPUTED_VALUE"""),"larger")</f>
        <v>larger</v>
      </c>
      <c r="H1097" s="1" t="s">
        <v>816</v>
      </c>
      <c r="I1097" s="6" t="str">
        <f>IFERROR(__xludf.DUMMYFUNCTION("""COMPUTED_VALUE"""),"spiritual")</f>
        <v>spiritual</v>
      </c>
      <c r="S1097" s="1" t="s">
        <v>2168</v>
      </c>
      <c r="T1097" s="6" t="str">
        <f>IFERROR(__xludf.DUMMYFUNCTION("""COMPUTED_VALUE"""),"vigorously")</f>
        <v>vigorously</v>
      </c>
      <c r="W1097" s="8"/>
      <c r="AJ1097" s="1" t="s">
        <v>4042</v>
      </c>
      <c r="AM1097" s="1" t="s">
        <v>4043</v>
      </c>
    </row>
    <row r="1098">
      <c r="E1098" s="1" t="s">
        <v>2700</v>
      </c>
      <c r="F1098" s="6" t="str">
        <f>IFERROR(__xludf.DUMMYFUNCTION("""COMPUTED_VALUE"""),"conflict")</f>
        <v>conflict</v>
      </c>
      <c r="H1098" s="1" t="s">
        <v>3315</v>
      </c>
      <c r="I1098" s="6" t="str">
        <f>IFERROR(__xludf.DUMMYFUNCTION("""COMPUTED_VALUE"""),"inspiring")</f>
        <v>inspiring</v>
      </c>
      <c r="S1098" s="1" t="s">
        <v>4044</v>
      </c>
      <c r="T1098" s="6" t="str">
        <f>IFERROR(__xludf.DUMMYFUNCTION("""COMPUTED_VALUE"""),"improvisation")</f>
        <v>improvisation</v>
      </c>
      <c r="W1098" s="8"/>
      <c r="AJ1098" s="1" t="s">
        <v>1180</v>
      </c>
      <c r="AM1098" s="1" t="s">
        <v>4045</v>
      </c>
    </row>
    <row r="1099">
      <c r="E1099" s="1" t="s">
        <v>4046</v>
      </c>
      <c r="F1099" s="6" t="str">
        <f>IFERROR(__xludf.DUMMYFUNCTION("""COMPUTED_VALUE"""),"vital")</f>
        <v>vital</v>
      </c>
      <c r="H1099" s="1" t="s">
        <v>2310</v>
      </c>
      <c r="I1099" s="6" t="str">
        <f>IFERROR(__xludf.DUMMYFUNCTION("""COMPUTED_VALUE"""),"stunt")</f>
        <v>stunt</v>
      </c>
      <c r="S1099" s="1" t="s">
        <v>2935</v>
      </c>
      <c r="T1099" s="6" t="str">
        <f>IFERROR(__xludf.DUMMYFUNCTION("""COMPUTED_VALUE"""),"certain")</f>
        <v>certain</v>
      </c>
      <c r="W1099" s="8"/>
      <c r="AJ1099" s="1" t="s">
        <v>4047</v>
      </c>
      <c r="AM1099" s="1" t="s">
        <v>2414</v>
      </c>
    </row>
    <row r="1100">
      <c r="E1100" s="1" t="s">
        <v>2851</v>
      </c>
      <c r="F1100" s="6" t="str">
        <f>IFERROR(__xludf.DUMMYFUNCTION("""COMPUTED_VALUE"""),"recalls")</f>
        <v>recalls</v>
      </c>
      <c r="H1100" s="1" t="s">
        <v>1052</v>
      </c>
      <c r="I1100" s="6" t="str">
        <f>IFERROR(__xludf.DUMMYFUNCTION("""COMPUTED_VALUE"""),"laboratory")</f>
        <v>laboratory</v>
      </c>
      <c r="S1100" s="1" t="s">
        <v>1468</v>
      </c>
      <c r="T1100" s="6" t="str">
        <f>IFERROR(__xludf.DUMMYFUNCTION("""COMPUTED_VALUE"""),"crises")</f>
        <v>crises</v>
      </c>
      <c r="W1100" s="8"/>
      <c r="AJ1100" s="1" t="s">
        <v>4048</v>
      </c>
      <c r="AM1100" s="1" t="s">
        <v>1857</v>
      </c>
    </row>
    <row r="1101">
      <c r="E1101" s="1" t="s">
        <v>2853</v>
      </c>
      <c r="F1101" s="6" t="str">
        <f>IFERROR(__xludf.DUMMYFUNCTION("""COMPUTED_VALUE"""),"classics")</f>
        <v>classics</v>
      </c>
      <c r="H1101" s="1" t="s">
        <v>3325</v>
      </c>
      <c r="I1101" s="6" t="str">
        <f>IFERROR(__xludf.DUMMYFUNCTION("""COMPUTED_VALUE"""),"schemes")</f>
        <v>schemes</v>
      </c>
      <c r="S1101" s="1" t="s">
        <v>3409</v>
      </c>
      <c r="T1101" s="6" t="str">
        <f>IFERROR(__xludf.DUMMYFUNCTION("""COMPUTED_VALUE"""),"structure")</f>
        <v>structure</v>
      </c>
      <c r="W1101" s="8"/>
      <c r="AJ1101" s="1" t="s">
        <v>1163</v>
      </c>
      <c r="AM1101" s="1" t="s">
        <v>2430</v>
      </c>
    </row>
    <row r="1102">
      <c r="E1102" s="1" t="s">
        <v>4049</v>
      </c>
      <c r="F1102" s="6" t="str">
        <f>IFERROR(__xludf.DUMMYFUNCTION("""COMPUTED_VALUE"""),"sweetly")</f>
        <v>sweetly</v>
      </c>
      <c r="H1102" s="1" t="s">
        <v>2312</v>
      </c>
      <c r="I1102" s="6" t="str">
        <f>IFERROR(__xludf.DUMMYFUNCTION("""COMPUTED_VALUE"""),"consequences")</f>
        <v>consequences</v>
      </c>
      <c r="S1102" s="1" t="s">
        <v>4007</v>
      </c>
      <c r="T1102" s="6" t="str">
        <f>IFERROR(__xludf.DUMMYFUNCTION("""COMPUTED_VALUE"""),"weight")</f>
        <v>weight</v>
      </c>
      <c r="W1102" s="8"/>
      <c r="AJ1102" s="1" t="s">
        <v>4050</v>
      </c>
      <c r="AM1102" s="1" t="s">
        <v>4051</v>
      </c>
    </row>
    <row r="1103">
      <c r="E1103" s="1" t="s">
        <v>1451</v>
      </c>
      <c r="F1103" s="6" t="str">
        <f>IFERROR(__xludf.DUMMYFUNCTION("""COMPUTED_VALUE"""),"infectious")</f>
        <v>infectious</v>
      </c>
      <c r="H1103" s="1" t="s">
        <v>2316</v>
      </c>
      <c r="I1103" s="6" t="str">
        <f>IFERROR(__xludf.DUMMYFUNCTION("""COMPUTED_VALUE"""),"left")</f>
        <v>left</v>
      </c>
      <c r="S1103" s="1" t="s">
        <v>4052</v>
      </c>
      <c r="T1103" s="6" t="str">
        <f>IFERROR(__xludf.DUMMYFUNCTION("""COMPUTED_VALUE"""),"peculiar")</f>
        <v>peculiar</v>
      </c>
      <c r="W1103" s="8"/>
      <c r="AJ1103" s="1" t="s">
        <v>78</v>
      </c>
      <c r="AM1103" s="1" t="s">
        <v>586</v>
      </c>
    </row>
    <row r="1104">
      <c r="E1104" s="1" t="s">
        <v>4053</v>
      </c>
      <c r="F1104" s="6" t="str">
        <f>IFERROR(__xludf.DUMMYFUNCTION("""COMPUTED_VALUE"""),"brooding")</f>
        <v>brooding</v>
      </c>
      <c r="H1104" s="1" t="s">
        <v>3336</v>
      </c>
      <c r="I1104" s="6" t="str">
        <f>IFERROR(__xludf.DUMMYFUNCTION("""COMPUTED_VALUE"""),"critics")</f>
        <v>critics</v>
      </c>
      <c r="S1104" s="1" t="s">
        <v>4054</v>
      </c>
      <c r="T1104" s="6" t="str">
        <f>IFERROR(__xludf.DUMMYFUNCTION("""COMPUTED_VALUE"""),"backgrounds")</f>
        <v>backgrounds</v>
      </c>
      <c r="W1104" s="8"/>
      <c r="AJ1104" s="1" t="s">
        <v>2232</v>
      </c>
      <c r="AM1104" s="1" t="s">
        <v>2421</v>
      </c>
    </row>
    <row r="1105">
      <c r="E1105" s="1" t="s">
        <v>1513</v>
      </c>
      <c r="F1105" s="6" t="str">
        <f>IFERROR(__xludf.DUMMYFUNCTION("""COMPUTED_VALUE"""),"modest")</f>
        <v>modest</v>
      </c>
      <c r="H1105" s="1" t="s">
        <v>3560</v>
      </c>
      <c r="I1105" s="6" t="str">
        <f>IFERROR(__xludf.DUMMYFUNCTION("""COMPUTED_VALUE"""),"paints")</f>
        <v>paints</v>
      </c>
      <c r="S1105" s="1" t="s">
        <v>1301</v>
      </c>
      <c r="T1105" s="6" t="str">
        <f>IFERROR(__xludf.DUMMYFUNCTION("""COMPUTED_VALUE"""),"devices")</f>
        <v>devices</v>
      </c>
      <c r="W1105" s="8"/>
      <c r="AJ1105" s="1" t="s">
        <v>97</v>
      </c>
      <c r="AM1105" s="1" t="s">
        <v>2454</v>
      </c>
    </row>
    <row r="1106">
      <c r="E1106" s="1" t="s">
        <v>2858</v>
      </c>
      <c r="F1106" s="6" t="str">
        <f>IFERROR(__xludf.DUMMYFUNCTION("""COMPUTED_VALUE"""),"superhuman")</f>
        <v>superhuman</v>
      </c>
      <c r="H1106" s="1" t="s">
        <v>549</v>
      </c>
      <c r="I1106" s="6" t="str">
        <f>IFERROR(__xludf.DUMMYFUNCTION("""COMPUTED_VALUE"""),"competence")</f>
        <v>competence</v>
      </c>
      <c r="S1106" s="1" t="s">
        <v>2828</v>
      </c>
      <c r="T1106" s="6" t="str">
        <f>IFERROR(__xludf.DUMMYFUNCTION("""COMPUTED_VALUE"""),"fundamentally")</f>
        <v>fundamentally</v>
      </c>
      <c r="W1106" s="8"/>
      <c r="AJ1106" s="1" t="s">
        <v>1656</v>
      </c>
      <c r="AM1106" s="1" t="s">
        <v>721</v>
      </c>
    </row>
    <row r="1107">
      <c r="E1107" s="1" t="s">
        <v>2860</v>
      </c>
      <c r="F1107" s="6" t="str">
        <f>IFERROR(__xludf.DUMMYFUNCTION("""COMPUTED_VALUE"""),"withstand")</f>
        <v>withstand</v>
      </c>
      <c r="H1107" s="1" t="s">
        <v>2321</v>
      </c>
      <c r="I1107" s="6" t="str">
        <f>IFERROR(__xludf.DUMMYFUNCTION("""COMPUTED_VALUE"""),"clarity")</f>
        <v>clarity</v>
      </c>
      <c r="S1107" s="1" t="s">
        <v>1368</v>
      </c>
      <c r="T1107" s="6" t="str">
        <f>IFERROR(__xludf.DUMMYFUNCTION("""COMPUTED_VALUE"""),"conventional")</f>
        <v>conventional</v>
      </c>
      <c r="W1107" s="8"/>
      <c r="AJ1107" s="1" t="s">
        <v>3899</v>
      </c>
      <c r="AM1107" s="1" t="s">
        <v>738</v>
      </c>
    </row>
    <row r="1108">
      <c r="E1108" s="1" t="s">
        <v>1458</v>
      </c>
      <c r="F1108" s="6" t="str">
        <f>IFERROR(__xludf.DUMMYFUNCTION("""COMPUTED_VALUE"""),"conspicuous")</f>
        <v>conspicuous</v>
      </c>
      <c r="H1108" s="1" t="s">
        <v>3347</v>
      </c>
      <c r="I1108" s="6" t="str">
        <f>IFERROR(__xludf.DUMMYFUNCTION("""COMPUTED_VALUE"""),"visually")</f>
        <v>visually</v>
      </c>
      <c r="S1108" s="1" t="s">
        <v>1924</v>
      </c>
      <c r="T1108" s="6" t="str">
        <f>IFERROR(__xludf.DUMMYFUNCTION("""COMPUTED_VALUE"""),"manhattan")</f>
        <v>manhattan</v>
      </c>
      <c r="W1108" s="8"/>
      <c r="AJ1108" s="1" t="s">
        <v>4055</v>
      </c>
      <c r="AM1108" s="1" t="s">
        <v>2440</v>
      </c>
    </row>
    <row r="1109">
      <c r="E1109" s="1" t="s">
        <v>4056</v>
      </c>
      <c r="F1109" s="6" t="str">
        <f>IFERROR(__xludf.DUMMYFUNCTION("""COMPUTED_VALUE"""),"weaponry")</f>
        <v>weaponry</v>
      </c>
      <c r="H1109" s="1" t="s">
        <v>1070</v>
      </c>
      <c r="I1109" s="6" t="str">
        <f>IFERROR(__xludf.DUMMYFUNCTION("""COMPUTED_VALUE"""),"chuckle")</f>
        <v>chuckle</v>
      </c>
      <c r="S1109" s="1" t="s">
        <v>1561</v>
      </c>
      <c r="T1109" s="6" t="str">
        <f>IFERROR(__xludf.DUMMYFUNCTION("""COMPUTED_VALUE"""),"rage")</f>
        <v>rage</v>
      </c>
      <c r="W1109" s="8"/>
      <c r="AJ1109" s="1" t="s">
        <v>2235</v>
      </c>
      <c r="AM1109" s="1" t="s">
        <v>3527</v>
      </c>
    </row>
    <row r="1110">
      <c r="E1110" s="1" t="s">
        <v>2720</v>
      </c>
      <c r="F1110" s="6" t="str">
        <f>IFERROR(__xludf.DUMMYFUNCTION("""COMPUTED_VALUE"""),"toss")</f>
        <v>toss</v>
      </c>
      <c r="H1110" s="1" t="s">
        <v>1064</v>
      </c>
      <c r="I1110" s="6" t="str">
        <f>IFERROR(__xludf.DUMMYFUNCTION("""COMPUTED_VALUE"""),"songs")</f>
        <v>songs</v>
      </c>
      <c r="S1110" s="1" t="s">
        <v>4057</v>
      </c>
      <c r="T1110" s="6" t="str">
        <f>IFERROR(__xludf.DUMMYFUNCTION("""COMPUTED_VALUE"""),"prevents")</f>
        <v>prevents</v>
      </c>
      <c r="W1110" s="8"/>
      <c r="AJ1110" s="1" t="s">
        <v>2239</v>
      </c>
      <c r="AM1110" s="1" t="s">
        <v>2443</v>
      </c>
    </row>
    <row r="1111">
      <c r="E1111" s="1" t="s">
        <v>3098</v>
      </c>
      <c r="F1111" s="6" t="str">
        <f>IFERROR(__xludf.DUMMYFUNCTION("""COMPUTED_VALUE"""),"definitions")</f>
        <v>definitions</v>
      </c>
      <c r="H1111" s="1" t="s">
        <v>2313</v>
      </c>
      <c r="I1111" s="6" t="str">
        <f>IFERROR(__xludf.DUMMYFUNCTION("""COMPUTED_VALUE"""),"uhf")</f>
        <v>uhf</v>
      </c>
      <c r="S1111" s="1" t="s">
        <v>3206</v>
      </c>
      <c r="T1111" s="6" t="str">
        <f>IFERROR(__xludf.DUMMYFUNCTION("""COMPUTED_VALUE"""),"firing")</f>
        <v>firing</v>
      </c>
      <c r="W1111" s="8"/>
      <c r="AJ1111" s="1" t="s">
        <v>4058</v>
      </c>
      <c r="AM1111" s="1" t="s">
        <v>4059</v>
      </c>
    </row>
    <row r="1112">
      <c r="E1112" s="1" t="s">
        <v>318</v>
      </c>
      <c r="F1112" s="6" t="str">
        <f>IFERROR(__xludf.DUMMYFUNCTION("""COMPUTED_VALUE"""),"thud")</f>
        <v>thud</v>
      </c>
      <c r="H1112" s="1" t="s">
        <v>4060</v>
      </c>
      <c r="I1112" s="6" t="str">
        <f>IFERROR(__xludf.DUMMYFUNCTION("""COMPUTED_VALUE"""),"maneuvers")</f>
        <v>maneuvers</v>
      </c>
      <c r="S1112" s="1" t="s">
        <v>1525</v>
      </c>
      <c r="T1112" s="6" t="str">
        <f>IFERROR(__xludf.DUMMYFUNCTION("""COMPUTED_VALUE"""),"market")</f>
        <v>market</v>
      </c>
      <c r="W1112" s="8"/>
      <c r="AJ1112" s="1" t="s">
        <v>4061</v>
      </c>
      <c r="AM1112" s="1" t="s">
        <v>2446</v>
      </c>
    </row>
    <row r="1113">
      <c r="E1113" s="1" t="s">
        <v>4062</v>
      </c>
      <c r="F1113" s="6" t="str">
        <f>IFERROR(__xludf.DUMMYFUNCTION("""COMPUTED_VALUE"""),"interpretation")</f>
        <v>interpretation</v>
      </c>
      <c r="H1113" s="1" t="s">
        <v>2319</v>
      </c>
      <c r="I1113" s="6" t="str">
        <f>IFERROR(__xludf.DUMMYFUNCTION("""COMPUTED_VALUE"""),"commanding")</f>
        <v>commanding</v>
      </c>
      <c r="S1113" s="1" t="s">
        <v>4063</v>
      </c>
      <c r="T1113" s="6" t="str">
        <f>IFERROR(__xludf.DUMMYFUNCTION("""COMPUTED_VALUE"""),"witnesses")</f>
        <v>witnesses</v>
      </c>
      <c r="W1113" s="8"/>
      <c r="AJ1113" s="1" t="s">
        <v>2242</v>
      </c>
      <c r="AM1113" s="1" t="s">
        <v>1424</v>
      </c>
    </row>
    <row r="1114">
      <c r="E1114" s="1" t="s">
        <v>2729</v>
      </c>
      <c r="F1114" s="6" t="str">
        <f>IFERROR(__xludf.DUMMYFUNCTION("""COMPUTED_VALUE"""),"lyrical")</f>
        <v>lyrical</v>
      </c>
      <c r="H1114" s="1" t="s">
        <v>935</v>
      </c>
      <c r="I1114" s="6" t="str">
        <f>IFERROR(__xludf.DUMMYFUNCTION("""COMPUTED_VALUE"""),"tends")</f>
        <v>tends</v>
      </c>
      <c r="S1114" s="1" t="s">
        <v>4064</v>
      </c>
      <c r="T1114" s="6" t="str">
        <f>IFERROR(__xludf.DUMMYFUNCTION("""COMPUTED_VALUE"""),"revolutionary")</f>
        <v>revolutionary</v>
      </c>
      <c r="W1114" s="8"/>
      <c r="AJ1114" s="1" t="s">
        <v>4065</v>
      </c>
      <c r="AM1114" s="1" t="s">
        <v>368</v>
      </c>
    </row>
    <row r="1115">
      <c r="E1115" s="1" t="s">
        <v>4066</v>
      </c>
      <c r="F1115" s="6" t="str">
        <f>IFERROR(__xludf.DUMMYFUNCTION("""COMPUTED_VALUE"""),"blockbuster")</f>
        <v>blockbuster</v>
      </c>
      <c r="H1115" s="1" t="s">
        <v>791</v>
      </c>
      <c r="I1115" s="6" t="str">
        <f>IFERROR(__xludf.DUMMYFUNCTION("""COMPUTED_VALUE"""),"comprehension")</f>
        <v>comprehension</v>
      </c>
      <c r="S1115" s="1" t="s">
        <v>4067</v>
      </c>
      <c r="T1115" s="6" t="str">
        <f>IFERROR(__xludf.DUMMYFUNCTION("""COMPUTED_VALUE"""),"unlikely")</f>
        <v>unlikely</v>
      </c>
      <c r="W1115" s="8"/>
      <c r="AJ1115" s="1" t="s">
        <v>2244</v>
      </c>
      <c r="AM1115" s="1" t="s">
        <v>2451</v>
      </c>
    </row>
    <row r="1116">
      <c r="E1116" s="1" t="s">
        <v>4068</v>
      </c>
      <c r="F1116" s="6" t="str">
        <f>IFERROR(__xludf.DUMMYFUNCTION("""COMPUTED_VALUE"""),"exploitation")</f>
        <v>exploitation</v>
      </c>
      <c r="H1116" s="1" t="s">
        <v>3364</v>
      </c>
      <c r="I1116" s="6" t="str">
        <f>IFERROR(__xludf.DUMMYFUNCTION("""COMPUTED_VALUE"""),"staged")</f>
        <v>staged</v>
      </c>
      <c r="S1116" s="1" t="s">
        <v>4069</v>
      </c>
      <c r="T1116" s="6" t="str">
        <f>IFERROR(__xludf.DUMMYFUNCTION("""COMPUTED_VALUE"""),"chance")</f>
        <v>chance</v>
      </c>
      <c r="W1116" s="8"/>
      <c r="AJ1116" s="1" t="s">
        <v>2245</v>
      </c>
      <c r="AM1116" s="1" t="s">
        <v>2453</v>
      </c>
    </row>
    <row r="1117">
      <c r="E1117" s="1" t="s">
        <v>1896</v>
      </c>
      <c r="F1117" s="6" t="str">
        <f>IFERROR(__xludf.DUMMYFUNCTION("""COMPUTED_VALUE"""),"populated")</f>
        <v>populated</v>
      </c>
      <c r="H1117" s="1">
        <v>20.0</v>
      </c>
      <c r="I1117" s="6" t="str">
        <f>IFERROR(__xludf.DUMMYFUNCTION("""COMPUTED_VALUE"""),"dazzling")</f>
        <v>dazzling</v>
      </c>
      <c r="S1117" s="1" t="s">
        <v>2628</v>
      </c>
      <c r="T1117" s="6" t="str">
        <f>IFERROR(__xludf.DUMMYFUNCTION("""COMPUTED_VALUE"""),"obstacles")</f>
        <v>obstacles</v>
      </c>
      <c r="W1117" s="8"/>
      <c r="AJ1117" s="1" t="s">
        <v>2248</v>
      </c>
      <c r="AM1117" s="1" t="s">
        <v>3549</v>
      </c>
    </row>
    <row r="1118">
      <c r="E1118" s="1" t="s">
        <v>2868</v>
      </c>
      <c r="F1118" s="6" t="str">
        <f>IFERROR(__xludf.DUMMYFUNCTION("""COMPUTED_VALUE"""),"emotion")</f>
        <v>emotion</v>
      </c>
      <c r="H1118" s="1" t="s">
        <v>2274</v>
      </c>
      <c r="I1118" s="6" t="str">
        <f>IFERROR(__xludf.DUMMYFUNCTION("""COMPUTED_VALUE"""),"alive")</f>
        <v>alive</v>
      </c>
      <c r="S1118" s="1" t="s">
        <v>4070</v>
      </c>
      <c r="T1118" s="6" t="str">
        <f>IFERROR(__xludf.DUMMYFUNCTION("""COMPUTED_VALUE"""),"spiritual")</f>
        <v>spiritual</v>
      </c>
      <c r="W1118" s="8"/>
      <c r="AJ1118" s="1" t="s">
        <v>4071</v>
      </c>
      <c r="AM1118" s="1" t="s">
        <v>594</v>
      </c>
    </row>
    <row r="1119">
      <c r="E1119" s="1" t="s">
        <v>2874</v>
      </c>
      <c r="F1119" s="6" t="str">
        <f>IFERROR(__xludf.DUMMYFUNCTION("""COMPUTED_VALUE"""),"purge")</f>
        <v>purge</v>
      </c>
      <c r="H1119" s="1" t="s">
        <v>2330</v>
      </c>
      <c r="I1119" s="6" t="str">
        <f>IFERROR(__xludf.DUMMYFUNCTION("""COMPUTED_VALUE"""),"scope")</f>
        <v>scope</v>
      </c>
      <c r="S1119" s="1" t="s">
        <v>1212</v>
      </c>
      <c r="T1119" s="6" t="str">
        <f>IFERROR(__xludf.DUMMYFUNCTION("""COMPUTED_VALUE"""),"inspiring")</f>
        <v>inspiring</v>
      </c>
      <c r="W1119" s="8"/>
      <c r="AJ1119" s="1" t="s">
        <v>4072</v>
      </c>
      <c r="AM1119" s="1" t="s">
        <v>1078</v>
      </c>
    </row>
    <row r="1120">
      <c r="E1120" s="1" t="s">
        <v>2871</v>
      </c>
      <c r="F1120" s="6" t="str">
        <f>IFERROR(__xludf.DUMMYFUNCTION("""COMPUTED_VALUE"""),"triumph")</f>
        <v>triumph</v>
      </c>
      <c r="H1120" s="1" t="s">
        <v>2327</v>
      </c>
      <c r="I1120" s="6" t="str">
        <f>IFERROR(__xludf.DUMMYFUNCTION("""COMPUTED_VALUE"""),"fabricated")</f>
        <v>fabricated</v>
      </c>
      <c r="S1120" s="1" t="s">
        <v>4073</v>
      </c>
      <c r="T1120" s="6" t="str">
        <f>IFERROR(__xludf.DUMMYFUNCTION("""COMPUTED_VALUE"""),"studios")</f>
        <v>studios</v>
      </c>
      <c r="W1120" s="8"/>
      <c r="AJ1120" s="1" t="s">
        <v>4074</v>
      </c>
      <c r="AM1120" s="1" t="s">
        <v>4029</v>
      </c>
    </row>
    <row r="1121">
      <c r="E1121" s="1" t="s">
        <v>4075</v>
      </c>
      <c r="F1121" s="6" t="str">
        <f>IFERROR(__xludf.DUMMYFUNCTION("""COMPUTED_VALUE"""),"marvelous")</f>
        <v>marvelous</v>
      </c>
      <c r="H1121" s="1" t="s">
        <v>2329</v>
      </c>
      <c r="I1121" s="6" t="str">
        <f>IFERROR(__xludf.DUMMYFUNCTION("""COMPUTED_VALUE"""),"dismissed")</f>
        <v>dismissed</v>
      </c>
      <c r="S1121" s="1" t="s">
        <v>3794</v>
      </c>
      <c r="T1121" s="6" t="str">
        <f>IFERROR(__xludf.DUMMYFUNCTION("""COMPUTED_VALUE"""),"stunt")</f>
        <v>stunt</v>
      </c>
      <c r="W1121" s="8"/>
      <c r="AJ1121" s="1" t="s">
        <v>176</v>
      </c>
      <c r="AM1121" s="1" t="s">
        <v>837</v>
      </c>
    </row>
    <row r="1122">
      <c r="E1122" s="1" t="s">
        <v>1466</v>
      </c>
      <c r="F1122" s="6" t="str">
        <f>IFERROR(__xludf.DUMMYFUNCTION("""COMPUTED_VALUE"""),"shifted")</f>
        <v>shifted</v>
      </c>
      <c r="H1122" s="1" t="s">
        <v>3377</v>
      </c>
      <c r="I1122" s="6" t="str">
        <f>IFERROR(__xludf.DUMMYFUNCTION("""COMPUTED_VALUE"""),"forced")</f>
        <v>forced</v>
      </c>
      <c r="S1122" s="1" t="s">
        <v>4076</v>
      </c>
      <c r="T1122" s="6" t="str">
        <f>IFERROR(__xludf.DUMMYFUNCTION("""COMPUTED_VALUE"""),"sympathetic")</f>
        <v>sympathetic</v>
      </c>
      <c r="W1122" s="8"/>
      <c r="AJ1122" s="1" t="s">
        <v>1176</v>
      </c>
      <c r="AM1122" s="1" t="s">
        <v>3556</v>
      </c>
    </row>
    <row r="1123">
      <c r="E1123" s="1" t="s">
        <v>497</v>
      </c>
      <c r="F1123" s="6" t="str">
        <f>IFERROR(__xludf.DUMMYFUNCTION("""COMPUTED_VALUE"""),"wesley")</f>
        <v>wesley</v>
      </c>
      <c r="H1123" s="1" t="s">
        <v>3296</v>
      </c>
      <c r="I1123" s="6" t="str">
        <f>IFERROR(__xludf.DUMMYFUNCTION("""COMPUTED_VALUE"""),"schmidt")</f>
        <v>schmidt</v>
      </c>
      <c r="S1123" s="1" t="s">
        <v>4077</v>
      </c>
      <c r="T1123" s="6" t="str">
        <f>IFERROR(__xludf.DUMMYFUNCTION("""COMPUTED_VALUE"""),"invest")</f>
        <v>invest</v>
      </c>
      <c r="W1123" s="8"/>
      <c r="AJ1123" s="1" t="s">
        <v>2256</v>
      </c>
      <c r="AM1123" s="1" t="s">
        <v>2463</v>
      </c>
    </row>
    <row r="1124">
      <c r="E1124" s="1" t="s">
        <v>2887</v>
      </c>
      <c r="F1124" s="6" t="str">
        <f>IFERROR(__xludf.DUMMYFUNCTION("""COMPUTED_VALUE"""),"proposes")</f>
        <v>proposes</v>
      </c>
      <c r="H1124" s="1" t="s">
        <v>678</v>
      </c>
      <c r="I1124" s="6" t="str">
        <f>IFERROR(__xludf.DUMMYFUNCTION("""COMPUTED_VALUE"""),"payne")</f>
        <v>payne</v>
      </c>
      <c r="S1124" s="1" t="s">
        <v>4078</v>
      </c>
      <c r="T1124" s="6" t="str">
        <f>IFERROR(__xludf.DUMMYFUNCTION("""COMPUTED_VALUE"""),"schemes")</f>
        <v>schemes</v>
      </c>
      <c r="W1124" s="8"/>
      <c r="AJ1124" s="1" t="s">
        <v>4079</v>
      </c>
      <c r="AM1124" s="1" t="s">
        <v>737</v>
      </c>
    </row>
    <row r="1125">
      <c r="E1125" s="1" t="s">
        <v>811</v>
      </c>
      <c r="F1125" s="6" t="str">
        <f>IFERROR(__xludf.DUMMYFUNCTION("""COMPUTED_VALUE"""),"mistress")</f>
        <v>mistress</v>
      </c>
      <c r="H1125" s="1" t="s">
        <v>3382</v>
      </c>
      <c r="I1125" s="6" t="str">
        <f>IFERROR(__xludf.DUMMYFUNCTION("""COMPUTED_VALUE"""),"uneasy")</f>
        <v>uneasy</v>
      </c>
      <c r="S1125" s="1" t="s">
        <v>4080</v>
      </c>
      <c r="T1125" s="6" t="str">
        <f>IFERROR(__xludf.DUMMYFUNCTION("""COMPUTED_VALUE"""),"consequences")</f>
        <v>consequences</v>
      </c>
      <c r="W1125" s="8"/>
      <c r="AJ1125" s="1" t="s">
        <v>4081</v>
      </c>
      <c r="AM1125" s="1" t="s">
        <v>2467</v>
      </c>
    </row>
    <row r="1126">
      <c r="E1126" s="1" t="s">
        <v>94</v>
      </c>
      <c r="F1126" s="6" t="str">
        <f>IFERROR(__xludf.DUMMYFUNCTION("""COMPUTED_VALUE"""),"breakthrough")</f>
        <v>breakthrough</v>
      </c>
      <c r="H1126" s="1" t="s">
        <v>2332</v>
      </c>
      <c r="I1126" s="6" t="str">
        <f>IFERROR(__xludf.DUMMYFUNCTION("""COMPUTED_VALUE"""),"indifference")</f>
        <v>indifference</v>
      </c>
      <c r="S1126" s="1" t="s">
        <v>1571</v>
      </c>
      <c r="T1126" s="6" t="str">
        <f>IFERROR(__xludf.DUMMYFUNCTION("""COMPUTED_VALUE"""),"critics")</f>
        <v>critics</v>
      </c>
      <c r="W1126" s="8"/>
      <c r="AJ1126" s="1" t="s">
        <v>4082</v>
      </c>
      <c r="AM1126" s="1" t="s">
        <v>746</v>
      </c>
    </row>
    <row r="1127">
      <c r="E1127" s="1" t="s">
        <v>951</v>
      </c>
      <c r="F1127" s="6" t="str">
        <f>IFERROR(__xludf.DUMMYFUNCTION("""COMPUTED_VALUE"""),"assumes")</f>
        <v>assumes</v>
      </c>
      <c r="H1127" s="1" t="s">
        <v>1074</v>
      </c>
      <c r="I1127" s="6" t="str">
        <f>IFERROR(__xludf.DUMMYFUNCTION("""COMPUTED_VALUE"""),"revolution")</f>
        <v>revolution</v>
      </c>
      <c r="S1127" s="1" t="s">
        <v>2765</v>
      </c>
      <c r="T1127" s="6" t="str">
        <f>IFERROR(__xludf.DUMMYFUNCTION("""COMPUTED_VALUE"""),"paints")</f>
        <v>paints</v>
      </c>
      <c r="W1127" s="8"/>
      <c r="AJ1127" s="1" t="s">
        <v>390</v>
      </c>
      <c r="AM1127" s="1" t="s">
        <v>603</v>
      </c>
    </row>
    <row r="1128">
      <c r="E1128" s="1" t="s">
        <v>4083</v>
      </c>
      <c r="F1128" s="6" t="str">
        <f>IFERROR(__xludf.DUMMYFUNCTION("""COMPUTED_VALUE"""),"unmistakable")</f>
        <v>unmistakable</v>
      </c>
      <c r="H1128" s="1" t="s">
        <v>685</v>
      </c>
      <c r="I1128" s="6" t="str">
        <f>IFERROR(__xludf.DUMMYFUNCTION("""COMPUTED_VALUE"""),"precisely")</f>
        <v>precisely</v>
      </c>
      <c r="S1128" s="1" t="s">
        <v>4084</v>
      </c>
      <c r="T1128" s="6" t="str">
        <f>IFERROR(__xludf.DUMMYFUNCTION("""COMPUTED_VALUE"""),"longer")</f>
        <v>longer</v>
      </c>
      <c r="W1128" s="8"/>
      <c r="AJ1128" s="1" t="s">
        <v>3478</v>
      </c>
      <c r="AM1128" s="1" t="s">
        <v>680</v>
      </c>
    </row>
    <row r="1129">
      <c r="E1129" s="1" t="s">
        <v>639</v>
      </c>
      <c r="F1129" s="6" t="str">
        <f>IFERROR(__xludf.DUMMYFUNCTION("""COMPUTED_VALUE"""),"capture")</f>
        <v>capture</v>
      </c>
      <c r="H1129" s="1" t="s">
        <v>3395</v>
      </c>
      <c r="I1129" s="6" t="str">
        <f>IFERROR(__xludf.DUMMYFUNCTION("""COMPUTED_VALUE"""),"loneliness")</f>
        <v>loneliness</v>
      </c>
      <c r="S1129" s="1" t="s">
        <v>2016</v>
      </c>
      <c r="T1129" s="6" t="str">
        <f>IFERROR(__xludf.DUMMYFUNCTION("""COMPUTED_VALUE"""),"competence")</f>
        <v>competence</v>
      </c>
      <c r="W1129" s="8"/>
      <c r="AJ1129" s="1" t="s">
        <v>1183</v>
      </c>
      <c r="AM1129" s="1" t="s">
        <v>1153</v>
      </c>
    </row>
    <row r="1130">
      <c r="E1130" s="1" t="s">
        <v>2747</v>
      </c>
      <c r="F1130" s="6" t="str">
        <f>IFERROR(__xludf.DUMMYFUNCTION("""COMPUTED_VALUE"""),"penetrating")</f>
        <v>penetrating</v>
      </c>
      <c r="H1130" s="1" t="s">
        <v>4085</v>
      </c>
      <c r="I1130" s="6" t="str">
        <f>IFERROR(__xludf.DUMMYFUNCTION("""COMPUTED_VALUE"""),"technology")</f>
        <v>technology</v>
      </c>
      <c r="S1130" s="1" t="s">
        <v>4086</v>
      </c>
      <c r="T1130" s="6" t="str">
        <f>IFERROR(__xludf.DUMMYFUNCTION("""COMPUTED_VALUE"""),"clarity")</f>
        <v>clarity</v>
      </c>
      <c r="W1130" s="8"/>
      <c r="AJ1130" s="1" t="s">
        <v>4087</v>
      </c>
      <c r="AM1130" s="1" t="s">
        <v>612</v>
      </c>
    </row>
    <row r="1131">
      <c r="E1131" s="1" t="s">
        <v>4088</v>
      </c>
      <c r="F1131" s="6" t="str">
        <f>IFERROR(__xludf.DUMMYFUNCTION("""COMPUTED_VALUE"""),"fascination")</f>
        <v>fascination</v>
      </c>
      <c r="H1131" s="1" t="s">
        <v>3892</v>
      </c>
      <c r="I1131" s="6" t="str">
        <f>IFERROR(__xludf.DUMMYFUNCTION("""COMPUTED_VALUE"""),"comparison")</f>
        <v>comparison</v>
      </c>
      <c r="S1131" s="1" t="s">
        <v>4089</v>
      </c>
      <c r="T1131" s="6" t="str">
        <f>IFERROR(__xludf.DUMMYFUNCTION("""COMPUTED_VALUE"""),"visually")</f>
        <v>visually</v>
      </c>
      <c r="W1131" s="8"/>
      <c r="AJ1131" s="1" t="s">
        <v>2677</v>
      </c>
      <c r="AM1131" s="1" t="s">
        <v>4090</v>
      </c>
    </row>
    <row r="1132">
      <c r="E1132" s="1" t="s">
        <v>616</v>
      </c>
      <c r="F1132" s="6" t="str">
        <f>IFERROR(__xludf.DUMMYFUNCTION("""COMPUTED_VALUE"""),"operational")</f>
        <v>operational</v>
      </c>
      <c r="H1132" s="1" t="s">
        <v>1081</v>
      </c>
      <c r="I1132" s="6" t="str">
        <f>IFERROR(__xludf.DUMMYFUNCTION("""COMPUTED_VALUE"""),"notwithstanding")</f>
        <v>notwithstanding</v>
      </c>
      <c r="S1132" s="1" t="s">
        <v>3733</v>
      </c>
      <c r="T1132" s="6" t="str">
        <f>IFERROR(__xludf.DUMMYFUNCTION("""COMPUTED_VALUE"""),"chuckle")</f>
        <v>chuckle</v>
      </c>
      <c r="W1132" s="8"/>
      <c r="AJ1132" s="1" t="s">
        <v>2261</v>
      </c>
      <c r="AM1132" s="1" t="s">
        <v>302</v>
      </c>
    </row>
    <row r="1133">
      <c r="E1133" s="1" t="s">
        <v>242</v>
      </c>
      <c r="F1133" s="6" t="str">
        <f>IFERROR(__xludf.DUMMYFUNCTION("""COMPUTED_VALUE"""),"vague")</f>
        <v>vague</v>
      </c>
      <c r="H1133" s="1" t="s">
        <v>2337</v>
      </c>
      <c r="I1133" s="6" t="str">
        <f>IFERROR(__xludf.DUMMYFUNCTION("""COMPUTED_VALUE"""),"inspirational")</f>
        <v>inspirational</v>
      </c>
      <c r="S1133" s="1" t="s">
        <v>4091</v>
      </c>
      <c r="T1133" s="6" t="str">
        <f>IFERROR(__xludf.DUMMYFUNCTION("""COMPUTED_VALUE"""),"ones")</f>
        <v>ones</v>
      </c>
      <c r="W1133" s="8"/>
      <c r="AJ1133" s="1" t="s">
        <v>1191</v>
      </c>
      <c r="AM1133" s="1" t="s">
        <v>2988</v>
      </c>
    </row>
    <row r="1134">
      <c r="E1134" s="1" t="s">
        <v>1486</v>
      </c>
      <c r="F1134" s="6" t="str">
        <f>IFERROR(__xludf.DUMMYFUNCTION("""COMPUTED_VALUE"""),"cult")</f>
        <v>cult</v>
      </c>
      <c r="H1134" s="1" t="s">
        <v>2339</v>
      </c>
      <c r="I1134" s="6" t="str">
        <f>IFERROR(__xludf.DUMMYFUNCTION("""COMPUTED_VALUE"""),"status")</f>
        <v>status</v>
      </c>
      <c r="S1134" s="1" t="s">
        <v>2662</v>
      </c>
      <c r="T1134" s="6" t="str">
        <f>IFERROR(__xludf.DUMMYFUNCTION("""COMPUTED_VALUE"""),"deliberate")</f>
        <v>deliberate</v>
      </c>
      <c r="W1134" s="8"/>
      <c r="AJ1134" s="1" t="s">
        <v>4092</v>
      </c>
      <c r="AM1134" s="1" t="s">
        <v>4093</v>
      </c>
    </row>
    <row r="1135">
      <c r="E1135" s="1" t="s">
        <v>4094</v>
      </c>
      <c r="F1135" s="6" t="str">
        <f>IFERROR(__xludf.DUMMYFUNCTION("""COMPUTED_VALUE"""),"undone")</f>
        <v>undone</v>
      </c>
      <c r="H1135" s="1" t="s">
        <v>3405</v>
      </c>
      <c r="I1135" s="6" t="str">
        <f>IFERROR(__xludf.DUMMYFUNCTION("""COMPUTED_VALUE"""),"pat")</f>
        <v>pat</v>
      </c>
      <c r="S1135" s="1" t="s">
        <v>4095</v>
      </c>
      <c r="T1135" s="6" t="str">
        <f>IFERROR(__xludf.DUMMYFUNCTION("""COMPUTED_VALUE"""),"songs")</f>
        <v>songs</v>
      </c>
      <c r="W1135" s="8"/>
      <c r="AJ1135" s="1" t="s">
        <v>4096</v>
      </c>
      <c r="AM1135" s="1" t="s">
        <v>2572</v>
      </c>
    </row>
    <row r="1136">
      <c r="E1136" s="1" t="s">
        <v>817</v>
      </c>
      <c r="F1136" s="6" t="str">
        <f>IFERROR(__xludf.DUMMYFUNCTION("""COMPUTED_VALUE"""),"inspiration")</f>
        <v>inspiration</v>
      </c>
      <c r="H1136" s="1" t="s">
        <v>1493</v>
      </c>
      <c r="I1136" s="6" t="str">
        <f>IFERROR(__xludf.DUMMYFUNCTION("""COMPUTED_VALUE"""),"identity")</f>
        <v>identity</v>
      </c>
      <c r="P1136" s="10"/>
      <c r="S1136" s="1" t="s">
        <v>3894</v>
      </c>
      <c r="T1136" s="6" t="str">
        <f>IFERROR(__xludf.DUMMYFUNCTION("""COMPUTED_VALUE"""),"twists")</f>
        <v>twists</v>
      </c>
      <c r="W1136" s="8"/>
      <c r="AJ1136" s="1" t="s">
        <v>4097</v>
      </c>
      <c r="AM1136" s="1" t="s">
        <v>477</v>
      </c>
    </row>
    <row r="1137">
      <c r="E1137" s="1" t="s">
        <v>4098</v>
      </c>
      <c r="F1137" s="6" t="str">
        <f>IFERROR(__xludf.DUMMYFUNCTION("""COMPUTED_VALUE"""),"nicholson")</f>
        <v>nicholson</v>
      </c>
      <c r="H1137" s="1" t="s">
        <v>557</v>
      </c>
      <c r="I1137" s="6" t="str">
        <f>IFERROR(__xludf.DUMMYFUNCTION("""COMPUTED_VALUE"""),"jerking")</f>
        <v>jerking</v>
      </c>
      <c r="S1137" s="1" t="s">
        <v>4099</v>
      </c>
      <c r="T1137" s="6" t="str">
        <f>IFERROR(__xludf.DUMMYFUNCTION("""COMPUTED_VALUE"""),"benefit")</f>
        <v>benefit</v>
      </c>
      <c r="W1137" s="8"/>
      <c r="AJ1137" s="1" t="s">
        <v>4100</v>
      </c>
      <c r="AM1137" s="1" t="s">
        <v>1595</v>
      </c>
    </row>
    <row r="1138">
      <c r="E1138" s="1" t="s">
        <v>1494</v>
      </c>
      <c r="F1138" s="6" t="str">
        <f>IFERROR(__xludf.DUMMYFUNCTION("""COMPUTED_VALUE"""),"awareness")</f>
        <v>awareness</v>
      </c>
      <c r="H1138" s="1" t="s">
        <v>3410</v>
      </c>
      <c r="I1138" s="6" t="str">
        <f>IFERROR(__xludf.DUMMYFUNCTION("""COMPUTED_VALUE"""),"dubbed")</f>
        <v>dubbed</v>
      </c>
      <c r="S1138" s="1" t="s">
        <v>1310</v>
      </c>
      <c r="T1138" s="6" t="str">
        <f>IFERROR(__xludf.DUMMYFUNCTION("""COMPUTED_VALUE"""),"committed")</f>
        <v>committed</v>
      </c>
      <c r="W1138" s="8"/>
      <c r="AJ1138" s="1" t="s">
        <v>4101</v>
      </c>
      <c r="AM1138" s="1" t="s">
        <v>756</v>
      </c>
    </row>
    <row r="1139">
      <c r="E1139" s="1" t="s">
        <v>2766</v>
      </c>
      <c r="F1139" s="6" t="str">
        <f>IFERROR(__xludf.DUMMYFUNCTION("""COMPUTED_VALUE"""),"mortal")</f>
        <v>mortal</v>
      </c>
      <c r="H1139" s="1" t="s">
        <v>692</v>
      </c>
      <c r="I1139" s="6" t="str">
        <f>IFERROR(__xludf.DUMMYFUNCTION("""COMPUTED_VALUE"""),"constraints")</f>
        <v>constraints</v>
      </c>
      <c r="S1139" s="1" t="s">
        <v>4102</v>
      </c>
      <c r="T1139" s="6" t="str">
        <f>IFERROR(__xludf.DUMMYFUNCTION("""COMPUTED_VALUE"""),"tends")</f>
        <v>tends</v>
      </c>
      <c r="W1139" s="8"/>
      <c r="AJ1139" s="1" t="s">
        <v>1194</v>
      </c>
      <c r="AM1139" s="1" t="s">
        <v>874</v>
      </c>
    </row>
    <row r="1140">
      <c r="E1140" s="1" t="s">
        <v>2919</v>
      </c>
      <c r="F1140" s="6" t="str">
        <f>IFERROR(__xludf.DUMMYFUNCTION("""COMPUTED_VALUE"""),"intent")</f>
        <v>intent</v>
      </c>
      <c r="H1140" s="1" t="s">
        <v>3412</v>
      </c>
      <c r="I1140" s="6" t="str">
        <f>IFERROR(__xludf.DUMMYFUNCTION("""COMPUTED_VALUE"""),"effect")</f>
        <v>effect</v>
      </c>
      <c r="S1140" s="1" t="s">
        <v>3846</v>
      </c>
      <c r="T1140" s="6" t="str">
        <f>IFERROR(__xludf.DUMMYFUNCTION("""COMPUTED_VALUE"""),"comprehension")</f>
        <v>comprehension</v>
      </c>
      <c r="W1140" s="8"/>
      <c r="AJ1140" s="1" t="s">
        <v>2270</v>
      </c>
      <c r="AM1140" s="1" t="s">
        <v>1776</v>
      </c>
    </row>
    <row r="1141">
      <c r="E1141" s="1" t="s">
        <v>1501</v>
      </c>
      <c r="F1141" s="6" t="str">
        <f>IFERROR(__xludf.DUMMYFUNCTION("""COMPUTED_VALUE"""),"creeping")</f>
        <v>creeping</v>
      </c>
      <c r="H1141" s="1" t="s">
        <v>2357</v>
      </c>
      <c r="I1141" s="6" t="str">
        <f>IFERROR(__xludf.DUMMYFUNCTION("""COMPUTED_VALUE"""),"cruelty")</f>
        <v>cruelty</v>
      </c>
      <c r="S1141" s="1" t="s">
        <v>3989</v>
      </c>
      <c r="T1141" s="6" t="str">
        <f>IFERROR(__xludf.DUMMYFUNCTION("""COMPUTED_VALUE"""),"staged")</f>
        <v>staged</v>
      </c>
      <c r="W1141" s="8"/>
      <c r="AJ1141" s="1" t="s">
        <v>3659</v>
      </c>
      <c r="AM1141" s="1" t="s">
        <v>765</v>
      </c>
    </row>
    <row r="1142">
      <c r="E1142" s="1" t="s">
        <v>2927</v>
      </c>
      <c r="F1142" s="6" t="str">
        <f>IFERROR(__xludf.DUMMYFUNCTION("""COMPUTED_VALUE"""),"swear")</f>
        <v>swear</v>
      </c>
      <c r="H1142" s="1" t="s">
        <v>2852</v>
      </c>
      <c r="I1142" s="6" t="str">
        <f>IFERROR(__xludf.DUMMYFUNCTION("""COMPUTED_VALUE"""),"documented")</f>
        <v>documented</v>
      </c>
      <c r="S1142" s="1" t="s">
        <v>4103</v>
      </c>
      <c r="T1142" s="6" t="str">
        <f>IFERROR(__xludf.DUMMYFUNCTION("""COMPUTED_VALUE"""),"dazzling")</f>
        <v>dazzling</v>
      </c>
      <c r="W1142" s="8"/>
      <c r="AJ1142" s="1" t="s">
        <v>4104</v>
      </c>
      <c r="AM1142" s="1" t="s">
        <v>1169</v>
      </c>
    </row>
    <row r="1143">
      <c r="E1143" s="1" t="s">
        <v>2930</v>
      </c>
      <c r="F1143" s="6" t="str">
        <f>IFERROR(__xludf.DUMMYFUNCTION("""COMPUTED_VALUE"""),"distinctly")</f>
        <v>distinctly</v>
      </c>
      <c r="H1143" s="1" t="s">
        <v>3913</v>
      </c>
      <c r="I1143" s="6" t="str">
        <f>IFERROR(__xludf.DUMMYFUNCTION("""COMPUTED_VALUE"""),"popcorn")</f>
        <v>popcorn</v>
      </c>
      <c r="S1143" s="1" t="s">
        <v>2023</v>
      </c>
      <c r="T1143" s="6" t="str">
        <f>IFERROR(__xludf.DUMMYFUNCTION("""COMPUTED_VALUE"""),"alive")</f>
        <v>alive</v>
      </c>
      <c r="W1143" s="8"/>
      <c r="AJ1143" s="1" t="s">
        <v>2273</v>
      </c>
      <c r="AM1143" s="1" t="s">
        <v>2457</v>
      </c>
    </row>
    <row r="1144">
      <c r="E1144" s="1" t="s">
        <v>2934</v>
      </c>
      <c r="F1144" s="6" t="str">
        <f>IFERROR(__xludf.DUMMYFUNCTION("""COMPUTED_VALUE"""),"bursts")</f>
        <v>bursts</v>
      </c>
      <c r="H1144" s="1" t="s">
        <v>3001</v>
      </c>
      <c r="I1144" s="6" t="str">
        <f>IFERROR(__xludf.DUMMYFUNCTION("""COMPUTED_VALUE"""),"english")</f>
        <v>english</v>
      </c>
      <c r="S1144" s="1" t="s">
        <v>4105</v>
      </c>
      <c r="T1144" s="6" t="str">
        <f>IFERROR(__xludf.DUMMYFUNCTION("""COMPUTED_VALUE"""),"scope")</f>
        <v>scope</v>
      </c>
      <c r="W1144" s="8"/>
      <c r="AJ1144" s="1" t="s">
        <v>2275</v>
      </c>
      <c r="AM1144" s="1" t="s">
        <v>4106</v>
      </c>
    </row>
    <row r="1145">
      <c r="E1145" s="1" t="s">
        <v>2939</v>
      </c>
      <c r="F1145" s="6" t="str">
        <f>IFERROR(__xludf.DUMMYFUNCTION("""COMPUTED_VALUE"""),"theories")</f>
        <v>theories</v>
      </c>
      <c r="H1145" s="1" t="s">
        <v>2120</v>
      </c>
      <c r="I1145" s="6" t="str">
        <f>IFERROR(__xludf.DUMMYFUNCTION("""COMPUTED_VALUE"""),"america")</f>
        <v>america</v>
      </c>
      <c r="S1145" s="1" t="s">
        <v>2666</v>
      </c>
      <c r="T1145" s="6" t="str">
        <f>IFERROR(__xludf.DUMMYFUNCTION("""COMPUTED_VALUE"""),"fabricated")</f>
        <v>fabricated</v>
      </c>
      <c r="W1145" s="8"/>
      <c r="AJ1145" s="1" t="s">
        <v>4107</v>
      </c>
      <c r="AM1145" s="1" t="s">
        <v>842</v>
      </c>
    </row>
    <row r="1146">
      <c r="E1146" s="1" t="s">
        <v>1508</v>
      </c>
      <c r="F1146" s="6" t="str">
        <f>IFERROR(__xludf.DUMMYFUNCTION("""COMPUTED_VALUE"""),"ominous")</f>
        <v>ominous</v>
      </c>
      <c r="H1146" s="1" t="s">
        <v>404</v>
      </c>
      <c r="I1146" s="6" t="str">
        <f>IFERROR(__xludf.DUMMYFUNCTION("""COMPUTED_VALUE"""),"russian")</f>
        <v>russian</v>
      </c>
      <c r="S1146" s="1" t="s">
        <v>1649</v>
      </c>
      <c r="T1146" s="6" t="str">
        <f>IFERROR(__xludf.DUMMYFUNCTION("""COMPUTED_VALUE"""),"payne")</f>
        <v>payne</v>
      </c>
      <c r="W1146" s="8"/>
      <c r="AJ1146" s="1" t="s">
        <v>409</v>
      </c>
      <c r="AM1146" s="1" t="s">
        <v>3603</v>
      </c>
    </row>
    <row r="1147">
      <c r="E1147" s="1" t="s">
        <v>2945</v>
      </c>
      <c r="F1147" s="6" t="str">
        <f>IFERROR(__xludf.DUMMYFUNCTION("""COMPUTED_VALUE"""),"earthly")</f>
        <v>earthly</v>
      </c>
      <c r="H1147" s="1" t="s">
        <v>3420</v>
      </c>
      <c r="I1147" s="6" t="str">
        <f>IFERROR(__xludf.DUMMYFUNCTION("""COMPUTED_VALUE"""),"randall")</f>
        <v>randall</v>
      </c>
      <c r="S1147" s="1" t="s">
        <v>2087</v>
      </c>
      <c r="T1147" s="6" t="str">
        <f>IFERROR(__xludf.DUMMYFUNCTION("""COMPUTED_VALUE"""),"indifference")</f>
        <v>indifference</v>
      </c>
      <c r="W1147" s="8"/>
      <c r="AJ1147" s="1" t="s">
        <v>2280</v>
      </c>
      <c r="AM1147" s="1" t="s">
        <v>4108</v>
      </c>
    </row>
    <row r="1148">
      <c r="E1148" s="1" t="s">
        <v>2949</v>
      </c>
      <c r="F1148" s="6" t="str">
        <f>IFERROR(__xludf.DUMMYFUNCTION("""COMPUTED_VALUE"""),"myers")</f>
        <v>myers</v>
      </c>
      <c r="H1148" s="1" t="s">
        <v>3423</v>
      </c>
      <c r="I1148" s="6" t="str">
        <f>IFERROR(__xludf.DUMMYFUNCTION("""COMPUTED_VALUE"""),"insights")</f>
        <v>insights</v>
      </c>
      <c r="S1148" s="1" t="s">
        <v>4109</v>
      </c>
      <c r="T1148" s="6" t="str">
        <f>IFERROR(__xludf.DUMMYFUNCTION("""COMPUTED_VALUE"""),"revolution")</f>
        <v>revolution</v>
      </c>
      <c r="W1148" s="8"/>
      <c r="AJ1148" s="1" t="s">
        <v>4110</v>
      </c>
      <c r="AM1148" s="1" t="s">
        <v>2489</v>
      </c>
    </row>
    <row r="1149">
      <c r="E1149" s="1" t="s">
        <v>2953</v>
      </c>
      <c r="F1149" s="6" t="str">
        <f>IFERROR(__xludf.DUMMYFUNCTION("""COMPUTED_VALUE"""),"counterparts")</f>
        <v>counterparts</v>
      </c>
      <c r="H1149" s="1" t="s">
        <v>353</v>
      </c>
      <c r="I1149" s="6" t="str">
        <f>IFERROR(__xludf.DUMMYFUNCTION("""COMPUTED_VALUE"""),"tensions")</f>
        <v>tensions</v>
      </c>
      <c r="S1149" s="1" t="s">
        <v>2060</v>
      </c>
      <c r="T1149" s="6" t="str">
        <f>IFERROR(__xludf.DUMMYFUNCTION("""COMPUTED_VALUE"""),"precisely")</f>
        <v>precisely</v>
      </c>
      <c r="W1149" s="8"/>
      <c r="AJ1149" s="1" t="s">
        <v>4111</v>
      </c>
      <c r="AM1149" s="1" t="s">
        <v>3675</v>
      </c>
    </row>
    <row r="1150">
      <c r="E1150" s="1" t="b">
        <v>0</v>
      </c>
      <c r="F1150" s="6" t="str">
        <f>IFERROR(__xludf.DUMMYFUNCTION("""COMPUTED_VALUE"""),"schizophrenia")</f>
        <v>schizophrenia</v>
      </c>
      <c r="H1150" s="1" t="s">
        <v>701</v>
      </c>
      <c r="I1150" s="6" t="str">
        <f>IFERROR(__xludf.DUMMYFUNCTION("""COMPUTED_VALUE"""),"pushes")</f>
        <v>pushes</v>
      </c>
      <c r="S1150" s="1" t="s">
        <v>4112</v>
      </c>
      <c r="T1150" s="6" t="str">
        <f>IFERROR(__xludf.DUMMYFUNCTION("""COMPUTED_VALUE"""),"spring")</f>
        <v>spring</v>
      </c>
      <c r="W1150" s="8"/>
      <c r="AJ1150" s="1" t="s">
        <v>2284</v>
      </c>
      <c r="AM1150" s="1" t="s">
        <v>3605</v>
      </c>
    </row>
    <row r="1151">
      <c r="E1151" s="1" t="s">
        <v>4113</v>
      </c>
      <c r="F1151" s="6" t="str">
        <f>IFERROR(__xludf.DUMMYFUNCTION("""COMPUTED_VALUE"""),"captured")</f>
        <v>captured</v>
      </c>
      <c r="H1151" s="1" t="s">
        <v>3426</v>
      </c>
      <c r="I1151" s="6" t="str">
        <f>IFERROR(__xludf.DUMMYFUNCTION("""COMPUTED_VALUE"""),"eyre")</f>
        <v>eyre</v>
      </c>
      <c r="S1151" s="1" t="s">
        <v>4114</v>
      </c>
      <c r="T1151" s="6" t="str">
        <f>IFERROR(__xludf.DUMMYFUNCTION("""COMPUTED_VALUE"""),"gear")</f>
        <v>gear</v>
      </c>
      <c r="W1151" s="8"/>
      <c r="AJ1151" s="1" t="s">
        <v>4115</v>
      </c>
      <c r="AM1151" s="1" t="s">
        <v>4116</v>
      </c>
    </row>
    <row r="1152">
      <c r="E1152" s="1" t="s">
        <v>4117</v>
      </c>
      <c r="F1152" s="6" t="str">
        <f>IFERROR(__xludf.DUMMYFUNCTION("""COMPUTED_VALUE"""),"warfare")</f>
        <v>warfare</v>
      </c>
      <c r="H1152" s="1" t="s">
        <v>3430</v>
      </c>
      <c r="I1152" s="6" t="str">
        <f>IFERROR(__xludf.DUMMYFUNCTION("""COMPUTED_VALUE"""),"spike")</f>
        <v>spike</v>
      </c>
      <c r="S1152" s="1" t="s">
        <v>1753</v>
      </c>
      <c r="T1152" s="6" t="str">
        <f>IFERROR(__xludf.DUMMYFUNCTION("""COMPUTED_VALUE"""),"gap")</f>
        <v>gap</v>
      </c>
      <c r="W1152" s="8"/>
      <c r="AJ1152" s="1" t="s">
        <v>2287</v>
      </c>
      <c r="AM1152" s="1" t="s">
        <v>3905</v>
      </c>
    </row>
    <row r="1153">
      <c r="E1153" s="1" t="s">
        <v>4118</v>
      </c>
      <c r="F1153" s="6" t="str">
        <f>IFERROR(__xludf.DUMMYFUNCTION("""COMPUTED_VALUE"""),"lets")</f>
        <v>lets</v>
      </c>
      <c r="H1153" s="1" t="s">
        <v>1096</v>
      </c>
      <c r="I1153" s="6" t="str">
        <f>IFERROR(__xludf.DUMMYFUNCTION("""COMPUTED_VALUE"""),"catches")</f>
        <v>catches</v>
      </c>
      <c r="S1153" s="1" t="s">
        <v>2171</v>
      </c>
      <c r="T1153" s="6" t="str">
        <f>IFERROR(__xludf.DUMMYFUNCTION("""COMPUTED_VALUE"""),"technology")</f>
        <v>technology</v>
      </c>
      <c r="W1153" s="8"/>
      <c r="AJ1153" s="1" t="s">
        <v>3503</v>
      </c>
      <c r="AM1153" s="1" t="s">
        <v>2468</v>
      </c>
    </row>
    <row r="1154">
      <c r="E1154" s="1" t="s">
        <v>4119</v>
      </c>
      <c r="F1154" s="6" t="str">
        <f>IFERROR(__xludf.DUMMYFUNCTION("""COMPUTED_VALUE"""),"primarily")</f>
        <v>primarily</v>
      </c>
      <c r="H1154" s="1" t="s">
        <v>2351</v>
      </c>
      <c r="I1154" s="6" t="str">
        <f>IFERROR(__xludf.DUMMYFUNCTION("""COMPUTED_VALUE"""),"newcomer")</f>
        <v>newcomer</v>
      </c>
      <c r="S1154" s="1" t="s">
        <v>2630</v>
      </c>
      <c r="T1154" s="6" t="str">
        <f>IFERROR(__xludf.DUMMYFUNCTION("""COMPUTED_VALUE"""),"search")</f>
        <v>search</v>
      </c>
      <c r="W1154" s="8"/>
      <c r="AJ1154" s="1" t="s">
        <v>2290</v>
      </c>
      <c r="AM1154" s="1" t="s">
        <v>1177</v>
      </c>
    </row>
    <row r="1155">
      <c r="E1155" s="1" t="s">
        <v>2962</v>
      </c>
      <c r="F1155" s="6" t="str">
        <f>IFERROR(__xludf.DUMMYFUNCTION("""COMPUTED_VALUE"""),"brendan")</f>
        <v>brendan</v>
      </c>
      <c r="H1155" s="1" t="s">
        <v>788</v>
      </c>
      <c r="I1155" s="6" t="str">
        <f>IFERROR(__xludf.DUMMYFUNCTION("""COMPUTED_VALUE"""),"hoffman")</f>
        <v>hoffman</v>
      </c>
      <c r="S1155" s="1" t="s">
        <v>233</v>
      </c>
      <c r="T1155" s="6" t="str">
        <f>IFERROR(__xludf.DUMMYFUNCTION("""COMPUTED_VALUE"""),"albeit")</f>
        <v>albeit</v>
      </c>
      <c r="W1155" s="8"/>
      <c r="AJ1155" s="1" t="s">
        <v>2291</v>
      </c>
      <c r="AM1155" s="1" t="s">
        <v>2471</v>
      </c>
    </row>
    <row r="1156">
      <c r="E1156" s="1" t="s">
        <v>4015</v>
      </c>
      <c r="F1156" s="6" t="str">
        <f>IFERROR(__xludf.DUMMYFUNCTION("""COMPUTED_VALUE"""),"tuned")</f>
        <v>tuned</v>
      </c>
      <c r="H1156" s="1" t="s">
        <v>2359</v>
      </c>
      <c r="I1156" s="6" t="str">
        <f>IFERROR(__xludf.DUMMYFUNCTION("""COMPUTED_VALUE"""),"feat")</f>
        <v>feat</v>
      </c>
      <c r="S1156" s="1" t="s">
        <v>3847</v>
      </c>
      <c r="T1156" s="6" t="str">
        <f>IFERROR(__xludf.DUMMYFUNCTION("""COMPUTED_VALUE"""),"comparison")</f>
        <v>comparison</v>
      </c>
      <c r="W1156" s="8"/>
      <c r="AJ1156" s="1" t="s">
        <v>2294</v>
      </c>
      <c r="AM1156" s="1" t="s">
        <v>3614</v>
      </c>
    </row>
    <row r="1157">
      <c r="E1157" s="1" t="s">
        <v>4120</v>
      </c>
      <c r="F1157" s="6" t="str">
        <f>IFERROR(__xludf.DUMMYFUNCTION("""COMPUTED_VALUE"""),"raises")</f>
        <v>raises</v>
      </c>
      <c r="H1157" s="1" t="s">
        <v>2363</v>
      </c>
      <c r="I1157" s="6" t="str">
        <f>IFERROR(__xludf.DUMMYFUNCTION("""COMPUTED_VALUE"""),"charismatic")</f>
        <v>charismatic</v>
      </c>
      <c r="S1157" s="1" t="s">
        <v>312</v>
      </c>
      <c r="T1157" s="6" t="str">
        <f>IFERROR(__xludf.DUMMYFUNCTION("""COMPUTED_VALUE"""),"pop")</f>
        <v>pop</v>
      </c>
      <c r="W1157" s="8"/>
      <c r="AJ1157" s="1" t="s">
        <v>2297</v>
      </c>
      <c r="AM1157" s="1" t="s">
        <v>780</v>
      </c>
    </row>
    <row r="1158">
      <c r="E1158" s="1" t="s">
        <v>4121</v>
      </c>
      <c r="F1158" s="6" t="str">
        <f>IFERROR(__xludf.DUMMYFUNCTION("""COMPUTED_VALUE"""),"delivering")</f>
        <v>delivering</v>
      </c>
      <c r="H1158" s="1" t="s">
        <v>2371</v>
      </c>
      <c r="I1158" s="6" t="str">
        <f>IFERROR(__xludf.DUMMYFUNCTION("""COMPUTED_VALUE"""),"hunter")</f>
        <v>hunter</v>
      </c>
      <c r="S1158" s="1" t="s">
        <v>4122</v>
      </c>
      <c r="T1158" s="6" t="str">
        <f>IFERROR(__xludf.DUMMYFUNCTION("""COMPUTED_VALUE"""),"inspirational")</f>
        <v>inspirational</v>
      </c>
      <c r="W1158" s="8"/>
      <c r="AJ1158" s="1" t="s">
        <v>2301</v>
      </c>
      <c r="AM1158" s="1" t="s">
        <v>2497</v>
      </c>
    </row>
    <row r="1159">
      <c r="E1159" s="1" t="s">
        <v>2966</v>
      </c>
      <c r="F1159" s="6" t="str">
        <f>IFERROR(__xludf.DUMMYFUNCTION("""COMPUTED_VALUE"""),"brink")</f>
        <v>brink</v>
      </c>
      <c r="H1159" s="1" t="s">
        <v>2365</v>
      </c>
      <c r="I1159" s="6" t="str">
        <f>IFERROR(__xludf.DUMMYFUNCTION("""COMPUTED_VALUE"""),"harmless")</f>
        <v>harmless</v>
      </c>
      <c r="S1159" s="1" t="s">
        <v>3804</v>
      </c>
      <c r="T1159" s="6" t="str">
        <f>IFERROR(__xludf.DUMMYFUNCTION("""COMPUTED_VALUE"""),"status")</f>
        <v>status</v>
      </c>
      <c r="W1159" s="8"/>
      <c r="AJ1159" s="1" t="s">
        <v>4123</v>
      </c>
      <c r="AM1159" s="1" t="s">
        <v>3269</v>
      </c>
    </row>
    <row r="1160">
      <c r="E1160" s="1" t="s">
        <v>2969</v>
      </c>
      <c r="F1160" s="6" t="str">
        <f>IFERROR(__xludf.DUMMYFUNCTION("""COMPUTED_VALUE"""),"thick")</f>
        <v>thick</v>
      </c>
      <c r="H1160" s="1" t="s">
        <v>2375</v>
      </c>
      <c r="I1160" s="6" t="str">
        <f>IFERROR(__xludf.DUMMYFUNCTION("""COMPUTED_VALUE"""),"vulnerability")</f>
        <v>vulnerability</v>
      </c>
      <c r="S1160" s="1" t="s">
        <v>4124</v>
      </c>
      <c r="T1160" s="6" t="str">
        <f>IFERROR(__xludf.DUMMYFUNCTION("""COMPUTED_VALUE"""),"pat")</f>
        <v>pat</v>
      </c>
      <c r="W1160" s="8"/>
      <c r="AJ1160" s="1" t="s">
        <v>3506</v>
      </c>
      <c r="AM1160" s="1" t="s">
        <v>626</v>
      </c>
    </row>
    <row r="1161">
      <c r="E1161" s="1" t="s">
        <v>2972</v>
      </c>
      <c r="F1161" s="6" t="str">
        <f>IFERROR(__xludf.DUMMYFUNCTION("""COMPUTED_VALUE"""),"anguish")</f>
        <v>anguish</v>
      </c>
      <c r="H1161" s="1" t="s">
        <v>2366</v>
      </c>
      <c r="I1161" s="6" t="str">
        <f>IFERROR(__xludf.DUMMYFUNCTION("""COMPUTED_VALUE"""),"sweetness")</f>
        <v>sweetness</v>
      </c>
      <c r="S1161" s="1" t="s">
        <v>4125</v>
      </c>
      <c r="T1161" s="6" t="str">
        <f>IFERROR(__xludf.DUMMYFUNCTION("""COMPUTED_VALUE"""),"jerking")</f>
        <v>jerking</v>
      </c>
      <c r="W1161" s="8"/>
      <c r="AJ1161" s="1" t="s">
        <v>2305</v>
      </c>
      <c r="AM1161" s="1" t="s">
        <v>633</v>
      </c>
    </row>
    <row r="1162">
      <c r="E1162" s="1" t="s">
        <v>1522</v>
      </c>
      <c r="F1162" s="6" t="str">
        <f>IFERROR(__xludf.DUMMYFUNCTION("""COMPUTED_VALUE"""),"elusive")</f>
        <v>elusive</v>
      </c>
      <c r="H1162" s="1" t="s">
        <v>2323</v>
      </c>
      <c r="I1162" s="6" t="str">
        <f>IFERROR(__xludf.DUMMYFUNCTION("""COMPUTED_VALUE"""),"adequately")</f>
        <v>adequately</v>
      </c>
      <c r="S1162" s="1" t="s">
        <v>4126</v>
      </c>
      <c r="T1162" s="6" t="str">
        <f>IFERROR(__xludf.DUMMYFUNCTION("""COMPUTED_VALUE"""),"constraints")</f>
        <v>constraints</v>
      </c>
      <c r="W1162" s="8"/>
      <c r="AJ1162" s="1" t="s">
        <v>1206</v>
      </c>
      <c r="AM1162" s="1" t="s">
        <v>311</v>
      </c>
    </row>
    <row r="1163">
      <c r="E1163" s="1" t="s">
        <v>4127</v>
      </c>
      <c r="F1163" s="6" t="str">
        <f>IFERROR(__xludf.DUMMYFUNCTION("""COMPUTED_VALUE"""),"radical")</f>
        <v>radical</v>
      </c>
      <c r="H1163" s="1" t="s">
        <v>2373</v>
      </c>
      <c r="I1163" s="6" t="str">
        <f>IFERROR(__xludf.DUMMYFUNCTION("""COMPUTED_VALUE"""),"sack")</f>
        <v>sack</v>
      </c>
      <c r="S1163" s="1" t="s">
        <v>887</v>
      </c>
      <c r="T1163" s="6" t="str">
        <f>IFERROR(__xludf.DUMMYFUNCTION("""COMPUTED_VALUE"""),"outside")</f>
        <v>outside</v>
      </c>
      <c r="W1163" s="8"/>
      <c r="AJ1163" s="1" t="s">
        <v>1544</v>
      </c>
      <c r="AM1163" s="1" t="s">
        <v>1201</v>
      </c>
    </row>
    <row r="1164">
      <c r="E1164" s="1" t="s">
        <v>2979</v>
      </c>
      <c r="F1164" s="6" t="str">
        <f>IFERROR(__xludf.DUMMYFUNCTION("""COMPUTED_VALUE"""),"sterling")</f>
        <v>sterling</v>
      </c>
      <c r="H1164" s="1" t="s">
        <v>566</v>
      </c>
      <c r="I1164" s="6" t="str">
        <f>IFERROR(__xludf.DUMMYFUNCTION("""COMPUTED_VALUE"""),"dependent")</f>
        <v>dependent</v>
      </c>
      <c r="S1164" s="1" t="s">
        <v>4128</v>
      </c>
      <c r="T1164" s="6" t="str">
        <f>IFERROR(__xludf.DUMMYFUNCTION("""COMPUTED_VALUE"""),"attraction")</f>
        <v>attraction</v>
      </c>
      <c r="W1164" s="8"/>
      <c r="AJ1164" s="1" t="s">
        <v>4129</v>
      </c>
      <c r="AM1164" s="1" t="s">
        <v>2561</v>
      </c>
    </row>
    <row r="1165">
      <c r="E1165" s="1" t="s">
        <v>2773</v>
      </c>
      <c r="F1165" s="6" t="str">
        <f>IFERROR(__xludf.DUMMYFUNCTION("""COMPUTED_VALUE"""),"thrusts")</f>
        <v>thrusts</v>
      </c>
      <c r="H1165" s="1" t="s">
        <v>2391</v>
      </c>
      <c r="I1165" s="6" t="str">
        <f>IFERROR(__xludf.DUMMYFUNCTION("""COMPUTED_VALUE"""),"weave")</f>
        <v>weave</v>
      </c>
      <c r="S1165" s="1" t="s">
        <v>3682</v>
      </c>
      <c r="T1165" s="6" t="str">
        <f>IFERROR(__xludf.DUMMYFUNCTION("""COMPUTED_VALUE"""),"effect")</f>
        <v>effect</v>
      </c>
      <c r="W1165" s="8"/>
      <c r="AJ1165" s="1" t="s">
        <v>4130</v>
      </c>
      <c r="AM1165" s="1" t="s">
        <v>3313</v>
      </c>
    </row>
    <row r="1166">
      <c r="E1166" s="1" t="s">
        <v>2778</v>
      </c>
      <c r="F1166" s="6" t="str">
        <f>IFERROR(__xludf.DUMMYFUNCTION("""COMPUTED_VALUE"""),"backbone")</f>
        <v>backbone</v>
      </c>
      <c r="H1166" s="1" t="s">
        <v>99</v>
      </c>
      <c r="I1166" s="6" t="str">
        <f>IFERROR(__xludf.DUMMYFUNCTION("""COMPUTED_VALUE"""),"uncertain")</f>
        <v>uncertain</v>
      </c>
      <c r="S1166" s="1" t="s">
        <v>1558</v>
      </c>
      <c r="T1166" s="6" t="str">
        <f>IFERROR(__xludf.DUMMYFUNCTION("""COMPUTED_VALUE"""),"turkey")</f>
        <v>turkey</v>
      </c>
      <c r="W1166" s="8"/>
      <c r="AJ1166" s="1" t="s">
        <v>4131</v>
      </c>
      <c r="AM1166" s="1" t="s">
        <v>2393</v>
      </c>
    </row>
    <row r="1167">
      <c r="E1167" s="1" t="s">
        <v>1528</v>
      </c>
      <c r="F1167" s="6">
        <f>IFERROR(__xludf.DUMMYFUNCTION("""COMPUTED_VALUE"""),1993.0)</f>
        <v>1993</v>
      </c>
      <c r="H1167" s="1" t="s">
        <v>573</v>
      </c>
      <c r="I1167" s="6" t="str">
        <f>IFERROR(__xludf.DUMMYFUNCTION("""COMPUTED_VALUE"""),"battle")</f>
        <v>battle</v>
      </c>
      <c r="S1167" s="1" t="s">
        <v>4132</v>
      </c>
      <c r="T1167" s="6" t="str">
        <f>IFERROR(__xludf.DUMMYFUNCTION("""COMPUTED_VALUE"""),"cruelty")</f>
        <v>cruelty</v>
      </c>
      <c r="W1167" s="8"/>
      <c r="AJ1167" s="1" t="s">
        <v>3518</v>
      </c>
      <c r="AM1167" s="1" t="s">
        <v>2483</v>
      </c>
    </row>
    <row r="1168">
      <c r="E1168" s="1" t="s">
        <v>2990</v>
      </c>
      <c r="F1168" s="6" t="str">
        <f>IFERROR(__xludf.DUMMYFUNCTION("""COMPUTED_VALUE"""),"courageous")</f>
        <v>courageous</v>
      </c>
      <c r="H1168" s="1" t="s">
        <v>1114</v>
      </c>
      <c r="I1168" s="6" t="str">
        <f>IFERROR(__xludf.DUMMYFUNCTION("""COMPUTED_VALUE"""),"dreamed")</f>
        <v>dreamed</v>
      </c>
      <c r="S1168" s="1" t="s">
        <v>4133</v>
      </c>
      <c r="T1168" s="6" t="str">
        <f>IFERROR(__xludf.DUMMYFUNCTION("""COMPUTED_VALUE"""),"documented")</f>
        <v>documented</v>
      </c>
      <c r="W1168" s="8"/>
      <c r="AJ1168" s="1" t="s">
        <v>1210</v>
      </c>
      <c r="AM1168" s="1" t="s">
        <v>640</v>
      </c>
    </row>
    <row r="1169">
      <c r="E1169" s="1" t="s">
        <v>2785</v>
      </c>
      <c r="F1169" s="6" t="str">
        <f>IFERROR(__xludf.DUMMYFUNCTION("""COMPUTED_VALUE"""),"allegiance")</f>
        <v>allegiance</v>
      </c>
      <c r="H1169" s="1" t="s">
        <v>3989</v>
      </c>
      <c r="I1169" s="6" t="str">
        <f>IFERROR(__xludf.DUMMYFUNCTION("""COMPUTED_VALUE"""),"insulting")</f>
        <v>insulting</v>
      </c>
      <c r="S1169" s="1" t="s">
        <v>3624</v>
      </c>
      <c r="T1169" s="6" t="str">
        <f>IFERROR(__xludf.DUMMYFUNCTION("""COMPUTED_VALUE"""),"popcorn")</f>
        <v>popcorn</v>
      </c>
      <c r="W1169" s="8"/>
      <c r="AJ1169" s="1" t="s">
        <v>2311</v>
      </c>
      <c r="AM1169" s="1" t="s">
        <v>3633</v>
      </c>
    </row>
    <row r="1170">
      <c r="E1170" s="1" t="s">
        <v>4134</v>
      </c>
      <c r="F1170" s="6" t="str">
        <f>IFERROR(__xludf.DUMMYFUNCTION("""COMPUTED_VALUE"""),"pony")</f>
        <v>pony</v>
      </c>
      <c r="H1170" s="1" t="s">
        <v>3453</v>
      </c>
      <c r="I1170" s="6" t="str">
        <f>IFERROR(__xludf.DUMMYFUNCTION("""COMPUTED_VALUE"""),"morally")</f>
        <v>morally</v>
      </c>
      <c r="S1170" s="1" t="s">
        <v>2153</v>
      </c>
      <c r="T1170" s="6" t="str">
        <f>IFERROR(__xludf.DUMMYFUNCTION("""COMPUTED_VALUE"""),"english")</f>
        <v>english</v>
      </c>
      <c r="W1170" s="8"/>
      <c r="AJ1170" s="1" t="s">
        <v>4135</v>
      </c>
      <c r="AM1170" s="1" t="s">
        <v>2516</v>
      </c>
    </row>
    <row r="1171">
      <c r="E1171" s="1" t="s">
        <v>3293</v>
      </c>
      <c r="F1171" s="6" t="str">
        <f>IFERROR(__xludf.DUMMYFUNCTION("""COMPUTED_VALUE"""),"backlash")</f>
        <v>backlash</v>
      </c>
      <c r="H1171" s="1" t="s">
        <v>83</v>
      </c>
      <c r="I1171" s="6" t="str">
        <f>IFERROR(__xludf.DUMMYFUNCTION("""COMPUTED_VALUE"""),"latest")</f>
        <v>latest</v>
      </c>
      <c r="S1171" s="1" t="s">
        <v>3027</v>
      </c>
      <c r="T1171" s="6" t="str">
        <f>IFERROR(__xludf.DUMMYFUNCTION("""COMPUTED_VALUE"""),"america")</f>
        <v>america</v>
      </c>
      <c r="W1171" s="8"/>
      <c r="AJ1171" s="1" t="s">
        <v>2315</v>
      </c>
      <c r="AM1171" s="1" t="s">
        <v>2490</v>
      </c>
    </row>
    <row r="1172">
      <c r="E1172" s="1" t="s">
        <v>2998</v>
      </c>
      <c r="F1172" s="6" t="str">
        <f>IFERROR(__xludf.DUMMYFUNCTION("""COMPUTED_VALUE"""),"prominently")</f>
        <v>prominently</v>
      </c>
      <c r="H1172" s="1" t="s">
        <v>579</v>
      </c>
      <c r="I1172" s="6" t="str">
        <f>IFERROR(__xludf.DUMMYFUNCTION("""COMPUTED_VALUE"""),"racist")</f>
        <v>racist</v>
      </c>
      <c r="S1172" s="1" t="s">
        <v>3283</v>
      </c>
      <c r="T1172" s="6" t="str">
        <f>IFERROR(__xludf.DUMMYFUNCTION("""COMPUTED_VALUE"""),"russian")</f>
        <v>russian</v>
      </c>
      <c r="W1172" s="8"/>
      <c r="AJ1172" s="1" t="s">
        <v>1217</v>
      </c>
      <c r="AM1172" s="1" t="s">
        <v>4136</v>
      </c>
    </row>
    <row r="1173">
      <c r="E1173" s="1" t="s">
        <v>963</v>
      </c>
      <c r="F1173" s="6" t="str">
        <f>IFERROR(__xludf.DUMMYFUNCTION("""COMPUTED_VALUE"""),"exceeds")</f>
        <v>exceeds</v>
      </c>
      <c r="H1173" s="1" t="s">
        <v>3458</v>
      </c>
      <c r="I1173" s="6" t="str">
        <f>IFERROR(__xludf.DUMMYFUNCTION("""COMPUTED_VALUE"""),"editing")</f>
        <v>editing</v>
      </c>
      <c r="S1173" s="1" t="s">
        <v>1377</v>
      </c>
      <c r="T1173" s="6" t="str">
        <f>IFERROR(__xludf.DUMMYFUNCTION("""COMPUTED_VALUE"""),"randall")</f>
        <v>randall</v>
      </c>
      <c r="W1173" s="8"/>
      <c r="AJ1173" s="1" t="s">
        <v>1224</v>
      </c>
      <c r="AM1173" s="1" t="s">
        <v>2521</v>
      </c>
    </row>
    <row r="1174">
      <c r="E1174" s="1" t="s">
        <v>832</v>
      </c>
      <c r="F1174" s="6" t="str">
        <f>IFERROR(__xludf.DUMMYFUNCTION("""COMPUTED_VALUE"""),"immersed")</f>
        <v>immersed</v>
      </c>
      <c r="H1174" s="1" t="s">
        <v>3460</v>
      </c>
      <c r="I1174" s="6" t="str">
        <f>IFERROR(__xludf.DUMMYFUNCTION("""COMPUTED_VALUE"""),"strength")</f>
        <v>strength</v>
      </c>
      <c r="S1174" s="1" t="s">
        <v>802</v>
      </c>
      <c r="T1174" s="6" t="str">
        <f>IFERROR(__xludf.DUMMYFUNCTION("""COMPUTED_VALUE"""),"insights")</f>
        <v>insights</v>
      </c>
      <c r="W1174" s="8"/>
      <c r="AJ1174" s="1" t="s">
        <v>4137</v>
      </c>
      <c r="AM1174" s="1" t="s">
        <v>1205</v>
      </c>
    </row>
    <row r="1175">
      <c r="E1175" s="1" t="s">
        <v>838</v>
      </c>
      <c r="F1175" s="6" t="str">
        <f>IFERROR(__xludf.DUMMYFUNCTION("""COMPUTED_VALUE"""),"imagery")</f>
        <v>imagery</v>
      </c>
      <c r="H1175" s="1" t="s">
        <v>4138</v>
      </c>
      <c r="I1175" s="6" t="str">
        <f>IFERROR(__xludf.DUMMYFUNCTION("""COMPUTED_VALUE"""),"confident")</f>
        <v>confident</v>
      </c>
      <c r="S1175" s="1" t="s">
        <v>4139</v>
      </c>
      <c r="T1175" s="6" t="str">
        <f>IFERROR(__xludf.DUMMYFUNCTION("""COMPUTED_VALUE"""),"pushes")</f>
        <v>pushes</v>
      </c>
      <c r="W1175" s="8"/>
      <c r="AJ1175" s="1" t="s">
        <v>2324</v>
      </c>
      <c r="AM1175" s="1" t="s">
        <v>2493</v>
      </c>
    </row>
    <row r="1176">
      <c r="E1176" s="1" t="s">
        <v>2792</v>
      </c>
      <c r="F1176" s="6" t="str">
        <f>IFERROR(__xludf.DUMMYFUNCTION("""COMPUTED_VALUE"""),"vaguely")</f>
        <v>vaguely</v>
      </c>
      <c r="H1176" s="1" t="s">
        <v>4140</v>
      </c>
      <c r="I1176" s="6" t="str">
        <f>IFERROR(__xludf.DUMMYFUNCTION("""COMPUTED_VALUE"""),"scripts")</f>
        <v>scripts</v>
      </c>
      <c r="S1176" s="1" t="s">
        <v>2195</v>
      </c>
      <c r="T1176" s="6" t="str">
        <f>IFERROR(__xludf.DUMMYFUNCTION("""COMPUTED_VALUE"""),"holds")</f>
        <v>holds</v>
      </c>
      <c r="W1176" s="8"/>
      <c r="AJ1176" s="1" t="s">
        <v>3521</v>
      </c>
      <c r="AM1176" s="1" t="s">
        <v>2180</v>
      </c>
    </row>
    <row r="1177">
      <c r="E1177" s="1" t="s">
        <v>273</v>
      </c>
      <c r="F1177" s="6" t="str">
        <f>IFERROR(__xludf.DUMMYFUNCTION("""COMPUTED_VALUE"""),"intersect")</f>
        <v>intersect</v>
      </c>
      <c r="H1177" s="1" t="s">
        <v>4004</v>
      </c>
      <c r="I1177" s="6" t="str">
        <f>IFERROR(__xludf.DUMMYFUNCTION("""COMPUTED_VALUE"""),"abandon")</f>
        <v>abandon</v>
      </c>
      <c r="S1177" s="1" t="s">
        <v>2557</v>
      </c>
      <c r="T1177" s="6" t="str">
        <f>IFERROR(__xludf.DUMMYFUNCTION("""COMPUTED_VALUE"""),"spike")</f>
        <v>spike</v>
      </c>
      <c r="W1177" s="8"/>
      <c r="AJ1177" s="1" t="s">
        <v>1228</v>
      </c>
      <c r="AM1177" s="1" t="s">
        <v>4141</v>
      </c>
    </row>
    <row r="1178">
      <c r="E1178" s="1" t="s">
        <v>4142</v>
      </c>
      <c r="F1178" s="6" t="str">
        <f>IFERROR(__xludf.DUMMYFUNCTION("""COMPUTED_VALUE"""),"pitted")</f>
        <v>pitted</v>
      </c>
      <c r="H1178" s="1" t="s">
        <v>3463</v>
      </c>
      <c r="I1178" s="6" t="str">
        <f>IFERROR(__xludf.DUMMYFUNCTION("""COMPUTED_VALUE"""),"stephen")</f>
        <v>stephen</v>
      </c>
      <c r="S1178" s="1" t="s">
        <v>4143</v>
      </c>
      <c r="T1178" s="6" t="str">
        <f>IFERROR(__xludf.DUMMYFUNCTION("""COMPUTED_VALUE"""),"arguments")</f>
        <v>arguments</v>
      </c>
      <c r="W1178" s="8"/>
      <c r="AJ1178" s="1" t="s">
        <v>4144</v>
      </c>
      <c r="AM1178" s="1" t="s">
        <v>3649</v>
      </c>
    </row>
    <row r="1179">
      <c r="E1179" s="1" t="s">
        <v>4145</v>
      </c>
      <c r="F1179" s="6" t="str">
        <f>IFERROR(__xludf.DUMMYFUNCTION("""COMPUTED_VALUE"""),"shimmering")</f>
        <v>shimmering</v>
      </c>
      <c r="H1179" s="1" t="s">
        <v>3466</v>
      </c>
      <c r="I1179" s="6" t="str">
        <f>IFERROR(__xludf.DUMMYFUNCTION("""COMPUTED_VALUE"""),"richer")</f>
        <v>richer</v>
      </c>
      <c r="S1179" s="1" t="s">
        <v>1582</v>
      </c>
      <c r="T1179" s="6" t="str">
        <f>IFERROR(__xludf.DUMMYFUNCTION("""COMPUTED_VALUE"""),"catches")</f>
        <v>catches</v>
      </c>
      <c r="W1179" s="8"/>
      <c r="AJ1179" s="1" t="s">
        <v>1234</v>
      </c>
      <c r="AM1179" s="1" t="s">
        <v>4146</v>
      </c>
    </row>
    <row r="1180">
      <c r="E1180" s="1" t="s">
        <v>3013</v>
      </c>
      <c r="F1180" s="6" t="str">
        <f>IFERROR(__xludf.DUMMYFUNCTION("""COMPUTED_VALUE"""),"painting")</f>
        <v>painting</v>
      </c>
      <c r="H1180" s="1" t="s">
        <v>3470</v>
      </c>
      <c r="I1180" s="6" t="str">
        <f>IFERROR(__xludf.DUMMYFUNCTION("""COMPUTED_VALUE"""),"publishing")</f>
        <v>publishing</v>
      </c>
      <c r="S1180" s="1" t="s">
        <v>4147</v>
      </c>
      <c r="T1180" s="6" t="str">
        <f>IFERROR(__xludf.DUMMYFUNCTION("""COMPUTED_VALUE"""),"newcomer")</f>
        <v>newcomer</v>
      </c>
      <c r="W1180" s="8"/>
      <c r="AJ1180" s="1" t="s">
        <v>1240</v>
      </c>
      <c r="AM1180" s="1" t="s">
        <v>1643</v>
      </c>
    </row>
    <row r="1181">
      <c r="E1181" s="1" t="s">
        <v>4148</v>
      </c>
      <c r="F1181" s="6" t="str">
        <f>IFERROR(__xludf.DUMMYFUNCTION("""COMPUTED_VALUE"""),"adolescent")</f>
        <v>adolescent</v>
      </c>
      <c r="H1181" s="1" t="s">
        <v>2401</v>
      </c>
      <c r="I1181" s="6" t="str">
        <f>IFERROR(__xludf.DUMMYFUNCTION("""COMPUTED_VALUE"""),"hearst")</f>
        <v>hearst</v>
      </c>
      <c r="S1181" s="1" t="s">
        <v>962</v>
      </c>
      <c r="T1181" s="6" t="str">
        <f>IFERROR(__xludf.DUMMYFUNCTION("""COMPUTED_VALUE"""),"feat")</f>
        <v>feat</v>
      </c>
      <c r="W1181" s="8"/>
      <c r="AJ1181" s="1" t="s">
        <v>4149</v>
      </c>
      <c r="AM1181" s="1" t="s">
        <v>4150</v>
      </c>
    </row>
    <row r="1182">
      <c r="E1182" s="1" t="s">
        <v>4151</v>
      </c>
      <c r="F1182" s="6" t="str">
        <f>IFERROR(__xludf.DUMMYFUNCTION("""COMPUTED_VALUE"""),"shocks")</f>
        <v>shocks</v>
      </c>
      <c r="H1182" s="1" t="s">
        <v>3477</v>
      </c>
      <c r="I1182" s="6" t="str">
        <f>IFERROR(__xludf.DUMMYFUNCTION("""COMPUTED_VALUE"""),"william")</f>
        <v>william</v>
      </c>
      <c r="S1182" s="1" t="s">
        <v>2945</v>
      </c>
      <c r="T1182" s="6" t="str">
        <f>IFERROR(__xludf.DUMMYFUNCTION("""COMPUTED_VALUE"""),"charismatic")</f>
        <v>charismatic</v>
      </c>
      <c r="W1182" s="8"/>
      <c r="AJ1182" s="1" t="s">
        <v>2334</v>
      </c>
      <c r="AM1182" s="1" t="s">
        <v>2524</v>
      </c>
    </row>
    <row r="1183">
      <c r="E1183" s="1" t="s">
        <v>968</v>
      </c>
      <c r="F1183" s="6" t="str">
        <f>IFERROR(__xludf.DUMMYFUNCTION("""COMPUTED_VALUE"""),"marine")</f>
        <v>marine</v>
      </c>
      <c r="H1183" s="1" t="s">
        <v>2388</v>
      </c>
      <c r="I1183" s="6" t="str">
        <f>IFERROR(__xludf.DUMMYFUNCTION("""COMPUTED_VALUE"""),"hollow")</f>
        <v>hollow</v>
      </c>
      <c r="S1183" s="1" t="s">
        <v>4152</v>
      </c>
      <c r="T1183" s="6" t="str">
        <f>IFERROR(__xludf.DUMMYFUNCTION("""COMPUTED_VALUE"""),"rising")</f>
        <v>rising</v>
      </c>
      <c r="W1183" s="8"/>
      <c r="AJ1183" s="1" t="s">
        <v>1244</v>
      </c>
      <c r="AM1183" s="1" t="s">
        <v>4153</v>
      </c>
    </row>
    <row r="1184">
      <c r="E1184" s="1" t="s">
        <v>973</v>
      </c>
      <c r="F1184" s="6" t="str">
        <f>IFERROR(__xludf.DUMMYFUNCTION("""COMPUTED_VALUE"""),"padded")</f>
        <v>padded</v>
      </c>
      <c r="H1184" s="1" t="s">
        <v>2385</v>
      </c>
      <c r="I1184" s="6" t="str">
        <f>IFERROR(__xludf.DUMMYFUNCTION("""COMPUTED_VALUE"""),"beginnings")</f>
        <v>beginnings</v>
      </c>
      <c r="S1184" s="1" t="s">
        <v>4154</v>
      </c>
      <c r="T1184" s="6" t="str">
        <f>IFERROR(__xludf.DUMMYFUNCTION("""COMPUTED_VALUE"""),"jake")</f>
        <v>jake</v>
      </c>
      <c r="W1184" s="8"/>
      <c r="AJ1184" s="1" t="s">
        <v>1251</v>
      </c>
      <c r="AM1184" s="1" t="s">
        <v>259</v>
      </c>
    </row>
    <row r="1185">
      <c r="E1185" s="1" t="s">
        <v>4155</v>
      </c>
      <c r="F1185" s="6" t="str">
        <f>IFERROR(__xludf.DUMMYFUNCTION("""COMPUTED_VALUE"""),"propaganda")</f>
        <v>propaganda</v>
      </c>
      <c r="H1185" s="1" t="s">
        <v>2405</v>
      </c>
      <c r="I1185" s="6" t="str">
        <f>IFERROR(__xludf.DUMMYFUNCTION("""COMPUTED_VALUE"""),"burning")</f>
        <v>burning</v>
      </c>
      <c r="S1185" s="1" t="s">
        <v>4156</v>
      </c>
      <c r="T1185" s="6" t="str">
        <f>IFERROR(__xludf.DUMMYFUNCTION("""COMPUTED_VALUE"""),"harmless")</f>
        <v>harmless</v>
      </c>
      <c r="W1185" s="8"/>
      <c r="AJ1185" s="1" t="s">
        <v>1563</v>
      </c>
      <c r="AM1185" s="1" t="s">
        <v>1218</v>
      </c>
    </row>
    <row r="1186">
      <c r="E1186" s="1" t="s">
        <v>4157</v>
      </c>
      <c r="F1186" s="6" t="str">
        <f>IFERROR(__xludf.DUMMYFUNCTION("""COMPUTED_VALUE"""),"visuals")</f>
        <v>visuals</v>
      </c>
      <c r="H1186" s="1" t="s">
        <v>3487</v>
      </c>
      <c r="I1186" s="6" t="str">
        <f>IFERROR(__xludf.DUMMYFUNCTION("""COMPUTED_VALUE"""),"sincerity")</f>
        <v>sincerity</v>
      </c>
      <c r="S1186" s="1" t="s">
        <v>1586</v>
      </c>
      <c r="T1186" s="6" t="str">
        <f>IFERROR(__xludf.DUMMYFUNCTION("""COMPUTED_VALUE"""),"sweetness")</f>
        <v>sweetness</v>
      </c>
      <c r="W1186" s="8"/>
      <c r="AJ1186" s="1" t="s">
        <v>2341</v>
      </c>
      <c r="AM1186" s="1" t="s">
        <v>561</v>
      </c>
    </row>
    <row r="1187">
      <c r="E1187" s="1" t="s">
        <v>4158</v>
      </c>
      <c r="F1187" s="6" t="str">
        <f>IFERROR(__xludf.DUMMYFUNCTION("""COMPUTED_VALUE"""),"majestic")</f>
        <v>majestic</v>
      </c>
      <c r="H1187" s="1" t="s">
        <v>1242</v>
      </c>
      <c r="I1187" s="6" t="str">
        <f>IFERROR(__xludf.DUMMYFUNCTION("""COMPUTED_VALUE"""),"sympathy")</f>
        <v>sympathy</v>
      </c>
      <c r="S1187" s="1" t="s">
        <v>4159</v>
      </c>
      <c r="T1187" s="6" t="str">
        <f>IFERROR(__xludf.DUMMYFUNCTION("""COMPUTED_VALUE"""),"miraculous")</f>
        <v>miraculous</v>
      </c>
      <c r="W1187" s="8"/>
      <c r="AJ1187" s="1" t="s">
        <v>1259</v>
      </c>
      <c r="AM1187" s="1" t="s">
        <v>2537</v>
      </c>
    </row>
    <row r="1188">
      <c r="E1188" s="1" t="s">
        <v>844</v>
      </c>
      <c r="F1188" s="6" t="str">
        <f>IFERROR(__xludf.DUMMYFUNCTION("""COMPUTED_VALUE"""),"directorial")</f>
        <v>directorial</v>
      </c>
      <c r="H1188" s="1" t="s">
        <v>706</v>
      </c>
      <c r="I1188" s="6" t="str">
        <f>IFERROR(__xludf.DUMMYFUNCTION("""COMPUTED_VALUE"""),"unchanged")</f>
        <v>unchanged</v>
      </c>
      <c r="S1188" s="1" t="s">
        <v>2214</v>
      </c>
      <c r="T1188" s="6" t="str">
        <f>IFERROR(__xludf.DUMMYFUNCTION("""COMPUTED_VALUE"""),"adequately")</f>
        <v>adequately</v>
      </c>
      <c r="W1188" s="8"/>
      <c r="AJ1188" s="1" t="s">
        <v>4160</v>
      </c>
      <c r="AM1188" s="1" t="s">
        <v>2538</v>
      </c>
    </row>
    <row r="1189">
      <c r="E1189" s="1" t="s">
        <v>1765</v>
      </c>
      <c r="F1189" s="6" t="str">
        <f>IFERROR(__xludf.DUMMYFUNCTION("""COMPUTED_VALUE"""),"treasure")</f>
        <v>treasure</v>
      </c>
      <c r="H1189" s="1" t="s">
        <v>3496</v>
      </c>
      <c r="I1189" s="6" t="str">
        <f>IFERROR(__xludf.DUMMYFUNCTION("""COMPUTED_VALUE"""),"portrayed")</f>
        <v>portrayed</v>
      </c>
      <c r="S1189" s="1" t="s">
        <v>4161</v>
      </c>
      <c r="T1189" s="6" t="str">
        <f>IFERROR(__xludf.DUMMYFUNCTION("""COMPUTED_VALUE"""),"sack")</f>
        <v>sack</v>
      </c>
      <c r="W1189" s="8"/>
      <c r="AJ1189" s="1" t="s">
        <v>4162</v>
      </c>
      <c r="AM1189" s="1" t="s">
        <v>4163</v>
      </c>
    </row>
    <row r="1190">
      <c r="E1190" s="1" t="s">
        <v>1362</v>
      </c>
      <c r="F1190" s="6" t="str">
        <f>IFERROR(__xludf.DUMMYFUNCTION("""COMPUTED_VALUE"""),"concern")</f>
        <v>concern</v>
      </c>
      <c r="H1190" s="1" t="s">
        <v>658</v>
      </c>
      <c r="I1190" s="6" t="str">
        <f>IFERROR(__xludf.DUMMYFUNCTION("""COMPUTED_VALUE"""),"groundbreaking")</f>
        <v>groundbreaking</v>
      </c>
      <c r="S1190" s="1" t="s">
        <v>396</v>
      </c>
      <c r="T1190" s="6" t="str">
        <f>IFERROR(__xludf.DUMMYFUNCTION("""COMPUTED_VALUE"""),"dependent")</f>
        <v>dependent</v>
      </c>
      <c r="W1190" s="8"/>
      <c r="AJ1190" s="1" t="s">
        <v>4164</v>
      </c>
      <c r="AM1190" s="1" t="s">
        <v>4165</v>
      </c>
    </row>
    <row r="1191">
      <c r="E1191" s="1" t="s">
        <v>4166</v>
      </c>
      <c r="F1191" s="6" t="str">
        <f>IFERROR(__xludf.DUMMYFUNCTION("""COMPUTED_VALUE"""),"puppets")</f>
        <v>puppets</v>
      </c>
      <c r="H1191" s="1" t="s">
        <v>3499</v>
      </c>
      <c r="I1191" s="6" t="str">
        <f>IFERROR(__xludf.DUMMYFUNCTION("""COMPUTED_VALUE"""),"endeavor")</f>
        <v>endeavor</v>
      </c>
      <c r="S1191" s="1" t="s">
        <v>2164</v>
      </c>
      <c r="T1191" s="6" t="str">
        <f>IFERROR(__xludf.DUMMYFUNCTION("""COMPUTED_VALUE"""),"eerie")</f>
        <v>eerie</v>
      </c>
      <c r="W1191" s="8"/>
      <c r="AJ1191" s="1" t="s">
        <v>251</v>
      </c>
      <c r="AM1191" s="1" t="s">
        <v>4167</v>
      </c>
    </row>
    <row r="1192">
      <c r="E1192" s="1" t="s">
        <v>849</v>
      </c>
      <c r="F1192" s="6" t="str">
        <f>IFERROR(__xludf.DUMMYFUNCTION("""COMPUTED_VALUE"""),"bear")</f>
        <v>bear</v>
      </c>
      <c r="H1192" s="1" t="s">
        <v>2408</v>
      </c>
      <c r="I1192" s="6" t="str">
        <f>IFERROR(__xludf.DUMMYFUNCTION("""COMPUTED_VALUE"""),"spectacular")</f>
        <v>spectacular</v>
      </c>
      <c r="S1192" s="1" t="s">
        <v>1065</v>
      </c>
      <c r="T1192" s="6" t="str">
        <f>IFERROR(__xludf.DUMMYFUNCTION("""COMPUTED_VALUE"""),"night")</f>
        <v>night</v>
      </c>
      <c r="W1192" s="8"/>
      <c r="AJ1192" s="1" t="s">
        <v>1270</v>
      </c>
      <c r="AM1192" s="1" t="s">
        <v>4168</v>
      </c>
    </row>
    <row r="1193">
      <c r="E1193" s="1" t="s">
        <v>4169</v>
      </c>
      <c r="F1193" s="6" t="str">
        <f>IFERROR(__xludf.DUMMYFUNCTION("""COMPUTED_VALUE"""),"advantage")</f>
        <v>advantage</v>
      </c>
      <c r="H1193" s="1" t="s">
        <v>2411</v>
      </c>
      <c r="I1193" s="6" t="str">
        <f>IFERROR(__xludf.DUMMYFUNCTION("""COMPUTED_VALUE"""),"musicals")</f>
        <v>musicals</v>
      </c>
      <c r="S1193" s="1">
        <v>100.0</v>
      </c>
      <c r="T1193" s="6" t="str">
        <f>IFERROR(__xludf.DUMMYFUNCTION("""COMPUTED_VALUE"""),"weave")</f>
        <v>weave</v>
      </c>
      <c r="W1193" s="8"/>
      <c r="AJ1193" s="1" t="s">
        <v>1277</v>
      </c>
      <c r="AM1193" s="1" t="s">
        <v>4170</v>
      </c>
    </row>
    <row r="1194">
      <c r="E1194" s="1" t="s">
        <v>1573</v>
      </c>
      <c r="F1194" s="6" t="str">
        <f>IFERROR(__xludf.DUMMYFUNCTION("""COMPUTED_VALUE"""),"futile")</f>
        <v>futile</v>
      </c>
      <c r="H1194" s="1" t="s">
        <v>4171</v>
      </c>
      <c r="I1194" s="6">
        <f>IFERROR(__xludf.DUMMYFUNCTION("""COMPUTED_VALUE"""),30.0)</f>
        <v>30</v>
      </c>
      <c r="S1194" s="1" t="s">
        <v>3443</v>
      </c>
      <c r="T1194" s="6" t="str">
        <f>IFERROR(__xludf.DUMMYFUNCTION("""COMPUTED_VALUE"""),"uncertain")</f>
        <v>uncertain</v>
      </c>
      <c r="W1194" s="8"/>
      <c r="AJ1194" s="1" t="s">
        <v>2353</v>
      </c>
      <c r="AM1194" s="1" t="s">
        <v>4172</v>
      </c>
    </row>
    <row r="1195">
      <c r="E1195" s="1" t="s">
        <v>4173</v>
      </c>
      <c r="F1195" s="6" t="str">
        <f>IFERROR(__xludf.DUMMYFUNCTION("""COMPUTED_VALUE"""),"happens")</f>
        <v>happens</v>
      </c>
      <c r="H1195" s="1" t="s">
        <v>2066</v>
      </c>
      <c r="I1195" s="6" t="str">
        <f>IFERROR(__xludf.DUMMYFUNCTION("""COMPUTED_VALUE"""),"sensual")</f>
        <v>sensual</v>
      </c>
      <c r="S1195" s="1" t="s">
        <v>4174</v>
      </c>
      <c r="T1195" s="6" t="str">
        <f>IFERROR(__xludf.DUMMYFUNCTION("""COMPUTED_VALUE"""),"battle")</f>
        <v>battle</v>
      </c>
      <c r="W1195" s="8"/>
      <c r="AJ1195" s="1" t="s">
        <v>2356</v>
      </c>
      <c r="AM1195" s="1" t="s">
        <v>1289</v>
      </c>
    </row>
    <row r="1196">
      <c r="E1196" s="1" t="s">
        <v>666</v>
      </c>
      <c r="F1196" s="6" t="str">
        <f>IFERROR(__xludf.DUMMYFUNCTION("""COMPUTED_VALUE"""),"misery")</f>
        <v>misery</v>
      </c>
      <c r="H1196" s="1" t="s">
        <v>2624</v>
      </c>
      <c r="I1196" s="6" t="str">
        <f>IFERROR(__xludf.DUMMYFUNCTION("""COMPUTED_VALUE"""),"cerebral")</f>
        <v>cerebral</v>
      </c>
      <c r="S1196" s="1" t="s">
        <v>3580</v>
      </c>
      <c r="T1196" s="6" t="str">
        <f>IFERROR(__xludf.DUMMYFUNCTION("""COMPUTED_VALUE"""),"present")</f>
        <v>present</v>
      </c>
      <c r="W1196" s="8"/>
      <c r="AJ1196" s="1" t="s">
        <v>1284</v>
      </c>
      <c r="AM1196" s="1" t="s">
        <v>4175</v>
      </c>
    </row>
    <row r="1197">
      <c r="E1197" s="1" t="s">
        <v>4176</v>
      </c>
      <c r="F1197" s="6" t="str">
        <f>IFERROR(__xludf.DUMMYFUNCTION("""COMPUTED_VALUE"""),"willingness")</f>
        <v>willingness</v>
      </c>
      <c r="H1197" s="1" t="s">
        <v>4177</v>
      </c>
      <c r="I1197" s="6" t="str">
        <f>IFERROR(__xludf.DUMMYFUNCTION("""COMPUTED_VALUE"""),"prism")</f>
        <v>prism</v>
      </c>
      <c r="S1197" s="1" t="s">
        <v>4178</v>
      </c>
      <c r="T1197" s="6" t="str">
        <f>IFERROR(__xludf.DUMMYFUNCTION("""COMPUTED_VALUE"""),"dreamed")</f>
        <v>dreamed</v>
      </c>
      <c r="W1197" s="8"/>
      <c r="AJ1197" s="1" t="s">
        <v>4179</v>
      </c>
      <c r="AM1197" s="1" t="s">
        <v>3669</v>
      </c>
    </row>
    <row r="1198">
      <c r="E1198" s="1" t="s">
        <v>982</v>
      </c>
      <c r="F1198" s="6" t="str">
        <f>IFERROR(__xludf.DUMMYFUNCTION("""COMPUTED_VALUE"""),"pity")</f>
        <v>pity</v>
      </c>
      <c r="H1198" s="1" t="s">
        <v>713</v>
      </c>
      <c r="I1198" s="6" t="str">
        <f>IFERROR(__xludf.DUMMYFUNCTION("""COMPUTED_VALUE"""),"themes")</f>
        <v>themes</v>
      </c>
      <c r="S1198" s="1" t="s">
        <v>4038</v>
      </c>
      <c r="T1198" s="6" t="str">
        <f>IFERROR(__xludf.DUMMYFUNCTION("""COMPUTED_VALUE"""),"placement")</f>
        <v>placement</v>
      </c>
      <c r="W1198" s="8"/>
      <c r="AJ1198" s="1" t="s">
        <v>675</v>
      </c>
      <c r="AM1198" s="1" t="s">
        <v>2502</v>
      </c>
    </row>
    <row r="1199">
      <c r="E1199" s="1" t="s">
        <v>4180</v>
      </c>
      <c r="F1199" s="6" t="str">
        <f>IFERROR(__xludf.DUMMYFUNCTION("""COMPUTED_VALUE"""),"campus")</f>
        <v>campus</v>
      </c>
      <c r="H1199" s="1" t="s">
        <v>2423</v>
      </c>
      <c r="I1199" s="6" t="str">
        <f>IFERROR(__xludf.DUMMYFUNCTION("""COMPUTED_VALUE"""),"inherently")</f>
        <v>inherently</v>
      </c>
      <c r="S1199" s="1" t="s">
        <v>2383</v>
      </c>
      <c r="T1199" s="6" t="str">
        <f>IFERROR(__xludf.DUMMYFUNCTION("""COMPUTED_VALUE"""),"morally")</f>
        <v>morally</v>
      </c>
      <c r="W1199" s="8"/>
      <c r="AJ1199" s="1" t="s">
        <v>4181</v>
      </c>
      <c r="AM1199" s="1" t="s">
        <v>774</v>
      </c>
    </row>
    <row r="1200">
      <c r="E1200" s="1" t="s">
        <v>4182</v>
      </c>
      <c r="F1200" s="6" t="str">
        <f>IFERROR(__xludf.DUMMYFUNCTION("""COMPUTED_VALUE"""),"bertrand")</f>
        <v>bertrand</v>
      </c>
      <c r="H1200" s="1" t="s">
        <v>4183</v>
      </c>
      <c r="I1200" s="6" t="str">
        <f>IFERROR(__xludf.DUMMYFUNCTION("""COMPUTED_VALUE"""),"innocent")</f>
        <v>innocent</v>
      </c>
      <c r="S1200" s="1" t="s">
        <v>4184</v>
      </c>
      <c r="T1200" s="6" t="str">
        <f>IFERROR(__xludf.DUMMYFUNCTION("""COMPUTED_VALUE"""),"veil")</f>
        <v>veil</v>
      </c>
      <c r="W1200" s="8"/>
      <c r="AJ1200" s="1" t="s">
        <v>3563</v>
      </c>
      <c r="AM1200" s="1" t="s">
        <v>2546</v>
      </c>
    </row>
    <row r="1201">
      <c r="E1201" s="1" t="s">
        <v>1579</v>
      </c>
      <c r="F1201" s="6" t="str">
        <f>IFERROR(__xludf.DUMMYFUNCTION("""COMPUTED_VALUE"""),"wears")</f>
        <v>wears</v>
      </c>
      <c r="H1201" s="1" t="s">
        <v>4043</v>
      </c>
      <c r="I1201" s="6" t="str">
        <f>IFERROR(__xludf.DUMMYFUNCTION("""COMPUTED_VALUE"""),"betrayal")</f>
        <v>betrayal</v>
      </c>
      <c r="S1201" s="1" t="s">
        <v>933</v>
      </c>
      <c r="T1201" s="6" t="str">
        <f>IFERROR(__xludf.DUMMYFUNCTION("""COMPUTED_VALUE"""),"releases")</f>
        <v>releases</v>
      </c>
      <c r="W1201" s="8"/>
      <c r="AJ1201" s="1" t="s">
        <v>4185</v>
      </c>
      <c r="AM1201" s="1" t="s">
        <v>820</v>
      </c>
    </row>
    <row r="1202">
      <c r="E1202" s="1" t="s">
        <v>4186</v>
      </c>
      <c r="F1202" s="6" t="str">
        <f>IFERROR(__xludf.DUMMYFUNCTION("""COMPUTED_VALUE"""),"intimacy")</f>
        <v>intimacy</v>
      </c>
      <c r="H1202" s="1" t="s">
        <v>4045</v>
      </c>
      <c r="I1202" s="6" t="str">
        <f>IFERROR(__xludf.DUMMYFUNCTION("""COMPUTED_VALUE"""),"panic")</f>
        <v>panic</v>
      </c>
      <c r="S1202" s="1" t="s">
        <v>4155</v>
      </c>
      <c r="T1202" s="6" t="str">
        <f>IFERROR(__xludf.DUMMYFUNCTION("""COMPUTED_VALUE"""),"latest")</f>
        <v>latest</v>
      </c>
      <c r="W1202" s="8"/>
      <c r="AJ1202" s="1" t="s">
        <v>4187</v>
      </c>
      <c r="AM1202" s="1" t="s">
        <v>3680</v>
      </c>
    </row>
    <row r="1203">
      <c r="E1203" s="1" t="s">
        <v>986</v>
      </c>
      <c r="F1203" s="6" t="str">
        <f>IFERROR(__xludf.DUMMYFUNCTION("""COMPUTED_VALUE"""),"sermon")</f>
        <v>sermon</v>
      </c>
      <c r="H1203" s="1" t="s">
        <v>2414</v>
      </c>
      <c r="I1203" s="6" t="str">
        <f>IFERROR(__xludf.DUMMYFUNCTION("""COMPUTED_VALUE"""),"interested")</f>
        <v>interested</v>
      </c>
      <c r="S1203" s="1" t="s">
        <v>4188</v>
      </c>
      <c r="T1203" s="6" t="str">
        <f>IFERROR(__xludf.DUMMYFUNCTION("""COMPUTED_VALUE"""),"editing")</f>
        <v>editing</v>
      </c>
      <c r="W1203" s="8"/>
      <c r="AJ1203" s="1" t="s">
        <v>1581</v>
      </c>
      <c r="AM1203" s="1" t="s">
        <v>2506</v>
      </c>
    </row>
    <row r="1204">
      <c r="E1204" s="1" t="s">
        <v>3045</v>
      </c>
      <c r="F1204" s="6" t="str">
        <f>IFERROR(__xludf.DUMMYFUNCTION("""COMPUTED_VALUE"""),"continuation")</f>
        <v>continuation</v>
      </c>
      <c r="H1204" s="1" t="s">
        <v>81</v>
      </c>
      <c r="I1204" s="6" t="str">
        <f>IFERROR(__xludf.DUMMYFUNCTION("""COMPUTED_VALUE"""),"glued")</f>
        <v>glued</v>
      </c>
      <c r="S1204" s="1" t="b">
        <v>1</v>
      </c>
      <c r="T1204" s="6" t="str">
        <f>IFERROR(__xludf.DUMMYFUNCTION("""COMPUTED_VALUE"""),"cheaper")</f>
        <v>cheaper</v>
      </c>
      <c r="W1204" s="8"/>
      <c r="AJ1204" s="1" t="s">
        <v>994</v>
      </c>
      <c r="AM1204" s="1" t="s">
        <v>2510</v>
      </c>
    </row>
    <row r="1205">
      <c r="E1205" s="1" t="s">
        <v>4189</v>
      </c>
      <c r="F1205" s="6" t="str">
        <f>IFERROR(__xludf.DUMMYFUNCTION("""COMPUTED_VALUE"""),"sentiments")</f>
        <v>sentiments</v>
      </c>
      <c r="H1205" s="1" t="s">
        <v>2430</v>
      </c>
      <c r="I1205" s="6" t="str">
        <f>IFERROR(__xludf.DUMMYFUNCTION("""COMPUTED_VALUE"""),"manage")</f>
        <v>manage</v>
      </c>
      <c r="S1205" s="1" t="s">
        <v>1932</v>
      </c>
      <c r="T1205" s="6" t="str">
        <f>IFERROR(__xludf.DUMMYFUNCTION("""COMPUTED_VALUE"""),"strength")</f>
        <v>strength</v>
      </c>
      <c r="W1205" s="8"/>
      <c r="AJ1205" s="1" t="s">
        <v>1295</v>
      </c>
      <c r="AM1205" s="1" t="s">
        <v>4190</v>
      </c>
    </row>
    <row r="1206">
      <c r="E1206" s="1" t="s">
        <v>4191</v>
      </c>
      <c r="F1206" s="6" t="str">
        <f>IFERROR(__xludf.DUMMYFUNCTION("""COMPUTED_VALUE"""),"alabama")</f>
        <v>alabama</v>
      </c>
      <c r="H1206" s="1" t="s">
        <v>4051</v>
      </c>
      <c r="I1206" s="6" t="str">
        <f>IFERROR(__xludf.DUMMYFUNCTION("""COMPUTED_VALUE"""),"accuse")</f>
        <v>accuse</v>
      </c>
      <c r="S1206" s="1" t="s">
        <v>4192</v>
      </c>
      <c r="T1206" s="6" t="str">
        <f>IFERROR(__xludf.DUMMYFUNCTION("""COMPUTED_VALUE"""),"scripts")</f>
        <v>scripts</v>
      </c>
      <c r="W1206" s="8"/>
      <c r="AJ1206" s="1" t="s">
        <v>2367</v>
      </c>
      <c r="AM1206" s="1" t="s">
        <v>4193</v>
      </c>
    </row>
    <row r="1207">
      <c r="E1207" s="1" t="s">
        <v>992</v>
      </c>
      <c r="F1207" s="6" t="str">
        <f>IFERROR(__xludf.DUMMYFUNCTION("""COMPUTED_VALUE"""),"producer")</f>
        <v>producer</v>
      </c>
      <c r="H1207" s="1" t="s">
        <v>586</v>
      </c>
      <c r="I1207" s="6" t="str">
        <f>IFERROR(__xludf.DUMMYFUNCTION("""COMPUTED_VALUE"""),"wants")</f>
        <v>wants</v>
      </c>
      <c r="S1207" s="1" t="s">
        <v>2272</v>
      </c>
      <c r="T1207" s="6" t="str">
        <f>IFERROR(__xludf.DUMMYFUNCTION("""COMPUTED_VALUE"""),"abandon")</f>
        <v>abandon</v>
      </c>
      <c r="W1207" s="8"/>
      <c r="AJ1207" s="1" t="s">
        <v>4194</v>
      </c>
      <c r="AM1207" s="1" t="s">
        <v>2513</v>
      </c>
    </row>
    <row r="1208">
      <c r="E1208" s="1" t="s">
        <v>2542</v>
      </c>
      <c r="F1208" s="6" t="str">
        <f>IFERROR(__xludf.DUMMYFUNCTION("""COMPUTED_VALUE"""),"estranged")</f>
        <v>estranged</v>
      </c>
      <c r="H1208" s="1" t="s">
        <v>721</v>
      </c>
      <c r="I1208" s="6" t="str">
        <f>IFERROR(__xludf.DUMMYFUNCTION("""COMPUTED_VALUE"""),"pow")</f>
        <v>pow</v>
      </c>
      <c r="S1208" s="1" t="s">
        <v>4195</v>
      </c>
      <c r="T1208" s="6" t="str">
        <f>IFERROR(__xludf.DUMMYFUNCTION("""COMPUTED_VALUE"""),"directors")</f>
        <v>directors</v>
      </c>
      <c r="W1208" s="8"/>
      <c r="AJ1208" s="1" t="s">
        <v>2370</v>
      </c>
      <c r="AM1208" s="1" t="s">
        <v>2522</v>
      </c>
    </row>
    <row r="1209">
      <c r="E1209" s="1" t="s">
        <v>854</v>
      </c>
      <c r="F1209" s="6" t="str">
        <f>IFERROR(__xludf.DUMMYFUNCTION("""COMPUTED_VALUE"""),"incapable")</f>
        <v>incapable</v>
      </c>
      <c r="H1209" s="1" t="s">
        <v>2421</v>
      </c>
      <c r="I1209" s="6" t="str">
        <f>IFERROR(__xludf.DUMMYFUNCTION("""COMPUTED_VALUE"""),"african")</f>
        <v>african</v>
      </c>
      <c r="S1209" s="1" t="s">
        <v>4196</v>
      </c>
      <c r="T1209" s="6" t="str">
        <f>IFERROR(__xludf.DUMMYFUNCTION("""COMPUTED_VALUE"""),"fact")</f>
        <v>fact</v>
      </c>
      <c r="W1209" s="8"/>
      <c r="AJ1209" s="1" t="s">
        <v>1073</v>
      </c>
      <c r="AM1209" s="1" t="s">
        <v>2526</v>
      </c>
    </row>
    <row r="1210">
      <c r="E1210" s="1" t="s">
        <v>2821</v>
      </c>
      <c r="F1210" s="6" t="str">
        <f>IFERROR(__xludf.DUMMYFUNCTION("""COMPUTED_VALUE"""),"acclaim")</f>
        <v>acclaim</v>
      </c>
      <c r="H1210" s="1" t="s">
        <v>738</v>
      </c>
      <c r="I1210" s="6" t="str">
        <f>IFERROR(__xludf.DUMMYFUNCTION("""COMPUTED_VALUE"""),"odds")</f>
        <v>odds</v>
      </c>
      <c r="S1210" s="1" t="s">
        <v>4197</v>
      </c>
      <c r="T1210" s="6" t="str">
        <f>IFERROR(__xludf.DUMMYFUNCTION("""COMPUTED_VALUE"""),"richer")</f>
        <v>richer</v>
      </c>
      <c r="W1210" s="8"/>
      <c r="AJ1210" s="1" t="s">
        <v>1300</v>
      </c>
      <c r="AM1210" s="1" t="s">
        <v>654</v>
      </c>
    </row>
    <row r="1211">
      <c r="E1211" s="1" t="s">
        <v>3048</v>
      </c>
      <c r="F1211" s="6" t="str">
        <f>IFERROR(__xludf.DUMMYFUNCTION("""COMPUTED_VALUE"""),"famine")</f>
        <v>famine</v>
      </c>
      <c r="H1211" s="1" t="s">
        <v>3527</v>
      </c>
      <c r="I1211" s="6" t="str">
        <f>IFERROR(__xludf.DUMMYFUNCTION("""COMPUTED_VALUE"""),"verve")</f>
        <v>verve</v>
      </c>
      <c r="S1211" s="1" t="s">
        <v>4198</v>
      </c>
      <c r="T1211" s="6" t="str">
        <f>IFERROR(__xludf.DUMMYFUNCTION("""COMPUTED_VALUE"""),"hollow")</f>
        <v>hollow</v>
      </c>
      <c r="W1211" s="8"/>
      <c r="AJ1211" s="1" t="s">
        <v>2379</v>
      </c>
      <c r="AM1211" s="1" t="s">
        <v>1118</v>
      </c>
    </row>
    <row r="1212">
      <c r="E1212" s="1" t="s">
        <v>637</v>
      </c>
      <c r="F1212" s="6" t="str">
        <f>IFERROR(__xludf.DUMMYFUNCTION("""COMPUTED_VALUE"""),"disguised")</f>
        <v>disguised</v>
      </c>
      <c r="H1212" s="1" t="s">
        <v>2443</v>
      </c>
      <c r="I1212" s="6" t="str">
        <f>IFERROR(__xludf.DUMMYFUNCTION("""COMPUTED_VALUE"""),"rise")</f>
        <v>rise</v>
      </c>
      <c r="S1212" s="1" t="s">
        <v>2994</v>
      </c>
      <c r="T1212" s="6" t="str">
        <f>IFERROR(__xludf.DUMMYFUNCTION("""COMPUTED_VALUE"""),"beginnings")</f>
        <v>beginnings</v>
      </c>
      <c r="W1212" s="8"/>
      <c r="AJ1212" s="1" t="s">
        <v>4199</v>
      </c>
      <c r="AM1212" s="1" t="s">
        <v>661</v>
      </c>
    </row>
    <row r="1213">
      <c r="E1213" s="1" t="s">
        <v>2826</v>
      </c>
      <c r="F1213" s="6" t="str">
        <f>IFERROR(__xludf.DUMMYFUNCTION("""COMPUTED_VALUE"""),"troubled")</f>
        <v>troubled</v>
      </c>
      <c r="H1213" s="1" t="s">
        <v>4059</v>
      </c>
      <c r="I1213" s="6" t="str">
        <f>IFERROR(__xludf.DUMMYFUNCTION("""COMPUTED_VALUE"""),"broadway")</f>
        <v>broadway</v>
      </c>
      <c r="S1213" s="1" t="s">
        <v>4200</v>
      </c>
      <c r="T1213" s="6" t="str">
        <f>IFERROR(__xludf.DUMMYFUNCTION("""COMPUTED_VALUE"""),"list")</f>
        <v>list</v>
      </c>
      <c r="W1213" s="8"/>
      <c r="AJ1213" s="1" t="s">
        <v>4201</v>
      </c>
      <c r="AM1213" s="1" t="s">
        <v>2531</v>
      </c>
    </row>
    <row r="1214">
      <c r="E1214" s="1" t="s">
        <v>2355</v>
      </c>
      <c r="F1214" s="6" t="str">
        <f>IFERROR(__xludf.DUMMYFUNCTION("""COMPUTED_VALUE"""),"sly")</f>
        <v>sly</v>
      </c>
      <c r="H1214" s="1" t="s">
        <v>2446</v>
      </c>
      <c r="I1214" s="6" t="str">
        <f>IFERROR(__xludf.DUMMYFUNCTION("""COMPUTED_VALUE"""),"jolly")</f>
        <v>jolly</v>
      </c>
      <c r="S1214" s="1" t="s">
        <v>4202</v>
      </c>
      <c r="T1214" s="6" t="str">
        <f>IFERROR(__xludf.DUMMYFUNCTION("""COMPUTED_VALUE"""),"definitive")</f>
        <v>definitive</v>
      </c>
      <c r="W1214" s="8"/>
      <c r="AJ1214" s="1" t="s">
        <v>2381</v>
      </c>
      <c r="AM1214" s="1" t="s">
        <v>1241</v>
      </c>
    </row>
    <row r="1215">
      <c r="E1215" s="1" t="s">
        <v>693</v>
      </c>
      <c r="F1215" s="6" t="str">
        <f>IFERROR(__xludf.DUMMYFUNCTION("""COMPUTED_VALUE"""),"emerges")</f>
        <v>emerges</v>
      </c>
      <c r="H1215" s="1" t="s">
        <v>3535</v>
      </c>
      <c r="I1215" s="6" t="str">
        <f>IFERROR(__xludf.DUMMYFUNCTION("""COMPUTED_VALUE"""),"occupation")</f>
        <v>occupation</v>
      </c>
      <c r="S1215" s="1" t="s">
        <v>779</v>
      </c>
      <c r="T1215" s="6" t="str">
        <f>IFERROR(__xludf.DUMMYFUNCTION("""COMPUTED_VALUE"""),"sensation")</f>
        <v>sensation</v>
      </c>
      <c r="W1215" s="8"/>
      <c r="AJ1215" s="1" t="s">
        <v>1173</v>
      </c>
      <c r="AM1215" s="1" t="s">
        <v>1245</v>
      </c>
    </row>
    <row r="1216">
      <c r="E1216" s="1" t="s">
        <v>859</v>
      </c>
      <c r="F1216" s="6" t="str">
        <f>IFERROR(__xludf.DUMMYFUNCTION("""COMPUTED_VALUE"""),"expands")</f>
        <v>expands</v>
      </c>
      <c r="H1216" s="1" t="s">
        <v>3888</v>
      </c>
      <c r="I1216" s="6" t="str">
        <f>IFERROR(__xludf.DUMMYFUNCTION("""COMPUTED_VALUE"""),"distracting")</f>
        <v>distracting</v>
      </c>
      <c r="S1216" s="1" t="s">
        <v>2240</v>
      </c>
      <c r="T1216" s="6" t="str">
        <f>IFERROR(__xludf.DUMMYFUNCTION("""COMPUTED_VALUE"""),"sincerity")</f>
        <v>sincerity</v>
      </c>
      <c r="W1216" s="8"/>
      <c r="AJ1216" s="1" t="s">
        <v>2387</v>
      </c>
      <c r="AM1216" s="1" t="s">
        <v>4203</v>
      </c>
    </row>
    <row r="1217">
      <c r="E1217" s="1" t="s">
        <v>2836</v>
      </c>
      <c r="F1217" s="6" t="str">
        <f>IFERROR(__xludf.DUMMYFUNCTION("""COMPUTED_VALUE"""),"tales")</f>
        <v>tales</v>
      </c>
      <c r="H1217" s="1" t="s">
        <v>368</v>
      </c>
      <c r="I1217" s="6" t="str">
        <f>IFERROR(__xludf.DUMMYFUNCTION("""COMPUTED_VALUE"""),"spirited")</f>
        <v>spirited</v>
      </c>
      <c r="S1217" s="1" t="s">
        <v>2267</v>
      </c>
      <c r="T1217" s="6" t="str">
        <f>IFERROR(__xludf.DUMMYFUNCTION("""COMPUTED_VALUE"""),"sympathy")</f>
        <v>sympathy</v>
      </c>
      <c r="W1217" s="8"/>
      <c r="AJ1217" s="1" t="s">
        <v>3572</v>
      </c>
      <c r="AM1217" s="1" t="s">
        <v>2560</v>
      </c>
    </row>
    <row r="1218">
      <c r="E1218" s="1" t="s">
        <v>2839</v>
      </c>
      <c r="F1218" s="6" t="str">
        <f>IFERROR(__xludf.DUMMYFUNCTION("""COMPUTED_VALUE"""),"deaths")</f>
        <v>deaths</v>
      </c>
      <c r="H1218" s="1" t="s">
        <v>3541</v>
      </c>
      <c r="I1218" s="6" t="str">
        <f>IFERROR(__xludf.DUMMYFUNCTION("""COMPUTED_VALUE"""),"awakening")</f>
        <v>awakening</v>
      </c>
      <c r="S1218" s="1" t="s">
        <v>709</v>
      </c>
      <c r="T1218" s="6" t="str">
        <f>IFERROR(__xludf.DUMMYFUNCTION("""COMPUTED_VALUE"""),"unchanged")</f>
        <v>unchanged</v>
      </c>
      <c r="W1218" s="8"/>
      <c r="AJ1218" s="1" t="s">
        <v>4204</v>
      </c>
      <c r="AM1218" s="1" t="s">
        <v>2563</v>
      </c>
    </row>
    <row r="1219">
      <c r="E1219" s="1" t="s">
        <v>4205</v>
      </c>
      <c r="F1219" s="6" t="str">
        <f>IFERROR(__xludf.DUMMYFUNCTION("""COMPUTED_VALUE"""),"careers")</f>
        <v>careers</v>
      </c>
      <c r="H1219" s="1" t="s">
        <v>4206</v>
      </c>
      <c r="I1219" s="6" t="str">
        <f>IFERROR(__xludf.DUMMYFUNCTION("""COMPUTED_VALUE"""),"fathers")</f>
        <v>fathers</v>
      </c>
      <c r="S1219" s="1" t="s">
        <v>4207</v>
      </c>
      <c r="T1219" s="6" t="str">
        <f>IFERROR(__xludf.DUMMYFUNCTION("""COMPUTED_VALUE"""),"endeavor")</f>
        <v>endeavor</v>
      </c>
      <c r="W1219" s="8"/>
      <c r="AJ1219" s="1" t="s">
        <v>2390</v>
      </c>
      <c r="AM1219" s="1" t="s">
        <v>3711</v>
      </c>
    </row>
    <row r="1220">
      <c r="E1220" s="1" t="s">
        <v>3548</v>
      </c>
      <c r="F1220" s="6" t="str">
        <f>IFERROR(__xludf.DUMMYFUNCTION("""COMPUTED_VALUE"""),"titus")</f>
        <v>titus</v>
      </c>
      <c r="H1220" s="1" t="s">
        <v>2453</v>
      </c>
      <c r="I1220" s="6" t="str">
        <f>IFERROR(__xludf.DUMMYFUNCTION("""COMPUTED_VALUE"""),"obscure")</f>
        <v>obscure</v>
      </c>
      <c r="S1220" s="1" t="s">
        <v>2752</v>
      </c>
      <c r="T1220" s="6" t="str">
        <f>IFERROR(__xludf.DUMMYFUNCTION("""COMPUTED_VALUE"""),"spectacular")</f>
        <v>spectacular</v>
      </c>
      <c r="W1220" s="8"/>
      <c r="AJ1220" s="1" t="s">
        <v>3577</v>
      </c>
      <c r="AM1220" s="1" t="s">
        <v>3713</v>
      </c>
    </row>
    <row r="1221">
      <c r="E1221" s="1" t="s">
        <v>1666</v>
      </c>
      <c r="F1221" s="6" t="str">
        <f>IFERROR(__xludf.DUMMYFUNCTION("""COMPUTED_VALUE"""),"undo")</f>
        <v>undo</v>
      </c>
      <c r="H1221" s="1" t="s">
        <v>2451</v>
      </c>
      <c r="I1221" s="6" t="str">
        <f>IFERROR(__xludf.DUMMYFUNCTION("""COMPUTED_VALUE"""),"survivors")</f>
        <v>survivors</v>
      </c>
      <c r="S1221" s="1" t="s">
        <v>862</v>
      </c>
      <c r="T1221" s="6">
        <f>IFERROR(__xludf.DUMMYFUNCTION("""COMPUTED_VALUE"""),30.0)</f>
        <v>30</v>
      </c>
      <c r="W1221" s="8"/>
      <c r="AJ1221" s="1" t="s">
        <v>4208</v>
      </c>
      <c r="AM1221" s="1" t="s">
        <v>2320</v>
      </c>
    </row>
    <row r="1222">
      <c r="E1222" s="1" t="s">
        <v>4209</v>
      </c>
      <c r="F1222" s="6" t="str">
        <f>IFERROR(__xludf.DUMMYFUNCTION("""COMPUTED_VALUE"""),"vastly")</f>
        <v>vastly</v>
      </c>
      <c r="H1222" s="1" t="s">
        <v>2432</v>
      </c>
      <c r="I1222" s="6" t="str">
        <f>IFERROR(__xludf.DUMMYFUNCTION("""COMPUTED_VALUE"""),"impacts")</f>
        <v>impacts</v>
      </c>
      <c r="S1222" s="1" t="s">
        <v>3801</v>
      </c>
      <c r="T1222" s="6" t="str">
        <f>IFERROR(__xludf.DUMMYFUNCTION("""COMPUTED_VALUE"""),"sensual")</f>
        <v>sensual</v>
      </c>
      <c r="W1222" s="8"/>
      <c r="AJ1222" s="1" t="s">
        <v>1593</v>
      </c>
      <c r="AM1222" s="1" t="s">
        <v>4210</v>
      </c>
    </row>
    <row r="1223">
      <c r="E1223" s="1" t="s">
        <v>3078</v>
      </c>
      <c r="F1223" s="6" t="str">
        <f>IFERROR(__xludf.DUMMYFUNCTION("""COMPUTED_VALUE"""),"espionage")</f>
        <v>espionage</v>
      </c>
      <c r="H1223" s="1" t="s">
        <v>3549</v>
      </c>
      <c r="I1223" s="6" t="str">
        <f>IFERROR(__xludf.DUMMYFUNCTION("""COMPUTED_VALUE"""),"blade")</f>
        <v>blade</v>
      </c>
      <c r="S1223" s="1" t="s">
        <v>4211</v>
      </c>
      <c r="T1223" s="6" t="str">
        <f>IFERROR(__xludf.DUMMYFUNCTION("""COMPUTED_VALUE"""),"credit")</f>
        <v>credit</v>
      </c>
      <c r="W1223" s="8"/>
      <c r="AJ1223" s="1" t="s">
        <v>2394</v>
      </c>
      <c r="AM1223" s="1" t="s">
        <v>1252</v>
      </c>
    </row>
    <row r="1224">
      <c r="E1224" s="1" t="s">
        <v>286</v>
      </c>
      <c r="F1224" s="6" t="str">
        <f>IFERROR(__xludf.DUMMYFUNCTION("""COMPUTED_VALUE"""),"refugees")</f>
        <v>refugees</v>
      </c>
      <c r="H1224" s="1" t="s">
        <v>4212</v>
      </c>
      <c r="I1224" s="6" t="str">
        <f>IFERROR(__xludf.DUMMYFUNCTION("""COMPUTED_VALUE"""),"wear")</f>
        <v>wear</v>
      </c>
      <c r="S1224" s="1" t="s">
        <v>4213</v>
      </c>
      <c r="T1224" s="6" t="str">
        <f>IFERROR(__xludf.DUMMYFUNCTION("""COMPUTED_VALUE"""),"cerebral")</f>
        <v>cerebral</v>
      </c>
      <c r="W1224" s="8"/>
      <c r="AJ1224" s="1" t="s">
        <v>1834</v>
      </c>
      <c r="AM1224" s="1" t="s">
        <v>3716</v>
      </c>
    </row>
    <row r="1225">
      <c r="E1225" s="1" t="s">
        <v>864</v>
      </c>
      <c r="F1225" s="6" t="str">
        <f>IFERROR(__xludf.DUMMYFUNCTION("""COMPUTED_VALUE"""),"alien")</f>
        <v>alien</v>
      </c>
      <c r="H1225" s="1" t="s">
        <v>594</v>
      </c>
      <c r="I1225" s="6" t="str">
        <f>IFERROR(__xludf.DUMMYFUNCTION("""COMPUTED_VALUE"""),"erotic")</f>
        <v>erotic</v>
      </c>
      <c r="S1225" s="1" t="s">
        <v>4214</v>
      </c>
      <c r="T1225" s="6" t="str">
        <f>IFERROR(__xludf.DUMMYFUNCTION("""COMPUTED_VALUE"""),"manners")</f>
        <v>manners</v>
      </c>
      <c r="W1225" s="8"/>
      <c r="AJ1225" s="1" t="s">
        <v>2397</v>
      </c>
      <c r="AM1225" s="1" t="s">
        <v>2569</v>
      </c>
    </row>
    <row r="1226">
      <c r="E1226" s="1" t="s">
        <v>1855</v>
      </c>
      <c r="F1226" s="6" t="str">
        <f>IFERROR(__xludf.DUMMYFUNCTION("""COMPUTED_VALUE"""),"coughed")</f>
        <v>coughed</v>
      </c>
      <c r="H1226" s="1" t="s">
        <v>3552</v>
      </c>
      <c r="I1226" s="6" t="str">
        <f>IFERROR(__xludf.DUMMYFUNCTION("""COMPUTED_VALUE"""),"uncanny")</f>
        <v>uncanny</v>
      </c>
      <c r="S1226" s="1" t="s">
        <v>2041</v>
      </c>
      <c r="T1226" s="6" t="str">
        <f>IFERROR(__xludf.DUMMYFUNCTION("""COMPUTED_VALUE"""),"table")</f>
        <v>table</v>
      </c>
      <c r="W1226" s="8"/>
      <c r="AJ1226" s="1" t="s">
        <v>4215</v>
      </c>
      <c r="AM1226" s="1" t="s">
        <v>2574</v>
      </c>
    </row>
    <row r="1227">
      <c r="E1227" s="1" t="s">
        <v>3055</v>
      </c>
      <c r="F1227" s="6" t="str">
        <f>IFERROR(__xludf.DUMMYFUNCTION("""COMPUTED_VALUE"""),"varying")</f>
        <v>varying</v>
      </c>
      <c r="H1227" s="1" t="s">
        <v>3556</v>
      </c>
      <c r="I1227" s="6" t="str">
        <f>IFERROR(__xludf.DUMMYFUNCTION("""COMPUTED_VALUE"""),"mann")</f>
        <v>mann</v>
      </c>
      <c r="S1227" s="1" t="s">
        <v>4216</v>
      </c>
      <c r="T1227" s="6" t="str">
        <f>IFERROR(__xludf.DUMMYFUNCTION("""COMPUTED_VALUE"""),"prism")</f>
        <v>prism</v>
      </c>
      <c r="W1227" s="8"/>
      <c r="AJ1227" s="1" t="s">
        <v>1315</v>
      </c>
      <c r="AM1227" s="1" t="s">
        <v>363</v>
      </c>
    </row>
    <row r="1228">
      <c r="E1228" s="1" t="s">
        <v>1621</v>
      </c>
      <c r="F1228" s="6" t="str">
        <f>IFERROR(__xludf.DUMMYFUNCTION("""COMPUTED_VALUE"""),"hooks")</f>
        <v>hooks</v>
      </c>
      <c r="H1228" s="1" t="s">
        <v>837</v>
      </c>
      <c r="I1228" s="6" t="str">
        <f>IFERROR(__xludf.DUMMYFUNCTION("""COMPUTED_VALUE"""),"cultivation")</f>
        <v>cultivation</v>
      </c>
      <c r="S1228" s="1" t="s">
        <v>915</v>
      </c>
      <c r="T1228" s="6" t="str">
        <f>IFERROR(__xludf.DUMMYFUNCTION("""COMPUTED_VALUE"""),"themes")</f>
        <v>themes</v>
      </c>
      <c r="W1228" s="8"/>
      <c r="AJ1228" s="1" t="s">
        <v>607</v>
      </c>
      <c r="AM1228" s="1" t="s">
        <v>1260</v>
      </c>
    </row>
    <row r="1229">
      <c r="E1229" s="1" t="s">
        <v>3095</v>
      </c>
      <c r="F1229" s="6" t="str">
        <f>IFERROR(__xludf.DUMMYFUNCTION("""COMPUTED_VALUE"""),"carries")</f>
        <v>carries</v>
      </c>
      <c r="H1229" s="1" t="s">
        <v>137</v>
      </c>
      <c r="I1229" s="6" t="str">
        <f>IFERROR(__xludf.DUMMYFUNCTION("""COMPUTED_VALUE"""),"devotion")</f>
        <v>devotion</v>
      </c>
      <c r="S1229" s="1" t="s">
        <v>335</v>
      </c>
      <c r="T1229" s="6" t="str">
        <f>IFERROR(__xludf.DUMMYFUNCTION("""COMPUTED_VALUE"""),"noble")</f>
        <v>noble</v>
      </c>
      <c r="W1229" s="8"/>
      <c r="AJ1229" s="1" t="s">
        <v>3589</v>
      </c>
      <c r="AM1229" s="1" t="s">
        <v>2540</v>
      </c>
    </row>
    <row r="1230">
      <c r="E1230" s="1" t="s">
        <v>4217</v>
      </c>
      <c r="F1230" s="6" t="str">
        <f>IFERROR(__xludf.DUMMYFUNCTION("""COMPUTED_VALUE"""),"oliver")</f>
        <v>oliver</v>
      </c>
      <c r="H1230" s="1" t="s">
        <v>4029</v>
      </c>
      <c r="I1230" s="6" t="str">
        <f>IFERROR(__xludf.DUMMYFUNCTION("""COMPUTED_VALUE"""),"access")</f>
        <v>access</v>
      </c>
      <c r="S1230" s="1" t="s">
        <v>2178</v>
      </c>
      <c r="T1230" s="6" t="str">
        <f>IFERROR(__xludf.DUMMYFUNCTION("""COMPUTED_VALUE"""),"strict")</f>
        <v>strict</v>
      </c>
      <c r="W1230" s="8"/>
      <c r="AJ1230" s="1" t="s">
        <v>1326</v>
      </c>
      <c r="AM1230" s="1" t="s">
        <v>1266</v>
      </c>
    </row>
    <row r="1231">
      <c r="E1231" s="1" t="s">
        <v>4218</v>
      </c>
      <c r="F1231" s="6" t="str">
        <f>IFERROR(__xludf.DUMMYFUNCTION("""COMPUTED_VALUE"""),"irresistible")</f>
        <v>irresistible</v>
      </c>
      <c r="H1231" s="1" t="s">
        <v>2463</v>
      </c>
      <c r="I1231" s="6" t="str">
        <f>IFERROR(__xludf.DUMMYFUNCTION("""COMPUTED_VALUE"""),"godfrey")</f>
        <v>godfrey</v>
      </c>
      <c r="S1231" s="1" t="s">
        <v>3582</v>
      </c>
      <c r="T1231" s="6" t="str">
        <f>IFERROR(__xludf.DUMMYFUNCTION("""COMPUTED_VALUE"""),"inherently")</f>
        <v>inherently</v>
      </c>
      <c r="W1231" s="8"/>
      <c r="AJ1231" s="1" t="s">
        <v>2410</v>
      </c>
      <c r="AM1231" s="1" t="s">
        <v>4219</v>
      </c>
    </row>
    <row r="1232">
      <c r="E1232" s="1" t="s">
        <v>3100</v>
      </c>
      <c r="F1232" s="6" t="str">
        <f>IFERROR(__xludf.DUMMYFUNCTION("""COMPUTED_VALUE"""),"hussein")</f>
        <v>hussein</v>
      </c>
      <c r="H1232" s="1" t="s">
        <v>3561</v>
      </c>
      <c r="I1232" s="6" t="str">
        <f>IFERROR(__xludf.DUMMYFUNCTION("""COMPUTED_VALUE"""),"slim")</f>
        <v>slim</v>
      </c>
      <c r="S1232" s="1" t="s">
        <v>1333</v>
      </c>
      <c r="T1232" s="6" t="str">
        <f>IFERROR(__xludf.DUMMYFUNCTION("""COMPUTED_VALUE"""),"innocent")</f>
        <v>innocent</v>
      </c>
      <c r="W1232" s="8"/>
      <c r="AJ1232" s="1" t="s">
        <v>4220</v>
      </c>
      <c r="AM1232" s="1" t="s">
        <v>4221</v>
      </c>
    </row>
    <row r="1233">
      <c r="E1233" s="1" t="s">
        <v>4222</v>
      </c>
      <c r="F1233" s="6" t="str">
        <f>IFERROR(__xludf.DUMMYFUNCTION("""COMPUTED_VALUE"""),"saddam")</f>
        <v>saddam</v>
      </c>
      <c r="H1233" s="1" t="s">
        <v>1577</v>
      </c>
      <c r="I1233" s="6" t="str">
        <f>IFERROR(__xludf.DUMMYFUNCTION("""COMPUTED_VALUE"""),"abandoned")</f>
        <v>abandoned</v>
      </c>
      <c r="S1233" s="1" t="s">
        <v>4223</v>
      </c>
      <c r="T1233" s="6" t="str">
        <f>IFERROR(__xludf.DUMMYFUNCTION("""COMPUTED_VALUE"""),"betrayal")</f>
        <v>betrayal</v>
      </c>
      <c r="W1233" s="8"/>
      <c r="AJ1233" s="1" t="s">
        <v>2413</v>
      </c>
      <c r="AM1233" s="1" t="s">
        <v>4224</v>
      </c>
    </row>
    <row r="1234">
      <c r="E1234" s="1" t="s">
        <v>3107</v>
      </c>
      <c r="F1234" s="6" t="str">
        <f>IFERROR(__xludf.DUMMYFUNCTION("""COMPUTED_VALUE"""),"operative")</f>
        <v>operative</v>
      </c>
      <c r="H1234" s="1" t="s">
        <v>4225</v>
      </c>
      <c r="I1234" s="6" t="str">
        <f>IFERROR(__xludf.DUMMYFUNCTION("""COMPUTED_VALUE"""),"zipper")</f>
        <v>zipper</v>
      </c>
      <c r="S1234" s="1" t="s">
        <v>2051</v>
      </c>
      <c r="T1234" s="6" t="str">
        <f>IFERROR(__xludf.DUMMYFUNCTION("""COMPUTED_VALUE"""),"panic")</f>
        <v>panic</v>
      </c>
      <c r="W1234" s="8"/>
      <c r="AJ1234" s="1" t="s">
        <v>2416</v>
      </c>
      <c r="AM1234" s="1" t="s">
        <v>2541</v>
      </c>
    </row>
    <row r="1235">
      <c r="E1235" s="1" t="s">
        <v>1627</v>
      </c>
      <c r="F1235" s="6" t="str">
        <f>IFERROR(__xludf.DUMMYFUNCTION("""COMPUTED_VALUE"""),"exposition")</f>
        <v>exposition</v>
      </c>
      <c r="H1235" s="1" t="s">
        <v>737</v>
      </c>
      <c r="I1235" s="6" t="str">
        <f>IFERROR(__xludf.DUMMYFUNCTION("""COMPUTED_VALUE"""),"rode")</f>
        <v>rode</v>
      </c>
      <c r="S1235" s="1" t="s">
        <v>1914</v>
      </c>
      <c r="T1235" s="6" t="str">
        <f>IFERROR(__xludf.DUMMYFUNCTION("""COMPUTED_VALUE"""),"sweat")</f>
        <v>sweat</v>
      </c>
      <c r="W1235" s="8"/>
      <c r="AJ1235" s="1" t="s">
        <v>2420</v>
      </c>
      <c r="AM1235" s="1" t="s">
        <v>3728</v>
      </c>
    </row>
    <row r="1236">
      <c r="E1236" s="1" t="s">
        <v>4226</v>
      </c>
      <c r="F1236" s="6" t="str">
        <f>IFERROR(__xludf.DUMMYFUNCTION("""COMPUTED_VALUE"""),"chemistry")</f>
        <v>chemistry</v>
      </c>
      <c r="H1236" s="1" t="s">
        <v>2741</v>
      </c>
      <c r="I1236" s="6" t="str">
        <f>IFERROR(__xludf.DUMMYFUNCTION("""COMPUTED_VALUE"""),"journalism")</f>
        <v>journalism</v>
      </c>
      <c r="S1236" s="1" t="s">
        <v>4227</v>
      </c>
      <c r="T1236" s="6" t="str">
        <f>IFERROR(__xludf.DUMMYFUNCTION("""COMPUTED_VALUE"""),"interested")</f>
        <v>interested</v>
      </c>
      <c r="W1236" s="8"/>
      <c r="AJ1236" s="1" t="s">
        <v>2422</v>
      </c>
      <c r="AM1236" s="1" t="s">
        <v>4228</v>
      </c>
    </row>
    <row r="1237">
      <c r="E1237" s="1" t="s">
        <v>2862</v>
      </c>
      <c r="F1237" s="6" t="str">
        <f>IFERROR(__xludf.DUMMYFUNCTION("""COMPUTED_VALUE"""),"concludes")</f>
        <v>concludes</v>
      </c>
      <c r="H1237" s="1" t="s">
        <v>2437</v>
      </c>
      <c r="I1237" s="6" t="str">
        <f>IFERROR(__xludf.DUMMYFUNCTION("""COMPUTED_VALUE"""),"threat")</f>
        <v>threat</v>
      </c>
      <c r="S1237" s="1" t="s">
        <v>3860</v>
      </c>
      <c r="T1237" s="6" t="str">
        <f>IFERROR(__xludf.DUMMYFUNCTION("""COMPUTED_VALUE"""),"did")</f>
        <v>did</v>
      </c>
      <c r="W1237" s="8"/>
      <c r="AJ1237" s="1" t="s">
        <v>4229</v>
      </c>
      <c r="AM1237" s="1" t="s">
        <v>4230</v>
      </c>
    </row>
    <row r="1238">
      <c r="E1238" s="1" t="s">
        <v>4231</v>
      </c>
      <c r="F1238" s="6" t="str">
        <f>IFERROR(__xludf.DUMMYFUNCTION("""COMPUTED_VALUE"""),"willis")</f>
        <v>willis</v>
      </c>
      <c r="H1238" s="1" t="s">
        <v>4232</v>
      </c>
      <c r="I1238" s="6" t="str">
        <f>IFERROR(__xludf.DUMMYFUNCTION("""COMPUTED_VALUE"""),"expense")</f>
        <v>expense</v>
      </c>
      <c r="S1238" s="1" t="s">
        <v>4233</v>
      </c>
      <c r="T1238" s="6" t="str">
        <f>IFERROR(__xludf.DUMMYFUNCTION("""COMPUTED_VALUE"""),"glued")</f>
        <v>glued</v>
      </c>
      <c r="W1238" s="8"/>
      <c r="AJ1238" s="1" t="s">
        <v>4234</v>
      </c>
      <c r="AM1238" s="1" t="s">
        <v>2580</v>
      </c>
    </row>
    <row r="1239">
      <c r="E1239" s="1" t="s">
        <v>3115</v>
      </c>
      <c r="F1239" s="6" t="str">
        <f>IFERROR(__xludf.DUMMYFUNCTION("""COMPUTED_VALUE"""),"creators")</f>
        <v>creators</v>
      </c>
      <c r="H1239" s="1" t="s">
        <v>2467</v>
      </c>
      <c r="I1239" s="6" t="str">
        <f>IFERROR(__xludf.DUMMYFUNCTION("""COMPUTED_VALUE"""),"nonsense")</f>
        <v>nonsense</v>
      </c>
      <c r="S1239" s="1" t="s">
        <v>1641</v>
      </c>
      <c r="T1239" s="6" t="str">
        <f>IFERROR(__xludf.DUMMYFUNCTION("""COMPUTED_VALUE"""),"faults")</f>
        <v>faults</v>
      </c>
      <c r="W1239" s="8"/>
      <c r="AJ1239" s="1" t="s">
        <v>4235</v>
      </c>
      <c r="AM1239" s="1" t="s">
        <v>4236</v>
      </c>
    </row>
    <row r="1240">
      <c r="E1240" s="1" t="s">
        <v>4237</v>
      </c>
      <c r="F1240" s="6" t="str">
        <f>IFERROR(__xludf.DUMMYFUNCTION("""COMPUTED_VALUE"""),"slap")</f>
        <v>slap</v>
      </c>
      <c r="H1240" s="1" t="s">
        <v>746</v>
      </c>
      <c r="I1240" s="6" t="str">
        <f>IFERROR(__xludf.DUMMYFUNCTION("""COMPUTED_VALUE"""),"snaps")</f>
        <v>snaps</v>
      </c>
      <c r="S1240" s="1" t="s">
        <v>1591</v>
      </c>
      <c r="T1240" s="6" t="str">
        <f>IFERROR(__xludf.DUMMYFUNCTION("""COMPUTED_VALUE"""),"manage")</f>
        <v>manage</v>
      </c>
      <c r="W1240" s="8"/>
      <c r="AJ1240" s="1" t="s">
        <v>1332</v>
      </c>
      <c r="AM1240" s="1" t="s">
        <v>3736</v>
      </c>
    </row>
    <row r="1241">
      <c r="E1241" s="1" t="s">
        <v>1010</v>
      </c>
      <c r="F1241" s="6" t="str">
        <f>IFERROR(__xludf.DUMMYFUNCTION("""COMPUTED_VALUE"""),"wrestling")</f>
        <v>wrestling</v>
      </c>
      <c r="H1241" s="1" t="s">
        <v>603</v>
      </c>
      <c r="I1241" s="6" t="str">
        <f>IFERROR(__xludf.DUMMYFUNCTION("""COMPUTED_VALUE"""),"critical")</f>
        <v>critical</v>
      </c>
      <c r="S1241" s="1" t="s">
        <v>4238</v>
      </c>
      <c r="T1241" s="6" t="str">
        <f>IFERROR(__xludf.DUMMYFUNCTION("""COMPUTED_VALUE"""),"accuse")</f>
        <v>accuse</v>
      </c>
      <c r="W1241" s="8"/>
      <c r="AJ1241" s="1" t="s">
        <v>3598</v>
      </c>
      <c r="AM1241" s="1" t="s">
        <v>1059</v>
      </c>
    </row>
    <row r="1242">
      <c r="E1242" s="1" t="s">
        <v>870</v>
      </c>
      <c r="F1242" s="6" t="str">
        <f>IFERROR(__xludf.DUMMYFUNCTION("""COMPUTED_VALUE"""),"doomed")</f>
        <v>doomed</v>
      </c>
      <c r="H1242" s="1" t="s">
        <v>680</v>
      </c>
      <c r="I1242" s="6" t="str">
        <f>IFERROR(__xludf.DUMMYFUNCTION("""COMPUTED_VALUE"""),"convinced")</f>
        <v>convinced</v>
      </c>
      <c r="S1242" s="1" t="s">
        <v>4239</v>
      </c>
      <c r="T1242" s="6" t="str">
        <f>IFERROR(__xludf.DUMMYFUNCTION("""COMPUTED_VALUE"""),"wants")</f>
        <v>wants</v>
      </c>
      <c r="W1242" s="8"/>
      <c r="AJ1242" s="1" t="s">
        <v>2428</v>
      </c>
      <c r="AM1242" s="1" t="s">
        <v>1271</v>
      </c>
    </row>
    <row r="1243">
      <c r="E1243" s="1" t="s">
        <v>4240</v>
      </c>
      <c r="F1243" s="6" t="str">
        <f>IFERROR(__xludf.DUMMYFUNCTION("""COMPUTED_VALUE"""),"weep")</f>
        <v>weep</v>
      </c>
      <c r="H1243" s="1" t="s">
        <v>1153</v>
      </c>
      <c r="I1243" s="6" t="str">
        <f>IFERROR(__xludf.DUMMYFUNCTION("""COMPUTED_VALUE"""),"eye")</f>
        <v>eye</v>
      </c>
      <c r="S1243" s="1" t="s">
        <v>2510</v>
      </c>
      <c r="T1243" s="6" t="str">
        <f>IFERROR(__xludf.DUMMYFUNCTION("""COMPUTED_VALUE"""),"african")</f>
        <v>african</v>
      </c>
      <c r="W1243" s="8"/>
      <c r="AJ1243" s="1" t="s">
        <v>4241</v>
      </c>
      <c r="AM1243" s="1" t="s">
        <v>2586</v>
      </c>
    </row>
    <row r="1244">
      <c r="E1244" s="1" t="s">
        <v>4242</v>
      </c>
      <c r="F1244" s="6" t="str">
        <f>IFERROR(__xludf.DUMMYFUNCTION("""COMPUTED_VALUE"""),"norton")</f>
        <v>norton</v>
      </c>
      <c r="H1244" s="1" t="s">
        <v>612</v>
      </c>
      <c r="I1244" s="6" t="str">
        <f>IFERROR(__xludf.DUMMYFUNCTION("""COMPUTED_VALUE"""),"adherents")</f>
        <v>adherents</v>
      </c>
      <c r="S1244" s="1" t="s">
        <v>4243</v>
      </c>
      <c r="T1244" s="6" t="str">
        <f>IFERROR(__xludf.DUMMYFUNCTION("""COMPUTED_VALUE"""),"odds")</f>
        <v>odds</v>
      </c>
      <c r="W1244" s="8"/>
      <c r="AJ1244" s="1" t="s">
        <v>4244</v>
      </c>
      <c r="AM1244" s="1" t="s">
        <v>2589</v>
      </c>
    </row>
    <row r="1245">
      <c r="E1245" s="1" t="s">
        <v>1017</v>
      </c>
      <c r="F1245" s="6" t="str">
        <f>IFERROR(__xludf.DUMMYFUNCTION("""COMPUTED_VALUE"""),"edward")</f>
        <v>edward</v>
      </c>
      <c r="H1245" s="1" t="s">
        <v>4090</v>
      </c>
      <c r="I1245" s="6" t="str">
        <f>IFERROR(__xludf.DUMMYFUNCTION("""COMPUTED_VALUE"""),"trombone")</f>
        <v>trombone</v>
      </c>
      <c r="S1245" s="1" t="s">
        <v>4245</v>
      </c>
      <c r="T1245" s="6" t="str">
        <f>IFERROR(__xludf.DUMMYFUNCTION("""COMPUTED_VALUE"""),"verve")</f>
        <v>verve</v>
      </c>
      <c r="W1245" s="8"/>
      <c r="AJ1245" s="1" t="s">
        <v>4246</v>
      </c>
      <c r="AM1245" s="1" t="s">
        <v>4247</v>
      </c>
    </row>
    <row r="1246">
      <c r="E1246" s="1" t="s">
        <v>4248</v>
      </c>
      <c r="F1246" s="6" t="str">
        <f>IFERROR(__xludf.DUMMYFUNCTION("""COMPUTED_VALUE"""),"illuminating")</f>
        <v>illuminating</v>
      </c>
      <c r="H1246" s="1" t="s">
        <v>302</v>
      </c>
      <c r="I1246" s="6" t="str">
        <f>IFERROR(__xludf.DUMMYFUNCTION("""COMPUTED_VALUE"""),"possess")</f>
        <v>possess</v>
      </c>
      <c r="S1246" s="1" t="s">
        <v>4249</v>
      </c>
      <c r="T1246" s="6" t="str">
        <f>IFERROR(__xludf.DUMMYFUNCTION("""COMPUTED_VALUE"""),"bleed")</f>
        <v>bleed</v>
      </c>
      <c r="W1246" s="8"/>
      <c r="AJ1246" s="1" t="s">
        <v>4250</v>
      </c>
      <c r="AM1246" s="1" t="s">
        <v>2592</v>
      </c>
    </row>
    <row r="1247">
      <c r="E1247" s="1" t="s">
        <v>1026</v>
      </c>
      <c r="F1247" s="6" t="str">
        <f>IFERROR(__xludf.DUMMYFUNCTION("""COMPUTED_VALUE"""),"camouflage")</f>
        <v>camouflage</v>
      </c>
      <c r="H1247" s="1" t="s">
        <v>3576</v>
      </c>
      <c r="I1247" s="6" t="str">
        <f>IFERROR(__xludf.DUMMYFUNCTION("""COMPUTED_VALUE"""),"embarrassment")</f>
        <v>embarrassment</v>
      </c>
      <c r="S1247" s="1" t="s">
        <v>4251</v>
      </c>
      <c r="T1247" s="6" t="str">
        <f>IFERROR(__xludf.DUMMYFUNCTION("""COMPUTED_VALUE"""),"broadway")</f>
        <v>broadway</v>
      </c>
      <c r="W1247" s="8"/>
      <c r="AJ1247" s="1" t="s">
        <v>1339</v>
      </c>
      <c r="AM1247" s="1" t="s">
        <v>1958</v>
      </c>
    </row>
    <row r="1248">
      <c r="E1248" s="1" t="s">
        <v>67</v>
      </c>
      <c r="F1248" s="6" t="str">
        <f>IFERROR(__xludf.DUMMYFUNCTION("""COMPUTED_VALUE"""),"jonah")</f>
        <v>jonah</v>
      </c>
      <c r="H1248" s="1" t="s">
        <v>2988</v>
      </c>
      <c r="I1248" s="6" t="str">
        <f>IFERROR(__xludf.DUMMYFUNCTION("""COMPUTED_VALUE"""),"crawl")</f>
        <v>crawl</v>
      </c>
      <c r="S1248" s="1" t="s">
        <v>4252</v>
      </c>
      <c r="T1248" s="6" t="str">
        <f>IFERROR(__xludf.DUMMYFUNCTION("""COMPUTED_VALUE"""),"jolly")</f>
        <v>jolly</v>
      </c>
      <c r="W1248" s="8"/>
      <c r="AJ1248" s="1" t="s">
        <v>1344</v>
      </c>
      <c r="AM1248" s="1" t="s">
        <v>1278</v>
      </c>
    </row>
    <row r="1249">
      <c r="E1249" s="1" t="s">
        <v>1030</v>
      </c>
      <c r="F1249" s="6" t="str">
        <f>IFERROR(__xludf.DUMMYFUNCTION("""COMPUTED_VALUE"""),"freud")</f>
        <v>freud</v>
      </c>
      <c r="H1249" s="1" t="s">
        <v>3582</v>
      </c>
      <c r="I1249" s="6" t="str">
        <f>IFERROR(__xludf.DUMMYFUNCTION("""COMPUTED_VALUE"""),"unrelated")</f>
        <v>unrelated</v>
      </c>
      <c r="S1249" s="1" t="s">
        <v>4253</v>
      </c>
      <c r="T1249" s="6" t="str">
        <f>IFERROR(__xludf.DUMMYFUNCTION("""COMPUTED_VALUE"""),"occupation")</f>
        <v>occupation</v>
      </c>
      <c r="W1249" s="8"/>
      <c r="AJ1249" s="1" t="s">
        <v>4254</v>
      </c>
      <c r="AM1249" s="1" t="s">
        <v>1285</v>
      </c>
    </row>
    <row r="1250">
      <c r="E1250" s="1" t="s">
        <v>886</v>
      </c>
      <c r="F1250" s="6" t="str">
        <f>IFERROR(__xludf.DUMMYFUNCTION("""COMPUTED_VALUE"""),"shining")</f>
        <v>shining</v>
      </c>
      <c r="H1250" s="1" t="s">
        <v>2572</v>
      </c>
      <c r="I1250" s="6" t="str">
        <f>IFERROR(__xludf.DUMMYFUNCTION("""COMPUTED_VALUE"""),"strained")</f>
        <v>strained</v>
      </c>
      <c r="S1250" s="1" t="s">
        <v>2726</v>
      </c>
      <c r="T1250" s="6" t="str">
        <f>IFERROR(__xludf.DUMMYFUNCTION("""COMPUTED_VALUE"""),"german")</f>
        <v>german</v>
      </c>
      <c r="W1250" s="8"/>
      <c r="AJ1250" s="1" t="s">
        <v>1187</v>
      </c>
      <c r="AM1250" s="1" t="s">
        <v>2140</v>
      </c>
    </row>
    <row r="1251">
      <c r="E1251" s="1" t="s">
        <v>4255</v>
      </c>
      <c r="F1251" s="6" t="str">
        <f>IFERROR(__xludf.DUMMYFUNCTION("""COMPUTED_VALUE"""),"mendes")</f>
        <v>mendes</v>
      </c>
      <c r="H1251" s="1" t="s">
        <v>620</v>
      </c>
      <c r="I1251" s="6" t="str">
        <f>IFERROR(__xludf.DUMMYFUNCTION("""COMPUTED_VALUE"""),"figures")</f>
        <v>figures</v>
      </c>
      <c r="S1251" s="1" t="s">
        <v>1775</v>
      </c>
      <c r="T1251" s="6" t="str">
        <f>IFERROR(__xludf.DUMMYFUNCTION("""COMPUTED_VALUE"""),"distracting")</f>
        <v>distracting</v>
      </c>
      <c r="W1251" s="8"/>
      <c r="AJ1251" s="1" t="s">
        <v>1351</v>
      </c>
      <c r="AM1251" s="1" t="s">
        <v>2549</v>
      </c>
    </row>
    <row r="1252">
      <c r="E1252" s="1" t="s">
        <v>2872</v>
      </c>
      <c r="F1252" s="6" t="str">
        <f>IFERROR(__xludf.DUMMYFUNCTION("""COMPUTED_VALUE"""),"photographed")</f>
        <v>photographed</v>
      </c>
      <c r="H1252" s="1" t="s">
        <v>2444</v>
      </c>
      <c r="I1252" s="6" t="str">
        <f>IFERROR(__xludf.DUMMYFUNCTION("""COMPUTED_VALUE"""),"imaginative")</f>
        <v>imaginative</v>
      </c>
      <c r="S1252" s="1" t="s">
        <v>1989</v>
      </c>
      <c r="T1252" s="6" t="str">
        <f>IFERROR(__xludf.DUMMYFUNCTION("""COMPUTED_VALUE"""),"spirited")</f>
        <v>spirited</v>
      </c>
      <c r="W1252" s="8"/>
      <c r="AJ1252" s="1" t="s">
        <v>1354</v>
      </c>
      <c r="AM1252" s="1" t="s">
        <v>4256</v>
      </c>
    </row>
    <row r="1253">
      <c r="E1253" s="1" t="s">
        <v>2875</v>
      </c>
      <c r="F1253" s="6" t="str">
        <f>IFERROR(__xludf.DUMMYFUNCTION("""COMPUTED_VALUE"""),"unprecedented")</f>
        <v>unprecedented</v>
      </c>
      <c r="H1253" s="1" t="s">
        <v>477</v>
      </c>
      <c r="I1253" s="6" t="str">
        <f>IFERROR(__xludf.DUMMYFUNCTION("""COMPUTED_VALUE"""),"digest")</f>
        <v>digest</v>
      </c>
      <c r="S1253" s="1" t="s">
        <v>3684</v>
      </c>
      <c r="T1253" s="6" t="str">
        <f>IFERROR(__xludf.DUMMYFUNCTION("""COMPUTED_VALUE"""),"awakening")</f>
        <v>awakening</v>
      </c>
      <c r="W1253" s="8"/>
      <c r="AJ1253" s="1" t="s">
        <v>2439</v>
      </c>
      <c r="AM1253" s="1" t="s">
        <v>2602</v>
      </c>
    </row>
    <row r="1254">
      <c r="E1254" s="1" t="s">
        <v>1042</v>
      </c>
      <c r="F1254" s="6" t="str">
        <f>IFERROR(__xludf.DUMMYFUNCTION("""COMPUTED_VALUE"""),"battlefield")</f>
        <v>battlefield</v>
      </c>
      <c r="H1254" s="1" t="s">
        <v>756</v>
      </c>
      <c r="I1254" s="6" t="str">
        <f>IFERROR(__xludf.DUMMYFUNCTION("""COMPUTED_VALUE"""),"composition")</f>
        <v>composition</v>
      </c>
      <c r="S1254" s="1" t="s">
        <v>1780</v>
      </c>
      <c r="T1254" s="6" t="str">
        <f>IFERROR(__xludf.DUMMYFUNCTION("""COMPUTED_VALUE"""),"fathers")</f>
        <v>fathers</v>
      </c>
      <c r="W1254" s="8"/>
      <c r="AJ1254" s="1" t="s">
        <v>4257</v>
      </c>
      <c r="AM1254" s="1" t="s">
        <v>2605</v>
      </c>
    </row>
    <row r="1255">
      <c r="E1255" s="1" t="s">
        <v>1652</v>
      </c>
      <c r="F1255" s="6" t="str">
        <f>IFERROR(__xludf.DUMMYFUNCTION("""COMPUTED_VALUE"""),"drawing")</f>
        <v>drawing</v>
      </c>
      <c r="H1255" s="1" t="s">
        <v>1776</v>
      </c>
      <c r="I1255" s="6" t="str">
        <f>IFERROR(__xludf.DUMMYFUNCTION("""COMPUTED_VALUE"""),"viewed")</f>
        <v>viewed</v>
      </c>
      <c r="S1255" s="1" t="s">
        <v>1489</v>
      </c>
      <c r="T1255" s="6" t="str">
        <f>IFERROR(__xludf.DUMMYFUNCTION("""COMPUTED_VALUE"""),"obscure")</f>
        <v>obscure</v>
      </c>
      <c r="W1255" s="8"/>
      <c r="AJ1255" s="1" t="s">
        <v>4258</v>
      </c>
      <c r="AM1255" s="1" t="s">
        <v>1846</v>
      </c>
    </row>
    <row r="1256">
      <c r="E1256" s="1" t="s">
        <v>3134</v>
      </c>
      <c r="F1256" s="6" t="str">
        <f>IFERROR(__xludf.DUMMYFUNCTION("""COMPUTED_VALUE"""),"arbitrary")</f>
        <v>arbitrary</v>
      </c>
      <c r="H1256" s="1" t="s">
        <v>874</v>
      </c>
      <c r="I1256" s="6" t="str">
        <f>IFERROR(__xludf.DUMMYFUNCTION("""COMPUTED_VALUE"""),"somber")</f>
        <v>somber</v>
      </c>
      <c r="S1256" s="1" t="s">
        <v>4259</v>
      </c>
      <c r="T1256" s="6" t="str">
        <f>IFERROR(__xludf.DUMMYFUNCTION("""COMPUTED_VALUE"""),"impacts")</f>
        <v>impacts</v>
      </c>
      <c r="W1256" s="8"/>
      <c r="AJ1256" s="1" t="s">
        <v>1358</v>
      </c>
      <c r="AM1256" s="1" t="s">
        <v>3757</v>
      </c>
    </row>
    <row r="1257">
      <c r="E1257" s="1" t="s">
        <v>2879</v>
      </c>
      <c r="F1257" s="6" t="str">
        <f>IFERROR(__xludf.DUMMYFUNCTION("""COMPUTED_VALUE"""),"darkly")</f>
        <v>darkly</v>
      </c>
      <c r="H1257" s="1" t="s">
        <v>765</v>
      </c>
      <c r="I1257" s="6" t="str">
        <f>IFERROR(__xludf.DUMMYFUNCTION("""COMPUTED_VALUE"""),"credible")</f>
        <v>credible</v>
      </c>
      <c r="S1257" s="1" t="s">
        <v>4260</v>
      </c>
      <c r="T1257" s="6" t="str">
        <f>IFERROR(__xludf.DUMMYFUNCTION("""COMPUTED_VALUE"""),"blade")</f>
        <v>blade</v>
      </c>
      <c r="W1257" s="8"/>
      <c r="AJ1257" s="1" t="s">
        <v>2445</v>
      </c>
      <c r="AM1257" s="1" t="s">
        <v>3768</v>
      </c>
    </row>
    <row r="1258">
      <c r="E1258" s="1" t="s">
        <v>1661</v>
      </c>
      <c r="F1258" s="6" t="str">
        <f>IFERROR(__xludf.DUMMYFUNCTION("""COMPUTED_VALUE"""),"enters")</f>
        <v>enters</v>
      </c>
      <c r="H1258" s="1" t="s">
        <v>1169</v>
      </c>
      <c r="I1258" s="6" t="str">
        <f>IFERROR(__xludf.DUMMYFUNCTION("""COMPUTED_VALUE"""),"mature")</f>
        <v>mature</v>
      </c>
      <c r="S1258" s="1" t="s">
        <v>1616</v>
      </c>
      <c r="T1258" s="6" t="str">
        <f>IFERROR(__xludf.DUMMYFUNCTION("""COMPUTED_VALUE"""),"wear")</f>
        <v>wear</v>
      </c>
      <c r="W1258" s="8"/>
      <c r="AJ1258" s="1" t="s">
        <v>2448</v>
      </c>
      <c r="AM1258" s="1" t="s">
        <v>2554</v>
      </c>
    </row>
    <row r="1259">
      <c r="E1259" s="1" t="s">
        <v>1820</v>
      </c>
      <c r="F1259" s="6" t="str">
        <f>IFERROR(__xludf.DUMMYFUNCTION("""COMPUTED_VALUE"""),"accurate")</f>
        <v>accurate</v>
      </c>
      <c r="H1259" s="1" t="s">
        <v>2457</v>
      </c>
      <c r="I1259" s="6" t="str">
        <f>IFERROR(__xludf.DUMMYFUNCTION("""COMPUTED_VALUE"""),"ensuing")</f>
        <v>ensuing</v>
      </c>
      <c r="S1259" s="1" t="s">
        <v>4261</v>
      </c>
      <c r="T1259" s="6" t="str">
        <f>IFERROR(__xludf.DUMMYFUNCTION("""COMPUTED_VALUE"""),"erotic")</f>
        <v>erotic</v>
      </c>
      <c r="W1259" s="8"/>
      <c r="AJ1259" s="1" t="s">
        <v>1624</v>
      </c>
      <c r="AM1259" s="1" t="s">
        <v>3764</v>
      </c>
    </row>
    <row r="1260">
      <c r="E1260" s="1" t="s">
        <v>2890</v>
      </c>
      <c r="F1260" s="6" t="str">
        <f>IFERROR(__xludf.DUMMYFUNCTION("""COMPUTED_VALUE"""),"relevance")</f>
        <v>relevance</v>
      </c>
      <c r="H1260" s="1" t="s">
        <v>3597</v>
      </c>
      <c r="I1260" s="6" t="str">
        <f>IFERROR(__xludf.DUMMYFUNCTION("""COMPUTED_VALUE"""),"commerce")</f>
        <v>commerce</v>
      </c>
      <c r="S1260" s="1" t="s">
        <v>4262</v>
      </c>
      <c r="T1260" s="6" t="str">
        <f>IFERROR(__xludf.DUMMYFUNCTION("""COMPUTED_VALUE"""),"arrangements")</f>
        <v>arrangements</v>
      </c>
      <c r="W1260" s="8"/>
      <c r="AJ1260" s="1" t="s">
        <v>4263</v>
      </c>
      <c r="AM1260" s="1" t="s">
        <v>671</v>
      </c>
    </row>
    <row r="1261">
      <c r="E1261" s="1" t="s">
        <v>1674</v>
      </c>
      <c r="F1261" s="6" t="str">
        <f>IFERROR(__xludf.DUMMYFUNCTION("""COMPUTED_VALUE"""),"daytime")</f>
        <v>daytime</v>
      </c>
      <c r="H1261" s="1" t="s">
        <v>2098</v>
      </c>
      <c r="I1261" s="6" t="str">
        <f>IFERROR(__xludf.DUMMYFUNCTION("""COMPUTED_VALUE"""),"subtly")</f>
        <v>subtly</v>
      </c>
      <c r="S1261" s="1" t="s">
        <v>4264</v>
      </c>
      <c r="T1261" s="6" t="str">
        <f>IFERROR(__xludf.DUMMYFUNCTION("""COMPUTED_VALUE"""),"uncanny")</f>
        <v>uncanny</v>
      </c>
      <c r="W1261" s="8"/>
      <c r="AJ1261" s="1" t="s">
        <v>4265</v>
      </c>
      <c r="AM1261" s="1" t="s">
        <v>2614</v>
      </c>
    </row>
    <row r="1262">
      <c r="E1262" s="1" t="s">
        <v>1679</v>
      </c>
      <c r="F1262" s="6" t="str">
        <f>IFERROR(__xludf.DUMMYFUNCTION("""COMPUTED_VALUE"""),"derived")</f>
        <v>derived</v>
      </c>
      <c r="H1262" s="1" t="s">
        <v>842</v>
      </c>
      <c r="I1262" s="6" t="str">
        <f>IFERROR(__xludf.DUMMYFUNCTION("""COMPUTED_VALUE"""),"ballistic")</f>
        <v>ballistic</v>
      </c>
      <c r="S1262" s="1" t="s">
        <v>4266</v>
      </c>
      <c r="T1262" s="6" t="str">
        <f>IFERROR(__xludf.DUMMYFUNCTION("""COMPUTED_VALUE"""),"access")</f>
        <v>access</v>
      </c>
      <c r="W1262" s="8"/>
      <c r="AJ1262" s="1">
        <v>1938.0</v>
      </c>
      <c r="AM1262" s="1" t="s">
        <v>660</v>
      </c>
    </row>
    <row r="1263">
      <c r="E1263" s="1" t="s">
        <v>4267</v>
      </c>
      <c r="F1263" s="6" t="str">
        <f>IFERROR(__xludf.DUMMYFUNCTION("""COMPUTED_VALUE"""),"victims")</f>
        <v>victims</v>
      </c>
      <c r="H1263" s="1" t="s">
        <v>3603</v>
      </c>
      <c r="I1263" s="6" t="str">
        <f>IFERROR(__xludf.DUMMYFUNCTION("""COMPUTED_VALUE"""),"waltz")</f>
        <v>waltz</v>
      </c>
      <c r="S1263" s="1" t="s">
        <v>4268</v>
      </c>
      <c r="T1263" s="6" t="str">
        <f>IFERROR(__xludf.DUMMYFUNCTION("""COMPUTED_VALUE"""),"godfrey")</f>
        <v>godfrey</v>
      </c>
      <c r="W1263" s="8"/>
      <c r="AJ1263" s="1" t="s">
        <v>135</v>
      </c>
      <c r="AM1263" s="1" t="s">
        <v>840</v>
      </c>
    </row>
    <row r="1264">
      <c r="E1264" s="1" t="s">
        <v>347</v>
      </c>
      <c r="F1264" s="6" t="str">
        <f>IFERROR(__xludf.DUMMYFUNCTION("""COMPUTED_VALUE"""),"proceedings")</f>
        <v>proceedings</v>
      </c>
      <c r="H1264" s="1" t="s">
        <v>2489</v>
      </c>
      <c r="I1264" s="6" t="str">
        <f>IFERROR(__xludf.DUMMYFUNCTION("""COMPUTED_VALUE"""),"provoke")</f>
        <v>provoke</v>
      </c>
      <c r="S1264" s="1" t="s">
        <v>4170</v>
      </c>
      <c r="T1264" s="6" t="str">
        <f>IFERROR(__xludf.DUMMYFUNCTION("""COMPUTED_VALUE"""),"beacon")</f>
        <v>beacon</v>
      </c>
      <c r="W1264" s="8"/>
      <c r="AJ1264" s="1" t="s">
        <v>2455</v>
      </c>
      <c r="AM1264" s="1" t="s">
        <v>1478</v>
      </c>
    </row>
    <row r="1265">
      <c r="E1265" s="1" t="s">
        <v>3158</v>
      </c>
      <c r="F1265" s="6" t="str">
        <f>IFERROR(__xludf.DUMMYFUNCTION("""COMPUTED_VALUE"""),"adds")</f>
        <v>adds</v>
      </c>
      <c r="H1265" s="1" t="s">
        <v>3605</v>
      </c>
      <c r="I1265" s="6" t="str">
        <f>IFERROR(__xludf.DUMMYFUNCTION("""COMPUTED_VALUE"""),"older")</f>
        <v>older</v>
      </c>
      <c r="S1265" s="1" t="s">
        <v>1077</v>
      </c>
      <c r="T1265" s="6" t="str">
        <f>IFERROR(__xludf.DUMMYFUNCTION("""COMPUTED_VALUE"""),"natural")</f>
        <v>natural</v>
      </c>
      <c r="W1265" s="8"/>
      <c r="AJ1265" s="1" t="s">
        <v>2459</v>
      </c>
      <c r="AM1265" s="1" t="s">
        <v>676</v>
      </c>
    </row>
    <row r="1266">
      <c r="E1266" s="1" t="s">
        <v>4269</v>
      </c>
      <c r="F1266" s="6" t="str">
        <f>IFERROR(__xludf.DUMMYFUNCTION("""COMPUTED_VALUE"""),"solemn")</f>
        <v>solemn</v>
      </c>
      <c r="H1266" s="1" t="s">
        <v>1420</v>
      </c>
      <c r="I1266" s="6" t="str">
        <f>IFERROR(__xludf.DUMMYFUNCTION("""COMPUTED_VALUE"""),"collapses")</f>
        <v>collapses</v>
      </c>
      <c r="S1266" s="1" t="s">
        <v>1102</v>
      </c>
      <c r="T1266" s="6" t="str">
        <f>IFERROR(__xludf.DUMMYFUNCTION("""COMPUTED_VALUE"""),"slim")</f>
        <v>slim</v>
      </c>
      <c r="W1266" s="8"/>
      <c r="AJ1266" s="1" t="s">
        <v>2462</v>
      </c>
      <c r="AM1266" s="1" t="s">
        <v>2625</v>
      </c>
    </row>
    <row r="1267">
      <c r="E1267" s="1" t="s">
        <v>4270</v>
      </c>
      <c r="F1267" s="6" t="str">
        <f>IFERROR(__xludf.DUMMYFUNCTION("""COMPUTED_VALUE"""),"improvement")</f>
        <v>improvement</v>
      </c>
      <c r="H1267" s="1" t="s">
        <v>4116</v>
      </c>
      <c r="I1267" s="6" t="str">
        <f>IFERROR(__xludf.DUMMYFUNCTION("""COMPUTED_VALUE"""),"consciousness")</f>
        <v>consciousness</v>
      </c>
      <c r="S1267" s="1" t="s">
        <v>2460</v>
      </c>
      <c r="T1267" s="6" t="str">
        <f>IFERROR(__xludf.DUMMYFUNCTION("""COMPUTED_VALUE"""),"abandoned")</f>
        <v>abandoned</v>
      </c>
      <c r="W1267" s="8"/>
      <c r="AJ1267" s="1" t="s">
        <v>2466</v>
      </c>
      <c r="AM1267" s="1" t="s">
        <v>3786</v>
      </c>
    </row>
    <row r="1268">
      <c r="E1268" s="1" t="s">
        <v>1054</v>
      </c>
      <c r="F1268" s="6" t="str">
        <f>IFERROR(__xludf.DUMMYFUNCTION("""COMPUTED_VALUE"""),"soldiers")</f>
        <v>soldiers</v>
      </c>
      <c r="H1268" s="1" t="s">
        <v>3905</v>
      </c>
      <c r="I1268" s="6" t="str">
        <f>IFERROR(__xludf.DUMMYFUNCTION("""COMPUTED_VALUE"""),"conceptual")</f>
        <v>conceptual</v>
      </c>
      <c r="S1268" s="1" t="s">
        <v>2436</v>
      </c>
      <c r="T1268" s="6" t="str">
        <f>IFERROR(__xludf.DUMMYFUNCTION("""COMPUTED_VALUE"""),"finale")</f>
        <v>finale</v>
      </c>
      <c r="W1268" s="8"/>
      <c r="AJ1268" s="1" t="s">
        <v>2470</v>
      </c>
      <c r="AM1268" s="1" t="s">
        <v>850</v>
      </c>
    </row>
    <row r="1269">
      <c r="E1269" s="1" t="s">
        <v>1058</v>
      </c>
      <c r="F1269" s="6" t="str">
        <f>IFERROR(__xludf.DUMMYFUNCTION("""COMPUTED_VALUE"""),"spiked")</f>
        <v>spiked</v>
      </c>
      <c r="H1269" s="1" t="s">
        <v>2468</v>
      </c>
      <c r="I1269" s="6" t="str">
        <f>IFERROR(__xludf.DUMMYFUNCTION("""COMPUTED_VALUE"""),"puzzle")</f>
        <v>puzzle</v>
      </c>
      <c r="S1269" s="1" t="s">
        <v>4271</v>
      </c>
      <c r="T1269" s="6" t="str">
        <f>IFERROR(__xludf.DUMMYFUNCTION("""COMPUTED_VALUE"""),"zipper")</f>
        <v>zipper</v>
      </c>
      <c r="W1269" s="8"/>
      <c r="AJ1269" s="1" t="s">
        <v>1629</v>
      </c>
      <c r="AM1269" s="1" t="s">
        <v>3793</v>
      </c>
    </row>
    <row r="1270">
      <c r="E1270" s="1" t="s">
        <v>3163</v>
      </c>
      <c r="F1270" s="6" t="str">
        <f>IFERROR(__xludf.DUMMYFUNCTION("""COMPUTED_VALUE"""),"lawrence")</f>
        <v>lawrence</v>
      </c>
      <c r="H1270" s="1" t="s">
        <v>773</v>
      </c>
      <c r="I1270" s="6" t="str">
        <f>IFERROR(__xludf.DUMMYFUNCTION("""COMPUTED_VALUE"""),"sorority")</f>
        <v>sorority</v>
      </c>
      <c r="S1270" s="1" t="s">
        <v>4272</v>
      </c>
      <c r="T1270" s="6" t="str">
        <f>IFERROR(__xludf.DUMMYFUNCTION("""COMPUTED_VALUE"""),"rode")</f>
        <v>rode</v>
      </c>
      <c r="W1270" s="8"/>
      <c r="AJ1270" s="1" t="s">
        <v>1461</v>
      </c>
      <c r="AM1270" s="1" t="s">
        <v>589</v>
      </c>
    </row>
    <row r="1271">
      <c r="E1271" s="1" t="s">
        <v>897</v>
      </c>
      <c r="F1271" s="6" t="str">
        <f>IFERROR(__xludf.DUMMYFUNCTION("""COMPUTED_VALUE"""),"textbook")</f>
        <v>textbook</v>
      </c>
      <c r="H1271" s="1" t="s">
        <v>3392</v>
      </c>
      <c r="I1271" s="6" t="str">
        <f>IFERROR(__xludf.DUMMYFUNCTION("""COMPUTED_VALUE"""),"naturally")</f>
        <v>naturally</v>
      </c>
      <c r="S1271" s="1" t="s">
        <v>4273</v>
      </c>
      <c r="T1271" s="6" t="str">
        <f>IFERROR(__xludf.DUMMYFUNCTION("""COMPUTED_VALUE"""),"reflective")</f>
        <v>reflective</v>
      </c>
      <c r="W1271" s="8"/>
      <c r="AJ1271" s="1" t="s">
        <v>1366</v>
      </c>
      <c r="AM1271" s="1" t="s">
        <v>2564</v>
      </c>
    </row>
    <row r="1272">
      <c r="E1272" s="1" t="s">
        <v>901</v>
      </c>
      <c r="F1272" s="6" t="str">
        <f>IFERROR(__xludf.DUMMYFUNCTION("""COMPUTED_VALUE"""),"barbed")</f>
        <v>barbed</v>
      </c>
      <c r="H1272" s="1" t="s">
        <v>2473</v>
      </c>
      <c r="I1272" s="6" t="str">
        <f>IFERROR(__xludf.DUMMYFUNCTION("""COMPUTED_VALUE"""),"corpse")</f>
        <v>corpse</v>
      </c>
      <c r="S1272" s="1" t="s">
        <v>359</v>
      </c>
      <c r="T1272" s="6" t="str">
        <f>IFERROR(__xludf.DUMMYFUNCTION("""COMPUTED_VALUE"""),"threat")</f>
        <v>threat</v>
      </c>
      <c r="W1272" s="8"/>
      <c r="AJ1272" s="1" t="s">
        <v>4274</v>
      </c>
      <c r="AM1272" s="1" t="s">
        <v>2633</v>
      </c>
    </row>
    <row r="1273">
      <c r="E1273" s="1" t="s">
        <v>1531</v>
      </c>
      <c r="F1273" s="6" t="str">
        <f>IFERROR(__xludf.DUMMYFUNCTION("""COMPUTED_VALUE"""),"riot")</f>
        <v>riot</v>
      </c>
      <c r="H1273" s="1" t="s">
        <v>3614</v>
      </c>
      <c r="I1273" s="6" t="str">
        <f>IFERROR(__xludf.DUMMYFUNCTION("""COMPUTED_VALUE"""),"siege")</f>
        <v>siege</v>
      </c>
      <c r="S1273" s="1" t="s">
        <v>2645</v>
      </c>
      <c r="T1273" s="6" t="str">
        <f>IFERROR(__xludf.DUMMYFUNCTION("""COMPUTED_VALUE"""),"expense")</f>
        <v>expense</v>
      </c>
      <c r="W1273" s="8"/>
      <c r="AJ1273" s="1" t="s">
        <v>1374</v>
      </c>
      <c r="AM1273" s="1" t="s">
        <v>2567</v>
      </c>
    </row>
    <row r="1274">
      <c r="E1274" s="1" t="s">
        <v>783</v>
      </c>
      <c r="F1274" s="6" t="str">
        <f>IFERROR(__xludf.DUMMYFUNCTION("""COMPUTED_VALUE"""),"operatic")</f>
        <v>operatic</v>
      </c>
      <c r="H1274" s="1" t="s">
        <v>780</v>
      </c>
      <c r="I1274" s="6" t="str">
        <f>IFERROR(__xludf.DUMMYFUNCTION("""COMPUTED_VALUE"""),"gravity")</f>
        <v>gravity</v>
      </c>
      <c r="S1274" s="1" t="s">
        <v>4275</v>
      </c>
      <c r="T1274" s="6" t="str">
        <f>IFERROR(__xludf.DUMMYFUNCTION("""COMPUTED_VALUE"""),"nonsense")</f>
        <v>nonsense</v>
      </c>
      <c r="W1274" s="8"/>
      <c r="AJ1274" s="1" t="s">
        <v>4276</v>
      </c>
      <c r="AM1274" s="1" t="s">
        <v>2571</v>
      </c>
    </row>
    <row r="1275">
      <c r="E1275" s="1">
        <v>30.0</v>
      </c>
      <c r="F1275" s="6" t="str">
        <f>IFERROR(__xludf.DUMMYFUNCTION("""COMPUTED_VALUE"""),"limbs")</f>
        <v>limbs</v>
      </c>
      <c r="H1275" s="1" t="s">
        <v>2497</v>
      </c>
      <c r="I1275" s="6" t="str">
        <f>IFERROR(__xludf.DUMMYFUNCTION("""COMPUTED_VALUE"""),"popular")</f>
        <v>popular</v>
      </c>
      <c r="S1275" s="1" t="s">
        <v>797</v>
      </c>
      <c r="T1275" s="6" t="str">
        <f>IFERROR(__xludf.DUMMYFUNCTION("""COMPUTED_VALUE"""),"snaps")</f>
        <v>snaps</v>
      </c>
      <c r="W1275" s="8"/>
      <c r="AJ1275" s="1" t="s">
        <v>1160</v>
      </c>
      <c r="AM1275" s="1" t="s">
        <v>667</v>
      </c>
    </row>
    <row r="1276">
      <c r="E1276" s="1" t="s">
        <v>1066</v>
      </c>
      <c r="F1276" s="6" t="str">
        <f>IFERROR(__xludf.DUMMYFUNCTION("""COMPUTED_VALUE"""),"disbelief")</f>
        <v>disbelief</v>
      </c>
      <c r="H1276" s="1" t="s">
        <v>311</v>
      </c>
      <c r="I1276" s="6" t="str">
        <f>IFERROR(__xludf.DUMMYFUNCTION("""COMPUTED_VALUE"""),"climax")</f>
        <v>climax</v>
      </c>
      <c r="S1276" s="1" t="s">
        <v>3061</v>
      </c>
      <c r="T1276" s="6" t="str">
        <f>IFERROR(__xludf.DUMMYFUNCTION("""COMPUTED_VALUE"""),"critical")</f>
        <v>critical</v>
      </c>
      <c r="W1276" s="8"/>
      <c r="AJ1276" s="1" t="s">
        <v>4277</v>
      </c>
      <c r="AM1276" s="1" t="s">
        <v>2576</v>
      </c>
    </row>
    <row r="1277">
      <c r="E1277" s="1" t="s">
        <v>714</v>
      </c>
      <c r="F1277" s="6" t="str">
        <f>IFERROR(__xludf.DUMMYFUNCTION("""COMPUTED_VALUE"""),"suspend")</f>
        <v>suspend</v>
      </c>
      <c r="H1277" s="1" t="s">
        <v>626</v>
      </c>
      <c r="I1277" s="6" t="str">
        <f>IFERROR(__xludf.DUMMYFUNCTION("""COMPUTED_VALUE"""),"neil")</f>
        <v>neil</v>
      </c>
      <c r="S1277" s="1" t="s">
        <v>4278</v>
      </c>
      <c r="T1277" s="6" t="str">
        <f>IFERROR(__xludf.DUMMYFUNCTION("""COMPUTED_VALUE"""),"convinced")</f>
        <v>convinced</v>
      </c>
      <c r="W1277" s="8"/>
      <c r="AJ1277" s="1" t="s">
        <v>3132</v>
      </c>
      <c r="AM1277" s="1" t="s">
        <v>4279</v>
      </c>
    </row>
    <row r="1278">
      <c r="E1278" s="1" t="s">
        <v>2912</v>
      </c>
      <c r="F1278" s="6" t="str">
        <f>IFERROR(__xludf.DUMMYFUNCTION("""COMPUTED_VALUE"""),"traditions")</f>
        <v>traditions</v>
      </c>
      <c r="H1278" s="1" t="s">
        <v>633</v>
      </c>
      <c r="I1278" s="6" t="str">
        <f>IFERROR(__xludf.DUMMYFUNCTION("""COMPUTED_VALUE"""),"jealousy")</f>
        <v>jealousy</v>
      </c>
      <c r="S1278" s="1" t="s">
        <v>4280</v>
      </c>
      <c r="T1278" s="6" t="str">
        <f>IFERROR(__xludf.DUMMYFUNCTION("""COMPUTED_VALUE"""),"tens")</f>
        <v>tens</v>
      </c>
      <c r="W1278" s="8"/>
      <c r="AJ1278" s="1" t="s">
        <v>2475</v>
      </c>
      <c r="AM1278" s="1" t="s">
        <v>866</v>
      </c>
    </row>
    <row r="1279">
      <c r="E1279" s="1" t="s">
        <v>3180</v>
      </c>
      <c r="F1279" s="6" t="str">
        <f>IFERROR(__xludf.DUMMYFUNCTION("""COMPUTED_VALUE"""),"pbs")</f>
        <v>pbs</v>
      </c>
      <c r="H1279" s="1" t="s">
        <v>1201</v>
      </c>
      <c r="I1279" s="6" t="str">
        <f>IFERROR(__xludf.DUMMYFUNCTION("""COMPUTED_VALUE"""),"christopher")</f>
        <v>christopher</v>
      </c>
      <c r="S1279" s="1" t="s">
        <v>4281</v>
      </c>
      <c r="T1279" s="6" t="str">
        <f>IFERROR(__xludf.DUMMYFUNCTION("""COMPUTED_VALUE"""),"teach")</f>
        <v>teach</v>
      </c>
      <c r="W1279" s="8"/>
      <c r="AJ1279" s="1" t="s">
        <v>1379</v>
      </c>
      <c r="AM1279" s="1" t="s">
        <v>862</v>
      </c>
    </row>
    <row r="1280">
      <c r="E1280" s="1" t="s">
        <v>2914</v>
      </c>
      <c r="F1280" s="6" t="str">
        <f>IFERROR(__xludf.DUMMYFUNCTION("""COMPUTED_VALUE"""),"contradictory")</f>
        <v>contradictory</v>
      </c>
      <c r="H1280" s="1" t="s">
        <v>2393</v>
      </c>
      <c r="I1280" s="6" t="str">
        <f>IFERROR(__xludf.DUMMYFUNCTION("""COMPUTED_VALUE"""),"classify")</f>
        <v>classify</v>
      </c>
      <c r="S1280" s="1" t="s">
        <v>4060</v>
      </c>
      <c r="T1280" s="6" t="str">
        <f>IFERROR(__xludf.DUMMYFUNCTION("""COMPUTED_VALUE"""),"eye")</f>
        <v>eye</v>
      </c>
      <c r="W1280" s="8"/>
      <c r="AJ1280" s="1" t="s">
        <v>2480</v>
      </c>
      <c r="AM1280" s="1" t="s">
        <v>2644</v>
      </c>
    </row>
    <row r="1281">
      <c r="E1281" s="1" t="s">
        <v>1383</v>
      </c>
      <c r="F1281" s="6" t="str">
        <f>IFERROR(__xludf.DUMMYFUNCTION("""COMPUTED_VALUE"""),"effortlessly")</f>
        <v>effortlessly</v>
      </c>
      <c r="H1281" s="1" t="s">
        <v>3626</v>
      </c>
      <c r="I1281" s="6" t="str">
        <f>IFERROR(__xludf.DUMMYFUNCTION("""COMPUTED_VALUE"""),"scores")</f>
        <v>scores</v>
      </c>
      <c r="S1281" s="1" t="s">
        <v>4282</v>
      </c>
      <c r="T1281" s="6" t="str">
        <f>IFERROR(__xludf.DUMMYFUNCTION("""COMPUTED_VALUE"""),"blind")</f>
        <v>blind</v>
      </c>
      <c r="W1281" s="8"/>
      <c r="AJ1281" s="1" t="s">
        <v>4283</v>
      </c>
      <c r="AM1281" s="1" t="s">
        <v>3814</v>
      </c>
    </row>
    <row r="1282">
      <c r="E1282" s="1" t="s">
        <v>4078</v>
      </c>
      <c r="F1282" s="6" t="str">
        <f>IFERROR(__xludf.DUMMYFUNCTION("""COMPUTED_VALUE"""),"straining")</f>
        <v>straining</v>
      </c>
      <c r="H1282" s="1" t="s">
        <v>3628</v>
      </c>
      <c r="I1282" s="6" t="str">
        <f>IFERROR(__xludf.DUMMYFUNCTION("""COMPUTED_VALUE"""),"warrior")</f>
        <v>warrior</v>
      </c>
      <c r="S1282" s="1" t="s">
        <v>2183</v>
      </c>
      <c r="T1282" s="6" t="str">
        <f>IFERROR(__xludf.DUMMYFUNCTION("""COMPUTED_VALUE"""),"accept")</f>
        <v>accept</v>
      </c>
      <c r="W1282" s="8"/>
      <c r="AJ1282" s="1" t="s">
        <v>3635</v>
      </c>
      <c r="AM1282" s="1" t="s">
        <v>3816</v>
      </c>
    </row>
    <row r="1283">
      <c r="E1283" s="1" t="s">
        <v>3184</v>
      </c>
      <c r="F1283" s="6" t="str">
        <f>IFERROR(__xludf.DUMMYFUNCTION("""COMPUTED_VALUE"""),"sparks")</f>
        <v>sparks</v>
      </c>
      <c r="H1283" s="1" t="s">
        <v>2483</v>
      </c>
      <c r="I1283" s="6" t="str">
        <f>IFERROR(__xludf.DUMMYFUNCTION("""COMPUTED_VALUE"""),"proud")</f>
        <v>proud</v>
      </c>
      <c r="S1283" s="1" t="s">
        <v>2809</v>
      </c>
      <c r="T1283" s="6" t="str">
        <f>IFERROR(__xludf.DUMMYFUNCTION("""COMPUTED_VALUE"""),"possess")</f>
        <v>possess</v>
      </c>
      <c r="W1283" s="8"/>
      <c r="AJ1283" s="1" t="s">
        <v>2482</v>
      </c>
      <c r="AM1283" s="1" t="s">
        <v>4284</v>
      </c>
    </row>
    <row r="1284">
      <c r="E1284" s="1" t="s">
        <v>4285</v>
      </c>
      <c r="F1284" s="6" t="str">
        <f>IFERROR(__xludf.DUMMYFUNCTION("""COMPUTED_VALUE"""),"cumulative")</f>
        <v>cumulative</v>
      </c>
      <c r="H1284" s="1" t="s">
        <v>640</v>
      </c>
      <c r="I1284" s="6" t="str">
        <f>IFERROR(__xludf.DUMMYFUNCTION("""COMPUTED_VALUE"""),"autobiographical")</f>
        <v>autobiographical</v>
      </c>
      <c r="S1284" s="1" t="s">
        <v>4286</v>
      </c>
      <c r="T1284" s="6" t="str">
        <f>IFERROR(__xludf.DUMMYFUNCTION("""COMPUTED_VALUE"""),"crawl")</f>
        <v>crawl</v>
      </c>
      <c r="W1284" s="8"/>
      <c r="AJ1284" s="1" t="s">
        <v>4287</v>
      </c>
      <c r="AM1284" s="1" t="s">
        <v>4288</v>
      </c>
    </row>
    <row r="1285">
      <c r="E1285" s="1" t="s">
        <v>2917</v>
      </c>
      <c r="F1285" s="6" t="str">
        <f>IFERROR(__xludf.DUMMYFUNCTION("""COMPUTED_VALUE"""),"visionary")</f>
        <v>visionary</v>
      </c>
      <c r="H1285" s="1" t="s">
        <v>3633</v>
      </c>
      <c r="I1285" s="6" t="str">
        <f>IFERROR(__xludf.DUMMYFUNCTION("""COMPUTED_VALUE"""),"crafted")</f>
        <v>crafted</v>
      </c>
      <c r="S1285" s="1" t="s">
        <v>4289</v>
      </c>
      <c r="T1285" s="6" t="str">
        <f>IFERROR(__xludf.DUMMYFUNCTION("""COMPUTED_VALUE"""),"single")</f>
        <v>single</v>
      </c>
      <c r="W1285" s="8"/>
      <c r="AJ1285" s="1" t="s">
        <v>2485</v>
      </c>
      <c r="AM1285" s="1" t="s">
        <v>880</v>
      </c>
    </row>
    <row r="1286">
      <c r="E1286" s="1" t="s">
        <v>3192</v>
      </c>
      <c r="F1286" s="6" t="str">
        <f>IFERROR(__xludf.DUMMYFUNCTION("""COMPUTED_VALUE"""),"creed")</f>
        <v>creed</v>
      </c>
      <c r="H1286" s="1" t="s">
        <v>3637</v>
      </c>
      <c r="I1286" s="6" t="str">
        <f>IFERROR(__xludf.DUMMYFUNCTION("""COMPUTED_VALUE"""),"convention")</f>
        <v>convention</v>
      </c>
      <c r="S1286" s="1" t="s">
        <v>4290</v>
      </c>
      <c r="T1286" s="6" t="str">
        <f>IFERROR(__xludf.DUMMYFUNCTION("""COMPUTED_VALUE"""),"unrelated")</f>
        <v>unrelated</v>
      </c>
      <c r="W1286" s="8"/>
      <c r="AJ1286" s="1" t="s">
        <v>4291</v>
      </c>
      <c r="AM1286" s="1" t="s">
        <v>3821</v>
      </c>
    </row>
    <row r="1287">
      <c r="E1287" s="1" t="s">
        <v>2101</v>
      </c>
      <c r="F1287" s="6" t="str">
        <f>IFERROR(__xludf.DUMMYFUNCTION("""COMPUTED_VALUE"""),"ferrara")</f>
        <v>ferrara</v>
      </c>
      <c r="H1287" s="1" t="s">
        <v>4292</v>
      </c>
      <c r="I1287" s="6" t="str">
        <f>IFERROR(__xludf.DUMMYFUNCTION("""COMPUTED_VALUE"""),"urgently")</f>
        <v>urgently</v>
      </c>
      <c r="S1287" s="1" t="s">
        <v>1430</v>
      </c>
      <c r="T1287" s="6" t="str">
        <f>IFERROR(__xludf.DUMMYFUNCTION("""COMPUTED_VALUE"""),"adjective")</f>
        <v>adjective</v>
      </c>
      <c r="W1287" s="8"/>
      <c r="AJ1287" s="1" t="s">
        <v>2486</v>
      </c>
      <c r="AM1287" s="1" t="s">
        <v>1308</v>
      </c>
    </row>
    <row r="1288">
      <c r="E1288" s="1" t="s">
        <v>1076</v>
      </c>
      <c r="F1288" s="6" t="str">
        <f>IFERROR(__xludf.DUMMYFUNCTION("""COMPUTED_VALUE"""),"abel")</f>
        <v>abel</v>
      </c>
      <c r="H1288" s="1" t="s">
        <v>2516</v>
      </c>
      <c r="I1288" s="6" t="str">
        <f>IFERROR(__xludf.DUMMYFUNCTION("""COMPUTED_VALUE"""),"gasping")</f>
        <v>gasping</v>
      </c>
      <c r="S1288" s="1" t="s">
        <v>1609</v>
      </c>
      <c r="T1288" s="6" t="str">
        <f>IFERROR(__xludf.DUMMYFUNCTION("""COMPUTED_VALUE"""),"grandfather")</f>
        <v>grandfather</v>
      </c>
      <c r="W1288" s="8"/>
      <c r="AJ1288" s="1" t="s">
        <v>1641</v>
      </c>
      <c r="AM1288" s="1" t="s">
        <v>1316</v>
      </c>
    </row>
    <row r="1289">
      <c r="E1289" s="1" t="s">
        <v>4293</v>
      </c>
      <c r="F1289" s="6" t="str">
        <f>IFERROR(__xludf.DUMMYFUNCTION("""COMPUTED_VALUE"""),"reliance")</f>
        <v>reliance</v>
      </c>
      <c r="H1289" s="1" t="s">
        <v>2488</v>
      </c>
      <c r="I1289" s="6" t="str">
        <f>IFERROR(__xludf.DUMMYFUNCTION("""COMPUTED_VALUE"""),"workings")</f>
        <v>workings</v>
      </c>
      <c r="S1289" s="1" t="s">
        <v>883</v>
      </c>
      <c r="T1289" s="6" t="str">
        <f>IFERROR(__xludf.DUMMYFUNCTION("""COMPUTED_VALUE"""),"strained")</f>
        <v>strained</v>
      </c>
      <c r="W1289" s="8"/>
      <c r="AJ1289" s="1" t="s">
        <v>1647</v>
      </c>
      <c r="AM1289" s="1" t="s">
        <v>2584</v>
      </c>
    </row>
    <row r="1290">
      <c r="E1290" s="1" t="s">
        <v>3195</v>
      </c>
      <c r="F1290" s="6" t="str">
        <f>IFERROR(__xludf.DUMMYFUNCTION("""COMPUTED_VALUE"""),"weighted")</f>
        <v>weighted</v>
      </c>
      <c r="H1290" s="1" t="s">
        <v>733</v>
      </c>
      <c r="I1290" s="6" t="str">
        <f>IFERROR(__xludf.DUMMYFUNCTION("""COMPUTED_VALUE"""),"heightened")</f>
        <v>heightened</v>
      </c>
      <c r="S1290" s="1" t="s">
        <v>4294</v>
      </c>
      <c r="T1290" s="6" t="str">
        <f>IFERROR(__xludf.DUMMYFUNCTION("""COMPUTED_VALUE"""),"figures")</f>
        <v>figures</v>
      </c>
      <c r="W1290" s="8"/>
      <c r="AJ1290" s="1" t="s">
        <v>2491</v>
      </c>
      <c r="AM1290" s="1" t="s">
        <v>2581</v>
      </c>
    </row>
    <row r="1291">
      <c r="E1291" s="1" t="s">
        <v>3198</v>
      </c>
      <c r="F1291" s="6" t="str">
        <f>IFERROR(__xludf.DUMMYFUNCTION("""COMPUTED_VALUE"""),"toilet")</f>
        <v>toilet</v>
      </c>
      <c r="H1291" s="1" t="s">
        <v>2490</v>
      </c>
      <c r="I1291" s="6" t="str">
        <f>IFERROR(__xludf.DUMMYFUNCTION("""COMPUTED_VALUE"""),"virtues")</f>
        <v>virtues</v>
      </c>
      <c r="S1291" s="1" t="s">
        <v>2769</v>
      </c>
      <c r="T1291" s="6" t="str">
        <f>IFERROR(__xludf.DUMMYFUNCTION("""COMPUTED_VALUE"""),"imaginative")</f>
        <v>imaginative</v>
      </c>
      <c r="W1291" s="8"/>
      <c r="AJ1291" s="1" t="s">
        <v>2495</v>
      </c>
      <c r="AM1291" s="1" t="s">
        <v>1321</v>
      </c>
    </row>
    <row r="1292">
      <c r="E1292" s="1" t="s">
        <v>2921</v>
      </c>
      <c r="F1292" s="6" t="str">
        <f>IFERROR(__xludf.DUMMYFUNCTION("""COMPUTED_VALUE"""),"academy")</f>
        <v>academy</v>
      </c>
      <c r="H1292" s="1" t="s">
        <v>3644</v>
      </c>
      <c r="I1292" s="6" t="str">
        <f>IFERROR(__xludf.DUMMYFUNCTION("""COMPUTED_VALUE"""),"cameo")</f>
        <v>cameo</v>
      </c>
      <c r="S1292" s="1" t="s">
        <v>4295</v>
      </c>
      <c r="T1292" s="6" t="str">
        <f>IFERROR(__xludf.DUMMYFUNCTION("""COMPUTED_VALUE"""),"digest")</f>
        <v>digest</v>
      </c>
      <c r="W1292" s="8"/>
      <c r="AJ1292" s="1" t="s">
        <v>4296</v>
      </c>
      <c r="AM1292" s="1" t="s">
        <v>2656</v>
      </c>
    </row>
    <row r="1293">
      <c r="E1293" s="1" t="s">
        <v>1943</v>
      </c>
      <c r="F1293" s="6" t="str">
        <f>IFERROR(__xludf.DUMMYFUNCTION("""COMPUTED_VALUE"""),"equation")</f>
        <v>equation</v>
      </c>
      <c r="H1293" s="1" t="s">
        <v>2521</v>
      </c>
      <c r="I1293" s="6" t="str">
        <f>IFERROR(__xludf.DUMMYFUNCTION("""COMPUTED_VALUE"""),"abyss")</f>
        <v>abyss</v>
      </c>
      <c r="S1293" s="1" t="s">
        <v>4297</v>
      </c>
      <c r="T1293" s="6" t="str">
        <f>IFERROR(__xludf.DUMMYFUNCTION("""COMPUTED_VALUE"""),"mounting")</f>
        <v>mounting</v>
      </c>
      <c r="W1293" s="8"/>
      <c r="AJ1293" s="1" t="s">
        <v>1384</v>
      </c>
      <c r="AM1293" s="1" t="s">
        <v>2660</v>
      </c>
    </row>
    <row r="1294">
      <c r="E1294" s="1" t="s">
        <v>4298</v>
      </c>
      <c r="F1294" s="6" t="str">
        <f>IFERROR(__xludf.DUMMYFUNCTION("""COMPUTED_VALUE"""),"molina")</f>
        <v>molina</v>
      </c>
      <c r="H1294" s="1" t="s">
        <v>4299</v>
      </c>
      <c r="I1294" s="6" t="str">
        <f>IFERROR(__xludf.DUMMYFUNCTION("""COMPUTED_VALUE"""),"depression")</f>
        <v>depression</v>
      </c>
      <c r="S1294" s="1" t="s">
        <v>4300</v>
      </c>
      <c r="T1294" s="6" t="str">
        <f>IFERROR(__xludf.DUMMYFUNCTION("""COMPUTED_VALUE"""),"composition")</f>
        <v>composition</v>
      </c>
      <c r="W1294" s="8"/>
      <c r="AJ1294" s="1" t="s">
        <v>2499</v>
      </c>
      <c r="AM1294" s="1" t="s">
        <v>2665</v>
      </c>
    </row>
    <row r="1295">
      <c r="E1295" s="1" t="s">
        <v>4301</v>
      </c>
      <c r="F1295" s="6" t="str">
        <f>IFERROR(__xludf.DUMMYFUNCTION("""COMPUTED_VALUE"""),"arresting")</f>
        <v>arresting</v>
      </c>
      <c r="H1295" s="1" t="s">
        <v>3649</v>
      </c>
      <c r="I1295" s="6" t="str">
        <f>IFERROR(__xludf.DUMMYFUNCTION("""COMPUTED_VALUE"""),"sinks")</f>
        <v>sinks</v>
      </c>
      <c r="S1295" s="1" t="s">
        <v>1136</v>
      </c>
      <c r="T1295" s="6" t="str">
        <f>IFERROR(__xludf.DUMMYFUNCTION("""COMPUTED_VALUE"""),"viewed")</f>
        <v>viewed</v>
      </c>
      <c r="W1295" s="8"/>
      <c r="AJ1295" s="1" t="s">
        <v>2501</v>
      </c>
      <c r="AM1295" s="1" t="s">
        <v>730</v>
      </c>
    </row>
    <row r="1296">
      <c r="E1296" s="1" t="s">
        <v>4302</v>
      </c>
      <c r="F1296" s="6" t="str">
        <f>IFERROR(__xludf.DUMMYFUNCTION("""COMPUTED_VALUE"""),"craven")</f>
        <v>craven</v>
      </c>
      <c r="H1296" s="1" t="s">
        <v>2493</v>
      </c>
      <c r="I1296" s="6" t="str">
        <f>IFERROR(__xludf.DUMMYFUNCTION("""COMPUTED_VALUE"""),"eroded")</f>
        <v>eroded</v>
      </c>
      <c r="S1296" s="1" t="s">
        <v>4303</v>
      </c>
      <c r="T1296" s="6" t="str">
        <f>IFERROR(__xludf.DUMMYFUNCTION("""COMPUTED_VALUE"""),"credible")</f>
        <v>credible</v>
      </c>
      <c r="W1296" s="8"/>
      <c r="AJ1296" s="1" t="s">
        <v>4304</v>
      </c>
      <c r="AM1296" s="1" t="s">
        <v>4305</v>
      </c>
    </row>
    <row r="1297">
      <c r="E1297" s="1" t="s">
        <v>4306</v>
      </c>
      <c r="F1297" s="6" t="str">
        <f>IFERROR(__xludf.DUMMYFUNCTION("""COMPUTED_VALUE"""),"soul")</f>
        <v>soul</v>
      </c>
      <c r="H1297" s="1" t="s">
        <v>4307</v>
      </c>
      <c r="I1297" s="6" t="str">
        <f>IFERROR(__xludf.DUMMYFUNCTION("""COMPUTED_VALUE"""),"flawed")</f>
        <v>flawed</v>
      </c>
      <c r="S1297" s="1" t="s">
        <v>4308</v>
      </c>
      <c r="T1297" s="6" t="str">
        <f>IFERROR(__xludf.DUMMYFUNCTION("""COMPUTED_VALUE"""),"mature")</f>
        <v>mature</v>
      </c>
      <c r="W1297" s="8"/>
      <c r="AJ1297" s="1" t="s">
        <v>4309</v>
      </c>
      <c r="AM1297" s="1" t="s">
        <v>2594</v>
      </c>
    </row>
    <row r="1298">
      <c r="E1298" s="1" t="s">
        <v>4310</v>
      </c>
      <c r="F1298" s="6" t="str">
        <f>IFERROR(__xludf.DUMMYFUNCTION("""COMPUTED_VALUE"""),"warriors")</f>
        <v>warriors</v>
      </c>
      <c r="H1298" s="1" t="s">
        <v>4311</v>
      </c>
      <c r="I1298" s="6" t="str">
        <f>IFERROR(__xludf.DUMMYFUNCTION("""COMPUTED_VALUE"""),"comprehend")</f>
        <v>comprehend</v>
      </c>
      <c r="S1298" s="1" t="s">
        <v>2864</v>
      </c>
      <c r="T1298" s="6" t="str">
        <f>IFERROR(__xludf.DUMMYFUNCTION("""COMPUTED_VALUE"""),"highlighted")</f>
        <v>highlighted</v>
      </c>
      <c r="W1298" s="8"/>
      <c r="AJ1298" s="1" t="s">
        <v>1390</v>
      </c>
      <c r="AM1298" s="1" t="s">
        <v>690</v>
      </c>
    </row>
    <row r="1299">
      <c r="E1299" s="1" t="s">
        <v>4312</v>
      </c>
      <c r="F1299" s="6" t="str">
        <f>IFERROR(__xludf.DUMMYFUNCTION("""COMPUTED_VALUE"""),"transparent")</f>
        <v>transparent</v>
      </c>
      <c r="H1299" s="1" t="s">
        <v>4150</v>
      </c>
      <c r="I1299" s="6" t="str">
        <f>IFERROR(__xludf.DUMMYFUNCTION("""COMPUTED_VALUE"""),"treat")</f>
        <v>treat</v>
      </c>
      <c r="S1299" s="1" t="s">
        <v>2807</v>
      </c>
      <c r="T1299" s="6" t="str">
        <f>IFERROR(__xludf.DUMMYFUNCTION("""COMPUTED_VALUE"""),"ensuing")</f>
        <v>ensuing</v>
      </c>
      <c r="W1299" s="8"/>
      <c r="AJ1299" s="1" t="s">
        <v>3658</v>
      </c>
      <c r="AM1299" s="1" t="s">
        <v>698</v>
      </c>
    </row>
    <row r="1300">
      <c r="E1300" s="1" t="s">
        <v>4313</v>
      </c>
      <c r="F1300" s="6" t="str">
        <f>IFERROR(__xludf.DUMMYFUNCTION("""COMPUTED_VALUE"""),"mick")</f>
        <v>mick</v>
      </c>
      <c r="H1300" s="1" t="s">
        <v>3760</v>
      </c>
      <c r="I1300" s="6" t="str">
        <f>IFERROR(__xludf.DUMMYFUNCTION("""COMPUTED_VALUE"""),"lifts")</f>
        <v>lifts</v>
      </c>
      <c r="S1300" s="1" t="s">
        <v>4314</v>
      </c>
      <c r="T1300" s="6" t="str">
        <f>IFERROR(__xludf.DUMMYFUNCTION("""COMPUTED_VALUE"""),"complications")</f>
        <v>complications</v>
      </c>
      <c r="W1300" s="8"/>
      <c r="AJ1300" s="1" t="s">
        <v>695</v>
      </c>
      <c r="AM1300" s="1" t="s">
        <v>2600</v>
      </c>
    </row>
    <row r="1301">
      <c r="E1301" s="1" t="s">
        <v>2931</v>
      </c>
      <c r="F1301" s="6" t="str">
        <f>IFERROR(__xludf.DUMMYFUNCTION("""COMPUTED_VALUE"""),"hewitt")</f>
        <v>hewitt</v>
      </c>
      <c r="H1301" s="1" t="s">
        <v>4315</v>
      </c>
      <c r="I1301" s="6" t="str">
        <f>IFERROR(__xludf.DUMMYFUNCTION("""COMPUTED_VALUE"""),"gloss")</f>
        <v>gloss</v>
      </c>
      <c r="S1301" s="1" t="s">
        <v>45</v>
      </c>
      <c r="T1301" s="6" t="str">
        <f>IFERROR(__xludf.DUMMYFUNCTION("""COMPUTED_VALUE"""),"shifting")</f>
        <v>shifting</v>
      </c>
      <c r="W1301" s="8"/>
      <c r="AJ1301" s="1" t="s">
        <v>4316</v>
      </c>
      <c r="AM1301" s="1" t="s">
        <v>4317</v>
      </c>
    </row>
    <row r="1302">
      <c r="E1302" s="1" t="s">
        <v>4318</v>
      </c>
      <c r="F1302" s="6" t="str">
        <f>IFERROR(__xludf.DUMMYFUNCTION("""COMPUTED_VALUE"""),"inadequate")</f>
        <v>inadequate</v>
      </c>
      <c r="H1302" s="1" t="s">
        <v>4153</v>
      </c>
      <c r="I1302" s="6" t="str">
        <f>IFERROR(__xludf.DUMMYFUNCTION("""COMPUTED_VALUE"""),"regain")</f>
        <v>regain</v>
      </c>
      <c r="S1302" s="1" t="s">
        <v>4319</v>
      </c>
      <c r="T1302" s="6" t="str">
        <f>IFERROR(__xludf.DUMMYFUNCTION("""COMPUTED_VALUE"""),"layer")</f>
        <v>layer</v>
      </c>
      <c r="W1302" s="8"/>
      <c r="AJ1302" s="1" t="s">
        <v>4320</v>
      </c>
      <c r="AM1302" s="1" t="s">
        <v>4321</v>
      </c>
    </row>
    <row r="1303">
      <c r="E1303" s="1" t="s">
        <v>2565</v>
      </c>
      <c r="F1303" s="6" t="str">
        <f>IFERROR(__xludf.DUMMYFUNCTION("""COMPUTED_VALUE"""),"adrenaline")</f>
        <v>adrenaline</v>
      </c>
      <c r="H1303" s="1" t="s">
        <v>3655</v>
      </c>
      <c r="I1303" s="6" t="str">
        <f>IFERROR(__xludf.DUMMYFUNCTION("""COMPUTED_VALUE"""),"manipulation")</f>
        <v>manipulation</v>
      </c>
      <c r="S1303" s="1" t="s">
        <v>4322</v>
      </c>
      <c r="T1303" s="6" t="str">
        <f>IFERROR(__xludf.DUMMYFUNCTION("""COMPUTED_VALUE"""),"commerce")</f>
        <v>commerce</v>
      </c>
      <c r="W1303" s="8"/>
      <c r="AJ1303" s="1" t="s">
        <v>4323</v>
      </c>
      <c r="AM1303" s="1" t="s">
        <v>1340</v>
      </c>
    </row>
    <row r="1304">
      <c r="E1304" s="1" t="s">
        <v>4324</v>
      </c>
      <c r="F1304" s="6" t="str">
        <f>IFERROR(__xludf.DUMMYFUNCTION("""COMPUTED_VALUE"""),"giggle")</f>
        <v>giggle</v>
      </c>
      <c r="H1304" s="1" t="s">
        <v>259</v>
      </c>
      <c r="I1304" s="6" t="str">
        <f>IFERROR(__xludf.DUMMYFUNCTION("""COMPUTED_VALUE"""),"optimism")</f>
        <v>optimism</v>
      </c>
      <c r="S1304" s="1" t="s">
        <v>4119</v>
      </c>
      <c r="T1304" s="6" t="str">
        <f>IFERROR(__xludf.DUMMYFUNCTION("""COMPUTED_VALUE"""),"subtly")</f>
        <v>subtly</v>
      </c>
      <c r="W1304" s="8"/>
      <c r="AJ1304" s="1" t="s">
        <v>2508</v>
      </c>
      <c r="AM1304" s="1" t="s">
        <v>2679</v>
      </c>
    </row>
    <row r="1305">
      <c r="E1305" s="1" t="s">
        <v>3211</v>
      </c>
      <c r="F1305" s="6" t="str">
        <f>IFERROR(__xludf.DUMMYFUNCTION("""COMPUTED_VALUE"""),"gang")</f>
        <v>gang</v>
      </c>
      <c r="H1305" s="1" t="s">
        <v>561</v>
      </c>
      <c r="I1305" s="6" t="str">
        <f>IFERROR(__xludf.DUMMYFUNCTION("""COMPUTED_VALUE"""),"hughes")</f>
        <v>hughes</v>
      </c>
      <c r="S1305" s="1" t="s">
        <v>4325</v>
      </c>
      <c r="T1305" s="6" t="str">
        <f>IFERROR(__xludf.DUMMYFUNCTION("""COMPUTED_VALUE"""),"waltz")</f>
        <v>waltz</v>
      </c>
      <c r="W1305" s="8"/>
      <c r="AJ1305" s="1" t="s">
        <v>2511</v>
      </c>
      <c r="AM1305" s="1" t="s">
        <v>2604</v>
      </c>
    </row>
    <row r="1306">
      <c r="E1306" s="1" t="s">
        <v>4326</v>
      </c>
      <c r="F1306" s="6" t="str">
        <f>IFERROR(__xludf.DUMMYFUNCTION("""COMPUTED_VALUE"""),"preserving")</f>
        <v>preserving</v>
      </c>
      <c r="H1306" s="1" t="s">
        <v>2537</v>
      </c>
      <c r="I1306" s="6" t="str">
        <f>IFERROR(__xludf.DUMMYFUNCTION("""COMPUTED_VALUE"""),"elder")</f>
        <v>elder</v>
      </c>
      <c r="S1306" s="1" t="s">
        <v>2928</v>
      </c>
      <c r="T1306" s="6" t="str">
        <f>IFERROR(__xludf.DUMMYFUNCTION("""COMPUTED_VALUE"""),"provoke")</f>
        <v>provoke</v>
      </c>
      <c r="W1306" s="8"/>
      <c r="AJ1306" s="1" t="s">
        <v>2515</v>
      </c>
      <c r="AM1306" s="1" t="s">
        <v>4327</v>
      </c>
    </row>
    <row r="1307">
      <c r="E1307" s="1" t="s">
        <v>3214</v>
      </c>
      <c r="F1307" s="6" t="str">
        <f>IFERROR(__xludf.DUMMYFUNCTION("""COMPUTED_VALUE"""),"tendency")</f>
        <v>tendency</v>
      </c>
      <c r="H1307" s="1" t="s">
        <v>2538</v>
      </c>
      <c r="I1307" s="6" t="str">
        <f>IFERROR(__xludf.DUMMYFUNCTION("""COMPUTED_VALUE"""),"musical")</f>
        <v>musical</v>
      </c>
      <c r="S1307" s="1" t="s">
        <v>2737</v>
      </c>
      <c r="T1307" s="6" t="str">
        <f>IFERROR(__xludf.DUMMYFUNCTION("""COMPUTED_VALUE"""),"older")</f>
        <v>older</v>
      </c>
      <c r="W1307" s="8"/>
      <c r="AJ1307" s="1" t="s">
        <v>1675</v>
      </c>
      <c r="AM1307" s="1" t="s">
        <v>704</v>
      </c>
    </row>
    <row r="1308">
      <c r="E1308" s="1" t="s">
        <v>1727</v>
      </c>
      <c r="F1308" s="6" t="str">
        <f>IFERROR(__xludf.DUMMYFUNCTION("""COMPUTED_VALUE"""),"lectures")</f>
        <v>lectures</v>
      </c>
      <c r="H1308" s="1" t="s">
        <v>1218</v>
      </c>
      <c r="I1308" s="6" t="str">
        <f>IFERROR(__xludf.DUMMYFUNCTION("""COMPUTED_VALUE"""),"terror")</f>
        <v>terror</v>
      </c>
      <c r="S1308" s="1" t="s">
        <v>4328</v>
      </c>
      <c r="T1308" s="6" t="str">
        <f>IFERROR(__xludf.DUMMYFUNCTION("""COMPUTED_VALUE"""),"consciousness")</f>
        <v>consciousness</v>
      </c>
      <c r="W1308" s="8"/>
      <c r="AJ1308" s="1" t="s">
        <v>2520</v>
      </c>
      <c r="AM1308" s="1" t="s">
        <v>4329</v>
      </c>
    </row>
    <row r="1309">
      <c r="E1309" s="1" t="s">
        <v>4330</v>
      </c>
      <c r="F1309" s="6" t="str">
        <f>IFERROR(__xludf.DUMMYFUNCTION("""COMPUTED_VALUE"""),"vh1")</f>
        <v>vh1</v>
      </c>
      <c r="H1309" s="1" t="s">
        <v>4163</v>
      </c>
      <c r="I1309" s="6" t="str">
        <f>IFERROR(__xludf.DUMMYFUNCTION("""COMPUTED_VALUE"""),"intentions")</f>
        <v>intentions</v>
      </c>
      <c r="S1309" s="1" t="s">
        <v>4331</v>
      </c>
      <c r="T1309" s="6" t="str">
        <f>IFERROR(__xludf.DUMMYFUNCTION("""COMPUTED_VALUE"""),"conceptual")</f>
        <v>conceptual</v>
      </c>
      <c r="W1309" s="8"/>
      <c r="AJ1309" s="1" t="s">
        <v>4332</v>
      </c>
      <c r="AM1309" s="1" t="s">
        <v>889</v>
      </c>
    </row>
    <row r="1310">
      <c r="E1310" s="1" t="s">
        <v>3220</v>
      </c>
      <c r="F1310" s="6" t="str">
        <f>IFERROR(__xludf.DUMMYFUNCTION("""COMPUTED_VALUE"""),"terrorist")</f>
        <v>terrorist</v>
      </c>
      <c r="H1310" s="1" t="s">
        <v>4165</v>
      </c>
      <c r="I1310" s="6" t="str">
        <f>IFERROR(__xludf.DUMMYFUNCTION("""COMPUTED_VALUE"""),"owes")</f>
        <v>owes</v>
      </c>
      <c r="S1310" s="1" t="s">
        <v>2223</v>
      </c>
      <c r="T1310" s="6" t="str">
        <f>IFERROR(__xludf.DUMMYFUNCTION("""COMPUTED_VALUE"""),"devote")</f>
        <v>devote</v>
      </c>
      <c r="W1310" s="8"/>
      <c r="AJ1310" s="1" t="s">
        <v>1397</v>
      </c>
      <c r="AM1310" s="1" t="s">
        <v>2682</v>
      </c>
    </row>
    <row r="1311">
      <c r="E1311" s="1" t="s">
        <v>4333</v>
      </c>
      <c r="F1311" s="6" t="str">
        <f>IFERROR(__xludf.DUMMYFUNCTION("""COMPUTED_VALUE"""),"gaze")</f>
        <v>gaze</v>
      </c>
      <c r="H1311" s="1" t="s">
        <v>4167</v>
      </c>
      <c r="I1311" s="6" t="str">
        <f>IFERROR(__xludf.DUMMYFUNCTION("""COMPUTED_VALUE"""),"genesis")</f>
        <v>genesis</v>
      </c>
      <c r="S1311" s="1" t="s">
        <v>2241</v>
      </c>
      <c r="T1311" s="6" t="str">
        <f>IFERROR(__xludf.DUMMYFUNCTION("""COMPUTED_VALUE"""),"steady")</f>
        <v>steady</v>
      </c>
      <c r="W1311" s="8"/>
      <c r="AJ1311" s="1" t="s">
        <v>4334</v>
      </c>
      <c r="AM1311" s="1" t="s">
        <v>3850</v>
      </c>
    </row>
    <row r="1312">
      <c r="E1312" s="1" t="s">
        <v>3222</v>
      </c>
      <c r="F1312" s="6" t="str">
        <f>IFERROR(__xludf.DUMMYFUNCTION("""COMPUTED_VALUE"""),"chuckles")</f>
        <v>chuckles</v>
      </c>
      <c r="H1312" s="1" t="s">
        <v>4335</v>
      </c>
      <c r="I1312" s="6" t="str">
        <f>IFERROR(__xludf.DUMMYFUNCTION("""COMPUTED_VALUE"""),"naval")</f>
        <v>naval</v>
      </c>
      <c r="S1312" s="1" t="s">
        <v>1552</v>
      </c>
      <c r="T1312" s="6" t="str">
        <f>IFERROR(__xludf.DUMMYFUNCTION("""COMPUTED_VALUE"""),"seemingly")</f>
        <v>seemingly</v>
      </c>
      <c r="W1312" s="8"/>
      <c r="AJ1312" s="1" t="s">
        <v>4336</v>
      </c>
      <c r="AM1312" s="1" t="s">
        <v>2671</v>
      </c>
    </row>
    <row r="1313">
      <c r="E1313" s="1" t="s">
        <v>4337</v>
      </c>
      <c r="F1313" s="6" t="str">
        <f>IFERROR(__xludf.DUMMYFUNCTION("""COMPUTED_VALUE"""),"sheridan")</f>
        <v>sheridan</v>
      </c>
      <c r="H1313" s="1" t="s">
        <v>1289</v>
      </c>
      <c r="I1313" s="6" t="str">
        <f>IFERROR(__xludf.DUMMYFUNCTION("""COMPUTED_VALUE"""),"tears")</f>
        <v>tears</v>
      </c>
      <c r="S1313" s="1" t="s">
        <v>3196</v>
      </c>
      <c r="T1313" s="6" t="str">
        <f>IFERROR(__xludf.DUMMYFUNCTION("""COMPUTED_VALUE"""),"puzzle")</f>
        <v>puzzle</v>
      </c>
      <c r="W1313" s="8"/>
      <c r="AJ1313" s="1" t="s">
        <v>3670</v>
      </c>
      <c r="AM1313" s="1" t="s">
        <v>4338</v>
      </c>
    </row>
    <row r="1314">
      <c r="E1314" s="1" t="s">
        <v>3226</v>
      </c>
      <c r="F1314" s="6" t="str">
        <f>IFERROR(__xludf.DUMMYFUNCTION("""COMPUTED_VALUE"""),"stylized")</f>
        <v>stylized</v>
      </c>
      <c r="H1314" s="1" t="s">
        <v>4339</v>
      </c>
      <c r="I1314" s="6" t="str">
        <f>IFERROR(__xludf.DUMMYFUNCTION("""COMPUTED_VALUE"""),"frightening")</f>
        <v>frightening</v>
      </c>
      <c r="S1314" s="1" t="s">
        <v>4340</v>
      </c>
      <c r="T1314" s="6" t="str">
        <f>IFERROR(__xludf.DUMMYFUNCTION("""COMPUTED_VALUE"""),"naturally")</f>
        <v>naturally</v>
      </c>
      <c r="W1314" s="8"/>
      <c r="AJ1314" s="1" t="s">
        <v>4341</v>
      </c>
      <c r="AM1314" s="1" t="s">
        <v>2687</v>
      </c>
    </row>
    <row r="1315">
      <c r="E1315" s="1" t="s">
        <v>4342</v>
      </c>
      <c r="F1315" s="6" t="str">
        <f>IFERROR(__xludf.DUMMYFUNCTION("""COMPUTED_VALUE"""),"hilary")</f>
        <v>hilary</v>
      </c>
      <c r="H1315" s="1" t="s">
        <v>3669</v>
      </c>
      <c r="I1315" s="6" t="str">
        <f>IFERROR(__xludf.DUMMYFUNCTION("""COMPUTED_VALUE"""),"surely")</f>
        <v>surely</v>
      </c>
      <c r="S1315" s="1" t="s">
        <v>4343</v>
      </c>
      <c r="T1315" s="6" t="str">
        <f>IFERROR(__xludf.DUMMYFUNCTION("""COMPUTED_VALUE"""),"corpse")</f>
        <v>corpse</v>
      </c>
      <c r="W1315" s="8"/>
      <c r="AJ1315" s="1" t="s">
        <v>1405</v>
      </c>
      <c r="AM1315" s="1" t="s">
        <v>712</v>
      </c>
    </row>
    <row r="1316">
      <c r="E1316" s="1" t="s">
        <v>911</v>
      </c>
      <c r="F1316" s="6" t="str">
        <f>IFERROR(__xludf.DUMMYFUNCTION("""COMPUTED_VALUE"""),"birmingham")</f>
        <v>birmingham</v>
      </c>
      <c r="H1316" s="1" t="s">
        <v>3671</v>
      </c>
      <c r="I1316" s="6" t="str">
        <f>IFERROR(__xludf.DUMMYFUNCTION("""COMPUTED_VALUE"""),"amid")</f>
        <v>amid</v>
      </c>
      <c r="S1316" s="1" t="s">
        <v>4344</v>
      </c>
      <c r="T1316" s="6" t="str">
        <f>IFERROR(__xludf.DUMMYFUNCTION("""COMPUTED_VALUE"""),"gravity")</f>
        <v>gravity</v>
      </c>
      <c r="W1316" s="8"/>
      <c r="AJ1316" s="1" t="s">
        <v>4345</v>
      </c>
      <c r="AM1316" s="1" t="s">
        <v>4346</v>
      </c>
    </row>
    <row r="1317">
      <c r="E1317" s="1" t="s">
        <v>4347</v>
      </c>
      <c r="F1317" s="6" t="str">
        <f>IFERROR(__xludf.DUMMYFUNCTION("""COMPUTED_VALUE"""),"sensitivity")</f>
        <v>sensitivity</v>
      </c>
      <c r="H1317" s="1" t="s">
        <v>2502</v>
      </c>
      <c r="I1317" s="6" t="str">
        <f>IFERROR(__xludf.DUMMYFUNCTION("""COMPUTED_VALUE"""),"morality")</f>
        <v>morality</v>
      </c>
      <c r="S1317" s="1" t="s">
        <v>4348</v>
      </c>
      <c r="T1317" s="6" t="str">
        <f>IFERROR(__xludf.DUMMYFUNCTION("""COMPUTED_VALUE"""),"popular")</f>
        <v>popular</v>
      </c>
      <c r="W1317" s="8"/>
      <c r="AJ1317" s="1" t="s">
        <v>1755</v>
      </c>
      <c r="AM1317" s="1" t="s">
        <v>2695</v>
      </c>
    </row>
    <row r="1318">
      <c r="E1318" s="1" t="s">
        <v>3827</v>
      </c>
      <c r="F1318" s="6" t="str">
        <f>IFERROR(__xludf.DUMMYFUNCTION("""COMPUTED_VALUE"""),"precision")</f>
        <v>precision</v>
      </c>
      <c r="H1318" s="1" t="s">
        <v>774</v>
      </c>
      <c r="I1318" s="6" t="str">
        <f>IFERROR(__xludf.DUMMYFUNCTION("""COMPUTED_VALUE"""),"futuristic")</f>
        <v>futuristic</v>
      </c>
      <c r="S1318" s="1" t="s">
        <v>1017</v>
      </c>
      <c r="T1318" s="6" t="str">
        <f>IFERROR(__xludf.DUMMYFUNCTION("""COMPUTED_VALUE"""),"damage")</f>
        <v>damage</v>
      </c>
      <c r="W1318" s="8"/>
      <c r="AJ1318" s="1" t="s">
        <v>2530</v>
      </c>
      <c r="AM1318" s="1" t="s">
        <v>2698</v>
      </c>
    </row>
    <row r="1319">
      <c r="E1319" s="1" t="s">
        <v>1741</v>
      </c>
      <c r="F1319" s="6" t="str">
        <f>IFERROR(__xludf.DUMMYFUNCTION("""COMPUTED_VALUE"""),"aspirations")</f>
        <v>aspirations</v>
      </c>
      <c r="H1319" s="1" t="s">
        <v>2546</v>
      </c>
      <c r="I1319" s="6" t="str">
        <f>IFERROR(__xludf.DUMMYFUNCTION("""COMPUTED_VALUE"""),"autopsy")</f>
        <v>autopsy</v>
      </c>
      <c r="S1319" s="1" t="s">
        <v>2642</v>
      </c>
      <c r="T1319" s="6" t="str">
        <f>IFERROR(__xludf.DUMMYFUNCTION("""COMPUTED_VALUE"""),"neil")</f>
        <v>neil</v>
      </c>
      <c r="W1319" s="8"/>
      <c r="AJ1319" s="1" t="s">
        <v>2533</v>
      </c>
      <c r="AM1319" s="1" t="s">
        <v>1355</v>
      </c>
    </row>
    <row r="1320">
      <c r="E1320" s="1" t="s">
        <v>2946</v>
      </c>
      <c r="F1320" s="6" t="str">
        <f>IFERROR(__xludf.DUMMYFUNCTION("""COMPUTED_VALUE"""),"charms")</f>
        <v>charms</v>
      </c>
      <c r="H1320" s="1" t="s">
        <v>820</v>
      </c>
      <c r="I1320" s="6" t="str">
        <f>IFERROR(__xludf.DUMMYFUNCTION("""COMPUTED_VALUE"""),"bravery")</f>
        <v>bravery</v>
      </c>
      <c r="S1320" s="1" t="s">
        <v>3644</v>
      </c>
      <c r="T1320" s="6" t="str">
        <f>IFERROR(__xludf.DUMMYFUNCTION("""COMPUTED_VALUE"""),"jealousy")</f>
        <v>jealousy</v>
      </c>
      <c r="W1320" s="8"/>
      <c r="AJ1320" s="1" t="s">
        <v>2536</v>
      </c>
      <c r="AM1320" s="1" t="s">
        <v>898</v>
      </c>
    </row>
    <row r="1321">
      <c r="E1321" s="1" t="s">
        <v>4349</v>
      </c>
      <c r="F1321" s="6" t="str">
        <f>IFERROR(__xludf.DUMMYFUNCTION("""COMPUTED_VALUE"""),"gay")</f>
        <v>gay</v>
      </c>
      <c r="H1321" s="1" t="s">
        <v>3680</v>
      </c>
      <c r="I1321" s="6" t="str">
        <f>IFERROR(__xludf.DUMMYFUNCTION("""COMPUTED_VALUE"""),"circuit")</f>
        <v>circuit</v>
      </c>
      <c r="S1321" s="1" t="s">
        <v>3363</v>
      </c>
      <c r="T1321" s="6" t="str">
        <f>IFERROR(__xludf.DUMMYFUNCTION("""COMPUTED_VALUE"""),"christopher")</f>
        <v>christopher</v>
      </c>
      <c r="W1321" s="8"/>
      <c r="AJ1321" s="1" t="s">
        <v>1410</v>
      </c>
      <c r="AM1321" s="1" t="s">
        <v>2608</v>
      </c>
    </row>
    <row r="1322">
      <c r="E1322" s="1" t="s">
        <v>1083</v>
      </c>
      <c r="F1322" s="6" t="str">
        <f>IFERROR(__xludf.DUMMYFUNCTION("""COMPUTED_VALUE"""),"conservative")</f>
        <v>conservative</v>
      </c>
      <c r="H1322" s="1" t="s">
        <v>3682</v>
      </c>
      <c r="I1322" s="6" t="str">
        <f>IFERROR(__xludf.DUMMYFUNCTION("""COMPUTED_VALUE"""),"minnie")</f>
        <v>minnie</v>
      </c>
      <c r="S1322" s="1" t="s">
        <v>4350</v>
      </c>
      <c r="T1322" s="6" t="str">
        <f>IFERROR(__xludf.DUMMYFUNCTION("""COMPUTED_VALUE"""),"classify")</f>
        <v>classify</v>
      </c>
      <c r="W1322" s="8"/>
      <c r="AJ1322" s="1" t="s">
        <v>1415</v>
      </c>
      <c r="AM1322" s="1" t="s">
        <v>4351</v>
      </c>
    </row>
    <row r="1323">
      <c r="E1323" s="1" t="s">
        <v>3233</v>
      </c>
      <c r="F1323" s="6" t="str">
        <f>IFERROR(__xludf.DUMMYFUNCTION("""COMPUTED_VALUE"""),"suspected")</f>
        <v>suspected</v>
      </c>
      <c r="H1323" s="1" t="s">
        <v>2506</v>
      </c>
      <c r="I1323" s="6" t="str">
        <f>IFERROR(__xludf.DUMMYFUNCTION("""COMPUTED_VALUE"""),"spontaneous")</f>
        <v>spontaneous</v>
      </c>
      <c r="S1323" s="1" t="s">
        <v>4352</v>
      </c>
      <c r="T1323" s="6" t="str">
        <f>IFERROR(__xludf.DUMMYFUNCTION("""COMPUTED_VALUE"""),"crafted")</f>
        <v>crafted</v>
      </c>
      <c r="W1323" s="8"/>
      <c r="AJ1323" s="1" t="s">
        <v>1680</v>
      </c>
      <c r="AM1323" s="1" t="s">
        <v>4353</v>
      </c>
    </row>
    <row r="1324">
      <c r="E1324" s="1" t="s">
        <v>4354</v>
      </c>
      <c r="F1324" s="6" t="str">
        <f>IFERROR(__xludf.DUMMYFUNCTION("""COMPUTED_VALUE"""),"garnered")</f>
        <v>garnered</v>
      </c>
      <c r="H1324" s="1" t="s">
        <v>4355</v>
      </c>
      <c r="I1324" s="6" t="str">
        <f>IFERROR(__xludf.DUMMYFUNCTION("""COMPUTED_VALUE"""),"cellular")</f>
        <v>cellular</v>
      </c>
      <c r="S1324" s="1" t="s">
        <v>2002</v>
      </c>
      <c r="T1324" s="6" t="str">
        <f>IFERROR(__xludf.DUMMYFUNCTION("""COMPUTED_VALUE"""),"convention")</f>
        <v>convention</v>
      </c>
      <c r="W1324" s="8"/>
      <c r="AJ1324" s="1" t="s">
        <v>4356</v>
      </c>
      <c r="AM1324" s="1" t="s">
        <v>2618</v>
      </c>
    </row>
    <row r="1325">
      <c r="E1325" s="1" t="s">
        <v>4357</v>
      </c>
      <c r="F1325" s="6" t="str">
        <f>IFERROR(__xludf.DUMMYFUNCTION("""COMPUTED_VALUE"""),"privy")</f>
        <v>privy</v>
      </c>
      <c r="H1325" s="1" t="s">
        <v>2510</v>
      </c>
      <c r="I1325" s="6" t="str">
        <f>IFERROR(__xludf.DUMMYFUNCTION("""COMPUTED_VALUE"""),"savage")</f>
        <v>savage</v>
      </c>
      <c r="S1325" s="1" t="s">
        <v>4358</v>
      </c>
      <c r="T1325" s="6" t="str">
        <f>IFERROR(__xludf.DUMMYFUNCTION("""COMPUTED_VALUE"""),"aging")</f>
        <v>aging</v>
      </c>
      <c r="W1325" s="8"/>
      <c r="AJ1325" s="1" t="s">
        <v>346</v>
      </c>
      <c r="AM1325" s="1" t="s">
        <v>2714</v>
      </c>
    </row>
    <row r="1326">
      <c r="E1326" s="1" t="s">
        <v>2957</v>
      </c>
      <c r="F1326" s="6" t="str">
        <f>IFERROR(__xludf.DUMMYFUNCTION("""COMPUTED_VALUE"""),"fool")</f>
        <v>fool</v>
      </c>
      <c r="H1326" s="1" t="s">
        <v>2518</v>
      </c>
      <c r="I1326" s="6" t="str">
        <f>IFERROR(__xludf.DUMMYFUNCTION("""COMPUTED_VALUE"""),"hell")</f>
        <v>hell</v>
      </c>
      <c r="S1326" s="1" t="s">
        <v>4359</v>
      </c>
      <c r="T1326" s="6" t="str">
        <f>IFERROR(__xludf.DUMMYFUNCTION("""COMPUTED_VALUE"""),"urgently")</f>
        <v>urgently</v>
      </c>
      <c r="W1326" s="8"/>
      <c r="AJ1326" s="1" t="s">
        <v>2543</v>
      </c>
      <c r="AM1326" s="1" t="s">
        <v>2231</v>
      </c>
    </row>
    <row r="1327">
      <c r="E1327" s="1" t="s">
        <v>1090</v>
      </c>
      <c r="F1327" s="6" t="str">
        <f>IFERROR(__xludf.DUMMYFUNCTION("""COMPUTED_VALUE"""),"underlying")</f>
        <v>underlying</v>
      </c>
      <c r="H1327" s="1" t="s">
        <v>2522</v>
      </c>
      <c r="I1327" s="6" t="str">
        <f>IFERROR(__xludf.DUMMYFUNCTION("""COMPUTED_VALUE"""),"participant")</f>
        <v>participant</v>
      </c>
      <c r="S1327" s="1" t="s">
        <v>2836</v>
      </c>
      <c r="T1327" s="6" t="str">
        <f>IFERROR(__xludf.DUMMYFUNCTION("""COMPUTED_VALUE"""),"gasping")</f>
        <v>gasping</v>
      </c>
      <c r="W1327" s="8"/>
      <c r="AJ1327" s="1" t="s">
        <v>4360</v>
      </c>
      <c r="AM1327" s="1" t="s">
        <v>3871</v>
      </c>
    </row>
    <row r="1328">
      <c r="E1328" s="1" t="s">
        <v>3236</v>
      </c>
      <c r="F1328" s="6" t="str">
        <f>IFERROR(__xludf.DUMMYFUNCTION("""COMPUTED_VALUE"""),"superhero")</f>
        <v>superhero</v>
      </c>
      <c r="H1328" s="1" t="s">
        <v>3687</v>
      </c>
      <c r="I1328" s="6" t="str">
        <f>IFERROR(__xludf.DUMMYFUNCTION("""COMPUTED_VALUE"""),"rushed")</f>
        <v>rushed</v>
      </c>
      <c r="S1328" s="1" t="s">
        <v>4361</v>
      </c>
      <c r="T1328" s="6" t="str">
        <f>IFERROR(__xludf.DUMMYFUNCTION("""COMPUTED_VALUE"""),"workings")</f>
        <v>workings</v>
      </c>
      <c r="W1328" s="8"/>
      <c r="AJ1328" s="1" t="s">
        <v>2545</v>
      </c>
      <c r="AM1328" s="1" t="s">
        <v>1359</v>
      </c>
    </row>
    <row r="1329">
      <c r="E1329" s="1" t="s">
        <v>3485</v>
      </c>
      <c r="F1329" s="6" t="str">
        <f>IFERROR(__xludf.DUMMYFUNCTION("""COMPUTED_VALUE"""),"intellect")</f>
        <v>intellect</v>
      </c>
      <c r="H1329" s="1" t="s">
        <v>3689</v>
      </c>
      <c r="I1329" s="6" t="str">
        <f>IFERROR(__xludf.DUMMYFUNCTION("""COMPUTED_VALUE"""),"immensely")</f>
        <v>immensely</v>
      </c>
      <c r="S1329" s="1" t="s">
        <v>4362</v>
      </c>
      <c r="T1329" s="6" t="str">
        <f>IFERROR(__xludf.DUMMYFUNCTION("""COMPUTED_VALUE"""),"heightened")</f>
        <v>heightened</v>
      </c>
      <c r="W1329" s="8"/>
      <c r="AJ1329" s="1" t="s">
        <v>338</v>
      </c>
      <c r="AM1329" s="1" t="s">
        <v>2623</v>
      </c>
    </row>
    <row r="1330">
      <c r="E1330" s="1" t="s">
        <v>4363</v>
      </c>
      <c r="F1330" s="6" t="str">
        <f>IFERROR(__xludf.DUMMYFUNCTION("""COMPUTED_VALUE"""),"kissing")</f>
        <v>kissing</v>
      </c>
      <c r="H1330" s="1" t="s">
        <v>2526</v>
      </c>
      <c r="I1330" s="6" t="str">
        <f>IFERROR(__xludf.DUMMYFUNCTION("""COMPUTED_VALUE"""),"garcia")</f>
        <v>garcia</v>
      </c>
      <c r="S1330" s="1" t="s">
        <v>4364</v>
      </c>
      <c r="T1330" s="6" t="str">
        <f>IFERROR(__xludf.DUMMYFUNCTION("""COMPUTED_VALUE"""),"virtues")</f>
        <v>virtues</v>
      </c>
      <c r="W1330" s="8"/>
      <c r="AJ1330" s="1" t="s">
        <v>4365</v>
      </c>
      <c r="AM1330" s="1" t="s">
        <v>4251</v>
      </c>
    </row>
    <row r="1331">
      <c r="E1331" s="1" t="s">
        <v>3284</v>
      </c>
      <c r="F1331" s="6" t="str">
        <f>IFERROR(__xludf.DUMMYFUNCTION("""COMPUTED_VALUE"""),"stein")</f>
        <v>stein</v>
      </c>
      <c r="H1331" s="1" t="s">
        <v>654</v>
      </c>
      <c r="I1331" s="6" t="str">
        <f>IFERROR(__xludf.DUMMYFUNCTION("""COMPUTED_VALUE"""),"fees")</f>
        <v>fees</v>
      </c>
      <c r="S1331" s="1" t="s">
        <v>2417</v>
      </c>
      <c r="T1331" s="6" t="str">
        <f>IFERROR(__xludf.DUMMYFUNCTION("""COMPUTED_VALUE"""),"imagine")</f>
        <v>imagine</v>
      </c>
      <c r="W1331" s="8"/>
      <c r="AJ1331" s="1" t="s">
        <v>1421</v>
      </c>
      <c r="AM1331" s="1" t="s">
        <v>4366</v>
      </c>
    </row>
    <row r="1332">
      <c r="E1332" s="1" t="s">
        <v>1671</v>
      </c>
      <c r="F1332" s="6" t="str">
        <f>IFERROR(__xludf.DUMMYFUNCTION("""COMPUTED_VALUE"""),"pencil")</f>
        <v>pencil</v>
      </c>
      <c r="H1332" s="1" t="s">
        <v>1118</v>
      </c>
      <c r="I1332" s="6" t="str">
        <f>IFERROR(__xludf.DUMMYFUNCTION("""COMPUTED_VALUE"""),"technological")</f>
        <v>technological</v>
      </c>
      <c r="S1332" s="1" t="s">
        <v>4367</v>
      </c>
      <c r="T1332" s="6" t="str">
        <f>IFERROR(__xludf.DUMMYFUNCTION("""COMPUTED_VALUE"""),"person")</f>
        <v>person</v>
      </c>
      <c r="W1332" s="8"/>
      <c r="AJ1332" s="1" t="s">
        <v>4368</v>
      </c>
      <c r="AM1332" s="1" t="s">
        <v>1367</v>
      </c>
    </row>
    <row r="1333">
      <c r="E1333" s="1" t="s">
        <v>4125</v>
      </c>
      <c r="F1333" s="6" t="str">
        <f>IFERROR(__xludf.DUMMYFUNCTION("""COMPUTED_VALUE"""),"defiance")</f>
        <v>defiance</v>
      </c>
      <c r="H1333" s="1" t="s">
        <v>3697</v>
      </c>
      <c r="I1333" s="6" t="str">
        <f>IFERROR(__xludf.DUMMYFUNCTION("""COMPUTED_VALUE"""),"concentrating")</f>
        <v>concentrating</v>
      </c>
      <c r="S1333" s="1" t="s">
        <v>4369</v>
      </c>
      <c r="T1333" s="6" t="str">
        <f>IFERROR(__xludf.DUMMYFUNCTION("""COMPUTED_VALUE"""),"cameo")</f>
        <v>cameo</v>
      </c>
      <c r="W1333" s="8"/>
      <c r="AJ1333" s="1" t="s">
        <v>4370</v>
      </c>
      <c r="AM1333" s="1" t="s">
        <v>1312</v>
      </c>
    </row>
    <row r="1334">
      <c r="E1334" s="1" t="s">
        <v>3240</v>
      </c>
      <c r="F1334" s="6" t="str">
        <f>IFERROR(__xludf.DUMMYFUNCTION("""COMPUTED_VALUE"""),"pollution")</f>
        <v>pollution</v>
      </c>
      <c r="H1334" s="1" t="s">
        <v>4371</v>
      </c>
      <c r="I1334" s="6" t="str">
        <f>IFERROR(__xludf.DUMMYFUNCTION("""COMPUTED_VALUE"""),"retaliation")</f>
        <v>retaliation</v>
      </c>
      <c r="S1334" s="1" t="s">
        <v>4372</v>
      </c>
      <c r="T1334" s="6" t="str">
        <f>IFERROR(__xludf.DUMMYFUNCTION("""COMPUTED_VALUE"""),"abyss")</f>
        <v>abyss</v>
      </c>
      <c r="W1334" s="8"/>
      <c r="AJ1334" s="1" t="s">
        <v>3683</v>
      </c>
      <c r="AM1334" s="1" t="s">
        <v>3884</v>
      </c>
    </row>
    <row r="1335">
      <c r="E1335" s="1" t="s">
        <v>1746</v>
      </c>
      <c r="F1335" s="6" t="str">
        <f>IFERROR(__xludf.DUMMYFUNCTION("""COMPUTED_VALUE"""),"achieving")</f>
        <v>achieving</v>
      </c>
      <c r="H1335" s="1" t="s">
        <v>3699</v>
      </c>
      <c r="I1335" s="6" t="str">
        <f>IFERROR(__xludf.DUMMYFUNCTION("""COMPUTED_VALUE"""),"depict")</f>
        <v>depict</v>
      </c>
      <c r="S1335" s="1" t="s">
        <v>4373</v>
      </c>
      <c r="T1335" s="6" t="str">
        <f>IFERROR(__xludf.DUMMYFUNCTION("""COMPUTED_VALUE"""),"depression")</f>
        <v>depression</v>
      </c>
      <c r="W1335" s="8"/>
      <c r="AJ1335" s="1" t="s">
        <v>4374</v>
      </c>
      <c r="AM1335" s="1" t="s">
        <v>1375</v>
      </c>
    </row>
    <row r="1336">
      <c r="E1336" s="1" t="s">
        <v>4375</v>
      </c>
      <c r="F1336" s="6" t="str">
        <f>IFERROR(__xludf.DUMMYFUNCTION("""COMPUTED_VALUE"""),"sorrow")</f>
        <v>sorrow</v>
      </c>
      <c r="H1336" s="1" t="s">
        <v>4376</v>
      </c>
      <c r="I1336" s="6" t="str">
        <f>IFERROR(__xludf.DUMMYFUNCTION("""COMPUTED_VALUE"""),"homosexual")</f>
        <v>homosexual</v>
      </c>
      <c r="S1336" s="1" t="s">
        <v>4019</v>
      </c>
      <c r="T1336" s="6" t="str">
        <f>IFERROR(__xludf.DUMMYFUNCTION("""COMPUTED_VALUE"""),"sinks")</f>
        <v>sinks</v>
      </c>
      <c r="W1336" s="8"/>
      <c r="AJ1336" s="1" t="s">
        <v>4377</v>
      </c>
      <c r="AM1336" s="1" t="s">
        <v>3893</v>
      </c>
    </row>
    <row r="1337">
      <c r="E1337" s="1" t="s">
        <v>2963</v>
      </c>
      <c r="F1337" s="6" t="str">
        <f>IFERROR(__xludf.DUMMYFUNCTION("""COMPUTED_VALUE"""),"intensely")</f>
        <v>intensely</v>
      </c>
      <c r="H1337" s="1" t="s">
        <v>3702</v>
      </c>
      <c r="I1337" s="6" t="str">
        <f>IFERROR(__xludf.DUMMYFUNCTION("""COMPUTED_VALUE"""),"wise")</f>
        <v>wise</v>
      </c>
      <c r="S1337" s="1" t="s">
        <v>2102</v>
      </c>
      <c r="T1337" s="6" t="str">
        <f>IFERROR(__xludf.DUMMYFUNCTION("""COMPUTED_VALUE"""),"comprehend")</f>
        <v>comprehend</v>
      </c>
      <c r="W1337" s="8"/>
      <c r="AJ1337" s="1" t="s">
        <v>1695</v>
      </c>
      <c r="AM1337" s="1" t="s">
        <v>4378</v>
      </c>
    </row>
    <row r="1338">
      <c r="E1338" s="1" t="s">
        <v>4379</v>
      </c>
      <c r="F1338" s="6" t="str">
        <f>IFERROR(__xludf.DUMMYFUNCTION("""COMPUTED_VALUE"""),"glucose")</f>
        <v>glucose</v>
      </c>
      <c r="H1338" s="1" t="s">
        <v>1637</v>
      </c>
      <c r="I1338" s="6" t="str">
        <f>IFERROR(__xludf.DUMMYFUNCTION("""COMPUTED_VALUE"""),"distinguished")</f>
        <v>distinguished</v>
      </c>
      <c r="S1338" s="1" t="s">
        <v>3460</v>
      </c>
      <c r="T1338" s="6" t="str">
        <f>IFERROR(__xludf.DUMMYFUNCTION("""COMPUTED_VALUE"""),"treat")</f>
        <v>treat</v>
      </c>
      <c r="W1338" s="8"/>
      <c r="AJ1338" s="1" t="s">
        <v>1726</v>
      </c>
      <c r="AM1338" s="1" t="s">
        <v>2731</v>
      </c>
    </row>
    <row r="1339">
      <c r="E1339" s="1" t="s">
        <v>4380</v>
      </c>
      <c r="F1339" s="6" t="str">
        <f>IFERROR(__xludf.DUMMYFUNCTION("""COMPUTED_VALUE"""),"revelation")</f>
        <v>revelation</v>
      </c>
      <c r="H1339" s="1" t="s">
        <v>2531</v>
      </c>
      <c r="I1339" s="6" t="str">
        <f>IFERROR(__xludf.DUMMYFUNCTION("""COMPUTED_VALUE"""),"tortured")</f>
        <v>tortured</v>
      </c>
      <c r="S1339" s="1" t="s">
        <v>4381</v>
      </c>
      <c r="T1339" s="6" t="str">
        <f>IFERROR(__xludf.DUMMYFUNCTION("""COMPUTED_VALUE"""),"lifts")</f>
        <v>lifts</v>
      </c>
      <c r="W1339" s="8"/>
      <c r="AJ1339" s="1" t="s">
        <v>268</v>
      </c>
      <c r="AM1339" s="1" t="s">
        <v>1281</v>
      </c>
    </row>
    <row r="1340">
      <c r="E1340" s="1" t="s">
        <v>4382</v>
      </c>
      <c r="F1340" s="6" t="str">
        <f>IFERROR(__xludf.DUMMYFUNCTION("""COMPUTED_VALUE"""),"atmospheric")</f>
        <v>atmospheric</v>
      </c>
      <c r="H1340" s="1" t="s">
        <v>1241</v>
      </c>
      <c r="I1340" s="6" t="str">
        <f>IFERROR(__xludf.DUMMYFUNCTION("""COMPUTED_VALUE"""),"projectile")</f>
        <v>projectile</v>
      </c>
      <c r="S1340" s="1" t="s">
        <v>4383</v>
      </c>
      <c r="T1340" s="6" t="str">
        <f>IFERROR(__xludf.DUMMYFUNCTION("""COMPUTED_VALUE"""),"gloss")</f>
        <v>gloss</v>
      </c>
      <c r="W1340" s="8"/>
      <c r="AJ1340" s="1" t="s">
        <v>2116</v>
      </c>
      <c r="AM1340" s="1" t="s">
        <v>4384</v>
      </c>
    </row>
    <row r="1341">
      <c r="E1341" s="1" t="s">
        <v>4385</v>
      </c>
      <c r="F1341" s="6" t="str">
        <f>IFERROR(__xludf.DUMMYFUNCTION("""COMPUTED_VALUE"""),"horizons")</f>
        <v>horizons</v>
      </c>
      <c r="H1341" s="1" t="s">
        <v>1245</v>
      </c>
      <c r="I1341" s="6" t="str">
        <f>IFERROR(__xludf.DUMMYFUNCTION("""COMPUTED_VALUE"""),"seizing")</f>
        <v>seizing</v>
      </c>
      <c r="S1341" s="1" t="s">
        <v>4386</v>
      </c>
      <c r="T1341" s="6" t="str">
        <f>IFERROR(__xludf.DUMMYFUNCTION("""COMPUTED_VALUE"""),"manipulation")</f>
        <v>manipulation</v>
      </c>
      <c r="W1341" s="8"/>
      <c r="AJ1341" s="1" t="s">
        <v>4387</v>
      </c>
      <c r="AM1341" s="1" t="s">
        <v>4388</v>
      </c>
    </row>
    <row r="1342">
      <c r="E1342" s="1" t="s">
        <v>3246</v>
      </c>
      <c r="F1342" s="6" t="str">
        <f>IFERROR(__xludf.DUMMYFUNCTION("""COMPUTED_VALUE"""),"boredom")</f>
        <v>boredom</v>
      </c>
      <c r="H1342" s="1" t="s">
        <v>2560</v>
      </c>
      <c r="I1342" s="6" t="str">
        <f>IFERROR(__xludf.DUMMYFUNCTION("""COMPUTED_VALUE"""),"portrays")</f>
        <v>portrays</v>
      </c>
      <c r="S1342" s="1" t="s">
        <v>1089</v>
      </c>
      <c r="T1342" s="6" t="str">
        <f>IFERROR(__xludf.DUMMYFUNCTION("""COMPUTED_VALUE"""),"optimism")</f>
        <v>optimism</v>
      </c>
      <c r="W1342" s="8"/>
      <c r="AJ1342" s="1" t="s">
        <v>4389</v>
      </c>
      <c r="AM1342" s="1" t="s">
        <v>2734</v>
      </c>
    </row>
    <row r="1343">
      <c r="E1343" s="1" t="s">
        <v>2970</v>
      </c>
      <c r="F1343" s="6" t="str">
        <f>IFERROR(__xludf.DUMMYFUNCTION("""COMPUTED_VALUE"""),"insistence")</f>
        <v>insistence</v>
      </c>
      <c r="H1343" s="1" t="s">
        <v>2563</v>
      </c>
      <c r="I1343" s="6" t="str">
        <f>IFERROR(__xludf.DUMMYFUNCTION("""COMPUTED_VALUE"""),"gratitude")</f>
        <v>gratitude</v>
      </c>
      <c r="S1343" s="1" t="s">
        <v>2576</v>
      </c>
      <c r="T1343" s="6" t="str">
        <f>IFERROR(__xludf.DUMMYFUNCTION("""COMPUTED_VALUE"""),"hughes")</f>
        <v>hughes</v>
      </c>
      <c r="W1343" s="8"/>
      <c r="AJ1343" s="1" t="s">
        <v>2552</v>
      </c>
      <c r="AM1343" s="1" t="s">
        <v>1929</v>
      </c>
    </row>
    <row r="1344">
      <c r="E1344" s="1" t="s">
        <v>4390</v>
      </c>
      <c r="F1344" s="6" t="str">
        <f>IFERROR(__xludf.DUMMYFUNCTION("""COMPUTED_VALUE"""),"accurately")</f>
        <v>accurately</v>
      </c>
      <c r="H1344" s="1" t="s">
        <v>3711</v>
      </c>
      <c r="I1344" s="6" t="str">
        <f>IFERROR(__xludf.DUMMYFUNCTION("""COMPUTED_VALUE"""),"reign")</f>
        <v>reign</v>
      </c>
      <c r="S1344" s="1" t="s">
        <v>4232</v>
      </c>
      <c r="T1344" s="6" t="str">
        <f>IFERROR(__xludf.DUMMYFUNCTION("""COMPUTED_VALUE"""),"musical")</f>
        <v>musical</v>
      </c>
      <c r="W1344" s="8"/>
      <c r="AJ1344" s="1" t="s">
        <v>2556</v>
      </c>
      <c r="AM1344" s="1" t="s">
        <v>4391</v>
      </c>
    </row>
    <row r="1345">
      <c r="E1345" s="1" t="s">
        <v>4392</v>
      </c>
      <c r="F1345" s="6" t="str">
        <f>IFERROR(__xludf.DUMMYFUNCTION("""COMPUTED_VALUE"""),"turmoil")</f>
        <v>turmoil</v>
      </c>
      <c r="H1345" s="1" t="s">
        <v>3713</v>
      </c>
      <c r="I1345" s="6" t="str">
        <f>IFERROR(__xludf.DUMMYFUNCTION("""COMPUTED_VALUE"""),"grin")</f>
        <v>grin</v>
      </c>
      <c r="S1345" s="1" t="s">
        <v>3088</v>
      </c>
      <c r="T1345" s="6" t="str">
        <f>IFERROR(__xludf.DUMMYFUNCTION("""COMPUTED_VALUE"""),"terror")</f>
        <v>terror</v>
      </c>
      <c r="W1345" s="8"/>
      <c r="AJ1345" s="1" t="s">
        <v>4393</v>
      </c>
      <c r="AM1345" s="1" t="s">
        <v>902</v>
      </c>
    </row>
    <row r="1346">
      <c r="E1346" s="1" t="s">
        <v>3250</v>
      </c>
      <c r="F1346" s="6">
        <f>IFERROR(__xludf.DUMMYFUNCTION("""COMPUTED_VALUE"""),83.0)</f>
        <v>83</v>
      </c>
      <c r="H1346" s="1" t="s">
        <v>1252</v>
      </c>
      <c r="I1346" s="6" t="str">
        <f>IFERROR(__xludf.DUMMYFUNCTION("""COMPUTED_VALUE"""),"managed")</f>
        <v>managed</v>
      </c>
      <c r="S1346" s="1" t="s">
        <v>4394</v>
      </c>
      <c r="T1346" s="6" t="str">
        <f>IFERROR(__xludf.DUMMYFUNCTION("""COMPUTED_VALUE"""),"intentions")</f>
        <v>intentions</v>
      </c>
      <c r="W1346" s="8"/>
      <c r="AJ1346" s="1" t="s">
        <v>1433</v>
      </c>
      <c r="AM1346" s="1" t="s">
        <v>213</v>
      </c>
    </row>
    <row r="1347">
      <c r="E1347" s="1" t="s">
        <v>919</v>
      </c>
      <c r="F1347" s="6" t="str">
        <f>IFERROR(__xludf.DUMMYFUNCTION("""COMPUTED_VALUE"""),"hartley")</f>
        <v>hartley</v>
      </c>
      <c r="H1347" s="1" t="s">
        <v>3716</v>
      </c>
      <c r="I1347" s="6" t="str">
        <f>IFERROR(__xludf.DUMMYFUNCTION("""COMPUTED_VALUE"""),"wang")</f>
        <v>wang</v>
      </c>
      <c r="S1347" s="1" t="s">
        <v>1391</v>
      </c>
      <c r="T1347" s="6" t="str">
        <f>IFERROR(__xludf.DUMMYFUNCTION("""COMPUTED_VALUE"""),"genesis")</f>
        <v>genesis</v>
      </c>
      <c r="W1347" s="8"/>
      <c r="AJ1347" s="1" t="s">
        <v>1630</v>
      </c>
      <c r="AM1347" s="1" t="s">
        <v>2636</v>
      </c>
    </row>
    <row r="1348">
      <c r="E1348" s="1" t="s">
        <v>925</v>
      </c>
      <c r="F1348" s="6" t="str">
        <f>IFERROR(__xludf.DUMMYFUNCTION("""COMPUTED_VALUE"""),"reminder")</f>
        <v>reminder</v>
      </c>
      <c r="H1348" s="1" t="s">
        <v>3718</v>
      </c>
      <c r="I1348" s="6" t="str">
        <f>IFERROR(__xludf.DUMMYFUNCTION("""COMPUTED_VALUE"""),"corrupt")</f>
        <v>corrupt</v>
      </c>
      <c r="S1348" s="1" t="s">
        <v>2525</v>
      </c>
      <c r="T1348" s="6" t="str">
        <f>IFERROR(__xludf.DUMMYFUNCTION("""COMPUTED_VALUE"""),"naval")</f>
        <v>naval</v>
      </c>
      <c r="W1348" s="8"/>
      <c r="AJ1348" s="1" t="s">
        <v>2562</v>
      </c>
      <c r="AM1348" s="1" t="s">
        <v>2642</v>
      </c>
    </row>
    <row r="1349">
      <c r="E1349" s="1" t="s">
        <v>3263</v>
      </c>
      <c r="F1349" s="6" t="str">
        <f>IFERROR(__xludf.DUMMYFUNCTION("""COMPUTED_VALUE"""),"significance")</f>
        <v>significance</v>
      </c>
      <c r="H1349" s="1" t="s">
        <v>2574</v>
      </c>
      <c r="I1349" s="6" t="str">
        <f>IFERROR(__xludf.DUMMYFUNCTION("""COMPUTED_VALUE"""),"myself")</f>
        <v>myself</v>
      </c>
      <c r="S1349" s="1" t="s">
        <v>2767</v>
      </c>
      <c r="T1349" s="6" t="str">
        <f>IFERROR(__xludf.DUMMYFUNCTION("""COMPUTED_VALUE"""),"tears")</f>
        <v>tears</v>
      </c>
      <c r="W1349" s="8"/>
      <c r="AJ1349" s="1" t="s">
        <v>2566</v>
      </c>
      <c r="AM1349" s="1" t="s">
        <v>823</v>
      </c>
    </row>
    <row r="1350">
      <c r="E1350" s="1" t="s">
        <v>3267</v>
      </c>
      <c r="F1350" s="6" t="str">
        <f>IFERROR(__xludf.DUMMYFUNCTION("""COMPUTED_VALUE"""),"anarchist")</f>
        <v>anarchist</v>
      </c>
      <c r="H1350" s="1" t="s">
        <v>2569</v>
      </c>
      <c r="I1350" s="6" t="str">
        <f>IFERROR(__xludf.DUMMYFUNCTION("""COMPUTED_VALUE"""),"disguise")</f>
        <v>disguise</v>
      </c>
      <c r="S1350" s="1" t="s">
        <v>1184</v>
      </c>
      <c r="T1350" s="6" t="str">
        <f>IFERROR(__xludf.DUMMYFUNCTION("""COMPUTED_VALUE"""),"chamber")</f>
        <v>chamber</v>
      </c>
      <c r="W1350" s="8"/>
      <c r="AJ1350" s="1" t="s">
        <v>2568</v>
      </c>
      <c r="AM1350" s="1" t="s">
        <v>718</v>
      </c>
    </row>
    <row r="1351">
      <c r="E1351" s="1" t="s">
        <v>4395</v>
      </c>
      <c r="F1351" s="6" t="str">
        <f>IFERROR(__xludf.DUMMYFUNCTION("""COMPUTED_VALUE"""),"seductive")</f>
        <v>seductive</v>
      </c>
      <c r="H1351" s="1" t="s">
        <v>3723</v>
      </c>
      <c r="I1351" s="6" t="str">
        <f>IFERROR(__xludf.DUMMYFUNCTION("""COMPUTED_VALUE"""),"surrender")</f>
        <v>surrender</v>
      </c>
      <c r="S1351" s="1" t="s">
        <v>3512</v>
      </c>
      <c r="T1351" s="6" t="str">
        <f>IFERROR(__xludf.DUMMYFUNCTION("""COMPUTED_VALUE"""),"frightening")</f>
        <v>frightening</v>
      </c>
      <c r="W1351" s="8"/>
      <c r="AJ1351" s="1" t="s">
        <v>4396</v>
      </c>
      <c r="AM1351" s="1" t="s">
        <v>1980</v>
      </c>
    </row>
    <row r="1352">
      <c r="E1352" s="1" t="s">
        <v>947</v>
      </c>
      <c r="F1352" s="6" t="str">
        <f>IFERROR(__xludf.DUMMYFUNCTION("""COMPUTED_VALUE"""),"meaningless")</f>
        <v>meaningless</v>
      </c>
      <c r="H1352" s="1" t="s">
        <v>1260</v>
      </c>
      <c r="I1352" s="6" t="str">
        <f>IFERROR(__xludf.DUMMYFUNCTION("""COMPUTED_VALUE"""),"sane")</f>
        <v>sane</v>
      </c>
      <c r="S1352" s="1" t="s">
        <v>4397</v>
      </c>
      <c r="T1352" s="6" t="str">
        <f>IFERROR(__xludf.DUMMYFUNCTION("""COMPUTED_VALUE"""),"cultural")</f>
        <v>cultural</v>
      </c>
      <c r="W1352" s="8"/>
      <c r="AJ1352" s="1" t="s">
        <v>4398</v>
      </c>
      <c r="AM1352" s="1" t="s">
        <v>4399</v>
      </c>
    </row>
    <row r="1353">
      <c r="E1353" s="1" t="s">
        <v>2983</v>
      </c>
      <c r="F1353" s="6" t="str">
        <f>IFERROR(__xludf.DUMMYFUNCTION("""COMPUTED_VALUE"""),"sink")</f>
        <v>sink</v>
      </c>
      <c r="H1353" s="1" t="s">
        <v>1266</v>
      </c>
      <c r="I1353" s="6" t="str">
        <f>IFERROR(__xludf.DUMMYFUNCTION("""COMPUTED_VALUE"""),"sound")</f>
        <v>sound</v>
      </c>
      <c r="S1353" s="1" t="s">
        <v>4113</v>
      </c>
      <c r="T1353" s="6" t="str">
        <f>IFERROR(__xludf.DUMMYFUNCTION("""COMPUTED_VALUE"""),"shorter")</f>
        <v>shorter</v>
      </c>
      <c r="W1353" s="8"/>
      <c r="AJ1353" s="1" t="s">
        <v>2573</v>
      </c>
      <c r="AM1353" s="1" t="s">
        <v>4400</v>
      </c>
    </row>
    <row r="1354">
      <c r="E1354" s="1" t="s">
        <v>535</v>
      </c>
      <c r="F1354" s="6" t="str">
        <f>IFERROR(__xludf.DUMMYFUNCTION("""COMPUTED_VALUE"""),"bid")</f>
        <v>bid</v>
      </c>
      <c r="H1354" s="1" t="s">
        <v>4219</v>
      </c>
      <c r="I1354" s="6" t="str">
        <f>IFERROR(__xludf.DUMMYFUNCTION("""COMPUTED_VALUE"""),"settles")</f>
        <v>settles</v>
      </c>
      <c r="S1354" s="1" t="s">
        <v>2875</v>
      </c>
      <c r="T1354" s="6" t="str">
        <f>IFERROR(__xludf.DUMMYFUNCTION("""COMPUTED_VALUE"""),"amid")</f>
        <v>amid</v>
      </c>
      <c r="W1354" s="8"/>
      <c r="AJ1354" s="1" t="s">
        <v>4401</v>
      </c>
      <c r="AM1354" s="1" t="s">
        <v>4402</v>
      </c>
    </row>
    <row r="1355">
      <c r="E1355" s="1" t="s">
        <v>3279</v>
      </c>
      <c r="F1355" s="6" t="str">
        <f>IFERROR(__xludf.DUMMYFUNCTION("""COMPUTED_VALUE"""),"detailed")</f>
        <v>detailed</v>
      </c>
      <c r="H1355" s="1" t="s">
        <v>2541</v>
      </c>
      <c r="I1355" s="6" t="str">
        <f>IFERROR(__xludf.DUMMYFUNCTION("""COMPUTED_VALUE"""),"compressed")</f>
        <v>compressed</v>
      </c>
      <c r="S1355" s="1" t="s">
        <v>4403</v>
      </c>
      <c r="T1355" s="6" t="str">
        <f>IFERROR(__xludf.DUMMYFUNCTION("""COMPUTED_VALUE"""),"trailer")</f>
        <v>trailer</v>
      </c>
      <c r="W1355" s="8"/>
      <c r="AJ1355" s="1" t="s">
        <v>4404</v>
      </c>
      <c r="AM1355" s="1" t="s">
        <v>2500</v>
      </c>
    </row>
    <row r="1356">
      <c r="E1356" s="1" t="s">
        <v>4405</v>
      </c>
      <c r="F1356" s="6" t="str">
        <f>IFERROR(__xludf.DUMMYFUNCTION("""COMPUTED_VALUE"""),"documentaries")</f>
        <v>documentaries</v>
      </c>
      <c r="H1356" s="1" t="s">
        <v>3728</v>
      </c>
      <c r="I1356" s="6" t="str">
        <f>IFERROR(__xludf.DUMMYFUNCTION("""COMPUTED_VALUE"""),"profound")</f>
        <v>profound</v>
      </c>
      <c r="S1356" s="1" t="s">
        <v>4406</v>
      </c>
      <c r="T1356" s="6" t="str">
        <f>IFERROR(__xludf.DUMMYFUNCTION("""COMPUTED_VALUE"""),"futuristic")</f>
        <v>futuristic</v>
      </c>
      <c r="W1356" s="8"/>
      <c r="AJ1356" s="1" t="s">
        <v>1439</v>
      </c>
      <c r="AM1356" s="1" t="s">
        <v>727</v>
      </c>
    </row>
    <row r="1357">
      <c r="E1357" s="1" t="s">
        <v>1132</v>
      </c>
      <c r="F1357" s="6" t="str">
        <f>IFERROR(__xludf.DUMMYFUNCTION("""COMPUTED_VALUE"""),"anne")</f>
        <v>anne</v>
      </c>
      <c r="H1357" s="1" t="s">
        <v>2112</v>
      </c>
      <c r="I1357" s="6" t="str">
        <f>IFERROR(__xludf.DUMMYFUNCTION("""COMPUTED_VALUE"""),"catalyst")</f>
        <v>catalyst</v>
      </c>
      <c r="S1357" s="1" t="s">
        <v>4407</v>
      </c>
      <c r="T1357" s="6" t="str">
        <f>IFERROR(__xludf.DUMMYFUNCTION("""COMPUTED_VALUE"""),"elaborate")</f>
        <v>elaborate</v>
      </c>
      <c r="W1357" s="8"/>
      <c r="AJ1357" s="1" t="s">
        <v>1445</v>
      </c>
      <c r="AM1357" s="1" t="s">
        <v>4408</v>
      </c>
    </row>
    <row r="1358">
      <c r="E1358" s="1" t="s">
        <v>4409</v>
      </c>
      <c r="F1358" s="6" t="str">
        <f>IFERROR(__xludf.DUMMYFUNCTION("""COMPUTED_VALUE"""),"sway")</f>
        <v>sway</v>
      </c>
      <c r="H1358" s="1" t="s">
        <v>826</v>
      </c>
      <c r="I1358" s="6" t="str">
        <f>IFERROR(__xludf.DUMMYFUNCTION("""COMPUTED_VALUE"""),"restrictive")</f>
        <v>restrictive</v>
      </c>
      <c r="S1358" s="1" t="s">
        <v>4410</v>
      </c>
      <c r="T1358" s="6" t="str">
        <f>IFERROR(__xludf.DUMMYFUNCTION("""COMPUTED_VALUE"""),"autopsy")</f>
        <v>autopsy</v>
      </c>
      <c r="W1358" s="8"/>
      <c r="AJ1358" s="1" t="s">
        <v>2577</v>
      </c>
      <c r="AM1358" s="1" t="s">
        <v>2648</v>
      </c>
    </row>
    <row r="1359">
      <c r="E1359" s="1" t="s">
        <v>707</v>
      </c>
      <c r="F1359" s="6" t="str">
        <f>IFERROR(__xludf.DUMMYFUNCTION("""COMPUTED_VALUE"""),"politically")</f>
        <v>politically</v>
      </c>
      <c r="H1359" s="1" t="s">
        <v>2580</v>
      </c>
      <c r="I1359" s="6" t="str">
        <f>IFERROR(__xludf.DUMMYFUNCTION("""COMPUTED_VALUE"""),"dubious")</f>
        <v>dubious</v>
      </c>
      <c r="S1359" s="1" t="s">
        <v>4411</v>
      </c>
      <c r="T1359" s="6" t="str">
        <f>IFERROR(__xludf.DUMMYFUNCTION("""COMPUTED_VALUE"""),"pit")</f>
        <v>pit</v>
      </c>
      <c r="W1359" s="8"/>
      <c r="AJ1359" s="1" t="s">
        <v>4412</v>
      </c>
      <c r="AM1359" s="1" t="s">
        <v>3911</v>
      </c>
    </row>
    <row r="1360">
      <c r="E1360" s="1" t="s">
        <v>2996</v>
      </c>
      <c r="F1360" s="6" t="str">
        <f>IFERROR(__xludf.DUMMYFUNCTION("""COMPUTED_VALUE"""),"mysteries")</f>
        <v>mysteries</v>
      </c>
      <c r="H1360" s="1" t="s">
        <v>3736</v>
      </c>
      <c r="I1360" s="6" t="str">
        <f>IFERROR(__xludf.DUMMYFUNCTION("""COMPUTED_VALUE"""),"bodies")</f>
        <v>bodies</v>
      </c>
      <c r="S1360" s="1" t="s">
        <v>4413</v>
      </c>
      <c r="T1360" s="6" t="str">
        <f>IFERROR(__xludf.DUMMYFUNCTION("""COMPUTED_VALUE"""),"circuit")</f>
        <v>circuit</v>
      </c>
      <c r="W1360" s="8"/>
      <c r="AJ1360" s="1" t="s">
        <v>4414</v>
      </c>
      <c r="AM1360" s="1" t="s">
        <v>1781</v>
      </c>
    </row>
    <row r="1361">
      <c r="E1361" s="1" t="s">
        <v>3294</v>
      </c>
      <c r="F1361" s="6" t="str">
        <f>IFERROR(__xludf.DUMMYFUNCTION("""COMPUTED_VALUE"""),"attackers")</f>
        <v>attackers</v>
      </c>
      <c r="H1361" s="1" t="s">
        <v>1059</v>
      </c>
      <c r="I1361" s="6" t="str">
        <f>IFERROR(__xludf.DUMMYFUNCTION("""COMPUTED_VALUE"""),"cheer")</f>
        <v>cheer</v>
      </c>
      <c r="S1361" s="1" t="s">
        <v>4415</v>
      </c>
      <c r="T1361" s="6" t="str">
        <f>IFERROR(__xludf.DUMMYFUNCTION("""COMPUTED_VALUE"""),"wig")</f>
        <v>wig</v>
      </c>
      <c r="W1361" s="8"/>
      <c r="AJ1361" s="1" t="s">
        <v>4416</v>
      </c>
      <c r="AM1361" s="1" t="s">
        <v>2749</v>
      </c>
    </row>
    <row r="1362">
      <c r="E1362" s="1" t="s">
        <v>4417</v>
      </c>
      <c r="F1362" s="6" t="str">
        <f>IFERROR(__xludf.DUMMYFUNCTION("""COMPUTED_VALUE"""),"tunnels")</f>
        <v>tunnels</v>
      </c>
      <c r="H1362" s="1" t="s">
        <v>1271</v>
      </c>
      <c r="I1362" s="6" t="str">
        <f>IFERROR(__xludf.DUMMYFUNCTION("""COMPUTED_VALUE"""),"secretary")</f>
        <v>secretary</v>
      </c>
      <c r="S1362" s="1" t="s">
        <v>2995</v>
      </c>
      <c r="T1362" s="6" t="str">
        <f>IFERROR(__xludf.DUMMYFUNCTION("""COMPUTED_VALUE"""),"halloween")</f>
        <v>halloween</v>
      </c>
      <c r="W1362" s="8"/>
      <c r="AJ1362" s="1" t="s">
        <v>1450</v>
      </c>
      <c r="AM1362" s="1" t="s">
        <v>3915</v>
      </c>
    </row>
    <row r="1363">
      <c r="E1363" s="1" t="s">
        <v>4418</v>
      </c>
      <c r="F1363" s="6" t="str">
        <f>IFERROR(__xludf.DUMMYFUNCTION("""COMPUTED_VALUE"""),"anonymous")</f>
        <v>anonymous</v>
      </c>
      <c r="H1363" s="1" t="s">
        <v>2586</v>
      </c>
      <c r="I1363" s="6" t="str">
        <f>IFERROR(__xludf.DUMMYFUNCTION("""COMPUTED_VALUE"""),"stepmother")</f>
        <v>stepmother</v>
      </c>
      <c r="S1363" s="1" t="s">
        <v>4419</v>
      </c>
      <c r="T1363" s="6" t="str">
        <f>IFERROR(__xludf.DUMMYFUNCTION("""COMPUTED_VALUE"""),"allowing")</f>
        <v>allowing</v>
      </c>
      <c r="W1363" s="8"/>
      <c r="AJ1363" s="1" t="s">
        <v>2582</v>
      </c>
      <c r="AM1363" s="1" t="s">
        <v>4420</v>
      </c>
    </row>
    <row r="1364">
      <c r="E1364" s="1" t="s">
        <v>1772</v>
      </c>
      <c r="F1364" s="6" t="str">
        <f>IFERROR(__xludf.DUMMYFUNCTION("""COMPUTED_VALUE"""),"technologies")</f>
        <v>technologies</v>
      </c>
      <c r="H1364" s="1" t="s">
        <v>2589</v>
      </c>
      <c r="I1364" s="6" t="str">
        <f>IFERROR(__xludf.DUMMYFUNCTION("""COMPUTED_VALUE"""),"incarnation")</f>
        <v>incarnation</v>
      </c>
      <c r="S1364" s="1" t="s">
        <v>4421</v>
      </c>
      <c r="T1364" s="6" t="str">
        <f>IFERROR(__xludf.DUMMYFUNCTION("""COMPUTED_VALUE"""),"spontaneous")</f>
        <v>spontaneous</v>
      </c>
      <c r="W1364" s="8"/>
      <c r="AJ1364" s="1" t="s">
        <v>2585</v>
      </c>
      <c r="AM1364" s="1" t="s">
        <v>3920</v>
      </c>
    </row>
    <row r="1365">
      <c r="E1365" s="1" t="s">
        <v>4422</v>
      </c>
      <c r="F1365" s="6" t="str">
        <f>IFERROR(__xludf.DUMMYFUNCTION("""COMPUTED_VALUE"""),"primitive")</f>
        <v>primitive</v>
      </c>
      <c r="H1365" s="1" t="s">
        <v>4247</v>
      </c>
      <c r="I1365" s="6" t="str">
        <f>IFERROR(__xludf.DUMMYFUNCTION("""COMPUTED_VALUE"""),"inevitable")</f>
        <v>inevitable</v>
      </c>
      <c r="S1365" s="1" t="s">
        <v>4423</v>
      </c>
      <c r="T1365" s="6" t="str">
        <f>IFERROR(__xludf.DUMMYFUNCTION("""COMPUTED_VALUE"""),"swept")</f>
        <v>swept</v>
      </c>
      <c r="W1365" s="8"/>
      <c r="AJ1365" s="1" t="s">
        <v>2588</v>
      </c>
      <c r="AM1365" s="1" t="s">
        <v>2652</v>
      </c>
    </row>
    <row r="1366">
      <c r="E1366" s="1" t="s">
        <v>3307</v>
      </c>
      <c r="F1366" s="6" t="str">
        <f>IFERROR(__xludf.DUMMYFUNCTION("""COMPUTED_VALUE"""),"olivier")</f>
        <v>olivier</v>
      </c>
      <c r="H1366" s="1" t="s">
        <v>2592</v>
      </c>
      <c r="I1366" s="6" t="str">
        <f>IFERROR(__xludf.DUMMYFUNCTION("""COMPUTED_VALUE"""),"indians")</f>
        <v>indians</v>
      </c>
      <c r="S1366" s="1" t="s">
        <v>545</v>
      </c>
      <c r="T1366" s="6" t="str">
        <f>IFERROR(__xludf.DUMMYFUNCTION("""COMPUTED_VALUE"""),"phone")</f>
        <v>phone</v>
      </c>
      <c r="W1366" s="8"/>
      <c r="AJ1366" s="1" t="s">
        <v>1457</v>
      </c>
      <c r="AM1366" s="1" t="s">
        <v>2751</v>
      </c>
    </row>
    <row r="1367">
      <c r="E1367" s="1" t="s">
        <v>940</v>
      </c>
      <c r="F1367" s="6" t="str">
        <f>IFERROR(__xludf.DUMMYFUNCTION("""COMPUTED_VALUE"""),"laurence")</f>
        <v>laurence</v>
      </c>
      <c r="H1367" s="1" t="s">
        <v>1278</v>
      </c>
      <c r="I1367" s="6" t="str">
        <f>IFERROR(__xludf.DUMMYFUNCTION("""COMPUTED_VALUE"""),"distinguishing")</f>
        <v>distinguishing</v>
      </c>
      <c r="S1367" s="1" t="s">
        <v>4424</v>
      </c>
      <c r="T1367" s="6" t="str">
        <f>IFERROR(__xludf.DUMMYFUNCTION("""COMPUTED_VALUE"""),"hallmark")</f>
        <v>hallmark</v>
      </c>
      <c r="W1367" s="8"/>
      <c r="AJ1367" s="1" t="s">
        <v>4425</v>
      </c>
      <c r="AM1367" s="1" t="s">
        <v>2753</v>
      </c>
    </row>
    <row r="1368">
      <c r="E1368" s="1" t="s">
        <v>1784</v>
      </c>
      <c r="F1368" s="6" t="str">
        <f>IFERROR(__xludf.DUMMYFUNCTION("""COMPUTED_VALUE"""),"freddie")</f>
        <v>freddie</v>
      </c>
      <c r="H1368" s="1" t="s">
        <v>1285</v>
      </c>
      <c r="I1368" s="6" t="str">
        <f>IFERROR(__xludf.DUMMYFUNCTION("""COMPUTED_VALUE"""),"wallace")</f>
        <v>wallace</v>
      </c>
      <c r="S1368" s="1" t="s">
        <v>3491</v>
      </c>
      <c r="T1368" s="6" t="str">
        <f>IFERROR(__xludf.DUMMYFUNCTION("""COMPUTED_VALUE"""),"cellular")</f>
        <v>cellular</v>
      </c>
      <c r="W1368" s="8"/>
      <c r="AJ1368" s="1" t="s">
        <v>2595</v>
      </c>
      <c r="AM1368" s="1" t="s">
        <v>3929</v>
      </c>
    </row>
    <row r="1369">
      <c r="E1369" s="1" t="s">
        <v>4426</v>
      </c>
      <c r="F1369" s="6" t="str">
        <f>IFERROR(__xludf.DUMMYFUNCTION("""COMPUTED_VALUE"""),"harvard")</f>
        <v>harvard</v>
      </c>
      <c r="H1369" s="1" t="s">
        <v>2140</v>
      </c>
      <c r="I1369" s="6" t="str">
        <f>IFERROR(__xludf.DUMMYFUNCTION("""COMPUTED_VALUE"""),"transparency")</f>
        <v>transparency</v>
      </c>
      <c r="S1369" s="1" t="s">
        <v>4427</v>
      </c>
      <c r="T1369" s="6" t="str">
        <f>IFERROR(__xludf.DUMMYFUNCTION("""COMPUTED_VALUE"""),"lad")</f>
        <v>lad</v>
      </c>
      <c r="W1369" s="8"/>
      <c r="AJ1369" s="1" t="s">
        <v>2598</v>
      </c>
      <c r="AM1369" s="1" t="s">
        <v>4428</v>
      </c>
    </row>
    <row r="1370">
      <c r="E1370" s="1" t="s">
        <v>2340</v>
      </c>
      <c r="F1370" s="6" t="str">
        <f>IFERROR(__xludf.DUMMYFUNCTION("""COMPUTED_VALUE"""),"encompasses")</f>
        <v>encompasses</v>
      </c>
      <c r="H1370" s="1" t="s">
        <v>4429</v>
      </c>
      <c r="I1370" s="6" t="str">
        <f>IFERROR(__xludf.DUMMYFUNCTION("""COMPUTED_VALUE"""),"hampered")</f>
        <v>hampered</v>
      </c>
      <c r="S1370" s="1" t="s">
        <v>4430</v>
      </c>
      <c r="T1370" s="6" t="str">
        <f>IFERROR(__xludf.DUMMYFUNCTION("""COMPUTED_VALUE"""),"younger")</f>
        <v>younger</v>
      </c>
      <c r="W1370" s="8"/>
      <c r="AJ1370" s="1" t="s">
        <v>4431</v>
      </c>
      <c r="AM1370" s="1" t="s">
        <v>4432</v>
      </c>
    </row>
    <row r="1371">
      <c r="E1371" s="1" t="s">
        <v>948</v>
      </c>
      <c r="F1371" s="6" t="str">
        <f>IFERROR(__xludf.DUMMYFUNCTION("""COMPUTED_VALUE"""),"contender")</f>
        <v>contender</v>
      </c>
      <c r="H1371" s="1" t="s">
        <v>3752</v>
      </c>
      <c r="I1371" s="6" t="str">
        <f>IFERROR(__xludf.DUMMYFUNCTION("""COMPUTED_VALUE"""),"notion")</f>
        <v>notion</v>
      </c>
      <c r="S1371" s="1" t="s">
        <v>4433</v>
      </c>
      <c r="T1371" s="6" t="str">
        <f>IFERROR(__xludf.DUMMYFUNCTION("""COMPUTED_VALUE"""),"quietly")</f>
        <v>quietly</v>
      </c>
      <c r="W1371" s="8"/>
      <c r="AJ1371" s="1" t="s">
        <v>2601</v>
      </c>
      <c r="AM1371" s="1" t="s">
        <v>2759</v>
      </c>
    </row>
    <row r="1372">
      <c r="E1372" s="1" t="s">
        <v>4434</v>
      </c>
      <c r="F1372" s="6" t="str">
        <f>IFERROR(__xludf.DUMMYFUNCTION("""COMPUTED_VALUE"""),"reynolds")</f>
        <v>reynolds</v>
      </c>
      <c r="H1372" s="1" t="s">
        <v>834</v>
      </c>
      <c r="I1372" s="6" t="str">
        <f>IFERROR(__xludf.DUMMYFUNCTION("""COMPUTED_VALUE"""),"possesses")</f>
        <v>possesses</v>
      </c>
      <c r="S1372" s="1" t="s">
        <v>4435</v>
      </c>
      <c r="T1372" s="6" t="str">
        <f>IFERROR(__xludf.DUMMYFUNCTION("""COMPUTED_VALUE"""),"peak")</f>
        <v>peak</v>
      </c>
      <c r="W1372" s="8"/>
      <c r="AJ1372" s="1" t="s">
        <v>1465</v>
      </c>
      <c r="AM1372" s="1" t="s">
        <v>2764</v>
      </c>
    </row>
    <row r="1373">
      <c r="E1373" s="1" t="s">
        <v>1798</v>
      </c>
      <c r="F1373" s="6" t="str">
        <f>IFERROR(__xludf.DUMMYFUNCTION("""COMPUTED_VALUE"""),"depleted")</f>
        <v>depleted</v>
      </c>
      <c r="H1373" s="1" t="s">
        <v>2549</v>
      </c>
      <c r="I1373" s="6" t="str">
        <f>IFERROR(__xludf.DUMMYFUNCTION("""COMPUTED_VALUE"""),"proficiency")</f>
        <v>proficiency</v>
      </c>
      <c r="S1373" s="1" t="s">
        <v>3427</v>
      </c>
      <c r="T1373" s="6" t="str">
        <f>IFERROR(__xludf.DUMMYFUNCTION("""COMPUTED_VALUE"""),"aggressively")</f>
        <v>aggressively</v>
      </c>
      <c r="W1373" s="8"/>
      <c r="AJ1373" s="1" t="s">
        <v>2607</v>
      </c>
      <c r="AM1373" s="1" t="s">
        <v>734</v>
      </c>
    </row>
    <row r="1374">
      <c r="E1374" s="1" t="s">
        <v>4436</v>
      </c>
      <c r="F1374" s="6" t="str">
        <f>IFERROR(__xludf.DUMMYFUNCTION("""COMPUTED_VALUE"""),"decomposition")</f>
        <v>decomposition</v>
      </c>
      <c r="H1374" s="1" t="s">
        <v>4256</v>
      </c>
      <c r="I1374" s="6" t="str">
        <f>IFERROR(__xludf.DUMMYFUNCTION("""COMPUTED_VALUE"""),"professors")</f>
        <v>professors</v>
      </c>
      <c r="S1374" s="1" t="s">
        <v>1745</v>
      </c>
      <c r="T1374" s="6" t="str">
        <f>IFERROR(__xludf.DUMMYFUNCTION("""COMPUTED_VALUE"""),"philosophy")</f>
        <v>philosophy</v>
      </c>
      <c r="W1374" s="8"/>
      <c r="AJ1374" s="1" t="s">
        <v>1472</v>
      </c>
      <c r="AM1374" s="1" t="s">
        <v>4437</v>
      </c>
    </row>
    <row r="1375">
      <c r="E1375" s="1" t="s">
        <v>4438</v>
      </c>
      <c r="F1375" s="6" t="str">
        <f>IFERROR(__xludf.DUMMYFUNCTION("""COMPUTED_VALUE"""),"swaying")</f>
        <v>swaying</v>
      </c>
      <c r="H1375" s="1" t="s">
        <v>3757</v>
      </c>
      <c r="I1375" s="6" t="str">
        <f>IFERROR(__xludf.DUMMYFUNCTION("""COMPUTED_VALUE"""),"contradiction")</f>
        <v>contradiction</v>
      </c>
      <c r="S1375" s="1" t="s">
        <v>2982</v>
      </c>
      <c r="T1375" s="6" t="str">
        <f>IFERROR(__xludf.DUMMYFUNCTION("""COMPUTED_VALUE"""),"hell")</f>
        <v>hell</v>
      </c>
      <c r="W1375" s="8"/>
      <c r="AJ1375" s="1" t="s">
        <v>3712</v>
      </c>
      <c r="AM1375" s="1" t="s">
        <v>2769</v>
      </c>
    </row>
    <row r="1376">
      <c r="E1376" s="1" t="s">
        <v>3335</v>
      </c>
      <c r="F1376" s="6" t="str">
        <f>IFERROR(__xludf.DUMMYFUNCTION("""COMPUTED_VALUE"""),"strategic")</f>
        <v>strategic</v>
      </c>
      <c r="H1376" s="1" t="s">
        <v>2605</v>
      </c>
      <c r="I1376" s="6" t="str">
        <f>IFERROR(__xludf.DUMMYFUNCTION("""COMPUTED_VALUE"""),"searing")</f>
        <v>searing</v>
      </c>
      <c r="S1376" s="1" t="s">
        <v>4439</v>
      </c>
      <c r="T1376" s="6">
        <f>IFERROR(__xludf.DUMMYFUNCTION("""COMPUTED_VALUE"""),86.0)</f>
        <v>86</v>
      </c>
      <c r="W1376" s="8"/>
      <c r="AJ1376" s="1" t="s">
        <v>4440</v>
      </c>
      <c r="AM1376" s="1" t="s">
        <v>2772</v>
      </c>
    </row>
    <row r="1377">
      <c r="E1377" s="1" t="s">
        <v>4441</v>
      </c>
      <c r="F1377" s="6" t="str">
        <f>IFERROR(__xludf.DUMMYFUNCTION("""COMPUTED_VALUE"""),"helm")</f>
        <v>helm</v>
      </c>
      <c r="H1377" s="1" t="s">
        <v>2602</v>
      </c>
      <c r="I1377" s="6" t="str">
        <f>IFERROR(__xludf.DUMMYFUNCTION("""COMPUTED_VALUE"""),"lifetime")</f>
        <v>lifetime</v>
      </c>
      <c r="S1377" s="1">
        <v>1957.0</v>
      </c>
      <c r="T1377" s="6" t="str">
        <f>IFERROR(__xludf.DUMMYFUNCTION("""COMPUTED_VALUE"""),"handling")</f>
        <v>handling</v>
      </c>
      <c r="W1377" s="8"/>
      <c r="AJ1377" s="1" t="s">
        <v>4442</v>
      </c>
      <c r="AM1377" s="1" t="s">
        <v>2775</v>
      </c>
    </row>
    <row r="1378">
      <c r="E1378" s="1" t="s">
        <v>1810</v>
      </c>
      <c r="F1378" s="6" t="str">
        <f>IFERROR(__xludf.DUMMYFUNCTION("""COMPUTED_VALUE"""),"philosophers")</f>
        <v>philosophers</v>
      </c>
      <c r="H1378" s="1" t="s">
        <v>1846</v>
      </c>
      <c r="I1378" s="6" t="str">
        <f>IFERROR(__xludf.DUMMYFUNCTION("""COMPUTED_VALUE"""),"letting")</f>
        <v>letting</v>
      </c>
      <c r="S1378" s="1" t="s">
        <v>76</v>
      </c>
      <c r="T1378" s="6" t="str">
        <f>IFERROR(__xludf.DUMMYFUNCTION("""COMPUTED_VALUE"""),"immensely")</f>
        <v>immensely</v>
      </c>
      <c r="W1378" s="8"/>
      <c r="AJ1378" s="1" t="s">
        <v>4443</v>
      </c>
      <c r="AM1378" s="1" t="s">
        <v>3943</v>
      </c>
    </row>
    <row r="1379">
      <c r="E1379" s="1" t="s">
        <v>3016</v>
      </c>
      <c r="F1379" s="6" t="str">
        <f>IFERROR(__xludf.DUMMYFUNCTION("""COMPUTED_VALUE"""),"ritchie")</f>
        <v>ritchie</v>
      </c>
      <c r="H1379" s="1" t="s">
        <v>4444</v>
      </c>
      <c r="I1379" s="6" t="str">
        <f>IFERROR(__xludf.DUMMYFUNCTION("""COMPUTED_VALUE"""),"fearless")</f>
        <v>fearless</v>
      </c>
      <c r="S1379" s="1" t="s">
        <v>4445</v>
      </c>
      <c r="T1379" s="6" t="str">
        <f>IFERROR(__xludf.DUMMYFUNCTION("""COMPUTED_VALUE"""),"garcia")</f>
        <v>garcia</v>
      </c>
      <c r="W1379" s="8"/>
      <c r="AJ1379" s="1" t="s">
        <v>4446</v>
      </c>
      <c r="AM1379" s="1" t="s">
        <v>744</v>
      </c>
    </row>
    <row r="1380">
      <c r="E1380" s="1" t="s">
        <v>4447</v>
      </c>
      <c r="F1380" s="6" t="str">
        <f>IFERROR(__xludf.DUMMYFUNCTION("""COMPUTED_VALUE"""),"bonding")</f>
        <v>bonding</v>
      </c>
      <c r="H1380" s="1" t="s">
        <v>3764</v>
      </c>
      <c r="I1380" s="6" t="str">
        <f>IFERROR(__xludf.DUMMYFUNCTION("""COMPUTED_VALUE"""),"niche")</f>
        <v>niche</v>
      </c>
      <c r="S1380" s="1" t="s">
        <v>4448</v>
      </c>
      <c r="T1380" s="6" t="str">
        <f>IFERROR(__xludf.DUMMYFUNCTION("""COMPUTED_VALUE"""),"curiosity")</f>
        <v>curiosity</v>
      </c>
      <c r="W1380" s="8"/>
      <c r="AJ1380" s="1" t="s">
        <v>2613</v>
      </c>
      <c r="AM1380" s="1" t="s">
        <v>3947</v>
      </c>
    </row>
    <row r="1381">
      <c r="E1381" s="1" t="s">
        <v>3019</v>
      </c>
      <c r="F1381" s="6" t="str">
        <f>IFERROR(__xludf.DUMMYFUNCTION("""COMPUTED_VALUE"""),"miniseries")</f>
        <v>miniseries</v>
      </c>
      <c r="H1381" s="1" t="s">
        <v>3768</v>
      </c>
      <c r="I1381" s="6" t="str">
        <f>IFERROR(__xludf.DUMMYFUNCTION("""COMPUTED_VALUE"""),"carved")</f>
        <v>carved</v>
      </c>
      <c r="S1381" s="1" t="s">
        <v>4449</v>
      </c>
      <c r="T1381" s="6" t="str">
        <f>IFERROR(__xludf.DUMMYFUNCTION("""COMPUTED_VALUE"""),"fees")</f>
        <v>fees</v>
      </c>
      <c r="W1381" s="8"/>
      <c r="AJ1381" s="1" t="s">
        <v>2617</v>
      </c>
      <c r="AM1381" s="1" t="s">
        <v>4272</v>
      </c>
    </row>
    <row r="1382">
      <c r="E1382" s="1" t="s">
        <v>3342</v>
      </c>
      <c r="F1382" s="6" t="str">
        <f>IFERROR(__xludf.DUMMYFUNCTION("""COMPUTED_VALUE"""),"disciplined")</f>
        <v>disciplined</v>
      </c>
      <c r="H1382" s="1" t="s">
        <v>2554</v>
      </c>
      <c r="I1382" s="6" t="str">
        <f>IFERROR(__xludf.DUMMYFUNCTION("""COMPUTED_VALUE"""),"overly")</f>
        <v>overly</v>
      </c>
      <c r="S1382" s="1" t="s">
        <v>4450</v>
      </c>
      <c r="T1382" s="6" t="str">
        <f>IFERROR(__xludf.DUMMYFUNCTION("""COMPUTED_VALUE"""),"technological")</f>
        <v>technological</v>
      </c>
      <c r="W1382" s="8"/>
      <c r="AJ1382" s="1" t="s">
        <v>2619</v>
      </c>
      <c r="AM1382" s="1" t="s">
        <v>3951</v>
      </c>
    </row>
    <row r="1383">
      <c r="E1383" s="1" t="s">
        <v>3345</v>
      </c>
      <c r="F1383" s="6" t="str">
        <f>IFERROR(__xludf.DUMMYFUNCTION("""COMPUTED_VALUE"""),"ironic")</f>
        <v>ironic</v>
      </c>
      <c r="H1383" s="1" t="s">
        <v>671</v>
      </c>
      <c r="I1383" s="6" t="str">
        <f>IFERROR(__xludf.DUMMYFUNCTION("""COMPUTED_VALUE"""),"slump")</f>
        <v>slump</v>
      </c>
      <c r="S1383" s="1" t="s">
        <v>4451</v>
      </c>
      <c r="T1383" s="6" t="str">
        <f>IFERROR(__xludf.DUMMYFUNCTION("""COMPUTED_VALUE"""),"print")</f>
        <v>print</v>
      </c>
      <c r="W1383" s="8"/>
      <c r="AJ1383" s="1" t="s">
        <v>4452</v>
      </c>
      <c r="AM1383" s="1" t="s">
        <v>3955</v>
      </c>
    </row>
    <row r="1384">
      <c r="E1384" s="1" t="s">
        <v>3351</v>
      </c>
      <c r="F1384" s="6" t="str">
        <f>IFERROR(__xludf.DUMMYFUNCTION("""COMPUTED_VALUE"""),"endurance")</f>
        <v>endurance</v>
      </c>
      <c r="H1384" s="1" t="s">
        <v>2614</v>
      </c>
      <c r="I1384" s="6" t="str">
        <f>IFERROR(__xludf.DUMMYFUNCTION("""COMPUTED_VALUE"""),"sophomore")</f>
        <v>sophomore</v>
      </c>
      <c r="S1384" s="1" t="s">
        <v>4453</v>
      </c>
      <c r="T1384" s="6" t="str">
        <f>IFERROR(__xludf.DUMMYFUNCTION("""COMPUTED_VALUE"""),"burn")</f>
        <v>burn</v>
      </c>
      <c r="W1384" s="8"/>
      <c r="AJ1384" s="1" t="s">
        <v>1479</v>
      </c>
      <c r="AM1384" s="1" t="s">
        <v>753</v>
      </c>
    </row>
    <row r="1385">
      <c r="E1385" s="1" t="s">
        <v>766</v>
      </c>
      <c r="F1385" s="6" t="str">
        <f>IFERROR(__xludf.DUMMYFUNCTION("""COMPUTED_VALUE"""),"tightened")</f>
        <v>tightened</v>
      </c>
      <c r="H1385" s="1" t="s">
        <v>3775</v>
      </c>
      <c r="I1385" s="6" t="str">
        <f>IFERROR(__xludf.DUMMYFUNCTION("""COMPUTED_VALUE"""),"tug")</f>
        <v>tug</v>
      </c>
      <c r="S1385" s="1" t="s">
        <v>4454</v>
      </c>
      <c r="T1385" s="6" t="str">
        <f>IFERROR(__xludf.DUMMYFUNCTION("""COMPUTED_VALUE"""),"copy")</f>
        <v>copy</v>
      </c>
      <c r="W1385" s="8"/>
      <c r="AJ1385" s="1" t="s">
        <v>3717</v>
      </c>
      <c r="AM1385" s="1" t="s">
        <v>4455</v>
      </c>
    </row>
    <row r="1386">
      <c r="E1386" s="1" t="s">
        <v>279</v>
      </c>
      <c r="F1386" s="6" t="str">
        <f>IFERROR(__xludf.DUMMYFUNCTION("""COMPUTED_VALUE"""),"collaborative")</f>
        <v>collaborative</v>
      </c>
      <c r="H1386" s="1" t="s">
        <v>840</v>
      </c>
      <c r="I1386" s="6" t="str">
        <f>IFERROR(__xludf.DUMMYFUNCTION("""COMPUTED_VALUE"""),"slack")</f>
        <v>slack</v>
      </c>
      <c r="S1386" s="1" t="s">
        <v>4456</v>
      </c>
      <c r="T1386" s="6" t="str">
        <f>IFERROR(__xludf.DUMMYFUNCTION("""COMPUTED_VALUE"""),"depict")</f>
        <v>depict</v>
      </c>
      <c r="W1386" s="8"/>
      <c r="AJ1386" s="1" t="s">
        <v>2627</v>
      </c>
      <c r="AM1386" s="1" t="s">
        <v>2783</v>
      </c>
    </row>
    <row r="1387">
      <c r="E1387" s="1">
        <v>15.0</v>
      </c>
      <c r="F1387" s="6" t="str">
        <f>IFERROR(__xludf.DUMMYFUNCTION("""COMPUTED_VALUE"""),"ai")</f>
        <v>ai</v>
      </c>
      <c r="H1387" s="1" t="s">
        <v>846</v>
      </c>
      <c r="I1387" s="6" t="str">
        <f>IFERROR(__xludf.DUMMYFUNCTION("""COMPUTED_VALUE"""),"70s")</f>
        <v>70s</v>
      </c>
      <c r="S1387" s="1" t="s">
        <v>4033</v>
      </c>
      <c r="T1387" s="6" t="str">
        <f>IFERROR(__xludf.DUMMYFUNCTION("""COMPUTED_VALUE"""),"homosexual")</f>
        <v>homosexual</v>
      </c>
      <c r="W1387" s="8"/>
      <c r="AJ1387" s="1" t="s">
        <v>4457</v>
      </c>
      <c r="AM1387" s="1" t="s">
        <v>2787</v>
      </c>
    </row>
    <row r="1388">
      <c r="E1388" s="1" t="s">
        <v>4458</v>
      </c>
      <c r="F1388" s="6" t="str">
        <f>IFERROR(__xludf.DUMMYFUNCTION("""COMPUTED_VALUE"""),"continuity")</f>
        <v>continuity</v>
      </c>
      <c r="H1388" s="1" t="s">
        <v>3781</v>
      </c>
      <c r="I1388" s="6" t="str">
        <f>IFERROR(__xludf.DUMMYFUNCTION("""COMPUTED_VALUE"""),"prophet")</f>
        <v>prophet</v>
      </c>
      <c r="S1388" s="1" t="s">
        <v>4459</v>
      </c>
      <c r="T1388" s="6" t="str">
        <f>IFERROR(__xludf.DUMMYFUNCTION("""COMPUTED_VALUE"""),"wise")</f>
        <v>wise</v>
      </c>
      <c r="W1388" s="8"/>
      <c r="AJ1388" s="1" t="s">
        <v>2629</v>
      </c>
      <c r="AM1388" s="1" t="s">
        <v>3966</v>
      </c>
    </row>
    <row r="1389">
      <c r="E1389" s="1" t="s">
        <v>3358</v>
      </c>
      <c r="F1389" s="6" t="str">
        <f>IFERROR(__xludf.DUMMYFUNCTION("""COMPUTED_VALUE"""),"ambrose")</f>
        <v>ambrose</v>
      </c>
      <c r="H1389" s="1" t="s">
        <v>676</v>
      </c>
      <c r="I1389" s="6" t="str">
        <f>IFERROR(__xludf.DUMMYFUNCTION("""COMPUTED_VALUE"""),"larger")</f>
        <v>larger</v>
      </c>
      <c r="S1389" s="1" t="s">
        <v>4460</v>
      </c>
      <c r="T1389" s="6" t="str">
        <f>IFERROR(__xludf.DUMMYFUNCTION("""COMPUTED_VALUE"""),"anime")</f>
        <v>anime</v>
      </c>
      <c r="W1389" s="8"/>
      <c r="AJ1389" s="1" t="s">
        <v>2632</v>
      </c>
      <c r="AM1389" s="1" t="s">
        <v>762</v>
      </c>
    </row>
    <row r="1390">
      <c r="E1390" s="1" t="s">
        <v>3355</v>
      </c>
      <c r="F1390" s="6" t="str">
        <f>IFERROR(__xludf.DUMMYFUNCTION("""COMPUTED_VALUE"""),"leaps")</f>
        <v>leaps</v>
      </c>
      <c r="H1390" s="1" t="s">
        <v>3786</v>
      </c>
      <c r="I1390" s="6" t="str">
        <f>IFERROR(__xludf.DUMMYFUNCTION("""COMPUTED_VALUE"""),"conflict")</f>
        <v>conflict</v>
      </c>
      <c r="S1390" s="1" t="s">
        <v>4461</v>
      </c>
      <c r="T1390" s="6" t="str">
        <f>IFERROR(__xludf.DUMMYFUNCTION("""COMPUTED_VALUE"""),"distinguished")</f>
        <v>distinguished</v>
      </c>
      <c r="W1390" s="8"/>
      <c r="AJ1390" s="1" t="s">
        <v>4462</v>
      </c>
      <c r="AM1390" s="1" t="s">
        <v>771</v>
      </c>
    </row>
    <row r="1391">
      <c r="E1391" s="1" t="s">
        <v>4394</v>
      </c>
      <c r="F1391" s="6" t="str">
        <f>IFERROR(__xludf.DUMMYFUNCTION("""COMPUTED_VALUE"""),"unnamed")</f>
        <v>unnamed</v>
      </c>
      <c r="H1391" s="1" t="s">
        <v>2625</v>
      </c>
      <c r="I1391" s="6" t="str">
        <f>IFERROR(__xludf.DUMMYFUNCTION("""COMPUTED_VALUE"""),"vital")</f>
        <v>vital</v>
      </c>
      <c r="S1391" s="1" t="s">
        <v>2672</v>
      </c>
      <c r="T1391" s="6" t="str">
        <f>IFERROR(__xludf.DUMMYFUNCTION("""COMPUTED_VALUE"""),"tortured")</f>
        <v>tortured</v>
      </c>
      <c r="W1391" s="8"/>
      <c r="AJ1391" s="1" t="s">
        <v>2635</v>
      </c>
      <c r="AM1391" s="1" t="s">
        <v>3974</v>
      </c>
    </row>
    <row r="1392">
      <c r="E1392" s="1" t="s">
        <v>1822</v>
      </c>
      <c r="F1392" s="6" t="str">
        <f>IFERROR(__xludf.DUMMYFUNCTION("""COMPUTED_VALUE"""),"ambition")</f>
        <v>ambition</v>
      </c>
      <c r="H1392" s="1" t="s">
        <v>850</v>
      </c>
      <c r="I1392" s="6" t="str">
        <f>IFERROR(__xludf.DUMMYFUNCTION("""COMPUTED_VALUE"""),"recalls")</f>
        <v>recalls</v>
      </c>
      <c r="S1392" s="1" t="s">
        <v>1632</v>
      </c>
      <c r="T1392" s="6" t="str">
        <f>IFERROR(__xludf.DUMMYFUNCTION("""COMPUTED_VALUE"""),"projectile")</f>
        <v>projectile</v>
      </c>
      <c r="W1392" s="8"/>
      <c r="AJ1392" s="1" t="s">
        <v>2637</v>
      </c>
      <c r="AM1392" s="1" t="s">
        <v>4463</v>
      </c>
    </row>
    <row r="1393">
      <c r="E1393" s="1" t="s">
        <v>686</v>
      </c>
      <c r="F1393" s="6" t="str">
        <f>IFERROR(__xludf.DUMMYFUNCTION("""COMPUTED_VALUE"""),"improvised")</f>
        <v>improvised</v>
      </c>
      <c r="H1393" s="1" t="s">
        <v>4464</v>
      </c>
      <c r="I1393" s="6" t="str">
        <f>IFERROR(__xludf.DUMMYFUNCTION("""COMPUTED_VALUE"""),"classics")</f>
        <v>classics</v>
      </c>
      <c r="S1393" s="1" t="s">
        <v>4465</v>
      </c>
      <c r="T1393" s="6" t="str">
        <f>IFERROR(__xludf.DUMMYFUNCTION("""COMPUTED_VALUE"""),"portrays")</f>
        <v>portrays</v>
      </c>
      <c r="W1393" s="8"/>
      <c r="AJ1393" s="1" t="s">
        <v>1485</v>
      </c>
      <c r="AM1393" s="1" t="s">
        <v>2673</v>
      </c>
    </row>
    <row r="1394">
      <c r="E1394" s="1" t="s">
        <v>4466</v>
      </c>
      <c r="F1394" s="6" t="str">
        <f>IFERROR(__xludf.DUMMYFUNCTION("""COMPUTED_VALUE"""),"tapestry")</f>
        <v>tapestry</v>
      </c>
      <c r="H1394" s="1" t="s">
        <v>3793</v>
      </c>
      <c r="I1394" s="6" t="str">
        <f>IFERROR(__xludf.DUMMYFUNCTION("""COMPUTED_VALUE"""),"sweetly")</f>
        <v>sweetly</v>
      </c>
      <c r="S1394" s="1" t="s">
        <v>4467</v>
      </c>
      <c r="T1394" s="6" t="str">
        <f>IFERROR(__xludf.DUMMYFUNCTION("""COMPUTED_VALUE"""),"gratitude")</f>
        <v>gratitude</v>
      </c>
      <c r="W1394" s="8"/>
      <c r="AJ1394" s="1" t="s">
        <v>4468</v>
      </c>
      <c r="AM1394" s="1" t="s">
        <v>778</v>
      </c>
    </row>
    <row r="1395">
      <c r="E1395" s="1" t="s">
        <v>1130</v>
      </c>
      <c r="F1395" s="6" t="str">
        <f>IFERROR(__xludf.DUMMYFUNCTION("""COMPUTED_VALUE"""),"roles")</f>
        <v>roles</v>
      </c>
      <c r="H1395" s="1" t="s">
        <v>589</v>
      </c>
      <c r="I1395" s="6" t="str">
        <f>IFERROR(__xludf.DUMMYFUNCTION("""COMPUTED_VALUE"""),"infectious")</f>
        <v>infectious</v>
      </c>
      <c r="S1395" s="1" t="s">
        <v>4469</v>
      </c>
      <c r="T1395" s="6" t="str">
        <f>IFERROR(__xludf.DUMMYFUNCTION("""COMPUTED_VALUE"""),"grin")</f>
        <v>grin</v>
      </c>
      <c r="W1395" s="8"/>
      <c r="AJ1395" s="1">
        <v>295.0</v>
      </c>
      <c r="AM1395" s="1" t="s">
        <v>2676</v>
      </c>
    </row>
    <row r="1396">
      <c r="E1396" s="1" t="s">
        <v>3372</v>
      </c>
      <c r="F1396" s="6" t="str">
        <f>IFERROR(__xludf.DUMMYFUNCTION("""COMPUTED_VALUE"""),"ambiguity")</f>
        <v>ambiguity</v>
      </c>
      <c r="H1396" s="1" t="s">
        <v>2564</v>
      </c>
      <c r="I1396" s="6" t="str">
        <f>IFERROR(__xludf.DUMMYFUNCTION("""COMPUTED_VALUE"""),"brooding")</f>
        <v>brooding</v>
      </c>
      <c r="S1396" s="1" t="s">
        <v>2579</v>
      </c>
      <c r="T1396" s="6" t="str">
        <f>IFERROR(__xludf.DUMMYFUNCTION("""COMPUTED_VALUE"""),"marry")</f>
        <v>marry</v>
      </c>
      <c r="W1396" s="8"/>
      <c r="AJ1396" s="1">
        <v>1958.0</v>
      </c>
      <c r="AM1396" s="1" t="s">
        <v>2801</v>
      </c>
    </row>
    <row r="1397">
      <c r="E1397" s="1" t="s">
        <v>3380</v>
      </c>
      <c r="F1397" s="6" t="str">
        <f>IFERROR(__xludf.DUMMYFUNCTION("""COMPUTED_VALUE"""),"symbolic")</f>
        <v>symbolic</v>
      </c>
      <c r="H1397" s="1" t="s">
        <v>2633</v>
      </c>
      <c r="I1397" s="6" t="str">
        <f>IFERROR(__xludf.DUMMYFUNCTION("""COMPUTED_VALUE"""),"tainted")</f>
        <v>tainted</v>
      </c>
      <c r="S1397" s="1" t="s">
        <v>3361</v>
      </c>
      <c r="T1397" s="6" t="str">
        <f>IFERROR(__xludf.DUMMYFUNCTION("""COMPUTED_VALUE"""),"inquiry")</f>
        <v>inquiry</v>
      </c>
      <c r="W1397" s="8"/>
      <c r="AJ1397" s="1" t="s">
        <v>504</v>
      </c>
      <c r="AM1397" s="1" t="s">
        <v>3980</v>
      </c>
    </row>
    <row r="1398">
      <c r="E1398" s="1" t="s">
        <v>1262</v>
      </c>
      <c r="F1398" s="6" t="str">
        <f>IFERROR(__xludf.DUMMYFUNCTION("""COMPUTED_VALUE"""),"assert")</f>
        <v>assert</v>
      </c>
      <c r="H1398" s="1" t="s">
        <v>3801</v>
      </c>
      <c r="I1398" s="6" t="str">
        <f>IFERROR(__xludf.DUMMYFUNCTION("""COMPUTED_VALUE"""),"modest")</f>
        <v>modest</v>
      </c>
      <c r="S1398" s="1" t="s">
        <v>4470</v>
      </c>
      <c r="T1398" s="6" t="str">
        <f>IFERROR(__xludf.DUMMYFUNCTION("""COMPUTED_VALUE"""),"managed")</f>
        <v>managed</v>
      </c>
      <c r="W1398" s="8"/>
      <c r="AJ1398" s="1" t="s">
        <v>4471</v>
      </c>
      <c r="AM1398" s="1" t="s">
        <v>294</v>
      </c>
    </row>
    <row r="1399">
      <c r="E1399" s="1" t="s">
        <v>3385</v>
      </c>
      <c r="F1399" s="6" t="str">
        <f>IFERROR(__xludf.DUMMYFUNCTION("""COMPUTED_VALUE"""),"contenders")</f>
        <v>contenders</v>
      </c>
      <c r="H1399" s="1" t="s">
        <v>2567</v>
      </c>
      <c r="I1399" s="6" t="str">
        <f>IFERROR(__xludf.DUMMYFUNCTION("""COMPUTED_VALUE"""),"superhuman")</f>
        <v>superhuman</v>
      </c>
      <c r="S1399" s="1" t="s">
        <v>4008</v>
      </c>
      <c r="T1399" s="6" t="str">
        <f>IFERROR(__xludf.DUMMYFUNCTION("""COMPUTED_VALUE"""),"wang")</f>
        <v>wang</v>
      </c>
      <c r="W1399" s="8"/>
      <c r="AJ1399" s="1" t="s">
        <v>2649</v>
      </c>
      <c r="AM1399" s="1" t="s">
        <v>2804</v>
      </c>
    </row>
    <row r="1400">
      <c r="E1400" s="1" t="s">
        <v>4472</v>
      </c>
      <c r="F1400" s="6" t="str">
        <f>IFERROR(__xludf.DUMMYFUNCTION("""COMPUTED_VALUE"""),"freedom")</f>
        <v>freedom</v>
      </c>
      <c r="H1400" s="1" t="s">
        <v>2571</v>
      </c>
      <c r="I1400" s="6" t="str">
        <f>IFERROR(__xludf.DUMMYFUNCTION("""COMPUTED_VALUE"""),"withstand")</f>
        <v>withstand</v>
      </c>
      <c r="S1400" s="1" t="s">
        <v>4473</v>
      </c>
      <c r="T1400" s="6" t="str">
        <f>IFERROR(__xludf.DUMMYFUNCTION("""COMPUTED_VALUE"""),"myself")</f>
        <v>myself</v>
      </c>
      <c r="W1400" s="8"/>
      <c r="AJ1400" s="1" t="s">
        <v>2651</v>
      </c>
      <c r="AM1400" s="1" t="s">
        <v>2807</v>
      </c>
    </row>
    <row r="1401">
      <c r="E1401" s="1" t="s">
        <v>964</v>
      </c>
      <c r="F1401" s="6" t="str">
        <f>IFERROR(__xludf.DUMMYFUNCTION("""COMPUTED_VALUE"""),"donovan")</f>
        <v>donovan</v>
      </c>
      <c r="H1401" s="1" t="s">
        <v>667</v>
      </c>
      <c r="I1401" s="6" t="str">
        <f>IFERROR(__xludf.DUMMYFUNCTION("""COMPUTED_VALUE"""),"capacity")</f>
        <v>capacity</v>
      </c>
      <c r="S1401" s="1" t="s">
        <v>4474</v>
      </c>
      <c r="T1401" s="6" t="str">
        <f>IFERROR(__xludf.DUMMYFUNCTION("""COMPUTED_VALUE"""),"disguise")</f>
        <v>disguise</v>
      </c>
      <c r="W1401" s="8"/>
      <c r="AJ1401" s="1" t="s">
        <v>2653</v>
      </c>
      <c r="AM1401" s="1" t="s">
        <v>2680</v>
      </c>
    </row>
    <row r="1402">
      <c r="E1402" s="1" t="s">
        <v>3391</v>
      </c>
      <c r="F1402" s="6" t="str">
        <f>IFERROR(__xludf.DUMMYFUNCTION("""COMPUTED_VALUE"""),"irwin")</f>
        <v>irwin</v>
      </c>
      <c r="H1402" s="1" t="s">
        <v>2576</v>
      </c>
      <c r="I1402" s="6" t="str">
        <f>IFERROR(__xludf.DUMMYFUNCTION("""COMPUTED_VALUE"""),"crush")</f>
        <v>crush</v>
      </c>
      <c r="S1402" s="1" t="s">
        <v>1859</v>
      </c>
      <c r="T1402" s="6" t="str">
        <f>IFERROR(__xludf.DUMMYFUNCTION("""COMPUTED_VALUE"""),"surrender")</f>
        <v>surrender</v>
      </c>
      <c r="W1402" s="8"/>
      <c r="AJ1402" s="1" t="s">
        <v>2655</v>
      </c>
      <c r="AM1402" s="1" t="s">
        <v>3990</v>
      </c>
    </row>
    <row r="1403">
      <c r="E1403" s="1" t="s">
        <v>3039</v>
      </c>
      <c r="F1403" s="6" t="str">
        <f>IFERROR(__xludf.DUMMYFUNCTION("""COMPUTED_VALUE"""),"procedural")</f>
        <v>procedural</v>
      </c>
      <c r="H1403" s="1" t="s">
        <v>3805</v>
      </c>
      <c r="I1403" s="6" t="str">
        <f>IFERROR(__xludf.DUMMYFUNCTION("""COMPUTED_VALUE"""),"conspicuous")</f>
        <v>conspicuous</v>
      </c>
      <c r="S1403" s="1" t="s">
        <v>4307</v>
      </c>
      <c r="T1403" s="6" t="str">
        <f>IFERROR(__xludf.DUMMYFUNCTION("""COMPUTED_VALUE"""),"records")</f>
        <v>records</v>
      </c>
      <c r="W1403" s="8"/>
      <c r="AJ1403" s="1" t="s">
        <v>4475</v>
      </c>
      <c r="AM1403" s="1" t="s">
        <v>1591</v>
      </c>
    </row>
    <row r="1404">
      <c r="E1404" s="1" t="s">
        <v>1835</v>
      </c>
      <c r="F1404" s="6" t="str">
        <f>IFERROR(__xludf.DUMMYFUNCTION("""COMPUTED_VALUE"""),"schneider")</f>
        <v>schneider</v>
      </c>
      <c r="H1404" s="1" t="s">
        <v>4279</v>
      </c>
      <c r="I1404" s="6" t="str">
        <f>IFERROR(__xludf.DUMMYFUNCTION("""COMPUTED_VALUE"""),"language")</f>
        <v>language</v>
      </c>
      <c r="S1404" s="1" t="s">
        <v>2465</v>
      </c>
      <c r="T1404" s="6" t="str">
        <f>IFERROR(__xludf.DUMMYFUNCTION("""COMPUTED_VALUE"""),"sane")</f>
        <v>sane</v>
      </c>
      <c r="W1404" s="8"/>
      <c r="AJ1404" s="1" t="s">
        <v>4476</v>
      </c>
      <c r="AM1404" s="1" t="s">
        <v>4477</v>
      </c>
    </row>
    <row r="1405">
      <c r="E1405" s="1" t="s">
        <v>1841</v>
      </c>
      <c r="F1405" s="6" t="str">
        <f>IFERROR(__xludf.DUMMYFUNCTION("""COMPUTED_VALUE"""),"crypt")</f>
        <v>crypt</v>
      </c>
      <c r="H1405" s="1" t="s">
        <v>866</v>
      </c>
      <c r="I1405" s="6" t="str">
        <f>IFERROR(__xludf.DUMMYFUNCTION("""COMPUTED_VALUE"""),"weaponry")</f>
        <v>weaponry</v>
      </c>
      <c r="S1405" s="1" t="s">
        <v>4478</v>
      </c>
      <c r="T1405" s="6" t="str">
        <f>IFERROR(__xludf.DUMMYFUNCTION("""COMPUTED_VALUE"""),"uniformly")</f>
        <v>uniformly</v>
      </c>
      <c r="W1405" s="8"/>
      <c r="AJ1405" s="1" t="s">
        <v>2659</v>
      </c>
      <c r="AM1405" s="1" t="s">
        <v>3413</v>
      </c>
    </row>
    <row r="1406">
      <c r="E1406" s="1" t="s">
        <v>3403</v>
      </c>
      <c r="F1406" s="6" t="str">
        <f>IFERROR(__xludf.DUMMYFUNCTION("""COMPUTED_VALUE"""),"peek")</f>
        <v>peek</v>
      </c>
      <c r="H1406" s="1" t="s">
        <v>862</v>
      </c>
      <c r="I1406" s="6" t="str">
        <f>IFERROR(__xludf.DUMMYFUNCTION("""COMPUTED_VALUE"""),"toss")</f>
        <v>toss</v>
      </c>
      <c r="S1406" s="1" t="s">
        <v>4479</v>
      </c>
      <c r="T1406" s="6" t="str">
        <f>IFERROR(__xludf.DUMMYFUNCTION("""COMPUTED_VALUE"""),"profound")</f>
        <v>profound</v>
      </c>
      <c r="W1406" s="8"/>
      <c r="AJ1406" s="1" t="s">
        <v>2664</v>
      </c>
      <c r="AM1406" s="1" t="s">
        <v>2811</v>
      </c>
    </row>
    <row r="1407">
      <c r="E1407" s="1" t="s">
        <v>4480</v>
      </c>
      <c r="F1407" s="6" t="str">
        <f>IFERROR(__xludf.DUMMYFUNCTION("""COMPUTED_VALUE"""),"protagonist")</f>
        <v>protagonist</v>
      </c>
      <c r="H1407" s="1" t="s">
        <v>2644</v>
      </c>
      <c r="I1407" s="6" t="str">
        <f>IFERROR(__xludf.DUMMYFUNCTION("""COMPUTED_VALUE"""),"definitions")</f>
        <v>definitions</v>
      </c>
      <c r="S1407" s="1" t="s">
        <v>4120</v>
      </c>
      <c r="T1407" s="6" t="str">
        <f>IFERROR(__xludf.DUMMYFUNCTION("""COMPUTED_VALUE"""),"restrictive")</f>
        <v>restrictive</v>
      </c>
      <c r="W1407" s="8"/>
      <c r="AJ1407" s="1" t="s">
        <v>2669</v>
      </c>
      <c r="AM1407" s="1" t="s">
        <v>4000</v>
      </c>
    </row>
    <row r="1408">
      <c r="E1408" s="1" t="s">
        <v>187</v>
      </c>
      <c r="F1408" s="6" t="str">
        <f>IFERROR(__xludf.DUMMYFUNCTION("""COMPUTED_VALUE"""),"patriotic")</f>
        <v>patriotic</v>
      </c>
      <c r="H1408" s="1" t="s">
        <v>3814</v>
      </c>
      <c r="I1408" s="6" t="str">
        <f>IFERROR(__xludf.DUMMYFUNCTION("""COMPUTED_VALUE"""),"thud")</f>
        <v>thud</v>
      </c>
      <c r="S1408" s="1" t="s">
        <v>4481</v>
      </c>
      <c r="T1408" s="6" t="str">
        <f>IFERROR(__xludf.DUMMYFUNCTION("""COMPUTED_VALUE"""),"dubious")</f>
        <v>dubious</v>
      </c>
      <c r="W1408" s="8"/>
      <c r="AJ1408" s="1" t="s">
        <v>1854</v>
      </c>
      <c r="AM1408" s="1" t="s">
        <v>2816</v>
      </c>
    </row>
    <row r="1409">
      <c r="E1409" s="1" t="s">
        <v>3406</v>
      </c>
      <c r="F1409" s="6" t="str">
        <f>IFERROR(__xludf.DUMMYFUNCTION("""COMPUTED_VALUE"""),"hardened")</f>
        <v>hardened</v>
      </c>
      <c r="H1409" s="1" t="s">
        <v>4482</v>
      </c>
      <c r="I1409" s="6" t="str">
        <f>IFERROR(__xludf.DUMMYFUNCTION("""COMPUTED_VALUE"""),"floor")</f>
        <v>floor</v>
      </c>
      <c r="S1409" s="1" t="s">
        <v>4483</v>
      </c>
      <c r="T1409" s="6" t="str">
        <f>IFERROR(__xludf.DUMMYFUNCTION("""COMPUTED_VALUE"""),"bodies")</f>
        <v>bodies</v>
      </c>
      <c r="W1409" s="8"/>
      <c r="AJ1409" s="1" t="s">
        <v>2675</v>
      </c>
      <c r="AM1409" s="1" t="s">
        <v>2819</v>
      </c>
    </row>
    <row r="1410">
      <c r="E1410" s="1" t="s">
        <v>3043</v>
      </c>
      <c r="F1410" s="6" t="str">
        <f>IFERROR(__xludf.DUMMYFUNCTION("""COMPUTED_VALUE"""),"origins")</f>
        <v>origins</v>
      </c>
      <c r="H1410" s="1" t="s">
        <v>873</v>
      </c>
      <c r="I1410" s="6" t="str">
        <f>IFERROR(__xludf.DUMMYFUNCTION("""COMPUTED_VALUE"""),"interpretation")</f>
        <v>interpretation</v>
      </c>
      <c r="S1410" s="1" t="s">
        <v>4484</v>
      </c>
      <c r="T1410" s="6" t="str">
        <f>IFERROR(__xludf.DUMMYFUNCTION("""COMPUTED_VALUE"""),"cheer")</f>
        <v>cheer</v>
      </c>
      <c r="W1410" s="8"/>
      <c r="AJ1410" s="1" t="s">
        <v>1735</v>
      </c>
      <c r="AM1410" s="1" t="s">
        <v>4485</v>
      </c>
    </row>
    <row r="1411">
      <c r="E1411" s="1" t="s">
        <v>1136</v>
      </c>
      <c r="F1411" s="6" t="str">
        <f>IFERROR(__xludf.DUMMYFUNCTION("""COMPUTED_VALUE"""),"nazi")</f>
        <v>nazi</v>
      </c>
      <c r="H1411" s="1" t="s">
        <v>3816</v>
      </c>
      <c r="I1411" s="6" t="str">
        <f>IFERROR(__xludf.DUMMYFUNCTION("""COMPUTED_VALUE"""),"lyrical")</f>
        <v>lyrical</v>
      </c>
      <c r="S1411" s="1" t="s">
        <v>4486</v>
      </c>
      <c r="T1411" s="6" t="str">
        <f>IFERROR(__xludf.DUMMYFUNCTION("""COMPUTED_VALUE"""),"several")</f>
        <v>several</v>
      </c>
      <c r="W1411" s="8"/>
      <c r="AJ1411" s="1" t="s">
        <v>4487</v>
      </c>
      <c r="AM1411" s="1" t="s">
        <v>4008</v>
      </c>
    </row>
    <row r="1412">
      <c r="E1412" s="1" t="s">
        <v>608</v>
      </c>
      <c r="F1412" s="6" t="str">
        <f>IFERROR(__xludf.DUMMYFUNCTION("""COMPUTED_VALUE"""),"yiddish")</f>
        <v>yiddish</v>
      </c>
      <c r="H1412" s="1" t="s">
        <v>4488</v>
      </c>
      <c r="I1412" s="6" t="str">
        <f>IFERROR(__xludf.DUMMYFUNCTION("""COMPUTED_VALUE"""),"blockbuster")</f>
        <v>blockbuster</v>
      </c>
      <c r="S1412" s="1" t="s">
        <v>4489</v>
      </c>
      <c r="T1412" s="6" t="str">
        <f>IFERROR(__xludf.DUMMYFUNCTION("""COMPUTED_VALUE"""),"secretary")</f>
        <v>secretary</v>
      </c>
      <c r="W1412" s="8"/>
      <c r="AJ1412" s="1" t="s">
        <v>1500</v>
      </c>
      <c r="AM1412" s="1" t="s">
        <v>777</v>
      </c>
    </row>
    <row r="1413">
      <c r="E1413" s="1" t="s">
        <v>4490</v>
      </c>
      <c r="F1413" s="6" t="str">
        <f>IFERROR(__xludf.DUMMYFUNCTION("""COMPUTED_VALUE"""),"bouncing")</f>
        <v>bouncing</v>
      </c>
      <c r="H1413" s="1" t="s">
        <v>4284</v>
      </c>
      <c r="I1413" s="6" t="str">
        <f>IFERROR(__xludf.DUMMYFUNCTION("""COMPUTED_VALUE"""),"exploitation")</f>
        <v>exploitation</v>
      </c>
      <c r="S1413" s="1" t="s">
        <v>4491</v>
      </c>
      <c r="T1413" s="6" t="str">
        <f>IFERROR(__xludf.DUMMYFUNCTION("""COMPUTED_VALUE"""),"boat")</f>
        <v>boat</v>
      </c>
      <c r="W1413" s="8"/>
      <c r="AJ1413" s="1" t="s">
        <v>4492</v>
      </c>
      <c r="AM1413" s="1" t="s">
        <v>921</v>
      </c>
    </row>
    <row r="1414">
      <c r="E1414" s="1" t="s">
        <v>521</v>
      </c>
      <c r="F1414" s="6" t="str">
        <f>IFERROR(__xludf.DUMMYFUNCTION("""COMPUTED_VALUE"""),"practiced")</f>
        <v>practiced</v>
      </c>
      <c r="H1414" s="1" t="s">
        <v>880</v>
      </c>
      <c r="I1414" s="6" t="str">
        <f>IFERROR(__xludf.DUMMYFUNCTION("""COMPUTED_VALUE"""),"populated")</f>
        <v>populated</v>
      </c>
      <c r="S1414" s="1" t="s">
        <v>1186</v>
      </c>
      <c r="T1414" s="6" t="str">
        <f>IFERROR(__xludf.DUMMYFUNCTION("""COMPUTED_VALUE"""),"13th")</f>
        <v>13th</v>
      </c>
      <c r="W1414" s="8"/>
      <c r="AJ1414" s="1" t="s">
        <v>1387</v>
      </c>
      <c r="AM1414" s="1" t="s">
        <v>1426</v>
      </c>
    </row>
    <row r="1415">
      <c r="E1415" s="1" t="s">
        <v>1142</v>
      </c>
      <c r="F1415" s="6" t="str">
        <f>IFERROR(__xludf.DUMMYFUNCTION("""COMPUTED_VALUE"""),"annals")</f>
        <v>annals</v>
      </c>
      <c r="H1415" s="1" t="s">
        <v>3821</v>
      </c>
      <c r="I1415" s="6" t="str">
        <f>IFERROR(__xludf.DUMMYFUNCTION("""COMPUTED_VALUE"""),"emotion")</f>
        <v>emotion</v>
      </c>
      <c r="S1415" s="1" t="s">
        <v>4418</v>
      </c>
      <c r="T1415" s="6" t="str">
        <f>IFERROR(__xludf.DUMMYFUNCTION("""COMPUTED_VALUE"""),"incarnation")</f>
        <v>incarnation</v>
      </c>
      <c r="W1415" s="8"/>
      <c r="AJ1415" s="1" t="s">
        <v>1507</v>
      </c>
      <c r="AM1415" s="1" t="s">
        <v>4018</v>
      </c>
    </row>
    <row r="1416">
      <c r="E1416" s="1" t="s">
        <v>3047</v>
      </c>
      <c r="F1416" s="6" t="str">
        <f>IFERROR(__xludf.DUMMYFUNCTION("""COMPUTED_VALUE"""),"forceful")</f>
        <v>forceful</v>
      </c>
      <c r="H1416" s="1" t="s">
        <v>1308</v>
      </c>
      <c r="I1416" s="6" t="str">
        <f>IFERROR(__xludf.DUMMYFUNCTION("""COMPUTED_VALUE"""),"purge")</f>
        <v>purge</v>
      </c>
      <c r="S1416" s="1" t="s">
        <v>4493</v>
      </c>
      <c r="T1416" s="6" t="str">
        <f>IFERROR(__xludf.DUMMYFUNCTION("""COMPUTED_VALUE"""),"inevitable")</f>
        <v>inevitable</v>
      </c>
      <c r="W1416" s="8"/>
      <c r="AJ1416" s="1" t="s">
        <v>1514</v>
      </c>
      <c r="AM1416" s="1" t="s">
        <v>1111</v>
      </c>
    </row>
    <row r="1417">
      <c r="E1417" s="1" t="s">
        <v>3414</v>
      </c>
      <c r="F1417" s="6" t="str">
        <f>IFERROR(__xludf.DUMMYFUNCTION("""COMPUTED_VALUE"""),"innovations")</f>
        <v>innovations</v>
      </c>
      <c r="H1417" s="1" t="s">
        <v>1316</v>
      </c>
      <c r="I1417" s="6" t="str">
        <f>IFERROR(__xludf.DUMMYFUNCTION("""COMPUTED_VALUE"""),"triumph")</f>
        <v>triumph</v>
      </c>
      <c r="S1417" s="1" t="s">
        <v>4494</v>
      </c>
      <c r="T1417" s="6" t="str">
        <f>IFERROR(__xludf.DUMMYFUNCTION("""COMPUTED_VALUE"""),"friday")</f>
        <v>friday</v>
      </c>
      <c r="W1417" s="8"/>
      <c r="AJ1417" s="1" t="s">
        <v>3737</v>
      </c>
      <c r="AM1417" s="1" t="s">
        <v>2089</v>
      </c>
    </row>
    <row r="1418">
      <c r="E1418" s="1" t="s">
        <v>4495</v>
      </c>
      <c r="F1418" s="6" t="str">
        <f>IFERROR(__xludf.DUMMYFUNCTION("""COMPUTED_VALUE"""),"despair")</f>
        <v>despair</v>
      </c>
      <c r="H1418" s="1" t="s">
        <v>2587</v>
      </c>
      <c r="I1418" s="6" t="str">
        <f>IFERROR(__xludf.DUMMYFUNCTION("""COMPUTED_VALUE"""),"glow")</f>
        <v>glow</v>
      </c>
      <c r="S1418" s="1" t="s">
        <v>890</v>
      </c>
      <c r="T1418" s="6" t="str">
        <f>IFERROR(__xludf.DUMMYFUNCTION("""COMPUTED_VALUE"""),"distinguishing")</f>
        <v>distinguishing</v>
      </c>
      <c r="W1418" s="8"/>
      <c r="AJ1418" s="1" t="s">
        <v>4496</v>
      </c>
      <c r="AM1418" s="1" t="s">
        <v>4497</v>
      </c>
    </row>
    <row r="1419">
      <c r="E1419" s="1" t="s">
        <v>4498</v>
      </c>
      <c r="F1419" s="6" t="str">
        <f>IFERROR(__xludf.DUMMYFUNCTION("""COMPUTED_VALUE"""),"replaced")</f>
        <v>replaced</v>
      </c>
      <c r="H1419" s="1" t="s">
        <v>2581</v>
      </c>
      <c r="I1419" s="6" t="str">
        <f>IFERROR(__xludf.DUMMYFUNCTION("""COMPUTED_VALUE"""),"spends")</f>
        <v>spends</v>
      </c>
      <c r="S1419" s="1" t="s">
        <v>4499</v>
      </c>
      <c r="T1419" s="6" t="str">
        <f>IFERROR(__xludf.DUMMYFUNCTION("""COMPUTED_VALUE"""),"wallace")</f>
        <v>wallace</v>
      </c>
      <c r="W1419" s="8"/>
      <c r="AJ1419" s="1" t="s">
        <v>2686</v>
      </c>
      <c r="AM1419" s="1" t="s">
        <v>2688</v>
      </c>
    </row>
    <row r="1420">
      <c r="E1420" s="1" t="s">
        <v>956</v>
      </c>
      <c r="F1420" s="6" t="str">
        <f>IFERROR(__xludf.DUMMYFUNCTION("""COMPUTED_VALUE"""),"executives")</f>
        <v>executives</v>
      </c>
      <c r="H1420" s="1" t="s">
        <v>2656</v>
      </c>
      <c r="I1420" s="6" t="str">
        <f>IFERROR(__xludf.DUMMYFUNCTION("""COMPUTED_VALUE"""),"bunch")</f>
        <v>bunch</v>
      </c>
      <c r="S1420" s="1" t="s">
        <v>2661</v>
      </c>
      <c r="T1420" s="6" t="str">
        <f>IFERROR(__xludf.DUMMYFUNCTION("""COMPUTED_VALUE"""),"transparency")</f>
        <v>transparency</v>
      </c>
      <c r="W1420" s="8"/>
      <c r="AJ1420" s="1" t="s">
        <v>2690</v>
      </c>
      <c r="AM1420" s="1" t="s">
        <v>4500</v>
      </c>
    </row>
    <row r="1421">
      <c r="E1421" s="1" t="s">
        <v>3050</v>
      </c>
      <c r="F1421" s="6" t="str">
        <f>IFERROR(__xludf.DUMMYFUNCTION("""COMPUTED_VALUE"""),"hoped")</f>
        <v>hoped</v>
      </c>
      <c r="H1421" s="1" t="s">
        <v>4501</v>
      </c>
      <c r="I1421" s="6" t="str">
        <f>IFERROR(__xludf.DUMMYFUNCTION("""COMPUTED_VALUE"""),"marvelous")</f>
        <v>marvelous</v>
      </c>
      <c r="S1421" s="1" t="s">
        <v>4502</v>
      </c>
      <c r="T1421" s="6" t="str">
        <f>IFERROR(__xludf.DUMMYFUNCTION("""COMPUTED_VALUE"""),"hampered")</f>
        <v>hampered</v>
      </c>
      <c r="W1421" s="8"/>
      <c r="AJ1421" s="1" t="s">
        <v>2694</v>
      </c>
      <c r="AM1421" s="1" t="s">
        <v>786</v>
      </c>
    </row>
    <row r="1422">
      <c r="E1422" s="1" t="s">
        <v>1852</v>
      </c>
      <c r="F1422" s="6" t="str">
        <f>IFERROR(__xludf.DUMMYFUNCTION("""COMPUTED_VALUE"""),"clint")</f>
        <v>clint</v>
      </c>
      <c r="H1422" s="1" t="s">
        <v>4503</v>
      </c>
      <c r="I1422" s="6" t="str">
        <f>IFERROR(__xludf.DUMMYFUNCTION("""COMPUTED_VALUE"""),"shame")</f>
        <v>shame</v>
      </c>
      <c r="S1422" s="1" t="s">
        <v>4504</v>
      </c>
      <c r="T1422" s="6" t="str">
        <f>IFERROR(__xludf.DUMMYFUNCTION("""COMPUTED_VALUE"""),"notion")</f>
        <v>notion</v>
      </c>
      <c r="W1422" s="8"/>
      <c r="AJ1422" s="1" t="s">
        <v>2697</v>
      </c>
      <c r="AM1422" s="1" t="s">
        <v>793</v>
      </c>
    </row>
    <row r="1423">
      <c r="E1423" s="1" t="s">
        <v>4505</v>
      </c>
      <c r="F1423" s="6" t="str">
        <f>IFERROR(__xludf.DUMMYFUNCTION("""COMPUTED_VALUE"""),"illustrating")</f>
        <v>illustrating</v>
      </c>
      <c r="H1423" s="1" t="s">
        <v>4506</v>
      </c>
      <c r="I1423" s="6" t="str">
        <f>IFERROR(__xludf.DUMMYFUNCTION("""COMPUTED_VALUE"""),"shifted")</f>
        <v>shifted</v>
      </c>
      <c r="S1423" s="1" t="s">
        <v>4507</v>
      </c>
      <c r="T1423" s="6" t="str">
        <f>IFERROR(__xludf.DUMMYFUNCTION("""COMPUTED_VALUE"""),"animals")</f>
        <v>animals</v>
      </c>
      <c r="W1423" s="8"/>
      <c r="AJ1423" s="1" t="s">
        <v>2702</v>
      </c>
      <c r="AM1423" s="1" t="s">
        <v>801</v>
      </c>
    </row>
    <row r="1424">
      <c r="E1424" s="1" t="s">
        <v>4508</v>
      </c>
      <c r="F1424" s="6" t="str">
        <f>IFERROR(__xludf.DUMMYFUNCTION("""COMPUTED_VALUE"""),"whale")</f>
        <v>whale</v>
      </c>
      <c r="H1424" s="1" t="s">
        <v>4509</v>
      </c>
      <c r="I1424" s="6" t="str">
        <f>IFERROR(__xludf.DUMMYFUNCTION("""COMPUTED_VALUE"""),"wesley")</f>
        <v>wesley</v>
      </c>
      <c r="S1424" s="1" t="s">
        <v>4510</v>
      </c>
      <c r="T1424" s="6" t="str">
        <f>IFERROR(__xludf.DUMMYFUNCTION("""COMPUTED_VALUE"""),"proficiency")</f>
        <v>proficiency</v>
      </c>
      <c r="W1424" s="8"/>
      <c r="AJ1424" s="1" t="s">
        <v>1521</v>
      </c>
      <c r="AM1424" s="1" t="s">
        <v>2503</v>
      </c>
    </row>
    <row r="1425">
      <c r="E1425" s="1" t="s">
        <v>1159</v>
      </c>
      <c r="F1425" s="6" t="str">
        <f>IFERROR(__xludf.DUMMYFUNCTION("""COMPUTED_VALUE"""),"bitterly")</f>
        <v>bitterly</v>
      </c>
      <c r="H1425" s="1" t="s">
        <v>2665</v>
      </c>
      <c r="I1425" s="6" t="str">
        <f>IFERROR(__xludf.DUMMYFUNCTION("""COMPUTED_VALUE"""),"proposes")</f>
        <v>proposes</v>
      </c>
      <c r="S1425" s="1" t="s">
        <v>216</v>
      </c>
      <c r="T1425" s="6" t="str">
        <f>IFERROR(__xludf.DUMMYFUNCTION("""COMPUTED_VALUE"""),"crucial")</f>
        <v>crucial</v>
      </c>
      <c r="W1425" s="8"/>
      <c r="AJ1425" s="1" t="s">
        <v>4511</v>
      </c>
      <c r="AM1425" s="1" t="s">
        <v>2831</v>
      </c>
    </row>
    <row r="1426">
      <c r="E1426" s="1" t="s">
        <v>3053</v>
      </c>
      <c r="F1426" s="6" t="str">
        <f>IFERROR(__xludf.DUMMYFUNCTION("""COMPUTED_VALUE"""),"lower")</f>
        <v>lower</v>
      </c>
      <c r="H1426" s="1" t="s">
        <v>730</v>
      </c>
      <c r="I1426" s="6" t="str">
        <f>IFERROR(__xludf.DUMMYFUNCTION("""COMPUTED_VALUE"""),"mistress")</f>
        <v>mistress</v>
      </c>
      <c r="S1426" s="1" t="s">
        <v>4512</v>
      </c>
      <c r="T1426" s="6" t="str">
        <f>IFERROR(__xludf.DUMMYFUNCTION("""COMPUTED_VALUE"""),"searing")</f>
        <v>searing</v>
      </c>
      <c r="W1426" s="8"/>
      <c r="AJ1426" s="1" t="s">
        <v>1527</v>
      </c>
      <c r="AM1426" s="1" t="s">
        <v>934</v>
      </c>
    </row>
    <row r="1427">
      <c r="E1427" s="1" t="s">
        <v>2108</v>
      </c>
      <c r="F1427" s="6" t="str">
        <f>IFERROR(__xludf.DUMMYFUNCTION("""COMPUTED_VALUE"""),"athlete")</f>
        <v>athlete</v>
      </c>
      <c r="H1427" s="1" t="s">
        <v>4305</v>
      </c>
      <c r="I1427" s="6" t="str">
        <f>IFERROR(__xludf.DUMMYFUNCTION("""COMPUTED_VALUE"""),"breakthrough")</f>
        <v>breakthrough</v>
      </c>
      <c r="S1427" s="1" t="s">
        <v>1511</v>
      </c>
      <c r="T1427" s="6" t="str">
        <f>IFERROR(__xludf.DUMMYFUNCTION("""COMPUTED_VALUE"""),"lifetime")</f>
        <v>lifetime</v>
      </c>
      <c r="W1427" s="8"/>
      <c r="AJ1427" s="1" t="s">
        <v>4513</v>
      </c>
      <c r="AM1427" s="1" t="s">
        <v>4033</v>
      </c>
    </row>
    <row r="1428">
      <c r="E1428" s="1" t="s">
        <v>4514</v>
      </c>
      <c r="F1428" s="6" t="str">
        <f>IFERROR(__xludf.DUMMYFUNCTION("""COMPUTED_VALUE"""),"ambiguous")</f>
        <v>ambiguous</v>
      </c>
      <c r="H1428" s="1" t="s">
        <v>4362</v>
      </c>
      <c r="I1428" s="6" t="str">
        <f>IFERROR(__xludf.DUMMYFUNCTION("""COMPUTED_VALUE"""),"assumes")</f>
        <v>assumes</v>
      </c>
      <c r="S1428" s="1" t="s">
        <v>4515</v>
      </c>
      <c r="T1428" s="6" t="str">
        <f>IFERROR(__xludf.DUMMYFUNCTION("""COMPUTED_VALUE"""),"letting")</f>
        <v>letting</v>
      </c>
      <c r="W1428" s="8"/>
      <c r="AJ1428" s="1" t="s">
        <v>1534</v>
      </c>
      <c r="AM1428" s="1" t="s">
        <v>4039</v>
      </c>
    </row>
    <row r="1429">
      <c r="E1429" s="1" t="s">
        <v>3054</v>
      </c>
      <c r="F1429" s="6" t="str">
        <f>IFERROR(__xludf.DUMMYFUNCTION("""COMPUTED_VALUE"""),"combat")</f>
        <v>combat</v>
      </c>
      <c r="H1429" s="1" t="s">
        <v>2027</v>
      </c>
      <c r="I1429" s="6" t="str">
        <f>IFERROR(__xludf.DUMMYFUNCTION("""COMPUTED_VALUE"""),"recovery")</f>
        <v>recovery</v>
      </c>
      <c r="S1429" s="1" t="s">
        <v>4013</v>
      </c>
      <c r="T1429" s="6" t="str">
        <f>IFERROR(__xludf.DUMMYFUNCTION("""COMPUTED_VALUE"""),"fearless")</f>
        <v>fearless</v>
      </c>
      <c r="W1429" s="8"/>
      <c r="AJ1429" s="1" t="s">
        <v>1542</v>
      </c>
      <c r="AM1429" s="1" t="s">
        <v>2835</v>
      </c>
    </row>
    <row r="1430">
      <c r="E1430" s="1" t="s">
        <v>1165</v>
      </c>
      <c r="F1430" s="6" t="str">
        <f>IFERROR(__xludf.DUMMYFUNCTION("""COMPUTED_VALUE"""),"expose")</f>
        <v>expose</v>
      </c>
      <c r="H1430" s="1" t="s">
        <v>690</v>
      </c>
      <c r="I1430" s="6" t="str">
        <f>IFERROR(__xludf.DUMMYFUNCTION("""COMPUTED_VALUE"""),"unmistakable")</f>
        <v>unmistakable</v>
      </c>
      <c r="S1430" s="1" t="s">
        <v>2999</v>
      </c>
      <c r="T1430" s="6" t="str">
        <f>IFERROR(__xludf.DUMMYFUNCTION("""COMPUTED_VALUE"""),"niche")</f>
        <v>niche</v>
      </c>
      <c r="W1430" s="8"/>
      <c r="AJ1430" s="1" t="s">
        <v>4516</v>
      </c>
      <c r="AM1430" s="1" t="s">
        <v>2696</v>
      </c>
    </row>
    <row r="1431">
      <c r="E1431" s="1" t="s">
        <v>1483</v>
      </c>
      <c r="F1431" s="6" t="str">
        <f>IFERROR(__xludf.DUMMYFUNCTION("""COMPUTED_VALUE"""),"prejudice")</f>
        <v>prejudice</v>
      </c>
      <c r="H1431" s="1" t="s">
        <v>698</v>
      </c>
      <c r="I1431" s="6" t="str">
        <f>IFERROR(__xludf.DUMMYFUNCTION("""COMPUTED_VALUE"""),"capture")</f>
        <v>capture</v>
      </c>
      <c r="S1431" s="1" t="s">
        <v>663</v>
      </c>
      <c r="T1431" s="6" t="str">
        <f>IFERROR(__xludf.DUMMYFUNCTION("""COMPUTED_VALUE"""),"carved")</f>
        <v>carved</v>
      </c>
      <c r="W1431" s="8"/>
      <c r="AJ1431" s="1" t="s">
        <v>4517</v>
      </c>
      <c r="AM1431" s="1" t="s">
        <v>2838</v>
      </c>
    </row>
    <row r="1432">
      <c r="E1432" s="1" t="s">
        <v>961</v>
      </c>
      <c r="F1432" s="6" t="str">
        <f>IFERROR(__xludf.DUMMYFUNCTION("""COMPUTED_VALUE"""),"enigma")</f>
        <v>enigma</v>
      </c>
      <c r="H1432" s="1" t="s">
        <v>2600</v>
      </c>
      <c r="I1432" s="6" t="str">
        <f>IFERROR(__xludf.DUMMYFUNCTION("""COMPUTED_VALUE"""),"chaos")</f>
        <v>chaos</v>
      </c>
      <c r="S1432" s="1" t="s">
        <v>2678</v>
      </c>
      <c r="T1432" s="6" t="str">
        <f>IFERROR(__xludf.DUMMYFUNCTION("""COMPUTED_VALUE"""),"beaten")</f>
        <v>beaten</v>
      </c>
      <c r="W1432" s="8"/>
      <c r="AJ1432" s="1" t="s">
        <v>750</v>
      </c>
      <c r="AM1432" s="1" t="s">
        <v>2842</v>
      </c>
    </row>
    <row r="1433">
      <c r="E1433" s="1" t="s">
        <v>4518</v>
      </c>
      <c r="F1433" s="6" t="str">
        <f>IFERROR(__xludf.DUMMYFUNCTION("""COMPUTED_VALUE"""),"screenwriter")</f>
        <v>screenwriter</v>
      </c>
      <c r="H1433" s="1" t="s">
        <v>1340</v>
      </c>
      <c r="I1433" s="6" t="str">
        <f>IFERROR(__xludf.DUMMYFUNCTION("""COMPUTED_VALUE"""),"penetrating")</f>
        <v>penetrating</v>
      </c>
      <c r="S1433" s="1" t="s">
        <v>4447</v>
      </c>
      <c r="T1433" s="6" t="str">
        <f>IFERROR(__xludf.DUMMYFUNCTION("""COMPUTED_VALUE"""),"necessarily")</f>
        <v>necessarily</v>
      </c>
      <c r="W1433" s="8"/>
      <c r="AJ1433" s="1" t="s">
        <v>2718</v>
      </c>
      <c r="AM1433" s="1" t="s">
        <v>4519</v>
      </c>
    </row>
    <row r="1434">
      <c r="E1434" s="1" t="s">
        <v>4520</v>
      </c>
      <c r="F1434" s="6" t="str">
        <f>IFERROR(__xludf.DUMMYFUNCTION("""COMPUTED_VALUE"""),"chiefly")</f>
        <v>chiefly</v>
      </c>
      <c r="H1434" s="1" t="s">
        <v>2679</v>
      </c>
      <c r="I1434" s="6" t="str">
        <f>IFERROR(__xludf.DUMMYFUNCTION("""COMPUTED_VALUE"""),"fascination")</f>
        <v>fascination</v>
      </c>
      <c r="S1434" s="1" t="s">
        <v>2843</v>
      </c>
      <c r="T1434" s="6" t="str">
        <f>IFERROR(__xludf.DUMMYFUNCTION("""COMPUTED_VALUE"""),"slack")</f>
        <v>slack</v>
      </c>
      <c r="W1434" s="8"/>
      <c r="AJ1434" s="1" t="s">
        <v>2721</v>
      </c>
      <c r="AM1434" s="1" t="s">
        <v>2700</v>
      </c>
    </row>
    <row r="1435">
      <c r="E1435" s="1" t="s">
        <v>4521</v>
      </c>
      <c r="F1435" s="6" t="str">
        <f>IFERROR(__xludf.DUMMYFUNCTION("""COMPUTED_VALUE"""),"yearning")</f>
        <v>yearning</v>
      </c>
      <c r="H1435" s="1" t="s">
        <v>704</v>
      </c>
      <c r="I1435" s="6" t="str">
        <f>IFERROR(__xludf.DUMMYFUNCTION("""COMPUTED_VALUE"""),"operational")</f>
        <v>operational</v>
      </c>
      <c r="S1435" s="1">
        <v>300.0</v>
      </c>
      <c r="T1435" s="6" t="str">
        <f>IFERROR(__xludf.DUMMYFUNCTION("""COMPUTED_VALUE"""),"shanghai")</f>
        <v>shanghai</v>
      </c>
      <c r="W1435" s="8"/>
      <c r="AJ1435" s="1" t="s">
        <v>2724</v>
      </c>
      <c r="AM1435" s="1" t="s">
        <v>4522</v>
      </c>
    </row>
    <row r="1436">
      <c r="E1436" s="1" t="s">
        <v>3128</v>
      </c>
      <c r="F1436" s="6" t="str">
        <f>IFERROR(__xludf.DUMMYFUNCTION("""COMPUTED_VALUE"""),"singing")</f>
        <v>singing</v>
      </c>
      <c r="H1436" s="1" t="s">
        <v>3599</v>
      </c>
      <c r="I1436" s="6" t="str">
        <f>IFERROR(__xludf.DUMMYFUNCTION("""COMPUTED_VALUE"""),"vague")</f>
        <v>vague</v>
      </c>
      <c r="S1436" s="1" t="s">
        <v>4523</v>
      </c>
      <c r="T1436" s="6" t="str">
        <f>IFERROR(__xludf.DUMMYFUNCTION("""COMPUTED_VALUE"""),"70s")</f>
        <v>70s</v>
      </c>
      <c r="W1436" s="8"/>
      <c r="AJ1436" s="1" t="s">
        <v>4524</v>
      </c>
      <c r="AM1436" s="1" t="s">
        <v>4525</v>
      </c>
    </row>
    <row r="1437">
      <c r="E1437" s="1">
        <v>86.0</v>
      </c>
      <c r="F1437" s="6" t="str">
        <f>IFERROR(__xludf.DUMMYFUNCTION("""COMPUTED_VALUE"""),"lifeless")</f>
        <v>lifeless</v>
      </c>
      <c r="H1437" s="1" t="s">
        <v>3850</v>
      </c>
      <c r="I1437" s="6" t="str">
        <f>IFERROR(__xludf.DUMMYFUNCTION("""COMPUTED_VALUE"""),"cult")</f>
        <v>cult</v>
      </c>
      <c r="S1437" s="1" t="s">
        <v>1981</v>
      </c>
      <c r="T1437" s="6" t="str">
        <f>IFERROR(__xludf.DUMMYFUNCTION("""COMPUTED_VALUE"""),"individual")</f>
        <v>individual</v>
      </c>
      <c r="W1437" s="8"/>
      <c r="AJ1437" s="1" t="s">
        <v>4526</v>
      </c>
      <c r="AM1437" s="1" t="s">
        <v>2704</v>
      </c>
    </row>
    <row r="1438">
      <c r="E1438" s="1" t="s">
        <v>3994</v>
      </c>
      <c r="F1438" s="6" t="str">
        <f>IFERROR(__xludf.DUMMYFUNCTION("""COMPUTED_VALUE"""),"near")</f>
        <v>near</v>
      </c>
      <c r="H1438" s="1" t="s">
        <v>1372</v>
      </c>
      <c r="I1438" s="6" t="str">
        <f>IFERROR(__xludf.DUMMYFUNCTION("""COMPUTED_VALUE"""),"undone")</f>
        <v>undone</v>
      </c>
      <c r="S1438" s="1" t="s">
        <v>1235</v>
      </c>
      <c r="T1438" s="6" t="str">
        <f>IFERROR(__xludf.DUMMYFUNCTION("""COMPUTED_VALUE"""),"steam")</f>
        <v>steam</v>
      </c>
      <c r="W1438" s="8"/>
      <c r="AJ1438" s="1" t="s">
        <v>2728</v>
      </c>
      <c r="AM1438" s="1" t="s">
        <v>2851</v>
      </c>
    </row>
    <row r="1439">
      <c r="E1439" s="1" t="s">
        <v>1872</v>
      </c>
      <c r="F1439" s="6" t="str">
        <f>IFERROR(__xludf.DUMMYFUNCTION("""COMPUTED_VALUE"""),"framing")</f>
        <v>framing</v>
      </c>
      <c r="H1439" s="1" t="s">
        <v>4527</v>
      </c>
      <c r="I1439" s="6" t="str">
        <f>IFERROR(__xludf.DUMMYFUNCTION("""COMPUTED_VALUE"""),"inspiration")</f>
        <v>inspiration</v>
      </c>
      <c r="S1439" s="1" t="s">
        <v>4528</v>
      </c>
      <c r="T1439" s="6" t="str">
        <f>IFERROR(__xludf.DUMMYFUNCTION("""COMPUTED_VALUE"""),"larger")</f>
        <v>larger</v>
      </c>
      <c r="W1439" s="8"/>
      <c r="AJ1439" s="1" t="s">
        <v>4529</v>
      </c>
      <c r="AM1439" s="1" t="s">
        <v>4530</v>
      </c>
    </row>
    <row r="1440">
      <c r="E1440" s="1" t="s">
        <v>4531</v>
      </c>
      <c r="F1440" s="6" t="str">
        <f>IFERROR(__xludf.DUMMYFUNCTION("""COMPUTED_VALUE"""),"alternately")</f>
        <v>alternately</v>
      </c>
      <c r="H1440" s="1" t="s">
        <v>712</v>
      </c>
      <c r="I1440" s="6" t="str">
        <f>IFERROR(__xludf.DUMMYFUNCTION("""COMPUTED_VALUE"""),"nicholson")</f>
        <v>nicholson</v>
      </c>
      <c r="S1440" s="1" t="s">
        <v>3348</v>
      </c>
      <c r="T1440" s="6" t="str">
        <f>IFERROR(__xludf.DUMMYFUNCTION("""COMPUTED_VALUE"""),"conflict")</f>
        <v>conflict</v>
      </c>
      <c r="W1440" s="8"/>
      <c r="AJ1440" s="1" t="s">
        <v>4532</v>
      </c>
      <c r="AM1440" s="1" t="s">
        <v>4046</v>
      </c>
    </row>
    <row r="1441">
      <c r="E1441" s="1" t="s">
        <v>4533</v>
      </c>
      <c r="F1441" s="6" t="str">
        <f>IFERROR(__xludf.DUMMYFUNCTION("""COMPUTED_VALUE"""),"hopeful")</f>
        <v>hopeful</v>
      </c>
      <c r="H1441" s="1" t="s">
        <v>2695</v>
      </c>
      <c r="I1441" s="6" t="str">
        <f>IFERROR(__xludf.DUMMYFUNCTION("""COMPUTED_VALUE"""),"brush")</f>
        <v>brush</v>
      </c>
      <c r="S1441" s="1" t="s">
        <v>188</v>
      </c>
      <c r="T1441" s="6" t="str">
        <f>IFERROR(__xludf.DUMMYFUNCTION("""COMPUTED_VALUE"""),"vital")</f>
        <v>vital</v>
      </c>
      <c r="W1441" s="8"/>
      <c r="AJ1441" s="1" t="s">
        <v>2730</v>
      </c>
      <c r="AM1441" s="1" t="s">
        <v>2853</v>
      </c>
    </row>
    <row r="1442">
      <c r="E1442" s="1" t="s">
        <v>4534</v>
      </c>
      <c r="F1442" s="6" t="str">
        <f>IFERROR(__xludf.DUMMYFUNCTION("""COMPUTED_VALUE"""),"apparatus")</f>
        <v>apparatus</v>
      </c>
      <c r="H1442" s="1" t="s">
        <v>2698</v>
      </c>
      <c r="I1442" s="6" t="str">
        <f>IFERROR(__xludf.DUMMYFUNCTION("""COMPUTED_VALUE"""),"awareness")</f>
        <v>awareness</v>
      </c>
      <c r="S1442" s="1" t="s">
        <v>3869</v>
      </c>
      <c r="T1442" s="6" t="str">
        <f>IFERROR(__xludf.DUMMYFUNCTION("""COMPUTED_VALUE"""),"enthusiastic")</f>
        <v>enthusiastic</v>
      </c>
      <c r="W1442" s="8"/>
      <c r="AJ1442" s="1" t="s">
        <v>1550</v>
      </c>
      <c r="AM1442" s="1" t="s">
        <v>3685</v>
      </c>
    </row>
    <row r="1443">
      <c r="E1443" s="1" t="s">
        <v>4535</v>
      </c>
      <c r="F1443" s="6" t="str">
        <f>IFERROR(__xludf.DUMMYFUNCTION("""COMPUTED_VALUE"""),"mechanical")</f>
        <v>mechanical</v>
      </c>
      <c r="H1443" s="1" t="s">
        <v>1355</v>
      </c>
      <c r="I1443" s="6" t="str">
        <f>IFERROR(__xludf.DUMMYFUNCTION("""COMPUTED_VALUE"""),"mortal")</f>
        <v>mortal</v>
      </c>
      <c r="S1443" s="1" t="s">
        <v>4536</v>
      </c>
      <c r="T1443" s="6" t="str">
        <f>IFERROR(__xludf.DUMMYFUNCTION("""COMPUTED_VALUE"""),"classics")</f>
        <v>classics</v>
      </c>
      <c r="W1443" s="8"/>
      <c r="AJ1443" s="1" t="s">
        <v>2736</v>
      </c>
      <c r="AM1443" s="1" t="s">
        <v>1451</v>
      </c>
    </row>
    <row r="1444">
      <c r="E1444" s="1" t="s">
        <v>1877</v>
      </c>
      <c r="F1444" s="6" t="str">
        <f>IFERROR(__xludf.DUMMYFUNCTION("""COMPUTED_VALUE"""),"compatible")</f>
        <v>compatible</v>
      </c>
      <c r="H1444" s="1" t="s">
        <v>3858</v>
      </c>
      <c r="I1444" s="6" t="str">
        <f>IFERROR(__xludf.DUMMYFUNCTION("""COMPUTED_VALUE"""),"intent")</f>
        <v>intent</v>
      </c>
      <c r="S1444" s="1" t="s">
        <v>2490</v>
      </c>
      <c r="T1444" s="6" t="str">
        <f>IFERROR(__xludf.DUMMYFUNCTION("""COMPUTED_VALUE"""),"sweetly")</f>
        <v>sweetly</v>
      </c>
      <c r="W1444" s="8"/>
      <c r="AJ1444" s="1" t="s">
        <v>4537</v>
      </c>
      <c r="AM1444" s="1" t="s">
        <v>2858</v>
      </c>
    </row>
    <row r="1445">
      <c r="E1445" s="1" t="s">
        <v>1882</v>
      </c>
      <c r="F1445" s="6" t="str">
        <f>IFERROR(__xludf.DUMMYFUNCTION("""COMPUTED_VALUE"""),"depiction")</f>
        <v>depiction</v>
      </c>
      <c r="H1445" s="1" t="s">
        <v>898</v>
      </c>
      <c r="I1445" s="6" t="str">
        <f>IFERROR(__xludf.DUMMYFUNCTION("""COMPUTED_VALUE"""),"creeping")</f>
        <v>creeping</v>
      </c>
      <c r="S1445" s="1" t="s">
        <v>4538</v>
      </c>
      <c r="T1445" s="6" t="str">
        <f>IFERROR(__xludf.DUMMYFUNCTION("""COMPUTED_VALUE"""),"dough")</f>
        <v>dough</v>
      </c>
      <c r="W1445" s="8"/>
      <c r="AJ1445" s="1" t="s">
        <v>4539</v>
      </c>
      <c r="AM1445" s="1" t="s">
        <v>4053</v>
      </c>
    </row>
    <row r="1446">
      <c r="E1446" s="1" t="s">
        <v>3439</v>
      </c>
      <c r="F1446" s="6" t="str">
        <f>IFERROR(__xludf.DUMMYFUNCTION("""COMPUTED_VALUE"""),"embraced")</f>
        <v>embraced</v>
      </c>
      <c r="H1446" s="1" t="s">
        <v>3860</v>
      </c>
      <c r="I1446" s="6" t="str">
        <f>IFERROR(__xludf.DUMMYFUNCTION("""COMPUTED_VALUE"""),"swear")</f>
        <v>swear</v>
      </c>
      <c r="S1446" s="1" t="s">
        <v>1135</v>
      </c>
      <c r="T1446" s="6" t="str">
        <f>IFERROR(__xludf.DUMMYFUNCTION("""COMPUTED_VALUE"""),"infectious")</f>
        <v>infectious</v>
      </c>
      <c r="W1446" s="8"/>
      <c r="AJ1446" s="1" t="s">
        <v>4540</v>
      </c>
      <c r="AM1446" s="1" t="s">
        <v>2860</v>
      </c>
    </row>
    <row r="1447">
      <c r="E1447" s="1" t="s">
        <v>4289</v>
      </c>
      <c r="F1447" s="6" t="str">
        <f>IFERROR(__xludf.DUMMYFUNCTION("""COMPUTED_VALUE"""),"realities")</f>
        <v>realities</v>
      </c>
      <c r="H1447" s="1" t="s">
        <v>3370</v>
      </c>
      <c r="I1447" s="6" t="str">
        <f>IFERROR(__xludf.DUMMYFUNCTION("""COMPUTED_VALUE"""),"economical")</f>
        <v>economical</v>
      </c>
      <c r="S1447" s="1" t="s">
        <v>4541</v>
      </c>
      <c r="T1447" s="6" t="str">
        <f>IFERROR(__xludf.DUMMYFUNCTION("""COMPUTED_VALUE"""),"brooding")</f>
        <v>brooding</v>
      </c>
      <c r="W1447" s="8"/>
      <c r="AJ1447" s="1" t="s">
        <v>4542</v>
      </c>
      <c r="AM1447" s="1" t="s">
        <v>1458</v>
      </c>
    </row>
    <row r="1448">
      <c r="E1448" s="1" t="s">
        <v>4543</v>
      </c>
      <c r="F1448" s="6" t="str">
        <f>IFERROR(__xludf.DUMMYFUNCTION("""COMPUTED_VALUE"""),"aids")</f>
        <v>aids</v>
      </c>
      <c r="H1448" s="1" t="s">
        <v>2608</v>
      </c>
      <c r="I1448" s="6" t="str">
        <f>IFERROR(__xludf.DUMMYFUNCTION("""COMPUTED_VALUE"""),"bursts")</f>
        <v>bursts</v>
      </c>
      <c r="S1448" s="1" t="s">
        <v>4544</v>
      </c>
      <c r="T1448" s="6" t="str">
        <f>IFERROR(__xludf.DUMMYFUNCTION("""COMPUTED_VALUE"""),"modest")</f>
        <v>modest</v>
      </c>
      <c r="W1448" s="8"/>
      <c r="AJ1448" s="1" t="s">
        <v>2739</v>
      </c>
      <c r="AM1448" s="1" t="s">
        <v>2715</v>
      </c>
    </row>
    <row r="1449">
      <c r="E1449" s="1" t="s">
        <v>3441</v>
      </c>
      <c r="F1449" s="6" t="str">
        <f>IFERROR(__xludf.DUMMYFUNCTION("""COMPUTED_VALUE"""),"fide")</f>
        <v>fide</v>
      </c>
      <c r="H1449" s="1" t="s">
        <v>2618</v>
      </c>
      <c r="I1449" s="6" t="str">
        <f>IFERROR(__xludf.DUMMYFUNCTION("""COMPUTED_VALUE"""),"distinctly")</f>
        <v>distinctly</v>
      </c>
      <c r="S1449" s="1" t="s">
        <v>3053</v>
      </c>
      <c r="T1449" s="6" t="str">
        <f>IFERROR(__xludf.DUMMYFUNCTION("""COMPUTED_VALUE"""),"capacity")</f>
        <v>capacity</v>
      </c>
      <c r="W1449" s="8"/>
      <c r="AJ1449" s="1" t="s">
        <v>2742</v>
      </c>
      <c r="AM1449" s="1" t="s">
        <v>2720</v>
      </c>
    </row>
    <row r="1450">
      <c r="E1450" s="1" t="s">
        <v>1917</v>
      </c>
      <c r="F1450" s="6" t="str">
        <f>IFERROR(__xludf.DUMMYFUNCTION("""COMPUTED_VALUE"""),"born")</f>
        <v>born</v>
      </c>
      <c r="H1450" s="1" t="s">
        <v>2714</v>
      </c>
      <c r="I1450" s="6" t="str">
        <f>IFERROR(__xludf.DUMMYFUNCTION("""COMPUTED_VALUE"""),"hospital")</f>
        <v>hospital</v>
      </c>
      <c r="S1450" s="1">
        <v>94.0</v>
      </c>
      <c r="T1450" s="6" t="str">
        <f>IFERROR(__xludf.DUMMYFUNCTION("""COMPUTED_VALUE"""),"shooting")</f>
        <v>shooting</v>
      </c>
      <c r="W1450" s="8"/>
      <c r="AJ1450" s="1" t="s">
        <v>4545</v>
      </c>
      <c r="AM1450" s="1" t="s">
        <v>3721</v>
      </c>
    </row>
    <row r="1451">
      <c r="E1451" s="1" t="s">
        <v>4546</v>
      </c>
      <c r="F1451" s="6" t="str">
        <f>IFERROR(__xludf.DUMMYFUNCTION("""COMPUTED_VALUE"""),"hug")</f>
        <v>hug</v>
      </c>
      <c r="H1451" s="1" t="s">
        <v>3867</v>
      </c>
      <c r="I1451" s="6" t="str">
        <f>IFERROR(__xludf.DUMMYFUNCTION("""COMPUTED_VALUE"""),"theories")</f>
        <v>theories</v>
      </c>
      <c r="S1451" s="1" t="s">
        <v>3229</v>
      </c>
      <c r="T1451" s="6" t="str">
        <f>IFERROR(__xludf.DUMMYFUNCTION("""COMPUTED_VALUE"""),"wave")</f>
        <v>wave</v>
      </c>
      <c r="W1451" s="8"/>
      <c r="AJ1451" s="1" t="s">
        <v>4547</v>
      </c>
      <c r="AM1451" s="1" t="s">
        <v>4139</v>
      </c>
    </row>
    <row r="1452">
      <c r="E1452" s="1" t="s">
        <v>3639</v>
      </c>
      <c r="F1452" s="6" t="str">
        <f>IFERROR(__xludf.DUMMYFUNCTION("""COMPUTED_VALUE"""),"repetition")</f>
        <v>repetition</v>
      </c>
      <c r="H1452" s="1" t="s">
        <v>3869</v>
      </c>
      <c r="I1452" s="6" t="str">
        <f>IFERROR(__xludf.DUMMYFUNCTION("""COMPUTED_VALUE"""),"ominous")</f>
        <v>ominous</v>
      </c>
      <c r="S1452" s="1" t="s">
        <v>3566</v>
      </c>
      <c r="T1452" s="6" t="str">
        <f>IFERROR(__xludf.DUMMYFUNCTION("""COMPUTED_VALUE"""),"crush")</f>
        <v>crush</v>
      </c>
      <c r="W1452" s="8"/>
      <c r="AJ1452" s="1" t="s">
        <v>4548</v>
      </c>
      <c r="AM1452" s="1" t="s">
        <v>318</v>
      </c>
    </row>
    <row r="1453">
      <c r="E1453" s="1" t="s">
        <v>4549</v>
      </c>
      <c r="F1453" s="6" t="str">
        <f>IFERROR(__xludf.DUMMYFUNCTION("""COMPUTED_VALUE"""),"rivalry")</f>
        <v>rivalry</v>
      </c>
      <c r="H1453" s="1" t="s">
        <v>2231</v>
      </c>
      <c r="I1453" s="6" t="str">
        <f>IFERROR(__xludf.DUMMYFUNCTION("""COMPUTED_VALUE"""),"earthly")</f>
        <v>earthly</v>
      </c>
      <c r="S1453" s="1" t="s">
        <v>1497</v>
      </c>
      <c r="T1453" s="6" t="str">
        <f>IFERROR(__xludf.DUMMYFUNCTION("""COMPUTED_VALUE"""),"conspicuous")</f>
        <v>conspicuous</v>
      </c>
      <c r="W1453" s="8"/>
      <c r="AJ1453" s="1" t="s">
        <v>4550</v>
      </c>
      <c r="AM1453" s="1" t="s">
        <v>4278</v>
      </c>
    </row>
    <row r="1454">
      <c r="E1454" s="1" t="s">
        <v>4551</v>
      </c>
      <c r="F1454" s="6" t="str">
        <f>IFERROR(__xludf.DUMMYFUNCTION("""COMPUTED_VALUE"""),"agile")</f>
        <v>agile</v>
      </c>
      <c r="H1454" s="1" t="s">
        <v>3871</v>
      </c>
      <c r="I1454" s="6" t="str">
        <f>IFERROR(__xludf.DUMMYFUNCTION("""COMPUTED_VALUE"""),"costly")</f>
        <v>costly</v>
      </c>
      <c r="S1454" s="1" t="s">
        <v>4552</v>
      </c>
      <c r="T1454" s="6" t="str">
        <f>IFERROR(__xludf.DUMMYFUNCTION("""COMPUTED_VALUE"""),"language")</f>
        <v>language</v>
      </c>
      <c r="W1454" s="8"/>
      <c r="AJ1454" s="1" t="s">
        <v>4553</v>
      </c>
      <c r="AM1454" s="1" t="s">
        <v>2729</v>
      </c>
    </row>
    <row r="1455">
      <c r="E1455" s="1" t="s">
        <v>1889</v>
      </c>
      <c r="F1455" s="6" t="str">
        <f>IFERROR(__xludf.DUMMYFUNCTION("""COMPUTED_VALUE"""),"proficient")</f>
        <v>proficient</v>
      </c>
      <c r="H1455" s="1" t="s">
        <v>1359</v>
      </c>
      <c r="I1455" s="6" t="str">
        <f>IFERROR(__xludf.DUMMYFUNCTION("""COMPUTED_VALUE"""),"myers")</f>
        <v>myers</v>
      </c>
      <c r="S1455" s="1" t="s">
        <v>4554</v>
      </c>
      <c r="T1455" s="6" t="str">
        <f>IFERROR(__xludf.DUMMYFUNCTION("""COMPUTED_VALUE"""),"toss")</f>
        <v>toss</v>
      </c>
      <c r="W1455" s="8"/>
      <c r="AJ1455" s="1" t="s">
        <v>2745</v>
      </c>
      <c r="AM1455" s="1" t="s">
        <v>4555</v>
      </c>
    </row>
    <row r="1456">
      <c r="E1456" s="1" t="s">
        <v>3446</v>
      </c>
      <c r="F1456" s="6" t="str">
        <f>IFERROR(__xludf.DUMMYFUNCTION("""COMPUTED_VALUE"""),"victim")</f>
        <v>victim</v>
      </c>
      <c r="H1456" s="1" t="s">
        <v>3876</v>
      </c>
      <c r="I1456" s="6" t="str">
        <f>IFERROR(__xludf.DUMMYFUNCTION("""COMPUTED_VALUE"""),"tickets")</f>
        <v>tickets</v>
      </c>
      <c r="S1456" s="1" t="s">
        <v>1629</v>
      </c>
      <c r="T1456" s="6" t="str">
        <f>IFERROR(__xludf.DUMMYFUNCTION("""COMPUTED_VALUE"""),"imaginary")</f>
        <v>imaginary</v>
      </c>
      <c r="W1456" s="8"/>
      <c r="AJ1456" s="1" t="s">
        <v>2746</v>
      </c>
      <c r="AM1456" s="1" t="s">
        <v>4066</v>
      </c>
    </row>
    <row r="1457">
      <c r="E1457" s="1" t="s">
        <v>3449</v>
      </c>
      <c r="F1457" s="6" t="str">
        <f>IFERROR(__xludf.DUMMYFUNCTION("""COMPUTED_VALUE"""),"denial")</f>
        <v>denial</v>
      </c>
      <c r="H1457" s="1" t="s">
        <v>2623</v>
      </c>
      <c r="I1457" s="6" t="str">
        <f>IFERROR(__xludf.DUMMYFUNCTION("""COMPUTED_VALUE"""),"counterparts")</f>
        <v>counterparts</v>
      </c>
      <c r="S1457" s="1" t="s">
        <v>3798</v>
      </c>
      <c r="T1457" s="6" t="str">
        <f>IFERROR(__xludf.DUMMYFUNCTION("""COMPUTED_VALUE"""),"crosses")</f>
        <v>crosses</v>
      </c>
      <c r="W1457" s="8"/>
      <c r="AJ1457" s="1" t="s">
        <v>4556</v>
      </c>
      <c r="AM1457" s="1" t="s">
        <v>4557</v>
      </c>
    </row>
    <row r="1458">
      <c r="E1458" s="1" t="s">
        <v>3075</v>
      </c>
      <c r="F1458" s="6" t="str">
        <f>IFERROR(__xludf.DUMMYFUNCTION("""COMPUTED_VALUE"""),"factors")</f>
        <v>factors</v>
      </c>
      <c r="H1458" s="1" t="s">
        <v>4366</v>
      </c>
      <c r="I1458" s="6" t="str">
        <f>IFERROR(__xludf.DUMMYFUNCTION("""COMPUTED_VALUE"""),"schizophrenia")</f>
        <v>schizophrenia</v>
      </c>
      <c r="S1458" s="1" t="s">
        <v>1713</v>
      </c>
      <c r="T1458" s="6" t="str">
        <f>IFERROR(__xludf.DUMMYFUNCTION("""COMPUTED_VALUE"""),"definitions")</f>
        <v>definitions</v>
      </c>
      <c r="W1458" s="8"/>
      <c r="AJ1458" s="1" t="s">
        <v>2748</v>
      </c>
      <c r="AM1458" s="1" t="s">
        <v>4558</v>
      </c>
    </row>
    <row r="1459">
      <c r="E1459" s="1" t="s">
        <v>1893</v>
      </c>
      <c r="F1459" s="6" t="str">
        <f>IFERROR(__xludf.DUMMYFUNCTION("""COMPUTED_VALUE"""),"paxton")</f>
        <v>paxton</v>
      </c>
      <c r="H1459" s="1" t="s">
        <v>1367</v>
      </c>
      <c r="I1459" s="6" t="str">
        <f>IFERROR(__xludf.DUMMYFUNCTION("""COMPUTED_VALUE"""),"captured")</f>
        <v>captured</v>
      </c>
      <c r="S1459" s="1" t="s">
        <v>4559</v>
      </c>
      <c r="T1459" s="6" t="str">
        <f>IFERROR(__xludf.DUMMYFUNCTION("""COMPUTED_VALUE"""),"thud")</f>
        <v>thud</v>
      </c>
      <c r="W1459" s="8"/>
      <c r="AJ1459" s="1" t="s">
        <v>2750</v>
      </c>
      <c r="AM1459" s="1" t="s">
        <v>4068</v>
      </c>
    </row>
    <row r="1460">
      <c r="E1460" s="1" t="s">
        <v>1172</v>
      </c>
      <c r="F1460" s="6" t="str">
        <f>IFERROR(__xludf.DUMMYFUNCTION("""COMPUTED_VALUE"""),"resistance")</f>
        <v>resistance</v>
      </c>
      <c r="H1460" s="1" t="s">
        <v>2628</v>
      </c>
      <c r="I1460" s="6" t="str">
        <f>IFERROR(__xludf.DUMMYFUNCTION("""COMPUTED_VALUE"""),"warfare")</f>
        <v>warfare</v>
      </c>
      <c r="S1460" s="1" t="s">
        <v>3870</v>
      </c>
      <c r="T1460" s="6" t="str">
        <f>IFERROR(__xludf.DUMMYFUNCTION("""COMPUTED_VALUE"""),"floor")</f>
        <v>floor</v>
      </c>
      <c r="W1460" s="8"/>
      <c r="AJ1460" s="1" t="s">
        <v>4560</v>
      </c>
      <c r="AM1460" s="1" t="s">
        <v>1896</v>
      </c>
    </row>
    <row r="1461">
      <c r="E1461" s="1" t="s">
        <v>3085</v>
      </c>
      <c r="F1461" s="6" t="str">
        <f>IFERROR(__xludf.DUMMYFUNCTION("""COMPUTED_VALUE"""),"forster")</f>
        <v>forster</v>
      </c>
      <c r="H1461" s="1" t="s">
        <v>1312</v>
      </c>
      <c r="I1461" s="6" t="str">
        <f>IFERROR(__xludf.DUMMYFUNCTION("""COMPUTED_VALUE"""),"lets")</f>
        <v>lets</v>
      </c>
      <c r="S1461" s="1" t="s">
        <v>3728</v>
      </c>
      <c r="T1461" s="6" t="str">
        <f>IFERROR(__xludf.DUMMYFUNCTION("""COMPUTED_VALUE"""),"interpretation")</f>
        <v>interpretation</v>
      </c>
      <c r="W1461" s="8"/>
      <c r="AJ1461" s="1" t="s">
        <v>4561</v>
      </c>
      <c r="AM1461" s="1" t="s">
        <v>2738</v>
      </c>
    </row>
    <row r="1462">
      <c r="E1462" s="1" t="s">
        <v>4562</v>
      </c>
      <c r="F1462" s="6" t="str">
        <f>IFERROR(__xludf.DUMMYFUNCTION("""COMPUTED_VALUE"""),"levy")</f>
        <v>levy</v>
      </c>
      <c r="H1462" s="1" t="s">
        <v>3884</v>
      </c>
      <c r="I1462" s="6" t="str">
        <f>IFERROR(__xludf.DUMMYFUNCTION("""COMPUTED_VALUE"""),"primarily")</f>
        <v>primarily</v>
      </c>
      <c r="S1462" s="1" t="s">
        <v>1650</v>
      </c>
      <c r="T1462" s="6" t="str">
        <f>IFERROR(__xludf.DUMMYFUNCTION("""COMPUTED_VALUE"""),"lyrical")</f>
        <v>lyrical</v>
      </c>
      <c r="W1462" s="8"/>
      <c r="AJ1462" s="1" t="s">
        <v>1556</v>
      </c>
      <c r="AM1462" s="1" t="s">
        <v>4563</v>
      </c>
    </row>
    <row r="1463">
      <c r="E1463" s="1" t="s">
        <v>4564</v>
      </c>
      <c r="F1463" s="6" t="str">
        <f>IFERROR(__xludf.DUMMYFUNCTION("""COMPUTED_VALUE"""),"vin")</f>
        <v>vin</v>
      </c>
      <c r="H1463" s="1" t="s">
        <v>3887</v>
      </c>
      <c r="I1463" s="6" t="str">
        <f>IFERROR(__xludf.DUMMYFUNCTION("""COMPUTED_VALUE"""),"brendan")</f>
        <v>brendan</v>
      </c>
      <c r="S1463" s="1" t="s">
        <v>2326</v>
      </c>
      <c r="T1463" s="6" t="str">
        <f>IFERROR(__xludf.DUMMYFUNCTION("""COMPUTED_VALUE"""),"blockbuster")</f>
        <v>blockbuster</v>
      </c>
      <c r="W1463" s="8"/>
      <c r="AJ1463" s="1" t="s">
        <v>2758</v>
      </c>
      <c r="AM1463" s="1" t="s">
        <v>2868</v>
      </c>
    </row>
    <row r="1464">
      <c r="E1464" s="1" t="s">
        <v>4565</v>
      </c>
      <c r="F1464" s="6" t="str">
        <f>IFERROR(__xludf.DUMMYFUNCTION("""COMPUTED_VALUE"""),"brains")</f>
        <v>brains</v>
      </c>
      <c r="H1464" s="1" t="s">
        <v>3889</v>
      </c>
      <c r="I1464" s="6" t="str">
        <f>IFERROR(__xludf.DUMMYFUNCTION("""COMPUTED_VALUE"""),"tuned")</f>
        <v>tuned</v>
      </c>
      <c r="S1464" s="1" t="s">
        <v>4405</v>
      </c>
      <c r="T1464" s="6" t="str">
        <f>IFERROR(__xludf.DUMMYFUNCTION("""COMPUTED_VALUE"""),"exploitation")</f>
        <v>exploitation</v>
      </c>
      <c r="W1464" s="8"/>
      <c r="AJ1464" s="1" t="s">
        <v>2763</v>
      </c>
      <c r="AM1464" s="1" t="s">
        <v>2871</v>
      </c>
    </row>
    <row r="1465">
      <c r="E1465" s="1" t="s">
        <v>3459</v>
      </c>
      <c r="F1465" s="6" t="str">
        <f>IFERROR(__xludf.DUMMYFUNCTION("""COMPUTED_VALUE"""),"furiously")</f>
        <v>furiously</v>
      </c>
      <c r="H1465" s="1" t="s">
        <v>3893</v>
      </c>
      <c r="I1465" s="6" t="str">
        <f>IFERROR(__xludf.DUMMYFUNCTION("""COMPUTED_VALUE"""),"raises")</f>
        <v>raises</v>
      </c>
      <c r="S1465" s="1" t="s">
        <v>3040</v>
      </c>
      <c r="T1465" s="6" t="str">
        <f>IFERROR(__xludf.DUMMYFUNCTION("""COMPUTED_VALUE"""),"populated")</f>
        <v>populated</v>
      </c>
      <c r="W1465" s="8"/>
      <c r="AJ1465" s="1" t="s">
        <v>4566</v>
      </c>
      <c r="AM1465" s="1" t="s">
        <v>2874</v>
      </c>
    </row>
    <row r="1466">
      <c r="E1466" s="1" t="s">
        <v>3093</v>
      </c>
      <c r="F1466" s="6" t="str">
        <f>IFERROR(__xludf.DUMMYFUNCTION("""COMPUTED_VALUE"""),"banged")</f>
        <v>banged</v>
      </c>
      <c r="H1466" s="1" t="s">
        <v>4378</v>
      </c>
      <c r="I1466" s="6" t="str">
        <f>IFERROR(__xludf.DUMMYFUNCTION("""COMPUTED_VALUE"""),"delivering")</f>
        <v>delivering</v>
      </c>
      <c r="S1466" s="1" t="s">
        <v>4567</v>
      </c>
      <c r="T1466" s="6" t="str">
        <f>IFERROR(__xludf.DUMMYFUNCTION("""COMPUTED_VALUE"""),"emotion")</f>
        <v>emotion</v>
      </c>
      <c r="W1466" s="8"/>
      <c r="AJ1466" s="1" t="s">
        <v>1884</v>
      </c>
      <c r="AM1466" s="1" t="s">
        <v>1466</v>
      </c>
    </row>
    <row r="1467">
      <c r="E1467" s="1" t="s">
        <v>4568</v>
      </c>
      <c r="F1467" s="6" t="str">
        <f>IFERROR(__xludf.DUMMYFUNCTION("""COMPUTED_VALUE"""),"athletes")</f>
        <v>athletes</v>
      </c>
      <c r="H1467" s="1" t="s">
        <v>4089</v>
      </c>
      <c r="I1467" s="6" t="str">
        <f>IFERROR(__xludf.DUMMYFUNCTION("""COMPUTED_VALUE"""),"brink")</f>
        <v>brink</v>
      </c>
      <c r="S1467" s="1" t="s">
        <v>1659</v>
      </c>
      <c r="T1467" s="6" t="str">
        <f>IFERROR(__xludf.DUMMYFUNCTION("""COMPUTED_VALUE"""),"tooth")</f>
        <v>tooth</v>
      </c>
      <c r="W1467" s="8"/>
      <c r="AJ1467" s="1" t="s">
        <v>1286</v>
      </c>
      <c r="AM1467" s="1" t="s">
        <v>2881</v>
      </c>
    </row>
    <row r="1468">
      <c r="E1468" s="1" t="s">
        <v>3473</v>
      </c>
      <c r="F1468" s="6" t="str">
        <f>IFERROR(__xludf.DUMMYFUNCTION("""COMPUTED_VALUE"""),"screenings")</f>
        <v>screenings</v>
      </c>
      <c r="H1468" s="1" t="s">
        <v>1281</v>
      </c>
      <c r="I1468" s="6" t="str">
        <f>IFERROR(__xludf.DUMMYFUNCTION("""COMPUTED_VALUE"""),"changes")</f>
        <v>changes</v>
      </c>
      <c r="S1468" s="1" t="s">
        <v>1879</v>
      </c>
      <c r="T1468" s="6" t="str">
        <f>IFERROR(__xludf.DUMMYFUNCTION("""COMPUTED_VALUE"""),"obsession")</f>
        <v>obsession</v>
      </c>
      <c r="W1468" s="8"/>
      <c r="AJ1468" s="1" t="s">
        <v>2768</v>
      </c>
      <c r="AM1468" s="1" t="s">
        <v>497</v>
      </c>
    </row>
    <row r="1469">
      <c r="E1469" s="1" t="s">
        <v>3482</v>
      </c>
      <c r="F1469" s="6" t="str">
        <f>IFERROR(__xludf.DUMMYFUNCTION("""COMPUTED_VALUE"""),"canon")</f>
        <v>canon</v>
      </c>
      <c r="H1469" s="1" t="s">
        <v>2731</v>
      </c>
      <c r="I1469" s="6" t="str">
        <f>IFERROR(__xludf.DUMMYFUNCTION("""COMPUTED_VALUE"""),"thick")</f>
        <v>thick</v>
      </c>
      <c r="S1469" s="1" t="s">
        <v>4569</v>
      </c>
      <c r="T1469" s="6" t="str">
        <f>IFERROR(__xludf.DUMMYFUNCTION("""COMPUTED_VALUE"""),"triumph")</f>
        <v>triumph</v>
      </c>
      <c r="W1469" s="8"/>
      <c r="AJ1469" s="1" t="s">
        <v>2771</v>
      </c>
      <c r="AM1469" s="1" t="s">
        <v>4570</v>
      </c>
    </row>
    <row r="1470">
      <c r="E1470" s="1" t="s">
        <v>1178</v>
      </c>
      <c r="F1470" s="6" t="str">
        <f>IFERROR(__xludf.DUMMYFUNCTION("""COMPUTED_VALUE"""),"grown")</f>
        <v>grown</v>
      </c>
      <c r="H1470" s="1" t="s">
        <v>4384</v>
      </c>
      <c r="I1470" s="6" t="str">
        <f>IFERROR(__xludf.DUMMYFUNCTION("""COMPUTED_VALUE"""),"anguish")</f>
        <v>anguish</v>
      </c>
      <c r="S1470" s="1" t="s">
        <v>2540</v>
      </c>
      <c r="T1470" s="6" t="str">
        <f>IFERROR(__xludf.DUMMYFUNCTION("""COMPUTED_VALUE"""),"glow")</f>
        <v>glow</v>
      </c>
      <c r="W1470" s="8"/>
      <c r="AJ1470" s="1" t="s">
        <v>1401</v>
      </c>
      <c r="AM1470" s="1" t="s">
        <v>2887</v>
      </c>
    </row>
    <row r="1471">
      <c r="E1471" s="1" t="s">
        <v>1899</v>
      </c>
      <c r="F1471" s="6" t="str">
        <f>IFERROR(__xludf.DUMMYFUNCTION("""COMPUTED_VALUE"""),"flesh")</f>
        <v>flesh</v>
      </c>
      <c r="H1471" s="1" t="s">
        <v>2734</v>
      </c>
      <c r="I1471" s="6" t="str">
        <f>IFERROR(__xludf.DUMMYFUNCTION("""COMPUTED_VALUE"""),"elusive")</f>
        <v>elusive</v>
      </c>
      <c r="S1471" s="1" t="s">
        <v>2411</v>
      </c>
      <c r="T1471" s="6" t="str">
        <f>IFERROR(__xludf.DUMMYFUNCTION("""COMPUTED_VALUE"""),"spends")</f>
        <v>spends</v>
      </c>
      <c r="W1471" s="8"/>
      <c r="AJ1471" s="1" t="s">
        <v>2780</v>
      </c>
      <c r="AM1471" s="1" t="s">
        <v>3472</v>
      </c>
    </row>
    <row r="1472">
      <c r="E1472" s="1" t="s">
        <v>3486</v>
      </c>
      <c r="F1472" s="6" t="str">
        <f>IFERROR(__xludf.DUMMYFUNCTION("""COMPUTED_VALUE"""),"drastic")</f>
        <v>drastic</v>
      </c>
      <c r="H1472" s="1" t="s">
        <v>928</v>
      </c>
      <c r="I1472" s="6" t="str">
        <f>IFERROR(__xludf.DUMMYFUNCTION("""COMPUTED_VALUE"""),"movement")</f>
        <v>movement</v>
      </c>
      <c r="S1472" s="1" t="s">
        <v>4571</v>
      </c>
      <c r="T1472" s="6" t="str">
        <f>IFERROR(__xludf.DUMMYFUNCTION("""COMPUTED_VALUE"""),"bunch")</f>
        <v>bunch</v>
      </c>
      <c r="W1472" s="8"/>
      <c r="AJ1472" s="1" t="s">
        <v>3769</v>
      </c>
      <c r="AM1472" s="1" t="s">
        <v>4572</v>
      </c>
    </row>
    <row r="1473">
      <c r="E1473" s="1" t="s">
        <v>4573</v>
      </c>
      <c r="F1473" s="6" t="str">
        <f>IFERROR(__xludf.DUMMYFUNCTION("""COMPUTED_VALUE"""),"capturing")</f>
        <v>capturing</v>
      </c>
      <c r="H1473" s="1" t="s">
        <v>902</v>
      </c>
      <c r="I1473" s="6" t="str">
        <f>IFERROR(__xludf.DUMMYFUNCTION("""COMPUTED_VALUE"""),"competition")</f>
        <v>competition</v>
      </c>
      <c r="S1473" s="1" t="s">
        <v>4437</v>
      </c>
      <c r="T1473" s="6" t="str">
        <f>IFERROR(__xludf.DUMMYFUNCTION("""COMPUTED_VALUE"""),"wesley")</f>
        <v>wesley</v>
      </c>
      <c r="W1473" s="8"/>
      <c r="AJ1473" s="1" t="s">
        <v>1566</v>
      </c>
      <c r="AM1473" s="1" t="s">
        <v>811</v>
      </c>
    </row>
    <row r="1474">
      <c r="E1474" s="1" t="s">
        <v>1185</v>
      </c>
      <c r="F1474" s="6" t="str">
        <f>IFERROR(__xludf.DUMMYFUNCTION("""COMPUTED_VALUE"""),"fantasies")</f>
        <v>fantasies</v>
      </c>
      <c r="H1474" s="1" t="s">
        <v>4391</v>
      </c>
      <c r="I1474" s="6" t="str">
        <f>IFERROR(__xludf.DUMMYFUNCTION("""COMPUTED_VALUE"""),"evaluate")</f>
        <v>evaluate</v>
      </c>
      <c r="S1474" s="1" t="s">
        <v>1871</v>
      </c>
      <c r="T1474" s="6" t="str">
        <f>IFERROR(__xludf.DUMMYFUNCTION("""COMPUTED_VALUE"""),"breakthrough")</f>
        <v>breakthrough</v>
      </c>
      <c r="W1474" s="8"/>
      <c r="AJ1474" s="1" t="s">
        <v>4574</v>
      </c>
      <c r="AM1474" s="1" t="s">
        <v>951</v>
      </c>
    </row>
    <row r="1475">
      <c r="E1475" s="1" t="s">
        <v>4575</v>
      </c>
      <c r="F1475" s="6" t="str">
        <f>IFERROR(__xludf.DUMMYFUNCTION("""COMPUTED_VALUE"""),"illness")</f>
        <v>illness</v>
      </c>
      <c r="H1475" s="1" t="s">
        <v>2636</v>
      </c>
      <c r="I1475" s="6" t="str">
        <f>IFERROR(__xludf.DUMMYFUNCTION("""COMPUTED_VALUE"""),"radical")</f>
        <v>radical</v>
      </c>
      <c r="S1475" s="1" t="s">
        <v>1666</v>
      </c>
      <c r="T1475" s="6" t="str">
        <f>IFERROR(__xludf.DUMMYFUNCTION("""COMPUTED_VALUE"""),"window")</f>
        <v>window</v>
      </c>
      <c r="W1475" s="8"/>
      <c r="AJ1475" s="1" t="s">
        <v>1572</v>
      </c>
      <c r="AM1475" s="1" t="s">
        <v>94</v>
      </c>
    </row>
    <row r="1476">
      <c r="E1476" s="1" t="s">
        <v>1338</v>
      </c>
      <c r="F1476" s="6" t="str">
        <f>IFERROR(__xludf.DUMMYFUNCTION("""COMPUTED_VALUE"""),"metaphysical")</f>
        <v>metaphysical</v>
      </c>
      <c r="H1476" s="1" t="s">
        <v>2639</v>
      </c>
      <c r="I1476" s="6" t="str">
        <f>IFERROR(__xludf.DUMMYFUNCTION("""COMPUTED_VALUE"""),"de")</f>
        <v>de</v>
      </c>
      <c r="S1476" s="1" t="s">
        <v>1890</v>
      </c>
      <c r="T1476" s="6" t="str">
        <f>IFERROR(__xludf.DUMMYFUNCTION("""COMPUTED_VALUE"""),"television")</f>
        <v>television</v>
      </c>
      <c r="W1476" s="8"/>
      <c r="AJ1476" s="1">
        <v>1952.0</v>
      </c>
      <c r="AM1476" s="1" t="s">
        <v>2896</v>
      </c>
    </row>
    <row r="1477">
      <c r="E1477" s="1" t="s">
        <v>4576</v>
      </c>
      <c r="F1477" s="6" t="str">
        <f>IFERROR(__xludf.DUMMYFUNCTION("""COMPUTED_VALUE"""),"echoes")</f>
        <v>echoes</v>
      </c>
      <c r="H1477" s="1" t="s">
        <v>823</v>
      </c>
      <c r="I1477" s="6" t="str">
        <f>IFERROR(__xludf.DUMMYFUNCTION("""COMPUTED_VALUE"""),"sterling")</f>
        <v>sterling</v>
      </c>
      <c r="S1477" s="1" t="s">
        <v>4577</v>
      </c>
      <c r="T1477" s="6" t="str">
        <f>IFERROR(__xludf.DUMMYFUNCTION("""COMPUTED_VALUE"""),"assumes")</f>
        <v>assumes</v>
      </c>
      <c r="W1477" s="8"/>
      <c r="AJ1477" s="1" t="s">
        <v>3688</v>
      </c>
      <c r="AM1477" s="1" t="s">
        <v>2898</v>
      </c>
    </row>
    <row r="1478">
      <c r="E1478" s="1" t="s">
        <v>4578</v>
      </c>
      <c r="F1478" s="6" t="str">
        <f>IFERROR(__xludf.DUMMYFUNCTION("""COMPUTED_VALUE"""),"canadians")</f>
        <v>canadians</v>
      </c>
      <c r="H1478" s="1" t="s">
        <v>718</v>
      </c>
      <c r="I1478" s="6" t="str">
        <f>IFERROR(__xludf.DUMMYFUNCTION("""COMPUTED_VALUE"""),"thrusts")</f>
        <v>thrusts</v>
      </c>
      <c r="S1478" s="1" t="s">
        <v>3914</v>
      </c>
      <c r="T1478" s="6" t="str">
        <f>IFERROR(__xludf.DUMMYFUNCTION("""COMPUTED_VALUE"""),"recovery")</f>
        <v>recovery</v>
      </c>
      <c r="W1478" s="8"/>
      <c r="AJ1478" s="1" t="s">
        <v>4579</v>
      </c>
      <c r="AM1478" s="1" t="s">
        <v>2747</v>
      </c>
    </row>
    <row r="1479">
      <c r="E1479" s="1" t="s">
        <v>1903</v>
      </c>
      <c r="F1479" s="6" t="str">
        <f>IFERROR(__xludf.DUMMYFUNCTION("""COMPUTED_VALUE"""),"monsters")</f>
        <v>monsters</v>
      </c>
      <c r="H1479" s="1" t="s">
        <v>1980</v>
      </c>
      <c r="I1479" s="6" t="str">
        <f>IFERROR(__xludf.DUMMYFUNCTION("""COMPUTED_VALUE"""),"backbone")</f>
        <v>backbone</v>
      </c>
      <c r="S1479" s="1" t="s">
        <v>4580</v>
      </c>
      <c r="T1479" s="6" t="str">
        <f>IFERROR(__xludf.DUMMYFUNCTION("""COMPUTED_VALUE"""),"separation")</f>
        <v>separation</v>
      </c>
      <c r="W1479" s="8"/>
      <c r="AJ1479" s="1" t="s">
        <v>2786</v>
      </c>
      <c r="AM1479" s="1" t="s">
        <v>4088</v>
      </c>
    </row>
    <row r="1480">
      <c r="E1480" s="1" t="s">
        <v>4581</v>
      </c>
      <c r="F1480" s="6" t="str">
        <f>IFERROR(__xludf.DUMMYFUNCTION("""COMPUTED_VALUE"""),"rally")</f>
        <v>rally</v>
      </c>
      <c r="H1480" s="1" t="s">
        <v>2500</v>
      </c>
      <c r="I1480" s="6">
        <f>IFERROR(__xludf.DUMMYFUNCTION("""COMPUTED_VALUE"""),1993.0)</f>
        <v>1993</v>
      </c>
      <c r="S1480" s="1" t="s">
        <v>4582</v>
      </c>
      <c r="T1480" s="6" t="str">
        <f>IFERROR(__xludf.DUMMYFUNCTION("""COMPUTED_VALUE"""),"stamp")</f>
        <v>stamp</v>
      </c>
      <c r="W1480" s="8"/>
      <c r="AJ1480" s="1" t="s">
        <v>2790</v>
      </c>
      <c r="AM1480" s="1" t="s">
        <v>616</v>
      </c>
    </row>
    <row r="1481">
      <c r="E1481" s="1" t="s">
        <v>4583</v>
      </c>
      <c r="F1481" s="6" t="str">
        <f>IFERROR(__xludf.DUMMYFUNCTION("""COMPUTED_VALUE"""),"psychotic")</f>
        <v>psychotic</v>
      </c>
      <c r="H1481" s="1" t="s">
        <v>4569</v>
      </c>
      <c r="I1481" s="6" t="str">
        <f>IFERROR(__xludf.DUMMYFUNCTION("""COMPUTED_VALUE"""),"courageous")</f>
        <v>courageous</v>
      </c>
      <c r="S1481" s="1" t="s">
        <v>4584</v>
      </c>
      <c r="T1481" s="6" t="str">
        <f>IFERROR(__xludf.DUMMYFUNCTION("""COMPUTED_VALUE"""),"capture")</f>
        <v>capture</v>
      </c>
      <c r="W1481" s="8"/>
      <c r="AJ1481" s="1" t="s">
        <v>4585</v>
      </c>
      <c r="AM1481" s="1" t="s">
        <v>242</v>
      </c>
    </row>
    <row r="1482">
      <c r="E1482" s="1" t="s">
        <v>3497</v>
      </c>
      <c r="F1482" s="6" t="str">
        <f>IFERROR(__xludf.DUMMYFUNCTION("""COMPUTED_VALUE"""),"generating")</f>
        <v>generating</v>
      </c>
      <c r="H1482" s="1" t="s">
        <v>727</v>
      </c>
      <c r="I1482" s="6" t="str">
        <f>IFERROR(__xludf.DUMMYFUNCTION("""COMPUTED_VALUE"""),"allegiance")</f>
        <v>allegiance</v>
      </c>
      <c r="S1482" s="1" t="s">
        <v>1751</v>
      </c>
      <c r="T1482" s="6" t="str">
        <f>IFERROR(__xludf.DUMMYFUNCTION("""COMPUTED_VALUE"""),"penetrating")</f>
        <v>penetrating</v>
      </c>
      <c r="W1482" s="8"/>
      <c r="AJ1482" s="1" t="s">
        <v>2794</v>
      </c>
      <c r="AM1482" s="1" t="s">
        <v>1486</v>
      </c>
    </row>
    <row r="1483">
      <c r="E1483" s="1" t="s">
        <v>3495</v>
      </c>
      <c r="F1483" s="6" t="str">
        <f>IFERROR(__xludf.DUMMYFUNCTION("""COMPUTED_VALUE"""),"dimensions")</f>
        <v>dimensions</v>
      </c>
      <c r="H1483" s="1" t="s">
        <v>4586</v>
      </c>
      <c r="I1483" s="6" t="str">
        <f>IFERROR(__xludf.DUMMYFUNCTION("""COMPUTED_VALUE"""),"pony")</f>
        <v>pony</v>
      </c>
      <c r="S1483" s="1" t="s">
        <v>4587</v>
      </c>
      <c r="T1483" s="6" t="str">
        <f>IFERROR(__xludf.DUMMYFUNCTION("""COMPUTED_VALUE"""),"fascination")</f>
        <v>fascination</v>
      </c>
      <c r="W1483" s="8"/>
      <c r="AJ1483" s="1" t="s">
        <v>1578</v>
      </c>
      <c r="AM1483" s="1" t="s">
        <v>4588</v>
      </c>
    </row>
    <row r="1484">
      <c r="E1484" s="1" t="s">
        <v>4589</v>
      </c>
      <c r="F1484" s="6" t="str">
        <f>IFERROR(__xludf.DUMMYFUNCTION("""COMPUTED_VALUE"""),"rigid")</f>
        <v>rigid</v>
      </c>
      <c r="H1484" s="1" t="s">
        <v>2648</v>
      </c>
      <c r="I1484" s="6" t="str">
        <f>IFERROR(__xludf.DUMMYFUNCTION("""COMPUTED_VALUE"""),"backlash")</f>
        <v>backlash</v>
      </c>
      <c r="S1484" s="1" t="s">
        <v>3541</v>
      </c>
      <c r="T1484" s="6" t="str">
        <f>IFERROR(__xludf.DUMMYFUNCTION("""COMPUTED_VALUE"""),"operational")</f>
        <v>operational</v>
      </c>
      <c r="W1484" s="8"/>
      <c r="AJ1484" s="1" t="s">
        <v>2798</v>
      </c>
      <c r="AM1484" s="1" t="s">
        <v>2907</v>
      </c>
    </row>
    <row r="1485">
      <c r="E1485" s="1" t="s">
        <v>3502</v>
      </c>
      <c r="F1485" s="6" t="str">
        <f>IFERROR(__xludf.DUMMYFUNCTION("""COMPUTED_VALUE"""),"devastation")</f>
        <v>devastation</v>
      </c>
      <c r="H1485" s="1" t="s">
        <v>1409</v>
      </c>
      <c r="I1485" s="6" t="str">
        <f>IFERROR(__xludf.DUMMYFUNCTION("""COMPUTED_VALUE"""),"prominently")</f>
        <v>prominently</v>
      </c>
      <c r="S1485" s="1" t="s">
        <v>728</v>
      </c>
      <c r="T1485" s="6" t="str">
        <f>IFERROR(__xludf.DUMMYFUNCTION("""COMPUTED_VALUE"""),"vague")</f>
        <v>vague</v>
      </c>
      <c r="W1485" s="8"/>
      <c r="AJ1485" s="1" t="s">
        <v>2800</v>
      </c>
      <c r="AM1485" s="1" t="s">
        <v>4590</v>
      </c>
    </row>
    <row r="1486">
      <c r="E1486" s="1" t="s">
        <v>2952</v>
      </c>
      <c r="F1486" s="6" t="str">
        <f>IFERROR(__xludf.DUMMYFUNCTION("""COMPUTED_VALUE"""),"portraying")</f>
        <v>portraying</v>
      </c>
      <c r="H1486" s="1" t="s">
        <v>3911</v>
      </c>
      <c r="I1486" s="6" t="str">
        <f>IFERROR(__xludf.DUMMYFUNCTION("""COMPUTED_VALUE"""),"exceeds")</f>
        <v>exceeds</v>
      </c>
      <c r="S1486" s="1" t="s">
        <v>1672</v>
      </c>
      <c r="T1486" s="6" t="str">
        <f>IFERROR(__xludf.DUMMYFUNCTION("""COMPUTED_VALUE"""),"cult")</f>
        <v>cult</v>
      </c>
      <c r="W1486" s="8"/>
      <c r="AJ1486" s="1" t="s">
        <v>1583</v>
      </c>
      <c r="AM1486" s="1" t="s">
        <v>2761</v>
      </c>
    </row>
    <row r="1487">
      <c r="E1487" s="1" t="s">
        <v>1906</v>
      </c>
      <c r="F1487" s="6" t="str">
        <f>IFERROR(__xludf.DUMMYFUNCTION("""COMPUTED_VALUE"""),"disease")</f>
        <v>disease</v>
      </c>
      <c r="H1487" s="1" t="s">
        <v>1258</v>
      </c>
      <c r="I1487" s="6" t="str">
        <f>IFERROR(__xludf.DUMMYFUNCTION("""COMPUTED_VALUE"""),"immersed")</f>
        <v>immersed</v>
      </c>
      <c r="S1487" s="1" t="s">
        <v>1345</v>
      </c>
      <c r="T1487" s="6" t="str">
        <f>IFERROR(__xludf.DUMMYFUNCTION("""COMPUTED_VALUE"""),"undone")</f>
        <v>undone</v>
      </c>
      <c r="W1487" s="8"/>
      <c r="AJ1487" s="1" t="s">
        <v>4591</v>
      </c>
      <c r="AM1487" s="1" t="s">
        <v>817</v>
      </c>
    </row>
    <row r="1488">
      <c r="E1488" s="1" t="s">
        <v>4592</v>
      </c>
      <c r="F1488" s="6" t="str">
        <f>IFERROR(__xludf.DUMMYFUNCTION("""COMPUTED_VALUE"""),"classification")</f>
        <v>classification</v>
      </c>
      <c r="H1488" s="1" t="s">
        <v>1781</v>
      </c>
      <c r="I1488" s="6" t="str">
        <f>IFERROR(__xludf.DUMMYFUNCTION("""COMPUTED_VALUE"""),"imagery")</f>
        <v>imagery</v>
      </c>
      <c r="S1488" s="1" t="s">
        <v>4496</v>
      </c>
      <c r="T1488" s="6" t="str">
        <f>IFERROR(__xludf.DUMMYFUNCTION("""COMPUTED_VALUE"""),"heard")</f>
        <v>heard</v>
      </c>
      <c r="W1488" s="8"/>
      <c r="AJ1488" s="1" t="s">
        <v>2803</v>
      </c>
      <c r="AM1488" s="1" t="s">
        <v>4098</v>
      </c>
    </row>
    <row r="1489">
      <c r="E1489" s="1" t="s">
        <v>1912</v>
      </c>
      <c r="F1489" s="6" t="str">
        <f>IFERROR(__xludf.DUMMYFUNCTION("""COMPUTED_VALUE"""),"revenge")</f>
        <v>revenge</v>
      </c>
      <c r="H1489" s="1" t="s">
        <v>3915</v>
      </c>
      <c r="I1489" s="6" t="str">
        <f>IFERROR(__xludf.DUMMYFUNCTION("""COMPUTED_VALUE"""),"vaguely")</f>
        <v>vaguely</v>
      </c>
      <c r="S1489" s="1" t="s">
        <v>4593</v>
      </c>
      <c r="T1489" s="6" t="str">
        <f>IFERROR(__xludf.DUMMYFUNCTION("""COMPUTED_VALUE"""),"inspiration")</f>
        <v>inspiration</v>
      </c>
      <c r="W1489" s="8"/>
      <c r="AJ1489" s="1" t="s">
        <v>2806</v>
      </c>
      <c r="AM1489" s="1" t="s">
        <v>3941</v>
      </c>
    </row>
    <row r="1490">
      <c r="E1490" s="1" t="s">
        <v>304</v>
      </c>
      <c r="F1490" s="6" t="str">
        <f>IFERROR(__xludf.DUMMYFUNCTION("""COMPUTED_VALUE"""),"sundance")</f>
        <v>sundance</v>
      </c>
      <c r="H1490" s="1" t="s">
        <v>2749</v>
      </c>
      <c r="I1490" s="6" t="str">
        <f>IFERROR(__xludf.DUMMYFUNCTION("""COMPUTED_VALUE"""),"suited")</f>
        <v>suited</v>
      </c>
      <c r="S1490" s="1" t="s">
        <v>3410</v>
      </c>
      <c r="T1490" s="6" t="str">
        <f>IFERROR(__xludf.DUMMYFUNCTION("""COMPUTED_VALUE"""),"category")</f>
        <v>category</v>
      </c>
      <c r="W1490" s="8"/>
      <c r="AJ1490" s="1">
        <v>146.0</v>
      </c>
      <c r="AM1490" s="1" t="s">
        <v>1494</v>
      </c>
    </row>
    <row r="1491">
      <c r="E1491" s="1" t="s">
        <v>3104</v>
      </c>
      <c r="F1491" s="6" t="str">
        <f>IFERROR(__xludf.DUMMYFUNCTION("""COMPUTED_VALUE"""),"smirk")</f>
        <v>smirk</v>
      </c>
      <c r="H1491" s="1" t="s">
        <v>4594</v>
      </c>
      <c r="I1491" s="6" t="str">
        <f>IFERROR(__xludf.DUMMYFUNCTION("""COMPUTED_VALUE"""),"intersect")</f>
        <v>intersect</v>
      </c>
      <c r="S1491" s="1" t="s">
        <v>4374</v>
      </c>
      <c r="T1491" s="6" t="str">
        <f>IFERROR(__xludf.DUMMYFUNCTION("""COMPUTED_VALUE"""),"nicholson")</f>
        <v>nicholson</v>
      </c>
      <c r="W1491" s="8"/>
      <c r="AJ1491" s="1" t="s">
        <v>3787</v>
      </c>
      <c r="AM1491" s="1" t="s">
        <v>2766</v>
      </c>
    </row>
    <row r="1492">
      <c r="E1492" s="1" t="s">
        <v>2400</v>
      </c>
      <c r="F1492" s="6" t="str">
        <f>IFERROR(__xludf.DUMMYFUNCTION("""COMPUTED_VALUE"""),"phillip")</f>
        <v>phillip</v>
      </c>
      <c r="H1492" s="1" t="s">
        <v>4595</v>
      </c>
      <c r="I1492" s="6" t="str">
        <f>IFERROR(__xludf.DUMMYFUNCTION("""COMPUTED_VALUE"""),"dedicated")</f>
        <v>dedicated</v>
      </c>
      <c r="S1492" s="1" t="s">
        <v>4596</v>
      </c>
      <c r="T1492" s="6" t="str">
        <f>IFERROR(__xludf.DUMMYFUNCTION("""COMPUTED_VALUE"""),"brush")</f>
        <v>brush</v>
      </c>
      <c r="W1492" s="8"/>
      <c r="AJ1492" s="1" t="s">
        <v>1965</v>
      </c>
      <c r="AM1492" s="1" t="s">
        <v>2919</v>
      </c>
    </row>
    <row r="1493">
      <c r="E1493" s="1" t="s">
        <v>3515</v>
      </c>
      <c r="F1493" s="6" t="str">
        <f>IFERROR(__xludf.DUMMYFUNCTION("""COMPUTED_VALUE"""),"references")</f>
        <v>references</v>
      </c>
      <c r="H1493" s="1" t="s">
        <v>3920</v>
      </c>
      <c r="I1493" s="6" t="str">
        <f>IFERROR(__xludf.DUMMYFUNCTION("""COMPUTED_VALUE"""),"shimmering")</f>
        <v>shimmering</v>
      </c>
      <c r="S1493" s="1" t="s">
        <v>4597</v>
      </c>
      <c r="T1493" s="6" t="str">
        <f>IFERROR(__xludf.DUMMYFUNCTION("""COMPUTED_VALUE"""),"recognize")</f>
        <v>recognize</v>
      </c>
      <c r="W1493" s="8"/>
      <c r="AJ1493" s="1" t="s">
        <v>2810</v>
      </c>
      <c r="AM1493" s="1" t="s">
        <v>1501</v>
      </c>
    </row>
    <row r="1494">
      <c r="E1494" s="1" t="s">
        <v>970</v>
      </c>
      <c r="F1494" s="6" t="str">
        <f>IFERROR(__xludf.DUMMYFUNCTION("""COMPUTED_VALUE"""),"skyscraper")</f>
        <v>skyscraper</v>
      </c>
      <c r="H1494" s="1" t="s">
        <v>3923</v>
      </c>
      <c r="I1494" s="6" t="str">
        <f>IFERROR(__xludf.DUMMYFUNCTION("""COMPUTED_VALUE"""),"pitted")</f>
        <v>pitted</v>
      </c>
      <c r="S1494" s="1" t="s">
        <v>4598</v>
      </c>
      <c r="T1494" s="6" t="str">
        <f>IFERROR(__xludf.DUMMYFUNCTION("""COMPUTED_VALUE"""),"awareness")</f>
        <v>awareness</v>
      </c>
      <c r="W1494" s="8"/>
      <c r="AJ1494" s="1" t="s">
        <v>2815</v>
      </c>
      <c r="AM1494" s="1" t="s">
        <v>2927</v>
      </c>
    </row>
    <row r="1495">
      <c r="E1495" s="1" t="s">
        <v>3112</v>
      </c>
      <c r="F1495" s="6" t="str">
        <f>IFERROR(__xludf.DUMMYFUNCTION("""COMPUTED_VALUE"""),"clouds")</f>
        <v>clouds</v>
      </c>
      <c r="H1495" s="1" t="s">
        <v>3323</v>
      </c>
      <c r="I1495" s="6" t="str">
        <f>IFERROR(__xludf.DUMMYFUNCTION("""COMPUTED_VALUE"""),"painting")</f>
        <v>painting</v>
      </c>
      <c r="S1495" s="1" t="s">
        <v>4599</v>
      </c>
      <c r="T1495" s="6" t="str">
        <f>IFERROR(__xludf.DUMMYFUNCTION("""COMPUTED_VALUE"""),"mortal")</f>
        <v>mortal</v>
      </c>
      <c r="W1495" s="8"/>
      <c r="AJ1495" s="1" t="s">
        <v>4600</v>
      </c>
      <c r="AM1495" s="1" t="s">
        <v>2930</v>
      </c>
    </row>
    <row r="1496">
      <c r="E1496" s="1" t="s">
        <v>3520</v>
      </c>
      <c r="F1496" s="6" t="str">
        <f>IFERROR(__xludf.DUMMYFUNCTION("""COMPUTED_VALUE"""),"narration")</f>
        <v>narration</v>
      </c>
      <c r="H1496" s="1" t="s">
        <v>2751</v>
      </c>
      <c r="I1496" s="6" t="str">
        <f>IFERROR(__xludf.DUMMYFUNCTION("""COMPUTED_VALUE"""),"shocks")</f>
        <v>shocks</v>
      </c>
      <c r="S1496" s="1" t="s">
        <v>2276</v>
      </c>
      <c r="T1496" s="6" t="str">
        <f>IFERROR(__xludf.DUMMYFUNCTION("""COMPUTED_VALUE"""),"intent")</f>
        <v>intent</v>
      </c>
      <c r="W1496" s="8"/>
      <c r="AJ1496" s="1" t="s">
        <v>4601</v>
      </c>
      <c r="AM1496" s="1" t="s">
        <v>2934</v>
      </c>
    </row>
    <row r="1497">
      <c r="E1497" s="1" t="s">
        <v>4602</v>
      </c>
      <c r="F1497" s="6" t="str">
        <f>IFERROR(__xludf.DUMMYFUNCTION("""COMPUTED_VALUE"""),"prolonged")</f>
        <v>prolonged</v>
      </c>
      <c r="H1497" s="1" t="s">
        <v>2753</v>
      </c>
      <c r="I1497" s="6" t="str">
        <f>IFERROR(__xludf.DUMMYFUNCTION("""COMPUTED_VALUE"""),"adolescent")</f>
        <v>adolescent</v>
      </c>
      <c r="S1497" s="1" t="s">
        <v>4603</v>
      </c>
      <c r="T1497" s="6" t="str">
        <f>IFERROR(__xludf.DUMMYFUNCTION("""COMPUTED_VALUE"""),"creeping")</f>
        <v>creeping</v>
      </c>
      <c r="W1497" s="8"/>
      <c r="AJ1497" s="1" t="s">
        <v>4604</v>
      </c>
      <c r="AM1497" s="1" t="s">
        <v>4605</v>
      </c>
    </row>
    <row r="1498">
      <c r="E1498" s="1" t="s">
        <v>3523</v>
      </c>
      <c r="F1498" s="6" t="str">
        <f>IFERROR(__xludf.DUMMYFUNCTION("""COMPUTED_VALUE"""),"opened")</f>
        <v>opened</v>
      </c>
      <c r="H1498" s="1" t="s">
        <v>3929</v>
      </c>
      <c r="I1498" s="6" t="str">
        <f>IFERROR(__xludf.DUMMYFUNCTION("""COMPUTED_VALUE"""),"marine")</f>
        <v>marine</v>
      </c>
      <c r="S1498" s="1" t="s">
        <v>4606</v>
      </c>
      <c r="T1498" s="6" t="str">
        <f>IFERROR(__xludf.DUMMYFUNCTION("""COMPUTED_VALUE"""),"economical")</f>
        <v>economical</v>
      </c>
      <c r="W1498" s="8"/>
      <c r="AJ1498" s="1" t="s">
        <v>1587</v>
      </c>
      <c r="AM1498" s="1" t="s">
        <v>4607</v>
      </c>
    </row>
    <row r="1499">
      <c r="E1499" s="1" t="s">
        <v>3526</v>
      </c>
      <c r="F1499" s="6" t="str">
        <f>IFERROR(__xludf.DUMMYFUNCTION("""COMPUTED_VALUE"""),"literal")</f>
        <v>literal</v>
      </c>
      <c r="H1499" s="1" t="s">
        <v>4608</v>
      </c>
      <c r="I1499" s="6" t="str">
        <f>IFERROR(__xludf.DUMMYFUNCTION("""COMPUTED_VALUE"""),"padded")</f>
        <v>padded</v>
      </c>
      <c r="S1499" s="1" t="s">
        <v>1677</v>
      </c>
      <c r="T1499" s="6" t="str">
        <f>IFERROR(__xludf.DUMMYFUNCTION("""COMPUTED_VALUE"""),"invasion")</f>
        <v>invasion</v>
      </c>
      <c r="W1499" s="8"/>
      <c r="AJ1499" s="1" t="s">
        <v>1592</v>
      </c>
      <c r="AM1499" s="1" t="s">
        <v>1508</v>
      </c>
    </row>
    <row r="1500">
      <c r="E1500" s="1" t="s">
        <v>4609</v>
      </c>
      <c r="F1500" s="6" t="str">
        <f>IFERROR(__xludf.DUMMYFUNCTION("""COMPUTED_VALUE"""),"rejected")</f>
        <v>rejected</v>
      </c>
      <c r="H1500" s="1" t="s">
        <v>2759</v>
      </c>
      <c r="I1500" s="6" t="str">
        <f>IFERROR(__xludf.DUMMYFUNCTION("""COMPUTED_VALUE"""),"propaganda")</f>
        <v>propaganda</v>
      </c>
      <c r="S1500" s="1" t="s">
        <v>3174</v>
      </c>
      <c r="T1500" s="6" t="str">
        <f>IFERROR(__xludf.DUMMYFUNCTION("""COMPUTED_VALUE"""),"breaks")</f>
        <v>breaks</v>
      </c>
      <c r="W1500" s="8"/>
      <c r="AJ1500" s="1" t="s">
        <v>4610</v>
      </c>
      <c r="AM1500" s="1" t="s">
        <v>2939</v>
      </c>
    </row>
    <row r="1501">
      <c r="E1501" s="1" t="s">
        <v>4611</v>
      </c>
      <c r="F1501" s="6" t="str">
        <f>IFERROR(__xludf.DUMMYFUNCTION("""COMPUTED_VALUE"""),"suggests")</f>
        <v>suggests</v>
      </c>
      <c r="H1501" s="1" t="s">
        <v>2764</v>
      </c>
      <c r="I1501" s="6" t="str">
        <f>IFERROR(__xludf.DUMMYFUNCTION("""COMPUTED_VALUE"""),"visuals")</f>
        <v>visuals</v>
      </c>
      <c r="S1501" s="1" t="s">
        <v>4612</v>
      </c>
      <c r="T1501" s="6" t="str">
        <f>IFERROR(__xludf.DUMMYFUNCTION("""COMPUTED_VALUE"""),"design")</f>
        <v>design</v>
      </c>
      <c r="W1501" s="8"/>
      <c r="AJ1501" s="1" t="s">
        <v>4613</v>
      </c>
      <c r="AM1501" s="1" t="s">
        <v>2945</v>
      </c>
    </row>
    <row r="1502">
      <c r="E1502" s="1" t="s">
        <v>3530</v>
      </c>
      <c r="F1502" s="6" t="str">
        <f>IFERROR(__xludf.DUMMYFUNCTION("""COMPUTED_VALUE"""),"richly")</f>
        <v>richly</v>
      </c>
      <c r="H1502" s="1" t="s">
        <v>734</v>
      </c>
      <c r="I1502" s="6" t="str">
        <f>IFERROR(__xludf.DUMMYFUNCTION("""COMPUTED_VALUE"""),"majestic")</f>
        <v>majestic</v>
      </c>
      <c r="S1502" s="1" t="s">
        <v>2194</v>
      </c>
      <c r="T1502" s="6" t="str">
        <f>IFERROR(__xludf.DUMMYFUNCTION("""COMPUTED_VALUE"""),"hospital")</f>
        <v>hospital</v>
      </c>
      <c r="W1502" s="8"/>
      <c r="AJ1502" s="1" t="s">
        <v>2823</v>
      </c>
      <c r="AM1502" s="1" t="s">
        <v>2949</v>
      </c>
    </row>
    <row r="1503">
      <c r="E1503" s="1" t="s">
        <v>1196</v>
      </c>
      <c r="F1503" s="6" t="str">
        <f>IFERROR(__xludf.DUMMYFUNCTION("""COMPUTED_VALUE"""),"flatly")</f>
        <v>flatly</v>
      </c>
      <c r="H1503" s="1" t="s">
        <v>4614</v>
      </c>
      <c r="I1503" s="6" t="str">
        <f>IFERROR(__xludf.DUMMYFUNCTION("""COMPUTED_VALUE"""),"directorial")</f>
        <v>directorial</v>
      </c>
      <c r="S1503" s="1" t="s">
        <v>3620</v>
      </c>
      <c r="T1503" s="6" t="str">
        <f>IFERROR(__xludf.DUMMYFUNCTION("""COMPUTED_VALUE"""),"costly")</f>
        <v>costly</v>
      </c>
      <c r="W1503" s="8"/>
      <c r="AJ1503" s="1" t="s">
        <v>722</v>
      </c>
      <c r="AM1503" s="1" t="s">
        <v>2953</v>
      </c>
    </row>
    <row r="1504">
      <c r="E1504" s="1" t="s">
        <v>4615</v>
      </c>
      <c r="F1504" s="6" t="str">
        <f>IFERROR(__xludf.DUMMYFUNCTION("""COMPUTED_VALUE"""),"principles")</f>
        <v>principles</v>
      </c>
      <c r="H1504" s="1" t="s">
        <v>2769</v>
      </c>
      <c r="I1504" s="6" t="str">
        <f>IFERROR(__xludf.DUMMYFUNCTION("""COMPUTED_VALUE"""),"treasure")</f>
        <v>treasure</v>
      </c>
      <c r="S1504" s="1" t="s">
        <v>4235</v>
      </c>
      <c r="T1504" s="6" t="str">
        <f>IFERROR(__xludf.DUMMYFUNCTION("""COMPUTED_VALUE"""),"myers")</f>
        <v>myers</v>
      </c>
      <c r="W1504" s="8"/>
      <c r="AJ1504" s="1" t="s">
        <v>519</v>
      </c>
      <c r="AM1504" s="1" t="b">
        <v>0</v>
      </c>
    </row>
    <row r="1505">
      <c r="E1505" s="1" t="s">
        <v>4616</v>
      </c>
      <c r="F1505" s="6" t="str">
        <f>IFERROR(__xludf.DUMMYFUNCTION("""COMPUTED_VALUE"""),"atrocities")</f>
        <v>atrocities</v>
      </c>
      <c r="H1505" s="1" t="s">
        <v>3939</v>
      </c>
      <c r="I1505" s="6" t="str">
        <f>IFERROR(__xludf.DUMMYFUNCTION("""COMPUTED_VALUE"""),"concern")</f>
        <v>concern</v>
      </c>
      <c r="S1505" s="1" t="s">
        <v>4617</v>
      </c>
      <c r="T1505" s="6" t="str">
        <f>IFERROR(__xludf.DUMMYFUNCTION("""COMPUTED_VALUE"""),"tickets")</f>
        <v>tickets</v>
      </c>
      <c r="W1505" s="8"/>
      <c r="AJ1505" s="1" t="s">
        <v>2827</v>
      </c>
      <c r="AM1505" s="1" t="s">
        <v>1515</v>
      </c>
    </row>
    <row r="1506">
      <c r="E1506" s="1" t="s">
        <v>491</v>
      </c>
      <c r="F1506" s="6" t="str">
        <f>IFERROR(__xludf.DUMMYFUNCTION("""COMPUTED_VALUE"""),"mythology")</f>
        <v>mythology</v>
      </c>
      <c r="H1506" s="1" t="s">
        <v>2772</v>
      </c>
      <c r="I1506" s="6" t="str">
        <f>IFERROR(__xludf.DUMMYFUNCTION("""COMPUTED_VALUE"""),"thinks")</f>
        <v>thinks</v>
      </c>
      <c r="S1506" s="1" t="s">
        <v>4618</v>
      </c>
      <c r="T1506" s="6" t="str">
        <f>IFERROR(__xludf.DUMMYFUNCTION("""COMPUTED_VALUE"""),"variant")</f>
        <v>variant</v>
      </c>
      <c r="W1506" s="8"/>
      <c r="AJ1506" s="1" t="s">
        <v>4619</v>
      </c>
      <c r="AM1506" s="1" t="s">
        <v>4113</v>
      </c>
    </row>
    <row r="1507">
      <c r="E1507" s="1" t="s">
        <v>1923</v>
      </c>
      <c r="F1507" s="6" t="str">
        <f>IFERROR(__xludf.DUMMYFUNCTION("""COMPUTED_VALUE"""),"benefited")</f>
        <v>benefited</v>
      </c>
      <c r="H1507" s="1" t="s">
        <v>4620</v>
      </c>
      <c r="I1507" s="6" t="str">
        <f>IFERROR(__xludf.DUMMYFUNCTION("""COMPUTED_VALUE"""),"puppets")</f>
        <v>puppets</v>
      </c>
      <c r="S1507" s="1" t="s">
        <v>4621</v>
      </c>
      <c r="T1507" s="6" t="str">
        <f>IFERROR(__xludf.DUMMYFUNCTION("""COMPUTED_VALUE"""),"publicity")</f>
        <v>publicity</v>
      </c>
      <c r="W1507" s="8"/>
      <c r="AJ1507" s="1" t="s">
        <v>4622</v>
      </c>
      <c r="AM1507" s="1" t="s">
        <v>2958</v>
      </c>
    </row>
    <row r="1508">
      <c r="E1508" s="1" t="s">
        <v>4623</v>
      </c>
      <c r="F1508" s="6" t="str">
        <f>IFERROR(__xludf.DUMMYFUNCTION("""COMPUTED_VALUE"""),"directs")</f>
        <v>directs</v>
      </c>
      <c r="H1508" s="1" t="s">
        <v>3943</v>
      </c>
      <c r="I1508" s="6" t="str">
        <f>IFERROR(__xludf.DUMMYFUNCTION("""COMPUTED_VALUE"""),"bear")</f>
        <v>bear</v>
      </c>
      <c r="S1508" s="1" t="s">
        <v>2920</v>
      </c>
      <c r="T1508" s="6" t="str">
        <f>IFERROR(__xludf.DUMMYFUNCTION("""COMPUTED_VALUE"""),"counterparts")</f>
        <v>counterparts</v>
      </c>
      <c r="W1508" s="8"/>
      <c r="AJ1508" s="1" t="s">
        <v>4624</v>
      </c>
      <c r="AM1508" s="1" t="s">
        <v>4119</v>
      </c>
    </row>
    <row r="1509">
      <c r="E1509" s="1" t="s">
        <v>3424</v>
      </c>
      <c r="F1509" s="6">
        <f>IFERROR(__xludf.DUMMYFUNCTION("""COMPUTED_VALUE"""),1938.0)</f>
        <v>1938</v>
      </c>
      <c r="H1509" s="1" t="s">
        <v>2662</v>
      </c>
      <c r="I1509" s="6" t="str">
        <f>IFERROR(__xludf.DUMMYFUNCTION("""COMPUTED_VALUE"""),"advantage")</f>
        <v>advantage</v>
      </c>
      <c r="S1509" s="1" t="s">
        <v>3693</v>
      </c>
      <c r="T1509" s="6" t="str">
        <f>IFERROR(__xludf.DUMMYFUNCTION("""COMPUTED_VALUE"""),"captured")</f>
        <v>captured</v>
      </c>
      <c r="W1509" s="8"/>
      <c r="AJ1509" s="1" t="s">
        <v>4625</v>
      </c>
      <c r="AM1509" s="1" t="s">
        <v>4626</v>
      </c>
    </row>
    <row r="1510">
      <c r="E1510" s="1" t="s">
        <v>3537</v>
      </c>
      <c r="F1510" s="6" t="str">
        <f>IFERROR(__xludf.DUMMYFUNCTION("""COMPUTED_VALUE"""),"holden")</f>
        <v>holden</v>
      </c>
      <c r="H1510" s="1" t="s">
        <v>906</v>
      </c>
      <c r="I1510" s="6" t="str">
        <f>IFERROR(__xludf.DUMMYFUNCTION("""COMPUTED_VALUE"""),"futile")</f>
        <v>futile</v>
      </c>
      <c r="S1510" s="1" t="s">
        <v>773</v>
      </c>
      <c r="T1510" s="6" t="str">
        <f>IFERROR(__xludf.DUMMYFUNCTION("""COMPUTED_VALUE"""),"equal")</f>
        <v>equal</v>
      </c>
      <c r="W1510" s="8"/>
      <c r="AJ1510" s="1" t="s">
        <v>2830</v>
      </c>
      <c r="AM1510" s="1" t="s">
        <v>2962</v>
      </c>
    </row>
    <row r="1511">
      <c r="E1511" s="1" t="s">
        <v>1202</v>
      </c>
      <c r="F1511" s="6" t="str">
        <f>IFERROR(__xludf.DUMMYFUNCTION("""COMPUTED_VALUE"""),"leaping")</f>
        <v>leaping</v>
      </c>
      <c r="H1511" s="1" t="s">
        <v>744</v>
      </c>
      <c r="I1511" s="6" t="str">
        <f>IFERROR(__xludf.DUMMYFUNCTION("""COMPUTED_VALUE"""),"happens")</f>
        <v>happens</v>
      </c>
      <c r="S1511" s="1" t="s">
        <v>645</v>
      </c>
      <c r="T1511" s="6" t="str">
        <f>IFERROR(__xludf.DUMMYFUNCTION("""COMPUTED_VALUE"""),"handful")</f>
        <v>handful</v>
      </c>
      <c r="W1511" s="8"/>
      <c r="AJ1511" s="1" t="s">
        <v>4627</v>
      </c>
      <c r="AM1511" s="1" t="s">
        <v>4015</v>
      </c>
    </row>
    <row r="1512">
      <c r="E1512" s="1" t="s">
        <v>4628</v>
      </c>
      <c r="F1512" s="6" t="str">
        <f>IFERROR(__xludf.DUMMYFUNCTION("""COMPUTED_VALUE"""),"traits")</f>
        <v>traits</v>
      </c>
      <c r="H1512" s="1" t="s">
        <v>3947</v>
      </c>
      <c r="I1512" s="6" t="str">
        <f>IFERROR(__xludf.DUMMYFUNCTION("""COMPUTED_VALUE"""),"misery")</f>
        <v>misery</v>
      </c>
      <c r="S1512" s="1" t="s">
        <v>1400</v>
      </c>
      <c r="T1512" s="6" t="str">
        <f>IFERROR(__xludf.DUMMYFUNCTION("""COMPUTED_VALUE"""),"sara")</f>
        <v>sara</v>
      </c>
      <c r="W1512" s="8"/>
      <c r="AJ1512" s="1" t="s">
        <v>2832</v>
      </c>
      <c r="AM1512" s="1" t="s">
        <v>4120</v>
      </c>
    </row>
    <row r="1513">
      <c r="E1513" s="1" t="s">
        <v>3119</v>
      </c>
      <c r="F1513" s="6" t="str">
        <f>IFERROR(__xludf.DUMMYFUNCTION("""COMPUTED_VALUE"""),"gore")</f>
        <v>gore</v>
      </c>
      <c r="H1513" s="1" t="s">
        <v>914</v>
      </c>
      <c r="I1513" s="6" t="str">
        <f>IFERROR(__xludf.DUMMYFUNCTION("""COMPUTED_VALUE"""),"willingness")</f>
        <v>willingness</v>
      </c>
      <c r="S1513" s="1" t="s">
        <v>4629</v>
      </c>
      <c r="T1513" s="6" t="str">
        <f>IFERROR(__xludf.DUMMYFUNCTION("""COMPUTED_VALUE"""),"realizing")</f>
        <v>realizing</v>
      </c>
      <c r="W1513" s="8"/>
      <c r="AJ1513" s="1" t="s">
        <v>4630</v>
      </c>
      <c r="AM1513" s="1" t="s">
        <v>4631</v>
      </c>
    </row>
    <row r="1514">
      <c r="E1514" s="1" t="s">
        <v>1935</v>
      </c>
      <c r="F1514" s="6" t="str">
        <f>IFERROR(__xludf.DUMMYFUNCTION("""COMPUTED_VALUE"""),"nicolas")</f>
        <v>nicolas</v>
      </c>
      <c r="H1514" s="1" t="s">
        <v>929</v>
      </c>
      <c r="I1514" s="6" t="str">
        <f>IFERROR(__xludf.DUMMYFUNCTION("""COMPUTED_VALUE"""),"pity")</f>
        <v>pity</v>
      </c>
      <c r="S1514" s="1" t="s">
        <v>186</v>
      </c>
      <c r="T1514" s="6" t="str">
        <f>IFERROR(__xludf.DUMMYFUNCTION("""COMPUTED_VALUE"""),"warfare")</f>
        <v>warfare</v>
      </c>
      <c r="W1514" s="8"/>
      <c r="AJ1514" s="1" t="s">
        <v>4632</v>
      </c>
      <c r="AM1514" s="1" t="s">
        <v>2966</v>
      </c>
    </row>
    <row r="1515">
      <c r="E1515" s="1" t="s">
        <v>4473</v>
      </c>
      <c r="F1515" s="6" t="str">
        <f>IFERROR(__xludf.DUMMYFUNCTION("""COMPUTED_VALUE"""),"cage")</f>
        <v>cage</v>
      </c>
      <c r="H1515" s="1" t="s">
        <v>3951</v>
      </c>
      <c r="I1515" s="6" t="str">
        <f>IFERROR(__xludf.DUMMYFUNCTION("""COMPUTED_VALUE"""),"positively")</f>
        <v>positively</v>
      </c>
      <c r="S1515" s="1" t="s">
        <v>4633</v>
      </c>
      <c r="T1515" s="6" t="str">
        <f>IFERROR(__xludf.DUMMYFUNCTION("""COMPUTED_VALUE"""),"lets")</f>
        <v>lets</v>
      </c>
      <c r="W1515" s="8"/>
      <c r="AJ1515" s="1" t="s">
        <v>4634</v>
      </c>
      <c r="AM1515" s="1" t="s">
        <v>2969</v>
      </c>
    </row>
    <row r="1516">
      <c r="E1516" s="1" t="s">
        <v>3123</v>
      </c>
      <c r="F1516" s="6" t="str">
        <f>IFERROR(__xludf.DUMMYFUNCTION("""COMPUTED_VALUE"""),"confronting")</f>
        <v>confronting</v>
      </c>
      <c r="H1516" s="1" t="s">
        <v>3955</v>
      </c>
      <c r="I1516" s="6" t="str">
        <f>IFERROR(__xludf.DUMMYFUNCTION("""COMPUTED_VALUE"""),"campus")</f>
        <v>campus</v>
      </c>
      <c r="S1516" s="1" t="s">
        <v>4635</v>
      </c>
      <c r="T1516" s="6" t="str">
        <f>IFERROR(__xludf.DUMMYFUNCTION("""COMPUTED_VALUE"""),"primarily")</f>
        <v>primarily</v>
      </c>
      <c r="W1516" s="8"/>
      <c r="AJ1516" s="1" t="s">
        <v>2834</v>
      </c>
      <c r="AM1516" s="1" t="s">
        <v>2972</v>
      </c>
    </row>
    <row r="1517">
      <c r="E1517" s="1" t="s">
        <v>1208</v>
      </c>
      <c r="F1517" s="6" t="str">
        <f>IFERROR(__xludf.DUMMYFUNCTION("""COMPUTED_VALUE"""),"paranoia")</f>
        <v>paranoia</v>
      </c>
      <c r="H1517" s="1" t="s">
        <v>753</v>
      </c>
      <c r="I1517" s="6" t="str">
        <f>IFERROR(__xludf.DUMMYFUNCTION("""COMPUTED_VALUE"""),"bertrand")</f>
        <v>bertrand</v>
      </c>
      <c r="S1517" s="1" t="s">
        <v>4636</v>
      </c>
      <c r="T1517" s="6" t="str">
        <f>IFERROR(__xludf.DUMMYFUNCTION("""COMPUTED_VALUE"""),"tuned")</f>
        <v>tuned</v>
      </c>
      <c r="W1517" s="8"/>
      <c r="AJ1517" s="1">
        <v>163.0</v>
      </c>
      <c r="AM1517" s="1" t="s">
        <v>1522</v>
      </c>
    </row>
    <row r="1518">
      <c r="E1518" s="1" t="s">
        <v>4637</v>
      </c>
      <c r="F1518" s="6" t="str">
        <f>IFERROR(__xludf.DUMMYFUNCTION("""COMPUTED_VALUE"""),"phenomenon")</f>
        <v>phenomenon</v>
      </c>
      <c r="H1518" s="1" t="s">
        <v>4638</v>
      </c>
      <c r="I1518" s="6" t="str">
        <f>IFERROR(__xludf.DUMMYFUNCTION("""COMPUTED_VALUE"""),"wears")</f>
        <v>wears</v>
      </c>
      <c r="S1518" s="1" t="s">
        <v>2528</v>
      </c>
      <c r="T1518" s="6" t="str">
        <f>IFERROR(__xludf.DUMMYFUNCTION("""COMPUTED_VALUE"""),"vehicle")</f>
        <v>vehicle</v>
      </c>
      <c r="W1518" s="8"/>
      <c r="AJ1518" s="1" t="s">
        <v>4639</v>
      </c>
      <c r="AM1518" s="1" t="s">
        <v>4640</v>
      </c>
    </row>
    <row r="1519">
      <c r="E1519" s="1" t="s">
        <v>1933</v>
      </c>
      <c r="F1519" s="6" t="str">
        <f>IFERROR(__xludf.DUMMYFUNCTION("""COMPUTED_VALUE"""),"viewpoint")</f>
        <v>viewpoint</v>
      </c>
      <c r="H1519" s="1" t="s">
        <v>2670</v>
      </c>
      <c r="I1519" s="6" t="str">
        <f>IFERROR(__xludf.DUMMYFUNCTION("""COMPUTED_VALUE"""),"intimacy")</f>
        <v>intimacy</v>
      </c>
      <c r="S1519" s="1" t="s">
        <v>4641</v>
      </c>
      <c r="T1519" s="6" t="str">
        <f>IFERROR(__xludf.DUMMYFUNCTION("""COMPUTED_VALUE"""),"delivering")</f>
        <v>delivering</v>
      </c>
      <c r="W1519" s="8"/>
      <c r="AJ1519" s="1" t="s">
        <v>1702</v>
      </c>
      <c r="AM1519" s="1" t="s">
        <v>2979</v>
      </c>
    </row>
    <row r="1520">
      <c r="E1520" s="1" t="s">
        <v>3851</v>
      </c>
      <c r="F1520" s="6" t="str">
        <f>IFERROR(__xludf.DUMMYFUNCTION("""COMPUTED_VALUE"""),"diary")</f>
        <v>diary</v>
      </c>
      <c r="H1520" s="1" t="s">
        <v>2783</v>
      </c>
      <c r="I1520" s="6" t="str">
        <f>IFERROR(__xludf.DUMMYFUNCTION("""COMPUTED_VALUE"""),"sermon")</f>
        <v>sermon</v>
      </c>
      <c r="S1520" s="1" t="s">
        <v>4434</v>
      </c>
      <c r="T1520" s="6" t="str">
        <f>IFERROR(__xludf.DUMMYFUNCTION("""COMPUTED_VALUE"""),"brink")</f>
        <v>brink</v>
      </c>
      <c r="W1520" s="8"/>
      <c r="AJ1520" s="1" t="s">
        <v>2841</v>
      </c>
      <c r="AM1520" s="1" t="s">
        <v>2735</v>
      </c>
    </row>
    <row r="1521">
      <c r="E1521" s="1" t="s">
        <v>1212</v>
      </c>
      <c r="F1521" s="6" t="str">
        <f>IFERROR(__xludf.DUMMYFUNCTION("""COMPUTED_VALUE"""),"leap")</f>
        <v>leap</v>
      </c>
      <c r="H1521" s="1" t="s">
        <v>3966</v>
      </c>
      <c r="I1521" s="6" t="str">
        <f>IFERROR(__xludf.DUMMYFUNCTION("""COMPUTED_VALUE"""),"brisk")</f>
        <v>brisk</v>
      </c>
      <c r="S1521" s="1" t="s">
        <v>4642</v>
      </c>
      <c r="T1521" s="6" t="str">
        <f>IFERROR(__xludf.DUMMYFUNCTION("""COMPUTED_VALUE"""),"changes")</f>
        <v>changes</v>
      </c>
      <c r="W1521" s="8"/>
      <c r="AJ1521" s="1" t="s">
        <v>4643</v>
      </c>
      <c r="AM1521" s="1" t="s">
        <v>1484</v>
      </c>
    </row>
    <row r="1522">
      <c r="E1522" s="1" t="s">
        <v>597</v>
      </c>
      <c r="F1522" s="6" t="str">
        <f>IFERROR(__xludf.DUMMYFUNCTION("""COMPUTED_VALUE"""),"fuels")</f>
        <v>fuels</v>
      </c>
      <c r="H1522" s="1" t="s">
        <v>762</v>
      </c>
      <c r="I1522" s="6" t="str">
        <f>IFERROR(__xludf.DUMMYFUNCTION("""COMPUTED_VALUE"""),"beloved")</f>
        <v>beloved</v>
      </c>
      <c r="S1522" s="1" t="s">
        <v>2506</v>
      </c>
      <c r="T1522" s="6" t="str">
        <f>IFERROR(__xludf.DUMMYFUNCTION("""COMPUTED_VALUE"""),"thick")</f>
        <v>thick</v>
      </c>
      <c r="W1522" s="8"/>
      <c r="AJ1522" s="1" t="s">
        <v>3806</v>
      </c>
      <c r="AM1522" s="1" t="s">
        <v>2778</v>
      </c>
    </row>
    <row r="1523">
      <c r="E1523" s="1" t="s">
        <v>475</v>
      </c>
      <c r="F1523" s="6" t="str">
        <f>IFERROR(__xludf.DUMMYFUNCTION("""COMPUTED_VALUE"""),"freighter")</f>
        <v>freighter</v>
      </c>
      <c r="H1523" s="1" t="s">
        <v>771</v>
      </c>
      <c r="I1523" s="6" t="str">
        <f>IFERROR(__xludf.DUMMYFUNCTION("""COMPUTED_VALUE"""),"continuation")</f>
        <v>continuation</v>
      </c>
      <c r="S1523" s="1" t="s">
        <v>4644</v>
      </c>
      <c r="T1523" s="6" t="str">
        <f>IFERROR(__xludf.DUMMYFUNCTION("""COMPUTED_VALUE"""),"elusive")</f>
        <v>elusive</v>
      </c>
      <c r="W1523" s="8"/>
      <c r="AJ1523" s="1" t="s">
        <v>4645</v>
      </c>
      <c r="AM1523" s="1" t="s">
        <v>4646</v>
      </c>
    </row>
    <row r="1524">
      <c r="E1524" s="1" t="s">
        <v>3558</v>
      </c>
      <c r="F1524" s="6" t="str">
        <f>IFERROR(__xludf.DUMMYFUNCTION("""COMPUTED_VALUE"""),"stretches")</f>
        <v>stretches</v>
      </c>
      <c r="H1524" s="1" t="s">
        <v>3974</v>
      </c>
      <c r="I1524" s="6" t="str">
        <f>IFERROR(__xludf.DUMMYFUNCTION("""COMPUTED_VALUE"""),"awkward")</f>
        <v>awkward</v>
      </c>
      <c r="S1524" s="1" t="s">
        <v>3101</v>
      </c>
      <c r="T1524" s="6" t="str">
        <f>IFERROR(__xludf.DUMMYFUNCTION("""COMPUTED_VALUE"""),"longing")</f>
        <v>longing</v>
      </c>
      <c r="W1524" s="8"/>
      <c r="AJ1524" s="1" t="s">
        <v>4647</v>
      </c>
      <c r="AM1524" s="1" t="s">
        <v>2985</v>
      </c>
    </row>
    <row r="1525">
      <c r="E1525" s="1" t="s">
        <v>977</v>
      </c>
      <c r="F1525" s="6" t="str">
        <f>IFERROR(__xludf.DUMMYFUNCTION("""COMPUTED_VALUE"""),"ecstasy")</f>
        <v>ecstasy</v>
      </c>
      <c r="H1525" s="1" t="s">
        <v>2676</v>
      </c>
      <c r="I1525" s="6" t="str">
        <f>IFERROR(__xludf.DUMMYFUNCTION("""COMPUTED_VALUE"""),"sentiments")</f>
        <v>sentiments</v>
      </c>
      <c r="S1525" s="1" t="s">
        <v>4648</v>
      </c>
      <c r="T1525" s="6" t="str">
        <f>IFERROR(__xludf.DUMMYFUNCTION("""COMPUTED_VALUE"""),"awarded")</f>
        <v>awarded</v>
      </c>
      <c r="W1525" s="8"/>
      <c r="AJ1525" s="1" t="s">
        <v>2845</v>
      </c>
      <c r="AM1525" s="1" t="s">
        <v>1528</v>
      </c>
    </row>
    <row r="1526">
      <c r="E1526" s="1" t="s">
        <v>3137</v>
      </c>
      <c r="F1526" s="6" t="str">
        <f>IFERROR(__xludf.DUMMYFUNCTION("""COMPUTED_VALUE"""),"wonders")</f>
        <v>wonders</v>
      </c>
      <c r="H1526" s="1" t="s">
        <v>778</v>
      </c>
      <c r="I1526" s="6" t="str">
        <f>IFERROR(__xludf.DUMMYFUNCTION("""COMPUTED_VALUE"""),"alabama")</f>
        <v>alabama</v>
      </c>
      <c r="S1526" s="1" t="s">
        <v>3019</v>
      </c>
      <c r="T1526" s="6" t="str">
        <f>IFERROR(__xludf.DUMMYFUNCTION("""COMPUTED_VALUE"""),"unbearable")</f>
        <v>unbearable</v>
      </c>
      <c r="W1526" s="8"/>
      <c r="AJ1526" s="1" t="s">
        <v>2848</v>
      </c>
      <c r="AM1526" s="1" t="s">
        <v>2990</v>
      </c>
    </row>
    <row r="1527">
      <c r="E1527" s="1" t="s">
        <v>4340</v>
      </c>
      <c r="F1527" s="6" t="str">
        <f>IFERROR(__xludf.DUMMYFUNCTION("""COMPUTED_VALUE"""),"emphasizes")</f>
        <v>emphasizes</v>
      </c>
      <c r="H1527" s="1" t="s">
        <v>2801</v>
      </c>
      <c r="I1527" s="6" t="str">
        <f>IFERROR(__xludf.DUMMYFUNCTION("""COMPUTED_VALUE"""),"wasting")</f>
        <v>wasting</v>
      </c>
      <c r="S1527" s="1" t="s">
        <v>2600</v>
      </c>
      <c r="T1527" s="6" t="str">
        <f>IFERROR(__xludf.DUMMYFUNCTION("""COMPUTED_VALUE"""),"movement")</f>
        <v>movement</v>
      </c>
      <c r="W1527" s="8"/>
      <c r="AJ1527" s="1" t="s">
        <v>329</v>
      </c>
      <c r="AM1527" s="1" t="s">
        <v>824</v>
      </c>
    </row>
    <row r="1528">
      <c r="E1528" s="1" t="s">
        <v>3140</v>
      </c>
      <c r="F1528" s="6" t="str">
        <f>IFERROR(__xludf.DUMMYFUNCTION("""COMPUTED_VALUE"""),"conception")</f>
        <v>conception</v>
      </c>
      <c r="H1528" s="1" t="s">
        <v>1190</v>
      </c>
      <c r="I1528" s="6" t="str">
        <f>IFERROR(__xludf.DUMMYFUNCTION("""COMPUTED_VALUE"""),"legally")</f>
        <v>legally</v>
      </c>
      <c r="S1528" s="1" t="s">
        <v>4649</v>
      </c>
      <c r="T1528" s="6" t="str">
        <f>IFERROR(__xludf.DUMMYFUNCTION("""COMPUTED_VALUE"""),"competition")</f>
        <v>competition</v>
      </c>
      <c r="W1528" s="8"/>
      <c r="AJ1528" s="1" t="s">
        <v>4650</v>
      </c>
      <c r="AM1528" s="1" t="s">
        <v>2785</v>
      </c>
    </row>
    <row r="1529">
      <c r="E1529" s="1" t="s">
        <v>3815</v>
      </c>
      <c r="F1529" s="6" t="str">
        <f>IFERROR(__xludf.DUMMYFUNCTION("""COMPUTED_VALUE"""),"evelyn")</f>
        <v>evelyn</v>
      </c>
      <c r="H1529" s="1" t="s">
        <v>3980</v>
      </c>
      <c r="I1529" s="6" t="str">
        <f>IFERROR(__xludf.DUMMYFUNCTION("""COMPUTED_VALUE"""),"producer")</f>
        <v>producer</v>
      </c>
      <c r="S1529" s="1" t="s">
        <v>4651</v>
      </c>
      <c r="T1529" s="6" t="str">
        <f>IFERROR(__xludf.DUMMYFUNCTION("""COMPUTED_VALUE"""),"evaluate")</f>
        <v>evaluate</v>
      </c>
      <c r="W1529" s="8"/>
      <c r="AJ1529" s="1" t="s">
        <v>2850</v>
      </c>
      <c r="AM1529" s="1" t="s">
        <v>2998</v>
      </c>
    </row>
    <row r="1530">
      <c r="E1530" s="1" t="s">
        <v>1225</v>
      </c>
      <c r="F1530" s="6" t="str">
        <f>IFERROR(__xludf.DUMMYFUNCTION("""COMPUTED_VALUE"""),"embrace")</f>
        <v>embrace</v>
      </c>
      <c r="H1530" s="1" t="s">
        <v>294</v>
      </c>
      <c r="I1530" s="6" t="str">
        <f>IFERROR(__xludf.DUMMYFUNCTION("""COMPUTED_VALUE"""),"estranged")</f>
        <v>estranged</v>
      </c>
      <c r="S1530" s="1" t="s">
        <v>3084</v>
      </c>
      <c r="T1530" s="6" t="str">
        <f>IFERROR(__xludf.DUMMYFUNCTION("""COMPUTED_VALUE"""),"undergo")</f>
        <v>undergo</v>
      </c>
      <c r="W1530" s="8"/>
      <c r="AJ1530" s="1" t="s">
        <v>1125</v>
      </c>
      <c r="AM1530" s="1" t="s">
        <v>832</v>
      </c>
    </row>
    <row r="1531">
      <c r="E1531" s="1" t="s">
        <v>1948</v>
      </c>
      <c r="F1531" s="6" t="str">
        <f>IFERROR(__xludf.DUMMYFUNCTION("""COMPUTED_VALUE"""),"sonny")</f>
        <v>sonny</v>
      </c>
      <c r="H1531" s="1" t="s">
        <v>2804</v>
      </c>
      <c r="I1531" s="6" t="str">
        <f>IFERROR(__xludf.DUMMYFUNCTION("""COMPUTED_VALUE"""),"incapable")</f>
        <v>incapable</v>
      </c>
      <c r="S1531" s="1" t="s">
        <v>4652</v>
      </c>
      <c r="T1531" s="6" t="str">
        <f>IFERROR(__xludf.DUMMYFUNCTION("""COMPUTED_VALUE"""),"portuguese")</f>
        <v>portuguese</v>
      </c>
      <c r="W1531" s="8"/>
      <c r="AJ1531" s="1" t="s">
        <v>1849</v>
      </c>
      <c r="AM1531" s="1" t="s">
        <v>838</v>
      </c>
    </row>
    <row r="1532">
      <c r="E1532" s="1" t="s">
        <v>3149</v>
      </c>
      <c r="F1532" s="6" t="str">
        <f>IFERROR(__xludf.DUMMYFUNCTION("""COMPUTED_VALUE"""),"delicately")</f>
        <v>delicately</v>
      </c>
      <c r="H1532" s="1" t="s">
        <v>2807</v>
      </c>
      <c r="I1532" s="6" t="str">
        <f>IFERROR(__xludf.DUMMYFUNCTION("""COMPUTED_VALUE"""),"acclaim")</f>
        <v>acclaim</v>
      </c>
      <c r="S1532" s="1" t="s">
        <v>4653</v>
      </c>
      <c r="T1532" s="6" t="str">
        <f>IFERROR(__xludf.DUMMYFUNCTION("""COMPUTED_VALUE"""),"de")</f>
        <v>de</v>
      </c>
      <c r="W1532" s="8"/>
      <c r="AJ1532" s="1" t="s">
        <v>2857</v>
      </c>
      <c r="AM1532" s="1" t="s">
        <v>2792</v>
      </c>
    </row>
    <row r="1533">
      <c r="E1533" s="1" t="s">
        <v>4654</v>
      </c>
      <c r="F1533" s="6" t="str">
        <f>IFERROR(__xludf.DUMMYFUNCTION("""COMPUTED_VALUE"""),"media")</f>
        <v>media</v>
      </c>
      <c r="H1533" s="1" t="s">
        <v>3985</v>
      </c>
      <c r="I1533" s="6" t="str">
        <f>IFERROR(__xludf.DUMMYFUNCTION("""COMPUTED_VALUE"""),"famine")</f>
        <v>famine</v>
      </c>
      <c r="S1533" s="1" t="s">
        <v>4655</v>
      </c>
      <c r="T1533" s="6" t="str">
        <f>IFERROR(__xludf.DUMMYFUNCTION("""COMPUTED_VALUE"""),"personalities")</f>
        <v>personalities</v>
      </c>
      <c r="W1533" s="8"/>
      <c r="AJ1533" s="1" t="s">
        <v>2859</v>
      </c>
      <c r="AM1533" s="1" t="s">
        <v>1557</v>
      </c>
    </row>
    <row r="1534">
      <c r="E1534" s="1" t="s">
        <v>4656</v>
      </c>
      <c r="F1534" s="6" t="str">
        <f>IFERROR(__xludf.DUMMYFUNCTION("""COMPUTED_VALUE"""),"memoir")</f>
        <v>memoir</v>
      </c>
      <c r="H1534" s="1" t="s">
        <v>3987</v>
      </c>
      <c r="I1534" s="6" t="str">
        <f>IFERROR(__xludf.DUMMYFUNCTION("""COMPUTED_VALUE"""),"devastated")</f>
        <v>devastated</v>
      </c>
      <c r="S1534" s="1" t="s">
        <v>2682</v>
      </c>
      <c r="T1534" s="6" t="str">
        <f>IFERROR(__xludf.DUMMYFUNCTION("""COMPUTED_VALUE"""),"sterling")</f>
        <v>sterling</v>
      </c>
      <c r="W1534" s="8"/>
      <c r="AJ1534" s="1" t="s">
        <v>4657</v>
      </c>
      <c r="AM1534" s="1" t="s">
        <v>632</v>
      </c>
    </row>
    <row r="1535">
      <c r="E1535" s="1" t="s">
        <v>4658</v>
      </c>
      <c r="F1535" s="6" t="str">
        <f>IFERROR(__xludf.DUMMYFUNCTION("""COMPUTED_VALUE"""),"sublime")</f>
        <v>sublime</v>
      </c>
      <c r="H1535" s="1" t="s">
        <v>3990</v>
      </c>
      <c r="I1535" s="6" t="str">
        <f>IFERROR(__xludf.DUMMYFUNCTION("""COMPUTED_VALUE"""),"disguised")</f>
        <v>disguised</v>
      </c>
      <c r="S1535" s="1" t="s">
        <v>4659</v>
      </c>
      <c r="T1535" s="6">
        <f>IFERROR(__xludf.DUMMYFUNCTION("""COMPUTED_VALUE"""),1993.0)</f>
        <v>1993</v>
      </c>
      <c r="W1535" s="8"/>
      <c r="AJ1535" s="1" t="s">
        <v>2863</v>
      </c>
      <c r="AM1535" s="1" t="s">
        <v>3009</v>
      </c>
    </row>
    <row r="1536">
      <c r="E1536" s="1" t="s">
        <v>1959</v>
      </c>
      <c r="F1536" s="6" t="str">
        <f>IFERROR(__xludf.DUMMYFUNCTION("""COMPUTED_VALUE"""),"scarcely")</f>
        <v>scarcely</v>
      </c>
      <c r="H1536" s="1" t="s">
        <v>3826</v>
      </c>
      <c r="I1536" s="6" t="str">
        <f>IFERROR(__xludf.DUMMYFUNCTION("""COMPUTED_VALUE"""),"troubled")</f>
        <v>troubled</v>
      </c>
      <c r="S1536" s="1" t="s">
        <v>2072</v>
      </c>
      <c r="T1536" s="6" t="str">
        <f>IFERROR(__xludf.DUMMYFUNCTION("""COMPUTED_VALUE"""),"courageous")</f>
        <v>courageous</v>
      </c>
      <c r="W1536" s="8"/>
      <c r="AJ1536" s="1" t="s">
        <v>4660</v>
      </c>
      <c r="AM1536" s="1" t="s">
        <v>4145</v>
      </c>
    </row>
    <row r="1537">
      <c r="E1537" s="1" t="s">
        <v>1231</v>
      </c>
      <c r="F1537" s="6" t="str">
        <f>IFERROR(__xludf.DUMMYFUNCTION("""COMPUTED_VALUE"""),"expressive")</f>
        <v>expressive</v>
      </c>
      <c r="H1537" s="1" t="s">
        <v>4661</v>
      </c>
      <c r="I1537" s="6" t="str">
        <f>IFERROR(__xludf.DUMMYFUNCTION("""COMPUTED_VALUE"""),"sly")</f>
        <v>sly</v>
      </c>
      <c r="S1537" s="1" t="s">
        <v>1946</v>
      </c>
      <c r="T1537" s="6" t="str">
        <f>IFERROR(__xludf.DUMMYFUNCTION("""COMPUTED_VALUE"""),"invited")</f>
        <v>invited</v>
      </c>
      <c r="W1537" s="8"/>
      <c r="AJ1537" s="1" t="s">
        <v>2867</v>
      </c>
      <c r="AM1537" s="1" t="s">
        <v>3013</v>
      </c>
    </row>
    <row r="1538">
      <c r="E1538" s="1" t="s">
        <v>3153</v>
      </c>
      <c r="F1538" s="6" t="str">
        <f>IFERROR(__xludf.DUMMYFUNCTION("""COMPUTED_VALUE"""),"provoked")</f>
        <v>provoked</v>
      </c>
      <c r="H1538" s="1" t="s">
        <v>1591</v>
      </c>
      <c r="I1538" s="6" t="str">
        <f>IFERROR(__xludf.DUMMYFUNCTION("""COMPUTED_VALUE"""),"emerges")</f>
        <v>emerges</v>
      </c>
      <c r="S1538" s="1" t="s">
        <v>4662</v>
      </c>
      <c r="T1538" s="6" t="str">
        <f>IFERROR(__xludf.DUMMYFUNCTION("""COMPUTED_VALUE"""),"allegiance")</f>
        <v>allegiance</v>
      </c>
      <c r="W1538" s="8"/>
      <c r="AJ1538" s="1" t="s">
        <v>1689</v>
      </c>
      <c r="AM1538" s="1" t="s">
        <v>4151</v>
      </c>
    </row>
    <row r="1539">
      <c r="E1539" s="1" t="s">
        <v>656</v>
      </c>
      <c r="F1539" s="6" t="str">
        <f>IFERROR(__xludf.DUMMYFUNCTION("""COMPUTED_VALUE"""),"tenor")</f>
        <v>tenor</v>
      </c>
      <c r="H1539" s="1" t="s">
        <v>2811</v>
      </c>
      <c r="I1539" s="6" t="str">
        <f>IFERROR(__xludf.DUMMYFUNCTION("""COMPUTED_VALUE"""),"expands")</f>
        <v>expands</v>
      </c>
      <c r="S1539" s="1" t="s">
        <v>2014</v>
      </c>
      <c r="T1539" s="6" t="str">
        <f>IFERROR(__xludf.DUMMYFUNCTION("""COMPUTED_VALUE"""),"orchard")</f>
        <v>orchard</v>
      </c>
      <c r="W1539" s="8"/>
      <c r="AJ1539" s="1" t="s">
        <v>4559</v>
      </c>
      <c r="AM1539" s="1" t="s">
        <v>968</v>
      </c>
    </row>
    <row r="1540">
      <c r="E1540" s="1" t="s">
        <v>3573</v>
      </c>
      <c r="F1540" s="6" t="str">
        <f>IFERROR(__xludf.DUMMYFUNCTION("""COMPUTED_VALUE"""),"mourning")</f>
        <v>mourning</v>
      </c>
      <c r="H1540" s="1" t="s">
        <v>4000</v>
      </c>
      <c r="I1540" s="6" t="str">
        <f>IFERROR(__xludf.DUMMYFUNCTION("""COMPUTED_VALUE"""),"tales")</f>
        <v>tales</v>
      </c>
      <c r="S1540" s="1" t="s">
        <v>4663</v>
      </c>
      <c r="T1540" s="6" t="str">
        <f>IFERROR(__xludf.DUMMYFUNCTION("""COMPUTED_VALUE"""),"state")</f>
        <v>state</v>
      </c>
      <c r="W1540" s="8"/>
      <c r="AJ1540" s="1" t="s">
        <v>1604</v>
      </c>
      <c r="AM1540" s="1" t="s">
        <v>2796</v>
      </c>
    </row>
    <row r="1541">
      <c r="E1541" s="1" t="s">
        <v>981</v>
      </c>
      <c r="F1541" s="6" t="str">
        <f>IFERROR(__xludf.DUMMYFUNCTION("""COMPUTED_VALUE"""),"adultery")</f>
        <v>adultery</v>
      </c>
      <c r="H1541" s="1" t="s">
        <v>4001</v>
      </c>
      <c r="I1541" s="6" t="str">
        <f>IFERROR(__xludf.DUMMYFUNCTION("""COMPUTED_VALUE"""),"deaths")</f>
        <v>deaths</v>
      </c>
      <c r="S1541" s="1" t="s">
        <v>1196</v>
      </c>
      <c r="T1541" s="6" t="str">
        <f>IFERROR(__xludf.DUMMYFUNCTION("""COMPUTED_VALUE"""),"pony")</f>
        <v>pony</v>
      </c>
      <c r="W1541" s="8"/>
      <c r="AJ1541" s="1" t="s">
        <v>2870</v>
      </c>
      <c r="AM1541" s="1" t="s">
        <v>973</v>
      </c>
    </row>
    <row r="1542">
      <c r="E1542" s="1" t="s">
        <v>1105</v>
      </c>
      <c r="F1542" s="6" t="str">
        <f>IFERROR(__xludf.DUMMYFUNCTION("""COMPUTED_VALUE"""),"rampant")</f>
        <v>rampant</v>
      </c>
      <c r="H1542" s="1" t="s">
        <v>2816</v>
      </c>
      <c r="I1542" s="6" t="str">
        <f>IFERROR(__xludf.DUMMYFUNCTION("""COMPUTED_VALUE"""),"careers")</f>
        <v>careers</v>
      </c>
      <c r="S1542" s="1" t="s">
        <v>1402</v>
      </c>
      <c r="T1542" s="6" t="str">
        <f>IFERROR(__xludf.DUMMYFUNCTION("""COMPUTED_VALUE"""),"streamlined")</f>
        <v>streamlined</v>
      </c>
      <c r="W1542" s="8"/>
      <c r="AJ1542" s="1" t="s">
        <v>4664</v>
      </c>
      <c r="AM1542" s="1" t="s">
        <v>4665</v>
      </c>
    </row>
    <row r="1543">
      <c r="E1543" s="1" t="s">
        <v>106</v>
      </c>
      <c r="F1543" s="6" t="str">
        <f>IFERROR(__xludf.DUMMYFUNCTION("""COMPUTED_VALUE"""),"kingsley")</f>
        <v>kingsley</v>
      </c>
      <c r="H1543" s="1" t="s">
        <v>2705</v>
      </c>
      <c r="I1543" s="6" t="str">
        <f>IFERROR(__xludf.DUMMYFUNCTION("""COMPUTED_VALUE"""),"titus")</f>
        <v>titus</v>
      </c>
      <c r="S1543" s="1" t="s">
        <v>4666</v>
      </c>
      <c r="T1543" s="6" t="str">
        <f>IFERROR(__xludf.DUMMYFUNCTION("""COMPUTED_VALUE"""),"backlash")</f>
        <v>backlash</v>
      </c>
      <c r="W1543" s="8"/>
      <c r="AJ1543" s="1" t="s">
        <v>1610</v>
      </c>
      <c r="AM1543" s="1" t="s">
        <v>4667</v>
      </c>
    </row>
    <row r="1544">
      <c r="E1544" s="1" t="s">
        <v>4668</v>
      </c>
      <c r="F1544" s="6" t="str">
        <f>IFERROR(__xludf.DUMMYFUNCTION("""COMPUTED_VALUE"""),"modeled")</f>
        <v>modeled</v>
      </c>
      <c r="H1544" s="1" t="s">
        <v>4008</v>
      </c>
      <c r="I1544" s="6" t="str">
        <f>IFERROR(__xludf.DUMMYFUNCTION("""COMPUTED_VALUE"""),"undo")</f>
        <v>undo</v>
      </c>
      <c r="S1544" s="1" t="s">
        <v>2704</v>
      </c>
      <c r="T1544" s="6" t="str">
        <f>IFERROR(__xludf.DUMMYFUNCTION("""COMPUTED_VALUE"""),"prominently")</f>
        <v>prominently</v>
      </c>
      <c r="W1544" s="8"/>
      <c r="AJ1544" s="1" t="s">
        <v>2877</v>
      </c>
      <c r="AM1544" s="1" t="s">
        <v>4158</v>
      </c>
    </row>
    <row r="1545">
      <c r="E1545" s="1" t="s">
        <v>203</v>
      </c>
      <c r="F1545" s="6" t="str">
        <f>IFERROR(__xludf.DUMMYFUNCTION("""COMPUTED_VALUE"""),"successor")</f>
        <v>successor</v>
      </c>
      <c r="H1545" s="1" t="s">
        <v>777</v>
      </c>
      <c r="I1545" s="6" t="str">
        <f>IFERROR(__xludf.DUMMYFUNCTION("""COMPUTED_VALUE"""),"photo")</f>
        <v>photo</v>
      </c>
      <c r="S1545" s="1" t="s">
        <v>2406</v>
      </c>
      <c r="T1545" s="6" t="str">
        <f>IFERROR(__xludf.DUMMYFUNCTION("""COMPUTED_VALUE"""),"exceeds")</f>
        <v>exceeds</v>
      </c>
      <c r="W1545" s="8"/>
      <c r="AJ1545" s="1" t="s">
        <v>4669</v>
      </c>
      <c r="AM1545" s="1" t="s">
        <v>844</v>
      </c>
    </row>
    <row r="1546">
      <c r="E1546" s="1" t="s">
        <v>4670</v>
      </c>
      <c r="F1546" s="6" t="str">
        <f>IFERROR(__xludf.DUMMYFUNCTION("""COMPUTED_VALUE"""),"rewards")</f>
        <v>rewards</v>
      </c>
      <c r="H1546" s="1" t="s">
        <v>921</v>
      </c>
      <c r="I1546" s="6" t="str">
        <f>IFERROR(__xludf.DUMMYFUNCTION("""COMPUTED_VALUE"""),"vastly")</f>
        <v>vastly</v>
      </c>
      <c r="S1546" s="1" t="s">
        <v>2405</v>
      </c>
      <c r="T1546" s="6" t="str">
        <f>IFERROR(__xludf.DUMMYFUNCTION("""COMPUTED_VALUE"""),"immersed")</f>
        <v>immersed</v>
      </c>
      <c r="W1546" s="8"/>
      <c r="AJ1546" s="1" t="s">
        <v>1615</v>
      </c>
      <c r="AM1546" s="1" t="s">
        <v>4671</v>
      </c>
    </row>
    <row r="1547">
      <c r="E1547" s="1" t="s">
        <v>4672</v>
      </c>
      <c r="F1547" s="6" t="str">
        <f>IFERROR(__xludf.DUMMYFUNCTION("""COMPUTED_VALUE"""),"shear")</f>
        <v>shear</v>
      </c>
      <c r="H1547" s="1" t="s">
        <v>2723</v>
      </c>
      <c r="I1547" s="6" t="str">
        <f>IFERROR(__xludf.DUMMYFUNCTION("""COMPUTED_VALUE"""),"espionage")</f>
        <v>espionage</v>
      </c>
      <c r="S1547" s="1" t="s">
        <v>4673</v>
      </c>
      <c r="T1547" s="6" t="str">
        <f>IFERROR(__xludf.DUMMYFUNCTION("""COMPUTED_VALUE"""),"duck")</f>
        <v>duck</v>
      </c>
      <c r="W1547" s="8"/>
      <c r="AJ1547" s="1" t="s">
        <v>1937</v>
      </c>
      <c r="AM1547" s="1" t="s">
        <v>4674</v>
      </c>
    </row>
    <row r="1548">
      <c r="E1548" s="1" t="s">
        <v>3584</v>
      </c>
      <c r="F1548" s="6" t="str">
        <f>IFERROR(__xludf.DUMMYFUNCTION("""COMPUTED_VALUE"""),"hack")</f>
        <v>hack</v>
      </c>
      <c r="H1548" s="1" t="s">
        <v>1426</v>
      </c>
      <c r="I1548" s="6" t="str">
        <f>IFERROR(__xludf.DUMMYFUNCTION("""COMPUTED_VALUE"""),"refugees")</f>
        <v>refugees</v>
      </c>
      <c r="S1548" s="1" t="s">
        <v>1704</v>
      </c>
      <c r="T1548" s="6" t="str">
        <f>IFERROR(__xludf.DUMMYFUNCTION("""COMPUTED_VALUE"""),"vaguely")</f>
        <v>vaguely</v>
      </c>
      <c r="W1548" s="8"/>
      <c r="AJ1548" s="1" t="s">
        <v>2884</v>
      </c>
      <c r="AM1548" s="1" t="s">
        <v>1765</v>
      </c>
    </row>
    <row r="1549">
      <c r="E1549" s="1" t="s">
        <v>4675</v>
      </c>
      <c r="F1549" s="6" t="str">
        <f>IFERROR(__xludf.DUMMYFUNCTION("""COMPUTED_VALUE"""),"volatile")</f>
        <v>volatile</v>
      </c>
      <c r="H1549" s="1" t="s">
        <v>4018</v>
      </c>
      <c r="I1549" s="6" t="str">
        <f>IFERROR(__xludf.DUMMYFUNCTION("""COMPUTED_VALUE"""),"age")</f>
        <v>age</v>
      </c>
      <c r="S1549" s="1" t="s">
        <v>4676</v>
      </c>
      <c r="T1549" s="6" t="str">
        <f>IFERROR(__xludf.DUMMYFUNCTION("""COMPUTED_VALUE"""),"suited")</f>
        <v>suited</v>
      </c>
      <c r="W1549" s="8"/>
      <c r="AJ1549" s="1" t="s">
        <v>2886</v>
      </c>
      <c r="AM1549" s="1" t="s">
        <v>1650</v>
      </c>
    </row>
    <row r="1550">
      <c r="E1550" s="1" t="s">
        <v>984</v>
      </c>
      <c r="F1550" s="6" t="str">
        <f>IFERROR(__xludf.DUMMYFUNCTION("""COMPUTED_VALUE"""),"indefinitely")</f>
        <v>indefinitely</v>
      </c>
      <c r="H1550" s="1" t="s">
        <v>4677</v>
      </c>
      <c r="I1550" s="6" t="str">
        <f>IFERROR(__xludf.DUMMYFUNCTION("""COMPUTED_VALUE"""),"alien")</f>
        <v>alien</v>
      </c>
      <c r="S1550" s="1" t="s">
        <v>4678</v>
      </c>
      <c r="T1550" s="6" t="str">
        <f>IFERROR(__xludf.DUMMYFUNCTION("""COMPUTED_VALUE"""),"shimmering")</f>
        <v>shimmering</v>
      </c>
      <c r="W1550" s="8"/>
      <c r="AJ1550" s="1" t="s">
        <v>4679</v>
      </c>
      <c r="AM1550" s="1" t="s">
        <v>1988</v>
      </c>
    </row>
    <row r="1551">
      <c r="E1551" s="1" t="s">
        <v>3588</v>
      </c>
      <c r="F1551" s="6" t="str">
        <f>IFERROR(__xludf.DUMMYFUNCTION("""COMPUTED_VALUE"""),"resolutions")</f>
        <v>resolutions</v>
      </c>
      <c r="H1551" s="1" t="s">
        <v>4680</v>
      </c>
      <c r="I1551" s="6" t="str">
        <f>IFERROR(__xludf.DUMMYFUNCTION("""COMPUTED_VALUE"""),"coughed")</f>
        <v>coughed</v>
      </c>
      <c r="S1551" s="1" t="s">
        <v>1699</v>
      </c>
      <c r="T1551" s="6" t="str">
        <f>IFERROR(__xludf.DUMMYFUNCTION("""COMPUTED_VALUE"""),"pitted")</f>
        <v>pitted</v>
      </c>
      <c r="W1551" s="8"/>
      <c r="AJ1551" s="1" t="s">
        <v>2892</v>
      </c>
      <c r="AM1551" s="1" t="s">
        <v>849</v>
      </c>
    </row>
    <row r="1552">
      <c r="E1552" s="1" t="s">
        <v>1261</v>
      </c>
      <c r="F1552" s="6" t="str">
        <f>IFERROR(__xludf.DUMMYFUNCTION("""COMPUTED_VALUE"""),"rhetoric")</f>
        <v>rhetoric</v>
      </c>
      <c r="H1552" s="1" t="s">
        <v>4022</v>
      </c>
      <c r="I1552" s="6" t="str">
        <f>IFERROR(__xludf.DUMMYFUNCTION("""COMPUTED_VALUE"""),"varying")</f>
        <v>varying</v>
      </c>
      <c r="S1552" s="1" t="s">
        <v>4681</v>
      </c>
      <c r="T1552" s="6" t="str">
        <f>IFERROR(__xludf.DUMMYFUNCTION("""COMPUTED_VALUE"""),"painting")</f>
        <v>painting</v>
      </c>
      <c r="W1552" s="8"/>
      <c r="AJ1552" s="1" t="s">
        <v>2895</v>
      </c>
      <c r="AM1552" s="1" t="s">
        <v>4169</v>
      </c>
    </row>
    <row r="1553">
      <c r="E1553" s="1" t="s">
        <v>4682</v>
      </c>
      <c r="F1553" s="6" t="str">
        <f>IFERROR(__xludf.DUMMYFUNCTION("""COMPUTED_VALUE"""),"haynes")</f>
        <v>haynes</v>
      </c>
      <c r="H1553" s="1" t="s">
        <v>1111</v>
      </c>
      <c r="I1553" s="6" t="str">
        <f>IFERROR(__xludf.DUMMYFUNCTION("""COMPUTED_VALUE"""),"hooks")</f>
        <v>hooks</v>
      </c>
      <c r="S1553" s="1" t="s">
        <v>4683</v>
      </c>
      <c r="T1553" s="6" t="str">
        <f>IFERROR(__xludf.DUMMYFUNCTION("""COMPUTED_VALUE"""),"shocks")</f>
        <v>shocks</v>
      </c>
      <c r="W1553" s="8"/>
      <c r="AJ1553" s="1" t="s">
        <v>2897</v>
      </c>
      <c r="AM1553" s="1" t="s">
        <v>1573</v>
      </c>
    </row>
    <row r="1554">
      <c r="E1554" s="1" t="s">
        <v>1983</v>
      </c>
      <c r="F1554" s="6" t="str">
        <f>IFERROR(__xludf.DUMMYFUNCTION("""COMPUTED_VALUE"""),"wartime")</f>
        <v>wartime</v>
      </c>
      <c r="H1554" s="1" t="s">
        <v>2089</v>
      </c>
      <c r="I1554" s="6" t="str">
        <f>IFERROR(__xludf.DUMMYFUNCTION("""COMPUTED_VALUE"""),"flaw")</f>
        <v>flaw</v>
      </c>
      <c r="S1554" s="1" t="s">
        <v>2708</v>
      </c>
      <c r="T1554" s="6" t="str">
        <f>IFERROR(__xludf.DUMMYFUNCTION("""COMPUTED_VALUE"""),"protective")</f>
        <v>protective</v>
      </c>
      <c r="W1554" s="8"/>
      <c r="AJ1554" s="1" t="s">
        <v>1620</v>
      </c>
      <c r="AM1554" s="1" t="s">
        <v>4684</v>
      </c>
    </row>
    <row r="1555">
      <c r="E1555" s="1" t="s">
        <v>1267</v>
      </c>
      <c r="F1555" s="6" t="str">
        <f>IFERROR(__xludf.DUMMYFUNCTION("""COMPUTED_VALUE"""),"downward")</f>
        <v>downward</v>
      </c>
      <c r="H1555" s="1" t="s">
        <v>786</v>
      </c>
      <c r="I1555" s="6" t="str">
        <f>IFERROR(__xludf.DUMMYFUNCTION("""COMPUTED_VALUE"""),"carries")</f>
        <v>carries</v>
      </c>
      <c r="S1555" s="1" t="s">
        <v>4685</v>
      </c>
      <c r="T1555" s="6" t="str">
        <f>IFERROR(__xludf.DUMMYFUNCTION("""COMPUTED_VALUE"""),"marine")</f>
        <v>marine</v>
      </c>
      <c r="W1555" s="8"/>
      <c r="AJ1555" s="1" t="s">
        <v>2903</v>
      </c>
      <c r="AM1555" s="1" t="s">
        <v>666</v>
      </c>
    </row>
    <row r="1556">
      <c r="E1556" s="1" t="s">
        <v>1273</v>
      </c>
      <c r="F1556" s="6" t="str">
        <f>IFERROR(__xludf.DUMMYFUNCTION("""COMPUTED_VALUE"""),"hannibal")</f>
        <v>hannibal</v>
      </c>
      <c r="H1556" s="1" t="s">
        <v>793</v>
      </c>
      <c r="I1556" s="6" t="str">
        <f>IFERROR(__xludf.DUMMYFUNCTION("""COMPUTED_VALUE"""),"oliver")</f>
        <v>oliver</v>
      </c>
      <c r="S1556" s="1" t="s">
        <v>4686</v>
      </c>
      <c r="T1556" s="6" t="str">
        <f>IFERROR(__xludf.DUMMYFUNCTION("""COMPUTED_VALUE"""),"padded")</f>
        <v>padded</v>
      </c>
      <c r="W1556" s="8"/>
      <c r="AJ1556" s="1" t="s">
        <v>1626</v>
      </c>
      <c r="AM1556" s="1" t="s">
        <v>4687</v>
      </c>
    </row>
    <row r="1557">
      <c r="E1557" s="1" t="s">
        <v>989</v>
      </c>
      <c r="F1557" s="6" t="str">
        <f>IFERROR(__xludf.DUMMYFUNCTION("""COMPUTED_VALUE"""),"inclination")</f>
        <v>inclination</v>
      </c>
      <c r="H1557" s="1" t="s">
        <v>801</v>
      </c>
      <c r="I1557" s="6" t="str">
        <f>IFERROR(__xludf.DUMMYFUNCTION("""COMPUTED_VALUE"""),"irresistible")</f>
        <v>irresistible</v>
      </c>
      <c r="S1557" s="1" t="s">
        <v>1055</v>
      </c>
      <c r="T1557" s="6" t="str">
        <f>IFERROR(__xludf.DUMMYFUNCTION("""COMPUTED_VALUE"""),"seat")</f>
        <v>seat</v>
      </c>
      <c r="W1557" s="8"/>
      <c r="AJ1557" s="1" t="s">
        <v>2910</v>
      </c>
      <c r="AM1557" s="1" t="s">
        <v>3017</v>
      </c>
    </row>
    <row r="1558">
      <c r="E1558" s="1" t="s">
        <v>114</v>
      </c>
      <c r="F1558" s="6" t="str">
        <f>IFERROR(__xludf.DUMMYFUNCTION("""COMPUTED_VALUE"""),"terrified")</f>
        <v>terrified</v>
      </c>
      <c r="H1558" s="1" t="s">
        <v>934</v>
      </c>
      <c r="I1558" s="6" t="str">
        <f>IFERROR(__xludf.DUMMYFUNCTION("""COMPUTED_VALUE"""),"hussein")</f>
        <v>hussein</v>
      </c>
      <c r="S1558" s="1" t="s">
        <v>3319</v>
      </c>
      <c r="T1558" s="6" t="str">
        <f>IFERROR(__xludf.DUMMYFUNCTION("""COMPUTED_VALUE"""),"shelf")</f>
        <v>shelf</v>
      </c>
      <c r="W1558" s="8"/>
      <c r="AJ1558" s="1" t="s">
        <v>4688</v>
      </c>
      <c r="AM1558" s="1" t="s">
        <v>2809</v>
      </c>
    </row>
    <row r="1559">
      <c r="E1559" s="1" t="s">
        <v>3600</v>
      </c>
      <c r="F1559" s="6" t="str">
        <f>IFERROR(__xludf.DUMMYFUNCTION("""COMPUTED_VALUE"""),"whimper")</f>
        <v>whimper</v>
      </c>
      <c r="H1559" s="1" t="s">
        <v>2831</v>
      </c>
      <c r="I1559" s="6" t="str">
        <f>IFERROR(__xludf.DUMMYFUNCTION("""COMPUTED_VALUE"""),"saddam")</f>
        <v>saddam</v>
      </c>
      <c r="S1559" s="1" t="s">
        <v>4689</v>
      </c>
      <c r="T1559" s="6" t="str">
        <f>IFERROR(__xludf.DUMMYFUNCTION("""COMPUTED_VALUE"""),"visuals")</f>
        <v>visuals</v>
      </c>
      <c r="W1559" s="8"/>
      <c r="AJ1559" s="1" t="s">
        <v>4690</v>
      </c>
      <c r="AM1559" s="1" t="s">
        <v>4691</v>
      </c>
    </row>
    <row r="1560">
      <c r="E1560" s="1" t="s">
        <v>1696</v>
      </c>
      <c r="F1560" s="6" t="str">
        <f>IFERROR(__xludf.DUMMYFUNCTION("""COMPUTED_VALUE"""),"tract")</f>
        <v>tract</v>
      </c>
      <c r="H1560" s="1" t="s">
        <v>4033</v>
      </c>
      <c r="I1560" s="6" t="str">
        <f>IFERROR(__xludf.DUMMYFUNCTION("""COMPUTED_VALUE"""),"operative")</f>
        <v>operative</v>
      </c>
      <c r="S1560" s="1" t="s">
        <v>4692</v>
      </c>
      <c r="T1560" s="6" t="str">
        <f>IFERROR(__xludf.DUMMYFUNCTION("""COMPUTED_VALUE"""),"majestic")</f>
        <v>majestic</v>
      </c>
      <c r="W1560" s="8"/>
      <c r="AJ1560" s="1" t="s">
        <v>4693</v>
      </c>
      <c r="AM1560" s="1" t="s">
        <v>982</v>
      </c>
    </row>
    <row r="1561">
      <c r="E1561" s="1" t="s">
        <v>4174</v>
      </c>
      <c r="F1561" s="6" t="str">
        <f>IFERROR(__xludf.DUMMYFUNCTION("""COMPUTED_VALUE"""),"permitting")</f>
        <v>permitting</v>
      </c>
      <c r="H1561" s="1" t="s">
        <v>4035</v>
      </c>
      <c r="I1561" s="6" t="str">
        <f>IFERROR(__xludf.DUMMYFUNCTION("""COMPUTED_VALUE"""),"exposition")</f>
        <v>exposition</v>
      </c>
      <c r="S1561" s="1" t="s">
        <v>4694</v>
      </c>
      <c r="T1561" s="6" t="str">
        <f>IFERROR(__xludf.DUMMYFUNCTION("""COMPUTED_VALUE"""),"strikes")</f>
        <v>strikes</v>
      </c>
      <c r="W1561" s="8"/>
      <c r="AJ1561" s="1" t="s">
        <v>2913</v>
      </c>
      <c r="AM1561" s="1" t="s">
        <v>4180</v>
      </c>
    </row>
    <row r="1562">
      <c r="E1562" s="1" t="s">
        <v>1994</v>
      </c>
      <c r="F1562" s="6" t="str">
        <f>IFERROR(__xludf.DUMMYFUNCTION("""COMPUTED_VALUE"""),"cartoon")</f>
        <v>cartoon</v>
      </c>
      <c r="H1562" s="1" t="s">
        <v>4039</v>
      </c>
      <c r="I1562" s="6" t="str">
        <f>IFERROR(__xludf.DUMMYFUNCTION("""COMPUTED_VALUE"""),"chemistry")</f>
        <v>chemistry</v>
      </c>
      <c r="S1562" s="1" t="s">
        <v>4501</v>
      </c>
      <c r="T1562" s="6" t="str">
        <f>IFERROR(__xludf.DUMMYFUNCTION("""COMPUTED_VALUE"""),"cows")</f>
        <v>cows</v>
      </c>
      <c r="W1562" s="8"/>
      <c r="AJ1562" s="1" t="s">
        <v>4695</v>
      </c>
      <c r="AM1562" s="1" t="s">
        <v>4182</v>
      </c>
    </row>
    <row r="1563">
      <c r="E1563" s="1" t="s">
        <v>2442</v>
      </c>
      <c r="F1563" s="6" t="str">
        <f>IFERROR(__xludf.DUMMYFUNCTION("""COMPUTED_VALUE"""),"stopped")</f>
        <v>stopped</v>
      </c>
      <c r="H1563" s="1" t="s">
        <v>2692</v>
      </c>
      <c r="I1563" s="6" t="str">
        <f>IFERROR(__xludf.DUMMYFUNCTION("""COMPUTED_VALUE"""),"concludes")</f>
        <v>concludes</v>
      </c>
      <c r="S1563" s="1" t="s">
        <v>3212</v>
      </c>
      <c r="T1563" s="6" t="str">
        <f>IFERROR(__xludf.DUMMYFUNCTION("""COMPUTED_VALUE"""),"lifelong")</f>
        <v>lifelong</v>
      </c>
      <c r="W1563" s="8"/>
      <c r="AJ1563" s="1" t="s">
        <v>2916</v>
      </c>
      <c r="AM1563" s="1" t="s">
        <v>4696</v>
      </c>
    </row>
    <row r="1564">
      <c r="E1564" s="1" t="s">
        <v>4697</v>
      </c>
      <c r="F1564" s="6">
        <f>IFERROR(__xludf.DUMMYFUNCTION("""COMPUTED_VALUE"""),66.0)</f>
        <v>66</v>
      </c>
      <c r="H1564" s="1" t="s">
        <v>2700</v>
      </c>
      <c r="I1564" s="6" t="str">
        <f>IFERROR(__xludf.DUMMYFUNCTION("""COMPUTED_VALUE"""),"willis")</f>
        <v>willis</v>
      </c>
      <c r="S1564" s="1" t="s">
        <v>3621</v>
      </c>
      <c r="T1564" s="6" t="str">
        <f>IFERROR(__xludf.DUMMYFUNCTION("""COMPUTED_VALUE"""),"concern")</f>
        <v>concern</v>
      </c>
      <c r="W1564" s="8"/>
      <c r="AJ1564" s="1" t="s">
        <v>2918</v>
      </c>
      <c r="AM1564" s="1" t="s">
        <v>1579</v>
      </c>
    </row>
    <row r="1565">
      <c r="E1565" s="1" t="s">
        <v>1998</v>
      </c>
      <c r="F1565" s="6" t="str">
        <f>IFERROR(__xludf.DUMMYFUNCTION("""COMPUTED_VALUE"""),"unnoticed")</f>
        <v>unnoticed</v>
      </c>
      <c r="H1565" s="1" t="s">
        <v>4525</v>
      </c>
      <c r="I1565" s="6" t="str">
        <f>IFERROR(__xludf.DUMMYFUNCTION("""COMPUTED_VALUE"""),"bruce")</f>
        <v>bruce</v>
      </c>
      <c r="S1565" s="1" t="s">
        <v>4366</v>
      </c>
      <c r="T1565" s="6" t="str">
        <f>IFERROR(__xludf.DUMMYFUNCTION("""COMPUTED_VALUE"""),"thinks")</f>
        <v>thinks</v>
      </c>
      <c r="W1565" s="8"/>
      <c r="AJ1565" s="1" t="s">
        <v>2923</v>
      </c>
      <c r="AM1565" s="1" t="s">
        <v>986</v>
      </c>
    </row>
    <row r="1566">
      <c r="E1566" s="1" t="s">
        <v>623</v>
      </c>
      <c r="F1566" s="6" t="str">
        <f>IFERROR(__xludf.DUMMYFUNCTION("""COMPUTED_VALUE"""),"unconventional")</f>
        <v>unconventional</v>
      </c>
      <c r="H1566" s="1" t="s">
        <v>2704</v>
      </c>
      <c r="I1566" s="6" t="str">
        <f>IFERROR(__xludf.DUMMYFUNCTION("""COMPUTED_VALUE"""),"creators")</f>
        <v>creators</v>
      </c>
      <c r="S1566" s="1" t="s">
        <v>769</v>
      </c>
      <c r="T1566" s="6" t="str">
        <f>IFERROR(__xludf.DUMMYFUNCTION("""COMPUTED_VALUE"""),"puppets")</f>
        <v>puppets</v>
      </c>
      <c r="W1566" s="8"/>
      <c r="AJ1566" s="1" t="s">
        <v>1633</v>
      </c>
      <c r="AM1566" s="1" t="s">
        <v>4186</v>
      </c>
    </row>
    <row r="1567">
      <c r="E1567" s="1" t="s">
        <v>4698</v>
      </c>
      <c r="F1567" s="6" t="str">
        <f>IFERROR(__xludf.DUMMYFUNCTION("""COMPUTED_VALUE"""),"turbulent")</f>
        <v>turbulent</v>
      </c>
      <c r="H1567" s="1" t="s">
        <v>4046</v>
      </c>
      <c r="I1567" s="6" t="str">
        <f>IFERROR(__xludf.DUMMYFUNCTION("""COMPUTED_VALUE"""),"slap")</f>
        <v>slap</v>
      </c>
      <c r="S1567" s="1" t="s">
        <v>4699</v>
      </c>
      <c r="T1567" s="6" t="str">
        <f>IFERROR(__xludf.DUMMYFUNCTION("""COMPUTED_VALUE"""),"bear")</f>
        <v>bear</v>
      </c>
      <c r="W1567" s="8"/>
      <c r="AJ1567" s="1" t="s">
        <v>4700</v>
      </c>
      <c r="AM1567" s="1" t="s">
        <v>2813</v>
      </c>
    </row>
    <row r="1568">
      <c r="E1568" s="1" t="s">
        <v>4701</v>
      </c>
      <c r="F1568" s="6" t="str">
        <f>IFERROR(__xludf.DUMMYFUNCTION("""COMPUTED_VALUE"""),"egypt")</f>
        <v>egypt</v>
      </c>
      <c r="H1568" s="1" t="s">
        <v>2851</v>
      </c>
      <c r="I1568" s="6" t="str">
        <f>IFERROR(__xludf.DUMMYFUNCTION("""COMPUTED_VALUE"""),"wrestling")</f>
        <v>wrestling</v>
      </c>
      <c r="S1568" s="1" t="s">
        <v>4702</v>
      </c>
      <c r="T1568" s="6" t="str">
        <f>IFERROR(__xludf.DUMMYFUNCTION("""COMPUTED_VALUE"""),"advantage")</f>
        <v>advantage</v>
      </c>
      <c r="W1568" s="8"/>
      <c r="AJ1568" s="1" t="s">
        <v>4703</v>
      </c>
      <c r="AM1568" s="1" t="s">
        <v>3045</v>
      </c>
    </row>
    <row r="1569">
      <c r="E1569" s="1" t="s">
        <v>2000</v>
      </c>
      <c r="F1569" s="6" t="str">
        <f>IFERROR(__xludf.DUMMYFUNCTION("""COMPUTED_VALUE"""),"racial")</f>
        <v>racial</v>
      </c>
      <c r="H1569" s="1" t="s">
        <v>4530</v>
      </c>
      <c r="I1569" s="6" t="str">
        <f>IFERROR(__xludf.DUMMYFUNCTION("""COMPUTED_VALUE"""),"doomed")</f>
        <v>doomed</v>
      </c>
      <c r="S1569" s="1" t="s">
        <v>1734</v>
      </c>
      <c r="T1569" s="6" t="str">
        <f>IFERROR(__xludf.DUMMYFUNCTION("""COMPUTED_VALUE"""),"happens")</f>
        <v>happens</v>
      </c>
      <c r="W1569" s="8"/>
      <c r="AJ1569" s="1" t="s">
        <v>2929</v>
      </c>
      <c r="AM1569" s="1" t="s">
        <v>2544</v>
      </c>
    </row>
    <row r="1570">
      <c r="E1570" s="1" t="s">
        <v>4704</v>
      </c>
      <c r="F1570" s="6" t="str">
        <f>IFERROR(__xludf.DUMMYFUNCTION("""COMPUTED_VALUE"""),"homicide")</f>
        <v>homicide</v>
      </c>
      <c r="H1570" s="1" t="s">
        <v>2853</v>
      </c>
      <c r="I1570" s="6" t="str">
        <f>IFERROR(__xludf.DUMMYFUNCTION("""COMPUTED_VALUE"""),"weep")</f>
        <v>weep</v>
      </c>
      <c r="S1570" s="1" t="s">
        <v>3821</v>
      </c>
      <c r="T1570" s="6" t="str">
        <f>IFERROR(__xludf.DUMMYFUNCTION("""COMPUTED_VALUE"""),"willingness")</f>
        <v>willingness</v>
      </c>
      <c r="W1570" s="8"/>
      <c r="AJ1570" s="1" t="s">
        <v>3865</v>
      </c>
      <c r="AM1570" s="1" t="s">
        <v>4189</v>
      </c>
    </row>
    <row r="1571">
      <c r="E1571" s="1" t="s">
        <v>4705</v>
      </c>
      <c r="F1571" s="6" t="str">
        <f>IFERROR(__xludf.DUMMYFUNCTION("""COMPUTED_VALUE"""),"cinderella")</f>
        <v>cinderella</v>
      </c>
      <c r="H1571" s="1" t="s">
        <v>3685</v>
      </c>
      <c r="I1571" s="6" t="str">
        <f>IFERROR(__xludf.DUMMYFUNCTION("""COMPUTED_VALUE"""),"norton")</f>
        <v>norton</v>
      </c>
      <c r="S1571" s="1" t="s">
        <v>3842</v>
      </c>
      <c r="T1571" s="6" t="str">
        <f>IFERROR(__xludf.DUMMYFUNCTION("""COMPUTED_VALUE"""),"pity")</f>
        <v>pity</v>
      </c>
      <c r="W1571" s="8"/>
      <c r="AJ1571" s="1" t="s">
        <v>4706</v>
      </c>
      <c r="AM1571" s="1" t="s">
        <v>92</v>
      </c>
    </row>
    <row r="1572">
      <c r="E1572" s="1" t="s">
        <v>4707</v>
      </c>
      <c r="F1572" s="6" t="str">
        <f>IFERROR(__xludf.DUMMYFUNCTION("""COMPUTED_VALUE"""),"harrison")</f>
        <v>harrison</v>
      </c>
      <c r="H1572" s="1" t="s">
        <v>4708</v>
      </c>
      <c r="I1572" s="6" t="str">
        <f>IFERROR(__xludf.DUMMYFUNCTION("""COMPUTED_VALUE"""),"edward")</f>
        <v>edward</v>
      </c>
      <c r="S1572" s="1" t="s">
        <v>4709</v>
      </c>
      <c r="T1572" s="6" t="str">
        <f>IFERROR(__xludf.DUMMYFUNCTION("""COMPUTED_VALUE"""),"positively")</f>
        <v>positively</v>
      </c>
      <c r="W1572" s="8"/>
      <c r="AJ1572" s="1" t="s">
        <v>2933</v>
      </c>
      <c r="AM1572" s="1" t="s">
        <v>992</v>
      </c>
    </row>
    <row r="1573">
      <c r="E1573" s="1" t="s">
        <v>3616</v>
      </c>
      <c r="F1573" s="6" t="str">
        <f>IFERROR(__xludf.DUMMYFUNCTION("""COMPUTED_VALUE"""),"evolve")</f>
        <v>evolve</v>
      </c>
      <c r="H1573" s="1" t="s">
        <v>4710</v>
      </c>
      <c r="I1573" s="6" t="str">
        <f>IFERROR(__xludf.DUMMYFUNCTION("""COMPUTED_VALUE"""),"nation")</f>
        <v>nation</v>
      </c>
      <c r="S1573" s="1" t="s">
        <v>1811</v>
      </c>
      <c r="T1573" s="6" t="str">
        <f>IFERROR(__xludf.DUMMYFUNCTION("""COMPUTED_VALUE"""),"campus")</f>
        <v>campus</v>
      </c>
      <c r="W1573" s="8"/>
      <c r="AJ1573" s="1" t="s">
        <v>4711</v>
      </c>
      <c r="AM1573" s="1" t="s">
        <v>854</v>
      </c>
    </row>
    <row r="1574">
      <c r="E1574" s="1" t="s">
        <v>4712</v>
      </c>
      <c r="F1574" s="6" t="str">
        <f>IFERROR(__xludf.DUMMYFUNCTION("""COMPUTED_VALUE"""),"jumps")</f>
        <v>jumps</v>
      </c>
      <c r="H1574" s="1" t="s">
        <v>4049</v>
      </c>
      <c r="I1574" s="6" t="str">
        <f>IFERROR(__xludf.DUMMYFUNCTION("""COMPUTED_VALUE"""),"illuminating")</f>
        <v>illuminating</v>
      </c>
      <c r="S1574" s="1" t="s">
        <v>4713</v>
      </c>
      <c r="T1574" s="6" t="str">
        <f>IFERROR(__xludf.DUMMYFUNCTION("""COMPUTED_VALUE"""),"sleeve")</f>
        <v>sleeve</v>
      </c>
      <c r="W1574" s="8"/>
      <c r="AJ1574" s="1" t="s">
        <v>2937</v>
      </c>
      <c r="AM1574" s="1" t="s">
        <v>2821</v>
      </c>
    </row>
    <row r="1575">
      <c r="E1575" s="1" t="s">
        <v>4714</v>
      </c>
      <c r="F1575" s="6" t="str">
        <f>IFERROR(__xludf.DUMMYFUNCTION("""COMPUTED_VALUE"""),"engages")</f>
        <v>engages</v>
      </c>
      <c r="H1575" s="1" t="s">
        <v>1451</v>
      </c>
      <c r="I1575" s="6" t="str">
        <f>IFERROR(__xludf.DUMMYFUNCTION("""COMPUTED_VALUE"""),"camouflage")</f>
        <v>camouflage</v>
      </c>
      <c r="S1575" s="1" t="s">
        <v>4715</v>
      </c>
      <c r="T1575" s="6" t="str">
        <f>IFERROR(__xludf.DUMMYFUNCTION("""COMPUTED_VALUE"""),"wears")</f>
        <v>wears</v>
      </c>
      <c r="W1575" s="8"/>
      <c r="AJ1575" s="1" t="s">
        <v>4716</v>
      </c>
      <c r="AM1575" s="1" t="s">
        <v>4494</v>
      </c>
    </row>
    <row r="1576">
      <c r="E1576" s="1" t="s">
        <v>4717</v>
      </c>
      <c r="F1576" s="6" t="str">
        <f>IFERROR(__xludf.DUMMYFUNCTION("""COMPUTED_VALUE"""),"walt")</f>
        <v>walt</v>
      </c>
      <c r="H1576" s="1" t="s">
        <v>4053</v>
      </c>
      <c r="I1576" s="6" t="str">
        <f>IFERROR(__xludf.DUMMYFUNCTION("""COMPUTED_VALUE"""),"jonah")</f>
        <v>jonah</v>
      </c>
      <c r="S1576" s="1" t="s">
        <v>1654</v>
      </c>
      <c r="T1576" s="6" t="str">
        <f>IFERROR(__xludf.DUMMYFUNCTION("""COMPUTED_VALUE"""),"conduct")</f>
        <v>conduct</v>
      </c>
      <c r="W1576" s="8"/>
      <c r="AJ1576" s="1" t="s">
        <v>2938</v>
      </c>
      <c r="AM1576" s="1" t="s">
        <v>3048</v>
      </c>
    </row>
    <row r="1577">
      <c r="E1577" s="1" t="s">
        <v>1001</v>
      </c>
      <c r="F1577" s="6" t="str">
        <f>IFERROR(__xludf.DUMMYFUNCTION("""COMPUTED_VALUE"""),"discontent")</f>
        <v>discontent</v>
      </c>
      <c r="H1577" s="1" t="s">
        <v>1513</v>
      </c>
      <c r="I1577" s="6" t="str">
        <f>IFERROR(__xludf.DUMMYFUNCTION("""COMPUTED_VALUE"""),"freud")</f>
        <v>freud</v>
      </c>
      <c r="S1577" s="1" t="s">
        <v>4718</v>
      </c>
      <c r="T1577" s="6" t="str">
        <f>IFERROR(__xludf.DUMMYFUNCTION("""COMPUTED_VALUE"""),"intimacy")</f>
        <v>intimacy</v>
      </c>
      <c r="W1577" s="8"/>
      <c r="AJ1577" s="1" t="s">
        <v>2944</v>
      </c>
      <c r="AM1577" s="1" t="s">
        <v>3052</v>
      </c>
    </row>
    <row r="1578">
      <c r="E1578" s="1" t="s">
        <v>1006</v>
      </c>
      <c r="F1578" s="6" t="str">
        <f>IFERROR(__xludf.DUMMYFUNCTION("""COMPUTED_VALUE"""),"deepest")</f>
        <v>deepest</v>
      </c>
      <c r="H1578" s="1" t="s">
        <v>2858</v>
      </c>
      <c r="I1578" s="6" t="str">
        <f>IFERROR(__xludf.DUMMYFUNCTION("""COMPUTED_VALUE"""),"measure")</f>
        <v>measure</v>
      </c>
      <c r="S1578" s="1" t="s">
        <v>4719</v>
      </c>
      <c r="T1578" s="6" t="str">
        <f>IFERROR(__xludf.DUMMYFUNCTION("""COMPUTED_VALUE"""),"kiss")</f>
        <v>kiss</v>
      </c>
      <c r="W1578" s="8"/>
      <c r="AJ1578" s="1" t="s">
        <v>2948</v>
      </c>
      <c r="AM1578" s="1" t="s">
        <v>4720</v>
      </c>
    </row>
    <row r="1579">
      <c r="E1579" s="1" t="s">
        <v>2007</v>
      </c>
      <c r="F1579" s="6" t="str">
        <f>IFERROR(__xludf.DUMMYFUNCTION("""COMPUTED_VALUE"""),"physical")</f>
        <v>physical</v>
      </c>
      <c r="H1579" s="1" t="s">
        <v>2860</v>
      </c>
      <c r="I1579" s="6" t="str">
        <f>IFERROR(__xludf.DUMMYFUNCTION("""COMPUTED_VALUE"""),"shining")</f>
        <v>shining</v>
      </c>
      <c r="S1579" s="1" t="s">
        <v>4721</v>
      </c>
      <c r="T1579" s="6" t="str">
        <f>IFERROR(__xludf.DUMMYFUNCTION("""COMPUTED_VALUE"""),"brisk")</f>
        <v>brisk</v>
      </c>
      <c r="W1579" s="8"/>
      <c r="AJ1579" s="1" t="s">
        <v>1639</v>
      </c>
      <c r="AM1579" s="1" t="s">
        <v>637</v>
      </c>
    </row>
    <row r="1580">
      <c r="E1580" s="1" t="s">
        <v>4722</v>
      </c>
      <c r="F1580" s="6" t="str">
        <f>IFERROR(__xludf.DUMMYFUNCTION("""COMPUTED_VALUE"""),"evans")</f>
        <v>evans</v>
      </c>
      <c r="H1580" s="1" t="s">
        <v>1458</v>
      </c>
      <c r="I1580" s="6" t="str">
        <f>IFERROR(__xludf.DUMMYFUNCTION("""COMPUTED_VALUE"""),"photographed")</f>
        <v>photographed</v>
      </c>
      <c r="S1580" s="1" t="s">
        <v>236</v>
      </c>
      <c r="T1580" s="6" t="str">
        <f>IFERROR(__xludf.DUMMYFUNCTION("""COMPUTED_VALUE"""),"fuzzy")</f>
        <v>fuzzy</v>
      </c>
      <c r="W1580" s="8"/>
      <c r="AJ1580" s="1" t="s">
        <v>1645</v>
      </c>
      <c r="AM1580" s="1" t="s">
        <v>2355</v>
      </c>
    </row>
    <row r="1581">
      <c r="E1581" s="1" t="s">
        <v>4723</v>
      </c>
      <c r="F1581" s="6" t="str">
        <f>IFERROR(__xludf.DUMMYFUNCTION("""COMPUTED_VALUE"""),"overlapping")</f>
        <v>overlapping</v>
      </c>
      <c r="H1581" s="1" t="s">
        <v>4724</v>
      </c>
      <c r="I1581" s="6" t="str">
        <f>IFERROR(__xludf.DUMMYFUNCTION("""COMPUTED_VALUE"""),"mendes")</f>
        <v>mendes</v>
      </c>
      <c r="S1581" s="1" t="s">
        <v>4725</v>
      </c>
      <c r="T1581" s="6" t="str">
        <f>IFERROR(__xludf.DUMMYFUNCTION("""COMPUTED_VALUE"""),"beloved")</f>
        <v>beloved</v>
      </c>
      <c r="W1581" s="8"/>
      <c r="AJ1581" s="1" t="s">
        <v>4726</v>
      </c>
      <c r="AM1581" s="1" t="s">
        <v>2826</v>
      </c>
    </row>
    <row r="1582">
      <c r="E1582" s="1" t="s">
        <v>4727</v>
      </c>
      <c r="F1582" s="6" t="str">
        <f>IFERROR(__xludf.DUMMYFUNCTION("""COMPUTED_VALUE"""),"collateral")</f>
        <v>collateral</v>
      </c>
      <c r="H1582" s="1" t="s">
        <v>2715</v>
      </c>
      <c r="I1582" s="6" t="str">
        <f>IFERROR(__xludf.DUMMYFUNCTION("""COMPUTED_VALUE"""),"unprecedented")</f>
        <v>unprecedented</v>
      </c>
      <c r="S1582" s="1" t="s">
        <v>4158</v>
      </c>
      <c r="T1582" s="6" t="str">
        <f>IFERROR(__xludf.DUMMYFUNCTION("""COMPUTED_VALUE"""),"genres")</f>
        <v>genres</v>
      </c>
      <c r="W1582" s="8"/>
      <c r="AJ1582" s="1" t="s">
        <v>4728</v>
      </c>
      <c r="AM1582" s="1" t="s">
        <v>2829</v>
      </c>
    </row>
    <row r="1583">
      <c r="E1583" s="1" t="s">
        <v>3209</v>
      </c>
      <c r="F1583" s="6" t="str">
        <f>IFERROR(__xludf.DUMMYFUNCTION("""COMPUTED_VALUE"""),"archive")</f>
        <v>archive</v>
      </c>
      <c r="H1583" s="1" t="s">
        <v>1672</v>
      </c>
      <c r="I1583" s="6" t="str">
        <f>IFERROR(__xludf.DUMMYFUNCTION("""COMPUTED_VALUE"""),"battlefield")</f>
        <v>battlefield</v>
      </c>
      <c r="S1583" s="1" t="s">
        <v>1608</v>
      </c>
      <c r="T1583" s="6" t="str">
        <f>IFERROR(__xludf.DUMMYFUNCTION("""COMPUTED_VALUE"""),"continuation")</f>
        <v>continuation</v>
      </c>
      <c r="W1583" s="8"/>
      <c r="AJ1583" s="1" t="s">
        <v>757</v>
      </c>
      <c r="AM1583" s="1" t="s">
        <v>1588</v>
      </c>
    </row>
    <row r="1584">
      <c r="E1584" s="1" t="s">
        <v>2011</v>
      </c>
      <c r="F1584" s="6" t="str">
        <f>IFERROR(__xludf.DUMMYFUNCTION("""COMPUTED_VALUE"""),"specific")</f>
        <v>specific</v>
      </c>
      <c r="H1584" s="1" t="s">
        <v>4056</v>
      </c>
      <c r="I1584" s="6" t="str">
        <f>IFERROR(__xludf.DUMMYFUNCTION("""COMPUTED_VALUE"""),"drawing")</f>
        <v>drawing</v>
      </c>
      <c r="S1584" s="1" t="s">
        <v>3820</v>
      </c>
      <c r="T1584" s="6" t="str">
        <f>IFERROR(__xludf.DUMMYFUNCTION("""COMPUTED_VALUE"""),"awkward")</f>
        <v>awkward</v>
      </c>
      <c r="W1584" s="8"/>
      <c r="AJ1584" s="1" t="s">
        <v>2961</v>
      </c>
      <c r="AM1584" s="1" t="s">
        <v>693</v>
      </c>
    </row>
    <row r="1585">
      <c r="E1585" s="1" t="s">
        <v>4729</v>
      </c>
      <c r="F1585" s="6" t="str">
        <f>IFERROR(__xludf.DUMMYFUNCTION("""COMPUTED_VALUE"""),"stills")</f>
        <v>stills</v>
      </c>
      <c r="H1585" s="1" t="s">
        <v>2720</v>
      </c>
      <c r="I1585" s="6" t="str">
        <f>IFERROR(__xludf.DUMMYFUNCTION("""COMPUTED_VALUE"""),"arbitrary")</f>
        <v>arbitrary</v>
      </c>
      <c r="S1585" s="1" t="s">
        <v>3423</v>
      </c>
      <c r="T1585" s="6" t="str">
        <f>IFERROR(__xludf.DUMMYFUNCTION("""COMPUTED_VALUE"""),"assumption")</f>
        <v>assumption</v>
      </c>
      <c r="W1585" s="8"/>
      <c r="AJ1585" s="1" t="s">
        <v>2965</v>
      </c>
      <c r="AM1585" s="1" t="s">
        <v>859</v>
      </c>
    </row>
    <row r="1586">
      <c r="E1586" s="1" t="s">
        <v>2689</v>
      </c>
      <c r="F1586" s="6" t="str">
        <f>IFERROR(__xludf.DUMMYFUNCTION("""COMPUTED_VALUE"""),"grasp")</f>
        <v>grasp</v>
      </c>
      <c r="H1586" s="1" t="s">
        <v>3098</v>
      </c>
      <c r="I1586" s="6" t="str">
        <f>IFERROR(__xludf.DUMMYFUNCTION("""COMPUTED_VALUE"""),"darkly")</f>
        <v>darkly</v>
      </c>
      <c r="S1586" s="1" t="s">
        <v>4688</v>
      </c>
      <c r="T1586" s="6" t="str">
        <f>IFERROR(__xludf.DUMMYFUNCTION("""COMPUTED_VALUE"""),"alabama")</f>
        <v>alabama</v>
      </c>
      <c r="W1586" s="8"/>
      <c r="AJ1586" s="1" t="s">
        <v>4730</v>
      </c>
      <c r="AM1586" s="1" t="s">
        <v>4731</v>
      </c>
    </row>
    <row r="1587">
      <c r="E1587" s="1" t="s">
        <v>4070</v>
      </c>
      <c r="F1587" s="6" t="str">
        <f>IFERROR(__xludf.DUMMYFUNCTION("""COMPUTED_VALUE"""),"insignificant")</f>
        <v>insignificant</v>
      </c>
      <c r="H1587" s="1" t="s">
        <v>318</v>
      </c>
      <c r="I1587" s="6" t="str">
        <f>IFERROR(__xludf.DUMMYFUNCTION("""COMPUTED_VALUE"""),"enters")</f>
        <v>enters</v>
      </c>
      <c r="S1587" s="1" t="s">
        <v>798</v>
      </c>
      <c r="T1587" s="6" t="str">
        <f>IFERROR(__xludf.DUMMYFUNCTION("""COMPUTED_VALUE"""),"producer")</f>
        <v>producer</v>
      </c>
      <c r="W1587" s="8"/>
      <c r="AJ1587" s="1" t="s">
        <v>4732</v>
      </c>
      <c r="AM1587" s="1" t="s">
        <v>3065</v>
      </c>
    </row>
    <row r="1588">
      <c r="E1588" s="1" t="s">
        <v>3216</v>
      </c>
      <c r="F1588" s="6" t="str">
        <f>IFERROR(__xludf.DUMMYFUNCTION("""COMPUTED_VALUE"""),"examines")</f>
        <v>examines</v>
      </c>
      <c r="H1588" s="1" t="s">
        <v>4062</v>
      </c>
      <c r="I1588" s="6" t="str">
        <f>IFERROR(__xludf.DUMMYFUNCTION("""COMPUTED_VALUE"""),"realm")</f>
        <v>realm</v>
      </c>
      <c r="S1588" s="1" t="s">
        <v>4733</v>
      </c>
      <c r="T1588" s="6" t="str">
        <f>IFERROR(__xludf.DUMMYFUNCTION("""COMPUTED_VALUE"""),"assurance")</f>
        <v>assurance</v>
      </c>
      <c r="W1588" s="8"/>
      <c r="AJ1588" s="1" t="s">
        <v>441</v>
      </c>
      <c r="AM1588" s="1" t="s">
        <v>4734</v>
      </c>
    </row>
    <row r="1589">
      <c r="E1589" s="1" t="s">
        <v>4662</v>
      </c>
      <c r="F1589" s="6" t="str">
        <f>IFERROR(__xludf.DUMMYFUNCTION("""COMPUTED_VALUE"""),"tense")</f>
        <v>tense</v>
      </c>
      <c r="H1589" s="1" t="s">
        <v>2729</v>
      </c>
      <c r="I1589" s="6" t="str">
        <f>IFERROR(__xludf.DUMMYFUNCTION("""COMPUTED_VALUE"""),"accurate")</f>
        <v>accurate</v>
      </c>
      <c r="S1589" s="1" t="s">
        <v>4735</v>
      </c>
      <c r="T1589" s="6" t="str">
        <f>IFERROR(__xludf.DUMMYFUNCTION("""COMPUTED_VALUE"""),"disguised")</f>
        <v>disguised</v>
      </c>
      <c r="W1589" s="8"/>
      <c r="AJ1589" s="1" t="s">
        <v>4736</v>
      </c>
      <c r="AM1589" s="1" t="s">
        <v>4737</v>
      </c>
    </row>
    <row r="1590">
      <c r="E1590" s="1" t="s">
        <v>1013</v>
      </c>
      <c r="F1590" s="6" t="str">
        <f>IFERROR(__xludf.DUMMYFUNCTION("""COMPUTED_VALUE"""),"dismay")</f>
        <v>dismay</v>
      </c>
      <c r="H1590" s="1" t="s">
        <v>4555</v>
      </c>
      <c r="I1590" s="6" t="str">
        <f>IFERROR(__xludf.DUMMYFUNCTION("""COMPUTED_VALUE"""),"relevance")</f>
        <v>relevance</v>
      </c>
      <c r="S1590" s="1" t="s">
        <v>3853</v>
      </c>
      <c r="T1590" s="6" t="str">
        <f>IFERROR(__xludf.DUMMYFUNCTION("""COMPUTED_VALUE"""),"impact")</f>
        <v>impact</v>
      </c>
      <c r="W1590" s="8"/>
      <c r="AJ1590" s="1" t="s">
        <v>1651</v>
      </c>
      <c r="AM1590" s="1" t="s">
        <v>2839</v>
      </c>
    </row>
    <row r="1591">
      <c r="E1591" s="1" t="s">
        <v>3219</v>
      </c>
      <c r="F1591" s="6" t="str">
        <f>IFERROR(__xludf.DUMMYFUNCTION("""COMPUTED_VALUE"""),"explores")</f>
        <v>explores</v>
      </c>
      <c r="H1591" s="1" t="s">
        <v>4738</v>
      </c>
      <c r="I1591" s="6" t="str">
        <f>IFERROR(__xludf.DUMMYFUNCTION("""COMPUTED_VALUE"""),"daytime")</f>
        <v>daytime</v>
      </c>
      <c r="S1591" s="1" t="s">
        <v>4462</v>
      </c>
      <c r="T1591" s="6" t="str">
        <f>IFERROR(__xludf.DUMMYFUNCTION("""COMPUTED_VALUE"""),"troubled")</f>
        <v>troubled</v>
      </c>
      <c r="W1591" s="8"/>
      <c r="AJ1591" s="1" t="s">
        <v>4739</v>
      </c>
      <c r="AM1591" s="1" t="s">
        <v>4205</v>
      </c>
    </row>
    <row r="1592">
      <c r="E1592" s="1" t="s">
        <v>3636</v>
      </c>
      <c r="F1592" s="6" t="str">
        <f>IFERROR(__xludf.DUMMYFUNCTION("""COMPUTED_VALUE"""),"reinforcement")</f>
        <v>reinforcement</v>
      </c>
      <c r="H1592" s="1" t="s">
        <v>2732</v>
      </c>
      <c r="I1592" s="6" t="str">
        <f>IFERROR(__xludf.DUMMYFUNCTION("""COMPUTED_VALUE"""),"derived")</f>
        <v>derived</v>
      </c>
      <c r="S1592" s="1" t="s">
        <v>767</v>
      </c>
      <c r="T1592" s="6" t="str">
        <f>IFERROR(__xludf.DUMMYFUNCTION("""COMPUTED_VALUE"""),"sly")</f>
        <v>sly</v>
      </c>
      <c r="W1592" s="8"/>
      <c r="AJ1592" s="1" t="s">
        <v>4740</v>
      </c>
      <c r="AM1592" s="1" t="s">
        <v>4741</v>
      </c>
    </row>
    <row r="1593">
      <c r="E1593" s="1" t="s">
        <v>2017</v>
      </c>
      <c r="F1593" s="6" t="str">
        <f>IFERROR(__xludf.DUMMYFUNCTION("""COMPUTED_VALUE"""),"distinguish")</f>
        <v>distinguish</v>
      </c>
      <c r="H1593" s="1" t="s">
        <v>4066</v>
      </c>
      <c r="I1593" s="6" t="str">
        <f>IFERROR(__xludf.DUMMYFUNCTION("""COMPUTED_VALUE"""),"victims")</f>
        <v>victims</v>
      </c>
      <c r="S1593" s="1" t="s">
        <v>4742</v>
      </c>
      <c r="T1593" s="6" t="str">
        <f>IFERROR(__xludf.DUMMYFUNCTION("""COMPUTED_VALUE"""),"spears")</f>
        <v>spears</v>
      </c>
      <c r="W1593" s="8"/>
      <c r="AJ1593" s="1" t="s">
        <v>4743</v>
      </c>
      <c r="AM1593" s="1" t="s">
        <v>3548</v>
      </c>
    </row>
    <row r="1594">
      <c r="E1594" s="1" t="s">
        <v>1302</v>
      </c>
      <c r="F1594" s="6" t="str">
        <f>IFERROR(__xludf.DUMMYFUNCTION("""COMPUTED_VALUE"""),"exploit")</f>
        <v>exploit</v>
      </c>
      <c r="H1594" s="1" t="s">
        <v>4744</v>
      </c>
      <c r="I1594" s="6" t="str">
        <f>IFERROR(__xludf.DUMMYFUNCTION("""COMPUTED_VALUE"""),"proceedings")</f>
        <v>proceedings</v>
      </c>
      <c r="S1594" s="1" t="s">
        <v>2336</v>
      </c>
      <c r="T1594" s="6" t="str">
        <f>IFERROR(__xludf.DUMMYFUNCTION("""COMPUTED_VALUE"""),"emerges")</f>
        <v>emerges</v>
      </c>
      <c r="W1594" s="8"/>
      <c r="AJ1594" s="1" t="s">
        <v>4745</v>
      </c>
      <c r="AM1594" s="1" t="s">
        <v>1597</v>
      </c>
    </row>
    <row r="1595">
      <c r="E1595" s="1" t="s">
        <v>4430</v>
      </c>
      <c r="F1595" s="6" t="str">
        <f>IFERROR(__xludf.DUMMYFUNCTION("""COMPUTED_VALUE"""),"holocaust")</f>
        <v>holocaust</v>
      </c>
      <c r="H1595" s="1" t="s">
        <v>4557</v>
      </c>
      <c r="I1595" s="6" t="str">
        <f>IFERROR(__xludf.DUMMYFUNCTION("""COMPUTED_VALUE"""),"adds")</f>
        <v>adds</v>
      </c>
      <c r="S1595" s="1" t="s">
        <v>4549</v>
      </c>
      <c r="T1595" s="6" t="str">
        <f>IFERROR(__xludf.DUMMYFUNCTION("""COMPUTED_VALUE"""),"smash")</f>
        <v>smash</v>
      </c>
      <c r="W1595" s="8"/>
      <c r="AJ1595" s="1" t="s">
        <v>2975</v>
      </c>
      <c r="AM1595" s="1" t="s">
        <v>2849</v>
      </c>
    </row>
    <row r="1596">
      <c r="E1596" s="1" t="s">
        <v>1927</v>
      </c>
      <c r="F1596" s="6" t="str">
        <f>IFERROR(__xludf.DUMMYFUNCTION("""COMPUTED_VALUE"""),"streamed")</f>
        <v>streamed</v>
      </c>
      <c r="H1596" s="1" t="s">
        <v>4068</v>
      </c>
      <c r="I1596" s="6" t="str">
        <f>IFERROR(__xludf.DUMMYFUNCTION("""COMPUTED_VALUE"""),"solemn")</f>
        <v>solemn</v>
      </c>
      <c r="S1596" s="1" t="s">
        <v>1806</v>
      </c>
      <c r="T1596" s="6" t="str">
        <f>IFERROR(__xludf.DUMMYFUNCTION("""COMPUTED_VALUE"""),"tales")</f>
        <v>tales</v>
      </c>
      <c r="W1596" s="8"/>
      <c r="AJ1596" s="1" t="s">
        <v>4746</v>
      </c>
      <c r="AM1596" s="1" t="s">
        <v>4209</v>
      </c>
    </row>
    <row r="1597">
      <c r="E1597" s="1" t="s">
        <v>3223</v>
      </c>
      <c r="F1597" s="6" t="str">
        <f>IFERROR(__xludf.DUMMYFUNCTION("""COMPUTED_VALUE"""),"iran")</f>
        <v>iran</v>
      </c>
      <c r="H1597" s="1" t="s">
        <v>1896</v>
      </c>
      <c r="I1597" s="6" t="str">
        <f>IFERROR(__xludf.DUMMYFUNCTION("""COMPUTED_VALUE"""),"improvement")</f>
        <v>improvement</v>
      </c>
      <c r="S1597" s="1" t="s">
        <v>2100</v>
      </c>
      <c r="T1597" s="6" t="str">
        <f>IFERROR(__xludf.DUMMYFUNCTION("""COMPUTED_VALUE"""),"deaths")</f>
        <v>deaths</v>
      </c>
      <c r="W1597" s="8"/>
      <c r="AJ1597" s="1" t="s">
        <v>2978</v>
      </c>
      <c r="AM1597" s="1" t="s">
        <v>1666</v>
      </c>
    </row>
    <row r="1598">
      <c r="E1598" s="1" t="s">
        <v>2021</v>
      </c>
      <c r="F1598" s="6" t="str">
        <f>IFERROR(__xludf.DUMMYFUNCTION("""COMPUTED_VALUE"""),"facades")</f>
        <v>facades</v>
      </c>
      <c r="H1598" s="1" t="s">
        <v>2868</v>
      </c>
      <c r="I1598" s="6" t="str">
        <f>IFERROR(__xludf.DUMMYFUNCTION("""COMPUTED_VALUE"""),"soldiers")</f>
        <v>soldiers</v>
      </c>
      <c r="S1598" s="1" t="s">
        <v>2969</v>
      </c>
      <c r="T1598" s="6" t="str">
        <f>IFERROR(__xludf.DUMMYFUNCTION("""COMPUTED_VALUE"""),"cannon")</f>
        <v>cannon</v>
      </c>
      <c r="W1598" s="8"/>
      <c r="AJ1598" s="1" t="s">
        <v>4747</v>
      </c>
      <c r="AM1598" s="1" t="s">
        <v>4161</v>
      </c>
    </row>
    <row r="1599">
      <c r="E1599" s="1" t="s">
        <v>3666</v>
      </c>
      <c r="F1599" s="6" t="str">
        <f>IFERROR(__xludf.DUMMYFUNCTION("""COMPUTED_VALUE"""),"anchors")</f>
        <v>anchors</v>
      </c>
      <c r="H1599" s="1" t="s">
        <v>2874</v>
      </c>
      <c r="I1599" s="6" t="str">
        <f>IFERROR(__xludf.DUMMYFUNCTION("""COMPUTED_VALUE"""),"spiked")</f>
        <v>spiked</v>
      </c>
      <c r="S1599" s="1" t="s">
        <v>2639</v>
      </c>
      <c r="T1599" s="6" t="str">
        <f>IFERROR(__xludf.DUMMYFUNCTION("""COMPUTED_VALUE"""),"ice")</f>
        <v>ice</v>
      </c>
      <c r="W1599" s="8"/>
      <c r="AJ1599" s="1">
        <v>451.0</v>
      </c>
      <c r="AM1599" s="1" t="s">
        <v>3078</v>
      </c>
    </row>
    <row r="1600">
      <c r="E1600" s="1" t="s">
        <v>2025</v>
      </c>
      <c r="F1600" s="6" t="str">
        <f>IFERROR(__xludf.DUMMYFUNCTION("""COMPUTED_VALUE"""),"expects")</f>
        <v>expects</v>
      </c>
      <c r="H1600" s="1" t="s">
        <v>2871</v>
      </c>
      <c r="I1600" s="6" t="str">
        <f>IFERROR(__xludf.DUMMYFUNCTION("""COMPUTED_VALUE"""),"lawrence")</f>
        <v>lawrence</v>
      </c>
      <c r="S1600" s="1" t="s">
        <v>2559</v>
      </c>
      <c r="T1600" s="6" t="str">
        <f>IFERROR(__xludf.DUMMYFUNCTION("""COMPUTED_VALUE"""),"careers")</f>
        <v>careers</v>
      </c>
      <c r="W1600" s="8"/>
      <c r="AJ1600" s="1" t="s">
        <v>1946</v>
      </c>
      <c r="AM1600" s="1" t="s">
        <v>864</v>
      </c>
    </row>
    <row r="1601">
      <c r="E1601" s="1" t="s">
        <v>3227</v>
      </c>
      <c r="F1601" s="6" t="str">
        <f>IFERROR(__xludf.DUMMYFUNCTION("""COMPUTED_VALUE"""),"gloom")</f>
        <v>gloom</v>
      </c>
      <c r="H1601" s="1" t="s">
        <v>4075</v>
      </c>
      <c r="I1601" s="6" t="str">
        <f>IFERROR(__xludf.DUMMYFUNCTION("""COMPUTED_VALUE"""),"textbook")</f>
        <v>textbook</v>
      </c>
      <c r="S1601" s="1" t="s">
        <v>4748</v>
      </c>
      <c r="T1601" s="6" t="str">
        <f>IFERROR(__xludf.DUMMYFUNCTION("""COMPUTED_VALUE"""),"undo")</f>
        <v>undo</v>
      </c>
      <c r="W1601" s="8"/>
      <c r="AJ1601" s="1">
        <v>1957.0</v>
      </c>
      <c r="AM1601" s="1" t="s">
        <v>1611</v>
      </c>
    </row>
    <row r="1602">
      <c r="E1602" s="1" t="s">
        <v>3229</v>
      </c>
      <c r="F1602" s="6" t="str">
        <f>IFERROR(__xludf.DUMMYFUNCTION("""COMPUTED_VALUE"""),"hideous")</f>
        <v>hideous</v>
      </c>
      <c r="H1602" s="1" t="s">
        <v>1466</v>
      </c>
      <c r="I1602" s="6" t="str">
        <f>IFERROR(__xludf.DUMMYFUNCTION("""COMPUTED_VALUE"""),"barbed")</f>
        <v>barbed</v>
      </c>
      <c r="S1602" s="1" t="s">
        <v>857</v>
      </c>
      <c r="T1602" s="6" t="str">
        <f>IFERROR(__xludf.DUMMYFUNCTION("""COMPUTED_VALUE"""),"photo")</f>
        <v>photo</v>
      </c>
      <c r="W1602" s="8"/>
      <c r="AJ1602" s="1" t="s">
        <v>1526</v>
      </c>
      <c r="AM1602" s="1" t="s">
        <v>286</v>
      </c>
    </row>
    <row r="1603">
      <c r="E1603" s="1" t="s">
        <v>4749</v>
      </c>
      <c r="F1603" s="6" t="str">
        <f>IFERROR(__xludf.DUMMYFUNCTION("""COMPUTED_VALUE"""),"throbbing")</f>
        <v>throbbing</v>
      </c>
      <c r="H1603" s="1" t="s">
        <v>2881</v>
      </c>
      <c r="I1603" s="6" t="str">
        <f>IFERROR(__xludf.DUMMYFUNCTION("""COMPUTED_VALUE"""),"riot")</f>
        <v>riot</v>
      </c>
      <c r="S1603" s="1" t="s">
        <v>4750</v>
      </c>
      <c r="T1603" s="6" t="str">
        <f>IFERROR(__xludf.DUMMYFUNCTION("""COMPUTED_VALUE"""),"vastly")</f>
        <v>vastly</v>
      </c>
      <c r="W1603" s="8"/>
      <c r="AJ1603" s="1" t="s">
        <v>644</v>
      </c>
      <c r="AM1603" s="1" t="s">
        <v>1855</v>
      </c>
    </row>
    <row r="1604">
      <c r="E1604" s="1" t="s">
        <v>2028</v>
      </c>
      <c r="F1604" s="6" t="str">
        <f>IFERROR(__xludf.DUMMYFUNCTION("""COMPUTED_VALUE"""),"myth")</f>
        <v>myth</v>
      </c>
      <c r="H1604" s="1" t="s">
        <v>497</v>
      </c>
      <c r="I1604" s="6" t="str">
        <f>IFERROR(__xludf.DUMMYFUNCTION("""COMPUTED_VALUE"""),"operatic")</f>
        <v>operatic</v>
      </c>
      <c r="S1604" s="1" t="s">
        <v>4751</v>
      </c>
      <c r="T1604" s="6" t="str">
        <f>IFERROR(__xludf.DUMMYFUNCTION("""COMPUTED_VALUE"""),"espionage")</f>
        <v>espionage</v>
      </c>
      <c r="W1604" s="8"/>
      <c r="AJ1604" s="1" t="s">
        <v>3878</v>
      </c>
      <c r="AM1604" s="1" t="s">
        <v>1621</v>
      </c>
    </row>
    <row r="1605">
      <c r="E1605" s="1" t="s">
        <v>4358</v>
      </c>
      <c r="F1605" s="6" t="str">
        <f>IFERROR(__xludf.DUMMYFUNCTION("""COMPUTED_VALUE"""),"heroic")</f>
        <v>heroic</v>
      </c>
      <c r="H1605" s="1" t="s">
        <v>2887</v>
      </c>
      <c r="I1605" s="6">
        <f>IFERROR(__xludf.DUMMYFUNCTION("""COMPUTED_VALUE"""),51.0)</f>
        <v>51</v>
      </c>
      <c r="S1605" s="1" t="s">
        <v>2819</v>
      </c>
      <c r="T1605" s="6" t="str">
        <f>IFERROR(__xludf.DUMMYFUNCTION("""COMPUTED_VALUE"""),"lan")</f>
        <v>lan</v>
      </c>
      <c r="W1605" s="8"/>
      <c r="AJ1605" s="1" t="s">
        <v>2984</v>
      </c>
      <c r="AM1605" s="1" t="s">
        <v>3095</v>
      </c>
    </row>
    <row r="1606">
      <c r="E1606" s="1" t="s">
        <v>4752</v>
      </c>
      <c r="F1606" s="6" t="str">
        <f>IFERROR(__xludf.DUMMYFUNCTION("""COMPUTED_VALUE"""),"sprung")</f>
        <v>sprung</v>
      </c>
      <c r="H1606" s="1" t="s">
        <v>811</v>
      </c>
      <c r="I1606" s="6" t="str">
        <f>IFERROR(__xludf.DUMMYFUNCTION("""COMPUTED_VALUE"""),"limbs")</f>
        <v>limbs</v>
      </c>
      <c r="S1606" s="1" t="s">
        <v>4753</v>
      </c>
      <c r="T1606" s="6" t="str">
        <f>IFERROR(__xludf.DUMMYFUNCTION("""COMPUTED_VALUE"""),"understanding")</f>
        <v>understanding</v>
      </c>
      <c r="W1606" s="8"/>
      <c r="AJ1606" s="1" t="s">
        <v>2987</v>
      </c>
      <c r="AM1606" s="1" t="s">
        <v>980</v>
      </c>
    </row>
    <row r="1607">
      <c r="E1607" s="1" t="s">
        <v>3660</v>
      </c>
      <c r="F1607" s="6" t="str">
        <f>IFERROR(__xludf.DUMMYFUNCTION("""COMPUTED_VALUE"""),"humidity")</f>
        <v>humidity</v>
      </c>
      <c r="H1607" s="1" t="s">
        <v>94</v>
      </c>
      <c r="I1607" s="6" t="str">
        <f>IFERROR(__xludf.DUMMYFUNCTION("""COMPUTED_VALUE"""),"suspend")</f>
        <v>suspend</v>
      </c>
      <c r="S1607" s="1" t="s">
        <v>3496</v>
      </c>
      <c r="T1607" s="6" t="str">
        <f>IFERROR(__xludf.DUMMYFUNCTION("""COMPUTED_VALUE"""),"careful")</f>
        <v>careful</v>
      </c>
      <c r="W1607" s="8"/>
      <c r="AJ1607" s="1" t="s">
        <v>4754</v>
      </c>
      <c r="AM1607" s="1" t="s">
        <v>3100</v>
      </c>
    </row>
    <row r="1608">
      <c r="E1608" s="1" t="s">
        <v>3662</v>
      </c>
      <c r="F1608" s="6" t="str">
        <f>IFERROR(__xludf.DUMMYFUNCTION("""COMPUTED_VALUE"""),"expressions")</f>
        <v>expressions</v>
      </c>
      <c r="H1608" s="1" t="s">
        <v>951</v>
      </c>
      <c r="I1608" s="6" t="str">
        <f>IFERROR(__xludf.DUMMYFUNCTION("""COMPUTED_VALUE"""),"disbelief")</f>
        <v>disbelief</v>
      </c>
      <c r="S1608" s="1" t="s">
        <v>4755</v>
      </c>
      <c r="T1608" s="6" t="str">
        <f>IFERROR(__xludf.DUMMYFUNCTION("""COMPUTED_VALUE"""),"merchant")</f>
        <v>merchant</v>
      </c>
      <c r="W1608" s="8"/>
      <c r="AJ1608" s="1" t="s">
        <v>2989</v>
      </c>
      <c r="AM1608" s="1" t="s">
        <v>1627</v>
      </c>
    </row>
    <row r="1609">
      <c r="E1609" s="1" t="s">
        <v>1023</v>
      </c>
      <c r="F1609" s="6" t="str">
        <f>IFERROR(__xludf.DUMMYFUNCTION("""COMPUTED_VALUE"""),"award")</f>
        <v>award</v>
      </c>
      <c r="H1609" s="1" t="s">
        <v>4083</v>
      </c>
      <c r="I1609" s="6" t="str">
        <f>IFERROR(__xludf.DUMMYFUNCTION("""COMPUTED_VALUE"""),"traditions")</f>
        <v>traditions</v>
      </c>
      <c r="S1609" s="1" t="s">
        <v>2592</v>
      </c>
      <c r="T1609" s="6" t="str">
        <f>IFERROR(__xludf.DUMMYFUNCTION("""COMPUTED_VALUE"""),"hooks")</f>
        <v>hooks</v>
      </c>
      <c r="W1609" s="8"/>
      <c r="AJ1609" s="1" t="s">
        <v>2993</v>
      </c>
      <c r="AM1609" s="1" t="s">
        <v>3107</v>
      </c>
    </row>
    <row r="1610">
      <c r="E1610" s="1">
        <v>1993.0</v>
      </c>
      <c r="F1610" s="6" t="str">
        <f>IFERROR(__xludf.DUMMYFUNCTION("""COMPUTED_VALUE"""),"appearing")</f>
        <v>appearing</v>
      </c>
      <c r="H1610" s="1" t="s">
        <v>639</v>
      </c>
      <c r="I1610" s="6" t="str">
        <f>IFERROR(__xludf.DUMMYFUNCTION("""COMPUTED_VALUE"""),"pbs")</f>
        <v>pbs</v>
      </c>
      <c r="S1610" s="1" t="s">
        <v>2603</v>
      </c>
      <c r="T1610" s="6" t="str">
        <f>IFERROR(__xludf.DUMMYFUNCTION("""COMPUTED_VALUE"""),"flaw")</f>
        <v>flaw</v>
      </c>
      <c r="W1610" s="8"/>
      <c r="AJ1610" s="1" t="s">
        <v>4756</v>
      </c>
      <c r="AM1610" s="1" t="s">
        <v>2862</v>
      </c>
    </row>
    <row r="1611">
      <c r="E1611" s="1" t="s">
        <v>2032</v>
      </c>
      <c r="F1611" s="6" t="str">
        <f>IFERROR(__xludf.DUMMYFUNCTION("""COMPUTED_VALUE"""),"televised")</f>
        <v>televised</v>
      </c>
      <c r="H1611" s="1" t="s">
        <v>2747</v>
      </c>
      <c r="I1611" s="6" t="str">
        <f>IFERROR(__xludf.DUMMYFUNCTION("""COMPUTED_VALUE"""),"merits")</f>
        <v>merits</v>
      </c>
      <c r="S1611" s="1" t="s">
        <v>4757</v>
      </c>
      <c r="T1611" s="6" t="str">
        <f>IFERROR(__xludf.DUMMYFUNCTION("""COMPUTED_VALUE"""),"oliver")</f>
        <v>oliver</v>
      </c>
      <c r="W1611" s="8"/>
      <c r="AJ1611" s="1" t="s">
        <v>2997</v>
      </c>
      <c r="AM1611" s="1" t="s">
        <v>3115</v>
      </c>
    </row>
    <row r="1612">
      <c r="E1612" s="1" t="s">
        <v>2033</v>
      </c>
      <c r="F1612" s="6" t="str">
        <f>IFERROR(__xludf.DUMMYFUNCTION("""COMPUTED_VALUE"""),"chord")</f>
        <v>chord</v>
      </c>
      <c r="H1612" s="1" t="s">
        <v>4088</v>
      </c>
      <c r="I1612" s="6" t="str">
        <f>IFERROR(__xludf.DUMMYFUNCTION("""COMPUTED_VALUE"""),"field")</f>
        <v>field</v>
      </c>
      <c r="S1612" s="1" t="s">
        <v>4758</v>
      </c>
      <c r="T1612" s="6" t="str">
        <f>IFERROR(__xludf.DUMMYFUNCTION("""COMPUTED_VALUE"""),"lens")</f>
        <v>lens</v>
      </c>
      <c r="W1612" s="8"/>
      <c r="AJ1612" s="1" t="s">
        <v>4759</v>
      </c>
      <c r="AM1612" s="1" t="s">
        <v>4226</v>
      </c>
    </row>
    <row r="1613">
      <c r="E1613" s="1" t="s">
        <v>4760</v>
      </c>
      <c r="F1613" s="6" t="str">
        <f>IFERROR(__xludf.DUMMYFUNCTION("""COMPUTED_VALUE"""),"morals")</f>
        <v>morals</v>
      </c>
      <c r="H1613" s="1" t="s">
        <v>616</v>
      </c>
      <c r="I1613" s="6" t="str">
        <f>IFERROR(__xludf.DUMMYFUNCTION("""COMPUTED_VALUE"""),"dreadful")</f>
        <v>dreadful</v>
      </c>
      <c r="S1613" s="1" t="s">
        <v>903</v>
      </c>
      <c r="T1613" s="6" t="str">
        <f>IFERROR(__xludf.DUMMYFUNCTION("""COMPUTED_VALUE"""),"irresistible")</f>
        <v>irresistible</v>
      </c>
      <c r="W1613" s="8"/>
      <c r="AJ1613" s="1" t="s">
        <v>3002</v>
      </c>
      <c r="AM1613" s="1" t="s">
        <v>1389</v>
      </c>
    </row>
    <row r="1614">
      <c r="E1614" s="1" t="s">
        <v>1677</v>
      </c>
      <c r="F1614" s="6" t="str">
        <f>IFERROR(__xludf.DUMMYFUNCTION("""COMPUTED_VALUE"""),"chronicle")</f>
        <v>chronicle</v>
      </c>
      <c r="H1614" s="1" t="s">
        <v>242</v>
      </c>
      <c r="I1614" s="6" t="str">
        <f>IFERROR(__xludf.DUMMYFUNCTION("""COMPUTED_VALUE"""),"contradictory")</f>
        <v>contradictory</v>
      </c>
      <c r="S1614" s="1" t="s">
        <v>2478</v>
      </c>
      <c r="T1614" s="6" t="str">
        <f>IFERROR(__xludf.DUMMYFUNCTION("""COMPUTED_VALUE"""),"saddam")</f>
        <v>saddam</v>
      </c>
      <c r="W1614" s="8"/>
      <c r="AJ1614" s="1" t="s">
        <v>1729</v>
      </c>
      <c r="AM1614" s="1" t="s">
        <v>1010</v>
      </c>
    </row>
    <row r="1615">
      <c r="E1615" s="1" t="s">
        <v>3672</v>
      </c>
      <c r="F1615" s="6" t="str">
        <f>IFERROR(__xludf.DUMMYFUNCTION("""COMPUTED_VALUE"""),"parker")</f>
        <v>parker</v>
      </c>
      <c r="H1615" s="1" t="s">
        <v>1486</v>
      </c>
      <c r="I1615" s="6" t="str">
        <f>IFERROR(__xludf.DUMMYFUNCTION("""COMPUTED_VALUE"""),"tongue")</f>
        <v>tongue</v>
      </c>
      <c r="S1615" s="1" t="s">
        <v>4761</v>
      </c>
      <c r="T1615" s="6" t="str">
        <f>IFERROR(__xludf.DUMMYFUNCTION("""COMPUTED_VALUE"""),"permission")</f>
        <v>permission</v>
      </c>
      <c r="W1615" s="8"/>
      <c r="AJ1615" s="1" t="s">
        <v>4762</v>
      </c>
      <c r="AM1615" s="1" t="s">
        <v>870</v>
      </c>
    </row>
    <row r="1616">
      <c r="E1616" s="1" t="s">
        <v>4763</v>
      </c>
      <c r="F1616" s="6" t="str">
        <f>IFERROR(__xludf.DUMMYFUNCTION("""COMPUTED_VALUE"""),"flowering")</f>
        <v>flowering</v>
      </c>
      <c r="H1616" s="1" t="s">
        <v>4764</v>
      </c>
      <c r="I1616" s="6" t="str">
        <f>IFERROR(__xludf.DUMMYFUNCTION("""COMPUTED_VALUE"""),"approaches")</f>
        <v>approaches</v>
      </c>
      <c r="S1616" s="1" t="s">
        <v>4765</v>
      </c>
      <c r="T1616" s="6" t="str">
        <f>IFERROR(__xludf.DUMMYFUNCTION("""COMPUTED_VALUE"""),"operative")</f>
        <v>operative</v>
      </c>
      <c r="W1616" s="8"/>
      <c r="AJ1616" s="1" t="s">
        <v>4766</v>
      </c>
      <c r="AM1616" s="1" t="s">
        <v>4240</v>
      </c>
    </row>
    <row r="1617">
      <c r="E1617" s="1" t="s">
        <v>2036</v>
      </c>
      <c r="F1617" s="6" t="str">
        <f>IFERROR(__xludf.DUMMYFUNCTION("""COMPUTED_VALUE"""),"testosterone")</f>
        <v>testosterone</v>
      </c>
      <c r="H1617" s="1" t="s">
        <v>4588</v>
      </c>
      <c r="I1617" s="6" t="str">
        <f>IFERROR(__xludf.DUMMYFUNCTION("""COMPUTED_VALUE"""),"effortlessly")</f>
        <v>effortlessly</v>
      </c>
      <c r="S1617" s="1" t="s">
        <v>4767</v>
      </c>
      <c r="T1617" s="6" t="str">
        <f>IFERROR(__xludf.DUMMYFUNCTION("""COMPUTED_VALUE"""),"filter")</f>
        <v>filter</v>
      </c>
      <c r="W1617" s="8"/>
      <c r="AJ1617" s="1" t="s">
        <v>4768</v>
      </c>
      <c r="AM1617" s="1" t="s">
        <v>1017</v>
      </c>
    </row>
    <row r="1618">
      <c r="E1618" s="1" t="s">
        <v>3676</v>
      </c>
      <c r="F1618" s="6" t="str">
        <f>IFERROR(__xludf.DUMMYFUNCTION("""COMPUTED_VALUE"""),"serials")</f>
        <v>serials</v>
      </c>
      <c r="H1618" s="1" t="s">
        <v>4094</v>
      </c>
      <c r="I1618" s="6" t="str">
        <f>IFERROR(__xludf.DUMMYFUNCTION("""COMPUTED_VALUE"""),"straining")</f>
        <v>straining</v>
      </c>
      <c r="S1618" s="1" t="s">
        <v>286</v>
      </c>
      <c r="T1618" s="6" t="str">
        <f>IFERROR(__xludf.DUMMYFUNCTION("""COMPUTED_VALUE"""),"exposition")</f>
        <v>exposition</v>
      </c>
      <c r="W1618" s="8"/>
      <c r="AJ1618" s="1" t="s">
        <v>4769</v>
      </c>
      <c r="AM1618" s="1" t="s">
        <v>4770</v>
      </c>
    </row>
    <row r="1619">
      <c r="E1619" s="1" t="s">
        <v>3678</v>
      </c>
      <c r="F1619" s="6" t="str">
        <f>IFERROR(__xludf.DUMMYFUNCTION("""COMPUTED_VALUE"""),"slender")</f>
        <v>slender</v>
      </c>
      <c r="H1619" s="1" t="s">
        <v>817</v>
      </c>
      <c r="I1619" s="6">
        <f>IFERROR(__xludf.DUMMYFUNCTION("""COMPUTED_VALUE"""),50.0)</f>
        <v>50</v>
      </c>
      <c r="S1619" s="1" t="s">
        <v>3906</v>
      </c>
      <c r="T1619" s="6" t="str">
        <f>IFERROR(__xludf.DUMMYFUNCTION("""COMPUTED_VALUE"""),"losing")</f>
        <v>losing</v>
      </c>
      <c r="W1619" s="8"/>
      <c r="AJ1619" s="1" t="s">
        <v>3004</v>
      </c>
      <c r="AM1619" s="1" t="s">
        <v>3122</v>
      </c>
    </row>
    <row r="1620">
      <c r="E1620" s="1" t="s">
        <v>3538</v>
      </c>
      <c r="F1620" s="6" t="str">
        <f>IFERROR(__xludf.DUMMYFUNCTION("""COMPUTED_VALUE"""),"kaufman")</f>
        <v>kaufman</v>
      </c>
      <c r="H1620" s="1" t="s">
        <v>4098</v>
      </c>
      <c r="I1620" s="6" t="str">
        <f>IFERROR(__xludf.DUMMYFUNCTION("""COMPUTED_VALUE"""),"sparks")</f>
        <v>sparks</v>
      </c>
      <c r="S1620" s="1" t="s">
        <v>3043</v>
      </c>
      <c r="T1620" s="6" t="str">
        <f>IFERROR(__xludf.DUMMYFUNCTION("""COMPUTED_VALUE"""),"chemistry")</f>
        <v>chemistry</v>
      </c>
      <c r="W1620" s="8"/>
      <c r="AJ1620" s="1" t="s">
        <v>4771</v>
      </c>
      <c r="AM1620" s="1" t="s">
        <v>4248</v>
      </c>
    </row>
    <row r="1621">
      <c r="E1621" s="1" t="s">
        <v>781</v>
      </c>
      <c r="F1621" s="6" t="str">
        <f>IFERROR(__xludf.DUMMYFUNCTION("""COMPUTED_VALUE"""),"masculine")</f>
        <v>masculine</v>
      </c>
      <c r="H1621" s="1" t="s">
        <v>3941</v>
      </c>
      <c r="I1621" s="6" t="str">
        <f>IFERROR(__xludf.DUMMYFUNCTION("""COMPUTED_VALUE"""),"intimidated")</f>
        <v>intimidated</v>
      </c>
      <c r="S1621" s="1" t="s">
        <v>4772</v>
      </c>
      <c r="T1621" s="6" t="str">
        <f>IFERROR(__xludf.DUMMYFUNCTION("""COMPUTED_VALUE"""),"tremble")</f>
        <v>tremble</v>
      </c>
      <c r="W1621" s="8"/>
      <c r="AJ1621" s="1" t="s">
        <v>3007</v>
      </c>
      <c r="AM1621" s="1" t="s">
        <v>4773</v>
      </c>
    </row>
    <row r="1622">
      <c r="E1622" s="1" t="s">
        <v>2350</v>
      </c>
      <c r="F1622" s="6" t="str">
        <f>IFERROR(__xludf.DUMMYFUNCTION("""COMPUTED_VALUE"""),"humanist")</f>
        <v>humanist</v>
      </c>
      <c r="H1622" s="1" t="s">
        <v>1494</v>
      </c>
      <c r="I1622" s="6" t="str">
        <f>IFERROR(__xludf.DUMMYFUNCTION("""COMPUTED_VALUE"""),"cumulative")</f>
        <v>cumulative</v>
      </c>
      <c r="S1622" s="1" t="s">
        <v>1878</v>
      </c>
      <c r="T1622" s="6" t="str">
        <f>IFERROR(__xludf.DUMMYFUNCTION("""COMPUTED_VALUE"""),"gibson")</f>
        <v>gibson</v>
      </c>
      <c r="W1622" s="8"/>
      <c r="AJ1622" s="1" t="s">
        <v>4774</v>
      </c>
      <c r="AM1622" s="1" t="s">
        <v>67</v>
      </c>
    </row>
    <row r="1623">
      <c r="E1623" s="1" t="s">
        <v>4775</v>
      </c>
      <c r="F1623" s="6" t="str">
        <f>IFERROR(__xludf.DUMMYFUNCTION("""COMPUTED_VALUE"""),"adaptations")</f>
        <v>adaptations</v>
      </c>
      <c r="H1623" s="1" t="s">
        <v>2766</v>
      </c>
      <c r="I1623" s="6" t="str">
        <f>IFERROR(__xludf.DUMMYFUNCTION("""COMPUTED_VALUE"""),"visionary")</f>
        <v>visionary</v>
      </c>
      <c r="S1623" s="1" t="s">
        <v>4776</v>
      </c>
      <c r="T1623" s="6" t="str">
        <f>IFERROR(__xludf.DUMMYFUNCTION("""COMPUTED_VALUE"""),"willis")</f>
        <v>willis</v>
      </c>
      <c r="W1623" s="8"/>
      <c r="AJ1623" s="1" t="s">
        <v>4673</v>
      </c>
      <c r="AM1623" s="1" t="s">
        <v>3126</v>
      </c>
    </row>
    <row r="1624">
      <c r="E1624" s="1" t="s">
        <v>2043</v>
      </c>
      <c r="F1624" s="6" t="str">
        <f>IFERROR(__xludf.DUMMYFUNCTION("""COMPUTED_VALUE"""),"satin")</f>
        <v>satin</v>
      </c>
      <c r="H1624" s="1" t="s">
        <v>4470</v>
      </c>
      <c r="I1624" s="6" t="str">
        <f>IFERROR(__xludf.DUMMYFUNCTION("""COMPUTED_VALUE"""),"creed")</f>
        <v>creed</v>
      </c>
      <c r="S1624" s="1" t="s">
        <v>4777</v>
      </c>
      <c r="T1624" s="6" t="str">
        <f>IFERROR(__xludf.DUMMYFUNCTION("""COMPUTED_VALUE"""),"creators")</f>
        <v>creators</v>
      </c>
      <c r="W1624" s="8"/>
      <c r="AJ1624" s="1" t="s">
        <v>4778</v>
      </c>
      <c r="AM1624" s="1" t="s">
        <v>1594</v>
      </c>
    </row>
    <row r="1625">
      <c r="E1625" s="1" t="s">
        <v>4779</v>
      </c>
      <c r="F1625" s="6" t="str">
        <f>IFERROR(__xludf.DUMMYFUNCTION("""COMPUTED_VALUE"""),"integrated")</f>
        <v>integrated</v>
      </c>
      <c r="H1625" s="1" t="s">
        <v>2919</v>
      </c>
      <c r="I1625" s="6" t="str">
        <f>IFERROR(__xludf.DUMMYFUNCTION("""COMPUTED_VALUE"""),"ferrara")</f>
        <v>ferrara</v>
      </c>
      <c r="S1625" s="1" t="s">
        <v>4780</v>
      </c>
      <c r="T1625" s="6" t="str">
        <f>IFERROR(__xludf.DUMMYFUNCTION("""COMPUTED_VALUE"""),"slap")</f>
        <v>slap</v>
      </c>
      <c r="W1625" s="8"/>
      <c r="AJ1625" s="1" t="s">
        <v>4781</v>
      </c>
      <c r="AM1625" s="1" t="s">
        <v>1030</v>
      </c>
    </row>
    <row r="1626">
      <c r="E1626" s="1" t="s">
        <v>758</v>
      </c>
      <c r="F1626" s="6" t="str">
        <f>IFERROR(__xludf.DUMMYFUNCTION("""COMPUTED_VALUE"""),"speculative")</f>
        <v>speculative</v>
      </c>
      <c r="H1626" s="1" t="s">
        <v>1501</v>
      </c>
      <c r="I1626" s="6" t="str">
        <f>IFERROR(__xludf.DUMMYFUNCTION("""COMPUTED_VALUE"""),"abel")</f>
        <v>abel</v>
      </c>
      <c r="S1626" s="1" t="s">
        <v>4782</v>
      </c>
      <c r="T1626" s="6" t="str">
        <f>IFERROR(__xludf.DUMMYFUNCTION("""COMPUTED_VALUE"""),"wrestling")</f>
        <v>wrestling</v>
      </c>
      <c r="W1626" s="8"/>
      <c r="AJ1626" s="1" t="s">
        <v>4783</v>
      </c>
      <c r="AM1626" s="1" t="s">
        <v>886</v>
      </c>
    </row>
    <row r="1627">
      <c r="E1627" s="1" t="s">
        <v>1028</v>
      </c>
      <c r="F1627" s="6" t="str">
        <f>IFERROR(__xludf.DUMMYFUNCTION("""COMPUTED_VALUE"""),"successes")</f>
        <v>successes</v>
      </c>
      <c r="H1627" s="1" t="s">
        <v>2927</v>
      </c>
      <c r="I1627" s="6" t="str">
        <f>IFERROR(__xludf.DUMMYFUNCTION("""COMPUTED_VALUE"""),"reliance")</f>
        <v>reliance</v>
      </c>
      <c r="S1627" s="1" t="s">
        <v>4784</v>
      </c>
      <c r="T1627" s="6" t="str">
        <f>IFERROR(__xludf.DUMMYFUNCTION("""COMPUTED_VALUE"""),"doomed")</f>
        <v>doomed</v>
      </c>
      <c r="W1627" s="8"/>
      <c r="AJ1627" s="1" t="s">
        <v>3008</v>
      </c>
      <c r="AM1627" s="1" t="s">
        <v>4785</v>
      </c>
    </row>
    <row r="1628">
      <c r="E1628" s="1" t="s">
        <v>4786</v>
      </c>
      <c r="F1628" s="6" t="str">
        <f>IFERROR(__xludf.DUMMYFUNCTION("""COMPUTED_VALUE"""),"store")</f>
        <v>store</v>
      </c>
      <c r="H1628" s="1" t="s">
        <v>2930</v>
      </c>
      <c r="I1628" s="6" t="str">
        <f>IFERROR(__xludf.DUMMYFUNCTION("""COMPUTED_VALUE"""),"weighted")</f>
        <v>weighted</v>
      </c>
      <c r="S1628" s="1" t="s">
        <v>4787</v>
      </c>
      <c r="T1628" s="6" t="str">
        <f>IFERROR(__xludf.DUMMYFUNCTION("""COMPUTED_VALUE"""),"weep")</f>
        <v>weep</v>
      </c>
      <c r="W1628" s="8"/>
      <c r="AJ1628" s="1" t="s">
        <v>3898</v>
      </c>
      <c r="AM1628" s="1" t="s">
        <v>4685</v>
      </c>
    </row>
    <row r="1629">
      <c r="E1629" s="1" t="s">
        <v>3692</v>
      </c>
      <c r="F1629" s="6" t="str">
        <f>IFERROR(__xludf.DUMMYFUNCTION("""COMPUTED_VALUE"""),"characterized")</f>
        <v>characterized</v>
      </c>
      <c r="H1629" s="1" t="s">
        <v>2934</v>
      </c>
      <c r="I1629" s="6" t="str">
        <f>IFERROR(__xludf.DUMMYFUNCTION("""COMPUTED_VALUE"""),"toilet")</f>
        <v>toilet</v>
      </c>
      <c r="S1629" s="1" t="s">
        <v>4788</v>
      </c>
      <c r="T1629" s="6" t="str">
        <f>IFERROR(__xludf.DUMMYFUNCTION("""COMPUTED_VALUE"""),"edward")</f>
        <v>edward</v>
      </c>
      <c r="W1629" s="8"/>
      <c r="AJ1629" s="1" t="s">
        <v>3012</v>
      </c>
      <c r="AM1629" s="1" t="s">
        <v>4789</v>
      </c>
    </row>
    <row r="1630">
      <c r="E1630" s="1" t="s">
        <v>1342</v>
      </c>
      <c r="F1630" s="6" t="str">
        <f>IFERROR(__xludf.DUMMYFUNCTION("""COMPUTED_VALUE"""),"post")</f>
        <v>post</v>
      </c>
      <c r="H1630" s="1" t="s">
        <v>2939</v>
      </c>
      <c r="I1630" s="6" t="str">
        <f>IFERROR(__xludf.DUMMYFUNCTION("""COMPUTED_VALUE"""),"academy")</f>
        <v>academy</v>
      </c>
      <c r="S1630" s="1" t="s">
        <v>4790</v>
      </c>
      <c r="T1630" s="6" t="str">
        <f>IFERROR(__xludf.DUMMYFUNCTION("""COMPUTED_VALUE"""),"nation")</f>
        <v>nation</v>
      </c>
      <c r="W1630" s="8"/>
      <c r="AJ1630" s="1" t="s">
        <v>3018</v>
      </c>
      <c r="AM1630" s="1" t="s">
        <v>1036</v>
      </c>
    </row>
    <row r="1631">
      <c r="E1631" s="1" t="s">
        <v>4791</v>
      </c>
      <c r="F1631" s="6" t="str">
        <f>IFERROR(__xludf.DUMMYFUNCTION("""COMPUTED_VALUE"""),"cardiac")</f>
        <v>cardiac</v>
      </c>
      <c r="H1631" s="1" t="s">
        <v>1508</v>
      </c>
      <c r="I1631" s="6" t="str">
        <f>IFERROR(__xludf.DUMMYFUNCTION("""COMPUTED_VALUE"""),"equation")</f>
        <v>equation</v>
      </c>
      <c r="S1631" s="1" t="s">
        <v>3922</v>
      </c>
      <c r="T1631" s="6" t="str">
        <f>IFERROR(__xludf.DUMMYFUNCTION("""COMPUTED_VALUE"""),"flavor")</f>
        <v>flavor</v>
      </c>
      <c r="W1631" s="8"/>
      <c r="AJ1631" s="1" t="s">
        <v>4792</v>
      </c>
      <c r="AM1631" s="1" t="s">
        <v>1790</v>
      </c>
    </row>
    <row r="1632">
      <c r="E1632" s="1" t="s">
        <v>4793</v>
      </c>
      <c r="F1632" s="6" t="str">
        <f>IFERROR(__xludf.DUMMYFUNCTION("""COMPUTED_VALUE"""),"marquis")</f>
        <v>marquis</v>
      </c>
      <c r="H1632" s="1" t="s">
        <v>2945</v>
      </c>
      <c r="I1632" s="6" t="str">
        <f>IFERROR(__xludf.DUMMYFUNCTION("""COMPUTED_VALUE"""),"molina")</f>
        <v>molina</v>
      </c>
      <c r="S1632" s="1" t="s">
        <v>3756</v>
      </c>
      <c r="T1632" s="6" t="str">
        <f>IFERROR(__xludf.DUMMYFUNCTION("""COMPUTED_VALUE"""),"measure")</f>
        <v>measure</v>
      </c>
      <c r="W1632" s="8"/>
      <c r="AJ1632" s="1" t="s">
        <v>3021</v>
      </c>
      <c r="AM1632" s="1" t="s">
        <v>2872</v>
      </c>
    </row>
    <row r="1633">
      <c r="E1633" s="1" t="s">
        <v>3694</v>
      </c>
      <c r="F1633" s="6" t="str">
        <f>IFERROR(__xludf.DUMMYFUNCTION("""COMPUTED_VALUE"""),"menace")</f>
        <v>menace</v>
      </c>
      <c r="H1633" s="1" t="s">
        <v>2949</v>
      </c>
      <c r="I1633" s="6" t="str">
        <f>IFERROR(__xludf.DUMMYFUNCTION("""COMPUTED_VALUE"""),"arresting")</f>
        <v>arresting</v>
      </c>
      <c r="S1633" s="1" t="s">
        <v>4794</v>
      </c>
      <c r="T1633" s="6" t="str">
        <f>IFERROR(__xludf.DUMMYFUNCTION("""COMPUTED_VALUE"""),"shining")</f>
        <v>shining</v>
      </c>
      <c r="W1633" s="8"/>
      <c r="AJ1633" s="1" t="s">
        <v>3023</v>
      </c>
      <c r="AM1633" s="1" t="s">
        <v>2875</v>
      </c>
    </row>
    <row r="1634">
      <c r="E1634" s="1" t="s">
        <v>1317</v>
      </c>
      <c r="F1634" s="6" t="str">
        <f>IFERROR(__xludf.DUMMYFUNCTION("""COMPUTED_VALUE"""),"nerves")</f>
        <v>nerves</v>
      </c>
      <c r="H1634" s="1" t="s">
        <v>2953</v>
      </c>
      <c r="I1634" s="6" t="str">
        <f>IFERROR(__xludf.DUMMYFUNCTION("""COMPUTED_VALUE"""),"craven")</f>
        <v>craven</v>
      </c>
      <c r="S1634" s="1" t="s">
        <v>4795</v>
      </c>
      <c r="T1634" s="6" t="str">
        <f>IFERROR(__xludf.DUMMYFUNCTION("""COMPUTED_VALUE"""),"static")</f>
        <v>static</v>
      </c>
      <c r="W1634" s="8"/>
      <c r="AJ1634" s="1" t="s">
        <v>4796</v>
      </c>
      <c r="AM1634" s="1" t="s">
        <v>1042</v>
      </c>
    </row>
    <row r="1635">
      <c r="E1635" s="1" t="s">
        <v>1323</v>
      </c>
      <c r="F1635" s="6" t="str">
        <f>IFERROR(__xludf.DUMMYFUNCTION("""COMPUTED_VALUE"""),"yank")</f>
        <v>yank</v>
      </c>
      <c r="H1635" s="1" t="b">
        <v>0</v>
      </c>
      <c r="I1635" s="6" t="str">
        <f>IFERROR(__xludf.DUMMYFUNCTION("""COMPUTED_VALUE"""),"eighth")</f>
        <v>eighth</v>
      </c>
      <c r="S1635" s="1" t="s">
        <v>3618</v>
      </c>
      <c r="T1635" s="6" t="str">
        <f>IFERROR(__xludf.DUMMYFUNCTION("""COMPUTED_VALUE"""),"photographed")</f>
        <v>photographed</v>
      </c>
      <c r="W1635" s="8"/>
      <c r="AJ1635" s="1" t="s">
        <v>4797</v>
      </c>
      <c r="AM1635" s="1" t="s">
        <v>1940</v>
      </c>
    </row>
    <row r="1636">
      <c r="E1636" s="1" t="s">
        <v>2550</v>
      </c>
      <c r="F1636" s="6" t="str">
        <f>IFERROR(__xludf.DUMMYFUNCTION("""COMPUTED_VALUE"""),"leash")</f>
        <v>leash</v>
      </c>
      <c r="H1636" s="1" t="s">
        <v>2770</v>
      </c>
      <c r="I1636" s="6" t="str">
        <f>IFERROR(__xludf.DUMMYFUNCTION("""COMPUTED_VALUE"""),"soul")</f>
        <v>soul</v>
      </c>
      <c r="S1636" s="1" t="s">
        <v>4798</v>
      </c>
      <c r="T1636" s="6" t="str">
        <f>IFERROR(__xludf.DUMMYFUNCTION("""COMPUTED_VALUE"""),"society")</f>
        <v>society</v>
      </c>
      <c r="W1636" s="8"/>
      <c r="AJ1636" s="1" t="s">
        <v>4799</v>
      </c>
      <c r="AM1636" s="1" t="s">
        <v>1652</v>
      </c>
    </row>
    <row r="1637">
      <c r="E1637" s="1" t="s">
        <v>3501</v>
      </c>
      <c r="F1637" s="6" t="str">
        <f>IFERROR(__xludf.DUMMYFUNCTION("""COMPUTED_VALUE"""),"signals")</f>
        <v>signals</v>
      </c>
      <c r="H1637" s="1" t="s">
        <v>4113</v>
      </c>
      <c r="I1637" s="6" t="str">
        <f>IFERROR(__xludf.DUMMYFUNCTION("""COMPUTED_VALUE"""),"warriors")</f>
        <v>warriors</v>
      </c>
      <c r="S1637" s="1" t="s">
        <v>4800</v>
      </c>
      <c r="T1637" s="6" t="str">
        <f>IFERROR(__xludf.DUMMYFUNCTION("""COMPUTED_VALUE"""),"unprecedented")</f>
        <v>unprecedented</v>
      </c>
      <c r="W1637" s="8"/>
      <c r="AJ1637" s="1" t="s">
        <v>3025</v>
      </c>
      <c r="AM1637" s="1" t="s">
        <v>3134</v>
      </c>
    </row>
    <row r="1638">
      <c r="E1638" s="1" t="s">
        <v>3264</v>
      </c>
      <c r="F1638" s="6" t="str">
        <f>IFERROR(__xludf.DUMMYFUNCTION("""COMPUTED_VALUE"""),"intro")</f>
        <v>intro</v>
      </c>
      <c r="H1638" s="1" t="s">
        <v>4801</v>
      </c>
      <c r="I1638" s="6" t="str">
        <f>IFERROR(__xludf.DUMMYFUNCTION("""COMPUTED_VALUE"""),"transparent")</f>
        <v>transparent</v>
      </c>
      <c r="S1638" s="1" t="s">
        <v>4802</v>
      </c>
      <c r="T1638" s="6" t="str">
        <f>IFERROR(__xludf.DUMMYFUNCTION("""COMPUTED_VALUE"""),"battlefield")</f>
        <v>battlefield</v>
      </c>
      <c r="W1638" s="8"/>
      <c r="AJ1638" s="1" t="s">
        <v>3681</v>
      </c>
      <c r="AM1638" s="1" t="s">
        <v>4803</v>
      </c>
    </row>
    <row r="1639">
      <c r="E1639" s="1" t="s">
        <v>3707</v>
      </c>
      <c r="F1639" s="6" t="str">
        <f>IFERROR(__xludf.DUMMYFUNCTION("""COMPUTED_VALUE"""),"manifesto")</f>
        <v>manifesto</v>
      </c>
      <c r="H1639" s="1" t="s">
        <v>4117</v>
      </c>
      <c r="I1639" s="6" t="str">
        <f>IFERROR(__xludf.DUMMYFUNCTION("""COMPUTED_VALUE"""),"mick")</f>
        <v>mick</v>
      </c>
      <c r="S1639" s="1" t="s">
        <v>4804</v>
      </c>
      <c r="T1639" s="6" t="str">
        <f>IFERROR(__xludf.DUMMYFUNCTION("""COMPUTED_VALUE"""),"drawing")</f>
        <v>drawing</v>
      </c>
      <c r="W1639" s="8"/>
      <c r="AJ1639" s="1" t="s">
        <v>4805</v>
      </c>
      <c r="AM1639" s="1" t="s">
        <v>1661</v>
      </c>
    </row>
    <row r="1640">
      <c r="E1640" s="1" t="s">
        <v>4806</v>
      </c>
      <c r="F1640" s="6" t="str">
        <f>IFERROR(__xludf.DUMMYFUNCTION("""COMPUTED_VALUE"""),"topical")</f>
        <v>topical</v>
      </c>
      <c r="H1640" s="1" t="s">
        <v>4118</v>
      </c>
      <c r="I1640" s="6" t="str">
        <f>IFERROR(__xludf.DUMMYFUNCTION("""COMPUTED_VALUE"""),"accidental")</f>
        <v>accidental</v>
      </c>
      <c r="S1640" s="1" t="s">
        <v>2123</v>
      </c>
      <c r="T1640" s="6" t="str">
        <f>IFERROR(__xludf.DUMMYFUNCTION("""COMPUTED_VALUE"""),"absorb")</f>
        <v>absorb</v>
      </c>
      <c r="W1640" s="8"/>
      <c r="AJ1640" s="1" t="s">
        <v>3028</v>
      </c>
      <c r="AM1640" s="1" t="s">
        <v>2890</v>
      </c>
    </row>
    <row r="1641">
      <c r="E1641" s="1" t="s">
        <v>4807</v>
      </c>
      <c r="F1641" s="6" t="str">
        <f>IFERROR(__xludf.DUMMYFUNCTION("""COMPUTED_VALUE"""),"duel")</f>
        <v>duel</v>
      </c>
      <c r="H1641" s="1" t="s">
        <v>4119</v>
      </c>
      <c r="I1641" s="6" t="str">
        <f>IFERROR(__xludf.DUMMYFUNCTION("""COMPUTED_VALUE"""),"hewitt")</f>
        <v>hewitt</v>
      </c>
      <c r="S1641" s="1" t="s">
        <v>4444</v>
      </c>
      <c r="T1641" s="6" t="str">
        <f>IFERROR(__xludf.DUMMYFUNCTION("""COMPUTED_VALUE"""),"arbitrary")</f>
        <v>arbitrary</v>
      </c>
      <c r="W1641" s="8"/>
      <c r="AJ1641" s="1" t="s">
        <v>1660</v>
      </c>
      <c r="AM1641" s="1" t="s">
        <v>893</v>
      </c>
    </row>
    <row r="1642">
      <c r="E1642" s="1" t="s">
        <v>1328</v>
      </c>
      <c r="F1642" s="6" t="str">
        <f>IFERROR(__xludf.DUMMYFUNCTION("""COMPUTED_VALUE"""),"swiftly")</f>
        <v>swiftly</v>
      </c>
      <c r="H1642" s="1" t="s">
        <v>2962</v>
      </c>
      <c r="I1642" s="6" t="str">
        <f>IFERROR(__xludf.DUMMYFUNCTION("""COMPUTED_VALUE"""),"inadequate")</f>
        <v>inadequate</v>
      </c>
      <c r="S1642" s="1" t="s">
        <v>4808</v>
      </c>
      <c r="T1642" s="6" t="str">
        <f>IFERROR(__xludf.DUMMYFUNCTION("""COMPUTED_VALUE"""),"piercing")</f>
        <v>piercing</v>
      </c>
      <c r="W1642" s="8"/>
      <c r="AJ1642" s="1" t="s">
        <v>4809</v>
      </c>
      <c r="AM1642" s="1" t="s">
        <v>1674</v>
      </c>
    </row>
    <row r="1643">
      <c r="E1643" s="1" t="s">
        <v>4810</v>
      </c>
      <c r="F1643" s="6" t="str">
        <f>IFERROR(__xludf.DUMMYFUNCTION("""COMPUTED_VALUE"""),"wanderers")</f>
        <v>wanderers</v>
      </c>
      <c r="H1643" s="1" t="s">
        <v>4015</v>
      </c>
      <c r="I1643" s="6" t="str">
        <f>IFERROR(__xludf.DUMMYFUNCTION("""COMPUTED_VALUE"""),"adrenaline")</f>
        <v>adrenaline</v>
      </c>
      <c r="S1643" s="1" t="s">
        <v>2607</v>
      </c>
      <c r="T1643" s="6" t="str">
        <f>IFERROR(__xludf.DUMMYFUNCTION("""COMPUTED_VALUE"""),"enters")</f>
        <v>enters</v>
      </c>
      <c r="W1643" s="8"/>
      <c r="AJ1643" s="1" t="s">
        <v>4811</v>
      </c>
      <c r="AM1643" s="1" t="s">
        <v>1679</v>
      </c>
    </row>
    <row r="1644">
      <c r="E1644" s="1" t="s">
        <v>3268</v>
      </c>
      <c r="F1644" s="6" t="str">
        <f>IFERROR(__xludf.DUMMYFUNCTION("""COMPUTED_VALUE"""),"equilibrium")</f>
        <v>equilibrium</v>
      </c>
      <c r="H1644" s="1" t="s">
        <v>4120</v>
      </c>
      <c r="I1644" s="6" t="str">
        <f>IFERROR(__xludf.DUMMYFUNCTION("""COMPUTED_VALUE"""),"giggle")</f>
        <v>giggle</v>
      </c>
      <c r="S1644" s="1" t="s">
        <v>3300</v>
      </c>
      <c r="T1644" s="6" t="str">
        <f>IFERROR(__xludf.DUMMYFUNCTION("""COMPUTED_VALUE"""),"realm")</f>
        <v>realm</v>
      </c>
      <c r="W1644" s="8"/>
      <c r="AJ1644" s="1" t="s">
        <v>3036</v>
      </c>
      <c r="AM1644" s="1" t="s">
        <v>1686</v>
      </c>
    </row>
    <row r="1645">
      <c r="E1645" s="1" t="s">
        <v>4812</v>
      </c>
      <c r="F1645" s="6" t="str">
        <f>IFERROR(__xludf.DUMMYFUNCTION("""COMPUTED_VALUE"""),"calculating")</f>
        <v>calculating</v>
      </c>
      <c r="H1645" s="1" t="s">
        <v>4121</v>
      </c>
      <c r="I1645" s="6" t="str">
        <f>IFERROR(__xludf.DUMMYFUNCTION("""COMPUTED_VALUE"""),"gang")</f>
        <v>gang</v>
      </c>
      <c r="S1645" s="1" t="s">
        <v>4813</v>
      </c>
      <c r="T1645" s="6" t="str">
        <f>IFERROR(__xludf.DUMMYFUNCTION("""COMPUTED_VALUE"""),"accurate")</f>
        <v>accurate</v>
      </c>
      <c r="W1645" s="8"/>
      <c r="AJ1645" s="1" t="s">
        <v>3038</v>
      </c>
      <c r="AM1645" s="1" t="s">
        <v>4267</v>
      </c>
    </row>
    <row r="1646">
      <c r="E1646" s="1" t="s">
        <v>3709</v>
      </c>
      <c r="F1646" s="6" t="str">
        <f>IFERROR(__xludf.DUMMYFUNCTION("""COMPUTED_VALUE"""),"criticizing")</f>
        <v>criticizing</v>
      </c>
      <c r="H1646" s="1" t="s">
        <v>4631</v>
      </c>
      <c r="I1646" s="6" t="str">
        <f>IFERROR(__xludf.DUMMYFUNCTION("""COMPUTED_VALUE"""),"preserving")</f>
        <v>preserving</v>
      </c>
      <c r="S1646" s="1" t="s">
        <v>4814</v>
      </c>
      <c r="T1646" s="6" t="str">
        <f>IFERROR(__xludf.DUMMYFUNCTION("""COMPUTED_VALUE"""),"relevance")</f>
        <v>relevance</v>
      </c>
      <c r="W1646" s="8"/>
      <c r="AJ1646" s="1" t="s">
        <v>4815</v>
      </c>
      <c r="AM1646" s="1" t="s">
        <v>4816</v>
      </c>
    </row>
    <row r="1647">
      <c r="E1647" s="1" t="s">
        <v>3710</v>
      </c>
      <c r="F1647" s="6">
        <f>IFERROR(__xludf.DUMMYFUNCTION("""COMPUTED_VALUE"""),295.0)</f>
        <v>295</v>
      </c>
      <c r="H1647" s="1" t="s">
        <v>2966</v>
      </c>
      <c r="I1647" s="6" t="str">
        <f>IFERROR(__xludf.DUMMYFUNCTION("""COMPUTED_VALUE"""),"tendency")</f>
        <v>tendency</v>
      </c>
      <c r="S1647" s="1" t="s">
        <v>2015</v>
      </c>
      <c r="T1647" s="6" t="str">
        <f>IFERROR(__xludf.DUMMYFUNCTION("""COMPUTED_VALUE"""),"victims")</f>
        <v>victims</v>
      </c>
      <c r="W1647" s="8"/>
      <c r="AJ1647" s="1" t="s">
        <v>4817</v>
      </c>
      <c r="AM1647" s="1" t="s">
        <v>347</v>
      </c>
    </row>
    <row r="1648">
      <c r="E1648" s="1" t="s">
        <v>262</v>
      </c>
      <c r="F1648" s="6">
        <f>IFERROR(__xludf.DUMMYFUNCTION("""COMPUTED_VALUE"""),1958.0)</f>
        <v>1958</v>
      </c>
      <c r="H1648" s="1" t="s">
        <v>2969</v>
      </c>
      <c r="I1648" s="6" t="str">
        <f>IFERROR(__xludf.DUMMYFUNCTION("""COMPUTED_VALUE"""),"superior")</f>
        <v>superior</v>
      </c>
      <c r="S1648" s="1" t="s">
        <v>4818</v>
      </c>
      <c r="T1648" s="6" t="str">
        <f>IFERROR(__xludf.DUMMYFUNCTION("""COMPUTED_VALUE"""),"proceedings")</f>
        <v>proceedings</v>
      </c>
      <c r="W1648" s="8"/>
      <c r="AJ1648" s="1" t="s">
        <v>4819</v>
      </c>
      <c r="AM1648" s="1" t="s">
        <v>3158</v>
      </c>
    </row>
    <row r="1649">
      <c r="E1649" s="1" t="s">
        <v>4820</v>
      </c>
      <c r="F1649" s="6" t="str">
        <f>IFERROR(__xludf.DUMMYFUNCTION("""COMPUTED_VALUE"""),"fingered")</f>
        <v>fingered</v>
      </c>
      <c r="H1649" s="1" t="s">
        <v>2972</v>
      </c>
      <c r="I1649" s="6" t="str">
        <f>IFERROR(__xludf.DUMMYFUNCTION("""COMPUTED_VALUE"""),"lectures")</f>
        <v>lectures</v>
      </c>
      <c r="S1649" s="1" t="s">
        <v>4821</v>
      </c>
      <c r="T1649" s="6" t="str">
        <f>IFERROR(__xludf.DUMMYFUNCTION("""COMPUTED_VALUE"""),"unknown")</f>
        <v>unknown</v>
      </c>
      <c r="W1649" s="8"/>
      <c r="AJ1649" s="1" t="s">
        <v>4822</v>
      </c>
      <c r="AM1649" s="1" t="s">
        <v>4823</v>
      </c>
    </row>
    <row r="1650">
      <c r="E1650" s="1" t="s">
        <v>2971</v>
      </c>
      <c r="F1650" s="6" t="str">
        <f>IFERROR(__xludf.DUMMYFUNCTION("""COMPUTED_VALUE"""),"curiously")</f>
        <v>curiously</v>
      </c>
      <c r="H1650" s="1" t="s">
        <v>2960</v>
      </c>
      <c r="I1650" s="6" t="str">
        <f>IFERROR(__xludf.DUMMYFUNCTION("""COMPUTED_VALUE"""),"vh1")</f>
        <v>vh1</v>
      </c>
      <c r="S1650" s="1" t="s">
        <v>4824</v>
      </c>
      <c r="T1650" s="6" t="str">
        <f>IFERROR(__xludf.DUMMYFUNCTION("""COMPUTED_VALUE"""),"solemn")</f>
        <v>solemn</v>
      </c>
      <c r="W1650" s="8"/>
      <c r="AJ1650" s="1" t="s">
        <v>1667</v>
      </c>
      <c r="AM1650" s="1" t="s">
        <v>4270</v>
      </c>
    </row>
    <row r="1651">
      <c r="E1651" s="1" t="s">
        <v>1341</v>
      </c>
      <c r="F1651" s="6" t="str">
        <f>IFERROR(__xludf.DUMMYFUNCTION("""COMPUTED_VALUE"""),"characterization")</f>
        <v>characterization</v>
      </c>
      <c r="H1651" s="1" t="s">
        <v>1522</v>
      </c>
      <c r="I1651" s="6" t="str">
        <f>IFERROR(__xludf.DUMMYFUNCTION("""COMPUTED_VALUE"""),"terrorist")</f>
        <v>terrorist</v>
      </c>
      <c r="S1651" s="1" t="s">
        <v>4825</v>
      </c>
      <c r="T1651" s="6" t="str">
        <f>IFERROR(__xludf.DUMMYFUNCTION("""COMPUTED_VALUE"""),"weeks")</f>
        <v>weeks</v>
      </c>
      <c r="W1651" s="8"/>
      <c r="AJ1651" s="1" t="s">
        <v>3042</v>
      </c>
      <c r="AM1651" s="1" t="s">
        <v>1058</v>
      </c>
    </row>
    <row r="1652">
      <c r="E1652" s="1" t="s">
        <v>1346</v>
      </c>
      <c r="F1652" s="6" t="str">
        <f>IFERROR(__xludf.DUMMYFUNCTION("""COMPUTED_VALUE"""),"confidently")</f>
        <v>confidently</v>
      </c>
      <c r="H1652" s="1" t="s">
        <v>4127</v>
      </c>
      <c r="I1652" s="6" t="str">
        <f>IFERROR(__xludf.DUMMYFUNCTION("""COMPUTED_VALUE"""),"gaze")</f>
        <v>gaze</v>
      </c>
      <c r="S1652" s="1" t="s">
        <v>2225</v>
      </c>
      <c r="T1652" s="6" t="str">
        <f>IFERROR(__xludf.DUMMYFUNCTION("""COMPUTED_VALUE"""),"soldiers")</f>
        <v>soldiers</v>
      </c>
      <c r="W1652" s="8"/>
      <c r="AJ1652" s="1" t="s">
        <v>4826</v>
      </c>
      <c r="AM1652" s="1" t="s">
        <v>4827</v>
      </c>
    </row>
    <row r="1653">
      <c r="E1653" s="1" t="s">
        <v>1352</v>
      </c>
      <c r="F1653" s="6" t="str">
        <f>IFERROR(__xludf.DUMMYFUNCTION("""COMPUTED_VALUE"""),"orchestrated")</f>
        <v>orchestrated</v>
      </c>
      <c r="H1653" s="1" t="s">
        <v>4828</v>
      </c>
      <c r="I1653" s="6" t="str">
        <f>IFERROR(__xludf.DUMMYFUNCTION("""COMPUTED_VALUE"""),"chuckles")</f>
        <v>chuckles</v>
      </c>
      <c r="S1653" s="1" t="s">
        <v>2318</v>
      </c>
      <c r="T1653" s="6" t="str">
        <f>IFERROR(__xludf.DUMMYFUNCTION("""COMPUTED_VALUE"""),"listening")</f>
        <v>listening</v>
      </c>
      <c r="W1653" s="8"/>
      <c r="AJ1653" s="1" t="s">
        <v>1670</v>
      </c>
      <c r="AM1653" s="1" t="s">
        <v>3163</v>
      </c>
    </row>
    <row r="1654">
      <c r="E1654" s="1" t="s">
        <v>4666</v>
      </c>
      <c r="F1654" s="6" t="str">
        <f>IFERROR(__xludf.DUMMYFUNCTION("""COMPUTED_VALUE"""),"doctorate")</f>
        <v>doctorate</v>
      </c>
      <c r="H1654" s="1" t="s">
        <v>2979</v>
      </c>
      <c r="I1654" s="6" t="str">
        <f>IFERROR(__xludf.DUMMYFUNCTION("""COMPUTED_VALUE"""),"sheridan")</f>
        <v>sheridan</v>
      </c>
      <c r="S1654" s="1" t="s">
        <v>4775</v>
      </c>
      <c r="T1654" s="6" t="str">
        <f>IFERROR(__xludf.DUMMYFUNCTION("""COMPUTED_VALUE"""),"lawrence")</f>
        <v>lawrence</v>
      </c>
      <c r="W1654" s="8"/>
      <c r="AJ1654" s="1" t="s">
        <v>3044</v>
      </c>
      <c r="AM1654" s="1" t="s">
        <v>897</v>
      </c>
    </row>
    <row r="1655">
      <c r="E1655" s="1" t="s">
        <v>2057</v>
      </c>
      <c r="F1655" s="6" t="str">
        <f>IFERROR(__xludf.DUMMYFUNCTION("""COMPUTED_VALUE"""),"telescope")</f>
        <v>telescope</v>
      </c>
      <c r="H1655" s="1" t="s">
        <v>2773</v>
      </c>
      <c r="I1655" s="6" t="str">
        <f>IFERROR(__xludf.DUMMYFUNCTION("""COMPUTED_VALUE"""),"stylized")</f>
        <v>stylized</v>
      </c>
      <c r="S1655" s="1" t="s">
        <v>2770</v>
      </c>
      <c r="T1655" s="6" t="str">
        <f>IFERROR(__xludf.DUMMYFUNCTION("""COMPUTED_VALUE"""),"riot")</f>
        <v>riot</v>
      </c>
      <c r="W1655" s="8"/>
      <c r="AJ1655" s="1" t="s">
        <v>1673</v>
      </c>
      <c r="AM1655" s="1" t="s">
        <v>901</v>
      </c>
    </row>
    <row r="1656">
      <c r="E1656" s="1" t="s">
        <v>3283</v>
      </c>
      <c r="F1656" s="6" t="str">
        <f>IFERROR(__xludf.DUMMYFUNCTION("""COMPUTED_VALUE"""),"analytical")</f>
        <v>analytical</v>
      </c>
      <c r="H1656" s="1" t="s">
        <v>2735</v>
      </c>
      <c r="I1656" s="6" t="str">
        <f>IFERROR(__xludf.DUMMYFUNCTION("""COMPUTED_VALUE"""),"hilary")</f>
        <v>hilary</v>
      </c>
      <c r="S1656" s="1" t="s">
        <v>4829</v>
      </c>
      <c r="T1656" s="6">
        <f>IFERROR(__xludf.DUMMYFUNCTION("""COMPUTED_VALUE"""),51.0)</f>
        <v>51</v>
      </c>
      <c r="W1656" s="8"/>
      <c r="AJ1656" s="1" t="s">
        <v>3046</v>
      </c>
      <c r="AM1656" s="1" t="s">
        <v>1531</v>
      </c>
    </row>
    <row r="1657">
      <c r="E1657" s="1" t="s">
        <v>1356</v>
      </c>
      <c r="F1657" s="6" t="str">
        <f>IFERROR(__xludf.DUMMYFUNCTION("""COMPUTED_VALUE"""),"transforms")</f>
        <v>transforms</v>
      </c>
      <c r="H1657" s="1" t="s">
        <v>2778</v>
      </c>
      <c r="I1657" s="6" t="str">
        <f>IFERROR(__xludf.DUMMYFUNCTION("""COMPUTED_VALUE"""),"birmingham")</f>
        <v>birmingham</v>
      </c>
      <c r="S1657" s="1" t="s">
        <v>4830</v>
      </c>
      <c r="T1657" s="6" t="str">
        <f>IFERROR(__xludf.DUMMYFUNCTION("""COMPUTED_VALUE"""),"suspend")</f>
        <v>suspend</v>
      </c>
      <c r="W1657" s="8"/>
      <c r="AJ1657" s="1" t="s">
        <v>4831</v>
      </c>
      <c r="AM1657" s="1" t="s">
        <v>4757</v>
      </c>
    </row>
    <row r="1658">
      <c r="E1658" s="1" t="s">
        <v>4413</v>
      </c>
      <c r="F1658" s="6" t="str">
        <f>IFERROR(__xludf.DUMMYFUNCTION("""COMPUTED_VALUE"""),"undertaking")</f>
        <v>undertaking</v>
      </c>
      <c r="H1658" s="1" t="s">
        <v>1528</v>
      </c>
      <c r="I1658" s="6" t="str">
        <f>IFERROR(__xludf.DUMMYFUNCTION("""COMPUTED_VALUE"""),"sensitivity")</f>
        <v>sensitivity</v>
      </c>
      <c r="S1658" s="1" t="s">
        <v>2516</v>
      </c>
      <c r="T1658" s="6" t="str">
        <f>IFERROR(__xludf.DUMMYFUNCTION("""COMPUTED_VALUE"""),"disbelief")</f>
        <v>disbelief</v>
      </c>
      <c r="W1658" s="8"/>
      <c r="AJ1658" s="1" t="s">
        <v>4832</v>
      </c>
      <c r="AM1658" s="1" t="s">
        <v>783</v>
      </c>
    </row>
    <row r="1659">
      <c r="E1659" s="1" t="s">
        <v>3288</v>
      </c>
      <c r="F1659" s="6" t="str">
        <f>IFERROR(__xludf.DUMMYFUNCTION("""COMPUTED_VALUE"""),"discovery")</f>
        <v>discovery</v>
      </c>
      <c r="H1659" s="1" t="s">
        <v>2990</v>
      </c>
      <c r="I1659" s="6" t="str">
        <f>IFERROR(__xludf.DUMMYFUNCTION("""COMPUTED_VALUE"""),"precision")</f>
        <v>precision</v>
      </c>
      <c r="S1659" s="1" t="s">
        <v>4833</v>
      </c>
      <c r="T1659" s="6" t="str">
        <f>IFERROR(__xludf.DUMMYFUNCTION("""COMPUTED_VALUE"""),"honesty")</f>
        <v>honesty</v>
      </c>
      <c r="W1659" s="8"/>
      <c r="AJ1659" s="1" t="s">
        <v>1778</v>
      </c>
      <c r="AM1659" s="1">
        <v>30.0</v>
      </c>
    </row>
    <row r="1660">
      <c r="E1660" s="1" t="s">
        <v>3722</v>
      </c>
      <c r="F1660" s="6" t="str">
        <f>IFERROR(__xludf.DUMMYFUNCTION("""COMPUTED_VALUE"""),"effectively")</f>
        <v>effectively</v>
      </c>
      <c r="H1660" s="1" t="s">
        <v>2785</v>
      </c>
      <c r="I1660" s="6" t="str">
        <f>IFERROR(__xludf.DUMMYFUNCTION("""COMPUTED_VALUE"""),"aspirations")</f>
        <v>aspirations</v>
      </c>
      <c r="S1660" s="1" t="s">
        <v>4834</v>
      </c>
      <c r="T1660" s="6" t="str">
        <f>IFERROR(__xludf.DUMMYFUNCTION("""COMPUTED_VALUE"""),"traditions")</f>
        <v>traditions</v>
      </c>
      <c r="W1660" s="8"/>
      <c r="AJ1660" s="1" t="s">
        <v>4835</v>
      </c>
      <c r="AM1660" s="1" t="s">
        <v>1066</v>
      </c>
    </row>
    <row r="1661">
      <c r="E1661" s="1" t="s">
        <v>4836</v>
      </c>
      <c r="F1661" s="6" t="str">
        <f>IFERROR(__xludf.DUMMYFUNCTION("""COMPUTED_VALUE"""),"concentration")</f>
        <v>concentration</v>
      </c>
      <c r="H1661" s="1" t="s">
        <v>4134</v>
      </c>
      <c r="I1661" s="6" t="str">
        <f>IFERROR(__xludf.DUMMYFUNCTION("""COMPUTED_VALUE"""),"charms")</f>
        <v>charms</v>
      </c>
      <c r="S1661" s="1" t="s">
        <v>4608</v>
      </c>
      <c r="T1661" s="6" t="str">
        <f>IFERROR(__xludf.DUMMYFUNCTION("""COMPUTED_VALUE"""),"pbs")</f>
        <v>pbs</v>
      </c>
      <c r="W1661" s="8"/>
      <c r="AJ1661" s="1" t="s">
        <v>4837</v>
      </c>
      <c r="AM1661" s="1" t="s">
        <v>4838</v>
      </c>
    </row>
    <row r="1662">
      <c r="E1662" s="1" t="s">
        <v>1033</v>
      </c>
      <c r="F1662" s="6" t="str">
        <f>IFERROR(__xludf.DUMMYFUNCTION("""COMPUTED_VALUE"""),"neutral")</f>
        <v>neutral</v>
      </c>
      <c r="H1662" s="1" t="s">
        <v>3293</v>
      </c>
      <c r="I1662" s="6" t="str">
        <f>IFERROR(__xludf.DUMMYFUNCTION("""COMPUTED_VALUE"""),"gay")</f>
        <v>gay</v>
      </c>
      <c r="S1662" s="1" t="s">
        <v>1999</v>
      </c>
      <c r="T1662" s="6" t="str">
        <f>IFERROR(__xludf.DUMMYFUNCTION("""COMPUTED_VALUE"""),"merits")</f>
        <v>merits</v>
      </c>
      <c r="W1662" s="8"/>
      <c r="AJ1662" s="1" t="s">
        <v>3051</v>
      </c>
      <c r="AM1662" s="1" t="s">
        <v>714</v>
      </c>
    </row>
    <row r="1663">
      <c r="E1663" s="1" t="s">
        <v>3295</v>
      </c>
      <c r="F1663" s="6" t="str">
        <f>IFERROR(__xludf.DUMMYFUNCTION("""COMPUTED_VALUE"""),"singh")</f>
        <v>singh</v>
      </c>
      <c r="H1663" s="1" t="s">
        <v>2998</v>
      </c>
      <c r="I1663" s="6" t="str">
        <f>IFERROR(__xludf.DUMMYFUNCTION("""COMPUTED_VALUE"""),"conservative")</f>
        <v>conservative</v>
      </c>
      <c r="S1663" s="1" t="s">
        <v>4001</v>
      </c>
      <c r="T1663" s="6" t="str">
        <f>IFERROR(__xludf.DUMMYFUNCTION("""COMPUTED_VALUE"""),"field")</f>
        <v>field</v>
      </c>
      <c r="W1663" s="8"/>
      <c r="AJ1663" s="1" t="s">
        <v>1805</v>
      </c>
      <c r="AM1663" s="1" t="s">
        <v>2964</v>
      </c>
    </row>
    <row r="1664">
      <c r="E1664" s="1" t="s">
        <v>3301</v>
      </c>
      <c r="F1664" s="6" t="str">
        <f>IFERROR(__xludf.DUMMYFUNCTION("""COMPUTED_VALUE"""),"acknowledges")</f>
        <v>acknowledges</v>
      </c>
      <c r="H1664" s="1" t="s">
        <v>963</v>
      </c>
      <c r="I1664" s="6" t="str">
        <f>IFERROR(__xludf.DUMMYFUNCTION("""COMPUTED_VALUE"""),"suspected")</f>
        <v>suspected</v>
      </c>
      <c r="S1664" s="1" t="s">
        <v>4299</v>
      </c>
      <c r="T1664" s="6" t="str">
        <f>IFERROR(__xludf.DUMMYFUNCTION("""COMPUTED_VALUE"""),"turning")</f>
        <v>turning</v>
      </c>
      <c r="W1664" s="8"/>
      <c r="AJ1664" s="1" t="s">
        <v>4839</v>
      </c>
      <c r="AM1664" s="1" t="s">
        <v>1721</v>
      </c>
    </row>
    <row r="1665">
      <c r="E1665" s="1" t="s">
        <v>4840</v>
      </c>
      <c r="F1665" s="6" t="str">
        <f>IFERROR(__xludf.DUMMYFUNCTION("""COMPUTED_VALUE"""),"chases")</f>
        <v>chases</v>
      </c>
      <c r="H1665" s="1" t="s">
        <v>4841</v>
      </c>
      <c r="I1665" s="6" t="str">
        <f>IFERROR(__xludf.DUMMYFUNCTION("""COMPUTED_VALUE"""),"privy")</f>
        <v>privy</v>
      </c>
      <c r="S1665" s="1" t="s">
        <v>4842</v>
      </c>
      <c r="T1665" s="6" t="str">
        <f>IFERROR(__xludf.DUMMYFUNCTION("""COMPUTED_VALUE"""),"tongue")</f>
        <v>tongue</v>
      </c>
      <c r="W1665" s="8"/>
      <c r="AJ1665" s="1" t="s">
        <v>3056</v>
      </c>
      <c r="AM1665" s="1" t="s">
        <v>3180</v>
      </c>
    </row>
    <row r="1666">
      <c r="E1666" s="1" t="s">
        <v>4843</v>
      </c>
      <c r="F1666" s="6" t="str">
        <f>IFERROR(__xludf.DUMMYFUNCTION("""COMPUTED_VALUE"""),"tucker")</f>
        <v>tucker</v>
      </c>
      <c r="H1666" s="1" t="s">
        <v>832</v>
      </c>
      <c r="I1666" s="6" t="str">
        <f>IFERROR(__xludf.DUMMYFUNCTION("""COMPUTED_VALUE"""),"garnered")</f>
        <v>garnered</v>
      </c>
      <c r="S1666" s="1" t="s">
        <v>4844</v>
      </c>
      <c r="T1666" s="6" t="str">
        <f>IFERROR(__xludf.DUMMYFUNCTION("""COMPUTED_VALUE"""),"swedish")</f>
        <v>swedish</v>
      </c>
      <c r="W1666" s="8"/>
      <c r="AJ1666" s="1" t="s">
        <v>1878</v>
      </c>
      <c r="AM1666" s="1" t="s">
        <v>2914</v>
      </c>
    </row>
    <row r="1667">
      <c r="E1667" s="1" t="s">
        <v>1040</v>
      </c>
      <c r="F1667" s="6" t="str">
        <f>IFERROR(__xludf.DUMMYFUNCTION("""COMPUTED_VALUE"""),"sci")</f>
        <v>sci</v>
      </c>
      <c r="H1667" s="1" t="s">
        <v>838</v>
      </c>
      <c r="I1667" s="6" t="str">
        <f>IFERROR(__xludf.DUMMYFUNCTION("""COMPUTED_VALUE"""),"fool")</f>
        <v>fool</v>
      </c>
      <c r="S1667" s="1" t="s">
        <v>3035</v>
      </c>
      <c r="T1667" s="6" t="str">
        <f>IFERROR(__xludf.DUMMYFUNCTION("""COMPUTED_VALUE"""),"approaches")</f>
        <v>approaches</v>
      </c>
      <c r="W1667" s="8"/>
      <c r="AJ1667" s="1" t="s">
        <v>1048</v>
      </c>
      <c r="AM1667" s="1" t="s">
        <v>4845</v>
      </c>
    </row>
    <row r="1668">
      <c r="E1668" s="1" t="s">
        <v>4846</v>
      </c>
      <c r="F1668" s="6" t="str">
        <f>IFERROR(__xludf.DUMMYFUNCTION("""COMPUTED_VALUE"""),"italics")</f>
        <v>italics</v>
      </c>
      <c r="H1668" s="1" t="s">
        <v>2792</v>
      </c>
      <c r="I1668" s="6" t="str">
        <f>IFERROR(__xludf.DUMMYFUNCTION("""COMPUTED_VALUE"""),"underlying")</f>
        <v>underlying</v>
      </c>
      <c r="S1668" s="1" t="s">
        <v>1232</v>
      </c>
      <c r="T1668" s="6" t="str">
        <f>IFERROR(__xludf.DUMMYFUNCTION("""COMPUTED_VALUE"""),"effortlessly")</f>
        <v>effortlessly</v>
      </c>
      <c r="W1668" s="8"/>
      <c r="AJ1668" s="1" t="s">
        <v>3060</v>
      </c>
      <c r="AM1668" s="1" t="s">
        <v>3184</v>
      </c>
    </row>
    <row r="1669">
      <c r="E1669" s="1" t="s">
        <v>1047</v>
      </c>
      <c r="F1669" s="6" t="str">
        <f>IFERROR(__xludf.DUMMYFUNCTION("""COMPUTED_VALUE"""),"attach")</f>
        <v>attach</v>
      </c>
      <c r="H1669" s="1" t="s">
        <v>4847</v>
      </c>
      <c r="I1669" s="6" t="str">
        <f>IFERROR(__xludf.DUMMYFUNCTION("""COMPUTED_VALUE"""),"space")</f>
        <v>space</v>
      </c>
      <c r="S1669" s="1" t="s">
        <v>4848</v>
      </c>
      <c r="T1669" s="6" t="str">
        <f>IFERROR(__xludf.DUMMYFUNCTION("""COMPUTED_VALUE"""),"analyze")</f>
        <v>analyze</v>
      </c>
      <c r="W1669" s="8"/>
      <c r="AJ1669" s="1" t="s">
        <v>1869</v>
      </c>
      <c r="AM1669" s="1" t="s">
        <v>4285</v>
      </c>
    </row>
    <row r="1670">
      <c r="E1670" s="1" t="s">
        <v>1361</v>
      </c>
      <c r="F1670" s="6" t="str">
        <f>IFERROR(__xludf.DUMMYFUNCTION("""COMPUTED_VALUE"""),"wilde")</f>
        <v>wilde</v>
      </c>
      <c r="H1670" s="1" t="s">
        <v>273</v>
      </c>
      <c r="I1670" s="6" t="str">
        <f>IFERROR(__xludf.DUMMYFUNCTION("""COMPUTED_VALUE"""),"sought")</f>
        <v>sought</v>
      </c>
      <c r="S1670" s="1" t="s">
        <v>1816</v>
      </c>
      <c r="T1670" s="6" t="str">
        <f>IFERROR(__xludf.DUMMYFUNCTION("""COMPUTED_VALUE"""),"sparks")</f>
        <v>sparks</v>
      </c>
      <c r="W1670" s="8"/>
      <c r="AJ1670" s="1" t="s">
        <v>4849</v>
      </c>
      <c r="AM1670" s="1" t="s">
        <v>2917</v>
      </c>
    </row>
    <row r="1671">
      <c r="E1671" s="1" t="s">
        <v>2067</v>
      </c>
      <c r="F1671" s="6" t="str">
        <f>IFERROR(__xludf.DUMMYFUNCTION("""COMPUTED_VALUE"""),"empowerment")</f>
        <v>empowerment</v>
      </c>
      <c r="H1671" s="1" t="s">
        <v>632</v>
      </c>
      <c r="I1671" s="6" t="str">
        <f>IFERROR(__xludf.DUMMYFUNCTION("""COMPUTED_VALUE"""),"superhero")</f>
        <v>superhero</v>
      </c>
      <c r="S1671" s="1" t="s">
        <v>1255</v>
      </c>
      <c r="T1671" s="6" t="str">
        <f>IFERROR(__xludf.DUMMYFUNCTION("""COMPUTED_VALUE"""),"intimidated")</f>
        <v>intimidated</v>
      </c>
      <c r="W1671" s="8"/>
      <c r="AJ1671" s="1" t="s">
        <v>3064</v>
      </c>
      <c r="AM1671" s="1" t="s">
        <v>3192</v>
      </c>
    </row>
    <row r="1672">
      <c r="E1672" s="1" t="s">
        <v>2071</v>
      </c>
      <c r="F1672" s="6" t="str">
        <f>IFERROR(__xludf.DUMMYFUNCTION("""COMPUTED_VALUE"""),"outrage")</f>
        <v>outrage</v>
      </c>
      <c r="H1672" s="1" t="s">
        <v>4142</v>
      </c>
      <c r="I1672" s="6" t="str">
        <f>IFERROR(__xludf.DUMMYFUNCTION("""COMPUTED_VALUE"""),"intellect")</f>
        <v>intellect</v>
      </c>
      <c r="S1672" s="1" t="s">
        <v>4634</v>
      </c>
      <c r="T1672" s="6" t="str">
        <f>IFERROR(__xludf.DUMMYFUNCTION("""COMPUTED_VALUE"""),"anger")</f>
        <v>anger</v>
      </c>
      <c r="W1672" s="8"/>
      <c r="AJ1672" s="1" t="s">
        <v>4850</v>
      </c>
      <c r="AM1672" s="1" t="s">
        <v>3024</v>
      </c>
    </row>
    <row r="1673">
      <c r="E1673" s="1" t="s">
        <v>1368</v>
      </c>
      <c r="F1673" s="6" t="str">
        <f>IFERROR(__xludf.DUMMYFUNCTION("""COMPUTED_VALUE"""),"passions")</f>
        <v>passions</v>
      </c>
      <c r="H1673" s="1" t="s">
        <v>4145</v>
      </c>
      <c r="I1673" s="6" t="str">
        <f>IFERROR(__xludf.DUMMYFUNCTION("""COMPUTED_VALUE"""),"kissing")</f>
        <v>kissing</v>
      </c>
      <c r="S1673" s="1" t="s">
        <v>2354</v>
      </c>
      <c r="T1673" s="6" t="str">
        <f>IFERROR(__xludf.DUMMYFUNCTION("""COMPUTED_VALUE"""),"cumulative")</f>
        <v>cumulative</v>
      </c>
      <c r="W1673" s="8"/>
      <c r="AJ1673" s="1" t="s">
        <v>4851</v>
      </c>
      <c r="AM1673" s="1" t="s">
        <v>1076</v>
      </c>
    </row>
    <row r="1674">
      <c r="E1674" s="1" t="s">
        <v>2077</v>
      </c>
      <c r="F1674" s="6" t="str">
        <f>IFERROR(__xludf.DUMMYFUNCTION("""COMPUTED_VALUE"""),"assassin")</f>
        <v>assassin</v>
      </c>
      <c r="H1674" s="1" t="s">
        <v>3013</v>
      </c>
      <c r="I1674" s="6" t="str">
        <f>IFERROR(__xludf.DUMMYFUNCTION("""COMPUTED_VALUE"""),"stein")</f>
        <v>stein</v>
      </c>
      <c r="S1674" s="1" t="s">
        <v>4852</v>
      </c>
      <c r="T1674" s="6" t="str">
        <f>IFERROR(__xludf.DUMMYFUNCTION("""COMPUTED_VALUE"""),"translate")</f>
        <v>translate</v>
      </c>
      <c r="W1674" s="8"/>
      <c r="AJ1674" s="1" t="s">
        <v>4853</v>
      </c>
      <c r="AM1674" s="1" t="s">
        <v>3195</v>
      </c>
    </row>
    <row r="1675">
      <c r="E1675" s="1" t="s">
        <v>1051</v>
      </c>
      <c r="F1675" s="6" t="str">
        <f>IFERROR(__xludf.DUMMYFUNCTION("""COMPUTED_VALUE"""),"seduce")</f>
        <v>seduce</v>
      </c>
      <c r="H1675" s="1" t="s">
        <v>4148</v>
      </c>
      <c r="I1675" s="6" t="str">
        <f>IFERROR(__xludf.DUMMYFUNCTION("""COMPUTED_VALUE"""),"pencil")</f>
        <v>pencil</v>
      </c>
      <c r="S1675" s="1" t="s">
        <v>4854</v>
      </c>
      <c r="T1675" s="6" t="str">
        <f>IFERROR(__xludf.DUMMYFUNCTION("""COMPUTED_VALUE"""),"ferrara")</f>
        <v>ferrara</v>
      </c>
      <c r="W1675" s="8"/>
      <c r="AJ1675" s="1" t="s">
        <v>4855</v>
      </c>
      <c r="AM1675" s="1" t="s">
        <v>3198</v>
      </c>
    </row>
    <row r="1676">
      <c r="E1676" s="1" t="s">
        <v>1000</v>
      </c>
      <c r="F1676" s="6" t="str">
        <f>IFERROR(__xludf.DUMMYFUNCTION("""COMPUTED_VALUE"""),"segment")</f>
        <v>segment</v>
      </c>
      <c r="H1676" s="1" t="s">
        <v>1977</v>
      </c>
      <c r="I1676" s="6" t="str">
        <f>IFERROR(__xludf.DUMMYFUNCTION("""COMPUTED_VALUE"""),"stuffing")</f>
        <v>stuffing</v>
      </c>
      <c r="S1676" s="1" t="s">
        <v>4856</v>
      </c>
      <c r="T1676" s="6" t="str">
        <f>IFERROR(__xludf.DUMMYFUNCTION("""COMPUTED_VALUE"""),"reliance")</f>
        <v>reliance</v>
      </c>
      <c r="W1676" s="8"/>
      <c r="AJ1676" s="1" t="s">
        <v>3068</v>
      </c>
      <c r="AM1676" s="1" t="s">
        <v>3202</v>
      </c>
    </row>
    <row r="1677">
      <c r="E1677" s="1" t="s">
        <v>1381</v>
      </c>
      <c r="F1677" s="6" t="str">
        <f>IFERROR(__xludf.DUMMYFUNCTION("""COMPUTED_VALUE"""),"vittorio")</f>
        <v>vittorio</v>
      </c>
      <c r="H1677" s="1" t="s">
        <v>4151</v>
      </c>
      <c r="I1677" s="6" t="str">
        <f>IFERROR(__xludf.DUMMYFUNCTION("""COMPUTED_VALUE"""),"defiance")</f>
        <v>defiance</v>
      </c>
      <c r="S1677" s="1" t="s">
        <v>4857</v>
      </c>
      <c r="T1677" s="6" t="str">
        <f>IFERROR(__xludf.DUMMYFUNCTION("""COMPUTED_VALUE"""),"weighted")</f>
        <v>weighted</v>
      </c>
      <c r="W1677" s="8"/>
      <c r="AJ1677" s="1" t="s">
        <v>4858</v>
      </c>
      <c r="AM1677" s="1" t="s">
        <v>2926</v>
      </c>
    </row>
    <row r="1678">
      <c r="E1678" s="1" t="s">
        <v>4859</v>
      </c>
      <c r="F1678" s="6" t="str">
        <f>IFERROR(__xludf.DUMMYFUNCTION("""COMPUTED_VALUE"""),"nash")</f>
        <v>nash</v>
      </c>
      <c r="H1678" s="1" t="s">
        <v>968</v>
      </c>
      <c r="I1678" s="6" t="str">
        <f>IFERROR(__xludf.DUMMYFUNCTION("""COMPUTED_VALUE"""),"pollution")</f>
        <v>pollution</v>
      </c>
      <c r="S1678" s="1" t="s">
        <v>142</v>
      </c>
      <c r="T1678" s="6" t="str">
        <f>IFERROR(__xludf.DUMMYFUNCTION("""COMPUTED_VALUE"""),"toilet")</f>
        <v>toilet</v>
      </c>
      <c r="W1678" s="8"/>
      <c r="AJ1678" s="1">
        <v>1975.0</v>
      </c>
      <c r="AM1678" s="1" t="s">
        <v>2921</v>
      </c>
    </row>
    <row r="1679">
      <c r="E1679" s="1" t="s">
        <v>4860</v>
      </c>
      <c r="F1679" s="6" t="str">
        <f>IFERROR(__xludf.DUMMYFUNCTION("""COMPUTED_VALUE"""),"purity")</f>
        <v>purity</v>
      </c>
      <c r="H1679" s="1" t="s">
        <v>2796</v>
      </c>
      <c r="I1679" s="6" t="str">
        <f>IFERROR(__xludf.DUMMYFUNCTION("""COMPUTED_VALUE"""),"limp")</f>
        <v>limp</v>
      </c>
      <c r="S1679" s="1" t="s">
        <v>4861</v>
      </c>
      <c r="T1679" s="6" t="str">
        <f>IFERROR(__xludf.DUMMYFUNCTION("""COMPUTED_VALUE"""),"uncle")</f>
        <v>uncle</v>
      </c>
      <c r="W1679" s="8"/>
      <c r="AJ1679" s="1" t="s">
        <v>3072</v>
      </c>
      <c r="AM1679" s="1" t="s">
        <v>4862</v>
      </c>
    </row>
    <row r="1680">
      <c r="E1680" s="1" t="s">
        <v>3759</v>
      </c>
      <c r="F1680" s="6" t="str">
        <f>IFERROR(__xludf.DUMMYFUNCTION("""COMPUTED_VALUE"""),"psycho")</f>
        <v>psycho</v>
      </c>
      <c r="H1680" s="1" t="s">
        <v>973</v>
      </c>
      <c r="I1680" s="6" t="str">
        <f>IFERROR(__xludf.DUMMYFUNCTION("""COMPUTED_VALUE"""),"achieving")</f>
        <v>achieving</v>
      </c>
      <c r="S1680" s="1" t="s">
        <v>503</v>
      </c>
      <c r="T1680" s="6" t="str">
        <f>IFERROR(__xludf.DUMMYFUNCTION("""COMPUTED_VALUE"""),"academy")</f>
        <v>academy</v>
      </c>
      <c r="W1680" s="8"/>
      <c r="AJ1680" s="1" t="s">
        <v>4863</v>
      </c>
      <c r="AM1680" s="1" t="s">
        <v>1943</v>
      </c>
    </row>
    <row r="1681">
      <c r="E1681" s="1" t="s">
        <v>3761</v>
      </c>
      <c r="F1681" s="6" t="str">
        <f>IFERROR(__xludf.DUMMYFUNCTION("""COMPUTED_VALUE"""),"fictional")</f>
        <v>fictional</v>
      </c>
      <c r="H1681" s="1" t="s">
        <v>4155</v>
      </c>
      <c r="I1681" s="6" t="str">
        <f>IFERROR(__xludf.DUMMYFUNCTION("""COMPUTED_VALUE"""),"impress")</f>
        <v>impress</v>
      </c>
      <c r="S1681" s="1" t="s">
        <v>1708</v>
      </c>
      <c r="T1681" s="6" t="str">
        <f>IFERROR(__xludf.DUMMYFUNCTION("""COMPUTED_VALUE"""),"equation")</f>
        <v>equation</v>
      </c>
      <c r="W1681" s="8"/>
      <c r="AJ1681" s="1" t="s">
        <v>3077</v>
      </c>
      <c r="AM1681" s="1" t="s">
        <v>4301</v>
      </c>
    </row>
    <row r="1682">
      <c r="E1682" s="1" t="s">
        <v>4864</v>
      </c>
      <c r="F1682" s="6" t="str">
        <f>IFERROR(__xludf.DUMMYFUNCTION("""COMPUTED_VALUE"""),"roster")</f>
        <v>roster</v>
      </c>
      <c r="H1682" s="1" t="s">
        <v>4157</v>
      </c>
      <c r="I1682" s="6" t="str">
        <f>IFERROR(__xludf.DUMMYFUNCTION("""COMPUTED_VALUE"""),"sorrow")</f>
        <v>sorrow</v>
      </c>
      <c r="S1682" s="1" t="s">
        <v>1360</v>
      </c>
      <c r="T1682" s="6" t="str">
        <f>IFERROR(__xludf.DUMMYFUNCTION("""COMPUTED_VALUE"""),"molina")</f>
        <v>molina</v>
      </c>
      <c r="W1682" s="8"/>
      <c r="AJ1682" s="1" t="s">
        <v>4865</v>
      </c>
      <c r="AM1682" s="1" t="s">
        <v>4306</v>
      </c>
    </row>
    <row r="1683">
      <c r="E1683" s="1" t="s">
        <v>3767</v>
      </c>
      <c r="F1683" s="6" t="str">
        <f>IFERROR(__xludf.DUMMYFUNCTION("""COMPUTED_VALUE"""),"afford")</f>
        <v>afford</v>
      </c>
      <c r="H1683" s="1" t="s">
        <v>4158</v>
      </c>
      <c r="I1683" s="6" t="str">
        <f>IFERROR(__xludf.DUMMYFUNCTION("""COMPUTED_VALUE"""),"intensely")</f>
        <v>intensely</v>
      </c>
      <c r="S1683" s="1" t="s">
        <v>3272</v>
      </c>
      <c r="T1683" s="6" t="str">
        <f>IFERROR(__xludf.DUMMYFUNCTION("""COMPUTED_VALUE"""),"arresting")</f>
        <v>arresting</v>
      </c>
      <c r="W1683" s="8"/>
      <c r="AJ1683" s="1" t="s">
        <v>4866</v>
      </c>
      <c r="AM1683" s="1" t="s">
        <v>4312</v>
      </c>
    </row>
    <row r="1684">
      <c r="E1684" s="1" t="s">
        <v>2090</v>
      </c>
      <c r="F1684" s="6" t="str">
        <f>IFERROR(__xludf.DUMMYFUNCTION("""COMPUTED_VALUE"""),"velocity")</f>
        <v>velocity</v>
      </c>
      <c r="H1684" s="1" t="s">
        <v>844</v>
      </c>
      <c r="I1684" s="6" t="str">
        <f>IFERROR(__xludf.DUMMYFUNCTION("""COMPUTED_VALUE"""),"glucose")</f>
        <v>glucose</v>
      </c>
      <c r="S1684" s="1" t="s">
        <v>4867</v>
      </c>
      <c r="T1684" s="6" t="str">
        <f>IFERROR(__xludf.DUMMYFUNCTION("""COMPUTED_VALUE"""),"soul")</f>
        <v>soul</v>
      </c>
      <c r="W1684" s="8"/>
      <c r="AJ1684" s="1" t="s">
        <v>4868</v>
      </c>
      <c r="AM1684" s="1" t="s">
        <v>2931</v>
      </c>
    </row>
    <row r="1685">
      <c r="E1685" s="1" t="s">
        <v>3772</v>
      </c>
      <c r="F1685" s="6" t="str">
        <f>IFERROR(__xludf.DUMMYFUNCTION("""COMPUTED_VALUE"""),"stroke")</f>
        <v>stroke</v>
      </c>
      <c r="H1685" s="1" t="s">
        <v>4869</v>
      </c>
      <c r="I1685" s="6" t="str">
        <f>IFERROR(__xludf.DUMMYFUNCTION("""COMPUTED_VALUE"""),"revelation")</f>
        <v>revelation</v>
      </c>
      <c r="S1685" s="1" t="s">
        <v>1716</v>
      </c>
      <c r="T1685" s="6" t="str">
        <f>IFERROR(__xludf.DUMMYFUNCTION("""COMPUTED_VALUE"""),"accidental")</f>
        <v>accidental</v>
      </c>
      <c r="W1685" s="8"/>
      <c r="AJ1685" s="1" t="s">
        <v>4870</v>
      </c>
      <c r="AM1685" s="1" t="s">
        <v>4871</v>
      </c>
    </row>
    <row r="1686">
      <c r="E1686" s="1" t="s">
        <v>4433</v>
      </c>
      <c r="F1686" s="6" t="str">
        <f>IFERROR(__xludf.DUMMYFUNCTION("""COMPUTED_VALUE"""),"improves")</f>
        <v>improves</v>
      </c>
      <c r="H1686" s="1" t="s">
        <v>1765</v>
      </c>
      <c r="I1686" s="6" t="str">
        <f>IFERROR(__xludf.DUMMYFUNCTION("""COMPUTED_VALUE"""),"atmospheric")</f>
        <v>atmospheric</v>
      </c>
      <c r="S1686" s="1" t="s">
        <v>3307</v>
      </c>
      <c r="T1686" s="6" t="str">
        <f>IFERROR(__xludf.DUMMYFUNCTION("""COMPUTED_VALUE"""),"adrenaline")</f>
        <v>adrenaline</v>
      </c>
      <c r="W1686" s="8"/>
      <c r="AJ1686" s="1" t="s">
        <v>3083</v>
      </c>
      <c r="AM1686" s="1" t="s">
        <v>4313</v>
      </c>
    </row>
    <row r="1687">
      <c r="E1687" s="1" t="s">
        <v>1057</v>
      </c>
      <c r="F1687" s="6" t="str">
        <f>IFERROR(__xludf.DUMMYFUNCTION("""COMPUTED_VALUE"""),"nominated")</f>
        <v>nominated</v>
      </c>
      <c r="H1687" s="1" t="s">
        <v>1362</v>
      </c>
      <c r="I1687" s="6" t="str">
        <f>IFERROR(__xludf.DUMMYFUNCTION("""COMPUTED_VALUE"""),"horizons")</f>
        <v>horizons</v>
      </c>
      <c r="S1687" s="1" t="s">
        <v>450</v>
      </c>
      <c r="T1687" s="6" t="str">
        <f>IFERROR(__xludf.DUMMYFUNCTION("""COMPUTED_VALUE"""),"lowered")</f>
        <v>lowered</v>
      </c>
      <c r="W1687" s="8"/>
      <c r="AJ1687" s="1" t="s">
        <v>3086</v>
      </c>
      <c r="AM1687" s="1" t="s">
        <v>4318</v>
      </c>
    </row>
    <row r="1688">
      <c r="E1688" s="1" t="s">
        <v>4872</v>
      </c>
      <c r="F1688" s="6" t="str">
        <f>IFERROR(__xludf.DUMMYFUNCTION("""COMPUTED_VALUE"""),"conrad")</f>
        <v>conrad</v>
      </c>
      <c r="H1688" s="1" t="s">
        <v>4873</v>
      </c>
      <c r="I1688" s="6" t="str">
        <f>IFERROR(__xludf.DUMMYFUNCTION("""COMPUTED_VALUE"""),"boredom")</f>
        <v>boredom</v>
      </c>
      <c r="S1688" s="1" t="s">
        <v>1720</v>
      </c>
      <c r="T1688" s="6" t="str">
        <f>IFERROR(__xludf.DUMMYFUNCTION("""COMPUTED_VALUE"""),"giggle")</f>
        <v>giggle</v>
      </c>
      <c r="W1688" s="8"/>
      <c r="AJ1688" s="1" t="s">
        <v>4874</v>
      </c>
      <c r="AM1688" s="1" t="s">
        <v>4875</v>
      </c>
    </row>
    <row r="1689">
      <c r="E1689" s="1" t="s">
        <v>1063</v>
      </c>
      <c r="F1689" s="6" t="str">
        <f>IFERROR(__xludf.DUMMYFUNCTION("""COMPUTED_VALUE"""),"ardent")</f>
        <v>ardent</v>
      </c>
      <c r="H1689" s="1" t="s">
        <v>4166</v>
      </c>
      <c r="I1689" s="6" t="str">
        <f>IFERROR(__xludf.DUMMYFUNCTION("""COMPUTED_VALUE"""),"insistence")</f>
        <v>insistence</v>
      </c>
      <c r="S1689" s="1" t="s">
        <v>4684</v>
      </c>
      <c r="T1689" s="6" t="str">
        <f>IFERROR(__xludf.DUMMYFUNCTION("""COMPUTED_VALUE"""),"gang")</f>
        <v>gang</v>
      </c>
      <c r="W1689" s="8"/>
      <c r="AJ1689" s="1">
        <v>1973.0</v>
      </c>
      <c r="AM1689" s="1" t="s">
        <v>2935</v>
      </c>
    </row>
    <row r="1690">
      <c r="E1690" s="1" t="s">
        <v>4876</v>
      </c>
      <c r="F1690" s="6" t="str">
        <f>IFERROR(__xludf.DUMMYFUNCTION("""COMPUTED_VALUE"""),"backstage")</f>
        <v>backstage</v>
      </c>
      <c r="H1690" s="1" t="s">
        <v>849</v>
      </c>
      <c r="I1690" s="6" t="str">
        <f>IFERROR(__xludf.DUMMYFUNCTION("""COMPUTED_VALUE"""),"accurately")</f>
        <v>accurately</v>
      </c>
      <c r="S1690" s="1" t="s">
        <v>4877</v>
      </c>
      <c r="T1690" s="6" t="str">
        <f>IFERROR(__xludf.DUMMYFUNCTION("""COMPUTED_VALUE"""),"slip")</f>
        <v>slip</v>
      </c>
      <c r="W1690" s="8"/>
      <c r="AJ1690" s="1" t="s">
        <v>3089</v>
      </c>
      <c r="AM1690" s="1" t="s">
        <v>4878</v>
      </c>
    </row>
    <row r="1691">
      <c r="E1691" s="1" t="s">
        <v>4879</v>
      </c>
      <c r="F1691" s="6" t="str">
        <f>IFERROR(__xludf.DUMMYFUNCTION("""COMPUTED_VALUE"""),"pivotal")</f>
        <v>pivotal</v>
      </c>
      <c r="H1691" s="1" t="s">
        <v>4169</v>
      </c>
      <c r="I1691" s="6" t="str">
        <f>IFERROR(__xludf.DUMMYFUNCTION("""COMPUTED_VALUE"""),"turmoil")</f>
        <v>turmoil</v>
      </c>
      <c r="S1691" s="1" t="s">
        <v>4806</v>
      </c>
      <c r="T1691" s="6" t="str">
        <f>IFERROR(__xludf.DUMMYFUNCTION("""COMPUTED_VALUE"""),"tendency")</f>
        <v>tendency</v>
      </c>
      <c r="W1691" s="8"/>
      <c r="AJ1691" s="1" t="s">
        <v>4880</v>
      </c>
      <c r="AM1691" s="1" t="s">
        <v>4324</v>
      </c>
    </row>
    <row r="1692">
      <c r="E1692" s="1" t="s">
        <v>4314</v>
      </c>
      <c r="F1692" s="6" t="str">
        <f>IFERROR(__xludf.DUMMYFUNCTION("""COMPUTED_VALUE"""),"comparisons")</f>
        <v>comparisons</v>
      </c>
      <c r="H1692" s="1" t="s">
        <v>1573</v>
      </c>
      <c r="I1692" s="6">
        <f>IFERROR(__xludf.DUMMYFUNCTION("""COMPUTED_VALUE"""),83.0)</f>
        <v>83</v>
      </c>
      <c r="S1692" s="1" t="s">
        <v>4881</v>
      </c>
      <c r="T1692" s="6" t="str">
        <f>IFERROR(__xludf.DUMMYFUNCTION("""COMPUTED_VALUE"""),"superior")</f>
        <v>superior</v>
      </c>
      <c r="W1692" s="8"/>
      <c r="AJ1692" s="1" t="s">
        <v>1678</v>
      </c>
      <c r="AM1692" s="1" t="s">
        <v>3211</v>
      </c>
    </row>
    <row r="1693">
      <c r="E1693" s="1" t="s">
        <v>4882</v>
      </c>
      <c r="F1693" s="6" t="str">
        <f>IFERROR(__xludf.DUMMYFUNCTION("""COMPUTED_VALUE"""),"followers")</f>
        <v>followers</v>
      </c>
      <c r="H1693" s="1" t="s">
        <v>1444</v>
      </c>
      <c r="I1693" s="6" t="str">
        <f>IFERROR(__xludf.DUMMYFUNCTION("""COMPUTED_VALUE"""),"hartley")</f>
        <v>hartley</v>
      </c>
      <c r="S1693" s="1" t="s">
        <v>1794</v>
      </c>
      <c r="T1693" s="6" t="str">
        <f>IFERROR(__xludf.DUMMYFUNCTION("""COMPUTED_VALUE"""),"lectures")</f>
        <v>lectures</v>
      </c>
      <c r="W1693" s="8"/>
      <c r="AJ1693" s="1" t="s">
        <v>1685</v>
      </c>
      <c r="AM1693" s="1" t="s">
        <v>3214</v>
      </c>
    </row>
    <row r="1694">
      <c r="E1694" s="1" t="s">
        <v>4883</v>
      </c>
      <c r="F1694" s="6" t="str">
        <f>IFERROR(__xludf.DUMMYFUNCTION("""COMPUTED_VALUE"""),"crocodile")</f>
        <v>crocodile</v>
      </c>
      <c r="H1694" s="1" t="s">
        <v>4684</v>
      </c>
      <c r="I1694" s="6" t="str">
        <f>IFERROR(__xludf.DUMMYFUNCTION("""COMPUTED_VALUE"""),"reminder")</f>
        <v>reminder</v>
      </c>
      <c r="S1694" s="1" t="s">
        <v>3936</v>
      </c>
      <c r="T1694" s="6" t="str">
        <f>IFERROR(__xludf.DUMMYFUNCTION("""COMPUTED_VALUE"""),"terrorist")</f>
        <v>terrorist</v>
      </c>
      <c r="W1694" s="8"/>
      <c r="AJ1694" s="1" t="s">
        <v>3096</v>
      </c>
      <c r="AM1694" s="1" t="s">
        <v>4326</v>
      </c>
    </row>
    <row r="1695">
      <c r="E1695" s="1" t="s">
        <v>2097</v>
      </c>
      <c r="F1695" s="6" t="str">
        <f>IFERROR(__xludf.DUMMYFUNCTION("""COMPUTED_VALUE"""),"bodily")</f>
        <v>bodily</v>
      </c>
      <c r="H1695" s="1" t="s">
        <v>4173</v>
      </c>
      <c r="I1695" s="6" t="str">
        <f>IFERROR(__xludf.DUMMYFUNCTION("""COMPUTED_VALUE"""),"significance")</f>
        <v>significance</v>
      </c>
      <c r="S1695" s="1" t="s">
        <v>2714</v>
      </c>
      <c r="T1695" s="6" t="str">
        <f>IFERROR(__xludf.DUMMYFUNCTION("""COMPUTED_VALUE"""),"larry")</f>
        <v>larry</v>
      </c>
      <c r="W1695" s="8"/>
      <c r="AJ1695" s="1" t="s">
        <v>3099</v>
      </c>
      <c r="AM1695" s="1" t="s">
        <v>1727</v>
      </c>
    </row>
    <row r="1696">
      <c r="E1696" s="1" t="s">
        <v>3788</v>
      </c>
      <c r="F1696" s="6" t="str">
        <f>IFERROR(__xludf.DUMMYFUNCTION("""COMPUTED_VALUE"""),"fling")</f>
        <v>fling</v>
      </c>
      <c r="H1696" s="1" t="s">
        <v>666</v>
      </c>
      <c r="I1696" s="6" t="str">
        <f>IFERROR(__xludf.DUMMYFUNCTION("""COMPUTED_VALUE"""),"anarchist")</f>
        <v>anarchist</v>
      </c>
      <c r="S1696" s="1" t="s">
        <v>4884</v>
      </c>
      <c r="T1696" s="6" t="str">
        <f>IFERROR(__xludf.DUMMYFUNCTION("""COMPUTED_VALUE"""),"gaze")</f>
        <v>gaze</v>
      </c>
      <c r="W1696" s="8"/>
      <c r="AJ1696" s="1" t="s">
        <v>3948</v>
      </c>
      <c r="AM1696" s="1" t="s">
        <v>4330</v>
      </c>
    </row>
    <row r="1697">
      <c r="E1697" s="1" t="s">
        <v>988</v>
      </c>
      <c r="F1697" s="6" t="str">
        <f>IFERROR(__xludf.DUMMYFUNCTION("""COMPUTED_VALUE"""),"fleeting")</f>
        <v>fleeting</v>
      </c>
      <c r="H1697" s="1" t="s">
        <v>3017</v>
      </c>
      <c r="I1697" s="6" t="str">
        <f>IFERROR(__xludf.DUMMYFUNCTION("""COMPUTED_VALUE"""),"seductive")</f>
        <v>seductive</v>
      </c>
      <c r="S1697" s="1" t="s">
        <v>4385</v>
      </c>
      <c r="T1697" s="6" t="str">
        <f>IFERROR(__xludf.DUMMYFUNCTION("""COMPUTED_VALUE"""),"hilary")</f>
        <v>hilary</v>
      </c>
      <c r="W1697" s="8"/>
      <c r="AJ1697" s="1" t="s">
        <v>1723</v>
      </c>
      <c r="AM1697" s="1" t="s">
        <v>3220</v>
      </c>
    </row>
    <row r="1698">
      <c r="E1698" s="1" t="s">
        <v>4885</v>
      </c>
      <c r="F1698" s="6" t="str">
        <f>IFERROR(__xludf.DUMMYFUNCTION("""COMPUTED_VALUE"""),"thrust")</f>
        <v>thrust</v>
      </c>
      <c r="H1698" s="1" t="s">
        <v>2809</v>
      </c>
      <c r="I1698" s="6" t="str">
        <f>IFERROR(__xludf.DUMMYFUNCTION("""COMPUTED_VALUE"""),"productions")</f>
        <v>productions</v>
      </c>
      <c r="S1698" s="1" t="s">
        <v>4886</v>
      </c>
      <c r="T1698" s="6" t="str">
        <f>IFERROR(__xludf.DUMMYFUNCTION("""COMPUTED_VALUE"""),"birmingham")</f>
        <v>birmingham</v>
      </c>
      <c r="W1698" s="8"/>
      <c r="AJ1698" s="1" t="s">
        <v>1747</v>
      </c>
      <c r="AM1698" s="1" t="s">
        <v>3972</v>
      </c>
    </row>
    <row r="1699">
      <c r="E1699" s="1" t="s">
        <v>3791</v>
      </c>
      <c r="F1699" s="6" t="str">
        <f>IFERROR(__xludf.DUMMYFUNCTION("""COMPUTED_VALUE"""),"substantive")</f>
        <v>substantive</v>
      </c>
      <c r="H1699" s="1" t="s">
        <v>4176</v>
      </c>
      <c r="I1699" s="6" t="str">
        <f>IFERROR(__xludf.DUMMYFUNCTION("""COMPUTED_VALUE"""),"meaningless")</f>
        <v>meaningless</v>
      </c>
      <c r="S1699" s="1" t="s">
        <v>2220</v>
      </c>
      <c r="T1699" s="6" t="str">
        <f>IFERROR(__xludf.DUMMYFUNCTION("""COMPUTED_VALUE"""),"rules")</f>
        <v>rules</v>
      </c>
      <c r="W1699" s="8"/>
      <c r="AJ1699" s="1" t="s">
        <v>4887</v>
      </c>
      <c r="AM1699" s="1" t="s">
        <v>3222</v>
      </c>
    </row>
    <row r="1700">
      <c r="E1700" s="1" t="s">
        <v>2099</v>
      </c>
      <c r="F1700" s="6" t="str">
        <f>IFERROR(__xludf.DUMMYFUNCTION("""COMPUTED_VALUE"""),"teeth")</f>
        <v>teeth</v>
      </c>
      <c r="H1700" s="1" t="s">
        <v>982</v>
      </c>
      <c r="I1700" s="6" t="str">
        <f>IFERROR(__xludf.DUMMYFUNCTION("""COMPUTED_VALUE"""),"garbage")</f>
        <v>garbage</v>
      </c>
      <c r="S1700" s="1" t="s">
        <v>1726</v>
      </c>
      <c r="T1700" s="6">
        <f>IFERROR(__xludf.DUMMYFUNCTION("""COMPUTED_VALUE"""),89.0)</f>
        <v>89</v>
      </c>
      <c r="W1700" s="8"/>
      <c r="AJ1700" s="1" t="s">
        <v>3103</v>
      </c>
      <c r="AM1700" s="1" t="s">
        <v>3226</v>
      </c>
    </row>
    <row r="1701">
      <c r="E1701" s="1" t="s">
        <v>3795</v>
      </c>
      <c r="F1701" s="6" t="str">
        <f>IFERROR(__xludf.DUMMYFUNCTION("""COMPUTED_VALUE"""),"binary")</f>
        <v>binary</v>
      </c>
      <c r="H1701" s="1" t="s">
        <v>4180</v>
      </c>
      <c r="I1701" s="6" t="str">
        <f>IFERROR(__xludf.DUMMYFUNCTION("""COMPUTED_VALUE"""),"sink")</f>
        <v>sink</v>
      </c>
      <c r="S1701" s="1" t="s">
        <v>4888</v>
      </c>
      <c r="T1701" s="6" t="str">
        <f>IFERROR(__xludf.DUMMYFUNCTION("""COMPUTED_VALUE"""),"sensitivity")</f>
        <v>sensitivity</v>
      </c>
      <c r="W1701" s="8"/>
      <c r="AJ1701" s="1" t="s">
        <v>4889</v>
      </c>
      <c r="AM1701" s="1" t="s">
        <v>4342</v>
      </c>
    </row>
    <row r="1702">
      <c r="E1702" s="1" t="s">
        <v>3800</v>
      </c>
      <c r="F1702" s="6" t="str">
        <f>IFERROR(__xludf.DUMMYFUNCTION("""COMPUTED_VALUE"""),"messenger")</f>
        <v>messenger</v>
      </c>
      <c r="H1702" s="1" t="s">
        <v>4182</v>
      </c>
      <c r="I1702" s="6" t="str">
        <f>IFERROR(__xludf.DUMMYFUNCTION("""COMPUTED_VALUE"""),"bid")</f>
        <v>bid</v>
      </c>
      <c r="S1702" s="1" t="s">
        <v>4890</v>
      </c>
      <c r="T1702" s="6" t="str">
        <f>IFERROR(__xludf.DUMMYFUNCTION("""COMPUTED_VALUE"""),"israel")</f>
        <v>israel</v>
      </c>
      <c r="W1702" s="8"/>
      <c r="AJ1702" s="1" t="s">
        <v>3106</v>
      </c>
      <c r="AM1702" s="1" t="s">
        <v>911</v>
      </c>
    </row>
    <row r="1703">
      <c r="E1703" s="1" t="s">
        <v>4891</v>
      </c>
      <c r="F1703" s="6" t="str">
        <f>IFERROR(__xludf.DUMMYFUNCTION("""COMPUTED_VALUE"""),"shapiro")</f>
        <v>shapiro</v>
      </c>
      <c r="H1703" s="1" t="s">
        <v>1579</v>
      </c>
      <c r="I1703" s="6" t="str">
        <f>IFERROR(__xludf.DUMMYFUNCTION("""COMPUTED_VALUE"""),"detailed")</f>
        <v>detailed</v>
      </c>
      <c r="S1703" s="1" t="s">
        <v>2589</v>
      </c>
      <c r="T1703" s="6" t="str">
        <f>IFERROR(__xludf.DUMMYFUNCTION("""COMPUTED_VALUE"""),"accountant")</f>
        <v>accountant</v>
      </c>
      <c r="W1703" s="8"/>
      <c r="AJ1703" s="1" t="s">
        <v>3952</v>
      </c>
      <c r="AM1703" s="1" t="s">
        <v>2943</v>
      </c>
    </row>
    <row r="1704">
      <c r="E1704" s="1" t="s">
        <v>4892</v>
      </c>
      <c r="F1704" s="6" t="str">
        <f>IFERROR(__xludf.DUMMYFUNCTION("""COMPUTED_VALUE"""),"goldman")</f>
        <v>goldman</v>
      </c>
      <c r="H1704" s="1" t="s">
        <v>4186</v>
      </c>
      <c r="I1704" s="6" t="str">
        <f>IFERROR(__xludf.DUMMYFUNCTION("""COMPUTED_VALUE"""),"hope")</f>
        <v>hope</v>
      </c>
      <c r="S1704" s="1" t="s">
        <v>4893</v>
      </c>
      <c r="T1704" s="6" t="str">
        <f>IFERROR(__xludf.DUMMYFUNCTION("""COMPUTED_VALUE"""),"precision")</f>
        <v>precision</v>
      </c>
      <c r="W1704" s="8"/>
      <c r="AJ1704" s="1" t="s">
        <v>3110</v>
      </c>
      <c r="AM1704" s="1" t="s">
        <v>4347</v>
      </c>
    </row>
    <row r="1705">
      <c r="E1705" s="1" t="s">
        <v>1069</v>
      </c>
      <c r="F1705" s="6" t="str">
        <f>IFERROR(__xludf.DUMMYFUNCTION("""COMPUTED_VALUE"""),"participants")</f>
        <v>participants</v>
      </c>
      <c r="H1705" s="1" t="s">
        <v>986</v>
      </c>
      <c r="I1705" s="6" t="str">
        <f>IFERROR(__xludf.DUMMYFUNCTION("""COMPUTED_VALUE"""),"documentaries")</f>
        <v>documentaries</v>
      </c>
      <c r="S1705" s="1" t="s">
        <v>4894</v>
      </c>
      <c r="T1705" s="6" t="str">
        <f>IFERROR(__xludf.DUMMYFUNCTION("""COMPUTED_VALUE"""),"michel")</f>
        <v>michel</v>
      </c>
      <c r="W1705" s="8"/>
      <c r="AJ1705" s="1" t="s">
        <v>4895</v>
      </c>
      <c r="AM1705" s="1" t="s">
        <v>3827</v>
      </c>
    </row>
    <row r="1706">
      <c r="E1706" s="1" t="s">
        <v>4896</v>
      </c>
      <c r="F1706" s="6" t="str">
        <f>IFERROR(__xludf.DUMMYFUNCTION("""COMPUTED_VALUE"""),"franklin")</f>
        <v>franklin</v>
      </c>
      <c r="H1706" s="1" t="s">
        <v>3045</v>
      </c>
      <c r="I1706" s="6" t="str">
        <f>IFERROR(__xludf.DUMMYFUNCTION("""COMPUTED_VALUE"""),"anne")</f>
        <v>anne</v>
      </c>
      <c r="S1706" s="1" t="s">
        <v>1291</v>
      </c>
      <c r="T1706" s="6" t="str">
        <f>IFERROR(__xludf.DUMMYFUNCTION("""COMPUTED_VALUE"""),"probe")</f>
        <v>probe</v>
      </c>
      <c r="W1706" s="8"/>
      <c r="AJ1706" s="1" t="s">
        <v>3114</v>
      </c>
      <c r="AM1706" s="1" t="s">
        <v>4897</v>
      </c>
    </row>
    <row r="1707">
      <c r="E1707" s="1" t="s">
        <v>4898</v>
      </c>
      <c r="F1707" s="6" t="str">
        <f>IFERROR(__xludf.DUMMYFUNCTION("""COMPUTED_VALUE"""),"carl")</f>
        <v>carl</v>
      </c>
      <c r="H1707" s="1" t="s">
        <v>4189</v>
      </c>
      <c r="I1707" s="6" t="str">
        <f>IFERROR(__xludf.DUMMYFUNCTION("""COMPUTED_VALUE"""),"sway")</f>
        <v>sway</v>
      </c>
      <c r="S1707" s="1" t="s">
        <v>4899</v>
      </c>
      <c r="T1707" s="6" t="str">
        <f>IFERROR(__xludf.DUMMYFUNCTION("""COMPUTED_VALUE"""),"aspirations")</f>
        <v>aspirations</v>
      </c>
      <c r="W1707" s="8"/>
      <c r="AJ1707" s="1" t="s">
        <v>3116</v>
      </c>
      <c r="AM1707" s="1" t="s">
        <v>1741</v>
      </c>
    </row>
    <row r="1708">
      <c r="E1708" s="1" t="s">
        <v>904</v>
      </c>
      <c r="F1708" s="6" t="str">
        <f>IFERROR(__xludf.DUMMYFUNCTION("""COMPUTED_VALUE"""),"relic")</f>
        <v>relic</v>
      </c>
      <c r="H1708" s="1" t="s">
        <v>4191</v>
      </c>
      <c r="I1708" s="6" t="str">
        <f>IFERROR(__xludf.DUMMYFUNCTION("""COMPUTED_VALUE"""),"politically")</f>
        <v>politically</v>
      </c>
      <c r="S1708" s="1" t="s">
        <v>1393</v>
      </c>
      <c r="T1708" s="6" t="str">
        <f>IFERROR(__xludf.DUMMYFUNCTION("""COMPUTED_VALUE"""),"charms")</f>
        <v>charms</v>
      </c>
      <c r="W1708" s="8"/>
      <c r="AJ1708" s="1" t="s">
        <v>3117</v>
      </c>
      <c r="AM1708" s="1" t="s">
        <v>4900</v>
      </c>
    </row>
    <row r="1709">
      <c r="E1709" s="1" t="s">
        <v>2105</v>
      </c>
      <c r="F1709" s="6" t="str">
        <f>IFERROR(__xludf.DUMMYFUNCTION("""COMPUTED_VALUE"""),"turks")</f>
        <v>turks</v>
      </c>
      <c r="H1709" s="1" t="s">
        <v>992</v>
      </c>
      <c r="I1709" s="6" t="str">
        <f>IFERROR(__xludf.DUMMYFUNCTION("""COMPUTED_VALUE"""),"mysteries")</f>
        <v>mysteries</v>
      </c>
      <c r="S1709" s="1" t="s">
        <v>1279</v>
      </c>
      <c r="T1709" s="6" t="str">
        <f>IFERROR(__xludf.DUMMYFUNCTION("""COMPUTED_VALUE"""),"gay")</f>
        <v>gay</v>
      </c>
      <c r="W1709" s="8"/>
      <c r="AJ1709" s="1" t="s">
        <v>4901</v>
      </c>
      <c r="AM1709" s="1" t="s">
        <v>2946</v>
      </c>
    </row>
    <row r="1710">
      <c r="E1710" s="1" t="s">
        <v>4902</v>
      </c>
      <c r="F1710" s="6" t="str">
        <f>IFERROR(__xludf.DUMMYFUNCTION("""COMPUTED_VALUE"""),"sap")</f>
        <v>sap</v>
      </c>
      <c r="H1710" s="1" t="s">
        <v>3320</v>
      </c>
      <c r="I1710" s="6" t="str">
        <f>IFERROR(__xludf.DUMMYFUNCTION("""COMPUTED_VALUE"""),"technologies")</f>
        <v>technologies</v>
      </c>
      <c r="S1710" s="1" t="s">
        <v>4903</v>
      </c>
      <c r="T1710" s="6" t="str">
        <f>IFERROR(__xludf.DUMMYFUNCTION("""COMPUTED_VALUE"""),"conservative")</f>
        <v>conservative</v>
      </c>
      <c r="W1710" s="8"/>
      <c r="AJ1710" s="1" t="s">
        <v>3121</v>
      </c>
      <c r="AM1710" s="1" t="s">
        <v>4904</v>
      </c>
    </row>
    <row r="1711">
      <c r="E1711" s="1" t="s">
        <v>4905</v>
      </c>
      <c r="F1711" s="6" t="str">
        <f>IFERROR(__xludf.DUMMYFUNCTION("""COMPUTED_VALUE"""),"dad")</f>
        <v>dad</v>
      </c>
      <c r="H1711" s="1" t="s">
        <v>2542</v>
      </c>
      <c r="I1711" s="6" t="str">
        <f>IFERROR(__xludf.DUMMYFUNCTION("""COMPUTED_VALUE"""),"tunnels")</f>
        <v>tunnels</v>
      </c>
      <c r="S1711" s="1" t="s">
        <v>3589</v>
      </c>
      <c r="T1711" s="6" t="str">
        <f>IFERROR(__xludf.DUMMYFUNCTION("""COMPUTED_VALUE"""),"privy")</f>
        <v>privy</v>
      </c>
      <c r="W1711" s="8"/>
      <c r="AJ1711" s="1" t="s">
        <v>3124</v>
      </c>
      <c r="AM1711" s="1" t="s">
        <v>4906</v>
      </c>
    </row>
    <row r="1712">
      <c r="E1712" s="1" t="s">
        <v>3337</v>
      </c>
      <c r="F1712" s="6" t="str">
        <f>IFERROR(__xludf.DUMMYFUNCTION("""COMPUTED_VALUE"""),"vain")</f>
        <v>vain</v>
      </c>
      <c r="H1712" s="1" t="s">
        <v>4655</v>
      </c>
      <c r="I1712" s="6" t="str">
        <f>IFERROR(__xludf.DUMMYFUNCTION("""COMPUTED_VALUE"""),"attackers")</f>
        <v>attackers</v>
      </c>
      <c r="S1712" s="1" t="s">
        <v>2364</v>
      </c>
      <c r="T1712" s="6" t="str">
        <f>IFERROR(__xludf.DUMMYFUNCTION("""COMPUTED_VALUE"""),"fool")</f>
        <v>fool</v>
      </c>
      <c r="W1712" s="8"/>
      <c r="AJ1712" s="1" t="s">
        <v>399</v>
      </c>
      <c r="AM1712" s="1" t="s">
        <v>4349</v>
      </c>
    </row>
    <row r="1713">
      <c r="E1713" s="1" t="s">
        <v>2109</v>
      </c>
      <c r="F1713" s="6" t="str">
        <f>IFERROR(__xludf.DUMMYFUNCTION("""COMPUTED_VALUE"""),"zhang")</f>
        <v>zhang</v>
      </c>
      <c r="H1713" s="1" t="s">
        <v>854</v>
      </c>
      <c r="I1713" s="6" t="str">
        <f>IFERROR(__xludf.DUMMYFUNCTION("""COMPUTED_VALUE"""),"anonymous")</f>
        <v>anonymous</v>
      </c>
      <c r="S1713" s="1" t="s">
        <v>4907</v>
      </c>
      <c r="T1713" s="6" t="str">
        <f>IFERROR(__xludf.DUMMYFUNCTION("""COMPUTED_VALUE"""),"kenneth")</f>
        <v>kenneth</v>
      </c>
      <c r="W1713" s="8"/>
      <c r="AJ1713" s="1" t="s">
        <v>3129</v>
      </c>
      <c r="AM1713" s="1" t="s">
        <v>3233</v>
      </c>
    </row>
    <row r="1714">
      <c r="E1714" s="1" t="s">
        <v>3817</v>
      </c>
      <c r="F1714" s="6" t="str">
        <f>IFERROR(__xludf.DUMMYFUNCTION("""COMPUTED_VALUE"""),"knockout")</f>
        <v>knockout</v>
      </c>
      <c r="H1714" s="1" t="s">
        <v>2821</v>
      </c>
      <c r="I1714" s="6" t="str">
        <f>IFERROR(__xludf.DUMMYFUNCTION("""COMPUTED_VALUE"""),"primitive")</f>
        <v>primitive</v>
      </c>
      <c r="S1714" s="1" t="s">
        <v>2048</v>
      </c>
      <c r="T1714" s="6" t="str">
        <f>IFERROR(__xludf.DUMMYFUNCTION("""COMPUTED_VALUE"""),"space")</f>
        <v>space</v>
      </c>
      <c r="W1714" s="8"/>
      <c r="AJ1714" s="1" t="s">
        <v>3131</v>
      </c>
      <c r="AM1714" s="1" t="s">
        <v>4354</v>
      </c>
    </row>
    <row r="1715">
      <c r="E1715" s="1" t="s">
        <v>4908</v>
      </c>
      <c r="F1715" s="6" t="str">
        <f>IFERROR(__xludf.DUMMYFUNCTION("""COMPUTED_VALUE"""),"wryly")</f>
        <v>wryly</v>
      </c>
      <c r="H1715" s="1" t="s">
        <v>2461</v>
      </c>
      <c r="I1715" s="6" t="str">
        <f>IFERROR(__xludf.DUMMYFUNCTION("""COMPUTED_VALUE"""),"laurence")</f>
        <v>laurence</v>
      </c>
      <c r="S1715" s="1" t="s">
        <v>1417</v>
      </c>
      <c r="T1715" s="6" t="str">
        <f>IFERROR(__xludf.DUMMYFUNCTION("""COMPUTED_VALUE"""),"sought")</f>
        <v>sought</v>
      </c>
      <c r="W1715" s="8"/>
      <c r="AJ1715" s="1" t="s">
        <v>4909</v>
      </c>
      <c r="AM1715" s="1" t="s">
        <v>4357</v>
      </c>
    </row>
    <row r="1716">
      <c r="E1716" s="1" t="s">
        <v>3820</v>
      </c>
      <c r="F1716" s="6" t="str">
        <f>IFERROR(__xludf.DUMMYFUNCTION("""COMPUTED_VALUE"""),"fable")</f>
        <v>fable</v>
      </c>
      <c r="H1716" s="1" t="s">
        <v>4861</v>
      </c>
      <c r="I1716" s="6" t="str">
        <f>IFERROR(__xludf.DUMMYFUNCTION("""COMPUTED_VALUE"""),"olivier")</f>
        <v>olivier</v>
      </c>
      <c r="S1716" s="1" t="s">
        <v>4910</v>
      </c>
      <c r="T1716" s="6" t="str">
        <f>IFERROR(__xludf.DUMMYFUNCTION("""COMPUTED_VALUE"""),"simultaneously")</f>
        <v>simultaneously</v>
      </c>
      <c r="W1716" s="8"/>
      <c r="AJ1716" s="1" t="s">
        <v>4911</v>
      </c>
      <c r="AM1716" s="1" t="s">
        <v>2957</v>
      </c>
    </row>
    <row r="1717">
      <c r="E1717" s="1" t="s">
        <v>3823</v>
      </c>
      <c r="F1717" s="6" t="str">
        <f>IFERROR(__xludf.DUMMYFUNCTION("""COMPUTED_VALUE"""),"undertaken")</f>
        <v>undertaken</v>
      </c>
      <c r="H1717" s="1" t="s">
        <v>4494</v>
      </c>
      <c r="I1717" s="6" t="str">
        <f>IFERROR(__xludf.DUMMYFUNCTION("""COMPUTED_VALUE"""),"freddie")</f>
        <v>freddie</v>
      </c>
      <c r="S1717" s="1" t="s">
        <v>4912</v>
      </c>
      <c r="T1717" s="6" t="str">
        <f>IFERROR(__xludf.DUMMYFUNCTION("""COMPUTED_VALUE"""),"stein")</f>
        <v>stein</v>
      </c>
      <c r="W1717" s="8"/>
      <c r="AJ1717" s="1" t="s">
        <v>4913</v>
      </c>
      <c r="AM1717" s="1" t="s">
        <v>1090</v>
      </c>
    </row>
    <row r="1718">
      <c r="E1718" s="1" t="s">
        <v>3825</v>
      </c>
      <c r="F1718" s="6" t="str">
        <f>IFERROR(__xludf.DUMMYFUNCTION("""COMPUTED_VALUE"""),"determination")</f>
        <v>determination</v>
      </c>
      <c r="H1718" s="1" t="s">
        <v>3048</v>
      </c>
      <c r="I1718" s="6" t="str">
        <f>IFERROR(__xludf.DUMMYFUNCTION("""COMPUTED_VALUE"""),"harvard")</f>
        <v>harvard</v>
      </c>
      <c r="S1718" s="1" t="s">
        <v>4914</v>
      </c>
      <c r="T1718" s="6" t="str">
        <f>IFERROR(__xludf.DUMMYFUNCTION("""COMPUTED_VALUE"""),"stuffing")</f>
        <v>stuffing</v>
      </c>
      <c r="W1718" s="8"/>
      <c r="AJ1718" s="1" t="s">
        <v>3964</v>
      </c>
      <c r="AM1718" s="1" t="s">
        <v>4915</v>
      </c>
    </row>
    <row r="1719">
      <c r="E1719" s="1" t="s">
        <v>2113</v>
      </c>
      <c r="F1719" s="6" t="str">
        <f>IFERROR(__xludf.DUMMYFUNCTION("""COMPUTED_VALUE"""),"scientists")</f>
        <v>scientists</v>
      </c>
      <c r="H1719" s="1" t="s">
        <v>1448</v>
      </c>
      <c r="I1719" s="6" t="str">
        <f>IFERROR(__xludf.DUMMYFUNCTION("""COMPUTED_VALUE"""),"encompasses")</f>
        <v>encompasses</v>
      </c>
      <c r="S1719" s="1" t="s">
        <v>4916</v>
      </c>
      <c r="T1719" s="6" t="str">
        <f>IFERROR(__xludf.DUMMYFUNCTION("""COMPUTED_VALUE"""),"pollution")</f>
        <v>pollution</v>
      </c>
      <c r="W1719" s="8"/>
      <c r="AJ1719" s="1" t="s">
        <v>4917</v>
      </c>
      <c r="AM1719" s="1" t="s">
        <v>3236</v>
      </c>
    </row>
    <row r="1720">
      <c r="E1720" s="1" t="s">
        <v>3828</v>
      </c>
      <c r="F1720" s="6" t="str">
        <f>IFERROR(__xludf.DUMMYFUNCTION("""COMPUTED_VALUE"""),"marilyn")</f>
        <v>marilyn</v>
      </c>
      <c r="H1720" s="1" t="s">
        <v>4918</v>
      </c>
      <c r="I1720" s="6" t="str">
        <f>IFERROR(__xludf.DUMMYFUNCTION("""COMPUTED_VALUE"""),"contender")</f>
        <v>contender</v>
      </c>
      <c r="S1720" s="1" t="s">
        <v>2604</v>
      </c>
      <c r="T1720" s="6" t="str">
        <f>IFERROR(__xludf.DUMMYFUNCTION("""COMPUTED_VALUE"""),"profile")</f>
        <v>profile</v>
      </c>
      <c r="W1720" s="8"/>
      <c r="AJ1720" s="1" t="s">
        <v>4919</v>
      </c>
      <c r="AM1720" s="1" t="s">
        <v>3485</v>
      </c>
    </row>
    <row r="1721">
      <c r="E1721" s="1" t="s">
        <v>126</v>
      </c>
      <c r="F1721" s="6" t="str">
        <f>IFERROR(__xludf.DUMMYFUNCTION("""COMPUTED_VALUE"""),"craftsmen")</f>
        <v>craftsmen</v>
      </c>
      <c r="H1721" s="1" t="s">
        <v>637</v>
      </c>
      <c r="I1721" s="6" t="str">
        <f>IFERROR(__xludf.DUMMYFUNCTION("""COMPUTED_VALUE"""),"reynolds")</f>
        <v>reynolds</v>
      </c>
      <c r="S1721" s="1" t="s">
        <v>1732</v>
      </c>
      <c r="T1721" s="6" t="str">
        <f>IFERROR(__xludf.DUMMYFUNCTION("""COMPUTED_VALUE"""),"famous")</f>
        <v>famous</v>
      </c>
      <c r="W1721" s="8"/>
      <c r="AJ1721" s="1" t="s">
        <v>3133</v>
      </c>
      <c r="AM1721" s="1" t="s">
        <v>4920</v>
      </c>
    </row>
    <row r="1722">
      <c r="E1722" s="1" t="s">
        <v>3837</v>
      </c>
      <c r="F1722" s="6">
        <f>IFERROR(__xludf.DUMMYFUNCTION("""COMPUTED_VALUE"""),1952.0)</f>
        <v>1952</v>
      </c>
      <c r="H1722" s="1" t="s">
        <v>2826</v>
      </c>
      <c r="I1722" s="6" t="str">
        <f>IFERROR(__xludf.DUMMYFUNCTION("""COMPUTED_VALUE"""),"depleted")</f>
        <v>depleted</v>
      </c>
      <c r="S1722" s="1" t="s">
        <v>2731</v>
      </c>
      <c r="T1722" s="6" t="str">
        <f>IFERROR(__xludf.DUMMYFUNCTION("""COMPUTED_VALUE"""),"impress")</f>
        <v>impress</v>
      </c>
      <c r="W1722" s="8"/>
      <c r="AJ1722" s="1" t="s">
        <v>3139</v>
      </c>
      <c r="AM1722" s="1" t="s">
        <v>1671</v>
      </c>
    </row>
    <row r="1723">
      <c r="E1723" s="1" t="s">
        <v>2117</v>
      </c>
      <c r="F1723" s="6" t="str">
        <f>IFERROR(__xludf.DUMMYFUNCTION("""COMPUTED_VALUE"""),"acclaimed")</f>
        <v>acclaimed</v>
      </c>
      <c r="H1723" s="1" t="s">
        <v>2355</v>
      </c>
      <c r="I1723" s="6" t="str">
        <f>IFERROR(__xludf.DUMMYFUNCTION("""COMPUTED_VALUE"""),"decomposition")</f>
        <v>decomposition</v>
      </c>
      <c r="S1723" s="1" t="s">
        <v>2392</v>
      </c>
      <c r="T1723" s="6" t="str">
        <f>IFERROR(__xludf.DUMMYFUNCTION("""COMPUTED_VALUE"""),"intensely")</f>
        <v>intensely</v>
      </c>
      <c r="W1723" s="8"/>
      <c r="AJ1723" s="1" t="s">
        <v>4921</v>
      </c>
      <c r="AM1723" s="1" t="s">
        <v>3240</v>
      </c>
    </row>
    <row r="1724">
      <c r="E1724" s="1" t="s">
        <v>2121</v>
      </c>
      <c r="F1724" s="6" t="str">
        <f>IFERROR(__xludf.DUMMYFUNCTION("""COMPUTED_VALUE"""),"icon")</f>
        <v>icon</v>
      </c>
      <c r="H1724" s="1" t="s">
        <v>2829</v>
      </c>
      <c r="I1724" s="6" t="str">
        <f>IFERROR(__xludf.DUMMYFUNCTION("""COMPUTED_VALUE"""),"swaying")</f>
        <v>swaying</v>
      </c>
      <c r="S1724" s="1" t="s">
        <v>4480</v>
      </c>
      <c r="T1724" s="6" t="str">
        <f>IFERROR(__xludf.DUMMYFUNCTION("""COMPUTED_VALUE"""),"object")</f>
        <v>object</v>
      </c>
      <c r="W1724" s="8"/>
      <c r="AJ1724" s="1" t="s">
        <v>4922</v>
      </c>
      <c r="AM1724" s="1" t="s">
        <v>1746</v>
      </c>
    </row>
    <row r="1725">
      <c r="E1725" s="1" t="s">
        <v>3846</v>
      </c>
      <c r="F1725" s="6" t="str">
        <f>IFERROR(__xludf.DUMMYFUNCTION("""COMPUTED_VALUE"""),"unaffected")</f>
        <v>unaffected</v>
      </c>
      <c r="H1725" s="1" t="s">
        <v>693</v>
      </c>
      <c r="I1725" s="6" t="str">
        <f>IFERROR(__xludf.DUMMYFUNCTION("""COMPUTED_VALUE"""),"strategic")</f>
        <v>strategic</v>
      </c>
      <c r="S1725" s="1" t="s">
        <v>1356</v>
      </c>
      <c r="T1725" s="6" t="str">
        <f>IFERROR(__xludf.DUMMYFUNCTION("""COMPUTED_VALUE"""),"revelation")</f>
        <v>revelation</v>
      </c>
      <c r="W1725" s="8"/>
      <c r="AJ1725" s="1" t="s">
        <v>4923</v>
      </c>
      <c r="AM1725" s="1" t="s">
        <v>4375</v>
      </c>
    </row>
    <row r="1726">
      <c r="E1726" s="1" t="s">
        <v>1386</v>
      </c>
      <c r="F1726" s="6" t="str">
        <f>IFERROR(__xludf.DUMMYFUNCTION("""COMPUTED_VALUE"""),"minded")</f>
        <v>minded</v>
      </c>
      <c r="H1726" s="1" t="s">
        <v>859</v>
      </c>
      <c r="I1726" s="6" t="str">
        <f>IFERROR(__xludf.DUMMYFUNCTION("""COMPUTED_VALUE"""),"helm")</f>
        <v>helm</v>
      </c>
      <c r="S1726" s="1" t="s">
        <v>4924</v>
      </c>
      <c r="T1726" s="6" t="str">
        <f>IFERROR(__xludf.DUMMYFUNCTION("""COMPUTED_VALUE"""),"encounters")</f>
        <v>encounters</v>
      </c>
      <c r="W1726" s="8"/>
      <c r="AJ1726" s="1" t="s">
        <v>3141</v>
      </c>
      <c r="AM1726" s="1" t="s">
        <v>4925</v>
      </c>
    </row>
    <row r="1727">
      <c r="E1727" s="1" t="s">
        <v>1392</v>
      </c>
      <c r="F1727" s="6" t="str">
        <f>IFERROR(__xludf.DUMMYFUNCTION("""COMPUTED_VALUE"""),"unified")</f>
        <v>unified</v>
      </c>
      <c r="H1727" s="1" t="s">
        <v>4731</v>
      </c>
      <c r="I1727" s="6" t="str">
        <f>IFERROR(__xludf.DUMMYFUNCTION("""COMPUTED_VALUE"""),"philosophers")</f>
        <v>philosophers</v>
      </c>
      <c r="S1727" s="1" t="s">
        <v>4324</v>
      </c>
      <c r="T1727" s="6" t="str">
        <f>IFERROR(__xludf.DUMMYFUNCTION("""COMPUTED_VALUE"""),"hole")</f>
        <v>hole</v>
      </c>
      <c r="W1727" s="8"/>
      <c r="AJ1727" s="1" t="s">
        <v>3145</v>
      </c>
      <c r="AM1727" s="1" t="s">
        <v>2963</v>
      </c>
    </row>
    <row r="1728">
      <c r="E1728" s="1" t="s">
        <v>484</v>
      </c>
      <c r="F1728" s="6" t="str">
        <f>IFERROR(__xludf.DUMMYFUNCTION("""COMPUTED_VALUE"""),"ladder")</f>
        <v>ladder</v>
      </c>
      <c r="H1728" s="1" t="s">
        <v>3238</v>
      </c>
      <c r="I1728" s="6" t="str">
        <f>IFERROR(__xludf.DUMMYFUNCTION("""COMPUTED_VALUE"""),"ritchie")</f>
        <v>ritchie</v>
      </c>
      <c r="S1728" s="1" t="s">
        <v>4168</v>
      </c>
      <c r="T1728" s="6" t="str">
        <f>IFERROR(__xludf.DUMMYFUNCTION("""COMPUTED_VALUE"""),"boredom")</f>
        <v>boredom</v>
      </c>
      <c r="W1728" s="8"/>
      <c r="AJ1728" s="1" t="s">
        <v>3148</v>
      </c>
      <c r="AM1728" s="1" t="s">
        <v>4926</v>
      </c>
    </row>
    <row r="1729">
      <c r="E1729" s="1" t="s">
        <v>3852</v>
      </c>
      <c r="F1729" s="6" t="str">
        <f>IFERROR(__xludf.DUMMYFUNCTION("""COMPUTED_VALUE"""),"libretto")</f>
        <v>libretto</v>
      </c>
      <c r="H1729" s="1" t="s">
        <v>4328</v>
      </c>
      <c r="I1729" s="6" t="str">
        <f>IFERROR(__xludf.DUMMYFUNCTION("""COMPUTED_VALUE"""),"extra")</f>
        <v>extra</v>
      </c>
      <c r="S1729" s="1" t="s">
        <v>4927</v>
      </c>
      <c r="T1729" s="6" t="str">
        <f>IFERROR(__xludf.DUMMYFUNCTION("""COMPUTED_VALUE"""),"insistence")</f>
        <v>insistence</v>
      </c>
      <c r="W1729" s="8"/>
      <c r="AJ1729" s="1" t="s">
        <v>1824</v>
      </c>
      <c r="AM1729" s="1" t="s">
        <v>4928</v>
      </c>
    </row>
    <row r="1730">
      <c r="E1730" s="1" t="s">
        <v>3855</v>
      </c>
      <c r="F1730" s="6" t="str">
        <f>IFERROR(__xludf.DUMMYFUNCTION("""COMPUTED_VALUE"""),"monument")</f>
        <v>monument</v>
      </c>
      <c r="H1730" s="1" t="s">
        <v>3065</v>
      </c>
      <c r="I1730" s="6" t="str">
        <f>IFERROR(__xludf.DUMMYFUNCTION("""COMPUTED_VALUE"""),"bonding")</f>
        <v>bonding</v>
      </c>
      <c r="S1730" s="1" t="s">
        <v>3222</v>
      </c>
      <c r="T1730" s="6" t="str">
        <f>IFERROR(__xludf.DUMMYFUNCTION("""COMPUTED_VALUE"""),"accurately")</f>
        <v>accurately</v>
      </c>
      <c r="W1730" s="8"/>
      <c r="AJ1730" s="1" t="s">
        <v>3151</v>
      </c>
      <c r="AM1730" s="1" t="s">
        <v>3246</v>
      </c>
    </row>
    <row r="1731">
      <c r="E1731" s="1" t="s">
        <v>4929</v>
      </c>
      <c r="F1731" s="6" t="str">
        <f>IFERROR(__xludf.DUMMYFUNCTION("""COMPUTED_VALUE"""),"minority")</f>
        <v>minority</v>
      </c>
      <c r="H1731" s="1" t="s">
        <v>2836</v>
      </c>
      <c r="I1731" s="6" t="str">
        <f>IFERROR(__xludf.DUMMYFUNCTION("""COMPUTED_VALUE"""),"miniseries")</f>
        <v>miniseries</v>
      </c>
      <c r="S1731" s="1" t="s">
        <v>4930</v>
      </c>
      <c r="T1731" s="6" t="str">
        <f>IFERROR(__xludf.DUMMYFUNCTION("""COMPUTED_VALUE"""),"earn")</f>
        <v>earn</v>
      </c>
      <c r="W1731" s="8"/>
      <c r="AJ1731" s="1" t="s">
        <v>3155</v>
      </c>
      <c r="AM1731" s="1" t="s">
        <v>2967</v>
      </c>
    </row>
    <row r="1732">
      <c r="E1732" s="1" t="s">
        <v>3691</v>
      </c>
      <c r="F1732" s="6" t="str">
        <f>IFERROR(__xludf.DUMMYFUNCTION("""COMPUTED_VALUE"""),"shivers")</f>
        <v>shivers</v>
      </c>
      <c r="H1732" s="1" t="s">
        <v>2839</v>
      </c>
      <c r="I1732" s="6" t="str">
        <f>IFERROR(__xludf.DUMMYFUNCTION("""COMPUTED_VALUE"""),"disciplined")</f>
        <v>disciplined</v>
      </c>
      <c r="S1732" s="1" t="s">
        <v>4931</v>
      </c>
      <c r="T1732" s="6" t="str">
        <f>IFERROR(__xludf.DUMMYFUNCTION("""COMPUTED_VALUE"""),"turmoil")</f>
        <v>turmoil</v>
      </c>
      <c r="W1732" s="8"/>
      <c r="AJ1732" s="1" t="s">
        <v>3157</v>
      </c>
      <c r="AM1732" s="1" t="s">
        <v>4932</v>
      </c>
    </row>
    <row r="1733">
      <c r="E1733" s="1" t="s">
        <v>1399</v>
      </c>
      <c r="F1733" s="6" t="str">
        <f>IFERROR(__xludf.DUMMYFUNCTION("""COMPUTED_VALUE"""),"spine")</f>
        <v>spine</v>
      </c>
      <c r="H1733" s="1" t="s">
        <v>4205</v>
      </c>
      <c r="I1733" s="6" t="str">
        <f>IFERROR(__xludf.DUMMYFUNCTION("""COMPUTED_VALUE"""),"ironic")</f>
        <v>ironic</v>
      </c>
      <c r="S1733" s="1" t="s">
        <v>3525</v>
      </c>
      <c r="T1733" s="6">
        <f>IFERROR(__xludf.DUMMYFUNCTION("""COMPUTED_VALUE"""),83.0)</f>
        <v>83</v>
      </c>
      <c r="W1733" s="8"/>
      <c r="AJ1733" s="1" t="s">
        <v>3160</v>
      </c>
      <c r="AM1733" s="1" t="s">
        <v>3730</v>
      </c>
    </row>
    <row r="1734">
      <c r="E1734" s="1" t="s">
        <v>1080</v>
      </c>
      <c r="F1734" s="6" t="str">
        <f>IFERROR(__xludf.DUMMYFUNCTION("""COMPUTED_VALUE"""),"environmental")</f>
        <v>environmental</v>
      </c>
      <c r="H1734" s="1" t="s">
        <v>3548</v>
      </c>
      <c r="I1734" s="6" t="str">
        <f>IFERROR(__xludf.DUMMYFUNCTION("""COMPUTED_VALUE"""),"endurance")</f>
        <v>endurance</v>
      </c>
      <c r="S1734" s="1" t="s">
        <v>3812</v>
      </c>
      <c r="T1734" s="6" t="str">
        <f>IFERROR(__xludf.DUMMYFUNCTION("""COMPUTED_VALUE"""),"pill")</f>
        <v>pill</v>
      </c>
      <c r="W1734" s="8"/>
      <c r="AJ1734" s="1" t="s">
        <v>3162</v>
      </c>
      <c r="AM1734" s="1" t="s">
        <v>4933</v>
      </c>
    </row>
    <row r="1735">
      <c r="E1735" s="1" t="s">
        <v>4934</v>
      </c>
      <c r="F1735" s="6" t="str">
        <f>IFERROR(__xludf.DUMMYFUNCTION("""COMPUTED_VALUE"""),"fleeing")</f>
        <v>fleeing</v>
      </c>
      <c r="H1735" s="1" t="s">
        <v>1666</v>
      </c>
      <c r="I1735" s="6" t="str">
        <f>IFERROR(__xludf.DUMMYFUNCTION("""COMPUTED_VALUE"""),"tightened")</f>
        <v>tightened</v>
      </c>
      <c r="S1735" s="1" t="s">
        <v>1944</v>
      </c>
      <c r="T1735" s="6" t="str">
        <f>IFERROR(__xludf.DUMMYFUNCTION("""COMPUTED_VALUE"""),"reminder")</f>
        <v>reminder</v>
      </c>
      <c r="W1735" s="8"/>
      <c r="AJ1735" s="1" t="s">
        <v>4935</v>
      </c>
      <c r="AM1735" s="1" t="s">
        <v>2970</v>
      </c>
    </row>
    <row r="1736">
      <c r="E1736" s="1" t="s">
        <v>4936</v>
      </c>
      <c r="F1736" s="6" t="str">
        <f>IFERROR(__xludf.DUMMYFUNCTION("""COMPUTED_VALUE"""),"ramsay")</f>
        <v>ramsay</v>
      </c>
      <c r="H1736" s="1" t="s">
        <v>4209</v>
      </c>
      <c r="I1736" s="6" t="str">
        <f>IFERROR(__xludf.DUMMYFUNCTION("""COMPUTED_VALUE"""),"collaborative")</f>
        <v>collaborative</v>
      </c>
      <c r="S1736" s="1" t="s">
        <v>1754</v>
      </c>
      <c r="T1736" s="6" t="str">
        <f>IFERROR(__xludf.DUMMYFUNCTION("""COMPUTED_VALUE"""),"significance")</f>
        <v>significance</v>
      </c>
      <c r="W1736" s="8"/>
      <c r="AJ1736" s="1" t="s">
        <v>3166</v>
      </c>
      <c r="AM1736" s="1" t="s">
        <v>4937</v>
      </c>
    </row>
    <row r="1737">
      <c r="E1737" s="1" t="s">
        <v>3864</v>
      </c>
      <c r="F1737" s="6" t="str">
        <f>IFERROR(__xludf.DUMMYFUNCTION("""COMPUTED_VALUE"""),"converts")</f>
        <v>converts</v>
      </c>
      <c r="H1737" s="1" t="s">
        <v>2849</v>
      </c>
      <c r="I1737" s="6" t="str">
        <f>IFERROR(__xludf.DUMMYFUNCTION("""COMPUTED_VALUE"""),"ai")</f>
        <v>ai</v>
      </c>
      <c r="S1737" s="1" t="s">
        <v>4438</v>
      </c>
      <c r="T1737" s="6" t="str">
        <f>IFERROR(__xludf.DUMMYFUNCTION("""COMPUTED_VALUE"""),"productions")</f>
        <v>productions</v>
      </c>
      <c r="W1737" s="8"/>
      <c r="AJ1737" s="1" t="s">
        <v>3169</v>
      </c>
      <c r="AM1737" s="1" t="s">
        <v>4390</v>
      </c>
    </row>
    <row r="1738">
      <c r="E1738" s="1" t="s">
        <v>4938</v>
      </c>
      <c r="F1738" s="6" t="str">
        <f>IFERROR(__xludf.DUMMYFUNCTION("""COMPUTED_VALUE"""),"encompassing")</f>
        <v>encompassing</v>
      </c>
      <c r="H1738" s="1" t="s">
        <v>3078</v>
      </c>
      <c r="I1738" s="6" t="str">
        <f>IFERROR(__xludf.DUMMYFUNCTION("""COMPUTED_VALUE"""),"continuity")</f>
        <v>continuity</v>
      </c>
      <c r="S1738" s="1" t="s">
        <v>4701</v>
      </c>
      <c r="T1738" s="6" t="str">
        <f>IFERROR(__xludf.DUMMYFUNCTION("""COMPUTED_VALUE"""),"meaningless")</f>
        <v>meaningless</v>
      </c>
      <c r="W1738" s="8"/>
      <c r="AJ1738" s="1" t="s">
        <v>1913</v>
      </c>
      <c r="AM1738" s="1" t="s">
        <v>3250</v>
      </c>
    </row>
    <row r="1739">
      <c r="E1739" s="1" t="s">
        <v>4939</v>
      </c>
      <c r="F1739" s="6" t="str">
        <f>IFERROR(__xludf.DUMMYFUNCTION("""COMPUTED_VALUE"""),"favorably")</f>
        <v>favorably</v>
      </c>
      <c r="H1739" s="1" t="s">
        <v>286</v>
      </c>
      <c r="I1739" s="6" t="str">
        <f>IFERROR(__xludf.DUMMYFUNCTION("""COMPUTED_VALUE"""),"errors")</f>
        <v>errors</v>
      </c>
      <c r="S1739" s="1" t="s">
        <v>4940</v>
      </c>
      <c r="T1739" s="6" t="str">
        <f>IFERROR(__xludf.DUMMYFUNCTION("""COMPUTED_VALUE"""),"sink")</f>
        <v>sink</v>
      </c>
      <c r="W1739" s="8"/>
      <c r="AJ1739" s="1" t="s">
        <v>3171</v>
      </c>
      <c r="AM1739" s="1" t="s">
        <v>1098</v>
      </c>
    </row>
    <row r="1740">
      <c r="E1740" s="1" t="s">
        <v>2133</v>
      </c>
      <c r="F1740" s="6" t="str">
        <f>IFERROR(__xludf.DUMMYFUNCTION("""COMPUTED_VALUE"""),"hurts")</f>
        <v>hurts</v>
      </c>
      <c r="H1740" s="1" t="s">
        <v>864</v>
      </c>
      <c r="I1740" s="6" t="str">
        <f>IFERROR(__xludf.DUMMYFUNCTION("""COMPUTED_VALUE"""),"ambrose")</f>
        <v>ambrose</v>
      </c>
      <c r="S1740" s="1" t="s">
        <v>4941</v>
      </c>
      <c r="T1740" s="6" t="str">
        <f>IFERROR(__xludf.DUMMYFUNCTION("""COMPUTED_VALUE"""),"sugar")</f>
        <v>sugar</v>
      </c>
      <c r="W1740" s="8"/>
      <c r="AJ1740" s="1" t="s">
        <v>1518</v>
      </c>
      <c r="AM1740" s="1" t="s">
        <v>4584</v>
      </c>
    </row>
    <row r="1741">
      <c r="E1741" s="1" t="s">
        <v>3875</v>
      </c>
      <c r="F1741" s="6" t="str">
        <f>IFERROR(__xludf.DUMMYFUNCTION("""COMPUTED_VALUE"""),"clare")</f>
        <v>clare</v>
      </c>
      <c r="H1741" s="1" t="s">
        <v>1855</v>
      </c>
      <c r="I1741" s="6" t="str">
        <f>IFERROR(__xludf.DUMMYFUNCTION("""COMPUTED_VALUE"""),"leaps")</f>
        <v>leaps</v>
      </c>
      <c r="S1741" s="1" t="s">
        <v>4942</v>
      </c>
      <c r="T1741" s="6" t="str">
        <f>IFERROR(__xludf.DUMMYFUNCTION("""COMPUTED_VALUE"""),"bid")</f>
        <v>bid</v>
      </c>
      <c r="W1741" s="8"/>
      <c r="AJ1741" s="1" t="s">
        <v>4943</v>
      </c>
      <c r="AM1741" s="1" t="s">
        <v>919</v>
      </c>
    </row>
    <row r="1742">
      <c r="E1742" s="1" t="s">
        <v>4944</v>
      </c>
      <c r="F1742" s="6">
        <f>IFERROR(__xludf.DUMMYFUNCTION("""COMPUTED_VALUE"""),146.0)</f>
        <v>146</v>
      </c>
      <c r="H1742" s="1" t="s">
        <v>3055</v>
      </c>
      <c r="I1742" s="6" t="str">
        <f>IFERROR(__xludf.DUMMYFUNCTION("""COMPUTED_VALUE"""),"unnamed")</f>
        <v>unnamed</v>
      </c>
      <c r="S1742" s="1" t="s">
        <v>4945</v>
      </c>
      <c r="T1742" s="6" t="str">
        <f>IFERROR(__xludf.DUMMYFUNCTION("""COMPUTED_VALUE"""),"detailed")</f>
        <v>detailed</v>
      </c>
      <c r="W1742" s="8"/>
      <c r="AJ1742" s="1" t="s">
        <v>3176</v>
      </c>
      <c r="AM1742" s="1" t="s">
        <v>1520</v>
      </c>
    </row>
    <row r="1743">
      <c r="E1743" s="1" t="s">
        <v>1087</v>
      </c>
      <c r="F1743" s="6" t="str">
        <f>IFERROR(__xludf.DUMMYFUNCTION("""COMPUTED_VALUE"""),"muse")</f>
        <v>muse</v>
      </c>
      <c r="H1743" s="1" t="s">
        <v>1621</v>
      </c>
      <c r="I1743" s="6" t="str">
        <f>IFERROR(__xludf.DUMMYFUNCTION("""COMPUTED_VALUE"""),"ambition")</f>
        <v>ambition</v>
      </c>
      <c r="S1743" s="1" t="s">
        <v>3736</v>
      </c>
      <c r="T1743" s="6" t="str">
        <f>IFERROR(__xludf.DUMMYFUNCTION("""COMPUTED_VALUE"""),"bucks")</f>
        <v>bucks</v>
      </c>
      <c r="W1743" s="8"/>
      <c r="AJ1743" s="1" t="s">
        <v>3178</v>
      </c>
      <c r="AM1743" s="1" t="s">
        <v>925</v>
      </c>
    </row>
    <row r="1744">
      <c r="E1744" s="1" t="s">
        <v>4946</v>
      </c>
      <c r="F1744" s="6" t="str">
        <f>IFERROR(__xludf.DUMMYFUNCTION("""COMPUTED_VALUE"""),"weighs")</f>
        <v>weighs</v>
      </c>
      <c r="H1744" s="1" t="s">
        <v>3095</v>
      </c>
      <c r="I1744" s="6" t="str">
        <f>IFERROR(__xludf.DUMMYFUNCTION("""COMPUTED_VALUE"""),"improvised")</f>
        <v>improvised</v>
      </c>
      <c r="S1744" s="1" t="s">
        <v>1941</v>
      </c>
      <c r="T1744" s="6" t="str">
        <f>IFERROR(__xludf.DUMMYFUNCTION("""COMPUTED_VALUE"""),"hope")</f>
        <v>hope</v>
      </c>
      <c r="W1744" s="8"/>
      <c r="AJ1744" s="1" t="s">
        <v>3179</v>
      </c>
      <c r="AM1744" s="1" t="s">
        <v>3263</v>
      </c>
    </row>
    <row r="1745">
      <c r="E1745" s="1" t="s">
        <v>4947</v>
      </c>
      <c r="F1745" s="6" t="str">
        <f>IFERROR(__xludf.DUMMYFUNCTION("""COMPUTED_VALUE"""),"alfred")</f>
        <v>alfred</v>
      </c>
      <c r="H1745" s="1" t="s">
        <v>4217</v>
      </c>
      <c r="I1745" s="6" t="str">
        <f>IFERROR(__xludf.DUMMYFUNCTION("""COMPUTED_VALUE"""),"tapestry")</f>
        <v>tapestry</v>
      </c>
      <c r="S1745" s="1" t="s">
        <v>3532</v>
      </c>
      <c r="T1745" s="6" t="str">
        <f>IFERROR(__xludf.DUMMYFUNCTION("""COMPUTED_VALUE"""),"anne")</f>
        <v>anne</v>
      </c>
      <c r="W1745" s="8"/>
      <c r="AJ1745" s="1" t="s">
        <v>3183</v>
      </c>
      <c r="AM1745" s="1" t="s">
        <v>3267</v>
      </c>
    </row>
    <row r="1746">
      <c r="E1746" s="1" t="s">
        <v>2141</v>
      </c>
      <c r="F1746" s="6" t="str">
        <f>IFERROR(__xludf.DUMMYFUNCTION("""COMPUTED_VALUE"""),"hitchcock")</f>
        <v>hitchcock</v>
      </c>
      <c r="H1746" s="1" t="s">
        <v>4218</v>
      </c>
      <c r="I1746" s="6" t="str">
        <f>IFERROR(__xludf.DUMMYFUNCTION("""COMPUTED_VALUE"""),"roles")</f>
        <v>roles</v>
      </c>
      <c r="S1746" s="1" t="s">
        <v>2295</v>
      </c>
      <c r="T1746" s="6" t="str">
        <f>IFERROR(__xludf.DUMMYFUNCTION("""COMPUTED_VALUE"""),"sway")</f>
        <v>sway</v>
      </c>
      <c r="W1746" s="8"/>
      <c r="AJ1746" s="1" t="s">
        <v>4948</v>
      </c>
      <c r="AM1746" s="1" t="s">
        <v>1758</v>
      </c>
    </row>
    <row r="1747">
      <c r="E1747" s="1" t="s">
        <v>4949</v>
      </c>
      <c r="F1747" s="6" t="str">
        <f>IFERROR(__xludf.DUMMYFUNCTION("""COMPUTED_VALUE"""),"fontaine")</f>
        <v>fontaine</v>
      </c>
      <c r="H1747" s="1" t="s">
        <v>3100</v>
      </c>
      <c r="I1747" s="6" t="str">
        <f>IFERROR(__xludf.DUMMYFUNCTION("""COMPUTED_VALUE"""),"heights")</f>
        <v>heights</v>
      </c>
      <c r="S1747" s="1" t="s">
        <v>4950</v>
      </c>
      <c r="T1747" s="6" t="str">
        <f>IFERROR(__xludf.DUMMYFUNCTION("""COMPUTED_VALUE"""),"politically")</f>
        <v>politically</v>
      </c>
      <c r="W1747" s="8"/>
      <c r="AJ1747" s="1" t="s">
        <v>4951</v>
      </c>
      <c r="AM1747" s="1" t="s">
        <v>4952</v>
      </c>
    </row>
    <row r="1748">
      <c r="E1748" s="1" t="s">
        <v>4953</v>
      </c>
      <c r="F1748" s="6" t="str">
        <f>IFERROR(__xludf.DUMMYFUNCTION("""COMPUTED_VALUE"""),"shakespeare")</f>
        <v>shakespeare</v>
      </c>
      <c r="H1748" s="1" t="s">
        <v>4954</v>
      </c>
      <c r="I1748" s="6" t="str">
        <f>IFERROR(__xludf.DUMMYFUNCTION("""COMPUTED_VALUE"""),"ambiguity")</f>
        <v>ambiguity</v>
      </c>
      <c r="S1748" s="1" t="s">
        <v>4955</v>
      </c>
      <c r="T1748" s="6" t="str">
        <f>IFERROR(__xludf.DUMMYFUNCTION("""COMPUTED_VALUE"""),"mysteries")</f>
        <v>mysteries</v>
      </c>
      <c r="W1748" s="8"/>
      <c r="AJ1748" s="1" t="s">
        <v>4956</v>
      </c>
      <c r="AM1748" s="1" t="s">
        <v>4957</v>
      </c>
    </row>
    <row r="1749">
      <c r="E1749" s="1" t="s">
        <v>4958</v>
      </c>
      <c r="F1749" s="6" t="str">
        <f>IFERROR(__xludf.DUMMYFUNCTION("""COMPUTED_VALUE"""),"weakly")</f>
        <v>weakly</v>
      </c>
      <c r="H1749" s="1" t="s">
        <v>4222</v>
      </c>
      <c r="I1749" s="6" t="str">
        <f>IFERROR(__xludf.DUMMYFUNCTION("""COMPUTED_VALUE"""),"particular")</f>
        <v>particular</v>
      </c>
      <c r="S1749" s="1" t="s">
        <v>759</v>
      </c>
      <c r="T1749" s="6" t="str">
        <f>IFERROR(__xludf.DUMMYFUNCTION("""COMPUTED_VALUE"""),"lodging")</f>
        <v>lodging</v>
      </c>
      <c r="W1749" s="8"/>
      <c r="AJ1749" s="1" t="s">
        <v>3187</v>
      </c>
      <c r="AM1749" s="1" t="s">
        <v>2983</v>
      </c>
    </row>
    <row r="1750">
      <c r="E1750" s="1" t="s">
        <v>3883</v>
      </c>
      <c r="F1750" s="6" t="str">
        <f>IFERROR(__xludf.DUMMYFUNCTION("""COMPUTED_VALUE"""),"clyde")</f>
        <v>clyde</v>
      </c>
      <c r="H1750" s="1" t="s">
        <v>3107</v>
      </c>
      <c r="I1750" s="6" t="str">
        <f>IFERROR(__xludf.DUMMYFUNCTION("""COMPUTED_VALUE"""),"symbolic")</f>
        <v>symbolic</v>
      </c>
      <c r="S1750" s="1" t="s">
        <v>1294</v>
      </c>
      <c r="T1750" s="6" t="str">
        <f>IFERROR(__xludf.DUMMYFUNCTION("""COMPUTED_VALUE"""),"tunnels")</f>
        <v>tunnels</v>
      </c>
      <c r="W1750" s="8"/>
      <c r="AJ1750" s="1" t="s">
        <v>4959</v>
      </c>
      <c r="AM1750" s="1" t="s">
        <v>535</v>
      </c>
    </row>
    <row r="1751">
      <c r="E1751" s="1" t="s">
        <v>3886</v>
      </c>
      <c r="F1751" s="6" t="str">
        <f>IFERROR(__xludf.DUMMYFUNCTION("""COMPUTED_VALUE"""),"curves")</f>
        <v>curves</v>
      </c>
      <c r="H1751" s="1" t="s">
        <v>1627</v>
      </c>
      <c r="I1751" s="6" t="str">
        <f>IFERROR(__xludf.DUMMYFUNCTION("""COMPUTED_VALUE"""),"assert")</f>
        <v>assert</v>
      </c>
      <c r="S1751" s="1" t="s">
        <v>4960</v>
      </c>
      <c r="T1751" s="6" t="str">
        <f>IFERROR(__xludf.DUMMYFUNCTION("""COMPUTED_VALUE"""),"anonymous")</f>
        <v>anonymous</v>
      </c>
      <c r="W1751" s="8"/>
      <c r="AJ1751" s="1" t="s">
        <v>3191</v>
      </c>
      <c r="AM1751" s="1" t="s">
        <v>1107</v>
      </c>
    </row>
    <row r="1752">
      <c r="E1752" s="1" t="s">
        <v>4369</v>
      </c>
      <c r="F1752" s="6" t="str">
        <f>IFERROR(__xludf.DUMMYFUNCTION("""COMPUTED_VALUE"""),"fashioned")</f>
        <v>fashioned</v>
      </c>
      <c r="H1752" s="1" t="s">
        <v>4226</v>
      </c>
      <c r="I1752" s="6" t="str">
        <f>IFERROR(__xludf.DUMMYFUNCTION("""COMPUTED_VALUE"""),"contenders")</f>
        <v>contenders</v>
      </c>
      <c r="S1752" s="1" t="s">
        <v>4961</v>
      </c>
      <c r="T1752" s="6" t="str">
        <f>IFERROR(__xludf.DUMMYFUNCTION("""COMPUTED_VALUE"""),"gun")</f>
        <v>gun</v>
      </c>
      <c r="W1752" s="8"/>
      <c r="AJ1752" s="1" t="s">
        <v>1764</v>
      </c>
      <c r="AM1752" s="1" t="s">
        <v>4962</v>
      </c>
    </row>
    <row r="1753">
      <c r="E1753" s="1" t="s">
        <v>277</v>
      </c>
      <c r="F1753" s="6" t="str">
        <f>IFERROR(__xludf.DUMMYFUNCTION("""COMPUTED_VALUE"""),"strains")</f>
        <v>strains</v>
      </c>
      <c r="H1753" s="1" t="s">
        <v>2862</v>
      </c>
      <c r="I1753" s="6" t="str">
        <f>IFERROR(__xludf.DUMMYFUNCTION("""COMPUTED_VALUE"""),"freedom")</f>
        <v>freedom</v>
      </c>
      <c r="S1753" s="1" t="s">
        <v>4963</v>
      </c>
      <c r="T1753" s="6" t="str">
        <f>IFERROR(__xludf.DUMMYFUNCTION("""COMPUTED_VALUE"""),"prevalent")</f>
        <v>prevalent</v>
      </c>
      <c r="W1753" s="8"/>
      <c r="AJ1753" s="1" t="s">
        <v>4964</v>
      </c>
      <c r="AM1753" s="1" t="s">
        <v>3279</v>
      </c>
    </row>
    <row r="1754">
      <c r="E1754" s="1" t="s">
        <v>3891</v>
      </c>
      <c r="F1754" s="6" t="str">
        <f>IFERROR(__xludf.DUMMYFUNCTION("""COMPUTED_VALUE"""),"lucas")</f>
        <v>lucas</v>
      </c>
      <c r="H1754" s="1" t="s">
        <v>4231</v>
      </c>
      <c r="I1754" s="6" t="str">
        <f>IFERROR(__xludf.DUMMYFUNCTION("""COMPUTED_VALUE"""),"donovan")</f>
        <v>donovan</v>
      </c>
      <c r="S1754" s="1" t="s">
        <v>1469</v>
      </c>
      <c r="T1754" s="6" t="str">
        <f>IFERROR(__xludf.DUMMYFUNCTION("""COMPUTED_VALUE"""),"harvard")</f>
        <v>harvard</v>
      </c>
      <c r="W1754" s="8"/>
      <c r="AJ1754" s="1" t="s">
        <v>3194</v>
      </c>
      <c r="AM1754" s="1" t="s">
        <v>4405</v>
      </c>
    </row>
    <row r="1755">
      <c r="E1755" s="1" t="s">
        <v>4965</v>
      </c>
      <c r="F1755" s="6" t="str">
        <f>IFERROR(__xludf.DUMMYFUNCTION("""COMPUTED_VALUE"""),"jolt")</f>
        <v>jolt</v>
      </c>
      <c r="H1755" s="1" t="s">
        <v>3115</v>
      </c>
      <c r="I1755" s="6" t="str">
        <f>IFERROR(__xludf.DUMMYFUNCTION("""COMPUTED_VALUE"""),"irwin")</f>
        <v>irwin</v>
      </c>
      <c r="S1755" s="1" t="s">
        <v>4966</v>
      </c>
      <c r="T1755" s="6" t="str">
        <f>IFERROR(__xludf.DUMMYFUNCTION("""COMPUTED_VALUE"""),"paths")</f>
        <v>paths</v>
      </c>
      <c r="W1755" s="8"/>
      <c r="AJ1755" s="1" t="s">
        <v>3197</v>
      </c>
      <c r="AM1755" s="1" t="s">
        <v>1132</v>
      </c>
    </row>
    <row r="1756">
      <c r="E1756" s="1" t="s">
        <v>1407</v>
      </c>
      <c r="F1756" s="6" t="str">
        <f>IFERROR(__xludf.DUMMYFUNCTION("""COMPUTED_VALUE"""),"juliet")</f>
        <v>juliet</v>
      </c>
      <c r="H1756" s="1" t="s">
        <v>4237</v>
      </c>
      <c r="I1756" s="6" t="str">
        <f>IFERROR(__xludf.DUMMYFUNCTION("""COMPUTED_VALUE"""),"procedural")</f>
        <v>procedural</v>
      </c>
      <c r="S1756" s="1" t="s">
        <v>4967</v>
      </c>
      <c r="T1756" s="6" t="str">
        <f>IFERROR(__xludf.DUMMYFUNCTION("""COMPUTED_VALUE"""),"reynolds")</f>
        <v>reynolds</v>
      </c>
      <c r="W1756" s="8"/>
      <c r="AJ1756" s="1" t="s">
        <v>3201</v>
      </c>
      <c r="AM1756" s="1" t="s">
        <v>3168</v>
      </c>
    </row>
    <row r="1757">
      <c r="E1757" s="1" t="s">
        <v>4968</v>
      </c>
      <c r="F1757" s="6" t="str">
        <f>IFERROR(__xludf.DUMMYFUNCTION("""COMPUTED_VALUE"""),"fighters")</f>
        <v>fighters</v>
      </c>
      <c r="H1757" s="1" t="s">
        <v>1010</v>
      </c>
      <c r="I1757" s="6" t="str">
        <f>IFERROR(__xludf.DUMMYFUNCTION("""COMPUTED_VALUE"""),"excess")</f>
        <v>excess</v>
      </c>
      <c r="S1757" s="1" t="s">
        <v>4969</v>
      </c>
      <c r="T1757" s="6" t="str">
        <f>IFERROR(__xludf.DUMMYFUNCTION("""COMPUTED_VALUE"""),"depleted")</f>
        <v>depleted</v>
      </c>
      <c r="W1757" s="8"/>
      <c r="AJ1757" s="1" t="s">
        <v>3205</v>
      </c>
      <c r="AM1757" s="1" t="s">
        <v>930</v>
      </c>
    </row>
    <row r="1758">
      <c r="E1758" s="1" t="s">
        <v>922</v>
      </c>
      <c r="F1758" s="6" t="str">
        <f>IFERROR(__xludf.DUMMYFUNCTION("""COMPUTED_VALUE"""),"exchanges")</f>
        <v>exchanges</v>
      </c>
      <c r="H1758" s="1" t="s">
        <v>870</v>
      </c>
      <c r="I1758" s="6" t="str">
        <f>IFERROR(__xludf.DUMMYFUNCTION("""COMPUTED_VALUE"""),"schneider")</f>
        <v>schneider</v>
      </c>
      <c r="S1758" s="1" t="s">
        <v>688</v>
      </c>
      <c r="T1758" s="6" t="str">
        <f>IFERROR(__xludf.DUMMYFUNCTION("""COMPUTED_VALUE"""),"swaying")</f>
        <v>swaying</v>
      </c>
      <c r="W1758" s="8"/>
      <c r="AJ1758" s="1" t="s">
        <v>4970</v>
      </c>
      <c r="AM1758" s="1" t="s">
        <v>707</v>
      </c>
    </row>
    <row r="1759">
      <c r="E1759" s="1" t="s">
        <v>3900</v>
      </c>
      <c r="F1759" s="6" t="str">
        <f>IFERROR(__xludf.DUMMYFUNCTION("""COMPUTED_VALUE"""),"staggered")</f>
        <v>staggered</v>
      </c>
      <c r="H1759" s="1" t="s">
        <v>4240</v>
      </c>
      <c r="I1759" s="6" t="str">
        <f>IFERROR(__xludf.DUMMYFUNCTION("""COMPUTED_VALUE"""),"crypt")</f>
        <v>crypt</v>
      </c>
      <c r="S1759" s="1" t="s">
        <v>2931</v>
      </c>
      <c r="T1759" s="6" t="str">
        <f>IFERROR(__xludf.DUMMYFUNCTION("""COMPUTED_VALUE"""),"gently")</f>
        <v>gently</v>
      </c>
      <c r="W1759" s="8"/>
      <c r="AJ1759" s="1" t="s">
        <v>4971</v>
      </c>
      <c r="AM1759" s="1" t="s">
        <v>2996</v>
      </c>
    </row>
    <row r="1760">
      <c r="E1760" s="1" t="s">
        <v>4972</v>
      </c>
      <c r="F1760" s="6" t="str">
        <f>IFERROR(__xludf.DUMMYFUNCTION("""COMPUTED_VALUE"""),"suspects")</f>
        <v>suspects</v>
      </c>
      <c r="H1760" s="1" t="s">
        <v>4242</v>
      </c>
      <c r="I1760" s="6" t="str">
        <f>IFERROR(__xludf.DUMMYFUNCTION("""COMPUTED_VALUE"""),"peek")</f>
        <v>peek</v>
      </c>
      <c r="S1760" s="1" t="s">
        <v>4973</v>
      </c>
      <c r="T1760" s="6" t="str">
        <f>IFERROR(__xludf.DUMMYFUNCTION("""COMPUTED_VALUE"""),"ounce")</f>
        <v>ounce</v>
      </c>
      <c r="W1760" s="8"/>
      <c r="AJ1760" s="1" t="s">
        <v>3208</v>
      </c>
      <c r="AM1760" s="1" t="s">
        <v>3294</v>
      </c>
    </row>
    <row r="1761">
      <c r="E1761" s="1" t="s">
        <v>3903</v>
      </c>
      <c r="F1761" s="6" t="str">
        <f>IFERROR(__xludf.DUMMYFUNCTION("""COMPUTED_VALUE"""),"invincible")</f>
        <v>invincible</v>
      </c>
      <c r="H1761" s="1" t="s">
        <v>1017</v>
      </c>
      <c r="I1761" s="6" t="str">
        <f>IFERROR(__xludf.DUMMYFUNCTION("""COMPUTED_VALUE"""),"protagonist")</f>
        <v>protagonist</v>
      </c>
      <c r="S1761" s="1" t="s">
        <v>4974</v>
      </c>
      <c r="T1761" s="6" t="str">
        <f>IFERROR(__xludf.DUMMYFUNCTION("""COMPUTED_VALUE"""),"strategic")</f>
        <v>strategic</v>
      </c>
      <c r="W1761" s="8"/>
      <c r="AJ1761" s="1" t="s">
        <v>3210</v>
      </c>
      <c r="AM1761" s="1" t="s">
        <v>3298</v>
      </c>
    </row>
    <row r="1762">
      <c r="E1762" s="1" t="s">
        <v>4975</v>
      </c>
      <c r="F1762" s="6" t="str">
        <f>IFERROR(__xludf.DUMMYFUNCTION("""COMPUTED_VALUE"""),"forcefully")</f>
        <v>forcefully</v>
      </c>
      <c r="H1762" s="1" t="s">
        <v>3122</v>
      </c>
      <c r="I1762" s="6" t="str">
        <f>IFERROR(__xludf.DUMMYFUNCTION("""COMPUTED_VALUE"""),"patriotic")</f>
        <v>patriotic</v>
      </c>
      <c r="S1762" s="1" t="s">
        <v>4976</v>
      </c>
      <c r="T1762" s="6" t="str">
        <f>IFERROR(__xludf.DUMMYFUNCTION("""COMPUTED_VALUE"""),"define")</f>
        <v>define</v>
      </c>
      <c r="W1762" s="8"/>
      <c r="AJ1762" s="1" t="s">
        <v>4977</v>
      </c>
      <c r="AM1762" s="1" t="s">
        <v>1772</v>
      </c>
    </row>
    <row r="1763">
      <c r="E1763" s="1" t="s">
        <v>1417</v>
      </c>
      <c r="F1763" s="6" t="str">
        <f>IFERROR(__xludf.DUMMYFUNCTION("""COMPUTED_VALUE"""),"combustion")</f>
        <v>combustion</v>
      </c>
      <c r="H1763" s="1" t="s">
        <v>4248</v>
      </c>
      <c r="I1763" s="6" t="str">
        <f>IFERROR(__xludf.DUMMYFUNCTION("""COMPUTED_VALUE"""),"hardened")</f>
        <v>hardened</v>
      </c>
      <c r="S1763" s="1" t="s">
        <v>1427</v>
      </c>
      <c r="T1763" s="6" t="str">
        <f>IFERROR(__xludf.DUMMYFUNCTION("""COMPUTED_VALUE"""),"helm")</f>
        <v>helm</v>
      </c>
      <c r="W1763" s="8"/>
      <c r="AJ1763" s="1" t="s">
        <v>3213</v>
      </c>
      <c r="AM1763" s="1" t="s">
        <v>4422</v>
      </c>
    </row>
    <row r="1764">
      <c r="E1764" s="1" t="s">
        <v>3906</v>
      </c>
      <c r="F1764" s="6" t="str">
        <f>IFERROR(__xludf.DUMMYFUNCTION("""COMPUTED_VALUE"""),"barlow")</f>
        <v>barlow</v>
      </c>
      <c r="H1764" s="1" t="s">
        <v>1026</v>
      </c>
      <c r="I1764" s="6" t="str">
        <f>IFERROR(__xludf.DUMMYFUNCTION("""COMPUTED_VALUE"""),"origins")</f>
        <v>origins</v>
      </c>
      <c r="S1764" s="1" t="s">
        <v>3577</v>
      </c>
      <c r="T1764" s="6" t="str">
        <f>IFERROR(__xludf.DUMMYFUNCTION("""COMPUTED_VALUE"""),"philosophers")</f>
        <v>philosophers</v>
      </c>
      <c r="W1764" s="8"/>
      <c r="AJ1764" s="1" t="s">
        <v>1692</v>
      </c>
      <c r="AM1764" s="1" t="s">
        <v>3307</v>
      </c>
    </row>
    <row r="1765">
      <c r="E1765" s="1" t="s">
        <v>2143</v>
      </c>
      <c r="F1765" s="6" t="str">
        <f>IFERROR(__xludf.DUMMYFUNCTION("""COMPUTED_VALUE"""),"buried")</f>
        <v>buried</v>
      </c>
      <c r="H1765" s="1" t="s">
        <v>415</v>
      </c>
      <c r="I1765" s="6" t="str">
        <f>IFERROR(__xludf.DUMMYFUNCTION("""COMPUTED_VALUE"""),"nazi")</f>
        <v>nazi</v>
      </c>
      <c r="S1765" s="1" t="s">
        <v>3422</v>
      </c>
      <c r="T1765" s="6" t="str">
        <f>IFERROR(__xludf.DUMMYFUNCTION("""COMPUTED_VALUE"""),"ritchie")</f>
        <v>ritchie</v>
      </c>
      <c r="W1765" s="8"/>
      <c r="AJ1765" s="1" t="s">
        <v>444</v>
      </c>
      <c r="AM1765" s="1" t="s">
        <v>940</v>
      </c>
    </row>
    <row r="1766">
      <c r="E1766" s="1" t="s">
        <v>1095</v>
      </c>
      <c r="F1766" s="6" t="str">
        <f>IFERROR(__xludf.DUMMYFUNCTION("""COMPUTED_VALUE"""),"coping")</f>
        <v>coping</v>
      </c>
      <c r="H1766" s="1" t="s">
        <v>4773</v>
      </c>
      <c r="I1766" s="6" t="str">
        <f>IFERROR(__xludf.DUMMYFUNCTION("""COMPUTED_VALUE"""),"yiddish")</f>
        <v>yiddish</v>
      </c>
      <c r="S1766" s="1" t="s">
        <v>4978</v>
      </c>
      <c r="T1766" s="6" t="str">
        <f>IFERROR(__xludf.DUMMYFUNCTION("""COMPUTED_VALUE"""),"extra")</f>
        <v>extra</v>
      </c>
      <c r="W1766" s="8"/>
      <c r="AJ1766" s="1" t="s">
        <v>790</v>
      </c>
      <c r="AM1766" s="1" t="s">
        <v>1784</v>
      </c>
    </row>
    <row r="1767">
      <c r="E1767" s="1" t="s">
        <v>4979</v>
      </c>
      <c r="F1767" s="6" t="str">
        <f>IFERROR(__xludf.DUMMYFUNCTION("""COMPUTED_VALUE"""),"copenhagen")</f>
        <v>copenhagen</v>
      </c>
      <c r="H1767" s="1" t="s">
        <v>67</v>
      </c>
      <c r="I1767" s="6" t="str">
        <f>IFERROR(__xludf.DUMMYFUNCTION("""COMPUTED_VALUE"""),"bouncing")</f>
        <v>bouncing</v>
      </c>
      <c r="S1767" s="1" t="s">
        <v>4980</v>
      </c>
      <c r="T1767" s="6" t="str">
        <f>IFERROR(__xludf.DUMMYFUNCTION("""COMPUTED_VALUE"""),"miniseries")</f>
        <v>miniseries</v>
      </c>
      <c r="W1767" s="8"/>
      <c r="AJ1767" s="1" t="s">
        <v>1700</v>
      </c>
      <c r="AM1767" s="1" t="s">
        <v>4426</v>
      </c>
    </row>
    <row r="1768">
      <c r="E1768" s="1" t="s">
        <v>134</v>
      </c>
      <c r="F1768" s="6" t="str">
        <f>IFERROR(__xludf.DUMMYFUNCTION("""COMPUTED_VALUE"""),"winger")</f>
        <v>winger</v>
      </c>
      <c r="H1768" s="1" t="s">
        <v>3126</v>
      </c>
      <c r="I1768" s="6" t="str">
        <f>IFERROR(__xludf.DUMMYFUNCTION("""COMPUTED_VALUE"""),"practiced")</f>
        <v>practiced</v>
      </c>
      <c r="S1768" s="1" t="s">
        <v>4981</v>
      </c>
      <c r="T1768" s="6" t="str">
        <f>IFERROR(__xludf.DUMMYFUNCTION("""COMPUTED_VALUE"""),"ironic")</f>
        <v>ironic</v>
      </c>
      <c r="W1768" s="8"/>
      <c r="AJ1768" s="1" t="s">
        <v>3225</v>
      </c>
      <c r="AM1768" s="1" t="s">
        <v>2340</v>
      </c>
    </row>
    <row r="1769">
      <c r="E1769" s="1" t="s">
        <v>1441</v>
      </c>
      <c r="F1769" s="6" t="str">
        <f>IFERROR(__xludf.DUMMYFUNCTION("""COMPUTED_VALUE"""),"cloak")</f>
        <v>cloak</v>
      </c>
      <c r="H1769" s="1" t="s">
        <v>3862</v>
      </c>
      <c r="I1769" s="6" t="str">
        <f>IFERROR(__xludf.DUMMYFUNCTION("""COMPUTED_VALUE"""),"burst")</f>
        <v>burst</v>
      </c>
      <c r="S1769" s="1" t="s">
        <v>3835</v>
      </c>
      <c r="T1769" s="6" t="str">
        <f>IFERROR(__xludf.DUMMYFUNCTION("""COMPUTED_VALUE"""),"endurance")</f>
        <v>endurance</v>
      </c>
      <c r="W1769" s="8"/>
      <c r="AJ1769" s="1" t="s">
        <v>4982</v>
      </c>
      <c r="AM1769" s="1" t="s">
        <v>948</v>
      </c>
    </row>
    <row r="1770">
      <c r="E1770" s="1" t="s">
        <v>4983</v>
      </c>
      <c r="F1770" s="6" t="str">
        <f>IFERROR(__xludf.DUMMYFUNCTION("""COMPUTED_VALUE"""),"eccentric")</f>
        <v>eccentric</v>
      </c>
      <c r="H1770" s="1" t="s">
        <v>1594</v>
      </c>
      <c r="I1770" s="6" t="str">
        <f>IFERROR(__xludf.DUMMYFUNCTION("""COMPUTED_VALUE"""),"weary")</f>
        <v>weary</v>
      </c>
      <c r="S1770" s="1" t="s">
        <v>4984</v>
      </c>
      <c r="T1770" s="6" t="str">
        <f>IFERROR(__xludf.DUMMYFUNCTION("""COMPUTED_VALUE"""),"tightened")</f>
        <v>tightened</v>
      </c>
      <c r="W1770" s="8"/>
      <c r="AJ1770" s="1" t="s">
        <v>1455</v>
      </c>
      <c r="AM1770" s="1" t="s">
        <v>3319</v>
      </c>
    </row>
    <row r="1771">
      <c r="E1771" s="1" t="s">
        <v>4985</v>
      </c>
      <c r="F1771" s="6" t="str">
        <f>IFERROR(__xludf.DUMMYFUNCTION("""COMPUTED_VALUE"""),"reagan")</f>
        <v>reagan</v>
      </c>
      <c r="H1771" s="1" t="s">
        <v>4986</v>
      </c>
      <c r="I1771" s="6" t="str">
        <f>IFERROR(__xludf.DUMMYFUNCTION("""COMPUTED_VALUE"""),"clocks")</f>
        <v>clocks</v>
      </c>
      <c r="S1771" s="1" t="s">
        <v>4181</v>
      </c>
      <c r="T1771" s="6" t="str">
        <f>IFERROR(__xludf.DUMMYFUNCTION("""COMPUTED_VALUE"""),"collaborative")</f>
        <v>collaborative</v>
      </c>
      <c r="W1771" s="8"/>
      <c r="AJ1771" s="1" t="s">
        <v>4867</v>
      </c>
      <c r="AM1771" s="1" t="s">
        <v>1798</v>
      </c>
    </row>
    <row r="1772">
      <c r="E1772" s="1" t="s">
        <v>3919</v>
      </c>
      <c r="F1772" s="6" t="str">
        <f>IFERROR(__xludf.DUMMYFUNCTION("""COMPUTED_VALUE"""),"damon")</f>
        <v>damon</v>
      </c>
      <c r="H1772" s="1" t="s">
        <v>1030</v>
      </c>
      <c r="I1772" s="6" t="str">
        <f>IFERROR(__xludf.DUMMYFUNCTION("""COMPUTED_VALUE"""),"annals")</f>
        <v>annals</v>
      </c>
      <c r="S1772" s="1" t="s">
        <v>3866</v>
      </c>
      <c r="T1772" s="6" t="str">
        <f>IFERROR(__xludf.DUMMYFUNCTION("""COMPUTED_VALUE"""),"apollo")</f>
        <v>apollo</v>
      </c>
      <c r="W1772" s="8"/>
      <c r="AJ1772" s="1" t="s">
        <v>3228</v>
      </c>
      <c r="AM1772" s="1" t="s">
        <v>1804</v>
      </c>
    </row>
    <row r="1773">
      <c r="E1773" s="1" t="s">
        <v>2154</v>
      </c>
      <c r="F1773" s="6">
        <f>IFERROR(__xludf.DUMMYFUNCTION("""COMPUTED_VALUE"""),163.0)</f>
        <v>163</v>
      </c>
      <c r="H1773" s="1" t="s">
        <v>886</v>
      </c>
      <c r="I1773" s="6" t="str">
        <f>IFERROR(__xludf.DUMMYFUNCTION("""COMPUTED_VALUE"""),"forceful")</f>
        <v>forceful</v>
      </c>
      <c r="S1773" s="1" t="s">
        <v>2862</v>
      </c>
      <c r="T1773" s="6" t="str">
        <f>IFERROR(__xludf.DUMMYFUNCTION("""COMPUTED_VALUE"""),"ai")</f>
        <v>ai</v>
      </c>
      <c r="W1773" s="8"/>
      <c r="AJ1773" s="1" t="s">
        <v>3230</v>
      </c>
      <c r="AM1773" s="1" t="s">
        <v>3328</v>
      </c>
    </row>
    <row r="1774">
      <c r="E1774" s="1" t="s">
        <v>1106</v>
      </c>
      <c r="F1774" s="6" t="str">
        <f>IFERROR(__xludf.DUMMYFUNCTION("""COMPUTED_VALUE"""),"eventual")</f>
        <v>eventual</v>
      </c>
      <c r="H1774" s="1" t="s">
        <v>4987</v>
      </c>
      <c r="I1774" s="6" t="str">
        <f>IFERROR(__xludf.DUMMYFUNCTION("""COMPUTED_VALUE"""),"innovations")</f>
        <v>innovations</v>
      </c>
      <c r="S1774" s="1" t="s">
        <v>4581</v>
      </c>
      <c r="T1774" s="6" t="str">
        <f>IFERROR(__xludf.DUMMYFUNCTION("""COMPUTED_VALUE"""),"errors")</f>
        <v>errors</v>
      </c>
      <c r="W1774" s="8"/>
      <c r="AJ1774" s="1" t="s">
        <v>4988</v>
      </c>
      <c r="AM1774" s="1" t="s">
        <v>4436</v>
      </c>
    </row>
    <row r="1775">
      <c r="E1775" s="1" t="s">
        <v>4989</v>
      </c>
      <c r="F1775" s="6" t="str">
        <f>IFERROR(__xludf.DUMMYFUNCTION("""COMPUTED_VALUE"""),"commands")</f>
        <v>commands</v>
      </c>
      <c r="H1775" s="1" t="s">
        <v>4255</v>
      </c>
      <c r="I1775" s="6" t="str">
        <f>IFERROR(__xludf.DUMMYFUNCTION("""COMPUTED_VALUE"""),"despair")</f>
        <v>despair</v>
      </c>
      <c r="S1775" s="1" t="s">
        <v>3542</v>
      </c>
      <c r="T1775" s="6" t="str">
        <f>IFERROR(__xludf.DUMMYFUNCTION("""COMPUTED_VALUE"""),"leaps")</f>
        <v>leaps</v>
      </c>
      <c r="W1775" s="8"/>
      <c r="AJ1775" s="1" t="s">
        <v>4990</v>
      </c>
      <c r="AM1775" s="1" t="s">
        <v>4438</v>
      </c>
    </row>
    <row r="1776">
      <c r="E1776" s="1" t="s">
        <v>2157</v>
      </c>
      <c r="F1776" s="6" t="str">
        <f>IFERROR(__xludf.DUMMYFUNCTION("""COMPUTED_VALUE"""),"endangered")</f>
        <v>endangered</v>
      </c>
      <c r="H1776" s="1" t="s">
        <v>4991</v>
      </c>
      <c r="I1776" s="6" t="str">
        <f>IFERROR(__xludf.DUMMYFUNCTION("""COMPUTED_VALUE"""),"replaced")</f>
        <v>replaced</v>
      </c>
      <c r="S1776" s="1" t="s">
        <v>4992</v>
      </c>
      <c r="T1776" s="6" t="str">
        <f>IFERROR(__xludf.DUMMYFUNCTION("""COMPUTED_VALUE"""),"boundaries")</f>
        <v>boundaries</v>
      </c>
      <c r="W1776" s="8"/>
      <c r="AJ1776" s="1" t="s">
        <v>3232</v>
      </c>
      <c r="AM1776" s="1" t="s">
        <v>536</v>
      </c>
    </row>
    <row r="1777">
      <c r="E1777" s="1" t="s">
        <v>2161</v>
      </c>
      <c r="F1777" s="6" t="str">
        <f>IFERROR(__xludf.DUMMYFUNCTION("""COMPUTED_VALUE"""),"heavyweight")</f>
        <v>heavyweight</v>
      </c>
      <c r="H1777" s="1" t="s">
        <v>4685</v>
      </c>
      <c r="I1777" s="6" t="str">
        <f>IFERROR(__xludf.DUMMYFUNCTION("""COMPUTED_VALUE"""),"executives")</f>
        <v>executives</v>
      </c>
      <c r="S1777" s="1" t="s">
        <v>4993</v>
      </c>
      <c r="T1777" s="6" t="str">
        <f>IFERROR(__xludf.DUMMYFUNCTION("""COMPUTED_VALUE"""),"unnamed")</f>
        <v>unnamed</v>
      </c>
      <c r="W1777" s="8"/>
      <c r="AJ1777" s="1" t="s">
        <v>4994</v>
      </c>
      <c r="AM1777" s="1" t="s">
        <v>4995</v>
      </c>
    </row>
    <row r="1778">
      <c r="E1778" s="1" t="s">
        <v>1113</v>
      </c>
      <c r="F1778" s="6" t="str">
        <f>IFERROR(__xludf.DUMMYFUNCTION("""COMPUTED_VALUE"""),"unpaid")</f>
        <v>unpaid</v>
      </c>
      <c r="H1778" s="1" t="s">
        <v>1036</v>
      </c>
      <c r="I1778" s="6" t="str">
        <f>IFERROR(__xludf.DUMMYFUNCTION("""COMPUTED_VALUE"""),"hoped")</f>
        <v>hoped</v>
      </c>
      <c r="S1778" s="1" t="s">
        <v>4853</v>
      </c>
      <c r="T1778" s="6" t="str">
        <f>IFERROR(__xludf.DUMMYFUNCTION("""COMPUTED_VALUE"""),"stretched")</f>
        <v>stretched</v>
      </c>
      <c r="W1778" s="8"/>
      <c r="AJ1778" s="1" t="s">
        <v>3235</v>
      </c>
      <c r="AM1778" s="1" t="s">
        <v>3335</v>
      </c>
    </row>
    <row r="1779">
      <c r="E1779" s="1" t="s">
        <v>2169</v>
      </c>
      <c r="F1779" s="6" t="str">
        <f>IFERROR(__xludf.DUMMYFUNCTION("""COMPUTED_VALUE"""),"rash")</f>
        <v>rash</v>
      </c>
      <c r="H1779" s="1" t="s">
        <v>4996</v>
      </c>
      <c r="I1779" s="6" t="str">
        <f>IFERROR(__xludf.DUMMYFUNCTION("""COMPUTED_VALUE"""),"clint")</f>
        <v>clint</v>
      </c>
      <c r="S1779" s="1" t="s">
        <v>2064</v>
      </c>
      <c r="T1779" s="6" t="str">
        <f>IFERROR(__xludf.DUMMYFUNCTION("""COMPUTED_VALUE"""),"ambition")</f>
        <v>ambition</v>
      </c>
      <c r="W1779" s="8"/>
      <c r="AJ1779" s="1" t="s">
        <v>3239</v>
      </c>
      <c r="AM1779" s="1" t="s">
        <v>4441</v>
      </c>
    </row>
    <row r="1780">
      <c r="E1780" s="1" t="s">
        <v>4715</v>
      </c>
      <c r="F1780" s="6" t="str">
        <f>IFERROR(__xludf.DUMMYFUNCTION("""COMPUTED_VALUE"""),"chaplin")</f>
        <v>chaplin</v>
      </c>
      <c r="H1780" s="1" t="s">
        <v>2872</v>
      </c>
      <c r="I1780" s="6" t="str">
        <f>IFERROR(__xludf.DUMMYFUNCTION("""COMPUTED_VALUE"""),"illustrating")</f>
        <v>illustrating</v>
      </c>
      <c r="S1780" s="1" t="s">
        <v>3986</v>
      </c>
      <c r="T1780" s="6" t="str">
        <f>IFERROR(__xludf.DUMMYFUNCTION("""COMPUTED_VALUE"""),"improvised")</f>
        <v>improvised</v>
      </c>
      <c r="W1780" s="8"/>
      <c r="AJ1780" s="1" t="s">
        <v>3242</v>
      </c>
      <c r="AM1780" s="1" t="s">
        <v>1810</v>
      </c>
    </row>
    <row r="1781">
      <c r="E1781" s="1" t="s">
        <v>3641</v>
      </c>
      <c r="F1781" s="6" t="str">
        <f>IFERROR(__xludf.DUMMYFUNCTION("""COMPUTED_VALUE"""),"fiercely")</f>
        <v>fiercely</v>
      </c>
      <c r="H1781" s="1" t="s">
        <v>1313</v>
      </c>
      <c r="I1781" s="6" t="str">
        <f>IFERROR(__xludf.DUMMYFUNCTION("""COMPUTED_VALUE"""),"cop")</f>
        <v>cop</v>
      </c>
      <c r="S1781" s="1" t="s">
        <v>4936</v>
      </c>
      <c r="T1781" s="6" t="str">
        <f>IFERROR(__xludf.DUMMYFUNCTION("""COMPUTED_VALUE"""),"tapestry")</f>
        <v>tapestry</v>
      </c>
      <c r="W1781" s="8"/>
      <c r="AJ1781" s="1" t="s">
        <v>1837</v>
      </c>
      <c r="AM1781" s="1" t="s">
        <v>4997</v>
      </c>
    </row>
    <row r="1782">
      <c r="E1782" s="1" t="s">
        <v>4998</v>
      </c>
      <c r="F1782" s="6" t="str">
        <f>IFERROR(__xludf.DUMMYFUNCTION("""COMPUTED_VALUE"""),"assault")</f>
        <v>assault</v>
      </c>
      <c r="H1782" s="1" t="s">
        <v>2875</v>
      </c>
      <c r="I1782" s="6" t="str">
        <f>IFERROR(__xludf.DUMMYFUNCTION("""COMPUTED_VALUE"""),"whale")</f>
        <v>whale</v>
      </c>
      <c r="S1782" s="1">
        <v>0.0</v>
      </c>
      <c r="T1782" s="6" t="str">
        <f>IFERROR(__xludf.DUMMYFUNCTION("""COMPUTED_VALUE"""),"gel")</f>
        <v>gel</v>
      </c>
      <c r="W1782" s="8"/>
      <c r="AJ1782" s="1" t="s">
        <v>3983</v>
      </c>
      <c r="AM1782" s="1" t="s">
        <v>3016</v>
      </c>
    </row>
    <row r="1783">
      <c r="E1783" s="1" t="s">
        <v>3935</v>
      </c>
      <c r="F1783" s="6" t="str">
        <f>IFERROR(__xludf.DUMMYFUNCTION("""COMPUTED_VALUE"""),"exhaustion")</f>
        <v>exhaustion</v>
      </c>
      <c r="H1783" s="1" t="s">
        <v>1042</v>
      </c>
      <c r="I1783" s="6" t="str">
        <f>IFERROR(__xludf.DUMMYFUNCTION("""COMPUTED_VALUE"""),"bitterly")</f>
        <v>bitterly</v>
      </c>
      <c r="S1783" s="1" t="s">
        <v>4490</v>
      </c>
      <c r="T1783" s="6" t="str">
        <f>IFERROR(__xludf.DUMMYFUNCTION("""COMPUTED_VALUE"""),"roles")</f>
        <v>roles</v>
      </c>
      <c r="W1783" s="8"/>
      <c r="AJ1783" s="1" t="s">
        <v>3245</v>
      </c>
      <c r="AM1783" s="1" t="s">
        <v>4447</v>
      </c>
    </row>
    <row r="1784">
      <c r="E1784" s="1" t="s">
        <v>3938</v>
      </c>
      <c r="F1784" s="6" t="str">
        <f>IFERROR(__xludf.DUMMYFUNCTION("""COMPUTED_VALUE"""),"installment")</f>
        <v>installment</v>
      </c>
      <c r="H1784" s="1" t="s">
        <v>1652</v>
      </c>
      <c r="I1784" s="6" t="str">
        <f>IFERROR(__xludf.DUMMYFUNCTION("""COMPUTED_VALUE"""),"lower")</f>
        <v>lower</v>
      </c>
      <c r="S1784" s="1" t="s">
        <v>4999</v>
      </c>
      <c r="T1784" s="6" t="str">
        <f>IFERROR(__xludf.DUMMYFUNCTION("""COMPUTED_VALUE"""),"heights")</f>
        <v>heights</v>
      </c>
      <c r="W1784" s="8"/>
      <c r="AJ1784" s="1" t="s">
        <v>3248</v>
      </c>
      <c r="AM1784" s="1" t="s">
        <v>3342</v>
      </c>
    </row>
    <row r="1785">
      <c r="E1785" s="1" t="s">
        <v>5000</v>
      </c>
      <c r="F1785" s="6" t="str">
        <f>IFERROR(__xludf.DUMMYFUNCTION("""COMPUTED_VALUE"""),"grenade")</f>
        <v>grenade</v>
      </c>
      <c r="H1785" s="1" t="s">
        <v>3134</v>
      </c>
      <c r="I1785" s="6" t="str">
        <f>IFERROR(__xludf.DUMMYFUNCTION("""COMPUTED_VALUE"""),"athlete")</f>
        <v>athlete</v>
      </c>
      <c r="S1785" s="1" t="s">
        <v>5001</v>
      </c>
      <c r="T1785" s="6" t="str">
        <f>IFERROR(__xludf.DUMMYFUNCTION("""COMPUTED_VALUE"""),"particular")</f>
        <v>particular</v>
      </c>
      <c r="W1785" s="8"/>
      <c r="AJ1785" s="1" t="s">
        <v>1895</v>
      </c>
      <c r="AM1785" s="1" t="s">
        <v>3345</v>
      </c>
    </row>
    <row r="1786">
      <c r="E1786" s="1" t="s">
        <v>1122</v>
      </c>
      <c r="F1786" s="6" t="str">
        <f>IFERROR(__xludf.DUMMYFUNCTION("""COMPUTED_VALUE"""),"discoveries")</f>
        <v>discoveries</v>
      </c>
      <c r="H1786" s="1" t="s">
        <v>2879</v>
      </c>
      <c r="I1786" s="6" t="str">
        <f>IFERROR(__xludf.DUMMYFUNCTION("""COMPUTED_VALUE"""),"image")</f>
        <v>image</v>
      </c>
      <c r="S1786" s="1" t="s">
        <v>5002</v>
      </c>
      <c r="T1786" s="6" t="str">
        <f>IFERROR(__xludf.DUMMYFUNCTION("""COMPUTED_VALUE"""),"putting")</f>
        <v>putting</v>
      </c>
      <c r="W1786" s="8"/>
      <c r="AJ1786" s="1" t="s">
        <v>3249</v>
      </c>
      <c r="AM1786" s="1" t="s">
        <v>3351</v>
      </c>
    </row>
    <row r="1787">
      <c r="E1787" s="1" t="s">
        <v>5003</v>
      </c>
      <c r="F1787" s="6" t="str">
        <f>IFERROR(__xludf.DUMMYFUNCTION("""COMPUTED_VALUE"""),"inhabitants")</f>
        <v>inhabitants</v>
      </c>
      <c r="H1787" s="1" t="s">
        <v>1661</v>
      </c>
      <c r="I1787" s="6" t="str">
        <f>IFERROR(__xludf.DUMMYFUNCTION("""COMPUTED_VALUE"""),"ambiguous")</f>
        <v>ambiguous</v>
      </c>
      <c r="S1787" s="1" t="s">
        <v>4986</v>
      </c>
      <c r="T1787" s="6" t="str">
        <f>IFERROR(__xludf.DUMMYFUNCTION("""COMPUTED_VALUE"""),"symbolic")</f>
        <v>symbolic</v>
      </c>
      <c r="W1787" s="8"/>
      <c r="AJ1787" s="1" t="s">
        <v>3252</v>
      </c>
      <c r="AM1787" s="1" t="s">
        <v>1814</v>
      </c>
    </row>
    <row r="1788">
      <c r="E1788" s="1" t="s">
        <v>1128</v>
      </c>
      <c r="F1788" s="6" t="str">
        <f>IFERROR(__xludf.DUMMYFUNCTION("""COMPUTED_VALUE"""),"franco")</f>
        <v>franco</v>
      </c>
      <c r="H1788" s="1" t="s">
        <v>1820</v>
      </c>
      <c r="I1788" s="6" t="str">
        <f>IFERROR(__xludf.DUMMYFUNCTION("""COMPUTED_VALUE"""),"combat")</f>
        <v>combat</v>
      </c>
      <c r="S1788" s="1" t="s">
        <v>5004</v>
      </c>
      <c r="T1788" s="6" t="str">
        <f>IFERROR(__xludf.DUMMYFUNCTION("""COMPUTED_VALUE"""),"assert")</f>
        <v>assert</v>
      </c>
      <c r="W1788" s="8"/>
      <c r="AJ1788" s="1" t="s">
        <v>4633</v>
      </c>
      <c r="AM1788" s="1" t="s">
        <v>766</v>
      </c>
    </row>
    <row r="1789">
      <c r="E1789" s="1" t="s">
        <v>4184</v>
      </c>
      <c r="F1789" s="6" t="str">
        <f>IFERROR(__xludf.DUMMYFUNCTION("""COMPUTED_VALUE"""),"christianity")</f>
        <v>christianity</v>
      </c>
      <c r="H1789" s="1" t="s">
        <v>2890</v>
      </c>
      <c r="I1789" s="6" t="str">
        <f>IFERROR(__xludf.DUMMYFUNCTION("""COMPUTED_VALUE"""),"expose")</f>
        <v>expose</v>
      </c>
      <c r="S1789" s="1" t="s">
        <v>3629</v>
      </c>
      <c r="T1789" s="6" t="str">
        <f>IFERROR(__xludf.DUMMYFUNCTION("""COMPUTED_VALUE"""),"lean")</f>
        <v>lean</v>
      </c>
      <c r="W1789" s="8"/>
      <c r="AJ1789" s="1" t="s">
        <v>3255</v>
      </c>
      <c r="AM1789" s="1" t="s">
        <v>279</v>
      </c>
    </row>
    <row r="1790">
      <c r="E1790" s="1" t="s">
        <v>3954</v>
      </c>
      <c r="F1790" s="6" t="str">
        <f>IFERROR(__xludf.DUMMYFUNCTION("""COMPUTED_VALUE"""),"seas")</f>
        <v>seas</v>
      </c>
      <c r="H1790" s="1" t="s">
        <v>1674</v>
      </c>
      <c r="I1790" s="6" t="str">
        <f>IFERROR(__xludf.DUMMYFUNCTION("""COMPUTED_VALUE"""),"prejudice")</f>
        <v>prejudice</v>
      </c>
      <c r="S1790" s="1" t="s">
        <v>5005</v>
      </c>
      <c r="T1790" s="6" t="str">
        <f>IFERROR(__xludf.DUMMYFUNCTION("""COMPUTED_VALUE"""),"freedom")</f>
        <v>freedom</v>
      </c>
      <c r="W1790" s="8"/>
      <c r="AJ1790" s="1" t="s">
        <v>3258</v>
      </c>
      <c r="AM1790" s="1" t="s">
        <v>5006</v>
      </c>
    </row>
    <row r="1791">
      <c r="E1791" s="1" t="s">
        <v>3957</v>
      </c>
      <c r="F1791" s="6" t="str">
        <f>IFERROR(__xludf.DUMMYFUNCTION("""COMPUTED_VALUE"""),"activism")</f>
        <v>activism</v>
      </c>
      <c r="H1791" s="1" t="s">
        <v>1679</v>
      </c>
      <c r="I1791" s="6" t="str">
        <f>IFERROR(__xludf.DUMMYFUNCTION("""COMPUTED_VALUE"""),"screenwriter")</f>
        <v>screenwriter</v>
      </c>
      <c r="S1791" s="1" t="s">
        <v>5007</v>
      </c>
      <c r="T1791" s="6" t="str">
        <f>IFERROR(__xludf.DUMMYFUNCTION("""COMPUTED_VALUE"""),"exit")</f>
        <v>exit</v>
      </c>
      <c r="W1791" s="8"/>
      <c r="AJ1791" s="1" t="s">
        <v>3262</v>
      </c>
      <c r="AM1791" s="1" t="s">
        <v>4458</v>
      </c>
    </row>
    <row r="1792">
      <c r="E1792" s="1" t="s">
        <v>3399</v>
      </c>
      <c r="F1792" s="6" t="str">
        <f>IFERROR(__xludf.DUMMYFUNCTION("""COMPUTED_VALUE"""),"salvage")</f>
        <v>salvage</v>
      </c>
      <c r="H1792" s="1" t="s">
        <v>4267</v>
      </c>
      <c r="I1792" s="6" t="str">
        <f>IFERROR(__xludf.DUMMYFUNCTION("""COMPUTED_VALUE"""),"enigma")</f>
        <v>enigma</v>
      </c>
      <c r="S1792" s="1" t="s">
        <v>3181</v>
      </c>
      <c r="T1792" s="6" t="str">
        <f>IFERROR(__xludf.DUMMYFUNCTION("""COMPUTED_VALUE"""),"schneider")</f>
        <v>schneider</v>
      </c>
      <c r="W1792" s="8"/>
      <c r="AJ1792" s="1" t="s">
        <v>5008</v>
      </c>
      <c r="AM1792" s="1" t="s">
        <v>3355</v>
      </c>
    </row>
    <row r="1793">
      <c r="E1793" s="1" t="s">
        <v>2181</v>
      </c>
      <c r="F1793" s="6" t="str">
        <f>IFERROR(__xludf.DUMMYFUNCTION("""COMPUTED_VALUE"""),"walsh")</f>
        <v>walsh</v>
      </c>
      <c r="H1793" s="1" t="s">
        <v>5009</v>
      </c>
      <c r="I1793" s="6" t="str">
        <f>IFERROR(__xludf.DUMMYFUNCTION("""COMPUTED_VALUE"""),"chiefly")</f>
        <v>chiefly</v>
      </c>
      <c r="S1793" s="1" t="s">
        <v>5010</v>
      </c>
      <c r="T1793" s="6" t="str">
        <f>IFERROR(__xludf.DUMMYFUNCTION("""COMPUTED_VALUE"""),"peek")</f>
        <v>peek</v>
      </c>
      <c r="W1793" s="8"/>
      <c r="AJ1793" s="1" t="s">
        <v>3266</v>
      </c>
      <c r="AM1793" s="1" t="s">
        <v>3358</v>
      </c>
    </row>
    <row r="1794">
      <c r="E1794" s="1" t="s">
        <v>5011</v>
      </c>
      <c r="F1794" s="6" t="str">
        <f>IFERROR(__xludf.DUMMYFUNCTION("""COMPUTED_VALUE"""),"eileen")</f>
        <v>eileen</v>
      </c>
      <c r="H1794" s="1" t="s">
        <v>347</v>
      </c>
      <c r="I1794" s="6" t="str">
        <f>IFERROR(__xludf.DUMMYFUNCTION("""COMPUTED_VALUE"""),"yearning")</f>
        <v>yearning</v>
      </c>
      <c r="S1794" s="1" t="s">
        <v>3990</v>
      </c>
      <c r="T1794" s="6" t="str">
        <f>IFERROR(__xludf.DUMMYFUNCTION("""COMPUTED_VALUE"""),"hardened")</f>
        <v>hardened</v>
      </c>
      <c r="W1794" s="8"/>
      <c r="AJ1794" s="1" t="s">
        <v>5012</v>
      </c>
      <c r="AM1794" s="1" t="s">
        <v>4394</v>
      </c>
    </row>
    <row r="1795">
      <c r="E1795" s="1" t="s">
        <v>3967</v>
      </c>
      <c r="F1795" s="6" t="str">
        <f>IFERROR(__xludf.DUMMYFUNCTION("""COMPUTED_VALUE"""),"taut")</f>
        <v>taut</v>
      </c>
      <c r="H1795" s="1" t="s">
        <v>3158</v>
      </c>
      <c r="I1795" s="6" t="str">
        <f>IFERROR(__xludf.DUMMYFUNCTION("""COMPUTED_VALUE"""),"singing")</f>
        <v>singing</v>
      </c>
      <c r="S1795" s="1" t="s">
        <v>3065</v>
      </c>
      <c r="T1795" s="6" t="str">
        <f>IFERROR(__xludf.DUMMYFUNCTION("""COMPUTED_VALUE"""),"origins")</f>
        <v>origins</v>
      </c>
      <c r="W1795" s="8"/>
      <c r="AJ1795" s="1" t="s">
        <v>3270</v>
      </c>
      <c r="AM1795" s="1" t="s">
        <v>1822</v>
      </c>
    </row>
    <row r="1796">
      <c r="E1796" s="1" t="s">
        <v>1454</v>
      </c>
      <c r="F1796" s="6" t="str">
        <f>IFERROR(__xludf.DUMMYFUNCTION("""COMPUTED_VALUE"""),"robinson")</f>
        <v>robinson</v>
      </c>
      <c r="H1796" s="1" t="s">
        <v>3706</v>
      </c>
      <c r="I1796" s="6" t="str">
        <f>IFERROR(__xludf.DUMMYFUNCTION("""COMPUTED_VALUE"""),"lifeless")</f>
        <v>lifeless</v>
      </c>
      <c r="S1796" s="1" t="s">
        <v>5013</v>
      </c>
      <c r="T1796" s="6" t="str">
        <f>IFERROR(__xludf.DUMMYFUNCTION("""COMPUTED_VALUE"""),"nazi")</f>
        <v>nazi</v>
      </c>
      <c r="W1796" s="8"/>
      <c r="AJ1796" s="1" t="s">
        <v>1915</v>
      </c>
      <c r="AM1796" s="1" t="s">
        <v>5014</v>
      </c>
    </row>
    <row r="1797">
      <c r="E1797" s="1" t="s">
        <v>1336</v>
      </c>
      <c r="F1797" s="6" t="str">
        <f>IFERROR(__xludf.DUMMYFUNCTION("""COMPUTED_VALUE"""),"discreet")</f>
        <v>discreet</v>
      </c>
      <c r="H1797" s="1" t="s">
        <v>4269</v>
      </c>
      <c r="I1797" s="6" t="str">
        <f>IFERROR(__xludf.DUMMYFUNCTION("""COMPUTED_VALUE"""),"scale")</f>
        <v>scale</v>
      </c>
      <c r="S1797" s="1" t="s">
        <v>4337</v>
      </c>
      <c r="T1797" s="6" t="str">
        <f>IFERROR(__xludf.DUMMYFUNCTION("""COMPUTED_VALUE"""),"decade")</f>
        <v>decade</v>
      </c>
      <c r="W1797" s="8"/>
      <c r="AJ1797" s="1" t="s">
        <v>5015</v>
      </c>
      <c r="AM1797" s="1" t="s">
        <v>3363</v>
      </c>
    </row>
    <row r="1798">
      <c r="E1798" s="1" t="s">
        <v>3407</v>
      </c>
      <c r="F1798" s="6" t="str">
        <f>IFERROR(__xludf.DUMMYFUNCTION("""COMPUTED_VALUE"""),"partnership")</f>
        <v>partnership</v>
      </c>
      <c r="H1798" s="1" t="s">
        <v>4270</v>
      </c>
      <c r="I1798" s="6" t="str">
        <f>IFERROR(__xludf.DUMMYFUNCTION("""COMPUTED_VALUE"""),"near")</f>
        <v>near</v>
      </c>
      <c r="S1798" s="1" t="s">
        <v>3650</v>
      </c>
      <c r="T1798" s="6" t="str">
        <f>IFERROR(__xludf.DUMMYFUNCTION("""COMPUTED_VALUE"""),"bouncing")</f>
        <v>bouncing</v>
      </c>
      <c r="W1798" s="8"/>
      <c r="AJ1798" s="1" t="s">
        <v>3274</v>
      </c>
      <c r="AM1798" s="1" t="s">
        <v>5016</v>
      </c>
    </row>
    <row r="1799">
      <c r="E1799" s="1" t="s">
        <v>3969</v>
      </c>
      <c r="F1799" s="6" t="str">
        <f>IFERROR(__xludf.DUMMYFUNCTION("""COMPUTED_VALUE"""),"mined")</f>
        <v>mined</v>
      </c>
      <c r="H1799" s="1" t="s">
        <v>1054</v>
      </c>
      <c r="I1799" s="6" t="str">
        <f>IFERROR(__xludf.DUMMYFUNCTION("""COMPUTED_VALUE"""),"framing")</f>
        <v>framing</v>
      </c>
      <c r="S1799" s="1" t="s">
        <v>5017</v>
      </c>
      <c r="T1799" s="6" t="str">
        <f>IFERROR(__xludf.DUMMYFUNCTION("""COMPUTED_VALUE"""),"practiced")</f>
        <v>practiced</v>
      </c>
      <c r="W1799" s="8"/>
      <c r="AJ1799" s="1" t="s">
        <v>3276</v>
      </c>
      <c r="AM1799" s="1" t="s">
        <v>686</v>
      </c>
    </row>
    <row r="1800">
      <c r="E1800" s="1" t="s">
        <v>1459</v>
      </c>
      <c r="F1800" s="6" t="str">
        <f>IFERROR(__xludf.DUMMYFUNCTION("""COMPUTED_VALUE"""),"glass")</f>
        <v>glass</v>
      </c>
      <c r="H1800" s="1" t="s">
        <v>5018</v>
      </c>
      <c r="I1800" s="6" t="str">
        <f>IFERROR(__xludf.DUMMYFUNCTION("""COMPUTED_VALUE"""),"spreads")</f>
        <v>spreads</v>
      </c>
      <c r="S1800" s="1" t="s">
        <v>5019</v>
      </c>
      <c r="T1800" s="6" t="str">
        <f>IFERROR(__xludf.DUMMYFUNCTION("""COMPUTED_VALUE"""),"burst")</f>
        <v>burst</v>
      </c>
      <c r="W1800" s="8"/>
      <c r="AJ1800" s="1" t="s">
        <v>5020</v>
      </c>
      <c r="AM1800" s="1" t="s">
        <v>4466</v>
      </c>
    </row>
    <row r="1801">
      <c r="E1801" s="1" t="s">
        <v>1468</v>
      </c>
      <c r="F1801" s="6" t="str">
        <f>IFERROR(__xludf.DUMMYFUNCTION("""COMPUTED_VALUE"""),"tabloid")</f>
        <v>tabloid</v>
      </c>
      <c r="H1801" s="1" t="s">
        <v>1058</v>
      </c>
      <c r="I1801" s="6" t="str">
        <f>IFERROR(__xludf.DUMMYFUNCTION("""COMPUTED_VALUE"""),"rumor")</f>
        <v>rumor</v>
      </c>
      <c r="S1801" s="1" t="s">
        <v>3016</v>
      </c>
      <c r="T1801" s="6" t="str">
        <f>IFERROR(__xludf.DUMMYFUNCTION("""COMPUTED_VALUE"""),"weary")</f>
        <v>weary</v>
      </c>
      <c r="W1801" s="8"/>
      <c r="AJ1801" s="1" t="s">
        <v>3278</v>
      </c>
      <c r="AM1801" s="1" t="s">
        <v>3031</v>
      </c>
    </row>
    <row r="1802">
      <c r="E1802" s="1" t="s">
        <v>3973</v>
      </c>
      <c r="F1802" s="6" t="str">
        <f>IFERROR(__xludf.DUMMYFUNCTION("""COMPUTED_VALUE"""),"mystical")</f>
        <v>mystical</v>
      </c>
      <c r="H1802" s="1" t="s">
        <v>5021</v>
      </c>
      <c r="I1802" s="6" t="str">
        <f>IFERROR(__xludf.DUMMYFUNCTION("""COMPUTED_VALUE"""),"element")</f>
        <v>element</v>
      </c>
      <c r="S1802" s="1" t="s">
        <v>875</v>
      </c>
      <c r="T1802" s="6" t="str">
        <f>IFERROR(__xludf.DUMMYFUNCTION("""COMPUTED_VALUE"""),"clocks")</f>
        <v>clocks</v>
      </c>
      <c r="W1802" s="8"/>
      <c r="AJ1802" s="1" t="s">
        <v>3282</v>
      </c>
      <c r="AM1802" s="1" t="s">
        <v>1130</v>
      </c>
    </row>
    <row r="1803">
      <c r="E1803" s="1" t="s">
        <v>3975</v>
      </c>
      <c r="F1803" s="6" t="str">
        <f>IFERROR(__xludf.DUMMYFUNCTION("""COMPUTED_VALUE"""),"darkest")</f>
        <v>darkest</v>
      </c>
      <c r="H1803" s="1" t="s">
        <v>4827</v>
      </c>
      <c r="I1803" s="6" t="str">
        <f>IFERROR(__xludf.DUMMYFUNCTION("""COMPUTED_VALUE"""),"alternately")</f>
        <v>alternately</v>
      </c>
      <c r="S1803" s="1" t="s">
        <v>3786</v>
      </c>
      <c r="T1803" s="6" t="str">
        <f>IFERROR(__xludf.DUMMYFUNCTION("""COMPUTED_VALUE"""),"imply")</f>
        <v>imply</v>
      </c>
      <c r="W1803" s="8"/>
      <c r="AJ1803" s="1" t="s">
        <v>3997</v>
      </c>
      <c r="AM1803" s="1" t="s">
        <v>3035</v>
      </c>
    </row>
    <row r="1804">
      <c r="E1804" s="1" t="s">
        <v>2185</v>
      </c>
      <c r="F1804" s="6" t="str">
        <f>IFERROR(__xludf.DUMMYFUNCTION("""COMPUTED_VALUE"""),"derive")</f>
        <v>derive</v>
      </c>
      <c r="H1804" s="1" t="s">
        <v>3163</v>
      </c>
      <c r="I1804" s="6" t="str">
        <f>IFERROR(__xludf.DUMMYFUNCTION("""COMPUTED_VALUE"""),"hopeful")</f>
        <v>hopeful</v>
      </c>
      <c r="S1804" s="1" t="s">
        <v>5022</v>
      </c>
      <c r="T1804" s="6" t="str">
        <f>IFERROR(__xludf.DUMMYFUNCTION("""COMPUTED_VALUE"""),"despair")</f>
        <v>despair</v>
      </c>
      <c r="W1804" s="8"/>
      <c r="AJ1804" s="1" t="s">
        <v>5023</v>
      </c>
      <c r="AM1804" s="1" t="s">
        <v>3372</v>
      </c>
    </row>
    <row r="1805">
      <c r="E1805" s="1" t="s">
        <v>3411</v>
      </c>
      <c r="F1805" s="6" t="str">
        <f>IFERROR(__xludf.DUMMYFUNCTION("""COMPUTED_VALUE"""),"saga")</f>
        <v>saga</v>
      </c>
      <c r="H1805" s="1" t="s">
        <v>897</v>
      </c>
      <c r="I1805" s="6" t="str">
        <f>IFERROR(__xludf.DUMMYFUNCTION("""COMPUTED_VALUE"""),"apparatus")</f>
        <v>apparatus</v>
      </c>
      <c r="S1805" s="1" t="s">
        <v>5024</v>
      </c>
      <c r="T1805" s="6" t="str">
        <f>IFERROR(__xludf.DUMMYFUNCTION("""COMPUTED_VALUE"""),"replaced")</f>
        <v>replaced</v>
      </c>
      <c r="W1805" s="8"/>
      <c r="AJ1805" s="1" t="s">
        <v>5025</v>
      </c>
      <c r="AM1805" s="1" t="s">
        <v>1826</v>
      </c>
    </row>
    <row r="1806">
      <c r="E1806" s="1" t="s">
        <v>5026</v>
      </c>
      <c r="F1806" s="6" t="str">
        <f>IFERROR(__xludf.DUMMYFUNCTION("""COMPUTED_VALUE"""),"tinged")</f>
        <v>tinged</v>
      </c>
      <c r="H1806" s="1" t="s">
        <v>901</v>
      </c>
      <c r="I1806" s="6" t="str">
        <f>IFERROR(__xludf.DUMMYFUNCTION("""COMPUTED_VALUE"""),"mechanical")</f>
        <v>mechanical</v>
      </c>
      <c r="S1806" s="1" t="s">
        <v>4925</v>
      </c>
      <c r="T1806" s="6" t="str">
        <f>IFERROR(__xludf.DUMMYFUNCTION("""COMPUTED_VALUE"""),"boasts")</f>
        <v>boasts</v>
      </c>
      <c r="W1806" s="8"/>
      <c r="AJ1806" s="1" t="s">
        <v>3285</v>
      </c>
      <c r="AM1806" s="1" t="s">
        <v>3380</v>
      </c>
    </row>
    <row r="1807">
      <c r="E1807" s="1" t="s">
        <v>629</v>
      </c>
      <c r="F1807" s="6" t="str">
        <f>IFERROR(__xludf.DUMMYFUNCTION("""COMPUTED_VALUE"""),"arrest")</f>
        <v>arrest</v>
      </c>
      <c r="H1807" s="1" t="s">
        <v>1531</v>
      </c>
      <c r="I1807" s="6" t="str">
        <f>IFERROR(__xludf.DUMMYFUNCTION("""COMPUTED_VALUE"""),"compatible")</f>
        <v>compatible</v>
      </c>
      <c r="S1807" s="1" t="s">
        <v>5027</v>
      </c>
      <c r="T1807" s="6" t="str">
        <f>IFERROR(__xludf.DUMMYFUNCTION("""COMPUTED_VALUE"""),"hoped")</f>
        <v>hoped</v>
      </c>
      <c r="W1807" s="8"/>
      <c r="AJ1807" s="1" t="s">
        <v>3287</v>
      </c>
      <c r="AM1807" s="1" t="s">
        <v>1262</v>
      </c>
    </row>
    <row r="1808">
      <c r="E1808" s="1" t="s">
        <v>2190</v>
      </c>
      <c r="F1808" s="6" t="str">
        <f>IFERROR(__xludf.DUMMYFUNCTION("""COMPUTED_VALUE"""),"distances")</f>
        <v>distances</v>
      </c>
      <c r="H1808" s="1" t="s">
        <v>4757</v>
      </c>
      <c r="I1808" s="6" t="str">
        <f>IFERROR(__xludf.DUMMYFUNCTION("""COMPUTED_VALUE"""),"depiction")</f>
        <v>depiction</v>
      </c>
      <c r="S1808" s="1" t="s">
        <v>3964</v>
      </c>
      <c r="T1808" s="6">
        <f>IFERROR(__xludf.DUMMYFUNCTION("""COMPUTED_VALUE"""),1999.0)</f>
        <v>1999</v>
      </c>
      <c r="W1808" s="8"/>
      <c r="AJ1808" s="1" t="s">
        <v>3290</v>
      </c>
      <c r="AM1808" s="1" t="s">
        <v>3385</v>
      </c>
    </row>
    <row r="1809">
      <c r="E1809" s="1" t="s">
        <v>336</v>
      </c>
      <c r="F1809" s="6" t="str">
        <f>IFERROR(__xludf.DUMMYFUNCTION("""COMPUTED_VALUE"""),"appeals")</f>
        <v>appeals</v>
      </c>
      <c r="H1809" s="1" t="s">
        <v>783</v>
      </c>
      <c r="I1809" s="6" t="str">
        <f>IFERROR(__xludf.DUMMYFUNCTION("""COMPUTED_VALUE"""),"embraced")</f>
        <v>embraced</v>
      </c>
      <c r="S1809" s="1" t="s">
        <v>5028</v>
      </c>
      <c r="T1809" s="6" t="str">
        <f>IFERROR(__xludf.DUMMYFUNCTION("""COMPUTED_VALUE"""),"showtime")</f>
        <v>showtime</v>
      </c>
      <c r="W1809" s="8"/>
      <c r="AJ1809" s="1" t="s">
        <v>5029</v>
      </c>
      <c r="AM1809" s="1" t="s">
        <v>4472</v>
      </c>
    </row>
    <row r="1810">
      <c r="E1810" s="1" t="s">
        <v>1134</v>
      </c>
      <c r="F1810" s="6" t="str">
        <f>IFERROR(__xludf.DUMMYFUNCTION("""COMPUTED_VALUE"""),"manipulating")</f>
        <v>manipulating</v>
      </c>
      <c r="H1810" s="1">
        <v>30.0</v>
      </c>
      <c r="I1810" s="6" t="str">
        <f>IFERROR(__xludf.DUMMYFUNCTION("""COMPUTED_VALUE"""),"aids")</f>
        <v>aids</v>
      </c>
      <c r="S1810" s="1" t="s">
        <v>1115</v>
      </c>
      <c r="T1810" s="6" t="str">
        <f>IFERROR(__xludf.DUMMYFUNCTION("""COMPUTED_VALUE"""),"whale")</f>
        <v>whale</v>
      </c>
      <c r="W1810" s="8"/>
      <c r="AJ1810" s="1" t="s">
        <v>1705</v>
      </c>
      <c r="AM1810" s="1" t="s">
        <v>3387</v>
      </c>
    </row>
    <row r="1811">
      <c r="E1811" s="1" t="s">
        <v>1140</v>
      </c>
      <c r="F1811" s="6" t="str">
        <f>IFERROR(__xludf.DUMMYFUNCTION("""COMPUTED_VALUE"""),"hypothesis")</f>
        <v>hypothesis</v>
      </c>
      <c r="H1811" s="1" t="s">
        <v>1066</v>
      </c>
      <c r="I1811" s="6" t="str">
        <f>IFERROR(__xludf.DUMMYFUNCTION("""COMPUTED_VALUE"""),"realities")</f>
        <v>realities</v>
      </c>
      <c r="S1811" s="1" t="s">
        <v>5030</v>
      </c>
      <c r="T1811" s="6" t="str">
        <f>IFERROR(__xludf.DUMMYFUNCTION("""COMPUTED_VALUE"""),"bitterly")</f>
        <v>bitterly</v>
      </c>
      <c r="W1811" s="8"/>
      <c r="AJ1811" s="1" t="s">
        <v>3297</v>
      </c>
      <c r="AM1811" s="1" t="s">
        <v>964</v>
      </c>
    </row>
    <row r="1812">
      <c r="E1812" s="1" t="s">
        <v>5031</v>
      </c>
      <c r="F1812" s="6" t="str">
        <f>IFERROR(__xludf.DUMMYFUNCTION("""COMPUTED_VALUE"""),"elemental")</f>
        <v>elemental</v>
      </c>
      <c r="H1812" s="1" t="s">
        <v>3438</v>
      </c>
      <c r="I1812" s="6" t="str">
        <f>IFERROR(__xludf.DUMMYFUNCTION("""COMPUTED_VALUE"""),"fide")</f>
        <v>fide</v>
      </c>
      <c r="S1812" s="1" t="s">
        <v>5032</v>
      </c>
      <c r="T1812" s="6" t="str">
        <f>IFERROR(__xludf.DUMMYFUNCTION("""COMPUTED_VALUE"""),"lower")</f>
        <v>lower</v>
      </c>
      <c r="W1812" s="8"/>
      <c r="AJ1812" s="1" t="s">
        <v>3303</v>
      </c>
      <c r="AM1812" s="1" t="s">
        <v>3391</v>
      </c>
    </row>
    <row r="1813">
      <c r="E1813" s="1" t="s">
        <v>4077</v>
      </c>
      <c r="F1813" s="6" t="str">
        <f>IFERROR(__xludf.DUMMYFUNCTION("""COMPUTED_VALUE"""),"arc")</f>
        <v>arc</v>
      </c>
      <c r="H1813" s="1" t="s">
        <v>714</v>
      </c>
      <c r="I1813" s="6" t="str">
        <f>IFERROR(__xludf.DUMMYFUNCTION("""COMPUTED_VALUE"""),"born")</f>
        <v>born</v>
      </c>
      <c r="S1813" s="1" t="s">
        <v>5033</v>
      </c>
      <c r="T1813" s="6" t="str">
        <f>IFERROR(__xludf.DUMMYFUNCTION("""COMPUTED_VALUE"""),"enjoyment")</f>
        <v>enjoyment</v>
      </c>
      <c r="W1813" s="8"/>
      <c r="AJ1813" s="1" t="s">
        <v>3306</v>
      </c>
      <c r="AM1813" s="1" t="s">
        <v>3393</v>
      </c>
    </row>
    <row r="1814">
      <c r="E1814" s="1">
        <v>89.0</v>
      </c>
      <c r="F1814" s="6" t="str">
        <f>IFERROR(__xludf.DUMMYFUNCTION("""COMPUTED_VALUE"""),"prostitute")</f>
        <v>prostitute</v>
      </c>
      <c r="H1814" s="1" t="s">
        <v>2912</v>
      </c>
      <c r="I1814" s="6" t="str">
        <f>IFERROR(__xludf.DUMMYFUNCTION("""COMPUTED_VALUE"""),"hug")</f>
        <v>hug</v>
      </c>
      <c r="S1814" s="1" t="s">
        <v>2950</v>
      </c>
      <c r="T1814" s="6" t="str">
        <f>IFERROR(__xludf.DUMMYFUNCTION("""COMPUTED_VALUE"""),"admitting")</f>
        <v>admitting</v>
      </c>
      <c r="W1814" s="8"/>
      <c r="AJ1814" s="1">
        <v>1962.0</v>
      </c>
      <c r="AM1814" s="1" t="s">
        <v>3039</v>
      </c>
    </row>
    <row r="1815">
      <c r="E1815" s="1" t="s">
        <v>2204</v>
      </c>
      <c r="F1815" s="6" t="str">
        <f>IFERROR(__xludf.DUMMYFUNCTION("""COMPUTED_VALUE"""),"needy")</f>
        <v>needy</v>
      </c>
      <c r="H1815" s="1" t="s">
        <v>1631</v>
      </c>
      <c r="I1815" s="6" t="str">
        <f>IFERROR(__xludf.DUMMYFUNCTION("""COMPUTED_VALUE"""),"repetition")</f>
        <v>repetition</v>
      </c>
      <c r="S1815" s="1" t="s">
        <v>1788</v>
      </c>
      <c r="T1815" s="6" t="str">
        <f>IFERROR(__xludf.DUMMYFUNCTION("""COMPUTED_VALUE"""),"athlete")</f>
        <v>athlete</v>
      </c>
      <c r="W1815" s="8"/>
      <c r="AJ1815" s="1" t="s">
        <v>3312</v>
      </c>
      <c r="AM1815" s="1" t="s">
        <v>1658</v>
      </c>
    </row>
    <row r="1816">
      <c r="E1816" s="1" t="s">
        <v>5034</v>
      </c>
      <c r="F1816" s="6" t="str">
        <f>IFERROR(__xludf.DUMMYFUNCTION("""COMPUTED_VALUE"""),"radioactive")</f>
        <v>radioactive</v>
      </c>
      <c r="H1816" s="1" t="s">
        <v>3180</v>
      </c>
      <c r="I1816" s="6" t="str">
        <f>IFERROR(__xludf.DUMMYFUNCTION("""COMPUTED_VALUE"""),"rivalry")</f>
        <v>rivalry</v>
      </c>
      <c r="S1816" s="1" t="s">
        <v>5035</v>
      </c>
      <c r="T1816" s="6" t="str">
        <f>IFERROR(__xludf.DUMMYFUNCTION("""COMPUTED_VALUE"""),"image")</f>
        <v>image</v>
      </c>
      <c r="W1816" s="8"/>
      <c r="AJ1816" s="1" t="s">
        <v>3314</v>
      </c>
      <c r="AM1816" s="1" t="s">
        <v>1835</v>
      </c>
    </row>
    <row r="1817">
      <c r="E1817" s="1" t="s">
        <v>5036</v>
      </c>
      <c r="F1817" s="6" t="str">
        <f>IFERROR(__xludf.DUMMYFUNCTION("""COMPUTED_VALUE"""),"destructive")</f>
        <v>destructive</v>
      </c>
      <c r="H1817" s="1" t="s">
        <v>2914</v>
      </c>
      <c r="I1817" s="6" t="str">
        <f>IFERROR(__xludf.DUMMYFUNCTION("""COMPUTED_VALUE"""),"agile")</f>
        <v>agile</v>
      </c>
      <c r="S1817" s="1" t="s">
        <v>2957</v>
      </c>
      <c r="T1817" s="6" t="str">
        <f>IFERROR(__xludf.DUMMYFUNCTION("""COMPUTED_VALUE"""),"ambiguous")</f>
        <v>ambiguous</v>
      </c>
      <c r="W1817" s="8"/>
      <c r="AJ1817" s="1" t="s">
        <v>3318</v>
      </c>
      <c r="AM1817" s="1" t="s">
        <v>1841</v>
      </c>
    </row>
    <row r="1818">
      <c r="E1818" s="1" t="s">
        <v>5037</v>
      </c>
      <c r="F1818" s="6" t="str">
        <f>IFERROR(__xludf.DUMMYFUNCTION("""COMPUTED_VALUE"""),"demonic")</f>
        <v>demonic</v>
      </c>
      <c r="H1818" s="1" t="s">
        <v>1383</v>
      </c>
      <c r="I1818" s="6" t="str">
        <f>IFERROR(__xludf.DUMMYFUNCTION("""COMPUTED_VALUE"""),"proficient")</f>
        <v>proficient</v>
      </c>
      <c r="S1818" s="1" t="s">
        <v>5038</v>
      </c>
      <c r="T1818" s="6" t="str">
        <f>IFERROR(__xludf.DUMMYFUNCTION("""COMPUTED_VALUE"""),"combat")</f>
        <v>combat</v>
      </c>
      <c r="W1818" s="8"/>
      <c r="AJ1818" s="1">
        <v>1987.0</v>
      </c>
      <c r="AM1818" s="1" t="s">
        <v>4776</v>
      </c>
    </row>
    <row r="1819">
      <c r="E1819" s="1" t="s">
        <v>5039</v>
      </c>
      <c r="F1819" s="6" t="str">
        <f>IFERROR(__xludf.DUMMYFUNCTION("""COMPUTED_VALUE"""),"crane")</f>
        <v>crane</v>
      </c>
      <c r="H1819" s="1" t="s">
        <v>4078</v>
      </c>
      <c r="I1819" s="6" t="str">
        <f>IFERROR(__xludf.DUMMYFUNCTION("""COMPUTED_VALUE"""),"victim")</f>
        <v>victim</v>
      </c>
      <c r="S1819" s="1" t="s">
        <v>5040</v>
      </c>
      <c r="T1819" s="6" t="str">
        <f>IFERROR(__xludf.DUMMYFUNCTION("""COMPUTED_VALUE"""),"expose")</f>
        <v>expose</v>
      </c>
      <c r="W1819" s="8"/>
      <c r="AJ1819" s="1" t="s">
        <v>5041</v>
      </c>
      <c r="AM1819" s="1" t="s">
        <v>5042</v>
      </c>
    </row>
    <row r="1820">
      <c r="E1820" s="1" t="s">
        <v>5043</v>
      </c>
      <c r="F1820" s="6" t="str">
        <f>IFERROR(__xludf.DUMMYFUNCTION("""COMPUTED_VALUE"""),"poking")</f>
        <v>poking</v>
      </c>
      <c r="H1820" s="1" t="s">
        <v>3184</v>
      </c>
      <c r="I1820" s="6" t="str">
        <f>IFERROR(__xludf.DUMMYFUNCTION("""COMPUTED_VALUE"""),"tuck")</f>
        <v>tuck</v>
      </c>
      <c r="S1820" s="1" t="s">
        <v>5044</v>
      </c>
      <c r="T1820" s="6" t="str">
        <f>IFERROR(__xludf.DUMMYFUNCTION("""COMPUTED_VALUE"""),"prejudice")</f>
        <v>prejudice</v>
      </c>
      <c r="W1820" s="8"/>
      <c r="AJ1820" s="1" t="s">
        <v>5045</v>
      </c>
      <c r="AM1820" s="1" t="s">
        <v>3403</v>
      </c>
    </row>
    <row r="1821">
      <c r="E1821" s="1" t="s">
        <v>5046</v>
      </c>
      <c r="F1821" s="6" t="str">
        <f>IFERROR(__xludf.DUMMYFUNCTION("""COMPUTED_VALUE"""),"holmes")</f>
        <v>holmes</v>
      </c>
      <c r="H1821" s="1" t="s">
        <v>4285</v>
      </c>
      <c r="I1821" s="6" t="str">
        <f>IFERROR(__xludf.DUMMYFUNCTION("""COMPUTED_VALUE"""),"denial")</f>
        <v>denial</v>
      </c>
      <c r="S1821" s="1" t="s">
        <v>5047</v>
      </c>
      <c r="T1821" s="6" t="str">
        <f>IFERROR(__xludf.DUMMYFUNCTION("""COMPUTED_VALUE"""),"enigma")</f>
        <v>enigma</v>
      </c>
      <c r="W1821" s="8"/>
      <c r="AJ1821" s="1" t="s">
        <v>3321</v>
      </c>
      <c r="AM1821" s="1" t="s">
        <v>4480</v>
      </c>
    </row>
    <row r="1822">
      <c r="E1822" s="1" t="s">
        <v>2206</v>
      </c>
      <c r="F1822" s="6" t="str">
        <f>IFERROR(__xludf.DUMMYFUNCTION("""COMPUTED_VALUE"""),"convictions")</f>
        <v>convictions</v>
      </c>
      <c r="H1822" s="1" t="s">
        <v>2917</v>
      </c>
      <c r="I1822" s="6" t="str">
        <f>IFERROR(__xludf.DUMMYFUNCTION("""COMPUTED_VALUE"""),"factors")</f>
        <v>factors</v>
      </c>
      <c r="S1822" s="1" t="s">
        <v>5048</v>
      </c>
      <c r="T1822" s="6" t="str">
        <f>IFERROR(__xludf.DUMMYFUNCTION("""COMPUTED_VALUE"""),"yearning")</f>
        <v>yearning</v>
      </c>
      <c r="W1822" s="8"/>
      <c r="AJ1822" s="1" t="s">
        <v>5049</v>
      </c>
      <c r="AM1822" s="1" t="s">
        <v>3406</v>
      </c>
    </row>
    <row r="1823">
      <c r="E1823" s="1" t="s">
        <v>3999</v>
      </c>
      <c r="F1823" s="6" t="str">
        <f>IFERROR(__xludf.DUMMYFUNCTION("""COMPUTED_VALUE"""),"populace")</f>
        <v>populace</v>
      </c>
      <c r="H1823" s="1" t="s">
        <v>3192</v>
      </c>
      <c r="I1823" s="6" t="str">
        <f>IFERROR(__xludf.DUMMYFUNCTION("""COMPUTED_VALUE"""),"paxton")</f>
        <v>paxton</v>
      </c>
      <c r="S1823" s="1" t="s">
        <v>3697</v>
      </c>
      <c r="T1823" s="6" t="str">
        <f>IFERROR(__xludf.DUMMYFUNCTION("""COMPUTED_VALUE"""),"captain")</f>
        <v>captain</v>
      </c>
      <c r="W1823" s="8"/>
      <c r="AJ1823" s="1" t="s">
        <v>3324</v>
      </c>
      <c r="AM1823" s="1" t="s">
        <v>3408</v>
      </c>
    </row>
    <row r="1824">
      <c r="E1824" s="1" t="s">
        <v>3416</v>
      </c>
      <c r="F1824" s="6" t="str">
        <f>IFERROR(__xludf.DUMMYFUNCTION("""COMPUTED_VALUE"""),"disastrous")</f>
        <v>disastrous</v>
      </c>
      <c r="H1824" s="1" t="s">
        <v>5050</v>
      </c>
      <c r="I1824" s="6" t="str">
        <f>IFERROR(__xludf.DUMMYFUNCTION("""COMPUTED_VALUE"""),"resistance")</f>
        <v>resistance</v>
      </c>
      <c r="S1824" s="1" t="s">
        <v>3943</v>
      </c>
      <c r="T1824" s="6" t="str">
        <f>IFERROR(__xludf.DUMMYFUNCTION("""COMPUTED_VALUE"""),"singing")</f>
        <v>singing</v>
      </c>
      <c r="W1824" s="8"/>
      <c r="AJ1824" s="1" t="s">
        <v>3327</v>
      </c>
      <c r="AM1824" s="1" t="s">
        <v>608</v>
      </c>
    </row>
    <row r="1825">
      <c r="E1825" s="1" t="s">
        <v>5051</v>
      </c>
      <c r="F1825" s="6" t="str">
        <f>IFERROR(__xludf.DUMMYFUNCTION("""COMPUTED_VALUE"""),"behave")</f>
        <v>behave</v>
      </c>
      <c r="H1825" s="1" t="s">
        <v>3024</v>
      </c>
      <c r="I1825" s="6" t="str">
        <f>IFERROR(__xludf.DUMMYFUNCTION("""COMPUTED_VALUE"""),"levy")</f>
        <v>levy</v>
      </c>
      <c r="S1825" s="1" t="s">
        <v>3768</v>
      </c>
      <c r="T1825" s="6" t="str">
        <f>IFERROR(__xludf.DUMMYFUNCTION("""COMPUTED_VALUE"""),"scale")</f>
        <v>scale</v>
      </c>
      <c r="W1825" s="8"/>
      <c r="AJ1825" s="1" t="s">
        <v>5052</v>
      </c>
      <c r="AM1825" s="1" t="s">
        <v>521</v>
      </c>
    </row>
    <row r="1826">
      <c r="E1826" s="1" t="s">
        <v>4003</v>
      </c>
      <c r="F1826" s="6" t="str">
        <f>IFERROR(__xludf.DUMMYFUNCTION("""COMPUTED_VALUE"""),"journalist")</f>
        <v>journalist</v>
      </c>
      <c r="H1826" s="1" t="s">
        <v>2101</v>
      </c>
      <c r="I1826" s="6" t="str">
        <f>IFERROR(__xludf.DUMMYFUNCTION("""COMPUTED_VALUE"""),"forster")</f>
        <v>forster</v>
      </c>
      <c r="S1826" s="1" t="s">
        <v>5053</v>
      </c>
      <c r="T1826" s="6" t="str">
        <f>IFERROR(__xludf.DUMMYFUNCTION("""COMPUTED_VALUE"""),"near")</f>
        <v>near</v>
      </c>
      <c r="W1826" s="8"/>
      <c r="AJ1826" s="1" t="s">
        <v>3332</v>
      </c>
      <c r="AM1826" s="1" t="s">
        <v>3047</v>
      </c>
    </row>
    <row r="1827">
      <c r="E1827" s="1" t="s">
        <v>4010</v>
      </c>
      <c r="F1827" s="6" t="str">
        <f>IFERROR(__xludf.DUMMYFUNCTION("""COMPUTED_VALUE"""),"exasperated")</f>
        <v>exasperated</v>
      </c>
      <c r="H1827" s="1" t="s">
        <v>1076</v>
      </c>
      <c r="I1827" s="6" t="str">
        <f>IFERROR(__xludf.DUMMYFUNCTION("""COMPUTED_VALUE"""),"strokes")</f>
        <v>strokes</v>
      </c>
      <c r="S1827" s="1" t="s">
        <v>1060</v>
      </c>
      <c r="T1827" s="6" t="str">
        <f>IFERROR(__xludf.DUMMYFUNCTION("""COMPUTED_VALUE"""),"framing")</f>
        <v>framing</v>
      </c>
      <c r="W1827" s="8"/>
      <c r="AJ1827" s="1" t="s">
        <v>5054</v>
      </c>
      <c r="AM1827" s="1" t="s">
        <v>3414</v>
      </c>
    </row>
    <row r="1828">
      <c r="E1828" s="1" t="s">
        <v>2208</v>
      </c>
      <c r="F1828" s="6" t="str">
        <f>IFERROR(__xludf.DUMMYFUNCTION("""COMPUTED_VALUE"""),"venice")</f>
        <v>venice</v>
      </c>
      <c r="H1828" s="1" t="s">
        <v>4293</v>
      </c>
      <c r="I1828" s="6" t="str">
        <f>IFERROR(__xludf.DUMMYFUNCTION("""COMPUTED_VALUE"""),"vin")</f>
        <v>vin</v>
      </c>
      <c r="S1828" s="1" t="s">
        <v>5055</v>
      </c>
      <c r="T1828" s="6" t="str">
        <f>IFERROR(__xludf.DUMMYFUNCTION("""COMPUTED_VALUE"""),"throws")</f>
        <v>throws</v>
      </c>
      <c r="W1828" s="8"/>
      <c r="AJ1828" s="1" t="s">
        <v>3334</v>
      </c>
      <c r="AM1828" s="1" t="s">
        <v>3581</v>
      </c>
    </row>
    <row r="1829">
      <c r="E1829" s="1" t="s">
        <v>4013</v>
      </c>
      <c r="F1829" s="6" t="str">
        <f>IFERROR(__xludf.DUMMYFUNCTION("""COMPUTED_VALUE"""),"mika")</f>
        <v>mika</v>
      </c>
      <c r="H1829" s="1" t="s">
        <v>3195</v>
      </c>
      <c r="I1829" s="6" t="str">
        <f>IFERROR(__xludf.DUMMYFUNCTION("""COMPUTED_VALUE"""),"furiously")</f>
        <v>furiously</v>
      </c>
      <c r="S1829" s="1" t="s">
        <v>3298</v>
      </c>
      <c r="T1829" s="6" t="str">
        <f>IFERROR(__xludf.DUMMYFUNCTION("""COMPUTED_VALUE"""),"faint")</f>
        <v>faint</v>
      </c>
      <c r="W1829" s="8"/>
      <c r="AJ1829" s="1" t="s">
        <v>3339</v>
      </c>
      <c r="AM1829" s="1" t="s">
        <v>3105</v>
      </c>
    </row>
    <row r="1830">
      <c r="E1830" s="1" t="s">
        <v>1318</v>
      </c>
      <c r="F1830" s="6" t="str">
        <f>IFERROR(__xludf.DUMMYFUNCTION("""COMPUTED_VALUE"""),"fallon")</f>
        <v>fallon</v>
      </c>
      <c r="H1830" s="1" t="s">
        <v>3198</v>
      </c>
      <c r="I1830" s="6" t="str">
        <f>IFERROR(__xludf.DUMMYFUNCTION("""COMPUTED_VALUE"""),"brains")</f>
        <v>brains</v>
      </c>
      <c r="S1830" s="1" t="s">
        <v>5056</v>
      </c>
      <c r="T1830" s="6" t="str">
        <f>IFERROR(__xludf.DUMMYFUNCTION("""COMPUTED_VALUE"""),"spreads")</f>
        <v>spreads</v>
      </c>
      <c r="W1830" s="8"/>
      <c r="AJ1830" s="1" t="s">
        <v>3341</v>
      </c>
      <c r="AM1830" s="1" t="s">
        <v>956</v>
      </c>
    </row>
    <row r="1831">
      <c r="E1831" s="1" t="s">
        <v>5057</v>
      </c>
      <c r="F1831" s="6" t="str">
        <f>IFERROR(__xludf.DUMMYFUNCTION("""COMPUTED_VALUE"""),"forgiveness")</f>
        <v>forgiveness</v>
      </c>
      <c r="H1831" s="1" t="s">
        <v>2921</v>
      </c>
      <c r="I1831" s="6" t="str">
        <f>IFERROR(__xludf.DUMMYFUNCTION("""COMPUTED_VALUE"""),"athletes")</f>
        <v>athletes</v>
      </c>
      <c r="S1831" s="1" t="s">
        <v>277</v>
      </c>
      <c r="T1831" s="6" t="str">
        <f>IFERROR(__xludf.DUMMYFUNCTION("""COMPUTED_VALUE"""),"rumor")</f>
        <v>rumor</v>
      </c>
      <c r="W1831" s="8"/>
      <c r="AJ1831" s="1" t="s">
        <v>3344</v>
      </c>
      <c r="AM1831" s="1" t="s">
        <v>3050</v>
      </c>
    </row>
    <row r="1832">
      <c r="E1832" s="1" t="s">
        <v>2210</v>
      </c>
      <c r="F1832" s="6" t="str">
        <f>IFERROR(__xludf.DUMMYFUNCTION("""COMPUTED_VALUE"""),"cinematographer")</f>
        <v>cinematographer</v>
      </c>
      <c r="H1832" s="1" t="s">
        <v>2926</v>
      </c>
      <c r="I1832" s="6" t="str">
        <f>IFERROR(__xludf.DUMMYFUNCTION("""COMPUTED_VALUE"""),"banged")</f>
        <v>banged</v>
      </c>
      <c r="S1832" s="1" t="s">
        <v>2441</v>
      </c>
      <c r="T1832" s="6" t="str">
        <f>IFERROR(__xludf.DUMMYFUNCTION("""COMPUTED_VALUE"""),"angels")</f>
        <v>angels</v>
      </c>
      <c r="W1832" s="8"/>
      <c r="AJ1832" s="1" t="s">
        <v>5058</v>
      </c>
      <c r="AM1832" s="1" t="s">
        <v>1852</v>
      </c>
    </row>
    <row r="1833">
      <c r="E1833" s="1" t="s">
        <v>4017</v>
      </c>
      <c r="F1833" s="6" t="str">
        <f>IFERROR(__xludf.DUMMYFUNCTION("""COMPUTED_VALUE"""),"prose")</f>
        <v>prose</v>
      </c>
      <c r="H1833" s="1" t="s">
        <v>1943</v>
      </c>
      <c r="I1833" s="6" t="str">
        <f>IFERROR(__xludf.DUMMYFUNCTION("""COMPUTED_VALUE"""),"screenings")</f>
        <v>screenings</v>
      </c>
      <c r="S1833" s="1" t="s">
        <v>5059</v>
      </c>
      <c r="T1833" s="6" t="str">
        <f>IFERROR(__xludf.DUMMYFUNCTION("""COMPUTED_VALUE"""),"element")</f>
        <v>element</v>
      </c>
      <c r="W1833" s="8"/>
      <c r="AJ1833" s="1" t="s">
        <v>3350</v>
      </c>
      <c r="AM1833" s="1" t="s">
        <v>1159</v>
      </c>
    </row>
    <row r="1834">
      <c r="E1834" s="1" t="s">
        <v>5060</v>
      </c>
      <c r="F1834" s="6" t="str">
        <f>IFERROR(__xludf.DUMMYFUNCTION("""COMPUTED_VALUE"""),"stevens")</f>
        <v>stevens</v>
      </c>
      <c r="H1834" s="1" t="s">
        <v>4298</v>
      </c>
      <c r="I1834" s="6" t="str">
        <f>IFERROR(__xludf.DUMMYFUNCTION("""COMPUTED_VALUE"""),"canon")</f>
        <v>canon</v>
      </c>
      <c r="S1834" s="1" t="s">
        <v>4311</v>
      </c>
      <c r="T1834" s="6" t="str">
        <f>IFERROR(__xludf.DUMMYFUNCTION("""COMPUTED_VALUE"""),"alternately")</f>
        <v>alternately</v>
      </c>
      <c r="W1834" s="8"/>
      <c r="AJ1834" s="1" t="s">
        <v>3353</v>
      </c>
      <c r="AM1834" s="1" t="s">
        <v>2498</v>
      </c>
    </row>
    <row r="1835">
      <c r="E1835" s="1" t="s">
        <v>4021</v>
      </c>
      <c r="F1835" s="6" t="str">
        <f>IFERROR(__xludf.DUMMYFUNCTION("""COMPUTED_VALUE"""),"mtv")</f>
        <v>mtv</v>
      </c>
      <c r="H1835" s="1" t="s">
        <v>4301</v>
      </c>
      <c r="I1835" s="6" t="str">
        <f>IFERROR(__xludf.DUMMYFUNCTION("""COMPUTED_VALUE"""),"grown")</f>
        <v>grown</v>
      </c>
      <c r="S1835" s="1" t="s">
        <v>3186</v>
      </c>
      <c r="T1835" s="6" t="str">
        <f>IFERROR(__xludf.DUMMYFUNCTION("""COMPUTED_VALUE"""),"hopeful")</f>
        <v>hopeful</v>
      </c>
      <c r="W1835" s="8"/>
      <c r="AJ1835" s="1" t="s">
        <v>3354</v>
      </c>
      <c r="AM1835" s="1" t="s">
        <v>3422</v>
      </c>
    </row>
    <row r="1836">
      <c r="E1836" s="1" t="s">
        <v>5061</v>
      </c>
      <c r="F1836" s="6" t="str">
        <f>IFERROR(__xludf.DUMMYFUNCTION("""COMPUTED_VALUE"""),"hysteria")</f>
        <v>hysteria</v>
      </c>
      <c r="H1836" s="1" t="s">
        <v>4302</v>
      </c>
      <c r="I1836" s="6" t="str">
        <f>IFERROR(__xludf.DUMMYFUNCTION("""COMPUTED_VALUE"""),"flesh")</f>
        <v>flesh</v>
      </c>
      <c r="S1836" s="1" t="s">
        <v>1858</v>
      </c>
      <c r="T1836" s="6" t="str">
        <f>IFERROR(__xludf.DUMMYFUNCTION("""COMPUTED_VALUE"""),"stacked")</f>
        <v>stacked</v>
      </c>
      <c r="W1836" s="8"/>
      <c r="AJ1836" s="1" t="s">
        <v>3357</v>
      </c>
      <c r="AM1836" s="1" t="s">
        <v>2006</v>
      </c>
    </row>
    <row r="1837">
      <c r="E1837" s="1" t="s">
        <v>4025</v>
      </c>
      <c r="F1837" s="6" t="str">
        <f>IFERROR(__xludf.DUMMYFUNCTION("""COMPUTED_VALUE"""),"resentment")</f>
        <v>resentment</v>
      </c>
      <c r="H1837" s="1" t="s">
        <v>4306</v>
      </c>
      <c r="I1837" s="6" t="str">
        <f>IFERROR(__xludf.DUMMYFUNCTION("""COMPUTED_VALUE"""),"drastic")</f>
        <v>drastic</v>
      </c>
      <c r="S1837" s="1" t="s">
        <v>1921</v>
      </c>
      <c r="T1837" s="6" t="str">
        <f>IFERROR(__xludf.DUMMYFUNCTION("""COMPUTED_VALUE"""),"12th")</f>
        <v>12th</v>
      </c>
      <c r="W1837" s="8"/>
      <c r="AJ1837" s="1" t="s">
        <v>5062</v>
      </c>
      <c r="AM1837" s="1" t="s">
        <v>5063</v>
      </c>
    </row>
    <row r="1838">
      <c r="E1838" s="1" t="s">
        <v>1147</v>
      </c>
      <c r="F1838" s="6" t="str">
        <f>IFERROR(__xludf.DUMMYFUNCTION("""COMPUTED_VALUE"""),"cadence")</f>
        <v>cadence</v>
      </c>
      <c r="H1838" s="1" t="s">
        <v>4310</v>
      </c>
      <c r="I1838" s="6" t="str">
        <f>IFERROR(__xludf.DUMMYFUNCTION("""COMPUTED_VALUE"""),"capturing")</f>
        <v>capturing</v>
      </c>
      <c r="S1838" s="1" t="s">
        <v>5064</v>
      </c>
      <c r="T1838" s="6" t="str">
        <f>IFERROR(__xludf.DUMMYFUNCTION("""COMPUTED_VALUE"""),"apparatus")</f>
        <v>apparatus</v>
      </c>
      <c r="W1838" s="8"/>
      <c r="AJ1838" s="1" t="s">
        <v>3360</v>
      </c>
      <c r="AM1838" s="1" t="s">
        <v>2213</v>
      </c>
    </row>
    <row r="1839">
      <c r="E1839" s="1" t="s">
        <v>1152</v>
      </c>
      <c r="F1839" s="6" t="str">
        <f>IFERROR(__xludf.DUMMYFUNCTION("""COMPUTED_VALUE"""),"hypnotic")</f>
        <v>hypnotic</v>
      </c>
      <c r="H1839" s="1" t="s">
        <v>4312</v>
      </c>
      <c r="I1839" s="6" t="str">
        <f>IFERROR(__xludf.DUMMYFUNCTION("""COMPUTED_VALUE"""),"fantasies")</f>
        <v>fantasies</v>
      </c>
      <c r="S1839" s="1" t="s">
        <v>3701</v>
      </c>
      <c r="T1839" s="6" t="str">
        <f>IFERROR(__xludf.DUMMYFUNCTION("""COMPUTED_VALUE"""),"mechanical")</f>
        <v>mechanical</v>
      </c>
      <c r="W1839" s="8"/>
      <c r="AJ1839" s="1" t="s">
        <v>5065</v>
      </c>
      <c r="AM1839" s="1" t="s">
        <v>961</v>
      </c>
    </row>
    <row r="1840">
      <c r="E1840" s="1" t="s">
        <v>1496</v>
      </c>
      <c r="F1840" s="6" t="str">
        <f>IFERROR(__xludf.DUMMYFUNCTION("""COMPUTED_VALUE"""),"welsh")</f>
        <v>welsh</v>
      </c>
      <c r="H1840" s="1" t="s">
        <v>4313</v>
      </c>
      <c r="I1840" s="6" t="str">
        <f>IFERROR(__xludf.DUMMYFUNCTION("""COMPUTED_VALUE"""),"illness")</f>
        <v>illness</v>
      </c>
      <c r="S1840" s="1" t="s">
        <v>5066</v>
      </c>
      <c r="T1840" s="6" t="str">
        <f>IFERROR(__xludf.DUMMYFUNCTION("""COMPUTED_VALUE"""),"compatible")</f>
        <v>compatible</v>
      </c>
      <c r="W1840" s="8"/>
      <c r="AJ1840" s="1" t="s">
        <v>1712</v>
      </c>
      <c r="AM1840" s="1" t="s">
        <v>966</v>
      </c>
    </row>
    <row r="1841">
      <c r="E1841" s="1" t="s">
        <v>5067</v>
      </c>
      <c r="F1841" s="6" t="str">
        <f>IFERROR(__xludf.DUMMYFUNCTION("""COMPUTED_VALUE"""),"rounded")</f>
        <v>rounded</v>
      </c>
      <c r="H1841" s="1" t="s">
        <v>2931</v>
      </c>
      <c r="I1841" s="6" t="str">
        <f>IFERROR(__xludf.DUMMYFUNCTION("""COMPUTED_VALUE"""),"metaphysical")</f>
        <v>metaphysical</v>
      </c>
      <c r="S1841" s="1" t="s">
        <v>3442</v>
      </c>
      <c r="T1841" s="6" t="str">
        <f>IFERROR(__xludf.DUMMYFUNCTION("""COMPUTED_VALUE"""),"depiction")</f>
        <v>depiction</v>
      </c>
      <c r="W1841" s="8"/>
      <c r="AJ1841" s="1" t="s">
        <v>3367</v>
      </c>
      <c r="AM1841" s="1" t="s">
        <v>1868</v>
      </c>
    </row>
    <row r="1842">
      <c r="E1842" s="1" t="s">
        <v>3109</v>
      </c>
      <c r="F1842" s="6" t="str">
        <f>IFERROR(__xludf.DUMMYFUNCTION("""COMPUTED_VALUE"""),"goose")</f>
        <v>goose</v>
      </c>
      <c r="H1842" s="1" t="s">
        <v>4318</v>
      </c>
      <c r="I1842" s="6" t="str">
        <f>IFERROR(__xludf.DUMMYFUNCTION("""COMPUTED_VALUE"""),"echoes")</f>
        <v>echoes</v>
      </c>
      <c r="S1842" s="1" t="s">
        <v>3925</v>
      </c>
      <c r="T1842" s="6" t="str">
        <f>IFERROR(__xludf.DUMMYFUNCTION("""COMPUTED_VALUE"""),"embraced")</f>
        <v>embraced</v>
      </c>
      <c r="W1842" s="8"/>
      <c r="AJ1842" s="1" t="s">
        <v>5068</v>
      </c>
      <c r="AM1842" s="1" t="s">
        <v>5069</v>
      </c>
    </row>
    <row r="1843">
      <c r="E1843" s="1" t="s">
        <v>5070</v>
      </c>
      <c r="F1843" s="6" t="str">
        <f>IFERROR(__xludf.DUMMYFUNCTION("""COMPUTED_VALUE"""),"stuart")</f>
        <v>stuart</v>
      </c>
      <c r="H1843" s="1" t="s">
        <v>2565</v>
      </c>
      <c r="I1843" s="6" t="str">
        <f>IFERROR(__xludf.DUMMYFUNCTION("""COMPUTED_VALUE"""),"canadians")</f>
        <v>canadians</v>
      </c>
      <c r="S1843" s="1" t="s">
        <v>2029</v>
      </c>
      <c r="T1843" s="6" t="str">
        <f>IFERROR(__xludf.DUMMYFUNCTION("""COMPUTED_VALUE"""),"aids")</f>
        <v>aids</v>
      </c>
      <c r="W1843" s="8"/>
      <c r="AJ1843" s="1" t="s">
        <v>5071</v>
      </c>
      <c r="AM1843" s="1" t="s">
        <v>3128</v>
      </c>
    </row>
    <row r="1844">
      <c r="E1844" s="1" t="s">
        <v>1510</v>
      </c>
      <c r="F1844" s="6" t="str">
        <f>IFERROR(__xludf.DUMMYFUNCTION("""COMPUTED_VALUE"""),"siegel")</f>
        <v>siegel</v>
      </c>
      <c r="H1844" s="1" t="s">
        <v>2935</v>
      </c>
      <c r="I1844" s="6" t="str">
        <f>IFERROR(__xludf.DUMMYFUNCTION("""COMPUTED_VALUE"""),"monsters")</f>
        <v>monsters</v>
      </c>
      <c r="S1844" s="1" t="s">
        <v>2437</v>
      </c>
      <c r="T1844" s="6" t="str">
        <f>IFERROR(__xludf.DUMMYFUNCTION("""COMPUTED_VALUE"""),"attack")</f>
        <v>attack</v>
      </c>
      <c r="W1844" s="8"/>
      <c r="AJ1844" s="1" t="s">
        <v>3331</v>
      </c>
      <c r="AM1844" s="1" t="s">
        <v>5072</v>
      </c>
    </row>
    <row r="1845">
      <c r="E1845" s="1" t="s">
        <v>4644</v>
      </c>
      <c r="F1845" s="6" t="str">
        <f>IFERROR(__xludf.DUMMYFUNCTION("""COMPUTED_VALUE"""),"parochial")</f>
        <v>parochial</v>
      </c>
      <c r="H1845" s="1" t="s">
        <v>4324</v>
      </c>
      <c r="I1845" s="6" t="str">
        <f>IFERROR(__xludf.DUMMYFUNCTION("""COMPUTED_VALUE"""),"rally")</f>
        <v>rally</v>
      </c>
      <c r="S1845" s="1" t="s">
        <v>5073</v>
      </c>
      <c r="T1845" s="6" t="str">
        <f>IFERROR(__xludf.DUMMYFUNCTION("""COMPUTED_VALUE"""),"fide")</f>
        <v>fide</v>
      </c>
      <c r="W1845" s="8"/>
      <c r="AJ1845" s="1" t="s">
        <v>5074</v>
      </c>
      <c r="AM1845" s="1" t="s">
        <v>5075</v>
      </c>
    </row>
    <row r="1846">
      <c r="E1846" s="1" t="s">
        <v>1158</v>
      </c>
      <c r="F1846" s="6" t="str">
        <f>IFERROR(__xludf.DUMMYFUNCTION("""COMPUTED_VALUE"""),"friendships")</f>
        <v>friendships</v>
      </c>
      <c r="H1846" s="1" t="s">
        <v>3211</v>
      </c>
      <c r="I1846" s="6" t="str">
        <f>IFERROR(__xludf.DUMMYFUNCTION("""COMPUTED_VALUE"""),"psychotic")</f>
        <v>psychotic</v>
      </c>
      <c r="S1846" s="1" t="s">
        <v>5076</v>
      </c>
      <c r="T1846" s="6" t="str">
        <f>IFERROR(__xludf.DUMMYFUNCTION("""COMPUTED_VALUE"""),"pitched")</f>
        <v>pitched</v>
      </c>
      <c r="W1846" s="8"/>
      <c r="AJ1846" s="1" t="s">
        <v>5077</v>
      </c>
      <c r="AM1846" s="1" t="s">
        <v>1872</v>
      </c>
    </row>
    <row r="1847">
      <c r="E1847" s="1" t="s">
        <v>4034</v>
      </c>
      <c r="F1847" s="6" t="str">
        <f>IFERROR(__xludf.DUMMYFUNCTION("""COMPUTED_VALUE"""),"philip")</f>
        <v>philip</v>
      </c>
      <c r="H1847" s="1" t="s">
        <v>4326</v>
      </c>
      <c r="I1847" s="6" t="str">
        <f>IFERROR(__xludf.DUMMYFUNCTION("""COMPUTED_VALUE"""),"generating")</f>
        <v>generating</v>
      </c>
      <c r="S1847" s="1" t="s">
        <v>537</v>
      </c>
      <c r="T1847" s="6" t="str">
        <f>IFERROR(__xludf.DUMMYFUNCTION("""COMPUTED_VALUE"""),"born")</f>
        <v>born</v>
      </c>
      <c r="W1847" s="8"/>
      <c r="AJ1847" s="1" t="s">
        <v>3371</v>
      </c>
      <c r="AM1847" s="1" t="s">
        <v>4533</v>
      </c>
    </row>
    <row r="1848">
      <c r="E1848" s="1" t="s">
        <v>4037</v>
      </c>
      <c r="F1848" s="6" t="str">
        <f>IFERROR(__xludf.DUMMYFUNCTION("""COMPUTED_VALUE"""),"ensure")</f>
        <v>ensure</v>
      </c>
      <c r="H1848" s="1" t="s">
        <v>3214</v>
      </c>
      <c r="I1848" s="6" t="str">
        <f>IFERROR(__xludf.DUMMYFUNCTION("""COMPUTED_VALUE"""),"dimensions")</f>
        <v>dimensions</v>
      </c>
      <c r="S1848" s="1" t="s">
        <v>5078</v>
      </c>
      <c r="T1848" s="6" t="str">
        <f>IFERROR(__xludf.DUMMYFUNCTION("""COMPUTED_VALUE"""),"hug")</f>
        <v>hug</v>
      </c>
      <c r="W1848" s="8"/>
      <c r="AJ1848" s="1" t="s">
        <v>3375</v>
      </c>
      <c r="AM1848" s="1" t="s">
        <v>5079</v>
      </c>
    </row>
    <row r="1849">
      <c r="E1849" s="1" t="s">
        <v>4648</v>
      </c>
      <c r="F1849" s="6" t="str">
        <f>IFERROR(__xludf.DUMMYFUNCTION("""COMPUTED_VALUE"""),"fragmented")</f>
        <v>fragmented</v>
      </c>
      <c r="H1849" s="1" t="s">
        <v>1727</v>
      </c>
      <c r="I1849" s="6" t="str">
        <f>IFERROR(__xludf.DUMMYFUNCTION("""COMPUTED_VALUE"""),"rigid")</f>
        <v>rigid</v>
      </c>
      <c r="S1849" s="1" t="s">
        <v>2327</v>
      </c>
      <c r="T1849" s="6" t="str">
        <f>IFERROR(__xludf.DUMMYFUNCTION("""COMPUTED_VALUE"""),"knowledge")</f>
        <v>knowledge</v>
      </c>
      <c r="W1849" s="8"/>
      <c r="AJ1849" s="1" t="s">
        <v>5080</v>
      </c>
      <c r="AM1849" s="1" t="s">
        <v>4534</v>
      </c>
    </row>
    <row r="1850">
      <c r="E1850" s="1" t="s">
        <v>3433</v>
      </c>
      <c r="F1850" s="6" t="str">
        <f>IFERROR(__xludf.DUMMYFUNCTION("""COMPUTED_VALUE"""),"enhancing")</f>
        <v>enhancing</v>
      </c>
      <c r="H1850" s="1" t="s">
        <v>4330</v>
      </c>
      <c r="I1850" s="6" t="str">
        <f>IFERROR(__xludf.DUMMYFUNCTION("""COMPUTED_VALUE"""),"devastation")</f>
        <v>devastation</v>
      </c>
      <c r="S1850" s="1" t="s">
        <v>5081</v>
      </c>
      <c r="T1850" s="6" t="str">
        <f>IFERROR(__xludf.DUMMYFUNCTION("""COMPUTED_VALUE"""),"rivalry")</f>
        <v>rivalry</v>
      </c>
      <c r="W1850" s="8"/>
      <c r="AJ1850" s="1" t="s">
        <v>3379</v>
      </c>
      <c r="AM1850" s="1" t="s">
        <v>4154</v>
      </c>
    </row>
    <row r="1851">
      <c r="E1851" s="1" t="s">
        <v>1711</v>
      </c>
      <c r="F1851" s="6" t="str">
        <f>IFERROR(__xludf.DUMMYFUNCTION("""COMPUTED_VALUE"""),"feral")</f>
        <v>feral</v>
      </c>
      <c r="H1851" s="1" t="s">
        <v>3220</v>
      </c>
      <c r="I1851" s="6" t="str">
        <f>IFERROR(__xludf.DUMMYFUNCTION("""COMPUTED_VALUE"""),"portraying")</f>
        <v>portraying</v>
      </c>
      <c r="S1851" s="1" t="s">
        <v>1802</v>
      </c>
      <c r="T1851" s="6" t="str">
        <f>IFERROR(__xludf.DUMMYFUNCTION("""COMPUTED_VALUE"""),"agile")</f>
        <v>agile</v>
      </c>
      <c r="W1851" s="8"/>
      <c r="AJ1851" s="1" t="s">
        <v>3381</v>
      </c>
      <c r="AM1851" s="1" t="s">
        <v>1877</v>
      </c>
    </row>
    <row r="1852">
      <c r="E1852" s="1" t="s">
        <v>5082</v>
      </c>
      <c r="F1852" s="6" t="str">
        <f>IFERROR(__xludf.DUMMYFUNCTION("""COMPUTED_VALUE"""),"decommissioned")</f>
        <v>decommissioned</v>
      </c>
      <c r="H1852" s="1" t="s">
        <v>4333</v>
      </c>
      <c r="I1852" s="6" t="str">
        <f>IFERROR(__xludf.DUMMYFUNCTION("""COMPUTED_VALUE"""),"disease")</f>
        <v>disease</v>
      </c>
      <c r="S1852" s="1" t="s">
        <v>1757</v>
      </c>
      <c r="T1852" s="6" t="str">
        <f>IFERROR(__xludf.DUMMYFUNCTION("""COMPUTED_VALUE"""),"league")</f>
        <v>league</v>
      </c>
      <c r="W1852" s="8"/>
      <c r="AJ1852" s="1" t="s">
        <v>3384</v>
      </c>
      <c r="AM1852" s="1" t="s">
        <v>1882</v>
      </c>
    </row>
    <row r="1853">
      <c r="E1853" s="1" t="s">
        <v>5083</v>
      </c>
      <c r="F1853" s="6" t="str">
        <f>IFERROR(__xludf.DUMMYFUNCTION("""COMPUTED_VALUE"""),"forbidden")</f>
        <v>forbidden</v>
      </c>
      <c r="H1853" s="1" t="s">
        <v>3972</v>
      </c>
      <c r="I1853" s="6" t="str">
        <f>IFERROR(__xludf.DUMMYFUNCTION("""COMPUTED_VALUE"""),"classification")</f>
        <v>classification</v>
      </c>
      <c r="S1853" s="1" t="s">
        <v>4030</v>
      </c>
      <c r="T1853" s="6" t="str">
        <f>IFERROR(__xludf.DUMMYFUNCTION("""COMPUTED_VALUE"""),"victim")</f>
        <v>victim</v>
      </c>
      <c r="W1853" s="8"/>
      <c r="AJ1853" s="1" t="s">
        <v>3386</v>
      </c>
      <c r="AM1853" s="1" t="s">
        <v>3439</v>
      </c>
    </row>
    <row r="1854">
      <c r="E1854" s="1" t="s">
        <v>4042</v>
      </c>
      <c r="F1854" s="6" t="str">
        <f>IFERROR(__xludf.DUMMYFUNCTION("""COMPUTED_VALUE"""),"ordeal")</f>
        <v>ordeal</v>
      </c>
      <c r="H1854" s="1" t="s">
        <v>3222</v>
      </c>
      <c r="I1854" s="6" t="str">
        <f>IFERROR(__xludf.DUMMYFUNCTION("""COMPUTED_VALUE"""),"revenge")</f>
        <v>revenge</v>
      </c>
      <c r="S1854" s="1" t="s">
        <v>5084</v>
      </c>
      <c r="T1854" s="6" t="str">
        <f>IFERROR(__xludf.DUMMYFUNCTION("""COMPUTED_VALUE"""),"denial")</f>
        <v>denial</v>
      </c>
      <c r="W1854" s="8"/>
      <c r="AJ1854" s="1" t="s">
        <v>5085</v>
      </c>
      <c r="AM1854" s="1" t="s">
        <v>5086</v>
      </c>
    </row>
    <row r="1855">
      <c r="E1855" s="1" t="s">
        <v>4047</v>
      </c>
      <c r="F1855" s="6" t="str">
        <f>IFERROR(__xludf.DUMMYFUNCTION("""COMPUTED_VALUE"""),"humiliated")</f>
        <v>humiliated</v>
      </c>
      <c r="H1855" s="1" t="s">
        <v>4337</v>
      </c>
      <c r="I1855" s="6" t="str">
        <f>IFERROR(__xludf.DUMMYFUNCTION("""COMPUTED_VALUE"""),"cheek")</f>
        <v>cheek</v>
      </c>
      <c r="S1855" s="1" t="s">
        <v>5087</v>
      </c>
      <c r="T1855" s="6" t="str">
        <f>IFERROR(__xludf.DUMMYFUNCTION("""COMPUTED_VALUE"""),"factors")</f>
        <v>factors</v>
      </c>
      <c r="W1855" s="8"/>
      <c r="AJ1855" s="1" t="s">
        <v>3390</v>
      </c>
      <c r="AM1855" s="1" t="s">
        <v>3441</v>
      </c>
    </row>
    <row r="1856">
      <c r="E1856" s="1">
        <v>83.0</v>
      </c>
      <c r="F1856" s="6">
        <f>IFERROR(__xludf.DUMMYFUNCTION("""COMPUTED_VALUE"""),451.0)</f>
        <v>451</v>
      </c>
      <c r="H1856" s="1" t="s">
        <v>3226</v>
      </c>
      <c r="I1856" s="6" t="str">
        <f>IFERROR(__xludf.DUMMYFUNCTION("""COMPUTED_VALUE"""),"sundance")</f>
        <v>sundance</v>
      </c>
      <c r="S1856" s="1" t="s">
        <v>2898</v>
      </c>
      <c r="T1856" s="6" t="str">
        <f>IFERROR(__xludf.DUMMYFUNCTION("""COMPUTED_VALUE"""),"resistance")</f>
        <v>resistance</v>
      </c>
      <c r="W1856" s="8"/>
      <c r="AJ1856" s="1"/>
      <c r="AM1856" s="1" t="s">
        <v>1917</v>
      </c>
    </row>
    <row r="1857">
      <c r="E1857" s="1" t="s">
        <v>1163</v>
      </c>
      <c r="F1857" s="6" t="str">
        <f>IFERROR(__xludf.DUMMYFUNCTION("""COMPUTED_VALUE"""),"beaches")</f>
        <v>beaches</v>
      </c>
      <c r="H1857" s="1" t="s">
        <v>4342</v>
      </c>
      <c r="I1857" s="6" t="str">
        <f>IFERROR(__xludf.DUMMYFUNCTION("""COMPUTED_VALUE"""),"smirk")</f>
        <v>smirk</v>
      </c>
      <c r="S1857" s="1" t="s">
        <v>211</v>
      </c>
      <c r="T1857" s="6" t="str">
        <f>IFERROR(__xludf.DUMMYFUNCTION("""COMPUTED_VALUE"""),"artistic")</f>
        <v>artistic</v>
      </c>
      <c r="W1857" s="8"/>
      <c r="AJ1857" s="1"/>
      <c r="AM1857" s="1" t="s">
        <v>5088</v>
      </c>
    </row>
    <row r="1858">
      <c r="E1858" s="1" t="s">
        <v>5089</v>
      </c>
      <c r="F1858" s="6">
        <f>IFERROR(__xludf.DUMMYFUNCTION("""COMPUTED_VALUE"""),1957.0)</f>
        <v>1957</v>
      </c>
      <c r="H1858" s="1" t="s">
        <v>911</v>
      </c>
      <c r="I1858" s="6" t="str">
        <f>IFERROR(__xludf.DUMMYFUNCTION("""COMPUTED_VALUE"""),"phillip")</f>
        <v>phillip</v>
      </c>
      <c r="S1858" s="1" t="s">
        <v>5090</v>
      </c>
      <c r="T1858" s="6" t="str">
        <f>IFERROR(__xludf.DUMMYFUNCTION("""COMPUTED_VALUE"""),"armed")</f>
        <v>armed</v>
      </c>
      <c r="W1858" s="8"/>
      <c r="AJ1858" s="1"/>
      <c r="AM1858" s="1" t="s">
        <v>79</v>
      </c>
    </row>
    <row r="1859">
      <c r="E1859" s="1" t="s">
        <v>3437</v>
      </c>
      <c r="F1859" s="6" t="str">
        <f>IFERROR(__xludf.DUMMYFUNCTION("""COMPUTED_VALUE"""),"sacrifices")</f>
        <v>sacrifices</v>
      </c>
      <c r="H1859" s="1" t="s">
        <v>4347</v>
      </c>
      <c r="I1859" s="6" t="str">
        <f>IFERROR(__xludf.DUMMYFUNCTION("""COMPUTED_VALUE"""),"references")</f>
        <v>references</v>
      </c>
      <c r="S1859" s="1" t="s">
        <v>4429</v>
      </c>
      <c r="T1859" s="6" t="str">
        <f>IFERROR(__xludf.DUMMYFUNCTION("""COMPUTED_VALUE"""),"seriousness")</f>
        <v>seriousness</v>
      </c>
      <c r="W1859" s="8"/>
      <c r="AJ1859" s="1"/>
      <c r="AM1859" s="1" t="s">
        <v>5091</v>
      </c>
    </row>
    <row r="1860">
      <c r="E1860" s="1" t="s">
        <v>78</v>
      </c>
      <c r="F1860" s="6" t="str">
        <f>IFERROR(__xludf.DUMMYFUNCTION("""COMPUTED_VALUE"""),"consciously")</f>
        <v>consciously</v>
      </c>
      <c r="H1860" s="1" t="s">
        <v>3827</v>
      </c>
      <c r="I1860" s="6" t="str">
        <f>IFERROR(__xludf.DUMMYFUNCTION("""COMPUTED_VALUE"""),"skyscraper")</f>
        <v>skyscraper</v>
      </c>
      <c r="S1860" s="1" t="s">
        <v>5092</v>
      </c>
      <c r="T1860" s="6" t="str">
        <f>IFERROR(__xludf.DUMMYFUNCTION("""COMPUTED_VALUE"""),"employment")</f>
        <v>employment</v>
      </c>
      <c r="W1860" s="8"/>
      <c r="AJ1860" s="1"/>
      <c r="AM1860" s="1" t="s">
        <v>5093</v>
      </c>
    </row>
    <row r="1861">
      <c r="E1861" s="1" t="s">
        <v>2232</v>
      </c>
      <c r="F1861" s="6" t="str">
        <f>IFERROR(__xludf.DUMMYFUNCTION("""COMPUTED_VALUE"""),"asphalt")</f>
        <v>asphalt</v>
      </c>
      <c r="H1861" s="1" t="s">
        <v>1741</v>
      </c>
      <c r="I1861" s="6" t="str">
        <f>IFERROR(__xludf.DUMMYFUNCTION("""COMPUTED_VALUE"""),"clouds")</f>
        <v>clouds</v>
      </c>
      <c r="S1861" s="1" t="s">
        <v>3689</v>
      </c>
      <c r="T1861" s="6" t="str">
        <f>IFERROR(__xludf.DUMMYFUNCTION("""COMPUTED_VALUE"""),"strokes")</f>
        <v>strokes</v>
      </c>
      <c r="W1861" s="8"/>
      <c r="AJ1861" s="1"/>
      <c r="AM1861" s="1" t="s">
        <v>3639</v>
      </c>
    </row>
    <row r="1862">
      <c r="E1862" s="1" t="s">
        <v>97</v>
      </c>
      <c r="F1862" s="6" t="str">
        <f>IFERROR(__xludf.DUMMYFUNCTION("""COMPUTED_VALUE"""),"retiring")</f>
        <v>retiring</v>
      </c>
      <c r="H1862" s="1" t="s">
        <v>5094</v>
      </c>
      <c r="I1862" s="6" t="str">
        <f>IFERROR(__xludf.DUMMYFUNCTION("""COMPUTED_VALUE"""),"narration")</f>
        <v>narration</v>
      </c>
      <c r="S1862" s="1" t="s">
        <v>5095</v>
      </c>
      <c r="T1862" s="6" t="str">
        <f>IFERROR(__xludf.DUMMYFUNCTION("""COMPUTED_VALUE"""),"cricket")</f>
        <v>cricket</v>
      </c>
      <c r="W1862" s="8"/>
      <c r="AJ1862" s="1"/>
      <c r="AM1862" s="1" t="s">
        <v>1889</v>
      </c>
    </row>
    <row r="1863">
      <c r="E1863" s="1" t="s">
        <v>1656</v>
      </c>
      <c r="F1863" s="6" t="str">
        <f>IFERROR(__xludf.DUMMYFUNCTION("""COMPUTED_VALUE"""),"longtime")</f>
        <v>longtime</v>
      </c>
      <c r="H1863" s="1" t="s">
        <v>2591</v>
      </c>
      <c r="I1863" s="6" t="str">
        <f>IFERROR(__xludf.DUMMYFUNCTION("""COMPUTED_VALUE"""),"prolonged")</f>
        <v>prolonged</v>
      </c>
      <c r="S1863" s="1" t="s">
        <v>1144</v>
      </c>
      <c r="T1863" s="6" t="str">
        <f>IFERROR(__xludf.DUMMYFUNCTION("""COMPUTED_VALUE"""),"vin")</f>
        <v>vin</v>
      </c>
      <c r="W1863" s="8"/>
      <c r="AJ1863" s="1"/>
      <c r="AM1863" s="1" t="s">
        <v>5096</v>
      </c>
    </row>
    <row r="1864">
      <c r="E1864" s="1" t="s">
        <v>5097</v>
      </c>
      <c r="F1864" s="6" t="str">
        <f>IFERROR(__xludf.DUMMYFUNCTION("""COMPUTED_VALUE"""),"tolkien")</f>
        <v>tolkien</v>
      </c>
      <c r="H1864" s="1" t="s">
        <v>2946</v>
      </c>
      <c r="I1864" s="6" t="str">
        <f>IFERROR(__xludf.DUMMYFUNCTION("""COMPUTED_VALUE"""),"opened")</f>
        <v>opened</v>
      </c>
      <c r="S1864" s="1" t="s">
        <v>5016</v>
      </c>
      <c r="T1864" s="6" t="str">
        <f>IFERROR(__xludf.DUMMYFUNCTION("""COMPUTED_VALUE"""),"brains")</f>
        <v>brains</v>
      </c>
      <c r="W1864" s="8"/>
      <c r="AJ1864" s="1"/>
      <c r="AM1864" s="1" t="s">
        <v>3446</v>
      </c>
    </row>
    <row r="1865">
      <c r="E1865" s="1" t="s">
        <v>4984</v>
      </c>
      <c r="F1865" s="6" t="str">
        <f>IFERROR(__xludf.DUMMYFUNCTION("""COMPUTED_VALUE"""),"twisting")</f>
        <v>twisting</v>
      </c>
      <c r="H1865" s="1" t="s">
        <v>4900</v>
      </c>
      <c r="I1865" s="6" t="str">
        <f>IFERROR(__xludf.DUMMYFUNCTION("""COMPUTED_VALUE"""),"literal")</f>
        <v>literal</v>
      </c>
      <c r="S1865" s="1" t="s">
        <v>5098</v>
      </c>
      <c r="T1865" s="6" t="str">
        <f>IFERROR(__xludf.DUMMYFUNCTION("""COMPUTED_VALUE"""),"banged")</f>
        <v>banged</v>
      </c>
      <c r="W1865" s="8"/>
      <c r="AJ1865" s="1"/>
      <c r="AM1865" s="1" t="s">
        <v>3449</v>
      </c>
    </row>
    <row r="1866">
      <c r="E1866" s="1" t="s">
        <v>3450</v>
      </c>
      <c r="F1866" s="6" t="str">
        <f>IFERROR(__xludf.DUMMYFUNCTION("""COMPUTED_VALUE"""),"littered")</f>
        <v>littered</v>
      </c>
      <c r="H1866" s="1" t="s">
        <v>5099</v>
      </c>
      <c r="I1866" s="6" t="str">
        <f>IFERROR(__xludf.DUMMYFUNCTION("""COMPUTED_VALUE"""),"rejected")</f>
        <v>rejected</v>
      </c>
      <c r="S1866" s="1" t="s">
        <v>2122</v>
      </c>
      <c r="T1866" s="6" t="str">
        <f>IFERROR(__xludf.DUMMYFUNCTION("""COMPUTED_VALUE"""),"screenings")</f>
        <v>screenings</v>
      </c>
      <c r="W1866" s="8"/>
      <c r="AJ1866" s="1"/>
      <c r="AM1866" s="1" t="s">
        <v>1893</v>
      </c>
    </row>
    <row r="1867">
      <c r="E1867" s="1" t="s">
        <v>5100</v>
      </c>
      <c r="F1867" s="6" t="str">
        <f>IFERROR(__xludf.DUMMYFUNCTION("""COMPUTED_VALUE"""),"methodology")</f>
        <v>methodology</v>
      </c>
      <c r="H1867" s="1" t="s">
        <v>4349</v>
      </c>
      <c r="I1867" s="6" t="str">
        <f>IFERROR(__xludf.DUMMYFUNCTION("""COMPUTED_VALUE"""),"suggests")</f>
        <v>suggests</v>
      </c>
      <c r="S1867" s="1" t="s">
        <v>412</v>
      </c>
      <c r="T1867" s="6" t="str">
        <f>IFERROR(__xludf.DUMMYFUNCTION("""COMPUTED_VALUE"""),"canon")</f>
        <v>canon</v>
      </c>
      <c r="W1867" s="8"/>
      <c r="AJ1867" s="1"/>
      <c r="AM1867" s="1" t="s">
        <v>4725</v>
      </c>
    </row>
    <row r="1868">
      <c r="E1868" s="1" t="s">
        <v>5101</v>
      </c>
      <c r="F1868" s="6" t="str">
        <f>IFERROR(__xludf.DUMMYFUNCTION("""COMPUTED_VALUE"""),"experimental")</f>
        <v>experimental</v>
      </c>
      <c r="H1868" s="1" t="s">
        <v>4906</v>
      </c>
      <c r="I1868" s="6" t="str">
        <f>IFERROR(__xludf.DUMMYFUNCTION("""COMPUTED_VALUE"""),"richly")</f>
        <v>richly</v>
      </c>
      <c r="S1868" s="1" t="s">
        <v>5102</v>
      </c>
      <c r="T1868" s="6" t="str">
        <f>IFERROR(__xludf.DUMMYFUNCTION("""COMPUTED_VALUE"""),"flesh")</f>
        <v>flesh</v>
      </c>
      <c r="W1868" s="8"/>
      <c r="AJ1868" s="1"/>
      <c r="AM1868" s="1" t="s">
        <v>1172</v>
      </c>
    </row>
    <row r="1869">
      <c r="E1869" s="1" t="s">
        <v>3452</v>
      </c>
      <c r="F1869" s="6" t="str">
        <f>IFERROR(__xludf.DUMMYFUNCTION("""COMPUTED_VALUE"""),"cleavage")</f>
        <v>cleavage</v>
      </c>
      <c r="H1869" s="1" t="s">
        <v>1083</v>
      </c>
      <c r="I1869" s="6" t="str">
        <f>IFERROR(__xludf.DUMMYFUNCTION("""COMPUTED_VALUE"""),"perform")</f>
        <v>perform</v>
      </c>
      <c r="S1869" s="1" t="s">
        <v>4697</v>
      </c>
      <c r="T1869" s="6" t="str">
        <f>IFERROR(__xludf.DUMMYFUNCTION("""COMPUTED_VALUE"""),"drastic")</f>
        <v>drastic</v>
      </c>
      <c r="W1869" s="8"/>
      <c r="AJ1869" s="1"/>
      <c r="AM1869" s="1" t="s">
        <v>3456</v>
      </c>
    </row>
    <row r="1870">
      <c r="E1870" s="1" t="s">
        <v>2235</v>
      </c>
      <c r="F1870" s="6" t="str">
        <f>IFERROR(__xludf.DUMMYFUNCTION("""COMPUTED_VALUE"""),"reaches")</f>
        <v>reaches</v>
      </c>
      <c r="H1870" s="1" t="s">
        <v>3233</v>
      </c>
      <c r="I1870" s="6" t="str">
        <f>IFERROR(__xludf.DUMMYFUNCTION("""COMPUTED_VALUE"""),"flatly")</f>
        <v>flatly</v>
      </c>
      <c r="S1870" s="1" t="s">
        <v>1117</v>
      </c>
      <c r="T1870" s="6" t="str">
        <f>IFERROR(__xludf.DUMMYFUNCTION("""COMPUTED_VALUE"""),"capturing")</f>
        <v>capturing</v>
      </c>
      <c r="W1870" s="8"/>
      <c r="AJ1870" s="1"/>
      <c r="AM1870" s="1" t="s">
        <v>3085</v>
      </c>
    </row>
    <row r="1871">
      <c r="E1871" s="1" t="s">
        <v>5103</v>
      </c>
      <c r="F1871" s="6" t="str">
        <f>IFERROR(__xludf.DUMMYFUNCTION("""COMPUTED_VALUE"""),"youthful")</f>
        <v>youthful</v>
      </c>
      <c r="H1871" s="1" t="s">
        <v>4354</v>
      </c>
      <c r="I1871" s="6" t="str">
        <f>IFERROR(__xludf.DUMMYFUNCTION("""COMPUTED_VALUE"""),"principles")</f>
        <v>principles</v>
      </c>
      <c r="S1871" s="1" t="s">
        <v>5104</v>
      </c>
      <c r="T1871" s="6" t="str">
        <f>IFERROR(__xludf.DUMMYFUNCTION("""COMPUTED_VALUE"""),"fantasies")</f>
        <v>fantasies</v>
      </c>
      <c r="W1871" s="8"/>
      <c r="AJ1871" s="1"/>
      <c r="AM1871" s="1" t="s">
        <v>3081</v>
      </c>
    </row>
    <row r="1872">
      <c r="E1872" s="1" t="s">
        <v>4061</v>
      </c>
      <c r="F1872" s="6" t="str">
        <f>IFERROR(__xludf.DUMMYFUNCTION("""COMPUTED_VALUE"""),"inhabit")</f>
        <v>inhabit</v>
      </c>
      <c r="H1872" s="1" t="s">
        <v>4357</v>
      </c>
      <c r="I1872" s="6" t="str">
        <f>IFERROR(__xludf.DUMMYFUNCTION("""COMPUTED_VALUE"""),"atrocities")</f>
        <v>atrocities</v>
      </c>
      <c r="S1872" s="1" t="s">
        <v>5105</v>
      </c>
      <c r="T1872" s="6" t="str">
        <f>IFERROR(__xludf.DUMMYFUNCTION("""COMPUTED_VALUE"""),"illness")</f>
        <v>illness</v>
      </c>
      <c r="W1872" s="8"/>
      <c r="AJ1872" s="1"/>
      <c r="AM1872" s="1" t="s">
        <v>5106</v>
      </c>
    </row>
    <row r="1873">
      <c r="E1873" s="1" t="s">
        <v>5107</v>
      </c>
      <c r="F1873" s="6" t="str">
        <f>IFERROR(__xludf.DUMMYFUNCTION("""COMPUTED_VALUE"""),"predict")</f>
        <v>predict</v>
      </c>
      <c r="H1873" s="1" t="s">
        <v>2957</v>
      </c>
      <c r="I1873" s="6" t="str">
        <f>IFERROR(__xludf.DUMMYFUNCTION("""COMPUTED_VALUE"""),"mythology")</f>
        <v>mythology</v>
      </c>
      <c r="S1873" s="1" t="s">
        <v>5108</v>
      </c>
      <c r="T1873" s="6" t="str">
        <f>IFERROR(__xludf.DUMMYFUNCTION("""COMPUTED_VALUE"""),"metaphysical")</f>
        <v>metaphysical</v>
      </c>
      <c r="W1873" s="8"/>
      <c r="AJ1873" s="1"/>
      <c r="AM1873" s="1" t="s">
        <v>3088</v>
      </c>
    </row>
    <row r="1874">
      <c r="E1874" s="1" t="s">
        <v>4065</v>
      </c>
      <c r="F1874" s="6" t="str">
        <f>IFERROR(__xludf.DUMMYFUNCTION("""COMPUTED_VALUE"""),"villains")</f>
        <v>villains</v>
      </c>
      <c r="H1874" s="1" t="s">
        <v>1090</v>
      </c>
      <c r="I1874" s="6" t="str">
        <f>IFERROR(__xludf.DUMMYFUNCTION("""COMPUTED_VALUE"""),"benefited")</f>
        <v>benefited</v>
      </c>
      <c r="S1874" s="1" t="s">
        <v>5109</v>
      </c>
      <c r="T1874" s="6" t="str">
        <f>IFERROR(__xludf.DUMMYFUNCTION("""COMPUTED_VALUE"""),"collectively")</f>
        <v>collectively</v>
      </c>
      <c r="W1874" s="8"/>
      <c r="AJ1874" s="1"/>
      <c r="AM1874" s="1" t="s">
        <v>4562</v>
      </c>
    </row>
    <row r="1875">
      <c r="E1875" s="1" t="s">
        <v>2245</v>
      </c>
      <c r="F1875" s="6" t="str">
        <f>IFERROR(__xludf.DUMMYFUNCTION("""COMPUTED_VALUE"""),"servants")</f>
        <v>servants</v>
      </c>
      <c r="H1875" s="1" t="s">
        <v>3236</v>
      </c>
      <c r="I1875" s="6" t="str">
        <f>IFERROR(__xludf.DUMMYFUNCTION("""COMPUTED_VALUE"""),"directs")</f>
        <v>directs</v>
      </c>
      <c r="S1875" s="1" t="s">
        <v>2655</v>
      </c>
      <c r="T1875" s="6" t="str">
        <f>IFERROR(__xludf.DUMMYFUNCTION("""COMPUTED_VALUE"""),"echoes")</f>
        <v>echoes</v>
      </c>
      <c r="W1875" s="8"/>
      <c r="AJ1875" s="1"/>
      <c r="AM1875" s="1" t="s">
        <v>2555</v>
      </c>
    </row>
    <row r="1876">
      <c r="E1876" s="1" t="s">
        <v>5110</v>
      </c>
      <c r="F1876" s="6" t="str">
        <f>IFERROR(__xludf.DUMMYFUNCTION("""COMPUTED_VALUE"""),"nemesis")</f>
        <v>nemesis</v>
      </c>
      <c r="H1876" s="1" t="s">
        <v>3485</v>
      </c>
      <c r="I1876" s="6" t="str">
        <f>IFERROR(__xludf.DUMMYFUNCTION("""COMPUTED_VALUE"""),"extravagant")</f>
        <v>extravagant</v>
      </c>
      <c r="S1876" s="1" t="s">
        <v>4246</v>
      </c>
      <c r="T1876" s="6" t="str">
        <f>IFERROR(__xludf.DUMMYFUNCTION("""COMPUTED_VALUE"""),"canadians")</f>
        <v>canadians</v>
      </c>
      <c r="W1876" s="8"/>
      <c r="AJ1876" s="1"/>
      <c r="AM1876" s="1" t="s">
        <v>4565</v>
      </c>
    </row>
    <row r="1877">
      <c r="E1877" s="1" t="s">
        <v>5111</v>
      </c>
      <c r="F1877" s="6" t="str">
        <f>IFERROR(__xludf.DUMMYFUNCTION("""COMPUTED_VALUE"""),"remembrance")</f>
        <v>remembrance</v>
      </c>
      <c r="H1877" s="1" t="s">
        <v>4363</v>
      </c>
      <c r="I1877" s="6" t="str">
        <f>IFERROR(__xludf.DUMMYFUNCTION("""COMPUTED_VALUE"""),"swings")</f>
        <v>swings</v>
      </c>
      <c r="S1877" s="1" t="s">
        <v>5112</v>
      </c>
      <c r="T1877" s="6" t="str">
        <f>IFERROR(__xludf.DUMMYFUNCTION("""COMPUTED_VALUE"""),"calculated")</f>
        <v>calculated</v>
      </c>
      <c r="W1877" s="8"/>
      <c r="AJ1877" s="1"/>
      <c r="AM1877" s="1" t="s">
        <v>3459</v>
      </c>
    </row>
    <row r="1878">
      <c r="E1878" s="1" t="s">
        <v>4074</v>
      </c>
      <c r="F1878" s="6" t="str">
        <f>IFERROR(__xludf.DUMMYFUNCTION("""COMPUTED_VALUE"""),"lina")</f>
        <v>lina</v>
      </c>
      <c r="H1878" s="1" t="s">
        <v>3284</v>
      </c>
      <c r="I1878" s="6">
        <f>IFERROR(__xludf.DUMMYFUNCTION("""COMPUTED_VALUE"""),1938.0)</f>
        <v>1938</v>
      </c>
      <c r="S1878" s="1" t="s">
        <v>2893</v>
      </c>
      <c r="T1878" s="6" t="str">
        <f>IFERROR(__xludf.DUMMYFUNCTION("""COMPUTED_VALUE"""),"winds")</f>
        <v>winds</v>
      </c>
      <c r="W1878" s="8"/>
      <c r="AJ1878" s="1"/>
      <c r="AM1878" s="1" t="s">
        <v>3091</v>
      </c>
    </row>
    <row r="1879">
      <c r="E1879" s="1" t="s">
        <v>4071</v>
      </c>
      <c r="F1879" s="6" t="str">
        <f>IFERROR(__xludf.DUMMYFUNCTION("""COMPUTED_VALUE"""),"shriek")</f>
        <v>shriek</v>
      </c>
      <c r="H1879" s="1" t="s">
        <v>1671</v>
      </c>
      <c r="I1879" s="6" t="str">
        <f>IFERROR(__xludf.DUMMYFUNCTION("""COMPUTED_VALUE"""),"holden")</f>
        <v>holden</v>
      </c>
      <c r="S1879" s="1" t="s">
        <v>3430</v>
      </c>
      <c r="T1879" s="6" t="str">
        <f>IFERROR(__xludf.DUMMYFUNCTION("""COMPUTED_VALUE"""),"discomfort")</f>
        <v>discomfort</v>
      </c>
      <c r="W1879" s="8"/>
      <c r="AJ1879" s="1"/>
      <c r="AM1879" s="1" t="s">
        <v>3462</v>
      </c>
    </row>
    <row r="1880">
      <c r="E1880" s="1" t="s">
        <v>2248</v>
      </c>
      <c r="F1880" s="6" t="str">
        <f>IFERROR(__xludf.DUMMYFUNCTION("""COMPUTED_VALUE"""),"error")</f>
        <v>error</v>
      </c>
      <c r="H1880" s="1" t="s">
        <v>4125</v>
      </c>
      <c r="I1880" s="6" t="str">
        <f>IFERROR(__xludf.DUMMYFUNCTION("""COMPUTED_VALUE"""),"leaping")</f>
        <v>leaping</v>
      </c>
      <c r="S1880" s="1" t="s">
        <v>3010</v>
      </c>
      <c r="T1880" s="6" t="str">
        <f>IFERROR(__xludf.DUMMYFUNCTION("""COMPUTED_VALUE"""),"swan")</f>
        <v>swan</v>
      </c>
      <c r="W1880" s="8"/>
      <c r="AJ1880" s="1"/>
      <c r="AM1880" s="1" t="s">
        <v>3093</v>
      </c>
    </row>
    <row r="1881">
      <c r="E1881" s="1" t="s">
        <v>4072</v>
      </c>
      <c r="F1881" s="6" t="str">
        <f>IFERROR(__xludf.DUMMYFUNCTION("""COMPUTED_VALUE"""),"collaboration")</f>
        <v>collaboration</v>
      </c>
      <c r="H1881" s="1" t="s">
        <v>3742</v>
      </c>
      <c r="I1881" s="6" t="str">
        <f>IFERROR(__xludf.DUMMYFUNCTION("""COMPUTED_VALUE"""),"traits")</f>
        <v>traits</v>
      </c>
      <c r="S1881" s="1" t="s">
        <v>5113</v>
      </c>
      <c r="T1881" s="6" t="str">
        <f>IFERROR(__xludf.DUMMYFUNCTION("""COMPUTED_VALUE"""),"landing")</f>
        <v>landing</v>
      </c>
      <c r="W1881" s="8"/>
      <c r="AJ1881" s="1"/>
      <c r="AM1881" s="1" t="s">
        <v>4568</v>
      </c>
    </row>
    <row r="1882">
      <c r="E1882" s="1" t="s">
        <v>176</v>
      </c>
      <c r="F1882" s="6" t="str">
        <f>IFERROR(__xludf.DUMMYFUNCTION("""COMPUTED_VALUE"""),"germanic")</f>
        <v>germanic</v>
      </c>
      <c r="H1882" s="1" t="s">
        <v>3240</v>
      </c>
      <c r="I1882" s="6" t="str">
        <f>IFERROR(__xludf.DUMMYFUNCTION("""COMPUTED_VALUE"""),"gore")</f>
        <v>gore</v>
      </c>
      <c r="S1882" s="1" t="s">
        <v>659</v>
      </c>
      <c r="T1882" s="6" t="str">
        <f>IFERROR(__xludf.DUMMYFUNCTION("""COMPUTED_VALUE"""),"rally")</f>
        <v>rally</v>
      </c>
      <c r="W1882" s="8"/>
      <c r="AJ1882" s="1"/>
      <c r="AM1882" s="1" t="s">
        <v>5114</v>
      </c>
    </row>
    <row r="1883">
      <c r="E1883" s="1" t="s">
        <v>2256</v>
      </c>
      <c r="F1883" s="6" t="str">
        <f>IFERROR(__xludf.DUMMYFUNCTION("""COMPUTED_VALUE"""),"sustained")</f>
        <v>sustained</v>
      </c>
      <c r="H1883" s="1" t="s">
        <v>1746</v>
      </c>
      <c r="I1883" s="6" t="str">
        <f>IFERROR(__xludf.DUMMYFUNCTION("""COMPUTED_VALUE"""),"nicolas")</f>
        <v>nicolas</v>
      </c>
      <c r="S1883" s="1" t="s">
        <v>4841</v>
      </c>
      <c r="T1883" s="6" t="str">
        <f>IFERROR(__xludf.DUMMYFUNCTION("""COMPUTED_VALUE"""),"academic")</f>
        <v>academic</v>
      </c>
      <c r="W1883" s="8"/>
      <c r="AJ1883" s="1"/>
      <c r="AM1883" s="1" t="s">
        <v>3483</v>
      </c>
    </row>
    <row r="1884">
      <c r="E1884" s="1" t="s">
        <v>1176</v>
      </c>
      <c r="F1884" s="6" t="str">
        <f>IFERROR(__xludf.DUMMYFUNCTION("""COMPUTED_VALUE"""),"keel")</f>
        <v>keel</v>
      </c>
      <c r="H1884" s="1" t="s">
        <v>4375</v>
      </c>
      <c r="I1884" s="6" t="str">
        <f>IFERROR(__xludf.DUMMYFUNCTION("""COMPUTED_VALUE"""),"cage")</f>
        <v>cage</v>
      </c>
      <c r="P1884" s="10"/>
      <c r="S1884" s="1" t="s">
        <v>5115</v>
      </c>
      <c r="T1884" s="6" t="str">
        <f>IFERROR(__xludf.DUMMYFUNCTION("""COMPUTED_VALUE"""),"silver")</f>
        <v>silver</v>
      </c>
      <c r="W1884" s="8"/>
      <c r="AJ1884" s="1"/>
      <c r="AM1884" s="1" t="s">
        <v>3465</v>
      </c>
    </row>
    <row r="1885">
      <c r="E1885" s="1" t="s">
        <v>4344</v>
      </c>
      <c r="F1885" s="6" t="str">
        <f>IFERROR(__xludf.DUMMYFUNCTION("""COMPUTED_VALUE"""),"tolerance")</f>
        <v>tolerance</v>
      </c>
      <c r="H1885" s="1" t="s">
        <v>2963</v>
      </c>
      <c r="I1885" s="6" t="str">
        <f>IFERROR(__xludf.DUMMYFUNCTION("""COMPUTED_VALUE"""),"paranoia")</f>
        <v>paranoia</v>
      </c>
      <c r="S1885" s="1" t="s">
        <v>5116</v>
      </c>
      <c r="T1885" s="6" t="str">
        <f>IFERROR(__xludf.DUMMYFUNCTION("""COMPUTED_VALUE"""),"rigid")</f>
        <v>rigid</v>
      </c>
      <c r="W1885" s="8"/>
      <c r="AJ1885" s="1"/>
      <c r="AM1885" s="1" t="s">
        <v>1716</v>
      </c>
    </row>
    <row r="1886">
      <c r="E1886" s="1" t="s">
        <v>3467</v>
      </c>
      <c r="F1886" s="6" t="str">
        <f>IFERROR(__xludf.DUMMYFUNCTION("""COMPUTED_VALUE"""),"prowess")</f>
        <v>prowess</v>
      </c>
      <c r="H1886" s="1" t="s">
        <v>4379</v>
      </c>
      <c r="I1886" s="6" t="str">
        <f>IFERROR(__xludf.DUMMYFUNCTION("""COMPUTED_VALUE"""),"confronting")</f>
        <v>confronting</v>
      </c>
      <c r="S1886" s="1" t="s">
        <v>5117</v>
      </c>
      <c r="T1886" s="6" t="str">
        <f>IFERROR(__xludf.DUMMYFUNCTION("""COMPUTED_VALUE"""),"portraying")</f>
        <v>portraying</v>
      </c>
      <c r="W1886" s="8"/>
      <c r="AJ1886" s="1"/>
      <c r="AM1886" s="1" t="s">
        <v>5118</v>
      </c>
    </row>
    <row r="1887">
      <c r="E1887" s="1" t="s">
        <v>4082</v>
      </c>
      <c r="F1887" s="6" t="str">
        <f>IFERROR(__xludf.DUMMYFUNCTION("""COMPUTED_VALUE"""),"preaching")</f>
        <v>preaching</v>
      </c>
      <c r="H1887" s="1" t="s">
        <v>4925</v>
      </c>
      <c r="I1887" s="6" t="str">
        <f>IFERROR(__xludf.DUMMYFUNCTION("""COMPUTED_VALUE"""),"phenomenon")</f>
        <v>phenomenon</v>
      </c>
      <c r="S1887" s="1" t="s">
        <v>4637</v>
      </c>
      <c r="T1887" s="6" t="str">
        <f>IFERROR(__xludf.DUMMYFUNCTION("""COMPUTED_VALUE"""),"revenge")</f>
        <v>revenge</v>
      </c>
      <c r="W1887" s="8"/>
      <c r="AJ1887" s="1"/>
      <c r="AM1887" s="1" t="s">
        <v>3469</v>
      </c>
    </row>
    <row r="1888">
      <c r="E1888" s="1" t="s">
        <v>3471</v>
      </c>
      <c r="F1888" s="6" t="str">
        <f>IFERROR(__xludf.DUMMYFUNCTION("""COMPUTED_VALUE"""),"reportedly")</f>
        <v>reportedly</v>
      </c>
      <c r="H1888" s="1" t="s">
        <v>1541</v>
      </c>
      <c r="I1888" s="6" t="str">
        <f>IFERROR(__xludf.DUMMYFUNCTION("""COMPUTED_VALUE"""),"viewpoint")</f>
        <v>viewpoint</v>
      </c>
      <c r="S1888" s="1" t="s">
        <v>3724</v>
      </c>
      <c r="T1888" s="6" t="str">
        <f>IFERROR(__xludf.DUMMYFUNCTION("""COMPUTED_VALUE"""),"cheek")</f>
        <v>cheek</v>
      </c>
      <c r="W1888" s="8"/>
      <c r="AJ1888" s="1"/>
      <c r="AM1888" s="1" t="s">
        <v>3473</v>
      </c>
    </row>
    <row r="1889">
      <c r="E1889" s="1" t="s">
        <v>390</v>
      </c>
      <c r="F1889" s="6" t="str">
        <f>IFERROR(__xludf.DUMMYFUNCTION("""COMPUTED_VALUE"""),"dimensional")</f>
        <v>dimensional</v>
      </c>
      <c r="H1889" s="1" t="s">
        <v>4928</v>
      </c>
      <c r="I1889" s="6" t="str">
        <f>IFERROR(__xludf.DUMMYFUNCTION("""COMPUTED_VALUE"""),"diary")</f>
        <v>diary</v>
      </c>
      <c r="S1889" s="1" t="s">
        <v>284</v>
      </c>
      <c r="T1889" s="6" t="str">
        <f>IFERROR(__xludf.DUMMYFUNCTION("""COMPUTED_VALUE"""),"sundance")</f>
        <v>sundance</v>
      </c>
      <c r="W1889" s="8"/>
      <c r="AJ1889" s="1"/>
      <c r="AM1889" s="1" t="s">
        <v>3476</v>
      </c>
    </row>
    <row r="1890">
      <c r="E1890" s="1" t="s">
        <v>3478</v>
      </c>
      <c r="F1890" s="6" t="str">
        <f>IFERROR(__xludf.DUMMYFUNCTION("""COMPUTED_VALUE"""),"liability")</f>
        <v>liability</v>
      </c>
      <c r="H1890" s="1" t="s">
        <v>4380</v>
      </c>
      <c r="I1890" s="6" t="str">
        <f>IFERROR(__xludf.DUMMYFUNCTION("""COMPUTED_VALUE"""),"leap")</f>
        <v>leap</v>
      </c>
      <c r="S1890" s="1" t="s">
        <v>2941</v>
      </c>
      <c r="T1890" s="6" t="str">
        <f>IFERROR(__xludf.DUMMYFUNCTION("""COMPUTED_VALUE"""),"skins")</f>
        <v>skins</v>
      </c>
      <c r="W1890" s="8"/>
      <c r="AJ1890" s="1"/>
      <c r="AM1890" s="1" t="s">
        <v>1178</v>
      </c>
    </row>
    <row r="1891">
      <c r="E1891" s="1" t="s">
        <v>5119</v>
      </c>
      <c r="F1891" s="6" t="str">
        <f>IFERROR(__xludf.DUMMYFUNCTION("""COMPUTED_VALUE"""),"tackled")</f>
        <v>tackled</v>
      </c>
      <c r="H1891" s="1" t="s">
        <v>4382</v>
      </c>
      <c r="I1891" s="6" t="str">
        <f>IFERROR(__xludf.DUMMYFUNCTION("""COMPUTED_VALUE"""),"fuels")</f>
        <v>fuels</v>
      </c>
      <c r="S1891" s="1" t="s">
        <v>5120</v>
      </c>
      <c r="T1891" s="6" t="str">
        <f>IFERROR(__xludf.DUMMYFUNCTION("""COMPUTED_VALUE"""),"smirk")</f>
        <v>smirk</v>
      </c>
      <c r="W1891" s="8"/>
      <c r="AJ1891" s="1"/>
      <c r="AM1891" s="1" t="s">
        <v>3482</v>
      </c>
    </row>
    <row r="1892">
      <c r="E1892" s="1" t="s">
        <v>5121</v>
      </c>
      <c r="F1892" s="6" t="str">
        <f>IFERROR(__xludf.DUMMYFUNCTION("""COMPUTED_VALUE"""),"byzantine")</f>
        <v>byzantine</v>
      </c>
      <c r="H1892" s="1" t="s">
        <v>4385</v>
      </c>
      <c r="I1892" s="6" t="str">
        <f>IFERROR(__xludf.DUMMYFUNCTION("""COMPUTED_VALUE"""),"freighter")</f>
        <v>freighter</v>
      </c>
      <c r="S1892" s="1" t="s">
        <v>5122</v>
      </c>
      <c r="T1892" s="6" t="str">
        <f>IFERROR(__xludf.DUMMYFUNCTION("""COMPUTED_VALUE"""),"phillip")</f>
        <v>phillip</v>
      </c>
      <c r="W1892" s="8"/>
      <c r="AJ1892" s="1"/>
      <c r="AM1892" s="1" t="s">
        <v>1899</v>
      </c>
    </row>
    <row r="1893">
      <c r="E1893" s="1" t="s">
        <v>4087</v>
      </c>
      <c r="F1893" s="6" t="str">
        <f>IFERROR(__xludf.DUMMYFUNCTION("""COMPUTED_VALUE"""),"barrie")</f>
        <v>barrie</v>
      </c>
      <c r="H1893" s="1" t="s">
        <v>3246</v>
      </c>
      <c r="I1893" s="6" t="str">
        <f>IFERROR(__xludf.DUMMYFUNCTION("""COMPUTED_VALUE"""),"backdrop")</f>
        <v>backdrop</v>
      </c>
      <c r="S1893" s="1" t="s">
        <v>3377</v>
      </c>
      <c r="T1893" s="6" t="str">
        <f>IFERROR(__xludf.DUMMYFUNCTION("""COMPUTED_VALUE"""),"references")</f>
        <v>references</v>
      </c>
      <c r="W1893" s="8"/>
      <c r="AJ1893" s="1"/>
      <c r="AM1893" s="1" t="s">
        <v>3486</v>
      </c>
    </row>
    <row r="1894">
      <c r="E1894" s="1" t="s">
        <v>5123</v>
      </c>
      <c r="F1894" s="6" t="str">
        <f>IFERROR(__xludf.DUMMYFUNCTION("""COMPUTED_VALUE"""),"myrtle")</f>
        <v>myrtle</v>
      </c>
      <c r="H1894" s="1" t="s">
        <v>4933</v>
      </c>
      <c r="I1894" s="6" t="str">
        <f>IFERROR(__xludf.DUMMYFUNCTION("""COMPUTED_VALUE"""),"stretches")</f>
        <v>stretches</v>
      </c>
      <c r="S1894" s="1" t="s">
        <v>3930</v>
      </c>
      <c r="T1894" s="6" t="str">
        <f>IFERROR(__xludf.DUMMYFUNCTION("""COMPUTED_VALUE"""),"skyscraper")</f>
        <v>skyscraper</v>
      </c>
      <c r="W1894" s="8"/>
      <c r="AJ1894" s="1"/>
      <c r="AM1894" s="1" t="s">
        <v>1185</v>
      </c>
    </row>
    <row r="1895">
      <c r="E1895" s="1" t="s">
        <v>1191</v>
      </c>
      <c r="F1895" s="6" t="str">
        <f>IFERROR(__xludf.DUMMYFUNCTION("""COMPUTED_VALUE"""),"affinity")</f>
        <v>affinity</v>
      </c>
      <c r="H1895" s="1" t="s">
        <v>5124</v>
      </c>
      <c r="I1895" s="6" t="str">
        <f>IFERROR(__xludf.DUMMYFUNCTION("""COMPUTED_VALUE"""),"expressing")</f>
        <v>expressing</v>
      </c>
      <c r="S1895" s="1" t="s">
        <v>5125</v>
      </c>
      <c r="T1895" s="6" t="str">
        <f>IFERROR(__xludf.DUMMYFUNCTION("""COMPUTED_VALUE"""),"opened")</f>
        <v>opened</v>
      </c>
      <c r="W1895" s="8"/>
      <c r="AJ1895" s="1"/>
      <c r="AM1895" s="1" t="s">
        <v>5001</v>
      </c>
    </row>
    <row r="1896">
      <c r="E1896" s="1" t="s">
        <v>4092</v>
      </c>
      <c r="F1896" s="6" t="str">
        <f>IFERROR(__xludf.DUMMYFUNCTION("""COMPUTED_VALUE"""),"marching")</f>
        <v>marching</v>
      </c>
      <c r="H1896" s="1" t="s">
        <v>2970</v>
      </c>
      <c r="I1896" s="6" t="str">
        <f>IFERROR(__xludf.DUMMYFUNCTION("""COMPUTED_VALUE"""),"ecstasy")</f>
        <v>ecstasy</v>
      </c>
      <c r="S1896" s="1" t="s">
        <v>3850</v>
      </c>
      <c r="T1896" s="6" t="str">
        <f>IFERROR(__xludf.DUMMYFUNCTION("""COMPUTED_VALUE"""),"record")</f>
        <v>record</v>
      </c>
      <c r="W1896" s="8"/>
      <c r="AJ1896" s="1"/>
      <c r="AM1896" s="1" t="s">
        <v>4479</v>
      </c>
    </row>
    <row r="1897">
      <c r="E1897" s="1" t="s">
        <v>1523</v>
      </c>
      <c r="F1897" s="6" t="str">
        <f>IFERROR(__xludf.DUMMYFUNCTION("""COMPUTED_VALUE"""),"percussion")</f>
        <v>percussion</v>
      </c>
      <c r="H1897" s="1" t="s">
        <v>4390</v>
      </c>
      <c r="I1897" s="6" t="str">
        <f>IFERROR(__xludf.DUMMYFUNCTION("""COMPUTED_VALUE"""),"wonders")</f>
        <v>wonders</v>
      </c>
      <c r="S1897" s="1" t="s">
        <v>2912</v>
      </c>
      <c r="T1897" s="6" t="str">
        <f>IFERROR(__xludf.DUMMYFUNCTION("""COMPUTED_VALUE"""),"anticipated")</f>
        <v>anticipated</v>
      </c>
      <c r="W1897" s="8"/>
      <c r="AJ1897" s="1"/>
      <c r="AM1897" s="1" t="s">
        <v>4575</v>
      </c>
    </row>
    <row r="1898">
      <c r="E1898" s="1" t="s">
        <v>3921</v>
      </c>
      <c r="F1898" s="6" t="str">
        <f>IFERROR(__xludf.DUMMYFUNCTION("""COMPUTED_VALUE"""),"ninth")</f>
        <v>ninth</v>
      </c>
      <c r="H1898" s="1" t="s">
        <v>4392</v>
      </c>
      <c r="I1898" s="6" t="str">
        <f>IFERROR(__xludf.DUMMYFUNCTION("""COMPUTED_VALUE"""),"emphasizes")</f>
        <v>emphasizes</v>
      </c>
      <c r="S1898" s="1" t="s">
        <v>5126</v>
      </c>
      <c r="T1898" s="6" t="str">
        <f>IFERROR(__xludf.DUMMYFUNCTION("""COMPUTED_VALUE"""),"literal")</f>
        <v>literal</v>
      </c>
      <c r="W1898" s="8"/>
      <c r="AJ1898" s="1"/>
      <c r="AM1898" s="1" t="s">
        <v>4578</v>
      </c>
    </row>
    <row r="1899">
      <c r="E1899" s="1" t="s">
        <v>4100</v>
      </c>
      <c r="F1899" s="6" t="str">
        <f>IFERROR(__xludf.DUMMYFUNCTION("""COMPUTED_VALUE"""),"develops")</f>
        <v>develops</v>
      </c>
      <c r="H1899" s="1" t="s">
        <v>3250</v>
      </c>
      <c r="I1899" s="6" t="str">
        <f>IFERROR(__xludf.DUMMYFUNCTION("""COMPUTED_VALUE"""),"conception")</f>
        <v>conception</v>
      </c>
      <c r="S1899" s="1" t="s">
        <v>5127</v>
      </c>
      <c r="T1899" s="6" t="str">
        <f>IFERROR(__xludf.DUMMYFUNCTION("""COMPUTED_VALUE"""),"settled")</f>
        <v>settled</v>
      </c>
      <c r="W1899" s="8"/>
      <c r="AJ1899" s="1"/>
      <c r="AM1899" s="1" t="s">
        <v>1903</v>
      </c>
    </row>
    <row r="1900">
      <c r="E1900" s="1" t="s">
        <v>5128</v>
      </c>
      <c r="F1900" s="6" t="str">
        <f>IFERROR(__xludf.DUMMYFUNCTION("""COMPUTED_VALUE"""),"ballot")</f>
        <v>ballot</v>
      </c>
      <c r="H1900" s="1" t="s">
        <v>1098</v>
      </c>
      <c r="I1900" s="6" t="str">
        <f>IFERROR(__xludf.DUMMYFUNCTION("""COMPUTED_VALUE"""),"evelyn")</f>
        <v>evelyn</v>
      </c>
      <c r="S1900" s="1" t="s">
        <v>5129</v>
      </c>
      <c r="T1900" s="6" t="str">
        <f>IFERROR(__xludf.DUMMYFUNCTION("""COMPUTED_VALUE"""),"suggests")</f>
        <v>suggests</v>
      </c>
      <c r="W1900" s="8"/>
      <c r="AJ1900" s="1"/>
      <c r="AM1900" s="1" t="s">
        <v>3495</v>
      </c>
    </row>
    <row r="1901">
      <c r="E1901" s="1" t="s">
        <v>4101</v>
      </c>
      <c r="F1901" s="6" t="str">
        <f>IFERROR(__xludf.DUMMYFUNCTION("""COMPUTED_VALUE"""),"cheered")</f>
        <v>cheered</v>
      </c>
      <c r="H1901" s="1" t="s">
        <v>919</v>
      </c>
      <c r="I1901" s="6" t="str">
        <f>IFERROR(__xludf.DUMMYFUNCTION("""COMPUTED_VALUE"""),"embrace")</f>
        <v>embrace</v>
      </c>
      <c r="S1901" s="1" t="s">
        <v>5130</v>
      </c>
      <c r="T1901" s="6" t="str">
        <f>IFERROR(__xludf.DUMMYFUNCTION("""COMPUTED_VALUE"""),"neck")</f>
        <v>neck</v>
      </c>
      <c r="W1901" s="8"/>
      <c r="AJ1901" s="1"/>
      <c r="AM1901" s="1" t="s">
        <v>3497</v>
      </c>
    </row>
    <row r="1902">
      <c r="E1902" s="1" t="s">
        <v>1194</v>
      </c>
      <c r="F1902" s="6" t="str">
        <f>IFERROR(__xludf.DUMMYFUNCTION("""COMPUTED_VALUE"""),"integrating")</f>
        <v>integrating</v>
      </c>
      <c r="H1902" s="1" t="s">
        <v>925</v>
      </c>
      <c r="I1902" s="6" t="str">
        <f>IFERROR(__xludf.DUMMYFUNCTION("""COMPUTED_VALUE"""),"sonny")</f>
        <v>sonny</v>
      </c>
      <c r="S1902" s="1" t="s">
        <v>2904</v>
      </c>
      <c r="T1902" s="6" t="str">
        <f>IFERROR(__xludf.DUMMYFUNCTION("""COMPUTED_VALUE"""),"perform")</f>
        <v>perform</v>
      </c>
      <c r="W1902" s="8"/>
      <c r="AJ1902" s="1"/>
      <c r="AM1902" s="1" t="s">
        <v>3502</v>
      </c>
    </row>
    <row r="1903">
      <c r="E1903" s="1" t="s">
        <v>2270</v>
      </c>
      <c r="F1903" s="6" t="str">
        <f>IFERROR(__xludf.DUMMYFUNCTION("""COMPUTED_VALUE"""),"nouvelle")</f>
        <v>nouvelle</v>
      </c>
      <c r="H1903" s="1" t="s">
        <v>3263</v>
      </c>
      <c r="I1903" s="6" t="str">
        <f>IFERROR(__xludf.DUMMYFUNCTION("""COMPUTED_VALUE"""),"delicately")</f>
        <v>delicately</v>
      </c>
      <c r="S1903" s="1" t="s">
        <v>5131</v>
      </c>
      <c r="T1903" s="6" t="str">
        <f>IFERROR(__xludf.DUMMYFUNCTION("""COMPUTED_VALUE"""),"principles")</f>
        <v>principles</v>
      </c>
      <c r="W1903" s="8"/>
      <c r="AJ1903" s="1"/>
      <c r="AM1903" s="1" t="s">
        <v>5132</v>
      </c>
    </row>
    <row r="1904">
      <c r="E1904" s="1" t="s">
        <v>4104</v>
      </c>
      <c r="F1904" s="6" t="str">
        <f>IFERROR(__xludf.DUMMYFUNCTION("""COMPUTED_VALUE"""),"bluff")</f>
        <v>bluff</v>
      </c>
      <c r="H1904" s="1" t="s">
        <v>5133</v>
      </c>
      <c r="I1904" s="6" t="str">
        <f>IFERROR(__xludf.DUMMYFUNCTION("""COMPUTED_VALUE"""),"media")</f>
        <v>media</v>
      </c>
      <c r="S1904" s="1" t="s">
        <v>4514</v>
      </c>
      <c r="T1904" s="6" t="str">
        <f>IFERROR(__xludf.DUMMYFUNCTION("""COMPUTED_VALUE"""),"atrocities")</f>
        <v>atrocities</v>
      </c>
      <c r="W1904" s="8"/>
      <c r="AJ1904" s="1"/>
      <c r="AM1904" s="1" t="s">
        <v>4478</v>
      </c>
    </row>
    <row r="1905">
      <c r="E1905" s="1" t="s">
        <v>5134</v>
      </c>
      <c r="F1905" s="6" t="str">
        <f>IFERROR(__xludf.DUMMYFUNCTION("""COMPUTED_VALUE"""),"wreckage")</f>
        <v>wreckage</v>
      </c>
      <c r="H1905" s="1" t="s">
        <v>3267</v>
      </c>
      <c r="I1905" s="6" t="str">
        <f>IFERROR(__xludf.DUMMYFUNCTION("""COMPUTED_VALUE"""),"memoir")</f>
        <v>memoir</v>
      </c>
      <c r="S1905" s="1" t="s">
        <v>2292</v>
      </c>
      <c r="T1905" s="6" t="str">
        <f>IFERROR(__xludf.DUMMYFUNCTION("""COMPUTED_VALUE"""),"recognizes")</f>
        <v>recognizes</v>
      </c>
      <c r="W1905" s="8"/>
      <c r="AJ1905" s="1"/>
      <c r="AM1905" s="1" t="s">
        <v>3505</v>
      </c>
    </row>
    <row r="1906">
      <c r="E1906" s="1" t="s">
        <v>2275</v>
      </c>
      <c r="F1906" s="6" t="str">
        <f>IFERROR(__xludf.DUMMYFUNCTION("""COMPUTED_VALUE"""),"interrogation")</f>
        <v>interrogation</v>
      </c>
      <c r="H1906" s="1" t="s">
        <v>4395</v>
      </c>
      <c r="I1906" s="6" t="str">
        <f>IFERROR(__xludf.DUMMYFUNCTION("""COMPUTED_VALUE"""),"sublime")</f>
        <v>sublime</v>
      </c>
      <c r="S1906" s="1" t="s">
        <v>5135</v>
      </c>
      <c r="T1906" s="6" t="str">
        <f>IFERROR(__xludf.DUMMYFUNCTION("""COMPUTED_VALUE"""),"childish")</f>
        <v>childish</v>
      </c>
      <c r="W1906" s="8"/>
      <c r="AJ1906" s="1"/>
      <c r="AM1906" s="1" t="s">
        <v>5136</v>
      </c>
    </row>
    <row r="1907">
      <c r="E1907" s="1" t="s">
        <v>4107</v>
      </c>
      <c r="F1907" s="6" t="str">
        <f>IFERROR(__xludf.DUMMYFUNCTION("""COMPUTED_VALUE"""),"huskies")</f>
        <v>huskies</v>
      </c>
      <c r="H1907" s="1" t="s">
        <v>5137</v>
      </c>
      <c r="I1907" s="6" t="str">
        <f>IFERROR(__xludf.DUMMYFUNCTION("""COMPUTED_VALUE"""),"scarcely")</f>
        <v>scarcely</v>
      </c>
      <c r="S1907" s="1" t="s">
        <v>5042</v>
      </c>
      <c r="T1907" s="6" t="str">
        <f>IFERROR(__xludf.DUMMYFUNCTION("""COMPUTED_VALUE"""),"extravagant")</f>
        <v>extravagant</v>
      </c>
      <c r="W1907" s="8"/>
      <c r="AJ1907" s="1"/>
      <c r="AM1907" s="1" t="s">
        <v>5138</v>
      </c>
    </row>
    <row r="1908">
      <c r="E1908" s="1" t="s">
        <v>409</v>
      </c>
      <c r="F1908" s="6" t="str">
        <f>IFERROR(__xludf.DUMMYFUNCTION("""COMPUTED_VALUE"""),"discarded")</f>
        <v>discarded</v>
      </c>
      <c r="H1908" s="1" t="s">
        <v>5139</v>
      </c>
      <c r="I1908" s="6" t="str">
        <f>IFERROR(__xludf.DUMMYFUNCTION("""COMPUTED_VALUE"""),"expressive")</f>
        <v>expressive</v>
      </c>
      <c r="S1908" s="1" t="s">
        <v>3404</v>
      </c>
      <c r="T1908" s="6" t="str">
        <f>IFERROR(__xludf.DUMMYFUNCTION("""COMPUTED_VALUE"""),"swings")</f>
        <v>swings</v>
      </c>
      <c r="W1908" s="8"/>
      <c r="AJ1908" s="1"/>
      <c r="AM1908" s="1" t="s">
        <v>1906</v>
      </c>
    </row>
    <row r="1909">
      <c r="E1909" s="1" t="s">
        <v>2280</v>
      </c>
      <c r="F1909" s="6" t="str">
        <f>IFERROR(__xludf.DUMMYFUNCTION("""COMPUTED_VALUE"""),"humming")</f>
        <v>humming</v>
      </c>
      <c r="H1909" s="1" t="s">
        <v>947</v>
      </c>
      <c r="I1909" s="6" t="str">
        <f>IFERROR(__xludf.DUMMYFUNCTION("""COMPUTED_VALUE"""),"provoked")</f>
        <v>provoked</v>
      </c>
      <c r="S1909" s="1" t="s">
        <v>1763</v>
      </c>
      <c r="T1909" s="6" t="str">
        <f>IFERROR(__xludf.DUMMYFUNCTION("""COMPUTED_VALUE"""),"traits")</f>
        <v>traits</v>
      </c>
      <c r="W1909" s="8"/>
      <c r="AJ1909" s="1"/>
      <c r="AM1909" s="1" t="s">
        <v>4592</v>
      </c>
    </row>
    <row r="1910">
      <c r="E1910" s="1" t="s">
        <v>4110</v>
      </c>
      <c r="F1910" s="6" t="str">
        <f>IFERROR(__xludf.DUMMYFUNCTION("""COMPUTED_VALUE"""),"ticking")</f>
        <v>ticking</v>
      </c>
      <c r="H1910" s="1" t="s">
        <v>2983</v>
      </c>
      <c r="I1910" s="6" t="str">
        <f>IFERROR(__xludf.DUMMYFUNCTION("""COMPUTED_VALUE"""),"tenor")</f>
        <v>tenor</v>
      </c>
      <c r="S1910" s="1" t="s">
        <v>5140</v>
      </c>
      <c r="T1910" s="6" t="str">
        <f>IFERROR(__xludf.DUMMYFUNCTION("""COMPUTED_VALUE"""),"cage")</f>
        <v>cage</v>
      </c>
      <c r="W1910" s="8"/>
      <c r="AJ1910" s="1"/>
      <c r="AM1910" s="1" t="s">
        <v>3508</v>
      </c>
    </row>
    <row r="1911">
      <c r="E1911" s="1" t="s">
        <v>5141</v>
      </c>
      <c r="F1911" s="6" t="str">
        <f>IFERROR(__xludf.DUMMYFUNCTION("""COMPUTED_VALUE"""),"millennium")</f>
        <v>millennium</v>
      </c>
      <c r="H1911" s="1" t="s">
        <v>5142</v>
      </c>
      <c r="I1911" s="6" t="str">
        <f>IFERROR(__xludf.DUMMYFUNCTION("""COMPUTED_VALUE"""),"mourning")</f>
        <v>mourning</v>
      </c>
      <c r="S1911" s="1" t="s">
        <v>4371</v>
      </c>
      <c r="T1911" s="6" t="str">
        <f>IFERROR(__xludf.DUMMYFUNCTION("""COMPUTED_VALUE"""),"paranoia")</f>
        <v>paranoia</v>
      </c>
      <c r="W1911" s="8"/>
      <c r="AJ1911" s="1"/>
      <c r="AM1911" s="1" t="s">
        <v>1912</v>
      </c>
    </row>
    <row r="1912">
      <c r="E1912" s="1" t="s">
        <v>3494</v>
      </c>
      <c r="F1912" s="6" t="str">
        <f>IFERROR(__xludf.DUMMYFUNCTION("""COMPUTED_VALUE"""),"overview")</f>
        <v>overview</v>
      </c>
      <c r="H1912" s="1" t="s">
        <v>535</v>
      </c>
      <c r="I1912" s="6" t="str">
        <f>IFERROR(__xludf.DUMMYFUNCTION("""COMPUTED_VALUE"""),"debate")</f>
        <v>debate</v>
      </c>
      <c r="S1912" s="1" t="s">
        <v>1567</v>
      </c>
      <c r="T1912" s="6" t="str">
        <f>IFERROR(__xludf.DUMMYFUNCTION("""COMPUTED_VALUE"""),"phenomenon")</f>
        <v>phenomenon</v>
      </c>
      <c r="W1912" s="8"/>
      <c r="AJ1912" s="1"/>
      <c r="AM1912" s="1" t="s">
        <v>3879</v>
      </c>
    </row>
    <row r="1913">
      <c r="E1913" s="1" t="s">
        <v>4111</v>
      </c>
      <c r="F1913" s="6" t="str">
        <f>IFERROR(__xludf.DUMMYFUNCTION("""COMPUTED_VALUE"""),"motionless")</f>
        <v>motionless</v>
      </c>
      <c r="H1913" s="1" t="s">
        <v>3279</v>
      </c>
      <c r="I1913" s="6" t="str">
        <f>IFERROR(__xludf.DUMMYFUNCTION("""COMPUTED_VALUE"""),"adultery")</f>
        <v>adultery</v>
      </c>
      <c r="S1913" s="1" t="s">
        <v>48</v>
      </c>
      <c r="T1913" s="6" t="str">
        <f>IFERROR(__xludf.DUMMYFUNCTION("""COMPUTED_VALUE"""),"content")</f>
        <v>content</v>
      </c>
      <c r="W1913" s="8"/>
      <c r="AJ1913" s="1"/>
      <c r="AM1913" s="1" t="s">
        <v>3154</v>
      </c>
    </row>
    <row r="1914">
      <c r="E1914" s="1" t="s">
        <v>2284</v>
      </c>
      <c r="F1914" s="6" t="str">
        <f>IFERROR(__xludf.DUMMYFUNCTION("""COMPUTED_VALUE"""),"prisoners")</f>
        <v>prisoners</v>
      </c>
      <c r="H1914" s="1" t="s">
        <v>4405</v>
      </c>
      <c r="I1914" s="6" t="str">
        <f>IFERROR(__xludf.DUMMYFUNCTION("""COMPUTED_VALUE"""),"rampant")</f>
        <v>rampant</v>
      </c>
      <c r="S1914" s="1" t="s">
        <v>605</v>
      </c>
      <c r="T1914" s="6" t="str">
        <f>IFERROR(__xludf.DUMMYFUNCTION("""COMPUTED_VALUE"""),"kingdom")</f>
        <v>kingdom</v>
      </c>
      <c r="W1914" s="8"/>
      <c r="AJ1914" s="1"/>
      <c r="AM1914" s="1" t="s">
        <v>304</v>
      </c>
    </row>
    <row r="1915">
      <c r="E1915" s="1" t="s">
        <v>1952</v>
      </c>
      <c r="F1915" s="6" t="str">
        <f>IFERROR(__xludf.DUMMYFUNCTION("""COMPUTED_VALUE"""),"prolific")</f>
        <v>prolific</v>
      </c>
      <c r="H1915" s="1" t="s">
        <v>1132</v>
      </c>
      <c r="I1915" s="6" t="str">
        <f>IFERROR(__xludf.DUMMYFUNCTION("""COMPUTED_VALUE"""),"kingsley")</f>
        <v>kingsley</v>
      </c>
      <c r="S1915" s="1" t="s">
        <v>5143</v>
      </c>
      <c r="T1915" s="6" t="str">
        <f>IFERROR(__xludf.DUMMYFUNCTION("""COMPUTED_VALUE"""),"stays")</f>
        <v>stays</v>
      </c>
      <c r="W1915" s="8"/>
      <c r="AJ1915" s="1"/>
      <c r="AM1915" s="1" t="s">
        <v>3041</v>
      </c>
    </row>
    <row r="1916">
      <c r="E1916" s="1" t="s">
        <v>5144</v>
      </c>
      <c r="F1916" s="6" t="str">
        <f>IFERROR(__xludf.DUMMYFUNCTION("""COMPUTED_VALUE"""),"spins")</f>
        <v>spins</v>
      </c>
      <c r="H1916" s="1" t="s">
        <v>3168</v>
      </c>
      <c r="I1916" s="6" t="str">
        <f>IFERROR(__xludf.DUMMYFUNCTION("""COMPUTED_VALUE"""),"modeled")</f>
        <v>modeled</v>
      </c>
      <c r="S1916" s="1" t="s">
        <v>3637</v>
      </c>
      <c r="T1916" s="6" t="str">
        <f>IFERROR(__xludf.DUMMYFUNCTION("""COMPUTED_VALUE"""),"leap")</f>
        <v>leap</v>
      </c>
      <c r="W1916" s="8"/>
      <c r="AJ1916" s="1"/>
      <c r="AM1916" s="1" t="s">
        <v>3104</v>
      </c>
    </row>
    <row r="1917">
      <c r="E1917" s="1" t="s">
        <v>4115</v>
      </c>
      <c r="F1917" s="6" t="str">
        <f>IFERROR(__xludf.DUMMYFUNCTION("""COMPUTED_VALUE"""),"lunar")</f>
        <v>lunar</v>
      </c>
      <c r="H1917" s="1" t="s">
        <v>1092</v>
      </c>
      <c r="I1917" s="6" t="str">
        <f>IFERROR(__xludf.DUMMYFUNCTION("""COMPUTED_VALUE"""),"successor")</f>
        <v>successor</v>
      </c>
      <c r="S1917" s="1" t="s">
        <v>1847</v>
      </c>
      <c r="T1917" s="6" t="str">
        <f>IFERROR(__xludf.DUMMYFUNCTION("""COMPUTED_VALUE"""),"fuels")</f>
        <v>fuels</v>
      </c>
      <c r="W1917" s="8"/>
      <c r="AJ1917" s="1"/>
      <c r="AM1917" s="1" t="s">
        <v>5145</v>
      </c>
    </row>
    <row r="1918">
      <c r="E1918" s="1" t="s">
        <v>1530</v>
      </c>
      <c r="F1918" s="6" t="str">
        <f>IFERROR(__xludf.DUMMYFUNCTION("""COMPUTED_VALUE"""),"emergence")</f>
        <v>emergence</v>
      </c>
      <c r="H1918" s="1" t="s">
        <v>5146</v>
      </c>
      <c r="I1918" s="6" t="str">
        <f>IFERROR(__xludf.DUMMYFUNCTION("""COMPUTED_VALUE"""),"rewards")</f>
        <v>rewards</v>
      </c>
      <c r="S1918" s="1" t="s">
        <v>5147</v>
      </c>
      <c r="T1918" s="6" t="str">
        <f>IFERROR(__xludf.DUMMYFUNCTION("""COMPUTED_VALUE"""),"backdrop")</f>
        <v>backdrop</v>
      </c>
      <c r="W1918" s="8"/>
      <c r="AJ1918" s="1"/>
      <c r="AM1918" s="1" t="s">
        <v>3515</v>
      </c>
    </row>
    <row r="1919">
      <c r="E1919" s="1" t="s">
        <v>3503</v>
      </c>
      <c r="F1919" s="6">
        <f>IFERROR(__xludf.DUMMYFUNCTION("""COMPUTED_VALUE"""),1975.0)</f>
        <v>1975</v>
      </c>
      <c r="H1919" s="1" t="s">
        <v>4409</v>
      </c>
      <c r="I1919" s="6" t="str">
        <f>IFERROR(__xludf.DUMMYFUNCTION("""COMPUTED_VALUE"""),"successfully")</f>
        <v>successfully</v>
      </c>
      <c r="S1919" s="1" t="s">
        <v>5148</v>
      </c>
      <c r="T1919" s="6" t="str">
        <f>IFERROR(__xludf.DUMMYFUNCTION("""COMPUTED_VALUE"""),"stretches")</f>
        <v>stretches</v>
      </c>
      <c r="W1919" s="8"/>
      <c r="AJ1919" s="1"/>
      <c r="AM1919" s="1" t="s">
        <v>970</v>
      </c>
    </row>
    <row r="1920">
      <c r="E1920" s="1" t="s">
        <v>2301</v>
      </c>
      <c r="F1920" s="6" t="str">
        <f>IFERROR(__xludf.DUMMYFUNCTION("""COMPUTED_VALUE"""),"derek")</f>
        <v>derek</v>
      </c>
      <c r="H1920" s="1" t="s">
        <v>707</v>
      </c>
      <c r="I1920" s="6" t="str">
        <f>IFERROR(__xludf.DUMMYFUNCTION("""COMPUTED_VALUE"""),"shear")</f>
        <v>shear</v>
      </c>
      <c r="S1920" s="1" t="s">
        <v>2088</v>
      </c>
      <c r="T1920" s="6" t="str">
        <f>IFERROR(__xludf.DUMMYFUNCTION("""COMPUTED_VALUE"""),"expressing")</f>
        <v>expressing</v>
      </c>
      <c r="W1920" s="8"/>
      <c r="AJ1920" s="1"/>
      <c r="AM1920" s="1" t="s">
        <v>5149</v>
      </c>
    </row>
    <row r="1921">
      <c r="E1921" s="1" t="s">
        <v>4123</v>
      </c>
      <c r="F1921" s="6" t="str">
        <f>IFERROR(__xludf.DUMMYFUNCTION("""COMPUTED_VALUE"""),"sources")</f>
        <v>sources</v>
      </c>
      <c r="H1921" s="1" t="s">
        <v>2996</v>
      </c>
      <c r="I1921" s="6" t="str">
        <f>IFERROR(__xludf.DUMMYFUNCTION("""COMPUTED_VALUE"""),"hack")</f>
        <v>hack</v>
      </c>
      <c r="S1921" s="1" t="s">
        <v>4346</v>
      </c>
      <c r="T1921" s="6" t="str">
        <f>IFERROR(__xludf.DUMMYFUNCTION("""COMPUTED_VALUE"""),"enthusiasts")</f>
        <v>enthusiasts</v>
      </c>
      <c r="W1921" s="8"/>
      <c r="AJ1921" s="1"/>
      <c r="AM1921" s="1" t="s">
        <v>3519</v>
      </c>
    </row>
    <row r="1922">
      <c r="E1922" s="1" t="s">
        <v>4383</v>
      </c>
      <c r="F1922" s="6" t="str">
        <f>IFERROR(__xludf.DUMMYFUNCTION("""COMPUTED_VALUE"""),"gifford")</f>
        <v>gifford</v>
      </c>
      <c r="H1922" s="1" t="s">
        <v>3294</v>
      </c>
      <c r="I1922" s="6" t="str">
        <f>IFERROR(__xludf.DUMMYFUNCTION("""COMPUTED_VALUE"""),"volatile")</f>
        <v>volatile</v>
      </c>
      <c r="S1922" s="1" t="s">
        <v>2359</v>
      </c>
      <c r="T1922" s="6" t="str">
        <f>IFERROR(__xludf.DUMMYFUNCTION("""COMPUTED_VALUE"""),"clown")</f>
        <v>clown</v>
      </c>
      <c r="W1922" s="8"/>
      <c r="AJ1922" s="1"/>
      <c r="AM1922" s="1" t="s">
        <v>4567</v>
      </c>
    </row>
    <row r="1923">
      <c r="E1923" s="1" t="s">
        <v>3506</v>
      </c>
      <c r="F1923" s="6" t="str">
        <f>IFERROR(__xludf.DUMMYFUNCTION("""COMPUTED_VALUE"""),"disturbance")</f>
        <v>disturbance</v>
      </c>
      <c r="H1923" s="1" t="s">
        <v>4417</v>
      </c>
      <c r="I1923" s="6" t="str">
        <f>IFERROR(__xludf.DUMMYFUNCTION("""COMPUTED_VALUE"""),"indefinitely")</f>
        <v>indefinitely</v>
      </c>
      <c r="S1923" s="1" t="s">
        <v>2673</v>
      </c>
      <c r="T1923" s="6" t="str">
        <f>IFERROR(__xludf.DUMMYFUNCTION("""COMPUTED_VALUE"""),"ecstasy")</f>
        <v>ecstasy</v>
      </c>
      <c r="W1923" s="8"/>
      <c r="AJ1923" s="1"/>
      <c r="AM1923" s="1" t="s">
        <v>3520</v>
      </c>
    </row>
    <row r="1924">
      <c r="E1924" s="1" t="s">
        <v>1537</v>
      </c>
      <c r="F1924" s="6" t="str">
        <f>IFERROR(__xludf.DUMMYFUNCTION("""COMPUTED_VALUE"""),"plausible")</f>
        <v>plausible</v>
      </c>
      <c r="H1924" s="1" t="s">
        <v>4418</v>
      </c>
      <c r="I1924" s="6" t="str">
        <f>IFERROR(__xludf.DUMMYFUNCTION("""COMPUTED_VALUE"""),"jar")</f>
        <v>jar</v>
      </c>
      <c r="S1924" s="1" t="s">
        <v>3506</v>
      </c>
      <c r="T1924" s="6" t="str">
        <f>IFERROR(__xludf.DUMMYFUNCTION("""COMPUTED_VALUE"""),"broadcast")</f>
        <v>broadcast</v>
      </c>
      <c r="W1924" s="8"/>
      <c r="AJ1924" s="1"/>
      <c r="AM1924" s="1" t="s">
        <v>2906</v>
      </c>
    </row>
    <row r="1925">
      <c r="E1925" s="1" t="s">
        <v>1206</v>
      </c>
      <c r="F1925" s="6" t="str">
        <f>IFERROR(__xludf.DUMMYFUNCTION("""COMPUTED_VALUE"""),"skeleton")</f>
        <v>skeleton</v>
      </c>
      <c r="H1925" s="1" t="s">
        <v>3755</v>
      </c>
      <c r="I1925" s="6" t="str">
        <f>IFERROR(__xludf.DUMMYFUNCTION("""COMPUTED_VALUE"""),"resolutions")</f>
        <v>resolutions</v>
      </c>
      <c r="S1925" s="1" t="s">
        <v>813</v>
      </c>
      <c r="T1925" s="6" t="str">
        <f>IFERROR(__xludf.DUMMYFUNCTION("""COMPUTED_VALUE"""),"accomplishment")</f>
        <v>accomplishment</v>
      </c>
      <c r="W1925" s="8"/>
      <c r="AJ1925" s="1"/>
      <c r="AM1925" s="1" t="s">
        <v>3523</v>
      </c>
    </row>
    <row r="1926">
      <c r="E1926" s="1" t="s">
        <v>1544</v>
      </c>
      <c r="F1926" s="6" t="str">
        <f>IFERROR(__xludf.DUMMYFUNCTION("""COMPUTED_VALUE"""),"bender")</f>
        <v>bender</v>
      </c>
      <c r="H1926" s="1" t="s">
        <v>1772</v>
      </c>
      <c r="I1926" s="6" t="str">
        <f>IFERROR(__xludf.DUMMYFUNCTION("""COMPUTED_VALUE"""),"haynes")</f>
        <v>haynes</v>
      </c>
      <c r="S1926" s="1" t="s">
        <v>3672</v>
      </c>
      <c r="T1926" s="6" t="str">
        <f>IFERROR(__xludf.DUMMYFUNCTION("""COMPUTED_VALUE"""),"embrace")</f>
        <v>embrace</v>
      </c>
      <c r="W1926" s="8"/>
      <c r="AJ1926" s="1"/>
      <c r="AM1926" s="1" t="s">
        <v>3526</v>
      </c>
    </row>
    <row r="1927">
      <c r="E1927" s="1" t="s">
        <v>4129</v>
      </c>
      <c r="F1927" s="6" t="str">
        <f>IFERROR(__xludf.DUMMYFUNCTION("""COMPUTED_VALUE"""),"precedent")</f>
        <v>precedent</v>
      </c>
      <c r="H1927" s="1" t="s">
        <v>4422</v>
      </c>
      <c r="I1927" s="6" t="str">
        <f>IFERROR(__xludf.DUMMYFUNCTION("""COMPUTED_VALUE"""),"rhetoric")</f>
        <v>rhetoric</v>
      </c>
      <c r="S1927" s="1" t="s">
        <v>2699</v>
      </c>
      <c r="T1927" s="6" t="str">
        <f>IFERROR(__xludf.DUMMYFUNCTION("""COMPUTED_VALUE"""),"station")</f>
        <v>station</v>
      </c>
      <c r="W1927" s="8"/>
      <c r="AJ1927" s="1"/>
      <c r="AM1927" s="1" t="s">
        <v>4609</v>
      </c>
    </row>
    <row r="1928">
      <c r="E1928" s="1" t="s">
        <v>4130</v>
      </c>
      <c r="F1928" s="6" t="str">
        <f>IFERROR(__xludf.DUMMYFUNCTION("""COMPUTED_VALUE"""),"catastrophic")</f>
        <v>catastrophic</v>
      </c>
      <c r="H1928" s="1" t="s">
        <v>3307</v>
      </c>
      <c r="I1928" s="6" t="str">
        <f>IFERROR(__xludf.DUMMYFUNCTION("""COMPUTED_VALUE"""),"notable")</f>
        <v>notable</v>
      </c>
      <c r="S1928" s="1" t="s">
        <v>2785</v>
      </c>
      <c r="T1928" s="6" t="str">
        <f>IFERROR(__xludf.DUMMYFUNCTION("""COMPUTED_VALUE"""),"media")</f>
        <v>media</v>
      </c>
      <c r="W1928" s="8"/>
      <c r="AJ1928" s="1"/>
      <c r="AM1928" s="1" t="s">
        <v>3648</v>
      </c>
    </row>
    <row r="1929">
      <c r="E1929" s="1" t="s">
        <v>2548</v>
      </c>
      <c r="F1929" s="6" t="str">
        <f>IFERROR(__xludf.DUMMYFUNCTION("""COMPUTED_VALUE"""),"pact")</f>
        <v>pact</v>
      </c>
      <c r="H1929" s="1" t="s">
        <v>940</v>
      </c>
      <c r="I1929" s="6" t="str">
        <f>IFERROR(__xludf.DUMMYFUNCTION("""COMPUTED_VALUE"""),"wartime")</f>
        <v>wartime</v>
      </c>
      <c r="S1929" s="1" t="s">
        <v>5150</v>
      </c>
      <c r="T1929" s="6" t="str">
        <f>IFERROR(__xludf.DUMMYFUNCTION("""COMPUTED_VALUE"""),"producers")</f>
        <v>producers</v>
      </c>
      <c r="W1929" s="8"/>
      <c r="AJ1929" s="1"/>
      <c r="AM1929" s="1" t="s">
        <v>3530</v>
      </c>
    </row>
    <row r="1930">
      <c r="E1930" s="1" t="s">
        <v>5151</v>
      </c>
      <c r="F1930" s="6" t="str">
        <f>IFERROR(__xludf.DUMMYFUNCTION("""COMPUTED_VALUE"""),"grave")</f>
        <v>grave</v>
      </c>
      <c r="H1930" s="1" t="s">
        <v>1784</v>
      </c>
      <c r="I1930" s="6" t="str">
        <f>IFERROR(__xludf.DUMMYFUNCTION("""COMPUTED_VALUE"""),"downward")</f>
        <v>downward</v>
      </c>
      <c r="S1930" s="1" t="s">
        <v>5152</v>
      </c>
      <c r="T1930" s="6" t="str">
        <f>IFERROR(__xludf.DUMMYFUNCTION("""COMPUTED_VALUE"""),"memoir")</f>
        <v>memoir</v>
      </c>
      <c r="W1930" s="8"/>
      <c r="AJ1930" s="1"/>
      <c r="AM1930" s="1" t="s">
        <v>5153</v>
      </c>
    </row>
    <row r="1931">
      <c r="E1931" s="1" t="s">
        <v>1552</v>
      </c>
      <c r="F1931" s="6" t="str">
        <f>IFERROR(__xludf.DUMMYFUNCTION("""COMPUTED_VALUE"""),"crushing")</f>
        <v>crushing</v>
      </c>
      <c r="H1931" s="1" t="s">
        <v>4426</v>
      </c>
      <c r="I1931" s="6" t="str">
        <f>IFERROR(__xludf.DUMMYFUNCTION("""COMPUTED_VALUE"""),"inclination")</f>
        <v>inclination</v>
      </c>
      <c r="S1931" s="1" t="s">
        <v>888</v>
      </c>
      <c r="T1931" s="6" t="str">
        <f>IFERROR(__xludf.DUMMYFUNCTION("""COMPUTED_VALUE"""),"woo")</f>
        <v>woo</v>
      </c>
      <c r="W1931" s="8"/>
      <c r="AJ1931" s="1"/>
      <c r="AM1931" s="1" t="s">
        <v>1196</v>
      </c>
    </row>
    <row r="1932">
      <c r="E1932" s="1" t="s">
        <v>3518</v>
      </c>
      <c r="F1932" s="6" t="str">
        <f>IFERROR(__xludf.DUMMYFUNCTION("""COMPUTED_VALUE"""),"fragment")</f>
        <v>fragment</v>
      </c>
      <c r="H1932" s="1" t="s">
        <v>2340</v>
      </c>
      <c r="I1932" s="6" t="str">
        <f>IFERROR(__xludf.DUMMYFUNCTION("""COMPUTED_VALUE"""),"hannibal")</f>
        <v>hannibal</v>
      </c>
      <c r="S1932" s="1" t="s">
        <v>1662</v>
      </c>
      <c r="T1932" s="6" t="str">
        <f>IFERROR(__xludf.DUMMYFUNCTION("""COMPUTED_VALUE"""),"scarcely")</f>
        <v>scarcely</v>
      </c>
      <c r="W1932" s="8"/>
      <c r="AJ1932" s="1"/>
      <c r="AM1932" s="1" t="s">
        <v>4615</v>
      </c>
    </row>
    <row r="1933">
      <c r="E1933" s="1" t="s">
        <v>4041</v>
      </c>
      <c r="F1933" s="6" t="str">
        <f>IFERROR(__xludf.DUMMYFUNCTION("""COMPUTED_VALUE"""),"pornographic")</f>
        <v>pornographic</v>
      </c>
      <c r="H1933" s="1" t="s">
        <v>948</v>
      </c>
      <c r="I1933" s="6" t="str">
        <f>IFERROR(__xludf.DUMMYFUNCTION("""COMPUTED_VALUE"""),"terrified")</f>
        <v>terrified</v>
      </c>
      <c r="S1933" s="1" t="s">
        <v>5154</v>
      </c>
      <c r="T1933" s="6" t="str">
        <f>IFERROR(__xludf.DUMMYFUNCTION("""COMPUTED_VALUE"""),"palma")</f>
        <v>palma</v>
      </c>
      <c r="W1933" s="8"/>
      <c r="AJ1933" s="1"/>
      <c r="AM1933" s="1" t="s">
        <v>5155</v>
      </c>
    </row>
    <row r="1934">
      <c r="E1934" s="1" t="s">
        <v>5156</v>
      </c>
      <c r="F1934" s="6" t="str">
        <f>IFERROR(__xludf.DUMMYFUNCTION("""COMPUTED_VALUE"""),"frontal")</f>
        <v>frontal</v>
      </c>
      <c r="H1934" s="1" t="s">
        <v>4434</v>
      </c>
      <c r="I1934" s="6" t="str">
        <f>IFERROR(__xludf.DUMMYFUNCTION("""COMPUTED_VALUE"""),"whimper")</f>
        <v>whimper</v>
      </c>
      <c r="S1934" s="1" t="s">
        <v>285</v>
      </c>
      <c r="T1934" s="6" t="str">
        <f>IFERROR(__xludf.DUMMYFUNCTION("""COMPUTED_VALUE"""),"expressive")</f>
        <v>expressive</v>
      </c>
      <c r="W1934" s="8"/>
      <c r="AJ1934" s="1"/>
      <c r="AM1934" s="1" t="s">
        <v>1923</v>
      </c>
    </row>
    <row r="1935">
      <c r="E1935" s="1" t="s">
        <v>1210</v>
      </c>
      <c r="F1935" s="6" t="str">
        <f>IFERROR(__xludf.DUMMYFUNCTION("""COMPUTED_VALUE"""),"fused")</f>
        <v>fused</v>
      </c>
      <c r="H1935" s="1" t="s">
        <v>3319</v>
      </c>
      <c r="I1935" s="6" t="str">
        <f>IFERROR(__xludf.DUMMYFUNCTION("""COMPUTED_VALUE"""),"tract")</f>
        <v>tract</v>
      </c>
      <c r="S1935" s="1" t="s">
        <v>1148</v>
      </c>
      <c r="T1935" s="6" t="str">
        <f>IFERROR(__xludf.DUMMYFUNCTION("""COMPUTED_VALUE"""),"provoked")</f>
        <v>provoked</v>
      </c>
      <c r="W1935" s="8"/>
      <c r="AJ1935" s="1"/>
      <c r="AM1935" s="1" t="s">
        <v>491</v>
      </c>
    </row>
    <row r="1936">
      <c r="E1936" s="1" t="s">
        <v>2311</v>
      </c>
      <c r="F1936" s="6" t="str">
        <f>IFERROR(__xludf.DUMMYFUNCTION("""COMPUTED_VALUE"""),"playfully")</f>
        <v>playfully</v>
      </c>
      <c r="H1936" s="1" t="s">
        <v>1798</v>
      </c>
      <c r="I1936" s="6" t="str">
        <f>IFERROR(__xludf.DUMMYFUNCTION("""COMPUTED_VALUE"""),"permitting")</f>
        <v>permitting</v>
      </c>
      <c r="S1936" s="1" t="s">
        <v>5157</v>
      </c>
      <c r="T1936" s="6" t="str">
        <f>IFERROR(__xludf.DUMMYFUNCTION("""COMPUTED_VALUE"""),"south")</f>
        <v>south</v>
      </c>
      <c r="W1936" s="8"/>
      <c r="AJ1936" s="1"/>
      <c r="AM1936" s="1" t="s">
        <v>3537</v>
      </c>
    </row>
    <row r="1937">
      <c r="E1937" s="1" t="s">
        <v>2315</v>
      </c>
      <c r="F1937" s="6" t="str">
        <f>IFERROR(__xludf.DUMMYFUNCTION("""COMPUTED_VALUE"""),"losses")</f>
        <v>losses</v>
      </c>
      <c r="H1937" s="1" t="s">
        <v>4436</v>
      </c>
      <c r="I1937" s="6" t="str">
        <f>IFERROR(__xludf.DUMMYFUNCTION("""COMPUTED_VALUE"""),"cartoon")</f>
        <v>cartoon</v>
      </c>
      <c r="S1937" s="1" t="s">
        <v>3223</v>
      </c>
      <c r="T1937" s="6" t="str">
        <f>IFERROR(__xludf.DUMMYFUNCTION("""COMPUTED_VALUE"""),"debate")</f>
        <v>debate</v>
      </c>
      <c r="W1937" s="8"/>
      <c r="AJ1937" s="1"/>
      <c r="AM1937" s="1" t="s">
        <v>3539</v>
      </c>
    </row>
    <row r="1938">
      <c r="E1938" s="1" t="s">
        <v>1217</v>
      </c>
      <c r="F1938" s="6" t="str">
        <f>IFERROR(__xludf.DUMMYFUNCTION("""COMPUTED_VALUE"""),"broader")</f>
        <v>broader</v>
      </c>
      <c r="H1938" s="1" t="s">
        <v>4438</v>
      </c>
      <c r="I1938" s="6">
        <f>IFERROR(__xludf.DUMMYFUNCTION("""COMPUTED_VALUE"""),66.0)</f>
        <v>66</v>
      </c>
      <c r="S1938" s="1" t="s">
        <v>4455</v>
      </c>
      <c r="T1938" s="6" t="str">
        <f>IFERROR(__xludf.DUMMYFUNCTION("""COMPUTED_VALUE"""),"modeled")</f>
        <v>modeled</v>
      </c>
      <c r="W1938" s="8"/>
      <c r="AJ1938" s="1"/>
      <c r="AM1938" s="1" t="s">
        <v>1202</v>
      </c>
    </row>
    <row r="1939">
      <c r="E1939" s="1" t="s">
        <v>5158</v>
      </c>
      <c r="F1939" s="6" t="str">
        <f>IFERROR(__xludf.DUMMYFUNCTION("""COMPUTED_VALUE"""),"bestowed")</f>
        <v>bestowed</v>
      </c>
      <c r="H1939" s="1" t="s">
        <v>536</v>
      </c>
      <c r="I1939" s="6" t="str">
        <f>IFERROR(__xludf.DUMMYFUNCTION("""COMPUTED_VALUE"""),"stopped")</f>
        <v>stopped</v>
      </c>
      <c r="S1939" s="1" t="s">
        <v>5159</v>
      </c>
      <c r="T1939" s="6" t="str">
        <f>IFERROR(__xludf.DUMMYFUNCTION("""COMPUTED_VALUE"""),"folk")</f>
        <v>folk</v>
      </c>
      <c r="W1939" s="8"/>
      <c r="AJ1939" s="1"/>
      <c r="AM1939" s="1" t="s">
        <v>1930</v>
      </c>
    </row>
    <row r="1940">
      <c r="E1940" s="1" t="s">
        <v>1224</v>
      </c>
      <c r="F1940" s="6" t="str">
        <f>IFERROR(__xludf.DUMMYFUNCTION("""COMPUTED_VALUE"""),"waldo")</f>
        <v>waldo</v>
      </c>
      <c r="H1940" s="1" t="s">
        <v>3335</v>
      </c>
      <c r="I1940" s="6" t="str">
        <f>IFERROR(__xludf.DUMMYFUNCTION("""COMPUTED_VALUE"""),"severe")</f>
        <v>severe</v>
      </c>
      <c r="S1940" s="1" t="s">
        <v>5160</v>
      </c>
      <c r="T1940" s="6" t="str">
        <f>IFERROR(__xludf.DUMMYFUNCTION("""COMPUTED_VALUE"""),"successor")</f>
        <v>successor</v>
      </c>
      <c r="W1940" s="8"/>
      <c r="AJ1940" s="1"/>
      <c r="AM1940" s="1" t="s">
        <v>5161</v>
      </c>
    </row>
    <row r="1941">
      <c r="E1941" s="1" t="s">
        <v>4137</v>
      </c>
      <c r="F1941" s="6" t="str">
        <f>IFERROR(__xludf.DUMMYFUNCTION("""COMPUTED_VALUE"""),"familiarity")</f>
        <v>familiarity</v>
      </c>
      <c r="H1941" s="1" t="s">
        <v>4441</v>
      </c>
      <c r="I1941" s="6" t="str">
        <f>IFERROR(__xludf.DUMMYFUNCTION("""COMPUTED_VALUE"""),"unnoticed")</f>
        <v>unnoticed</v>
      </c>
      <c r="S1941" s="1" t="s">
        <v>228</v>
      </c>
      <c r="T1941" s="6" t="str">
        <f>IFERROR(__xludf.DUMMYFUNCTION("""COMPUTED_VALUE"""),"rewards")</f>
        <v>rewards</v>
      </c>
      <c r="W1941" s="8"/>
      <c r="AJ1941" s="1"/>
      <c r="AM1941" s="1" t="s">
        <v>3119</v>
      </c>
    </row>
    <row r="1942">
      <c r="E1942" s="1" t="s">
        <v>5162</v>
      </c>
      <c r="F1942" s="6" t="str">
        <f>IFERROR(__xludf.DUMMYFUNCTION("""COMPUTED_VALUE"""),"carmichael")</f>
        <v>carmichael</v>
      </c>
      <c r="H1942" s="1" t="s">
        <v>1810</v>
      </c>
      <c r="I1942" s="6" t="str">
        <f>IFERROR(__xludf.DUMMYFUNCTION("""COMPUTED_VALUE"""),"unconventional")</f>
        <v>unconventional</v>
      </c>
      <c r="S1942" s="1" t="s">
        <v>2667</v>
      </c>
      <c r="T1942" s="6" t="str">
        <f>IFERROR(__xludf.DUMMYFUNCTION("""COMPUTED_VALUE"""),"successfully")</f>
        <v>successfully</v>
      </c>
      <c r="W1942" s="8"/>
      <c r="AJ1942" s="1"/>
      <c r="AM1942" s="1" t="s">
        <v>1935</v>
      </c>
    </row>
    <row r="1943">
      <c r="E1943" s="1" t="s">
        <v>2324</v>
      </c>
      <c r="F1943" s="6" t="str">
        <f>IFERROR(__xludf.DUMMYFUNCTION("""COMPUTED_VALUE"""),"victorious")</f>
        <v>victorious</v>
      </c>
      <c r="H1943" s="1" t="s">
        <v>3016</v>
      </c>
      <c r="I1943" s="6" t="str">
        <f>IFERROR(__xludf.DUMMYFUNCTION("""COMPUTED_VALUE"""),"turbulent")</f>
        <v>turbulent</v>
      </c>
      <c r="S1943" s="1" t="s">
        <v>5163</v>
      </c>
      <c r="T1943" s="6" t="str">
        <f>IFERROR(__xludf.DUMMYFUNCTION("""COMPUTED_VALUE"""),"shear")</f>
        <v>shear</v>
      </c>
      <c r="W1943" s="8"/>
      <c r="AJ1943" s="1"/>
      <c r="AM1943" s="1" t="s">
        <v>4473</v>
      </c>
    </row>
    <row r="1944">
      <c r="E1944" s="1" t="s">
        <v>5164</v>
      </c>
      <c r="F1944" s="6" t="str">
        <f>IFERROR(__xludf.DUMMYFUNCTION("""COMPUTED_VALUE"""),"aristocracy")</f>
        <v>aristocracy</v>
      </c>
      <c r="H1944" s="1" t="s">
        <v>4447</v>
      </c>
      <c r="I1944" s="6" t="str">
        <f>IFERROR(__xludf.DUMMYFUNCTION("""COMPUTED_VALUE"""),"egypt")</f>
        <v>egypt</v>
      </c>
      <c r="S1944" s="1" t="s">
        <v>5165</v>
      </c>
      <c r="T1944" s="6" t="str">
        <f>IFERROR(__xludf.DUMMYFUNCTION("""COMPUTED_VALUE"""),"hack")</f>
        <v>hack</v>
      </c>
      <c r="W1944" s="8"/>
      <c r="AJ1944" s="1"/>
      <c r="AM1944" s="1" t="s">
        <v>3123</v>
      </c>
    </row>
    <row r="1945">
      <c r="E1945" s="1" t="s">
        <v>4713</v>
      </c>
      <c r="F1945" s="6" t="str">
        <f>IFERROR(__xludf.DUMMYFUNCTION("""COMPUTED_VALUE"""),"exiled")</f>
        <v>exiled</v>
      </c>
      <c r="H1945" s="1" t="s">
        <v>3019</v>
      </c>
      <c r="I1945" s="6" t="str">
        <f>IFERROR(__xludf.DUMMYFUNCTION("""COMPUTED_VALUE"""),"prince")</f>
        <v>prince</v>
      </c>
      <c r="S1945" s="1" t="s">
        <v>5166</v>
      </c>
      <c r="T1945" s="6" t="str">
        <f>IFERROR(__xludf.DUMMYFUNCTION("""COMPUTED_VALUE"""),"bitten")</f>
        <v>bitten</v>
      </c>
      <c r="W1945" s="8"/>
      <c r="AJ1945" s="1"/>
      <c r="AM1945" s="1" t="s">
        <v>1208</v>
      </c>
    </row>
    <row r="1946">
      <c r="E1946" s="1" t="s">
        <v>1228</v>
      </c>
      <c r="F1946" s="6" t="str">
        <f>IFERROR(__xludf.DUMMYFUNCTION("""COMPUTED_VALUE"""),"revolutionaries")</f>
        <v>revolutionaries</v>
      </c>
      <c r="H1946" s="1" t="s">
        <v>5167</v>
      </c>
      <c r="I1946" s="6" t="str">
        <f>IFERROR(__xludf.DUMMYFUNCTION("""COMPUTED_VALUE"""),"racial")</f>
        <v>racial</v>
      </c>
      <c r="S1946" s="1" t="s">
        <v>3713</v>
      </c>
      <c r="T1946" s="6" t="str">
        <f>IFERROR(__xludf.DUMMYFUNCTION("""COMPUTED_VALUE"""),"jar")</f>
        <v>jar</v>
      </c>
      <c r="W1946" s="8"/>
      <c r="AJ1946" s="1"/>
      <c r="AM1946" s="1" t="s">
        <v>1933</v>
      </c>
    </row>
    <row r="1947">
      <c r="E1947" s="1" t="s">
        <v>5168</v>
      </c>
      <c r="F1947" s="6" t="str">
        <f>IFERROR(__xludf.DUMMYFUNCTION("""COMPUTED_VALUE"""),"hounds")</f>
        <v>hounds</v>
      </c>
      <c r="H1947" s="1" t="s">
        <v>3342</v>
      </c>
      <c r="I1947" s="6" t="str">
        <f>IFERROR(__xludf.DUMMYFUNCTION("""COMPUTED_VALUE"""),"homicide")</f>
        <v>homicide</v>
      </c>
      <c r="S1947" s="1" t="s">
        <v>1020</v>
      </c>
      <c r="T1947" s="6" t="str">
        <f>IFERROR(__xludf.DUMMYFUNCTION("""COMPUTED_VALUE"""),"salvation")</f>
        <v>salvation</v>
      </c>
      <c r="W1947" s="8"/>
      <c r="AJ1947" s="1"/>
      <c r="AM1947" s="1" t="s">
        <v>3851</v>
      </c>
    </row>
    <row r="1948">
      <c r="E1948" s="1" t="s">
        <v>5169</v>
      </c>
      <c r="F1948" s="6" t="str">
        <f>IFERROR(__xludf.DUMMYFUNCTION("""COMPUTED_VALUE"""),"fledgling")</f>
        <v>fledgling</v>
      </c>
      <c r="H1948" s="1" t="s">
        <v>3345</v>
      </c>
      <c r="I1948" s="6" t="str">
        <f>IFERROR(__xludf.DUMMYFUNCTION("""COMPUTED_VALUE"""),"cinderella")</f>
        <v>cinderella</v>
      </c>
      <c r="S1948" s="1" t="s">
        <v>4724</v>
      </c>
      <c r="T1948" s="6" t="str">
        <f>IFERROR(__xludf.DUMMYFUNCTION("""COMPUTED_VALUE"""),"disdain")</f>
        <v>disdain</v>
      </c>
      <c r="W1948" s="8"/>
      <c r="AJ1948" s="1"/>
      <c r="AM1948" s="1" t="s">
        <v>1212</v>
      </c>
    </row>
    <row r="1949">
      <c r="E1949" s="1" t="s">
        <v>1234</v>
      </c>
      <c r="F1949" s="6" t="str">
        <f>IFERROR(__xludf.DUMMYFUNCTION("""COMPUTED_VALUE"""),"iranian")</f>
        <v>iranian</v>
      </c>
      <c r="H1949" s="1" t="s">
        <v>3351</v>
      </c>
      <c r="I1949" s="6" t="str">
        <f>IFERROR(__xludf.DUMMYFUNCTION("""COMPUTED_VALUE"""),"harrison")</f>
        <v>harrison</v>
      </c>
      <c r="S1949" s="1" t="s">
        <v>5170</v>
      </c>
      <c r="T1949" s="6" t="str">
        <f>IFERROR(__xludf.DUMMYFUNCTION("""COMPUTED_VALUE"""),"basketball")</f>
        <v>basketball</v>
      </c>
      <c r="W1949" s="8"/>
      <c r="AJ1949" s="1"/>
      <c r="AM1949" s="1" t="s">
        <v>597</v>
      </c>
    </row>
    <row r="1950">
      <c r="E1950" s="1" t="s">
        <v>5171</v>
      </c>
      <c r="F1950" s="6" t="str">
        <f>IFERROR(__xludf.DUMMYFUNCTION("""COMPUTED_VALUE"""),"presiding")</f>
        <v>presiding</v>
      </c>
      <c r="H1950" s="1" t="s">
        <v>766</v>
      </c>
      <c r="I1950" s="6" t="str">
        <f>IFERROR(__xludf.DUMMYFUNCTION("""COMPUTED_VALUE"""),"evolve")</f>
        <v>evolve</v>
      </c>
      <c r="S1950" s="1" t="s">
        <v>706</v>
      </c>
      <c r="T1950" s="6" t="str">
        <f>IFERROR(__xludf.DUMMYFUNCTION("""COMPUTED_VALUE"""),"transformed")</f>
        <v>transformed</v>
      </c>
      <c r="W1950" s="8"/>
      <c r="AJ1950" s="1"/>
      <c r="AM1950" s="1" t="s">
        <v>5172</v>
      </c>
    </row>
    <row r="1951">
      <c r="E1951" s="1" t="s">
        <v>1240</v>
      </c>
      <c r="F1951" s="6" t="str">
        <f>IFERROR(__xludf.DUMMYFUNCTION("""COMPUTED_VALUE"""),"macbeth")</f>
        <v>macbeth</v>
      </c>
      <c r="H1951" s="1" t="s">
        <v>279</v>
      </c>
      <c r="I1951" s="6" t="str">
        <f>IFERROR(__xludf.DUMMYFUNCTION("""COMPUTED_VALUE"""),"jumps")</f>
        <v>jumps</v>
      </c>
      <c r="S1951" s="1" t="s">
        <v>4926</v>
      </c>
      <c r="T1951" s="6" t="str">
        <f>IFERROR(__xludf.DUMMYFUNCTION("""COMPUTED_VALUE"""),"notable")</f>
        <v>notable</v>
      </c>
      <c r="W1951" s="8"/>
      <c r="AJ1951" s="1"/>
      <c r="AM1951" s="1" t="s">
        <v>475</v>
      </c>
    </row>
    <row r="1952">
      <c r="E1952" s="1" t="s">
        <v>3528</v>
      </c>
      <c r="F1952" s="6" t="str">
        <f>IFERROR(__xludf.DUMMYFUNCTION("""COMPUTED_VALUE"""),"influential")</f>
        <v>influential</v>
      </c>
      <c r="H1952" s="1">
        <v>15.0</v>
      </c>
      <c r="I1952" s="6" t="str">
        <f>IFERROR(__xludf.DUMMYFUNCTION("""COMPUTED_VALUE"""),"engages")</f>
        <v>engages</v>
      </c>
      <c r="S1952" s="1" t="s">
        <v>5173</v>
      </c>
      <c r="T1952" s="6" t="str">
        <f>IFERROR(__xludf.DUMMYFUNCTION("""COMPUTED_VALUE"""),"guaranteed")</f>
        <v>guaranteed</v>
      </c>
      <c r="W1952" s="8"/>
      <c r="AJ1952" s="1"/>
      <c r="AM1952" s="1" t="s">
        <v>3555</v>
      </c>
    </row>
    <row r="1953">
      <c r="E1953" s="1" t="s">
        <v>4411</v>
      </c>
      <c r="F1953" s="6" t="str">
        <f>IFERROR(__xludf.DUMMYFUNCTION("""COMPUTED_VALUE"""),"goldberg")</f>
        <v>goldberg</v>
      </c>
      <c r="H1953" s="1" t="s">
        <v>5174</v>
      </c>
      <c r="I1953" s="6" t="str">
        <f>IFERROR(__xludf.DUMMYFUNCTION("""COMPUTED_VALUE"""),"walt")</f>
        <v>walt</v>
      </c>
      <c r="S1953" s="1" t="s">
        <v>5175</v>
      </c>
      <c r="T1953" s="6" t="str">
        <f>IFERROR(__xludf.DUMMYFUNCTION("""COMPUTED_VALUE"""),"inclination")</f>
        <v>inclination</v>
      </c>
      <c r="W1953" s="8"/>
      <c r="AJ1953" s="1"/>
      <c r="AM1953" s="1" t="s">
        <v>5176</v>
      </c>
    </row>
    <row r="1954">
      <c r="E1954" s="1" t="s">
        <v>5177</v>
      </c>
      <c r="F1954" s="6" t="str">
        <f>IFERROR(__xludf.DUMMYFUNCTION("""COMPUTED_VALUE"""),"elm")</f>
        <v>elm</v>
      </c>
      <c r="H1954" s="1" t="s">
        <v>3022</v>
      </c>
      <c r="I1954" s="6" t="str">
        <f>IFERROR(__xludf.DUMMYFUNCTION("""COMPUTED_VALUE"""),"discontent")</f>
        <v>discontent</v>
      </c>
      <c r="S1954" s="1" t="s">
        <v>3231</v>
      </c>
      <c r="T1954" s="6" t="str">
        <f>IFERROR(__xludf.DUMMYFUNCTION("""COMPUTED_VALUE"""),"tract")</f>
        <v>tract</v>
      </c>
      <c r="W1954" s="8"/>
      <c r="AJ1954" s="1"/>
      <c r="AM1954" s="1" t="s">
        <v>3558</v>
      </c>
    </row>
    <row r="1955">
      <c r="E1955" s="1" t="s">
        <v>4149</v>
      </c>
      <c r="F1955" s="6" t="str">
        <f>IFERROR(__xludf.DUMMYFUNCTION("""COMPUTED_VALUE"""),"guilt")</f>
        <v>guilt</v>
      </c>
      <c r="H1955" s="1" t="s">
        <v>2201</v>
      </c>
      <c r="I1955" s="6" t="str">
        <f>IFERROR(__xludf.DUMMYFUNCTION("""COMPUTED_VALUE"""),"deepest")</f>
        <v>deepest</v>
      </c>
      <c r="S1955" s="1" t="s">
        <v>5178</v>
      </c>
      <c r="T1955" s="6" t="str">
        <f>IFERROR(__xludf.DUMMYFUNCTION("""COMPUTED_VALUE"""),"permitting")</f>
        <v>permitting</v>
      </c>
      <c r="W1955" s="8"/>
      <c r="AJ1955" s="1"/>
      <c r="AM1955" s="1" t="s">
        <v>977</v>
      </c>
    </row>
    <row r="1956">
      <c r="E1956" s="1" t="s">
        <v>5179</v>
      </c>
      <c r="F1956" s="6" t="str">
        <f>IFERROR(__xludf.DUMMYFUNCTION("""COMPUTED_VALUE"""),"conflicts")</f>
        <v>conflicts</v>
      </c>
      <c r="H1956" s="1" t="s">
        <v>4458</v>
      </c>
      <c r="I1956" s="6" t="str">
        <f>IFERROR(__xludf.DUMMYFUNCTION("""COMPUTED_VALUE"""),"physical")</f>
        <v>physical</v>
      </c>
      <c r="S1956" s="1" t="s">
        <v>3467</v>
      </c>
      <c r="T1956" s="6" t="str">
        <f>IFERROR(__xludf.DUMMYFUNCTION("""COMPUTED_VALUE"""),"cartoon")</f>
        <v>cartoon</v>
      </c>
      <c r="W1956" s="8"/>
      <c r="AJ1956" s="1"/>
      <c r="AM1956" s="1" t="s">
        <v>3137</v>
      </c>
    </row>
    <row r="1957">
      <c r="E1957" s="1" t="s">
        <v>3359</v>
      </c>
      <c r="F1957" s="6" t="str">
        <f>IFERROR(__xludf.DUMMYFUNCTION("""COMPUTED_VALUE"""),"uniquely")</f>
        <v>uniquely</v>
      </c>
      <c r="H1957" s="1" t="s">
        <v>3358</v>
      </c>
      <c r="I1957" s="6" t="str">
        <f>IFERROR(__xludf.DUMMYFUNCTION("""COMPUTED_VALUE"""),"evans")</f>
        <v>evans</v>
      </c>
      <c r="S1957" s="1" t="s">
        <v>873</v>
      </c>
      <c r="T1957" s="6" t="str">
        <f>IFERROR(__xludf.DUMMYFUNCTION("""COMPUTED_VALUE"""),"stopped")</f>
        <v>stopped</v>
      </c>
      <c r="W1957" s="8"/>
      <c r="AJ1957" s="1"/>
      <c r="AM1957" s="1" t="s">
        <v>3841</v>
      </c>
    </row>
    <row r="1958">
      <c r="E1958" s="1" t="s">
        <v>2334</v>
      </c>
      <c r="F1958" s="6" t="str">
        <f>IFERROR(__xludf.DUMMYFUNCTION("""COMPUTED_VALUE"""),"pinnacle")</f>
        <v>pinnacle</v>
      </c>
      <c r="H1958" s="1" t="s">
        <v>3355</v>
      </c>
      <c r="I1958" s="6" t="str">
        <f>IFERROR(__xludf.DUMMYFUNCTION("""COMPUTED_VALUE"""),"overlapping")</f>
        <v>overlapping</v>
      </c>
      <c r="S1958" s="1" t="s">
        <v>987</v>
      </c>
      <c r="T1958" s="6" t="str">
        <f>IFERROR(__xludf.DUMMYFUNCTION("""COMPUTED_VALUE"""),"severe")</f>
        <v>severe</v>
      </c>
      <c r="W1958" s="8"/>
      <c r="AJ1958" s="1"/>
      <c r="AM1958" s="1" t="s">
        <v>4606</v>
      </c>
    </row>
    <row r="1959">
      <c r="E1959" s="1" t="s">
        <v>1251</v>
      </c>
      <c r="F1959" s="6" t="str">
        <f>IFERROR(__xludf.DUMMYFUNCTION("""COMPUTED_VALUE"""),"probation")</f>
        <v>probation</v>
      </c>
      <c r="H1959" s="1" t="s">
        <v>4394</v>
      </c>
      <c r="I1959" s="6" t="str">
        <f>IFERROR(__xludf.DUMMYFUNCTION("""COMPUTED_VALUE"""),"collateral")</f>
        <v>collateral</v>
      </c>
      <c r="S1959" s="1" t="s">
        <v>5180</v>
      </c>
      <c r="T1959" s="6" t="str">
        <f>IFERROR(__xludf.DUMMYFUNCTION("""COMPUTED_VALUE"""),"unnoticed")</f>
        <v>unnoticed</v>
      </c>
      <c r="W1959" s="8"/>
      <c r="AJ1959" s="1"/>
      <c r="AM1959" s="1" t="s">
        <v>1225</v>
      </c>
    </row>
    <row r="1960">
      <c r="E1960" s="1" t="s">
        <v>5181</v>
      </c>
      <c r="F1960" s="6" t="str">
        <f>IFERROR(__xludf.DUMMYFUNCTION("""COMPUTED_VALUE"""),"yields")</f>
        <v>yields</v>
      </c>
      <c r="H1960" s="1" t="s">
        <v>1822</v>
      </c>
      <c r="I1960" s="6" t="str">
        <f>IFERROR(__xludf.DUMMYFUNCTION("""COMPUTED_VALUE"""),"archive")</f>
        <v>archive</v>
      </c>
      <c r="S1960" s="1" t="s">
        <v>5182</v>
      </c>
      <c r="T1960" s="6" t="str">
        <f>IFERROR(__xludf.DUMMYFUNCTION("""COMPUTED_VALUE"""),"unconventional")</f>
        <v>unconventional</v>
      </c>
      <c r="W1960" s="8"/>
      <c r="AJ1960" s="1"/>
      <c r="AM1960" s="1" t="s">
        <v>3564</v>
      </c>
    </row>
    <row r="1961">
      <c r="E1961" s="1" t="s">
        <v>1563</v>
      </c>
      <c r="F1961" s="6" t="str">
        <f>IFERROR(__xludf.DUMMYFUNCTION("""COMPUTED_VALUE"""),"mankind")</f>
        <v>mankind</v>
      </c>
      <c r="H1961" s="1" t="s">
        <v>686</v>
      </c>
      <c r="I1961" s="6" t="str">
        <f>IFERROR(__xludf.DUMMYFUNCTION("""COMPUTED_VALUE"""),"specific")</f>
        <v>specific</v>
      </c>
      <c r="S1961" s="1" t="s">
        <v>4046</v>
      </c>
      <c r="T1961" s="6" t="str">
        <f>IFERROR(__xludf.DUMMYFUNCTION("""COMPUTED_VALUE"""),"egypt")</f>
        <v>egypt</v>
      </c>
      <c r="W1961" s="8"/>
      <c r="AJ1961" s="1"/>
      <c r="AM1961" s="1" t="s">
        <v>3566</v>
      </c>
    </row>
    <row r="1962">
      <c r="E1962" s="1" t="s">
        <v>1259</v>
      </c>
      <c r="F1962" s="6" t="str">
        <f>IFERROR(__xludf.DUMMYFUNCTION("""COMPUTED_VALUE"""),"wasp")</f>
        <v>wasp</v>
      </c>
      <c r="H1962" s="1" t="s">
        <v>4466</v>
      </c>
      <c r="I1962" s="6" t="str">
        <f>IFERROR(__xludf.DUMMYFUNCTION("""COMPUTED_VALUE"""),"stills")</f>
        <v>stills</v>
      </c>
      <c r="S1962" s="1" t="s">
        <v>4763</v>
      </c>
      <c r="T1962" s="6" t="str">
        <f>IFERROR(__xludf.DUMMYFUNCTION("""COMPUTED_VALUE"""),"prince")</f>
        <v>prince</v>
      </c>
      <c r="W1962" s="8"/>
      <c r="AJ1962" s="1"/>
      <c r="AM1962" s="1" t="s">
        <v>5183</v>
      </c>
    </row>
    <row r="1963">
      <c r="E1963" s="1" t="s">
        <v>1945</v>
      </c>
      <c r="F1963" s="6" t="str">
        <f>IFERROR(__xludf.DUMMYFUNCTION("""COMPUTED_VALUE"""),"weber")</f>
        <v>weber</v>
      </c>
      <c r="H1963" s="1" t="s">
        <v>3031</v>
      </c>
      <c r="I1963" s="6" t="str">
        <f>IFERROR(__xludf.DUMMYFUNCTION("""COMPUTED_VALUE"""),"grasp")</f>
        <v>grasp</v>
      </c>
      <c r="S1963" s="1" t="s">
        <v>5184</v>
      </c>
      <c r="T1963" s="6">
        <f>IFERROR(__xludf.DUMMYFUNCTION("""COMPUTED_VALUE"""),1998.0)</f>
        <v>1998</v>
      </c>
      <c r="W1963" s="8"/>
      <c r="AJ1963" s="1"/>
      <c r="AM1963" s="1" t="s">
        <v>5033</v>
      </c>
    </row>
    <row r="1964">
      <c r="E1964" s="1" t="s">
        <v>5185</v>
      </c>
      <c r="F1964" s="6" t="str">
        <f>IFERROR(__xludf.DUMMYFUNCTION("""COMPUTED_VALUE"""),"stud")</f>
        <v>stud</v>
      </c>
      <c r="H1964" s="1" t="s">
        <v>1130</v>
      </c>
      <c r="I1964" s="6" t="str">
        <f>IFERROR(__xludf.DUMMYFUNCTION("""COMPUTED_VALUE"""),"rattling")</f>
        <v>rattling</v>
      </c>
      <c r="S1964" s="1" t="s">
        <v>3678</v>
      </c>
      <c r="T1964" s="6" t="str">
        <f>IFERROR(__xludf.DUMMYFUNCTION("""COMPUTED_VALUE"""),"racial")</f>
        <v>racial</v>
      </c>
      <c r="W1964" s="8"/>
      <c r="AJ1964" s="1"/>
      <c r="AM1964" s="1" t="s">
        <v>3143</v>
      </c>
    </row>
    <row r="1965">
      <c r="E1965" s="1" t="s">
        <v>5186</v>
      </c>
      <c r="F1965" s="6" t="str">
        <f>IFERROR(__xludf.DUMMYFUNCTION("""COMPUTED_VALUE"""),"terrorism")</f>
        <v>terrorism</v>
      </c>
      <c r="H1965" s="1" t="s">
        <v>3035</v>
      </c>
      <c r="I1965" s="6" t="str">
        <f>IFERROR(__xludf.DUMMYFUNCTION("""COMPUTED_VALUE"""),"insignificant")</f>
        <v>insignificant</v>
      </c>
      <c r="S1965" s="1" t="s">
        <v>794</v>
      </c>
      <c r="T1965" s="6" t="str">
        <f>IFERROR(__xludf.DUMMYFUNCTION("""COMPUTED_VALUE"""),"baggage")</f>
        <v>baggage</v>
      </c>
      <c r="W1965" s="8"/>
      <c r="AJ1965" s="1"/>
      <c r="AM1965" s="1" t="s">
        <v>1948</v>
      </c>
    </row>
    <row r="1966">
      <c r="E1966" s="1" t="s">
        <v>4160</v>
      </c>
      <c r="F1966" s="6" t="str">
        <f>IFERROR(__xludf.DUMMYFUNCTION("""COMPUTED_VALUE"""),"sociology")</f>
        <v>sociology</v>
      </c>
      <c r="H1966" s="1" t="s">
        <v>3372</v>
      </c>
      <c r="I1966" s="6" t="str">
        <f>IFERROR(__xludf.DUMMYFUNCTION("""COMPUTED_VALUE"""),"examines")</f>
        <v>examines</v>
      </c>
      <c r="S1966" s="1" t="s">
        <v>2778</v>
      </c>
      <c r="T1966" s="6" t="str">
        <f>IFERROR(__xludf.DUMMYFUNCTION("""COMPUTED_VALUE"""),"cinderella")</f>
        <v>cinderella</v>
      </c>
      <c r="W1966" s="8"/>
      <c r="AJ1966" s="1"/>
      <c r="AM1966" s="1" t="s">
        <v>1953</v>
      </c>
    </row>
    <row r="1967">
      <c r="E1967" s="1" t="s">
        <v>3544</v>
      </c>
      <c r="F1967" s="6" t="str">
        <f>IFERROR(__xludf.DUMMYFUNCTION("""COMPUTED_VALUE"""),"hazy")</f>
        <v>hazy</v>
      </c>
      <c r="H1967" s="1" t="s">
        <v>5187</v>
      </c>
      <c r="I1967" s="6" t="str">
        <f>IFERROR(__xludf.DUMMYFUNCTION("""COMPUTED_VALUE"""),"21st")</f>
        <v>21st</v>
      </c>
      <c r="S1967" s="1" t="s">
        <v>5188</v>
      </c>
      <c r="T1967" s="6" t="str">
        <f>IFERROR(__xludf.DUMMYFUNCTION("""COMPUTED_VALUE"""),"harrison")</f>
        <v>harrison</v>
      </c>
      <c r="W1967" s="8"/>
      <c r="AJ1967" s="1"/>
      <c r="AM1967" s="1" t="s">
        <v>3149</v>
      </c>
    </row>
    <row r="1968">
      <c r="E1968" s="1" t="s">
        <v>4162</v>
      </c>
      <c r="F1968" s="6" t="str">
        <f>IFERROR(__xludf.DUMMYFUNCTION("""COMPUTED_VALUE"""),"attracting")</f>
        <v>attracting</v>
      </c>
      <c r="H1968" s="1" t="s">
        <v>3380</v>
      </c>
      <c r="I1968" s="6" t="str">
        <f>IFERROR(__xludf.DUMMYFUNCTION("""COMPUTED_VALUE"""),"tense")</f>
        <v>tense</v>
      </c>
      <c r="S1968" s="1" t="s">
        <v>2554</v>
      </c>
      <c r="T1968" s="6" t="str">
        <f>IFERROR(__xludf.DUMMYFUNCTION("""COMPUTED_VALUE"""),"evolve")</f>
        <v>evolve</v>
      </c>
      <c r="W1968" s="8"/>
      <c r="AJ1968" s="1"/>
      <c r="AM1968" s="1" t="s">
        <v>1959</v>
      </c>
    </row>
    <row r="1969">
      <c r="E1969" s="1" t="s">
        <v>3547</v>
      </c>
      <c r="F1969" s="6" t="str">
        <f>IFERROR(__xludf.DUMMYFUNCTION("""COMPUTED_VALUE"""),"debts")</f>
        <v>debts</v>
      </c>
      <c r="H1969" s="1" t="s">
        <v>1262</v>
      </c>
      <c r="I1969" s="6" t="str">
        <f>IFERROR(__xludf.DUMMYFUNCTION("""COMPUTED_VALUE"""),"dismay")</f>
        <v>dismay</v>
      </c>
      <c r="S1969" s="1" t="s">
        <v>2992</v>
      </c>
      <c r="T1969" s="6" t="str">
        <f>IFERROR(__xludf.DUMMYFUNCTION("""COMPUTED_VALUE"""),"jumps")</f>
        <v>jumps</v>
      </c>
      <c r="W1969" s="8"/>
      <c r="AJ1969" s="1"/>
      <c r="AM1969" s="1" t="s">
        <v>1231</v>
      </c>
    </row>
    <row r="1970">
      <c r="E1970" s="1" t="s">
        <v>4164</v>
      </c>
      <c r="F1970" s="6" t="str">
        <f>IFERROR(__xludf.DUMMYFUNCTION("""COMPUTED_VALUE"""),"destruction")</f>
        <v>destruction</v>
      </c>
      <c r="H1970" s="1" t="s">
        <v>3385</v>
      </c>
      <c r="I1970" s="6" t="str">
        <f>IFERROR(__xludf.DUMMYFUNCTION("""COMPUTED_VALUE"""),"explores")</f>
        <v>explores</v>
      </c>
      <c r="S1970" s="1" t="s">
        <v>5189</v>
      </c>
      <c r="T1970" s="6" t="str">
        <f>IFERROR(__xludf.DUMMYFUNCTION("""COMPUTED_VALUE"""),"discontent")</f>
        <v>discontent</v>
      </c>
      <c r="W1970" s="8"/>
      <c r="AJ1970" s="1"/>
      <c r="AM1970" s="1" t="s">
        <v>5190</v>
      </c>
    </row>
    <row r="1971">
      <c r="E1971" s="1" t="s">
        <v>251</v>
      </c>
      <c r="F1971" s="6" t="str">
        <f>IFERROR(__xludf.DUMMYFUNCTION("""COMPUTED_VALUE"""),"gracefully")</f>
        <v>gracefully</v>
      </c>
      <c r="H1971" s="1" t="s">
        <v>4472</v>
      </c>
      <c r="I1971" s="6" t="str">
        <f>IFERROR(__xludf.DUMMYFUNCTION("""COMPUTED_VALUE"""),"horse")</f>
        <v>horse</v>
      </c>
      <c r="S1971" s="1" t="s">
        <v>5191</v>
      </c>
      <c r="T1971" s="6" t="str">
        <f>IFERROR(__xludf.DUMMYFUNCTION("""COMPUTED_VALUE"""),"deepest")</f>
        <v>deepest</v>
      </c>
      <c r="W1971" s="8"/>
      <c r="AJ1971" s="1"/>
      <c r="AM1971" s="1" t="s">
        <v>2663</v>
      </c>
    </row>
    <row r="1972">
      <c r="E1972" s="1" t="s">
        <v>1277</v>
      </c>
      <c r="F1972" s="6" t="str">
        <f>IFERROR(__xludf.DUMMYFUNCTION("""COMPUTED_VALUE"""),"moat")</f>
        <v>moat</v>
      </c>
      <c r="H1972" s="1" t="s">
        <v>964</v>
      </c>
      <c r="I1972" s="6" t="str">
        <f>IFERROR(__xludf.DUMMYFUNCTION("""COMPUTED_VALUE"""),"sleep")</f>
        <v>sleep</v>
      </c>
      <c r="S1972" s="1" t="s">
        <v>4169</v>
      </c>
      <c r="T1972" s="6" t="str">
        <f>IFERROR(__xludf.DUMMYFUNCTION("""COMPUTED_VALUE"""),"noticing")</f>
        <v>noticing</v>
      </c>
      <c r="W1972" s="8"/>
      <c r="AJ1972" s="1"/>
      <c r="AM1972" s="1" t="s">
        <v>3153</v>
      </c>
    </row>
    <row r="1973">
      <c r="E1973" s="1" t="s">
        <v>1270</v>
      </c>
      <c r="F1973" s="6" t="str">
        <f>IFERROR(__xludf.DUMMYFUNCTION("""COMPUTED_VALUE"""),"rooted")</f>
        <v>rooted</v>
      </c>
      <c r="H1973" s="1" t="s">
        <v>5192</v>
      </c>
      <c r="I1973" s="6" t="str">
        <f>IFERROR(__xludf.DUMMYFUNCTION("""COMPUTED_VALUE"""),"reinforcement")</f>
        <v>reinforcement</v>
      </c>
      <c r="S1973" s="1" t="s">
        <v>2648</v>
      </c>
      <c r="T1973" s="6" t="str">
        <f>IFERROR(__xludf.DUMMYFUNCTION("""COMPUTED_VALUE"""),"physical")</f>
        <v>physical</v>
      </c>
      <c r="W1973" s="8"/>
      <c r="AJ1973" s="1"/>
      <c r="AM1973" s="1" t="s">
        <v>656</v>
      </c>
    </row>
    <row r="1974">
      <c r="E1974" s="1" t="s">
        <v>1284</v>
      </c>
      <c r="F1974" s="6" t="str">
        <f>IFERROR(__xludf.DUMMYFUNCTION("""COMPUTED_VALUE"""),"provincial")</f>
        <v>provincial</v>
      </c>
      <c r="H1974" s="1" t="s">
        <v>3391</v>
      </c>
      <c r="I1974" s="6" t="str">
        <f>IFERROR(__xludf.DUMMYFUNCTION("""COMPUTED_VALUE"""),"distinguish")</f>
        <v>distinguish</v>
      </c>
      <c r="S1974" s="1" t="s">
        <v>5193</v>
      </c>
      <c r="T1974" s="6" t="str">
        <f>IFERROR(__xludf.DUMMYFUNCTION("""COMPUTED_VALUE"""),"evans")</f>
        <v>evans</v>
      </c>
      <c r="W1974" s="8"/>
      <c r="AJ1974" s="1"/>
      <c r="AM1974" s="1" t="s">
        <v>3573</v>
      </c>
    </row>
    <row r="1975">
      <c r="E1975" s="1" t="s">
        <v>4179</v>
      </c>
      <c r="F1975" s="6" t="str">
        <f>IFERROR(__xludf.DUMMYFUNCTION("""COMPUTED_VALUE"""),"bourgeois")</f>
        <v>bourgeois</v>
      </c>
      <c r="H1975" s="1" t="s">
        <v>3039</v>
      </c>
      <c r="I1975" s="6" t="str">
        <f>IFERROR(__xludf.DUMMYFUNCTION("""COMPUTED_VALUE"""),"exploit")</f>
        <v>exploit</v>
      </c>
      <c r="S1975" s="1" t="s">
        <v>5194</v>
      </c>
      <c r="T1975" s="6" t="str">
        <f>IFERROR(__xludf.DUMMYFUNCTION("""COMPUTED_VALUE"""),"collateral")</f>
        <v>collateral</v>
      </c>
      <c r="W1975" s="8"/>
      <c r="AJ1975" s="1"/>
      <c r="AM1975" s="1" t="s">
        <v>981</v>
      </c>
    </row>
    <row r="1976">
      <c r="E1976" s="1" t="s">
        <v>5195</v>
      </c>
      <c r="F1976" s="6" t="str">
        <f>IFERROR(__xludf.DUMMYFUNCTION("""COMPUTED_VALUE"""),"contrasting")</f>
        <v>contrasting</v>
      </c>
      <c r="H1976" s="1" t="s">
        <v>1835</v>
      </c>
      <c r="I1976" s="6" t="str">
        <f>IFERROR(__xludf.DUMMYFUNCTION("""COMPUTED_VALUE"""),"holocaust")</f>
        <v>holocaust</v>
      </c>
      <c r="S1976" s="1" t="s">
        <v>5196</v>
      </c>
      <c r="T1976" s="6" t="str">
        <f>IFERROR(__xludf.DUMMYFUNCTION("""COMPUTED_VALUE"""),"disabilities")</f>
        <v>disabilities</v>
      </c>
      <c r="W1976" s="8"/>
      <c r="AJ1976" s="1"/>
      <c r="AM1976" s="1" t="s">
        <v>1105</v>
      </c>
    </row>
    <row r="1977">
      <c r="E1977" s="1" t="s">
        <v>5197</v>
      </c>
      <c r="F1977" s="6" t="str">
        <f>IFERROR(__xludf.DUMMYFUNCTION("""COMPUTED_VALUE"""),"explosions")</f>
        <v>explosions</v>
      </c>
      <c r="H1977" s="1" t="s">
        <v>1841</v>
      </c>
      <c r="I1977" s="6" t="str">
        <f>IFERROR(__xludf.DUMMYFUNCTION("""COMPUTED_VALUE"""),"streamed")</f>
        <v>streamed</v>
      </c>
      <c r="S1977" s="1" t="s">
        <v>5198</v>
      </c>
      <c r="T1977" s="6" t="str">
        <f>IFERROR(__xludf.DUMMYFUNCTION("""COMPUTED_VALUE"""),"surplus")</f>
        <v>surplus</v>
      </c>
      <c r="W1977" s="8"/>
      <c r="AJ1977" s="1"/>
      <c r="AM1977" s="1" t="s">
        <v>106</v>
      </c>
    </row>
    <row r="1978">
      <c r="E1978" s="1" t="s">
        <v>675</v>
      </c>
      <c r="F1978" s="6" t="str">
        <f>IFERROR(__xludf.DUMMYFUNCTION("""COMPUTED_VALUE"""),"landscapes")</f>
        <v>landscapes</v>
      </c>
      <c r="H1978" s="1" t="s">
        <v>3403</v>
      </c>
      <c r="I1978" s="6" t="str">
        <f>IFERROR(__xludf.DUMMYFUNCTION("""COMPUTED_VALUE"""),"iran")</f>
        <v>iran</v>
      </c>
      <c r="S1978" s="1" t="s">
        <v>4212</v>
      </c>
      <c r="T1978" s="6" t="str">
        <f>IFERROR(__xludf.DUMMYFUNCTION("""COMPUTED_VALUE"""),"mattered")</f>
        <v>mattered</v>
      </c>
      <c r="W1978" s="8"/>
      <c r="AJ1978" s="1"/>
      <c r="AM1978" s="1" t="s">
        <v>5199</v>
      </c>
    </row>
    <row r="1979">
      <c r="E1979" s="1" t="s">
        <v>983</v>
      </c>
      <c r="F1979" s="6" t="str">
        <f>IFERROR(__xludf.DUMMYFUNCTION("""COMPUTED_VALUE"""),"lore")</f>
        <v>lore</v>
      </c>
      <c r="H1979" s="1" t="s">
        <v>4480</v>
      </c>
      <c r="I1979" s="6" t="str">
        <f>IFERROR(__xludf.DUMMYFUNCTION("""COMPUTED_VALUE"""),"facades")</f>
        <v>facades</v>
      </c>
      <c r="S1979" s="1" t="s">
        <v>4710</v>
      </c>
      <c r="T1979" s="6" t="str">
        <f>IFERROR(__xludf.DUMMYFUNCTION("""COMPUTED_VALUE"""),"grasp")</f>
        <v>grasp</v>
      </c>
      <c r="W1979" s="8"/>
      <c r="AJ1979" s="1"/>
      <c r="AM1979" s="1" t="s">
        <v>5200</v>
      </c>
    </row>
    <row r="1980">
      <c r="E1980" s="1" t="s">
        <v>4290</v>
      </c>
      <c r="F1980" s="6" t="str">
        <f>IFERROR(__xludf.DUMMYFUNCTION("""COMPUTED_VALUE"""),"terrorists")</f>
        <v>terrorists</v>
      </c>
      <c r="H1980" s="1" t="s">
        <v>187</v>
      </c>
      <c r="I1980" s="6" t="str">
        <f>IFERROR(__xludf.DUMMYFUNCTION("""COMPUTED_VALUE"""),"anchors")</f>
        <v>anchors</v>
      </c>
      <c r="S1980" s="1" t="s">
        <v>4730</v>
      </c>
      <c r="T1980" s="6" t="str">
        <f>IFERROR(__xludf.DUMMYFUNCTION("""COMPUTED_VALUE"""),"rattling")</f>
        <v>rattling</v>
      </c>
      <c r="W1980" s="8"/>
      <c r="AJ1980" s="1"/>
      <c r="AM1980" s="1" t="s">
        <v>4668</v>
      </c>
    </row>
    <row r="1981">
      <c r="E1981" s="1" t="s">
        <v>4612</v>
      </c>
      <c r="F1981" s="6" t="str">
        <f>IFERROR(__xludf.DUMMYFUNCTION("""COMPUTED_VALUE"""),"thinkers")</f>
        <v>thinkers</v>
      </c>
      <c r="H1981" s="1" t="s">
        <v>3406</v>
      </c>
      <c r="I1981" s="6" t="str">
        <f>IFERROR(__xludf.DUMMYFUNCTION("""COMPUTED_VALUE"""),"expects")</f>
        <v>expects</v>
      </c>
      <c r="S1981" s="1" t="s">
        <v>5201</v>
      </c>
      <c r="T1981" s="6" t="str">
        <f>IFERROR(__xludf.DUMMYFUNCTION("""COMPUTED_VALUE"""),"insignificant")</f>
        <v>insignificant</v>
      </c>
      <c r="W1981" s="8"/>
      <c r="AJ1981" s="1"/>
      <c r="AM1981" s="1" t="s">
        <v>203</v>
      </c>
    </row>
    <row r="1982">
      <c r="E1982" s="1" t="s">
        <v>5202</v>
      </c>
      <c r="F1982" s="6" t="str">
        <f>IFERROR(__xludf.DUMMYFUNCTION("""COMPUTED_VALUE"""),"introduces")</f>
        <v>introduces</v>
      </c>
      <c r="H1982" s="1" t="s">
        <v>3043</v>
      </c>
      <c r="I1982" s="6" t="str">
        <f>IFERROR(__xludf.DUMMYFUNCTION("""COMPUTED_VALUE"""),"gloom")</f>
        <v>gloom</v>
      </c>
      <c r="S1982" s="1" t="s">
        <v>782</v>
      </c>
      <c r="T1982" s="6" t="str">
        <f>IFERROR(__xludf.DUMMYFUNCTION("""COMPUTED_VALUE"""),"higher")</f>
        <v>higher</v>
      </c>
      <c r="W1982" s="8"/>
      <c r="AJ1982" s="1"/>
      <c r="AM1982" s="1" t="s">
        <v>5203</v>
      </c>
    </row>
    <row r="1983">
      <c r="E1983" s="1" t="s">
        <v>5204</v>
      </c>
      <c r="F1983" s="6" t="str">
        <f>IFERROR(__xludf.DUMMYFUNCTION("""COMPUTED_VALUE"""),"orbits")</f>
        <v>orbits</v>
      </c>
      <c r="H1983" s="1" t="s">
        <v>1136</v>
      </c>
      <c r="I1983" s="6" t="str">
        <f>IFERROR(__xludf.DUMMYFUNCTION("""COMPUTED_VALUE"""),"hideous")</f>
        <v>hideous</v>
      </c>
      <c r="S1983" s="1" t="s">
        <v>5205</v>
      </c>
      <c r="T1983" s="6" t="str">
        <f>IFERROR(__xludf.DUMMYFUNCTION("""COMPUTED_VALUE"""),"tense")</f>
        <v>tense</v>
      </c>
      <c r="W1983" s="8"/>
      <c r="AJ1983" s="1"/>
      <c r="AM1983" s="1" t="s">
        <v>1254</v>
      </c>
    </row>
    <row r="1984">
      <c r="E1984" s="1" t="s">
        <v>4185</v>
      </c>
      <c r="F1984" s="6" t="str">
        <f>IFERROR(__xludf.DUMMYFUNCTION("""COMPUTED_VALUE"""),"reassure")</f>
        <v>reassure</v>
      </c>
      <c r="H1984" s="1" t="s">
        <v>3408</v>
      </c>
      <c r="I1984" s="6" t="str">
        <f>IFERROR(__xludf.DUMMYFUNCTION("""COMPUTED_VALUE"""),"throbbing")</f>
        <v>throbbing</v>
      </c>
      <c r="S1984" s="1" t="s">
        <v>5206</v>
      </c>
      <c r="T1984" s="6" t="str">
        <f>IFERROR(__xludf.DUMMYFUNCTION("""COMPUTED_VALUE"""),"trapped")</f>
        <v>trapped</v>
      </c>
      <c r="W1984" s="8"/>
      <c r="AJ1984" s="1"/>
      <c r="AM1984" s="1" t="s">
        <v>2031</v>
      </c>
    </row>
    <row r="1985">
      <c r="E1985" s="1" t="s">
        <v>5207</v>
      </c>
      <c r="F1985" s="6" t="str">
        <f>IFERROR(__xludf.DUMMYFUNCTION("""COMPUTED_VALUE"""),"ragged")</f>
        <v>ragged</v>
      </c>
      <c r="H1985" s="1" t="s">
        <v>608</v>
      </c>
      <c r="I1985" s="6" t="str">
        <f>IFERROR(__xludf.DUMMYFUNCTION("""COMPUTED_VALUE"""),"myth")</f>
        <v>myth</v>
      </c>
      <c r="S1985" s="1" t="s">
        <v>5208</v>
      </c>
      <c r="T1985" s="6" t="str">
        <f>IFERROR(__xludf.DUMMYFUNCTION("""COMPUTED_VALUE"""),"ate")</f>
        <v>ate</v>
      </c>
      <c r="W1985" s="8"/>
      <c r="AJ1985" s="1"/>
      <c r="AM1985" s="1" t="s">
        <v>4670</v>
      </c>
    </row>
    <row r="1986">
      <c r="E1986" s="1" t="s">
        <v>5209</v>
      </c>
      <c r="F1986" s="6" t="str">
        <f>IFERROR(__xludf.DUMMYFUNCTION("""COMPUTED_VALUE"""),"enacted")</f>
        <v>enacted</v>
      </c>
      <c r="H1986" s="1" t="s">
        <v>4490</v>
      </c>
      <c r="I1986" s="6" t="str">
        <f>IFERROR(__xludf.DUMMYFUNCTION("""COMPUTED_VALUE"""),"heroic")</f>
        <v>heroic</v>
      </c>
      <c r="S1986" s="1" t="s">
        <v>5210</v>
      </c>
      <c r="T1986" s="6" t="str">
        <f>IFERROR(__xludf.DUMMYFUNCTION("""COMPUTED_VALUE"""),"explores")</f>
        <v>explores</v>
      </c>
      <c r="W1986" s="8"/>
      <c r="AJ1986" s="1"/>
      <c r="AM1986" s="1" t="s">
        <v>5211</v>
      </c>
    </row>
    <row r="1987">
      <c r="E1987" s="1" t="s">
        <v>4187</v>
      </c>
      <c r="F1987" s="6" t="str">
        <f>IFERROR(__xludf.DUMMYFUNCTION("""COMPUTED_VALUE"""),"annex")</f>
        <v>annex</v>
      </c>
      <c r="H1987" s="1" t="s">
        <v>521</v>
      </c>
      <c r="I1987" s="6" t="str">
        <f>IFERROR(__xludf.DUMMYFUNCTION("""COMPUTED_VALUE"""),"sprung")</f>
        <v>sprung</v>
      </c>
      <c r="S1987" s="1" t="s">
        <v>1076</v>
      </c>
      <c r="T1987" s="6" t="str">
        <f>IFERROR(__xludf.DUMMYFUNCTION("""COMPUTED_VALUE"""),"horse")</f>
        <v>horse</v>
      </c>
      <c r="W1987" s="8"/>
      <c r="AJ1987" s="1"/>
      <c r="AM1987" s="1" t="s">
        <v>2883</v>
      </c>
    </row>
    <row r="1988">
      <c r="E1988" s="1" t="s">
        <v>5212</v>
      </c>
      <c r="F1988" s="6" t="str">
        <f>IFERROR(__xludf.DUMMYFUNCTION("""COMPUTED_VALUE"""),"revived")</f>
        <v>revived</v>
      </c>
      <c r="H1988" s="1" t="s">
        <v>1142</v>
      </c>
      <c r="I1988" s="6" t="str">
        <f>IFERROR(__xludf.DUMMYFUNCTION("""COMPUTED_VALUE"""),"humidity")</f>
        <v>humidity</v>
      </c>
      <c r="S1988" s="1" t="s">
        <v>636</v>
      </c>
      <c r="T1988" s="6" t="str">
        <f>IFERROR(__xludf.DUMMYFUNCTION("""COMPUTED_VALUE"""),"sleep")</f>
        <v>sleep</v>
      </c>
      <c r="W1988" s="8"/>
      <c r="AJ1988" s="1"/>
      <c r="AM1988" s="1" t="s">
        <v>4672</v>
      </c>
    </row>
    <row r="1989">
      <c r="E1989" s="1" t="s">
        <v>1581</v>
      </c>
      <c r="F1989" s="6" t="str">
        <f>IFERROR(__xludf.DUMMYFUNCTION("""COMPUTED_VALUE"""),"overture")</f>
        <v>overture</v>
      </c>
      <c r="H1989" s="1" t="s">
        <v>3047</v>
      </c>
      <c r="I1989" s="6" t="str">
        <f>IFERROR(__xludf.DUMMYFUNCTION("""COMPUTED_VALUE"""),"expressions")</f>
        <v>expressions</v>
      </c>
      <c r="S1989" s="1" t="s">
        <v>4210</v>
      </c>
      <c r="T1989" s="6" t="str">
        <f>IFERROR(__xludf.DUMMYFUNCTION("""COMPUTED_VALUE"""),"torpedo")</f>
        <v>torpedo</v>
      </c>
      <c r="W1989" s="8"/>
      <c r="AJ1989" s="1"/>
      <c r="AM1989" s="1" t="s">
        <v>3584</v>
      </c>
    </row>
    <row r="1990">
      <c r="E1990" s="1" t="s">
        <v>994</v>
      </c>
      <c r="F1990" s="6" t="str">
        <f>IFERROR(__xludf.DUMMYFUNCTION("""COMPUTED_VALUE"""),"fellowship")</f>
        <v>fellowship</v>
      </c>
      <c r="H1990" s="1" t="s">
        <v>1148</v>
      </c>
      <c r="I1990" s="6" t="str">
        <f>IFERROR(__xludf.DUMMYFUNCTION("""COMPUTED_VALUE"""),"appearing")</f>
        <v>appearing</v>
      </c>
      <c r="S1990" s="1" t="s">
        <v>301</v>
      </c>
      <c r="T1990" s="6" t="str">
        <f>IFERROR(__xludf.DUMMYFUNCTION("""COMPUTED_VALUE"""),"activate")</f>
        <v>activate</v>
      </c>
      <c r="W1990" s="8"/>
      <c r="AJ1990" s="1"/>
      <c r="AM1990" s="1" t="s">
        <v>5213</v>
      </c>
    </row>
    <row r="1991">
      <c r="E1991" s="1" t="s">
        <v>5214</v>
      </c>
      <c r="F1991" s="6" t="str">
        <f>IFERROR(__xludf.DUMMYFUNCTION("""COMPUTED_VALUE"""),"framework")</f>
        <v>framework</v>
      </c>
      <c r="H1991" s="1" t="s">
        <v>3414</v>
      </c>
      <c r="I1991" s="6" t="str">
        <f>IFERROR(__xludf.DUMMYFUNCTION("""COMPUTED_VALUE"""),"award")</f>
        <v>award</v>
      </c>
      <c r="S1991" s="1" t="s">
        <v>4240</v>
      </c>
      <c r="T1991" s="6" t="str">
        <f>IFERROR(__xludf.DUMMYFUNCTION("""COMPUTED_VALUE"""),"distinguish")</f>
        <v>distinguish</v>
      </c>
      <c r="W1991" s="8"/>
      <c r="AJ1991" s="1"/>
      <c r="AM1991" s="1" t="s">
        <v>5215</v>
      </c>
    </row>
    <row r="1992">
      <c r="E1992" s="1" t="s">
        <v>5216</v>
      </c>
      <c r="F1992" s="6" t="str">
        <f>IFERROR(__xludf.DUMMYFUNCTION("""COMPUTED_VALUE"""),"naive")</f>
        <v>naive</v>
      </c>
      <c r="H1992" s="1" t="s">
        <v>4495</v>
      </c>
      <c r="I1992" s="6" t="str">
        <f>IFERROR(__xludf.DUMMYFUNCTION("""COMPUTED_VALUE"""),"televised")</f>
        <v>televised</v>
      </c>
      <c r="S1992" s="1" t="s">
        <v>5217</v>
      </c>
      <c r="T1992" s="6" t="str">
        <f>IFERROR(__xludf.DUMMYFUNCTION("""COMPUTED_VALUE"""),"exploit")</f>
        <v>exploit</v>
      </c>
      <c r="W1992" s="8"/>
      <c r="AJ1992" s="1"/>
      <c r="AM1992" s="1" t="s">
        <v>984</v>
      </c>
    </row>
    <row r="1993">
      <c r="E1993" s="1" t="s">
        <v>1295</v>
      </c>
      <c r="F1993" s="6" t="str">
        <f>IFERROR(__xludf.DUMMYFUNCTION("""COMPUTED_VALUE"""),"detective")</f>
        <v>detective</v>
      </c>
      <c r="H1993" s="1" t="s">
        <v>4498</v>
      </c>
      <c r="I1993" s="6" t="str">
        <f>IFERROR(__xludf.DUMMYFUNCTION("""COMPUTED_VALUE"""),"chord")</f>
        <v>chord</v>
      </c>
      <c r="S1993" s="1" t="s">
        <v>5218</v>
      </c>
      <c r="T1993" s="6" t="str">
        <f>IFERROR(__xludf.DUMMYFUNCTION("""COMPUTED_VALUE"""),"iran")</f>
        <v>iran</v>
      </c>
      <c r="W1993" s="8"/>
      <c r="AJ1993" s="1"/>
      <c r="AM1993" s="1" t="s">
        <v>3588</v>
      </c>
    </row>
    <row r="1994">
      <c r="E1994" s="1" t="s">
        <v>4194</v>
      </c>
      <c r="F1994" s="6" t="str">
        <f>IFERROR(__xludf.DUMMYFUNCTION("""COMPUTED_VALUE"""),"lullaby")</f>
        <v>lullaby</v>
      </c>
      <c r="H1994" s="1" t="s">
        <v>5219</v>
      </c>
      <c r="I1994" s="6" t="str">
        <f>IFERROR(__xludf.DUMMYFUNCTION("""COMPUTED_VALUE"""),"struck")</f>
        <v>struck</v>
      </c>
      <c r="S1994" s="1" t="s">
        <v>5220</v>
      </c>
      <c r="T1994" s="6" t="str">
        <f>IFERROR(__xludf.DUMMYFUNCTION("""COMPUTED_VALUE"""),"facades")</f>
        <v>facades</v>
      </c>
      <c r="W1994" s="8"/>
      <c r="AJ1994" s="1"/>
      <c r="AM1994" s="1" t="s">
        <v>1261</v>
      </c>
    </row>
    <row r="1995">
      <c r="E1995" s="1" t="s">
        <v>2367</v>
      </c>
      <c r="F1995" s="6" t="str">
        <f>IFERROR(__xludf.DUMMYFUNCTION("""COMPUTED_VALUE"""),"scoring")</f>
        <v>scoring</v>
      </c>
      <c r="H1995" s="1" t="s">
        <v>956</v>
      </c>
      <c r="I1995" s="6" t="str">
        <f>IFERROR(__xludf.DUMMYFUNCTION("""COMPUTED_VALUE"""),"morals")</f>
        <v>morals</v>
      </c>
      <c r="S1995" s="1" t="s">
        <v>2805</v>
      </c>
      <c r="T1995" s="6" t="str">
        <f>IFERROR(__xludf.DUMMYFUNCTION("""COMPUTED_VALUE"""),"expects")</f>
        <v>expects</v>
      </c>
      <c r="W1995" s="8"/>
      <c r="AJ1995" s="1"/>
      <c r="AM1995" s="1" t="s">
        <v>5221</v>
      </c>
    </row>
    <row r="1996">
      <c r="E1996" s="1" t="s">
        <v>5222</v>
      </c>
      <c r="F1996" s="6" t="str">
        <f>IFERROR(__xludf.DUMMYFUNCTION("""COMPUTED_VALUE"""),"pearce")</f>
        <v>pearce</v>
      </c>
      <c r="H1996" s="1" t="s">
        <v>3050</v>
      </c>
      <c r="I1996" s="6" t="str">
        <f>IFERROR(__xludf.DUMMYFUNCTION("""COMPUTED_VALUE"""),"chronicle")</f>
        <v>chronicle</v>
      </c>
      <c r="S1996" s="1" t="s">
        <v>1634</v>
      </c>
      <c r="T1996" s="6" t="str">
        <f>IFERROR(__xludf.DUMMYFUNCTION("""COMPUTED_VALUE"""),"myth")</f>
        <v>myth</v>
      </c>
      <c r="W1996" s="8"/>
      <c r="AJ1996" s="1"/>
      <c r="AM1996" s="1" t="s">
        <v>1983</v>
      </c>
    </row>
    <row r="1997">
      <c r="E1997" s="1" t="s">
        <v>5223</v>
      </c>
      <c r="F1997" s="6" t="str">
        <f>IFERROR(__xludf.DUMMYFUNCTION("""COMPUTED_VALUE"""),"forefront")</f>
        <v>forefront</v>
      </c>
      <c r="H1997" s="1" t="s">
        <v>1852</v>
      </c>
      <c r="I1997" s="6" t="str">
        <f>IFERROR(__xludf.DUMMYFUNCTION("""COMPUTED_VALUE"""),"parker")</f>
        <v>parker</v>
      </c>
      <c r="S1997" s="1" t="s">
        <v>5224</v>
      </c>
      <c r="T1997" s="6" t="str">
        <f>IFERROR(__xludf.DUMMYFUNCTION("""COMPUTED_VALUE"""),"sprung")</f>
        <v>sprung</v>
      </c>
      <c r="W1997" s="8"/>
      <c r="AJ1997" s="1"/>
      <c r="AM1997" s="1" t="s">
        <v>2020</v>
      </c>
    </row>
    <row r="1998">
      <c r="E1998" s="1" t="s">
        <v>1073</v>
      </c>
      <c r="F1998" s="6" t="str">
        <f>IFERROR(__xludf.DUMMYFUNCTION("""COMPUTED_VALUE"""),"divisions")</f>
        <v>divisions</v>
      </c>
      <c r="H1998" s="1" t="s">
        <v>4505</v>
      </c>
      <c r="I1998" s="6" t="str">
        <f>IFERROR(__xludf.DUMMYFUNCTION("""COMPUTED_VALUE"""),"flowering")</f>
        <v>flowering</v>
      </c>
      <c r="S1998" s="1" t="s">
        <v>3336</v>
      </c>
      <c r="T1998" s="6" t="str">
        <f>IFERROR(__xludf.DUMMYFUNCTION("""COMPUTED_VALUE"""),"humidity")</f>
        <v>humidity</v>
      </c>
      <c r="W1998" s="8"/>
      <c r="AJ1998" s="1"/>
      <c r="AM1998" s="1" t="s">
        <v>5225</v>
      </c>
    </row>
    <row r="1999">
      <c r="E1999" s="1" t="s">
        <v>5226</v>
      </c>
      <c r="F1999" s="6" t="str">
        <f>IFERROR(__xludf.DUMMYFUNCTION("""COMPUTED_VALUE"""),"nonfiction")</f>
        <v>nonfiction</v>
      </c>
      <c r="H1999" s="1" t="s">
        <v>4508</v>
      </c>
      <c r="I1999" s="6" t="str">
        <f>IFERROR(__xludf.DUMMYFUNCTION("""COMPUTED_VALUE"""),"testosterone")</f>
        <v>testosterone</v>
      </c>
      <c r="S1999" s="1" t="s">
        <v>4752</v>
      </c>
      <c r="T1999" s="6" t="str">
        <f>IFERROR(__xludf.DUMMYFUNCTION("""COMPUTED_VALUE"""),"expressions")</f>
        <v>expressions</v>
      </c>
      <c r="W1999" s="8"/>
      <c r="AJ1999" s="1"/>
      <c r="AM1999" s="1" t="s">
        <v>1267</v>
      </c>
    </row>
    <row r="2000">
      <c r="E2000" s="1" t="s">
        <v>1300</v>
      </c>
      <c r="F2000" s="6" t="str">
        <f>IFERROR(__xludf.DUMMYFUNCTION("""COMPUTED_VALUE"""),"effectiveness")</f>
        <v>effectiveness</v>
      </c>
      <c r="H2000" s="1" t="s">
        <v>5227</v>
      </c>
      <c r="I2000" s="6" t="str">
        <f>IFERROR(__xludf.DUMMYFUNCTION("""COMPUTED_VALUE"""),"evolved")</f>
        <v>evolved</v>
      </c>
      <c r="S2000" s="1" t="s">
        <v>5228</v>
      </c>
      <c r="T2000" s="6" t="str">
        <f>IFERROR(__xludf.DUMMYFUNCTION("""COMPUTED_VALUE"""),"appearing")</f>
        <v>appearing</v>
      </c>
      <c r="W2000" s="8"/>
      <c r="AJ2000" s="1"/>
      <c r="AM2000" s="1" t="s">
        <v>1273</v>
      </c>
    </row>
    <row r="2001">
      <c r="E2001" s="1" t="s">
        <v>5229</v>
      </c>
      <c r="F2001" s="6" t="str">
        <f>IFERROR(__xludf.DUMMYFUNCTION("""COMPUTED_VALUE"""),"graves")</f>
        <v>graves</v>
      </c>
      <c r="H2001" s="1" t="s">
        <v>5230</v>
      </c>
      <c r="I2001" s="6" t="str">
        <f>IFERROR(__xludf.DUMMYFUNCTION("""COMPUTED_VALUE"""),"serials")</f>
        <v>serials</v>
      </c>
      <c r="S2001" s="1" t="s">
        <v>5231</v>
      </c>
      <c r="T2001" s="6" t="str">
        <f>IFERROR(__xludf.DUMMYFUNCTION("""COMPUTED_VALUE"""),"award")</f>
        <v>award</v>
      </c>
      <c r="W2001" s="8"/>
      <c r="AJ2001" s="1"/>
      <c r="AM2001" s="1" t="s">
        <v>5232</v>
      </c>
    </row>
    <row r="2002">
      <c r="E2002" s="1" t="s">
        <v>4199</v>
      </c>
      <c r="F2002" s="6" t="str">
        <f>IFERROR(__xludf.DUMMYFUNCTION("""COMPUTED_VALUE"""),"contentious")</f>
        <v>contentious</v>
      </c>
      <c r="H2002" s="1" t="s">
        <v>1159</v>
      </c>
      <c r="I2002" s="6" t="str">
        <f>IFERROR(__xludf.DUMMYFUNCTION("""COMPUTED_VALUE"""),"slender")</f>
        <v>slender</v>
      </c>
      <c r="S2002" s="1" t="s">
        <v>4827</v>
      </c>
      <c r="T2002" s="6" t="str">
        <f>IFERROR(__xludf.DUMMYFUNCTION("""COMPUTED_VALUE"""),"televised")</f>
        <v>televised</v>
      </c>
      <c r="W2002" s="8"/>
      <c r="AJ2002" s="1"/>
      <c r="AM2002" s="1" t="s">
        <v>989</v>
      </c>
    </row>
    <row r="2003">
      <c r="E2003" s="1" t="s">
        <v>4201</v>
      </c>
      <c r="F2003" s="6" t="str">
        <f>IFERROR(__xludf.DUMMYFUNCTION("""COMPUTED_VALUE"""),"configurations")</f>
        <v>configurations</v>
      </c>
      <c r="H2003" s="1" t="s">
        <v>3053</v>
      </c>
      <c r="I2003" s="6" t="str">
        <f>IFERROR(__xludf.DUMMYFUNCTION("""COMPUTED_VALUE"""),"kaufman")</f>
        <v>kaufman</v>
      </c>
      <c r="S2003" s="1" t="s">
        <v>5212</v>
      </c>
      <c r="T2003" s="6" t="str">
        <f>IFERROR(__xludf.DUMMYFUNCTION("""COMPUTED_VALUE"""),"chord")</f>
        <v>chord</v>
      </c>
      <c r="W2003" s="8"/>
      <c r="AJ2003" s="1"/>
      <c r="AM2003" s="1" t="s">
        <v>114</v>
      </c>
    </row>
    <row r="2004">
      <c r="E2004" s="1" t="s">
        <v>5233</v>
      </c>
      <c r="F2004" s="6" t="str">
        <f>IFERROR(__xludf.DUMMYFUNCTION("""COMPUTED_VALUE"""),"apocalypse")</f>
        <v>apocalypse</v>
      </c>
      <c r="H2004" s="1" t="s">
        <v>2108</v>
      </c>
      <c r="I2004" s="6" t="str">
        <f>IFERROR(__xludf.DUMMYFUNCTION("""COMPUTED_VALUE"""),"masculine")</f>
        <v>masculine</v>
      </c>
      <c r="S2004" s="1" t="s">
        <v>5234</v>
      </c>
      <c r="T2004" s="6" t="str">
        <f>IFERROR(__xludf.DUMMYFUNCTION("""COMPUTED_VALUE"""),"struck")</f>
        <v>struck</v>
      </c>
      <c r="W2004" s="8"/>
      <c r="AJ2004" s="1"/>
      <c r="AM2004" s="1" t="s">
        <v>3600</v>
      </c>
    </row>
    <row r="2005">
      <c r="E2005" s="1" t="s">
        <v>1589</v>
      </c>
      <c r="F2005" s="6" t="str">
        <f>IFERROR(__xludf.DUMMYFUNCTION("""COMPUTED_VALUE"""),"generations")</f>
        <v>generations</v>
      </c>
      <c r="H2005" s="1" t="s">
        <v>4514</v>
      </c>
      <c r="I2005" s="6" t="str">
        <f>IFERROR(__xludf.DUMMYFUNCTION("""COMPUTED_VALUE"""),"humanist")</f>
        <v>humanist</v>
      </c>
      <c r="S2005" s="1" t="s">
        <v>5235</v>
      </c>
      <c r="T2005" s="6" t="str">
        <f>IFERROR(__xludf.DUMMYFUNCTION("""COMPUTED_VALUE"""),"morals")</f>
        <v>morals</v>
      </c>
      <c r="W2005" s="8"/>
      <c r="AJ2005" s="1"/>
      <c r="AM2005" s="1" t="s">
        <v>1696</v>
      </c>
    </row>
    <row r="2006">
      <c r="E2006" s="1" t="s">
        <v>5236</v>
      </c>
      <c r="F2006" s="6" t="str">
        <f>IFERROR(__xludf.DUMMYFUNCTION("""COMPUTED_VALUE"""),"deeds")</f>
        <v>deeds</v>
      </c>
      <c r="H2006" s="1" t="s">
        <v>3422</v>
      </c>
      <c r="I2006" s="6" t="str">
        <f>IFERROR(__xludf.DUMMYFUNCTION("""COMPUTED_VALUE"""),"adaptations")</f>
        <v>adaptations</v>
      </c>
      <c r="S2006" s="1" t="s">
        <v>3465</v>
      </c>
      <c r="T2006" s="6" t="str">
        <f>IFERROR(__xludf.DUMMYFUNCTION("""COMPUTED_VALUE"""),"parker")</f>
        <v>parker</v>
      </c>
      <c r="W2006" s="8"/>
      <c r="AJ2006" s="1"/>
      <c r="AM2006" s="1" t="s">
        <v>5237</v>
      </c>
    </row>
    <row r="2007">
      <c r="E2007" s="1" t="s">
        <v>1173</v>
      </c>
      <c r="F2007" s="6" t="str">
        <f>IFERROR(__xludf.DUMMYFUNCTION("""COMPUTED_VALUE"""),"principals")</f>
        <v>principals</v>
      </c>
      <c r="H2007" s="1" t="s">
        <v>3054</v>
      </c>
      <c r="I2007" s="6" t="str">
        <f>IFERROR(__xludf.DUMMYFUNCTION("""COMPUTED_VALUE"""),"satin")</f>
        <v>satin</v>
      </c>
      <c r="S2007" s="1" t="s">
        <v>5238</v>
      </c>
      <c r="T2007" s="6" t="str">
        <f>IFERROR(__xludf.DUMMYFUNCTION("""COMPUTED_VALUE"""),"evolved")</f>
        <v>evolved</v>
      </c>
      <c r="W2007" s="8"/>
      <c r="AJ2007" s="1"/>
      <c r="AM2007" s="1" t="s">
        <v>4174</v>
      </c>
    </row>
    <row r="2008">
      <c r="E2008" s="1" t="s">
        <v>5239</v>
      </c>
      <c r="F2008" s="6" t="str">
        <f>IFERROR(__xludf.DUMMYFUNCTION("""COMPUTED_VALUE"""),"rigged")</f>
        <v>rigged</v>
      </c>
      <c r="H2008" s="1" t="s">
        <v>4280</v>
      </c>
      <c r="I2008" s="6" t="str">
        <f>IFERROR(__xludf.DUMMYFUNCTION("""COMPUTED_VALUE"""),"integrated")</f>
        <v>integrated</v>
      </c>
      <c r="S2008" s="1" t="s">
        <v>5240</v>
      </c>
      <c r="T2008" s="6" t="str">
        <f>IFERROR(__xludf.DUMMYFUNCTION("""COMPUTED_VALUE"""),"slender")</f>
        <v>slender</v>
      </c>
      <c r="W2008" s="8"/>
      <c r="AJ2008" s="1"/>
      <c r="AM2008" s="1" t="s">
        <v>1994</v>
      </c>
    </row>
    <row r="2009">
      <c r="E2009" s="1" t="s">
        <v>3572</v>
      </c>
      <c r="F2009" s="6" t="str">
        <f>IFERROR(__xludf.DUMMYFUNCTION("""COMPUTED_VALUE"""),"valiant")</f>
        <v>valiant</v>
      </c>
      <c r="H2009" s="1" t="s">
        <v>1165</v>
      </c>
      <c r="I2009" s="6" t="str">
        <f>IFERROR(__xludf.DUMMYFUNCTION("""COMPUTED_VALUE"""),"speculative")</f>
        <v>speculative</v>
      </c>
      <c r="S2009" s="1" t="s">
        <v>4018</v>
      </c>
      <c r="T2009" s="6" t="str">
        <f>IFERROR(__xludf.DUMMYFUNCTION("""COMPUTED_VALUE"""),"masculine")</f>
        <v>masculine</v>
      </c>
      <c r="W2009" s="8"/>
      <c r="AJ2009" s="1"/>
      <c r="AM2009" s="1" t="s">
        <v>5241</v>
      </c>
    </row>
    <row r="2010">
      <c r="E2010" s="1" t="s">
        <v>2387</v>
      </c>
      <c r="F2010" s="6" t="str">
        <f>IFERROR(__xludf.DUMMYFUNCTION("""COMPUTED_VALUE"""),"springer")</f>
        <v>springer</v>
      </c>
      <c r="H2010" s="1" t="s">
        <v>1483</v>
      </c>
      <c r="I2010" s="6" t="str">
        <f>IFERROR(__xludf.DUMMYFUNCTION("""COMPUTED_VALUE"""),"successes")</f>
        <v>successes</v>
      </c>
      <c r="S2010" s="1" t="s">
        <v>3762</v>
      </c>
      <c r="T2010" s="6" t="str">
        <f>IFERROR(__xludf.DUMMYFUNCTION("""COMPUTED_VALUE"""),"adaptations")</f>
        <v>adaptations</v>
      </c>
      <c r="W2010" s="8"/>
      <c r="AJ2010" s="1"/>
      <c r="AM2010" s="1" t="s">
        <v>4063</v>
      </c>
    </row>
    <row r="2011">
      <c r="E2011" s="1" t="s">
        <v>5242</v>
      </c>
      <c r="F2011" s="6" t="str">
        <f>IFERROR(__xludf.DUMMYFUNCTION("""COMPUTED_VALUE"""),"hitler")</f>
        <v>hitler</v>
      </c>
      <c r="H2011" s="1" t="s">
        <v>961</v>
      </c>
      <c r="I2011" s="6" t="str">
        <f>IFERROR(__xludf.DUMMYFUNCTION("""COMPUTED_VALUE"""),"store")</f>
        <v>store</v>
      </c>
      <c r="S2011" s="1" t="s">
        <v>4218</v>
      </c>
      <c r="T2011" s="6" t="str">
        <f>IFERROR(__xludf.DUMMYFUNCTION("""COMPUTED_VALUE"""),"foolish")</f>
        <v>foolish</v>
      </c>
      <c r="W2011" s="8"/>
      <c r="AJ2011" s="1"/>
      <c r="AM2011" s="1" t="s">
        <v>4697</v>
      </c>
    </row>
    <row r="2012">
      <c r="E2012" s="1" t="s">
        <v>3574</v>
      </c>
      <c r="F2012" s="6" t="str">
        <f>IFERROR(__xludf.DUMMYFUNCTION("""COMPUTED_VALUE"""),"alexandre")</f>
        <v>alexandre</v>
      </c>
      <c r="H2012" s="1" t="s">
        <v>4518</v>
      </c>
      <c r="I2012" s="6" t="str">
        <f>IFERROR(__xludf.DUMMYFUNCTION("""COMPUTED_VALUE"""),"characterized")</f>
        <v>characterized</v>
      </c>
      <c r="S2012" s="1" t="s">
        <v>3744</v>
      </c>
      <c r="T2012" s="6" t="str">
        <f>IFERROR(__xludf.DUMMYFUNCTION("""COMPUTED_VALUE"""),"satin")</f>
        <v>satin</v>
      </c>
      <c r="W2012" s="8"/>
      <c r="AJ2012" s="1"/>
      <c r="AM2012" s="1" t="s">
        <v>1998</v>
      </c>
    </row>
    <row r="2013">
      <c r="E2013" s="1" t="s">
        <v>4999</v>
      </c>
      <c r="F2013" s="6" t="str">
        <f>IFERROR(__xludf.DUMMYFUNCTION("""COMPUTED_VALUE"""),"writings")</f>
        <v>writings</v>
      </c>
      <c r="H2013" s="1" t="s">
        <v>4520</v>
      </c>
      <c r="I2013" s="6" t="str">
        <f>IFERROR(__xludf.DUMMYFUNCTION("""COMPUTED_VALUE"""),"post")</f>
        <v>post</v>
      </c>
      <c r="S2013" s="1" t="s">
        <v>367</v>
      </c>
      <c r="T2013" s="6" t="str">
        <f>IFERROR(__xludf.DUMMYFUNCTION("""COMPUTED_VALUE"""),"skirts")</f>
        <v>skirts</v>
      </c>
      <c r="W2013" s="8"/>
      <c r="AJ2013" s="1"/>
      <c r="AM2013" s="1" t="s">
        <v>5113</v>
      </c>
    </row>
    <row r="2014">
      <c r="E2014" s="1" t="s">
        <v>5243</v>
      </c>
      <c r="F2014" s="6" t="str">
        <f>IFERROR(__xludf.DUMMYFUNCTION("""COMPUTED_VALUE"""),"jagger")</f>
        <v>jagger</v>
      </c>
      <c r="H2014" s="1" t="s">
        <v>4521</v>
      </c>
      <c r="I2014" s="6" t="str">
        <f>IFERROR(__xludf.DUMMYFUNCTION("""COMPUTED_VALUE"""),"scratch")</f>
        <v>scratch</v>
      </c>
      <c r="S2014" s="1" t="s">
        <v>3505</v>
      </c>
      <c r="T2014" s="6" t="str">
        <f>IFERROR(__xludf.DUMMYFUNCTION("""COMPUTED_VALUE"""),"integrated")</f>
        <v>integrated</v>
      </c>
      <c r="W2014" s="8"/>
      <c r="AJ2014" s="1"/>
      <c r="AM2014" s="1" t="s">
        <v>3608</v>
      </c>
    </row>
    <row r="2015">
      <c r="E2015" s="1" t="s">
        <v>4523</v>
      </c>
      <c r="F2015" s="6" t="str">
        <f>IFERROR(__xludf.DUMMYFUNCTION("""COMPUTED_VALUE"""),"afterlife")</f>
        <v>afterlife</v>
      </c>
      <c r="H2015" s="1" t="s">
        <v>3128</v>
      </c>
      <c r="I2015" s="6" t="str">
        <f>IFERROR(__xludf.DUMMYFUNCTION("""COMPUTED_VALUE"""),"cardiac")</f>
        <v>cardiac</v>
      </c>
      <c r="S2015" s="1" t="s">
        <v>361</v>
      </c>
      <c r="T2015" s="6" t="str">
        <f>IFERROR(__xludf.DUMMYFUNCTION("""COMPUTED_VALUE"""),"successes")</f>
        <v>successes</v>
      </c>
      <c r="W2015" s="8"/>
      <c r="AJ2015" s="1"/>
      <c r="AM2015" s="1" t="s">
        <v>5244</v>
      </c>
    </row>
    <row r="2016">
      <c r="E2016" s="1" t="s">
        <v>4208</v>
      </c>
      <c r="F2016" s="6" t="str">
        <f>IFERROR(__xludf.DUMMYFUNCTION("""COMPUTED_VALUE"""),"plagued")</f>
        <v>plagued</v>
      </c>
      <c r="H2016" s="1">
        <v>86.0</v>
      </c>
      <c r="I2016" s="6" t="str">
        <f>IFERROR(__xludf.DUMMYFUNCTION("""COMPUTED_VALUE"""),"marquis")</f>
        <v>marquis</v>
      </c>
      <c r="S2016" s="1" t="s">
        <v>3973</v>
      </c>
      <c r="T2016" s="6" t="str">
        <f>IFERROR(__xludf.DUMMYFUNCTION("""COMPUTED_VALUE"""),"store")</f>
        <v>store</v>
      </c>
      <c r="W2016" s="8"/>
      <c r="AJ2016" s="1"/>
      <c r="AM2016" s="1" t="s">
        <v>5245</v>
      </c>
    </row>
    <row r="2017">
      <c r="E2017" s="1" t="s">
        <v>3577</v>
      </c>
      <c r="F2017" s="6" t="str">
        <f>IFERROR(__xludf.DUMMYFUNCTION("""COMPUTED_VALUE"""),"documenting")</f>
        <v>documenting</v>
      </c>
      <c r="H2017" s="1" t="s">
        <v>3994</v>
      </c>
      <c r="I2017" s="6" t="str">
        <f>IFERROR(__xludf.DUMMYFUNCTION("""COMPUTED_VALUE"""),"menace")</f>
        <v>menace</v>
      </c>
      <c r="S2017" s="1" t="s">
        <v>1655</v>
      </c>
      <c r="T2017" s="6" t="str">
        <f>IFERROR(__xludf.DUMMYFUNCTION("""COMPUTED_VALUE"""),"formed")</f>
        <v>formed</v>
      </c>
      <c r="W2017" s="8"/>
      <c r="AJ2017" s="1"/>
      <c r="AM2017" s="1" t="s">
        <v>4676</v>
      </c>
    </row>
    <row r="2018">
      <c r="E2018" s="1" t="s">
        <v>5246</v>
      </c>
      <c r="F2018" s="6" t="str">
        <f>IFERROR(__xludf.DUMMYFUNCTION("""COMPUTED_VALUE"""),"fragile")</f>
        <v>fragile</v>
      </c>
      <c r="H2018" s="1" t="s">
        <v>1872</v>
      </c>
      <c r="I2018" s="6" t="str">
        <f>IFERROR(__xludf.DUMMYFUNCTION("""COMPUTED_VALUE"""),"nerves")</f>
        <v>nerves</v>
      </c>
      <c r="S2018" s="1" t="s">
        <v>5247</v>
      </c>
      <c r="T2018" s="6" t="str">
        <f>IFERROR(__xludf.DUMMYFUNCTION("""COMPUTED_VALUE"""),"marquis")</f>
        <v>marquis</v>
      </c>
      <c r="W2018" s="8"/>
      <c r="AJ2018" s="1"/>
      <c r="AM2018" s="1" t="s">
        <v>623</v>
      </c>
    </row>
    <row r="2019">
      <c r="E2019" s="1" t="s">
        <v>1593</v>
      </c>
      <c r="F2019" s="6" t="str">
        <f>IFERROR(__xludf.DUMMYFUNCTION("""COMPUTED_VALUE"""),"teaming")</f>
        <v>teaming</v>
      </c>
      <c r="H2019" s="1" t="s">
        <v>4531</v>
      </c>
      <c r="I2019" s="6" t="str">
        <f>IFERROR(__xludf.DUMMYFUNCTION("""COMPUTED_VALUE"""),"relying")</f>
        <v>relying</v>
      </c>
      <c r="S2019" s="1" t="s">
        <v>4498</v>
      </c>
      <c r="T2019" s="6" t="str">
        <f>IFERROR(__xludf.DUMMYFUNCTION("""COMPUTED_VALUE"""),"relying")</f>
        <v>relying</v>
      </c>
      <c r="W2019" s="8"/>
      <c r="AJ2019" s="1"/>
      <c r="AM2019" s="1" t="s">
        <v>3611</v>
      </c>
    </row>
    <row r="2020">
      <c r="E2020" s="1" t="s">
        <v>2397</v>
      </c>
      <c r="F2020" s="6" t="str">
        <f>IFERROR(__xludf.DUMMYFUNCTION("""COMPUTED_VALUE"""),"traces")</f>
        <v>traces</v>
      </c>
      <c r="H2020" s="1" t="s">
        <v>4533</v>
      </c>
      <c r="I2020" s="6" t="str">
        <f>IFERROR(__xludf.DUMMYFUNCTION("""COMPUTED_VALUE"""),"yank")</f>
        <v>yank</v>
      </c>
      <c r="S2020" s="1" t="s">
        <v>5248</v>
      </c>
      <c r="T2020" s="6" t="str">
        <f>IFERROR(__xludf.DUMMYFUNCTION("""COMPUTED_VALUE"""),"yank")</f>
        <v>yank</v>
      </c>
      <c r="W2020" s="8"/>
      <c r="AJ2020" s="1"/>
      <c r="AM2020" s="1" t="s">
        <v>4698</v>
      </c>
    </row>
    <row r="2021">
      <c r="E2021" s="1" t="s">
        <v>5249</v>
      </c>
      <c r="F2021" s="6" t="str">
        <f>IFERROR(__xludf.DUMMYFUNCTION("""COMPUTED_VALUE"""),"paralyzed")</f>
        <v>paralyzed</v>
      </c>
      <c r="H2021" s="1" t="s">
        <v>4534</v>
      </c>
      <c r="I2021" s="6" t="str">
        <f>IFERROR(__xludf.DUMMYFUNCTION("""COMPUTED_VALUE"""),"leash")</f>
        <v>leash</v>
      </c>
      <c r="S2021" s="1" t="s">
        <v>5250</v>
      </c>
      <c r="T2021" s="6" t="str">
        <f>IFERROR(__xludf.DUMMYFUNCTION("""COMPUTED_VALUE"""),"leash")</f>
        <v>leash</v>
      </c>
      <c r="W2021" s="8"/>
      <c r="AJ2021" s="1"/>
      <c r="AM2021" s="1" t="s">
        <v>4701</v>
      </c>
    </row>
    <row r="2022">
      <c r="E2022" s="1" t="s">
        <v>4215</v>
      </c>
      <c r="F2022" s="6" t="str">
        <f>IFERROR(__xludf.DUMMYFUNCTION("""COMPUTED_VALUE"""),"werner")</f>
        <v>werner</v>
      </c>
      <c r="H2022" s="1" t="s">
        <v>5079</v>
      </c>
      <c r="I2022" s="6" t="str">
        <f>IFERROR(__xludf.DUMMYFUNCTION("""COMPUTED_VALUE"""),"choke")</f>
        <v>choke</v>
      </c>
      <c r="S2022" s="1" t="s">
        <v>721</v>
      </c>
      <c r="T2022" s="6" t="str">
        <f>IFERROR(__xludf.DUMMYFUNCTION("""COMPUTED_VALUE"""),"signals")</f>
        <v>signals</v>
      </c>
      <c r="W2022" s="8"/>
      <c r="AJ2022" s="1"/>
      <c r="AM2022" s="1" t="s">
        <v>2000</v>
      </c>
    </row>
    <row r="2023">
      <c r="E2023" s="1" t="s">
        <v>5251</v>
      </c>
      <c r="F2023" s="6" t="str">
        <f>IFERROR(__xludf.DUMMYFUNCTION("""COMPUTED_VALUE"""),"brutality")</f>
        <v>brutality</v>
      </c>
      <c r="H2023" s="1" t="s">
        <v>4535</v>
      </c>
      <c r="I2023" s="6" t="str">
        <f>IFERROR(__xludf.DUMMYFUNCTION("""COMPUTED_VALUE"""),"signals")</f>
        <v>signals</v>
      </c>
      <c r="S2023" s="1" t="s">
        <v>3602</v>
      </c>
      <c r="T2023" s="6" t="str">
        <f>IFERROR(__xludf.DUMMYFUNCTION("""COMPUTED_VALUE"""),"sufficiently")</f>
        <v>sufficiently</v>
      </c>
      <c r="W2023" s="8"/>
      <c r="AJ2023" s="1"/>
      <c r="AM2023" s="1" t="s">
        <v>4704</v>
      </c>
    </row>
    <row r="2024">
      <c r="E2024" s="1" t="s">
        <v>969</v>
      </c>
      <c r="F2024" s="6" t="str">
        <f>IFERROR(__xludf.DUMMYFUNCTION("""COMPUTED_VALUE"""),"impetus")</f>
        <v>impetus</v>
      </c>
      <c r="H2024" s="1" t="s">
        <v>4154</v>
      </c>
      <c r="I2024" s="6" t="str">
        <f>IFERROR(__xludf.DUMMYFUNCTION("""COMPUTED_VALUE"""),"intro")</f>
        <v>intro</v>
      </c>
      <c r="S2024" s="1" t="s">
        <v>3576</v>
      </c>
      <c r="T2024" s="6" t="str">
        <f>IFERROR(__xludf.DUMMYFUNCTION("""COMPUTED_VALUE"""),"topical")</f>
        <v>topical</v>
      </c>
      <c r="W2024" s="8"/>
      <c r="AJ2024" s="1"/>
      <c r="AM2024" s="1" t="s">
        <v>1292</v>
      </c>
    </row>
    <row r="2025">
      <c r="E2025" s="1" t="s">
        <v>3585</v>
      </c>
      <c r="F2025" s="6" t="str">
        <f>IFERROR(__xludf.DUMMYFUNCTION("""COMPUTED_VALUE"""),"castro")</f>
        <v>castro</v>
      </c>
      <c r="H2025" s="1" t="s">
        <v>1877</v>
      </c>
      <c r="I2025" s="6" t="str">
        <f>IFERROR(__xludf.DUMMYFUNCTION("""COMPUTED_VALUE"""),"topical")</f>
        <v>topical</v>
      </c>
      <c r="S2025" s="1" t="s">
        <v>5252</v>
      </c>
      <c r="T2025" s="6" t="str">
        <f>IFERROR(__xludf.DUMMYFUNCTION("""COMPUTED_VALUE"""),"clothes")</f>
        <v>clothes</v>
      </c>
      <c r="W2025" s="8"/>
      <c r="AJ2025" s="1"/>
      <c r="AM2025" s="1" t="s">
        <v>1463</v>
      </c>
    </row>
    <row r="2026">
      <c r="E2026" s="1" t="s">
        <v>1315</v>
      </c>
      <c r="F2026" s="6" t="str">
        <f>IFERROR(__xludf.DUMMYFUNCTION("""COMPUTED_VALUE"""),"prologue")</f>
        <v>prologue</v>
      </c>
      <c r="H2026" s="1" t="s">
        <v>1882</v>
      </c>
      <c r="I2026" s="6" t="str">
        <f>IFERROR(__xludf.DUMMYFUNCTION("""COMPUTED_VALUE"""),"manifesto")</f>
        <v>manifesto</v>
      </c>
      <c r="S2026" s="1" t="s">
        <v>5253</v>
      </c>
      <c r="T2026" s="6" t="str">
        <f>IFERROR(__xludf.DUMMYFUNCTION("""COMPUTED_VALUE"""),"swiftly")</f>
        <v>swiftly</v>
      </c>
      <c r="W2026" s="8"/>
      <c r="AJ2026" s="1"/>
      <c r="AM2026" s="1" t="s">
        <v>3616</v>
      </c>
    </row>
    <row r="2027">
      <c r="E2027" s="1" t="s">
        <v>607</v>
      </c>
      <c r="F2027" s="6" t="str">
        <f>IFERROR(__xludf.DUMMYFUNCTION("""COMPUTED_VALUE"""),"antonia")</f>
        <v>antonia</v>
      </c>
      <c r="H2027" s="1" t="s">
        <v>3439</v>
      </c>
      <c r="I2027" s="6" t="str">
        <f>IFERROR(__xludf.DUMMYFUNCTION("""COMPUTED_VALUE"""),"duel")</f>
        <v>duel</v>
      </c>
      <c r="S2027" s="1" t="s">
        <v>2052</v>
      </c>
      <c r="T2027" s="6" t="str">
        <f>IFERROR(__xludf.DUMMYFUNCTION("""COMPUTED_VALUE"""),"biased")</f>
        <v>biased</v>
      </c>
      <c r="W2027" s="8"/>
      <c r="AJ2027" s="1"/>
      <c r="AM2027" s="1" t="s">
        <v>4707</v>
      </c>
    </row>
    <row r="2028">
      <c r="E2028" s="1" t="s">
        <v>3589</v>
      </c>
      <c r="F2028" s="6" t="str">
        <f>IFERROR(__xludf.DUMMYFUNCTION("""COMPUTED_VALUE"""),"enlightenment")</f>
        <v>enlightenment</v>
      </c>
      <c r="H2028" s="1" t="s">
        <v>4289</v>
      </c>
      <c r="I2028" s="6" t="str">
        <f>IFERROR(__xludf.DUMMYFUNCTION("""COMPUTED_VALUE"""),"swiftly")</f>
        <v>swiftly</v>
      </c>
      <c r="S2028" s="1" t="s">
        <v>4680</v>
      </c>
      <c r="T2028" s="6" t="str">
        <f>IFERROR(__xludf.DUMMYFUNCTION("""COMPUTED_VALUE"""),"projection")</f>
        <v>projection</v>
      </c>
      <c r="W2028" s="8"/>
      <c r="AJ2028" s="1"/>
      <c r="AM2028" s="1" t="s">
        <v>3617</v>
      </c>
    </row>
    <row r="2029">
      <c r="E2029" s="1" t="s">
        <v>1326</v>
      </c>
      <c r="F2029" s="6" t="str">
        <f>IFERROR(__xludf.DUMMYFUNCTION("""COMPUTED_VALUE"""),"thoughtfully")</f>
        <v>thoughtfully</v>
      </c>
      <c r="H2029" s="1" t="s">
        <v>4200</v>
      </c>
      <c r="I2029" s="6" t="str">
        <f>IFERROR(__xludf.DUMMYFUNCTION("""COMPUTED_VALUE"""),"wanderers")</f>
        <v>wanderers</v>
      </c>
      <c r="S2029" s="1" t="s">
        <v>4166</v>
      </c>
      <c r="T2029" s="6" t="str">
        <f>IFERROR(__xludf.DUMMYFUNCTION("""COMPUTED_VALUE"""),"slippery")</f>
        <v>slippery</v>
      </c>
      <c r="W2029" s="8"/>
      <c r="AJ2029" s="1"/>
      <c r="AM2029" s="1" t="s">
        <v>3620</v>
      </c>
    </row>
    <row r="2030">
      <c r="E2030" s="1" t="s">
        <v>1605</v>
      </c>
      <c r="F2030" s="6" t="str">
        <f>IFERROR(__xludf.DUMMYFUNCTION("""COMPUTED_VALUE"""),"powerhouse")</f>
        <v>powerhouse</v>
      </c>
      <c r="H2030" s="1" t="s">
        <v>4543</v>
      </c>
      <c r="I2030" s="6" t="str">
        <f>IFERROR(__xludf.DUMMYFUNCTION("""COMPUTED_VALUE"""),"equilibrium")</f>
        <v>equilibrium</v>
      </c>
      <c r="S2030" s="1" t="s">
        <v>3898</v>
      </c>
      <c r="T2030" s="6" t="str">
        <f>IFERROR(__xludf.DUMMYFUNCTION("""COMPUTED_VALUE"""),"paintings")</f>
        <v>paintings</v>
      </c>
      <c r="W2030" s="8"/>
      <c r="AJ2030" s="1"/>
      <c r="AM2030" s="1" t="s">
        <v>5254</v>
      </c>
    </row>
    <row r="2031">
      <c r="E2031" s="1" t="s">
        <v>2410</v>
      </c>
      <c r="F2031" s="6" t="str">
        <f>IFERROR(__xludf.DUMMYFUNCTION("""COMPUTED_VALUE"""),"critically")</f>
        <v>critically</v>
      </c>
      <c r="H2031" s="1" t="s">
        <v>3441</v>
      </c>
      <c r="I2031" s="6" t="str">
        <f>IFERROR(__xludf.DUMMYFUNCTION("""COMPUTED_VALUE"""),"calculating")</f>
        <v>calculating</v>
      </c>
      <c r="S2031" s="1" t="s">
        <v>3130</v>
      </c>
      <c r="T2031" s="6" t="str">
        <f>IFERROR(__xludf.DUMMYFUNCTION("""COMPUTED_VALUE"""),"preview")</f>
        <v>preview</v>
      </c>
      <c r="W2031" s="8"/>
      <c r="AJ2031" s="1"/>
      <c r="AM2031" s="1" t="s">
        <v>1250</v>
      </c>
    </row>
    <row r="2032">
      <c r="E2032" s="1" t="s">
        <v>3591</v>
      </c>
      <c r="F2032" s="6" t="str">
        <f>IFERROR(__xludf.DUMMYFUNCTION("""COMPUTED_VALUE"""),"searches")</f>
        <v>searches</v>
      </c>
      <c r="H2032" s="1" t="s">
        <v>1917</v>
      </c>
      <c r="I2032" s="6" t="str">
        <f>IFERROR(__xludf.DUMMYFUNCTION("""COMPUTED_VALUE"""),"criticizing")</f>
        <v>criticizing</v>
      </c>
      <c r="S2032" s="1" t="s">
        <v>2569</v>
      </c>
      <c r="T2032" s="6" t="str">
        <f>IFERROR(__xludf.DUMMYFUNCTION("""COMPUTED_VALUE"""),"characterization")</f>
        <v>characterization</v>
      </c>
      <c r="W2032" s="8"/>
      <c r="AJ2032" s="1"/>
      <c r="AM2032" s="1" t="s">
        <v>5255</v>
      </c>
    </row>
    <row r="2033">
      <c r="E2033" s="1" t="s">
        <v>3593</v>
      </c>
      <c r="F2033" s="6" t="str">
        <f>IFERROR(__xludf.DUMMYFUNCTION("""COMPUTED_VALUE"""),"leigh")</f>
        <v>leigh</v>
      </c>
      <c r="H2033" s="1" t="s">
        <v>4546</v>
      </c>
      <c r="I2033" s="6">
        <f>IFERROR(__xludf.DUMMYFUNCTION("""COMPUTED_VALUE"""),295.0)</f>
        <v>295</v>
      </c>
      <c r="S2033" s="1" t="s">
        <v>2518</v>
      </c>
      <c r="T2033" s="6" t="str">
        <f>IFERROR(__xludf.DUMMYFUNCTION("""COMPUTED_VALUE"""),"orchestrated")</f>
        <v>orchestrated</v>
      </c>
      <c r="W2033" s="8"/>
      <c r="AJ2033" s="1"/>
      <c r="AM2033" s="1" t="s">
        <v>3621</v>
      </c>
    </row>
    <row r="2034">
      <c r="E2034" s="1" t="s">
        <v>5256</v>
      </c>
      <c r="F2034" s="6" t="str">
        <f>IFERROR(__xludf.DUMMYFUNCTION("""COMPUTED_VALUE"""),"ram")</f>
        <v>ram</v>
      </c>
      <c r="H2034" s="1" t="s">
        <v>3639</v>
      </c>
      <c r="I2034" s="6">
        <f>IFERROR(__xludf.DUMMYFUNCTION("""COMPUTED_VALUE"""),1958.0)</f>
        <v>1958</v>
      </c>
      <c r="S2034" s="1" t="s">
        <v>5257</v>
      </c>
      <c r="T2034" s="6" t="str">
        <f>IFERROR(__xludf.DUMMYFUNCTION("""COMPUTED_VALUE"""),"confidently")</f>
        <v>confidently</v>
      </c>
      <c r="W2034" s="8"/>
      <c r="AJ2034" s="1"/>
      <c r="AM2034" s="1" t="s">
        <v>1001</v>
      </c>
    </row>
    <row r="2035">
      <c r="E2035" s="1" t="s">
        <v>5258</v>
      </c>
      <c r="F2035" s="6" t="str">
        <f>IFERROR(__xludf.DUMMYFUNCTION("""COMPUTED_VALUE"""),"ransom")</f>
        <v>ransom</v>
      </c>
      <c r="H2035" s="1" t="s">
        <v>4549</v>
      </c>
      <c r="I2035" s="6" t="str">
        <f>IFERROR(__xludf.DUMMYFUNCTION("""COMPUTED_VALUE"""),"fingered")</f>
        <v>fingered</v>
      </c>
      <c r="S2035" s="1" t="s">
        <v>2946</v>
      </c>
      <c r="T2035" s="6" t="str">
        <f>IFERROR(__xludf.DUMMYFUNCTION("""COMPUTED_VALUE"""),"sexually")</f>
        <v>sexually</v>
      </c>
      <c r="W2035" s="8"/>
      <c r="AJ2035" s="1"/>
      <c r="AM2035" s="1" t="s">
        <v>1006</v>
      </c>
    </row>
    <row r="2036">
      <c r="E2036" s="1" t="s">
        <v>5259</v>
      </c>
      <c r="F2036" s="6" t="str">
        <f>IFERROR(__xludf.DUMMYFUNCTION("""COMPUTED_VALUE"""),"lucia")</f>
        <v>lucia</v>
      </c>
      <c r="H2036" s="1" t="s">
        <v>4551</v>
      </c>
      <c r="I2036" s="6" t="str">
        <f>IFERROR(__xludf.DUMMYFUNCTION("""COMPUTED_VALUE"""),"curiously")</f>
        <v>curiously</v>
      </c>
      <c r="S2036" s="1" t="s">
        <v>5260</v>
      </c>
      <c r="T2036" s="6" t="str">
        <f>IFERROR(__xludf.DUMMYFUNCTION("""COMPUTED_VALUE"""),"telescope")</f>
        <v>telescope</v>
      </c>
      <c r="W2036" s="8"/>
      <c r="AJ2036" s="1"/>
      <c r="AM2036" s="1" t="s">
        <v>2007</v>
      </c>
    </row>
    <row r="2037">
      <c r="E2037" s="1" t="s">
        <v>4220</v>
      </c>
      <c r="F2037" s="6" t="str">
        <f>IFERROR(__xludf.DUMMYFUNCTION("""COMPUTED_VALUE"""),"fluttering")</f>
        <v>fluttering</v>
      </c>
      <c r="H2037" s="1" t="s">
        <v>1889</v>
      </c>
      <c r="I2037" s="6" t="str">
        <f>IFERROR(__xludf.DUMMYFUNCTION("""COMPUTED_VALUE"""),"characterization")</f>
        <v>characterization</v>
      </c>
      <c r="S2037" s="1" t="s">
        <v>4558</v>
      </c>
      <c r="T2037" s="6" t="str">
        <f>IFERROR(__xludf.DUMMYFUNCTION("""COMPUTED_VALUE"""),"recycling")</f>
        <v>recycling</v>
      </c>
      <c r="W2037" s="8"/>
      <c r="AJ2037" s="1"/>
      <c r="AM2037" s="1" t="s">
        <v>1297</v>
      </c>
    </row>
    <row r="2038">
      <c r="E2038" s="1" t="s">
        <v>2413</v>
      </c>
      <c r="F2038" s="6" t="str">
        <f>IFERROR(__xludf.DUMMYFUNCTION("""COMPUTED_VALUE"""),"heartbreak")</f>
        <v>heartbreak</v>
      </c>
      <c r="H2038" s="1" t="s">
        <v>3446</v>
      </c>
      <c r="I2038" s="6" t="str">
        <f>IFERROR(__xludf.DUMMYFUNCTION("""COMPUTED_VALUE"""),"orchestrated")</f>
        <v>orchestrated</v>
      </c>
      <c r="S2038" s="1" t="s">
        <v>1796</v>
      </c>
      <c r="T2038" s="6" t="str">
        <f>IFERROR(__xludf.DUMMYFUNCTION("""COMPUTED_VALUE"""),"feet")</f>
        <v>feet</v>
      </c>
      <c r="W2038" s="8"/>
      <c r="AJ2038" s="1"/>
      <c r="AM2038" s="1" t="s">
        <v>4722</v>
      </c>
    </row>
    <row r="2039">
      <c r="E2039" s="1" t="s">
        <v>3595</v>
      </c>
      <c r="F2039" s="6" t="str">
        <f>IFERROR(__xludf.DUMMYFUNCTION("""COMPUTED_VALUE"""),"liner")</f>
        <v>liner</v>
      </c>
      <c r="H2039" s="1" t="s">
        <v>3449</v>
      </c>
      <c r="I2039" s="6" t="str">
        <f>IFERROR(__xludf.DUMMYFUNCTION("""COMPUTED_VALUE"""),"confidently")</f>
        <v>confidently</v>
      </c>
      <c r="S2039" s="1" t="s">
        <v>3638</v>
      </c>
      <c r="T2039" s="6" t="str">
        <f>IFERROR(__xludf.DUMMYFUNCTION("""COMPUTED_VALUE"""),"arms")</f>
        <v>arms</v>
      </c>
      <c r="W2039" s="8"/>
      <c r="AJ2039" s="1"/>
      <c r="AM2039" s="1" t="s">
        <v>1276</v>
      </c>
    </row>
    <row r="2040">
      <c r="E2040" s="1" t="s">
        <v>2416</v>
      </c>
      <c r="F2040" s="6" t="str">
        <f>IFERROR(__xludf.DUMMYFUNCTION("""COMPUTED_VALUE"""),"australia")</f>
        <v>australia</v>
      </c>
      <c r="H2040" s="1" t="s">
        <v>3075</v>
      </c>
      <c r="I2040" s="6" t="str">
        <f>IFERROR(__xludf.DUMMYFUNCTION("""COMPUTED_VALUE"""),"doctorate")</f>
        <v>doctorate</v>
      </c>
      <c r="S2040" s="1" t="s">
        <v>5261</v>
      </c>
      <c r="T2040" s="6" t="str">
        <f>IFERROR(__xludf.DUMMYFUNCTION("""COMPUTED_VALUE"""),"prison")</f>
        <v>prison</v>
      </c>
      <c r="W2040" s="8"/>
      <c r="AJ2040" s="1"/>
      <c r="AM2040" s="1" t="s">
        <v>3206</v>
      </c>
    </row>
    <row r="2041">
      <c r="E2041" s="1" t="s">
        <v>4229</v>
      </c>
      <c r="F2041" s="6" t="str">
        <f>IFERROR(__xludf.DUMMYFUNCTION("""COMPUTED_VALUE"""),"gliding")</f>
        <v>gliding</v>
      </c>
      <c r="H2041" s="1" t="s">
        <v>1893</v>
      </c>
      <c r="I2041" s="6" t="str">
        <f>IFERROR(__xludf.DUMMYFUNCTION("""COMPUTED_VALUE"""),"telescope")</f>
        <v>telescope</v>
      </c>
      <c r="S2041" s="1" t="s">
        <v>5262</v>
      </c>
      <c r="T2041" s="6" t="str">
        <f>IFERROR(__xludf.DUMMYFUNCTION("""COMPUTED_VALUE"""),"discovery")</f>
        <v>discovery</v>
      </c>
      <c r="W2041" s="8"/>
      <c r="AJ2041" s="1"/>
      <c r="AM2041" s="1" t="s">
        <v>3209</v>
      </c>
    </row>
    <row r="2042">
      <c r="E2042" s="1" t="s">
        <v>4235</v>
      </c>
      <c r="F2042" s="6" t="str">
        <f>IFERROR(__xludf.DUMMYFUNCTION("""COMPUTED_VALUE"""),"stitch")</f>
        <v>stitch</v>
      </c>
      <c r="H2042" s="1" t="s">
        <v>1172</v>
      </c>
      <c r="I2042" s="6" t="str">
        <f>IFERROR(__xludf.DUMMYFUNCTION("""COMPUTED_VALUE"""),"analytical")</f>
        <v>analytical</v>
      </c>
      <c r="S2042" s="1" t="s">
        <v>3573</v>
      </c>
      <c r="T2042" s="6" t="str">
        <f>IFERROR(__xludf.DUMMYFUNCTION("""COMPUTED_VALUE"""),"reveal")</f>
        <v>reveal</v>
      </c>
      <c r="W2042" s="8"/>
      <c r="AJ2042" s="1"/>
      <c r="AM2042" s="1" t="s">
        <v>2011</v>
      </c>
    </row>
    <row r="2043">
      <c r="E2043" s="1" t="s">
        <v>5263</v>
      </c>
      <c r="F2043" s="6" t="str">
        <f>IFERROR(__xludf.DUMMYFUNCTION("""COMPUTED_VALUE"""),"assets")</f>
        <v>assets</v>
      </c>
      <c r="H2043" s="1" t="s">
        <v>3456</v>
      </c>
      <c r="I2043" s="6" t="str">
        <f>IFERROR(__xludf.DUMMYFUNCTION("""COMPUTED_VALUE"""),"transforms")</f>
        <v>transforms</v>
      </c>
      <c r="S2043" s="1" t="s">
        <v>1951</v>
      </c>
      <c r="T2043" s="6" t="str">
        <f>IFERROR(__xludf.DUMMYFUNCTION("""COMPUTED_VALUE"""),"effectively")</f>
        <v>effectively</v>
      </c>
      <c r="W2043" s="8"/>
      <c r="AJ2043" s="1"/>
      <c r="AM2043" s="1" t="s">
        <v>4729</v>
      </c>
    </row>
    <row r="2044">
      <c r="E2044" s="1" t="s">
        <v>1332</v>
      </c>
      <c r="H2044" s="1" t="s">
        <v>3085</v>
      </c>
      <c r="I2044" s="6" t="str">
        <f>IFERROR(__xludf.DUMMYFUNCTION("""COMPUTED_VALUE"""),"undertaking")</f>
        <v>undertaking</v>
      </c>
      <c r="S2044" s="1" t="s">
        <v>4402</v>
      </c>
      <c r="T2044" s="6" t="str">
        <f>IFERROR(__xludf.DUMMYFUNCTION("""COMPUTED_VALUE"""),"indicative")</f>
        <v>indicative</v>
      </c>
      <c r="W2044" s="8"/>
      <c r="AJ2044" s="1"/>
      <c r="AM2044" s="1" t="s">
        <v>1013</v>
      </c>
    </row>
    <row r="2045">
      <c r="E2045" s="1" t="s">
        <v>3598</v>
      </c>
      <c r="H2045" s="1" t="s">
        <v>4562</v>
      </c>
      <c r="I2045" s="6" t="str">
        <f>IFERROR(__xludf.DUMMYFUNCTION("""COMPUTED_VALUE"""),"prison")</f>
        <v>prison</v>
      </c>
      <c r="S2045" s="1" t="s">
        <v>4414</v>
      </c>
      <c r="T2045" s="6" t="str">
        <f>IFERROR(__xludf.DUMMYFUNCTION("""COMPUTED_VALUE"""),"concentration")</f>
        <v>concentration</v>
      </c>
      <c r="W2045" s="8"/>
      <c r="AJ2045" s="1"/>
      <c r="AM2045" s="1" t="s">
        <v>3219</v>
      </c>
    </row>
    <row r="2046">
      <c r="E2046" s="1" t="s">
        <v>5264</v>
      </c>
      <c r="H2046" s="1" t="s">
        <v>4564</v>
      </c>
      <c r="I2046" s="6" t="str">
        <f>IFERROR(__xludf.DUMMYFUNCTION("""COMPUTED_VALUE"""),"discovery")</f>
        <v>discovery</v>
      </c>
      <c r="S2046" s="1" t="s">
        <v>3714</v>
      </c>
      <c r="T2046" s="6" t="str">
        <f>IFERROR(__xludf.DUMMYFUNCTION("""COMPUTED_VALUE"""),"architect")</f>
        <v>architect</v>
      </c>
      <c r="W2046" s="8"/>
      <c r="AJ2046" s="1"/>
      <c r="AM2046" s="1" t="s">
        <v>3636</v>
      </c>
    </row>
    <row r="2047">
      <c r="E2047" s="1" t="s">
        <v>2428</v>
      </c>
      <c r="H2047" s="1" t="s">
        <v>5265</v>
      </c>
      <c r="I2047" s="6" t="str">
        <f>IFERROR(__xludf.DUMMYFUNCTION("""COMPUTED_VALUE"""),"reveal")</f>
        <v>reveal</v>
      </c>
      <c r="S2047" s="1" t="s">
        <v>3705</v>
      </c>
      <c r="T2047" s="6" t="str">
        <f>IFERROR(__xludf.DUMMYFUNCTION("""COMPUTED_VALUE"""),"neutral")</f>
        <v>neutral</v>
      </c>
      <c r="W2047" s="8"/>
      <c r="AJ2047" s="1"/>
      <c r="AM2047" s="1" t="s">
        <v>3640</v>
      </c>
    </row>
    <row r="2048">
      <c r="E2048" s="1" t="s">
        <v>362</v>
      </c>
      <c r="H2048" s="1" t="s">
        <v>2555</v>
      </c>
      <c r="I2048" s="6" t="str">
        <f>IFERROR(__xludf.DUMMYFUNCTION("""COMPUTED_VALUE"""),"effectively")</f>
        <v>effectively</v>
      </c>
      <c r="S2048" s="1" t="s">
        <v>1099</v>
      </c>
      <c r="T2048" s="6" t="str">
        <f>IFERROR(__xludf.DUMMYFUNCTION("""COMPUTED_VALUE"""),"singh")</f>
        <v>singh</v>
      </c>
      <c r="W2048" s="8"/>
      <c r="AJ2048" s="1"/>
      <c r="AM2048" s="1" t="s">
        <v>2017</v>
      </c>
    </row>
    <row r="2049">
      <c r="E2049" s="1" t="s">
        <v>4241</v>
      </c>
      <c r="H2049" s="1" t="s">
        <v>4565</v>
      </c>
      <c r="I2049" s="6" t="str">
        <f>IFERROR(__xludf.DUMMYFUNCTION("""COMPUTED_VALUE"""),"concentration")</f>
        <v>concentration</v>
      </c>
      <c r="S2049" s="1" t="s">
        <v>638</v>
      </c>
      <c r="T2049" s="6" t="str">
        <f>IFERROR(__xludf.DUMMYFUNCTION("""COMPUTED_VALUE"""),"acknowledges")</f>
        <v>acknowledges</v>
      </c>
      <c r="W2049" s="8"/>
      <c r="AJ2049" s="1"/>
      <c r="AM2049" s="1" t="s">
        <v>1302</v>
      </c>
    </row>
    <row r="2050">
      <c r="E2050" s="1" t="s">
        <v>4976</v>
      </c>
      <c r="H2050" s="1" t="s">
        <v>3459</v>
      </c>
      <c r="I2050" s="6" t="str">
        <f>IFERROR(__xludf.DUMMYFUNCTION("""COMPUTED_VALUE"""),"neutral")</f>
        <v>neutral</v>
      </c>
      <c r="S2050" s="1" t="s">
        <v>5266</v>
      </c>
      <c r="T2050" s="6" t="str">
        <f>IFERROR(__xludf.DUMMYFUNCTION("""COMPUTED_VALUE"""),"businesses")</f>
        <v>businesses</v>
      </c>
      <c r="W2050" s="8"/>
      <c r="AJ2050" s="1"/>
      <c r="AM2050" s="1" t="s">
        <v>1927</v>
      </c>
    </row>
    <row r="2051">
      <c r="E2051" s="1" t="s">
        <v>4266</v>
      </c>
      <c r="H2051" s="1" t="s">
        <v>3091</v>
      </c>
      <c r="I2051" s="6" t="str">
        <f>IFERROR(__xludf.DUMMYFUNCTION("""COMPUTED_VALUE"""),"singh")</f>
        <v>singh</v>
      </c>
      <c r="S2051" s="1" t="s">
        <v>5169</v>
      </c>
      <c r="T2051" s="6" t="str">
        <f>IFERROR(__xludf.DUMMYFUNCTION("""COMPUTED_VALUE"""),"guiding")</f>
        <v>guiding</v>
      </c>
      <c r="W2051" s="8"/>
      <c r="AJ2051" s="1"/>
      <c r="AM2051" s="1" t="s">
        <v>3223</v>
      </c>
    </row>
    <row r="2052">
      <c r="E2052" s="1" t="s">
        <v>4244</v>
      </c>
      <c r="H2052" s="1" t="s">
        <v>3093</v>
      </c>
      <c r="I2052" s="6" t="str">
        <f>IFERROR(__xludf.DUMMYFUNCTION("""COMPUTED_VALUE"""),"acknowledges")</f>
        <v>acknowledges</v>
      </c>
      <c r="S2052" s="1" t="s">
        <v>4487</v>
      </c>
      <c r="T2052" s="6" t="str">
        <f>IFERROR(__xludf.DUMMYFUNCTION("""COMPUTED_VALUE"""),"election")</f>
        <v>election</v>
      </c>
      <c r="W2052" s="8"/>
      <c r="AJ2052" s="1"/>
      <c r="AM2052" s="1" t="s">
        <v>2021</v>
      </c>
    </row>
    <row r="2053">
      <c r="E2053" s="1" t="s">
        <v>4246</v>
      </c>
      <c r="H2053" s="1" t="s">
        <v>4568</v>
      </c>
      <c r="I2053" s="6" t="str">
        <f>IFERROR(__xludf.DUMMYFUNCTION("""COMPUTED_VALUE"""),"chases")</f>
        <v>chases</v>
      </c>
      <c r="S2053" s="1" t="s">
        <v>2747</v>
      </c>
      <c r="T2053" s="6" t="str">
        <f>IFERROR(__xludf.DUMMYFUNCTION("""COMPUTED_VALUE"""),"klein")</f>
        <v>klein</v>
      </c>
      <c r="W2053" s="8"/>
      <c r="AJ2053" s="1"/>
      <c r="AM2053" s="1" t="s">
        <v>3882</v>
      </c>
    </row>
    <row r="2054">
      <c r="E2054" s="1" t="s">
        <v>5267</v>
      </c>
      <c r="H2054" s="1" t="s">
        <v>5228</v>
      </c>
      <c r="I2054" s="6" t="str">
        <f>IFERROR(__xludf.DUMMYFUNCTION("""COMPUTED_VALUE"""),"tucker")</f>
        <v>tucker</v>
      </c>
      <c r="S2054" s="1" t="s">
        <v>4543</v>
      </c>
      <c r="T2054" s="6">
        <f>IFERROR(__xludf.DUMMYFUNCTION("""COMPUTED_VALUE"""),94.0)</f>
        <v>94</v>
      </c>
      <c r="W2054" s="8"/>
      <c r="AJ2054" s="1"/>
      <c r="AM2054" s="1" t="s">
        <v>5268</v>
      </c>
    </row>
    <row r="2055">
      <c r="E2055" s="1" t="s">
        <v>4250</v>
      </c>
      <c r="H2055" s="1" t="s">
        <v>3483</v>
      </c>
      <c r="I2055" s="6">
        <f>IFERROR(__xludf.DUMMYFUNCTION("""COMPUTED_VALUE"""),94.0)</f>
        <v>94</v>
      </c>
      <c r="S2055" s="1" t="s">
        <v>5269</v>
      </c>
      <c r="T2055" s="6" t="str">
        <f>IFERROR(__xludf.DUMMYFUNCTION("""COMPUTED_VALUE"""),"sci")</f>
        <v>sci</v>
      </c>
      <c r="W2055" s="8"/>
      <c r="AJ2055" s="1"/>
      <c r="AM2055" s="1" t="s">
        <v>3666</v>
      </c>
    </row>
    <row r="2056">
      <c r="E2056" s="1" t="s">
        <v>3601</v>
      </c>
      <c r="H2056" s="1" t="s">
        <v>3469</v>
      </c>
      <c r="I2056" s="6" t="str">
        <f>IFERROR(__xludf.DUMMYFUNCTION("""COMPUTED_VALUE"""),"sci")</f>
        <v>sci</v>
      </c>
      <c r="S2056" s="1" t="s">
        <v>2611</v>
      </c>
      <c r="T2056" s="6" t="str">
        <f>IFERROR(__xludf.DUMMYFUNCTION("""COMPUTED_VALUE"""),"attach")</f>
        <v>attach</v>
      </c>
      <c r="W2056" s="8"/>
      <c r="AJ2056" s="1"/>
      <c r="AM2056" s="1" t="s">
        <v>2025</v>
      </c>
    </row>
    <row r="2057">
      <c r="E2057" s="1" t="s">
        <v>1339</v>
      </c>
      <c r="H2057" s="1" t="s">
        <v>5270</v>
      </c>
      <c r="I2057" s="6" t="str">
        <f>IFERROR(__xludf.DUMMYFUNCTION("""COMPUTED_VALUE"""),"italics")</f>
        <v>italics</v>
      </c>
      <c r="S2057" s="1" t="s">
        <v>3710</v>
      </c>
      <c r="T2057" s="6" t="str">
        <f>IFERROR(__xludf.DUMMYFUNCTION("""COMPUTED_VALUE"""),"empowerment")</f>
        <v>empowerment</v>
      </c>
      <c r="W2057" s="8"/>
      <c r="AJ2057" s="1"/>
      <c r="AM2057" s="1" t="s">
        <v>3227</v>
      </c>
    </row>
    <row r="2058">
      <c r="E2058" s="1" t="s">
        <v>1344</v>
      </c>
      <c r="H2058" s="1" t="s">
        <v>3473</v>
      </c>
      <c r="I2058" s="6" t="str">
        <f>IFERROR(__xludf.DUMMYFUNCTION("""COMPUTED_VALUE"""),"sleek")</f>
        <v>sleek</v>
      </c>
      <c r="S2058" s="1" t="s">
        <v>5271</v>
      </c>
      <c r="T2058" s="6" t="str">
        <f>IFERROR(__xludf.DUMMYFUNCTION("""COMPUTED_VALUE"""),"established")</f>
        <v>established</v>
      </c>
      <c r="W2058" s="8"/>
      <c r="AJ2058" s="1"/>
      <c r="AM2058" s="1" t="s">
        <v>3231</v>
      </c>
    </row>
    <row r="2059">
      <c r="E2059" s="1" t="s">
        <v>1269</v>
      </c>
      <c r="H2059" s="1" t="s">
        <v>3482</v>
      </c>
      <c r="I2059" s="6" t="str">
        <f>IFERROR(__xludf.DUMMYFUNCTION("""COMPUTED_VALUE"""),"attach")</f>
        <v>attach</v>
      </c>
      <c r="S2059" s="1" t="s">
        <v>3729</v>
      </c>
      <c r="T2059" s="6" t="str">
        <f>IFERROR(__xludf.DUMMYFUNCTION("""COMPUTED_VALUE"""),"appointed")</f>
        <v>appointed</v>
      </c>
      <c r="W2059" s="8"/>
      <c r="AJ2059" s="1"/>
      <c r="AM2059" s="1" t="s">
        <v>3545</v>
      </c>
    </row>
    <row r="2060">
      <c r="E2060" s="1" t="s">
        <v>4202</v>
      </c>
      <c r="H2060" s="1" t="s">
        <v>1178</v>
      </c>
      <c r="I2060" s="6" t="str">
        <f>IFERROR(__xludf.DUMMYFUNCTION("""COMPUTED_VALUE"""),"wilde")</f>
        <v>wilde</v>
      </c>
      <c r="S2060" s="1" t="s">
        <v>5272</v>
      </c>
      <c r="T2060" s="6" t="str">
        <f>IFERROR(__xludf.DUMMYFUNCTION("""COMPUTED_VALUE"""),"ideally")</f>
        <v>ideally</v>
      </c>
      <c r="W2060" s="8"/>
      <c r="AJ2060" s="1"/>
      <c r="AM2060" s="1" t="s">
        <v>2010</v>
      </c>
    </row>
    <row r="2061">
      <c r="E2061" s="1" t="s">
        <v>3607</v>
      </c>
      <c r="H2061" s="1" t="s">
        <v>1899</v>
      </c>
      <c r="I2061" s="6" t="str">
        <f>IFERROR(__xludf.DUMMYFUNCTION("""COMPUTED_VALUE"""),"empowerment")</f>
        <v>empowerment</v>
      </c>
      <c r="S2061" s="1" t="s">
        <v>3690</v>
      </c>
      <c r="T2061" s="6" t="str">
        <f>IFERROR(__xludf.DUMMYFUNCTION("""COMPUTED_VALUE"""),"criticism")</f>
        <v>criticism</v>
      </c>
      <c r="W2061" s="8"/>
      <c r="AJ2061" s="1"/>
      <c r="AM2061" s="1" t="s">
        <v>5273</v>
      </c>
    </row>
    <row r="2062">
      <c r="E2062" s="1" t="s">
        <v>3992</v>
      </c>
      <c r="H2062" s="1" t="s">
        <v>3486</v>
      </c>
      <c r="I2062" s="6" t="str">
        <f>IFERROR(__xludf.DUMMYFUNCTION("""COMPUTED_VALUE"""),"outrage")</f>
        <v>outrage</v>
      </c>
      <c r="S2062" s="1" t="s">
        <v>2631</v>
      </c>
      <c r="T2062" s="6" t="str">
        <f>IFERROR(__xludf.DUMMYFUNCTION("""COMPUTED_VALUE"""),"powers")</f>
        <v>powers</v>
      </c>
      <c r="W2062" s="8"/>
      <c r="AJ2062" s="1"/>
      <c r="AM2062" s="1" t="s">
        <v>2028</v>
      </c>
    </row>
    <row r="2063">
      <c r="E2063" s="1" t="s">
        <v>1187</v>
      </c>
      <c r="H2063" s="1" t="s">
        <v>4573</v>
      </c>
      <c r="I2063" s="6" t="str">
        <f>IFERROR(__xludf.DUMMYFUNCTION("""COMPUTED_VALUE"""),"ideally")</f>
        <v>ideally</v>
      </c>
      <c r="S2063" s="1" t="s">
        <v>5274</v>
      </c>
      <c r="T2063" s="6" t="str">
        <f>IFERROR(__xludf.DUMMYFUNCTION("""COMPUTED_VALUE"""),"pursuing")</f>
        <v>pursuing</v>
      </c>
      <c r="W2063" s="8"/>
      <c r="AJ2063" s="1"/>
      <c r="AM2063" s="1" t="s">
        <v>1732</v>
      </c>
    </row>
    <row r="2064">
      <c r="E2064" s="1" t="s">
        <v>3949</v>
      </c>
      <c r="H2064" s="1" t="s">
        <v>1185</v>
      </c>
      <c r="I2064" s="6" t="str">
        <f>IFERROR(__xludf.DUMMYFUNCTION("""COMPUTED_VALUE"""),"criticism")</f>
        <v>criticism</v>
      </c>
      <c r="S2064" s="1" t="s">
        <v>3260</v>
      </c>
      <c r="T2064" s="6" t="str">
        <f>IFERROR(__xludf.DUMMYFUNCTION("""COMPUTED_VALUE"""),"seduce")</f>
        <v>seduce</v>
      </c>
      <c r="W2064" s="8"/>
      <c r="AJ2064" s="1"/>
      <c r="AM2064" s="1" t="s">
        <v>3660</v>
      </c>
    </row>
    <row r="2065">
      <c r="E2065" s="1" t="s">
        <v>5275</v>
      </c>
      <c r="H2065" s="1" t="s">
        <v>5001</v>
      </c>
      <c r="I2065" s="6" t="str">
        <f>IFERROR(__xludf.DUMMYFUNCTION("""COMPUTED_VALUE"""),"powers")</f>
        <v>powers</v>
      </c>
      <c r="S2065" s="1" t="s">
        <v>5276</v>
      </c>
      <c r="T2065" s="6" t="str">
        <f>IFERROR(__xludf.DUMMYFUNCTION("""COMPUTED_VALUE"""),"nash")</f>
        <v>nash</v>
      </c>
      <c r="W2065" s="8"/>
      <c r="AJ2065" s="1"/>
      <c r="AM2065" s="1" t="s">
        <v>3662</v>
      </c>
    </row>
    <row r="2066">
      <c r="E2066" s="1" t="s">
        <v>5277</v>
      </c>
      <c r="H2066" s="1" t="s">
        <v>4575</v>
      </c>
      <c r="I2066" s="6" t="str">
        <f>IFERROR(__xludf.DUMMYFUNCTION("""COMPUTED_VALUE"""),"passions")</f>
        <v>passions</v>
      </c>
      <c r="S2066" s="1">
        <v>86.0</v>
      </c>
      <c r="T2066" s="6" t="str">
        <f>IFERROR(__xludf.DUMMYFUNCTION("""COMPUTED_VALUE"""),"purity")</f>
        <v>purity</v>
      </c>
      <c r="W2066" s="8"/>
      <c r="AJ2066" s="1"/>
      <c r="AM2066" s="1" t="s">
        <v>1023</v>
      </c>
    </row>
    <row r="2067">
      <c r="E2067" s="1" t="s">
        <v>1351</v>
      </c>
      <c r="H2067" s="1" t="s">
        <v>1338</v>
      </c>
      <c r="I2067" s="6" t="str">
        <f>IFERROR(__xludf.DUMMYFUNCTION("""COMPUTED_VALUE"""),"assassin")</f>
        <v>assassin</v>
      </c>
      <c r="S2067" s="1" t="s">
        <v>2970</v>
      </c>
      <c r="T2067" s="6" t="str">
        <f>IFERROR(__xludf.DUMMYFUNCTION("""COMPUTED_VALUE"""),"jet")</f>
        <v>jet</v>
      </c>
      <c r="W2067" s="8"/>
      <c r="AJ2067" s="1"/>
      <c r="AM2067" s="1" t="s">
        <v>3237</v>
      </c>
    </row>
    <row r="2068">
      <c r="E2068" s="1" t="s">
        <v>5278</v>
      </c>
      <c r="H2068" s="1" t="s">
        <v>4576</v>
      </c>
      <c r="I2068" s="6" t="str">
        <f>IFERROR(__xludf.DUMMYFUNCTION("""COMPUTED_VALUE"""),"pursuing")</f>
        <v>pursuing</v>
      </c>
      <c r="S2068" s="1" t="s">
        <v>5279</v>
      </c>
      <c r="T2068" s="6" t="str">
        <f>IFERROR(__xludf.DUMMYFUNCTION("""COMPUTED_VALUE"""),"fictional")</f>
        <v>fictional</v>
      </c>
      <c r="W2068" s="8"/>
      <c r="AJ2068" s="1"/>
      <c r="AM2068" s="1">
        <v>1993.0</v>
      </c>
    </row>
    <row r="2069">
      <c r="E2069" s="1" t="s">
        <v>1354</v>
      </c>
      <c r="H2069" s="1" t="s">
        <v>4578</v>
      </c>
      <c r="I2069" s="6" t="str">
        <f>IFERROR(__xludf.DUMMYFUNCTION("""COMPUTED_VALUE"""),"seduce")</f>
        <v>seduce</v>
      </c>
      <c r="S2069" s="1" t="s">
        <v>4357</v>
      </c>
      <c r="T2069" s="6" t="str">
        <f>IFERROR(__xludf.DUMMYFUNCTION("""COMPUTED_VALUE"""),"roster")</f>
        <v>roster</v>
      </c>
      <c r="W2069" s="8"/>
      <c r="AJ2069" s="1"/>
      <c r="AM2069" s="1" t="s">
        <v>2032</v>
      </c>
    </row>
    <row r="2070">
      <c r="E2070" s="1" t="s">
        <v>4257</v>
      </c>
      <c r="H2070" s="1" t="s">
        <v>1903</v>
      </c>
      <c r="I2070" s="6" t="str">
        <f>IFERROR(__xludf.DUMMYFUNCTION("""COMPUTED_VALUE"""),"segment")</f>
        <v>segment</v>
      </c>
      <c r="S2070" s="1" t="s">
        <v>1178</v>
      </c>
      <c r="T2070" s="6" t="str">
        <f>IFERROR(__xludf.DUMMYFUNCTION("""COMPUTED_VALUE"""),"afford")</f>
        <v>afford</v>
      </c>
      <c r="W2070" s="8"/>
      <c r="AJ2070" s="1"/>
      <c r="AM2070" s="1" t="s">
        <v>2033</v>
      </c>
    </row>
    <row r="2071">
      <c r="E2071" s="1" t="s">
        <v>5280</v>
      </c>
      <c r="H2071" s="1" t="s">
        <v>4581</v>
      </c>
      <c r="I2071" s="6" t="str">
        <f>IFERROR(__xludf.DUMMYFUNCTION("""COMPUTED_VALUE"""),"vittorio")</f>
        <v>vittorio</v>
      </c>
      <c r="S2071" s="1" t="s">
        <v>5281</v>
      </c>
      <c r="T2071" s="6" t="str">
        <f>IFERROR(__xludf.DUMMYFUNCTION("""COMPUTED_VALUE"""),"bolt")</f>
        <v>bolt</v>
      </c>
      <c r="W2071" s="8"/>
      <c r="AJ2071" s="1"/>
      <c r="AM2071" s="1" t="s">
        <v>5282</v>
      </c>
    </row>
    <row r="2072">
      <c r="E2072" s="1" t="s">
        <v>1358</v>
      </c>
      <c r="H2072" s="1" t="s">
        <v>4583</v>
      </c>
      <c r="I2072" s="6" t="str">
        <f>IFERROR(__xludf.DUMMYFUNCTION("""COMPUTED_VALUE"""),"nash")</f>
        <v>nash</v>
      </c>
      <c r="S2072" s="1" t="s">
        <v>871</v>
      </c>
      <c r="T2072" s="6" t="str">
        <f>IFERROR(__xludf.DUMMYFUNCTION("""COMPUTED_VALUE"""),"enforced")</f>
        <v>enforced</v>
      </c>
      <c r="W2072" s="8"/>
      <c r="AJ2072" s="1"/>
      <c r="AM2072" s="1" t="s">
        <v>3672</v>
      </c>
    </row>
    <row r="2073">
      <c r="E2073" s="1" t="s">
        <v>2445</v>
      </c>
      <c r="H2073" s="1" t="s">
        <v>3497</v>
      </c>
      <c r="I2073" s="6" t="str">
        <f>IFERROR(__xludf.DUMMYFUNCTION("""COMPUTED_VALUE"""),"purity")</f>
        <v>purity</v>
      </c>
      <c r="S2073" s="1" t="s">
        <v>3476</v>
      </c>
      <c r="T2073" s="6" t="str">
        <f>IFERROR(__xludf.DUMMYFUNCTION("""COMPUTED_VALUE"""),"stroke")</f>
        <v>stroke</v>
      </c>
      <c r="W2073" s="8"/>
      <c r="AJ2073" s="1"/>
      <c r="AM2073" s="1" t="s">
        <v>2036</v>
      </c>
    </row>
    <row r="2074">
      <c r="E2074" s="1" t="s">
        <v>2448</v>
      </c>
      <c r="H2074" s="1" t="s">
        <v>3495</v>
      </c>
      <c r="I2074" s="6" t="str">
        <f>IFERROR(__xludf.DUMMYFUNCTION("""COMPUTED_VALUE"""),"psycho")</f>
        <v>psycho</v>
      </c>
      <c r="S2074" s="1" t="s">
        <v>2821</v>
      </c>
      <c r="T2074" s="6" t="str">
        <f>IFERROR(__xludf.DUMMYFUNCTION("""COMPUTED_VALUE"""),"improves")</f>
        <v>improves</v>
      </c>
      <c r="W2074" s="8"/>
      <c r="AJ2074" s="1"/>
      <c r="AM2074" s="1" t="s">
        <v>5283</v>
      </c>
    </row>
    <row r="2075">
      <c r="E2075" s="1" t="s">
        <v>1624</v>
      </c>
      <c r="H2075" s="1" t="s">
        <v>4589</v>
      </c>
      <c r="I2075" s="6" t="str">
        <f>IFERROR(__xludf.DUMMYFUNCTION("""COMPUTED_VALUE"""),"jet")</f>
        <v>jet</v>
      </c>
      <c r="S2075" s="1" t="s">
        <v>2914</v>
      </c>
      <c r="T2075" s="6" t="str">
        <f>IFERROR(__xludf.DUMMYFUNCTION("""COMPUTED_VALUE"""),"nominated")</f>
        <v>nominated</v>
      </c>
      <c r="W2075" s="8"/>
      <c r="AJ2075" s="1"/>
      <c r="AM2075" s="1" t="s">
        <v>3676</v>
      </c>
    </row>
    <row r="2076">
      <c r="E2076" s="1">
        <v>1938.0</v>
      </c>
      <c r="H2076" s="1" t="s">
        <v>3502</v>
      </c>
      <c r="I2076" s="6" t="str">
        <f>IFERROR(__xludf.DUMMYFUNCTION("""COMPUTED_VALUE"""),"fictional")</f>
        <v>fictional</v>
      </c>
      <c r="S2076" s="1" t="s">
        <v>5284</v>
      </c>
      <c r="T2076" s="6" t="str">
        <f>IFERROR(__xludf.DUMMYFUNCTION("""COMPUTED_VALUE"""),"chen")</f>
        <v>chen</v>
      </c>
      <c r="W2076" s="8"/>
      <c r="AJ2076" s="1"/>
      <c r="AM2076" s="1" t="s">
        <v>3678</v>
      </c>
    </row>
    <row r="2077">
      <c r="E2077" s="1" t="s">
        <v>135</v>
      </c>
      <c r="H2077" s="1" t="s">
        <v>2952</v>
      </c>
      <c r="I2077" s="6" t="str">
        <f>IFERROR(__xludf.DUMMYFUNCTION("""COMPUTED_VALUE"""),"roster")</f>
        <v>roster</v>
      </c>
      <c r="S2077" s="1" t="s">
        <v>1628</v>
      </c>
      <c r="T2077" s="6" t="str">
        <f>IFERROR(__xludf.DUMMYFUNCTION("""COMPUTED_VALUE"""),"backstage")</f>
        <v>backstage</v>
      </c>
      <c r="W2077" s="8"/>
      <c r="AJ2077" s="1"/>
      <c r="AM2077" s="1" t="s">
        <v>3538</v>
      </c>
    </row>
    <row r="2078">
      <c r="E2078" s="1" t="s">
        <v>2459</v>
      </c>
      <c r="H2078" s="1" t="s">
        <v>1906</v>
      </c>
      <c r="I2078" s="6" t="str">
        <f>IFERROR(__xludf.DUMMYFUNCTION("""COMPUTED_VALUE"""),"afford")</f>
        <v>afford</v>
      </c>
      <c r="S2078" s="1" t="s">
        <v>5285</v>
      </c>
      <c r="T2078" s="6" t="str">
        <f>IFERROR(__xludf.DUMMYFUNCTION("""COMPUTED_VALUE"""),"decay")</f>
        <v>decay</v>
      </c>
      <c r="W2078" s="8"/>
      <c r="AJ2078" s="1"/>
      <c r="AM2078" s="1" t="s">
        <v>781</v>
      </c>
    </row>
    <row r="2079">
      <c r="E2079" s="1" t="s">
        <v>5286</v>
      </c>
      <c r="H2079" s="1" t="s">
        <v>4592</v>
      </c>
      <c r="I2079" s="6" t="str">
        <f>IFERROR(__xludf.DUMMYFUNCTION("""COMPUTED_VALUE"""),"velocity")</f>
        <v>velocity</v>
      </c>
      <c r="S2079" s="1" t="s">
        <v>5287</v>
      </c>
      <c r="T2079" s="6" t="str">
        <f>IFERROR(__xludf.DUMMYFUNCTION("""COMPUTED_VALUE"""),"clue")</f>
        <v>clue</v>
      </c>
      <c r="W2079" s="8"/>
      <c r="AJ2079" s="1"/>
      <c r="AM2079" s="1" t="s">
        <v>5288</v>
      </c>
    </row>
    <row r="2080">
      <c r="E2080" s="1" t="s">
        <v>529</v>
      </c>
      <c r="H2080" s="1" t="s">
        <v>1912</v>
      </c>
      <c r="I2080" s="6" t="str">
        <f>IFERROR(__xludf.DUMMYFUNCTION("""COMPUTED_VALUE"""),"stroke")</f>
        <v>stroke</v>
      </c>
      <c r="S2080" s="1" t="s">
        <v>4812</v>
      </c>
      <c r="T2080" s="6" t="str">
        <f>IFERROR(__xludf.DUMMYFUNCTION("""COMPUTED_VALUE"""),"pivotal")</f>
        <v>pivotal</v>
      </c>
      <c r="W2080" s="8"/>
      <c r="AJ2080" s="1"/>
      <c r="AM2080" s="1" t="s">
        <v>4775</v>
      </c>
    </row>
    <row r="2081">
      <c r="E2081" s="1" t="s">
        <v>2462</v>
      </c>
      <c r="H2081" s="1" t="s">
        <v>304</v>
      </c>
      <c r="I2081" s="6" t="str">
        <f>IFERROR(__xludf.DUMMYFUNCTION("""COMPUTED_VALUE"""),"improves")</f>
        <v>improves</v>
      </c>
      <c r="S2081" s="1" t="s">
        <v>5289</v>
      </c>
      <c r="T2081" s="6" t="str">
        <f>IFERROR(__xludf.DUMMYFUNCTION("""COMPUTED_VALUE"""),"comparisons")</f>
        <v>comparisons</v>
      </c>
      <c r="W2081" s="8"/>
      <c r="AJ2081" s="1"/>
      <c r="AM2081" s="1" t="s">
        <v>3247</v>
      </c>
    </row>
    <row r="2082">
      <c r="E2082" s="1" t="s">
        <v>5290</v>
      </c>
      <c r="H2082" s="1" t="s">
        <v>3104</v>
      </c>
      <c r="I2082" s="6" t="str">
        <f>IFERROR(__xludf.DUMMYFUNCTION("""COMPUTED_VALUE"""),"nominated")</f>
        <v>nominated</v>
      </c>
      <c r="S2082" s="1" t="s">
        <v>5291</v>
      </c>
      <c r="T2082" s="6" t="str">
        <f>IFERROR(__xludf.DUMMYFUNCTION("""COMPUTED_VALUE"""),"followers")</f>
        <v>followers</v>
      </c>
      <c r="W2082" s="8"/>
      <c r="AJ2082" s="1"/>
      <c r="AM2082" s="1" t="s">
        <v>2043</v>
      </c>
    </row>
    <row r="2083">
      <c r="E2083" s="1" t="s">
        <v>5292</v>
      </c>
      <c r="H2083" s="1" t="s">
        <v>2400</v>
      </c>
      <c r="I2083" s="6" t="str">
        <f>IFERROR(__xludf.DUMMYFUNCTION("""COMPUTED_VALUE"""),"conrad")</f>
        <v>conrad</v>
      </c>
      <c r="S2083" s="1" t="s">
        <v>4042</v>
      </c>
      <c r="T2083" s="6" t="str">
        <f>IFERROR(__xludf.DUMMYFUNCTION("""COMPUTED_VALUE"""),"stark")</f>
        <v>stark</v>
      </c>
      <c r="W2083" s="8"/>
      <c r="AJ2083" s="1"/>
      <c r="AM2083" s="1" t="s">
        <v>5293</v>
      </c>
    </row>
    <row r="2084">
      <c r="E2084" s="1" t="s">
        <v>2470</v>
      </c>
      <c r="H2084" s="1" t="s">
        <v>3515</v>
      </c>
      <c r="I2084" s="6" t="str">
        <f>IFERROR(__xludf.DUMMYFUNCTION("""COMPUTED_VALUE"""),"ardent")</f>
        <v>ardent</v>
      </c>
      <c r="S2084" s="1" t="s">
        <v>1706</v>
      </c>
      <c r="T2084" s="6" t="str">
        <f>IFERROR(__xludf.DUMMYFUNCTION("""COMPUTED_VALUE"""),"crocodile")</f>
        <v>crocodile</v>
      </c>
      <c r="W2084" s="8"/>
      <c r="AJ2084" s="1"/>
      <c r="AM2084" s="1" t="s">
        <v>1028</v>
      </c>
    </row>
    <row r="2085">
      <c r="E2085" s="1" t="s">
        <v>2466</v>
      </c>
      <c r="H2085" s="1" t="s">
        <v>5294</v>
      </c>
      <c r="I2085" s="6" t="str">
        <f>IFERROR(__xludf.DUMMYFUNCTION("""COMPUTED_VALUE"""),"backstage")</f>
        <v>backstage</v>
      </c>
      <c r="S2085" s="1" t="s">
        <v>5295</v>
      </c>
      <c r="T2085" s="6" t="str">
        <f>IFERROR(__xludf.DUMMYFUNCTION("""COMPUTED_VALUE"""),"bodily")</f>
        <v>bodily</v>
      </c>
      <c r="W2085" s="8"/>
      <c r="AJ2085" s="1"/>
      <c r="AM2085" s="1" t="s">
        <v>758</v>
      </c>
    </row>
    <row r="2086">
      <c r="E2086" s="1" t="s">
        <v>1629</v>
      </c>
      <c r="H2086" s="1" t="s">
        <v>970</v>
      </c>
      <c r="I2086" s="6" t="str">
        <f>IFERROR(__xludf.DUMMYFUNCTION("""COMPUTED_VALUE"""),"pivotal")</f>
        <v>pivotal</v>
      </c>
      <c r="S2086" s="1" t="s">
        <v>5296</v>
      </c>
      <c r="T2086" s="6" t="str">
        <f>IFERROR(__xludf.DUMMYFUNCTION("""COMPUTED_VALUE"""),"substitute")</f>
        <v>substitute</v>
      </c>
      <c r="W2086" s="8"/>
      <c r="AJ2086" s="1"/>
      <c r="AM2086" s="1" t="s">
        <v>1565</v>
      </c>
    </row>
    <row r="2087">
      <c r="E2087" s="1" t="s">
        <v>1461</v>
      </c>
      <c r="H2087" s="1" t="s">
        <v>3112</v>
      </c>
      <c r="I2087" s="6" t="str">
        <f>IFERROR(__xludf.DUMMYFUNCTION("""COMPUTED_VALUE"""),"comparisons")</f>
        <v>comparisons</v>
      </c>
      <c r="S2087" s="1" t="s">
        <v>5225</v>
      </c>
      <c r="T2087" s="6" t="str">
        <f>IFERROR(__xludf.DUMMYFUNCTION("""COMPUTED_VALUE"""),"proving")</f>
        <v>proving</v>
      </c>
      <c r="W2087" s="8"/>
      <c r="AJ2087" s="1"/>
      <c r="AM2087" s="1" t="s">
        <v>4786</v>
      </c>
    </row>
    <row r="2088">
      <c r="E2088" s="1" t="s">
        <v>3622</v>
      </c>
      <c r="H2088" s="1" t="s">
        <v>3520</v>
      </c>
      <c r="I2088" s="6" t="str">
        <f>IFERROR(__xludf.DUMMYFUNCTION("""COMPUTED_VALUE"""),"followers")</f>
        <v>followers</v>
      </c>
      <c r="S2088" s="1" t="s">
        <v>5297</v>
      </c>
      <c r="T2088" s="6" t="str">
        <f>IFERROR(__xludf.DUMMYFUNCTION("""COMPUTED_VALUE"""),"restrained")</f>
        <v>restrained</v>
      </c>
      <c r="W2088" s="8"/>
      <c r="AJ2088" s="1"/>
      <c r="AM2088" s="1" t="s">
        <v>3651</v>
      </c>
    </row>
    <row r="2089">
      <c r="E2089" s="1" t="s">
        <v>1366</v>
      </c>
      <c r="H2089" s="1" t="s">
        <v>4602</v>
      </c>
      <c r="I2089" s="6" t="str">
        <f>IFERROR(__xludf.DUMMYFUNCTION("""COMPUTED_VALUE"""),"crocodile")</f>
        <v>crocodile</v>
      </c>
      <c r="S2089" s="1" t="s">
        <v>5298</v>
      </c>
      <c r="T2089" s="6" t="str">
        <f>IFERROR(__xludf.DUMMYFUNCTION("""COMPUTED_VALUE"""),"fling")</f>
        <v>fling</v>
      </c>
      <c r="W2089" s="8"/>
      <c r="AJ2089" s="1"/>
      <c r="AM2089" s="1" t="s">
        <v>1342</v>
      </c>
    </row>
    <row r="2090">
      <c r="E2090" s="1" t="s">
        <v>5299</v>
      </c>
      <c r="H2090" s="1" t="s">
        <v>3523</v>
      </c>
      <c r="I2090" s="6" t="str">
        <f>IFERROR(__xludf.DUMMYFUNCTION("""COMPUTED_VALUE"""),"bodily")</f>
        <v>bodily</v>
      </c>
      <c r="S2090" s="1" t="s">
        <v>968</v>
      </c>
      <c r="T2090" s="6" t="str">
        <f>IFERROR(__xludf.DUMMYFUNCTION("""COMPUTED_VALUE"""),"fleeting")</f>
        <v>fleeting</v>
      </c>
      <c r="W2090" s="8"/>
      <c r="AJ2090" s="1"/>
      <c r="AM2090" s="1" t="s">
        <v>3692</v>
      </c>
    </row>
    <row r="2091">
      <c r="E2091" s="1" t="s">
        <v>3624</v>
      </c>
      <c r="H2091" s="1" t="s">
        <v>3526</v>
      </c>
      <c r="I2091" s="6" t="str">
        <f>IFERROR(__xludf.DUMMYFUNCTION("""COMPUTED_VALUE"""),"fling")</f>
        <v>fling</v>
      </c>
      <c r="S2091" s="1" t="s">
        <v>2377</v>
      </c>
      <c r="T2091" s="6" t="str">
        <f>IFERROR(__xludf.DUMMYFUNCTION("""COMPUTED_VALUE"""),"distinctions")</f>
        <v>distinctions</v>
      </c>
      <c r="W2091" s="8"/>
      <c r="AJ2091" s="1"/>
      <c r="AM2091" s="1" t="s">
        <v>5300</v>
      </c>
    </row>
    <row r="2092">
      <c r="E2092" s="1" t="s">
        <v>5301</v>
      </c>
      <c r="H2092" s="1" t="s">
        <v>4609</v>
      </c>
      <c r="I2092" s="6" t="str">
        <f>IFERROR(__xludf.DUMMYFUNCTION("""COMPUTED_VALUE"""),"fleeting")</f>
        <v>fleeting</v>
      </c>
      <c r="S2092" s="1" t="s">
        <v>3915</v>
      </c>
      <c r="T2092" s="6" t="str">
        <f>IFERROR(__xludf.DUMMYFUNCTION("""COMPUTED_VALUE"""),"negotiate")</f>
        <v>negotiate</v>
      </c>
      <c r="W2092" s="8"/>
      <c r="AJ2092" s="1"/>
      <c r="AM2092" s="1" t="s">
        <v>3694</v>
      </c>
    </row>
    <row r="2093">
      <c r="E2093" s="1" t="s">
        <v>4274</v>
      </c>
      <c r="H2093" s="1" t="s">
        <v>4611</v>
      </c>
      <c r="I2093" s="6" t="str">
        <f>IFERROR(__xludf.DUMMYFUNCTION("""COMPUTED_VALUE"""),"damaged")</f>
        <v>damaged</v>
      </c>
      <c r="S2093" s="1" t="s">
        <v>1598</v>
      </c>
      <c r="T2093" s="6" t="str">
        <f>IFERROR(__xludf.DUMMYFUNCTION("""COMPUTED_VALUE"""),"thrust")</f>
        <v>thrust</v>
      </c>
      <c r="W2093" s="8"/>
      <c r="AJ2093" s="1"/>
      <c r="AM2093" s="1" t="s">
        <v>1317</v>
      </c>
    </row>
    <row r="2094">
      <c r="E2094" s="1" t="s">
        <v>1374</v>
      </c>
      <c r="H2094" s="1" t="s">
        <v>3648</v>
      </c>
      <c r="I2094" s="6" t="str">
        <f>IFERROR(__xludf.DUMMYFUNCTION("""COMPUTED_VALUE"""),"thrust")</f>
        <v>thrust</v>
      </c>
      <c r="S2094" s="1" t="s">
        <v>1771</v>
      </c>
      <c r="T2094" s="6" t="str">
        <f>IFERROR(__xludf.DUMMYFUNCTION("""COMPUTED_VALUE"""),"teeth")</f>
        <v>teeth</v>
      </c>
      <c r="W2094" s="8"/>
      <c r="AJ2094" s="1"/>
      <c r="AM2094" s="1" t="s">
        <v>3696</v>
      </c>
    </row>
    <row r="2095">
      <c r="E2095" s="1" t="s">
        <v>1160</v>
      </c>
      <c r="H2095" s="1" t="s">
        <v>3530</v>
      </c>
      <c r="I2095" s="6" t="str">
        <f>IFERROR(__xludf.DUMMYFUNCTION("""COMPUTED_VALUE"""),"substantive")</f>
        <v>substantive</v>
      </c>
      <c r="S2095" s="1" t="s">
        <v>5302</v>
      </c>
      <c r="T2095" s="6" t="str">
        <f>IFERROR(__xludf.DUMMYFUNCTION("""COMPUTED_VALUE"""),"believer")</f>
        <v>believer</v>
      </c>
      <c r="W2095" s="8"/>
      <c r="AJ2095" s="1"/>
      <c r="AM2095" s="1" t="s">
        <v>1323</v>
      </c>
    </row>
    <row r="2096">
      <c r="E2096" s="1" t="s">
        <v>5303</v>
      </c>
      <c r="H2096" s="1" t="s">
        <v>1196</v>
      </c>
      <c r="I2096" s="6" t="str">
        <f>IFERROR(__xludf.DUMMYFUNCTION("""COMPUTED_VALUE"""),"teeth")</f>
        <v>teeth</v>
      </c>
      <c r="S2096" s="1" t="s">
        <v>5304</v>
      </c>
      <c r="T2096" s="6" t="str">
        <f>IFERROR(__xludf.DUMMYFUNCTION("""COMPUTED_VALUE"""),"messenger")</f>
        <v>messenger</v>
      </c>
      <c r="W2096" s="8"/>
      <c r="AJ2096" s="1"/>
      <c r="AM2096" s="1" t="s">
        <v>5284</v>
      </c>
    </row>
    <row r="2097">
      <c r="E2097" s="1" t="s">
        <v>3631</v>
      </c>
      <c r="H2097" s="1" t="s">
        <v>5153</v>
      </c>
      <c r="I2097" s="6" t="str">
        <f>IFERROR(__xludf.DUMMYFUNCTION("""COMPUTED_VALUE"""),"binary")</f>
        <v>binary</v>
      </c>
      <c r="S2097" s="1" t="s">
        <v>5305</v>
      </c>
      <c r="T2097" s="6" t="str">
        <f>IFERROR(__xludf.DUMMYFUNCTION("""COMPUTED_VALUE"""),"participants")</f>
        <v>participants</v>
      </c>
      <c r="W2097" s="8"/>
      <c r="AJ2097" s="1"/>
      <c r="AM2097" s="1" t="s">
        <v>5306</v>
      </c>
    </row>
    <row r="2098">
      <c r="E2098" s="1" t="s">
        <v>4277</v>
      </c>
      <c r="H2098" s="1" t="s">
        <v>4615</v>
      </c>
      <c r="I2098" s="6" t="str">
        <f>IFERROR(__xludf.DUMMYFUNCTION("""COMPUTED_VALUE"""),"messenger")</f>
        <v>messenger</v>
      </c>
      <c r="S2098" s="1" t="s">
        <v>1447</v>
      </c>
      <c r="T2098" s="6" t="str">
        <f>IFERROR(__xludf.DUMMYFUNCTION("""COMPUTED_VALUE"""),"partly")</f>
        <v>partly</v>
      </c>
      <c r="W2098" s="8"/>
      <c r="AJ2098" s="1"/>
      <c r="AM2098" s="1" t="s">
        <v>5307</v>
      </c>
    </row>
    <row r="2099">
      <c r="E2099" s="1" t="s">
        <v>5308</v>
      </c>
      <c r="H2099" s="1" t="s">
        <v>4616</v>
      </c>
      <c r="I2099" s="6" t="str">
        <f>IFERROR(__xludf.DUMMYFUNCTION("""COMPUTED_VALUE"""),"hey")</f>
        <v>hey</v>
      </c>
      <c r="S2099" s="1" t="s">
        <v>5309</v>
      </c>
      <c r="T2099" s="6" t="str">
        <f>IFERROR(__xludf.DUMMYFUNCTION("""COMPUTED_VALUE"""),"illuminated")</f>
        <v>illuminated</v>
      </c>
      <c r="W2099" s="8"/>
      <c r="AJ2099" s="1"/>
      <c r="AM2099" s="1" t="s">
        <v>3701</v>
      </c>
    </row>
    <row r="2100">
      <c r="E2100" s="1" t="s">
        <v>1379</v>
      </c>
      <c r="H2100" s="1" t="s">
        <v>5310</v>
      </c>
      <c r="I2100" s="6" t="str">
        <f>IFERROR(__xludf.DUMMYFUNCTION("""COMPUTED_VALUE"""),"goldman")</f>
        <v>goldman</v>
      </c>
      <c r="S2100" s="1" t="s">
        <v>2096</v>
      </c>
      <c r="T2100" s="6" t="str">
        <f>IFERROR(__xludf.DUMMYFUNCTION("""COMPUTED_VALUE"""),"franklin")</f>
        <v>franklin</v>
      </c>
      <c r="W2100" s="8"/>
      <c r="AJ2100" s="1"/>
      <c r="AM2100" s="1" t="s">
        <v>3264</v>
      </c>
    </row>
    <row r="2101">
      <c r="E2101" s="1" t="s">
        <v>5311</v>
      </c>
      <c r="H2101" s="1" t="s">
        <v>491</v>
      </c>
      <c r="I2101" s="6" t="str">
        <f>IFERROR(__xludf.DUMMYFUNCTION("""COMPUTED_VALUE"""),"shapiro")</f>
        <v>shapiro</v>
      </c>
      <c r="S2101" s="1" t="s">
        <v>3192</v>
      </c>
      <c r="T2101" s="6" t="str">
        <f>IFERROR(__xludf.DUMMYFUNCTION("""COMPUTED_VALUE"""),"carl")</f>
        <v>carl</v>
      </c>
      <c r="W2101" s="8"/>
      <c r="AJ2101" s="1"/>
      <c r="AM2101" s="1" t="s">
        <v>3707</v>
      </c>
    </row>
    <row r="2102">
      <c r="E2102" s="1" t="s">
        <v>3635</v>
      </c>
      <c r="H2102" s="1" t="s">
        <v>1923</v>
      </c>
      <c r="I2102" s="6" t="str">
        <f>IFERROR(__xludf.DUMMYFUNCTION("""COMPUTED_VALUE"""),"participants")</f>
        <v>participants</v>
      </c>
      <c r="S2102" s="1" t="s">
        <v>4521</v>
      </c>
      <c r="T2102" s="6" t="str">
        <f>IFERROR(__xludf.DUMMYFUNCTION("""COMPUTED_VALUE"""),"sap")</f>
        <v>sap</v>
      </c>
      <c r="W2102" s="8"/>
      <c r="AJ2102" s="1"/>
      <c r="AM2102" s="1" t="s">
        <v>5312</v>
      </c>
    </row>
    <row r="2103">
      <c r="E2103" s="1" t="s">
        <v>3638</v>
      </c>
      <c r="H2103" s="1" t="s">
        <v>4623</v>
      </c>
      <c r="I2103" s="6" t="str">
        <f>IFERROR(__xludf.DUMMYFUNCTION("""COMPUTED_VALUE"""),"illuminated")</f>
        <v>illuminated</v>
      </c>
      <c r="S2103" s="1" t="s">
        <v>1297</v>
      </c>
      <c r="T2103" s="6" t="str">
        <f>IFERROR(__xludf.DUMMYFUNCTION("""COMPUTED_VALUE"""),"vain")</f>
        <v>vain</v>
      </c>
      <c r="W2103" s="8"/>
      <c r="AJ2103" s="1"/>
      <c r="AM2103" s="1" t="s">
        <v>1328</v>
      </c>
    </row>
    <row r="2104">
      <c r="E2104" s="1" t="s">
        <v>1731</v>
      </c>
      <c r="H2104" s="1" t="s">
        <v>3424</v>
      </c>
      <c r="I2104" s="6" t="str">
        <f>IFERROR(__xludf.DUMMYFUNCTION("""COMPUTED_VALUE"""),"franklin")</f>
        <v>franklin</v>
      </c>
      <c r="S2104" s="1" t="s">
        <v>5313</v>
      </c>
      <c r="T2104" s="6" t="str">
        <f>IFERROR(__xludf.DUMMYFUNCTION("""COMPUTED_VALUE"""),"knockout")</f>
        <v>knockout</v>
      </c>
      <c r="W2104" s="8"/>
      <c r="AJ2104" s="1"/>
      <c r="AM2104" s="1" t="s">
        <v>4810</v>
      </c>
    </row>
    <row r="2105">
      <c r="E2105" s="1" t="s">
        <v>2482</v>
      </c>
      <c r="H2105" s="1" t="s">
        <v>3537</v>
      </c>
      <c r="I2105" s="6" t="str">
        <f>IFERROR(__xludf.DUMMYFUNCTION("""COMPUTED_VALUE"""),"carl")</f>
        <v>carl</v>
      </c>
      <c r="S2105" s="1" t="s">
        <v>5314</v>
      </c>
      <c r="T2105" s="6" t="str">
        <f>IFERROR(__xludf.DUMMYFUNCTION("""COMPUTED_VALUE"""),"building")</f>
        <v>building</v>
      </c>
      <c r="W2105" s="8"/>
      <c r="AJ2105" s="1"/>
      <c r="AM2105" s="1" t="s">
        <v>5315</v>
      </c>
    </row>
    <row r="2106">
      <c r="E2106" s="1" t="s">
        <v>4287</v>
      </c>
      <c r="H2106" s="1" t="s">
        <v>1202</v>
      </c>
      <c r="I2106" s="6" t="str">
        <f>IFERROR(__xludf.DUMMYFUNCTION("""COMPUTED_VALUE"""),"relic")</f>
        <v>relic</v>
      </c>
      <c r="S2106" s="1" t="s">
        <v>5316</v>
      </c>
      <c r="T2106" s="6" t="str">
        <f>IFERROR(__xludf.DUMMYFUNCTION("""COMPUTED_VALUE"""),"determination")</f>
        <v>determination</v>
      </c>
      <c r="W2106" s="8"/>
      <c r="AJ2106" s="1"/>
      <c r="AM2106" s="1" t="s">
        <v>4812</v>
      </c>
    </row>
    <row r="2107">
      <c r="E2107" s="1" t="s">
        <v>2485</v>
      </c>
      <c r="H2107" s="1" t="s">
        <v>4628</v>
      </c>
      <c r="I2107" s="6" t="str">
        <f>IFERROR(__xludf.DUMMYFUNCTION("""COMPUTED_VALUE"""),"turks")</f>
        <v>turks</v>
      </c>
      <c r="S2107" s="1" t="s">
        <v>5317</v>
      </c>
      <c r="T2107" s="6" t="str">
        <f>IFERROR(__xludf.DUMMYFUNCTION("""COMPUTED_VALUE"""),"surrounding")</f>
        <v>surrounding</v>
      </c>
      <c r="W2107" s="8"/>
      <c r="AJ2107" s="1"/>
      <c r="AM2107" s="1" t="s">
        <v>3272</v>
      </c>
    </row>
    <row r="2108">
      <c r="E2108" s="1" t="s">
        <v>1425</v>
      </c>
      <c r="H2108" s="1" t="s">
        <v>3119</v>
      </c>
      <c r="I2108" s="6" t="str">
        <f>IFERROR(__xludf.DUMMYFUNCTION("""COMPUTED_VALUE"""),"sap")</f>
        <v>sap</v>
      </c>
      <c r="S2108" s="1" t="s">
        <v>5318</v>
      </c>
      <c r="T2108" s="6" t="str">
        <f>IFERROR(__xludf.DUMMYFUNCTION("""COMPUTED_VALUE"""),"drunken")</f>
        <v>drunken</v>
      </c>
      <c r="W2108" s="8"/>
      <c r="AJ2108" s="1"/>
      <c r="AM2108" s="1" t="s">
        <v>1334</v>
      </c>
    </row>
    <row r="2109">
      <c r="E2109" s="1" t="s">
        <v>4291</v>
      </c>
      <c r="H2109" s="1" t="s">
        <v>1935</v>
      </c>
      <c r="I2109" s="6" t="str">
        <f>IFERROR(__xludf.DUMMYFUNCTION("""COMPUTED_VALUE"""),"dad")</f>
        <v>dad</v>
      </c>
      <c r="S2109" s="1" t="s">
        <v>5319</v>
      </c>
      <c r="T2109" s="6" t="str">
        <f>IFERROR(__xludf.DUMMYFUNCTION("""COMPUTED_VALUE"""),"acclaimed")</f>
        <v>acclaimed</v>
      </c>
      <c r="W2109" s="8"/>
      <c r="AJ2109" s="1"/>
      <c r="AM2109" s="1" t="s">
        <v>3709</v>
      </c>
    </row>
    <row r="2110">
      <c r="E2110" s="1" t="s">
        <v>3289</v>
      </c>
      <c r="H2110" s="1" t="s">
        <v>4069</v>
      </c>
      <c r="I2110" s="6" t="str">
        <f>IFERROR(__xludf.DUMMYFUNCTION("""COMPUTED_VALUE"""),"vain")</f>
        <v>vain</v>
      </c>
      <c r="S2110" s="1" t="s">
        <v>5320</v>
      </c>
      <c r="T2110" s="6" t="str">
        <f>IFERROR(__xludf.DUMMYFUNCTION("""COMPUTED_VALUE"""),"minded")</f>
        <v>minded</v>
      </c>
      <c r="W2110" s="8"/>
      <c r="AJ2110" s="1"/>
      <c r="AM2110" s="1" t="s">
        <v>3710</v>
      </c>
    </row>
    <row r="2111">
      <c r="E2111" s="1" t="s">
        <v>5321</v>
      </c>
      <c r="H2111" s="1" t="s">
        <v>5163</v>
      </c>
      <c r="I2111" s="6" t="str">
        <f>IFERROR(__xludf.DUMMYFUNCTION("""COMPUTED_VALUE"""),"zhang")</f>
        <v>zhang</v>
      </c>
      <c r="S2111" s="1" t="s">
        <v>5322</v>
      </c>
      <c r="T2111" s="6" t="str">
        <f>IFERROR(__xludf.DUMMYFUNCTION("""COMPUTED_VALUE"""),"ladder")</f>
        <v>ladder</v>
      </c>
      <c r="W2111" s="8"/>
      <c r="AJ2111" s="1"/>
      <c r="AM2111" s="1" t="s">
        <v>262</v>
      </c>
    </row>
    <row r="2112">
      <c r="E2112" s="1" t="s">
        <v>2486</v>
      </c>
      <c r="H2112" s="1" t="s">
        <v>4473</v>
      </c>
      <c r="I2112" s="6" t="str">
        <f>IFERROR(__xludf.DUMMYFUNCTION("""COMPUTED_VALUE"""),"knockout")</f>
        <v>knockout</v>
      </c>
      <c r="S2112" s="1" t="s">
        <v>5323</v>
      </c>
      <c r="T2112" s="6" t="str">
        <f>IFERROR(__xludf.DUMMYFUNCTION("""COMPUTED_VALUE"""),"defeated")</f>
        <v>defeated</v>
      </c>
      <c r="W2112" s="8"/>
      <c r="AJ2112" s="1"/>
      <c r="AM2112" s="1" t="s">
        <v>4820</v>
      </c>
    </row>
    <row r="2113">
      <c r="E2113" s="1" t="s">
        <v>5324</v>
      </c>
      <c r="H2113" s="1" t="s">
        <v>3123</v>
      </c>
      <c r="I2113" s="6" t="str">
        <f>IFERROR(__xludf.DUMMYFUNCTION("""COMPUTED_VALUE"""),"wryly")</f>
        <v>wryly</v>
      </c>
      <c r="S2113" s="1" t="s">
        <v>833</v>
      </c>
      <c r="T2113" s="6" t="str">
        <f>IFERROR(__xludf.DUMMYFUNCTION("""COMPUTED_VALUE"""),"monument")</f>
        <v>monument</v>
      </c>
      <c r="W2113" s="8"/>
      <c r="AJ2113" s="1"/>
      <c r="AM2113" s="1" t="s">
        <v>2971</v>
      </c>
    </row>
    <row r="2114">
      <c r="E2114" s="1" t="s">
        <v>5325</v>
      </c>
      <c r="H2114" s="1" t="s">
        <v>1208</v>
      </c>
      <c r="I2114" s="6" t="str">
        <f>IFERROR(__xludf.DUMMYFUNCTION("""COMPUTED_VALUE"""),"fable")</f>
        <v>fable</v>
      </c>
      <c r="S2114" s="1" t="s">
        <v>5326</v>
      </c>
      <c r="T2114" s="6" t="str">
        <f>IFERROR(__xludf.DUMMYFUNCTION("""COMPUTED_VALUE"""),"spine")</f>
        <v>spine</v>
      </c>
      <c r="W2114" s="8"/>
      <c r="AJ2114" s="1"/>
      <c r="AM2114" s="1">
        <v>1899.0</v>
      </c>
    </row>
    <row r="2115">
      <c r="E2115" s="1" t="s">
        <v>1641</v>
      </c>
      <c r="H2115" s="1" t="s">
        <v>4637</v>
      </c>
      <c r="I2115" s="6" t="str">
        <f>IFERROR(__xludf.DUMMYFUNCTION("""COMPUTED_VALUE"""),"undertaken")</f>
        <v>undertaken</v>
      </c>
      <c r="S2115" s="1" t="s">
        <v>5327</v>
      </c>
      <c r="T2115" s="6" t="str">
        <f>IFERROR(__xludf.DUMMYFUNCTION("""COMPUTED_VALUE"""),"shivers")</f>
        <v>shivers</v>
      </c>
      <c r="W2115" s="8"/>
      <c r="AJ2115" s="1"/>
      <c r="AM2115" s="1" t="s">
        <v>1341</v>
      </c>
    </row>
    <row r="2116">
      <c r="E2116" s="1" t="s">
        <v>5328</v>
      </c>
      <c r="H2116" s="1" t="s">
        <v>1933</v>
      </c>
      <c r="I2116" s="6" t="str">
        <f>IFERROR(__xludf.DUMMYFUNCTION("""COMPUTED_VALUE"""),"determination")</f>
        <v>determination</v>
      </c>
      <c r="S2116" s="1" t="s">
        <v>250</v>
      </c>
      <c r="T2116" s="6" t="str">
        <f>IFERROR(__xludf.DUMMYFUNCTION("""COMPUTED_VALUE"""),"topics")</f>
        <v>topics</v>
      </c>
      <c r="W2116" s="8"/>
      <c r="AJ2116" s="1"/>
      <c r="AM2116" s="1" t="s">
        <v>1346</v>
      </c>
    </row>
    <row r="2117">
      <c r="E2117" s="1" t="s">
        <v>1647</v>
      </c>
      <c r="H2117" s="1" t="s">
        <v>3851</v>
      </c>
      <c r="I2117" s="6" t="str">
        <f>IFERROR(__xludf.DUMMYFUNCTION("""COMPUTED_VALUE"""),"scientists")</f>
        <v>scientists</v>
      </c>
      <c r="S2117" s="1" t="s">
        <v>5329</v>
      </c>
      <c r="T2117" s="6" t="str">
        <f>IFERROR(__xludf.DUMMYFUNCTION("""COMPUTED_VALUE"""),"ramsay")</f>
        <v>ramsay</v>
      </c>
      <c r="W2117" s="8"/>
      <c r="AJ2117" s="1"/>
      <c r="AM2117" s="1" t="s">
        <v>3715</v>
      </c>
    </row>
    <row r="2118">
      <c r="E2118" s="1" t="s">
        <v>2491</v>
      </c>
      <c r="H2118" s="1" t="s">
        <v>1212</v>
      </c>
      <c r="I2118" s="6" t="str">
        <f>IFERROR(__xludf.DUMMYFUNCTION("""COMPUTED_VALUE"""),"marilyn")</f>
        <v>marilyn</v>
      </c>
      <c r="S2118" s="1" t="s">
        <v>5290</v>
      </c>
      <c r="T2118" s="6" t="str">
        <f>IFERROR(__xludf.DUMMYFUNCTION("""COMPUTED_VALUE"""),"lift")</f>
        <v>lift</v>
      </c>
      <c r="W2118" s="8"/>
      <c r="AJ2118" s="1"/>
      <c r="AM2118" s="1" t="s">
        <v>1352</v>
      </c>
    </row>
    <row r="2119">
      <c r="E2119" s="1" t="s">
        <v>2495</v>
      </c>
      <c r="H2119" s="1" t="s">
        <v>5330</v>
      </c>
      <c r="I2119" s="6" t="str">
        <f>IFERROR(__xludf.DUMMYFUNCTION("""COMPUTED_VALUE"""),"craftsmen")</f>
        <v>craftsmen</v>
      </c>
      <c r="S2119" s="1" t="s">
        <v>5230</v>
      </c>
      <c r="T2119" s="6" t="str">
        <f>IFERROR(__xludf.DUMMYFUNCTION("""COMPUTED_VALUE"""),"gathering")</f>
        <v>gathering</v>
      </c>
      <c r="W2119" s="8"/>
      <c r="AJ2119" s="1"/>
      <c r="AM2119" s="1" t="s">
        <v>5331</v>
      </c>
    </row>
    <row r="2120">
      <c r="E2120" s="1" t="s">
        <v>5332</v>
      </c>
      <c r="H2120" s="1" t="s">
        <v>5333</v>
      </c>
      <c r="I2120" s="6" t="str">
        <f>IFERROR(__xludf.DUMMYFUNCTION("""COMPUTED_VALUE"""),"acclaimed")</f>
        <v>acclaimed</v>
      </c>
      <c r="S2120" s="1" t="s">
        <v>2584</v>
      </c>
      <c r="T2120" s="6" t="str">
        <f>IFERROR(__xludf.DUMMYFUNCTION("""COMPUTED_VALUE"""),"screams")</f>
        <v>screams</v>
      </c>
      <c r="W2120" s="8"/>
      <c r="AJ2120" s="1"/>
      <c r="AM2120" s="1" t="s">
        <v>5334</v>
      </c>
    </row>
    <row r="2121">
      <c r="E2121" s="1" t="s">
        <v>4296</v>
      </c>
      <c r="H2121" s="1" t="s">
        <v>5335</v>
      </c>
      <c r="I2121" s="6">
        <f>IFERROR(__xludf.DUMMYFUNCTION("""COMPUTED_VALUE"""),1952.0)</f>
        <v>1952</v>
      </c>
      <c r="S2121" s="1" t="s">
        <v>5336</v>
      </c>
      <c r="T2121" s="6" t="str">
        <f>IFERROR(__xludf.DUMMYFUNCTION("""COMPUTED_VALUE"""),"librarian")</f>
        <v>librarian</v>
      </c>
      <c r="W2121" s="8"/>
      <c r="AJ2121" s="1"/>
      <c r="AM2121" s="1" t="s">
        <v>3280</v>
      </c>
    </row>
    <row r="2122">
      <c r="E2122" s="1" t="s">
        <v>1384</v>
      </c>
      <c r="H2122" s="1" t="s">
        <v>597</v>
      </c>
      <c r="I2122" s="6" t="str">
        <f>IFERROR(__xludf.DUMMYFUNCTION("""COMPUTED_VALUE"""),"icon")</f>
        <v>icon</v>
      </c>
      <c r="S2122" s="1" t="s">
        <v>5337</v>
      </c>
      <c r="T2122" s="6" t="str">
        <f>IFERROR(__xludf.DUMMYFUNCTION("""COMPUTED_VALUE"""),"muse")</f>
        <v>muse</v>
      </c>
      <c r="W2122" s="8"/>
      <c r="AJ2122" s="1"/>
      <c r="AM2122" s="1" t="s">
        <v>4666</v>
      </c>
    </row>
    <row r="2123">
      <c r="E2123" s="1" t="s">
        <v>2499</v>
      </c>
      <c r="H2123" s="1" t="s">
        <v>475</v>
      </c>
      <c r="I2123" s="6" t="str">
        <f>IFERROR(__xludf.DUMMYFUNCTION("""COMPUTED_VALUE"""),"unaffected")</f>
        <v>unaffected</v>
      </c>
      <c r="S2123" s="1" t="s">
        <v>4209</v>
      </c>
      <c r="T2123" s="6" t="str">
        <f>IFERROR(__xludf.DUMMYFUNCTION("""COMPUTED_VALUE"""),"weighs")</f>
        <v>weighs</v>
      </c>
      <c r="W2123" s="8"/>
      <c r="AJ2123" s="1"/>
      <c r="AM2123" s="1" t="s">
        <v>2057</v>
      </c>
    </row>
    <row r="2124">
      <c r="E2124" s="1" t="s">
        <v>2501</v>
      </c>
      <c r="H2124" s="1" t="s">
        <v>5176</v>
      </c>
      <c r="I2124" s="6" t="str">
        <f>IFERROR(__xludf.DUMMYFUNCTION("""COMPUTED_VALUE"""),"minded")</f>
        <v>minded</v>
      </c>
      <c r="S2124" s="1" t="s">
        <v>2740</v>
      </c>
      <c r="T2124" s="6" t="str">
        <f>IFERROR(__xludf.DUMMYFUNCTION("""COMPUTED_VALUE"""),"companion")</f>
        <v>companion</v>
      </c>
      <c r="W2124" s="8"/>
      <c r="AJ2124" s="1"/>
      <c r="AM2124" s="1" t="s">
        <v>1356</v>
      </c>
    </row>
    <row r="2125">
      <c r="E2125" s="1" t="s">
        <v>4304</v>
      </c>
      <c r="H2125" s="1" t="s">
        <v>3558</v>
      </c>
      <c r="I2125" s="6" t="str">
        <f>IFERROR(__xludf.DUMMYFUNCTION("""COMPUTED_VALUE"""),"unified")</f>
        <v>unified</v>
      </c>
      <c r="S2125" s="1" t="s">
        <v>4157</v>
      </c>
      <c r="T2125" s="6" t="str">
        <f>IFERROR(__xludf.DUMMYFUNCTION("""COMPUTED_VALUE"""),"fashioned")</f>
        <v>fashioned</v>
      </c>
      <c r="W2125" s="8"/>
      <c r="AJ2125" s="1"/>
      <c r="AM2125" s="1" t="s">
        <v>3288</v>
      </c>
    </row>
    <row r="2126">
      <c r="E2126" s="1" t="s">
        <v>1390</v>
      </c>
      <c r="H2126" s="1" t="s">
        <v>977</v>
      </c>
      <c r="I2126" s="6" t="str">
        <f>IFERROR(__xludf.DUMMYFUNCTION("""COMPUTED_VALUE"""),"ladder")</f>
        <v>ladder</v>
      </c>
      <c r="S2126" s="1" t="s">
        <v>2715</v>
      </c>
      <c r="T2126" s="6" t="str">
        <f>IFERROR(__xludf.DUMMYFUNCTION("""COMPUTED_VALUE"""),"lucas")</f>
        <v>lucas</v>
      </c>
      <c r="W2126" s="8"/>
      <c r="AJ2126" s="1"/>
      <c r="AM2126" s="1" t="s">
        <v>3722</v>
      </c>
    </row>
    <row r="2127">
      <c r="E2127" s="1" t="s">
        <v>4618</v>
      </c>
      <c r="H2127" s="1" t="s">
        <v>3137</v>
      </c>
      <c r="I2127" s="6" t="str">
        <f>IFERROR(__xludf.DUMMYFUNCTION("""COMPUTED_VALUE"""),"libretto")</f>
        <v>libretto</v>
      </c>
      <c r="S2127" s="1" t="s">
        <v>4219</v>
      </c>
      <c r="T2127" s="6" t="str">
        <f>IFERROR(__xludf.DUMMYFUNCTION("""COMPUTED_VALUE"""),"jolt")</f>
        <v>jolt</v>
      </c>
      <c r="W2127" s="8"/>
      <c r="AJ2127" s="1"/>
      <c r="AM2127" s="1" t="s">
        <v>4931</v>
      </c>
    </row>
    <row r="2128">
      <c r="E2128" s="1" t="s">
        <v>5338</v>
      </c>
      <c r="H2128" s="1" t="s">
        <v>3841</v>
      </c>
      <c r="I2128" s="6" t="str">
        <f>IFERROR(__xludf.DUMMYFUNCTION("""COMPUTED_VALUE"""),"monument")</f>
        <v>monument</v>
      </c>
      <c r="S2128" s="1" t="s">
        <v>1776</v>
      </c>
      <c r="T2128" s="6" t="str">
        <f>IFERROR(__xludf.DUMMYFUNCTION("""COMPUTED_VALUE"""),"fighters")</f>
        <v>fighters</v>
      </c>
      <c r="W2128" s="8"/>
      <c r="AJ2128" s="1"/>
      <c r="AM2128" s="1" t="s">
        <v>3177</v>
      </c>
    </row>
    <row r="2129">
      <c r="E2129" s="1" t="s">
        <v>5339</v>
      </c>
      <c r="H2129" s="1" t="s">
        <v>4340</v>
      </c>
      <c r="I2129" s="6" t="str">
        <f>IFERROR(__xludf.DUMMYFUNCTION("""COMPUTED_VALUE"""),"minority")</f>
        <v>minority</v>
      </c>
      <c r="S2129" s="1" t="s">
        <v>5340</v>
      </c>
      <c r="T2129" s="6" t="str">
        <f>IFERROR(__xludf.DUMMYFUNCTION("""COMPUTED_VALUE"""),"exchanges")</f>
        <v>exchanges</v>
      </c>
      <c r="W2129" s="8"/>
      <c r="AJ2129" s="1"/>
      <c r="AM2129" s="1" t="s">
        <v>3724</v>
      </c>
    </row>
    <row r="2130">
      <c r="E2130" s="1" t="s">
        <v>1662</v>
      </c>
      <c r="H2130" s="1" t="s">
        <v>3140</v>
      </c>
      <c r="I2130" s="6" t="str">
        <f>IFERROR(__xludf.DUMMYFUNCTION("""COMPUTED_VALUE"""),"spine")</f>
        <v>spine</v>
      </c>
      <c r="S2130" s="1" t="s">
        <v>410</v>
      </c>
      <c r="T2130" s="6" t="str">
        <f>IFERROR(__xludf.DUMMYFUNCTION("""COMPUTED_VALUE"""),"pawn")</f>
        <v>pawn</v>
      </c>
      <c r="W2130" s="8"/>
      <c r="AJ2130" s="1"/>
      <c r="AM2130" s="1" t="s">
        <v>3725</v>
      </c>
    </row>
    <row r="2131">
      <c r="E2131" s="1" t="s">
        <v>695</v>
      </c>
      <c r="H2131" s="1" t="s">
        <v>3815</v>
      </c>
      <c r="I2131" s="6" t="str">
        <f>IFERROR(__xludf.DUMMYFUNCTION("""COMPUTED_VALUE"""),"shivers")</f>
        <v>shivers</v>
      </c>
      <c r="S2131" s="1" t="s">
        <v>4121</v>
      </c>
      <c r="T2131" s="6" t="str">
        <f>IFERROR(__xludf.DUMMYFUNCTION("""COMPUTED_VALUE"""),"staggered")</f>
        <v>staggered</v>
      </c>
      <c r="W2131" s="8"/>
      <c r="AJ2131" s="1"/>
      <c r="AM2131" s="1" t="s">
        <v>3874</v>
      </c>
    </row>
    <row r="2132">
      <c r="E2132" s="1" t="s">
        <v>4316</v>
      </c>
      <c r="H2132" s="1" t="s">
        <v>4606</v>
      </c>
      <c r="I2132" s="6" t="str">
        <f>IFERROR(__xludf.DUMMYFUNCTION("""COMPUTED_VALUE"""),"environmental")</f>
        <v>environmental</v>
      </c>
      <c r="S2132" s="1" t="s">
        <v>1793</v>
      </c>
      <c r="T2132" s="6" t="str">
        <f>IFERROR(__xludf.DUMMYFUNCTION("""COMPUTED_VALUE"""),"suspects")</f>
        <v>suspects</v>
      </c>
      <c r="W2132" s="8"/>
      <c r="AJ2132" s="1"/>
      <c r="AM2132" s="1" t="s">
        <v>1033</v>
      </c>
    </row>
    <row r="2133">
      <c r="E2133" s="1" t="s">
        <v>5341</v>
      </c>
      <c r="H2133" s="1" t="s">
        <v>1225</v>
      </c>
      <c r="I2133" s="6" t="str">
        <f>IFERROR(__xludf.DUMMYFUNCTION("""COMPUTED_VALUE"""),"fleeing")</f>
        <v>fleeing</v>
      </c>
      <c r="S2133" s="1" t="s">
        <v>4471</v>
      </c>
      <c r="T2133" s="6" t="str">
        <f>IFERROR(__xludf.DUMMYFUNCTION("""COMPUTED_VALUE"""),"functions")</f>
        <v>functions</v>
      </c>
      <c r="W2133" s="8"/>
      <c r="AJ2133" s="1"/>
      <c r="AM2133" s="1" t="s">
        <v>3727</v>
      </c>
    </row>
    <row r="2134">
      <c r="E2134" s="1" t="s">
        <v>5342</v>
      </c>
      <c r="H2134" s="1" t="s">
        <v>3566</v>
      </c>
      <c r="I2134" s="6" t="str">
        <f>IFERROR(__xludf.DUMMYFUNCTION("""COMPUTED_VALUE"""),"ramsay")</f>
        <v>ramsay</v>
      </c>
      <c r="S2134" s="1" t="s">
        <v>5343</v>
      </c>
      <c r="T2134" s="6" t="str">
        <f>IFERROR(__xludf.DUMMYFUNCTION("""COMPUTED_VALUE"""),"invincible")</f>
        <v>invincible</v>
      </c>
      <c r="W2134" s="8"/>
      <c r="AJ2134" s="1"/>
      <c r="AM2134" s="1" t="s">
        <v>3700</v>
      </c>
    </row>
    <row r="2135">
      <c r="E2135" s="1" t="s">
        <v>4320</v>
      </c>
      <c r="H2135" s="1" t="s">
        <v>1948</v>
      </c>
      <c r="I2135" s="6" t="str">
        <f>IFERROR(__xludf.DUMMYFUNCTION("""COMPUTED_VALUE"""),"converts")</f>
        <v>converts</v>
      </c>
      <c r="S2135" s="1" t="s">
        <v>5344</v>
      </c>
      <c r="T2135" s="6" t="str">
        <f>IFERROR(__xludf.DUMMYFUNCTION("""COMPUTED_VALUE"""),"forcefully")</f>
        <v>forcefully</v>
      </c>
      <c r="W2135" s="8"/>
      <c r="AJ2135" s="1"/>
      <c r="AM2135" s="1" t="s">
        <v>3731</v>
      </c>
    </row>
    <row r="2136">
      <c r="E2136" s="1" t="s">
        <v>4824</v>
      </c>
      <c r="H2136" s="1" t="s">
        <v>3149</v>
      </c>
      <c r="I2136" s="6" t="str">
        <f>IFERROR(__xludf.DUMMYFUNCTION("""COMPUTED_VALUE"""),"encompassing")</f>
        <v>encompassing</v>
      </c>
      <c r="S2136" s="1" t="s">
        <v>5345</v>
      </c>
      <c r="T2136" s="6" t="str">
        <f>IFERROR(__xludf.DUMMYFUNCTION("""COMPUTED_VALUE"""),"sketches")</f>
        <v>sketches</v>
      </c>
      <c r="W2136" s="8"/>
      <c r="AJ2136" s="1"/>
      <c r="AM2136" s="1" t="s">
        <v>3295</v>
      </c>
    </row>
    <row r="2137">
      <c r="E2137" s="1" t="s">
        <v>2511</v>
      </c>
      <c r="H2137" s="1" t="s">
        <v>4654</v>
      </c>
      <c r="I2137" s="6" t="str">
        <f>IFERROR(__xludf.DUMMYFUNCTION("""COMPUTED_VALUE"""),"favorably")</f>
        <v>favorably</v>
      </c>
      <c r="S2137" s="1" t="s">
        <v>2075</v>
      </c>
      <c r="T2137" s="6" t="str">
        <f>IFERROR(__xludf.DUMMYFUNCTION("""COMPUTED_VALUE"""),"buried")</f>
        <v>buried</v>
      </c>
      <c r="W2137" s="8"/>
      <c r="AJ2137" s="1"/>
      <c r="AM2137" s="1" t="s">
        <v>3735</v>
      </c>
    </row>
    <row r="2138">
      <c r="E2138" s="1" t="s">
        <v>2508</v>
      </c>
      <c r="H2138" s="1" t="s">
        <v>4656</v>
      </c>
      <c r="I2138" s="6" t="str">
        <f>IFERROR(__xludf.DUMMYFUNCTION("""COMPUTED_VALUE"""),"hurts")</f>
        <v>hurts</v>
      </c>
      <c r="S2138" s="1" t="s">
        <v>4165</v>
      </c>
      <c r="T2138" s="6" t="str">
        <f>IFERROR(__xludf.DUMMYFUNCTION("""COMPUTED_VALUE"""),"copenhagen")</f>
        <v>copenhagen</v>
      </c>
      <c r="W2138" s="8"/>
      <c r="AJ2138" s="1"/>
      <c r="AM2138" s="1" t="s">
        <v>3301</v>
      </c>
    </row>
    <row r="2139">
      <c r="E2139" s="1" t="s">
        <v>1668</v>
      </c>
      <c r="H2139" s="1" t="s">
        <v>4658</v>
      </c>
      <c r="I2139" s="6" t="str">
        <f>IFERROR(__xludf.DUMMYFUNCTION("""COMPUTED_VALUE"""),"clare")</f>
        <v>clare</v>
      </c>
      <c r="S2139" s="1" t="s">
        <v>5346</v>
      </c>
      <c r="T2139" s="6" t="str">
        <f>IFERROR(__xludf.DUMMYFUNCTION("""COMPUTED_VALUE"""),"coping")</f>
        <v>coping</v>
      </c>
      <c r="W2139" s="8"/>
      <c r="AJ2139" s="1"/>
      <c r="AM2139" s="1" t="s">
        <v>3740</v>
      </c>
    </row>
    <row r="2140">
      <c r="E2140" s="1" t="s">
        <v>2515</v>
      </c>
      <c r="H2140" s="1" t="s">
        <v>1959</v>
      </c>
      <c r="I2140" s="6">
        <f>IFERROR(__xludf.DUMMYFUNCTION("""COMPUTED_VALUE"""),146.0)</f>
        <v>146</v>
      </c>
      <c r="S2140" s="1" t="s">
        <v>5226</v>
      </c>
      <c r="T2140" s="6" t="str">
        <f>IFERROR(__xludf.DUMMYFUNCTION("""COMPUTED_VALUE"""),"cloak")</f>
        <v>cloak</v>
      </c>
      <c r="W2140" s="8"/>
      <c r="AJ2140" s="1"/>
      <c r="AM2140" s="1" t="s">
        <v>3743</v>
      </c>
    </row>
    <row r="2141">
      <c r="E2141" s="1" t="s">
        <v>1675</v>
      </c>
      <c r="H2141" s="1" t="s">
        <v>1231</v>
      </c>
      <c r="I2141" s="6" t="str">
        <f>IFERROR(__xludf.DUMMYFUNCTION("""COMPUTED_VALUE"""),"muse")</f>
        <v>muse</v>
      </c>
      <c r="S2141" s="1" t="s">
        <v>3908</v>
      </c>
      <c r="T2141" s="6" t="str">
        <f>IFERROR(__xludf.DUMMYFUNCTION("""COMPUTED_VALUE"""),"reagan")</f>
        <v>reagan</v>
      </c>
      <c r="W2141" s="8"/>
      <c r="AJ2141" s="1"/>
      <c r="AM2141" s="1" t="s">
        <v>4843</v>
      </c>
    </row>
    <row r="2142">
      <c r="E2142" s="1" t="s">
        <v>4332</v>
      </c>
      <c r="H2142" s="1" t="s">
        <v>2663</v>
      </c>
      <c r="I2142" s="6" t="str">
        <f>IFERROR(__xludf.DUMMYFUNCTION("""COMPUTED_VALUE"""),"weighs")</f>
        <v>weighs</v>
      </c>
      <c r="S2142" s="1" t="s">
        <v>5347</v>
      </c>
      <c r="T2142" s="6" t="str">
        <f>IFERROR(__xludf.DUMMYFUNCTION("""COMPUTED_VALUE"""),"damon")</f>
        <v>damon</v>
      </c>
      <c r="W2142" s="8"/>
      <c r="AJ2142" s="1"/>
      <c r="AM2142" s="1" t="s">
        <v>1040</v>
      </c>
    </row>
    <row r="2143">
      <c r="E2143" s="1" t="s">
        <v>2520</v>
      </c>
      <c r="H2143" s="1" t="s">
        <v>3153</v>
      </c>
      <c r="I2143" s="6" t="str">
        <f>IFERROR(__xludf.DUMMYFUNCTION("""COMPUTED_VALUE"""),"alfred")</f>
        <v>alfred</v>
      </c>
      <c r="S2143" s="1" t="s">
        <v>4896</v>
      </c>
      <c r="T2143" s="6" t="str">
        <f>IFERROR(__xludf.DUMMYFUNCTION("""COMPUTED_VALUE"""),"proposal")</f>
        <v>proposal</v>
      </c>
      <c r="W2143" s="8"/>
      <c r="AJ2143" s="1"/>
      <c r="AM2143" s="1" t="s">
        <v>4372</v>
      </c>
    </row>
    <row r="2144">
      <c r="E2144" s="1" t="s">
        <v>5348</v>
      </c>
      <c r="H2144" s="1" t="s">
        <v>656</v>
      </c>
      <c r="I2144" s="6" t="str">
        <f>IFERROR(__xludf.DUMMYFUNCTION("""COMPUTED_VALUE"""),"hitchcock")</f>
        <v>hitchcock</v>
      </c>
      <c r="S2144" s="1" t="s">
        <v>2684</v>
      </c>
      <c r="T2144" s="6" t="str">
        <f>IFERROR(__xludf.DUMMYFUNCTION("""COMPUTED_VALUE"""),"eventual")</f>
        <v>eventual</v>
      </c>
      <c r="W2144" s="8"/>
      <c r="AJ2144" s="1"/>
      <c r="AM2144" s="1" t="s">
        <v>4846</v>
      </c>
    </row>
    <row r="2145">
      <c r="E2145" s="1" t="s">
        <v>1397</v>
      </c>
      <c r="H2145" s="1" t="s">
        <v>3573</v>
      </c>
      <c r="I2145" s="6" t="str">
        <f>IFERROR(__xludf.DUMMYFUNCTION("""COMPUTED_VALUE"""),"fontaine")</f>
        <v>fontaine</v>
      </c>
      <c r="S2145" s="1" t="s">
        <v>2384</v>
      </c>
      <c r="T2145" s="6" t="str">
        <f>IFERROR(__xludf.DUMMYFUNCTION("""COMPUTED_VALUE"""),"heavyweight")</f>
        <v>heavyweight</v>
      </c>
      <c r="W2145" s="8"/>
      <c r="AJ2145" s="1"/>
      <c r="AM2145" s="1" t="s">
        <v>1047</v>
      </c>
    </row>
    <row r="2146">
      <c r="E2146" s="1" t="s">
        <v>5349</v>
      </c>
      <c r="H2146" s="1" t="s">
        <v>981</v>
      </c>
      <c r="I2146" s="6" t="str">
        <f>IFERROR(__xludf.DUMMYFUNCTION("""COMPUTED_VALUE"""),"probing")</f>
        <v>probing</v>
      </c>
      <c r="S2146" s="1" t="s">
        <v>5350</v>
      </c>
      <c r="T2146" s="6" t="str">
        <f>IFERROR(__xludf.DUMMYFUNCTION("""COMPUTED_VALUE"""),"reef")</f>
        <v>reef</v>
      </c>
      <c r="W2146" s="8"/>
      <c r="AJ2146" s="1"/>
      <c r="AM2146" s="1" t="s">
        <v>1609</v>
      </c>
    </row>
    <row r="2147">
      <c r="E2147" s="1" t="s">
        <v>4336</v>
      </c>
      <c r="H2147" s="1" t="s">
        <v>1105</v>
      </c>
      <c r="I2147" s="6" t="str">
        <f>IFERROR(__xludf.DUMMYFUNCTION("""COMPUTED_VALUE"""),"shakespeare")</f>
        <v>shakespeare</v>
      </c>
      <c r="S2147" s="1" t="s">
        <v>5091</v>
      </c>
      <c r="T2147" s="6" t="str">
        <f>IFERROR(__xludf.DUMMYFUNCTION("""COMPUTED_VALUE"""),"unpaid")</f>
        <v>unpaid</v>
      </c>
      <c r="W2147" s="8"/>
      <c r="AJ2147" s="1"/>
      <c r="AM2147" s="1" t="s">
        <v>2067</v>
      </c>
    </row>
    <row r="2148">
      <c r="E2148" s="1" t="s">
        <v>5351</v>
      </c>
      <c r="H2148" s="1" t="s">
        <v>106</v>
      </c>
      <c r="I2148" s="6" t="str">
        <f>IFERROR(__xludf.DUMMYFUNCTION("""COMPUTED_VALUE"""),"weakly")</f>
        <v>weakly</v>
      </c>
      <c r="S2148" s="1" t="s">
        <v>49</v>
      </c>
      <c r="T2148" s="6" t="str">
        <f>IFERROR(__xludf.DUMMYFUNCTION("""COMPUTED_VALUE"""),"undoubtedly")</f>
        <v>undoubtedly</v>
      </c>
      <c r="W2148" s="8"/>
      <c r="AJ2148" s="1"/>
      <c r="AM2148" s="1" t="s">
        <v>3750</v>
      </c>
    </row>
    <row r="2149">
      <c r="E2149" s="1" t="s">
        <v>3670</v>
      </c>
      <c r="H2149" s="1" t="s">
        <v>4668</v>
      </c>
      <c r="I2149" s="6" t="str">
        <f>IFERROR(__xludf.DUMMYFUNCTION("""COMPUTED_VALUE"""),"companion")</f>
        <v>companion</v>
      </c>
      <c r="S2149" s="1" t="s">
        <v>4186</v>
      </c>
      <c r="T2149" s="6" t="str">
        <f>IFERROR(__xludf.DUMMYFUNCTION("""COMPUTED_VALUE"""),"rash")</f>
        <v>rash</v>
      </c>
      <c r="W2149" s="8"/>
      <c r="AJ2149" s="1"/>
      <c r="AM2149" s="1" t="s">
        <v>2071</v>
      </c>
    </row>
    <row r="2150">
      <c r="E2150" s="1">
        <v>66.0</v>
      </c>
      <c r="H2150" s="1" t="s">
        <v>5028</v>
      </c>
      <c r="I2150" s="6" t="str">
        <f>IFERROR(__xludf.DUMMYFUNCTION("""COMPUTED_VALUE"""),"clyde")</f>
        <v>clyde</v>
      </c>
      <c r="S2150" s="1" t="s">
        <v>5352</v>
      </c>
      <c r="T2150" s="6" t="str">
        <f>IFERROR(__xludf.DUMMYFUNCTION("""COMPUTED_VALUE"""),"deserved")</f>
        <v>deserved</v>
      </c>
      <c r="W2150" s="8"/>
      <c r="AJ2150" s="1"/>
      <c r="AM2150" s="1" t="s">
        <v>2077</v>
      </c>
    </row>
    <row r="2151">
      <c r="E2151" s="1" t="s">
        <v>3234</v>
      </c>
      <c r="H2151" s="1" t="s">
        <v>3164</v>
      </c>
      <c r="I2151" s="6" t="str">
        <f>IFERROR(__xludf.DUMMYFUNCTION("""COMPUTED_VALUE"""),"curves")</f>
        <v>curves</v>
      </c>
      <c r="S2151" s="1" t="s">
        <v>5353</v>
      </c>
      <c r="T2151" s="6" t="str">
        <f>IFERROR(__xludf.DUMMYFUNCTION("""COMPUTED_VALUE"""),"courtroom")</f>
        <v>courtroom</v>
      </c>
      <c r="W2151" s="8"/>
      <c r="AJ2151" s="1"/>
      <c r="AM2151" s="1" t="s">
        <v>1051</v>
      </c>
    </row>
    <row r="2152">
      <c r="E2152" s="1" t="s">
        <v>4345</v>
      </c>
      <c r="H2152" s="1" t="s">
        <v>203</v>
      </c>
      <c r="I2152" s="6" t="str">
        <f>IFERROR(__xludf.DUMMYFUNCTION("""COMPUTED_VALUE"""),"fashioned")</f>
        <v>fashioned</v>
      </c>
      <c r="S2152" s="1" t="s">
        <v>5354</v>
      </c>
      <c r="T2152" s="6" t="str">
        <f>IFERROR(__xludf.DUMMYFUNCTION("""COMPUTED_VALUE"""),"exhaustion")</f>
        <v>exhaustion</v>
      </c>
      <c r="W2152" s="8"/>
      <c r="AJ2152" s="1"/>
      <c r="AM2152" s="1" t="s">
        <v>5355</v>
      </c>
    </row>
    <row r="2153">
      <c r="E2153" s="1" t="s">
        <v>1755</v>
      </c>
      <c r="H2153" s="1" t="s">
        <v>5203</v>
      </c>
      <c r="I2153" s="6" t="str">
        <f>IFERROR(__xludf.DUMMYFUNCTION("""COMPUTED_VALUE"""),"strains")</f>
        <v>strains</v>
      </c>
      <c r="S2153" s="1" t="s">
        <v>5356</v>
      </c>
      <c r="T2153" s="6" t="str">
        <f>IFERROR(__xludf.DUMMYFUNCTION("""COMPUTED_VALUE"""),"discoveries")</f>
        <v>discoveries</v>
      </c>
      <c r="W2153" s="8"/>
      <c r="AJ2153" s="1"/>
      <c r="AM2153" s="1" t="s">
        <v>1381</v>
      </c>
    </row>
    <row r="2154">
      <c r="E2154" s="1" t="s">
        <v>2530</v>
      </c>
      <c r="H2154" s="1" t="s">
        <v>1254</v>
      </c>
      <c r="I2154" s="6" t="str">
        <f>IFERROR(__xludf.DUMMYFUNCTION("""COMPUTED_VALUE"""),"lucas")</f>
        <v>lucas</v>
      </c>
      <c r="S2154" s="1" t="s">
        <v>902</v>
      </c>
      <c r="T2154" s="6" t="str">
        <f>IFERROR(__xludf.DUMMYFUNCTION("""COMPUTED_VALUE"""),"franco")</f>
        <v>franco</v>
      </c>
      <c r="W2154" s="8"/>
      <c r="AJ2154" s="1"/>
      <c r="AM2154" s="1" t="s">
        <v>4859</v>
      </c>
    </row>
    <row r="2155">
      <c r="E2155" s="1" t="s">
        <v>2533</v>
      </c>
      <c r="H2155" s="1" t="s">
        <v>5357</v>
      </c>
      <c r="I2155" s="6" t="str">
        <f>IFERROR(__xludf.DUMMYFUNCTION("""COMPUTED_VALUE"""),"jolt")</f>
        <v>jolt</v>
      </c>
      <c r="S2155" s="1" t="s">
        <v>117</v>
      </c>
      <c r="T2155" s="6" t="str">
        <f>IFERROR(__xludf.DUMMYFUNCTION("""COMPUTED_VALUE"""),"seas")</f>
        <v>seas</v>
      </c>
      <c r="W2155" s="8"/>
      <c r="AJ2155" s="1"/>
      <c r="AM2155" s="1" t="s">
        <v>3161</v>
      </c>
    </row>
    <row r="2156">
      <c r="E2156" s="1" t="s">
        <v>5358</v>
      </c>
      <c r="H2156" s="1" t="s">
        <v>2031</v>
      </c>
      <c r="I2156" s="6" t="str">
        <f>IFERROR(__xludf.DUMMYFUNCTION("""COMPUTED_VALUE"""),"juliet")</f>
        <v>juliet</v>
      </c>
      <c r="S2156" s="1" t="s">
        <v>3558</v>
      </c>
      <c r="T2156" s="6" t="str">
        <f>IFERROR(__xludf.DUMMYFUNCTION("""COMPUTED_VALUE"""),"activism")</f>
        <v>activism</v>
      </c>
      <c r="W2156" s="8"/>
      <c r="AJ2156" s="1"/>
      <c r="AM2156" s="1" t="s">
        <v>3759</v>
      </c>
    </row>
    <row r="2157">
      <c r="E2157" s="1" t="s">
        <v>3673</v>
      </c>
      <c r="H2157" s="1" t="s">
        <v>4670</v>
      </c>
      <c r="I2157" s="6" t="str">
        <f>IFERROR(__xludf.DUMMYFUNCTION("""COMPUTED_VALUE"""),"fighters")</f>
        <v>fighters</v>
      </c>
      <c r="S2157" s="1" t="s">
        <v>3263</v>
      </c>
      <c r="T2157" s="6" t="str">
        <f>IFERROR(__xludf.DUMMYFUNCTION("""COMPUTED_VALUE"""),"salvage")</f>
        <v>salvage</v>
      </c>
      <c r="W2157" s="8"/>
      <c r="AJ2157" s="1"/>
      <c r="AM2157" s="1" t="s">
        <v>3761</v>
      </c>
    </row>
    <row r="2158">
      <c r="E2158" s="1" t="s">
        <v>2536</v>
      </c>
      <c r="H2158" s="1" t="s">
        <v>5211</v>
      </c>
      <c r="I2158" s="6" t="str">
        <f>IFERROR(__xludf.DUMMYFUNCTION("""COMPUTED_VALUE"""),"exchanges")</f>
        <v>exchanges</v>
      </c>
      <c r="S2158" s="1" t="s">
        <v>3715</v>
      </c>
      <c r="T2158" s="6" t="str">
        <f>IFERROR(__xludf.DUMMYFUNCTION("""COMPUTED_VALUE"""),"ties")</f>
        <v>ties</v>
      </c>
      <c r="W2158" s="8"/>
      <c r="AJ2158" s="1"/>
      <c r="AM2158" s="1" t="s">
        <v>5359</v>
      </c>
    </row>
    <row r="2159">
      <c r="E2159" s="1" t="s">
        <v>4597</v>
      </c>
      <c r="H2159" s="1" t="s">
        <v>4672</v>
      </c>
      <c r="I2159" s="6" t="str">
        <f>IFERROR(__xludf.DUMMYFUNCTION("""COMPUTED_VALUE"""),"staggered")</f>
        <v>staggered</v>
      </c>
      <c r="S2159" s="1" t="s">
        <v>5360</v>
      </c>
      <c r="T2159" s="6" t="str">
        <f>IFERROR(__xludf.DUMMYFUNCTION("""COMPUTED_VALUE"""),"hawk")</f>
        <v>hawk</v>
      </c>
      <c r="W2159" s="8"/>
      <c r="AJ2159" s="1"/>
      <c r="AM2159" s="1" t="s">
        <v>1757</v>
      </c>
    </row>
    <row r="2160">
      <c r="E2160" s="1" t="s">
        <v>1410</v>
      </c>
      <c r="H2160" s="1" t="s">
        <v>3584</v>
      </c>
      <c r="I2160" s="6" t="str">
        <f>IFERROR(__xludf.DUMMYFUNCTION("""COMPUTED_VALUE"""),"suspects")</f>
        <v>suspects</v>
      </c>
      <c r="S2160" s="1" t="s">
        <v>4482</v>
      </c>
      <c r="T2160" s="6" t="str">
        <f>IFERROR(__xludf.DUMMYFUNCTION("""COMPUTED_VALUE"""),"triangles")</f>
        <v>triangles</v>
      </c>
      <c r="W2160" s="8"/>
      <c r="AJ2160" s="1"/>
      <c r="AM2160" s="1" t="s">
        <v>2084</v>
      </c>
    </row>
    <row r="2161">
      <c r="E2161" s="1" t="s">
        <v>1415</v>
      </c>
      <c r="H2161" s="1" t="s">
        <v>4675</v>
      </c>
      <c r="I2161" s="6" t="str">
        <f>IFERROR(__xludf.DUMMYFUNCTION("""COMPUTED_VALUE"""),"invincible")</f>
        <v>invincible</v>
      </c>
      <c r="S2161" s="1" t="s">
        <v>2623</v>
      </c>
      <c r="T2161" s="6" t="str">
        <f>IFERROR(__xludf.DUMMYFUNCTION("""COMPUTED_VALUE"""),"cultures")</f>
        <v>cultures</v>
      </c>
      <c r="W2161" s="8"/>
      <c r="AJ2161" s="1"/>
      <c r="AM2161" s="1" t="s">
        <v>2086</v>
      </c>
    </row>
    <row r="2162">
      <c r="E2162" s="1" t="s">
        <v>1680</v>
      </c>
      <c r="H2162" s="1" t="s">
        <v>984</v>
      </c>
      <c r="I2162" s="6" t="str">
        <f>IFERROR(__xludf.DUMMYFUNCTION("""COMPUTED_VALUE"""),"forcefully")</f>
        <v>forcefully</v>
      </c>
      <c r="S2162" s="1" t="s">
        <v>2215</v>
      </c>
      <c r="T2162" s="6" t="str">
        <f>IFERROR(__xludf.DUMMYFUNCTION("""COMPUTED_VALUE"""),"robinson")</f>
        <v>robinson</v>
      </c>
      <c r="W2162" s="8"/>
      <c r="AJ2162" s="1"/>
      <c r="AM2162" s="1" t="s">
        <v>3767</v>
      </c>
    </row>
    <row r="2163">
      <c r="E2163" s="1" t="s">
        <v>4356</v>
      </c>
      <c r="H2163" s="1" t="s">
        <v>3588</v>
      </c>
      <c r="I2163" s="6" t="str">
        <f>IFERROR(__xludf.DUMMYFUNCTION("""COMPUTED_VALUE"""),"combustion")</f>
        <v>combustion</v>
      </c>
      <c r="S2163" s="1" t="s">
        <v>5361</v>
      </c>
      <c r="T2163" s="6" t="str">
        <f>IFERROR(__xludf.DUMMYFUNCTION("""COMPUTED_VALUE"""),"partnership")</f>
        <v>partnership</v>
      </c>
      <c r="W2163" s="8"/>
      <c r="AJ2163" s="1"/>
      <c r="AM2163" s="1" t="s">
        <v>2090</v>
      </c>
    </row>
    <row r="2164">
      <c r="E2164" s="1" t="s">
        <v>346</v>
      </c>
      <c r="H2164" s="1" t="s">
        <v>5362</v>
      </c>
      <c r="I2164" s="6" t="str">
        <f>IFERROR(__xludf.DUMMYFUNCTION("""COMPUTED_VALUE"""),"barlow")</f>
        <v>barlow</v>
      </c>
      <c r="S2164" s="1" t="s">
        <v>5363</v>
      </c>
      <c r="T2164" s="6" t="str">
        <f>IFERROR(__xludf.DUMMYFUNCTION("""COMPUTED_VALUE"""),"glass")</f>
        <v>glass</v>
      </c>
      <c r="W2164" s="8"/>
      <c r="AJ2164" s="1"/>
      <c r="AM2164" s="1" t="s">
        <v>3772</v>
      </c>
    </row>
    <row r="2165">
      <c r="E2165" s="1" t="s">
        <v>2543</v>
      </c>
      <c r="H2165" s="1" t="s">
        <v>1261</v>
      </c>
      <c r="I2165" s="6" t="str">
        <f>IFERROR(__xludf.DUMMYFUNCTION("""COMPUTED_VALUE"""),"buried")</f>
        <v>buried</v>
      </c>
      <c r="S2165" s="1" t="s">
        <v>5364</v>
      </c>
      <c r="T2165" s="6" t="str">
        <f>IFERROR(__xludf.DUMMYFUNCTION("""COMPUTED_VALUE"""),"flashbacks")</f>
        <v>flashbacks</v>
      </c>
      <c r="W2165" s="8"/>
      <c r="AJ2165" s="1"/>
      <c r="AM2165" s="1" t="s">
        <v>1782</v>
      </c>
    </row>
    <row r="2166">
      <c r="E2166" s="1" t="s">
        <v>5365</v>
      </c>
      <c r="H2166" s="1" t="s">
        <v>3175</v>
      </c>
      <c r="I2166" s="6" t="str">
        <f>IFERROR(__xludf.DUMMYFUNCTION("""COMPUTED_VALUE"""),"copenhagen")</f>
        <v>copenhagen</v>
      </c>
      <c r="S2166" s="1" t="s">
        <v>4737</v>
      </c>
      <c r="T2166" s="6" t="str">
        <f>IFERROR(__xludf.DUMMYFUNCTION("""COMPUTED_VALUE"""),"amazement")</f>
        <v>amazement</v>
      </c>
      <c r="W2166" s="8"/>
      <c r="AJ2166" s="1"/>
      <c r="AM2166" s="1" t="s">
        <v>4433</v>
      </c>
    </row>
    <row r="2167">
      <c r="E2167" s="1" t="s">
        <v>4360</v>
      </c>
      <c r="H2167" s="1" t="s">
        <v>4682</v>
      </c>
      <c r="I2167" s="6" t="str">
        <f>IFERROR(__xludf.DUMMYFUNCTION("""COMPUTED_VALUE"""),"coping")</f>
        <v>coping</v>
      </c>
      <c r="S2167" s="1" t="s">
        <v>5366</v>
      </c>
      <c r="T2167" s="6" t="str">
        <f>IFERROR(__xludf.DUMMYFUNCTION("""COMPUTED_VALUE"""),"darkest")</f>
        <v>darkest</v>
      </c>
      <c r="W2167" s="8"/>
      <c r="AJ2167" s="1"/>
      <c r="AM2167" s="1" t="s">
        <v>2076</v>
      </c>
    </row>
    <row r="2168">
      <c r="E2168" s="1" t="s">
        <v>5367</v>
      </c>
      <c r="H2168" s="1" t="s">
        <v>1983</v>
      </c>
      <c r="I2168" s="6" t="str">
        <f>IFERROR(__xludf.DUMMYFUNCTION("""COMPUTED_VALUE"""),"winger")</f>
        <v>winger</v>
      </c>
      <c r="S2168" s="1" t="s">
        <v>5368</v>
      </c>
      <c r="T2168" s="6" t="str">
        <f>IFERROR(__xludf.DUMMYFUNCTION("""COMPUTED_VALUE"""),"saga")</f>
        <v>saga</v>
      </c>
      <c r="W2168" s="8"/>
      <c r="AJ2168" s="1"/>
      <c r="AM2168" s="1" t="s">
        <v>1057</v>
      </c>
    </row>
    <row r="2169">
      <c r="E2169" s="1" t="s">
        <v>5140</v>
      </c>
      <c r="H2169" s="1" t="s">
        <v>5225</v>
      </c>
      <c r="I2169" s="6" t="str">
        <f>IFERROR(__xludf.DUMMYFUNCTION("""COMPUTED_VALUE"""),"cloak")</f>
        <v>cloak</v>
      </c>
      <c r="S2169" s="1" t="s">
        <v>1159</v>
      </c>
      <c r="T2169" s="6" t="str">
        <f>IFERROR(__xludf.DUMMYFUNCTION("""COMPUTED_VALUE"""),"screwing")</f>
        <v>screwing</v>
      </c>
      <c r="W2169" s="8"/>
      <c r="AJ2169" s="1"/>
      <c r="AM2169" s="1" t="s">
        <v>1063</v>
      </c>
    </row>
    <row r="2170">
      <c r="E2170" s="1" t="s">
        <v>5369</v>
      </c>
      <c r="H2170" s="1" t="s">
        <v>2900</v>
      </c>
      <c r="I2170" s="6" t="str">
        <f>IFERROR(__xludf.DUMMYFUNCTION("""COMPUTED_VALUE"""),"eccentric")</f>
        <v>eccentric</v>
      </c>
      <c r="S2170" s="1" t="s">
        <v>5370</v>
      </c>
      <c r="T2170" s="6" t="str">
        <f>IFERROR(__xludf.DUMMYFUNCTION("""COMPUTED_VALUE"""),"playoff")</f>
        <v>playoff</v>
      </c>
      <c r="W2170" s="8"/>
      <c r="AJ2170" s="1"/>
      <c r="AM2170" s="1" t="s">
        <v>1596</v>
      </c>
    </row>
    <row r="2171">
      <c r="E2171" s="1" t="s">
        <v>2545</v>
      </c>
      <c r="H2171" s="1" t="s">
        <v>1267</v>
      </c>
      <c r="I2171" s="6" t="str">
        <f>IFERROR(__xludf.DUMMYFUNCTION("""COMPUTED_VALUE"""),"reagan")</f>
        <v>reagan</v>
      </c>
      <c r="S2171" s="1" t="s">
        <v>5183</v>
      </c>
      <c r="T2171" s="6" t="str">
        <f>IFERROR(__xludf.DUMMYFUNCTION("""COMPUTED_VALUE"""),"arrest")</f>
        <v>arrest</v>
      </c>
      <c r="W2171" s="8"/>
      <c r="AJ2171" s="1"/>
      <c r="AM2171" s="1" t="s">
        <v>4879</v>
      </c>
    </row>
    <row r="2172">
      <c r="E2172" s="1" t="s">
        <v>338</v>
      </c>
      <c r="H2172" s="1" t="s">
        <v>5371</v>
      </c>
      <c r="I2172" s="6" t="str">
        <f>IFERROR(__xludf.DUMMYFUNCTION("""COMPUTED_VALUE"""),"damon")</f>
        <v>damon</v>
      </c>
      <c r="S2172" s="1" t="s">
        <v>2881</v>
      </c>
      <c r="T2172" s="6" t="str">
        <f>IFERROR(__xludf.DUMMYFUNCTION("""COMPUTED_VALUE"""),"distances")</f>
        <v>distances</v>
      </c>
      <c r="W2172" s="8"/>
      <c r="AJ2172" s="1"/>
      <c r="AM2172" s="1" t="s">
        <v>4419</v>
      </c>
    </row>
    <row r="2173">
      <c r="E2173" s="1" t="s">
        <v>5372</v>
      </c>
      <c r="H2173" s="1" t="s">
        <v>1273</v>
      </c>
      <c r="I2173" s="6">
        <f>IFERROR(__xludf.DUMMYFUNCTION("""COMPUTED_VALUE"""),163.0)</f>
        <v>163</v>
      </c>
      <c r="S2173" s="1" t="s">
        <v>1783</v>
      </c>
      <c r="T2173" s="6" t="str">
        <f>IFERROR(__xludf.DUMMYFUNCTION("""COMPUTED_VALUE"""),"latter")</f>
        <v>latter</v>
      </c>
      <c r="W2173" s="8"/>
      <c r="AJ2173" s="1"/>
      <c r="AM2173" s="1" t="s">
        <v>3316</v>
      </c>
    </row>
    <row r="2174">
      <c r="E2174" s="1" t="s">
        <v>4368</v>
      </c>
      <c r="H2174" s="1" t="s">
        <v>5232</v>
      </c>
      <c r="I2174" s="6" t="str">
        <f>IFERROR(__xludf.DUMMYFUNCTION("""COMPUTED_VALUE"""),"eventual")</f>
        <v>eventual</v>
      </c>
      <c r="S2174" s="1" t="s">
        <v>3605</v>
      </c>
      <c r="T2174" s="6" t="str">
        <f>IFERROR(__xludf.DUMMYFUNCTION("""COMPUTED_VALUE"""),"appeals")</f>
        <v>appeals</v>
      </c>
      <c r="W2174" s="8"/>
      <c r="AJ2174" s="1"/>
      <c r="AM2174" s="1" t="s">
        <v>4882</v>
      </c>
    </row>
    <row r="2175">
      <c r="E2175" s="1" t="s">
        <v>5373</v>
      </c>
      <c r="H2175" s="1" t="s">
        <v>989</v>
      </c>
      <c r="I2175" s="6" t="str">
        <f>IFERROR(__xludf.DUMMYFUNCTION("""COMPUTED_VALUE"""),"commands")</f>
        <v>commands</v>
      </c>
      <c r="S2175" s="1" t="s">
        <v>5374</v>
      </c>
      <c r="T2175" s="6" t="str">
        <f>IFERROR(__xludf.DUMMYFUNCTION("""COMPUTED_VALUE"""),"shades")</f>
        <v>shades</v>
      </c>
      <c r="W2175" s="8"/>
      <c r="AJ2175" s="1"/>
      <c r="AM2175" s="1" t="s">
        <v>4883</v>
      </c>
    </row>
    <row r="2176">
      <c r="E2176" s="1" t="s">
        <v>5375</v>
      </c>
      <c r="H2176" s="1" t="s">
        <v>114</v>
      </c>
      <c r="I2176" s="6" t="str">
        <f>IFERROR(__xludf.DUMMYFUNCTION("""COMPUTED_VALUE"""),"grit")</f>
        <v>grit</v>
      </c>
      <c r="S2176" s="1" t="s">
        <v>5376</v>
      </c>
      <c r="T2176" s="6" t="str">
        <f>IFERROR(__xludf.DUMMYFUNCTION("""COMPUTED_VALUE"""),"barry")</f>
        <v>barry</v>
      </c>
      <c r="W2176" s="8"/>
      <c r="AJ2176" s="1"/>
      <c r="AM2176" s="1" t="s">
        <v>2097</v>
      </c>
    </row>
    <row r="2177">
      <c r="E2177" s="1" t="s">
        <v>4370</v>
      </c>
      <c r="H2177" s="1" t="s">
        <v>5377</v>
      </c>
      <c r="I2177" s="6" t="str">
        <f>IFERROR(__xludf.DUMMYFUNCTION("""COMPUTED_VALUE"""),"heavyweight")</f>
        <v>heavyweight</v>
      </c>
      <c r="S2177" s="1" t="s">
        <v>2019</v>
      </c>
      <c r="T2177" s="6" t="str">
        <f>IFERROR(__xludf.DUMMYFUNCTION("""COMPUTED_VALUE"""),"elemental")</f>
        <v>elemental</v>
      </c>
      <c r="W2177" s="8"/>
      <c r="AJ2177" s="1"/>
      <c r="AM2177" s="1" t="s">
        <v>3785</v>
      </c>
    </row>
    <row r="2178">
      <c r="E2178" s="1" t="s">
        <v>3683</v>
      </c>
      <c r="H2178" s="1" t="s">
        <v>3600</v>
      </c>
      <c r="I2178" s="6" t="str">
        <f>IFERROR(__xludf.DUMMYFUNCTION("""COMPUTED_VALUE"""),"endangered")</f>
        <v>endangered</v>
      </c>
      <c r="S2178" s="1" t="s">
        <v>5378</v>
      </c>
      <c r="T2178" s="6" t="str">
        <f>IFERROR(__xludf.DUMMYFUNCTION("""COMPUTED_VALUE"""),"arc")</f>
        <v>arc</v>
      </c>
      <c r="W2178" s="8"/>
      <c r="AJ2178" s="1"/>
      <c r="AM2178" s="1" t="s">
        <v>3788</v>
      </c>
    </row>
    <row r="2179">
      <c r="E2179" s="1" t="s">
        <v>4377</v>
      </c>
      <c r="H2179" s="1" t="s">
        <v>1696</v>
      </c>
      <c r="I2179" s="6" t="str">
        <f>IFERROR(__xludf.DUMMYFUNCTION("""COMPUTED_VALUE"""),"unpaid")</f>
        <v>unpaid</v>
      </c>
      <c r="S2179" s="1" t="s">
        <v>5278</v>
      </c>
      <c r="T2179" s="6" t="str">
        <f>IFERROR(__xludf.DUMMYFUNCTION("""COMPUTED_VALUE"""),"grinning")</f>
        <v>grinning</v>
      </c>
      <c r="W2179" s="8"/>
      <c r="AJ2179" s="1"/>
      <c r="AM2179" s="1" t="s">
        <v>988</v>
      </c>
    </row>
    <row r="2180">
      <c r="E2180" s="1" t="s">
        <v>3684</v>
      </c>
      <c r="H2180" s="1" t="s">
        <v>4174</v>
      </c>
      <c r="I2180" s="6" t="str">
        <f>IFERROR(__xludf.DUMMYFUNCTION("""COMPUTED_VALUE"""),"rash")</f>
        <v>rash</v>
      </c>
      <c r="S2180" s="1" t="s">
        <v>5379</v>
      </c>
      <c r="T2180" s="6" t="str">
        <f>IFERROR(__xludf.DUMMYFUNCTION("""COMPUTED_VALUE"""),"needy")</f>
        <v>needy</v>
      </c>
      <c r="W2180" s="8"/>
      <c r="AJ2180" s="1"/>
      <c r="AM2180" s="1" t="s">
        <v>3791</v>
      </c>
    </row>
    <row r="2181">
      <c r="E2181" s="1" t="s">
        <v>1695</v>
      </c>
      <c r="H2181" s="1" t="s">
        <v>1994</v>
      </c>
      <c r="I2181" s="6" t="str">
        <f>IFERROR(__xludf.DUMMYFUNCTION("""COMPUTED_VALUE"""),"chaplin")</f>
        <v>chaplin</v>
      </c>
      <c r="S2181" s="1" t="s">
        <v>5380</v>
      </c>
      <c r="T2181" s="6" t="str">
        <f>IFERROR(__xludf.DUMMYFUNCTION("""COMPUTED_VALUE"""),"distract")</f>
        <v>distract</v>
      </c>
      <c r="W2181" s="8"/>
      <c r="AJ2181" s="1"/>
      <c r="AM2181" s="1" t="s">
        <v>5381</v>
      </c>
    </row>
    <row r="2182">
      <c r="E2182" s="1" t="s">
        <v>5382</v>
      </c>
      <c r="H2182" s="1" t="s">
        <v>2442</v>
      </c>
      <c r="I2182" s="6" t="str">
        <f>IFERROR(__xludf.DUMMYFUNCTION("""COMPUTED_VALUE"""),"fiercely")</f>
        <v>fiercely</v>
      </c>
      <c r="S2182" s="1" t="s">
        <v>4610</v>
      </c>
      <c r="T2182" s="6" t="str">
        <f>IFERROR(__xludf.DUMMYFUNCTION("""COMPUTED_VALUE"""),"surfing")</f>
        <v>surfing</v>
      </c>
      <c r="W2182" s="8"/>
      <c r="AJ2182" s="1"/>
      <c r="AM2182" s="1" t="s">
        <v>2099</v>
      </c>
    </row>
    <row r="2183">
      <c r="E2183" s="1" t="s">
        <v>5383</v>
      </c>
      <c r="H2183" s="1" t="s">
        <v>4697</v>
      </c>
      <c r="I2183" s="6" t="str">
        <f>IFERROR(__xludf.DUMMYFUNCTION("""COMPUTED_VALUE"""),"deserved")</f>
        <v>deserved</v>
      </c>
      <c r="S2183" s="1" t="s">
        <v>2761</v>
      </c>
      <c r="T2183" s="6" t="str">
        <f>IFERROR(__xludf.DUMMYFUNCTION("""COMPUTED_VALUE"""),"waking")</f>
        <v>waking</v>
      </c>
      <c r="W2183" s="8"/>
      <c r="AJ2183" s="1"/>
      <c r="AM2183" s="1" t="s">
        <v>3795</v>
      </c>
    </row>
    <row r="2184">
      <c r="E2184" s="1" t="s">
        <v>3686</v>
      </c>
      <c r="H2184" s="1" t="s">
        <v>3186</v>
      </c>
      <c r="I2184" s="6" t="str">
        <f>IFERROR(__xludf.DUMMYFUNCTION("""COMPUTED_VALUE"""),"assault")</f>
        <v>assault</v>
      </c>
      <c r="S2184" s="1" t="s">
        <v>5384</v>
      </c>
      <c r="T2184" s="6" t="str">
        <f>IFERROR(__xludf.DUMMYFUNCTION("""COMPUTED_VALUE"""),"poking")</f>
        <v>poking</v>
      </c>
      <c r="W2184" s="8"/>
      <c r="AJ2184" s="1"/>
      <c r="AM2184" s="1" t="s">
        <v>3609</v>
      </c>
    </row>
    <row r="2185">
      <c r="E2185" s="1" t="s">
        <v>5385</v>
      </c>
      <c r="H2185" s="1" t="s">
        <v>1998</v>
      </c>
      <c r="I2185" s="6" t="str">
        <f>IFERROR(__xludf.DUMMYFUNCTION("""COMPUTED_VALUE"""),"exhaustion")</f>
        <v>exhaustion</v>
      </c>
      <c r="S2185" s="1" t="s">
        <v>5386</v>
      </c>
      <c r="T2185" s="6" t="str">
        <f>IFERROR(__xludf.DUMMYFUNCTION("""COMPUTED_VALUE"""),"opens")</f>
        <v>opens</v>
      </c>
      <c r="W2185" s="8"/>
      <c r="AJ2185" s="1"/>
      <c r="AM2185" s="1" t="s">
        <v>3800</v>
      </c>
    </row>
    <row r="2186">
      <c r="E2186" s="1" t="s">
        <v>5387</v>
      </c>
      <c r="H2186" s="1" t="s">
        <v>5113</v>
      </c>
      <c r="I2186" s="6" t="str">
        <f>IFERROR(__xludf.DUMMYFUNCTION("""COMPUTED_VALUE"""),"installment")</f>
        <v>installment</v>
      </c>
      <c r="S2186" s="1" t="s">
        <v>5388</v>
      </c>
      <c r="T2186" s="6" t="str">
        <f>IFERROR(__xludf.DUMMYFUNCTION("""COMPUTED_VALUE"""),"law")</f>
        <v>law</v>
      </c>
      <c r="W2186" s="8"/>
      <c r="AJ2186" s="1"/>
      <c r="AM2186" s="1" t="s">
        <v>1069</v>
      </c>
    </row>
    <row r="2187">
      <c r="E2187" s="1" t="s">
        <v>268</v>
      </c>
      <c r="H2187" s="1" t="s">
        <v>3189</v>
      </c>
      <c r="I2187" s="6" t="str">
        <f>IFERROR(__xludf.DUMMYFUNCTION("""COMPUTED_VALUE"""),"grenade")</f>
        <v>grenade</v>
      </c>
      <c r="S2187" s="1" t="s">
        <v>5389</v>
      </c>
      <c r="T2187" s="6" t="str">
        <f>IFERROR(__xludf.DUMMYFUNCTION("""COMPUTED_VALUE"""),"holmes")</f>
        <v>holmes</v>
      </c>
      <c r="W2187" s="8"/>
      <c r="AJ2187" s="1"/>
      <c r="AM2187" s="1" t="s">
        <v>3802</v>
      </c>
    </row>
    <row r="2188">
      <c r="E2188" s="1" t="s">
        <v>5390</v>
      </c>
      <c r="H2188" s="1" t="s">
        <v>623</v>
      </c>
      <c r="I2188" s="6" t="str">
        <f>IFERROR(__xludf.DUMMYFUNCTION("""COMPUTED_VALUE"""),"discoveries")</f>
        <v>discoveries</v>
      </c>
      <c r="S2188" s="1" t="s">
        <v>3929</v>
      </c>
      <c r="T2188" s="6" t="str">
        <f>IFERROR(__xludf.DUMMYFUNCTION("""COMPUTED_VALUE"""),"behave")</f>
        <v>behave</v>
      </c>
      <c r="W2188" s="8"/>
      <c r="AJ2188" s="1"/>
      <c r="AM2188" s="1" t="s">
        <v>3982</v>
      </c>
    </row>
    <row r="2189">
      <c r="E2189" s="1" t="s">
        <v>5391</v>
      </c>
      <c r="H2189" s="1" t="s">
        <v>4698</v>
      </c>
      <c r="I2189" s="6" t="str">
        <f>IFERROR(__xludf.DUMMYFUNCTION("""COMPUTED_VALUE"""),"inhabitants")</f>
        <v>inhabitants</v>
      </c>
      <c r="S2189" s="1" t="s">
        <v>5392</v>
      </c>
      <c r="T2189" s="6" t="str">
        <f>IFERROR(__xludf.DUMMYFUNCTION("""COMPUTED_VALUE"""),"excursion")</f>
        <v>excursion</v>
      </c>
      <c r="W2189" s="8"/>
      <c r="AJ2189" s="1"/>
      <c r="AM2189" s="1" t="s">
        <v>2104</v>
      </c>
    </row>
    <row r="2190">
      <c r="E2190" s="1" t="s">
        <v>4387</v>
      </c>
      <c r="H2190" s="1" t="s">
        <v>4701</v>
      </c>
      <c r="I2190" s="6" t="str">
        <f>IFERROR(__xludf.DUMMYFUNCTION("""COMPUTED_VALUE"""),"franco")</f>
        <v>franco</v>
      </c>
      <c r="S2190" s="1" t="s">
        <v>1429</v>
      </c>
      <c r="T2190" s="6" t="str">
        <f>IFERROR(__xludf.DUMMYFUNCTION("""COMPUTED_VALUE"""),"exasperated")</f>
        <v>exasperated</v>
      </c>
      <c r="W2190" s="8"/>
      <c r="AJ2190" s="1"/>
      <c r="AM2190" s="1" t="s">
        <v>904</v>
      </c>
    </row>
    <row r="2191">
      <c r="E2191" s="1" t="s">
        <v>4389</v>
      </c>
      <c r="H2191" s="1" t="s">
        <v>2000</v>
      </c>
      <c r="I2191" s="6" t="str">
        <f>IFERROR(__xludf.DUMMYFUNCTION("""COMPUTED_VALUE"""),"seas")</f>
        <v>seas</v>
      </c>
      <c r="S2191" s="1" t="s">
        <v>2191</v>
      </c>
      <c r="T2191" s="6" t="str">
        <f>IFERROR(__xludf.DUMMYFUNCTION("""COMPUTED_VALUE"""),"venice")</f>
        <v>venice</v>
      </c>
      <c r="W2191" s="8"/>
      <c r="AJ2191" s="1"/>
      <c r="AM2191" s="1" t="s">
        <v>2105</v>
      </c>
    </row>
    <row r="2192">
      <c r="E2192" s="1" t="s">
        <v>574</v>
      </c>
      <c r="H2192" s="1" t="s">
        <v>4704</v>
      </c>
      <c r="I2192" s="6" t="str">
        <f>IFERROR(__xludf.DUMMYFUNCTION("""COMPUTED_VALUE"""),"christianity")</f>
        <v>christianity</v>
      </c>
      <c r="S2192" s="1" t="s">
        <v>5393</v>
      </c>
      <c r="T2192" s="6" t="str">
        <f>IFERROR(__xludf.DUMMYFUNCTION("""COMPUTED_VALUE"""),"mika")</f>
        <v>mika</v>
      </c>
      <c r="W2192" s="8"/>
      <c r="AJ2192" s="1"/>
      <c r="AM2192" s="1" t="s">
        <v>3330</v>
      </c>
    </row>
    <row r="2193">
      <c r="E2193" s="1" t="s">
        <v>5394</v>
      </c>
      <c r="H2193" s="1" t="s">
        <v>1292</v>
      </c>
      <c r="I2193" s="6" t="str">
        <f>IFERROR(__xludf.DUMMYFUNCTION("""COMPUTED_VALUE"""),"activism")</f>
        <v>activism</v>
      </c>
      <c r="S2193" s="1" t="s">
        <v>5395</v>
      </c>
      <c r="T2193" s="6" t="str">
        <f>IFERROR(__xludf.DUMMYFUNCTION("""COMPUTED_VALUE"""),"groove")</f>
        <v>groove</v>
      </c>
      <c r="W2193" s="8"/>
      <c r="AJ2193" s="1"/>
      <c r="AM2193" s="1" t="s">
        <v>4373</v>
      </c>
    </row>
    <row r="2194">
      <c r="E2194" s="1" t="s">
        <v>1433</v>
      </c>
      <c r="H2194" s="1" t="s">
        <v>4705</v>
      </c>
      <c r="I2194" s="6" t="str">
        <f>IFERROR(__xludf.DUMMYFUNCTION("""COMPUTED_VALUE"""),"salvage")</f>
        <v>salvage</v>
      </c>
      <c r="S2194" s="1" t="s">
        <v>1207</v>
      </c>
      <c r="T2194" s="6" t="str">
        <f>IFERROR(__xludf.DUMMYFUNCTION("""COMPUTED_VALUE"""),"stevens")</f>
        <v>stevens</v>
      </c>
      <c r="W2194" s="8"/>
      <c r="AJ2194" s="1"/>
      <c r="AM2194" s="1" t="s">
        <v>5396</v>
      </c>
    </row>
    <row r="2195">
      <c r="E2195" s="1" t="s">
        <v>1630</v>
      </c>
      <c r="H2195" s="1" t="s">
        <v>4707</v>
      </c>
      <c r="I2195" s="6" t="str">
        <f>IFERROR(__xludf.DUMMYFUNCTION("""COMPUTED_VALUE"""),"walsh")</f>
        <v>walsh</v>
      </c>
      <c r="S2195" s="1" t="s">
        <v>5397</v>
      </c>
      <c r="T2195" s="6" t="str">
        <f>IFERROR(__xludf.DUMMYFUNCTION("""COMPUTED_VALUE"""),"astronaut")</f>
        <v>astronaut</v>
      </c>
      <c r="W2195" s="8"/>
      <c r="AJ2195" s="1"/>
      <c r="AM2195" s="1" t="s">
        <v>3812</v>
      </c>
    </row>
    <row r="2196">
      <c r="E2196" s="1" t="s">
        <v>2562</v>
      </c>
      <c r="H2196" s="1" t="s">
        <v>3616</v>
      </c>
      <c r="I2196" s="6" t="str">
        <f>IFERROR(__xludf.DUMMYFUNCTION("""COMPUTED_VALUE"""),"eileen")</f>
        <v>eileen</v>
      </c>
      <c r="S2196" s="1" t="s">
        <v>1714</v>
      </c>
      <c r="T2196" s="6" t="str">
        <f>IFERROR(__xludf.DUMMYFUNCTION("""COMPUTED_VALUE"""),"mtv")</f>
        <v>mtv</v>
      </c>
      <c r="W2196" s="8"/>
      <c r="AJ2196" s="1"/>
      <c r="AM2196" s="1" t="s">
        <v>5318</v>
      </c>
    </row>
    <row r="2197">
      <c r="E2197" s="1" t="s">
        <v>2566</v>
      </c>
      <c r="H2197" s="1" t="s">
        <v>4712</v>
      </c>
      <c r="I2197" s="6" t="str">
        <f>IFERROR(__xludf.DUMMYFUNCTION("""COMPUTED_VALUE"""),"taut")</f>
        <v>taut</v>
      </c>
      <c r="S2197" s="1" t="s">
        <v>5057</v>
      </c>
      <c r="T2197" s="6" t="str">
        <f>IFERROR(__xludf.DUMMYFUNCTION("""COMPUTED_VALUE"""),"hysteria")</f>
        <v>hysteria</v>
      </c>
      <c r="W2197" s="8"/>
      <c r="AJ2197" s="1"/>
      <c r="AM2197" s="1" t="s">
        <v>2109</v>
      </c>
    </row>
    <row r="2198">
      <c r="E2198" s="1" t="s">
        <v>2568</v>
      </c>
      <c r="H2198" s="1" t="s">
        <v>5253</v>
      </c>
      <c r="I2198" s="6" t="str">
        <f>IFERROR(__xludf.DUMMYFUNCTION("""COMPUTED_VALUE"""),"robinson")</f>
        <v>robinson</v>
      </c>
      <c r="S2198" s="1" t="s">
        <v>2236</v>
      </c>
      <c r="T2198" s="6" t="str">
        <f>IFERROR(__xludf.DUMMYFUNCTION("""COMPUTED_VALUE"""),"conan")</f>
        <v>conan</v>
      </c>
      <c r="W2198" s="8"/>
      <c r="AJ2198" s="1"/>
      <c r="AM2198" s="1" t="s">
        <v>5398</v>
      </c>
    </row>
    <row r="2199">
      <c r="E2199" s="1" t="s">
        <v>5047</v>
      </c>
      <c r="H2199" s="1" t="s">
        <v>5399</v>
      </c>
      <c r="I2199" s="6" t="str">
        <f>IFERROR(__xludf.DUMMYFUNCTION("""COMPUTED_VALUE"""),"discreet")</f>
        <v>discreet</v>
      </c>
      <c r="S2199" s="1" t="s">
        <v>5400</v>
      </c>
      <c r="T2199" s="6" t="str">
        <f>IFERROR(__xludf.DUMMYFUNCTION("""COMPUTED_VALUE"""),"proportions")</f>
        <v>proportions</v>
      </c>
      <c r="W2199" s="8"/>
      <c r="AJ2199" s="1"/>
      <c r="AM2199" s="1" t="s">
        <v>5401</v>
      </c>
    </row>
    <row r="2200">
      <c r="E2200" s="1" t="s">
        <v>4396</v>
      </c>
      <c r="H2200" s="1" t="s">
        <v>5180</v>
      </c>
      <c r="I2200" s="6" t="str">
        <f>IFERROR(__xludf.DUMMYFUNCTION("""COMPUTED_VALUE"""),"stripped")</f>
        <v>stripped</v>
      </c>
      <c r="S2200" s="1" t="s">
        <v>2203</v>
      </c>
      <c r="T2200" s="6" t="str">
        <f>IFERROR(__xludf.DUMMYFUNCTION("""COMPUTED_VALUE"""),"hypnotic")</f>
        <v>hypnotic</v>
      </c>
      <c r="W2200" s="8"/>
      <c r="AJ2200" s="1"/>
      <c r="AM2200" s="1" t="s">
        <v>3817</v>
      </c>
    </row>
    <row r="2201">
      <c r="E2201" s="1" t="s">
        <v>4398</v>
      </c>
      <c r="H2201" s="1" t="s">
        <v>3620</v>
      </c>
      <c r="I2201" s="6" t="str">
        <f>IFERROR(__xludf.DUMMYFUNCTION("""COMPUTED_VALUE"""),"partnership")</f>
        <v>partnership</v>
      </c>
      <c r="S2201" s="1" t="s">
        <v>3774</v>
      </c>
      <c r="T2201" s="6" t="str">
        <f>IFERROR(__xludf.DUMMYFUNCTION("""COMPUTED_VALUE"""),"curious")</f>
        <v>curious</v>
      </c>
      <c r="W2201" s="8"/>
      <c r="AJ2201" s="1"/>
      <c r="AM2201" s="1" t="s">
        <v>4908</v>
      </c>
    </row>
    <row r="2202">
      <c r="E2202" s="1" t="s">
        <v>4401</v>
      </c>
      <c r="H2202" s="1" t="s">
        <v>4714</v>
      </c>
      <c r="I2202" s="6" t="str">
        <f>IFERROR(__xludf.DUMMYFUNCTION("""COMPUTED_VALUE"""),"mined")</f>
        <v>mined</v>
      </c>
      <c r="S2202" s="1" t="s">
        <v>5402</v>
      </c>
      <c r="T2202" s="6" t="str">
        <f>IFERROR(__xludf.DUMMYFUNCTION("""COMPUTED_VALUE"""),"rounded")</f>
        <v>rounded</v>
      </c>
      <c r="W2202" s="8"/>
      <c r="AJ2202" s="1"/>
      <c r="AM2202" s="1" t="s">
        <v>3820</v>
      </c>
    </row>
    <row r="2203">
      <c r="E2203" s="1" t="s">
        <v>1439</v>
      </c>
      <c r="H2203" s="1" t="s">
        <v>4717</v>
      </c>
      <c r="I2203" s="6" t="str">
        <f>IFERROR(__xludf.DUMMYFUNCTION("""COMPUTED_VALUE"""),"glass")</f>
        <v>glass</v>
      </c>
      <c r="S2203" s="1" t="s">
        <v>2754</v>
      </c>
      <c r="T2203" s="6" t="str">
        <f>IFERROR(__xludf.DUMMYFUNCTION("""COMPUTED_VALUE"""),"goose")</f>
        <v>goose</v>
      </c>
      <c r="W2203" s="8"/>
      <c r="AJ2203" s="1"/>
      <c r="AM2203" s="1" t="s">
        <v>3823</v>
      </c>
    </row>
    <row r="2204">
      <c r="E2204" s="1" t="s">
        <v>1445</v>
      </c>
      <c r="H2204" s="1" t="s">
        <v>1001</v>
      </c>
      <c r="I2204" s="6" t="str">
        <f>IFERROR(__xludf.DUMMYFUNCTION("""COMPUTED_VALUE"""),"amazement")</f>
        <v>amazement</v>
      </c>
      <c r="S2204" s="1" t="s">
        <v>1853</v>
      </c>
      <c r="T2204" s="6" t="str">
        <f>IFERROR(__xludf.DUMMYFUNCTION("""COMPUTED_VALUE"""),"stuart")</f>
        <v>stuart</v>
      </c>
      <c r="W2204" s="8"/>
      <c r="AJ2204" s="1"/>
      <c r="AM2204" s="1" t="s">
        <v>3825</v>
      </c>
    </row>
    <row r="2205">
      <c r="E2205" s="1" t="s">
        <v>4412</v>
      </c>
      <c r="H2205" s="1" t="s">
        <v>1006</v>
      </c>
      <c r="I2205" s="6" t="str">
        <f>IFERROR(__xludf.DUMMYFUNCTION("""COMPUTED_VALUE"""),"tabloid")</f>
        <v>tabloid</v>
      </c>
      <c r="S2205" s="1" t="s">
        <v>5100</v>
      </c>
      <c r="T2205" s="6" t="str">
        <f>IFERROR(__xludf.DUMMYFUNCTION("""COMPUTED_VALUE"""),"believing")</f>
        <v>believing</v>
      </c>
      <c r="W2205" s="8"/>
      <c r="AJ2205" s="1"/>
      <c r="AM2205" s="1" t="s">
        <v>2113</v>
      </c>
    </row>
    <row r="2206">
      <c r="E2206" s="1" t="s">
        <v>5403</v>
      </c>
      <c r="H2206" s="1" t="s">
        <v>2007</v>
      </c>
      <c r="I2206" s="6" t="str">
        <f>IFERROR(__xludf.DUMMYFUNCTION("""COMPUTED_VALUE"""),"mystical")</f>
        <v>mystical</v>
      </c>
      <c r="S2206" s="1" t="s">
        <v>1773</v>
      </c>
      <c r="T2206" s="6" t="str">
        <f>IFERROR(__xludf.DUMMYFUNCTION("""COMPUTED_VALUE"""),"phenomena")</f>
        <v>phenomena</v>
      </c>
      <c r="W2206" s="8"/>
      <c r="AJ2206" s="1"/>
      <c r="AM2206" s="1" t="s">
        <v>3828</v>
      </c>
    </row>
    <row r="2207">
      <c r="E2207" s="1" t="s">
        <v>5404</v>
      </c>
      <c r="H2207" s="1" t="s">
        <v>1297</v>
      </c>
      <c r="I2207" s="6" t="str">
        <f>IFERROR(__xludf.DUMMYFUNCTION("""COMPUTED_VALUE"""),"darkest")</f>
        <v>darkest</v>
      </c>
      <c r="S2207" s="1" t="s">
        <v>5405</v>
      </c>
      <c r="T2207" s="6" t="str">
        <f>IFERROR(__xludf.DUMMYFUNCTION("""COMPUTED_VALUE"""),"keen")</f>
        <v>keen</v>
      </c>
      <c r="W2207" s="8"/>
      <c r="AJ2207" s="1"/>
      <c r="AM2207" s="1" t="s">
        <v>5327</v>
      </c>
    </row>
    <row r="2208">
      <c r="E2208" s="1" t="s">
        <v>4414</v>
      </c>
      <c r="H2208" s="1" t="s">
        <v>4722</v>
      </c>
      <c r="I2208" s="6" t="str">
        <f>IFERROR(__xludf.DUMMYFUNCTION("""COMPUTED_VALUE"""),"derive")</f>
        <v>derive</v>
      </c>
      <c r="S2208" s="1" t="s">
        <v>522</v>
      </c>
      <c r="T2208" s="6" t="str">
        <f>IFERROR(__xludf.DUMMYFUNCTION("""COMPUTED_VALUE"""),"butt")</f>
        <v>butt</v>
      </c>
      <c r="W2208" s="8"/>
      <c r="AJ2208" s="1"/>
      <c r="AM2208" s="1" t="s">
        <v>3831</v>
      </c>
    </row>
    <row r="2209">
      <c r="E2209" s="1" t="s">
        <v>3708</v>
      </c>
      <c r="H2209" s="1" t="s">
        <v>1276</v>
      </c>
      <c r="I2209" s="6" t="str">
        <f>IFERROR(__xludf.DUMMYFUNCTION("""COMPUTED_VALUE"""),"saga")</f>
        <v>saga</v>
      </c>
      <c r="S2209" s="1" t="s">
        <v>4085</v>
      </c>
      <c r="T2209" s="6" t="str">
        <f>IFERROR(__xludf.DUMMYFUNCTION("""COMPUTED_VALUE"""),"philip")</f>
        <v>philip</v>
      </c>
      <c r="W2209" s="8"/>
      <c r="AJ2209" s="1"/>
      <c r="AM2209" s="1" t="s">
        <v>126</v>
      </c>
    </row>
    <row r="2210">
      <c r="E2210" s="1" t="s">
        <v>1491</v>
      </c>
      <c r="H2210" s="1" t="s">
        <v>5406</v>
      </c>
      <c r="I2210" s="6" t="str">
        <f>IFERROR(__xludf.DUMMYFUNCTION("""COMPUTED_VALUE"""),"tinged")</f>
        <v>tinged</v>
      </c>
      <c r="S2210" s="1" t="s">
        <v>218</v>
      </c>
      <c r="T2210" s="6" t="str">
        <f>IFERROR(__xludf.DUMMYFUNCTION("""COMPUTED_VALUE"""),"feral")</f>
        <v>feral</v>
      </c>
      <c r="W2210" s="8"/>
      <c r="AJ2210" s="1"/>
      <c r="AM2210" s="1" t="s">
        <v>3835</v>
      </c>
    </row>
    <row r="2211">
      <c r="E2211" s="1" t="s">
        <v>4416</v>
      </c>
      <c r="H2211" s="1" t="s">
        <v>4723</v>
      </c>
      <c r="I2211" s="6" t="str">
        <f>IFERROR(__xludf.DUMMYFUNCTION("""COMPUTED_VALUE"""),"arrest")</f>
        <v>arrest</v>
      </c>
      <c r="S2211" s="1" t="s">
        <v>197</v>
      </c>
      <c r="T2211" s="6" t="str">
        <f>IFERROR(__xludf.DUMMYFUNCTION("""COMPUTED_VALUE"""),"preceded")</f>
        <v>preceded</v>
      </c>
      <c r="W2211" s="8"/>
      <c r="AJ2211" s="1"/>
      <c r="AM2211" s="1" t="s">
        <v>3837</v>
      </c>
    </row>
    <row r="2212">
      <c r="E2212" s="1" t="s">
        <v>1450</v>
      </c>
      <c r="H2212" s="1" t="s">
        <v>4727</v>
      </c>
      <c r="I2212" s="6" t="str">
        <f>IFERROR(__xludf.DUMMYFUNCTION("""COMPUTED_VALUE"""),"distances")</f>
        <v>distances</v>
      </c>
      <c r="S2212" s="1" t="s">
        <v>1406</v>
      </c>
      <c r="T2212" s="6" t="str">
        <f>IFERROR(__xludf.DUMMYFUNCTION("""COMPUTED_VALUE"""),"presenting")</f>
        <v>presenting</v>
      </c>
      <c r="W2212" s="8"/>
      <c r="AJ2212" s="1"/>
      <c r="AM2212" s="1" t="s">
        <v>5407</v>
      </c>
    </row>
    <row r="2213">
      <c r="E2213" s="1" t="s">
        <v>5360</v>
      </c>
      <c r="H2213" s="1" t="s">
        <v>3209</v>
      </c>
      <c r="I2213" s="6" t="str">
        <f>IFERROR(__xludf.DUMMYFUNCTION("""COMPUTED_VALUE"""),"appeals")</f>
        <v>appeals</v>
      </c>
      <c r="S2213" s="1" t="s">
        <v>5408</v>
      </c>
      <c r="T2213" s="6" t="str">
        <f>IFERROR(__xludf.DUMMYFUNCTION("""COMPUTED_VALUE"""),"gamble")</f>
        <v>gamble</v>
      </c>
      <c r="W2213" s="8"/>
      <c r="AJ2213" s="1"/>
      <c r="AM2213" s="1" t="s">
        <v>2117</v>
      </c>
    </row>
    <row r="2214">
      <c r="E2214" s="1" t="s">
        <v>5409</v>
      </c>
      <c r="H2214" s="1" t="s">
        <v>2011</v>
      </c>
      <c r="I2214" s="6" t="str">
        <f>IFERROR(__xludf.DUMMYFUNCTION("""COMPUTED_VALUE"""),"manipulating")</f>
        <v>manipulating</v>
      </c>
      <c r="S2214" s="1" t="s">
        <v>3090</v>
      </c>
      <c r="T2214" s="6" t="str">
        <f>IFERROR(__xludf.DUMMYFUNCTION("""COMPUTED_VALUE"""),"beaches")</f>
        <v>beaches</v>
      </c>
      <c r="W2214" s="8"/>
      <c r="AJ2214" s="1"/>
      <c r="AM2214" s="1" t="s">
        <v>3587</v>
      </c>
    </row>
    <row r="2215">
      <c r="E2215" s="1" t="s">
        <v>2582</v>
      </c>
      <c r="H2215" s="1" t="s">
        <v>4729</v>
      </c>
      <c r="I2215" s="6" t="str">
        <f>IFERROR(__xludf.DUMMYFUNCTION("""COMPUTED_VALUE"""),"hypothesis")</f>
        <v>hypothesis</v>
      </c>
      <c r="S2215" s="1" t="s">
        <v>3365</v>
      </c>
      <c r="T2215" s="6" t="str">
        <f>IFERROR(__xludf.DUMMYFUNCTION("""COMPUTED_VALUE"""),"numb")</f>
        <v>numb</v>
      </c>
      <c r="W2215" s="8"/>
      <c r="AJ2215" s="1"/>
      <c r="AM2215" s="1" t="s">
        <v>2121</v>
      </c>
    </row>
    <row r="2216">
      <c r="E2216" s="1" t="s">
        <v>2588</v>
      </c>
      <c r="H2216" s="1" t="s">
        <v>2689</v>
      </c>
      <c r="I2216" s="6" t="str">
        <f>IFERROR(__xludf.DUMMYFUNCTION("""COMPUTED_VALUE"""),"elemental")</f>
        <v>elemental</v>
      </c>
      <c r="S2216" s="1" t="s">
        <v>5410</v>
      </c>
      <c r="T2216" s="6">
        <f>IFERROR(__xludf.DUMMYFUNCTION("""COMPUTED_VALUE"""),1957.0)</f>
        <v>1957</v>
      </c>
      <c r="W2216" s="8"/>
      <c r="AJ2216" s="1"/>
      <c r="AM2216" s="1" t="s">
        <v>3348</v>
      </c>
    </row>
    <row r="2217">
      <c r="E2217" s="1" t="s">
        <v>1457</v>
      </c>
      <c r="H2217" s="1" t="s">
        <v>4070</v>
      </c>
      <c r="I2217" s="6" t="str">
        <f>IFERROR(__xludf.DUMMYFUNCTION("""COMPUTED_VALUE"""),"arc")</f>
        <v>arc</v>
      </c>
      <c r="S2217" s="1" t="s">
        <v>1938</v>
      </c>
      <c r="T2217" s="6" t="str">
        <f>IFERROR(__xludf.DUMMYFUNCTION("""COMPUTED_VALUE"""),"sacrifices")</f>
        <v>sacrifices</v>
      </c>
      <c r="W2217" s="8"/>
      <c r="AJ2217" s="1"/>
      <c r="AM2217" s="1" t="s">
        <v>3846</v>
      </c>
    </row>
    <row r="2218">
      <c r="E2218" s="1" t="s">
        <v>4425</v>
      </c>
      <c r="H2218" s="1" t="s">
        <v>3216</v>
      </c>
      <c r="I2218" s="6" t="str">
        <f>IFERROR(__xludf.DUMMYFUNCTION("""COMPUTED_VALUE"""),"needy")</f>
        <v>needy</v>
      </c>
      <c r="S2218" s="1" t="s">
        <v>4022</v>
      </c>
      <c r="T2218" s="6" t="str">
        <f>IFERROR(__xludf.DUMMYFUNCTION("""COMPUTED_VALUE"""),"philippe")</f>
        <v>philippe</v>
      </c>
      <c r="W2218" s="8"/>
      <c r="AJ2218" s="1"/>
      <c r="AM2218" s="1" t="s">
        <v>484</v>
      </c>
    </row>
    <row r="2219">
      <c r="E2219" s="1" t="s">
        <v>2595</v>
      </c>
      <c r="H2219" s="1" t="s">
        <v>4662</v>
      </c>
      <c r="I2219" s="6" t="str">
        <f>IFERROR(__xludf.DUMMYFUNCTION("""COMPUTED_VALUE"""),"prostitute")</f>
        <v>prostitute</v>
      </c>
      <c r="S2219" s="1" t="s">
        <v>5411</v>
      </c>
      <c r="T2219" s="6" t="str">
        <f>IFERROR(__xludf.DUMMYFUNCTION("""COMPUTED_VALUE"""),"consciously")</f>
        <v>consciously</v>
      </c>
      <c r="W2219" s="8"/>
      <c r="AJ2219" s="1"/>
      <c r="AM2219" s="1" t="s">
        <v>1392</v>
      </c>
    </row>
    <row r="2220">
      <c r="E2220" s="1" t="s">
        <v>2601</v>
      </c>
      <c r="H2220" s="1" t="s">
        <v>1013</v>
      </c>
      <c r="I2220" s="6" t="str">
        <f>IFERROR(__xludf.DUMMYFUNCTION("""COMPUTED_VALUE"""),"radioactive")</f>
        <v>radioactive</v>
      </c>
      <c r="S2220" s="1" t="s">
        <v>5412</v>
      </c>
      <c r="T2220" s="6" t="str">
        <f>IFERROR(__xludf.DUMMYFUNCTION("""COMPUTED_VALUE"""),"asphalt")</f>
        <v>asphalt</v>
      </c>
      <c r="W2220" s="8"/>
      <c r="AJ2220" s="1"/>
      <c r="AM2220" s="1" t="s">
        <v>3554</v>
      </c>
    </row>
    <row r="2221">
      <c r="E2221" s="1" t="s">
        <v>5413</v>
      </c>
      <c r="H2221" s="1" t="s">
        <v>5414</v>
      </c>
      <c r="I2221" s="6" t="str">
        <f>IFERROR(__xludf.DUMMYFUNCTION("""COMPUTED_VALUE"""),"destructive")</f>
        <v>destructive</v>
      </c>
      <c r="S2221" s="1" t="s">
        <v>4614</v>
      </c>
      <c r="T2221" s="6" t="str">
        <f>IFERROR(__xludf.DUMMYFUNCTION("""COMPUTED_VALUE"""),"tall")</f>
        <v>tall</v>
      </c>
      <c r="W2221" s="8"/>
      <c r="AJ2221" s="1"/>
      <c r="AM2221" s="1" t="s">
        <v>3852</v>
      </c>
    </row>
    <row r="2222">
      <c r="E2222" s="1" t="s">
        <v>1465</v>
      </c>
      <c r="H2222" s="1" t="s">
        <v>3219</v>
      </c>
      <c r="I2222" s="6" t="str">
        <f>IFERROR(__xludf.DUMMYFUNCTION("""COMPUTED_VALUE"""),"demonic")</f>
        <v>demonic</v>
      </c>
      <c r="S2222" s="1" t="s">
        <v>5415</v>
      </c>
      <c r="T2222" s="6" t="str">
        <f>IFERROR(__xludf.DUMMYFUNCTION("""COMPUTED_VALUE"""),"grim")</f>
        <v>grim</v>
      </c>
      <c r="W2222" s="8"/>
      <c r="AJ2222" s="1"/>
      <c r="AM2222" s="1" t="s">
        <v>3855</v>
      </c>
    </row>
    <row r="2223">
      <c r="E2223" s="1" t="s">
        <v>2607</v>
      </c>
      <c r="H2223" s="1" t="s">
        <v>3636</v>
      </c>
      <c r="I2223" s="6" t="str">
        <f>IFERROR(__xludf.DUMMYFUNCTION("""COMPUTED_VALUE"""),"crane")</f>
        <v>crane</v>
      </c>
      <c r="S2223" s="1" t="s">
        <v>1790</v>
      </c>
      <c r="T2223" s="6" t="str">
        <f>IFERROR(__xludf.DUMMYFUNCTION("""COMPUTED_VALUE"""),"page")</f>
        <v>page</v>
      </c>
      <c r="W2223" s="8"/>
      <c r="AJ2223" s="1"/>
      <c r="AM2223" s="1" t="s">
        <v>4929</v>
      </c>
    </row>
    <row r="2224">
      <c r="E2224" s="1" t="s">
        <v>5416</v>
      </c>
      <c r="H2224" s="1" t="s">
        <v>2017</v>
      </c>
      <c r="I2224" s="6" t="str">
        <f>IFERROR(__xludf.DUMMYFUNCTION("""COMPUTED_VALUE"""),"poking")</f>
        <v>poking</v>
      </c>
      <c r="S2224" s="1" t="s">
        <v>5254</v>
      </c>
      <c r="T2224" s="6" t="str">
        <f>IFERROR(__xludf.DUMMYFUNCTION("""COMPUTED_VALUE"""),"longtime")</f>
        <v>longtime</v>
      </c>
      <c r="W2224" s="8"/>
      <c r="AJ2224" s="1"/>
      <c r="AM2224" s="1" t="s">
        <v>5417</v>
      </c>
    </row>
    <row r="2225">
      <c r="E2225" s="1" t="s">
        <v>1472</v>
      </c>
      <c r="H2225" s="1" t="s">
        <v>1302</v>
      </c>
      <c r="I2225" s="6" t="str">
        <f>IFERROR(__xludf.DUMMYFUNCTION("""COMPUTED_VALUE"""),"holmes")</f>
        <v>holmes</v>
      </c>
      <c r="S2225" s="1" t="s">
        <v>982</v>
      </c>
      <c r="T2225" s="6" t="str">
        <f>IFERROR(__xludf.DUMMYFUNCTION("""COMPUTED_VALUE"""),"littered")</f>
        <v>littered</v>
      </c>
      <c r="W2225" s="8"/>
      <c r="AJ2225" s="1"/>
      <c r="AM2225" s="1" t="s">
        <v>1399</v>
      </c>
    </row>
    <row r="2226">
      <c r="E2226" s="1" t="s">
        <v>3712</v>
      </c>
      <c r="H2226" s="1" t="s">
        <v>4430</v>
      </c>
      <c r="I2226" s="6" t="str">
        <f>IFERROR(__xludf.DUMMYFUNCTION("""COMPUTED_VALUE"""),"convictions")</f>
        <v>convictions</v>
      </c>
      <c r="S2226" s="1" t="s">
        <v>5418</v>
      </c>
      <c r="T2226" s="6" t="str">
        <f>IFERROR(__xludf.DUMMYFUNCTION("""COMPUTED_VALUE"""),"experimental")</f>
        <v>experimental</v>
      </c>
      <c r="W2226" s="8"/>
      <c r="AJ2226" s="1"/>
      <c r="AM2226" s="1" t="s">
        <v>5419</v>
      </c>
    </row>
    <row r="2227">
      <c r="E2227" s="1" t="s">
        <v>1707</v>
      </c>
      <c r="H2227" s="1" t="s">
        <v>1927</v>
      </c>
      <c r="I2227" s="6" t="str">
        <f>IFERROR(__xludf.DUMMYFUNCTION("""COMPUTED_VALUE"""),"posing")</f>
        <v>posing</v>
      </c>
      <c r="S2227" s="1" t="s">
        <v>1236</v>
      </c>
      <c r="T2227" s="6" t="str">
        <f>IFERROR(__xludf.DUMMYFUNCTION("""COMPUTED_VALUE"""),"creatures")</f>
        <v>creatures</v>
      </c>
      <c r="W2227" s="8"/>
      <c r="AJ2227" s="1"/>
      <c r="AM2227" s="1" t="s">
        <v>3859</v>
      </c>
    </row>
    <row r="2228">
      <c r="E2228" s="1" t="s">
        <v>4440</v>
      </c>
      <c r="H2228" s="1" t="s">
        <v>3223</v>
      </c>
      <c r="I2228" s="6" t="str">
        <f>IFERROR(__xludf.DUMMYFUNCTION("""COMPUTED_VALUE"""),"populace")</f>
        <v>populace</v>
      </c>
      <c r="S2228" s="1" t="s">
        <v>4671</v>
      </c>
      <c r="T2228" s="6" t="str">
        <f>IFERROR(__xludf.DUMMYFUNCTION("""COMPUTED_VALUE"""),"cleavage")</f>
        <v>cleavage</v>
      </c>
      <c r="W2228" s="8"/>
      <c r="AJ2228" s="1"/>
      <c r="AM2228" s="1" t="s">
        <v>5420</v>
      </c>
    </row>
    <row r="2229">
      <c r="E2229" s="1" t="s">
        <v>5421</v>
      </c>
      <c r="H2229" s="1" t="s">
        <v>2021</v>
      </c>
      <c r="I2229" s="6" t="str">
        <f>IFERROR(__xludf.DUMMYFUNCTION("""COMPUTED_VALUE"""),"disastrous")</f>
        <v>disastrous</v>
      </c>
      <c r="S2229" s="1" t="s">
        <v>1298</v>
      </c>
      <c r="T2229" s="6" t="str">
        <f>IFERROR(__xludf.DUMMYFUNCTION("""COMPUTED_VALUE"""),"youthful")</f>
        <v>youthful</v>
      </c>
      <c r="W2229" s="8"/>
      <c r="AJ2229" s="1"/>
      <c r="AM2229" s="1" t="s">
        <v>1080</v>
      </c>
    </row>
    <row r="2230">
      <c r="E2230" s="1" t="s">
        <v>4443</v>
      </c>
      <c r="H2230" s="1" t="s">
        <v>3882</v>
      </c>
      <c r="I2230" s="6" t="str">
        <f>IFERROR(__xludf.DUMMYFUNCTION("""COMPUTED_VALUE"""),"behave")</f>
        <v>behave</v>
      </c>
      <c r="S2230" s="1" t="s">
        <v>1543</v>
      </c>
      <c r="T2230" s="6" t="str">
        <f>IFERROR(__xludf.DUMMYFUNCTION("""COMPUTED_VALUE"""),"expanse")</f>
        <v>expanse</v>
      </c>
      <c r="W2230" s="8"/>
      <c r="AJ2230" s="1"/>
      <c r="AM2230" s="1" t="s">
        <v>4934</v>
      </c>
    </row>
    <row r="2231">
      <c r="E2231" s="1" t="s">
        <v>4446</v>
      </c>
      <c r="H2231" s="1" t="s">
        <v>3666</v>
      </c>
      <c r="I2231" s="6" t="str">
        <f>IFERROR(__xludf.DUMMYFUNCTION("""COMPUTED_VALUE"""),"journalist")</f>
        <v>journalist</v>
      </c>
      <c r="S2231" s="1" t="s">
        <v>2652</v>
      </c>
      <c r="T2231" s="6" t="str">
        <f>IFERROR(__xludf.DUMMYFUNCTION("""COMPUTED_VALUE"""),"explosive")</f>
        <v>explosive</v>
      </c>
      <c r="W2231" s="8"/>
      <c r="AJ2231" s="1"/>
      <c r="AM2231" s="1" t="s">
        <v>5422</v>
      </c>
    </row>
    <row r="2232">
      <c r="E2232" s="1" t="s">
        <v>5235</v>
      </c>
      <c r="H2232" s="1" t="s">
        <v>2025</v>
      </c>
      <c r="I2232" s="6" t="str">
        <f>IFERROR(__xludf.DUMMYFUNCTION("""COMPUTED_VALUE"""),"exasperated")</f>
        <v>exasperated</v>
      </c>
      <c r="S2232" s="1" t="s">
        <v>5423</v>
      </c>
      <c r="T2232" s="6" t="str">
        <f>IFERROR(__xludf.DUMMYFUNCTION("""COMPUTED_VALUE"""),"nemesis")</f>
        <v>nemesis</v>
      </c>
      <c r="W2232" s="8"/>
      <c r="AJ2232" s="1"/>
      <c r="AM2232" s="1" t="s">
        <v>3863</v>
      </c>
    </row>
    <row r="2233">
      <c r="E2233" s="1" t="s">
        <v>2293</v>
      </c>
      <c r="H2233" s="1" t="s">
        <v>3227</v>
      </c>
      <c r="I2233" s="6" t="str">
        <f>IFERROR(__xludf.DUMMYFUNCTION("""COMPUTED_VALUE"""),"venice")</f>
        <v>venice</v>
      </c>
      <c r="S2233" s="1">
        <v>51.0</v>
      </c>
      <c r="T2233" s="6" t="str">
        <f>IFERROR(__xludf.DUMMYFUNCTION("""COMPUTED_VALUE"""),"remembrance")</f>
        <v>remembrance</v>
      </c>
      <c r="W2233" s="8"/>
      <c r="AJ2233" s="1"/>
      <c r="AM2233" s="1" t="s">
        <v>5424</v>
      </c>
    </row>
    <row r="2234">
      <c r="E2234" s="1" t="s">
        <v>2619</v>
      </c>
      <c r="H2234" s="1" t="s">
        <v>3229</v>
      </c>
      <c r="I2234" s="6" t="str">
        <f>IFERROR(__xludf.DUMMYFUNCTION("""COMPUTED_VALUE"""),"mika")</f>
        <v>mika</v>
      </c>
      <c r="S2234" s="1" t="s">
        <v>3364</v>
      </c>
      <c r="T2234" s="6" t="str">
        <f>IFERROR(__xludf.DUMMYFUNCTION("""COMPUTED_VALUE"""),"lina")</f>
        <v>lina</v>
      </c>
      <c r="W2234" s="8"/>
      <c r="AJ2234" s="1"/>
      <c r="AM2234" s="1" t="s">
        <v>4936</v>
      </c>
    </row>
    <row r="2235">
      <c r="E2235" s="1" t="s">
        <v>5425</v>
      </c>
      <c r="H2235" s="1" t="s">
        <v>5276</v>
      </c>
      <c r="I2235" s="6" t="str">
        <f>IFERROR(__xludf.DUMMYFUNCTION("""COMPUTED_VALUE"""),"fallon")</f>
        <v>fallon</v>
      </c>
      <c r="S2235" s="1" t="s">
        <v>4873</v>
      </c>
      <c r="T2235" s="6" t="str">
        <f>IFERROR(__xludf.DUMMYFUNCTION("""COMPUTED_VALUE"""),"shaky")</f>
        <v>shaky</v>
      </c>
      <c r="W2235" s="8"/>
      <c r="AJ2235" s="1"/>
      <c r="AM2235" s="1" t="s">
        <v>3864</v>
      </c>
    </row>
    <row r="2236">
      <c r="E2236" s="1" t="s">
        <v>1479</v>
      </c>
      <c r="H2236" s="1" t="s">
        <v>4749</v>
      </c>
      <c r="I2236" s="6" t="str">
        <f>IFERROR(__xludf.DUMMYFUNCTION("""COMPUTED_VALUE"""),"forgiveness")</f>
        <v>forgiveness</v>
      </c>
      <c r="S2236" s="1" t="s">
        <v>5426</v>
      </c>
      <c r="T2236" s="6" t="str">
        <f>IFERROR(__xludf.DUMMYFUNCTION("""COMPUTED_VALUE"""),"tame")</f>
        <v>tame</v>
      </c>
      <c r="W2236" s="8"/>
      <c r="AJ2236" s="1"/>
      <c r="AM2236" s="1" t="s">
        <v>3866</v>
      </c>
    </row>
    <row r="2237">
      <c r="E2237" s="1" t="s">
        <v>1713</v>
      </c>
      <c r="H2237" s="1" t="s">
        <v>3545</v>
      </c>
      <c r="I2237" s="6" t="str">
        <f>IFERROR(__xludf.DUMMYFUNCTION("""COMPUTED_VALUE"""),"prose")</f>
        <v>prose</v>
      </c>
      <c r="S2237" s="1" t="s">
        <v>3062</v>
      </c>
      <c r="T2237" s="6" t="str">
        <f>IFERROR(__xludf.DUMMYFUNCTION("""COMPUTED_VALUE"""),"superstar")</f>
        <v>superstar</v>
      </c>
      <c r="W2237" s="8"/>
      <c r="AJ2237" s="1"/>
      <c r="AM2237" s="1" t="s">
        <v>4938</v>
      </c>
    </row>
    <row r="2238">
      <c r="E2238" s="1" t="s">
        <v>3717</v>
      </c>
      <c r="H2238" s="1" t="s">
        <v>2010</v>
      </c>
      <c r="I2238" s="6" t="str">
        <f>IFERROR(__xludf.DUMMYFUNCTION("""COMPUTED_VALUE"""),"cinematographer")</f>
        <v>cinematographer</v>
      </c>
      <c r="S2238" s="1" t="s">
        <v>5427</v>
      </c>
      <c r="T2238" s="6" t="str">
        <f>IFERROR(__xludf.DUMMYFUNCTION("""COMPUTED_VALUE"""),"error")</f>
        <v>error</v>
      </c>
      <c r="W2238" s="8"/>
      <c r="AJ2238" s="1"/>
      <c r="AM2238" s="1" t="s">
        <v>3868</v>
      </c>
    </row>
    <row r="2239">
      <c r="E2239" s="1" t="s">
        <v>2627</v>
      </c>
      <c r="H2239" s="1" t="s">
        <v>5273</v>
      </c>
      <c r="I2239" s="6" t="str">
        <f>IFERROR(__xludf.DUMMYFUNCTION("""COMPUTED_VALUE"""),"stevens")</f>
        <v>stevens</v>
      </c>
      <c r="S2239" s="1" t="s">
        <v>5428</v>
      </c>
      <c r="T2239" s="6" t="str">
        <f>IFERROR(__xludf.DUMMYFUNCTION("""COMPUTED_VALUE"""),"1960s")</f>
        <v>1960s</v>
      </c>
      <c r="W2239" s="8"/>
      <c r="AJ2239" s="1"/>
      <c r="AM2239" s="1" t="s">
        <v>3870</v>
      </c>
    </row>
    <row r="2240">
      <c r="E2240" s="1" t="s">
        <v>5429</v>
      </c>
      <c r="H2240" s="1" t="s">
        <v>2028</v>
      </c>
      <c r="I2240" s="6" t="str">
        <f>IFERROR(__xludf.DUMMYFUNCTION("""COMPUTED_VALUE"""),"mtv")</f>
        <v>mtv</v>
      </c>
      <c r="S2240" s="1" t="s">
        <v>2081</v>
      </c>
      <c r="T2240" s="6" t="str">
        <f>IFERROR(__xludf.DUMMYFUNCTION("""COMPUTED_VALUE"""),"notably")</f>
        <v>notably</v>
      </c>
      <c r="W2240" s="8"/>
      <c r="AJ2240" s="1"/>
      <c r="AM2240" s="1" t="s">
        <v>2133</v>
      </c>
    </row>
    <row r="2241">
      <c r="E2241" s="1" t="s">
        <v>5430</v>
      </c>
      <c r="H2241" s="1" t="s">
        <v>4358</v>
      </c>
      <c r="I2241" s="6" t="str">
        <f>IFERROR(__xludf.DUMMYFUNCTION("""COMPUTED_VALUE"""),"hysteria")</f>
        <v>hysteria</v>
      </c>
      <c r="S2241" s="1" t="s">
        <v>5153</v>
      </c>
      <c r="T2241" s="6" t="str">
        <f>IFERROR(__xludf.DUMMYFUNCTION("""COMPUTED_VALUE"""),"sustained")</f>
        <v>sustained</v>
      </c>
      <c r="W2241" s="8"/>
      <c r="AJ2241" s="1"/>
      <c r="AM2241" s="1" t="s">
        <v>2136</v>
      </c>
    </row>
    <row r="2242">
      <c r="E2242" s="1" t="s">
        <v>5431</v>
      </c>
      <c r="H2242" s="1" t="s">
        <v>2433</v>
      </c>
      <c r="I2242" s="6" t="str">
        <f>IFERROR(__xludf.DUMMYFUNCTION("""COMPUTED_VALUE"""),"proportions")</f>
        <v>proportions</v>
      </c>
      <c r="S2242" s="1" t="s">
        <v>5432</v>
      </c>
      <c r="T2242" s="6" t="str">
        <f>IFERROR(__xludf.DUMMYFUNCTION("""COMPUTED_VALUE"""),"keel")</f>
        <v>keel</v>
      </c>
      <c r="W2242" s="8"/>
      <c r="AJ2242" s="1"/>
      <c r="AM2242" s="1" t="s">
        <v>3875</v>
      </c>
    </row>
    <row r="2243">
      <c r="E2243" s="1" t="s">
        <v>5433</v>
      </c>
      <c r="H2243" s="1" t="s">
        <v>1732</v>
      </c>
      <c r="I2243" s="6" t="str">
        <f>IFERROR(__xludf.DUMMYFUNCTION("""COMPUTED_VALUE"""),"resentment")</f>
        <v>resentment</v>
      </c>
      <c r="S2243" s="1" t="s">
        <v>5349</v>
      </c>
      <c r="T2243" s="6" t="str">
        <f>IFERROR(__xludf.DUMMYFUNCTION("""COMPUTED_VALUE"""),"tolerance")</f>
        <v>tolerance</v>
      </c>
      <c r="W2243" s="8"/>
      <c r="AJ2243" s="1"/>
      <c r="AM2243" s="1" t="s">
        <v>1087</v>
      </c>
    </row>
    <row r="2244">
      <c r="E2244" s="1" t="s">
        <v>4457</v>
      </c>
      <c r="H2244" s="1" t="s">
        <v>4752</v>
      </c>
      <c r="I2244" s="6" t="str">
        <f>IFERROR(__xludf.DUMMYFUNCTION("""COMPUTED_VALUE"""),"cadence")</f>
        <v>cadence</v>
      </c>
      <c r="S2244" s="1" t="s">
        <v>2147</v>
      </c>
      <c r="T2244" s="6" t="str">
        <f>IFERROR(__xludf.DUMMYFUNCTION("""COMPUTED_VALUE"""),"prowess")</f>
        <v>prowess</v>
      </c>
      <c r="W2244" s="8"/>
      <c r="AJ2244" s="1"/>
      <c r="AM2244" s="1" t="s">
        <v>4946</v>
      </c>
    </row>
    <row r="2245">
      <c r="E2245" s="1" t="s">
        <v>2632</v>
      </c>
      <c r="H2245" s="1" t="s">
        <v>3660</v>
      </c>
      <c r="I2245" s="6" t="str">
        <f>IFERROR(__xludf.DUMMYFUNCTION("""COMPUTED_VALUE"""),"hypnotic")</f>
        <v>hypnotic</v>
      </c>
      <c r="S2245" s="1" t="s">
        <v>5434</v>
      </c>
      <c r="T2245" s="6" t="str">
        <f>IFERROR(__xludf.DUMMYFUNCTION("""COMPUTED_VALUE"""),"preaching")</f>
        <v>preaching</v>
      </c>
      <c r="W2245" s="8"/>
      <c r="AJ2245" s="1"/>
      <c r="AM2245" s="1" t="s">
        <v>2141</v>
      </c>
    </row>
    <row r="2246">
      <c r="E2246" s="1" t="s">
        <v>2629</v>
      </c>
      <c r="H2246" s="1" t="s">
        <v>3662</v>
      </c>
      <c r="I2246" s="6" t="str">
        <f>IFERROR(__xludf.DUMMYFUNCTION("""COMPUTED_VALUE"""),"welsh")</f>
        <v>welsh</v>
      </c>
      <c r="S2246" s="1" t="s">
        <v>4682</v>
      </c>
      <c r="T2246" s="6" t="str">
        <f>IFERROR(__xludf.DUMMYFUNCTION("""COMPUTED_VALUE"""),"hal")</f>
        <v>hal</v>
      </c>
      <c r="W2246" s="8"/>
      <c r="AJ2246" s="1"/>
      <c r="AM2246" s="1" t="s">
        <v>5435</v>
      </c>
    </row>
    <row r="2247">
      <c r="E2247" s="1" t="s">
        <v>5436</v>
      </c>
      <c r="H2247" s="1" t="s">
        <v>1023</v>
      </c>
      <c r="I2247" s="6" t="str">
        <f>IFERROR(__xludf.DUMMYFUNCTION("""COMPUTED_VALUE"""),"rounded")</f>
        <v>rounded</v>
      </c>
      <c r="S2247" s="1" t="s">
        <v>4908</v>
      </c>
      <c r="T2247" s="6" t="str">
        <f>IFERROR(__xludf.DUMMYFUNCTION("""COMPUTED_VALUE"""),"disposition")</f>
        <v>disposition</v>
      </c>
      <c r="W2247" s="8"/>
      <c r="AJ2247" s="1"/>
      <c r="AM2247" s="1" t="s">
        <v>3799</v>
      </c>
    </row>
    <row r="2248">
      <c r="E2248" s="1" t="s">
        <v>5437</v>
      </c>
      <c r="H2248" s="1">
        <v>1993.0</v>
      </c>
      <c r="I2248" s="6" t="str">
        <f>IFERROR(__xludf.DUMMYFUNCTION("""COMPUTED_VALUE"""),"goose")</f>
        <v>goose</v>
      </c>
      <c r="S2248" s="1" t="s">
        <v>5223</v>
      </c>
      <c r="T2248" s="6" t="str">
        <f>IFERROR(__xludf.DUMMYFUNCTION("""COMPUTED_VALUE"""),"liability")</f>
        <v>liability</v>
      </c>
      <c r="W2248" s="8"/>
      <c r="AJ2248" s="1"/>
      <c r="AM2248" s="1" t="s">
        <v>4958</v>
      </c>
    </row>
    <row r="2249">
      <c r="E2249" s="1" t="s">
        <v>2635</v>
      </c>
      <c r="H2249" s="1" t="s">
        <v>2032</v>
      </c>
      <c r="I2249" s="6" t="str">
        <f>IFERROR(__xludf.DUMMYFUNCTION("""COMPUTED_VALUE"""),"rape")</f>
        <v>rape</v>
      </c>
      <c r="S2249" s="1" t="s">
        <v>5369</v>
      </c>
      <c r="T2249" s="6" t="str">
        <f>IFERROR(__xludf.DUMMYFUNCTION("""COMPUTED_VALUE"""),"tackled")</f>
        <v>tackled</v>
      </c>
      <c r="W2249" s="8"/>
      <c r="AJ2249" s="1"/>
      <c r="AM2249" s="1" t="s">
        <v>128</v>
      </c>
    </row>
    <row r="2250">
      <c r="E2250" s="1" t="s">
        <v>5438</v>
      </c>
      <c r="H2250" s="1" t="s">
        <v>3241</v>
      </c>
      <c r="I2250" s="6" t="str">
        <f>IFERROR(__xludf.DUMMYFUNCTION("""COMPUTED_VALUE"""),"stuart")</f>
        <v>stuart</v>
      </c>
      <c r="S2250" s="1" t="s">
        <v>1915</v>
      </c>
      <c r="T2250" s="6" t="str">
        <f>IFERROR(__xludf.DUMMYFUNCTION("""COMPUTED_VALUE"""),"motions")</f>
        <v>motions</v>
      </c>
      <c r="W2250" s="8"/>
      <c r="AJ2250" s="1"/>
      <c r="AM2250" s="1" t="s">
        <v>3883</v>
      </c>
    </row>
    <row r="2251">
      <c r="E2251" s="1" t="s">
        <v>2637</v>
      </c>
      <c r="H2251" s="1" t="s">
        <v>2494</v>
      </c>
      <c r="I2251" s="6" t="str">
        <f>IFERROR(__xludf.DUMMYFUNCTION("""COMPUTED_VALUE"""),"believing")</f>
        <v>believing</v>
      </c>
      <c r="S2251" s="1" t="s">
        <v>4609</v>
      </c>
      <c r="T2251" s="6" t="str">
        <f>IFERROR(__xludf.DUMMYFUNCTION("""COMPUTED_VALUE"""),"organizing")</f>
        <v>organizing</v>
      </c>
      <c r="W2251" s="8"/>
      <c r="AJ2251" s="1"/>
      <c r="AM2251" s="1" t="s">
        <v>3886</v>
      </c>
    </row>
    <row r="2252">
      <c r="E2252" s="1" t="s">
        <v>5439</v>
      </c>
      <c r="H2252" s="1" t="s">
        <v>2033</v>
      </c>
      <c r="I2252" s="6" t="str">
        <f>IFERROR(__xludf.DUMMYFUNCTION("""COMPUTED_VALUE"""),"siegel")</f>
        <v>siegel</v>
      </c>
      <c r="S2252" s="1" t="s">
        <v>5440</v>
      </c>
      <c r="T2252" s="6" t="str">
        <f>IFERROR(__xludf.DUMMYFUNCTION("""COMPUTED_VALUE"""),"departments")</f>
        <v>departments</v>
      </c>
      <c r="W2252" s="8"/>
      <c r="AJ2252" s="1"/>
      <c r="AM2252" s="1" t="s">
        <v>277</v>
      </c>
    </row>
    <row r="2253">
      <c r="E2253" s="1" t="s">
        <v>5441</v>
      </c>
      <c r="H2253" s="1" t="s">
        <v>4760</v>
      </c>
      <c r="I2253" s="6" t="str">
        <f>IFERROR(__xludf.DUMMYFUNCTION("""COMPUTED_VALUE"""),"parochial")</f>
        <v>parochial</v>
      </c>
      <c r="S2253" s="1" t="s">
        <v>1897</v>
      </c>
      <c r="T2253" s="6" t="str">
        <f>IFERROR(__xludf.DUMMYFUNCTION("""COMPUTED_VALUE"""),"developments")</f>
        <v>developments</v>
      </c>
      <c r="W2253" s="8"/>
      <c r="AJ2253" s="1"/>
      <c r="AM2253" s="1" t="s">
        <v>3891</v>
      </c>
    </row>
    <row r="2254">
      <c r="E2254" s="1" t="s">
        <v>1485</v>
      </c>
      <c r="H2254" s="1" t="s">
        <v>1677</v>
      </c>
      <c r="I2254" s="6" t="str">
        <f>IFERROR(__xludf.DUMMYFUNCTION("""COMPUTED_VALUE"""),"keen")</f>
        <v>keen</v>
      </c>
      <c r="S2254" s="1" t="s">
        <v>5442</v>
      </c>
      <c r="T2254" s="6" t="str">
        <f>IFERROR(__xludf.DUMMYFUNCTION("""COMPUTED_VALUE"""),"mounted")</f>
        <v>mounted</v>
      </c>
      <c r="W2254" s="8"/>
      <c r="AJ2254" s="1"/>
      <c r="AM2254" s="1" t="s">
        <v>4965</v>
      </c>
    </row>
    <row r="2255">
      <c r="E2255" s="1" t="s">
        <v>5443</v>
      </c>
      <c r="H2255" s="1" t="s">
        <v>3672</v>
      </c>
      <c r="I2255" s="6" t="str">
        <f>IFERROR(__xludf.DUMMYFUNCTION("""COMPUTED_VALUE"""),"friendships")</f>
        <v>friendships</v>
      </c>
      <c r="S2255" s="1" t="s">
        <v>4527</v>
      </c>
      <c r="T2255" s="6" t="str">
        <f>IFERROR(__xludf.DUMMYFUNCTION("""COMPUTED_VALUE"""),"discussion")</f>
        <v>discussion</v>
      </c>
      <c r="W2255" s="8"/>
      <c r="AJ2255" s="1"/>
      <c r="AM2255" s="1" t="s">
        <v>1407</v>
      </c>
    </row>
    <row r="2256">
      <c r="E2256" s="1" t="s">
        <v>4468</v>
      </c>
      <c r="H2256" s="1" t="s">
        <v>4763</v>
      </c>
      <c r="I2256" s="6" t="str">
        <f>IFERROR(__xludf.DUMMYFUNCTION("""COMPUTED_VALUE"""),"philip")</f>
        <v>philip</v>
      </c>
      <c r="S2256" s="1">
        <v>2000.0</v>
      </c>
      <c r="T2256" s="6" t="str">
        <f>IFERROR(__xludf.DUMMYFUNCTION("""COMPUTED_VALUE"""),"experiment")</f>
        <v>experiment</v>
      </c>
      <c r="W2256" s="8"/>
      <c r="AJ2256" s="1"/>
      <c r="AM2256" s="1" t="s">
        <v>1412</v>
      </c>
    </row>
    <row r="2257">
      <c r="E2257" s="1">
        <v>295.0</v>
      </c>
      <c r="H2257" s="1" t="s">
        <v>2036</v>
      </c>
      <c r="I2257" s="6" t="str">
        <f>IFERROR(__xludf.DUMMYFUNCTION("""COMPUTED_VALUE"""),"ensure")</f>
        <v>ensure</v>
      </c>
      <c r="S2257" s="1" t="s">
        <v>3897</v>
      </c>
      <c r="T2257" s="6" t="str">
        <f>IFERROR(__xludf.DUMMYFUNCTION("""COMPUTED_VALUE"""),"myrtle")</f>
        <v>myrtle</v>
      </c>
      <c r="W2257" s="8"/>
      <c r="AJ2257" s="1"/>
      <c r="AM2257" s="1" t="s">
        <v>922</v>
      </c>
    </row>
    <row r="2258">
      <c r="E2258" s="1" t="s">
        <v>4927</v>
      </c>
      <c r="H2258" s="1" t="s">
        <v>3676</v>
      </c>
      <c r="I2258" s="6" t="str">
        <f>IFERROR(__xludf.DUMMYFUNCTION("""COMPUTED_VALUE"""),"fragmented")</f>
        <v>fragmented</v>
      </c>
      <c r="S2258" s="1" t="s">
        <v>5444</v>
      </c>
      <c r="T2258" s="6" t="str">
        <f>IFERROR(__xludf.DUMMYFUNCTION("""COMPUTED_VALUE"""),"ninth")</f>
        <v>ninth</v>
      </c>
      <c r="W2258" s="8"/>
      <c r="AJ2258" s="1"/>
      <c r="AM2258" s="1">
        <v>51.0</v>
      </c>
    </row>
    <row r="2259">
      <c r="E2259" s="1">
        <v>1958.0</v>
      </c>
      <c r="H2259" s="1" t="s">
        <v>3678</v>
      </c>
      <c r="I2259" s="6" t="str">
        <f>IFERROR(__xludf.DUMMYFUNCTION("""COMPUTED_VALUE"""),"enhancing")</f>
        <v>enhancing</v>
      </c>
      <c r="S2259" s="1" t="s">
        <v>5445</v>
      </c>
      <c r="T2259" s="6" t="str">
        <f>IFERROR(__xludf.DUMMYFUNCTION("""COMPUTED_VALUE"""),"cheered")</f>
        <v>cheered</v>
      </c>
      <c r="W2259" s="8"/>
      <c r="AJ2259" s="1"/>
      <c r="AM2259" s="1" t="s">
        <v>3900</v>
      </c>
    </row>
    <row r="2260">
      <c r="E2260" s="1" t="s">
        <v>504</v>
      </c>
      <c r="H2260" s="1" t="s">
        <v>3538</v>
      </c>
      <c r="I2260" s="6" t="str">
        <f>IFERROR(__xludf.DUMMYFUNCTION("""COMPUTED_VALUE"""),"aching")</f>
        <v>aching</v>
      </c>
      <c r="S2260" s="1" t="s">
        <v>4426</v>
      </c>
      <c r="T2260" s="6" t="str">
        <f>IFERROR(__xludf.DUMMYFUNCTION("""COMPUTED_VALUE"""),"bluff")</f>
        <v>bluff</v>
      </c>
      <c r="W2260" s="8"/>
      <c r="AJ2260" s="1"/>
      <c r="AM2260" s="1" t="s">
        <v>3903</v>
      </c>
    </row>
    <row r="2261">
      <c r="E2261" s="1" t="s">
        <v>2651</v>
      </c>
      <c r="H2261" s="1" t="s">
        <v>781</v>
      </c>
      <c r="I2261" s="6" t="str">
        <f>IFERROR(__xludf.DUMMYFUNCTION("""COMPUTED_VALUE"""),"feral")</f>
        <v>feral</v>
      </c>
      <c r="S2261" s="1" t="s">
        <v>3236</v>
      </c>
      <c r="T2261" s="6" t="str">
        <f>IFERROR(__xludf.DUMMYFUNCTION("""COMPUTED_VALUE"""),"harvey")</f>
        <v>harvey</v>
      </c>
      <c r="W2261" s="8"/>
      <c r="AJ2261" s="1"/>
      <c r="AM2261" s="1" t="s">
        <v>4972</v>
      </c>
    </row>
    <row r="2262">
      <c r="E2262" s="1" t="s">
        <v>2655</v>
      </c>
      <c r="H2262" s="1" t="s">
        <v>5446</v>
      </c>
      <c r="I2262" s="6" t="str">
        <f>IFERROR(__xludf.DUMMYFUNCTION("""COMPUTED_VALUE"""),"preceded")</f>
        <v>preceded</v>
      </c>
      <c r="S2262" s="1" t="s">
        <v>1640</v>
      </c>
      <c r="T2262" s="6" t="str">
        <f>IFERROR(__xludf.DUMMYFUNCTION("""COMPUTED_VALUE"""),"interrogation")</f>
        <v>interrogation</v>
      </c>
      <c r="W2262" s="8"/>
      <c r="AJ2262" s="1"/>
      <c r="AM2262" s="1" t="s">
        <v>4940</v>
      </c>
    </row>
    <row r="2263">
      <c r="E2263" s="1" t="s">
        <v>4476</v>
      </c>
      <c r="H2263" s="1" t="s">
        <v>2350</v>
      </c>
      <c r="I2263" s="6" t="str">
        <f>IFERROR(__xludf.DUMMYFUNCTION("""COMPUTED_VALUE"""),"decommissioned")</f>
        <v>decommissioned</v>
      </c>
      <c r="S2263" s="1" t="s">
        <v>4146</v>
      </c>
      <c r="T2263" s="6" t="str">
        <f>IFERROR(__xludf.DUMMYFUNCTION("""COMPUTED_VALUE"""),"scooped")</f>
        <v>scooped</v>
      </c>
      <c r="W2263" s="8"/>
      <c r="AJ2263" s="1"/>
      <c r="AM2263" s="1" t="s">
        <v>3906</v>
      </c>
    </row>
    <row r="2264">
      <c r="E2264" s="1" t="s">
        <v>4475</v>
      </c>
      <c r="H2264" s="1" t="s">
        <v>4775</v>
      </c>
      <c r="I2264" s="6" t="str">
        <f>IFERROR(__xludf.DUMMYFUNCTION("""COMPUTED_VALUE"""),"forbidden")</f>
        <v>forbidden</v>
      </c>
      <c r="S2264" s="1" t="s">
        <v>5447</v>
      </c>
      <c r="T2264" s="6" t="str">
        <f>IFERROR(__xludf.DUMMYFUNCTION("""COMPUTED_VALUE"""),"humming")</f>
        <v>humming</v>
      </c>
      <c r="W2264" s="8"/>
      <c r="AJ2264" s="1"/>
      <c r="AM2264" s="1" t="s">
        <v>5448</v>
      </c>
    </row>
    <row r="2265">
      <c r="E2265" s="1" t="s">
        <v>2659</v>
      </c>
      <c r="H2265" s="1" t="s">
        <v>3247</v>
      </c>
      <c r="I2265" s="6" t="str">
        <f>IFERROR(__xludf.DUMMYFUNCTION("""COMPUTED_VALUE"""),"ordeal")</f>
        <v>ordeal</v>
      </c>
      <c r="S2265" s="1" t="s">
        <v>5449</v>
      </c>
      <c r="T2265" s="6" t="str">
        <f>IFERROR(__xludf.DUMMYFUNCTION("""COMPUTED_VALUE"""),"clock")</f>
        <v>clock</v>
      </c>
      <c r="W2265" s="8"/>
      <c r="AJ2265" s="1"/>
      <c r="AM2265" s="1" t="s">
        <v>2143</v>
      </c>
    </row>
    <row r="2266">
      <c r="E2266" s="1" t="s">
        <v>2664</v>
      </c>
      <c r="H2266" s="1" t="s">
        <v>2043</v>
      </c>
      <c r="I2266" s="6" t="str">
        <f>IFERROR(__xludf.DUMMYFUNCTION("""COMPUTED_VALUE"""),"humiliated")</f>
        <v>humiliated</v>
      </c>
      <c r="S2266" s="1" t="s">
        <v>5367</v>
      </c>
      <c r="T2266" s="6" t="str">
        <f>IFERROR(__xludf.DUMMYFUNCTION("""COMPUTED_VALUE"""),"overview")</f>
        <v>overview</v>
      </c>
      <c r="W2266" s="8"/>
      <c r="AJ2266" s="1"/>
      <c r="AM2266" s="1" t="s">
        <v>3261</v>
      </c>
    </row>
    <row r="2267">
      <c r="E2267" s="1" t="s">
        <v>4808</v>
      </c>
      <c r="H2267" s="1" t="s">
        <v>4779</v>
      </c>
      <c r="I2267" s="6">
        <f>IFERROR(__xludf.DUMMYFUNCTION("""COMPUTED_VALUE"""),451.0)</f>
        <v>451</v>
      </c>
      <c r="S2267" s="1" t="s">
        <v>4187</v>
      </c>
      <c r="T2267" s="6" t="str">
        <f>IFERROR(__xludf.DUMMYFUNCTION("""COMPUTED_VALUE"""),"crossroads")</f>
        <v>crossroads</v>
      </c>
      <c r="W2267" s="8"/>
      <c r="AJ2267" s="1"/>
      <c r="AM2267" s="1" t="s">
        <v>3032</v>
      </c>
    </row>
    <row r="2268">
      <c r="E2268" s="1" t="s">
        <v>2669</v>
      </c>
      <c r="H2268" s="1" t="s">
        <v>5293</v>
      </c>
      <c r="I2268" s="6" t="str">
        <f>IFERROR(__xludf.DUMMYFUNCTION("""COMPUTED_VALUE"""),"beaches")</f>
        <v>beaches</v>
      </c>
      <c r="S2268" s="1">
        <v>500.0</v>
      </c>
      <c r="T2268" s="6" t="str">
        <f>IFERROR(__xludf.DUMMYFUNCTION("""COMPUTED_VALUE"""),"monday")</f>
        <v>monday</v>
      </c>
      <c r="W2268" s="8"/>
      <c r="AJ2268" s="1"/>
      <c r="AM2268" s="1" t="s">
        <v>1422</v>
      </c>
    </row>
    <row r="2269">
      <c r="E2269" s="1" t="s">
        <v>1854</v>
      </c>
      <c r="H2269" s="1" t="s">
        <v>758</v>
      </c>
      <c r="I2269" s="6">
        <f>IFERROR(__xludf.DUMMYFUNCTION("""COMPUTED_VALUE"""),1957.0)</f>
        <v>1957</v>
      </c>
      <c r="S2269" s="1" t="s">
        <v>5450</v>
      </c>
      <c r="T2269" s="6" t="str">
        <f>IFERROR(__xludf.DUMMYFUNCTION("""COMPUTED_VALUE"""),"clash")</f>
        <v>clash</v>
      </c>
      <c r="W2269" s="8"/>
      <c r="AJ2269" s="1"/>
      <c r="AM2269" s="1" t="s">
        <v>1429</v>
      </c>
    </row>
    <row r="2270">
      <c r="E2270" s="1" t="s">
        <v>2675</v>
      </c>
      <c r="H2270" s="1" t="s">
        <v>1028</v>
      </c>
      <c r="I2270" s="6" t="str">
        <f>IFERROR(__xludf.DUMMYFUNCTION("""COMPUTED_VALUE"""),"sacrifices")</f>
        <v>sacrifices</v>
      </c>
      <c r="S2270" s="1">
        <v>3000.0</v>
      </c>
      <c r="T2270" s="6" t="str">
        <f>IFERROR(__xludf.DUMMYFUNCTION("""COMPUTED_VALUE"""),"departure")</f>
        <v>departure</v>
      </c>
      <c r="W2270" s="8"/>
      <c r="AJ2270" s="1"/>
      <c r="AM2270" s="1" t="s">
        <v>1095</v>
      </c>
    </row>
    <row r="2271">
      <c r="E2271" s="1" t="s">
        <v>5451</v>
      </c>
      <c r="H2271" s="1" t="s">
        <v>4786</v>
      </c>
      <c r="I2271" s="6" t="str">
        <f>IFERROR(__xludf.DUMMYFUNCTION("""COMPUTED_VALUE"""),"consciously")</f>
        <v>consciously</v>
      </c>
      <c r="S2271" s="1" t="s">
        <v>4225</v>
      </c>
      <c r="T2271" s="6" t="str">
        <f>IFERROR(__xludf.DUMMYFUNCTION("""COMPUTED_VALUE"""),"recovering")</f>
        <v>recovering</v>
      </c>
      <c r="W2271" s="8"/>
      <c r="AJ2271" s="1"/>
      <c r="AM2271" s="1" t="s">
        <v>2151</v>
      </c>
    </row>
    <row r="2272">
      <c r="E2272" s="1" t="s">
        <v>1735</v>
      </c>
      <c r="H2272" s="1" t="s">
        <v>3692</v>
      </c>
      <c r="I2272" s="6" t="str">
        <f>IFERROR(__xludf.DUMMYFUNCTION("""COMPUTED_VALUE"""),"asphalt")</f>
        <v>asphalt</v>
      </c>
      <c r="S2272" s="1" t="s">
        <v>5452</v>
      </c>
      <c r="T2272" s="6" t="str">
        <f>IFERROR(__xludf.DUMMYFUNCTION("""COMPUTED_VALUE"""),"prolific")</f>
        <v>prolific</v>
      </c>
      <c r="W2272" s="8"/>
      <c r="AJ2272" s="1"/>
      <c r="AM2272" s="1" t="s">
        <v>3076</v>
      </c>
    </row>
    <row r="2273">
      <c r="E2273" s="1" t="s">
        <v>5453</v>
      </c>
      <c r="H2273" s="1" t="s">
        <v>1342</v>
      </c>
      <c r="I2273" s="6" t="str">
        <f>IFERROR(__xludf.DUMMYFUNCTION("""COMPUTED_VALUE"""),"tall")</f>
        <v>tall</v>
      </c>
      <c r="S2273" s="1" t="s">
        <v>5454</v>
      </c>
      <c r="T2273" s="6" t="str">
        <f>IFERROR(__xludf.DUMMYFUNCTION("""COMPUTED_VALUE"""),"lunar")</f>
        <v>lunar</v>
      </c>
      <c r="W2273" s="8"/>
      <c r="AJ2273" s="1"/>
      <c r="AM2273" s="1" t="s">
        <v>1101</v>
      </c>
    </row>
    <row r="2274">
      <c r="E2274" s="1" t="s">
        <v>4487</v>
      </c>
      <c r="H2274" s="1" t="s">
        <v>4791</v>
      </c>
      <c r="I2274" s="6" t="str">
        <f>IFERROR(__xludf.DUMMYFUNCTION("""COMPUTED_VALUE"""),"retiring")</f>
        <v>retiring</v>
      </c>
      <c r="S2274" s="1" t="s">
        <v>4016</v>
      </c>
      <c r="T2274" s="6" t="str">
        <f>IFERROR(__xludf.DUMMYFUNCTION("""COMPUTED_VALUE"""),"emergence")</f>
        <v>emergence</v>
      </c>
      <c r="W2274" s="8"/>
      <c r="AJ2274" s="1"/>
      <c r="AM2274" s="1" t="s">
        <v>1435</v>
      </c>
    </row>
    <row r="2275">
      <c r="E2275" s="1" t="s">
        <v>5455</v>
      </c>
      <c r="H2275" s="1" t="s">
        <v>4793</v>
      </c>
      <c r="I2275" s="6" t="str">
        <f>IFERROR(__xludf.DUMMYFUNCTION("""COMPUTED_VALUE"""),"tolkien")</f>
        <v>tolkien</v>
      </c>
      <c r="S2275" s="1" t="s">
        <v>551</v>
      </c>
      <c r="T2275" s="6" t="str">
        <f>IFERROR(__xludf.DUMMYFUNCTION("""COMPUTED_VALUE"""),"accumulated")</f>
        <v>accumulated</v>
      </c>
      <c r="W2275" s="8"/>
      <c r="AJ2275" s="1"/>
      <c r="AM2275" s="1" t="s">
        <v>134</v>
      </c>
    </row>
    <row r="2276">
      <c r="E2276" s="1" t="s">
        <v>5104</v>
      </c>
      <c r="H2276" s="1" t="s">
        <v>5456</v>
      </c>
      <c r="I2276" s="6" t="str">
        <f>IFERROR(__xludf.DUMMYFUNCTION("""COMPUTED_VALUE"""),"longtime")</f>
        <v>longtime</v>
      </c>
      <c r="S2276" s="1" t="s">
        <v>2934</v>
      </c>
      <c r="T2276" s="6" t="str">
        <f>IFERROR(__xludf.DUMMYFUNCTION("""COMPUTED_VALUE"""),"thoughts")</f>
        <v>thoughts</v>
      </c>
      <c r="W2276" s="8"/>
      <c r="AJ2276" s="1"/>
      <c r="AM2276" s="1" t="s">
        <v>1441</v>
      </c>
    </row>
    <row r="2277">
      <c r="E2277" s="1" t="s">
        <v>5457</v>
      </c>
      <c r="H2277" s="1" t="s">
        <v>3694</v>
      </c>
      <c r="I2277" s="6" t="str">
        <f>IFERROR(__xludf.DUMMYFUNCTION("""COMPUTED_VALUE"""),"twisting")</f>
        <v>twisting</v>
      </c>
      <c r="S2277" s="1" t="s">
        <v>5458</v>
      </c>
      <c r="T2277" s="6">
        <f>IFERROR(__xludf.DUMMYFUNCTION("""COMPUTED_VALUE"""),1975.0)</f>
        <v>1975</v>
      </c>
      <c r="W2277" s="8"/>
      <c r="AJ2277" s="1"/>
      <c r="AM2277" s="1">
        <v>50.0</v>
      </c>
    </row>
    <row r="2278">
      <c r="E2278" s="1" t="s">
        <v>5459</v>
      </c>
      <c r="H2278" s="1" t="s">
        <v>1317</v>
      </c>
      <c r="I2278" s="6" t="str">
        <f>IFERROR(__xludf.DUMMYFUNCTION("""COMPUTED_VALUE"""),"adjusting")</f>
        <v>adjusting</v>
      </c>
      <c r="S2278" s="1" t="s">
        <v>5460</v>
      </c>
      <c r="T2278" s="6" t="str">
        <f>IFERROR(__xludf.DUMMYFUNCTION("""COMPUTED_VALUE"""),"capability")</f>
        <v>capability</v>
      </c>
      <c r="W2278" s="8"/>
      <c r="AJ2278" s="1"/>
      <c r="AM2278" s="1" t="s">
        <v>3396</v>
      </c>
    </row>
    <row r="2279">
      <c r="E2279" s="1" t="s">
        <v>5461</v>
      </c>
      <c r="H2279" s="1" t="s">
        <v>1323</v>
      </c>
      <c r="I2279" s="6" t="str">
        <f>IFERROR(__xludf.DUMMYFUNCTION("""COMPUTED_VALUE"""),"littered")</f>
        <v>littered</v>
      </c>
      <c r="S2279" s="1" t="s">
        <v>623</v>
      </c>
      <c r="T2279" s="6" t="str">
        <f>IFERROR(__xludf.DUMMYFUNCTION("""COMPUTED_VALUE"""),"normally")</f>
        <v>normally</v>
      </c>
      <c r="W2279" s="8"/>
      <c r="AJ2279" s="1"/>
      <c r="AM2279" s="1" t="s">
        <v>3919</v>
      </c>
    </row>
    <row r="2280">
      <c r="E2280" s="1" t="s">
        <v>5462</v>
      </c>
      <c r="H2280" s="1" t="s">
        <v>2550</v>
      </c>
      <c r="I2280" s="6" t="str">
        <f>IFERROR(__xludf.DUMMYFUNCTION("""COMPUTED_VALUE"""),"experimental")</f>
        <v>experimental</v>
      </c>
      <c r="S2280" s="1" t="s">
        <v>457</v>
      </c>
      <c r="T2280" s="6" t="str">
        <f>IFERROR(__xludf.DUMMYFUNCTION("""COMPUTED_VALUE"""),"sources")</f>
        <v>sources</v>
      </c>
      <c r="W2280" s="8"/>
      <c r="AJ2280" s="1"/>
      <c r="AM2280" s="1" t="s">
        <v>4907</v>
      </c>
    </row>
    <row r="2281">
      <c r="E2281" s="1" t="s">
        <v>4492</v>
      </c>
      <c r="H2281" s="1" t="s">
        <v>3501</v>
      </c>
      <c r="I2281" s="6" t="str">
        <f>IFERROR(__xludf.DUMMYFUNCTION("""COMPUTED_VALUE"""),"methodology")</f>
        <v>methodology</v>
      </c>
      <c r="S2281" s="1" t="s">
        <v>1145</v>
      </c>
      <c r="T2281" s="6" t="str">
        <f>IFERROR(__xludf.DUMMYFUNCTION("""COMPUTED_VALUE"""),"disturbance")</f>
        <v>disturbance</v>
      </c>
      <c r="W2281" s="8"/>
      <c r="AJ2281" s="1"/>
      <c r="AM2281" s="1" t="s">
        <v>2154</v>
      </c>
    </row>
    <row r="2282">
      <c r="E2282" s="1" t="s">
        <v>4286</v>
      </c>
      <c r="H2282" s="1" t="s">
        <v>3264</v>
      </c>
      <c r="I2282" s="6" t="str">
        <f>IFERROR(__xludf.DUMMYFUNCTION("""COMPUTED_VALUE"""),"cleavage")</f>
        <v>cleavage</v>
      </c>
      <c r="S2282" s="1" t="s">
        <v>3198</v>
      </c>
      <c r="T2282" s="6" t="str">
        <f>IFERROR(__xludf.DUMMYFUNCTION("""COMPUTED_VALUE"""),"skeleton")</f>
        <v>skeleton</v>
      </c>
      <c r="W2282" s="8"/>
      <c r="AJ2282" s="1"/>
      <c r="AM2282" s="1" t="s">
        <v>1106</v>
      </c>
    </row>
    <row r="2283">
      <c r="E2283" s="1" t="s">
        <v>5463</v>
      </c>
      <c r="H2283" s="1" t="s">
        <v>3707</v>
      </c>
      <c r="I2283" s="6" t="str">
        <f>IFERROR(__xludf.DUMMYFUNCTION("""COMPUTED_VALUE"""),"reaches")</f>
        <v>reaches</v>
      </c>
      <c r="S2283" s="1" t="s">
        <v>5464</v>
      </c>
      <c r="T2283" s="6" t="str">
        <f>IFERROR(__xludf.DUMMYFUNCTION("""COMPUTED_VALUE"""),"catastrophic")</f>
        <v>catastrophic</v>
      </c>
      <c r="W2283" s="8"/>
      <c r="AJ2283" s="1"/>
      <c r="AM2283" s="1" t="s">
        <v>5465</v>
      </c>
    </row>
    <row r="2284">
      <c r="E2284" s="1" t="s">
        <v>5466</v>
      </c>
      <c r="H2284" s="1" t="s">
        <v>4806</v>
      </c>
      <c r="I2284" s="6" t="str">
        <f>IFERROR(__xludf.DUMMYFUNCTION("""COMPUTED_VALUE"""),"youthful")</f>
        <v>youthful</v>
      </c>
      <c r="S2284" s="1" t="s">
        <v>5467</v>
      </c>
      <c r="T2284" s="6" t="str">
        <f>IFERROR(__xludf.DUMMYFUNCTION("""COMPUTED_VALUE"""),"worm")</f>
        <v>worm</v>
      </c>
      <c r="W2284" s="8"/>
      <c r="AJ2284" s="1"/>
      <c r="AM2284" s="1" t="s">
        <v>4989</v>
      </c>
    </row>
    <row r="2285">
      <c r="E2285" s="1" t="s">
        <v>1387</v>
      </c>
      <c r="H2285" s="1" t="s">
        <v>4807</v>
      </c>
      <c r="I2285" s="6" t="str">
        <f>IFERROR(__xludf.DUMMYFUNCTION("""COMPUTED_VALUE"""),"inhabit")</f>
        <v>inhabit</v>
      </c>
      <c r="S2285" s="1" t="s">
        <v>4525</v>
      </c>
      <c r="T2285" s="6" t="str">
        <f>IFERROR(__xludf.DUMMYFUNCTION("""COMPUTED_VALUE"""),"boardwalk")</f>
        <v>boardwalk</v>
      </c>
      <c r="W2285" s="8"/>
      <c r="AJ2285" s="1"/>
      <c r="AM2285" s="1" t="s">
        <v>2157</v>
      </c>
    </row>
    <row r="2286">
      <c r="E2286" s="1" t="s">
        <v>1507</v>
      </c>
      <c r="H2286" s="1" t="s">
        <v>5468</v>
      </c>
      <c r="I2286" s="6" t="str">
        <f>IFERROR(__xludf.DUMMYFUNCTION("""COMPUTED_VALUE"""),"predict")</f>
        <v>predict</v>
      </c>
      <c r="S2286" s="1" t="s">
        <v>1895</v>
      </c>
      <c r="T2286" s="6" t="str">
        <f>IFERROR(__xludf.DUMMYFUNCTION("""COMPUTED_VALUE"""),"analysis")</f>
        <v>analysis</v>
      </c>
      <c r="W2286" s="8"/>
      <c r="AJ2286" s="1"/>
      <c r="AM2286" s="1" t="s">
        <v>2161</v>
      </c>
    </row>
    <row r="2287">
      <c r="E2287" s="1" t="s">
        <v>5469</v>
      </c>
      <c r="H2287" s="1" t="s">
        <v>1328</v>
      </c>
      <c r="I2287" s="6" t="str">
        <f>IFERROR(__xludf.DUMMYFUNCTION("""COMPUTED_VALUE"""),"villains")</f>
        <v>villains</v>
      </c>
      <c r="S2287" s="1" t="s">
        <v>2688</v>
      </c>
      <c r="T2287" s="6" t="str">
        <f>IFERROR(__xludf.DUMMYFUNCTION("""COMPUTED_VALUE"""),"grave")</f>
        <v>grave</v>
      </c>
      <c r="W2287" s="8"/>
      <c r="AJ2287" s="1"/>
      <c r="AM2287" s="1" t="s">
        <v>1113</v>
      </c>
    </row>
    <row r="2288">
      <c r="E2288" s="1" t="s">
        <v>1514</v>
      </c>
      <c r="H2288" s="1" t="s">
        <v>4810</v>
      </c>
      <c r="I2288" s="6" t="str">
        <f>IFERROR(__xludf.DUMMYFUNCTION("""COMPUTED_VALUE"""),"servants")</f>
        <v>servants</v>
      </c>
      <c r="S2288" s="1" t="s">
        <v>3136</v>
      </c>
      <c r="T2288" s="6" t="str">
        <f>IFERROR(__xludf.DUMMYFUNCTION("""COMPUTED_VALUE"""),"split")</f>
        <v>split</v>
      </c>
      <c r="W2288" s="8"/>
      <c r="AJ2288" s="1"/>
      <c r="AM2288" s="1" t="s">
        <v>2169</v>
      </c>
    </row>
    <row r="2289">
      <c r="E2289" s="1" t="s">
        <v>4496</v>
      </c>
      <c r="H2289" s="1" t="s">
        <v>3268</v>
      </c>
      <c r="I2289" s="6" t="str">
        <f>IFERROR(__xludf.DUMMYFUNCTION("""COMPUTED_VALUE"""),"nemesis")</f>
        <v>nemesis</v>
      </c>
      <c r="S2289" s="1" t="s">
        <v>5470</v>
      </c>
      <c r="T2289" s="6" t="str">
        <f>IFERROR(__xludf.DUMMYFUNCTION("""COMPUTED_VALUE"""),"pornographic")</f>
        <v>pornographic</v>
      </c>
      <c r="W2289" s="8"/>
      <c r="AJ2289" s="1"/>
      <c r="AM2289" s="1" t="s">
        <v>4715</v>
      </c>
    </row>
    <row r="2290">
      <c r="E2290" s="1" t="s">
        <v>2686</v>
      </c>
      <c r="H2290" s="1" t="s">
        <v>4812</v>
      </c>
      <c r="I2290" s="6" t="str">
        <f>IFERROR(__xludf.DUMMYFUNCTION("""COMPUTED_VALUE"""),"remembrance")</f>
        <v>remembrance</v>
      </c>
      <c r="S2290" s="1" t="s">
        <v>5471</v>
      </c>
      <c r="T2290" s="6" t="str">
        <f>IFERROR(__xludf.DUMMYFUNCTION("""COMPUTED_VALUE"""),"playfully")</f>
        <v>playfully</v>
      </c>
      <c r="W2290" s="8"/>
      <c r="AJ2290" s="1"/>
      <c r="AM2290" s="1" t="s">
        <v>4998</v>
      </c>
    </row>
    <row r="2291">
      <c r="E2291" s="1" t="s">
        <v>5472</v>
      </c>
      <c r="H2291" s="1" t="s">
        <v>3272</v>
      </c>
      <c r="I2291" s="6" t="str">
        <f>IFERROR(__xludf.DUMMYFUNCTION("""COMPUTED_VALUE"""),"lina")</f>
        <v>lina</v>
      </c>
      <c r="S2291" s="1" t="s">
        <v>4646</v>
      </c>
      <c r="T2291" s="6" t="str">
        <f>IFERROR(__xludf.DUMMYFUNCTION("""COMPUTED_VALUE"""),"waldo")</f>
        <v>waldo</v>
      </c>
      <c r="W2291" s="8"/>
      <c r="AJ2291" s="1"/>
      <c r="AM2291" s="1" t="s">
        <v>3935</v>
      </c>
    </row>
    <row r="2292">
      <c r="E2292" s="1" t="s">
        <v>2690</v>
      </c>
      <c r="H2292" s="1" t="s">
        <v>3709</v>
      </c>
      <c r="I2292" s="6" t="str">
        <f>IFERROR(__xludf.DUMMYFUNCTION("""COMPUTED_VALUE"""),"shriek")</f>
        <v>shriek</v>
      </c>
      <c r="S2292" s="1" t="s">
        <v>562</v>
      </c>
      <c r="T2292" s="6" t="str">
        <f>IFERROR(__xludf.DUMMYFUNCTION("""COMPUTED_VALUE"""),"blazing")</f>
        <v>blazing</v>
      </c>
      <c r="W2292" s="8"/>
      <c r="AJ2292" s="1"/>
      <c r="AM2292" s="9">
        <v>3.0</v>
      </c>
    </row>
    <row r="2293">
      <c r="E2293" s="1" t="s">
        <v>2915</v>
      </c>
      <c r="H2293" s="1" t="s">
        <v>3710</v>
      </c>
      <c r="I2293" s="6" t="str">
        <f>IFERROR(__xludf.DUMMYFUNCTION("""COMPUTED_VALUE"""),"shaky")</f>
        <v>shaky</v>
      </c>
      <c r="S2293" s="1" t="s">
        <v>2888</v>
      </c>
      <c r="T2293" s="6" t="str">
        <f>IFERROR(__xludf.DUMMYFUNCTION("""COMPUTED_VALUE"""),"interests")</f>
        <v>interests</v>
      </c>
      <c r="W2293" s="8"/>
      <c r="AJ2293" s="1"/>
      <c r="AM2293" s="1" t="s">
        <v>3938</v>
      </c>
    </row>
    <row r="2294">
      <c r="E2294" s="1" t="s">
        <v>4006</v>
      </c>
      <c r="H2294" s="1" t="s">
        <v>262</v>
      </c>
      <c r="I2294" s="6" t="str">
        <f>IFERROR(__xludf.DUMMYFUNCTION("""COMPUTED_VALUE"""),"error")</f>
        <v>error</v>
      </c>
      <c r="S2294" s="1" t="s">
        <v>4404</v>
      </c>
      <c r="T2294" s="6" t="str">
        <f>IFERROR(__xludf.DUMMYFUNCTION("""COMPUTED_VALUE"""),"iranian")</f>
        <v>iranian</v>
      </c>
      <c r="W2294" s="8"/>
      <c r="AJ2294" s="1"/>
      <c r="AM2294" s="1" t="s">
        <v>3942</v>
      </c>
    </row>
    <row r="2295">
      <c r="E2295" s="1" t="s">
        <v>5473</v>
      </c>
      <c r="H2295" s="1" t="s">
        <v>4820</v>
      </c>
      <c r="I2295" s="6" t="str">
        <f>IFERROR(__xludf.DUMMYFUNCTION("""COMPUTED_VALUE"""),"collaboration")</f>
        <v>collaboration</v>
      </c>
      <c r="S2295" s="1" t="s">
        <v>4623</v>
      </c>
      <c r="T2295" s="6" t="str">
        <f>IFERROR(__xludf.DUMMYFUNCTION("""COMPUTED_VALUE"""),"column")</f>
        <v>column</v>
      </c>
      <c r="W2295" s="8"/>
      <c r="AJ2295" s="1"/>
      <c r="AM2295" s="1" t="s">
        <v>5474</v>
      </c>
    </row>
    <row r="2296">
      <c r="E2296" s="1" t="s">
        <v>2702</v>
      </c>
      <c r="H2296" s="1" t="s">
        <v>2971</v>
      </c>
      <c r="I2296" s="6" t="str">
        <f>IFERROR(__xludf.DUMMYFUNCTION("""COMPUTED_VALUE"""),"germanic")</f>
        <v>germanic</v>
      </c>
      <c r="S2296" s="1" t="s">
        <v>5475</v>
      </c>
      <c r="T2296" s="6" t="str">
        <f>IFERROR(__xludf.DUMMYFUNCTION("""COMPUTED_VALUE"""),"jacket")</f>
        <v>jacket</v>
      </c>
      <c r="W2296" s="8"/>
      <c r="AJ2296" s="1"/>
      <c r="AM2296" s="1" t="s">
        <v>5287</v>
      </c>
    </row>
    <row r="2297">
      <c r="E2297" s="1" t="s">
        <v>1521</v>
      </c>
      <c r="H2297" s="1" t="s">
        <v>1341</v>
      </c>
      <c r="I2297" s="6" t="str">
        <f>IFERROR(__xludf.DUMMYFUNCTION("""COMPUTED_VALUE"""),"notably")</f>
        <v>notably</v>
      </c>
      <c r="S2297" s="1" t="s">
        <v>5476</v>
      </c>
      <c r="T2297" s="6" t="str">
        <f>IFERROR(__xludf.DUMMYFUNCTION("""COMPUTED_VALUE"""),"davis")</f>
        <v>davis</v>
      </c>
      <c r="W2297" s="8"/>
      <c r="AJ2297" s="1"/>
      <c r="AM2297" s="1" t="s">
        <v>1122</v>
      </c>
    </row>
    <row r="2298">
      <c r="E2298" s="1" t="s">
        <v>4511</v>
      </c>
      <c r="H2298" s="1" t="s">
        <v>5477</v>
      </c>
      <c r="I2298" s="6" t="str">
        <f>IFERROR(__xludf.DUMMYFUNCTION("""COMPUTED_VALUE"""),"sustained")</f>
        <v>sustained</v>
      </c>
      <c r="S2298" s="1" t="s">
        <v>2846</v>
      </c>
      <c r="T2298" s="6" t="str">
        <f>IFERROR(__xludf.DUMMYFUNCTION("""COMPUTED_VALUE"""),"bible")</f>
        <v>bible</v>
      </c>
      <c r="W2298" s="8"/>
      <c r="AJ2298" s="1"/>
      <c r="AM2298" s="1" t="s">
        <v>3946</v>
      </c>
    </row>
    <row r="2299">
      <c r="E2299" s="1" t="s">
        <v>4513</v>
      </c>
      <c r="H2299" s="1" t="s">
        <v>1346</v>
      </c>
      <c r="I2299" s="6" t="str">
        <f>IFERROR(__xludf.DUMMYFUNCTION("""COMPUTED_VALUE"""),"keel")</f>
        <v>keel</v>
      </c>
      <c r="S2299" s="1" t="s">
        <v>5478</v>
      </c>
      <c r="T2299" s="6" t="str">
        <f>IFERROR(__xludf.DUMMYFUNCTION("""COMPUTED_VALUE"""),"influential")</f>
        <v>influential</v>
      </c>
      <c r="W2299" s="8"/>
      <c r="AJ2299" s="1"/>
      <c r="AM2299" s="1" t="s">
        <v>1128</v>
      </c>
    </row>
    <row r="2300">
      <c r="E2300" s="1" t="s">
        <v>1534</v>
      </c>
      <c r="H2300" s="1" t="s">
        <v>1352</v>
      </c>
      <c r="I2300" s="6" t="str">
        <f>IFERROR(__xludf.DUMMYFUNCTION("""COMPUTED_VALUE"""),"tolerance")</f>
        <v>tolerance</v>
      </c>
      <c r="S2300" s="1" t="s">
        <v>5479</v>
      </c>
      <c r="T2300" s="6" t="str">
        <f>IFERROR(__xludf.DUMMYFUNCTION("""COMPUTED_VALUE"""),"goldberg")</f>
        <v>goldberg</v>
      </c>
      <c r="W2300" s="8"/>
      <c r="AJ2300" s="1"/>
      <c r="AM2300" s="1" t="s">
        <v>3950</v>
      </c>
    </row>
    <row r="2301">
      <c r="E2301" s="1" t="s">
        <v>5480</v>
      </c>
      <c r="H2301" s="1" t="s">
        <v>3280</v>
      </c>
      <c r="I2301" s="6" t="str">
        <f>IFERROR(__xludf.DUMMYFUNCTION("""COMPUTED_VALUE"""),"prowess")</f>
        <v>prowess</v>
      </c>
      <c r="S2301" s="1" t="s">
        <v>5481</v>
      </c>
      <c r="T2301" s="6" t="str">
        <f>IFERROR(__xludf.DUMMYFUNCTION("""COMPUTED_VALUE"""),"elm")</f>
        <v>elm</v>
      </c>
      <c r="W2301" s="8"/>
      <c r="AJ2301" s="1"/>
      <c r="AM2301" s="1" t="s">
        <v>4184</v>
      </c>
    </row>
    <row r="2302">
      <c r="E2302" s="1" t="s">
        <v>4516</v>
      </c>
      <c r="H2302" s="1" t="s">
        <v>4666</v>
      </c>
      <c r="I2302" s="6" t="str">
        <f>IFERROR(__xludf.DUMMYFUNCTION("""COMPUTED_VALUE"""),"preaching")</f>
        <v>preaching</v>
      </c>
      <c r="S2302" s="1" t="s">
        <v>3916</v>
      </c>
      <c r="T2302" s="6" t="str">
        <f>IFERROR(__xludf.DUMMYFUNCTION("""COMPUTED_VALUE"""),"guilt")</f>
        <v>guilt</v>
      </c>
      <c r="W2302" s="8"/>
      <c r="AJ2302" s="1"/>
      <c r="AM2302" s="1" t="s">
        <v>3954</v>
      </c>
    </row>
    <row r="2303">
      <c r="E2303" s="1" t="s">
        <v>4517</v>
      </c>
      <c r="H2303" s="1" t="s">
        <v>2057</v>
      </c>
      <c r="I2303" s="6" t="str">
        <f>IFERROR(__xludf.DUMMYFUNCTION("""COMPUTED_VALUE"""),"reportedly")</f>
        <v>reportedly</v>
      </c>
      <c r="S2303" s="1" t="s">
        <v>5050</v>
      </c>
      <c r="T2303" s="6" t="str">
        <f>IFERROR(__xludf.DUMMYFUNCTION("""COMPUTED_VALUE"""),"uniquely")</f>
        <v>uniquely</v>
      </c>
      <c r="W2303" s="8"/>
      <c r="AJ2303" s="1"/>
      <c r="AM2303" s="1" t="s">
        <v>3957</v>
      </c>
    </row>
    <row r="2304">
      <c r="E2304" s="1" t="s">
        <v>750</v>
      </c>
      <c r="H2304" s="1" t="s">
        <v>3283</v>
      </c>
      <c r="I2304" s="6" t="str">
        <f>IFERROR(__xludf.DUMMYFUNCTION("""COMPUTED_VALUE"""),"dimensional")</f>
        <v>dimensional</v>
      </c>
      <c r="S2304" s="1" t="s">
        <v>5482</v>
      </c>
      <c r="T2304" s="6" t="str">
        <f>IFERROR(__xludf.DUMMYFUNCTION("""COMPUTED_VALUE"""),"foremost")</f>
        <v>foremost</v>
      </c>
      <c r="W2304" s="8"/>
      <c r="AJ2304" s="1"/>
      <c r="AM2304" s="1" t="s">
        <v>3399</v>
      </c>
    </row>
    <row r="2305">
      <c r="E2305" s="1" t="s">
        <v>2718</v>
      </c>
      <c r="H2305" s="1" t="s">
        <v>1356</v>
      </c>
      <c r="I2305" s="6" t="str">
        <f>IFERROR(__xludf.DUMMYFUNCTION("""COMPUTED_VALUE"""),"liability")</f>
        <v>liability</v>
      </c>
      <c r="S2305" s="1" t="s">
        <v>1381</v>
      </c>
      <c r="T2305" s="6" t="str">
        <f>IFERROR(__xludf.DUMMYFUNCTION("""COMPUTED_VALUE"""),"saddle")</f>
        <v>saddle</v>
      </c>
      <c r="W2305" s="8"/>
      <c r="AJ2305" s="1"/>
      <c r="AM2305" s="1" t="s">
        <v>3401</v>
      </c>
    </row>
    <row r="2306">
      <c r="E2306" s="1" t="s">
        <v>2124</v>
      </c>
      <c r="H2306" s="1" t="s">
        <v>4413</v>
      </c>
      <c r="I2306" s="6" t="str">
        <f>IFERROR(__xludf.DUMMYFUNCTION("""COMPUTED_VALUE"""),"tackled")</f>
        <v>tackled</v>
      </c>
      <c r="S2306" s="1" t="s">
        <v>5419</v>
      </c>
      <c r="T2306" s="6" t="str">
        <f>IFERROR(__xludf.DUMMYFUNCTION("""COMPUTED_VALUE"""),"pinnacle")</f>
        <v>pinnacle</v>
      </c>
      <c r="W2306" s="8"/>
      <c r="AJ2306" s="1"/>
      <c r="AM2306" s="1" t="s">
        <v>3962</v>
      </c>
    </row>
    <row r="2307">
      <c r="E2307" s="1" t="s">
        <v>1751</v>
      </c>
      <c r="H2307" s="1" t="s">
        <v>3288</v>
      </c>
      <c r="I2307" s="6" t="str">
        <f>IFERROR(__xludf.DUMMYFUNCTION("""COMPUTED_VALUE"""),"byzantine")</f>
        <v>byzantine</v>
      </c>
      <c r="S2307" s="1" t="s">
        <v>5483</v>
      </c>
      <c r="T2307" s="6" t="str">
        <f>IFERROR(__xludf.DUMMYFUNCTION("""COMPUTED_VALUE"""),"swirling")</f>
        <v>swirling</v>
      </c>
      <c r="W2307" s="8"/>
      <c r="AJ2307" s="1"/>
      <c r="AM2307" s="1" t="s">
        <v>2181</v>
      </c>
    </row>
    <row r="2308">
      <c r="E2308" s="1" t="s">
        <v>2724</v>
      </c>
      <c r="H2308" s="1" t="s">
        <v>3722</v>
      </c>
      <c r="I2308" s="6" t="str">
        <f>IFERROR(__xludf.DUMMYFUNCTION("""COMPUTED_VALUE"""),"barrie")</f>
        <v>barrie</v>
      </c>
      <c r="S2308" s="1" t="s">
        <v>5484</v>
      </c>
      <c r="T2308" s="6" t="str">
        <f>IFERROR(__xludf.DUMMYFUNCTION("""COMPUTED_VALUE"""),"armchair")</f>
        <v>armchair</v>
      </c>
      <c r="W2308" s="8"/>
      <c r="AJ2308" s="1"/>
      <c r="AM2308" s="1" t="s">
        <v>5011</v>
      </c>
    </row>
    <row r="2309">
      <c r="E2309" s="1" t="s">
        <v>5485</v>
      </c>
      <c r="H2309" s="1" t="s">
        <v>4836</v>
      </c>
      <c r="I2309" s="6" t="str">
        <f>IFERROR(__xludf.DUMMYFUNCTION("""COMPUTED_VALUE"""),"myrtle")</f>
        <v>myrtle</v>
      </c>
      <c r="S2309" s="1" t="s">
        <v>5486</v>
      </c>
      <c r="T2309" s="6" t="str">
        <f>IFERROR(__xludf.DUMMYFUNCTION("""COMPUTED_VALUE"""),"yields")</f>
        <v>yields</v>
      </c>
      <c r="W2309" s="8"/>
      <c r="AJ2309" s="1"/>
      <c r="AM2309" s="1" t="s">
        <v>3967</v>
      </c>
    </row>
    <row r="2310">
      <c r="E2310" s="1" t="s">
        <v>5487</v>
      </c>
      <c r="H2310" s="1" t="s">
        <v>3724</v>
      </c>
      <c r="I2310" s="6" t="str">
        <f>IFERROR(__xludf.DUMMYFUNCTION("""COMPUTED_VALUE"""),"affinity")</f>
        <v>affinity</v>
      </c>
      <c r="S2310" s="1" t="s">
        <v>5139</v>
      </c>
      <c r="T2310" s="6" t="str">
        <f>IFERROR(__xludf.DUMMYFUNCTION("""COMPUTED_VALUE"""),"wasp")</f>
        <v>wasp</v>
      </c>
      <c r="W2310" s="8"/>
      <c r="AJ2310" s="1"/>
      <c r="AM2310" s="1" t="s">
        <v>1336</v>
      </c>
    </row>
    <row r="2311">
      <c r="E2311" s="1" t="s">
        <v>4526</v>
      </c>
      <c r="H2311" s="1" t="s">
        <v>4829</v>
      </c>
      <c r="I2311" s="6" t="str">
        <f>IFERROR(__xludf.DUMMYFUNCTION("""COMPUTED_VALUE"""),"marching")</f>
        <v>marching</v>
      </c>
      <c r="S2311" s="1" t="s">
        <v>3126</v>
      </c>
      <c r="T2311" s="6" t="str">
        <f>IFERROR(__xludf.DUMMYFUNCTION("""COMPUTED_VALUE"""),"stud")</f>
        <v>stud</v>
      </c>
      <c r="W2311" s="8"/>
      <c r="AJ2311" s="1"/>
      <c r="AM2311" s="1" t="s">
        <v>3407</v>
      </c>
    </row>
    <row r="2312">
      <c r="E2312" s="1" t="s">
        <v>4529</v>
      </c>
      <c r="H2312" s="1" t="s">
        <v>3874</v>
      </c>
      <c r="I2312" s="6" t="str">
        <f>IFERROR(__xludf.DUMMYFUNCTION("""COMPUTED_VALUE"""),"percussion")</f>
        <v>percussion</v>
      </c>
      <c r="S2312" s="1" t="s">
        <v>3280</v>
      </c>
      <c r="T2312" s="6" t="str">
        <f>IFERROR(__xludf.DUMMYFUNCTION("""COMPUTED_VALUE"""),"slapping")</f>
        <v>slapping</v>
      </c>
      <c r="W2312" s="8"/>
      <c r="AJ2312" s="1"/>
      <c r="AM2312" s="1" t="s">
        <v>3969</v>
      </c>
    </row>
    <row r="2313">
      <c r="E2313" s="1" t="s">
        <v>2730</v>
      </c>
      <c r="H2313" s="1" t="s">
        <v>3292</v>
      </c>
      <c r="I2313" s="6" t="str">
        <f>IFERROR(__xludf.DUMMYFUNCTION("""COMPUTED_VALUE"""),"ninth")</f>
        <v>ninth</v>
      </c>
      <c r="S2313" s="1" t="s">
        <v>5488</v>
      </c>
      <c r="T2313" s="6" t="str">
        <f>IFERROR(__xludf.DUMMYFUNCTION("""COMPUTED_VALUE"""),"hazy")</f>
        <v>hazy</v>
      </c>
      <c r="W2313" s="8"/>
      <c r="AJ2313" s="1"/>
      <c r="AM2313" s="1" t="s">
        <v>3973</v>
      </c>
    </row>
    <row r="2314">
      <c r="E2314" s="1" t="s">
        <v>5489</v>
      </c>
      <c r="H2314" s="1" t="s">
        <v>1033</v>
      </c>
      <c r="I2314" s="6" t="str">
        <f>IFERROR(__xludf.DUMMYFUNCTION("""COMPUTED_VALUE"""),"develops")</f>
        <v>develops</v>
      </c>
      <c r="S2314" s="1" t="s">
        <v>5490</v>
      </c>
      <c r="T2314" s="6" t="str">
        <f>IFERROR(__xludf.DUMMYFUNCTION("""COMPUTED_VALUE"""),"attracting")</f>
        <v>attracting</v>
      </c>
      <c r="W2314" s="8"/>
      <c r="AJ2314" s="1"/>
      <c r="AM2314" s="1" t="s">
        <v>4748</v>
      </c>
    </row>
    <row r="2315">
      <c r="E2315" s="1" t="s">
        <v>5491</v>
      </c>
      <c r="H2315" s="1" t="s">
        <v>3700</v>
      </c>
      <c r="I2315" s="6" t="str">
        <f>IFERROR(__xludf.DUMMYFUNCTION("""COMPUTED_VALUE"""),"ballot")</f>
        <v>ballot</v>
      </c>
      <c r="S2315" s="1" t="s">
        <v>1446</v>
      </c>
      <c r="T2315" s="6" t="str">
        <f>IFERROR(__xludf.DUMMYFUNCTION("""COMPUTED_VALUE"""),"clones")</f>
        <v>clones</v>
      </c>
      <c r="W2315" s="8"/>
      <c r="AJ2315" s="1"/>
      <c r="AM2315" s="1" t="s">
        <v>3975</v>
      </c>
    </row>
    <row r="2316">
      <c r="E2316" s="1" t="s">
        <v>1550</v>
      </c>
      <c r="H2316" s="1" t="s">
        <v>3159</v>
      </c>
      <c r="I2316" s="6" t="str">
        <f>IFERROR(__xludf.DUMMYFUNCTION("""COMPUTED_VALUE"""),"cheered")</f>
        <v>cheered</v>
      </c>
      <c r="S2316" s="1" t="s">
        <v>4206</v>
      </c>
      <c r="T2316" s="6" t="str">
        <f>IFERROR(__xludf.DUMMYFUNCTION("""COMPUTED_VALUE"""),"columbia")</f>
        <v>columbia</v>
      </c>
      <c r="W2316" s="8"/>
      <c r="AJ2316" s="1"/>
      <c r="AM2316" s="1" t="s">
        <v>2185</v>
      </c>
    </row>
    <row r="2317">
      <c r="E2317" s="1" t="s">
        <v>4537</v>
      </c>
      <c r="H2317" s="1" t="s">
        <v>3295</v>
      </c>
      <c r="I2317" s="6" t="str">
        <f>IFERROR(__xludf.DUMMYFUNCTION("""COMPUTED_VALUE"""),"integrating")</f>
        <v>integrating</v>
      </c>
      <c r="S2317" s="1" t="s">
        <v>5492</v>
      </c>
      <c r="T2317" s="6" t="str">
        <f>IFERROR(__xludf.DUMMYFUNCTION("""COMPUTED_VALUE"""),"destruction")</f>
        <v>destruction</v>
      </c>
      <c r="W2317" s="8"/>
      <c r="AJ2317" s="1"/>
      <c r="AM2317" s="1" t="s">
        <v>3411</v>
      </c>
    </row>
    <row r="2318">
      <c r="E2318" s="1" t="s">
        <v>5493</v>
      </c>
      <c r="H2318" s="1" t="s">
        <v>3301</v>
      </c>
      <c r="I2318" s="6" t="str">
        <f>IFERROR(__xludf.DUMMYFUNCTION("""COMPUTED_VALUE"""),"nouvelle")</f>
        <v>nouvelle</v>
      </c>
      <c r="S2318" s="1" t="s">
        <v>5119</v>
      </c>
      <c r="T2318" s="6" t="str">
        <f>IFERROR(__xludf.DUMMYFUNCTION("""COMPUTED_VALUE"""),"gracefully")</f>
        <v>gracefully</v>
      </c>
      <c r="W2318" s="8"/>
      <c r="AJ2318" s="1"/>
      <c r="AM2318" s="1" t="s">
        <v>3738</v>
      </c>
    </row>
    <row r="2319">
      <c r="E2319" s="1" t="s">
        <v>4539</v>
      </c>
      <c r="H2319" s="1" t="s">
        <v>4840</v>
      </c>
      <c r="I2319" s="6" t="str">
        <f>IFERROR(__xludf.DUMMYFUNCTION("""COMPUTED_VALUE"""),"bluff")</f>
        <v>bluff</v>
      </c>
      <c r="S2319" s="1" t="s">
        <v>2468</v>
      </c>
      <c r="T2319" s="6" t="str">
        <f>IFERROR(__xludf.DUMMYFUNCTION("""COMPUTED_VALUE"""),"cheerfully")</f>
        <v>cheerfully</v>
      </c>
      <c r="W2319" s="8"/>
      <c r="AJ2319" s="1"/>
      <c r="AM2319" s="1" t="s">
        <v>5026</v>
      </c>
    </row>
    <row r="2320">
      <c r="E2320" s="1" t="s">
        <v>4540</v>
      </c>
      <c r="H2320" s="1" t="s">
        <v>3735</v>
      </c>
      <c r="I2320" s="6" t="str">
        <f>IFERROR(__xludf.DUMMYFUNCTION("""COMPUTED_VALUE"""),"wreckage")</f>
        <v>wreckage</v>
      </c>
      <c r="S2320" s="1" t="s">
        <v>3628</v>
      </c>
      <c r="T2320" s="6" t="str">
        <f>IFERROR(__xludf.DUMMYFUNCTION("""COMPUTED_VALUE"""),"moat")</f>
        <v>moat</v>
      </c>
      <c r="W2320" s="8"/>
      <c r="AJ2320" s="1"/>
      <c r="AM2320" s="1" t="s">
        <v>629</v>
      </c>
    </row>
    <row r="2321">
      <c r="E2321" s="1" t="s">
        <v>2739</v>
      </c>
      <c r="H2321" s="1" t="s">
        <v>3740</v>
      </c>
      <c r="I2321" s="6" t="str">
        <f>IFERROR(__xludf.DUMMYFUNCTION("""COMPUTED_VALUE"""),"interrogation")</f>
        <v>interrogation</v>
      </c>
      <c r="S2321" s="1" t="s">
        <v>1803</v>
      </c>
      <c r="T2321" s="6" t="str">
        <f>IFERROR(__xludf.DUMMYFUNCTION("""COMPUTED_VALUE"""),"chicken")</f>
        <v>chicken</v>
      </c>
      <c r="W2321" s="8"/>
      <c r="AJ2321" s="1"/>
      <c r="AM2321" s="1" t="s">
        <v>1831</v>
      </c>
    </row>
    <row r="2322">
      <c r="E2322" s="1" t="s">
        <v>4888</v>
      </c>
      <c r="H2322" s="1" t="s">
        <v>4843</v>
      </c>
      <c r="I2322" s="6" t="str">
        <f>IFERROR(__xludf.DUMMYFUNCTION("""COMPUTED_VALUE"""),"huskies")</f>
        <v>huskies</v>
      </c>
      <c r="S2322" s="1" t="s">
        <v>5494</v>
      </c>
      <c r="T2322" s="6" t="str">
        <f>IFERROR(__xludf.DUMMYFUNCTION("""COMPUTED_VALUE"""),"rooted")</f>
        <v>rooted</v>
      </c>
      <c r="W2322" s="8"/>
      <c r="AJ2322" s="1"/>
      <c r="AM2322" s="1" t="s">
        <v>2190</v>
      </c>
    </row>
    <row r="2323">
      <c r="E2323" s="1" t="s">
        <v>5495</v>
      </c>
      <c r="H2323" s="1" t="s">
        <v>1040</v>
      </c>
      <c r="I2323" s="6" t="str">
        <f>IFERROR(__xludf.DUMMYFUNCTION("""COMPUTED_VALUE"""),"discarded")</f>
        <v>discarded</v>
      </c>
      <c r="S2323" s="1" t="s">
        <v>3634</v>
      </c>
      <c r="T2323" s="6" t="str">
        <f>IFERROR(__xludf.DUMMYFUNCTION("""COMPUTED_VALUE"""),"bourgeois")</f>
        <v>bourgeois</v>
      </c>
      <c r="W2323" s="8"/>
      <c r="AJ2323" s="1"/>
      <c r="AM2323" s="1" t="s">
        <v>336</v>
      </c>
    </row>
    <row r="2324">
      <c r="E2324" s="1" t="s">
        <v>5496</v>
      </c>
      <c r="H2324" s="1" t="s">
        <v>4846</v>
      </c>
      <c r="I2324" s="6" t="str">
        <f>IFERROR(__xludf.DUMMYFUNCTION("""COMPUTED_VALUE"""),"humming")</f>
        <v>humming</v>
      </c>
      <c r="S2324" s="1" t="s">
        <v>5497</v>
      </c>
      <c r="T2324" s="6" t="str">
        <f>IFERROR(__xludf.DUMMYFUNCTION("""COMPUTED_VALUE"""),"ye")</f>
        <v>ye</v>
      </c>
      <c r="W2324" s="8"/>
      <c r="AJ2324" s="1"/>
      <c r="AM2324" s="1" t="s">
        <v>2197</v>
      </c>
    </row>
    <row r="2325">
      <c r="E2325" s="1" t="s">
        <v>5498</v>
      </c>
      <c r="H2325" s="1" t="s">
        <v>1047</v>
      </c>
      <c r="I2325" s="6" t="str">
        <f>IFERROR(__xludf.DUMMYFUNCTION("""COMPUTED_VALUE"""),"ticking")</f>
        <v>ticking</v>
      </c>
      <c r="S2325" s="1" t="s">
        <v>5433</v>
      </c>
      <c r="T2325" s="6" t="str">
        <f>IFERROR(__xludf.DUMMYFUNCTION("""COMPUTED_VALUE"""),"landscapes")</f>
        <v>landscapes</v>
      </c>
      <c r="W2325" s="8"/>
      <c r="AJ2325" s="1"/>
      <c r="AM2325" s="1" t="s">
        <v>2744</v>
      </c>
    </row>
    <row r="2326">
      <c r="E2326" s="1" t="s">
        <v>3749</v>
      </c>
      <c r="H2326" s="1" t="s">
        <v>1361</v>
      </c>
      <c r="I2326" s="6" t="str">
        <f>IFERROR(__xludf.DUMMYFUNCTION("""COMPUTED_VALUE"""),"millennium")</f>
        <v>millennium</v>
      </c>
      <c r="S2326" s="1" t="s">
        <v>5499</v>
      </c>
      <c r="T2326" s="6" t="str">
        <f>IFERROR(__xludf.DUMMYFUNCTION("""COMPUTED_VALUE"""),"introduces")</f>
        <v>introduces</v>
      </c>
      <c r="W2326" s="8"/>
      <c r="AJ2326" s="1"/>
      <c r="AM2326" s="1" t="s">
        <v>1134</v>
      </c>
    </row>
    <row r="2327">
      <c r="E2327" s="1" t="s">
        <v>5500</v>
      </c>
      <c r="H2327" s="1" t="s">
        <v>2067</v>
      </c>
      <c r="I2327" s="6" t="str">
        <f>IFERROR(__xludf.DUMMYFUNCTION("""COMPUTED_VALUE"""),"overview")</f>
        <v>overview</v>
      </c>
      <c r="S2327" s="1" t="s">
        <v>5501</v>
      </c>
      <c r="T2327" s="6" t="str">
        <f>IFERROR(__xludf.DUMMYFUNCTION("""COMPUTED_VALUE"""),"inevitably")</f>
        <v>inevitably</v>
      </c>
      <c r="W2327" s="8"/>
      <c r="AJ2327" s="1"/>
      <c r="AM2327" s="1" t="s">
        <v>1140</v>
      </c>
    </row>
    <row r="2328">
      <c r="E2328" s="1" t="s">
        <v>4547</v>
      </c>
      <c r="H2328" s="1" t="s">
        <v>3750</v>
      </c>
      <c r="I2328" s="6" t="str">
        <f>IFERROR(__xludf.DUMMYFUNCTION("""COMPUTED_VALUE"""),"motionless")</f>
        <v>motionless</v>
      </c>
      <c r="S2328" s="1" t="s">
        <v>3405</v>
      </c>
      <c r="T2328" s="6" t="str">
        <f>IFERROR(__xludf.DUMMYFUNCTION("""COMPUTED_VALUE"""),"portraits")</f>
        <v>portraits</v>
      </c>
      <c r="W2328" s="8"/>
      <c r="AJ2328" s="1"/>
      <c r="AM2328" s="1" t="s">
        <v>3415</v>
      </c>
    </row>
    <row r="2329">
      <c r="E2329" s="1" t="s">
        <v>5502</v>
      </c>
      <c r="H2329" s="1" t="s">
        <v>2071</v>
      </c>
      <c r="I2329" s="6" t="str">
        <f>IFERROR(__xludf.DUMMYFUNCTION("""COMPUTED_VALUE"""),"monday")</f>
        <v>monday</v>
      </c>
      <c r="S2329" s="1" t="s">
        <v>4860</v>
      </c>
      <c r="T2329" s="6" t="str">
        <f>IFERROR(__xludf.DUMMYFUNCTION("""COMPUTED_VALUE"""),"reassure")</f>
        <v>reassure</v>
      </c>
      <c r="W2329" s="8"/>
      <c r="AJ2329" s="1"/>
      <c r="AM2329" s="1" t="s">
        <v>5503</v>
      </c>
    </row>
    <row r="2330">
      <c r="E2330" s="1" t="s">
        <v>5504</v>
      </c>
      <c r="H2330" s="1" t="s">
        <v>1368</v>
      </c>
      <c r="I2330" s="6" t="str">
        <f>IFERROR(__xludf.DUMMYFUNCTION("""COMPUTED_VALUE"""),"prisoners")</f>
        <v>prisoners</v>
      </c>
      <c r="S2330" s="1" t="s">
        <v>2680</v>
      </c>
      <c r="T2330" s="6" t="str">
        <f>IFERROR(__xludf.DUMMYFUNCTION("""COMPUTED_VALUE"""),"alleged")</f>
        <v>alleged</v>
      </c>
      <c r="W2330" s="8"/>
      <c r="AJ2330" s="1"/>
      <c r="AM2330" s="1" t="s">
        <v>2204</v>
      </c>
    </row>
    <row r="2331">
      <c r="E2331" s="1" t="s">
        <v>5505</v>
      </c>
      <c r="H2331" s="1" t="s">
        <v>2077</v>
      </c>
      <c r="I2331" s="6" t="str">
        <f>IFERROR(__xludf.DUMMYFUNCTION("""COMPUTED_VALUE"""),"prolific")</f>
        <v>prolific</v>
      </c>
      <c r="S2331" s="1" t="s">
        <v>5506</v>
      </c>
      <c r="T2331" s="6" t="str">
        <f>IFERROR(__xludf.DUMMYFUNCTION("""COMPUTED_VALUE"""),"ragged")</f>
        <v>ragged</v>
      </c>
      <c r="W2331" s="8"/>
      <c r="AJ2331" s="1"/>
      <c r="AM2331" s="1" t="s">
        <v>5507</v>
      </c>
    </row>
    <row r="2332">
      <c r="E2332" s="1" t="s">
        <v>5508</v>
      </c>
      <c r="H2332" s="1" t="s">
        <v>1051</v>
      </c>
      <c r="I2332" s="6" t="str">
        <f>IFERROR(__xludf.DUMMYFUNCTION("""COMPUTED_VALUE"""),"spins")</f>
        <v>spins</v>
      </c>
      <c r="S2332" s="1" t="s">
        <v>4583</v>
      </c>
      <c r="T2332" s="6" t="str">
        <f>IFERROR(__xludf.DUMMYFUNCTION("""COMPUTED_VALUE"""),"enacted")</f>
        <v>enacted</v>
      </c>
      <c r="W2332" s="8"/>
      <c r="AJ2332" s="1"/>
      <c r="AM2332" s="1" t="s">
        <v>1481</v>
      </c>
    </row>
    <row r="2333">
      <c r="E2333" s="1" t="s">
        <v>5509</v>
      </c>
      <c r="H2333" s="1" t="s">
        <v>1000</v>
      </c>
      <c r="I2333" s="6" t="str">
        <f>IFERROR(__xludf.DUMMYFUNCTION("""COMPUTED_VALUE"""),"lunar")</f>
        <v>lunar</v>
      </c>
      <c r="S2333" s="1" t="s">
        <v>4774</v>
      </c>
      <c r="T2333" s="6" t="str">
        <f>IFERROR(__xludf.DUMMYFUNCTION("""COMPUTED_VALUE"""),"pristine")</f>
        <v>pristine</v>
      </c>
      <c r="W2333" s="8"/>
      <c r="AJ2333" s="1"/>
      <c r="AM2333" s="1" t="s">
        <v>1488</v>
      </c>
    </row>
    <row r="2334">
      <c r="E2334" s="1" t="s">
        <v>4553</v>
      </c>
      <c r="H2334" s="1" t="s">
        <v>1381</v>
      </c>
      <c r="I2334" s="6" t="str">
        <f>IFERROR(__xludf.DUMMYFUNCTION("""COMPUTED_VALUE"""),"emergence")</f>
        <v>emergence</v>
      </c>
      <c r="S2334" s="1" t="s">
        <v>5209</v>
      </c>
      <c r="T2334" s="6" t="str">
        <f>IFERROR(__xludf.DUMMYFUNCTION("""COMPUTED_VALUE"""),"revived")</f>
        <v>revived</v>
      </c>
      <c r="W2334" s="8"/>
      <c r="AJ2334" s="1"/>
      <c r="AM2334" s="1" t="s">
        <v>5039</v>
      </c>
    </row>
    <row r="2335">
      <c r="E2335" s="1" t="s">
        <v>2745</v>
      </c>
      <c r="H2335" s="1" t="s">
        <v>4859</v>
      </c>
      <c r="I2335" s="6">
        <f>IFERROR(__xludf.DUMMYFUNCTION("""COMPUTED_VALUE"""),1975.0)</f>
        <v>1975</v>
      </c>
      <c r="S2335" s="1" t="s">
        <v>5510</v>
      </c>
      <c r="T2335" s="6" t="str">
        <f>IFERROR(__xludf.DUMMYFUNCTION("""COMPUTED_VALUE"""),"newcastle")</f>
        <v>newcastle</v>
      </c>
      <c r="W2335" s="8"/>
      <c r="AJ2335" s="1"/>
      <c r="AM2335" s="1" t="s">
        <v>1182</v>
      </c>
    </row>
    <row r="2336">
      <c r="E2336" s="1" t="s">
        <v>5131</v>
      </c>
      <c r="H2336" s="1" t="s">
        <v>4860</v>
      </c>
      <c r="I2336" s="6" t="str">
        <f>IFERROR(__xludf.DUMMYFUNCTION("""COMPUTED_VALUE"""),"derek")</f>
        <v>derek</v>
      </c>
      <c r="S2336" s="1" t="s">
        <v>2636</v>
      </c>
      <c r="T2336" s="6" t="str">
        <f>IFERROR(__xludf.DUMMYFUNCTION("""COMPUTED_VALUE"""),"linking")</f>
        <v>linking</v>
      </c>
      <c r="W2336" s="8"/>
      <c r="AJ2336" s="1"/>
      <c r="AM2336" s="1" t="s">
        <v>2206</v>
      </c>
    </row>
    <row r="2337">
      <c r="E2337" s="1" t="s">
        <v>1475</v>
      </c>
      <c r="H2337" s="1" t="s">
        <v>3759</v>
      </c>
      <c r="I2337" s="6" t="str">
        <f>IFERROR(__xludf.DUMMYFUNCTION("""COMPUTED_VALUE"""),"sources")</f>
        <v>sources</v>
      </c>
      <c r="S2337" s="1" t="s">
        <v>4256</v>
      </c>
      <c r="T2337" s="6" t="str">
        <f>IFERROR(__xludf.DUMMYFUNCTION("""COMPUTED_VALUE"""),"fellowship")</f>
        <v>fellowship</v>
      </c>
      <c r="W2337" s="8"/>
      <c r="AJ2337" s="1"/>
      <c r="AM2337" s="1" t="s">
        <v>3999</v>
      </c>
    </row>
    <row r="2338">
      <c r="E2338" s="1" t="s">
        <v>2746</v>
      </c>
      <c r="H2338" s="1" t="s">
        <v>3761</v>
      </c>
      <c r="I2338" s="6" t="str">
        <f>IFERROR(__xludf.DUMMYFUNCTION("""COMPUTED_VALUE"""),"gifford")</f>
        <v>gifford</v>
      </c>
      <c r="S2338" s="1" t="s">
        <v>3123</v>
      </c>
      <c r="T2338" s="6" t="str">
        <f>IFERROR(__xludf.DUMMYFUNCTION("""COMPUTED_VALUE"""),"naive")</f>
        <v>naive</v>
      </c>
      <c r="W2338" s="8"/>
      <c r="AJ2338" s="1"/>
      <c r="AM2338" s="1" t="s">
        <v>3416</v>
      </c>
    </row>
    <row r="2339">
      <c r="E2339" s="1" t="s">
        <v>5189</v>
      </c>
      <c r="H2339" s="1" t="s">
        <v>4864</v>
      </c>
      <c r="I2339" s="6" t="str">
        <f>IFERROR(__xludf.DUMMYFUNCTION("""COMPUTED_VALUE"""),"disturbance")</f>
        <v>disturbance</v>
      </c>
      <c r="S2339" s="1" t="s">
        <v>5511</v>
      </c>
      <c r="T2339" s="6" t="str">
        <f>IFERROR(__xludf.DUMMYFUNCTION("""COMPUTED_VALUE"""),"kurt")</f>
        <v>kurt</v>
      </c>
      <c r="W2339" s="8"/>
      <c r="AJ2339" s="1"/>
      <c r="AM2339" s="1" t="s">
        <v>5051</v>
      </c>
    </row>
    <row r="2340">
      <c r="E2340" s="1" t="s">
        <v>4556</v>
      </c>
      <c r="H2340" s="1" t="s">
        <v>1867</v>
      </c>
      <c r="I2340" s="6" t="str">
        <f>IFERROR(__xludf.DUMMYFUNCTION("""COMPUTED_VALUE"""),"plausible")</f>
        <v>plausible</v>
      </c>
      <c r="S2340" s="1" t="s">
        <v>5227</v>
      </c>
      <c r="T2340" s="6" t="str">
        <f>IFERROR(__xludf.DUMMYFUNCTION("""COMPUTED_VALUE"""),"appropriate")</f>
        <v>appropriate</v>
      </c>
      <c r="W2340" s="8"/>
      <c r="AJ2340" s="1"/>
      <c r="AM2340" s="1" t="s">
        <v>5512</v>
      </c>
    </row>
    <row r="2341">
      <c r="E2341" s="1" t="s">
        <v>2750</v>
      </c>
      <c r="H2341" s="1" t="s">
        <v>3767</v>
      </c>
      <c r="I2341" s="6" t="str">
        <f>IFERROR(__xludf.DUMMYFUNCTION("""COMPUTED_VALUE"""),"skeleton")</f>
        <v>skeleton</v>
      </c>
      <c r="S2341" s="1" t="s">
        <v>440</v>
      </c>
      <c r="T2341" s="6" t="str">
        <f>IFERROR(__xludf.DUMMYFUNCTION("""COMPUTED_VALUE"""),"temple")</f>
        <v>temple</v>
      </c>
      <c r="W2341" s="8"/>
      <c r="AJ2341" s="1"/>
      <c r="AM2341" s="1" t="s">
        <v>4003</v>
      </c>
    </row>
    <row r="2342">
      <c r="E2342" s="1" t="s">
        <v>2748</v>
      </c>
      <c r="H2342" s="1" t="s">
        <v>2090</v>
      </c>
      <c r="I2342" s="6" t="str">
        <f>IFERROR(__xludf.DUMMYFUNCTION("""COMPUTED_VALUE"""),"bender")</f>
        <v>bender</v>
      </c>
      <c r="S2342" s="1" t="s">
        <v>4004</v>
      </c>
      <c r="T2342" s="6" t="str">
        <f>IFERROR(__xludf.DUMMYFUNCTION("""COMPUTED_VALUE"""),"scoring")</f>
        <v>scoring</v>
      </c>
      <c r="W2342" s="8"/>
      <c r="AJ2342" s="1"/>
      <c r="AM2342" s="1" t="s">
        <v>2208</v>
      </c>
    </row>
    <row r="2343">
      <c r="E2343" s="1" t="s">
        <v>4560</v>
      </c>
      <c r="H2343" s="1" t="s">
        <v>3772</v>
      </c>
      <c r="I2343" s="6" t="str">
        <f>IFERROR(__xludf.DUMMYFUNCTION("""COMPUTED_VALUE"""),"precedent")</f>
        <v>precedent</v>
      </c>
      <c r="S2343" s="1">
        <v>101.0</v>
      </c>
      <c r="T2343" s="6" t="str">
        <f>IFERROR(__xludf.DUMMYFUNCTION("""COMPUTED_VALUE"""),"collar")</f>
        <v>collar</v>
      </c>
      <c r="W2343" s="8"/>
      <c r="AJ2343" s="1"/>
      <c r="AM2343" s="1" t="s">
        <v>4007</v>
      </c>
    </row>
    <row r="2344">
      <c r="E2344" s="1" t="s">
        <v>1556</v>
      </c>
      <c r="H2344" s="1" t="s">
        <v>1782</v>
      </c>
      <c r="I2344" s="6" t="str">
        <f>IFERROR(__xludf.DUMMYFUNCTION("""COMPUTED_VALUE"""),"catastrophic")</f>
        <v>catastrophic</v>
      </c>
      <c r="S2344" s="1" t="s">
        <v>4247</v>
      </c>
      <c r="T2344" s="6" t="str">
        <f>IFERROR(__xludf.DUMMYFUNCTION("""COMPUTED_VALUE"""),"nonfiction")</f>
        <v>nonfiction</v>
      </c>
      <c r="W2344" s="8"/>
      <c r="AJ2344" s="1"/>
      <c r="AM2344" s="1" t="s">
        <v>4010</v>
      </c>
    </row>
    <row r="2345">
      <c r="E2345" s="1" t="s">
        <v>5513</v>
      </c>
      <c r="H2345" s="1" t="s">
        <v>4433</v>
      </c>
      <c r="I2345" s="6" t="str">
        <f>IFERROR(__xludf.DUMMYFUNCTION("""COMPUTED_VALUE"""),"pact")</f>
        <v>pact</v>
      </c>
      <c r="S2345" s="1" t="s">
        <v>1544</v>
      </c>
      <c r="T2345" s="6" t="str">
        <f>IFERROR(__xludf.DUMMYFUNCTION("""COMPUTED_VALUE"""),"self")</f>
        <v>self</v>
      </c>
      <c r="W2345" s="8"/>
      <c r="AJ2345" s="1"/>
      <c r="AM2345" s="1" t="s">
        <v>4013</v>
      </c>
    </row>
    <row r="2346">
      <c r="E2346" s="1" t="s">
        <v>2758</v>
      </c>
      <c r="H2346" s="1" t="s">
        <v>5514</v>
      </c>
      <c r="I2346" s="6" t="str">
        <f>IFERROR(__xludf.DUMMYFUNCTION("""COMPUTED_VALUE"""),"grave")</f>
        <v>grave</v>
      </c>
      <c r="S2346" s="1" t="s">
        <v>5502</v>
      </c>
      <c r="T2346" s="6" t="str">
        <f>IFERROR(__xludf.DUMMYFUNCTION("""COMPUTED_VALUE"""),"effectiveness")</f>
        <v>effectiveness</v>
      </c>
      <c r="W2346" s="8"/>
      <c r="AJ2346" s="1"/>
      <c r="AM2346" s="1" t="s">
        <v>1318</v>
      </c>
    </row>
    <row r="2347">
      <c r="E2347" s="1" t="s">
        <v>2763</v>
      </c>
      <c r="H2347" s="1" t="s">
        <v>1057</v>
      </c>
      <c r="I2347" s="6" t="str">
        <f>IFERROR(__xludf.DUMMYFUNCTION("""COMPUTED_VALUE"""),"crushing")</f>
        <v>crushing</v>
      </c>
      <c r="S2347" s="1" t="s">
        <v>3570</v>
      </c>
      <c r="T2347" s="6" t="str">
        <f>IFERROR(__xludf.DUMMYFUNCTION("""COMPUTED_VALUE"""),"graves")</f>
        <v>graves</v>
      </c>
      <c r="W2347" s="8"/>
      <c r="AJ2347" s="1"/>
      <c r="AM2347" s="1" t="s">
        <v>2797</v>
      </c>
    </row>
    <row r="2348">
      <c r="E2348" s="1" t="s">
        <v>4566</v>
      </c>
      <c r="H2348" s="1" t="s">
        <v>4872</v>
      </c>
      <c r="I2348" s="6" t="str">
        <f>IFERROR(__xludf.DUMMYFUNCTION("""COMPUTED_VALUE"""),"fragment")</f>
        <v>fragment</v>
      </c>
      <c r="S2348" s="1" t="s">
        <v>5515</v>
      </c>
      <c r="T2348" s="6" t="str">
        <f>IFERROR(__xludf.DUMMYFUNCTION("""COMPUTED_VALUE"""),"generations")</f>
        <v>generations</v>
      </c>
      <c r="W2348" s="8"/>
      <c r="AJ2348" s="1"/>
      <c r="AM2348" s="1" t="s">
        <v>5516</v>
      </c>
    </row>
    <row r="2349">
      <c r="E2349" s="1" t="s">
        <v>5517</v>
      </c>
      <c r="H2349" s="1" t="s">
        <v>5518</v>
      </c>
      <c r="I2349" s="6" t="str">
        <f>IFERROR(__xludf.DUMMYFUNCTION("""COMPUTED_VALUE"""),"pornographic")</f>
        <v>pornographic</v>
      </c>
      <c r="S2349" s="1" t="s">
        <v>5519</v>
      </c>
      <c r="T2349" s="6" t="str">
        <f>IFERROR(__xludf.DUMMYFUNCTION("""COMPUTED_VALUE"""),"deeds")</f>
        <v>deeds</v>
      </c>
      <c r="W2349" s="8"/>
      <c r="AJ2349" s="1"/>
      <c r="AM2349" s="1" t="s">
        <v>2210</v>
      </c>
    </row>
    <row r="2350">
      <c r="E2350" s="1" t="s">
        <v>1884</v>
      </c>
      <c r="H2350" s="1" t="s">
        <v>1063</v>
      </c>
      <c r="I2350" s="6" t="str">
        <f>IFERROR(__xludf.DUMMYFUNCTION("""COMPUTED_VALUE"""),"frontal")</f>
        <v>frontal</v>
      </c>
      <c r="S2350" s="1" t="s">
        <v>5520</v>
      </c>
      <c r="T2350" s="6" t="str">
        <f>IFERROR(__xludf.DUMMYFUNCTION("""COMPUTED_VALUE"""),"margins")</f>
        <v>margins</v>
      </c>
      <c r="W2350" s="8"/>
      <c r="AJ2350" s="1"/>
      <c r="AM2350" s="1" t="s">
        <v>4017</v>
      </c>
    </row>
    <row r="2351">
      <c r="E2351" s="1" t="s">
        <v>1286</v>
      </c>
      <c r="H2351" s="1" t="s">
        <v>1596</v>
      </c>
      <c r="I2351" s="6" t="str">
        <f>IFERROR(__xludf.DUMMYFUNCTION("""COMPUTED_VALUE"""),"fused")</f>
        <v>fused</v>
      </c>
      <c r="S2351" s="1" t="s">
        <v>4204</v>
      </c>
      <c r="T2351" s="6" t="str">
        <f>IFERROR(__xludf.DUMMYFUNCTION("""COMPUTED_VALUE"""),"blues")</f>
        <v>blues</v>
      </c>
      <c r="W2351" s="8"/>
      <c r="AJ2351" s="1"/>
      <c r="AM2351" s="1" t="s">
        <v>5521</v>
      </c>
    </row>
    <row r="2352">
      <c r="E2352" s="1" t="s">
        <v>5522</v>
      </c>
      <c r="H2352" s="1" t="s">
        <v>5523</v>
      </c>
      <c r="I2352" s="6" t="str">
        <f>IFERROR(__xludf.DUMMYFUNCTION("""COMPUTED_VALUE"""),"playfully")</f>
        <v>playfully</v>
      </c>
      <c r="S2352" s="1" t="s">
        <v>2032</v>
      </c>
      <c r="T2352" s="6" t="str">
        <f>IFERROR(__xludf.DUMMYFUNCTION("""COMPUTED_VALUE"""),"refers")</f>
        <v>refers</v>
      </c>
      <c r="W2352" s="8"/>
      <c r="AJ2352" s="1"/>
      <c r="AM2352" s="1" t="s">
        <v>4021</v>
      </c>
    </row>
    <row r="2353">
      <c r="E2353" s="1" t="s">
        <v>1760</v>
      </c>
      <c r="H2353" s="1" t="s">
        <v>4364</v>
      </c>
      <c r="I2353" s="6" t="str">
        <f>IFERROR(__xludf.DUMMYFUNCTION("""COMPUTED_VALUE"""),"losses")</f>
        <v>losses</v>
      </c>
      <c r="S2353" s="1" t="s">
        <v>5524</v>
      </c>
      <c r="T2353" s="6" t="str">
        <f>IFERROR(__xludf.DUMMYFUNCTION("""COMPUTED_VALUE"""),"shadows")</f>
        <v>shadows</v>
      </c>
      <c r="W2353" s="8"/>
      <c r="AJ2353" s="1"/>
      <c r="AM2353" s="1" t="s">
        <v>5061</v>
      </c>
    </row>
    <row r="2354">
      <c r="E2354" s="1" t="s">
        <v>2768</v>
      </c>
      <c r="H2354" s="1" t="s">
        <v>4876</v>
      </c>
      <c r="I2354" s="6" t="str">
        <f>IFERROR(__xludf.DUMMYFUNCTION("""COMPUTED_VALUE"""),"broader")</f>
        <v>broader</v>
      </c>
      <c r="S2354" s="1" t="s">
        <v>1680</v>
      </c>
      <c r="T2354" s="6" t="str">
        <f>IFERROR(__xludf.DUMMYFUNCTION("""COMPUTED_VALUE"""),"afterlife")</f>
        <v>afterlife</v>
      </c>
      <c r="W2354" s="8"/>
      <c r="AJ2354" s="1"/>
      <c r="AM2354" s="1" t="s">
        <v>4025</v>
      </c>
    </row>
    <row r="2355">
      <c r="E2355" s="1" t="s">
        <v>1401</v>
      </c>
      <c r="H2355" s="1" t="s">
        <v>4879</v>
      </c>
      <c r="I2355" s="6" t="str">
        <f>IFERROR(__xludf.DUMMYFUNCTION("""COMPUTED_VALUE"""),"bestowed")</f>
        <v>bestowed</v>
      </c>
      <c r="S2355" s="1" t="s">
        <v>1408</v>
      </c>
      <c r="T2355" s="6" t="str">
        <f>IFERROR(__xludf.DUMMYFUNCTION("""COMPUTED_VALUE"""),"thirteen")</f>
        <v>thirteen</v>
      </c>
      <c r="W2355" s="8"/>
      <c r="AJ2355" s="1"/>
      <c r="AM2355" s="1" t="s">
        <v>5024</v>
      </c>
    </row>
    <row r="2356">
      <c r="E2356" s="1" t="s">
        <v>2780</v>
      </c>
      <c r="H2356" s="1" t="s">
        <v>4314</v>
      </c>
      <c r="I2356" s="6" t="str">
        <f>IFERROR(__xludf.DUMMYFUNCTION("""COMPUTED_VALUE"""),"waldo")</f>
        <v>waldo</v>
      </c>
      <c r="S2356" s="1" t="s">
        <v>5451</v>
      </c>
      <c r="T2356" s="6" t="str">
        <f>IFERROR(__xludf.DUMMYFUNCTION("""COMPUTED_VALUE"""),"plagued")</f>
        <v>plagued</v>
      </c>
      <c r="W2356" s="8"/>
      <c r="AJ2356" s="1"/>
      <c r="AM2356" s="1" t="s">
        <v>1147</v>
      </c>
    </row>
    <row r="2357">
      <c r="E2357" s="1" t="s">
        <v>5525</v>
      </c>
      <c r="H2357" s="1" t="s">
        <v>4882</v>
      </c>
      <c r="I2357" s="6" t="str">
        <f>IFERROR(__xludf.DUMMYFUNCTION("""COMPUTED_VALUE"""),"familiarity")</f>
        <v>familiarity</v>
      </c>
      <c r="S2357" s="1" t="s">
        <v>3767</v>
      </c>
      <c r="T2357" s="6" t="str">
        <f>IFERROR(__xludf.DUMMYFUNCTION("""COMPUTED_VALUE"""),"fragile")</f>
        <v>fragile</v>
      </c>
      <c r="W2357" s="8"/>
      <c r="AJ2357" s="1"/>
      <c r="AM2357" s="1" t="s">
        <v>1152</v>
      </c>
    </row>
    <row r="2358">
      <c r="E2358" s="1" t="s">
        <v>3769</v>
      </c>
      <c r="H2358" s="1" t="s">
        <v>4883</v>
      </c>
      <c r="I2358" s="6" t="str">
        <f>IFERROR(__xludf.DUMMYFUNCTION("""COMPUTED_VALUE"""),"carmichael")</f>
        <v>carmichael</v>
      </c>
      <c r="S2358" s="1" t="s">
        <v>5526</v>
      </c>
      <c r="T2358" s="6" t="str">
        <f>IFERROR(__xludf.DUMMYFUNCTION("""COMPUTED_VALUE"""),"teaming")</f>
        <v>teaming</v>
      </c>
      <c r="W2358" s="8"/>
      <c r="AJ2358" s="1"/>
      <c r="AM2358" s="1" t="s">
        <v>3425</v>
      </c>
    </row>
    <row r="2359">
      <c r="E2359" s="1" t="s">
        <v>4804</v>
      </c>
      <c r="H2359" s="1" t="s">
        <v>5527</v>
      </c>
      <c r="I2359" s="6" t="str">
        <f>IFERROR(__xludf.DUMMYFUNCTION("""COMPUTED_VALUE"""),"victorious")</f>
        <v>victorious</v>
      </c>
      <c r="S2359" s="1" t="s">
        <v>3500</v>
      </c>
      <c r="T2359" s="6" t="str">
        <f>IFERROR(__xludf.DUMMYFUNCTION("""COMPUTED_VALUE"""),"garner")</f>
        <v>garner</v>
      </c>
      <c r="W2359" s="8"/>
      <c r="AJ2359" s="1"/>
      <c r="AM2359" s="1" t="s">
        <v>1496</v>
      </c>
    </row>
    <row r="2360">
      <c r="E2360" s="1" t="s">
        <v>1566</v>
      </c>
      <c r="H2360" s="1" t="s">
        <v>2097</v>
      </c>
      <c r="I2360" s="6" t="str">
        <f>IFERROR(__xludf.DUMMYFUNCTION("""COMPUTED_VALUE"""),"revolutionaries")</f>
        <v>revolutionaries</v>
      </c>
      <c r="S2360" s="1" t="s">
        <v>4283</v>
      </c>
      <c r="T2360" s="6" t="str">
        <f>IFERROR(__xludf.DUMMYFUNCTION("""COMPUTED_VALUE"""),"ace")</f>
        <v>ace</v>
      </c>
      <c r="W2360" s="8"/>
      <c r="AJ2360" s="1"/>
      <c r="AM2360" s="1" t="s">
        <v>5528</v>
      </c>
    </row>
    <row r="2361">
      <c r="E2361" s="1" t="s">
        <v>4574</v>
      </c>
      <c r="H2361" s="1" t="s">
        <v>3785</v>
      </c>
      <c r="I2361" s="6" t="str">
        <f>IFERROR(__xludf.DUMMYFUNCTION("""COMPUTED_VALUE"""),"exiled")</f>
        <v>exiled</v>
      </c>
      <c r="S2361" s="1" t="s">
        <v>5529</v>
      </c>
      <c r="T2361" s="6" t="str">
        <f>IFERROR(__xludf.DUMMYFUNCTION("""COMPUTED_VALUE"""),"tanks")</f>
        <v>tanks</v>
      </c>
      <c r="W2361" s="8"/>
      <c r="AJ2361" s="1"/>
      <c r="AM2361" s="1" t="s">
        <v>5530</v>
      </c>
    </row>
    <row r="2362">
      <c r="E2362" s="1" t="s">
        <v>1572</v>
      </c>
      <c r="H2362" s="1" t="s">
        <v>3788</v>
      </c>
      <c r="I2362" s="6" t="str">
        <f>IFERROR(__xludf.DUMMYFUNCTION("""COMPUTED_VALUE"""),"aristocracy")</f>
        <v>aristocracy</v>
      </c>
      <c r="S2362" s="1" t="s">
        <v>3488</v>
      </c>
      <c r="T2362" s="6" t="str">
        <f>IFERROR(__xludf.DUMMYFUNCTION("""COMPUTED_VALUE"""),"cushion")</f>
        <v>cushion</v>
      </c>
      <c r="W2362" s="8"/>
      <c r="AJ2362" s="1"/>
      <c r="AM2362" s="1" t="s">
        <v>4030</v>
      </c>
    </row>
    <row r="2363">
      <c r="E2363" s="1" t="s">
        <v>3688</v>
      </c>
      <c r="H2363" s="1" t="s">
        <v>988</v>
      </c>
      <c r="I2363" s="6" t="str">
        <f>IFERROR(__xludf.DUMMYFUNCTION("""COMPUTED_VALUE"""),"hounds")</f>
        <v>hounds</v>
      </c>
      <c r="S2363" s="1" t="s">
        <v>1335</v>
      </c>
      <c r="T2363" s="6" t="str">
        <f>IFERROR(__xludf.DUMMYFUNCTION("""COMPUTED_VALUE"""),"rate")</f>
        <v>rate</v>
      </c>
      <c r="W2363" s="8"/>
      <c r="AJ2363" s="1"/>
      <c r="AM2363" s="1" t="s">
        <v>5070</v>
      </c>
    </row>
    <row r="2364">
      <c r="E2364" s="1">
        <v>1952.0</v>
      </c>
      <c r="H2364" s="1" t="s">
        <v>4885</v>
      </c>
      <c r="I2364" s="6" t="str">
        <f>IFERROR(__xludf.DUMMYFUNCTION("""COMPUTED_VALUE"""),"iranian")</f>
        <v>iranian</v>
      </c>
      <c r="S2364" s="1" t="s">
        <v>1008</v>
      </c>
      <c r="T2364" s="6" t="str">
        <f>IFERROR(__xludf.DUMMYFUNCTION("""COMPUTED_VALUE"""),"pedestal")</f>
        <v>pedestal</v>
      </c>
      <c r="W2364" s="8"/>
      <c r="AJ2364" s="1"/>
      <c r="AM2364" s="1" t="s">
        <v>5313</v>
      </c>
    </row>
    <row r="2365">
      <c r="E2365" s="1" t="s">
        <v>5531</v>
      </c>
      <c r="H2365" s="1" t="s">
        <v>3791</v>
      </c>
      <c r="I2365" s="6" t="str">
        <f>IFERROR(__xludf.DUMMYFUNCTION("""COMPUTED_VALUE"""),"fledgling")</f>
        <v>fledgling</v>
      </c>
      <c r="S2365" s="1" t="s">
        <v>5532</v>
      </c>
      <c r="T2365" s="6" t="str">
        <f>IFERROR(__xludf.DUMMYFUNCTION("""COMPUTED_VALUE"""),"paralyzed")</f>
        <v>paralyzed</v>
      </c>
      <c r="W2365" s="8"/>
      <c r="AJ2365" s="1"/>
      <c r="AM2365" s="1" t="s">
        <v>4032</v>
      </c>
    </row>
    <row r="2366">
      <c r="E2366" s="1" t="s">
        <v>4579</v>
      </c>
      <c r="H2366" s="1" t="s">
        <v>2099</v>
      </c>
      <c r="I2366" s="6" t="str">
        <f>IFERROR(__xludf.DUMMYFUNCTION("""COMPUTED_VALUE"""),"presiding")</f>
        <v>presiding</v>
      </c>
      <c r="S2366" s="1" t="s">
        <v>2541</v>
      </c>
      <c r="T2366" s="6" t="str">
        <f>IFERROR(__xludf.DUMMYFUNCTION("""COMPUTED_VALUE"""),"pornography")</f>
        <v>pornography</v>
      </c>
      <c r="W2366" s="8"/>
      <c r="AJ2366" s="1"/>
      <c r="AM2366" s="1" t="s">
        <v>1510</v>
      </c>
    </row>
    <row r="2367">
      <c r="E2367" s="1" t="s">
        <v>5533</v>
      </c>
      <c r="H2367" s="1" t="s">
        <v>3795</v>
      </c>
      <c r="I2367" s="6" t="str">
        <f>IFERROR(__xludf.DUMMYFUNCTION("""COMPUTED_VALUE"""),"macbeth")</f>
        <v>macbeth</v>
      </c>
      <c r="S2367" s="1" t="s">
        <v>5534</v>
      </c>
      <c r="T2367" s="6" t="str">
        <f>IFERROR(__xludf.DUMMYFUNCTION("""COMPUTED_VALUE"""),"brutality")</f>
        <v>brutality</v>
      </c>
      <c r="W2367" s="8"/>
      <c r="AJ2367" s="1"/>
      <c r="AM2367" s="1" t="s">
        <v>1158</v>
      </c>
    </row>
    <row r="2368">
      <c r="E2368" s="1" t="s">
        <v>2786</v>
      </c>
      <c r="H2368" s="1" t="s">
        <v>5535</v>
      </c>
      <c r="I2368" s="6" t="str">
        <f>IFERROR(__xludf.DUMMYFUNCTION("""COMPUTED_VALUE"""),"daniel")</f>
        <v>daniel</v>
      </c>
      <c r="S2368" s="1" t="s">
        <v>2894</v>
      </c>
      <c r="T2368" s="6" t="str">
        <f>IFERROR(__xludf.DUMMYFUNCTION("""COMPUTED_VALUE"""),"mermaid")</f>
        <v>mermaid</v>
      </c>
      <c r="W2368" s="8"/>
      <c r="AJ2368" s="1"/>
      <c r="AM2368" s="1" t="s">
        <v>4034</v>
      </c>
    </row>
    <row r="2369">
      <c r="E2369" s="1" t="s">
        <v>5536</v>
      </c>
      <c r="H2369" s="1" t="s">
        <v>3800</v>
      </c>
      <c r="I2369" s="6" t="str">
        <f>IFERROR(__xludf.DUMMYFUNCTION("""COMPUTED_VALUE"""),"influential")</f>
        <v>influential</v>
      </c>
      <c r="S2369" s="1" t="s">
        <v>3127</v>
      </c>
      <c r="T2369" s="6" t="str">
        <f>IFERROR(__xludf.DUMMYFUNCTION("""COMPUTED_VALUE"""),"imposed")</f>
        <v>imposed</v>
      </c>
      <c r="W2369" s="8"/>
      <c r="AJ2369" s="1"/>
      <c r="AM2369" s="1" t="s">
        <v>4037</v>
      </c>
    </row>
    <row r="2370">
      <c r="E2370" s="1" t="s">
        <v>2790</v>
      </c>
      <c r="H2370" s="1" t="s">
        <v>4891</v>
      </c>
      <c r="I2370" s="6" t="str">
        <f>IFERROR(__xludf.DUMMYFUNCTION("""COMPUTED_VALUE"""),"goldberg")</f>
        <v>goldberg</v>
      </c>
      <c r="S2370" s="1" t="s">
        <v>5537</v>
      </c>
      <c r="T2370" s="6" t="str">
        <f>IFERROR(__xludf.DUMMYFUNCTION("""COMPUTED_VALUE"""),"bai")</f>
        <v>bai</v>
      </c>
      <c r="W2370" s="8"/>
      <c r="AJ2370" s="1"/>
      <c r="AM2370" s="1" t="s">
        <v>3433</v>
      </c>
    </row>
    <row r="2371">
      <c r="E2371" s="1" t="s">
        <v>5538</v>
      </c>
      <c r="H2371" s="1" t="s">
        <v>4652</v>
      </c>
      <c r="I2371" s="6" t="str">
        <f>IFERROR(__xludf.DUMMYFUNCTION("""COMPUTED_VALUE"""),"elm")</f>
        <v>elm</v>
      </c>
      <c r="S2371" s="1" t="s">
        <v>5539</v>
      </c>
      <c r="T2371" s="6" t="str">
        <f>IFERROR(__xludf.DUMMYFUNCTION("""COMPUTED_VALUE"""),"obligation")</f>
        <v>obligation</v>
      </c>
      <c r="W2371" s="8"/>
      <c r="AJ2371" s="1"/>
      <c r="AM2371" s="1" t="s">
        <v>5082</v>
      </c>
    </row>
    <row r="2372">
      <c r="E2372" s="1" t="s">
        <v>4585</v>
      </c>
      <c r="H2372" s="1" t="s">
        <v>4892</v>
      </c>
      <c r="I2372" s="6" t="str">
        <f>IFERROR(__xludf.DUMMYFUNCTION("""COMPUTED_VALUE"""),"guilt")</f>
        <v>guilt</v>
      </c>
      <c r="S2372" s="1" t="s">
        <v>5540</v>
      </c>
      <c r="T2372" s="6" t="str">
        <f>IFERROR(__xludf.DUMMYFUNCTION("""COMPUTED_VALUE"""),"resources")</f>
        <v>resources</v>
      </c>
      <c r="W2372" s="8"/>
      <c r="AJ2372" s="1"/>
      <c r="AM2372" s="1" t="s">
        <v>5083</v>
      </c>
    </row>
    <row r="2373">
      <c r="E2373" s="1" t="s">
        <v>974</v>
      </c>
      <c r="H2373" s="1" t="s">
        <v>1069</v>
      </c>
      <c r="I2373" s="6" t="str">
        <f>IFERROR(__xludf.DUMMYFUNCTION("""COMPUTED_VALUE"""),"conflicts")</f>
        <v>conflicts</v>
      </c>
      <c r="S2373" s="1" t="s">
        <v>327</v>
      </c>
      <c r="T2373" s="6" t="str">
        <f>IFERROR(__xludf.DUMMYFUNCTION("""COMPUTED_VALUE"""),"perch")</f>
        <v>perch</v>
      </c>
      <c r="W2373" s="8"/>
      <c r="AJ2373" s="1"/>
      <c r="AM2373" s="1" t="s">
        <v>4042</v>
      </c>
    </row>
    <row r="2374">
      <c r="E2374" s="1" t="s">
        <v>5541</v>
      </c>
      <c r="H2374" s="1" t="s">
        <v>4896</v>
      </c>
      <c r="I2374" s="6" t="str">
        <f>IFERROR(__xludf.DUMMYFUNCTION("""COMPUTED_VALUE"""),"uniquely")</f>
        <v>uniquely</v>
      </c>
      <c r="S2374" s="1" t="s">
        <v>2621</v>
      </c>
      <c r="T2374" s="6" t="str">
        <f>IFERROR(__xludf.DUMMYFUNCTION("""COMPUTED_VALUE"""),"triple")</f>
        <v>triple</v>
      </c>
      <c r="W2374" s="8"/>
      <c r="AJ2374" s="1"/>
      <c r="AM2374" s="1" t="s">
        <v>1180</v>
      </c>
    </row>
    <row r="2375">
      <c r="E2375" s="1" t="s">
        <v>2794</v>
      </c>
      <c r="H2375" s="1" t="s">
        <v>4898</v>
      </c>
      <c r="I2375" s="6" t="str">
        <f>IFERROR(__xludf.DUMMYFUNCTION("""COMPUTED_VALUE"""),"saddle")</f>
        <v>saddle</v>
      </c>
      <c r="S2375" s="1" t="s">
        <v>780</v>
      </c>
      <c r="T2375" s="6" t="str">
        <f>IFERROR(__xludf.DUMMYFUNCTION("""COMPUTED_VALUE"""),"nuclear")</f>
        <v>nuclear</v>
      </c>
      <c r="W2375" s="8"/>
      <c r="AJ2375" s="1"/>
      <c r="AM2375" s="1" t="s">
        <v>4047</v>
      </c>
    </row>
    <row r="2376">
      <c r="E2376" s="1" t="s">
        <v>5542</v>
      </c>
      <c r="H2376" s="1" t="s">
        <v>904</v>
      </c>
      <c r="I2376" s="6" t="str">
        <f>IFERROR(__xludf.DUMMYFUNCTION("""COMPUTED_VALUE"""),"pinnacle")</f>
        <v>pinnacle</v>
      </c>
      <c r="S2376" s="1" t="s">
        <v>4864</v>
      </c>
      <c r="T2376" s="6" t="str">
        <f>IFERROR(__xludf.DUMMYFUNCTION("""COMPUTED_VALUE"""),"powerhouse")</f>
        <v>powerhouse</v>
      </c>
      <c r="W2376" s="8"/>
      <c r="AJ2376" s="1"/>
      <c r="AM2376" s="1" t="s">
        <v>5543</v>
      </c>
    </row>
    <row r="2377">
      <c r="E2377" s="1" t="s">
        <v>1578</v>
      </c>
      <c r="H2377" s="1" t="s">
        <v>5544</v>
      </c>
      <c r="I2377" s="6" t="str">
        <f>IFERROR(__xludf.DUMMYFUNCTION("""COMPUTED_VALUE"""),"probation")</f>
        <v>probation</v>
      </c>
      <c r="S2377" s="1" t="s">
        <v>5545</v>
      </c>
      <c r="T2377" s="6" t="str">
        <f>IFERROR(__xludf.DUMMYFUNCTION("""COMPUTED_VALUE"""),"searches")</f>
        <v>searches</v>
      </c>
      <c r="W2377" s="8"/>
      <c r="AJ2377" s="1"/>
      <c r="AM2377" s="1" t="s">
        <v>4048</v>
      </c>
    </row>
    <row r="2378">
      <c r="E2378" s="1" t="s">
        <v>5546</v>
      </c>
      <c r="H2378" s="1" t="s">
        <v>2105</v>
      </c>
      <c r="I2378" s="6" t="str">
        <f>IFERROR(__xludf.DUMMYFUNCTION("""COMPUTED_VALUE"""),"yields")</f>
        <v>yields</v>
      </c>
      <c r="S2378" s="1" t="s">
        <v>2812</v>
      </c>
      <c r="T2378" s="6" t="str">
        <f>IFERROR(__xludf.DUMMYFUNCTION("""COMPUTED_VALUE"""),"glee")</f>
        <v>glee</v>
      </c>
      <c r="W2378" s="8"/>
      <c r="AJ2378" s="1"/>
      <c r="AM2378" s="1">
        <v>83.0</v>
      </c>
    </row>
    <row r="2379">
      <c r="E2379" s="1" t="s">
        <v>3776</v>
      </c>
      <c r="H2379" s="1" t="s">
        <v>4902</v>
      </c>
      <c r="I2379" s="6" t="str">
        <f>IFERROR(__xludf.DUMMYFUNCTION("""COMPUTED_VALUE"""),"mankind")</f>
        <v>mankind</v>
      </c>
      <c r="S2379" s="1" t="s">
        <v>5547</v>
      </c>
      <c r="T2379" s="6" t="str">
        <f>IFERROR(__xludf.DUMMYFUNCTION("""COMPUTED_VALUE"""),"illustrated")</f>
        <v>illustrated</v>
      </c>
      <c r="W2379" s="8"/>
      <c r="AJ2379" s="1"/>
      <c r="AM2379" s="1" t="s">
        <v>1163</v>
      </c>
    </row>
    <row r="2380">
      <c r="E2380" s="1" t="s">
        <v>2800</v>
      </c>
      <c r="H2380" s="1" t="s">
        <v>4905</v>
      </c>
      <c r="I2380" s="6" t="str">
        <f>IFERROR(__xludf.DUMMYFUNCTION("""COMPUTED_VALUE"""),"wasp")</f>
        <v>wasp</v>
      </c>
      <c r="S2380" s="1" t="s">
        <v>5541</v>
      </c>
      <c r="T2380" s="6" t="str">
        <f>IFERROR(__xludf.DUMMYFUNCTION("""COMPUTED_VALUE"""),"intern")</f>
        <v>intern</v>
      </c>
      <c r="W2380" s="8"/>
      <c r="AJ2380" s="1"/>
      <c r="AM2380" s="1" t="s">
        <v>3437</v>
      </c>
    </row>
    <row r="2381">
      <c r="E2381" s="1" t="s">
        <v>5548</v>
      </c>
      <c r="H2381" s="1" t="s">
        <v>3337</v>
      </c>
      <c r="I2381" s="6" t="str">
        <f>IFERROR(__xludf.DUMMYFUNCTION("""COMPUTED_VALUE"""),"weber")</f>
        <v>weber</v>
      </c>
      <c r="S2381" s="1">
        <v>1993.0</v>
      </c>
      <c r="T2381" s="6" t="str">
        <f>IFERROR(__xludf.DUMMYFUNCTION("""COMPUTED_VALUE"""),"firth")</f>
        <v>firth</v>
      </c>
      <c r="W2381" s="8"/>
      <c r="AJ2381" s="1"/>
      <c r="AM2381" s="1" t="s">
        <v>4050</v>
      </c>
    </row>
    <row r="2382">
      <c r="E2382" s="1" t="s">
        <v>1583</v>
      </c>
      <c r="H2382" s="1" t="s">
        <v>2109</v>
      </c>
      <c r="I2382" s="6" t="str">
        <f>IFERROR(__xludf.DUMMYFUNCTION("""COMPUTED_VALUE"""),"stud")</f>
        <v>stud</v>
      </c>
      <c r="S2382" s="1" t="s">
        <v>1290</v>
      </c>
      <c r="T2382" s="6" t="str">
        <f>IFERROR(__xludf.DUMMYFUNCTION("""COMPUTED_VALUE"""),"vampires")</f>
        <v>vampires</v>
      </c>
      <c r="W2382" s="8"/>
      <c r="AJ2382" s="1"/>
      <c r="AM2382" s="1" t="s">
        <v>78</v>
      </c>
    </row>
    <row r="2383">
      <c r="E2383" s="1" t="s">
        <v>5549</v>
      </c>
      <c r="H2383" s="1" t="s">
        <v>5398</v>
      </c>
      <c r="I2383" s="6" t="str">
        <f>IFERROR(__xludf.DUMMYFUNCTION("""COMPUTED_VALUE"""),"terrorism")</f>
        <v>terrorism</v>
      </c>
      <c r="S2383" s="1" t="s">
        <v>5404</v>
      </c>
      <c r="T2383" s="6" t="str">
        <f>IFERROR(__xludf.DUMMYFUNCTION("""COMPUTED_VALUE"""),"lucia")</f>
        <v>lucia</v>
      </c>
      <c r="W2383" s="8"/>
      <c r="AJ2383" s="1"/>
      <c r="AM2383" s="1" t="s">
        <v>2232</v>
      </c>
    </row>
    <row r="2384">
      <c r="E2384" s="1" t="s">
        <v>5550</v>
      </c>
      <c r="H2384" s="1" t="s">
        <v>3817</v>
      </c>
      <c r="I2384" s="6" t="str">
        <f>IFERROR(__xludf.DUMMYFUNCTION("""COMPUTED_VALUE"""),"sociology")</f>
        <v>sociology</v>
      </c>
      <c r="S2384" s="1" t="s">
        <v>5551</v>
      </c>
      <c r="T2384" s="6" t="str">
        <f>IFERROR(__xludf.DUMMYFUNCTION("""COMPUTED_VALUE"""),"gliding")</f>
        <v>gliding</v>
      </c>
      <c r="W2384" s="8"/>
      <c r="AJ2384" s="1"/>
      <c r="AM2384" s="1" t="s">
        <v>5552</v>
      </c>
    </row>
    <row r="2385">
      <c r="E2385" s="1" t="s">
        <v>5553</v>
      </c>
      <c r="H2385" s="1" t="s">
        <v>4908</v>
      </c>
      <c r="I2385" s="6" t="str">
        <f>IFERROR(__xludf.DUMMYFUNCTION("""COMPUTED_VALUE"""),"hazy")</f>
        <v>hazy</v>
      </c>
      <c r="S2385" s="1" t="s">
        <v>5554</v>
      </c>
      <c r="T2385" s="6" t="str">
        <f>IFERROR(__xludf.DUMMYFUNCTION("""COMPUTED_VALUE"""),"australia")</f>
        <v>australia</v>
      </c>
      <c r="W2385" s="8"/>
      <c r="AJ2385" s="1"/>
      <c r="AM2385" s="1" t="s">
        <v>97</v>
      </c>
    </row>
    <row r="2386">
      <c r="E2386" s="1" t="s">
        <v>2806</v>
      </c>
      <c r="H2386" s="1" t="s">
        <v>3820</v>
      </c>
      <c r="I2386" s="6" t="str">
        <f>IFERROR(__xludf.DUMMYFUNCTION("""COMPUTED_VALUE"""),"attracting")</f>
        <v>attracting</v>
      </c>
      <c r="S2386" s="1" t="s">
        <v>4530</v>
      </c>
      <c r="T2386" s="6" t="str">
        <f>IFERROR(__xludf.DUMMYFUNCTION("""COMPUTED_VALUE"""),"banking")</f>
        <v>banking</v>
      </c>
      <c r="W2386" s="8"/>
      <c r="AJ2386" s="1"/>
      <c r="AM2386" s="1" t="s">
        <v>5040</v>
      </c>
    </row>
    <row r="2387">
      <c r="E2387" s="1">
        <v>146.0</v>
      </c>
      <c r="H2387" s="1" t="s">
        <v>3823</v>
      </c>
      <c r="I2387" s="6" t="str">
        <f>IFERROR(__xludf.DUMMYFUNCTION("""COMPUTED_VALUE"""),"debts")</f>
        <v>debts</v>
      </c>
      <c r="S2387" s="1" t="s">
        <v>3450</v>
      </c>
      <c r="T2387" s="6" t="str">
        <f>IFERROR(__xludf.DUMMYFUNCTION("""COMPUTED_VALUE"""),"stitch")</f>
        <v>stitch</v>
      </c>
      <c r="W2387" s="8"/>
      <c r="AJ2387" s="1"/>
      <c r="AM2387" s="1" t="s">
        <v>4102</v>
      </c>
    </row>
    <row r="2388">
      <c r="E2388" s="1" t="s">
        <v>4718</v>
      </c>
      <c r="H2388" s="1" t="s">
        <v>3825</v>
      </c>
      <c r="I2388" s="6" t="str">
        <f>IFERROR(__xludf.DUMMYFUNCTION("""COMPUTED_VALUE"""),"columbia")</f>
        <v>columbia</v>
      </c>
      <c r="S2388" s="1" t="s">
        <v>2773</v>
      </c>
      <c r="T2388" s="6"/>
      <c r="W2388" s="8"/>
      <c r="AJ2388" s="1"/>
      <c r="AM2388" s="1" t="s">
        <v>3443</v>
      </c>
    </row>
    <row r="2389">
      <c r="E2389" s="1" t="s">
        <v>5555</v>
      </c>
      <c r="H2389" s="1" t="s">
        <v>2113</v>
      </c>
      <c r="I2389" s="6" t="str">
        <f>IFERROR(__xludf.DUMMYFUNCTION("""COMPUTED_VALUE"""),"destruction")</f>
        <v>destruction</v>
      </c>
      <c r="S2389" s="1" t="s">
        <v>451</v>
      </c>
      <c r="T2389" s="6"/>
      <c r="W2389" s="8"/>
      <c r="AJ2389" s="1"/>
      <c r="AM2389" s="1" t="s">
        <v>1656</v>
      </c>
    </row>
    <row r="2390">
      <c r="E2390" s="1" t="s">
        <v>1965</v>
      </c>
      <c r="H2390" s="1" t="s">
        <v>3828</v>
      </c>
      <c r="I2390" s="6" t="str">
        <f>IFERROR(__xludf.DUMMYFUNCTION("""COMPUTED_VALUE"""),"gracefully")</f>
        <v>gracefully</v>
      </c>
      <c r="S2390" s="1" t="s">
        <v>5556</v>
      </c>
      <c r="T2390" s="6"/>
      <c r="W2390" s="8"/>
      <c r="AJ2390" s="1"/>
      <c r="AM2390" s="1" t="s">
        <v>5557</v>
      </c>
    </row>
    <row r="2391">
      <c r="E2391" s="1" t="s">
        <v>2810</v>
      </c>
      <c r="H2391" s="1" t="s">
        <v>3831</v>
      </c>
      <c r="I2391" s="6" t="str">
        <f>IFERROR(__xludf.DUMMYFUNCTION("""COMPUTED_VALUE"""),"moat")</f>
        <v>moat</v>
      </c>
      <c r="S2391" s="1" t="s">
        <v>1589</v>
      </c>
      <c r="T2391" s="6"/>
      <c r="W2391" s="8"/>
      <c r="AJ2391" s="1"/>
      <c r="AM2391" s="1" t="s">
        <v>4984</v>
      </c>
    </row>
    <row r="2392">
      <c r="E2392" s="1" t="s">
        <v>2815</v>
      </c>
      <c r="H2392" s="1" t="s">
        <v>126</v>
      </c>
      <c r="I2392" s="6" t="str">
        <f>IFERROR(__xludf.DUMMYFUNCTION("""COMPUTED_VALUE"""),"rooted")</f>
        <v>rooted</v>
      </c>
      <c r="S2392" s="1" t="s">
        <v>4349</v>
      </c>
      <c r="T2392" s="6"/>
      <c r="W2392" s="8"/>
      <c r="AJ2392" s="1"/>
      <c r="AM2392" s="1" t="s">
        <v>4460</v>
      </c>
    </row>
    <row r="2393">
      <c r="E2393" s="1" t="s">
        <v>4600</v>
      </c>
      <c r="H2393" s="1" t="s">
        <v>3837</v>
      </c>
      <c r="I2393" s="6" t="str">
        <f>IFERROR(__xludf.DUMMYFUNCTION("""COMPUTED_VALUE"""),"bourgeois")</f>
        <v>bourgeois</v>
      </c>
      <c r="S2393" s="1" t="s">
        <v>5558</v>
      </c>
      <c r="T2393" s="6"/>
      <c r="W2393" s="8"/>
      <c r="AJ2393" s="1"/>
      <c r="AM2393" s="1" t="s">
        <v>3450</v>
      </c>
    </row>
    <row r="2394">
      <c r="E2394" s="1" t="s">
        <v>1587</v>
      </c>
      <c r="H2394" s="1" t="s">
        <v>2117</v>
      </c>
      <c r="I2394" s="6" t="str">
        <f>IFERROR(__xludf.DUMMYFUNCTION("""COMPUTED_VALUE"""),"provincial")</f>
        <v>provincial</v>
      </c>
      <c r="S2394" s="1" t="s">
        <v>2139</v>
      </c>
      <c r="T2394" s="6"/>
      <c r="W2394" s="8"/>
      <c r="AJ2394" s="1"/>
      <c r="AM2394" s="1" t="s">
        <v>5559</v>
      </c>
    </row>
    <row r="2395">
      <c r="E2395" s="1" t="s">
        <v>1592</v>
      </c>
      <c r="H2395" s="1" t="s">
        <v>1934</v>
      </c>
      <c r="I2395" s="6" t="str">
        <f>IFERROR(__xludf.DUMMYFUNCTION("""COMPUTED_VALUE"""),"contrasting")</f>
        <v>contrasting</v>
      </c>
      <c r="S2395" s="1" t="s">
        <v>1532</v>
      </c>
      <c r="T2395" s="6"/>
      <c r="W2395" s="8"/>
      <c r="AJ2395" s="1"/>
      <c r="AM2395" s="1" t="s">
        <v>5210</v>
      </c>
    </row>
    <row r="2396">
      <c r="E2396" s="1" t="s">
        <v>4613</v>
      </c>
      <c r="H2396" s="1" t="s">
        <v>2121</v>
      </c>
      <c r="I2396" s="6" t="str">
        <f>IFERROR(__xludf.DUMMYFUNCTION("""COMPUTED_VALUE"""),"explosions")</f>
        <v>explosions</v>
      </c>
      <c r="S2396" s="1" t="s">
        <v>5560</v>
      </c>
      <c r="T2396" s="6"/>
      <c r="W2396" s="8"/>
      <c r="AJ2396" s="1"/>
      <c r="AM2396" s="1" t="s">
        <v>5100</v>
      </c>
    </row>
    <row r="2397">
      <c r="E2397" s="1" t="s">
        <v>3790</v>
      </c>
      <c r="H2397" s="1" t="s">
        <v>3348</v>
      </c>
      <c r="I2397" s="6" t="str">
        <f>IFERROR(__xludf.DUMMYFUNCTION("""COMPUTED_VALUE"""),"landscapes")</f>
        <v>landscapes</v>
      </c>
      <c r="S2397" s="1" t="s">
        <v>3345</v>
      </c>
      <c r="T2397" s="6"/>
      <c r="W2397" s="8"/>
      <c r="AJ2397" s="1"/>
      <c r="AM2397" s="1" t="s">
        <v>3899</v>
      </c>
    </row>
    <row r="2398">
      <c r="E2398" s="1" t="s">
        <v>722</v>
      </c>
      <c r="H2398" s="1" t="s">
        <v>3846</v>
      </c>
      <c r="I2398" s="6" t="str">
        <f>IFERROR(__xludf.DUMMYFUNCTION("""COMPUTED_VALUE"""),"lore")</f>
        <v>lore</v>
      </c>
      <c r="S2398" s="1" t="s">
        <v>5561</v>
      </c>
      <c r="T2398" s="6"/>
      <c r="W2398" s="8"/>
      <c r="AJ2398" s="1"/>
      <c r="AM2398" s="1" t="s">
        <v>5486</v>
      </c>
    </row>
    <row r="2399">
      <c r="E2399" s="1" t="s">
        <v>4942</v>
      </c>
      <c r="H2399" s="1" t="s">
        <v>1386</v>
      </c>
      <c r="I2399" s="6" t="str">
        <f>IFERROR(__xludf.DUMMYFUNCTION("""COMPUTED_VALUE"""),"terrorists")</f>
        <v>terrorists</v>
      </c>
      <c r="S2399" s="1" t="s">
        <v>433</v>
      </c>
      <c r="T2399" s="6"/>
      <c r="W2399" s="8"/>
      <c r="AJ2399" s="1"/>
      <c r="AM2399" s="1" t="s">
        <v>4055</v>
      </c>
    </row>
    <row r="2400">
      <c r="E2400" s="1" t="s">
        <v>519</v>
      </c>
      <c r="H2400" s="1" t="s">
        <v>1392</v>
      </c>
      <c r="I2400" s="6" t="str">
        <f>IFERROR(__xludf.DUMMYFUNCTION("""COMPUTED_VALUE"""),"introduces")</f>
        <v>introduces</v>
      </c>
      <c r="S2400" s="1" t="s">
        <v>2131</v>
      </c>
      <c r="T2400" s="6"/>
      <c r="W2400" s="8"/>
      <c r="AJ2400" s="1"/>
      <c r="AM2400" s="1" t="s">
        <v>5562</v>
      </c>
    </row>
    <row r="2401">
      <c r="E2401" s="1" t="s">
        <v>5563</v>
      </c>
      <c r="H2401" s="1" t="s">
        <v>484</v>
      </c>
      <c r="I2401" s="6" t="str">
        <f>IFERROR(__xludf.DUMMYFUNCTION("""COMPUTED_VALUE"""),"thinkers")</f>
        <v>thinkers</v>
      </c>
      <c r="P2401" s="11"/>
      <c r="S2401" s="1" t="s">
        <v>5564</v>
      </c>
      <c r="T2401" s="6"/>
      <c r="W2401" s="8"/>
      <c r="AJ2401" s="1"/>
      <c r="AM2401" s="1" t="s">
        <v>3668</v>
      </c>
    </row>
    <row r="2402">
      <c r="E2402" s="1" t="s">
        <v>2827</v>
      </c>
      <c r="H2402" s="1" t="s">
        <v>4678</v>
      </c>
      <c r="I2402" s="6" t="str">
        <f>IFERROR(__xludf.DUMMYFUNCTION("""COMPUTED_VALUE"""),"orbits")</f>
        <v>orbits</v>
      </c>
      <c r="S2402" s="1" t="s">
        <v>2421</v>
      </c>
      <c r="T2402" s="6"/>
      <c r="W2402" s="8"/>
      <c r="AJ2402" s="1"/>
      <c r="AM2402" s="1" t="s">
        <v>2235</v>
      </c>
    </row>
    <row r="2403">
      <c r="E2403" s="1" t="s">
        <v>4619</v>
      </c>
      <c r="H2403" s="1" t="s">
        <v>3852</v>
      </c>
      <c r="I2403" s="6" t="str">
        <f>IFERROR(__xludf.DUMMYFUNCTION("""COMPUTED_VALUE"""),"reassure")</f>
        <v>reassure</v>
      </c>
      <c r="S2403" s="1" t="s">
        <v>3890</v>
      </c>
      <c r="T2403" s="6"/>
      <c r="W2403" s="8"/>
      <c r="AJ2403" s="1"/>
      <c r="AM2403" s="1" t="s">
        <v>4198</v>
      </c>
    </row>
    <row r="2404">
      <c r="E2404" s="1" t="s">
        <v>5565</v>
      </c>
      <c r="H2404" s="1" t="s">
        <v>3855</v>
      </c>
      <c r="I2404" s="6" t="str">
        <f>IFERROR(__xludf.DUMMYFUNCTION("""COMPUTED_VALUE"""),"ragged")</f>
        <v>ragged</v>
      </c>
      <c r="S2404" s="1" t="s">
        <v>4734</v>
      </c>
      <c r="T2404" s="6"/>
      <c r="W2404" s="8"/>
      <c r="AJ2404" s="1"/>
      <c r="AM2404" s="1" t="s">
        <v>2239</v>
      </c>
    </row>
    <row r="2405">
      <c r="E2405" s="1" t="s">
        <v>5566</v>
      </c>
      <c r="H2405" s="1" t="s">
        <v>4929</v>
      </c>
      <c r="I2405" s="6" t="str">
        <f>IFERROR(__xludf.DUMMYFUNCTION("""COMPUTED_VALUE"""),"enacted")</f>
        <v>enacted</v>
      </c>
      <c r="S2405" s="1" t="s">
        <v>1505</v>
      </c>
      <c r="T2405" s="6"/>
      <c r="W2405" s="8"/>
      <c r="AJ2405" s="1"/>
      <c r="AM2405" s="1" t="s">
        <v>4058</v>
      </c>
    </row>
    <row r="2406">
      <c r="E2406" s="1" t="s">
        <v>5567</v>
      </c>
      <c r="H2406" s="1" t="s">
        <v>3691</v>
      </c>
      <c r="I2406" s="6" t="str">
        <f>IFERROR(__xludf.DUMMYFUNCTION("""COMPUTED_VALUE"""),"annex")</f>
        <v>annex</v>
      </c>
      <c r="S2406" s="1" t="s">
        <v>5568</v>
      </c>
      <c r="T2406" s="6"/>
      <c r="W2406" s="8"/>
      <c r="AJ2406" s="1"/>
      <c r="AM2406" s="1" t="s">
        <v>2472</v>
      </c>
    </row>
    <row r="2407">
      <c r="E2407" s="1" t="s">
        <v>4622</v>
      </c>
      <c r="H2407" s="1" t="s">
        <v>1399</v>
      </c>
      <c r="I2407" s="6" t="str">
        <f>IFERROR(__xludf.DUMMYFUNCTION("""COMPUTED_VALUE"""),"revived")</f>
        <v>revived</v>
      </c>
      <c r="S2407" s="1" t="s">
        <v>2956</v>
      </c>
      <c r="T2407" s="6"/>
      <c r="W2407" s="8"/>
      <c r="AJ2407" s="1"/>
      <c r="AM2407" s="1" t="s">
        <v>5103</v>
      </c>
    </row>
    <row r="2408">
      <c r="E2408" s="1" t="s">
        <v>5205</v>
      </c>
      <c r="H2408" s="1" t="s">
        <v>5569</v>
      </c>
      <c r="I2408" s="6" t="str">
        <f>IFERROR(__xludf.DUMMYFUNCTION("""COMPUTED_VALUE"""),"overture")</f>
        <v>overture</v>
      </c>
      <c r="S2408" s="1" t="s">
        <v>2991</v>
      </c>
      <c r="T2408" s="6"/>
      <c r="W2408" s="8"/>
      <c r="AJ2408" s="1"/>
      <c r="AM2408" s="1" t="s">
        <v>4061</v>
      </c>
    </row>
    <row r="2409">
      <c r="E2409" s="1" t="s">
        <v>5570</v>
      </c>
      <c r="H2409" s="1" t="s">
        <v>5571</v>
      </c>
      <c r="I2409" s="6" t="str">
        <f>IFERROR(__xludf.DUMMYFUNCTION("""COMPUTED_VALUE"""),"fellowship")</f>
        <v>fellowship</v>
      </c>
      <c r="S2409" s="1" t="s">
        <v>5333</v>
      </c>
      <c r="T2409" s="6"/>
      <c r="W2409" s="8"/>
      <c r="AJ2409" s="1"/>
      <c r="AM2409" s="1" t="s">
        <v>2242</v>
      </c>
    </row>
    <row r="2410">
      <c r="E2410" s="1" t="s">
        <v>4624</v>
      </c>
      <c r="H2410" s="1" t="s">
        <v>3369</v>
      </c>
      <c r="I2410" s="6" t="str">
        <f>IFERROR(__xludf.DUMMYFUNCTION("""COMPUTED_VALUE"""),"framework")</f>
        <v>framework</v>
      </c>
      <c r="S2410" s="1" t="s">
        <v>5572</v>
      </c>
      <c r="T2410" s="6"/>
      <c r="W2410" s="8"/>
      <c r="AJ2410" s="1"/>
      <c r="AM2410" s="1" t="s">
        <v>4065</v>
      </c>
    </row>
    <row r="2411">
      <c r="E2411" s="1" t="s">
        <v>4625</v>
      </c>
      <c r="H2411" s="1" t="s">
        <v>1080</v>
      </c>
      <c r="I2411" s="6" t="str">
        <f>IFERROR(__xludf.DUMMYFUNCTION("""COMPUTED_VALUE"""),"naive")</f>
        <v>naive</v>
      </c>
      <c r="S2411" s="1" t="s">
        <v>3122</v>
      </c>
      <c r="T2411" s="6"/>
      <c r="W2411" s="8"/>
      <c r="AJ2411" s="1"/>
      <c r="AM2411" s="1" t="s">
        <v>2244</v>
      </c>
    </row>
    <row r="2412">
      <c r="E2412" s="1" t="s">
        <v>5573</v>
      </c>
      <c r="H2412" s="1" t="s">
        <v>4934</v>
      </c>
      <c r="I2412" s="6" t="str">
        <f>IFERROR(__xludf.DUMMYFUNCTION("""COMPUTED_VALUE"""),"detective")</f>
        <v>detective</v>
      </c>
      <c r="S2412" s="1" t="s">
        <v>4994</v>
      </c>
      <c r="T2412" s="6"/>
      <c r="W2412" s="8"/>
      <c r="AJ2412" s="1"/>
      <c r="AM2412" s="1" t="s">
        <v>2245</v>
      </c>
    </row>
    <row r="2413">
      <c r="E2413" s="1" t="s">
        <v>2830</v>
      </c>
      <c r="H2413" s="1" t="s">
        <v>5422</v>
      </c>
      <c r="I2413" s="6" t="str">
        <f>IFERROR(__xludf.DUMMYFUNCTION("""COMPUTED_VALUE"""),"lullaby")</f>
        <v>lullaby</v>
      </c>
      <c r="S2413" s="1" t="s">
        <v>1256</v>
      </c>
      <c r="T2413" s="6"/>
      <c r="W2413" s="8"/>
      <c r="AJ2413" s="1"/>
      <c r="AM2413" s="1" t="s">
        <v>5574</v>
      </c>
    </row>
    <row r="2414">
      <c r="E2414" s="1" t="s">
        <v>5575</v>
      </c>
      <c r="H2414" s="1" t="s">
        <v>4936</v>
      </c>
      <c r="I2414" s="6" t="str">
        <f>IFERROR(__xludf.DUMMYFUNCTION("""COMPUTED_VALUE"""),"scoring")</f>
        <v>scoring</v>
      </c>
      <c r="S2414" s="1" t="s">
        <v>3069</v>
      </c>
      <c r="T2414" s="6"/>
      <c r="W2414" s="8"/>
      <c r="AJ2414" s="1"/>
      <c r="AM2414" s="1" t="s">
        <v>2248</v>
      </c>
    </row>
    <row r="2415">
      <c r="E2415" s="1" t="s">
        <v>5576</v>
      </c>
      <c r="H2415" s="1" t="s">
        <v>3864</v>
      </c>
      <c r="I2415" s="6" t="str">
        <f>IFERROR(__xludf.DUMMYFUNCTION("""COMPUTED_VALUE"""),"pearce")</f>
        <v>pearce</v>
      </c>
      <c r="S2415" s="1" t="s">
        <v>2707</v>
      </c>
      <c r="T2415" s="6"/>
      <c r="W2415" s="8"/>
      <c r="AJ2415" s="1"/>
      <c r="AM2415" s="1" t="s">
        <v>4071</v>
      </c>
    </row>
    <row r="2416">
      <c r="E2416" s="1" t="s">
        <v>4627</v>
      </c>
      <c r="H2416" s="1" t="s">
        <v>4938</v>
      </c>
      <c r="I2416" s="6" t="str">
        <f>IFERROR(__xludf.DUMMYFUNCTION("""COMPUTED_VALUE"""),"brow")</f>
        <v>brow</v>
      </c>
      <c r="S2416" s="1" t="s">
        <v>4519</v>
      </c>
      <c r="T2416" s="6"/>
      <c r="W2416" s="8"/>
      <c r="AJ2416" s="1"/>
      <c r="AM2416" s="1" t="s">
        <v>4072</v>
      </c>
    </row>
    <row r="2417">
      <c r="E2417" s="1" t="s">
        <v>5577</v>
      </c>
      <c r="H2417" s="1" t="s">
        <v>4939</v>
      </c>
      <c r="I2417" s="6" t="str">
        <f>IFERROR(__xludf.DUMMYFUNCTION("""COMPUTED_VALUE"""),"forefront")</f>
        <v>forefront</v>
      </c>
      <c r="S2417" s="1" t="s">
        <v>5578</v>
      </c>
      <c r="T2417" s="6"/>
      <c r="W2417" s="8"/>
      <c r="AJ2417" s="1"/>
      <c r="AM2417" s="1" t="s">
        <v>4074</v>
      </c>
    </row>
    <row r="2418">
      <c r="E2418" s="1" t="s">
        <v>2832</v>
      </c>
      <c r="H2418" s="1" t="s">
        <v>5579</v>
      </c>
      <c r="I2418" s="6" t="str">
        <f>IFERROR(__xludf.DUMMYFUNCTION("""COMPUTED_VALUE"""),"divisions")</f>
        <v>divisions</v>
      </c>
      <c r="S2418" s="1" t="s">
        <v>5580</v>
      </c>
      <c r="T2418" s="6"/>
      <c r="W2418" s="8"/>
      <c r="AJ2418" s="1"/>
      <c r="AM2418" s="1" t="s">
        <v>176</v>
      </c>
    </row>
    <row r="2419">
      <c r="E2419" s="1" t="s">
        <v>4630</v>
      </c>
      <c r="H2419" s="1" t="s">
        <v>2133</v>
      </c>
      <c r="I2419" s="6" t="str">
        <f>IFERROR(__xludf.DUMMYFUNCTION("""COMPUTED_VALUE"""),"nonfiction")</f>
        <v>nonfiction</v>
      </c>
      <c r="S2419" s="1" t="s">
        <v>5581</v>
      </c>
      <c r="T2419" s="6"/>
      <c r="W2419" s="8"/>
      <c r="AJ2419" s="1"/>
      <c r="AM2419" s="1" t="s">
        <v>1176</v>
      </c>
    </row>
    <row r="2420">
      <c r="E2420" s="1" t="s">
        <v>5582</v>
      </c>
      <c r="H2420" s="1" t="s">
        <v>3875</v>
      </c>
      <c r="I2420" s="6" t="str">
        <f>IFERROR(__xludf.DUMMYFUNCTION("""COMPUTED_VALUE"""),"effectiveness")</f>
        <v>effectiveness</v>
      </c>
      <c r="S2420" s="1" t="s">
        <v>1388</v>
      </c>
      <c r="T2420" s="6"/>
      <c r="W2420" s="8"/>
      <c r="AJ2420" s="1"/>
      <c r="AM2420" s="1" t="s">
        <v>2256</v>
      </c>
    </row>
    <row r="2421">
      <c r="E2421" s="1" t="s">
        <v>4632</v>
      </c>
      <c r="H2421" s="1" t="s">
        <v>4944</v>
      </c>
      <c r="I2421" s="6" t="str">
        <f>IFERROR(__xludf.DUMMYFUNCTION("""COMPUTED_VALUE"""),"graves")</f>
        <v>graves</v>
      </c>
      <c r="S2421" s="1" t="s">
        <v>5583</v>
      </c>
      <c r="T2421" s="6"/>
      <c r="W2421" s="8"/>
      <c r="AJ2421" s="1"/>
      <c r="AM2421" s="1" t="s">
        <v>5584</v>
      </c>
    </row>
    <row r="2422">
      <c r="E2422" s="1" t="s">
        <v>2834</v>
      </c>
      <c r="H2422" s="1" t="s">
        <v>1087</v>
      </c>
      <c r="I2422" s="6" t="str">
        <f>IFERROR(__xludf.DUMMYFUNCTION("""COMPUTED_VALUE"""),"configurations")</f>
        <v>configurations</v>
      </c>
      <c r="S2422" s="1" t="s">
        <v>5585</v>
      </c>
      <c r="T2422" s="6"/>
      <c r="W2422" s="8"/>
      <c r="AJ2422" s="1"/>
      <c r="AM2422" s="1" t="s">
        <v>4079</v>
      </c>
    </row>
    <row r="2423">
      <c r="E2423" s="1">
        <v>163.0</v>
      </c>
      <c r="H2423" s="1" t="s">
        <v>4946</v>
      </c>
      <c r="I2423" s="6" t="str">
        <f>IFERROR(__xludf.DUMMYFUNCTION("""COMPUTED_VALUE"""),"contentious")</f>
        <v>contentious</v>
      </c>
      <c r="S2423" s="1" t="s">
        <v>5586</v>
      </c>
      <c r="T2423" s="6"/>
      <c r="W2423" s="8"/>
      <c r="AJ2423" s="1"/>
      <c r="AM2423" s="1" t="s">
        <v>4081</v>
      </c>
    </row>
    <row r="2424">
      <c r="E2424" s="1" t="s">
        <v>5587</v>
      </c>
      <c r="H2424" s="1" t="s">
        <v>5588</v>
      </c>
      <c r="I2424" s="6" t="str">
        <f>IFERROR(__xludf.DUMMYFUNCTION("""COMPUTED_VALUE"""),"apocalypse")</f>
        <v>apocalypse</v>
      </c>
      <c r="S2424" s="1" t="s">
        <v>4885</v>
      </c>
      <c r="T2424" s="6"/>
      <c r="W2424" s="8"/>
      <c r="AJ2424" s="1"/>
      <c r="AM2424" s="1" t="s">
        <v>4082</v>
      </c>
    </row>
    <row r="2425">
      <c r="E2425" s="1" t="s">
        <v>5589</v>
      </c>
      <c r="H2425" s="1" t="s">
        <v>4947</v>
      </c>
      <c r="I2425" s="6" t="str">
        <f>IFERROR(__xludf.DUMMYFUNCTION("""COMPUTED_VALUE"""),"generations")</f>
        <v>generations</v>
      </c>
      <c r="S2425" s="1" t="s">
        <v>4900</v>
      </c>
      <c r="T2425" s="6"/>
      <c r="W2425" s="8"/>
      <c r="AJ2425" s="1"/>
      <c r="AM2425" s="1" t="s">
        <v>390</v>
      </c>
    </row>
    <row r="2426">
      <c r="E2426" s="1" t="s">
        <v>5261</v>
      </c>
      <c r="H2426" s="1" t="s">
        <v>2141</v>
      </c>
      <c r="I2426" s="6" t="str">
        <f>IFERROR(__xludf.DUMMYFUNCTION("""COMPUTED_VALUE"""),"deeds")</f>
        <v>deeds</v>
      </c>
      <c r="S2426" s="1" t="s">
        <v>2329</v>
      </c>
      <c r="T2426" s="6"/>
      <c r="W2426" s="8"/>
      <c r="AJ2426" s="1"/>
      <c r="AM2426" s="1" t="s">
        <v>3478</v>
      </c>
    </row>
    <row r="2427">
      <c r="E2427" s="1" t="s">
        <v>4639</v>
      </c>
      <c r="H2427" s="1" t="s">
        <v>3763</v>
      </c>
      <c r="I2427" s="6" t="str">
        <f>IFERROR(__xludf.DUMMYFUNCTION("""COMPUTED_VALUE"""),"principals")</f>
        <v>principals</v>
      </c>
      <c r="S2427" s="1" t="s">
        <v>5590</v>
      </c>
      <c r="T2427" s="6"/>
      <c r="W2427" s="8"/>
      <c r="AJ2427" s="1"/>
      <c r="AM2427" s="1" t="s">
        <v>5121</v>
      </c>
    </row>
    <row r="2428">
      <c r="E2428" s="1" t="s">
        <v>1702</v>
      </c>
      <c r="H2428" s="1" t="s">
        <v>4949</v>
      </c>
      <c r="I2428" s="6" t="str">
        <f>IFERROR(__xludf.DUMMYFUNCTION("""COMPUTED_VALUE"""),"rigged")</f>
        <v>rigged</v>
      </c>
      <c r="S2428" s="1" t="s">
        <v>4700</v>
      </c>
      <c r="T2428" s="6"/>
      <c r="W2428" s="8"/>
      <c r="AJ2428" s="1"/>
      <c r="AM2428" s="1" t="s">
        <v>1183</v>
      </c>
    </row>
    <row r="2429">
      <c r="E2429" s="1" t="s">
        <v>5591</v>
      </c>
      <c r="H2429" s="1" t="s">
        <v>4953</v>
      </c>
      <c r="I2429" s="6" t="str">
        <f>IFERROR(__xludf.DUMMYFUNCTION("""COMPUTED_VALUE"""),"valiant")</f>
        <v>valiant</v>
      </c>
      <c r="S2429" s="1" t="s">
        <v>4392</v>
      </c>
      <c r="T2429" s="6"/>
      <c r="W2429" s="8"/>
      <c r="AJ2429" s="1"/>
      <c r="AM2429" s="1" t="s">
        <v>4087</v>
      </c>
    </row>
    <row r="2430">
      <c r="E2430" s="1" t="s">
        <v>2841</v>
      </c>
      <c r="H2430" s="1" t="s">
        <v>4958</v>
      </c>
      <c r="I2430" s="6" t="str">
        <f>IFERROR(__xludf.DUMMYFUNCTION("""COMPUTED_VALUE"""),"springer")</f>
        <v>springer</v>
      </c>
      <c r="S2430" s="1" t="s">
        <v>5592</v>
      </c>
      <c r="T2430" s="6"/>
      <c r="W2430" s="8"/>
      <c r="AJ2430" s="1"/>
      <c r="AM2430" s="1" t="s">
        <v>2677</v>
      </c>
    </row>
    <row r="2431">
      <c r="E2431" s="1" t="s">
        <v>4643</v>
      </c>
      <c r="H2431" s="1" t="s">
        <v>3883</v>
      </c>
      <c r="I2431" s="6" t="str">
        <f>IFERROR(__xludf.DUMMYFUNCTION("""COMPUTED_VALUE"""),"hitler")</f>
        <v>hitler</v>
      </c>
      <c r="S2431" s="1" t="s">
        <v>3660</v>
      </c>
      <c r="T2431" s="6"/>
      <c r="W2431" s="8"/>
      <c r="AJ2431" s="1"/>
      <c r="AM2431" s="1" t="s">
        <v>2261</v>
      </c>
    </row>
    <row r="2432">
      <c r="E2432" s="1" t="s">
        <v>1743</v>
      </c>
      <c r="H2432" s="1" t="s">
        <v>3886</v>
      </c>
      <c r="I2432" s="6" t="str">
        <f>IFERROR(__xludf.DUMMYFUNCTION("""COMPUTED_VALUE"""),"alexandre")</f>
        <v>alexandre</v>
      </c>
      <c r="S2432" s="1" t="s">
        <v>4384</v>
      </c>
      <c r="T2432" s="6"/>
      <c r="W2432" s="8"/>
      <c r="AJ2432" s="1"/>
      <c r="AM2432" s="1" t="s">
        <v>5030</v>
      </c>
    </row>
    <row r="2433">
      <c r="E2433" s="1" t="s">
        <v>5515</v>
      </c>
      <c r="H2433" s="1" t="s">
        <v>4369</v>
      </c>
      <c r="I2433" s="6" t="str">
        <f>IFERROR(__xludf.DUMMYFUNCTION("""COMPUTED_VALUE"""),"writings")</f>
        <v>writings</v>
      </c>
      <c r="S2433" s="1" t="s">
        <v>5141</v>
      </c>
      <c r="T2433" s="6"/>
      <c r="W2433" s="8"/>
      <c r="AJ2433" s="1"/>
      <c r="AM2433" s="1" t="s">
        <v>5123</v>
      </c>
    </row>
    <row r="2434">
      <c r="E2434" s="1" t="s">
        <v>2848</v>
      </c>
      <c r="H2434" s="1" t="s">
        <v>277</v>
      </c>
      <c r="I2434" s="6" t="str">
        <f>IFERROR(__xludf.DUMMYFUNCTION("""COMPUTED_VALUE"""),"jagger")</f>
        <v>jagger</v>
      </c>
      <c r="S2434" s="1" t="s">
        <v>1015</v>
      </c>
      <c r="T2434" s="6"/>
      <c r="W2434" s="8"/>
      <c r="AJ2434" s="1"/>
      <c r="AM2434" s="1" t="s">
        <v>1191</v>
      </c>
    </row>
    <row r="2435">
      <c r="E2435" s="1" t="s">
        <v>329</v>
      </c>
      <c r="H2435" s="1" t="s">
        <v>3891</v>
      </c>
      <c r="I2435" s="6" t="str">
        <f>IFERROR(__xludf.DUMMYFUNCTION("""COMPUTED_VALUE"""),"afterlife")</f>
        <v>afterlife</v>
      </c>
      <c r="S2435" s="1" t="s">
        <v>5593</v>
      </c>
      <c r="T2435" s="6"/>
      <c r="W2435" s="8"/>
      <c r="AJ2435" s="1"/>
      <c r="AM2435" s="1" t="s">
        <v>4092</v>
      </c>
    </row>
    <row r="2436">
      <c r="E2436" s="1" t="s">
        <v>5594</v>
      </c>
      <c r="H2436" s="1" t="s">
        <v>5595</v>
      </c>
      <c r="I2436" s="6" t="str">
        <f>IFERROR(__xludf.DUMMYFUNCTION("""COMPUTED_VALUE"""),"plagued")</f>
        <v>plagued</v>
      </c>
      <c r="S2436" s="1" t="s">
        <v>187</v>
      </c>
      <c r="T2436" s="6"/>
      <c r="W2436" s="8"/>
      <c r="AJ2436" s="1"/>
      <c r="AM2436" s="1" t="s">
        <v>4096</v>
      </c>
    </row>
    <row r="2437">
      <c r="E2437" s="1" t="s">
        <v>1504</v>
      </c>
      <c r="H2437" s="1" t="s">
        <v>4965</v>
      </c>
      <c r="I2437" s="6" t="str">
        <f>IFERROR(__xludf.DUMMYFUNCTION("""COMPUTED_VALUE"""),"documenting")</f>
        <v>documenting</v>
      </c>
      <c r="S2437" s="1" t="s">
        <v>4690</v>
      </c>
      <c r="T2437" s="6"/>
      <c r="W2437" s="8"/>
      <c r="AJ2437" s="1"/>
      <c r="AM2437" s="1" t="s">
        <v>4097</v>
      </c>
    </row>
    <row r="2438">
      <c r="E2438" s="1" t="s">
        <v>4650</v>
      </c>
      <c r="H2438" s="1" t="s">
        <v>1407</v>
      </c>
      <c r="I2438" s="6" t="str">
        <f>IFERROR(__xludf.DUMMYFUNCTION("""COMPUTED_VALUE"""),"fragile")</f>
        <v>fragile</v>
      </c>
      <c r="S2438" s="1" t="s">
        <v>5596</v>
      </c>
      <c r="T2438" s="6"/>
      <c r="W2438" s="8"/>
      <c r="AJ2438" s="1"/>
      <c r="AM2438" s="1" t="s">
        <v>5597</v>
      </c>
    </row>
    <row r="2439">
      <c r="E2439" s="1" t="s">
        <v>2850</v>
      </c>
      <c r="H2439" s="1" t="s">
        <v>4968</v>
      </c>
      <c r="I2439" s="6" t="str">
        <f>IFERROR(__xludf.DUMMYFUNCTION("""COMPUTED_VALUE"""),"teaming")</f>
        <v>teaming</v>
      </c>
      <c r="S2439" s="1" t="s">
        <v>4185</v>
      </c>
      <c r="T2439" s="6"/>
      <c r="W2439" s="8"/>
      <c r="AJ2439" s="1"/>
      <c r="AM2439" s="1" t="s">
        <v>5055</v>
      </c>
    </row>
    <row r="2440">
      <c r="E2440" s="1" t="s">
        <v>5598</v>
      </c>
      <c r="H2440" s="1" t="s">
        <v>922</v>
      </c>
      <c r="I2440" s="6" t="str">
        <f>IFERROR(__xludf.DUMMYFUNCTION("""COMPUTED_VALUE"""),"traces")</f>
        <v>traces</v>
      </c>
      <c r="S2440" s="1" t="s">
        <v>5588</v>
      </c>
      <c r="T2440" s="6"/>
      <c r="W2440" s="8"/>
      <c r="AJ2440" s="1"/>
      <c r="AM2440" s="1" t="s">
        <v>4100</v>
      </c>
    </row>
    <row r="2441">
      <c r="E2441" s="1" t="s">
        <v>1849</v>
      </c>
      <c r="H2441" s="1">
        <v>51.0</v>
      </c>
      <c r="I2441" s="6" t="str">
        <f>IFERROR(__xludf.DUMMYFUNCTION("""COMPUTED_VALUE"""),"paralyzed")</f>
        <v>paralyzed</v>
      </c>
      <c r="S2441" s="1" t="s">
        <v>4107</v>
      </c>
      <c r="T2441" s="6"/>
      <c r="W2441" s="8"/>
      <c r="AJ2441" s="1"/>
      <c r="AM2441" s="1" t="s">
        <v>4101</v>
      </c>
    </row>
    <row r="2442">
      <c r="E2442" s="1" t="s">
        <v>2857</v>
      </c>
      <c r="H2442" s="1" t="s">
        <v>3900</v>
      </c>
      <c r="I2442" s="6" t="str">
        <f>IFERROR(__xludf.DUMMYFUNCTION("""COMPUTED_VALUE"""),"werner")</f>
        <v>werner</v>
      </c>
      <c r="S2442" s="1" t="s">
        <v>5599</v>
      </c>
      <c r="T2442" s="6"/>
      <c r="W2442" s="8"/>
      <c r="AJ2442" s="1"/>
      <c r="AM2442" s="1" t="s">
        <v>1194</v>
      </c>
    </row>
    <row r="2443">
      <c r="E2443" s="1" t="s">
        <v>2859</v>
      </c>
      <c r="H2443" s="1" t="s">
        <v>4972</v>
      </c>
      <c r="I2443" s="6" t="str">
        <f>IFERROR(__xludf.DUMMYFUNCTION("""COMPUTED_VALUE"""),"brutality")</f>
        <v>brutality</v>
      </c>
      <c r="S2443" s="1" t="s">
        <v>4871</v>
      </c>
      <c r="T2443" s="6"/>
      <c r="W2443" s="8"/>
      <c r="AJ2443" s="1"/>
      <c r="AM2443" s="1" t="s">
        <v>2270</v>
      </c>
    </row>
    <row r="2444">
      <c r="E2444" s="1" t="s">
        <v>5600</v>
      </c>
      <c r="H2444" s="1" t="s">
        <v>3903</v>
      </c>
      <c r="I2444" s="6" t="str">
        <f>IFERROR(__xludf.DUMMYFUNCTION("""COMPUTED_VALUE"""),"impetus")</f>
        <v>impetus</v>
      </c>
      <c r="S2444" s="1" t="s">
        <v>4695</v>
      </c>
      <c r="T2444" s="6"/>
      <c r="W2444" s="8"/>
      <c r="AJ2444" s="1"/>
      <c r="AM2444" s="1" t="s">
        <v>3659</v>
      </c>
    </row>
    <row r="2445">
      <c r="E2445" s="1" t="s">
        <v>5601</v>
      </c>
      <c r="H2445" s="1" t="s">
        <v>4975</v>
      </c>
      <c r="I2445" s="6" t="str">
        <f>IFERROR(__xludf.DUMMYFUNCTION("""COMPUTED_VALUE"""),"castro")</f>
        <v>castro</v>
      </c>
      <c r="S2445" s="1" t="s">
        <v>5602</v>
      </c>
      <c r="T2445" s="6"/>
      <c r="W2445" s="8"/>
      <c r="AJ2445" s="1"/>
      <c r="AM2445" s="1" t="s">
        <v>2527</v>
      </c>
    </row>
    <row r="2446">
      <c r="E2446" s="1" t="s">
        <v>5603</v>
      </c>
      <c r="H2446" s="1" t="s">
        <v>1417</v>
      </c>
      <c r="I2446" s="6" t="str">
        <f>IFERROR(__xludf.DUMMYFUNCTION("""COMPUTED_VALUE"""),"prologue")</f>
        <v>prologue</v>
      </c>
      <c r="S2446" s="1" t="s">
        <v>3014</v>
      </c>
      <c r="T2446" s="6"/>
      <c r="W2446" s="8"/>
      <c r="AJ2446" s="1"/>
      <c r="AM2446" s="1" t="s">
        <v>4104</v>
      </c>
    </row>
    <row r="2447">
      <c r="E2447" s="1" t="s">
        <v>4657</v>
      </c>
      <c r="H2447" s="1" t="s">
        <v>3906</v>
      </c>
      <c r="I2447" s="6" t="str">
        <f>IFERROR(__xludf.DUMMYFUNCTION("""COMPUTED_VALUE"""),"antonia")</f>
        <v>antonia</v>
      </c>
      <c r="S2447" s="1" t="s">
        <v>4179</v>
      </c>
      <c r="T2447" s="6"/>
      <c r="W2447" s="8"/>
      <c r="AJ2447" s="1"/>
      <c r="AM2447" s="1" t="s">
        <v>5134</v>
      </c>
    </row>
    <row r="2448">
      <c r="E2448" s="1" t="s">
        <v>2863</v>
      </c>
      <c r="H2448" s="1" t="s">
        <v>2143</v>
      </c>
      <c r="I2448" s="6" t="str">
        <f>IFERROR(__xludf.DUMMYFUNCTION("""COMPUTED_VALUE"""),"enlightenment")</f>
        <v>enlightenment</v>
      </c>
      <c r="S2448" s="1" t="s">
        <v>5604</v>
      </c>
      <c r="T2448" s="6"/>
      <c r="W2448" s="8"/>
      <c r="AJ2448" s="1"/>
      <c r="AM2448" s="1" t="s">
        <v>2273</v>
      </c>
    </row>
    <row r="2449">
      <c r="E2449" s="1" t="s">
        <v>1968</v>
      </c>
      <c r="H2449" s="1" t="s">
        <v>3032</v>
      </c>
      <c r="I2449" s="6" t="str">
        <f>IFERROR(__xludf.DUMMYFUNCTION("""COMPUTED_VALUE"""),"thoughtfully")</f>
        <v>thoughtfully</v>
      </c>
      <c r="S2449" s="1" t="s">
        <v>5605</v>
      </c>
      <c r="T2449" s="6"/>
      <c r="W2449" s="8"/>
      <c r="AJ2449" s="1"/>
      <c r="AM2449" s="1" t="s">
        <v>2275</v>
      </c>
    </row>
    <row r="2450">
      <c r="E2450" s="1" t="s">
        <v>3829</v>
      </c>
      <c r="H2450" s="1" t="s">
        <v>3261</v>
      </c>
      <c r="I2450" s="6" t="str">
        <f>IFERROR(__xludf.DUMMYFUNCTION("""COMPUTED_VALUE"""),"powerhouse")</f>
        <v>powerhouse</v>
      </c>
      <c r="S2450" s="1" t="s">
        <v>3454</v>
      </c>
      <c r="T2450" s="6"/>
      <c r="W2450" s="8"/>
      <c r="AJ2450" s="1"/>
      <c r="AM2450" s="1" t="s">
        <v>4107</v>
      </c>
    </row>
    <row r="2451">
      <c r="E2451" s="1" t="s">
        <v>3832</v>
      </c>
      <c r="H2451" s="1" t="s">
        <v>5606</v>
      </c>
      <c r="I2451" s="6" t="str">
        <f>IFERROR(__xludf.DUMMYFUNCTION("""COMPUTED_VALUE"""),"critically")</f>
        <v>critically</v>
      </c>
      <c r="S2451" s="1" t="s">
        <v>5607</v>
      </c>
      <c r="T2451" s="6"/>
      <c r="W2451" s="8"/>
      <c r="AJ2451" s="1"/>
      <c r="AM2451" s="1" t="s">
        <v>409</v>
      </c>
    </row>
    <row r="2452">
      <c r="E2452" s="1" t="s">
        <v>2612</v>
      </c>
      <c r="H2452" s="1" t="s">
        <v>1422</v>
      </c>
      <c r="I2452" s="6" t="str">
        <f>IFERROR(__xludf.DUMMYFUNCTION("""COMPUTED_VALUE"""),"searches")</f>
        <v>searches</v>
      </c>
      <c r="S2452" s="1" t="s">
        <v>3800</v>
      </c>
      <c r="T2452" s="6"/>
      <c r="W2452" s="8"/>
      <c r="AJ2452" s="1"/>
      <c r="AM2452" s="1" t="s">
        <v>2280</v>
      </c>
    </row>
    <row r="2453">
      <c r="E2453" s="1" t="s">
        <v>5608</v>
      </c>
      <c r="H2453" s="1" t="s">
        <v>1095</v>
      </c>
      <c r="I2453" s="6" t="str">
        <f>IFERROR(__xludf.DUMMYFUNCTION("""COMPUTED_VALUE"""),"leigh")</f>
        <v>leigh</v>
      </c>
      <c r="S2453" s="1" t="s">
        <v>2924</v>
      </c>
      <c r="T2453" s="6"/>
      <c r="W2453" s="8"/>
      <c r="AJ2453" s="1"/>
      <c r="AM2453" s="1" t="s">
        <v>4110</v>
      </c>
    </row>
    <row r="2454">
      <c r="E2454" s="1" t="s">
        <v>3833</v>
      </c>
      <c r="H2454" s="1" t="s">
        <v>5609</v>
      </c>
      <c r="I2454" s="6" t="str">
        <f>IFERROR(__xludf.DUMMYFUNCTION("""COMPUTED_VALUE"""),"ram")</f>
        <v>ram</v>
      </c>
      <c r="S2454" s="1" t="s">
        <v>3559</v>
      </c>
      <c r="T2454" s="6"/>
      <c r="W2454" s="8"/>
      <c r="AJ2454" s="1"/>
      <c r="AM2454" s="1" t="s">
        <v>3494</v>
      </c>
    </row>
    <row r="2455">
      <c r="E2455" s="1" t="s">
        <v>5610</v>
      </c>
      <c r="H2455" s="1" t="s">
        <v>5262</v>
      </c>
      <c r="I2455" s="6" t="str">
        <f>IFERROR(__xludf.DUMMYFUNCTION("""COMPUTED_VALUE"""),"ransom")</f>
        <v>ransom</v>
      </c>
      <c r="S2455" s="1" t="s">
        <v>2839</v>
      </c>
      <c r="T2455" s="6"/>
      <c r="W2455" s="8"/>
      <c r="AJ2455" s="1"/>
      <c r="AM2455" s="1" t="s">
        <v>4111</v>
      </c>
    </row>
    <row r="2456">
      <c r="E2456" s="1" t="s">
        <v>2867</v>
      </c>
      <c r="H2456" s="1" t="s">
        <v>3076</v>
      </c>
      <c r="I2456" s="6" t="str">
        <f>IFERROR(__xludf.DUMMYFUNCTION("""COMPUTED_VALUE"""),"lucia")</f>
        <v>lucia</v>
      </c>
      <c r="S2456" s="1" t="s">
        <v>3394</v>
      </c>
      <c r="T2456" s="6"/>
      <c r="W2456" s="8"/>
      <c r="AJ2456" s="1"/>
      <c r="AM2456" s="1" t="s">
        <v>3468</v>
      </c>
    </row>
    <row r="2457">
      <c r="E2457" s="1" t="s">
        <v>5611</v>
      </c>
      <c r="H2457" s="1" t="s">
        <v>4979</v>
      </c>
      <c r="I2457" s="6" t="str">
        <f>IFERROR(__xludf.DUMMYFUNCTION("""COMPUTED_VALUE"""),"fluttering")</f>
        <v>fluttering</v>
      </c>
      <c r="S2457" s="1" t="s">
        <v>889</v>
      </c>
      <c r="T2457" s="6"/>
      <c r="W2457" s="8"/>
      <c r="AJ2457" s="1"/>
      <c r="AM2457" s="1" t="s">
        <v>2284</v>
      </c>
    </row>
    <row r="2458">
      <c r="E2458" s="1" t="s">
        <v>1689</v>
      </c>
      <c r="H2458" s="1" t="s">
        <v>5612</v>
      </c>
      <c r="I2458" s="6" t="str">
        <f>IFERROR(__xludf.DUMMYFUNCTION("""COMPUTED_VALUE"""),"heartbreak")</f>
        <v>heartbreak</v>
      </c>
      <c r="S2458" s="1" t="s">
        <v>5613</v>
      </c>
      <c r="T2458" s="6"/>
      <c r="W2458" s="8"/>
      <c r="AJ2458" s="1"/>
      <c r="AM2458" s="1" t="s">
        <v>1952</v>
      </c>
    </row>
    <row r="2459">
      <c r="E2459" s="1" t="s">
        <v>4559</v>
      </c>
      <c r="H2459" s="1" t="s">
        <v>1435</v>
      </c>
      <c r="I2459" s="6" t="str">
        <f>IFERROR(__xludf.DUMMYFUNCTION("""COMPUTED_VALUE"""),"liner")</f>
        <v>liner</v>
      </c>
      <c r="S2459" s="1" t="s">
        <v>1900</v>
      </c>
      <c r="T2459" s="6"/>
      <c r="W2459" s="8"/>
      <c r="AJ2459" s="1"/>
      <c r="AM2459" s="1" t="s">
        <v>4115</v>
      </c>
    </row>
    <row r="2460">
      <c r="E2460" s="1" t="s">
        <v>5614</v>
      </c>
      <c r="H2460" s="1" t="s">
        <v>134</v>
      </c>
      <c r="I2460" s="6" t="str">
        <f>IFERROR(__xludf.DUMMYFUNCTION("""COMPUTED_VALUE"""),"gliding")</f>
        <v>gliding</v>
      </c>
      <c r="S2460" s="1" t="s">
        <v>175</v>
      </c>
      <c r="T2460" s="6"/>
      <c r="W2460" s="8"/>
      <c r="AJ2460" s="1"/>
      <c r="AM2460" s="1" t="s">
        <v>2287</v>
      </c>
    </row>
    <row r="2461">
      <c r="E2461" s="1" t="s">
        <v>5615</v>
      </c>
      <c r="H2461" s="1" t="s">
        <v>1441</v>
      </c>
      <c r="I2461" s="6" t="str">
        <f>IFERROR(__xludf.DUMMYFUNCTION("""COMPUTED_VALUE"""),"australia")</f>
        <v>australia</v>
      </c>
      <c r="S2461" s="1" t="s">
        <v>5616</v>
      </c>
      <c r="T2461" s="6"/>
      <c r="W2461" s="8"/>
      <c r="AJ2461" s="1"/>
      <c r="AM2461" s="1" t="s">
        <v>5617</v>
      </c>
    </row>
    <row r="2462">
      <c r="E2462" s="1" t="s">
        <v>1604</v>
      </c>
      <c r="H2462" s="1">
        <v>50.0</v>
      </c>
      <c r="I2462" s="6" t="str">
        <f>IFERROR(__xludf.DUMMYFUNCTION("""COMPUTED_VALUE"""),"stitch")</f>
        <v>stitch</v>
      </c>
      <c r="S2462" s="1" t="s">
        <v>1863</v>
      </c>
      <c r="T2462" s="6"/>
      <c r="W2462" s="8"/>
      <c r="AJ2462" s="1"/>
      <c r="AM2462" s="1" t="s">
        <v>3503</v>
      </c>
    </row>
    <row r="2463">
      <c r="E2463" s="1" t="s">
        <v>2870</v>
      </c>
      <c r="H2463" s="1" t="s">
        <v>4983</v>
      </c>
      <c r="I2463" s="6" t="str">
        <f>IFERROR(__xludf.DUMMYFUNCTION("""COMPUTED_VALUE"""),"assets")</f>
        <v>assets</v>
      </c>
      <c r="S2463" s="1" t="s">
        <v>5618</v>
      </c>
      <c r="T2463" s="6"/>
      <c r="W2463" s="8"/>
      <c r="AJ2463" s="1"/>
      <c r="AM2463" s="1" t="s">
        <v>2290</v>
      </c>
    </row>
    <row r="2464">
      <c r="E2464" s="1" t="s">
        <v>3204</v>
      </c>
      <c r="H2464" s="1" t="s">
        <v>4985</v>
      </c>
      <c r="S2464" s="1" t="s">
        <v>5619</v>
      </c>
      <c r="T2464" s="6"/>
      <c r="W2464" s="8"/>
      <c r="AJ2464" s="1"/>
      <c r="AM2464" s="1" t="s">
        <v>2291</v>
      </c>
    </row>
    <row r="2465">
      <c r="E2465" s="1" t="s">
        <v>3840</v>
      </c>
      <c r="H2465" s="1" t="s">
        <v>3919</v>
      </c>
      <c r="S2465" s="1" t="s">
        <v>5061</v>
      </c>
      <c r="T2465" s="6"/>
      <c r="W2465" s="8"/>
      <c r="AJ2465" s="1"/>
      <c r="AM2465" s="1" t="s">
        <v>2294</v>
      </c>
    </row>
    <row r="2466">
      <c r="E2466" s="1" t="s">
        <v>5620</v>
      </c>
      <c r="H2466" s="1" t="s">
        <v>4907</v>
      </c>
      <c r="S2466" s="1" t="s">
        <v>914</v>
      </c>
      <c r="T2466" s="6"/>
      <c r="W2466" s="8"/>
      <c r="AJ2466" s="1"/>
      <c r="AM2466" s="1" t="s">
        <v>2297</v>
      </c>
    </row>
    <row r="2467">
      <c r="E2467" s="1" t="s">
        <v>5621</v>
      </c>
      <c r="H2467" s="1" t="s">
        <v>5130</v>
      </c>
      <c r="S2467" s="1" t="s">
        <v>850</v>
      </c>
      <c r="T2467" s="6"/>
      <c r="W2467" s="8"/>
      <c r="AJ2467" s="1"/>
      <c r="AM2467" s="1" t="s">
        <v>2301</v>
      </c>
    </row>
    <row r="2468">
      <c r="E2468" s="1" t="s">
        <v>1610</v>
      </c>
      <c r="H2468" s="1" t="s">
        <v>2154</v>
      </c>
      <c r="S2468" s="1" t="s">
        <v>496</v>
      </c>
      <c r="T2468" s="6"/>
      <c r="W2468" s="8"/>
      <c r="AJ2468" s="1"/>
      <c r="AM2468" s="1" t="s">
        <v>4123</v>
      </c>
    </row>
    <row r="2469">
      <c r="E2469" s="1" t="s">
        <v>2877</v>
      </c>
      <c r="H2469" s="1" t="s">
        <v>5622</v>
      </c>
      <c r="S2469" s="1" t="s">
        <v>1412</v>
      </c>
      <c r="T2469" s="6"/>
      <c r="W2469" s="8"/>
      <c r="AJ2469" s="1"/>
      <c r="AM2469" s="1" t="s">
        <v>1860</v>
      </c>
    </row>
    <row r="2470">
      <c r="E2470" s="1" t="s">
        <v>4669</v>
      </c>
      <c r="H2470" s="1" t="s">
        <v>1106</v>
      </c>
      <c r="S2470" s="1" t="s">
        <v>1141</v>
      </c>
      <c r="T2470" s="6"/>
      <c r="W2470" s="8"/>
      <c r="AJ2470" s="1"/>
      <c r="AM2470" s="1" t="s">
        <v>3506</v>
      </c>
    </row>
    <row r="2471">
      <c r="E2471" s="1" t="s">
        <v>1615</v>
      </c>
      <c r="H2471" s="1" t="s">
        <v>1447</v>
      </c>
      <c r="S2471" s="1" t="s">
        <v>5623</v>
      </c>
      <c r="T2471" s="6"/>
      <c r="W2471" s="8"/>
      <c r="AJ2471" s="1"/>
      <c r="AM2471" s="1" t="s">
        <v>2674</v>
      </c>
    </row>
    <row r="2472">
      <c r="E2472" s="1" t="s">
        <v>5624</v>
      </c>
      <c r="H2472" s="1" t="s">
        <v>4989</v>
      </c>
      <c r="S2472" s="1" t="s">
        <v>5625</v>
      </c>
      <c r="T2472" s="6"/>
      <c r="W2472" s="8"/>
      <c r="AJ2472" s="1"/>
      <c r="AM2472" s="1" t="s">
        <v>2305</v>
      </c>
    </row>
    <row r="2473">
      <c r="E2473" s="1" t="s">
        <v>5626</v>
      </c>
      <c r="H2473" s="1" t="s">
        <v>2157</v>
      </c>
      <c r="S2473" s="1" t="s">
        <v>5627</v>
      </c>
      <c r="T2473" s="6"/>
      <c r="W2473" s="8"/>
      <c r="AJ2473" s="1"/>
      <c r="AM2473" s="1" t="s">
        <v>1206</v>
      </c>
    </row>
    <row r="2474">
      <c r="E2474" s="1" t="s">
        <v>5628</v>
      </c>
      <c r="H2474" s="1" t="s">
        <v>2161</v>
      </c>
      <c r="S2474" s="1" t="s">
        <v>4736</v>
      </c>
      <c r="T2474" s="6"/>
      <c r="W2474" s="8"/>
      <c r="AJ2474" s="1"/>
      <c r="AM2474" s="1" t="s">
        <v>4024</v>
      </c>
    </row>
    <row r="2475">
      <c r="E2475" s="1" t="s">
        <v>4795</v>
      </c>
      <c r="H2475" s="1" t="s">
        <v>5629</v>
      </c>
      <c r="S2475" s="1" t="s">
        <v>5461</v>
      </c>
      <c r="T2475" s="6"/>
      <c r="W2475" s="8"/>
      <c r="AJ2475" s="1"/>
      <c r="AM2475" s="1" t="s">
        <v>1544</v>
      </c>
    </row>
    <row r="2476">
      <c r="E2476" s="1" t="s">
        <v>5630</v>
      </c>
      <c r="H2476" s="1" t="s">
        <v>1113</v>
      </c>
      <c r="S2476" s="1" t="s">
        <v>5631</v>
      </c>
      <c r="T2476" s="6"/>
      <c r="W2476" s="8"/>
      <c r="AJ2476" s="1"/>
      <c r="AM2476" s="1" t="s">
        <v>4129</v>
      </c>
    </row>
    <row r="2477">
      <c r="E2477" s="1" t="s">
        <v>5632</v>
      </c>
      <c r="H2477" s="1" t="s">
        <v>2169</v>
      </c>
      <c r="S2477" s="1" t="s">
        <v>905</v>
      </c>
      <c r="T2477" s="6"/>
      <c r="W2477" s="8"/>
      <c r="AJ2477" s="1"/>
      <c r="AM2477" s="1" t="s">
        <v>4130</v>
      </c>
    </row>
    <row r="2478">
      <c r="E2478" s="1" t="s">
        <v>5633</v>
      </c>
      <c r="H2478" s="1" t="s">
        <v>4715</v>
      </c>
      <c r="S2478" s="1" t="s">
        <v>796</v>
      </c>
      <c r="T2478" s="6"/>
      <c r="W2478" s="8"/>
      <c r="AJ2478" s="1"/>
      <c r="AM2478" s="1" t="s">
        <v>1552</v>
      </c>
    </row>
    <row r="2479">
      <c r="E2479" s="1" t="s">
        <v>2886</v>
      </c>
      <c r="H2479" s="1" t="s">
        <v>3641</v>
      </c>
      <c r="S2479" s="1" t="s">
        <v>3550</v>
      </c>
      <c r="T2479" s="6"/>
      <c r="W2479" s="8"/>
      <c r="AJ2479" s="1"/>
      <c r="AM2479" s="1" t="s">
        <v>4131</v>
      </c>
    </row>
    <row r="2480">
      <c r="E2480" s="1" t="s">
        <v>4577</v>
      </c>
      <c r="H2480" s="1" t="s">
        <v>4998</v>
      </c>
      <c r="S2480" s="1" t="s">
        <v>4023</v>
      </c>
      <c r="T2480" s="6"/>
      <c r="W2480" s="8"/>
      <c r="AJ2480" s="1"/>
      <c r="AM2480" s="1" t="s">
        <v>3518</v>
      </c>
    </row>
    <row r="2481">
      <c r="E2481" s="1" t="s">
        <v>2892</v>
      </c>
      <c r="H2481" s="1" t="s">
        <v>3935</v>
      </c>
      <c r="S2481" s="1" t="s">
        <v>3358</v>
      </c>
      <c r="T2481" s="6"/>
      <c r="W2481" s="8"/>
      <c r="AJ2481" s="1"/>
      <c r="AM2481" s="1" t="s">
        <v>1210</v>
      </c>
    </row>
    <row r="2482">
      <c r="E2482" s="1" t="s">
        <v>5634</v>
      </c>
      <c r="H2482" s="1" t="s">
        <v>3938</v>
      </c>
      <c r="S2482" s="1" t="s">
        <v>1963</v>
      </c>
      <c r="T2482" s="6"/>
      <c r="W2482" s="8"/>
      <c r="AJ2482" s="1"/>
      <c r="AM2482" s="1" t="s">
        <v>2311</v>
      </c>
    </row>
    <row r="2483">
      <c r="E2483" s="1" t="s">
        <v>2895</v>
      </c>
      <c r="H2483" s="1" t="s">
        <v>5000</v>
      </c>
      <c r="S2483" s="1" t="s">
        <v>5635</v>
      </c>
      <c r="T2483" s="6"/>
      <c r="W2483" s="8"/>
      <c r="AJ2483" s="1"/>
      <c r="AM2483" s="1" t="s">
        <v>4135</v>
      </c>
    </row>
    <row r="2484">
      <c r="E2484" s="1" t="s">
        <v>5636</v>
      </c>
      <c r="H2484" s="1" t="s">
        <v>1122</v>
      </c>
      <c r="S2484" s="1" t="s">
        <v>5637</v>
      </c>
      <c r="T2484" s="6"/>
      <c r="W2484" s="8"/>
      <c r="AJ2484" s="1"/>
      <c r="AM2484" s="1" t="s">
        <v>4659</v>
      </c>
    </row>
    <row r="2485">
      <c r="E2485" s="1" t="s">
        <v>1019</v>
      </c>
      <c r="H2485" s="1" t="s">
        <v>5003</v>
      </c>
      <c r="S2485" s="1" t="s">
        <v>5638</v>
      </c>
      <c r="T2485" s="6"/>
      <c r="W2485" s="8"/>
      <c r="AJ2485" s="1"/>
      <c r="AM2485" s="1" t="s">
        <v>2315</v>
      </c>
    </row>
    <row r="2486">
      <c r="E2486" s="1" t="s">
        <v>4268</v>
      </c>
      <c r="H2486" s="1" t="s">
        <v>1128</v>
      </c>
      <c r="S2486" s="1" t="s">
        <v>4062</v>
      </c>
      <c r="T2486" s="6"/>
      <c r="W2486" s="8"/>
      <c r="AJ2486" s="1"/>
      <c r="AM2486" s="1" t="s">
        <v>1217</v>
      </c>
    </row>
    <row r="2487">
      <c r="E2487" s="1">
        <v>18.0</v>
      </c>
      <c r="H2487" s="1" t="s">
        <v>5639</v>
      </c>
      <c r="S2487" s="1" t="s">
        <v>1682</v>
      </c>
      <c r="T2487" s="6"/>
      <c r="W2487" s="8"/>
      <c r="AJ2487" s="1"/>
      <c r="AM2487" s="1" t="s">
        <v>5640</v>
      </c>
    </row>
    <row r="2488">
      <c r="E2488" s="1" t="s">
        <v>5641</v>
      </c>
      <c r="H2488" s="1" t="s">
        <v>3950</v>
      </c>
      <c r="S2488" s="1" t="s">
        <v>5642</v>
      </c>
      <c r="T2488" s="6"/>
      <c r="W2488" s="8"/>
      <c r="AJ2488" s="1"/>
      <c r="AM2488" s="1" t="s">
        <v>5158</v>
      </c>
    </row>
    <row r="2489">
      <c r="E2489" s="1" t="s">
        <v>1620</v>
      </c>
      <c r="H2489" s="1" t="s">
        <v>4184</v>
      </c>
      <c r="S2489" s="1" t="s">
        <v>5643</v>
      </c>
      <c r="T2489" s="6"/>
      <c r="W2489" s="8"/>
      <c r="AJ2489" s="1"/>
      <c r="AM2489" s="1" t="s">
        <v>1224</v>
      </c>
    </row>
    <row r="2490">
      <c r="E2490" s="1" t="s">
        <v>2903</v>
      </c>
      <c r="H2490" s="1" t="s">
        <v>3954</v>
      </c>
      <c r="S2490" s="1" t="s">
        <v>5644</v>
      </c>
      <c r="T2490" s="6"/>
      <c r="W2490" s="8"/>
      <c r="AJ2490" s="1"/>
      <c r="AM2490" s="1" t="s">
        <v>4137</v>
      </c>
    </row>
    <row r="2491">
      <c r="E2491" s="1" t="s">
        <v>1626</v>
      </c>
      <c r="H2491" s="1" t="s">
        <v>3957</v>
      </c>
      <c r="S2491" s="1" t="s">
        <v>3437</v>
      </c>
      <c r="T2491" s="6"/>
      <c r="W2491" s="8"/>
      <c r="AJ2491" s="1"/>
      <c r="AM2491" s="1" t="s">
        <v>5162</v>
      </c>
    </row>
    <row r="2492">
      <c r="E2492" s="1" t="s">
        <v>2910</v>
      </c>
      <c r="H2492" s="1" t="s">
        <v>3399</v>
      </c>
      <c r="S2492" s="1" t="s">
        <v>2851</v>
      </c>
      <c r="T2492" s="6"/>
      <c r="W2492" s="8"/>
      <c r="AJ2492" s="1"/>
      <c r="AM2492" s="1" t="s">
        <v>2324</v>
      </c>
    </row>
    <row r="2493">
      <c r="E2493" s="1" t="s">
        <v>5645</v>
      </c>
      <c r="H2493" s="1" t="s">
        <v>3962</v>
      </c>
      <c r="S2493" s="1" t="s">
        <v>4391</v>
      </c>
      <c r="T2493" s="6"/>
      <c r="W2493" s="8"/>
      <c r="AJ2493" s="1"/>
      <c r="AM2493" s="1" t="s">
        <v>3521</v>
      </c>
    </row>
    <row r="2494">
      <c r="E2494" s="1" t="s">
        <v>5445</v>
      </c>
      <c r="H2494" s="1" t="s">
        <v>2181</v>
      </c>
      <c r="S2494" s="1" t="s">
        <v>4591</v>
      </c>
      <c r="T2494" s="6"/>
      <c r="W2494" s="8"/>
      <c r="AJ2494" s="1"/>
      <c r="AM2494" s="1" t="s">
        <v>5164</v>
      </c>
    </row>
    <row r="2495">
      <c r="E2495" s="1" t="s">
        <v>4690</v>
      </c>
      <c r="H2495" s="1" t="s">
        <v>5646</v>
      </c>
      <c r="S2495" s="1">
        <v>105.0</v>
      </c>
      <c r="T2495" s="6"/>
      <c r="W2495" s="8"/>
      <c r="AJ2495" s="1"/>
      <c r="AM2495" s="1" t="s">
        <v>1228</v>
      </c>
    </row>
    <row r="2496">
      <c r="E2496" s="1" t="s">
        <v>1720</v>
      </c>
      <c r="H2496" s="1" t="s">
        <v>5011</v>
      </c>
      <c r="S2496" s="1" t="s">
        <v>3149</v>
      </c>
      <c r="T2496" s="6"/>
      <c r="W2496" s="8"/>
      <c r="AJ2496" s="1"/>
      <c r="AM2496" s="1" t="s">
        <v>5168</v>
      </c>
    </row>
    <row r="2497">
      <c r="E2497" s="1" t="s">
        <v>4695</v>
      </c>
      <c r="H2497" s="1" t="s">
        <v>3967</v>
      </c>
      <c r="S2497" s="1" t="s">
        <v>4991</v>
      </c>
      <c r="T2497" s="6"/>
      <c r="W2497" s="8"/>
      <c r="AJ2497" s="1"/>
      <c r="AM2497" s="1" t="s">
        <v>5607</v>
      </c>
    </row>
    <row r="2498">
      <c r="E2498" s="1" t="s">
        <v>2916</v>
      </c>
      <c r="H2498" s="1" t="s">
        <v>1454</v>
      </c>
      <c r="S2498" s="1" t="s">
        <v>5334</v>
      </c>
      <c r="T2498" s="6"/>
      <c r="W2498" s="8"/>
      <c r="AJ2498" s="1"/>
      <c r="AM2498" s="1" t="s">
        <v>3525</v>
      </c>
    </row>
    <row r="2499">
      <c r="E2499" s="1" t="s">
        <v>2923</v>
      </c>
      <c r="H2499" s="1" t="s">
        <v>1336</v>
      </c>
      <c r="S2499" s="1" t="s">
        <v>2571</v>
      </c>
      <c r="T2499" s="6"/>
      <c r="W2499" s="8"/>
      <c r="AJ2499" s="1"/>
      <c r="AM2499" s="1" t="s">
        <v>5169</v>
      </c>
    </row>
    <row r="2500">
      <c r="E2500" s="1" t="s">
        <v>1904</v>
      </c>
      <c r="H2500" s="1" t="s">
        <v>3407</v>
      </c>
      <c r="S2500" s="1" t="s">
        <v>941</v>
      </c>
      <c r="T2500" s="6"/>
      <c r="W2500" s="8"/>
      <c r="AJ2500" s="1"/>
      <c r="AM2500" s="1" t="s">
        <v>1558</v>
      </c>
    </row>
    <row r="2501">
      <c r="E2501" s="1" t="s">
        <v>5647</v>
      </c>
      <c r="H2501" s="1" t="s">
        <v>3969</v>
      </c>
      <c r="S2501" s="1" t="s">
        <v>5648</v>
      </c>
      <c r="T2501" s="6"/>
      <c r="W2501" s="8"/>
      <c r="AJ2501" s="1"/>
      <c r="AM2501" s="1" t="s">
        <v>4144</v>
      </c>
    </row>
    <row r="2502">
      <c r="E2502" s="1" t="s">
        <v>5649</v>
      </c>
      <c r="H2502" s="1" t="s">
        <v>5650</v>
      </c>
      <c r="S2502" s="1" t="s">
        <v>2375</v>
      </c>
      <c r="T2502" s="6"/>
      <c r="W2502" s="8"/>
      <c r="AJ2502" s="1"/>
      <c r="AM2502" s="1" t="s">
        <v>1234</v>
      </c>
    </row>
    <row r="2503">
      <c r="E2503" s="1" t="s">
        <v>5651</v>
      </c>
      <c r="H2503" s="1" t="s">
        <v>1459</v>
      </c>
      <c r="S2503" s="1" t="s">
        <v>5652</v>
      </c>
      <c r="T2503" s="6"/>
      <c r="W2503" s="8"/>
      <c r="AJ2503" s="1"/>
      <c r="AM2503" s="1" t="s">
        <v>5171</v>
      </c>
    </row>
    <row r="2504">
      <c r="E2504" s="1" t="s">
        <v>5653</v>
      </c>
      <c r="H2504" s="1" t="s">
        <v>1468</v>
      </c>
      <c r="S2504" s="1" t="s">
        <v>5654</v>
      </c>
      <c r="T2504" s="6"/>
      <c r="W2504" s="8"/>
      <c r="AJ2504" s="1"/>
      <c r="AM2504" s="1" t="s">
        <v>1240</v>
      </c>
    </row>
    <row r="2505">
      <c r="E2505" s="1" t="s">
        <v>5655</v>
      </c>
      <c r="H2505" s="1" t="s">
        <v>3973</v>
      </c>
      <c r="S2505" s="1" t="s">
        <v>5656</v>
      </c>
      <c r="T2505" s="6"/>
      <c r="W2505" s="8"/>
      <c r="AJ2505" s="1"/>
      <c r="AM2505" s="1" t="s">
        <v>3528</v>
      </c>
    </row>
    <row r="2506">
      <c r="E2506" s="1" t="s">
        <v>4703</v>
      </c>
      <c r="H2506" s="1" t="s">
        <v>4748</v>
      </c>
      <c r="S2506" s="1" t="s">
        <v>5657</v>
      </c>
      <c r="T2506" s="6"/>
      <c r="W2506" s="8"/>
      <c r="AJ2506" s="1"/>
      <c r="AM2506" s="1" t="s">
        <v>5098</v>
      </c>
    </row>
    <row r="2507">
      <c r="E2507" s="1" t="s">
        <v>2929</v>
      </c>
      <c r="H2507" s="1" t="s">
        <v>3975</v>
      </c>
      <c r="S2507" s="1" t="s">
        <v>3912</v>
      </c>
      <c r="T2507" s="6"/>
      <c r="W2507" s="8"/>
      <c r="AJ2507" s="1"/>
      <c r="AM2507" s="1" t="s">
        <v>2693</v>
      </c>
    </row>
    <row r="2508">
      <c r="E2508" s="1" t="s">
        <v>3865</v>
      </c>
      <c r="H2508" s="1" t="s">
        <v>2185</v>
      </c>
      <c r="S2508" s="1" t="s">
        <v>5245</v>
      </c>
      <c r="T2508" s="6"/>
      <c r="W2508" s="8"/>
      <c r="AJ2508" s="1"/>
      <c r="AM2508" s="1" t="s">
        <v>4411</v>
      </c>
    </row>
    <row r="2509">
      <c r="E2509" s="1" t="s">
        <v>5658</v>
      </c>
      <c r="H2509" s="1" t="s">
        <v>3411</v>
      </c>
      <c r="S2509" s="1" t="s">
        <v>4341</v>
      </c>
      <c r="T2509" s="6"/>
      <c r="W2509" s="8"/>
      <c r="AJ2509" s="1"/>
      <c r="AM2509" s="1" t="s">
        <v>4149</v>
      </c>
    </row>
    <row r="2510">
      <c r="E2510" s="1" t="s">
        <v>5659</v>
      </c>
      <c r="H2510" s="1" t="s">
        <v>5007</v>
      </c>
      <c r="S2510" s="1" t="s">
        <v>4389</v>
      </c>
      <c r="T2510" s="6"/>
      <c r="W2510" s="8"/>
      <c r="AJ2510" s="1"/>
      <c r="AM2510" s="1" t="s">
        <v>3359</v>
      </c>
    </row>
    <row r="2511">
      <c r="E2511" s="1" t="s">
        <v>4706</v>
      </c>
      <c r="H2511" s="1" t="s">
        <v>5026</v>
      </c>
      <c r="S2511" s="1" t="s">
        <v>2549</v>
      </c>
      <c r="T2511" s="6"/>
      <c r="W2511" s="8"/>
      <c r="AJ2511" s="1"/>
      <c r="AM2511" s="1" t="s">
        <v>3924</v>
      </c>
    </row>
    <row r="2512">
      <c r="E2512" s="1" t="s">
        <v>1681</v>
      </c>
      <c r="H2512" s="1" t="s">
        <v>629</v>
      </c>
      <c r="S2512" s="1" t="s">
        <v>5660</v>
      </c>
      <c r="T2512" s="6"/>
      <c r="W2512" s="8"/>
      <c r="AJ2512" s="1"/>
      <c r="AM2512" s="1" t="s">
        <v>1347</v>
      </c>
    </row>
    <row r="2513">
      <c r="E2513" s="1" t="s">
        <v>5661</v>
      </c>
      <c r="H2513" s="1" t="s">
        <v>2190</v>
      </c>
      <c r="S2513" s="1" t="s">
        <v>5275</v>
      </c>
      <c r="T2513" s="6"/>
      <c r="W2513" s="8"/>
      <c r="AJ2513" s="1"/>
      <c r="AM2513" s="1" t="s">
        <v>2334</v>
      </c>
    </row>
    <row r="2514">
      <c r="E2514" s="1" t="s">
        <v>5662</v>
      </c>
      <c r="H2514" s="1" t="s">
        <v>336</v>
      </c>
      <c r="S2514" s="1" t="s">
        <v>5049</v>
      </c>
      <c r="T2514" s="6"/>
      <c r="W2514" s="8"/>
      <c r="AJ2514" s="1"/>
      <c r="AM2514" s="1" t="s">
        <v>3779</v>
      </c>
    </row>
    <row r="2515">
      <c r="E2515" s="1" t="s">
        <v>4711</v>
      </c>
      <c r="H2515" s="1" t="s">
        <v>1134</v>
      </c>
      <c r="S2515" s="1" t="s">
        <v>3917</v>
      </c>
      <c r="T2515" s="6"/>
      <c r="W2515" s="8"/>
      <c r="AJ2515" s="1"/>
      <c r="AM2515" s="1" t="s">
        <v>1244</v>
      </c>
    </row>
    <row r="2516">
      <c r="E2516" s="1" t="s">
        <v>5663</v>
      </c>
      <c r="H2516" s="1" t="s">
        <v>1140</v>
      </c>
      <c r="S2516" s="1" t="s">
        <v>2509</v>
      </c>
      <c r="T2516" s="6"/>
      <c r="W2516" s="8"/>
      <c r="AJ2516" s="1"/>
      <c r="AM2516" s="1" t="s">
        <v>1251</v>
      </c>
    </row>
    <row r="2517">
      <c r="E2517" s="1" t="s">
        <v>4683</v>
      </c>
      <c r="H2517" s="1" t="s">
        <v>5664</v>
      </c>
      <c r="S2517" s="1" t="s">
        <v>3329</v>
      </c>
      <c r="T2517" s="6"/>
      <c r="W2517" s="8"/>
      <c r="AJ2517" s="1"/>
      <c r="AM2517" s="1" t="s">
        <v>4262</v>
      </c>
    </row>
    <row r="2518">
      <c r="E2518" s="1" t="s">
        <v>2948</v>
      </c>
      <c r="H2518" s="1" t="s">
        <v>5031</v>
      </c>
      <c r="S2518" s="1" t="s">
        <v>3658</v>
      </c>
      <c r="T2518" s="6"/>
      <c r="W2518" s="8"/>
      <c r="AJ2518" s="1"/>
      <c r="AM2518" s="1" t="s">
        <v>5665</v>
      </c>
    </row>
    <row r="2519">
      <c r="E2519" s="1" t="s">
        <v>5666</v>
      </c>
      <c r="H2519" s="1" t="s">
        <v>4077</v>
      </c>
      <c r="S2519" s="1" t="s">
        <v>5037</v>
      </c>
      <c r="T2519" s="6"/>
      <c r="W2519" s="8"/>
      <c r="AJ2519" s="1"/>
      <c r="AM2519" s="1" t="s">
        <v>1563</v>
      </c>
    </row>
    <row r="2520">
      <c r="E2520" s="1" t="s">
        <v>1639</v>
      </c>
      <c r="H2520" s="1">
        <v>89.0</v>
      </c>
      <c r="S2520" s="1" t="s">
        <v>5667</v>
      </c>
      <c r="T2520" s="6"/>
      <c r="W2520" s="8"/>
      <c r="AJ2520" s="1"/>
      <c r="AM2520" s="1" t="s">
        <v>2341</v>
      </c>
    </row>
    <row r="2521">
      <c r="E2521" s="1" t="s">
        <v>1645</v>
      </c>
      <c r="H2521" s="1" t="s">
        <v>2204</v>
      </c>
      <c r="S2521" s="1" t="s">
        <v>1509</v>
      </c>
      <c r="T2521" s="6"/>
      <c r="W2521" s="8"/>
      <c r="AJ2521" s="1"/>
      <c r="AM2521" s="1" t="s">
        <v>1259</v>
      </c>
    </row>
    <row r="2522">
      <c r="E2522" s="1" t="s">
        <v>4726</v>
      </c>
      <c r="H2522" s="1" t="s">
        <v>5034</v>
      </c>
      <c r="S2522" s="1" t="s">
        <v>5668</v>
      </c>
      <c r="T2522" s="6"/>
      <c r="W2522" s="8"/>
      <c r="AJ2522" s="1"/>
      <c r="AM2522" s="1" t="s">
        <v>1945</v>
      </c>
    </row>
    <row r="2523">
      <c r="E2523" s="1" t="s">
        <v>5669</v>
      </c>
      <c r="H2523" s="1" t="s">
        <v>5670</v>
      </c>
      <c r="S2523" s="1" t="s">
        <v>2229</v>
      </c>
      <c r="T2523" s="6"/>
      <c r="W2523" s="8"/>
      <c r="AJ2523" s="1"/>
      <c r="AM2523" s="1" t="s">
        <v>4160</v>
      </c>
    </row>
    <row r="2524">
      <c r="E2524" s="1" t="s">
        <v>757</v>
      </c>
      <c r="H2524" s="1" t="s">
        <v>5036</v>
      </c>
      <c r="S2524" s="1" t="s">
        <v>3078</v>
      </c>
      <c r="T2524" s="6"/>
      <c r="W2524" s="8"/>
      <c r="AJ2524" s="1"/>
      <c r="AM2524" s="1" t="s">
        <v>5405</v>
      </c>
    </row>
    <row r="2525">
      <c r="E2525" s="1" t="s">
        <v>2961</v>
      </c>
      <c r="H2525" s="1" t="s">
        <v>5037</v>
      </c>
      <c r="S2525" s="1" t="s">
        <v>5671</v>
      </c>
      <c r="T2525" s="6"/>
      <c r="W2525" s="8"/>
      <c r="AJ2525" s="1"/>
      <c r="AM2525" s="1" t="s">
        <v>3542</v>
      </c>
    </row>
    <row r="2526">
      <c r="E2526" s="1" t="s">
        <v>2965</v>
      </c>
      <c r="H2526" s="1" t="s">
        <v>5039</v>
      </c>
      <c r="S2526" s="1" t="s">
        <v>1317</v>
      </c>
      <c r="T2526" s="6"/>
      <c r="W2526" s="8"/>
      <c r="AJ2526" s="1"/>
      <c r="AM2526" s="1" t="s">
        <v>4162</v>
      </c>
    </row>
    <row r="2527">
      <c r="E2527" s="1" t="s">
        <v>5672</v>
      </c>
      <c r="H2527" s="1" t="s">
        <v>5043</v>
      </c>
      <c r="S2527" s="1" t="s">
        <v>998</v>
      </c>
      <c r="T2527" s="6"/>
      <c r="W2527" s="8"/>
      <c r="AJ2527" s="1"/>
      <c r="AM2527" s="1" t="s">
        <v>3547</v>
      </c>
    </row>
    <row r="2528">
      <c r="E2528" s="1" t="s">
        <v>441</v>
      </c>
      <c r="H2528" s="1" t="s">
        <v>5046</v>
      </c>
      <c r="S2528" s="1" t="s">
        <v>4220</v>
      </c>
      <c r="T2528" s="6"/>
      <c r="W2528" s="8"/>
      <c r="AJ2528" s="1"/>
      <c r="AM2528" s="1" t="s">
        <v>4164</v>
      </c>
    </row>
    <row r="2529">
      <c r="E2529" s="1" t="s">
        <v>5673</v>
      </c>
      <c r="H2529" s="1" t="s">
        <v>2206</v>
      </c>
      <c r="S2529" s="1" t="s">
        <v>5674</v>
      </c>
      <c r="T2529" s="6"/>
      <c r="W2529" s="8"/>
      <c r="AJ2529" s="1"/>
      <c r="AM2529" s="1" t="s">
        <v>251</v>
      </c>
    </row>
    <row r="2530">
      <c r="E2530" s="1" t="s">
        <v>5675</v>
      </c>
      <c r="H2530" s="1" t="s">
        <v>3999</v>
      </c>
      <c r="S2530" s="1" t="s">
        <v>2199</v>
      </c>
      <c r="T2530" s="6"/>
      <c r="W2530" s="8"/>
      <c r="AJ2530" s="1"/>
      <c r="AM2530" s="1" t="s">
        <v>1270</v>
      </c>
    </row>
    <row r="2531">
      <c r="E2531" s="1" t="s">
        <v>1651</v>
      </c>
      <c r="H2531" s="1" t="s">
        <v>3416</v>
      </c>
      <c r="S2531" s="1" t="s">
        <v>3268</v>
      </c>
      <c r="T2531" s="6"/>
      <c r="W2531" s="8"/>
      <c r="AJ2531" s="1"/>
      <c r="AM2531" s="1" t="s">
        <v>1277</v>
      </c>
    </row>
    <row r="2532">
      <c r="E2532" s="1" t="s">
        <v>4739</v>
      </c>
      <c r="H2532" s="1" t="s">
        <v>5051</v>
      </c>
      <c r="S2532" s="1" t="s">
        <v>2698</v>
      </c>
      <c r="T2532" s="6"/>
      <c r="W2532" s="8"/>
      <c r="AJ2532" s="1"/>
      <c r="AM2532" s="1" t="s">
        <v>2353</v>
      </c>
    </row>
    <row r="2533">
      <c r="E2533" s="1" t="s">
        <v>4743</v>
      </c>
      <c r="H2533" s="1" t="s">
        <v>4003</v>
      </c>
      <c r="S2533" s="1" t="s">
        <v>2849</v>
      </c>
      <c r="T2533" s="6"/>
      <c r="W2533" s="8"/>
      <c r="AJ2533" s="1"/>
      <c r="AM2533" s="1" t="s">
        <v>2356</v>
      </c>
    </row>
    <row r="2534">
      <c r="E2534" s="1" t="s">
        <v>5676</v>
      </c>
      <c r="H2534" s="1" t="s">
        <v>4010</v>
      </c>
      <c r="S2534" s="1" t="s">
        <v>3848</v>
      </c>
      <c r="T2534" s="6"/>
      <c r="W2534" s="8"/>
      <c r="AJ2534" s="1"/>
      <c r="AM2534" s="1" t="s">
        <v>1284</v>
      </c>
    </row>
    <row r="2535">
      <c r="E2535" s="1" t="s">
        <v>2975</v>
      </c>
      <c r="H2535" s="1" t="s">
        <v>2208</v>
      </c>
      <c r="S2535" s="1" t="s">
        <v>5546</v>
      </c>
      <c r="T2535" s="6"/>
      <c r="W2535" s="8"/>
      <c r="AJ2535" s="1"/>
      <c r="AM2535" s="1" t="s">
        <v>2234</v>
      </c>
    </row>
    <row r="2536">
      <c r="E2536" s="1" t="s">
        <v>5408</v>
      </c>
      <c r="H2536" s="1" t="s">
        <v>4013</v>
      </c>
      <c r="S2536" s="1" t="s">
        <v>4279</v>
      </c>
      <c r="T2536" s="6"/>
      <c r="W2536" s="8"/>
      <c r="AJ2536" s="1"/>
      <c r="AM2536" s="1" t="s">
        <v>4179</v>
      </c>
    </row>
    <row r="2537">
      <c r="E2537" s="1" t="s">
        <v>4746</v>
      </c>
      <c r="H2537" s="1" t="s">
        <v>1318</v>
      </c>
      <c r="S2537" s="1" t="s">
        <v>5677</v>
      </c>
      <c r="T2537" s="6"/>
      <c r="W2537" s="8"/>
      <c r="AJ2537" s="1"/>
      <c r="AM2537" s="1" t="s">
        <v>5197</v>
      </c>
    </row>
    <row r="2538">
      <c r="E2538" s="1" t="s">
        <v>1785</v>
      </c>
      <c r="H2538" s="1" t="s">
        <v>5057</v>
      </c>
      <c r="S2538" s="1" t="s">
        <v>5678</v>
      </c>
      <c r="T2538" s="6"/>
      <c r="W2538" s="8"/>
      <c r="AJ2538" s="1"/>
      <c r="AM2538" s="1" t="s">
        <v>675</v>
      </c>
    </row>
    <row r="2539">
      <c r="E2539" s="1" t="s">
        <v>4747</v>
      </c>
      <c r="H2539" s="1" t="s">
        <v>2797</v>
      </c>
      <c r="S2539" s="1" t="s">
        <v>5679</v>
      </c>
      <c r="T2539" s="6"/>
      <c r="W2539" s="8"/>
      <c r="AJ2539" s="1"/>
      <c r="AM2539" s="1" t="s">
        <v>4181</v>
      </c>
    </row>
    <row r="2540">
      <c r="E2540" s="1">
        <v>451.0</v>
      </c>
      <c r="H2540" s="1" t="s">
        <v>5516</v>
      </c>
      <c r="S2540" s="1" t="s">
        <v>4738</v>
      </c>
      <c r="T2540" s="6"/>
      <c r="W2540" s="8"/>
      <c r="AJ2540" s="1"/>
      <c r="AM2540" s="1" t="s">
        <v>983</v>
      </c>
    </row>
    <row r="2541">
      <c r="E2541" s="1" t="s">
        <v>1946</v>
      </c>
      <c r="H2541" s="1" t="s">
        <v>2210</v>
      </c>
      <c r="S2541" s="1" t="s">
        <v>2470</v>
      </c>
      <c r="T2541" s="6"/>
      <c r="W2541" s="8"/>
      <c r="AJ2541" s="1"/>
      <c r="AM2541" s="1" t="s">
        <v>4290</v>
      </c>
    </row>
    <row r="2542">
      <c r="E2542" s="1" t="s">
        <v>1873</v>
      </c>
      <c r="H2542" s="1" t="s">
        <v>4017</v>
      </c>
      <c r="S2542" s="1" t="s">
        <v>4056</v>
      </c>
      <c r="T2542" s="6"/>
      <c r="W2542" s="8"/>
      <c r="AJ2542" s="1"/>
      <c r="AM2542" s="1" t="s">
        <v>5499</v>
      </c>
    </row>
    <row r="2543">
      <c r="E2543" s="1">
        <v>1957.0</v>
      </c>
      <c r="H2543" s="1" t="s">
        <v>5060</v>
      </c>
      <c r="S2543" s="1" t="s">
        <v>5680</v>
      </c>
      <c r="T2543" s="6"/>
      <c r="W2543" s="8"/>
      <c r="AJ2543" s="1"/>
      <c r="AM2543" s="1" t="s">
        <v>3563</v>
      </c>
    </row>
    <row r="2544">
      <c r="E2544" s="1" t="s">
        <v>644</v>
      </c>
      <c r="H2544" s="1" t="s">
        <v>5681</v>
      </c>
      <c r="S2544" s="1" t="s">
        <v>4568</v>
      </c>
      <c r="T2544" s="6"/>
      <c r="W2544" s="8"/>
      <c r="AJ2544" s="1"/>
      <c r="AM2544" s="1" t="s">
        <v>3565</v>
      </c>
    </row>
    <row r="2545">
      <c r="E2545" s="1" t="s">
        <v>3878</v>
      </c>
      <c r="H2545" s="1" t="s">
        <v>4021</v>
      </c>
      <c r="S2545" s="1" t="s">
        <v>5682</v>
      </c>
      <c r="T2545" s="6"/>
      <c r="W2545" s="8"/>
      <c r="AJ2545" s="1"/>
      <c r="AM2545" s="1" t="s">
        <v>5683</v>
      </c>
    </row>
    <row r="2546">
      <c r="E2546" s="1" t="s">
        <v>2984</v>
      </c>
      <c r="H2546" s="1" t="s">
        <v>5061</v>
      </c>
      <c r="S2546" s="1" t="s">
        <v>5684</v>
      </c>
      <c r="T2546" s="6"/>
      <c r="W2546" s="8"/>
      <c r="AJ2546" s="1"/>
      <c r="AM2546" s="1" t="s">
        <v>4185</v>
      </c>
    </row>
    <row r="2547">
      <c r="E2547" s="1" t="s">
        <v>5685</v>
      </c>
      <c r="H2547" s="1" t="s">
        <v>5686</v>
      </c>
      <c r="S2547" s="1" t="s">
        <v>5687</v>
      </c>
      <c r="T2547" s="6"/>
      <c r="W2547" s="8"/>
      <c r="AJ2547" s="1"/>
      <c r="AM2547" s="1" t="s">
        <v>5207</v>
      </c>
    </row>
    <row r="2548">
      <c r="E2548" s="1" t="s">
        <v>227</v>
      </c>
      <c r="H2548" s="1" t="s">
        <v>4025</v>
      </c>
      <c r="S2548" s="1" t="s">
        <v>1352</v>
      </c>
      <c r="T2548" s="6"/>
      <c r="W2548" s="8"/>
      <c r="AJ2548" s="1"/>
      <c r="AM2548" s="1" t="s">
        <v>5688</v>
      </c>
    </row>
    <row r="2549">
      <c r="E2549" s="1" t="s">
        <v>4754</v>
      </c>
      <c r="H2549" s="1" t="s">
        <v>5024</v>
      </c>
      <c r="S2549" s="1" t="s">
        <v>2487</v>
      </c>
      <c r="T2549" s="6"/>
      <c r="W2549" s="8"/>
      <c r="AJ2549" s="1"/>
      <c r="AM2549" s="1" t="s">
        <v>4187</v>
      </c>
    </row>
    <row r="2550">
      <c r="E2550" s="1" t="s">
        <v>5689</v>
      </c>
      <c r="H2550" s="1" t="s">
        <v>1147</v>
      </c>
      <c r="S2550" s="1" t="s">
        <v>2581</v>
      </c>
      <c r="T2550" s="6"/>
      <c r="W2550" s="8"/>
      <c r="AJ2550" s="1"/>
      <c r="AM2550" s="1" t="s">
        <v>5212</v>
      </c>
    </row>
    <row r="2551">
      <c r="E2551" s="1" t="s">
        <v>2993</v>
      </c>
      <c r="H2551" s="1" t="s">
        <v>1152</v>
      </c>
      <c r="S2551" s="1" t="s">
        <v>5283</v>
      </c>
      <c r="T2551" s="6"/>
      <c r="W2551" s="8"/>
      <c r="AJ2551" s="1"/>
      <c r="AM2551" s="1" t="s">
        <v>1581</v>
      </c>
    </row>
    <row r="2552">
      <c r="E2552" s="1" t="s">
        <v>2989</v>
      </c>
      <c r="H2552" s="1" t="s">
        <v>3425</v>
      </c>
      <c r="S2552" s="1" t="s">
        <v>4687</v>
      </c>
      <c r="T2552" s="6"/>
      <c r="W2552" s="8"/>
      <c r="AJ2552" s="1"/>
      <c r="AM2552" s="1" t="s">
        <v>994</v>
      </c>
    </row>
    <row r="2553">
      <c r="E2553" s="1" t="s">
        <v>4756</v>
      </c>
      <c r="H2553" s="1" t="s">
        <v>1496</v>
      </c>
      <c r="S2553" s="1" t="s">
        <v>5690</v>
      </c>
      <c r="T2553" s="6"/>
      <c r="W2553" s="8"/>
      <c r="AJ2553" s="1"/>
      <c r="AM2553" s="1" t="s">
        <v>4367</v>
      </c>
    </row>
    <row r="2554">
      <c r="E2554" s="1" t="s">
        <v>4294</v>
      </c>
      <c r="H2554" s="1" t="s">
        <v>1503</v>
      </c>
      <c r="S2554" s="1" t="s">
        <v>5691</v>
      </c>
      <c r="T2554" s="6"/>
      <c r="W2554" s="8"/>
      <c r="AJ2554" s="1"/>
      <c r="AM2554" s="1" t="s">
        <v>1295</v>
      </c>
    </row>
    <row r="2555">
      <c r="E2555" s="1" t="s">
        <v>5479</v>
      </c>
      <c r="H2555" s="1" t="s">
        <v>5067</v>
      </c>
      <c r="S2555" s="1" t="s">
        <v>3608</v>
      </c>
      <c r="T2555" s="6"/>
      <c r="W2555" s="8"/>
      <c r="AJ2555" s="1"/>
      <c r="AM2555" s="1" t="s">
        <v>2367</v>
      </c>
    </row>
    <row r="2556">
      <c r="E2556" s="1" t="s">
        <v>2997</v>
      </c>
      <c r="H2556" s="1" t="s">
        <v>3109</v>
      </c>
      <c r="S2556" s="1" t="s">
        <v>5692</v>
      </c>
      <c r="T2556" s="6"/>
      <c r="W2556" s="8"/>
      <c r="AJ2556" s="1"/>
      <c r="AM2556" s="1" t="s">
        <v>4194</v>
      </c>
    </row>
    <row r="2557">
      <c r="E2557" s="1" t="s">
        <v>4759</v>
      </c>
      <c r="H2557" s="1" t="s">
        <v>4030</v>
      </c>
      <c r="S2557" s="1" t="s">
        <v>3453</v>
      </c>
      <c r="T2557" s="6"/>
      <c r="W2557" s="8"/>
      <c r="AJ2557" s="1"/>
      <c r="AM2557" s="1" t="s">
        <v>2370</v>
      </c>
    </row>
    <row r="2558">
      <c r="E2558" s="1" t="s">
        <v>1729</v>
      </c>
      <c r="H2558" s="1" t="s">
        <v>5070</v>
      </c>
      <c r="S2558" s="1" t="s">
        <v>931</v>
      </c>
      <c r="T2558" s="6"/>
      <c r="W2558" s="8"/>
      <c r="AJ2558" s="1"/>
      <c r="AM2558" s="1">
        <v>1986.0</v>
      </c>
    </row>
    <row r="2559">
      <c r="E2559" s="1" t="s">
        <v>4762</v>
      </c>
      <c r="H2559" s="1" t="s">
        <v>1510</v>
      </c>
      <c r="S2559" s="1" t="s">
        <v>3158</v>
      </c>
      <c r="T2559" s="6"/>
      <c r="W2559" s="8"/>
      <c r="AJ2559" s="1"/>
      <c r="AM2559" s="1" t="s">
        <v>5693</v>
      </c>
    </row>
    <row r="2560">
      <c r="E2560" s="1" t="s">
        <v>4766</v>
      </c>
      <c r="H2560" s="1" t="s">
        <v>4644</v>
      </c>
      <c r="S2560" s="1" t="s">
        <v>2202</v>
      </c>
      <c r="T2560" s="6"/>
      <c r="W2560" s="8"/>
      <c r="AJ2560" s="1"/>
      <c r="AM2560" s="1" t="s">
        <v>5222</v>
      </c>
    </row>
    <row r="2561">
      <c r="E2561" s="1" t="s">
        <v>5694</v>
      </c>
      <c r="H2561" s="1" t="s">
        <v>1158</v>
      </c>
      <c r="S2561" s="1" t="s">
        <v>5359</v>
      </c>
      <c r="T2561" s="6"/>
      <c r="W2561" s="8"/>
      <c r="AJ2561" s="1"/>
      <c r="AM2561" s="1" t="s">
        <v>1073</v>
      </c>
    </row>
    <row r="2562">
      <c r="E2562" s="1" t="s">
        <v>5695</v>
      </c>
      <c r="H2562" s="1" t="s">
        <v>5696</v>
      </c>
      <c r="S2562" s="1" t="s">
        <v>4416</v>
      </c>
      <c r="T2562" s="6"/>
      <c r="W2562" s="8"/>
      <c r="AJ2562" s="1"/>
      <c r="AM2562" s="1" t="s">
        <v>5226</v>
      </c>
    </row>
    <row r="2563">
      <c r="E2563" s="1" t="s">
        <v>4769</v>
      </c>
      <c r="H2563" s="1" t="s">
        <v>4034</v>
      </c>
      <c r="S2563" s="1" t="s">
        <v>5697</v>
      </c>
      <c r="T2563" s="6"/>
      <c r="W2563" s="8"/>
      <c r="AJ2563" s="1"/>
      <c r="AM2563" s="1" t="s">
        <v>1300</v>
      </c>
    </row>
    <row r="2564">
      <c r="E2564" s="1" t="s">
        <v>3004</v>
      </c>
      <c r="H2564" s="1" t="s">
        <v>4037</v>
      </c>
      <c r="S2564" s="1" t="s">
        <v>5698</v>
      </c>
      <c r="T2564" s="6"/>
      <c r="W2564" s="8"/>
      <c r="AJ2564" s="1"/>
      <c r="AM2564" s="1" t="s">
        <v>5229</v>
      </c>
    </row>
    <row r="2565">
      <c r="E2565" s="1" t="s">
        <v>1900</v>
      </c>
      <c r="H2565" s="1" t="s">
        <v>4648</v>
      </c>
      <c r="S2565" s="1" t="s">
        <v>1563</v>
      </c>
      <c r="T2565" s="6"/>
      <c r="W2565" s="8"/>
      <c r="AJ2565" s="1"/>
      <c r="AM2565" s="1" t="s">
        <v>2379</v>
      </c>
    </row>
    <row r="2566">
      <c r="E2566" s="1" t="s">
        <v>4774</v>
      </c>
      <c r="H2566" s="1" t="s">
        <v>3433</v>
      </c>
      <c r="S2566" s="1" t="s">
        <v>4141</v>
      </c>
      <c r="T2566" s="6"/>
      <c r="W2566" s="8"/>
      <c r="AJ2566" s="1"/>
      <c r="AM2566" s="1" t="s">
        <v>4199</v>
      </c>
    </row>
    <row r="2567">
      <c r="E2567" s="1" t="s">
        <v>4673</v>
      </c>
      <c r="H2567" s="1" t="s">
        <v>1711</v>
      </c>
      <c r="S2567" s="1" t="s">
        <v>5324</v>
      </c>
      <c r="T2567" s="6"/>
      <c r="W2567" s="8"/>
      <c r="AJ2567" s="1"/>
      <c r="AM2567" s="1" t="s">
        <v>4201</v>
      </c>
    </row>
    <row r="2568">
      <c r="E2568" s="1" t="s">
        <v>4781</v>
      </c>
      <c r="H2568" s="1" t="s">
        <v>5082</v>
      </c>
      <c r="S2568" s="1" t="s">
        <v>5207</v>
      </c>
      <c r="T2568" s="6"/>
      <c r="W2568" s="8"/>
      <c r="AJ2568" s="1"/>
      <c r="AM2568" s="1" t="s">
        <v>5699</v>
      </c>
    </row>
    <row r="2569">
      <c r="E2569" s="1" t="s">
        <v>4783</v>
      </c>
      <c r="H2569" s="1" t="s">
        <v>5083</v>
      </c>
      <c r="S2569" s="1" t="s">
        <v>2772</v>
      </c>
      <c r="T2569" s="6"/>
      <c r="W2569" s="8"/>
      <c r="AJ2569" s="1"/>
      <c r="AM2569" s="1" t="s">
        <v>5233</v>
      </c>
    </row>
    <row r="2570">
      <c r="E2570" s="1" t="s">
        <v>5700</v>
      </c>
      <c r="H2570" s="1" t="s">
        <v>4042</v>
      </c>
      <c r="S2570" s="1" t="s">
        <v>5701</v>
      </c>
      <c r="T2570" s="6"/>
      <c r="W2570" s="8"/>
      <c r="AJ2570" s="1"/>
      <c r="AM2570" s="1" t="s">
        <v>2381</v>
      </c>
    </row>
    <row r="2571">
      <c r="E2571" s="1" t="s">
        <v>5702</v>
      </c>
      <c r="H2571" s="1" t="s">
        <v>5198</v>
      </c>
      <c r="S2571" s="1" t="s">
        <v>5703</v>
      </c>
      <c r="T2571" s="6"/>
      <c r="W2571" s="8"/>
      <c r="AJ2571" s="1"/>
      <c r="AM2571" s="1" t="s">
        <v>1589</v>
      </c>
    </row>
    <row r="2572">
      <c r="E2572" s="1" t="s">
        <v>1932</v>
      </c>
      <c r="H2572" s="1" t="s">
        <v>4047</v>
      </c>
      <c r="S2572" s="1" t="s">
        <v>5704</v>
      </c>
      <c r="T2572" s="6"/>
      <c r="W2572" s="8"/>
      <c r="AJ2572" s="1"/>
      <c r="AM2572" s="1" t="s">
        <v>5705</v>
      </c>
    </row>
    <row r="2573">
      <c r="E2573" s="1" t="s">
        <v>4792</v>
      </c>
      <c r="H2573" s="1" t="s">
        <v>5706</v>
      </c>
      <c r="S2573" s="1" t="s">
        <v>5707</v>
      </c>
      <c r="T2573" s="6"/>
      <c r="W2573" s="8"/>
      <c r="AJ2573" s="1"/>
      <c r="AM2573" s="1" t="s">
        <v>5236</v>
      </c>
    </row>
    <row r="2574">
      <c r="E2574" s="1" t="s">
        <v>3021</v>
      </c>
      <c r="H2574" s="1" t="s">
        <v>5708</v>
      </c>
      <c r="S2574" s="1" t="s">
        <v>4094</v>
      </c>
      <c r="T2574" s="6"/>
      <c r="W2574" s="8"/>
      <c r="AJ2574" s="1"/>
      <c r="AM2574" s="1" t="s">
        <v>1173</v>
      </c>
    </row>
    <row r="2575">
      <c r="E2575" s="1" t="s">
        <v>5709</v>
      </c>
      <c r="H2575" s="1">
        <v>83.0</v>
      </c>
      <c r="S2575" s="1" t="s">
        <v>1490</v>
      </c>
      <c r="T2575" s="6"/>
      <c r="W2575" s="8"/>
      <c r="AJ2575" s="1"/>
      <c r="AM2575" s="1" t="s">
        <v>5239</v>
      </c>
    </row>
    <row r="2576">
      <c r="E2576" s="1" t="s">
        <v>4796</v>
      </c>
      <c r="H2576" s="1" t="s">
        <v>1163</v>
      </c>
      <c r="S2576" s="1" t="s">
        <v>4726</v>
      </c>
      <c r="T2576" s="6"/>
      <c r="W2576" s="8"/>
      <c r="AJ2576" s="1"/>
      <c r="AM2576" s="1" t="s">
        <v>2387</v>
      </c>
    </row>
    <row r="2577">
      <c r="E2577" s="1" t="s">
        <v>4799</v>
      </c>
      <c r="H2577" s="1" t="s">
        <v>5089</v>
      </c>
      <c r="S2577" s="1" t="s">
        <v>637</v>
      </c>
      <c r="T2577" s="6"/>
      <c r="W2577" s="8"/>
      <c r="AJ2577" s="1"/>
      <c r="AM2577" s="1" t="s">
        <v>3572</v>
      </c>
    </row>
    <row r="2578">
      <c r="E2578" s="1" t="s">
        <v>5710</v>
      </c>
      <c r="H2578" s="1" t="s">
        <v>3437</v>
      </c>
      <c r="S2578" s="1" t="s">
        <v>5711</v>
      </c>
      <c r="T2578" s="6"/>
      <c r="W2578" s="8"/>
      <c r="AJ2578" s="1"/>
      <c r="AM2578" s="1" t="s">
        <v>4204</v>
      </c>
    </row>
    <row r="2579">
      <c r="E2579" s="1" t="s">
        <v>3681</v>
      </c>
      <c r="H2579" s="1" t="s">
        <v>78</v>
      </c>
      <c r="S2579" s="1" t="s">
        <v>3781</v>
      </c>
      <c r="T2579" s="6"/>
      <c r="W2579" s="8"/>
      <c r="AJ2579" s="1"/>
      <c r="AM2579" s="1" t="s">
        <v>2390</v>
      </c>
    </row>
    <row r="2580">
      <c r="E2580" s="1" t="s">
        <v>4805</v>
      </c>
      <c r="H2580" s="1" t="s">
        <v>5712</v>
      </c>
      <c r="S2580" s="1" t="s">
        <v>5713</v>
      </c>
      <c r="T2580" s="6"/>
      <c r="W2580" s="8"/>
      <c r="AJ2580" s="1"/>
      <c r="AM2580" s="1" t="s">
        <v>5714</v>
      </c>
    </row>
    <row r="2581">
      <c r="E2581" s="1" t="s">
        <v>5715</v>
      </c>
      <c r="H2581" s="1" t="s">
        <v>2232</v>
      </c>
      <c r="S2581" s="1" t="s">
        <v>5341</v>
      </c>
      <c r="T2581" s="6"/>
      <c r="W2581" s="8"/>
      <c r="AJ2581" s="1"/>
      <c r="AM2581" s="1" t="s">
        <v>4523</v>
      </c>
    </row>
    <row r="2582">
      <c r="E2582" s="1" t="s">
        <v>3028</v>
      </c>
      <c r="H2582" s="1" t="s">
        <v>5716</v>
      </c>
      <c r="S2582" s="1" t="s">
        <v>3907</v>
      </c>
      <c r="T2582" s="6"/>
      <c r="W2582" s="8"/>
      <c r="AJ2582" s="1"/>
      <c r="AM2582" s="1" t="s">
        <v>3577</v>
      </c>
    </row>
    <row r="2583">
      <c r="E2583" s="1" t="s">
        <v>5717</v>
      </c>
      <c r="H2583" s="1" t="s">
        <v>97</v>
      </c>
      <c r="S2583" s="1" t="s">
        <v>40</v>
      </c>
      <c r="T2583" s="6"/>
      <c r="W2583" s="8"/>
      <c r="AJ2583" s="1"/>
      <c r="AM2583" s="1" t="s">
        <v>4208</v>
      </c>
    </row>
    <row r="2584">
      <c r="E2584" s="1" t="s">
        <v>4809</v>
      </c>
      <c r="H2584" s="1" t="s">
        <v>3443</v>
      </c>
      <c r="S2584" s="1" t="s">
        <v>5242</v>
      </c>
      <c r="T2584" s="6"/>
      <c r="W2584" s="8"/>
      <c r="AJ2584" s="1"/>
      <c r="AM2584" s="1" t="s">
        <v>1593</v>
      </c>
    </row>
    <row r="2585">
      <c r="E2585" s="1" t="s">
        <v>5718</v>
      </c>
      <c r="H2585" s="1" t="s">
        <v>1656</v>
      </c>
      <c r="S2585" s="1" t="s">
        <v>5719</v>
      </c>
      <c r="T2585" s="6"/>
      <c r="W2585" s="8"/>
      <c r="AJ2585" s="1"/>
      <c r="AM2585" s="1" t="s">
        <v>5246</v>
      </c>
    </row>
    <row r="2586">
      <c r="E2586" s="1" t="s">
        <v>1858</v>
      </c>
      <c r="H2586" s="1" t="s">
        <v>5557</v>
      </c>
      <c r="S2586" s="1" t="s">
        <v>3670</v>
      </c>
      <c r="T2586" s="6"/>
      <c r="W2586" s="8"/>
      <c r="AJ2586" s="1"/>
      <c r="AM2586" s="1" t="s">
        <v>5720</v>
      </c>
    </row>
    <row r="2587">
      <c r="E2587" s="1" t="s">
        <v>4811</v>
      </c>
      <c r="H2587" s="1" t="s">
        <v>5097</v>
      </c>
      <c r="S2587" s="1" t="s">
        <v>5721</v>
      </c>
      <c r="T2587" s="6"/>
      <c r="W2587" s="8"/>
      <c r="AJ2587" s="1"/>
      <c r="AM2587" s="1" t="s">
        <v>5722</v>
      </c>
    </row>
    <row r="2588">
      <c r="E2588" s="1" t="s">
        <v>5723</v>
      </c>
      <c r="H2588" s="1" t="s">
        <v>4984</v>
      </c>
      <c r="S2588" s="1" t="s">
        <v>5724</v>
      </c>
      <c r="T2588" s="6"/>
      <c r="W2588" s="8"/>
      <c r="AJ2588" s="1"/>
      <c r="AM2588" s="1" t="s">
        <v>2394</v>
      </c>
    </row>
    <row r="2589">
      <c r="E2589" s="1" t="s">
        <v>5201</v>
      </c>
      <c r="H2589" s="1" t="s">
        <v>2481</v>
      </c>
      <c r="S2589" s="1" t="s">
        <v>1454</v>
      </c>
      <c r="T2589" s="6"/>
      <c r="W2589" s="8"/>
      <c r="AJ2589" s="1"/>
      <c r="AM2589" s="1" t="s">
        <v>1834</v>
      </c>
    </row>
    <row r="2590">
      <c r="E2590" s="1" t="s">
        <v>5725</v>
      </c>
      <c r="H2590" s="1" t="s">
        <v>5726</v>
      </c>
      <c r="S2590" s="1" t="s">
        <v>3966</v>
      </c>
      <c r="T2590" s="6"/>
      <c r="W2590" s="8"/>
      <c r="AJ2590" s="1"/>
      <c r="AM2590" s="1" t="s">
        <v>2397</v>
      </c>
    </row>
    <row r="2591">
      <c r="E2591" s="1" t="s">
        <v>4195</v>
      </c>
      <c r="H2591" s="1" t="s">
        <v>3450</v>
      </c>
      <c r="S2591" s="1" t="s">
        <v>951</v>
      </c>
      <c r="T2591" s="6"/>
      <c r="W2591" s="8"/>
      <c r="AJ2591" s="1"/>
      <c r="AM2591" s="1" t="s">
        <v>4215</v>
      </c>
    </row>
    <row r="2592">
      <c r="E2592" s="1" t="s">
        <v>3036</v>
      </c>
      <c r="H2592" s="1" t="s">
        <v>5100</v>
      </c>
      <c r="S2592" s="1" t="s">
        <v>2177</v>
      </c>
      <c r="T2592" s="6"/>
      <c r="W2592" s="8"/>
      <c r="AJ2592" s="1"/>
      <c r="AM2592" s="1" t="s">
        <v>5251</v>
      </c>
    </row>
    <row r="2593">
      <c r="E2593" s="1" t="s">
        <v>3038</v>
      </c>
      <c r="H2593" s="1" t="s">
        <v>2873</v>
      </c>
      <c r="S2593" s="1" t="s">
        <v>1996</v>
      </c>
      <c r="T2593" s="6"/>
      <c r="W2593" s="8"/>
      <c r="AJ2593" s="1"/>
      <c r="AM2593" s="1" t="s">
        <v>969</v>
      </c>
    </row>
    <row r="2594">
      <c r="E2594" s="1" t="s">
        <v>5727</v>
      </c>
      <c r="H2594" s="1" t="s">
        <v>5101</v>
      </c>
      <c r="S2594" s="1" t="s">
        <v>5728</v>
      </c>
      <c r="T2594" s="6"/>
      <c r="W2594" s="8"/>
      <c r="AJ2594" s="1"/>
      <c r="AM2594" s="1" t="s">
        <v>3585</v>
      </c>
    </row>
    <row r="2595">
      <c r="E2595" s="1" t="s">
        <v>4817</v>
      </c>
      <c r="H2595" s="1" t="s">
        <v>3452</v>
      </c>
      <c r="S2595" s="1" t="s">
        <v>1873</v>
      </c>
      <c r="T2595" s="6"/>
      <c r="W2595" s="8"/>
      <c r="AJ2595" s="1"/>
      <c r="AM2595" s="1" t="s">
        <v>1315</v>
      </c>
    </row>
    <row r="2596">
      <c r="E2596" s="1" t="s">
        <v>5729</v>
      </c>
      <c r="H2596" s="1" t="s">
        <v>3668</v>
      </c>
      <c r="S2596" s="1" t="s">
        <v>2200</v>
      </c>
      <c r="T2596" s="6"/>
      <c r="W2596" s="8"/>
      <c r="AJ2596" s="1"/>
      <c r="AM2596" s="1" t="s">
        <v>607</v>
      </c>
    </row>
    <row r="2597">
      <c r="E2597" s="1" t="s">
        <v>4822</v>
      </c>
      <c r="H2597" s="1" t="s">
        <v>2235</v>
      </c>
      <c r="S2597" s="1" t="s">
        <v>3143</v>
      </c>
      <c r="T2597" s="6"/>
      <c r="W2597" s="8"/>
      <c r="AJ2597" s="1"/>
      <c r="AM2597" s="1" t="s">
        <v>3589</v>
      </c>
    </row>
    <row r="2598">
      <c r="E2598" s="1" t="s">
        <v>1667</v>
      </c>
      <c r="H2598" s="1" t="s">
        <v>5103</v>
      </c>
      <c r="S2598" s="1" t="s">
        <v>2040</v>
      </c>
      <c r="T2598" s="6"/>
      <c r="W2598" s="8"/>
      <c r="AJ2598" s="1"/>
      <c r="AM2598" s="1" t="s">
        <v>1326</v>
      </c>
    </row>
    <row r="2599">
      <c r="E2599" s="1" t="s">
        <v>3042</v>
      </c>
      <c r="H2599" s="1" t="s">
        <v>1516</v>
      </c>
      <c r="S2599" s="1" t="s">
        <v>5730</v>
      </c>
      <c r="T2599" s="6"/>
      <c r="W2599" s="8"/>
      <c r="AJ2599" s="1"/>
      <c r="AM2599" s="1" t="s">
        <v>2410</v>
      </c>
    </row>
    <row r="2600">
      <c r="E2600" s="1" t="s">
        <v>4826</v>
      </c>
      <c r="H2600" s="1" t="s">
        <v>4061</v>
      </c>
      <c r="S2600" s="1" t="s">
        <v>5731</v>
      </c>
      <c r="T2600" s="6"/>
      <c r="W2600" s="8"/>
      <c r="AJ2600" s="1"/>
      <c r="AM2600" s="1" t="s">
        <v>5732</v>
      </c>
    </row>
    <row r="2601">
      <c r="E2601" s="1" t="s">
        <v>1670</v>
      </c>
      <c r="H2601" s="1" t="s">
        <v>5107</v>
      </c>
      <c r="S2601" s="1" t="s">
        <v>4564</v>
      </c>
      <c r="T2601" s="6"/>
      <c r="W2601" s="8"/>
      <c r="AJ2601" s="1"/>
      <c r="AM2601" s="1" t="s">
        <v>3591</v>
      </c>
    </row>
    <row r="2602">
      <c r="E2602" s="1" t="s">
        <v>3909</v>
      </c>
      <c r="H2602" s="1" t="s">
        <v>4065</v>
      </c>
      <c r="S2602" s="1" t="s">
        <v>3831</v>
      </c>
      <c r="T2602" s="6"/>
      <c r="W2602" s="8"/>
      <c r="AJ2602" s="1"/>
      <c r="AM2602" s="1" t="s">
        <v>4467</v>
      </c>
    </row>
    <row r="2603">
      <c r="E2603" s="1" t="s">
        <v>3044</v>
      </c>
      <c r="H2603" s="1" t="s">
        <v>2245</v>
      </c>
      <c r="S2603" s="1" t="s">
        <v>5733</v>
      </c>
      <c r="T2603" s="6"/>
      <c r="W2603" s="8"/>
      <c r="AJ2603" s="1"/>
      <c r="AM2603" s="1" t="s">
        <v>5258</v>
      </c>
    </row>
    <row r="2604">
      <c r="E2604" s="1" t="s">
        <v>1673</v>
      </c>
      <c r="H2604" s="1" t="s">
        <v>5110</v>
      </c>
      <c r="S2604" s="1" t="s">
        <v>5714</v>
      </c>
      <c r="T2604" s="6"/>
      <c r="W2604" s="8"/>
      <c r="AJ2604" s="1"/>
      <c r="AM2604" s="1" t="s">
        <v>4220</v>
      </c>
    </row>
    <row r="2605">
      <c r="E2605" s="1" t="s">
        <v>3046</v>
      </c>
      <c r="H2605" s="1" t="s">
        <v>5111</v>
      </c>
      <c r="S2605" s="1" t="s">
        <v>5734</v>
      </c>
      <c r="T2605" s="6"/>
      <c r="W2605" s="8"/>
      <c r="AJ2605" s="1"/>
      <c r="AM2605" s="1" t="s">
        <v>2413</v>
      </c>
    </row>
    <row r="2606">
      <c r="E2606" s="1" t="s">
        <v>4831</v>
      </c>
      <c r="H2606" s="1" t="s">
        <v>4074</v>
      </c>
      <c r="S2606" s="1" t="s">
        <v>432</v>
      </c>
      <c r="T2606" s="6"/>
      <c r="W2606" s="8"/>
      <c r="AJ2606" s="1"/>
      <c r="AM2606" s="1" t="s">
        <v>2416</v>
      </c>
    </row>
    <row r="2607">
      <c r="E2607" s="1" t="s">
        <v>4832</v>
      </c>
      <c r="H2607" s="1" t="s">
        <v>4071</v>
      </c>
      <c r="S2607" s="1" t="s">
        <v>2130</v>
      </c>
      <c r="T2607" s="6"/>
      <c r="W2607" s="8"/>
      <c r="AJ2607" s="1"/>
      <c r="AM2607" s="1" t="s">
        <v>2420</v>
      </c>
    </row>
    <row r="2608">
      <c r="E2608" s="1" t="s">
        <v>5735</v>
      </c>
      <c r="H2608" s="1" t="s">
        <v>2248</v>
      </c>
      <c r="S2608" s="1" t="s">
        <v>5736</v>
      </c>
      <c r="T2608" s="6"/>
      <c r="W2608" s="8"/>
      <c r="AJ2608" s="1"/>
      <c r="AM2608" s="1" t="s">
        <v>2422</v>
      </c>
    </row>
    <row r="2609">
      <c r="E2609" s="1" t="s">
        <v>1778</v>
      </c>
      <c r="H2609" s="1" t="s">
        <v>4072</v>
      </c>
      <c r="S2609" s="1" t="s">
        <v>5737</v>
      </c>
      <c r="T2609" s="6"/>
      <c r="W2609" s="8"/>
      <c r="AJ2609" s="1"/>
      <c r="AM2609" s="1" t="s">
        <v>4229</v>
      </c>
    </row>
    <row r="2610">
      <c r="E2610" s="1" t="s">
        <v>5738</v>
      </c>
      <c r="H2610" s="1" t="s">
        <v>176</v>
      </c>
      <c r="S2610" s="1" t="s">
        <v>4215</v>
      </c>
      <c r="T2610" s="6"/>
      <c r="W2610" s="8"/>
      <c r="AJ2610" s="1"/>
      <c r="AM2610" s="1" t="s">
        <v>4234</v>
      </c>
    </row>
    <row r="2611">
      <c r="E2611" s="1" t="s">
        <v>4837</v>
      </c>
      <c r="H2611" s="1" t="s">
        <v>2256</v>
      </c>
      <c r="S2611" s="1" t="s">
        <v>4287</v>
      </c>
      <c r="T2611" s="6"/>
      <c r="W2611" s="8"/>
      <c r="AJ2611" s="1"/>
      <c r="AM2611" s="1" t="s">
        <v>5739</v>
      </c>
    </row>
    <row r="2612">
      <c r="E2612" s="1" t="s">
        <v>3051</v>
      </c>
      <c r="H2612" s="1" t="s">
        <v>1176</v>
      </c>
      <c r="S2612" s="1" t="s">
        <v>5466</v>
      </c>
      <c r="T2612" s="6"/>
      <c r="W2612" s="8"/>
      <c r="AJ2612" s="1"/>
      <c r="AM2612" s="1" t="s">
        <v>4235</v>
      </c>
    </row>
    <row r="2613">
      <c r="E2613" s="1" t="s">
        <v>1800</v>
      </c>
      <c r="H2613" s="1" t="s">
        <v>4344</v>
      </c>
      <c r="S2613" s="1" t="s">
        <v>2186</v>
      </c>
      <c r="T2613" s="6"/>
      <c r="W2613" s="8"/>
      <c r="AJ2613" s="1"/>
      <c r="AM2613" s="1" t="s">
        <v>1332</v>
      </c>
    </row>
    <row r="2614">
      <c r="E2614" s="1" t="s">
        <v>5740</v>
      </c>
      <c r="H2614" s="1" t="s">
        <v>3467</v>
      </c>
      <c r="S2614" s="1" t="s">
        <v>4313</v>
      </c>
      <c r="T2614" s="6"/>
      <c r="W2614" s="8"/>
      <c r="AJ2614" s="1"/>
      <c r="AM2614" s="1" t="s">
        <v>3598</v>
      </c>
    </row>
    <row r="2615">
      <c r="E2615" s="1" t="s">
        <v>1805</v>
      </c>
      <c r="H2615" s="1" t="s">
        <v>4082</v>
      </c>
      <c r="S2615" s="1" t="s">
        <v>3716</v>
      </c>
      <c r="T2615" s="6"/>
      <c r="W2615" s="8"/>
      <c r="AJ2615" s="1"/>
      <c r="AM2615" s="1" t="s">
        <v>5264</v>
      </c>
    </row>
    <row r="2616">
      <c r="E2616" s="1" t="s">
        <v>4839</v>
      </c>
      <c r="H2616" s="1" t="s">
        <v>3471</v>
      </c>
      <c r="S2616" s="1" t="s">
        <v>468</v>
      </c>
      <c r="T2616" s="6"/>
      <c r="W2616" s="8"/>
      <c r="AJ2616" s="1"/>
      <c r="AM2616" s="1" t="s">
        <v>2428</v>
      </c>
    </row>
    <row r="2617">
      <c r="E2617" s="1" t="s">
        <v>3056</v>
      </c>
      <c r="H2617" s="1" t="s">
        <v>390</v>
      </c>
      <c r="S2617" s="1" t="s">
        <v>937</v>
      </c>
      <c r="T2617" s="6"/>
      <c r="W2617" s="8"/>
      <c r="AJ2617" s="1"/>
      <c r="AM2617" s="1" t="s">
        <v>362</v>
      </c>
    </row>
    <row r="2618">
      <c r="E2618" s="1" t="s">
        <v>5741</v>
      </c>
      <c r="H2618" s="1" t="s">
        <v>3478</v>
      </c>
      <c r="S2618" s="1" t="s">
        <v>5149</v>
      </c>
      <c r="T2618" s="6"/>
      <c r="W2618" s="8"/>
      <c r="AJ2618" s="1"/>
      <c r="AM2618" s="1" t="s">
        <v>5742</v>
      </c>
    </row>
    <row r="2619">
      <c r="E2619" s="1" t="s">
        <v>1878</v>
      </c>
      <c r="H2619" s="1" t="s">
        <v>5119</v>
      </c>
      <c r="S2619" s="1" t="s">
        <v>5743</v>
      </c>
      <c r="T2619" s="6"/>
      <c r="W2619" s="8"/>
      <c r="AJ2619" s="1"/>
      <c r="AM2619" s="1" t="s">
        <v>4439</v>
      </c>
    </row>
    <row r="2620">
      <c r="E2620" s="1" t="s">
        <v>1869</v>
      </c>
      <c r="H2620" s="1" t="s">
        <v>5121</v>
      </c>
      <c r="S2620" s="1" t="s">
        <v>3832</v>
      </c>
      <c r="T2620" s="6"/>
      <c r="W2620" s="8"/>
      <c r="AJ2620" s="1"/>
      <c r="AM2620" s="1" t="s">
        <v>4241</v>
      </c>
    </row>
    <row r="2621">
      <c r="E2621" s="1" t="s">
        <v>5744</v>
      </c>
      <c r="H2621" s="1" t="s">
        <v>4087</v>
      </c>
      <c r="S2621" s="1" t="s">
        <v>1663</v>
      </c>
      <c r="T2621" s="6"/>
      <c r="W2621" s="8"/>
      <c r="AJ2621" s="1"/>
      <c r="AM2621" s="1" t="s">
        <v>4266</v>
      </c>
    </row>
    <row r="2622">
      <c r="E2622" s="1" t="s">
        <v>5745</v>
      </c>
      <c r="H2622" s="1" t="s">
        <v>5123</v>
      </c>
      <c r="S2622" s="1" t="s">
        <v>5746</v>
      </c>
      <c r="T2622" s="6"/>
      <c r="W2622" s="8"/>
      <c r="AJ2622" s="1"/>
      <c r="AM2622" s="1" t="s">
        <v>4244</v>
      </c>
    </row>
    <row r="2623">
      <c r="E2623" s="1" t="s">
        <v>5747</v>
      </c>
      <c r="H2623" s="1" t="s">
        <v>1191</v>
      </c>
      <c r="S2623" s="1" t="s">
        <v>3527</v>
      </c>
      <c r="T2623" s="6"/>
      <c r="W2623" s="8"/>
      <c r="AJ2623" s="1"/>
      <c r="AM2623" s="1" t="s">
        <v>4246</v>
      </c>
    </row>
    <row r="2624">
      <c r="E2624" s="1" t="s">
        <v>4849</v>
      </c>
      <c r="H2624" s="1" t="s">
        <v>4092</v>
      </c>
      <c r="S2624" s="1" t="s">
        <v>4506</v>
      </c>
      <c r="T2624" s="6"/>
      <c r="W2624" s="8"/>
      <c r="AJ2624" s="1"/>
      <c r="AM2624" s="1" t="s">
        <v>4250</v>
      </c>
    </row>
    <row r="2625">
      <c r="E2625" s="1" t="s">
        <v>4850</v>
      </c>
      <c r="H2625" s="1" t="s">
        <v>1523</v>
      </c>
      <c r="S2625" s="1">
        <v>1999.0</v>
      </c>
      <c r="T2625" s="6"/>
      <c r="W2625" s="8"/>
      <c r="AJ2625" s="1"/>
      <c r="AM2625" s="1" t="s">
        <v>3601</v>
      </c>
    </row>
    <row r="2626">
      <c r="E2626" s="1" t="s">
        <v>4851</v>
      </c>
      <c r="H2626" s="1" t="s">
        <v>3921</v>
      </c>
      <c r="S2626" s="1" t="s">
        <v>3259</v>
      </c>
      <c r="T2626" s="6"/>
      <c r="W2626" s="8"/>
      <c r="AJ2626" s="1"/>
      <c r="AM2626" s="1" t="s">
        <v>1339</v>
      </c>
    </row>
    <row r="2627">
      <c r="E2627" s="1" t="s">
        <v>4853</v>
      </c>
      <c r="H2627" s="1" t="s">
        <v>4100</v>
      </c>
      <c r="S2627" s="1" t="s">
        <v>3752</v>
      </c>
      <c r="T2627" s="6"/>
      <c r="W2627" s="8"/>
      <c r="AJ2627" s="1"/>
      <c r="AM2627" s="1" t="s">
        <v>1344</v>
      </c>
    </row>
    <row r="2628">
      <c r="E2628" s="1" t="s">
        <v>4855</v>
      </c>
      <c r="H2628" s="1" t="s">
        <v>5128</v>
      </c>
      <c r="S2628" s="1" t="s">
        <v>3052</v>
      </c>
      <c r="T2628" s="6"/>
      <c r="W2628" s="8"/>
      <c r="AJ2628" s="1"/>
      <c r="AM2628" s="1" t="s">
        <v>1269</v>
      </c>
    </row>
    <row r="2629">
      <c r="E2629" s="1">
        <v>1975.0</v>
      </c>
      <c r="H2629" s="1" t="s">
        <v>4101</v>
      </c>
      <c r="S2629" s="1" t="s">
        <v>5748</v>
      </c>
      <c r="T2629" s="6"/>
      <c r="W2629" s="8"/>
      <c r="AJ2629" s="1"/>
      <c r="AM2629" s="1" t="s">
        <v>5749</v>
      </c>
    </row>
    <row r="2630">
      <c r="E2630" s="1" t="s">
        <v>5750</v>
      </c>
      <c r="H2630" s="1" t="s">
        <v>5751</v>
      </c>
      <c r="S2630" s="1" t="s">
        <v>1733</v>
      </c>
      <c r="T2630" s="6"/>
      <c r="W2630" s="8"/>
      <c r="AJ2630" s="1"/>
      <c r="AM2630" s="1" t="s">
        <v>4254</v>
      </c>
    </row>
    <row r="2631">
      <c r="E2631" s="1" t="s">
        <v>5752</v>
      </c>
      <c r="H2631" s="1" t="s">
        <v>1194</v>
      </c>
      <c r="S2631" s="1" t="s">
        <v>5753</v>
      </c>
      <c r="T2631" s="6"/>
      <c r="W2631" s="8"/>
      <c r="AJ2631" s="1"/>
      <c r="AM2631" s="1" t="s">
        <v>3992</v>
      </c>
    </row>
    <row r="2632">
      <c r="E2632" s="1" t="s">
        <v>5754</v>
      </c>
      <c r="H2632" s="1" t="s">
        <v>2270</v>
      </c>
      <c r="S2632" s="1" t="s">
        <v>5755</v>
      </c>
      <c r="T2632" s="6"/>
      <c r="W2632" s="8"/>
      <c r="AJ2632" s="1"/>
      <c r="AM2632" s="1" t="s">
        <v>1187</v>
      </c>
    </row>
    <row r="2633">
      <c r="E2633" s="1" t="s">
        <v>3836</v>
      </c>
      <c r="H2633" s="1" t="s">
        <v>3659</v>
      </c>
      <c r="S2633" s="1" t="s">
        <v>3622</v>
      </c>
      <c r="T2633" s="6"/>
      <c r="W2633" s="8"/>
      <c r="AJ2633" s="1"/>
      <c r="AM2633" s="1" t="s">
        <v>5275</v>
      </c>
    </row>
    <row r="2634">
      <c r="E2634" s="1" t="s">
        <v>4863</v>
      </c>
      <c r="H2634" s="1" t="s">
        <v>4104</v>
      </c>
      <c r="S2634" s="1" t="s">
        <v>5756</v>
      </c>
      <c r="T2634" s="6"/>
      <c r="W2634" s="8"/>
      <c r="AJ2634" s="1"/>
      <c r="AM2634" s="1" t="s">
        <v>1351</v>
      </c>
    </row>
    <row r="2635">
      <c r="E2635" s="1" t="s">
        <v>3077</v>
      </c>
      <c r="H2635" s="1" t="s">
        <v>5134</v>
      </c>
      <c r="S2635" s="1" t="s">
        <v>5757</v>
      </c>
      <c r="T2635" s="6"/>
      <c r="W2635" s="8"/>
      <c r="AJ2635" s="1"/>
      <c r="AM2635" s="1" t="s">
        <v>5346</v>
      </c>
    </row>
    <row r="2636">
      <c r="E2636" s="1" t="s">
        <v>4865</v>
      </c>
      <c r="H2636" s="1" t="s">
        <v>2275</v>
      </c>
      <c r="S2636" s="1" t="s">
        <v>4087</v>
      </c>
      <c r="T2636" s="6"/>
      <c r="W2636" s="8"/>
      <c r="AJ2636" s="1"/>
      <c r="AM2636" s="1" t="s">
        <v>1354</v>
      </c>
    </row>
    <row r="2637">
      <c r="E2637" s="1" t="s">
        <v>4866</v>
      </c>
      <c r="H2637" s="1" t="s">
        <v>4107</v>
      </c>
      <c r="S2637" s="1" t="s">
        <v>5758</v>
      </c>
      <c r="T2637" s="6"/>
      <c r="W2637" s="8"/>
      <c r="AJ2637" s="1"/>
      <c r="AM2637" s="1" t="s">
        <v>2439</v>
      </c>
    </row>
    <row r="2638">
      <c r="E2638" s="1" t="s">
        <v>4868</v>
      </c>
      <c r="H2638" s="1" t="s">
        <v>409</v>
      </c>
      <c r="S2638" s="1" t="s">
        <v>3533</v>
      </c>
      <c r="T2638" s="6"/>
      <c r="W2638" s="8"/>
      <c r="AJ2638" s="1"/>
      <c r="AM2638" s="1" t="s">
        <v>4257</v>
      </c>
    </row>
    <row r="2639">
      <c r="E2639" s="1" t="s">
        <v>4870</v>
      </c>
      <c r="H2639" s="1" t="s">
        <v>2280</v>
      </c>
      <c r="S2639" s="1" t="s">
        <v>4048</v>
      </c>
      <c r="T2639" s="6"/>
      <c r="W2639" s="8"/>
      <c r="AJ2639" s="1"/>
      <c r="AM2639" s="1" t="s">
        <v>4258</v>
      </c>
    </row>
    <row r="2640">
      <c r="E2640" s="1" t="s">
        <v>3083</v>
      </c>
      <c r="H2640" s="1" t="s">
        <v>4110</v>
      </c>
      <c r="S2640" s="1" t="s">
        <v>5077</v>
      </c>
      <c r="T2640" s="6"/>
      <c r="W2640" s="8"/>
      <c r="AJ2640" s="1"/>
      <c r="AM2640" s="1" t="s">
        <v>1358</v>
      </c>
    </row>
    <row r="2641">
      <c r="E2641" s="1" t="s">
        <v>3086</v>
      </c>
      <c r="H2641" s="1" t="s">
        <v>5141</v>
      </c>
      <c r="S2641" s="1" t="s">
        <v>5759</v>
      </c>
      <c r="T2641" s="6"/>
      <c r="W2641" s="8"/>
      <c r="AJ2641" s="1"/>
      <c r="AM2641" s="1" t="s">
        <v>2445</v>
      </c>
    </row>
    <row r="2642">
      <c r="E2642" s="1" t="s">
        <v>5760</v>
      </c>
      <c r="H2642" s="1">
        <v>13.0</v>
      </c>
      <c r="S2642" s="1" t="s">
        <v>5761</v>
      </c>
      <c r="T2642" s="6"/>
      <c r="W2642" s="8"/>
      <c r="AJ2642" s="1"/>
      <c r="AM2642" s="1" t="s">
        <v>2448</v>
      </c>
    </row>
    <row r="2643">
      <c r="E2643" s="1" t="s">
        <v>5762</v>
      </c>
      <c r="H2643" s="1" t="s">
        <v>3494</v>
      </c>
      <c r="S2643" s="1" t="s">
        <v>5039</v>
      </c>
      <c r="T2643" s="6"/>
      <c r="W2643" s="8"/>
      <c r="AJ2643" s="1"/>
      <c r="AM2643" s="1" t="s">
        <v>1624</v>
      </c>
    </row>
    <row r="2644">
      <c r="E2644" s="1" t="s">
        <v>3089</v>
      </c>
      <c r="H2644" s="1" t="s">
        <v>4111</v>
      </c>
      <c r="S2644" s="1" t="s">
        <v>1486</v>
      </c>
      <c r="T2644" s="6"/>
      <c r="W2644" s="8"/>
      <c r="AJ2644" s="1"/>
      <c r="AM2644" s="1" t="s">
        <v>4263</v>
      </c>
    </row>
    <row r="2645">
      <c r="E2645" s="1" t="s">
        <v>5763</v>
      </c>
      <c r="H2645" s="1" t="s">
        <v>3468</v>
      </c>
      <c r="S2645" s="1" t="s">
        <v>3928</v>
      </c>
      <c r="T2645" s="6"/>
      <c r="W2645" s="8"/>
      <c r="AJ2645" s="1"/>
      <c r="AM2645" s="1" t="s">
        <v>4265</v>
      </c>
    </row>
    <row r="2646">
      <c r="E2646" s="1" t="s">
        <v>3934</v>
      </c>
      <c r="H2646" s="1" t="s">
        <v>5764</v>
      </c>
      <c r="S2646" s="1" t="s">
        <v>5765</v>
      </c>
      <c r="T2646" s="6"/>
      <c r="W2646" s="8"/>
      <c r="AJ2646" s="1"/>
      <c r="AM2646" s="1" t="s">
        <v>5766</v>
      </c>
    </row>
    <row r="2647">
      <c r="E2647" s="1" t="s">
        <v>1678</v>
      </c>
      <c r="H2647" s="1" t="s">
        <v>2284</v>
      </c>
      <c r="S2647" s="1" t="s">
        <v>5767</v>
      </c>
      <c r="T2647" s="6"/>
      <c r="W2647" s="8"/>
      <c r="AJ2647" s="1"/>
      <c r="AM2647" s="1">
        <v>1938.0</v>
      </c>
    </row>
    <row r="2648">
      <c r="E2648" s="1" t="s">
        <v>4790</v>
      </c>
      <c r="H2648" s="1" t="s">
        <v>1952</v>
      </c>
      <c r="S2648" s="1" t="s">
        <v>2012</v>
      </c>
      <c r="T2648" s="6"/>
      <c r="W2648" s="8"/>
      <c r="AJ2648" s="1"/>
      <c r="AM2648" s="1" t="s">
        <v>135</v>
      </c>
    </row>
    <row r="2649">
      <c r="E2649" s="1" t="s">
        <v>1685</v>
      </c>
      <c r="H2649" s="1" t="s">
        <v>5144</v>
      </c>
      <c r="S2649" s="1" t="s">
        <v>4628</v>
      </c>
      <c r="T2649" s="6"/>
      <c r="W2649" s="8"/>
      <c r="AJ2649" s="1"/>
      <c r="AM2649" s="1" t="s">
        <v>2455</v>
      </c>
    </row>
    <row r="2650">
      <c r="E2650" s="1" t="s">
        <v>3096</v>
      </c>
      <c r="H2650" s="1" t="s">
        <v>4115</v>
      </c>
      <c r="S2650" s="1" t="s">
        <v>5768</v>
      </c>
      <c r="T2650" s="6"/>
      <c r="W2650" s="8"/>
      <c r="AJ2650" s="1"/>
      <c r="AM2650" s="1" t="s">
        <v>2459</v>
      </c>
    </row>
    <row r="2651">
      <c r="E2651" s="1" t="s">
        <v>3099</v>
      </c>
      <c r="H2651" s="1" t="s">
        <v>1530</v>
      </c>
      <c r="S2651" s="1" t="s">
        <v>2587</v>
      </c>
      <c r="T2651" s="6"/>
      <c r="W2651" s="8"/>
      <c r="AJ2651" s="1"/>
      <c r="AM2651" s="1" t="s">
        <v>5286</v>
      </c>
    </row>
    <row r="2652">
      <c r="E2652" s="1" t="s">
        <v>1723</v>
      </c>
      <c r="H2652" s="1" t="s">
        <v>3503</v>
      </c>
      <c r="S2652" s="1" t="s">
        <v>1992</v>
      </c>
      <c r="T2652" s="6"/>
      <c r="W2652" s="8"/>
      <c r="AJ2652" s="1"/>
      <c r="AM2652" s="1" t="s">
        <v>5769</v>
      </c>
    </row>
    <row r="2653">
      <c r="E2653" s="1" t="s">
        <v>1747</v>
      </c>
      <c r="H2653" s="1" t="s">
        <v>2301</v>
      </c>
      <c r="S2653" s="1" t="s">
        <v>2342</v>
      </c>
      <c r="T2653" s="6"/>
      <c r="W2653" s="8"/>
      <c r="AJ2653" s="1"/>
      <c r="AM2653" s="1" t="s">
        <v>529</v>
      </c>
    </row>
    <row r="2654">
      <c r="E2654" s="1" t="s">
        <v>4887</v>
      </c>
      <c r="H2654" s="1" t="s">
        <v>4123</v>
      </c>
      <c r="S2654" s="1" t="s">
        <v>736</v>
      </c>
      <c r="T2654" s="6"/>
      <c r="W2654" s="8"/>
      <c r="AJ2654" s="1"/>
      <c r="AM2654" s="1" t="s">
        <v>2462</v>
      </c>
    </row>
    <row r="2655">
      <c r="E2655" s="1" t="s">
        <v>5770</v>
      </c>
      <c r="H2655" s="1" t="s">
        <v>4383</v>
      </c>
      <c r="S2655" s="1" t="s">
        <v>5771</v>
      </c>
      <c r="T2655" s="6"/>
      <c r="W2655" s="8"/>
      <c r="AJ2655" s="1"/>
      <c r="AM2655" s="1" t="s">
        <v>5290</v>
      </c>
    </row>
    <row r="2656">
      <c r="E2656" s="1" t="s">
        <v>3103</v>
      </c>
      <c r="H2656" s="1" t="s">
        <v>3506</v>
      </c>
      <c r="S2656" s="1" t="s">
        <v>5772</v>
      </c>
      <c r="T2656" s="6"/>
      <c r="W2656" s="8"/>
      <c r="AJ2656" s="1"/>
      <c r="AM2656" s="1" t="s">
        <v>2466</v>
      </c>
    </row>
    <row r="2657">
      <c r="E2657" s="1" t="s">
        <v>4889</v>
      </c>
      <c r="H2657" s="1" t="s">
        <v>2674</v>
      </c>
      <c r="S2657" s="1" t="s">
        <v>868</v>
      </c>
      <c r="T2657" s="6"/>
      <c r="W2657" s="8"/>
      <c r="AJ2657" s="1"/>
      <c r="AM2657" s="1" t="s">
        <v>2470</v>
      </c>
    </row>
    <row r="2658">
      <c r="E2658" s="1" t="s">
        <v>5773</v>
      </c>
      <c r="H2658" s="1" t="s">
        <v>1537</v>
      </c>
      <c r="S2658" s="1" t="s">
        <v>3935</v>
      </c>
      <c r="T2658" s="6"/>
      <c r="W2658" s="8"/>
      <c r="AJ2658" s="1"/>
      <c r="AM2658" s="1" t="s">
        <v>1629</v>
      </c>
    </row>
    <row r="2659">
      <c r="E2659" s="1" t="s">
        <v>5774</v>
      </c>
      <c r="H2659" s="1" t="s">
        <v>1206</v>
      </c>
      <c r="S2659" s="1" t="s">
        <v>5775</v>
      </c>
      <c r="T2659" s="6"/>
      <c r="W2659" s="8"/>
      <c r="AJ2659" s="1"/>
      <c r="AM2659" s="1" t="s">
        <v>1461</v>
      </c>
    </row>
    <row r="2660">
      <c r="E2660" s="1" t="s">
        <v>3952</v>
      </c>
      <c r="H2660" s="1" t="s">
        <v>4024</v>
      </c>
      <c r="S2660" s="1" t="s">
        <v>1195</v>
      </c>
      <c r="T2660" s="6"/>
      <c r="W2660" s="8"/>
      <c r="AJ2660" s="1"/>
      <c r="AM2660" s="1" t="s">
        <v>1366</v>
      </c>
    </row>
    <row r="2661">
      <c r="E2661" s="1" t="s">
        <v>3110</v>
      </c>
      <c r="H2661" s="1" t="s">
        <v>3758</v>
      </c>
      <c r="S2661" s="1" t="s">
        <v>4518</v>
      </c>
      <c r="T2661" s="6"/>
      <c r="W2661" s="8"/>
      <c r="AJ2661" s="1"/>
      <c r="AM2661" s="1" t="s">
        <v>5301</v>
      </c>
    </row>
    <row r="2662">
      <c r="E2662" s="1" t="s">
        <v>5776</v>
      </c>
      <c r="H2662" s="1" t="s">
        <v>1544</v>
      </c>
      <c r="S2662" s="1" t="s">
        <v>5777</v>
      </c>
      <c r="T2662" s="6"/>
      <c r="W2662" s="8"/>
      <c r="AJ2662" s="1"/>
      <c r="AM2662" s="1" t="s">
        <v>4274</v>
      </c>
    </row>
    <row r="2663">
      <c r="E2663" s="1" t="s">
        <v>5778</v>
      </c>
      <c r="H2663" s="1" t="s">
        <v>4129</v>
      </c>
      <c r="S2663" s="1" t="s">
        <v>4127</v>
      </c>
      <c r="T2663" s="6"/>
      <c r="W2663" s="8"/>
      <c r="AJ2663" s="1"/>
      <c r="AM2663" s="1" t="s">
        <v>1374</v>
      </c>
    </row>
    <row r="2664">
      <c r="E2664" s="1" t="s">
        <v>3114</v>
      </c>
      <c r="H2664" s="1" t="s">
        <v>4130</v>
      </c>
      <c r="S2664" s="1" t="s">
        <v>5535</v>
      </c>
      <c r="T2664" s="6"/>
      <c r="W2664" s="8"/>
      <c r="AJ2664" s="1"/>
      <c r="AM2664" s="1" t="s">
        <v>4276</v>
      </c>
    </row>
    <row r="2665">
      <c r="E2665" s="1" t="s">
        <v>4901</v>
      </c>
      <c r="H2665" s="1" t="s">
        <v>2548</v>
      </c>
      <c r="S2665" s="1" t="s">
        <v>1161</v>
      </c>
      <c r="W2665" s="8"/>
      <c r="AJ2665" s="1"/>
      <c r="AM2665" s="1" t="s">
        <v>1160</v>
      </c>
    </row>
    <row r="2666">
      <c r="E2666" s="1" t="s">
        <v>3117</v>
      </c>
      <c r="H2666" s="1" t="s">
        <v>5151</v>
      </c>
      <c r="S2666" s="1" t="s">
        <v>5779</v>
      </c>
      <c r="W2666" s="8"/>
      <c r="AJ2666" s="1"/>
      <c r="AM2666" s="1" t="s">
        <v>3629</v>
      </c>
    </row>
    <row r="2667">
      <c r="E2667" s="1" t="s">
        <v>3116</v>
      </c>
      <c r="H2667" s="1" t="s">
        <v>1552</v>
      </c>
      <c r="S2667" s="1" t="s">
        <v>1009</v>
      </c>
      <c r="W2667" s="8"/>
      <c r="AJ2667" s="1"/>
      <c r="AM2667" s="1" t="s">
        <v>5780</v>
      </c>
    </row>
    <row r="2668">
      <c r="E2668" s="1" t="s">
        <v>3121</v>
      </c>
      <c r="H2668" s="1" t="s">
        <v>3518</v>
      </c>
      <c r="S2668" s="1" t="s">
        <v>3717</v>
      </c>
      <c r="W2668" s="8"/>
      <c r="AJ2668" s="1"/>
      <c r="AM2668" s="1" t="s">
        <v>4277</v>
      </c>
    </row>
    <row r="2669">
      <c r="E2669" s="1" t="s">
        <v>399</v>
      </c>
      <c r="H2669" s="1" t="s">
        <v>4041</v>
      </c>
      <c r="S2669" s="1">
        <v>84.0</v>
      </c>
      <c r="W2669" s="8"/>
      <c r="AJ2669" s="1"/>
      <c r="AM2669" s="1" t="s">
        <v>3132</v>
      </c>
    </row>
    <row r="2670">
      <c r="E2670" s="1" t="s">
        <v>3124</v>
      </c>
      <c r="H2670" s="1" t="s">
        <v>5156</v>
      </c>
      <c r="S2670" s="1" t="s">
        <v>3309</v>
      </c>
      <c r="W2670" s="8"/>
      <c r="AJ2670" s="1"/>
      <c r="AM2670" s="1" t="s">
        <v>5308</v>
      </c>
    </row>
    <row r="2671">
      <c r="E2671" s="1" t="s">
        <v>3129</v>
      </c>
      <c r="H2671" s="1" t="s">
        <v>1210</v>
      </c>
      <c r="S2671" s="1" t="s">
        <v>133</v>
      </c>
      <c r="W2671" s="8"/>
      <c r="AJ2671" s="1"/>
      <c r="AM2671" s="1" t="s">
        <v>2475</v>
      </c>
    </row>
    <row r="2672">
      <c r="E2672" s="1" t="s">
        <v>5572</v>
      </c>
      <c r="H2672" s="1" t="s">
        <v>2311</v>
      </c>
      <c r="S2672" s="1" t="s">
        <v>5781</v>
      </c>
      <c r="W2672" s="8"/>
      <c r="AJ2672" s="1"/>
      <c r="AM2672" s="1" t="s">
        <v>1379</v>
      </c>
    </row>
    <row r="2673">
      <c r="E2673" s="1" t="s">
        <v>2535</v>
      </c>
      <c r="H2673" s="1" t="s">
        <v>4135</v>
      </c>
      <c r="S2673" s="1" t="s">
        <v>5420</v>
      </c>
      <c r="W2673" s="8"/>
      <c r="AJ2673" s="1"/>
      <c r="AM2673" s="1" t="s">
        <v>2480</v>
      </c>
    </row>
    <row r="2674">
      <c r="E2674" s="1" t="s">
        <v>5782</v>
      </c>
      <c r="H2674" s="1" t="s">
        <v>2315</v>
      </c>
      <c r="S2674" s="1" t="s">
        <v>1431</v>
      </c>
      <c r="W2674" s="8"/>
      <c r="AJ2674" s="1"/>
      <c r="AM2674" s="1" t="s">
        <v>4283</v>
      </c>
    </row>
    <row r="2675">
      <c r="E2675" s="1" t="s">
        <v>3131</v>
      </c>
      <c r="H2675" s="1" t="s">
        <v>1217</v>
      </c>
      <c r="S2675" s="1" t="s">
        <v>4167</v>
      </c>
      <c r="W2675" s="8"/>
      <c r="AJ2675" s="1"/>
      <c r="AM2675" s="1" t="s">
        <v>3635</v>
      </c>
    </row>
    <row r="2676">
      <c r="E2676" s="1" t="s">
        <v>4319</v>
      </c>
      <c r="H2676" s="1" t="s">
        <v>5158</v>
      </c>
      <c r="S2676" s="1" t="s">
        <v>5783</v>
      </c>
      <c r="W2676" s="8"/>
      <c r="AJ2676" s="1"/>
      <c r="AM2676" s="1" t="s">
        <v>5475</v>
      </c>
    </row>
    <row r="2677">
      <c r="E2677" s="1" t="s">
        <v>1925</v>
      </c>
      <c r="H2677" s="1" t="s">
        <v>5784</v>
      </c>
      <c r="S2677" s="1" t="s">
        <v>4118</v>
      </c>
      <c r="W2677" s="8"/>
      <c r="AJ2677" s="1"/>
      <c r="AM2677" s="1" t="s">
        <v>2482</v>
      </c>
    </row>
    <row r="2678">
      <c r="E2678" s="1" t="s">
        <v>4913</v>
      </c>
      <c r="H2678" s="1" t="s">
        <v>1224</v>
      </c>
      <c r="S2678" s="1" t="s">
        <v>5094</v>
      </c>
      <c r="W2678" s="8"/>
      <c r="AJ2678" s="1"/>
      <c r="AM2678" s="1" t="s">
        <v>4287</v>
      </c>
    </row>
    <row r="2679">
      <c r="E2679" s="1" t="s">
        <v>5785</v>
      </c>
      <c r="H2679" s="1" t="s">
        <v>4137</v>
      </c>
      <c r="S2679" s="1" t="s">
        <v>4145</v>
      </c>
      <c r="W2679" s="8"/>
      <c r="AJ2679" s="1"/>
      <c r="AM2679" s="1" t="s">
        <v>2485</v>
      </c>
    </row>
    <row r="2680">
      <c r="E2680" s="1" t="s">
        <v>4917</v>
      </c>
      <c r="H2680" s="1" t="s">
        <v>5162</v>
      </c>
      <c r="S2680" s="1" t="s">
        <v>1462</v>
      </c>
      <c r="W2680" s="8"/>
      <c r="AJ2680" s="1"/>
      <c r="AM2680" s="1" t="s">
        <v>4291</v>
      </c>
    </row>
    <row r="2681">
      <c r="E2681" s="1" t="s">
        <v>5786</v>
      </c>
      <c r="H2681" s="1" t="s">
        <v>2324</v>
      </c>
      <c r="S2681" s="1" t="s">
        <v>963</v>
      </c>
      <c r="W2681" s="8"/>
      <c r="AJ2681" s="1"/>
      <c r="AM2681" s="1" t="s">
        <v>3289</v>
      </c>
    </row>
    <row r="2682">
      <c r="E2682" s="1" t="s">
        <v>4919</v>
      </c>
      <c r="H2682" s="1" t="s">
        <v>5164</v>
      </c>
      <c r="S2682" s="1" t="s">
        <v>2366</v>
      </c>
      <c r="W2682" s="8"/>
      <c r="AJ2682" s="1"/>
      <c r="AM2682" s="1" t="s">
        <v>5787</v>
      </c>
    </row>
    <row r="2683">
      <c r="E2683" s="1" t="s">
        <v>453</v>
      </c>
      <c r="H2683" s="1" t="s">
        <v>4713</v>
      </c>
      <c r="S2683" s="1" t="s">
        <v>2838</v>
      </c>
      <c r="W2683" s="8"/>
      <c r="AJ2683" s="1"/>
      <c r="AM2683" s="1" t="s">
        <v>2486</v>
      </c>
    </row>
    <row r="2684">
      <c r="E2684" s="1" t="s">
        <v>5788</v>
      </c>
      <c r="H2684" s="1" t="s">
        <v>1228</v>
      </c>
      <c r="S2684" s="1" t="s">
        <v>5603</v>
      </c>
      <c r="W2684" s="8"/>
      <c r="AJ2684" s="1"/>
      <c r="AM2684" s="1" t="s">
        <v>5325</v>
      </c>
    </row>
    <row r="2685">
      <c r="E2685" s="1" t="s">
        <v>1954</v>
      </c>
      <c r="H2685" s="1" t="s">
        <v>5168</v>
      </c>
      <c r="S2685" s="1" t="s">
        <v>5789</v>
      </c>
      <c r="W2685" s="8"/>
      <c r="AJ2685" s="1"/>
      <c r="AM2685" s="1" t="s">
        <v>1641</v>
      </c>
    </row>
    <row r="2686">
      <c r="E2686" s="1" t="s">
        <v>5790</v>
      </c>
      <c r="H2686" s="1" t="s">
        <v>5169</v>
      </c>
      <c r="S2686" s="1" t="s">
        <v>3351</v>
      </c>
      <c r="W2686" s="8"/>
      <c r="AJ2686" s="1"/>
      <c r="AM2686" s="1" t="s">
        <v>1647</v>
      </c>
    </row>
    <row r="2687">
      <c r="E2687" s="1" t="s">
        <v>4923</v>
      </c>
      <c r="H2687" s="1" t="s">
        <v>5607</v>
      </c>
      <c r="S2687" s="1" t="s">
        <v>5229</v>
      </c>
      <c r="W2687" s="8"/>
      <c r="AJ2687" s="1"/>
      <c r="AM2687" s="1" t="s">
        <v>2491</v>
      </c>
    </row>
    <row r="2688">
      <c r="E2688" s="1" t="s">
        <v>5791</v>
      </c>
      <c r="H2688" s="1" t="s">
        <v>1558</v>
      </c>
      <c r="S2688" s="1" t="s">
        <v>5792</v>
      </c>
      <c r="W2688" s="8"/>
      <c r="AJ2688" s="1"/>
      <c r="AM2688" s="1" t="s">
        <v>5793</v>
      </c>
    </row>
    <row r="2689">
      <c r="E2689" s="1" t="s">
        <v>5794</v>
      </c>
      <c r="H2689" s="1" t="s">
        <v>4144</v>
      </c>
      <c r="S2689" s="1" t="s">
        <v>3883</v>
      </c>
      <c r="W2689" s="8"/>
      <c r="AJ2689" s="1"/>
      <c r="AM2689" s="1" t="s">
        <v>2495</v>
      </c>
    </row>
    <row r="2690">
      <c r="E2690" s="1" t="s">
        <v>5795</v>
      </c>
      <c r="H2690" s="1" t="s">
        <v>1234</v>
      </c>
      <c r="S2690" s="1" t="s">
        <v>5796</v>
      </c>
      <c r="W2690" s="8"/>
      <c r="AJ2690" s="1"/>
      <c r="AM2690" s="1" t="s">
        <v>4296</v>
      </c>
    </row>
    <row r="2691">
      <c r="E2691" s="1" t="s">
        <v>3148</v>
      </c>
      <c r="H2691" s="1" t="s">
        <v>5171</v>
      </c>
      <c r="S2691" s="1" t="s">
        <v>5138</v>
      </c>
      <c r="W2691" s="8"/>
      <c r="AJ2691" s="1"/>
      <c r="AM2691" s="1" t="s">
        <v>5767</v>
      </c>
    </row>
    <row r="2692">
      <c r="E2692" s="1" t="s">
        <v>1824</v>
      </c>
      <c r="H2692" s="1" t="s">
        <v>5540</v>
      </c>
      <c r="S2692" s="1" t="s">
        <v>1668</v>
      </c>
      <c r="W2692" s="8"/>
      <c r="AJ2692" s="1"/>
      <c r="AM2692" s="1" t="s">
        <v>1384</v>
      </c>
    </row>
    <row r="2693">
      <c r="E2693" s="1" t="s">
        <v>3151</v>
      </c>
      <c r="H2693" s="1" t="s">
        <v>1240</v>
      </c>
      <c r="S2693" s="1" t="s">
        <v>5797</v>
      </c>
      <c r="W2693" s="8"/>
      <c r="AJ2693" s="1"/>
      <c r="AM2693" s="1" t="s">
        <v>2499</v>
      </c>
    </row>
    <row r="2694">
      <c r="E2694" s="1" t="s">
        <v>3155</v>
      </c>
      <c r="H2694" s="1" t="s">
        <v>3528</v>
      </c>
      <c r="S2694" s="1" t="s">
        <v>1361</v>
      </c>
      <c r="W2694" s="8"/>
      <c r="AJ2694" s="1"/>
      <c r="AM2694" s="1" t="s">
        <v>4091</v>
      </c>
    </row>
    <row r="2695">
      <c r="E2695" s="1" t="s">
        <v>3157</v>
      </c>
      <c r="H2695" s="1" t="s">
        <v>4411</v>
      </c>
      <c r="S2695" s="1" t="s">
        <v>3435</v>
      </c>
      <c r="W2695" s="8"/>
      <c r="AJ2695" s="1"/>
      <c r="AM2695" s="1" t="s">
        <v>5798</v>
      </c>
    </row>
    <row r="2696">
      <c r="E2696" s="1" t="s">
        <v>5799</v>
      </c>
      <c r="H2696" s="1" t="s">
        <v>5177</v>
      </c>
      <c r="S2696" s="1" t="s">
        <v>1593</v>
      </c>
      <c r="W2696" s="8"/>
      <c r="AJ2696" s="1"/>
      <c r="AM2696" s="1" t="s">
        <v>2501</v>
      </c>
    </row>
    <row r="2697">
      <c r="E2697" s="1" t="s">
        <v>3160</v>
      </c>
      <c r="H2697" s="1" t="s">
        <v>4149</v>
      </c>
      <c r="S2697" s="1" t="s">
        <v>1292</v>
      </c>
      <c r="W2697" s="8"/>
      <c r="AJ2697" s="1"/>
      <c r="AM2697" s="1" t="s">
        <v>5534</v>
      </c>
    </row>
    <row r="2698">
      <c r="E2698" s="1" t="s">
        <v>3162</v>
      </c>
      <c r="H2698" s="1" t="s">
        <v>5179</v>
      </c>
      <c r="S2698" s="1" t="s">
        <v>5800</v>
      </c>
      <c r="W2698" s="8"/>
      <c r="AJ2698" s="1"/>
      <c r="AM2698" s="1" t="s">
        <v>4304</v>
      </c>
    </row>
    <row r="2699">
      <c r="E2699" s="1" t="s">
        <v>5801</v>
      </c>
      <c r="H2699" s="1" t="s">
        <v>5593</v>
      </c>
      <c r="S2699" s="1" t="s">
        <v>1760</v>
      </c>
      <c r="W2699" s="8"/>
      <c r="AJ2699" s="1"/>
      <c r="AM2699" s="1" t="s">
        <v>4309</v>
      </c>
    </row>
    <row r="2700">
      <c r="E2700" s="1" t="s">
        <v>5802</v>
      </c>
      <c r="H2700" s="1" t="s">
        <v>3359</v>
      </c>
      <c r="S2700" s="1" t="s">
        <v>5383</v>
      </c>
      <c r="W2700" s="8"/>
      <c r="AJ2700" s="1"/>
      <c r="AM2700" s="1" t="s">
        <v>4481</v>
      </c>
    </row>
    <row r="2701">
      <c r="E2701" s="1" t="s">
        <v>1863</v>
      </c>
      <c r="H2701" s="1">
        <v>1999.0</v>
      </c>
      <c r="S2701" s="1" t="s">
        <v>2860</v>
      </c>
      <c r="W2701" s="8"/>
      <c r="AJ2701" s="1"/>
      <c r="AM2701" s="1" t="s">
        <v>1390</v>
      </c>
    </row>
    <row r="2702">
      <c r="E2702" s="1" t="s">
        <v>3169</v>
      </c>
      <c r="H2702" s="1" t="s">
        <v>2334</v>
      </c>
      <c r="S2702" s="1" t="s">
        <v>2009</v>
      </c>
      <c r="W2702" s="8"/>
      <c r="AJ2702" s="1"/>
      <c r="AM2702" s="1" t="s">
        <v>4618</v>
      </c>
    </row>
    <row r="2703">
      <c r="E2703" s="1" t="s">
        <v>1913</v>
      </c>
      <c r="H2703" s="1" t="s">
        <v>1251</v>
      </c>
      <c r="S2703" s="1" t="s">
        <v>3081</v>
      </c>
      <c r="W2703" s="8"/>
      <c r="AJ2703" s="1"/>
      <c r="AM2703" s="1" t="s">
        <v>1654</v>
      </c>
    </row>
    <row r="2704">
      <c r="E2704" s="1" t="s">
        <v>5803</v>
      </c>
      <c r="H2704" s="1" t="s">
        <v>5665</v>
      </c>
      <c r="S2704" s="1" t="s">
        <v>4500</v>
      </c>
      <c r="W2704" s="8"/>
      <c r="AJ2704" s="1"/>
      <c r="AM2704" s="1">
        <v>60.0</v>
      </c>
    </row>
    <row r="2705">
      <c r="E2705" s="1" t="s">
        <v>3171</v>
      </c>
      <c r="H2705" s="1" t="s">
        <v>5181</v>
      </c>
      <c r="S2705" s="1" t="s">
        <v>5221</v>
      </c>
      <c r="W2705" s="8"/>
      <c r="AJ2705" s="1"/>
      <c r="AM2705" s="1" t="s">
        <v>5338</v>
      </c>
    </row>
    <row r="2706">
      <c r="E2706" s="1" t="s">
        <v>5804</v>
      </c>
      <c r="H2706" s="1" t="s">
        <v>1563</v>
      </c>
      <c r="S2706" s="1" t="s">
        <v>4575</v>
      </c>
      <c r="W2706" s="8"/>
      <c r="AJ2706" s="1"/>
      <c r="AM2706" s="1" t="s">
        <v>5339</v>
      </c>
    </row>
    <row r="2707">
      <c r="E2707" s="1" t="s">
        <v>5805</v>
      </c>
      <c r="H2707" s="1" t="s">
        <v>1259</v>
      </c>
      <c r="S2707" s="1" t="s">
        <v>5806</v>
      </c>
      <c r="W2707" s="8"/>
      <c r="AJ2707" s="1"/>
      <c r="AM2707" s="1" t="s">
        <v>3658</v>
      </c>
    </row>
    <row r="2708">
      <c r="E2708" s="1" t="s">
        <v>4951</v>
      </c>
      <c r="H2708" s="1" t="s">
        <v>1945</v>
      </c>
      <c r="S2708" s="1" t="s">
        <v>3464</v>
      </c>
      <c r="W2708" s="8"/>
      <c r="AJ2708" s="1"/>
      <c r="AM2708" s="1" t="s">
        <v>695</v>
      </c>
    </row>
    <row r="2709">
      <c r="E2709" s="1" t="s">
        <v>4956</v>
      </c>
      <c r="H2709" s="1" t="s">
        <v>5185</v>
      </c>
      <c r="S2709" s="1" t="s">
        <v>5807</v>
      </c>
      <c r="W2709" s="8"/>
      <c r="AJ2709" s="1"/>
      <c r="AM2709" s="1" t="s">
        <v>51</v>
      </c>
    </row>
    <row r="2710">
      <c r="E2710" s="1" t="s">
        <v>5808</v>
      </c>
      <c r="H2710" s="1" t="s">
        <v>5186</v>
      </c>
      <c r="S2710" s="1" t="s">
        <v>5608</v>
      </c>
      <c r="W2710" s="8"/>
      <c r="AJ2710" s="1"/>
      <c r="AM2710" s="1" t="s">
        <v>4316</v>
      </c>
    </row>
    <row r="2711">
      <c r="E2711" s="1" t="s">
        <v>3191</v>
      </c>
      <c r="H2711" s="1" t="s">
        <v>4160</v>
      </c>
      <c r="S2711" s="1" t="s">
        <v>2683</v>
      </c>
      <c r="W2711" s="8"/>
      <c r="AJ2711" s="1"/>
      <c r="AM2711" s="1" t="s">
        <v>5539</v>
      </c>
    </row>
    <row r="2712">
      <c r="E2712" s="1" t="s">
        <v>1519</v>
      </c>
      <c r="H2712" s="1" t="s">
        <v>5405</v>
      </c>
      <c r="S2712" s="1" t="s">
        <v>5371</v>
      </c>
      <c r="W2712" s="8"/>
      <c r="AJ2712" s="1"/>
      <c r="AM2712" s="1" t="s">
        <v>4320</v>
      </c>
    </row>
    <row r="2713">
      <c r="E2713" s="1" t="s">
        <v>1764</v>
      </c>
      <c r="H2713" s="1" t="s">
        <v>3544</v>
      </c>
      <c r="S2713" s="1" t="s">
        <v>3247</v>
      </c>
      <c r="W2713" s="8"/>
      <c r="AJ2713" s="1"/>
      <c r="AM2713" s="1" t="s">
        <v>5809</v>
      </c>
    </row>
    <row r="2714">
      <c r="E2714" s="1" t="s">
        <v>3197</v>
      </c>
      <c r="H2714" s="1" t="s">
        <v>4162</v>
      </c>
      <c r="S2714" s="1" t="s">
        <v>665</v>
      </c>
      <c r="W2714" s="8"/>
      <c r="AJ2714" s="1"/>
      <c r="AM2714" s="1" t="s">
        <v>4323</v>
      </c>
    </row>
    <row r="2715">
      <c r="E2715" s="1" t="s">
        <v>3194</v>
      </c>
      <c r="H2715" s="1" t="s">
        <v>3547</v>
      </c>
      <c r="S2715" s="1" t="s">
        <v>3636</v>
      </c>
      <c r="W2715" s="8"/>
      <c r="AJ2715" s="1"/>
      <c r="AM2715" s="1" t="s">
        <v>5317</v>
      </c>
    </row>
    <row r="2716">
      <c r="E2716" s="1" t="s">
        <v>3201</v>
      </c>
      <c r="H2716" s="1" t="s">
        <v>4164</v>
      </c>
      <c r="S2716" s="1" t="s">
        <v>926</v>
      </c>
      <c r="W2716" s="8"/>
      <c r="AJ2716" s="1"/>
      <c r="AM2716" s="1" t="s">
        <v>5484</v>
      </c>
    </row>
    <row r="2717">
      <c r="E2717" s="1" t="s">
        <v>5810</v>
      </c>
      <c r="H2717" s="1" t="s">
        <v>251</v>
      </c>
      <c r="S2717" s="1" t="s">
        <v>5164</v>
      </c>
      <c r="W2717" s="8"/>
      <c r="AJ2717" s="1"/>
      <c r="AM2717" s="1" t="s">
        <v>2508</v>
      </c>
    </row>
    <row r="2718">
      <c r="E2718" s="1" t="s">
        <v>4970</v>
      </c>
      <c r="H2718" s="1" t="s">
        <v>1277</v>
      </c>
      <c r="S2718" s="1" t="s">
        <v>4905</v>
      </c>
      <c r="W2718" s="8"/>
      <c r="AJ2718" s="1"/>
      <c r="AM2718" s="1" t="s">
        <v>2511</v>
      </c>
    </row>
    <row r="2719">
      <c r="E2719" s="1" t="s">
        <v>4126</v>
      </c>
      <c r="H2719" s="1" t="s">
        <v>1270</v>
      </c>
      <c r="S2719" s="1" t="s">
        <v>2738</v>
      </c>
      <c r="W2719" s="8"/>
      <c r="AJ2719" s="1"/>
      <c r="AM2719" s="1" t="s">
        <v>5532</v>
      </c>
    </row>
    <row r="2720">
      <c r="E2720" s="1" t="s">
        <v>4971</v>
      </c>
      <c r="H2720" s="1" t="s">
        <v>1284</v>
      </c>
      <c r="S2720" s="1" t="s">
        <v>3112</v>
      </c>
      <c r="W2720" s="8"/>
      <c r="AJ2720" s="1"/>
      <c r="AM2720" s="1" t="s">
        <v>2515</v>
      </c>
    </row>
    <row r="2721">
      <c r="E2721" s="1" t="s">
        <v>3208</v>
      </c>
      <c r="H2721" s="1" t="s">
        <v>5811</v>
      </c>
      <c r="S2721" s="1" t="s">
        <v>5812</v>
      </c>
      <c r="W2721" s="8"/>
      <c r="AJ2721" s="1"/>
      <c r="AM2721" s="1" t="s">
        <v>1675</v>
      </c>
    </row>
    <row r="2722">
      <c r="E2722" s="1" t="s">
        <v>5813</v>
      </c>
      <c r="H2722" s="1" t="s">
        <v>4179</v>
      </c>
      <c r="S2722" s="1" t="s">
        <v>5814</v>
      </c>
      <c r="W2722" s="8"/>
      <c r="AJ2722" s="1"/>
      <c r="AM2722" s="1" t="s">
        <v>5815</v>
      </c>
    </row>
    <row r="2723">
      <c r="E2723" s="1" t="s">
        <v>3213</v>
      </c>
      <c r="H2723" s="1" t="s">
        <v>5195</v>
      </c>
      <c r="S2723" s="1" t="s">
        <v>5569</v>
      </c>
      <c r="W2723" s="8"/>
      <c r="AJ2723" s="1"/>
      <c r="AM2723" s="1" t="s">
        <v>5816</v>
      </c>
    </row>
    <row r="2724">
      <c r="E2724" s="1" t="s">
        <v>444</v>
      </c>
      <c r="H2724" s="1" t="s">
        <v>5197</v>
      </c>
      <c r="S2724" s="1" t="s">
        <v>4743</v>
      </c>
      <c r="W2724" s="8"/>
      <c r="AJ2724" s="1"/>
      <c r="AM2724" s="1" t="s">
        <v>2520</v>
      </c>
    </row>
    <row r="2725">
      <c r="E2725" s="1" t="s">
        <v>1692</v>
      </c>
      <c r="H2725" s="1" t="s">
        <v>675</v>
      </c>
      <c r="S2725" s="1" t="s">
        <v>3761</v>
      </c>
      <c r="W2725" s="8"/>
      <c r="AJ2725" s="1"/>
      <c r="AM2725" s="1" t="s">
        <v>4332</v>
      </c>
    </row>
    <row r="2726">
      <c r="E2726" s="1" t="s">
        <v>790</v>
      </c>
      <c r="H2726" s="1" t="s">
        <v>4181</v>
      </c>
      <c r="S2726" s="1" t="s">
        <v>5817</v>
      </c>
      <c r="W2726" s="8"/>
      <c r="AJ2726" s="1"/>
      <c r="AM2726" s="1" t="s">
        <v>5348</v>
      </c>
    </row>
    <row r="2727">
      <c r="E2727" s="1" t="s">
        <v>5076</v>
      </c>
      <c r="H2727" s="1" t="s">
        <v>983</v>
      </c>
      <c r="S2727" s="1" t="s">
        <v>144</v>
      </c>
      <c r="W2727" s="8"/>
      <c r="AJ2727" s="1"/>
      <c r="AM2727" s="1" t="s">
        <v>1397</v>
      </c>
    </row>
    <row r="2728">
      <c r="E2728" s="1" t="s">
        <v>5818</v>
      </c>
      <c r="H2728" s="1" t="s">
        <v>4290</v>
      </c>
      <c r="S2728" s="1" t="s">
        <v>3555</v>
      </c>
      <c r="W2728" s="8"/>
      <c r="AJ2728" s="1"/>
      <c r="AM2728" s="1" t="s">
        <v>5349</v>
      </c>
    </row>
    <row r="2729">
      <c r="E2729" s="1" t="s">
        <v>1700</v>
      </c>
      <c r="H2729" s="1" t="s">
        <v>4612</v>
      </c>
      <c r="S2729" s="1" t="s">
        <v>2440</v>
      </c>
      <c r="W2729" s="8"/>
      <c r="AJ2729" s="1"/>
      <c r="AM2729" s="1" t="s">
        <v>4334</v>
      </c>
    </row>
    <row r="2730">
      <c r="E2730" s="1" t="s">
        <v>5819</v>
      </c>
      <c r="H2730" s="1" t="s">
        <v>5202</v>
      </c>
      <c r="S2730" s="1" t="s">
        <v>2226</v>
      </c>
      <c r="W2730" s="8"/>
      <c r="AJ2730" s="1"/>
      <c r="AM2730" s="1" t="s">
        <v>4336</v>
      </c>
    </row>
    <row r="2731">
      <c r="E2731" s="1" t="s">
        <v>5820</v>
      </c>
      <c r="H2731" s="1" t="s">
        <v>5499</v>
      </c>
      <c r="S2731" s="1" t="s">
        <v>4301</v>
      </c>
      <c r="W2731" s="8"/>
      <c r="AJ2731" s="1"/>
      <c r="AM2731" s="1" t="s">
        <v>3670</v>
      </c>
    </row>
    <row r="2732">
      <c r="E2732" s="1" t="s">
        <v>5821</v>
      </c>
      <c r="H2732" s="1" t="s">
        <v>3563</v>
      </c>
      <c r="S2732" s="1" t="s">
        <v>4535</v>
      </c>
      <c r="W2732" s="8"/>
      <c r="AJ2732" s="1"/>
      <c r="AM2732" s="1" t="s">
        <v>3234</v>
      </c>
    </row>
    <row r="2733">
      <c r="E2733" s="1" t="s">
        <v>4867</v>
      </c>
      <c r="H2733" s="1" t="s">
        <v>5644</v>
      </c>
      <c r="S2733" s="1" t="s">
        <v>5051</v>
      </c>
      <c r="W2733" s="8"/>
      <c r="AJ2733" s="1"/>
      <c r="AM2733" s="1">
        <v>66.0</v>
      </c>
    </row>
    <row r="2734">
      <c r="E2734" s="1" t="s">
        <v>3230</v>
      </c>
      <c r="H2734" s="1" t="s">
        <v>3565</v>
      </c>
      <c r="S2734" s="1" t="s">
        <v>1761</v>
      </c>
      <c r="W2734" s="8"/>
      <c r="AJ2734" s="1"/>
      <c r="AM2734" s="1" t="s">
        <v>4341</v>
      </c>
    </row>
    <row r="2735">
      <c r="E2735" s="1" t="s">
        <v>5724</v>
      </c>
      <c r="H2735" s="1" t="s">
        <v>5204</v>
      </c>
      <c r="S2735" s="1" t="s">
        <v>5822</v>
      </c>
      <c r="W2735" s="8"/>
      <c r="AJ2735" s="1"/>
      <c r="AM2735" s="1" t="s">
        <v>5823</v>
      </c>
    </row>
    <row r="2736">
      <c r="E2736" s="1" t="s">
        <v>4988</v>
      </c>
      <c r="H2736" s="1" t="s">
        <v>4185</v>
      </c>
      <c r="S2736" s="1" t="s">
        <v>3104</v>
      </c>
      <c r="W2736" s="8"/>
      <c r="AJ2736" s="1"/>
      <c r="AM2736" s="1" t="s">
        <v>5728</v>
      </c>
    </row>
    <row r="2737">
      <c r="E2737" s="1" t="s">
        <v>4990</v>
      </c>
      <c r="H2737" s="1" t="s">
        <v>5207</v>
      </c>
      <c r="S2737" s="1" t="s">
        <v>5778</v>
      </c>
      <c r="W2737" s="8"/>
      <c r="AJ2737" s="1"/>
      <c r="AM2737" s="1" t="s">
        <v>1405</v>
      </c>
    </row>
    <row r="2738">
      <c r="E2738" s="1" t="s">
        <v>5824</v>
      </c>
      <c r="H2738" s="1" t="s">
        <v>5209</v>
      </c>
      <c r="S2738" s="1" t="s">
        <v>5573</v>
      </c>
      <c r="W2738" s="8"/>
      <c r="AJ2738" s="1"/>
      <c r="AM2738" s="1" t="s">
        <v>5347</v>
      </c>
    </row>
    <row r="2739">
      <c r="E2739" s="1" t="s">
        <v>5825</v>
      </c>
      <c r="H2739" s="1" t="s">
        <v>5826</v>
      </c>
      <c r="S2739" s="1" t="s">
        <v>2372</v>
      </c>
      <c r="W2739" s="8"/>
      <c r="AJ2739" s="1"/>
      <c r="AM2739" s="1" t="s">
        <v>4345</v>
      </c>
    </row>
    <row r="2740">
      <c r="E2740" s="1" t="s">
        <v>5827</v>
      </c>
      <c r="H2740" s="1" t="s">
        <v>5247</v>
      </c>
      <c r="S2740" s="1" t="s">
        <v>5828</v>
      </c>
      <c r="W2740" s="8"/>
      <c r="AJ2740" s="1"/>
      <c r="AM2740" s="1" t="s">
        <v>1755</v>
      </c>
    </row>
    <row r="2741">
      <c r="E2741" s="1" t="s">
        <v>4994</v>
      </c>
      <c r="H2741" s="1" t="s">
        <v>4187</v>
      </c>
      <c r="S2741" s="1" t="s">
        <v>5533</v>
      </c>
      <c r="W2741" s="8"/>
      <c r="AJ2741" s="1"/>
      <c r="AM2741" s="1" t="s">
        <v>2530</v>
      </c>
    </row>
    <row r="2742">
      <c r="E2742" s="1" t="s">
        <v>3242</v>
      </c>
      <c r="H2742" s="1" t="s">
        <v>5212</v>
      </c>
      <c r="S2742" s="1" t="s">
        <v>151</v>
      </c>
      <c r="W2742" s="8"/>
      <c r="AJ2742" s="1"/>
      <c r="AM2742" s="1" t="s">
        <v>2533</v>
      </c>
    </row>
    <row r="2743">
      <c r="E2743" s="1" t="s">
        <v>1837</v>
      </c>
      <c r="H2743" s="1" t="s">
        <v>1581</v>
      </c>
      <c r="S2743" s="1" t="s">
        <v>5829</v>
      </c>
      <c r="W2743" s="8"/>
      <c r="AJ2743" s="1"/>
      <c r="AM2743" s="1" t="s">
        <v>5830</v>
      </c>
    </row>
    <row r="2744">
      <c r="E2744" s="1" t="s">
        <v>3983</v>
      </c>
      <c r="H2744" s="1" t="s">
        <v>994</v>
      </c>
      <c r="S2744" s="1" t="s">
        <v>5831</v>
      </c>
      <c r="W2744" s="8"/>
      <c r="AJ2744" s="1"/>
      <c r="AM2744" s="1" t="s">
        <v>3673</v>
      </c>
    </row>
    <row r="2745">
      <c r="E2745" s="1" t="s">
        <v>4877</v>
      </c>
      <c r="H2745" s="1" t="s">
        <v>5214</v>
      </c>
      <c r="S2745" s="1" t="s">
        <v>851</v>
      </c>
      <c r="W2745" s="8"/>
      <c r="AJ2745" s="1"/>
      <c r="AM2745" s="1" t="s">
        <v>2536</v>
      </c>
    </row>
    <row r="2746">
      <c r="E2746" s="1" t="s">
        <v>3245</v>
      </c>
      <c r="H2746" s="1" t="s">
        <v>5216</v>
      </c>
      <c r="S2746" s="1" t="s">
        <v>32</v>
      </c>
      <c r="W2746" s="8"/>
      <c r="AJ2746" s="1"/>
      <c r="AM2746" s="1" t="s">
        <v>1410</v>
      </c>
    </row>
    <row r="2747">
      <c r="E2747" s="1" t="s">
        <v>5832</v>
      </c>
      <c r="H2747" s="1" t="s">
        <v>1295</v>
      </c>
      <c r="S2747" s="1" t="s">
        <v>1204</v>
      </c>
      <c r="W2747" s="8"/>
      <c r="AJ2747" s="1"/>
      <c r="AM2747" s="1" t="s">
        <v>4271</v>
      </c>
    </row>
    <row r="2748">
      <c r="E2748" s="1" t="s">
        <v>1895</v>
      </c>
      <c r="H2748" s="1" t="s">
        <v>4194</v>
      </c>
      <c r="S2748" s="1" t="s">
        <v>2304</v>
      </c>
      <c r="W2748" s="8"/>
      <c r="AJ2748" s="1"/>
      <c r="AM2748" s="1" t="s">
        <v>1415</v>
      </c>
    </row>
    <row r="2749">
      <c r="E2749" s="1" t="s">
        <v>5833</v>
      </c>
      <c r="H2749" s="1" t="s">
        <v>2367</v>
      </c>
      <c r="S2749" s="1" t="s">
        <v>5834</v>
      </c>
      <c r="W2749" s="8"/>
      <c r="AJ2749" s="1"/>
      <c r="AM2749" s="1" t="s">
        <v>5206</v>
      </c>
    </row>
    <row r="2750">
      <c r="E2750" s="1" t="s">
        <v>5835</v>
      </c>
      <c r="H2750" s="1" t="s">
        <v>3568</v>
      </c>
      <c r="S2750" s="1" t="s">
        <v>4565</v>
      </c>
      <c r="W2750" s="8"/>
      <c r="AJ2750" s="1"/>
      <c r="AM2750" s="1" t="s">
        <v>1680</v>
      </c>
    </row>
    <row r="2751">
      <c r="E2751" s="1" t="s">
        <v>3258</v>
      </c>
      <c r="H2751" s="1" t="s">
        <v>4415</v>
      </c>
      <c r="S2751" s="1" t="s">
        <v>4412</v>
      </c>
      <c r="W2751" s="8"/>
      <c r="AJ2751" s="1"/>
      <c r="AM2751" s="1" t="s">
        <v>4356</v>
      </c>
    </row>
    <row r="2752">
      <c r="E2752" s="1" t="s">
        <v>5836</v>
      </c>
      <c r="H2752" s="1" t="s">
        <v>5837</v>
      </c>
      <c r="S2752" s="1" t="s">
        <v>5838</v>
      </c>
      <c r="W2752" s="8"/>
      <c r="AJ2752" s="1"/>
      <c r="AM2752" s="1" t="s">
        <v>346</v>
      </c>
    </row>
    <row r="2753">
      <c r="E2753" s="1" t="s">
        <v>5008</v>
      </c>
      <c r="H2753" s="1" t="s">
        <v>5222</v>
      </c>
      <c r="S2753" s="1" t="s">
        <v>2817</v>
      </c>
      <c r="W2753" s="8"/>
      <c r="AJ2753" s="1"/>
      <c r="AM2753" s="1" t="s">
        <v>2543</v>
      </c>
    </row>
    <row r="2754">
      <c r="E2754" s="1" t="s">
        <v>3266</v>
      </c>
      <c r="H2754" s="1" t="s">
        <v>5223</v>
      </c>
      <c r="S2754" s="1" t="s">
        <v>5630</v>
      </c>
      <c r="W2754" s="8"/>
      <c r="AJ2754" s="1"/>
      <c r="AM2754" s="1" t="s">
        <v>5839</v>
      </c>
    </row>
    <row r="2755">
      <c r="E2755" s="1" t="s">
        <v>5012</v>
      </c>
      <c r="H2755" s="1" t="s">
        <v>1073</v>
      </c>
      <c r="S2755" s="1" t="s">
        <v>4039</v>
      </c>
      <c r="W2755" s="8"/>
      <c r="AJ2755" s="1"/>
      <c r="AM2755" s="1" t="s">
        <v>5840</v>
      </c>
    </row>
    <row r="2756">
      <c r="E2756" s="1" t="s">
        <v>5841</v>
      </c>
      <c r="H2756" s="1" t="s">
        <v>5842</v>
      </c>
      <c r="S2756" s="1" t="s">
        <v>942</v>
      </c>
      <c r="W2756" s="8"/>
      <c r="AJ2756" s="1"/>
      <c r="AM2756" s="1" t="s">
        <v>2013</v>
      </c>
    </row>
    <row r="2757">
      <c r="E2757" s="1" t="s">
        <v>2822</v>
      </c>
      <c r="H2757" s="1" t="s">
        <v>5226</v>
      </c>
      <c r="S2757" s="1" t="s">
        <v>756</v>
      </c>
      <c r="W2757" s="8"/>
      <c r="AJ2757" s="1"/>
      <c r="AM2757" s="1" t="s">
        <v>5365</v>
      </c>
    </row>
    <row r="2758">
      <c r="E2758" s="1" t="s">
        <v>1915</v>
      </c>
      <c r="H2758" s="1" t="s">
        <v>1300</v>
      </c>
      <c r="S2758" s="1" t="s">
        <v>4731</v>
      </c>
      <c r="W2758" s="8"/>
      <c r="AJ2758" s="1"/>
      <c r="AM2758" s="1" t="s">
        <v>4360</v>
      </c>
    </row>
    <row r="2759">
      <c r="E2759" s="1" t="s">
        <v>5015</v>
      </c>
      <c r="H2759" s="1" t="s">
        <v>4899</v>
      </c>
      <c r="S2759" s="1" t="s">
        <v>3707</v>
      </c>
      <c r="W2759" s="8"/>
      <c r="AJ2759" s="1"/>
      <c r="AM2759" s="1" t="s">
        <v>5140</v>
      </c>
    </row>
    <row r="2760">
      <c r="E2760" s="1" t="s">
        <v>3276</v>
      </c>
      <c r="H2760" s="1" t="s">
        <v>5229</v>
      </c>
      <c r="S2760" s="1" t="s">
        <v>5843</v>
      </c>
      <c r="W2760" s="8"/>
      <c r="AJ2760" s="1"/>
      <c r="AM2760" s="1" t="s">
        <v>5369</v>
      </c>
    </row>
    <row r="2761">
      <c r="E2761" s="1" t="s">
        <v>3274</v>
      </c>
      <c r="H2761" s="1" t="s">
        <v>4199</v>
      </c>
      <c r="S2761" s="1" t="s">
        <v>2890</v>
      </c>
      <c r="W2761" s="8"/>
      <c r="AJ2761" s="1"/>
      <c r="AM2761" s="1" t="s">
        <v>2545</v>
      </c>
    </row>
    <row r="2762">
      <c r="E2762" s="1" t="s">
        <v>5020</v>
      </c>
      <c r="H2762" s="1" t="s">
        <v>4201</v>
      </c>
      <c r="S2762" s="1" t="s">
        <v>3970</v>
      </c>
      <c r="W2762" s="8"/>
      <c r="AJ2762" s="1"/>
      <c r="AM2762" s="1" t="s">
        <v>338</v>
      </c>
    </row>
    <row r="2763">
      <c r="E2763" s="1" t="s">
        <v>5844</v>
      </c>
      <c r="H2763" s="1" t="s">
        <v>1771</v>
      </c>
      <c r="S2763" s="1" t="s">
        <v>5185</v>
      </c>
      <c r="W2763" s="8"/>
      <c r="AJ2763" s="1"/>
      <c r="AM2763" s="1" t="s">
        <v>4365</v>
      </c>
    </row>
    <row r="2764">
      <c r="E2764" s="1" t="s">
        <v>5845</v>
      </c>
      <c r="H2764" s="1" t="s">
        <v>5233</v>
      </c>
      <c r="S2764" s="1" t="s">
        <v>5421</v>
      </c>
      <c r="W2764" s="8"/>
      <c r="AJ2764" s="1"/>
      <c r="AM2764" s="1" t="s">
        <v>1421</v>
      </c>
    </row>
    <row r="2765">
      <c r="E2765" s="1" t="s">
        <v>3278</v>
      </c>
      <c r="H2765" s="1" t="s">
        <v>5699</v>
      </c>
      <c r="S2765" s="1" t="s">
        <v>3911</v>
      </c>
      <c r="W2765" s="8"/>
      <c r="AJ2765" s="1"/>
      <c r="AM2765" s="1" t="s">
        <v>4368</v>
      </c>
    </row>
    <row r="2766">
      <c r="E2766" s="1" t="s">
        <v>5846</v>
      </c>
      <c r="H2766" s="1" t="s">
        <v>1589</v>
      </c>
      <c r="S2766" s="1" t="s">
        <v>5505</v>
      </c>
      <c r="W2766" s="8"/>
      <c r="AJ2766" s="1"/>
      <c r="AM2766" s="1" t="s">
        <v>5847</v>
      </c>
    </row>
    <row r="2767">
      <c r="E2767" s="1" t="s">
        <v>5848</v>
      </c>
      <c r="H2767" s="1" t="s">
        <v>5236</v>
      </c>
      <c r="S2767" s="1" t="s">
        <v>2940</v>
      </c>
      <c r="W2767" s="8"/>
      <c r="AJ2767" s="1"/>
      <c r="AM2767" s="1" t="s">
        <v>5375</v>
      </c>
    </row>
    <row r="2768">
      <c r="E2768" s="1" t="s">
        <v>3383</v>
      </c>
      <c r="H2768" s="1" t="s">
        <v>1173</v>
      </c>
      <c r="S2768" s="1" t="s">
        <v>2237</v>
      </c>
      <c r="W2768" s="8"/>
      <c r="AJ2768" s="1"/>
      <c r="AM2768" s="1" t="s">
        <v>4370</v>
      </c>
    </row>
    <row r="2769">
      <c r="E2769" s="1" t="s">
        <v>5023</v>
      </c>
      <c r="H2769" s="1" t="s">
        <v>5239</v>
      </c>
      <c r="S2769" s="1" t="s">
        <v>2967</v>
      </c>
      <c r="W2769" s="8"/>
      <c r="AJ2769" s="1"/>
      <c r="AM2769" s="1" t="s">
        <v>3683</v>
      </c>
    </row>
    <row r="2770">
      <c r="E2770" s="1" t="s">
        <v>5025</v>
      </c>
      <c r="H2770" s="1" t="s">
        <v>4780</v>
      </c>
      <c r="S2770" s="1" t="s">
        <v>4902</v>
      </c>
      <c r="W2770" s="8"/>
      <c r="AJ2770" s="1"/>
      <c r="AM2770" s="1" t="s">
        <v>4374</v>
      </c>
    </row>
    <row r="2771">
      <c r="E2771" s="1" t="s">
        <v>3285</v>
      </c>
      <c r="H2771" s="1" t="s">
        <v>3572</v>
      </c>
      <c r="S2771" s="1" t="s">
        <v>2452</v>
      </c>
      <c r="W2771" s="8"/>
      <c r="AJ2771" s="1"/>
      <c r="AM2771" s="1" t="s">
        <v>5849</v>
      </c>
    </row>
    <row r="2772">
      <c r="E2772" s="1" t="s">
        <v>5850</v>
      </c>
      <c r="H2772" s="1" t="s">
        <v>2387</v>
      </c>
      <c r="S2772" s="1" t="s">
        <v>2720</v>
      </c>
      <c r="W2772" s="8"/>
      <c r="AJ2772" s="1"/>
      <c r="AM2772" s="1" t="s">
        <v>5851</v>
      </c>
    </row>
    <row r="2773">
      <c r="E2773" s="1" t="s">
        <v>5807</v>
      </c>
      <c r="H2773" s="1" t="s">
        <v>5242</v>
      </c>
      <c r="S2773" s="1" t="s">
        <v>1088</v>
      </c>
      <c r="W2773" s="8"/>
      <c r="AJ2773" s="1"/>
      <c r="AM2773" s="1" t="s">
        <v>4377</v>
      </c>
    </row>
    <row r="2774">
      <c r="E2774" s="1" t="s">
        <v>1705</v>
      </c>
      <c r="H2774" s="1" t="s">
        <v>3574</v>
      </c>
      <c r="S2774" s="1" t="s">
        <v>1066</v>
      </c>
      <c r="W2774" s="8"/>
      <c r="AJ2774" s="1"/>
      <c r="AM2774" s="1" t="s">
        <v>1695</v>
      </c>
    </row>
    <row r="2775">
      <c r="E2775" s="1" t="s">
        <v>3297</v>
      </c>
      <c r="H2775" s="1" t="s">
        <v>4999</v>
      </c>
      <c r="S2775" s="1" t="s">
        <v>5500</v>
      </c>
      <c r="W2775" s="8"/>
      <c r="AJ2775" s="1"/>
      <c r="AM2775" s="1" t="s">
        <v>1726</v>
      </c>
    </row>
    <row r="2776">
      <c r="E2776" s="1" t="s">
        <v>3303</v>
      </c>
      <c r="H2776" s="1" t="s">
        <v>5714</v>
      </c>
      <c r="S2776" s="1" t="s">
        <v>1271</v>
      </c>
      <c r="W2776" s="8"/>
      <c r="AJ2776" s="1"/>
      <c r="AM2776" s="1" t="s">
        <v>5852</v>
      </c>
    </row>
    <row r="2777">
      <c r="E2777" s="1" t="s">
        <v>3306</v>
      </c>
      <c r="H2777" s="1" t="s">
        <v>5243</v>
      </c>
      <c r="S2777" s="1" t="s">
        <v>5853</v>
      </c>
      <c r="W2777" s="8"/>
      <c r="AJ2777" s="1"/>
      <c r="AM2777" s="1" t="s">
        <v>5383</v>
      </c>
    </row>
    <row r="2778">
      <c r="E2778" s="1" t="s">
        <v>3312</v>
      </c>
      <c r="H2778" s="1" t="s">
        <v>4523</v>
      </c>
      <c r="S2778" s="1" t="s">
        <v>4053</v>
      </c>
      <c r="W2778" s="8"/>
      <c r="AJ2778" s="1"/>
      <c r="AM2778" s="1" t="s">
        <v>5387</v>
      </c>
    </row>
    <row r="2779">
      <c r="E2779" s="1" t="s">
        <v>5854</v>
      </c>
      <c r="H2779" s="1" t="s">
        <v>4208</v>
      </c>
      <c r="S2779" s="1" t="s">
        <v>5815</v>
      </c>
      <c r="W2779" s="8"/>
      <c r="AJ2779" s="1"/>
      <c r="AM2779" s="1" t="s">
        <v>268</v>
      </c>
    </row>
    <row r="2780">
      <c r="E2780" s="1" t="s">
        <v>5855</v>
      </c>
      <c r="H2780" s="1" t="s">
        <v>3577</v>
      </c>
      <c r="S2780" s="1" t="s">
        <v>2253</v>
      </c>
      <c r="W2780" s="8"/>
      <c r="AJ2780" s="1"/>
      <c r="AM2780" s="1" t="s">
        <v>3690</v>
      </c>
    </row>
    <row r="2781">
      <c r="E2781" s="1" t="s">
        <v>5045</v>
      </c>
      <c r="H2781" s="1" t="s">
        <v>5246</v>
      </c>
      <c r="S2781" s="1" t="s">
        <v>5856</v>
      </c>
      <c r="W2781" s="8"/>
      <c r="AJ2781" s="1"/>
      <c r="AM2781" s="1" t="s">
        <v>5345</v>
      </c>
    </row>
    <row r="2782">
      <c r="E2782" s="1" t="s">
        <v>5857</v>
      </c>
      <c r="H2782" s="1" t="s">
        <v>1593</v>
      </c>
      <c r="S2782" s="1" t="s">
        <v>4929</v>
      </c>
      <c r="W2782" s="8"/>
      <c r="AJ2782" s="1"/>
      <c r="AM2782" s="1" t="s">
        <v>2116</v>
      </c>
    </row>
    <row r="2783">
      <c r="E2783" s="1" t="s">
        <v>5858</v>
      </c>
      <c r="H2783" s="1" t="s">
        <v>2397</v>
      </c>
      <c r="S2783" s="1" t="s">
        <v>353</v>
      </c>
      <c r="W2783" s="8"/>
      <c r="AJ2783" s="1"/>
      <c r="AM2783" s="1" t="s">
        <v>5859</v>
      </c>
    </row>
    <row r="2784">
      <c r="E2784" s="1" t="s">
        <v>5860</v>
      </c>
      <c r="H2784" s="1" t="s">
        <v>5249</v>
      </c>
      <c r="S2784" s="1" t="s">
        <v>1131</v>
      </c>
      <c r="W2784" s="8"/>
      <c r="AJ2784" s="1"/>
      <c r="AM2784" s="1" t="s">
        <v>4387</v>
      </c>
    </row>
    <row r="2785">
      <c r="E2785" s="1" t="s">
        <v>5861</v>
      </c>
      <c r="H2785" s="1" t="s">
        <v>4215</v>
      </c>
      <c r="S2785" s="1" t="s">
        <v>5203</v>
      </c>
      <c r="W2785" s="8"/>
      <c r="AJ2785" s="1"/>
      <c r="AM2785" s="1" t="s">
        <v>4389</v>
      </c>
    </row>
    <row r="2786">
      <c r="E2786" s="1" t="s">
        <v>5862</v>
      </c>
      <c r="H2786" s="1" t="s">
        <v>5251</v>
      </c>
      <c r="S2786" s="1" t="s">
        <v>474</v>
      </c>
      <c r="W2786" s="8"/>
      <c r="AJ2786" s="1"/>
      <c r="AM2786" s="1" t="s">
        <v>574</v>
      </c>
    </row>
    <row r="2787">
      <c r="E2787" s="1" t="s">
        <v>5618</v>
      </c>
      <c r="H2787" s="1" t="s">
        <v>969</v>
      </c>
      <c r="S2787" s="1" t="s">
        <v>5863</v>
      </c>
      <c r="W2787" s="8"/>
      <c r="AJ2787" s="1"/>
      <c r="AM2787" s="1" t="s">
        <v>5678</v>
      </c>
    </row>
    <row r="2788">
      <c r="E2788" s="1" t="s">
        <v>3327</v>
      </c>
      <c r="H2788" s="1" t="s">
        <v>3585</v>
      </c>
      <c r="S2788" s="1" t="s">
        <v>5864</v>
      </c>
      <c r="W2788" s="8"/>
      <c r="AJ2788" s="1"/>
      <c r="AM2788" s="1" t="s">
        <v>2552</v>
      </c>
    </row>
    <row r="2789">
      <c r="E2789" s="1" t="s">
        <v>5865</v>
      </c>
      <c r="H2789" s="1" t="s">
        <v>1315</v>
      </c>
      <c r="S2789" s="1" t="s">
        <v>846</v>
      </c>
      <c r="W2789" s="8"/>
      <c r="AJ2789" s="1"/>
      <c r="AM2789" s="1" t="s">
        <v>2556</v>
      </c>
    </row>
    <row r="2790">
      <c r="E2790" s="1" t="s">
        <v>3339</v>
      </c>
      <c r="H2790" s="1" t="s">
        <v>607</v>
      </c>
      <c r="S2790" s="1" t="s">
        <v>5866</v>
      </c>
      <c r="W2790" s="8"/>
      <c r="AJ2790" s="1"/>
      <c r="AM2790" s="1" t="s">
        <v>5336</v>
      </c>
    </row>
    <row r="2791">
      <c r="E2791" s="1" t="s">
        <v>3341</v>
      </c>
      <c r="H2791" s="1" t="s">
        <v>3589</v>
      </c>
      <c r="S2791" s="1" t="s">
        <v>635</v>
      </c>
      <c r="W2791" s="8"/>
      <c r="AJ2791" s="1"/>
      <c r="AM2791" s="1" t="s">
        <v>4393</v>
      </c>
    </row>
    <row r="2792">
      <c r="E2792" s="1" t="s">
        <v>5867</v>
      </c>
      <c r="H2792" s="1" t="s">
        <v>1326</v>
      </c>
      <c r="S2792" s="1" t="s">
        <v>5186</v>
      </c>
      <c r="W2792" s="8"/>
      <c r="AJ2792" s="1"/>
      <c r="AM2792" s="1" t="s">
        <v>1433</v>
      </c>
    </row>
    <row r="2793">
      <c r="E2793" s="1" t="s">
        <v>3344</v>
      </c>
      <c r="H2793" s="1" t="s">
        <v>1605</v>
      </c>
      <c r="S2793" s="1" t="s">
        <v>2990</v>
      </c>
      <c r="W2793" s="8"/>
      <c r="AJ2793" s="1"/>
      <c r="AM2793" s="1" t="s">
        <v>1630</v>
      </c>
    </row>
    <row r="2794">
      <c r="E2794" s="1" t="s">
        <v>5868</v>
      </c>
      <c r="H2794" s="1" t="s">
        <v>2410</v>
      </c>
      <c r="S2794" s="1" t="s">
        <v>677</v>
      </c>
      <c r="W2794" s="8"/>
      <c r="AJ2794" s="1"/>
      <c r="AM2794" s="1" t="s">
        <v>2562</v>
      </c>
    </row>
    <row r="2795">
      <c r="E2795" s="1" t="s">
        <v>5869</v>
      </c>
      <c r="H2795" s="1" t="s">
        <v>3591</v>
      </c>
      <c r="S2795" s="1" t="s">
        <v>3574</v>
      </c>
      <c r="W2795" s="8"/>
      <c r="AJ2795" s="1"/>
      <c r="AM2795" s="1" t="s">
        <v>2566</v>
      </c>
    </row>
    <row r="2796">
      <c r="E2796" s="1" t="s">
        <v>3353</v>
      </c>
      <c r="H2796" s="1" t="s">
        <v>3593</v>
      </c>
      <c r="S2796" s="1" t="s">
        <v>4915</v>
      </c>
      <c r="W2796" s="8"/>
      <c r="AJ2796" s="1"/>
      <c r="AM2796" s="1" t="s">
        <v>2568</v>
      </c>
    </row>
    <row r="2797">
      <c r="E2797" s="1" t="s">
        <v>5870</v>
      </c>
      <c r="H2797" s="1" t="s">
        <v>5256</v>
      </c>
      <c r="S2797" s="1" t="s">
        <v>4244</v>
      </c>
      <c r="W2797" s="8"/>
      <c r="AJ2797" s="1"/>
      <c r="AM2797" s="1" t="s">
        <v>5047</v>
      </c>
    </row>
    <row r="2798">
      <c r="E2798" s="1" t="s">
        <v>5822</v>
      </c>
      <c r="H2798" s="1" t="s">
        <v>5450</v>
      </c>
      <c r="S2798" s="1" t="s">
        <v>5871</v>
      </c>
      <c r="W2798" s="8"/>
      <c r="AJ2798" s="1"/>
      <c r="AM2798" s="1" t="s">
        <v>4396</v>
      </c>
    </row>
    <row r="2799">
      <c r="E2799" s="1" t="s">
        <v>3354</v>
      </c>
      <c r="H2799" s="1" t="s">
        <v>5872</v>
      </c>
      <c r="S2799" s="1" t="s">
        <v>2513</v>
      </c>
      <c r="W2799" s="8"/>
      <c r="AJ2799" s="1"/>
      <c r="AM2799" s="1" t="s">
        <v>3703</v>
      </c>
    </row>
    <row r="2800">
      <c r="E2800" s="1" t="s">
        <v>5873</v>
      </c>
      <c r="H2800" s="1" t="s">
        <v>5258</v>
      </c>
      <c r="S2800" s="1" t="s">
        <v>812</v>
      </c>
      <c r="W2800" s="8"/>
      <c r="AJ2800" s="1"/>
      <c r="AM2800" s="1" t="s">
        <v>4398</v>
      </c>
    </row>
    <row r="2801">
      <c r="E2801" s="1" t="s">
        <v>5585</v>
      </c>
      <c r="H2801" s="1" t="s">
        <v>5259</v>
      </c>
      <c r="S2801" s="1" t="s">
        <v>5197</v>
      </c>
      <c r="W2801" s="8"/>
      <c r="AJ2801" s="1"/>
      <c r="AM2801" s="1" t="s">
        <v>2573</v>
      </c>
    </row>
    <row r="2802">
      <c r="E2802" s="1" t="s">
        <v>5874</v>
      </c>
      <c r="H2802" s="1" t="s">
        <v>5875</v>
      </c>
      <c r="S2802" s="1" t="s">
        <v>2188</v>
      </c>
      <c r="W2802" s="8"/>
      <c r="AJ2802" s="1"/>
      <c r="AM2802" s="1" t="s">
        <v>4401</v>
      </c>
    </row>
    <row r="2803">
      <c r="E2803" s="1" t="s">
        <v>5814</v>
      </c>
      <c r="H2803" s="1" t="s">
        <v>5876</v>
      </c>
      <c r="S2803" s="1" t="s">
        <v>4786</v>
      </c>
      <c r="W2803" s="8"/>
      <c r="AJ2803" s="1"/>
      <c r="AM2803" s="1" t="s">
        <v>4404</v>
      </c>
    </row>
    <row r="2804">
      <c r="E2804" s="1" t="s">
        <v>3357</v>
      </c>
      <c r="H2804" s="1" t="s">
        <v>4220</v>
      </c>
      <c r="S2804" s="1" t="s">
        <v>2257</v>
      </c>
      <c r="W2804" s="8"/>
      <c r="AJ2804" s="1"/>
      <c r="AM2804" s="1" t="s">
        <v>1439</v>
      </c>
    </row>
    <row r="2805">
      <c r="E2805" s="1" t="s">
        <v>5877</v>
      </c>
      <c r="H2805" s="1" t="s">
        <v>2413</v>
      </c>
      <c r="S2805" s="1" t="s">
        <v>5833</v>
      </c>
      <c r="W2805" s="8"/>
      <c r="AJ2805" s="1"/>
      <c r="AM2805" s="1" t="s">
        <v>1445</v>
      </c>
    </row>
    <row r="2806">
      <c r="E2806" s="1" t="s">
        <v>4635</v>
      </c>
      <c r="H2806" s="1" t="s">
        <v>3595</v>
      </c>
      <c r="S2806" s="1" t="s">
        <v>1273</v>
      </c>
      <c r="W2806" s="8"/>
      <c r="AJ2806" s="1"/>
      <c r="AM2806" s="1" t="s">
        <v>2577</v>
      </c>
    </row>
    <row r="2807">
      <c r="E2807" s="1" t="s">
        <v>3434</v>
      </c>
      <c r="H2807" s="1" t="s">
        <v>2416</v>
      </c>
      <c r="S2807" s="1" t="s">
        <v>5647</v>
      </c>
      <c r="W2807" s="8"/>
      <c r="AJ2807" s="1"/>
      <c r="AM2807" s="1" t="s">
        <v>5878</v>
      </c>
    </row>
    <row r="2808">
      <c r="E2808" s="1" t="s">
        <v>3360</v>
      </c>
      <c r="H2808" s="1" t="s">
        <v>4784</v>
      </c>
      <c r="S2808" s="1" t="s">
        <v>5243</v>
      </c>
      <c r="W2808" s="8"/>
      <c r="AJ2808" s="1"/>
      <c r="AM2808" s="1" t="s">
        <v>4412</v>
      </c>
    </row>
    <row r="2809">
      <c r="E2809" s="1" t="s">
        <v>4023</v>
      </c>
      <c r="H2809" s="1" t="s">
        <v>4229</v>
      </c>
      <c r="S2809" s="1" t="s">
        <v>2853</v>
      </c>
      <c r="W2809" s="8"/>
      <c r="AJ2809" s="1"/>
      <c r="AM2809" s="1" t="s">
        <v>3797</v>
      </c>
    </row>
    <row r="2810">
      <c r="E2810" s="1" t="s">
        <v>1712</v>
      </c>
      <c r="H2810" s="1" t="s">
        <v>5853</v>
      </c>
      <c r="S2810" s="1" t="s">
        <v>4237</v>
      </c>
      <c r="W2810" s="8"/>
      <c r="AJ2810" s="1"/>
      <c r="AM2810" s="1" t="s">
        <v>5404</v>
      </c>
    </row>
    <row r="2811">
      <c r="E2811" s="1" t="s">
        <v>5879</v>
      </c>
      <c r="H2811" s="1" t="s">
        <v>4235</v>
      </c>
      <c r="S2811" s="1" t="s">
        <v>5133</v>
      </c>
      <c r="W2811" s="8"/>
      <c r="AJ2811" s="1"/>
      <c r="AM2811" s="1" t="s">
        <v>4414</v>
      </c>
    </row>
    <row r="2812">
      <c r="E2812" s="1" t="s">
        <v>5880</v>
      </c>
      <c r="H2812" s="1" t="s">
        <v>5263</v>
      </c>
      <c r="S2812" s="1" t="s">
        <v>2331</v>
      </c>
      <c r="W2812" s="8"/>
      <c r="AJ2812" s="1"/>
      <c r="AM2812" s="1" t="s">
        <v>1491</v>
      </c>
    </row>
    <row r="2813">
      <c r="E2813" s="1" t="s">
        <v>5077</v>
      </c>
      <c r="H2813" s="1" t="s">
        <v>1332</v>
      </c>
      <c r="S2813" s="1" t="s">
        <v>3093</v>
      </c>
      <c r="W2813" s="8"/>
      <c r="AJ2813" s="1"/>
      <c r="AM2813" s="1" t="s">
        <v>3708</v>
      </c>
    </row>
    <row r="2814">
      <c r="E2814" s="1" t="s">
        <v>3371</v>
      </c>
      <c r="H2814" s="1" t="s">
        <v>3598</v>
      </c>
      <c r="S2814" s="1" t="s">
        <v>866</v>
      </c>
      <c r="W2814" s="8"/>
      <c r="AJ2814" s="1"/>
      <c r="AM2814" s="1" t="s">
        <v>4416</v>
      </c>
    </row>
    <row r="2815">
      <c r="E2815" s="1" t="s">
        <v>5881</v>
      </c>
      <c r="H2815" s="1" t="s">
        <v>5264</v>
      </c>
      <c r="S2815" s="1" t="s">
        <v>4115</v>
      </c>
      <c r="W2815" s="8"/>
      <c r="AJ2815" s="1"/>
      <c r="AM2815" s="1" t="s">
        <v>1450</v>
      </c>
    </row>
    <row r="2816">
      <c r="E2816" s="1" t="s">
        <v>3375</v>
      </c>
      <c r="H2816" s="1" t="s">
        <v>5882</v>
      </c>
      <c r="S2816" s="1" t="s">
        <v>5883</v>
      </c>
      <c r="W2816" s="8"/>
      <c r="AJ2816" s="1"/>
      <c r="AM2816" s="1" t="s">
        <v>5322</v>
      </c>
    </row>
    <row r="2817">
      <c r="E2817" s="1" t="s">
        <v>5884</v>
      </c>
      <c r="H2817" s="1" t="s">
        <v>2428</v>
      </c>
      <c r="S2817" s="1" t="s">
        <v>3079</v>
      </c>
      <c r="W2817" s="8"/>
      <c r="AJ2817" s="1"/>
      <c r="AM2817" s="1" t="s">
        <v>5360</v>
      </c>
    </row>
    <row r="2818">
      <c r="E2818" s="1" t="s">
        <v>1960</v>
      </c>
      <c r="H2818" s="1" t="s">
        <v>362</v>
      </c>
      <c r="S2818" s="1" t="s">
        <v>553</v>
      </c>
      <c r="W2818" s="8"/>
      <c r="AJ2818" s="1"/>
      <c r="AM2818" s="1" t="s">
        <v>2582</v>
      </c>
    </row>
    <row r="2819">
      <c r="E2819" s="1" t="s">
        <v>5885</v>
      </c>
      <c r="H2819" s="1" t="s">
        <v>5742</v>
      </c>
      <c r="S2819" s="1" t="s">
        <v>4072</v>
      </c>
      <c r="W2819" s="8"/>
      <c r="AJ2819" s="1"/>
      <c r="AM2819" s="1" t="s">
        <v>2585</v>
      </c>
    </row>
    <row r="2820">
      <c r="E2820" s="1" t="s">
        <v>5886</v>
      </c>
      <c r="H2820" s="1" t="s">
        <v>4241</v>
      </c>
      <c r="S2820" s="1" t="s">
        <v>3456</v>
      </c>
      <c r="W2820" s="8"/>
      <c r="AJ2820" s="1"/>
      <c r="AM2820" s="1" t="s">
        <v>2588</v>
      </c>
    </row>
    <row r="2821">
      <c r="E2821" s="1" t="s">
        <v>5887</v>
      </c>
      <c r="H2821" s="1" t="s">
        <v>4976</v>
      </c>
      <c r="S2821" s="1" t="s">
        <v>5089</v>
      </c>
      <c r="W2821" s="8"/>
      <c r="AJ2821" s="1"/>
      <c r="AM2821" s="1" t="s">
        <v>1457</v>
      </c>
    </row>
    <row r="2822">
      <c r="E2822" s="1" t="s">
        <v>5888</v>
      </c>
      <c r="H2822" s="1" t="s">
        <v>4266</v>
      </c>
      <c r="S2822" s="1" t="s">
        <v>5889</v>
      </c>
      <c r="W2822" s="8"/>
      <c r="AJ2822" s="1"/>
      <c r="AM2822" s="1" t="s">
        <v>4425</v>
      </c>
    </row>
    <row r="2823">
      <c r="E2823" s="1" t="s">
        <v>5556</v>
      </c>
      <c r="H2823" s="1" t="s">
        <v>4244</v>
      </c>
      <c r="S2823" s="1" t="s">
        <v>5338</v>
      </c>
      <c r="W2823" s="8"/>
      <c r="AJ2823" s="1"/>
      <c r="AM2823" s="1" t="s">
        <v>5890</v>
      </c>
    </row>
    <row r="2824">
      <c r="E2824" s="1" t="s">
        <v>5891</v>
      </c>
      <c r="H2824" s="1" t="s">
        <v>4246</v>
      </c>
      <c r="S2824" s="1" t="s">
        <v>5892</v>
      </c>
      <c r="W2824" s="8"/>
      <c r="AJ2824" s="1"/>
      <c r="AM2824" s="1" t="s">
        <v>2595</v>
      </c>
    </row>
    <row r="2825">
      <c r="E2825" s="1" t="s">
        <v>5893</v>
      </c>
      <c r="H2825" s="1" t="s">
        <v>5267</v>
      </c>
      <c r="S2825" s="1" t="s">
        <v>3996</v>
      </c>
      <c r="W2825" s="8"/>
      <c r="AJ2825" s="1"/>
      <c r="AM2825" s="1" t="s">
        <v>2598</v>
      </c>
    </row>
    <row r="2826">
      <c r="E2826" s="1" t="s">
        <v>3379</v>
      </c>
      <c r="H2826" s="1" t="s">
        <v>4250</v>
      </c>
      <c r="S2826" s="1" t="s">
        <v>185</v>
      </c>
      <c r="W2826" s="8"/>
      <c r="AJ2826" s="1"/>
      <c r="AM2826" s="1" t="s">
        <v>4431</v>
      </c>
    </row>
    <row r="2827">
      <c r="E2827" s="1" t="s">
        <v>5894</v>
      </c>
      <c r="H2827" s="1" t="s">
        <v>3601</v>
      </c>
      <c r="S2827" s="1" t="s">
        <v>4607</v>
      </c>
      <c r="W2827" s="8"/>
      <c r="AJ2827" s="1"/>
      <c r="AM2827" s="1" t="s">
        <v>5895</v>
      </c>
    </row>
    <row r="2828">
      <c r="E2828" s="1" t="s">
        <v>5896</v>
      </c>
      <c r="H2828" s="1" t="s">
        <v>1339</v>
      </c>
      <c r="S2828" s="1" t="s">
        <v>1488</v>
      </c>
      <c r="W2828" s="8"/>
      <c r="AJ2828" s="1"/>
      <c r="AM2828" s="1" t="s">
        <v>2601</v>
      </c>
    </row>
    <row r="2829">
      <c r="E2829" s="1" t="s">
        <v>3381</v>
      </c>
      <c r="H2829" s="1" t="s">
        <v>1344</v>
      </c>
      <c r="S2829" s="1" t="s">
        <v>5897</v>
      </c>
      <c r="W2829" s="8"/>
      <c r="AJ2829" s="1"/>
      <c r="AM2829" s="1" t="s">
        <v>1465</v>
      </c>
    </row>
    <row r="2830">
      <c r="E2830" s="1" t="s">
        <v>5898</v>
      </c>
      <c r="H2830" s="1" t="s">
        <v>1269</v>
      </c>
      <c r="S2830" s="1" t="s">
        <v>5103</v>
      </c>
      <c r="W2830" s="8"/>
      <c r="AJ2830" s="1"/>
      <c r="AM2830" s="1" t="s">
        <v>2607</v>
      </c>
    </row>
    <row r="2831">
      <c r="E2831" s="1" t="s">
        <v>5899</v>
      </c>
      <c r="H2831" s="1" t="s">
        <v>4202</v>
      </c>
      <c r="S2831" s="1" t="s">
        <v>459</v>
      </c>
      <c r="W2831" s="8"/>
      <c r="AJ2831" s="1"/>
      <c r="AM2831" s="1" t="s">
        <v>1472</v>
      </c>
    </row>
    <row r="2832">
      <c r="E2832" s="1" t="s">
        <v>5900</v>
      </c>
      <c r="H2832" s="1" t="s">
        <v>3607</v>
      </c>
      <c r="S2832" s="1" t="s">
        <v>3494</v>
      </c>
      <c r="W2832" s="8"/>
      <c r="AJ2832" s="1"/>
      <c r="AM2832" s="1" t="s">
        <v>3712</v>
      </c>
    </row>
    <row r="2833">
      <c r="E2833" s="1" t="s">
        <v>3386</v>
      </c>
      <c r="H2833" s="1" t="s">
        <v>5361</v>
      </c>
      <c r="S2833" s="1" t="s">
        <v>398</v>
      </c>
      <c r="W2833" s="8"/>
      <c r="AJ2833" s="1"/>
      <c r="AM2833" s="1" t="s">
        <v>4440</v>
      </c>
    </row>
    <row r="2834">
      <c r="E2834" s="1" t="s">
        <v>5085</v>
      </c>
      <c r="H2834" s="1" t="s">
        <v>3992</v>
      </c>
      <c r="S2834" s="1" t="s">
        <v>4972</v>
      </c>
      <c r="W2834" s="8"/>
      <c r="AJ2834" s="1"/>
      <c r="AM2834" s="1" t="s">
        <v>4442</v>
      </c>
    </row>
    <row r="2835">
      <c r="E2835" s="1" t="s">
        <v>5901</v>
      </c>
      <c r="H2835" s="1" t="s">
        <v>1187</v>
      </c>
      <c r="S2835" s="1" t="s">
        <v>4305</v>
      </c>
      <c r="W2835" s="8"/>
      <c r="AJ2835" s="1"/>
      <c r="AM2835" s="1" t="s">
        <v>3714</v>
      </c>
    </row>
    <row r="2836">
      <c r="H2836" s="1" t="s">
        <v>3949</v>
      </c>
      <c r="S2836" s="1" t="s">
        <v>1165</v>
      </c>
      <c r="W2836" s="8"/>
      <c r="AJ2836" s="1"/>
      <c r="AM2836" s="1" t="s">
        <v>4443</v>
      </c>
    </row>
    <row r="2837">
      <c r="H2837" s="1" t="s">
        <v>5275</v>
      </c>
      <c r="S2837" s="1" t="s">
        <v>2351</v>
      </c>
      <c r="W2837" s="8"/>
      <c r="AJ2837" s="1"/>
      <c r="AM2837" s="1" t="s">
        <v>4446</v>
      </c>
    </row>
    <row r="2838">
      <c r="H2838" s="1" t="s">
        <v>5277</v>
      </c>
      <c r="S2838" s="1" t="s">
        <v>4106</v>
      </c>
      <c r="W2838" s="8"/>
      <c r="AJ2838" s="1"/>
      <c r="AM2838" s="1" t="s">
        <v>5235</v>
      </c>
    </row>
    <row r="2839">
      <c r="H2839" s="1" t="s">
        <v>1351</v>
      </c>
      <c r="S2839" s="1" t="s">
        <v>5083</v>
      </c>
      <c r="W2839" s="8"/>
      <c r="AJ2839" s="1"/>
      <c r="AM2839" s="1" t="s">
        <v>2613</v>
      </c>
    </row>
    <row r="2840">
      <c r="H2840" s="1" t="s">
        <v>5278</v>
      </c>
      <c r="S2840" s="1" t="s">
        <v>2065</v>
      </c>
      <c r="W2840" s="8"/>
      <c r="AJ2840" s="1"/>
      <c r="AM2840" s="1" t="s">
        <v>2293</v>
      </c>
    </row>
    <row r="2841">
      <c r="H2841" s="1" t="s">
        <v>5346</v>
      </c>
      <c r="S2841" s="1" t="s">
        <v>5902</v>
      </c>
      <c r="W2841" s="8"/>
      <c r="AJ2841" s="1"/>
      <c r="AM2841" s="1" t="s">
        <v>2617</v>
      </c>
    </row>
    <row r="2842">
      <c r="H2842" s="1" t="s">
        <v>1354</v>
      </c>
      <c r="S2842" s="1" t="s">
        <v>5859</v>
      </c>
      <c r="W2842" s="8"/>
      <c r="AJ2842" s="1"/>
      <c r="AM2842" s="1" t="s">
        <v>2619</v>
      </c>
    </row>
    <row r="2843">
      <c r="H2843" s="1" t="s">
        <v>4257</v>
      </c>
      <c r="S2843" s="1" t="s">
        <v>2079</v>
      </c>
      <c r="W2843" s="8"/>
      <c r="AJ2843" s="1"/>
      <c r="AM2843" s="1" t="s">
        <v>5903</v>
      </c>
    </row>
    <row r="2844">
      <c r="H2844" s="1" t="s">
        <v>5280</v>
      </c>
      <c r="S2844" s="1" t="s">
        <v>4526</v>
      </c>
      <c r="W2844" s="8"/>
      <c r="AJ2844" s="1"/>
      <c r="AM2844" s="1" t="s">
        <v>5425</v>
      </c>
    </row>
    <row r="2845">
      <c r="H2845" s="1" t="s">
        <v>1358</v>
      </c>
      <c r="S2845" s="1" t="s">
        <v>5904</v>
      </c>
      <c r="W2845" s="8"/>
      <c r="AJ2845" s="1"/>
      <c r="AM2845" s="1" t="s">
        <v>4452</v>
      </c>
    </row>
    <row r="2846">
      <c r="H2846" s="1" t="s">
        <v>2445</v>
      </c>
      <c r="S2846" s="1" t="s">
        <v>5787</v>
      </c>
      <c r="W2846" s="8"/>
      <c r="AJ2846" s="1"/>
      <c r="AM2846" s="1" t="s">
        <v>5905</v>
      </c>
    </row>
    <row r="2847">
      <c r="H2847" s="1" t="s">
        <v>5906</v>
      </c>
      <c r="S2847" s="1" t="s">
        <v>2157</v>
      </c>
      <c r="W2847" s="8"/>
      <c r="AJ2847" s="1"/>
      <c r="AM2847" s="1" t="s">
        <v>1479</v>
      </c>
    </row>
    <row r="2848">
      <c r="H2848" s="1" t="s">
        <v>2448</v>
      </c>
      <c r="S2848" s="1" t="s">
        <v>5430</v>
      </c>
      <c r="W2848" s="8"/>
      <c r="AJ2848" s="1"/>
      <c r="AM2848" s="1" t="s">
        <v>3717</v>
      </c>
    </row>
    <row r="2849">
      <c r="H2849" s="1" t="s">
        <v>1624</v>
      </c>
      <c r="S2849" s="1">
        <v>2002.0</v>
      </c>
      <c r="W2849" s="8"/>
      <c r="AJ2849" s="1"/>
      <c r="AM2849" s="1" t="s">
        <v>2627</v>
      </c>
    </row>
    <row r="2850">
      <c r="H2850" s="1" t="s">
        <v>5907</v>
      </c>
      <c r="S2850" s="1" t="s">
        <v>5286</v>
      </c>
      <c r="W2850" s="8"/>
      <c r="AJ2850" s="1"/>
      <c r="AM2850" s="1" t="s">
        <v>5908</v>
      </c>
    </row>
    <row r="2851">
      <c r="H2851" s="1" t="s">
        <v>4265</v>
      </c>
      <c r="S2851" s="1" t="s">
        <v>47</v>
      </c>
      <c r="W2851" s="8"/>
      <c r="AJ2851" s="1"/>
      <c r="AM2851" s="1" t="s">
        <v>5429</v>
      </c>
    </row>
    <row r="2852">
      <c r="H2852" s="1" t="s">
        <v>5766</v>
      </c>
      <c r="S2852" s="1" t="s">
        <v>5909</v>
      </c>
      <c r="W2852" s="8"/>
      <c r="AJ2852" s="1"/>
      <c r="AM2852" s="1" t="s">
        <v>5642</v>
      </c>
    </row>
    <row r="2853">
      <c r="H2853" s="1">
        <v>1938.0</v>
      </c>
      <c r="S2853" s="1" t="s">
        <v>5910</v>
      </c>
      <c r="W2853" s="8"/>
      <c r="AJ2853" s="1"/>
      <c r="AM2853" s="1" t="s">
        <v>5430</v>
      </c>
    </row>
    <row r="2854">
      <c r="H2854" s="1" t="s">
        <v>135</v>
      </c>
      <c r="S2854" s="1" t="s">
        <v>991</v>
      </c>
      <c r="W2854" s="8"/>
      <c r="AJ2854" s="1"/>
      <c r="AM2854" s="1" t="s">
        <v>5911</v>
      </c>
    </row>
    <row r="2855">
      <c r="H2855" s="1" t="s">
        <v>2459</v>
      </c>
      <c r="S2855" s="1" t="s">
        <v>5912</v>
      </c>
      <c r="W2855" s="8"/>
      <c r="AJ2855" s="1"/>
      <c r="AM2855" s="1" t="s">
        <v>5913</v>
      </c>
    </row>
    <row r="2856">
      <c r="H2856" s="1" t="s">
        <v>5286</v>
      </c>
      <c r="S2856" s="1" t="s">
        <v>4151</v>
      </c>
      <c r="W2856" s="8"/>
      <c r="AJ2856" s="1"/>
      <c r="AM2856" s="1" t="s">
        <v>5431</v>
      </c>
    </row>
    <row r="2857">
      <c r="H2857" s="1" t="s">
        <v>529</v>
      </c>
      <c r="S2857" s="1" t="s">
        <v>788</v>
      </c>
      <c r="W2857" s="8"/>
      <c r="AJ2857" s="1"/>
      <c r="AM2857" s="1" t="s">
        <v>5433</v>
      </c>
    </row>
    <row r="2858">
      <c r="H2858" s="1" t="s">
        <v>2462</v>
      </c>
      <c r="S2858" s="1" t="s">
        <v>5914</v>
      </c>
      <c r="W2858" s="8"/>
      <c r="AJ2858" s="1"/>
      <c r="AM2858" s="1" t="s">
        <v>4457</v>
      </c>
    </row>
    <row r="2859">
      <c r="H2859" s="1" t="s">
        <v>5290</v>
      </c>
      <c r="S2859" s="1" t="s">
        <v>5915</v>
      </c>
      <c r="W2859" s="8"/>
      <c r="AJ2859" s="1"/>
      <c r="AM2859" s="1" t="s">
        <v>2629</v>
      </c>
    </row>
    <row r="2860">
      <c r="H2860" s="1" t="s">
        <v>5292</v>
      </c>
      <c r="S2860" s="1" t="s">
        <v>5916</v>
      </c>
      <c r="W2860" s="8"/>
      <c r="AJ2860" s="1"/>
      <c r="AM2860" s="1" t="s">
        <v>2632</v>
      </c>
    </row>
    <row r="2861">
      <c r="H2861" s="1" t="s">
        <v>2470</v>
      </c>
      <c r="S2861" s="1" t="s">
        <v>5195</v>
      </c>
      <c r="W2861" s="8"/>
      <c r="AJ2861" s="1"/>
      <c r="AM2861" s="1" t="s">
        <v>4462</v>
      </c>
    </row>
    <row r="2862">
      <c r="H2862" s="1" t="s">
        <v>2466</v>
      </c>
      <c r="S2862" s="1" t="s">
        <v>4163</v>
      </c>
      <c r="W2862" s="8"/>
      <c r="AJ2862" s="1"/>
      <c r="AM2862" s="1" t="s">
        <v>5436</v>
      </c>
    </row>
    <row r="2863">
      <c r="H2863" s="1" t="s">
        <v>1629</v>
      </c>
      <c r="S2863" s="1" t="s">
        <v>5513</v>
      </c>
      <c r="W2863" s="8"/>
      <c r="AJ2863" s="1"/>
      <c r="AM2863" s="1" t="s">
        <v>5437</v>
      </c>
    </row>
    <row r="2864">
      <c r="H2864" s="1" t="s">
        <v>5917</v>
      </c>
      <c r="S2864" s="1" t="s">
        <v>3868</v>
      </c>
      <c r="W2864" s="8"/>
      <c r="AJ2864" s="1"/>
      <c r="AM2864" s="1" t="s">
        <v>4303</v>
      </c>
    </row>
    <row r="2865">
      <c r="H2865" s="1" t="s">
        <v>1461</v>
      </c>
      <c r="S2865" s="1" t="s">
        <v>3188</v>
      </c>
      <c r="W2865" s="8"/>
      <c r="AJ2865" s="1"/>
      <c r="AM2865" s="1" t="s">
        <v>2635</v>
      </c>
    </row>
    <row r="2866">
      <c r="H2866" s="1" t="s">
        <v>3622</v>
      </c>
      <c r="S2866" s="1" t="s">
        <v>2447</v>
      </c>
      <c r="W2866" s="8"/>
      <c r="AJ2866" s="1"/>
      <c r="AM2866" s="1" t="s">
        <v>2637</v>
      </c>
    </row>
    <row r="2867">
      <c r="H2867" s="1" t="s">
        <v>1366</v>
      </c>
      <c r="S2867" s="1" t="s">
        <v>5202</v>
      </c>
      <c r="W2867" s="8"/>
      <c r="AJ2867" s="1"/>
      <c r="AM2867" s="1" t="s">
        <v>4894</v>
      </c>
    </row>
    <row r="2868">
      <c r="H2868" s="1" t="s">
        <v>5299</v>
      </c>
      <c r="S2868" s="1" t="s">
        <v>2879</v>
      </c>
      <c r="W2868" s="8"/>
      <c r="AJ2868" s="1"/>
      <c r="AM2868" s="1" t="s">
        <v>1485</v>
      </c>
    </row>
    <row r="2869">
      <c r="H2869" s="1" t="s">
        <v>5918</v>
      </c>
      <c r="S2869" s="1" t="s">
        <v>5919</v>
      </c>
      <c r="W2869" s="8"/>
      <c r="AJ2869" s="1"/>
      <c r="AM2869" s="1" t="s">
        <v>4468</v>
      </c>
    </row>
    <row r="2870">
      <c r="H2870" s="1" t="s">
        <v>3624</v>
      </c>
      <c r="S2870" s="1" t="s">
        <v>1202</v>
      </c>
      <c r="W2870" s="8"/>
      <c r="AJ2870" s="1"/>
      <c r="AM2870" s="1">
        <v>295.0</v>
      </c>
    </row>
    <row r="2871">
      <c r="H2871" s="1" t="s">
        <v>5301</v>
      </c>
      <c r="S2871" s="1" t="s">
        <v>2471</v>
      </c>
      <c r="W2871" s="8"/>
      <c r="AJ2871" s="1"/>
      <c r="AM2871" s="1">
        <v>1958.0</v>
      </c>
    </row>
    <row r="2872">
      <c r="H2872" s="1" t="s">
        <v>4274</v>
      </c>
      <c r="S2872" s="1" t="s">
        <v>5920</v>
      </c>
      <c r="W2872" s="8"/>
      <c r="AJ2872" s="1"/>
      <c r="AM2872" s="1" t="s">
        <v>5921</v>
      </c>
    </row>
    <row r="2873">
      <c r="H2873" s="1" t="s">
        <v>1374</v>
      </c>
      <c r="S2873" s="1" t="s">
        <v>5922</v>
      </c>
      <c r="W2873" s="8"/>
      <c r="AJ2873" s="1"/>
      <c r="AM2873" s="1" t="s">
        <v>504</v>
      </c>
    </row>
    <row r="2874">
      <c r="H2874" s="1" t="s">
        <v>4276</v>
      </c>
      <c r="S2874" s="1" t="s">
        <v>5923</v>
      </c>
      <c r="W2874" s="8"/>
      <c r="AJ2874" s="1"/>
      <c r="AM2874" s="1" t="s">
        <v>4471</v>
      </c>
    </row>
    <row r="2875">
      <c r="H2875" s="1" t="s">
        <v>1160</v>
      </c>
      <c r="S2875" s="1" t="s">
        <v>2209</v>
      </c>
      <c r="W2875" s="8"/>
      <c r="AJ2875" s="1"/>
      <c r="AM2875" s="1" t="s">
        <v>2649</v>
      </c>
    </row>
    <row r="2876">
      <c r="H2876" s="1" t="s">
        <v>5780</v>
      </c>
      <c r="S2876" s="1" t="s">
        <v>1026</v>
      </c>
      <c r="W2876" s="8"/>
      <c r="AJ2876" s="1"/>
      <c r="AM2876" s="1" t="s">
        <v>2651</v>
      </c>
    </row>
    <row r="2877">
      <c r="H2877" s="1" t="s">
        <v>5303</v>
      </c>
      <c r="S2877" s="1" t="s">
        <v>376</v>
      </c>
      <c r="W2877" s="8"/>
      <c r="AJ2877" s="1"/>
      <c r="AM2877" s="1" t="s">
        <v>2653</v>
      </c>
    </row>
    <row r="2878">
      <c r="H2878" s="1" t="s">
        <v>3631</v>
      </c>
      <c r="S2878" s="1" t="s">
        <v>5527</v>
      </c>
      <c r="W2878" s="8"/>
      <c r="AJ2878" s="1"/>
      <c r="AM2878" s="1" t="s">
        <v>2655</v>
      </c>
    </row>
    <row r="2879">
      <c r="H2879" s="1" t="s">
        <v>4277</v>
      </c>
      <c r="S2879" s="1" t="s">
        <v>5633</v>
      </c>
      <c r="W2879" s="8"/>
      <c r="AJ2879" s="1"/>
      <c r="AM2879" s="1" t="s">
        <v>4475</v>
      </c>
    </row>
    <row r="2880">
      <c r="H2880" s="1" t="s">
        <v>5308</v>
      </c>
      <c r="S2880" s="1" t="s">
        <v>1817</v>
      </c>
      <c r="W2880" s="8"/>
      <c r="AJ2880" s="1"/>
      <c r="AM2880" s="1" t="s">
        <v>4476</v>
      </c>
    </row>
    <row r="2881">
      <c r="H2881" s="1" t="s">
        <v>5924</v>
      </c>
      <c r="S2881" s="1" t="s">
        <v>125</v>
      </c>
      <c r="W2881" s="8"/>
      <c r="AJ2881" s="1"/>
      <c r="AM2881" s="1" t="s">
        <v>2659</v>
      </c>
    </row>
    <row r="2882">
      <c r="H2882" s="1" t="s">
        <v>1379</v>
      </c>
      <c r="S2882" s="1" t="s">
        <v>5144</v>
      </c>
      <c r="W2882" s="8"/>
      <c r="AJ2882" s="1"/>
      <c r="AM2882" s="1" t="s">
        <v>2664</v>
      </c>
    </row>
    <row r="2883">
      <c r="H2883" s="1" t="s">
        <v>5311</v>
      </c>
      <c r="S2883" s="1" t="s">
        <v>4162</v>
      </c>
      <c r="W2883" s="8"/>
      <c r="AJ2883" s="1"/>
      <c r="AM2883" s="1" t="s">
        <v>5925</v>
      </c>
    </row>
    <row r="2884">
      <c r="H2884" s="1" t="s">
        <v>3635</v>
      </c>
      <c r="S2884" s="1" t="s">
        <v>2610</v>
      </c>
      <c r="W2884" s="8"/>
      <c r="AJ2884" s="1"/>
      <c r="AM2884" s="1" t="s">
        <v>2669</v>
      </c>
    </row>
    <row r="2885">
      <c r="H2885" s="1" t="s">
        <v>3638</v>
      </c>
      <c r="S2885" s="1" t="s">
        <v>5926</v>
      </c>
      <c r="W2885" s="8"/>
      <c r="AJ2885" s="1"/>
      <c r="AM2885" s="1" t="s">
        <v>1854</v>
      </c>
    </row>
    <row r="2886">
      <c r="H2886" s="1" t="s">
        <v>1731</v>
      </c>
      <c r="S2886" s="1" t="s">
        <v>3934</v>
      </c>
      <c r="W2886" s="8"/>
      <c r="AJ2886" s="1"/>
      <c r="AM2886" s="1" t="s">
        <v>2675</v>
      </c>
    </row>
    <row r="2887">
      <c r="H2887" s="1" t="s">
        <v>5927</v>
      </c>
      <c r="S2887" s="1" t="s">
        <v>5928</v>
      </c>
      <c r="W2887" s="8"/>
      <c r="AJ2887" s="1"/>
      <c r="AM2887" s="1" t="s">
        <v>5289</v>
      </c>
    </row>
    <row r="2888">
      <c r="H2888" s="1" t="s">
        <v>2482</v>
      </c>
      <c r="S2888" s="1" t="s">
        <v>5641</v>
      </c>
      <c r="W2888" s="8"/>
      <c r="AJ2888" s="1"/>
      <c r="AM2888" s="1" t="s">
        <v>5224</v>
      </c>
    </row>
    <row r="2889">
      <c r="H2889" s="1" t="s">
        <v>4287</v>
      </c>
      <c r="S2889" s="1" t="s">
        <v>921</v>
      </c>
      <c r="W2889" s="8"/>
      <c r="AJ2889" s="1"/>
      <c r="AM2889" s="1" t="s">
        <v>5451</v>
      </c>
    </row>
    <row r="2890">
      <c r="H2890" s="1" t="s">
        <v>2485</v>
      </c>
      <c r="S2890" s="1" t="s">
        <v>4081</v>
      </c>
      <c r="W2890" s="8"/>
      <c r="AJ2890" s="1"/>
      <c r="AM2890" s="1" t="s">
        <v>5929</v>
      </c>
    </row>
    <row r="2891">
      <c r="H2891" s="1" t="s">
        <v>1425</v>
      </c>
      <c r="S2891" s="1" t="s">
        <v>2943</v>
      </c>
      <c r="W2891" s="8"/>
      <c r="AJ2891" s="1"/>
      <c r="AM2891" s="1" t="s">
        <v>1735</v>
      </c>
    </row>
    <row r="2892">
      <c r="H2892" s="1" t="s">
        <v>4291</v>
      </c>
      <c r="S2892" s="1" t="s">
        <v>997</v>
      </c>
      <c r="W2892" s="8"/>
      <c r="AJ2892" s="1"/>
      <c r="AM2892" s="1" t="s">
        <v>5930</v>
      </c>
    </row>
    <row r="2893">
      <c r="H2893" s="1" t="s">
        <v>3289</v>
      </c>
      <c r="S2893" s="1" t="s">
        <v>3655</v>
      </c>
      <c r="W2893" s="8"/>
      <c r="AJ2893" s="1"/>
      <c r="AM2893" s="1" t="s">
        <v>5931</v>
      </c>
    </row>
    <row r="2894">
      <c r="H2894" s="1" t="s">
        <v>5321</v>
      </c>
      <c r="S2894" s="1" t="s">
        <v>4547</v>
      </c>
      <c r="W2894" s="8"/>
      <c r="AJ2894" s="1"/>
      <c r="AM2894" s="1" t="s">
        <v>4487</v>
      </c>
    </row>
    <row r="2895">
      <c r="H2895" s="1" t="s">
        <v>2486</v>
      </c>
      <c r="S2895" s="1" t="s">
        <v>2388</v>
      </c>
      <c r="W2895" s="8"/>
      <c r="AJ2895" s="1"/>
      <c r="AM2895" s="1" t="s">
        <v>5932</v>
      </c>
    </row>
    <row r="2896">
      <c r="H2896" s="1" t="s">
        <v>3645</v>
      </c>
      <c r="S2896" s="1" t="s">
        <v>5933</v>
      </c>
      <c r="W2896" s="8"/>
      <c r="AJ2896" s="1"/>
      <c r="AM2896" s="1" t="s">
        <v>5104</v>
      </c>
    </row>
    <row r="2897">
      <c r="H2897" s="1" t="s">
        <v>5324</v>
      </c>
      <c r="S2897" s="1" t="s">
        <v>3474</v>
      </c>
      <c r="W2897" s="8"/>
      <c r="AJ2897" s="1"/>
      <c r="AM2897" s="1" t="s">
        <v>5461</v>
      </c>
    </row>
    <row r="2898">
      <c r="H2898" s="1" t="s">
        <v>5325</v>
      </c>
      <c r="S2898" s="1" t="s">
        <v>1978</v>
      </c>
      <c r="W2898" s="8"/>
      <c r="AJ2898" s="1"/>
      <c r="AM2898" s="1" t="s">
        <v>1500</v>
      </c>
    </row>
    <row r="2899">
      <c r="H2899" s="1" t="s">
        <v>1641</v>
      </c>
      <c r="S2899" s="1" t="s">
        <v>3640</v>
      </c>
      <c r="W2899" s="8"/>
      <c r="AJ2899" s="1"/>
      <c r="AM2899" s="1" t="s">
        <v>5934</v>
      </c>
    </row>
    <row r="2900">
      <c r="H2900" s="1" t="s">
        <v>3647</v>
      </c>
      <c r="S2900" s="1" t="s">
        <v>5742</v>
      </c>
      <c r="W2900" s="8"/>
      <c r="AJ2900" s="1"/>
      <c r="AM2900" s="1" t="s">
        <v>4492</v>
      </c>
    </row>
    <row r="2901">
      <c r="H2901" s="1" t="s">
        <v>5328</v>
      </c>
      <c r="S2901" s="1" t="s">
        <v>5935</v>
      </c>
      <c r="W2901" s="8"/>
      <c r="AJ2901" s="1"/>
      <c r="AM2901" s="1" t="s">
        <v>5936</v>
      </c>
    </row>
    <row r="2902">
      <c r="H2902" s="1" t="s">
        <v>5937</v>
      </c>
      <c r="S2902" s="1" t="s">
        <v>2357</v>
      </c>
      <c r="W2902" s="8"/>
      <c r="AJ2902" s="1"/>
      <c r="AM2902" s="1" t="s">
        <v>1876</v>
      </c>
    </row>
    <row r="2903">
      <c r="H2903" s="1" t="s">
        <v>1647</v>
      </c>
      <c r="S2903" s="1" t="s">
        <v>2449</v>
      </c>
      <c r="W2903" s="8"/>
      <c r="AJ2903" s="1"/>
      <c r="AM2903" s="1" t="s">
        <v>1387</v>
      </c>
    </row>
    <row r="2904">
      <c r="H2904" s="1" t="s">
        <v>2491</v>
      </c>
      <c r="S2904" s="1" t="s">
        <v>3169</v>
      </c>
      <c r="W2904" s="8"/>
      <c r="AJ2904" s="1"/>
      <c r="AM2904" s="1" t="s">
        <v>1507</v>
      </c>
    </row>
    <row r="2905">
      <c r="H2905" s="1" t="s">
        <v>2495</v>
      </c>
      <c r="S2905" s="1" t="s">
        <v>4000</v>
      </c>
      <c r="W2905" s="8"/>
      <c r="AJ2905" s="1"/>
      <c r="AM2905" s="1">
        <v>94.0</v>
      </c>
    </row>
    <row r="2906">
      <c r="H2906" s="1" t="s">
        <v>5332</v>
      </c>
      <c r="S2906" s="1" t="s">
        <v>3153</v>
      </c>
      <c r="W2906" s="8"/>
      <c r="AJ2906" s="1"/>
      <c r="AM2906" s="1" t="s">
        <v>5469</v>
      </c>
    </row>
    <row r="2907">
      <c r="H2907" s="1" t="s">
        <v>4296</v>
      </c>
      <c r="S2907" s="1" t="s">
        <v>4117</v>
      </c>
      <c r="W2907" s="8"/>
      <c r="AJ2907" s="1"/>
      <c r="AM2907" s="1" t="s">
        <v>1514</v>
      </c>
    </row>
    <row r="2908">
      <c r="H2908" s="1" t="s">
        <v>548</v>
      </c>
      <c r="S2908" s="1" t="s">
        <v>5938</v>
      </c>
      <c r="W2908" s="8"/>
      <c r="AJ2908" s="1"/>
      <c r="AM2908" s="1" t="s">
        <v>3737</v>
      </c>
    </row>
    <row r="2909">
      <c r="H2909" s="1" t="s">
        <v>5767</v>
      </c>
      <c r="S2909" s="1" t="s">
        <v>5575</v>
      </c>
      <c r="W2909" s="8"/>
      <c r="AJ2909" s="1"/>
      <c r="AM2909" s="1" t="s">
        <v>4496</v>
      </c>
    </row>
    <row r="2910">
      <c r="H2910" s="1" t="s">
        <v>1384</v>
      </c>
      <c r="S2910" s="1" t="s">
        <v>4318</v>
      </c>
      <c r="W2910" s="8"/>
      <c r="AJ2910" s="1"/>
      <c r="AM2910" s="1" t="s">
        <v>2686</v>
      </c>
    </row>
    <row r="2911">
      <c r="H2911" s="1" t="s">
        <v>2499</v>
      </c>
      <c r="S2911" s="1" t="s">
        <v>1054</v>
      </c>
      <c r="W2911" s="8"/>
      <c r="AJ2911" s="1"/>
      <c r="AM2911" s="1" t="s">
        <v>2690</v>
      </c>
    </row>
    <row r="2912">
      <c r="H2912" s="1" t="s">
        <v>2501</v>
      </c>
      <c r="S2912" s="1" t="s">
        <v>2502</v>
      </c>
      <c r="W2912" s="8"/>
      <c r="AJ2912" s="1"/>
      <c r="AM2912" s="1" t="s">
        <v>5473</v>
      </c>
    </row>
    <row r="2913">
      <c r="H2913" s="1" t="s">
        <v>4304</v>
      </c>
      <c r="S2913" s="1" t="s">
        <v>4360</v>
      </c>
      <c r="W2913" s="8"/>
      <c r="AJ2913" s="1"/>
      <c r="AM2913" s="1" t="s">
        <v>2694</v>
      </c>
    </row>
    <row r="2914">
      <c r="H2914" s="1" t="s">
        <v>5638</v>
      </c>
      <c r="S2914" s="1" t="s">
        <v>5939</v>
      </c>
      <c r="W2914" s="8"/>
      <c r="AJ2914" s="1"/>
      <c r="AM2914" s="1" t="s">
        <v>2697</v>
      </c>
    </row>
    <row r="2915">
      <c r="H2915" s="1" t="s">
        <v>1390</v>
      </c>
      <c r="S2915" s="1" t="s">
        <v>2255</v>
      </c>
      <c r="W2915" s="8"/>
      <c r="AJ2915" s="1"/>
      <c r="AM2915" s="1" t="s">
        <v>5506</v>
      </c>
    </row>
    <row r="2916">
      <c r="H2916" s="1" t="s">
        <v>4618</v>
      </c>
      <c r="S2916" s="1" t="s">
        <v>4985</v>
      </c>
      <c r="W2916" s="8"/>
      <c r="AJ2916" s="1"/>
      <c r="AM2916" s="1" t="s">
        <v>4450</v>
      </c>
    </row>
    <row r="2917">
      <c r="H2917" s="1" t="s">
        <v>1654</v>
      </c>
      <c r="S2917" s="1" t="s">
        <v>1416</v>
      </c>
      <c r="W2917" s="8"/>
      <c r="AJ2917" s="1"/>
      <c r="AM2917" s="1" t="s">
        <v>835</v>
      </c>
    </row>
    <row r="2918">
      <c r="H2918" s="1" t="s">
        <v>5338</v>
      </c>
      <c r="S2918" s="1" t="s">
        <v>2301</v>
      </c>
      <c r="W2918" s="8"/>
      <c r="AJ2918" s="1"/>
      <c r="AM2918" s="1" t="s">
        <v>5940</v>
      </c>
    </row>
    <row r="2919">
      <c r="H2919" s="1" t="s">
        <v>5339</v>
      </c>
      <c r="S2919" s="1" t="s">
        <v>3769</v>
      </c>
      <c r="W2919" s="8"/>
      <c r="AJ2919" s="1"/>
      <c r="AM2919" s="1" t="s">
        <v>2702</v>
      </c>
    </row>
    <row r="2920">
      <c r="H2920" s="1" t="s">
        <v>1662</v>
      </c>
      <c r="S2920" s="1" t="s">
        <v>1995</v>
      </c>
      <c r="W2920" s="8"/>
      <c r="AJ2920" s="1"/>
      <c r="AM2920" s="1" t="s">
        <v>1521</v>
      </c>
    </row>
    <row r="2921">
      <c r="H2921" s="1" t="s">
        <v>695</v>
      </c>
      <c r="S2921" s="1" t="s">
        <v>4050</v>
      </c>
      <c r="W2921" s="8"/>
      <c r="AJ2921" s="1"/>
      <c r="AM2921" s="1" t="s">
        <v>5941</v>
      </c>
    </row>
    <row r="2922">
      <c r="H2922" s="1" t="s">
        <v>4316</v>
      </c>
      <c r="S2922" s="1" t="s">
        <v>5422</v>
      </c>
      <c r="W2922" s="8"/>
      <c r="AJ2922" s="1"/>
      <c r="AM2922" s="1" t="s">
        <v>4511</v>
      </c>
    </row>
    <row r="2923">
      <c r="H2923" s="1" t="s">
        <v>5942</v>
      </c>
      <c r="S2923" s="1" t="s">
        <v>5512</v>
      </c>
      <c r="W2923" s="8"/>
      <c r="AJ2923" s="1"/>
      <c r="AM2923" s="1" t="s">
        <v>3744</v>
      </c>
    </row>
    <row r="2924">
      <c r="H2924" s="1" t="s">
        <v>5539</v>
      </c>
      <c r="S2924" s="1" t="s">
        <v>3702</v>
      </c>
      <c r="W2924" s="8"/>
      <c r="AJ2924" s="1"/>
      <c r="AM2924" s="1" t="s">
        <v>1527</v>
      </c>
    </row>
    <row r="2925">
      <c r="H2925" s="1" t="s">
        <v>5341</v>
      </c>
      <c r="S2925" s="1" t="s">
        <v>5943</v>
      </c>
      <c r="W2925" s="8"/>
      <c r="AJ2925" s="1"/>
      <c r="AM2925" s="1" t="s">
        <v>4513</v>
      </c>
    </row>
    <row r="2926">
      <c r="H2926" s="1" t="s">
        <v>5342</v>
      </c>
      <c r="S2926" s="1" t="s">
        <v>5921</v>
      </c>
      <c r="W2926" s="8"/>
      <c r="AJ2926" s="1"/>
      <c r="AM2926" s="1" t="s">
        <v>1534</v>
      </c>
    </row>
    <row r="2927">
      <c r="H2927" s="1" t="s">
        <v>4320</v>
      </c>
      <c r="S2927" s="1" t="s">
        <v>195</v>
      </c>
      <c r="W2927" s="8"/>
      <c r="AJ2927" s="1"/>
      <c r="AM2927" s="1" t="s">
        <v>5480</v>
      </c>
    </row>
    <row r="2928">
      <c r="H2928" s="1" t="s">
        <v>4824</v>
      </c>
      <c r="S2928" s="1" t="s">
        <v>2418</v>
      </c>
      <c r="W2928" s="8"/>
      <c r="AJ2928" s="1"/>
      <c r="AM2928" s="1" t="s">
        <v>1542</v>
      </c>
    </row>
    <row r="2929">
      <c r="H2929" s="1" t="s">
        <v>2511</v>
      </c>
      <c r="S2929" s="1" t="s">
        <v>5063</v>
      </c>
      <c r="W2929" s="8"/>
      <c r="AJ2929" s="1"/>
      <c r="AM2929" s="1" t="s">
        <v>4516</v>
      </c>
    </row>
    <row r="2930">
      <c r="H2930" s="1" t="s">
        <v>2508</v>
      </c>
      <c r="S2930" s="1" t="s">
        <v>3530</v>
      </c>
      <c r="W2930" s="8"/>
      <c r="AJ2930" s="1"/>
      <c r="AM2930" s="1" t="s">
        <v>5944</v>
      </c>
    </row>
    <row r="2931">
      <c r="H2931" s="1" t="s">
        <v>1668</v>
      </c>
      <c r="S2931" s="1" t="s">
        <v>5945</v>
      </c>
      <c r="W2931" s="8"/>
      <c r="AJ2931" s="1"/>
      <c r="AM2931" s="1" t="s">
        <v>4517</v>
      </c>
    </row>
    <row r="2932">
      <c r="H2932" s="1" t="s">
        <v>5532</v>
      </c>
      <c r="S2932" s="1" t="s">
        <v>4923</v>
      </c>
      <c r="W2932" s="8"/>
      <c r="AJ2932" s="1"/>
      <c r="AM2932" s="1" t="s">
        <v>5946</v>
      </c>
    </row>
    <row r="2933">
      <c r="H2933" s="1" t="s">
        <v>5947</v>
      </c>
      <c r="S2933" s="1" t="s">
        <v>1327</v>
      </c>
      <c r="W2933" s="8"/>
      <c r="AJ2933" s="1"/>
      <c r="AM2933" s="1" t="s">
        <v>750</v>
      </c>
    </row>
    <row r="2934">
      <c r="H2934" s="1" t="s">
        <v>2515</v>
      </c>
      <c r="S2934" s="1" t="s">
        <v>3920</v>
      </c>
      <c r="W2934" s="8"/>
      <c r="AJ2934" s="1"/>
      <c r="AM2934" s="1" t="s">
        <v>2718</v>
      </c>
    </row>
    <row r="2935">
      <c r="H2935" s="1" t="s">
        <v>1675</v>
      </c>
      <c r="S2935" s="1" t="s">
        <v>5948</v>
      </c>
      <c r="W2935" s="8"/>
      <c r="AJ2935" s="1"/>
      <c r="AM2935" s="1" t="s">
        <v>2721</v>
      </c>
    </row>
    <row r="2936">
      <c r="H2936" s="1" t="s">
        <v>3138</v>
      </c>
      <c r="S2936" s="1" t="s">
        <v>3503</v>
      </c>
      <c r="W2936" s="8"/>
      <c r="AJ2936" s="1"/>
      <c r="AM2936" s="1" t="s">
        <v>2124</v>
      </c>
    </row>
    <row r="2937">
      <c r="H2937" s="1" t="s">
        <v>4332</v>
      </c>
      <c r="S2937" s="1" t="s">
        <v>2972</v>
      </c>
      <c r="W2937" s="8"/>
      <c r="AJ2937" s="1"/>
      <c r="AM2937" s="1" t="s">
        <v>5949</v>
      </c>
    </row>
    <row r="2938">
      <c r="H2938" s="1" t="s">
        <v>2520</v>
      </c>
      <c r="S2938" s="1" t="s">
        <v>2365</v>
      </c>
      <c r="W2938" s="8"/>
      <c r="AJ2938" s="1"/>
      <c r="AM2938" s="1" t="s">
        <v>5950</v>
      </c>
    </row>
    <row r="2939">
      <c r="H2939" s="1" t="s">
        <v>5348</v>
      </c>
      <c r="S2939" s="1" t="s">
        <v>3401</v>
      </c>
      <c r="W2939" s="8"/>
      <c r="AJ2939" s="1"/>
      <c r="AM2939" s="1" t="s">
        <v>2724</v>
      </c>
    </row>
    <row r="2940">
      <c r="H2940" s="1" t="s">
        <v>1397</v>
      </c>
      <c r="S2940" s="1" t="s">
        <v>5877</v>
      </c>
      <c r="W2940" s="8"/>
      <c r="AJ2940" s="1"/>
      <c r="AM2940" s="1" t="s">
        <v>4524</v>
      </c>
    </row>
    <row r="2941">
      <c r="H2941" s="1" t="s">
        <v>5349</v>
      </c>
      <c r="S2941" s="1" t="s">
        <v>5951</v>
      </c>
      <c r="W2941" s="8"/>
      <c r="AJ2941" s="1"/>
      <c r="AM2941" s="1" t="s">
        <v>4526</v>
      </c>
    </row>
    <row r="2942">
      <c r="H2942" s="1" t="s">
        <v>4336</v>
      </c>
      <c r="S2942" s="1" t="s">
        <v>5952</v>
      </c>
      <c r="W2942" s="8"/>
      <c r="AJ2942" s="1"/>
      <c r="AM2942" s="1" t="s">
        <v>2728</v>
      </c>
    </row>
    <row r="2943">
      <c r="H2943" s="1" t="s">
        <v>5351</v>
      </c>
      <c r="S2943" s="1" t="s">
        <v>5953</v>
      </c>
      <c r="W2943" s="8"/>
      <c r="AJ2943" s="1"/>
      <c r="AM2943" s="1" t="s">
        <v>4529</v>
      </c>
    </row>
    <row r="2944">
      <c r="H2944" s="1" t="s">
        <v>5954</v>
      </c>
      <c r="S2944" s="1" t="s">
        <v>5955</v>
      </c>
      <c r="W2944" s="8"/>
      <c r="AJ2944" s="1"/>
      <c r="AM2944" s="1" t="s">
        <v>4532</v>
      </c>
    </row>
    <row r="2945">
      <c r="H2945" s="1" t="s">
        <v>3670</v>
      </c>
      <c r="S2945" s="1" t="s">
        <v>558</v>
      </c>
      <c r="W2945" s="8"/>
      <c r="AJ2945" s="1"/>
      <c r="AM2945" s="1" t="s">
        <v>2730</v>
      </c>
    </row>
    <row r="2946">
      <c r="H2946" s="1">
        <v>66.0</v>
      </c>
      <c r="S2946" s="1" t="s">
        <v>389</v>
      </c>
      <c r="W2946" s="8"/>
      <c r="AJ2946" s="1"/>
      <c r="AM2946" s="1" t="s">
        <v>5489</v>
      </c>
    </row>
    <row r="2947">
      <c r="H2947" s="1" t="s">
        <v>3234</v>
      </c>
      <c r="S2947" s="1" t="s">
        <v>5956</v>
      </c>
      <c r="W2947" s="8"/>
      <c r="AJ2947" s="1"/>
      <c r="AM2947" s="1" t="s">
        <v>1550</v>
      </c>
    </row>
    <row r="2948">
      <c r="H2948" s="1" t="s">
        <v>5347</v>
      </c>
      <c r="S2948" s="1" t="s">
        <v>2538</v>
      </c>
      <c r="W2948" s="8"/>
      <c r="AJ2948" s="1"/>
      <c r="AM2948" s="1" t="s">
        <v>2736</v>
      </c>
    </row>
    <row r="2949">
      <c r="H2949" s="1" t="s">
        <v>4345</v>
      </c>
      <c r="S2949" s="1" t="s">
        <v>1045</v>
      </c>
      <c r="W2949" s="8"/>
      <c r="AJ2949" s="1"/>
      <c r="AM2949" s="1" t="s">
        <v>4537</v>
      </c>
    </row>
    <row r="2950">
      <c r="H2950" s="1" t="s">
        <v>1755</v>
      </c>
      <c r="S2950" s="1" t="s">
        <v>1254</v>
      </c>
      <c r="W2950" s="8"/>
      <c r="AJ2950" s="1"/>
      <c r="AM2950" s="1" t="s">
        <v>4539</v>
      </c>
    </row>
    <row r="2951">
      <c r="H2951" s="1" t="s">
        <v>2530</v>
      </c>
      <c r="S2951" s="1" t="s">
        <v>3825</v>
      </c>
      <c r="W2951" s="8"/>
      <c r="AJ2951" s="1"/>
      <c r="AM2951" s="1" t="s">
        <v>4540</v>
      </c>
    </row>
    <row r="2952">
      <c r="H2952" s="1" t="s">
        <v>2533</v>
      </c>
      <c r="S2952" s="1" t="s">
        <v>5957</v>
      </c>
      <c r="W2952" s="8"/>
      <c r="AJ2952" s="1"/>
      <c r="AM2952" s="1" t="s">
        <v>4542</v>
      </c>
    </row>
    <row r="2953">
      <c r="H2953" s="1" t="s">
        <v>5830</v>
      </c>
      <c r="S2953" s="1" t="s">
        <v>2930</v>
      </c>
      <c r="W2953" s="8"/>
      <c r="AJ2953" s="1"/>
      <c r="AM2953" s="1" t="s">
        <v>2739</v>
      </c>
    </row>
    <row r="2954">
      <c r="H2954" s="1">
        <v>1998.0</v>
      </c>
      <c r="S2954" s="1" t="s">
        <v>399</v>
      </c>
      <c r="W2954" s="8"/>
      <c r="AJ2954" s="1"/>
      <c r="AM2954" s="1" t="s">
        <v>4105</v>
      </c>
    </row>
    <row r="2955">
      <c r="H2955" s="1" t="s">
        <v>5358</v>
      </c>
      <c r="S2955" s="1" t="s">
        <v>5958</v>
      </c>
      <c r="W2955" s="8"/>
      <c r="AJ2955" s="1"/>
      <c r="AM2955" s="1" t="s">
        <v>5495</v>
      </c>
    </row>
    <row r="2956">
      <c r="H2956" s="1" t="s">
        <v>3673</v>
      </c>
      <c r="S2956" s="1" t="s">
        <v>3703</v>
      </c>
      <c r="W2956" s="8"/>
      <c r="AJ2956" s="1"/>
      <c r="AM2956" s="1" t="s">
        <v>2742</v>
      </c>
    </row>
    <row r="2957">
      <c r="H2957" s="1" t="s">
        <v>2536</v>
      </c>
      <c r="S2957" s="1" t="s">
        <v>3155</v>
      </c>
      <c r="W2957" s="8"/>
      <c r="AJ2957" s="1"/>
      <c r="AM2957" s="1" t="s">
        <v>5496</v>
      </c>
    </row>
    <row r="2958">
      <c r="H2958" s="1" t="s">
        <v>4597</v>
      </c>
      <c r="S2958" s="1" t="s">
        <v>5959</v>
      </c>
      <c r="W2958" s="8"/>
      <c r="AJ2958" s="1"/>
      <c r="AM2958" s="1" t="s">
        <v>4545</v>
      </c>
    </row>
    <row r="2959">
      <c r="H2959" s="1" t="s">
        <v>1410</v>
      </c>
      <c r="S2959" s="1" t="s">
        <v>5543</v>
      </c>
      <c r="W2959" s="8"/>
      <c r="AJ2959" s="1"/>
      <c r="AM2959" s="1" t="s">
        <v>5002</v>
      </c>
    </row>
    <row r="2960">
      <c r="H2960" s="1" t="s">
        <v>1415</v>
      </c>
      <c r="S2960" s="1" t="s">
        <v>1791</v>
      </c>
      <c r="W2960" s="8"/>
      <c r="AJ2960" s="1"/>
      <c r="AM2960" s="1" t="s">
        <v>5960</v>
      </c>
    </row>
    <row r="2961">
      <c r="H2961" s="1" t="s">
        <v>1680</v>
      </c>
      <c r="S2961" s="1" t="s">
        <v>4906</v>
      </c>
      <c r="W2961" s="8"/>
      <c r="AJ2961" s="1"/>
      <c r="AM2961" s="1" t="s">
        <v>5961</v>
      </c>
    </row>
    <row r="2962">
      <c r="H2962" s="1" t="s">
        <v>4356</v>
      </c>
      <c r="S2962" s="1" t="s">
        <v>2280</v>
      </c>
      <c r="W2962" s="8"/>
      <c r="AJ2962" s="1"/>
      <c r="AM2962" s="1" t="s">
        <v>5500</v>
      </c>
    </row>
    <row r="2963">
      <c r="H2963" s="1" t="s">
        <v>346</v>
      </c>
      <c r="S2963" s="1" t="s">
        <v>5453</v>
      </c>
      <c r="W2963" s="8"/>
      <c r="AJ2963" s="1"/>
      <c r="AM2963" s="1" t="s">
        <v>4547</v>
      </c>
    </row>
    <row r="2964">
      <c r="H2964" s="1" t="s">
        <v>2543</v>
      </c>
      <c r="S2964" s="1" t="s">
        <v>5390</v>
      </c>
      <c r="W2964" s="8"/>
      <c r="AJ2964" s="1"/>
      <c r="AM2964" s="1" t="s">
        <v>4548</v>
      </c>
    </row>
    <row r="2965">
      <c r="H2965" s="1" t="s">
        <v>5365</v>
      </c>
      <c r="S2965" s="1" t="s">
        <v>5876</v>
      </c>
      <c r="W2965" s="8"/>
      <c r="AJ2965" s="1"/>
      <c r="AM2965" s="1" t="s">
        <v>5962</v>
      </c>
    </row>
    <row r="2966">
      <c r="H2966" s="1" t="s">
        <v>4360</v>
      </c>
      <c r="S2966" s="1" t="s">
        <v>2268</v>
      </c>
      <c r="W2966" s="8"/>
      <c r="AJ2966" s="1"/>
      <c r="AM2966" s="1" t="s">
        <v>4550</v>
      </c>
    </row>
    <row r="2967">
      <c r="H2967" s="1" t="s">
        <v>5367</v>
      </c>
      <c r="S2967" s="1" t="s">
        <v>209</v>
      </c>
      <c r="W2967" s="8"/>
      <c r="AJ2967" s="1"/>
      <c r="AM2967" s="1" t="s">
        <v>4553</v>
      </c>
    </row>
    <row r="2968">
      <c r="H2968" s="1" t="s">
        <v>5140</v>
      </c>
      <c r="S2968" s="1" t="s">
        <v>5963</v>
      </c>
      <c r="W2968" s="8"/>
      <c r="AJ2968" s="1"/>
      <c r="AM2968" s="1" t="s">
        <v>2745</v>
      </c>
    </row>
    <row r="2969">
      <c r="H2969" s="1" t="s">
        <v>5369</v>
      </c>
      <c r="S2969" s="1" t="s">
        <v>647</v>
      </c>
      <c r="W2969" s="8"/>
      <c r="AJ2969" s="1"/>
      <c r="AM2969" s="1" t="s">
        <v>5131</v>
      </c>
    </row>
    <row r="2970">
      <c r="H2970" s="1" t="s">
        <v>2545</v>
      </c>
      <c r="S2970" s="1" t="s">
        <v>5752</v>
      </c>
      <c r="W2970" s="8"/>
      <c r="AJ2970" s="1"/>
      <c r="AM2970" s="1" t="s">
        <v>2746</v>
      </c>
    </row>
    <row r="2971">
      <c r="H2971" s="1" t="s">
        <v>338</v>
      </c>
      <c r="S2971" s="1" t="s">
        <v>3164</v>
      </c>
      <c r="W2971" s="8"/>
      <c r="AJ2971" s="1"/>
      <c r="AM2971" s="1" t="s">
        <v>3753</v>
      </c>
    </row>
    <row r="2972">
      <c r="H2972" s="1" t="s">
        <v>5372</v>
      </c>
      <c r="S2972" s="1" t="s">
        <v>4534</v>
      </c>
      <c r="W2972" s="8"/>
      <c r="AJ2972" s="1"/>
      <c r="AM2972" s="1" t="s">
        <v>4556</v>
      </c>
    </row>
    <row r="2973">
      <c r="H2973" s="1" t="s">
        <v>4368</v>
      </c>
      <c r="S2973" s="1" t="s">
        <v>5941</v>
      </c>
      <c r="W2973" s="8"/>
      <c r="AJ2973" s="1"/>
      <c r="AM2973" s="1" t="s">
        <v>5964</v>
      </c>
    </row>
    <row r="2974">
      <c r="H2974" s="1" t="s">
        <v>5373</v>
      </c>
      <c r="S2974" s="1" t="s">
        <v>5803</v>
      </c>
      <c r="W2974" s="8"/>
      <c r="AJ2974" s="1"/>
      <c r="AM2974" s="1" t="s">
        <v>2748</v>
      </c>
    </row>
    <row r="2975">
      <c r="H2975" s="1" t="s">
        <v>5375</v>
      </c>
      <c r="S2975" s="1" t="s">
        <v>5965</v>
      </c>
      <c r="W2975" s="8"/>
      <c r="AJ2975" s="1"/>
      <c r="AM2975" s="1" t="s">
        <v>2750</v>
      </c>
    </row>
    <row r="2976">
      <c r="H2976" s="1" t="s">
        <v>4370</v>
      </c>
      <c r="S2976" s="1" t="s">
        <v>543</v>
      </c>
      <c r="W2976" s="8"/>
      <c r="AJ2976" s="1"/>
      <c r="AM2976" s="1">
        <v>2001.0</v>
      </c>
    </row>
    <row r="2977">
      <c r="H2977" s="1" t="s">
        <v>5730</v>
      </c>
      <c r="S2977" s="1" t="s">
        <v>4310</v>
      </c>
      <c r="W2977" s="8"/>
      <c r="AJ2977" s="1"/>
      <c r="AM2977" s="1" t="s">
        <v>4560</v>
      </c>
    </row>
    <row r="2978">
      <c r="H2978" s="1" t="s">
        <v>3683</v>
      </c>
      <c r="S2978" s="1" t="s">
        <v>2546</v>
      </c>
      <c r="W2978" s="8"/>
      <c r="AJ2978" s="1"/>
      <c r="AM2978" s="1" t="s">
        <v>4561</v>
      </c>
    </row>
    <row r="2979">
      <c r="H2979" s="1" t="s">
        <v>4374</v>
      </c>
      <c r="S2979" s="1" t="s">
        <v>1386</v>
      </c>
      <c r="W2979" s="8"/>
      <c r="AJ2979" s="1"/>
      <c r="AM2979" s="1" t="s">
        <v>1556</v>
      </c>
    </row>
    <row r="2980">
      <c r="H2980" s="1" t="s">
        <v>4377</v>
      </c>
      <c r="S2980" s="1" t="s">
        <v>5565</v>
      </c>
      <c r="W2980" s="8"/>
      <c r="AJ2980" s="1"/>
      <c r="AM2980" s="1" t="s">
        <v>5513</v>
      </c>
    </row>
    <row r="2981">
      <c r="H2981" s="1" t="s">
        <v>5966</v>
      </c>
      <c r="S2981" s="1" t="s">
        <v>4035</v>
      </c>
      <c r="W2981" s="8"/>
      <c r="AJ2981" s="1"/>
      <c r="AM2981" s="1" t="s">
        <v>2758</v>
      </c>
    </row>
    <row r="2982">
      <c r="H2982" s="1" t="s">
        <v>5967</v>
      </c>
      <c r="S2982" s="1" t="s">
        <v>4836</v>
      </c>
      <c r="W2982" s="8"/>
      <c r="AJ2982" s="1"/>
      <c r="AM2982" s="1" t="s">
        <v>2763</v>
      </c>
    </row>
    <row r="2983">
      <c r="H2983" s="1" t="s">
        <v>5968</v>
      </c>
      <c r="S2983" s="1" t="s">
        <v>1302</v>
      </c>
      <c r="W2983" s="8"/>
      <c r="AJ2983" s="1"/>
      <c r="AM2983" s="1" t="s">
        <v>4566</v>
      </c>
    </row>
    <row r="2984">
      <c r="H2984" s="1" t="s">
        <v>3684</v>
      </c>
      <c r="S2984" s="1" t="s">
        <v>2796</v>
      </c>
      <c r="W2984" s="8"/>
      <c r="AJ2984" s="1"/>
      <c r="AM2984" s="1" t="s">
        <v>4580</v>
      </c>
    </row>
    <row r="2985">
      <c r="H2985" s="1" t="s">
        <v>1695</v>
      </c>
      <c r="S2985" s="1" t="s">
        <v>4231</v>
      </c>
      <c r="W2985" s="8"/>
      <c r="AJ2985" s="1"/>
      <c r="AM2985" s="1" t="s">
        <v>5517</v>
      </c>
    </row>
    <row r="2986">
      <c r="H2986" s="1" t="s">
        <v>5382</v>
      </c>
      <c r="S2986" s="1" t="s">
        <v>3330</v>
      </c>
      <c r="W2986" s="8"/>
      <c r="AJ2986" s="1"/>
      <c r="AM2986" s="1" t="s">
        <v>5703</v>
      </c>
    </row>
    <row r="2987">
      <c r="H2987" s="1" t="s">
        <v>5852</v>
      </c>
      <c r="S2987" s="1" t="s">
        <v>5969</v>
      </c>
      <c r="W2987" s="8"/>
      <c r="AJ2987" s="1"/>
      <c r="AM2987" s="1" t="s">
        <v>1884</v>
      </c>
    </row>
    <row r="2988">
      <c r="H2988" s="1" t="s">
        <v>5383</v>
      </c>
      <c r="S2988" s="1" t="s">
        <v>5970</v>
      </c>
      <c r="W2988" s="8"/>
      <c r="AJ2988" s="1"/>
      <c r="AM2988" s="1" t="s">
        <v>1286</v>
      </c>
    </row>
    <row r="2989">
      <c r="H2989" s="1" t="s">
        <v>3686</v>
      </c>
      <c r="S2989" s="1" t="s">
        <v>1322</v>
      </c>
      <c r="W2989" s="8"/>
      <c r="AJ2989" s="1"/>
      <c r="AM2989" s="1" t="s">
        <v>1760</v>
      </c>
    </row>
    <row r="2990">
      <c r="H2990" s="1" t="s">
        <v>5385</v>
      </c>
      <c r="S2990" s="1" t="s">
        <v>5651</v>
      </c>
      <c r="W2990" s="8"/>
      <c r="AJ2990" s="1"/>
      <c r="AM2990" s="1" t="s">
        <v>2768</v>
      </c>
    </row>
    <row r="2991">
      <c r="H2991" s="1" t="s">
        <v>3251</v>
      </c>
      <c r="S2991" s="1" t="s">
        <v>5158</v>
      </c>
      <c r="W2991" s="8"/>
      <c r="AJ2991" s="1"/>
      <c r="AM2991" s="1" t="s">
        <v>5291</v>
      </c>
    </row>
    <row r="2992">
      <c r="H2992" s="1" t="s">
        <v>5387</v>
      </c>
      <c r="S2992" s="1" t="s">
        <v>2743</v>
      </c>
      <c r="W2992" s="8"/>
      <c r="AJ2992" s="1"/>
      <c r="AM2992" s="1" t="s">
        <v>2771</v>
      </c>
    </row>
    <row r="2993">
      <c r="H2993" s="1" t="s">
        <v>268</v>
      </c>
      <c r="S2993" s="1" t="s">
        <v>5946</v>
      </c>
      <c r="W2993" s="8"/>
      <c r="AJ2993" s="1"/>
      <c r="AM2993" s="1" t="s">
        <v>1401</v>
      </c>
    </row>
    <row r="2994">
      <c r="H2994" s="1" t="s">
        <v>5345</v>
      </c>
      <c r="S2994" s="1" t="s">
        <v>4164</v>
      </c>
      <c r="W2994" s="8"/>
      <c r="AJ2994" s="1"/>
      <c r="AM2994" s="1" t="s">
        <v>2780</v>
      </c>
    </row>
    <row r="2995">
      <c r="H2995" s="1" t="s">
        <v>2116</v>
      </c>
      <c r="S2995" s="1" t="s">
        <v>2996</v>
      </c>
      <c r="W2995" s="8"/>
      <c r="AJ2995" s="1"/>
      <c r="AM2995" s="1" t="s">
        <v>3769</v>
      </c>
    </row>
    <row r="2996">
      <c r="H2996" s="1" t="s">
        <v>5390</v>
      </c>
      <c r="S2996" s="1" t="s">
        <v>3549</v>
      </c>
      <c r="W2996" s="8"/>
      <c r="AJ2996" s="1"/>
      <c r="AM2996" s="1" t="s">
        <v>1566</v>
      </c>
    </row>
    <row r="2997">
      <c r="H2997" s="1" t="s">
        <v>5971</v>
      </c>
      <c r="S2997" s="1" t="s">
        <v>4664</v>
      </c>
      <c r="W2997" s="8"/>
      <c r="AJ2997" s="1"/>
      <c r="AM2997" s="1" t="s">
        <v>4574</v>
      </c>
    </row>
    <row r="2998">
      <c r="H2998" s="1" t="s">
        <v>5391</v>
      </c>
      <c r="S2998" s="1" t="s">
        <v>3991</v>
      </c>
      <c r="W2998" s="8"/>
      <c r="AJ2998" s="1"/>
      <c r="AM2998" s="1" t="s">
        <v>1572</v>
      </c>
    </row>
    <row r="2999">
      <c r="H2999" s="1" t="s">
        <v>4387</v>
      </c>
      <c r="S2999" s="1" t="s">
        <v>5301</v>
      </c>
      <c r="W2999" s="8"/>
      <c r="AJ2999" s="1"/>
      <c r="AM2999" s="1">
        <v>1952.0</v>
      </c>
    </row>
    <row r="3000">
      <c r="H3000" s="1" t="s">
        <v>4389</v>
      </c>
      <c r="S3000" s="1" t="s">
        <v>4248</v>
      </c>
      <c r="W3000" s="8"/>
      <c r="AJ3000" s="1"/>
      <c r="AM3000" s="1" t="s">
        <v>3688</v>
      </c>
    </row>
    <row r="3001">
      <c r="H3001" s="1" t="s">
        <v>574</v>
      </c>
      <c r="S3001" s="1" t="s">
        <v>5972</v>
      </c>
      <c r="W3001" s="8"/>
      <c r="AJ3001" s="1"/>
      <c r="AM3001" s="1" t="s">
        <v>5531</v>
      </c>
    </row>
    <row r="3002">
      <c r="H3002" s="1" t="s">
        <v>5394</v>
      </c>
      <c r="S3002" s="1" t="s">
        <v>2114</v>
      </c>
      <c r="W3002" s="8"/>
      <c r="AJ3002" s="1"/>
      <c r="AM3002" s="1" t="s">
        <v>4579</v>
      </c>
    </row>
    <row r="3003">
      <c r="H3003" s="1" t="s">
        <v>1433</v>
      </c>
      <c r="S3003" s="1" t="s">
        <v>4693</v>
      </c>
      <c r="W3003" s="8"/>
      <c r="AJ3003" s="1"/>
      <c r="AM3003" s="1" t="s">
        <v>5533</v>
      </c>
    </row>
    <row r="3004">
      <c r="H3004" s="1" t="s">
        <v>1630</v>
      </c>
      <c r="S3004" s="1" t="s">
        <v>5973</v>
      </c>
      <c r="W3004" s="8"/>
      <c r="AJ3004" s="1"/>
      <c r="AM3004" s="1" t="s">
        <v>2786</v>
      </c>
    </row>
    <row r="3005">
      <c r="H3005" s="1" t="s">
        <v>2562</v>
      </c>
      <c r="S3005" s="1" t="s">
        <v>3793</v>
      </c>
      <c r="W3005" s="8"/>
      <c r="AJ3005" s="1"/>
      <c r="AM3005" s="1" t="s">
        <v>5536</v>
      </c>
    </row>
    <row r="3006">
      <c r="H3006" s="1" t="s">
        <v>2566</v>
      </c>
      <c r="S3006" s="1" t="s">
        <v>80</v>
      </c>
      <c r="W3006" s="8"/>
      <c r="AJ3006" s="1"/>
      <c r="AM3006" s="1" t="s">
        <v>2790</v>
      </c>
    </row>
    <row r="3007">
      <c r="H3007" s="1" t="s">
        <v>2568</v>
      </c>
      <c r="S3007" s="1" t="s">
        <v>5974</v>
      </c>
      <c r="W3007" s="8"/>
      <c r="AJ3007" s="1"/>
      <c r="AM3007" s="1" t="s">
        <v>5975</v>
      </c>
    </row>
    <row r="3008">
      <c r="H3008" s="1" t="s">
        <v>5047</v>
      </c>
      <c r="S3008" s="1" t="s">
        <v>3095</v>
      </c>
      <c r="W3008" s="8"/>
      <c r="AJ3008" s="1"/>
      <c r="AM3008" s="1" t="s">
        <v>1890</v>
      </c>
    </row>
    <row r="3009">
      <c r="H3009" s="1" t="s">
        <v>4396</v>
      </c>
      <c r="S3009" s="1" t="s">
        <v>1058</v>
      </c>
      <c r="W3009" s="8"/>
      <c r="AJ3009" s="1"/>
      <c r="AM3009" s="1" t="s">
        <v>4585</v>
      </c>
    </row>
    <row r="3010">
      <c r="H3010" s="1" t="s">
        <v>4398</v>
      </c>
      <c r="S3010" s="1">
        <v>89.0</v>
      </c>
      <c r="W3010" s="8"/>
      <c r="AJ3010" s="1"/>
      <c r="AM3010" s="1" t="s">
        <v>974</v>
      </c>
    </row>
    <row r="3011">
      <c r="H3011" s="1" t="s">
        <v>4401</v>
      </c>
      <c r="S3011" s="1" t="s">
        <v>4363</v>
      </c>
      <c r="W3011" s="8"/>
      <c r="AJ3011" s="1"/>
      <c r="AM3011" s="1" t="s">
        <v>2794</v>
      </c>
    </row>
    <row r="3012">
      <c r="H3012" s="1" t="s">
        <v>1439</v>
      </c>
      <c r="S3012" s="1" t="s">
        <v>5626</v>
      </c>
      <c r="W3012" s="8"/>
      <c r="AJ3012" s="1"/>
      <c r="AM3012" s="1" t="s">
        <v>5541</v>
      </c>
    </row>
    <row r="3013">
      <c r="H3013" s="1" t="s">
        <v>1445</v>
      </c>
      <c r="S3013" s="1" t="s">
        <v>2423</v>
      </c>
      <c r="W3013" s="8"/>
      <c r="AJ3013" s="1"/>
      <c r="AM3013" s="1" t="s">
        <v>5542</v>
      </c>
    </row>
    <row r="3014">
      <c r="H3014" s="1" t="s">
        <v>4412</v>
      </c>
      <c r="S3014" s="1" t="s">
        <v>5786</v>
      </c>
      <c r="W3014" s="8"/>
      <c r="AJ3014" s="1"/>
      <c r="AM3014" s="1" t="s">
        <v>1578</v>
      </c>
    </row>
    <row r="3015">
      <c r="H3015" s="1" t="s">
        <v>5403</v>
      </c>
      <c r="S3015" s="1" t="s">
        <v>510</v>
      </c>
      <c r="W3015" s="8"/>
      <c r="AJ3015" s="1"/>
      <c r="AM3015" s="1" t="s">
        <v>2798</v>
      </c>
    </row>
    <row r="3016">
      <c r="H3016" s="1" t="s">
        <v>5404</v>
      </c>
      <c r="S3016" s="1" t="s">
        <v>5624</v>
      </c>
      <c r="W3016" s="8"/>
      <c r="AJ3016" s="1"/>
      <c r="AM3016" s="1" t="s">
        <v>3776</v>
      </c>
    </row>
    <row r="3017">
      <c r="H3017" s="1" t="s">
        <v>4414</v>
      </c>
      <c r="S3017" s="1" t="s">
        <v>5976</v>
      </c>
      <c r="W3017" s="8"/>
      <c r="AJ3017" s="1"/>
      <c r="AM3017" s="1" t="s">
        <v>5415</v>
      </c>
    </row>
    <row r="3018">
      <c r="H3018" s="1" t="s">
        <v>3708</v>
      </c>
      <c r="S3018" s="1" t="s">
        <v>5977</v>
      </c>
      <c r="W3018" s="8"/>
      <c r="AJ3018" s="1"/>
      <c r="AM3018" s="1" t="s">
        <v>2800</v>
      </c>
    </row>
    <row r="3019">
      <c r="H3019" s="1" t="s">
        <v>1491</v>
      </c>
      <c r="S3019" s="1" t="s">
        <v>5978</v>
      </c>
      <c r="W3019" s="8"/>
      <c r="AJ3019" s="1"/>
      <c r="AM3019" s="1" t="s">
        <v>3630</v>
      </c>
    </row>
    <row r="3020">
      <c r="H3020" s="1" t="s">
        <v>4416</v>
      </c>
      <c r="S3020" s="1" t="s">
        <v>4843</v>
      </c>
      <c r="W3020" s="8"/>
      <c r="AJ3020" s="1"/>
      <c r="AM3020" s="1" t="s">
        <v>3784</v>
      </c>
    </row>
    <row r="3021">
      <c r="H3021" s="1" t="s">
        <v>1450</v>
      </c>
      <c r="S3021" s="1" t="s">
        <v>5763</v>
      </c>
      <c r="W3021" s="8"/>
      <c r="AJ3021" s="1"/>
      <c r="AM3021" s="1" t="s">
        <v>1583</v>
      </c>
    </row>
    <row r="3022">
      <c r="H3022" s="1" t="s">
        <v>5322</v>
      </c>
      <c r="S3022" s="1" t="s">
        <v>5256</v>
      </c>
      <c r="W3022" s="8"/>
      <c r="AJ3022" s="1"/>
      <c r="AM3022" s="1" t="s">
        <v>4591</v>
      </c>
    </row>
    <row r="3023">
      <c r="H3023" s="1" t="s">
        <v>5360</v>
      </c>
      <c r="S3023" s="1" t="s">
        <v>3593</v>
      </c>
      <c r="W3023" s="8"/>
      <c r="AJ3023" s="1"/>
      <c r="AM3023" s="1" t="s">
        <v>2803</v>
      </c>
    </row>
    <row r="3024">
      <c r="H3024" s="1" t="s">
        <v>5409</v>
      </c>
      <c r="S3024" s="1" t="s">
        <v>3352</v>
      </c>
      <c r="W3024" s="8"/>
      <c r="AJ3024" s="1"/>
      <c r="AM3024" s="1" t="s">
        <v>5550</v>
      </c>
    </row>
    <row r="3025">
      <c r="H3025" s="1" t="s">
        <v>2582</v>
      </c>
      <c r="S3025" s="1" t="s">
        <v>5979</v>
      </c>
      <c r="W3025" s="8"/>
      <c r="AJ3025" s="1"/>
      <c r="AM3025" s="1" t="s">
        <v>5553</v>
      </c>
    </row>
    <row r="3026">
      <c r="H3026" s="1" t="s">
        <v>2588</v>
      </c>
      <c r="S3026" s="1" t="s">
        <v>1821</v>
      </c>
      <c r="W3026" s="8"/>
      <c r="AJ3026" s="1"/>
      <c r="AM3026" s="1" t="s">
        <v>2806</v>
      </c>
    </row>
    <row r="3027">
      <c r="H3027" s="1" t="s">
        <v>1457</v>
      </c>
      <c r="S3027" s="1" t="s">
        <v>5980</v>
      </c>
      <c r="W3027" s="8"/>
      <c r="AJ3027" s="1"/>
      <c r="AM3027" s="1" t="s">
        <v>4465</v>
      </c>
    </row>
    <row r="3028">
      <c r="H3028" s="1" t="s">
        <v>4425</v>
      </c>
      <c r="S3028" s="1" t="s">
        <v>2792</v>
      </c>
      <c r="W3028" s="8"/>
      <c r="AJ3028" s="1"/>
      <c r="AM3028" s="1">
        <v>146.0</v>
      </c>
    </row>
    <row r="3029">
      <c r="H3029" s="1" t="s">
        <v>5890</v>
      </c>
      <c r="S3029" s="1" t="s">
        <v>5567</v>
      </c>
      <c r="W3029" s="8"/>
      <c r="AJ3029" s="1"/>
      <c r="AM3029" s="1" t="s">
        <v>3787</v>
      </c>
    </row>
    <row r="3030">
      <c r="H3030" s="1" t="s">
        <v>2595</v>
      </c>
      <c r="S3030" s="1" t="s">
        <v>5981</v>
      </c>
      <c r="W3030" s="8"/>
      <c r="AJ3030" s="1"/>
      <c r="AM3030" s="1" t="s">
        <v>5687</v>
      </c>
    </row>
    <row r="3031">
      <c r="H3031" s="1" t="s">
        <v>2601</v>
      </c>
      <c r="S3031" s="1" t="s">
        <v>2560</v>
      </c>
      <c r="W3031" s="8"/>
      <c r="AJ3031" s="1"/>
      <c r="AM3031" s="1" t="s">
        <v>5555</v>
      </c>
    </row>
    <row r="3032">
      <c r="H3032" s="1" t="s">
        <v>5413</v>
      </c>
      <c r="S3032" s="1" t="s">
        <v>1611</v>
      </c>
      <c r="W3032" s="8"/>
      <c r="AJ3032" s="1"/>
      <c r="AM3032" s="1" t="s">
        <v>1965</v>
      </c>
    </row>
    <row r="3033">
      <c r="H3033" s="1" t="s">
        <v>1465</v>
      </c>
      <c r="S3033" s="1" t="s">
        <v>5342</v>
      </c>
      <c r="W3033" s="8"/>
      <c r="AJ3033" s="1"/>
      <c r="AM3033" s="1" t="s">
        <v>2810</v>
      </c>
    </row>
    <row r="3034">
      <c r="H3034" s="1" t="s">
        <v>2607</v>
      </c>
      <c r="S3034" s="1" t="s">
        <v>3686</v>
      </c>
      <c r="W3034" s="8"/>
      <c r="AJ3034" s="1"/>
      <c r="AM3034" s="1" t="s">
        <v>2815</v>
      </c>
    </row>
    <row r="3035">
      <c r="H3035" s="1" t="s">
        <v>5416</v>
      </c>
      <c r="S3035" s="1" t="s">
        <v>2282</v>
      </c>
      <c r="W3035" s="8"/>
      <c r="AJ3035" s="1"/>
      <c r="AM3035" s="1" t="s">
        <v>5982</v>
      </c>
    </row>
    <row r="3036">
      <c r="H3036" s="1" t="s">
        <v>1472</v>
      </c>
      <c r="S3036" s="1" t="s">
        <v>4508</v>
      </c>
      <c r="W3036" s="8"/>
      <c r="AJ3036" s="1"/>
      <c r="AM3036" s="1" t="s">
        <v>5983</v>
      </c>
    </row>
    <row r="3037">
      <c r="H3037" s="1" t="s">
        <v>3712</v>
      </c>
      <c r="S3037" s="1" t="s">
        <v>4058</v>
      </c>
      <c r="W3037" s="8"/>
      <c r="AJ3037" s="1"/>
      <c r="AM3037" s="1" t="s">
        <v>4600</v>
      </c>
    </row>
    <row r="3038">
      <c r="H3038" s="1" t="s">
        <v>1707</v>
      </c>
      <c r="S3038" s="1" t="s">
        <v>1480</v>
      </c>
      <c r="W3038" s="8"/>
      <c r="AJ3038" s="1"/>
      <c r="AM3038" s="1" t="s">
        <v>4601</v>
      </c>
    </row>
    <row r="3039">
      <c r="H3039" s="1" t="s">
        <v>4440</v>
      </c>
      <c r="S3039" s="1" t="s">
        <v>2811</v>
      </c>
      <c r="W3039" s="8"/>
      <c r="AJ3039" s="1"/>
      <c r="AM3039" s="1" t="s">
        <v>4604</v>
      </c>
    </row>
    <row r="3040">
      <c r="H3040" s="1" t="s">
        <v>5421</v>
      </c>
      <c r="S3040" s="1" t="s">
        <v>2989</v>
      </c>
      <c r="W3040" s="8"/>
      <c r="AJ3040" s="1"/>
      <c r="AM3040" s="1" t="s">
        <v>1587</v>
      </c>
    </row>
    <row r="3041">
      <c r="H3041" s="1" t="s">
        <v>4443</v>
      </c>
      <c r="S3041" s="1" t="s">
        <v>5791</v>
      </c>
      <c r="W3041" s="8"/>
      <c r="AJ3041" s="1"/>
      <c r="AM3041" s="1" t="s">
        <v>1592</v>
      </c>
    </row>
    <row r="3042">
      <c r="H3042" s="1" t="s">
        <v>4446</v>
      </c>
      <c r="S3042" s="1" t="s">
        <v>4934</v>
      </c>
      <c r="W3042" s="8"/>
      <c r="AJ3042" s="1"/>
      <c r="AM3042" s="1" t="s">
        <v>4610</v>
      </c>
    </row>
    <row r="3043">
      <c r="H3043" s="1" t="s">
        <v>5235</v>
      </c>
      <c r="S3043" s="1" t="s">
        <v>1826</v>
      </c>
      <c r="W3043" s="8"/>
      <c r="AJ3043" s="1"/>
      <c r="AM3043" s="1" t="s">
        <v>4613</v>
      </c>
    </row>
    <row r="3044">
      <c r="H3044" s="1" t="s">
        <v>2293</v>
      </c>
      <c r="S3044" s="1" t="s">
        <v>5984</v>
      </c>
      <c r="W3044" s="8"/>
      <c r="AJ3044" s="1"/>
      <c r="AM3044" s="1" t="s">
        <v>2823</v>
      </c>
    </row>
    <row r="3045">
      <c r="H3045" s="1" t="s">
        <v>2619</v>
      </c>
      <c r="S3045" s="1" t="s">
        <v>4933</v>
      </c>
      <c r="W3045" s="8"/>
      <c r="AJ3045" s="1"/>
      <c r="AM3045" s="1" t="s">
        <v>722</v>
      </c>
    </row>
    <row r="3046">
      <c r="H3046" s="1" t="s">
        <v>5425</v>
      </c>
      <c r="S3046" s="1" t="s">
        <v>3875</v>
      </c>
      <c r="W3046" s="8"/>
      <c r="AJ3046" s="1"/>
      <c r="AM3046" s="1" t="s">
        <v>4942</v>
      </c>
    </row>
    <row r="3047">
      <c r="H3047" s="1" t="s">
        <v>5905</v>
      </c>
      <c r="S3047" s="1" t="s">
        <v>4837</v>
      </c>
      <c r="W3047" s="8"/>
      <c r="AJ3047" s="1"/>
      <c r="AM3047" s="1" t="s">
        <v>519</v>
      </c>
    </row>
    <row r="3048">
      <c r="H3048" s="1" t="s">
        <v>1479</v>
      </c>
      <c r="S3048" s="1" t="s">
        <v>5985</v>
      </c>
      <c r="W3048" s="8"/>
      <c r="AJ3048" s="1"/>
      <c r="AM3048" s="1" t="s">
        <v>5563</v>
      </c>
    </row>
    <row r="3049">
      <c r="H3049" s="1" t="s">
        <v>1713</v>
      </c>
      <c r="S3049" s="1" t="s">
        <v>2526</v>
      </c>
      <c r="W3049" s="8"/>
      <c r="AJ3049" s="1"/>
      <c r="AM3049" s="1" t="s">
        <v>2827</v>
      </c>
    </row>
    <row r="3050">
      <c r="H3050" s="1" t="s">
        <v>5986</v>
      </c>
      <c r="S3050" s="1" t="s">
        <v>5987</v>
      </c>
      <c r="W3050" s="8"/>
      <c r="AJ3050" s="1"/>
      <c r="AM3050" s="1" t="s">
        <v>4486</v>
      </c>
    </row>
    <row r="3051">
      <c r="H3051" s="1" t="s">
        <v>3717</v>
      </c>
      <c r="S3051" s="1" t="s">
        <v>613</v>
      </c>
      <c r="W3051" s="8"/>
      <c r="AJ3051" s="1"/>
      <c r="AM3051" s="1" t="s">
        <v>4619</v>
      </c>
    </row>
    <row r="3052">
      <c r="H3052" s="1" t="s">
        <v>2627</v>
      </c>
      <c r="S3052" s="1" t="s">
        <v>3379</v>
      </c>
      <c r="W3052" s="8"/>
      <c r="AJ3052" s="1"/>
      <c r="AM3052" s="1" t="s">
        <v>5565</v>
      </c>
    </row>
    <row r="3053">
      <c r="H3053" s="1" t="s">
        <v>5429</v>
      </c>
      <c r="S3053" s="1" t="s">
        <v>5655</v>
      </c>
      <c r="W3053" s="8"/>
      <c r="AJ3053" s="1"/>
      <c r="AM3053" s="1" t="s">
        <v>5566</v>
      </c>
    </row>
    <row r="3054">
      <c r="H3054" s="1" t="s">
        <v>5642</v>
      </c>
      <c r="S3054" s="1" t="s">
        <v>5988</v>
      </c>
      <c r="W3054" s="8"/>
      <c r="AJ3054" s="1"/>
      <c r="AM3054" s="1" t="s">
        <v>5567</v>
      </c>
    </row>
    <row r="3055">
      <c r="H3055" s="1" t="s">
        <v>5430</v>
      </c>
      <c r="S3055" s="1" t="s">
        <v>1710</v>
      </c>
      <c r="W3055" s="8"/>
      <c r="AJ3055" s="1"/>
      <c r="AM3055" s="1" t="s">
        <v>4622</v>
      </c>
    </row>
    <row r="3056">
      <c r="H3056" s="1" t="s">
        <v>5431</v>
      </c>
      <c r="S3056" s="1" t="s">
        <v>3547</v>
      </c>
      <c r="W3056" s="8"/>
      <c r="AJ3056" s="1"/>
      <c r="AM3056" s="1" t="s">
        <v>5570</v>
      </c>
    </row>
    <row r="3057">
      <c r="H3057" s="1" t="s">
        <v>5913</v>
      </c>
      <c r="S3057" s="1" t="s">
        <v>714</v>
      </c>
      <c r="W3057" s="8"/>
      <c r="AJ3057" s="1"/>
      <c r="AM3057" s="1" t="s">
        <v>4624</v>
      </c>
    </row>
    <row r="3058">
      <c r="H3058" s="1" t="s">
        <v>5433</v>
      </c>
      <c r="S3058" s="1" t="s">
        <v>475</v>
      </c>
      <c r="W3058" s="8"/>
      <c r="AJ3058" s="1"/>
      <c r="AM3058" s="1" t="s">
        <v>4625</v>
      </c>
    </row>
    <row r="3059">
      <c r="H3059" s="1" t="s">
        <v>4457</v>
      </c>
      <c r="S3059" s="1" t="s">
        <v>5989</v>
      </c>
      <c r="W3059" s="8"/>
      <c r="AJ3059" s="1"/>
      <c r="AM3059" s="1" t="s">
        <v>5775</v>
      </c>
    </row>
    <row r="3060">
      <c r="H3060" s="1" t="s">
        <v>3720</v>
      </c>
      <c r="S3060" s="1" t="s">
        <v>114</v>
      </c>
      <c r="W3060" s="8"/>
      <c r="AJ3060" s="1"/>
      <c r="AM3060" s="1" t="s">
        <v>2830</v>
      </c>
    </row>
    <row r="3061">
      <c r="H3061" s="1" t="s">
        <v>2632</v>
      </c>
      <c r="S3061" s="1" t="s">
        <v>5990</v>
      </c>
      <c r="W3061" s="8"/>
      <c r="AJ3061" s="1"/>
      <c r="AM3061" s="1" t="s">
        <v>5575</v>
      </c>
    </row>
    <row r="3062">
      <c r="H3062" s="1" t="s">
        <v>2629</v>
      </c>
      <c r="S3062" s="1" t="s">
        <v>5991</v>
      </c>
      <c r="W3062" s="8"/>
      <c r="AJ3062" s="1"/>
      <c r="AM3062" s="1" t="s">
        <v>4627</v>
      </c>
    </row>
    <row r="3063">
      <c r="H3063" s="1" t="s">
        <v>852</v>
      </c>
      <c r="S3063" s="1" t="s">
        <v>2749</v>
      </c>
      <c r="W3063" s="8"/>
      <c r="AJ3063" s="1"/>
      <c r="AM3063" s="1" t="s">
        <v>5576</v>
      </c>
    </row>
    <row r="3064">
      <c r="H3064" s="1" t="s">
        <v>5436</v>
      </c>
      <c r="S3064" s="1" t="s">
        <v>4570</v>
      </c>
      <c r="W3064" s="8"/>
      <c r="AJ3064" s="1"/>
      <c r="AM3064" s="1" t="s">
        <v>2832</v>
      </c>
    </row>
    <row r="3065">
      <c r="H3065" s="1" t="s">
        <v>5437</v>
      </c>
      <c r="S3065" s="1" t="s">
        <v>685</v>
      </c>
      <c r="W3065" s="8"/>
      <c r="AJ3065" s="1"/>
      <c r="AM3065" s="1" t="s">
        <v>5992</v>
      </c>
    </row>
    <row r="3066">
      <c r="H3066" s="1" t="s">
        <v>5295</v>
      </c>
      <c r="S3066" s="1" t="s">
        <v>241</v>
      </c>
      <c r="W3066" s="8"/>
      <c r="AJ3066" s="1"/>
      <c r="AM3066" s="1" t="s">
        <v>4630</v>
      </c>
    </row>
    <row r="3067">
      <c r="H3067" s="1" t="s">
        <v>2635</v>
      </c>
      <c r="S3067" s="1" t="s">
        <v>5993</v>
      </c>
      <c r="W3067" s="8"/>
      <c r="AJ3067" s="1"/>
      <c r="AM3067" s="1" t="s">
        <v>5582</v>
      </c>
    </row>
    <row r="3068">
      <c r="H3068" s="1" t="s">
        <v>5994</v>
      </c>
      <c r="S3068" s="1" t="s">
        <v>5995</v>
      </c>
      <c r="W3068" s="8"/>
      <c r="AJ3068" s="1"/>
      <c r="AM3068" s="1" t="s">
        <v>4632</v>
      </c>
    </row>
    <row r="3069">
      <c r="H3069" s="1" t="s">
        <v>5438</v>
      </c>
      <c r="S3069" s="1" t="s">
        <v>5996</v>
      </c>
      <c r="W3069" s="8"/>
      <c r="AJ3069" s="1"/>
      <c r="AM3069" s="1" t="s">
        <v>4634</v>
      </c>
    </row>
    <row r="3070">
      <c r="H3070" s="1" t="s">
        <v>2637</v>
      </c>
      <c r="S3070" s="1" t="s">
        <v>2071</v>
      </c>
      <c r="W3070" s="8"/>
      <c r="AJ3070" s="1"/>
      <c r="AM3070" s="1" t="s">
        <v>2834</v>
      </c>
    </row>
    <row r="3071">
      <c r="H3071" s="1" t="s">
        <v>5980</v>
      </c>
      <c r="S3071" s="1" t="s">
        <v>4326</v>
      </c>
      <c r="W3071" s="8"/>
      <c r="AJ3071" s="1"/>
      <c r="AM3071" s="1">
        <v>163.0</v>
      </c>
    </row>
    <row r="3072">
      <c r="H3072" s="1" t="s">
        <v>5439</v>
      </c>
      <c r="S3072" s="1" t="s">
        <v>2324</v>
      </c>
      <c r="W3072" s="8"/>
      <c r="AJ3072" s="1"/>
      <c r="AM3072" s="1" t="s">
        <v>4914</v>
      </c>
    </row>
    <row r="3073">
      <c r="H3073" s="1" t="s">
        <v>5441</v>
      </c>
      <c r="S3073" s="1" t="s">
        <v>765</v>
      </c>
      <c r="W3073" s="8"/>
      <c r="AJ3073" s="1"/>
      <c r="AM3073" s="1" t="s">
        <v>5019</v>
      </c>
    </row>
    <row r="3074">
      <c r="H3074" s="1" t="s">
        <v>5997</v>
      </c>
      <c r="S3074" s="1" t="s">
        <v>1130</v>
      </c>
      <c r="W3074" s="8"/>
      <c r="AJ3074" s="1"/>
      <c r="AM3074" s="1" t="s">
        <v>5831</v>
      </c>
    </row>
    <row r="3075">
      <c r="H3075" s="1" t="s">
        <v>1485</v>
      </c>
      <c r="S3075" s="1" t="s">
        <v>5998</v>
      </c>
      <c r="W3075" s="8"/>
      <c r="AJ3075" s="1"/>
      <c r="AM3075" s="1" t="s">
        <v>4639</v>
      </c>
    </row>
    <row r="3076">
      <c r="H3076" s="1" t="s">
        <v>5443</v>
      </c>
      <c r="S3076" s="1" t="s">
        <v>1450</v>
      </c>
      <c r="W3076" s="8"/>
      <c r="AJ3076" s="1"/>
      <c r="AM3076" s="1" t="s">
        <v>732</v>
      </c>
    </row>
    <row r="3077">
      <c r="H3077" s="1" t="s">
        <v>4468</v>
      </c>
      <c r="S3077" s="1" t="s">
        <v>3119</v>
      </c>
      <c r="W3077" s="8"/>
      <c r="AJ3077" s="1"/>
      <c r="AM3077" s="1" t="s">
        <v>1702</v>
      </c>
    </row>
    <row r="3078">
      <c r="H3078" s="1" t="s">
        <v>4890</v>
      </c>
      <c r="S3078" s="1" t="s">
        <v>4395</v>
      </c>
      <c r="W3078" s="8"/>
      <c r="AJ3078" s="1"/>
      <c r="AM3078" s="1" t="s">
        <v>5999</v>
      </c>
    </row>
    <row r="3079">
      <c r="H3079" s="1">
        <v>295.0</v>
      </c>
      <c r="S3079" s="1" t="s">
        <v>4503</v>
      </c>
      <c r="W3079" s="8"/>
      <c r="AJ3079" s="1"/>
      <c r="AM3079" s="1" t="s">
        <v>2841</v>
      </c>
    </row>
    <row r="3080">
      <c r="H3080" s="1" t="s">
        <v>4927</v>
      </c>
      <c r="S3080" s="1" t="s">
        <v>6000</v>
      </c>
      <c r="W3080" s="8"/>
      <c r="AJ3080" s="1"/>
      <c r="AM3080" s="1" t="s">
        <v>5591</v>
      </c>
    </row>
    <row r="3081">
      <c r="H3081" s="1">
        <v>1958.0</v>
      </c>
      <c r="S3081" s="1" t="s">
        <v>4889</v>
      </c>
      <c r="W3081" s="8"/>
      <c r="AJ3081" s="1"/>
      <c r="AM3081" s="1" t="s">
        <v>4643</v>
      </c>
    </row>
    <row r="3082">
      <c r="H3082" s="1" t="s">
        <v>504</v>
      </c>
      <c r="S3082" s="1" t="s">
        <v>4408</v>
      </c>
      <c r="W3082" s="8"/>
      <c r="AJ3082" s="1"/>
      <c r="AM3082" s="1" t="s">
        <v>3806</v>
      </c>
    </row>
    <row r="3083">
      <c r="H3083" s="1" t="s">
        <v>6001</v>
      </c>
      <c r="S3083" s="1" t="s">
        <v>5168</v>
      </c>
      <c r="W3083" s="8"/>
      <c r="AJ3083" s="1"/>
      <c r="AM3083" s="1" t="s">
        <v>4645</v>
      </c>
    </row>
    <row r="3084">
      <c r="H3084" s="1" t="s">
        <v>6002</v>
      </c>
      <c r="S3084" s="1" t="s">
        <v>2798</v>
      </c>
      <c r="W3084" s="8"/>
      <c r="AJ3084" s="1"/>
      <c r="AM3084" s="1" t="s">
        <v>3810</v>
      </c>
    </row>
    <row r="3085">
      <c r="H3085" s="1" t="s">
        <v>2651</v>
      </c>
      <c r="S3085" s="1" t="s">
        <v>2379</v>
      </c>
      <c r="W3085" s="8"/>
      <c r="AJ3085" s="1"/>
      <c r="AM3085" s="1" t="s">
        <v>5515</v>
      </c>
    </row>
    <row r="3086">
      <c r="H3086" s="1" t="s">
        <v>2655</v>
      </c>
      <c r="S3086" s="1" t="s">
        <v>2074</v>
      </c>
      <c r="W3086" s="8"/>
      <c r="AJ3086" s="1"/>
      <c r="AM3086" s="1" t="s">
        <v>4647</v>
      </c>
    </row>
    <row r="3087">
      <c r="H3087" s="1" t="s">
        <v>6003</v>
      </c>
      <c r="S3087" s="1" t="s">
        <v>1792</v>
      </c>
      <c r="W3087" s="8"/>
      <c r="AJ3087" s="1"/>
      <c r="AM3087" s="1" t="s">
        <v>2845</v>
      </c>
    </row>
    <row r="3088">
      <c r="H3088" s="1" t="s">
        <v>4476</v>
      </c>
      <c r="S3088" s="1" t="s">
        <v>6004</v>
      </c>
      <c r="W3088" s="8"/>
      <c r="AJ3088" s="1"/>
      <c r="AM3088" s="1" t="s">
        <v>2848</v>
      </c>
    </row>
    <row r="3089">
      <c r="H3089" s="1" t="s">
        <v>4475</v>
      </c>
      <c r="S3089" s="1" t="s">
        <v>4708</v>
      </c>
      <c r="W3089" s="8"/>
      <c r="AJ3089" s="1"/>
      <c r="AM3089" s="1" t="s">
        <v>329</v>
      </c>
    </row>
    <row r="3090">
      <c r="H3090" s="1" t="s">
        <v>6005</v>
      </c>
      <c r="S3090" s="1" t="s">
        <v>481</v>
      </c>
      <c r="W3090" s="8"/>
      <c r="AJ3090" s="1"/>
      <c r="AM3090" s="1" t="s">
        <v>5671</v>
      </c>
    </row>
    <row r="3091">
      <c r="H3091" s="1" t="s">
        <v>2659</v>
      </c>
      <c r="S3091" s="1" t="s">
        <v>4354</v>
      </c>
      <c r="W3091" s="8"/>
      <c r="AJ3091" s="1"/>
      <c r="AM3091" s="1" t="s">
        <v>4650</v>
      </c>
    </row>
    <row r="3092">
      <c r="H3092" s="1" t="s">
        <v>2664</v>
      </c>
      <c r="S3092" s="1" t="s">
        <v>6006</v>
      </c>
      <c r="W3092" s="8"/>
      <c r="AJ3092" s="1"/>
      <c r="AM3092" s="1" t="s">
        <v>3822</v>
      </c>
    </row>
    <row r="3093">
      <c r="H3093" s="1" t="s">
        <v>4808</v>
      </c>
      <c r="S3093" s="1" t="s">
        <v>1436</v>
      </c>
      <c r="W3093" s="8"/>
      <c r="AJ3093" s="1"/>
      <c r="AM3093" s="1" t="s">
        <v>2850</v>
      </c>
    </row>
    <row r="3094">
      <c r="H3094" s="1" t="s">
        <v>2869</v>
      </c>
      <c r="S3094" s="1" t="s">
        <v>2521</v>
      </c>
      <c r="W3094" s="8"/>
      <c r="AJ3094" s="1"/>
      <c r="AM3094" s="1" t="s">
        <v>1125</v>
      </c>
    </row>
    <row r="3095">
      <c r="H3095" s="1" t="s">
        <v>2713</v>
      </c>
      <c r="S3095" s="1" t="s">
        <v>1515</v>
      </c>
      <c r="W3095" s="8"/>
      <c r="AJ3095" s="1"/>
      <c r="AM3095" s="1" t="s">
        <v>5598</v>
      </c>
    </row>
    <row r="3096">
      <c r="H3096" s="1" t="s">
        <v>6007</v>
      </c>
      <c r="S3096" s="1" t="s">
        <v>3086</v>
      </c>
      <c r="W3096" s="8"/>
      <c r="AJ3096" s="1"/>
      <c r="AM3096" s="1" t="s">
        <v>1849</v>
      </c>
    </row>
    <row r="3097">
      <c r="H3097" s="1" t="s">
        <v>2669</v>
      </c>
      <c r="S3097" s="1" t="s">
        <v>4399</v>
      </c>
      <c r="W3097" s="8"/>
      <c r="AJ3097" s="1"/>
      <c r="AM3097" s="1" t="s">
        <v>2857</v>
      </c>
    </row>
    <row r="3098">
      <c r="H3098" s="1" t="s">
        <v>1854</v>
      </c>
      <c r="S3098" s="1" t="s">
        <v>2111</v>
      </c>
      <c r="W3098" s="8"/>
      <c r="AJ3098" s="1"/>
      <c r="AM3098" s="1" t="s">
        <v>2859</v>
      </c>
    </row>
    <row r="3099">
      <c r="H3099" s="1" t="s">
        <v>2675</v>
      </c>
      <c r="S3099" s="1" t="s">
        <v>4921</v>
      </c>
      <c r="W3099" s="8"/>
      <c r="AJ3099" s="1"/>
      <c r="AM3099" s="1" t="s">
        <v>5601</v>
      </c>
    </row>
    <row r="3100">
      <c r="H3100" s="1" t="s">
        <v>5224</v>
      </c>
      <c r="S3100" s="1" t="s">
        <v>310</v>
      </c>
      <c r="W3100" s="8"/>
      <c r="AJ3100" s="1"/>
      <c r="AM3100" s="1" t="s">
        <v>4657</v>
      </c>
    </row>
    <row r="3101">
      <c r="H3101" s="1" t="s">
        <v>5451</v>
      </c>
      <c r="S3101" s="1" t="s">
        <v>6008</v>
      </c>
      <c r="W3101" s="8"/>
      <c r="AJ3101" s="1"/>
      <c r="AM3101" s="1" t="s">
        <v>5603</v>
      </c>
    </row>
    <row r="3102">
      <c r="H3102" s="1" t="s">
        <v>5929</v>
      </c>
      <c r="S3102" s="1" t="s">
        <v>5233</v>
      </c>
      <c r="W3102" s="8"/>
      <c r="AJ3102" s="1"/>
      <c r="AM3102" s="1" t="s">
        <v>2863</v>
      </c>
    </row>
    <row r="3103">
      <c r="H3103" s="1" t="s">
        <v>1735</v>
      </c>
      <c r="S3103" s="1" t="s">
        <v>5848</v>
      </c>
      <c r="W3103" s="8"/>
      <c r="AJ3103" s="1"/>
      <c r="AM3103" s="1" t="s">
        <v>6009</v>
      </c>
    </row>
    <row r="3104">
      <c r="H3104" s="1" t="s">
        <v>5453</v>
      </c>
      <c r="S3104" s="1" t="s">
        <v>814</v>
      </c>
      <c r="W3104" s="8"/>
      <c r="AJ3104" s="1"/>
      <c r="AM3104" s="1" t="s">
        <v>4660</v>
      </c>
    </row>
    <row r="3105">
      <c r="H3105" s="1" t="s">
        <v>4487</v>
      </c>
      <c r="S3105" s="1" t="s">
        <v>3049</v>
      </c>
      <c r="W3105" s="8"/>
      <c r="AJ3105" s="1"/>
      <c r="AM3105" s="1" t="s">
        <v>5102</v>
      </c>
    </row>
    <row r="3106">
      <c r="H3106" s="1" t="s">
        <v>5455</v>
      </c>
      <c r="S3106" s="1" t="s">
        <v>5818</v>
      </c>
      <c r="W3106" s="8"/>
      <c r="AJ3106" s="1"/>
      <c r="AM3106" s="1" t="s">
        <v>3829</v>
      </c>
    </row>
    <row r="3107">
      <c r="H3107" s="1" t="s">
        <v>5104</v>
      </c>
      <c r="S3107" s="1" t="s">
        <v>1358</v>
      </c>
      <c r="W3107" s="8"/>
      <c r="AJ3107" s="1"/>
      <c r="AM3107" s="1" t="s">
        <v>2867</v>
      </c>
    </row>
    <row r="3108">
      <c r="H3108" s="1" t="s">
        <v>5457</v>
      </c>
      <c r="S3108" s="1" t="s">
        <v>2204</v>
      </c>
      <c r="W3108" s="8"/>
      <c r="AJ3108" s="1"/>
      <c r="AM3108" s="1" t="s">
        <v>5611</v>
      </c>
    </row>
    <row r="3109">
      <c r="H3109" s="1" t="s">
        <v>5459</v>
      </c>
      <c r="S3109" s="1" t="s">
        <v>483</v>
      </c>
      <c r="W3109" s="8"/>
      <c r="AJ3109" s="1"/>
      <c r="AM3109" s="1" t="s">
        <v>1689</v>
      </c>
    </row>
    <row r="3110">
      <c r="H3110" s="1" t="s">
        <v>5461</v>
      </c>
      <c r="S3110" s="1" t="s">
        <v>420</v>
      </c>
      <c r="W3110" s="8"/>
      <c r="AJ3110" s="1"/>
      <c r="AM3110" s="1" t="s">
        <v>4559</v>
      </c>
    </row>
    <row r="3111">
      <c r="H3111" s="1" t="s">
        <v>5462</v>
      </c>
      <c r="S3111" s="1" t="s">
        <v>488</v>
      </c>
      <c r="W3111" s="8"/>
      <c r="AJ3111" s="1"/>
      <c r="AM3111" s="1" t="s">
        <v>5614</v>
      </c>
    </row>
    <row r="3112">
      <c r="H3112" s="1" t="s">
        <v>4492</v>
      </c>
      <c r="S3112" s="1" t="s">
        <v>835</v>
      </c>
      <c r="W3112" s="8"/>
      <c r="AJ3112" s="1"/>
      <c r="AM3112" s="1" t="s">
        <v>1907</v>
      </c>
    </row>
    <row r="3113">
      <c r="H3113" s="1" t="s">
        <v>4286</v>
      </c>
      <c r="S3113" s="1" t="s">
        <v>6010</v>
      </c>
      <c r="W3113" s="8"/>
      <c r="AJ3113" s="1"/>
      <c r="AM3113" s="1" t="s">
        <v>6011</v>
      </c>
    </row>
    <row r="3114">
      <c r="H3114" s="1" t="s">
        <v>5463</v>
      </c>
      <c r="S3114" s="1" t="s">
        <v>6012</v>
      </c>
      <c r="W3114" s="8"/>
      <c r="AJ3114" s="1"/>
      <c r="AM3114" s="1" t="s">
        <v>6013</v>
      </c>
    </row>
    <row r="3115">
      <c r="H3115" s="1" t="s">
        <v>5466</v>
      </c>
      <c r="S3115" s="1" t="s">
        <v>6014</v>
      </c>
      <c r="W3115" s="8"/>
      <c r="AJ3115" s="1"/>
      <c r="AM3115" s="1" t="s">
        <v>1604</v>
      </c>
    </row>
    <row r="3116">
      <c r="H3116" s="1" t="s">
        <v>5660</v>
      </c>
      <c r="S3116" s="1" t="s">
        <v>1798</v>
      </c>
      <c r="W3116" s="8"/>
      <c r="AJ3116" s="1"/>
      <c r="AM3116" s="1" t="s">
        <v>2870</v>
      </c>
    </row>
    <row r="3117">
      <c r="H3117" s="1" t="s">
        <v>1387</v>
      </c>
      <c r="S3117" s="1" t="s">
        <v>6015</v>
      </c>
      <c r="W3117" s="8"/>
      <c r="AJ3117" s="1"/>
      <c r="AM3117" s="1" t="s">
        <v>3204</v>
      </c>
    </row>
    <row r="3118">
      <c r="H3118" s="1" t="s">
        <v>1507</v>
      </c>
      <c r="S3118" s="1">
        <v>1960.0</v>
      </c>
      <c r="W3118" s="8"/>
      <c r="AJ3118" s="1"/>
      <c r="AM3118" s="1" t="s">
        <v>6016</v>
      </c>
    </row>
    <row r="3119">
      <c r="H3119" s="1">
        <v>94.0</v>
      </c>
      <c r="S3119" s="1" t="s">
        <v>3414</v>
      </c>
      <c r="W3119" s="8"/>
      <c r="AJ3119" s="1"/>
      <c r="AM3119" s="1" t="s">
        <v>4664</v>
      </c>
    </row>
    <row r="3120">
      <c r="H3120" s="1" t="s">
        <v>5469</v>
      </c>
      <c r="S3120" s="1" t="s">
        <v>1949</v>
      </c>
      <c r="W3120" s="8"/>
      <c r="AJ3120" s="1"/>
      <c r="AM3120" s="1" t="s">
        <v>3843</v>
      </c>
    </row>
    <row r="3121">
      <c r="H3121" s="1" t="s">
        <v>1514</v>
      </c>
      <c r="S3121" s="1" t="s">
        <v>6017</v>
      </c>
      <c r="W3121" s="8"/>
      <c r="AJ3121" s="1"/>
      <c r="AM3121" s="1" t="s">
        <v>1610</v>
      </c>
    </row>
    <row r="3122">
      <c r="H3122" s="1" t="s">
        <v>3737</v>
      </c>
      <c r="S3122" s="1" t="s">
        <v>67</v>
      </c>
      <c r="W3122" s="8"/>
      <c r="AJ3122" s="1"/>
      <c r="AM3122" s="1" t="s">
        <v>2877</v>
      </c>
    </row>
    <row r="3123">
      <c r="H3123" s="1" t="s">
        <v>4496</v>
      </c>
      <c r="S3123" s="1" t="s">
        <v>5870</v>
      </c>
      <c r="W3123" s="8"/>
      <c r="AJ3123" s="1"/>
      <c r="AM3123" s="1" t="s">
        <v>4669</v>
      </c>
    </row>
    <row r="3124">
      <c r="H3124" s="1" t="s">
        <v>2686</v>
      </c>
      <c r="S3124" s="1" t="s">
        <v>5669</v>
      </c>
      <c r="W3124" s="8"/>
      <c r="AJ3124" s="1"/>
      <c r="AM3124" s="1" t="s">
        <v>1615</v>
      </c>
    </row>
    <row r="3125">
      <c r="H3125" s="1" t="s">
        <v>5472</v>
      </c>
      <c r="S3125" s="1" t="s">
        <v>1735</v>
      </c>
      <c r="W3125" s="8"/>
      <c r="AJ3125" s="1"/>
      <c r="AM3125" s="1" t="s">
        <v>5624</v>
      </c>
    </row>
    <row r="3126">
      <c r="H3126" s="1" t="s">
        <v>2690</v>
      </c>
      <c r="S3126" s="1" t="s">
        <v>6018</v>
      </c>
      <c r="W3126" s="8"/>
      <c r="AJ3126" s="1"/>
      <c r="AM3126" s="1" t="s">
        <v>1937</v>
      </c>
    </row>
    <row r="3127">
      <c r="H3127" s="1" t="s">
        <v>2915</v>
      </c>
      <c r="S3127" s="1" t="s">
        <v>511</v>
      </c>
      <c r="W3127" s="8"/>
      <c r="AJ3127" s="1"/>
      <c r="AM3127" s="1" t="s">
        <v>5628</v>
      </c>
    </row>
    <row r="3128">
      <c r="H3128" s="1" t="s">
        <v>4006</v>
      </c>
      <c r="S3128" s="1" t="s">
        <v>1399</v>
      </c>
      <c r="W3128" s="8"/>
      <c r="AJ3128" s="1"/>
      <c r="AM3128" s="1" t="s">
        <v>6019</v>
      </c>
    </row>
    <row r="3129">
      <c r="H3129" s="1" t="s">
        <v>5473</v>
      </c>
      <c r="S3129" s="1" t="s">
        <v>1562</v>
      </c>
      <c r="W3129" s="8"/>
      <c r="AJ3129" s="1"/>
      <c r="AM3129" s="1" t="s">
        <v>6020</v>
      </c>
    </row>
    <row r="3130">
      <c r="H3130" s="1" t="s">
        <v>2697</v>
      </c>
      <c r="S3130" s="1" t="s">
        <v>1336</v>
      </c>
      <c r="W3130" s="8"/>
      <c r="AJ3130" s="1"/>
      <c r="AM3130" s="1" t="s">
        <v>5630</v>
      </c>
    </row>
    <row r="3131">
      <c r="H3131" s="1" t="s">
        <v>5506</v>
      </c>
      <c r="S3131" s="1" t="s">
        <v>2270</v>
      </c>
      <c r="W3131" s="8"/>
      <c r="AJ3131" s="1"/>
      <c r="AM3131" s="1" t="s">
        <v>6021</v>
      </c>
    </row>
    <row r="3132">
      <c r="H3132" s="1" t="s">
        <v>6022</v>
      </c>
      <c r="S3132" s="1" t="s">
        <v>3495</v>
      </c>
      <c r="W3132" s="8"/>
      <c r="AJ3132" s="1"/>
      <c r="AM3132" s="1" t="s">
        <v>6023</v>
      </c>
    </row>
    <row r="3133">
      <c r="H3133" s="1" t="s">
        <v>835</v>
      </c>
      <c r="S3133" s="1" t="s">
        <v>2110</v>
      </c>
      <c r="W3133" s="8"/>
      <c r="AJ3133" s="1"/>
      <c r="AM3133" s="1" t="s">
        <v>5632</v>
      </c>
    </row>
    <row r="3134">
      <c r="H3134" s="1" t="s">
        <v>2702</v>
      </c>
      <c r="S3134" s="1" t="s">
        <v>5601</v>
      </c>
      <c r="W3134" s="8"/>
      <c r="AJ3134" s="1"/>
      <c r="AM3134" s="1" t="s">
        <v>2884</v>
      </c>
    </row>
    <row r="3135">
      <c r="H3135" s="1" t="s">
        <v>1521</v>
      </c>
      <c r="S3135" s="1" t="s">
        <v>4353</v>
      </c>
      <c r="W3135" s="8"/>
      <c r="AJ3135" s="1"/>
      <c r="AM3135" s="1" t="s">
        <v>5633</v>
      </c>
    </row>
    <row r="3136">
      <c r="H3136" s="1" t="s">
        <v>5941</v>
      </c>
      <c r="S3136" s="1" t="s">
        <v>1846</v>
      </c>
      <c r="W3136" s="8"/>
      <c r="AJ3136" s="1"/>
      <c r="AM3136" s="1" t="s">
        <v>2886</v>
      </c>
    </row>
    <row r="3137">
      <c r="H3137" s="1" t="s">
        <v>4511</v>
      </c>
      <c r="S3137" s="1" t="s">
        <v>3039</v>
      </c>
      <c r="W3137" s="8"/>
      <c r="AJ3137" s="1"/>
      <c r="AM3137" s="1" t="s">
        <v>5806</v>
      </c>
    </row>
    <row r="3138">
      <c r="H3138" s="1" t="s">
        <v>4513</v>
      </c>
      <c r="S3138" s="1" t="s">
        <v>5162</v>
      </c>
      <c r="W3138" s="8"/>
      <c r="AJ3138" s="1"/>
      <c r="AM3138" s="1" t="s">
        <v>4679</v>
      </c>
    </row>
    <row r="3139">
      <c r="H3139" s="1" t="s">
        <v>6024</v>
      </c>
      <c r="S3139" s="1" t="s">
        <v>6025</v>
      </c>
      <c r="W3139" s="8"/>
      <c r="AJ3139" s="1"/>
      <c r="AM3139" s="1" t="s">
        <v>2892</v>
      </c>
    </row>
    <row r="3140">
      <c r="H3140" s="1" t="s">
        <v>1534</v>
      </c>
      <c r="S3140" s="1" t="s">
        <v>4749</v>
      </c>
      <c r="W3140" s="8"/>
      <c r="AJ3140" s="1"/>
      <c r="AM3140" s="1" t="s">
        <v>2895</v>
      </c>
    </row>
    <row r="3141">
      <c r="H3141" s="1" t="s">
        <v>5480</v>
      </c>
      <c r="S3141" s="1" t="s">
        <v>713</v>
      </c>
      <c r="W3141" s="8"/>
      <c r="AJ3141" s="1"/>
      <c r="AM3141" s="1" t="s">
        <v>1019</v>
      </c>
    </row>
    <row r="3142">
      <c r="H3142" s="1" t="s">
        <v>4516</v>
      </c>
      <c r="S3142" s="1" t="s">
        <v>3881</v>
      </c>
      <c r="W3142" s="8"/>
      <c r="AJ3142" s="1"/>
      <c r="AM3142" s="1" t="s">
        <v>6026</v>
      </c>
    </row>
    <row r="3143">
      <c r="H3143" s="1" t="s">
        <v>6027</v>
      </c>
      <c r="S3143" s="1" t="s">
        <v>1971</v>
      </c>
      <c r="W3143" s="8"/>
      <c r="AJ3143" s="1"/>
      <c r="AM3143" s="1" t="s">
        <v>2897</v>
      </c>
    </row>
    <row r="3144">
      <c r="H3144" s="1" t="s">
        <v>4517</v>
      </c>
      <c r="S3144" s="1" t="s">
        <v>5069</v>
      </c>
      <c r="W3144" s="8"/>
      <c r="AJ3144" s="1"/>
      <c r="AM3144" s="1" t="s">
        <v>1620</v>
      </c>
    </row>
    <row r="3145">
      <c r="H3145" s="1" t="s">
        <v>5946</v>
      </c>
      <c r="S3145" s="1" t="s">
        <v>5855</v>
      </c>
      <c r="W3145" s="8"/>
      <c r="AJ3145" s="1"/>
      <c r="AM3145" s="1" t="s">
        <v>5641</v>
      </c>
    </row>
    <row r="3146">
      <c r="H3146" s="1" t="s">
        <v>750</v>
      </c>
      <c r="S3146" s="1" t="s">
        <v>678</v>
      </c>
      <c r="W3146" s="8"/>
      <c r="AJ3146" s="1"/>
      <c r="AM3146" s="1" t="s">
        <v>2903</v>
      </c>
    </row>
    <row r="3147">
      <c r="H3147" s="1" t="s">
        <v>2718</v>
      </c>
      <c r="S3147" s="1" t="s">
        <v>3942</v>
      </c>
      <c r="W3147" s="8"/>
      <c r="AJ3147" s="1"/>
      <c r="AM3147" s="1" t="s">
        <v>1626</v>
      </c>
    </row>
    <row r="3148">
      <c r="H3148" s="1" t="s">
        <v>2124</v>
      </c>
      <c r="S3148" s="1" t="s">
        <v>461</v>
      </c>
      <c r="W3148" s="8"/>
      <c r="AJ3148" s="1"/>
      <c r="AM3148" s="1" t="s">
        <v>4308</v>
      </c>
    </row>
    <row r="3149">
      <c r="H3149" s="1" t="s">
        <v>1751</v>
      </c>
      <c r="S3149" s="1" t="s">
        <v>426</v>
      </c>
      <c r="W3149" s="8"/>
      <c r="AJ3149" s="1"/>
      <c r="AM3149" s="1" t="s">
        <v>2910</v>
      </c>
    </row>
    <row r="3150">
      <c r="H3150" s="1" t="s">
        <v>2724</v>
      </c>
      <c r="S3150" s="1" t="s">
        <v>4097</v>
      </c>
      <c r="W3150" s="8"/>
      <c r="AJ3150" s="1"/>
      <c r="AM3150" s="1" t="s">
        <v>5645</v>
      </c>
    </row>
    <row r="3151">
      <c r="H3151" s="1" t="s">
        <v>5485</v>
      </c>
      <c r="S3151" s="1" t="s">
        <v>567</v>
      </c>
      <c r="W3151" s="8"/>
      <c r="AJ3151" s="1"/>
      <c r="AM3151" s="1" t="s">
        <v>6028</v>
      </c>
    </row>
    <row r="3152">
      <c r="H3152" s="1" t="s">
        <v>5487</v>
      </c>
      <c r="S3152" s="1" t="s">
        <v>64</v>
      </c>
      <c r="W3152" s="8"/>
      <c r="AJ3152" s="1"/>
      <c r="AM3152" s="1" t="s">
        <v>4688</v>
      </c>
    </row>
    <row r="3153">
      <c r="H3153" s="1" t="s">
        <v>4526</v>
      </c>
      <c r="S3153" s="1" t="s">
        <v>6029</v>
      </c>
      <c r="W3153" s="8"/>
      <c r="AJ3153" s="1"/>
      <c r="AM3153" s="1" t="s">
        <v>5356</v>
      </c>
    </row>
    <row r="3154">
      <c r="H3154" s="1" t="s">
        <v>4529</v>
      </c>
      <c r="S3154" s="1" t="s">
        <v>4913</v>
      </c>
      <c r="W3154" s="8"/>
      <c r="AJ3154" s="1"/>
      <c r="AM3154" s="1" t="s">
        <v>4690</v>
      </c>
    </row>
    <row r="3155">
      <c r="H3155" s="1" t="s">
        <v>2730</v>
      </c>
      <c r="S3155" s="1" t="s">
        <v>5538</v>
      </c>
      <c r="W3155" s="8"/>
      <c r="AJ3155" s="1"/>
      <c r="AM3155" s="1" t="s">
        <v>4693</v>
      </c>
    </row>
    <row r="3156">
      <c r="H3156" s="1" t="s">
        <v>5489</v>
      </c>
      <c r="S3156" s="1" t="s">
        <v>4269</v>
      </c>
      <c r="W3156" s="8"/>
      <c r="AJ3156" s="1"/>
      <c r="AM3156" s="1" t="s">
        <v>2913</v>
      </c>
    </row>
    <row r="3157">
      <c r="H3157" s="1" t="s">
        <v>5491</v>
      </c>
      <c r="S3157" s="1" t="s">
        <v>5236</v>
      </c>
      <c r="W3157" s="8"/>
      <c r="AJ3157" s="1"/>
      <c r="AM3157" s="1" t="s">
        <v>4695</v>
      </c>
    </row>
    <row r="3158">
      <c r="H3158" s="1" t="s">
        <v>1550</v>
      </c>
      <c r="S3158" s="1" t="s">
        <v>2216</v>
      </c>
      <c r="W3158" s="8"/>
      <c r="AJ3158" s="1"/>
      <c r="AM3158" s="1" t="s">
        <v>5939</v>
      </c>
    </row>
    <row r="3159">
      <c r="H3159" s="1" t="s">
        <v>4537</v>
      </c>
      <c r="S3159" s="1" t="s">
        <v>5181</v>
      </c>
      <c r="W3159" s="8"/>
      <c r="AJ3159" s="1"/>
      <c r="AM3159" s="1" t="s">
        <v>5643</v>
      </c>
    </row>
    <row r="3160">
      <c r="H3160" s="1" t="s">
        <v>5493</v>
      </c>
      <c r="S3160" s="1" t="s">
        <v>552</v>
      </c>
      <c r="W3160" s="8"/>
      <c r="AJ3160" s="1"/>
      <c r="AM3160" s="1" t="s">
        <v>3504</v>
      </c>
    </row>
    <row r="3161">
      <c r="H3161" s="1" t="s">
        <v>4629</v>
      </c>
      <c r="S3161" s="1" t="s">
        <v>4065</v>
      </c>
      <c r="W3161" s="8"/>
      <c r="AJ3161" s="1"/>
      <c r="AM3161" s="1" t="s">
        <v>2916</v>
      </c>
    </row>
    <row r="3162">
      <c r="H3162" s="1" t="s">
        <v>4539</v>
      </c>
      <c r="S3162" s="1" t="s">
        <v>1312</v>
      </c>
      <c r="W3162" s="8"/>
      <c r="AJ3162" s="1"/>
      <c r="AM3162" s="1" t="s">
        <v>2918</v>
      </c>
    </row>
    <row r="3163">
      <c r="H3163" s="1" t="s">
        <v>4540</v>
      </c>
      <c r="S3163" s="1" t="s">
        <v>2944</v>
      </c>
      <c r="W3163" s="8"/>
      <c r="AJ3163" s="1"/>
      <c r="AM3163" s="1" t="s">
        <v>2923</v>
      </c>
    </row>
    <row r="3164">
      <c r="H3164" s="1" t="s">
        <v>2739</v>
      </c>
      <c r="S3164" s="1" t="s">
        <v>3288</v>
      </c>
      <c r="W3164" s="8"/>
      <c r="AJ3164" s="1"/>
      <c r="AM3164" s="1" t="s">
        <v>1904</v>
      </c>
    </row>
    <row r="3165">
      <c r="H3165" s="1" t="s">
        <v>4888</v>
      </c>
      <c r="S3165" s="1" t="s">
        <v>5012</v>
      </c>
      <c r="W3165" s="8"/>
      <c r="AJ3165" s="1"/>
      <c r="AM3165" s="1" t="s">
        <v>5817</v>
      </c>
    </row>
    <row r="3166">
      <c r="H3166" s="1" t="s">
        <v>5495</v>
      </c>
      <c r="S3166" s="1" t="s">
        <v>1943</v>
      </c>
      <c r="W3166" s="8"/>
      <c r="AJ3166" s="1"/>
      <c r="AM3166" s="1" t="s">
        <v>5647</v>
      </c>
    </row>
    <row r="3167">
      <c r="H3167" s="1" t="s">
        <v>5496</v>
      </c>
      <c r="S3167" s="1" t="s">
        <v>4937</v>
      </c>
      <c r="W3167" s="8"/>
      <c r="AJ3167" s="1"/>
      <c r="AM3167" s="1" t="s">
        <v>1633</v>
      </c>
    </row>
    <row r="3168">
      <c r="H3168" s="1" t="s">
        <v>5481</v>
      </c>
      <c r="S3168" s="1" t="s">
        <v>3407</v>
      </c>
      <c r="W3168" s="8"/>
      <c r="AJ3168" s="1"/>
      <c r="AM3168" s="1" t="s">
        <v>5649</v>
      </c>
    </row>
    <row r="3169">
      <c r="H3169" s="1" t="s">
        <v>5498</v>
      </c>
      <c r="S3169" s="1" t="s">
        <v>4254</v>
      </c>
      <c r="W3169" s="8"/>
      <c r="AJ3169" s="1"/>
      <c r="AM3169" s="1" t="s">
        <v>6030</v>
      </c>
    </row>
    <row r="3170">
      <c r="H3170" s="1" t="s">
        <v>3749</v>
      </c>
      <c r="S3170" s="1" t="s">
        <v>737</v>
      </c>
      <c r="W3170" s="8"/>
      <c r="AJ3170" s="1"/>
      <c r="AM3170" s="1" t="s">
        <v>5653</v>
      </c>
    </row>
    <row r="3171">
      <c r="H3171" s="1" t="s">
        <v>5500</v>
      </c>
      <c r="S3171" s="1" t="s">
        <v>4092</v>
      </c>
      <c r="W3171" s="8"/>
      <c r="AJ3171" s="1"/>
      <c r="AM3171" s="1" t="s">
        <v>5655</v>
      </c>
    </row>
    <row r="3172">
      <c r="H3172" s="1" t="s">
        <v>4547</v>
      </c>
      <c r="S3172" s="1" t="s">
        <v>256</v>
      </c>
      <c r="W3172" s="8"/>
      <c r="AJ3172" s="1"/>
      <c r="AM3172" s="1" t="s">
        <v>5777</v>
      </c>
    </row>
    <row r="3173">
      <c r="H3173" s="1" t="s">
        <v>5502</v>
      </c>
      <c r="S3173" s="1" t="s">
        <v>5710</v>
      </c>
      <c r="W3173" s="8"/>
      <c r="AJ3173" s="1"/>
      <c r="AM3173" s="1" t="s">
        <v>4700</v>
      </c>
    </row>
    <row r="3174">
      <c r="H3174" s="1" t="s">
        <v>5504</v>
      </c>
      <c r="S3174" s="1" t="s">
        <v>718</v>
      </c>
      <c r="W3174" s="8"/>
      <c r="AJ3174" s="1"/>
      <c r="AM3174" s="1" t="s">
        <v>4703</v>
      </c>
    </row>
    <row r="3175">
      <c r="H3175" s="1" t="s">
        <v>5505</v>
      </c>
      <c r="S3175" s="1" t="s">
        <v>4345</v>
      </c>
      <c r="W3175" s="8"/>
      <c r="AJ3175" s="1"/>
      <c r="AM3175" s="1" t="s">
        <v>2929</v>
      </c>
    </row>
    <row r="3176">
      <c r="H3176" s="1" t="s">
        <v>5508</v>
      </c>
      <c r="S3176" s="1" t="s">
        <v>3050</v>
      </c>
      <c r="W3176" s="8"/>
      <c r="AJ3176" s="1"/>
      <c r="AM3176" s="1" t="s">
        <v>3865</v>
      </c>
    </row>
    <row r="3177">
      <c r="H3177" s="1" t="s">
        <v>5962</v>
      </c>
      <c r="S3177" s="1" t="s">
        <v>4553</v>
      </c>
      <c r="W3177" s="8"/>
      <c r="AJ3177" s="1"/>
      <c r="AM3177" s="1" t="s">
        <v>4706</v>
      </c>
    </row>
    <row r="3178">
      <c r="H3178" s="1" t="s">
        <v>5509</v>
      </c>
      <c r="S3178" s="1" t="s">
        <v>1270</v>
      </c>
      <c r="W3178" s="8"/>
      <c r="AJ3178" s="1"/>
      <c r="AM3178" s="1" t="s">
        <v>5659</v>
      </c>
    </row>
    <row r="3179">
      <c r="H3179" s="1" t="s">
        <v>4553</v>
      </c>
      <c r="S3179" s="1" t="s">
        <v>6031</v>
      </c>
      <c r="W3179" s="8"/>
      <c r="AJ3179" s="1"/>
      <c r="AM3179" s="1" t="s">
        <v>1681</v>
      </c>
    </row>
    <row r="3180">
      <c r="H3180" s="1" t="s">
        <v>2745</v>
      </c>
      <c r="S3180" s="1" t="s">
        <v>1936</v>
      </c>
      <c r="W3180" s="8"/>
      <c r="AJ3180" s="1"/>
      <c r="AM3180" s="1" t="s">
        <v>2933</v>
      </c>
    </row>
    <row r="3181">
      <c r="H3181" s="1" t="s">
        <v>5131</v>
      </c>
      <c r="S3181" s="1" t="s">
        <v>28</v>
      </c>
      <c r="W3181" s="8"/>
      <c r="AJ3181" s="1"/>
      <c r="AM3181" s="1" t="s">
        <v>4711</v>
      </c>
    </row>
    <row r="3182">
      <c r="H3182" s="1" t="s">
        <v>1475</v>
      </c>
      <c r="S3182" s="1" t="s">
        <v>369</v>
      </c>
      <c r="W3182" s="8"/>
      <c r="AJ3182" s="1"/>
      <c r="AM3182" s="1" t="s">
        <v>5663</v>
      </c>
    </row>
    <row r="3183">
      <c r="H3183" s="1" t="s">
        <v>2746</v>
      </c>
      <c r="S3183" s="1" t="s">
        <v>820</v>
      </c>
      <c r="W3183" s="8"/>
      <c r="AJ3183" s="1"/>
      <c r="AM3183" s="1" t="s">
        <v>2937</v>
      </c>
    </row>
    <row r="3184">
      <c r="H3184" s="1" t="s">
        <v>5189</v>
      </c>
      <c r="S3184" s="1" t="s">
        <v>5794</v>
      </c>
      <c r="W3184" s="8"/>
      <c r="AJ3184" s="1"/>
      <c r="AM3184" s="1">
        <v>1960.0</v>
      </c>
    </row>
    <row r="3185">
      <c r="H3185" s="1" t="s">
        <v>4556</v>
      </c>
      <c r="S3185" s="1" t="s">
        <v>4654</v>
      </c>
      <c r="W3185" s="8"/>
      <c r="AJ3185" s="1"/>
      <c r="AM3185" s="1" t="s">
        <v>4716</v>
      </c>
    </row>
    <row r="3186">
      <c r="H3186" s="1" t="s">
        <v>5964</v>
      </c>
      <c r="S3186" s="1" t="s">
        <v>666</v>
      </c>
      <c r="W3186" s="8"/>
      <c r="AJ3186" s="1"/>
      <c r="AM3186" s="1" t="s">
        <v>2938</v>
      </c>
    </row>
    <row r="3187">
      <c r="H3187" s="1" t="s">
        <v>2750</v>
      </c>
      <c r="S3187" s="1" t="s">
        <v>5702</v>
      </c>
      <c r="W3187" s="8"/>
      <c r="AJ3187" s="1"/>
      <c r="AM3187" s="1" t="s">
        <v>2944</v>
      </c>
    </row>
    <row r="3188">
      <c r="H3188" s="1" t="s">
        <v>2748</v>
      </c>
      <c r="S3188" s="1" t="s">
        <v>3987</v>
      </c>
      <c r="W3188" s="8"/>
      <c r="AJ3188" s="1"/>
      <c r="AM3188" s="1" t="s">
        <v>2948</v>
      </c>
    </row>
    <row r="3189">
      <c r="H3189" s="1" t="s">
        <v>3754</v>
      </c>
      <c r="S3189" s="1" t="s">
        <v>1281</v>
      </c>
      <c r="W3189" s="8"/>
      <c r="AJ3189" s="1"/>
      <c r="AM3189" s="1" t="s">
        <v>5666</v>
      </c>
    </row>
    <row r="3190">
      <c r="H3190" s="1" t="s">
        <v>4560</v>
      </c>
      <c r="S3190" s="1" t="s">
        <v>5774</v>
      </c>
      <c r="W3190" s="8"/>
      <c r="AJ3190" s="1"/>
      <c r="AM3190" s="1" t="s">
        <v>6032</v>
      </c>
    </row>
    <row r="3191">
      <c r="H3191" s="1" t="s">
        <v>5038</v>
      </c>
      <c r="S3191" s="1" t="s">
        <v>5026</v>
      </c>
      <c r="W3191" s="8"/>
      <c r="AJ3191" s="1"/>
      <c r="AM3191" s="1" t="s">
        <v>1639</v>
      </c>
    </row>
    <row r="3192">
      <c r="H3192" s="1" t="s">
        <v>4561</v>
      </c>
      <c r="S3192" s="1" t="s">
        <v>1019</v>
      </c>
      <c r="W3192" s="8"/>
      <c r="AJ3192" s="1"/>
      <c r="AM3192" s="1" t="s">
        <v>1645</v>
      </c>
    </row>
    <row r="3193">
      <c r="H3193" s="1" t="s">
        <v>1556</v>
      </c>
      <c r="S3193" s="1" t="s">
        <v>31</v>
      </c>
      <c r="W3193" s="8"/>
      <c r="AJ3193" s="1"/>
      <c r="AM3193" s="1" t="s">
        <v>4726</v>
      </c>
    </row>
    <row r="3194">
      <c r="H3194" s="1" t="s">
        <v>5513</v>
      </c>
      <c r="S3194" s="1" t="s">
        <v>719</v>
      </c>
      <c r="W3194" s="8"/>
      <c r="AJ3194" s="1"/>
      <c r="AM3194" s="1" t="s">
        <v>5669</v>
      </c>
    </row>
    <row r="3195">
      <c r="H3195" s="1" t="s">
        <v>2758</v>
      </c>
      <c r="S3195" s="1" t="s">
        <v>2430</v>
      </c>
      <c r="W3195" s="8"/>
      <c r="AJ3195" s="1"/>
      <c r="AM3195" s="1" t="s">
        <v>6033</v>
      </c>
    </row>
    <row r="3196">
      <c r="H3196" s="1" t="s">
        <v>2763</v>
      </c>
      <c r="S3196" s="1" t="s">
        <v>917</v>
      </c>
      <c r="W3196" s="8"/>
      <c r="AJ3196" s="1"/>
      <c r="AM3196" s="1" t="s">
        <v>4728</v>
      </c>
    </row>
    <row r="3197">
      <c r="H3197" s="1" t="s">
        <v>4566</v>
      </c>
      <c r="S3197" s="1" t="s">
        <v>74</v>
      </c>
      <c r="W3197" s="8"/>
      <c r="AJ3197" s="1"/>
      <c r="AM3197" s="1" t="s">
        <v>757</v>
      </c>
    </row>
    <row r="3198">
      <c r="H3198" s="1" t="s">
        <v>5517</v>
      </c>
      <c r="S3198" s="1" t="s">
        <v>116</v>
      </c>
      <c r="W3198" s="8"/>
      <c r="AJ3198" s="1"/>
      <c r="AM3198" s="1" t="s">
        <v>5654</v>
      </c>
    </row>
    <row r="3199">
      <c r="H3199" s="1" t="s">
        <v>1884</v>
      </c>
      <c r="S3199" s="1" t="s">
        <v>4276</v>
      </c>
      <c r="W3199" s="8"/>
      <c r="AJ3199" s="1"/>
      <c r="AM3199" s="1" t="s">
        <v>2961</v>
      </c>
    </row>
    <row r="3200">
      <c r="H3200" s="1" t="s">
        <v>1286</v>
      </c>
      <c r="S3200" s="1" t="s">
        <v>5799</v>
      </c>
      <c r="W3200" s="8"/>
      <c r="AJ3200" s="1"/>
      <c r="AM3200" s="1" t="s">
        <v>6034</v>
      </c>
    </row>
    <row r="3201">
      <c r="H3201" s="1" t="s">
        <v>5522</v>
      </c>
      <c r="S3201" s="1" t="s">
        <v>5908</v>
      </c>
      <c r="W3201" s="8"/>
      <c r="AJ3201" s="1"/>
      <c r="AM3201" s="1" t="s">
        <v>2965</v>
      </c>
    </row>
    <row r="3202">
      <c r="H3202" s="1" t="s">
        <v>1760</v>
      </c>
      <c r="S3202" s="1" t="s">
        <v>4880</v>
      </c>
      <c r="W3202" s="8"/>
      <c r="AJ3202" s="1"/>
      <c r="AM3202" s="1" t="s">
        <v>4730</v>
      </c>
    </row>
    <row r="3203">
      <c r="H3203" s="1" t="s">
        <v>1365</v>
      </c>
      <c r="S3203" s="1" t="s">
        <v>838</v>
      </c>
      <c r="W3203" s="8"/>
      <c r="AJ3203" s="1"/>
      <c r="AM3203" s="1" t="s">
        <v>4732</v>
      </c>
    </row>
    <row r="3204">
      <c r="H3204" s="1" t="s">
        <v>2768</v>
      </c>
      <c r="S3204" s="1" t="s">
        <v>4189</v>
      </c>
      <c r="W3204" s="8"/>
      <c r="AJ3204" s="1"/>
      <c r="AM3204" s="1" t="s">
        <v>441</v>
      </c>
    </row>
    <row r="3205">
      <c r="H3205" s="1" t="s">
        <v>1401</v>
      </c>
      <c r="S3205" s="1" t="s">
        <v>2739</v>
      </c>
      <c r="W3205" s="8"/>
      <c r="AJ3205" s="1"/>
      <c r="AM3205" s="1" t="s">
        <v>5673</v>
      </c>
    </row>
    <row r="3206">
      <c r="H3206" s="1" t="s">
        <v>2780</v>
      </c>
      <c r="S3206" s="1" t="s">
        <v>2483</v>
      </c>
      <c r="W3206" s="8"/>
      <c r="AJ3206" s="1"/>
      <c r="AM3206" s="1" t="s">
        <v>5675</v>
      </c>
    </row>
    <row r="3207">
      <c r="H3207" s="1" t="s">
        <v>5525</v>
      </c>
      <c r="S3207" s="1" t="s">
        <v>574</v>
      </c>
      <c r="W3207" s="8"/>
      <c r="AJ3207" s="1"/>
      <c r="AM3207" s="1" t="s">
        <v>4736</v>
      </c>
    </row>
    <row r="3208">
      <c r="H3208" s="1" t="s">
        <v>3769</v>
      </c>
      <c r="S3208" s="1" t="s">
        <v>1418</v>
      </c>
      <c r="W3208" s="8"/>
      <c r="AJ3208" s="1"/>
      <c r="AM3208" s="1" t="s">
        <v>1651</v>
      </c>
    </row>
    <row r="3209">
      <c r="H3209" s="1" t="s">
        <v>4804</v>
      </c>
      <c r="S3209" s="1" t="s">
        <v>5723</v>
      </c>
      <c r="W3209" s="8"/>
      <c r="AJ3209" s="1"/>
      <c r="AM3209" s="1" t="s">
        <v>4739</v>
      </c>
    </row>
    <row r="3210">
      <c r="H3210" s="1" t="s">
        <v>5586</v>
      </c>
      <c r="S3210" s="1" t="s">
        <v>4380</v>
      </c>
      <c r="W3210" s="8"/>
      <c r="AJ3210" s="1"/>
      <c r="AM3210" s="1" t="s">
        <v>4740</v>
      </c>
    </row>
    <row r="3211">
      <c r="H3211" s="1" t="s">
        <v>1566</v>
      </c>
      <c r="S3211" s="1" t="s">
        <v>930</v>
      </c>
      <c r="W3211" s="8"/>
      <c r="AJ3211" s="1"/>
      <c r="AM3211" s="1" t="s">
        <v>6035</v>
      </c>
    </row>
    <row r="3212">
      <c r="H3212" s="1" t="s">
        <v>4574</v>
      </c>
      <c r="S3212" s="1" t="s">
        <v>6036</v>
      </c>
      <c r="W3212" s="8"/>
      <c r="AJ3212" s="1"/>
      <c r="AM3212" s="1" t="s">
        <v>4743</v>
      </c>
    </row>
    <row r="3213">
      <c r="H3213" s="1" t="s">
        <v>1572</v>
      </c>
      <c r="S3213" s="1" t="s">
        <v>6037</v>
      </c>
      <c r="W3213" s="8"/>
      <c r="AJ3213" s="1"/>
      <c r="AM3213" s="1" t="s">
        <v>4745</v>
      </c>
    </row>
    <row r="3214">
      <c r="H3214" s="1" t="s">
        <v>3688</v>
      </c>
      <c r="S3214" s="1" t="s">
        <v>44</v>
      </c>
      <c r="W3214" s="8"/>
      <c r="AJ3214" s="1"/>
      <c r="AM3214" s="1" t="s">
        <v>4261</v>
      </c>
    </row>
    <row r="3215">
      <c r="H3215" s="1">
        <v>1952.0</v>
      </c>
      <c r="S3215" s="1" t="s">
        <v>5536</v>
      </c>
      <c r="W3215" s="8"/>
      <c r="AJ3215" s="1"/>
      <c r="AM3215" s="1" t="s">
        <v>2975</v>
      </c>
    </row>
    <row r="3216">
      <c r="H3216" s="1" t="s">
        <v>5531</v>
      </c>
      <c r="S3216" s="1" t="s">
        <v>5640</v>
      </c>
      <c r="W3216" s="8"/>
      <c r="AJ3216" s="1"/>
      <c r="AM3216" s="1" t="s">
        <v>4746</v>
      </c>
    </row>
    <row r="3217">
      <c r="H3217" s="1" t="s">
        <v>4579</v>
      </c>
      <c r="S3217" s="1" t="s">
        <v>3633</v>
      </c>
      <c r="W3217" s="8"/>
      <c r="AJ3217" s="1"/>
      <c r="AM3217" s="1" t="s">
        <v>2978</v>
      </c>
    </row>
    <row r="3218">
      <c r="H3218" s="1" t="s">
        <v>5533</v>
      </c>
      <c r="S3218" s="1" t="s">
        <v>6009</v>
      </c>
      <c r="W3218" s="8"/>
      <c r="AJ3218" s="1"/>
      <c r="AM3218" s="1" t="s">
        <v>1785</v>
      </c>
    </row>
    <row r="3219">
      <c r="H3219" s="1" t="s">
        <v>6038</v>
      </c>
      <c r="S3219" s="1" t="s">
        <v>6039</v>
      </c>
      <c r="W3219" s="8"/>
      <c r="AJ3219" s="1"/>
      <c r="AM3219" s="1" t="s">
        <v>4747</v>
      </c>
    </row>
    <row r="3220">
      <c r="H3220" s="1" t="s">
        <v>2786</v>
      </c>
      <c r="S3220" s="1" t="s">
        <v>5681</v>
      </c>
      <c r="W3220" s="8"/>
      <c r="AJ3220" s="1"/>
      <c r="AM3220" s="1">
        <v>451.0</v>
      </c>
    </row>
    <row r="3221">
      <c r="H3221" s="1" t="s">
        <v>5536</v>
      </c>
      <c r="S3221" s="1" t="s">
        <v>6040</v>
      </c>
      <c r="W3221" s="8"/>
      <c r="AJ3221" s="1"/>
      <c r="AM3221" s="1" t="s">
        <v>6041</v>
      </c>
    </row>
    <row r="3222">
      <c r="H3222" s="1" t="s">
        <v>6042</v>
      </c>
      <c r="S3222" s="1" t="s">
        <v>3054</v>
      </c>
      <c r="W3222" s="8"/>
      <c r="AJ3222" s="1"/>
      <c r="AM3222" s="1" t="s">
        <v>1946</v>
      </c>
    </row>
    <row r="3223">
      <c r="H3223" s="1" t="s">
        <v>2790</v>
      </c>
      <c r="S3223" s="1" t="s">
        <v>3683</v>
      </c>
      <c r="W3223" s="8"/>
      <c r="AJ3223" s="1"/>
      <c r="AM3223" s="1" t="s">
        <v>6043</v>
      </c>
    </row>
    <row r="3224">
      <c r="H3224" s="1" t="s">
        <v>6044</v>
      </c>
      <c r="S3224" s="1" t="s">
        <v>5241</v>
      </c>
      <c r="W3224" s="8"/>
      <c r="AJ3224" s="1"/>
      <c r="AM3224" s="1">
        <v>1957.0</v>
      </c>
    </row>
    <row r="3225">
      <c r="H3225" s="1" t="s">
        <v>5538</v>
      </c>
      <c r="S3225" s="1" t="s">
        <v>3614</v>
      </c>
      <c r="W3225" s="8"/>
      <c r="AJ3225" s="1"/>
      <c r="AM3225" s="1" t="s">
        <v>1526</v>
      </c>
    </row>
    <row r="3226">
      <c r="H3226" s="1" t="s">
        <v>4585</v>
      </c>
      <c r="S3226" s="1" t="s">
        <v>1185</v>
      </c>
      <c r="W3226" s="8"/>
      <c r="AJ3226" s="1"/>
      <c r="AM3226" s="1" t="s">
        <v>644</v>
      </c>
    </row>
    <row r="3227">
      <c r="H3227" s="1" t="s">
        <v>974</v>
      </c>
      <c r="S3227" s="1" t="s">
        <v>1594</v>
      </c>
      <c r="W3227" s="8"/>
      <c r="AJ3227" s="1"/>
      <c r="AM3227" s="1" t="s">
        <v>3878</v>
      </c>
    </row>
    <row r="3228">
      <c r="H3228" s="1" t="s">
        <v>5541</v>
      </c>
      <c r="S3228" s="1" t="s">
        <v>5845</v>
      </c>
      <c r="W3228" s="8"/>
      <c r="AJ3228" s="1"/>
      <c r="AM3228" s="1" t="s">
        <v>2984</v>
      </c>
    </row>
    <row r="3229">
      <c r="H3229" s="1" t="s">
        <v>2794</v>
      </c>
      <c r="S3229" s="1" t="s">
        <v>943</v>
      </c>
      <c r="W3229" s="8"/>
      <c r="AJ3229" s="1"/>
      <c r="AM3229" s="1" t="s">
        <v>2987</v>
      </c>
    </row>
    <row r="3230">
      <c r="H3230" s="1" t="s">
        <v>6045</v>
      </c>
      <c r="S3230" s="1" t="s">
        <v>6046</v>
      </c>
      <c r="W3230" s="8"/>
      <c r="AJ3230" s="1"/>
      <c r="AM3230" s="1" t="s">
        <v>4910</v>
      </c>
    </row>
    <row r="3231">
      <c r="H3231" s="1" t="s">
        <v>5542</v>
      </c>
      <c r="S3231" s="1" t="s">
        <v>5396</v>
      </c>
      <c r="W3231" s="8"/>
      <c r="AJ3231" s="1"/>
      <c r="AM3231" s="1" t="s">
        <v>4754</v>
      </c>
    </row>
    <row r="3232">
      <c r="H3232" s="1" t="s">
        <v>1578</v>
      </c>
      <c r="S3232" s="1" t="s">
        <v>648</v>
      </c>
      <c r="W3232" s="8"/>
      <c r="AJ3232" s="1"/>
      <c r="AM3232" s="1">
        <v>87.0</v>
      </c>
    </row>
    <row r="3233">
      <c r="H3233" s="1" t="s">
        <v>5546</v>
      </c>
      <c r="S3233" s="1" t="s">
        <v>1225</v>
      </c>
      <c r="W3233" s="8"/>
      <c r="AJ3233" s="1"/>
      <c r="AM3233" s="1" t="s">
        <v>2989</v>
      </c>
    </row>
    <row r="3234">
      <c r="H3234" s="1" t="s">
        <v>3776</v>
      </c>
      <c r="S3234" s="1" t="s">
        <v>734</v>
      </c>
      <c r="W3234" s="8"/>
      <c r="AJ3234" s="1"/>
      <c r="AM3234" s="1" t="s">
        <v>2993</v>
      </c>
    </row>
    <row r="3235">
      <c r="H3235" s="1" t="s">
        <v>3778</v>
      </c>
      <c r="S3235" s="1" t="s">
        <v>3563</v>
      </c>
      <c r="W3235" s="8"/>
      <c r="AJ3235" s="1"/>
      <c r="AM3235" s="1" t="s">
        <v>4756</v>
      </c>
    </row>
    <row r="3236">
      <c r="H3236" s="1" t="s">
        <v>2800</v>
      </c>
      <c r="S3236" s="1" t="s">
        <v>2617</v>
      </c>
      <c r="W3236" s="8"/>
      <c r="AJ3236" s="1"/>
      <c r="AM3236" s="1" t="s">
        <v>6047</v>
      </c>
    </row>
    <row r="3237">
      <c r="H3237" s="1" t="s">
        <v>5492</v>
      </c>
      <c r="S3237" s="1" t="s">
        <v>3380</v>
      </c>
      <c r="W3237" s="8"/>
      <c r="AJ3237" s="1"/>
      <c r="AM3237" s="1" t="s">
        <v>4294</v>
      </c>
    </row>
    <row r="3238">
      <c r="H3238" s="1" t="s">
        <v>5548</v>
      </c>
      <c r="S3238" s="1" t="s">
        <v>882</v>
      </c>
      <c r="W3238" s="8"/>
      <c r="AJ3238" s="1"/>
      <c r="AM3238" s="1" t="s">
        <v>2997</v>
      </c>
    </row>
    <row r="3239">
      <c r="H3239" s="1" t="s">
        <v>1753</v>
      </c>
      <c r="S3239" s="1" t="s">
        <v>6048</v>
      </c>
      <c r="W3239" s="8"/>
      <c r="AJ3239" s="1"/>
      <c r="AM3239" s="1" t="s">
        <v>5479</v>
      </c>
    </row>
    <row r="3240">
      <c r="H3240" s="1" t="s">
        <v>1583</v>
      </c>
      <c r="S3240" s="1" t="s">
        <v>2551</v>
      </c>
      <c r="W3240" s="8"/>
      <c r="AJ3240" s="1"/>
      <c r="AM3240" s="1" t="s">
        <v>4759</v>
      </c>
    </row>
    <row r="3241">
      <c r="H3241" s="1" t="s">
        <v>5549</v>
      </c>
      <c r="S3241" s="1" t="s">
        <v>5270</v>
      </c>
      <c r="W3241" s="8"/>
      <c r="AJ3241" s="1"/>
      <c r="AM3241" s="1" t="s">
        <v>3002</v>
      </c>
    </row>
    <row r="3242">
      <c r="H3242" s="1" t="s">
        <v>5550</v>
      </c>
      <c r="S3242" s="1" t="s">
        <v>6049</v>
      </c>
      <c r="W3242" s="8"/>
      <c r="AJ3242" s="1"/>
      <c r="AM3242" s="1" t="s">
        <v>6050</v>
      </c>
    </row>
    <row r="3243">
      <c r="H3243" s="1" t="s">
        <v>6051</v>
      </c>
      <c r="S3243" s="1" t="s">
        <v>4226</v>
      </c>
      <c r="W3243" s="8"/>
      <c r="AJ3243" s="1"/>
      <c r="AM3243" s="1" t="s">
        <v>3732</v>
      </c>
    </row>
    <row r="3244">
      <c r="H3244" s="1" t="s">
        <v>6052</v>
      </c>
      <c r="S3244" s="1" t="s">
        <v>3795</v>
      </c>
      <c r="W3244" s="8"/>
      <c r="AJ3244" s="1"/>
      <c r="AM3244" s="1" t="s">
        <v>1729</v>
      </c>
    </row>
    <row r="3245">
      <c r="H3245" s="1" t="s">
        <v>5553</v>
      </c>
      <c r="S3245" s="1" t="s">
        <v>2092</v>
      </c>
      <c r="W3245" s="8"/>
      <c r="AJ3245" s="1"/>
      <c r="AM3245" s="1" t="s">
        <v>4762</v>
      </c>
    </row>
    <row r="3246">
      <c r="H3246" s="1" t="s">
        <v>2806</v>
      </c>
      <c r="S3246" s="1" t="s">
        <v>2865</v>
      </c>
      <c r="W3246" s="8"/>
      <c r="AJ3246" s="1"/>
      <c r="AM3246" s="1" t="s">
        <v>4766</v>
      </c>
    </row>
    <row r="3247">
      <c r="H3247" s="1">
        <v>146.0</v>
      </c>
      <c r="S3247" s="1" t="s">
        <v>2385</v>
      </c>
      <c r="W3247" s="8"/>
      <c r="AJ3247" s="1"/>
      <c r="AM3247" s="1" t="s">
        <v>3895</v>
      </c>
    </row>
    <row r="3248">
      <c r="H3248" s="1" t="s">
        <v>4718</v>
      </c>
      <c r="S3248" s="1" t="s">
        <v>907</v>
      </c>
      <c r="W3248" s="8"/>
      <c r="AJ3248" s="1"/>
      <c r="AM3248" s="1" t="s">
        <v>4768</v>
      </c>
    </row>
    <row r="3249">
      <c r="H3249" s="1" t="s">
        <v>5555</v>
      </c>
      <c r="S3249" s="1" t="s">
        <v>1824</v>
      </c>
      <c r="W3249" s="8"/>
      <c r="AJ3249" s="1"/>
      <c r="AM3249" s="1" t="s">
        <v>5695</v>
      </c>
    </row>
    <row r="3250">
      <c r="H3250" s="1" t="s">
        <v>1965</v>
      </c>
      <c r="S3250" s="1" t="s">
        <v>3197</v>
      </c>
      <c r="W3250" s="8"/>
      <c r="AJ3250" s="1"/>
      <c r="AM3250" s="1" t="s">
        <v>6053</v>
      </c>
    </row>
    <row r="3251">
      <c r="H3251" s="1" t="s">
        <v>2810</v>
      </c>
      <c r="S3251" s="1" t="s">
        <v>3386</v>
      </c>
      <c r="W3251" s="8"/>
      <c r="AJ3251" s="1"/>
      <c r="AM3251" s="1" t="s">
        <v>4769</v>
      </c>
    </row>
    <row r="3252">
      <c r="H3252" s="1" t="s">
        <v>2815</v>
      </c>
      <c r="S3252" s="1" t="s">
        <v>2321</v>
      </c>
      <c r="W3252" s="8"/>
      <c r="AJ3252" s="1"/>
      <c r="AM3252" s="1" t="s">
        <v>3004</v>
      </c>
    </row>
    <row r="3253">
      <c r="H3253" s="1" t="s">
        <v>4600</v>
      </c>
      <c r="S3253" s="1" t="s">
        <v>5495</v>
      </c>
      <c r="W3253" s="8"/>
      <c r="AJ3253" s="1"/>
      <c r="AM3253" s="1">
        <v>1933.0</v>
      </c>
    </row>
    <row r="3254">
      <c r="H3254" s="1" t="s">
        <v>4601</v>
      </c>
      <c r="S3254" s="1" t="s">
        <v>3406</v>
      </c>
      <c r="W3254" s="8"/>
      <c r="AJ3254" s="1"/>
      <c r="AM3254" s="1" t="s">
        <v>4771</v>
      </c>
    </row>
    <row r="3255">
      <c r="H3255" s="1" t="s">
        <v>1587</v>
      </c>
      <c r="S3255" s="1" t="s">
        <v>178</v>
      </c>
      <c r="W3255" s="8"/>
      <c r="AJ3255" s="1"/>
      <c r="AM3255" s="1" t="s">
        <v>3007</v>
      </c>
    </row>
    <row r="3256">
      <c r="H3256" s="1" t="s">
        <v>1592</v>
      </c>
      <c r="S3256" s="1" t="s">
        <v>5321</v>
      </c>
      <c r="W3256" s="8"/>
      <c r="AJ3256" s="1"/>
      <c r="AM3256" s="1" t="s">
        <v>4774</v>
      </c>
    </row>
    <row r="3257">
      <c r="H3257" s="1" t="s">
        <v>4610</v>
      </c>
      <c r="S3257" s="1" t="s">
        <v>6054</v>
      </c>
      <c r="W3257" s="8"/>
      <c r="AJ3257" s="1"/>
      <c r="AM3257" s="1" t="s">
        <v>4673</v>
      </c>
    </row>
    <row r="3258">
      <c r="H3258" s="1" t="s">
        <v>4613</v>
      </c>
      <c r="S3258" s="1" t="s">
        <v>612</v>
      </c>
      <c r="W3258" s="8"/>
      <c r="AJ3258" s="1"/>
      <c r="AM3258" s="1" t="s">
        <v>4778</v>
      </c>
    </row>
    <row r="3259">
      <c r="H3259" s="1" t="s">
        <v>3790</v>
      </c>
      <c r="S3259" s="1" t="s">
        <v>940</v>
      </c>
      <c r="W3259" s="8"/>
      <c r="AJ3259" s="1"/>
      <c r="AM3259" s="1" t="s">
        <v>4781</v>
      </c>
    </row>
    <row r="3260">
      <c r="H3260" s="1" t="s">
        <v>722</v>
      </c>
      <c r="S3260" s="1" t="s">
        <v>122</v>
      </c>
      <c r="W3260" s="8"/>
      <c r="AJ3260" s="1"/>
      <c r="AM3260" s="1" t="s">
        <v>4783</v>
      </c>
    </row>
    <row r="3261">
      <c r="H3261" s="1" t="s">
        <v>4942</v>
      </c>
      <c r="S3261" s="1" t="s">
        <v>293</v>
      </c>
      <c r="W3261" s="8"/>
      <c r="AJ3261" s="1"/>
      <c r="AM3261" s="1" t="s">
        <v>3008</v>
      </c>
    </row>
    <row r="3262">
      <c r="H3262" s="1" t="s">
        <v>519</v>
      </c>
      <c r="S3262" s="1" t="s">
        <v>2097</v>
      </c>
      <c r="W3262" s="8"/>
      <c r="AJ3262" s="1"/>
      <c r="AM3262" s="1" t="s">
        <v>3898</v>
      </c>
    </row>
    <row r="3263">
      <c r="H3263" s="1" t="s">
        <v>5563</v>
      </c>
      <c r="S3263" s="1" t="s">
        <v>4475</v>
      </c>
      <c r="W3263" s="8"/>
      <c r="AJ3263" s="1"/>
      <c r="AM3263" s="1" t="s">
        <v>3012</v>
      </c>
    </row>
    <row r="3264">
      <c r="H3264" s="1" t="s">
        <v>2827</v>
      </c>
      <c r="S3264" s="1" t="s">
        <v>1700</v>
      </c>
      <c r="W3264" s="8"/>
      <c r="AJ3264" s="1"/>
      <c r="AM3264" s="1" t="s">
        <v>3018</v>
      </c>
    </row>
    <row r="3265">
      <c r="H3265" s="1" t="s">
        <v>4619</v>
      </c>
      <c r="S3265" s="1" t="s">
        <v>1326</v>
      </c>
      <c r="W3265" s="8"/>
      <c r="AJ3265" s="1"/>
      <c r="AM3265" s="1" t="s">
        <v>1932</v>
      </c>
    </row>
    <row r="3266">
      <c r="H3266" s="1" t="s">
        <v>5565</v>
      </c>
      <c r="S3266" s="1" t="s">
        <v>4928</v>
      </c>
      <c r="W3266" s="8"/>
      <c r="AJ3266" s="1"/>
      <c r="AM3266" s="1" t="s">
        <v>4792</v>
      </c>
    </row>
    <row r="3267">
      <c r="H3267" s="1" t="s">
        <v>5566</v>
      </c>
      <c r="S3267" s="1" t="s">
        <v>237</v>
      </c>
      <c r="W3267" s="8"/>
      <c r="AJ3267" s="1"/>
      <c r="AM3267" s="1" t="s">
        <v>3021</v>
      </c>
    </row>
    <row r="3268">
      <c r="H3268" s="1" t="s">
        <v>5943</v>
      </c>
      <c r="S3268" s="1" t="s">
        <v>4356</v>
      </c>
      <c r="W3268" s="8"/>
      <c r="AJ3268" s="1"/>
      <c r="AM3268" s="1" t="s">
        <v>3023</v>
      </c>
    </row>
    <row r="3269">
      <c r="H3269" s="1" t="s">
        <v>5567</v>
      </c>
      <c r="S3269" s="1" t="s">
        <v>981</v>
      </c>
      <c r="W3269" s="8"/>
      <c r="AJ3269" s="1"/>
      <c r="AM3269" s="1" t="s">
        <v>5838</v>
      </c>
    </row>
    <row r="3270">
      <c r="H3270" s="1" t="s">
        <v>4622</v>
      </c>
      <c r="S3270" s="1" t="s">
        <v>1460</v>
      </c>
      <c r="W3270" s="8"/>
      <c r="AJ3270" s="1"/>
      <c r="AM3270" s="1" t="s">
        <v>4796</v>
      </c>
    </row>
    <row r="3271">
      <c r="H3271" s="1" t="s">
        <v>5205</v>
      </c>
      <c r="S3271" s="1" t="s">
        <v>1285</v>
      </c>
      <c r="W3271" s="8"/>
      <c r="AJ3271" s="1"/>
      <c r="AM3271" s="1" t="s">
        <v>4797</v>
      </c>
    </row>
    <row r="3272">
      <c r="H3272" s="1" t="s">
        <v>5570</v>
      </c>
      <c r="S3272" s="1" t="s">
        <v>1646</v>
      </c>
      <c r="W3272" s="8"/>
      <c r="AJ3272" s="1"/>
      <c r="AM3272" s="1" t="s">
        <v>4799</v>
      </c>
    </row>
    <row r="3273">
      <c r="H3273" s="1" t="s">
        <v>4624</v>
      </c>
      <c r="S3273" s="1" t="s">
        <v>4863</v>
      </c>
      <c r="W3273" s="8"/>
      <c r="AJ3273" s="1"/>
      <c r="AM3273" s="1" t="s">
        <v>5710</v>
      </c>
    </row>
    <row r="3274">
      <c r="H3274" s="1" t="s">
        <v>4625</v>
      </c>
      <c r="S3274" s="1" t="s">
        <v>656</v>
      </c>
      <c r="W3274" s="8"/>
      <c r="AJ3274" s="1"/>
      <c r="AM3274" s="1" t="s">
        <v>3025</v>
      </c>
    </row>
    <row r="3275">
      <c r="H3275" s="1" t="s">
        <v>5573</v>
      </c>
      <c r="S3275" s="1" t="s">
        <v>1639</v>
      </c>
      <c r="W3275" s="8"/>
      <c r="AJ3275" s="1"/>
      <c r="AM3275" s="1" t="s">
        <v>3681</v>
      </c>
    </row>
    <row r="3276">
      <c r="H3276" s="1" t="s">
        <v>6055</v>
      </c>
      <c r="S3276" s="1" t="s">
        <v>6056</v>
      </c>
      <c r="W3276" s="8"/>
      <c r="AJ3276" s="1"/>
      <c r="AM3276" s="1" t="s">
        <v>4805</v>
      </c>
    </row>
    <row r="3277">
      <c r="H3277" s="1" t="s">
        <v>2830</v>
      </c>
      <c r="S3277" s="1" t="s">
        <v>3631</v>
      </c>
      <c r="W3277" s="8"/>
      <c r="AJ3277" s="1"/>
      <c r="AM3277" s="1" t="s">
        <v>5285</v>
      </c>
    </row>
    <row r="3278">
      <c r="H3278" s="1" t="s">
        <v>5575</v>
      </c>
      <c r="S3278" s="1" t="s">
        <v>3264</v>
      </c>
      <c r="W3278" s="8"/>
      <c r="AJ3278" s="1"/>
      <c r="AM3278" s="1" t="s">
        <v>3028</v>
      </c>
    </row>
    <row r="3279">
      <c r="H3279" s="1" t="s">
        <v>5576</v>
      </c>
      <c r="S3279" s="1" t="s">
        <v>4562</v>
      </c>
      <c r="W3279" s="8"/>
      <c r="AJ3279" s="1"/>
      <c r="AM3279" s="1" t="s">
        <v>1660</v>
      </c>
    </row>
    <row r="3280">
      <c r="H3280" s="1" t="s">
        <v>4627</v>
      </c>
      <c r="S3280" s="1" t="s">
        <v>3047</v>
      </c>
      <c r="W3280" s="8"/>
      <c r="AJ3280" s="1"/>
      <c r="AM3280" s="1" t="s">
        <v>4809</v>
      </c>
    </row>
    <row r="3281">
      <c r="H3281" s="1" t="s">
        <v>5577</v>
      </c>
      <c r="S3281" s="1" t="s">
        <v>106</v>
      </c>
      <c r="W3281" s="8"/>
      <c r="AJ3281" s="1"/>
      <c r="AM3281" s="1" t="s">
        <v>1858</v>
      </c>
    </row>
    <row r="3282">
      <c r="H3282" s="1" t="s">
        <v>2832</v>
      </c>
      <c r="S3282" s="1" t="s">
        <v>1272</v>
      </c>
      <c r="W3282" s="8"/>
      <c r="AJ3282" s="1"/>
      <c r="AM3282" s="1" t="s">
        <v>4811</v>
      </c>
    </row>
    <row r="3283">
      <c r="H3283" s="1" t="s">
        <v>6057</v>
      </c>
      <c r="S3283" s="1" t="s">
        <v>599</v>
      </c>
      <c r="W3283" s="8"/>
      <c r="AJ3283" s="1"/>
      <c r="AM3283" s="1" t="s">
        <v>3036</v>
      </c>
    </row>
    <row r="3284">
      <c r="H3284" s="1" t="s">
        <v>4630</v>
      </c>
      <c r="S3284" s="1" t="s">
        <v>1742</v>
      </c>
      <c r="W3284" s="8"/>
      <c r="AJ3284" s="1"/>
      <c r="AM3284" s="1" t="s">
        <v>3038</v>
      </c>
    </row>
    <row r="3285">
      <c r="H3285" s="1" t="s">
        <v>5582</v>
      </c>
      <c r="S3285" s="1" t="s">
        <v>5780</v>
      </c>
      <c r="W3285" s="8"/>
      <c r="AJ3285" s="1"/>
      <c r="AM3285" s="1" t="s">
        <v>4815</v>
      </c>
    </row>
    <row r="3286">
      <c r="H3286" s="1" t="s">
        <v>4632</v>
      </c>
      <c r="S3286" s="1" t="s">
        <v>4511</v>
      </c>
      <c r="W3286" s="8"/>
      <c r="AJ3286" s="1"/>
      <c r="AM3286" s="1" t="s">
        <v>4817</v>
      </c>
    </row>
    <row r="3287">
      <c r="H3287" s="1" t="s">
        <v>2834</v>
      </c>
      <c r="S3287" s="1" t="s">
        <v>2486</v>
      </c>
      <c r="W3287" s="8"/>
      <c r="AJ3287" s="1"/>
      <c r="AM3287" s="1" t="s">
        <v>4819</v>
      </c>
    </row>
    <row r="3288">
      <c r="H3288" s="1">
        <v>163.0</v>
      </c>
      <c r="S3288" s="1" t="s">
        <v>6058</v>
      </c>
      <c r="W3288" s="8"/>
      <c r="AJ3288" s="1"/>
      <c r="AM3288" s="1" t="s">
        <v>6059</v>
      </c>
    </row>
    <row r="3289">
      <c r="H3289" s="1" t="s">
        <v>5587</v>
      </c>
      <c r="S3289" s="1" t="s">
        <v>4123</v>
      </c>
      <c r="W3289" s="8"/>
      <c r="AJ3289" s="1"/>
      <c r="AM3289" s="1" t="s">
        <v>4822</v>
      </c>
    </row>
    <row r="3290">
      <c r="H3290" s="1" t="s">
        <v>5589</v>
      </c>
      <c r="S3290" s="1" t="s">
        <v>1884</v>
      </c>
      <c r="W3290" s="8"/>
      <c r="AJ3290" s="1"/>
      <c r="AM3290" s="1" t="s">
        <v>1667</v>
      </c>
    </row>
    <row r="3291">
      <c r="H3291" s="1" t="s">
        <v>5261</v>
      </c>
      <c r="S3291" s="1" t="s">
        <v>3163</v>
      </c>
      <c r="W3291" s="8"/>
      <c r="AJ3291" s="1"/>
      <c r="AM3291" s="1" t="s">
        <v>3042</v>
      </c>
    </row>
    <row r="3292">
      <c r="H3292" s="1" t="s">
        <v>4639</v>
      </c>
      <c r="S3292" s="1" t="s">
        <v>1500</v>
      </c>
      <c r="W3292" s="8"/>
      <c r="AJ3292" s="1"/>
      <c r="AM3292" s="1" t="s">
        <v>4826</v>
      </c>
    </row>
    <row r="3293">
      <c r="H3293" s="1" t="s">
        <v>1702</v>
      </c>
      <c r="S3293" s="1" t="s">
        <v>3344</v>
      </c>
      <c r="W3293" s="8"/>
      <c r="AJ3293" s="1"/>
      <c r="AM3293" s="1" t="s">
        <v>1670</v>
      </c>
    </row>
    <row r="3294">
      <c r="H3294" s="1" t="s">
        <v>5999</v>
      </c>
      <c r="S3294" s="1" t="s">
        <v>6060</v>
      </c>
      <c r="W3294" s="8"/>
      <c r="AJ3294" s="1"/>
      <c r="AM3294" s="1" t="s">
        <v>3044</v>
      </c>
    </row>
    <row r="3295">
      <c r="H3295" s="1" t="s">
        <v>5591</v>
      </c>
      <c r="S3295" s="1" t="s">
        <v>4561</v>
      </c>
      <c r="W3295" s="8"/>
      <c r="AJ3295" s="1"/>
      <c r="AM3295" s="1" t="s">
        <v>4969</v>
      </c>
    </row>
    <row r="3296">
      <c r="H3296" s="1" t="s">
        <v>2841</v>
      </c>
      <c r="S3296" s="1" t="s">
        <v>2467</v>
      </c>
      <c r="W3296" s="8"/>
      <c r="AJ3296" s="1"/>
      <c r="AM3296" s="1" t="s">
        <v>6061</v>
      </c>
    </row>
    <row r="3297">
      <c r="H3297" s="1" t="s">
        <v>5501</v>
      </c>
      <c r="S3297" s="1" t="s">
        <v>4868</v>
      </c>
      <c r="W3297" s="8"/>
      <c r="AJ3297" s="1"/>
      <c r="AM3297" s="1" t="s">
        <v>1673</v>
      </c>
    </row>
    <row r="3298">
      <c r="H3298" s="1" t="s">
        <v>4643</v>
      </c>
      <c r="S3298" s="1" t="s">
        <v>1643</v>
      </c>
      <c r="W3298" s="8"/>
      <c r="AJ3298" s="1"/>
      <c r="AM3298" s="1" t="s">
        <v>3046</v>
      </c>
    </row>
    <row r="3299">
      <c r="H3299" s="1" t="s">
        <v>1743</v>
      </c>
      <c r="S3299" s="1" t="s">
        <v>4696</v>
      </c>
      <c r="W3299" s="8"/>
      <c r="AJ3299" s="1"/>
      <c r="AM3299" s="1" t="s">
        <v>4831</v>
      </c>
    </row>
    <row r="3300">
      <c r="H3300" s="1" t="s">
        <v>6062</v>
      </c>
      <c r="S3300" s="1">
        <v>1937.0</v>
      </c>
      <c r="W3300" s="8"/>
      <c r="AJ3300" s="1"/>
      <c r="AM3300" s="1" t="s">
        <v>5105</v>
      </c>
    </row>
    <row r="3301">
      <c r="H3301" s="1" t="s">
        <v>6063</v>
      </c>
      <c r="S3301" s="1" t="s">
        <v>6064</v>
      </c>
      <c r="W3301" s="8"/>
      <c r="AJ3301" s="1"/>
      <c r="AM3301" s="1" t="s">
        <v>4832</v>
      </c>
    </row>
    <row r="3302">
      <c r="H3302" s="1" t="s">
        <v>5515</v>
      </c>
      <c r="S3302" s="1" t="s">
        <v>5485</v>
      </c>
      <c r="W3302" s="8"/>
      <c r="AJ3302" s="1"/>
      <c r="AM3302" s="1" t="s">
        <v>1778</v>
      </c>
    </row>
    <row r="3303">
      <c r="H3303" s="1" t="s">
        <v>2848</v>
      </c>
      <c r="S3303" s="1" t="s">
        <v>5881</v>
      </c>
      <c r="W3303" s="8"/>
      <c r="AJ3303" s="1"/>
      <c r="AM3303" s="1" t="s">
        <v>4835</v>
      </c>
    </row>
    <row r="3304">
      <c r="H3304" s="1" t="s">
        <v>6065</v>
      </c>
      <c r="S3304" s="1" t="s">
        <v>1696</v>
      </c>
      <c r="W3304" s="8"/>
      <c r="AJ3304" s="1"/>
      <c r="AM3304" s="1" t="s">
        <v>4837</v>
      </c>
    </row>
    <row r="3305">
      <c r="H3305" s="1" t="s">
        <v>329</v>
      </c>
      <c r="S3305" s="1" t="s">
        <v>1986</v>
      </c>
      <c r="W3305" s="8"/>
      <c r="AJ3305" s="1"/>
      <c r="AM3305" s="1" t="s">
        <v>3051</v>
      </c>
    </row>
    <row r="3306">
      <c r="H3306" s="1" t="s">
        <v>5594</v>
      </c>
      <c r="S3306" s="1" t="s">
        <v>6066</v>
      </c>
      <c r="W3306" s="8"/>
      <c r="AJ3306" s="1"/>
      <c r="AM3306" s="1" t="s">
        <v>1800</v>
      </c>
    </row>
    <row r="3307">
      <c r="H3307" s="1" t="s">
        <v>5671</v>
      </c>
      <c r="S3307" s="1" t="s">
        <v>5740</v>
      </c>
      <c r="W3307" s="8"/>
      <c r="AJ3307" s="1"/>
      <c r="AM3307" s="1" t="s">
        <v>1805</v>
      </c>
    </row>
    <row r="3308">
      <c r="H3308" s="1" t="s">
        <v>1504</v>
      </c>
      <c r="S3308" s="1" t="s">
        <v>3209</v>
      </c>
      <c r="W3308" s="8"/>
      <c r="AJ3308" s="1"/>
      <c r="AM3308" s="1" t="s">
        <v>4839</v>
      </c>
    </row>
    <row r="3309">
      <c r="H3309" s="1" t="s">
        <v>4650</v>
      </c>
      <c r="S3309" s="1" t="s">
        <v>279</v>
      </c>
      <c r="W3309" s="8"/>
      <c r="AJ3309" s="1"/>
      <c r="AM3309" s="1" t="s">
        <v>3056</v>
      </c>
    </row>
    <row r="3310">
      <c r="H3310" s="1" t="s">
        <v>2850</v>
      </c>
      <c r="S3310" s="1" t="s">
        <v>1033</v>
      </c>
      <c r="W3310" s="8"/>
      <c r="AJ3310" s="1"/>
      <c r="AM3310" s="1" t="s">
        <v>1878</v>
      </c>
    </row>
    <row r="3311">
      <c r="H3311" s="1" t="s">
        <v>5598</v>
      </c>
      <c r="S3311" s="1" t="s">
        <v>855</v>
      </c>
      <c r="W3311" s="8"/>
      <c r="AJ3311" s="1"/>
      <c r="AM3311" s="1" t="s">
        <v>1048</v>
      </c>
    </row>
    <row r="3312">
      <c r="H3312" s="1" t="s">
        <v>1849</v>
      </c>
      <c r="S3312" s="1" t="s">
        <v>150</v>
      </c>
      <c r="W3312" s="8"/>
      <c r="AJ3312" s="1"/>
      <c r="AM3312" s="1" t="s">
        <v>3060</v>
      </c>
    </row>
    <row r="3313">
      <c r="H3313" s="1" t="s">
        <v>2857</v>
      </c>
      <c r="S3313" s="1" t="s">
        <v>165</v>
      </c>
      <c r="W3313" s="8"/>
      <c r="AJ3313" s="1"/>
      <c r="AM3313" s="1" t="s">
        <v>1869</v>
      </c>
    </row>
    <row r="3314">
      <c r="H3314" s="1" t="s">
        <v>2859</v>
      </c>
      <c r="S3314" s="1" t="s">
        <v>3726</v>
      </c>
      <c r="W3314" s="8"/>
      <c r="AJ3314" s="1"/>
      <c r="AM3314" s="1" t="s">
        <v>3773</v>
      </c>
    </row>
    <row r="3315">
      <c r="H3315" s="1" t="s">
        <v>5600</v>
      </c>
      <c r="S3315" s="1" t="s">
        <v>5673</v>
      </c>
      <c r="W3315" s="8"/>
      <c r="AJ3315" s="1"/>
      <c r="AM3315" s="1" t="s">
        <v>4849</v>
      </c>
    </row>
    <row r="3316">
      <c r="H3316" s="1" t="s">
        <v>5601</v>
      </c>
      <c r="S3316" s="1" t="s">
        <v>3895</v>
      </c>
      <c r="W3316" s="8"/>
      <c r="AJ3316" s="1"/>
      <c r="AM3316" s="1" t="s">
        <v>3064</v>
      </c>
    </row>
    <row r="3317">
      <c r="H3317" s="1" t="s">
        <v>5603</v>
      </c>
      <c r="S3317" s="1" t="s">
        <v>1113</v>
      </c>
      <c r="W3317" s="8"/>
      <c r="AJ3317" s="1"/>
      <c r="AM3317" s="1" t="s">
        <v>4850</v>
      </c>
    </row>
    <row r="3318">
      <c r="H3318" s="1" t="s">
        <v>4657</v>
      </c>
      <c r="S3318" s="1" t="s">
        <v>4622</v>
      </c>
      <c r="W3318" s="8"/>
      <c r="AJ3318" s="1"/>
      <c r="AM3318" s="1" t="s">
        <v>4851</v>
      </c>
    </row>
    <row r="3319">
      <c r="H3319" s="1" t="s">
        <v>2863</v>
      </c>
      <c r="S3319" s="1" t="s">
        <v>3823</v>
      </c>
      <c r="W3319" s="8"/>
      <c r="AJ3319" s="1"/>
      <c r="AM3319" s="1" t="s">
        <v>4853</v>
      </c>
    </row>
    <row r="3320">
      <c r="H3320" s="1" t="s">
        <v>1968</v>
      </c>
      <c r="S3320" s="1" t="s">
        <v>2586</v>
      </c>
      <c r="W3320" s="8"/>
      <c r="AJ3320" s="1"/>
      <c r="AM3320" s="1" t="s">
        <v>4855</v>
      </c>
    </row>
    <row r="3321">
      <c r="H3321" s="1" t="s">
        <v>6067</v>
      </c>
      <c r="S3321" s="1" t="s">
        <v>5493</v>
      </c>
      <c r="W3321" s="8"/>
      <c r="AJ3321" s="1"/>
      <c r="AM3321" s="1" t="s">
        <v>3068</v>
      </c>
    </row>
    <row r="3322">
      <c r="H3322" s="1" t="s">
        <v>3829</v>
      </c>
      <c r="S3322" s="1" t="s">
        <v>2143</v>
      </c>
      <c r="W3322" s="8"/>
      <c r="AJ3322" s="1"/>
      <c r="AM3322" s="1" t="s">
        <v>4858</v>
      </c>
    </row>
    <row r="3323">
      <c r="H3323" s="1" t="s">
        <v>3832</v>
      </c>
      <c r="S3323" s="1" t="s">
        <v>6019</v>
      </c>
      <c r="W3323" s="8"/>
      <c r="AJ3323" s="1"/>
      <c r="AM3323" s="1">
        <v>1975.0</v>
      </c>
    </row>
    <row r="3324">
      <c r="H3324" s="1" t="s">
        <v>2612</v>
      </c>
      <c r="S3324" s="1" t="s">
        <v>3600</v>
      </c>
      <c r="W3324" s="8"/>
      <c r="AJ3324" s="1"/>
      <c r="AM3324" s="1" t="s">
        <v>5750</v>
      </c>
    </row>
    <row r="3325">
      <c r="H3325" s="1" t="s">
        <v>5608</v>
      </c>
      <c r="S3325" s="1" t="s">
        <v>3727</v>
      </c>
      <c r="W3325" s="8"/>
      <c r="AJ3325" s="1"/>
      <c r="AM3325" s="1" t="s">
        <v>3072</v>
      </c>
    </row>
    <row r="3326">
      <c r="H3326" s="1" t="s">
        <v>3833</v>
      </c>
      <c r="S3326" s="1" t="s">
        <v>2219</v>
      </c>
      <c r="W3326" s="8"/>
      <c r="AJ3326" s="1"/>
      <c r="AM3326" s="1" t="s">
        <v>4863</v>
      </c>
    </row>
    <row r="3327">
      <c r="H3327" s="1" t="s">
        <v>743</v>
      </c>
      <c r="S3327" s="1" t="s">
        <v>842</v>
      </c>
      <c r="W3327" s="8"/>
      <c r="AJ3327" s="1"/>
      <c r="AM3327" s="1" t="s">
        <v>3077</v>
      </c>
    </row>
    <row r="3328">
      <c r="H3328" s="1" t="s">
        <v>5610</v>
      </c>
      <c r="S3328" s="1" t="s">
        <v>1825</v>
      </c>
      <c r="W3328" s="8"/>
      <c r="AJ3328" s="1"/>
      <c r="AM3328" s="1" t="s">
        <v>4865</v>
      </c>
    </row>
    <row r="3329">
      <c r="H3329" s="1" t="s">
        <v>2867</v>
      </c>
      <c r="S3329" s="1" t="s">
        <v>1180</v>
      </c>
      <c r="W3329" s="8"/>
      <c r="AJ3329" s="1"/>
      <c r="AM3329" s="1" t="s">
        <v>4866</v>
      </c>
    </row>
    <row r="3330">
      <c r="H3330" s="1" t="s">
        <v>5611</v>
      </c>
      <c r="S3330" s="1" t="s">
        <v>2182</v>
      </c>
      <c r="W3330" s="8"/>
      <c r="AJ3330" s="1"/>
      <c r="AM3330" s="1" t="s">
        <v>4868</v>
      </c>
    </row>
    <row r="3331">
      <c r="H3331" s="1" t="s">
        <v>1689</v>
      </c>
      <c r="S3331" s="1" t="s">
        <v>6068</v>
      </c>
      <c r="W3331" s="8"/>
      <c r="AJ3331" s="1"/>
      <c r="AM3331" s="1" t="s">
        <v>4870</v>
      </c>
    </row>
    <row r="3332">
      <c r="H3332" s="1" t="s">
        <v>4559</v>
      </c>
      <c r="S3332" s="1" t="s">
        <v>2315</v>
      </c>
      <c r="W3332" s="8"/>
      <c r="AJ3332" s="1"/>
      <c r="AM3332" s="1" t="s">
        <v>3083</v>
      </c>
    </row>
    <row r="3333">
      <c r="H3333" s="1" t="s">
        <v>5614</v>
      </c>
      <c r="S3333" s="1" t="s">
        <v>6069</v>
      </c>
      <c r="W3333" s="8"/>
      <c r="AJ3333" s="1"/>
      <c r="AM3333" s="1" t="s">
        <v>3086</v>
      </c>
    </row>
    <row r="3334">
      <c r="H3334" s="1" t="s">
        <v>1907</v>
      </c>
      <c r="S3334" s="1" t="s">
        <v>1503</v>
      </c>
      <c r="W3334" s="8"/>
      <c r="AJ3334" s="1"/>
      <c r="AM3334" s="1" t="s">
        <v>1268</v>
      </c>
    </row>
    <row r="3335">
      <c r="H3335" s="1" t="s">
        <v>6070</v>
      </c>
      <c r="S3335" s="1" t="s">
        <v>409</v>
      </c>
      <c r="W3335" s="8"/>
      <c r="AJ3335" s="1"/>
      <c r="AM3335" s="1" t="s">
        <v>6071</v>
      </c>
    </row>
    <row r="3336">
      <c r="H3336" s="1" t="s">
        <v>6072</v>
      </c>
      <c r="S3336" s="1" t="s">
        <v>6073</v>
      </c>
      <c r="W3336" s="8"/>
      <c r="AJ3336" s="1"/>
      <c r="AM3336" s="1" t="s">
        <v>4874</v>
      </c>
    </row>
    <row r="3337">
      <c r="H3337" s="1" t="s">
        <v>5615</v>
      </c>
      <c r="S3337" s="1" t="s">
        <v>3227</v>
      </c>
      <c r="W3337" s="8"/>
      <c r="AJ3337" s="1"/>
      <c r="AM3337" s="1">
        <v>1973.0</v>
      </c>
    </row>
    <row r="3338">
      <c r="H3338" s="1" t="s">
        <v>6074</v>
      </c>
      <c r="S3338" s="1" t="s">
        <v>2895</v>
      </c>
      <c r="W3338" s="8"/>
      <c r="AJ3338" s="1"/>
      <c r="AM3338" s="1" t="s">
        <v>3089</v>
      </c>
    </row>
    <row r="3339">
      <c r="H3339" s="1" t="s">
        <v>1604</v>
      </c>
      <c r="S3339" s="1" t="s">
        <v>2077</v>
      </c>
      <c r="W3339" s="8"/>
      <c r="AJ3339" s="1"/>
      <c r="AM3339" s="1" t="s">
        <v>6075</v>
      </c>
    </row>
    <row r="3340">
      <c r="H3340" s="1" t="s">
        <v>2870</v>
      </c>
      <c r="S3340" s="1" t="s">
        <v>1152</v>
      </c>
      <c r="W3340" s="8"/>
      <c r="AJ3340" s="1"/>
      <c r="AM3340" s="1" t="s">
        <v>3934</v>
      </c>
    </row>
    <row r="3341">
      <c r="H3341" s="1" t="s">
        <v>3204</v>
      </c>
      <c r="S3341" s="1" t="s">
        <v>3975</v>
      </c>
      <c r="W3341" s="8"/>
      <c r="AJ3341" s="1"/>
      <c r="AM3341" s="1" t="s">
        <v>4880</v>
      </c>
    </row>
    <row r="3342">
      <c r="H3342" s="1" t="s">
        <v>3840</v>
      </c>
      <c r="S3342" s="1" t="s">
        <v>4759</v>
      </c>
      <c r="W3342" s="8"/>
      <c r="AJ3342" s="1"/>
      <c r="AM3342" s="1" t="s">
        <v>1678</v>
      </c>
    </row>
    <row r="3343">
      <c r="H3343" s="1" t="s">
        <v>5620</v>
      </c>
      <c r="S3343" s="1" t="s">
        <v>131</v>
      </c>
      <c r="W3343" s="8"/>
      <c r="AJ3343" s="1"/>
      <c r="AM3343" s="1" t="s">
        <v>3937</v>
      </c>
    </row>
    <row r="3344">
      <c r="H3344" s="1" t="s">
        <v>4664</v>
      </c>
      <c r="S3344" s="1" t="s">
        <v>465</v>
      </c>
      <c r="W3344" s="8"/>
      <c r="AJ3344" s="1"/>
      <c r="AM3344" s="1" t="s">
        <v>6076</v>
      </c>
    </row>
    <row r="3345">
      <c r="H3345" s="1" t="s">
        <v>5621</v>
      </c>
      <c r="S3345" s="1" t="s">
        <v>2408</v>
      </c>
      <c r="W3345" s="8"/>
      <c r="AJ3345" s="1"/>
      <c r="AM3345" s="1" t="s">
        <v>1685</v>
      </c>
    </row>
    <row r="3346">
      <c r="H3346" s="1" t="s">
        <v>1610</v>
      </c>
      <c r="S3346" s="1" t="s">
        <v>5555</v>
      </c>
      <c r="W3346" s="8"/>
      <c r="AJ3346" s="1"/>
      <c r="AM3346" s="1" t="s">
        <v>3096</v>
      </c>
    </row>
    <row r="3347">
      <c r="H3347" s="1" t="s">
        <v>2877</v>
      </c>
      <c r="S3347" s="1" t="s">
        <v>970</v>
      </c>
      <c r="W3347" s="8"/>
      <c r="AJ3347" s="1"/>
      <c r="AM3347" s="1" t="s">
        <v>3099</v>
      </c>
    </row>
    <row r="3348">
      <c r="H3348" s="1" t="s">
        <v>4669</v>
      </c>
      <c r="S3348" s="1" t="s">
        <v>745</v>
      </c>
      <c r="W3348" s="8"/>
      <c r="AJ3348" s="1"/>
      <c r="AM3348" s="1" t="s">
        <v>3948</v>
      </c>
    </row>
    <row r="3349">
      <c r="H3349" s="1" t="s">
        <v>1615</v>
      </c>
      <c r="S3349" s="1" t="s">
        <v>4732</v>
      </c>
      <c r="W3349" s="8"/>
      <c r="AJ3349" s="1"/>
      <c r="AM3349" s="1" t="s">
        <v>1723</v>
      </c>
    </row>
    <row r="3350">
      <c r="H3350" s="1" t="s">
        <v>5624</v>
      </c>
      <c r="S3350" s="1" t="s">
        <v>4537</v>
      </c>
      <c r="W3350" s="8"/>
      <c r="AJ3350" s="1"/>
      <c r="AM3350" s="1" t="s">
        <v>1747</v>
      </c>
    </row>
    <row r="3351">
      <c r="H3351" s="1" t="s">
        <v>5626</v>
      </c>
      <c r="S3351" s="1" t="s">
        <v>5727</v>
      </c>
      <c r="W3351" s="8"/>
      <c r="AJ3351" s="1"/>
      <c r="AM3351" s="1" t="s">
        <v>4887</v>
      </c>
    </row>
    <row r="3352">
      <c r="H3352" s="1" t="s">
        <v>5628</v>
      </c>
      <c r="S3352" s="1" t="s">
        <v>4205</v>
      </c>
      <c r="W3352" s="8"/>
      <c r="AJ3352" s="1"/>
      <c r="AM3352" s="1" t="s">
        <v>5770</v>
      </c>
    </row>
    <row r="3353">
      <c r="H3353" s="1" t="s">
        <v>4795</v>
      </c>
      <c r="S3353" s="1" t="s">
        <v>3191</v>
      </c>
      <c r="W3353" s="8"/>
      <c r="AJ3353" s="1"/>
      <c r="AM3353" s="1" t="s">
        <v>3103</v>
      </c>
    </row>
    <row r="3354">
      <c r="H3354" s="1" t="s">
        <v>5630</v>
      </c>
      <c r="S3354" s="1" t="s">
        <v>1087</v>
      </c>
      <c r="W3354" s="8"/>
      <c r="AJ3354" s="1"/>
      <c r="AM3354" s="1" t="s">
        <v>4889</v>
      </c>
    </row>
    <row r="3355">
      <c r="H3355" s="1" t="s">
        <v>5632</v>
      </c>
      <c r="S3355" s="1" t="s">
        <v>6077</v>
      </c>
      <c r="W3355" s="8"/>
      <c r="AJ3355" s="1"/>
      <c r="AM3355" s="1" t="s">
        <v>3106</v>
      </c>
    </row>
    <row r="3356">
      <c r="H3356" s="1" t="s">
        <v>4916</v>
      </c>
      <c r="S3356" s="1" t="s">
        <v>3267</v>
      </c>
      <c r="W3356" s="8"/>
      <c r="AJ3356" s="1"/>
      <c r="AM3356" s="1" t="s">
        <v>3952</v>
      </c>
    </row>
    <row r="3357">
      <c r="H3357" s="1" t="s">
        <v>3844</v>
      </c>
      <c r="S3357" s="1" t="s">
        <v>506</v>
      </c>
      <c r="W3357" s="8"/>
      <c r="AJ3357" s="1"/>
      <c r="AM3357" s="1" t="s">
        <v>3110</v>
      </c>
    </row>
    <row r="3358">
      <c r="H3358" s="1" t="s">
        <v>5633</v>
      </c>
      <c r="S3358" s="1" t="s">
        <v>3676</v>
      </c>
      <c r="W3358" s="8"/>
      <c r="AJ3358" s="1"/>
      <c r="AM3358" s="1" t="s">
        <v>5909</v>
      </c>
    </row>
    <row r="3359">
      <c r="H3359" s="1" t="s">
        <v>6078</v>
      </c>
      <c r="S3359" s="1" t="s">
        <v>1122</v>
      </c>
      <c r="W3359" s="8"/>
      <c r="AJ3359" s="1"/>
      <c r="AM3359" s="1" t="s">
        <v>6079</v>
      </c>
    </row>
    <row r="3360">
      <c r="H3360" s="1" t="s">
        <v>3848</v>
      </c>
      <c r="S3360" s="1" t="s">
        <v>2154</v>
      </c>
      <c r="W3360" s="8"/>
      <c r="AJ3360" s="1"/>
      <c r="AM3360" s="1" t="s">
        <v>4895</v>
      </c>
    </row>
    <row r="3361">
      <c r="H3361" s="1" t="s">
        <v>2886</v>
      </c>
      <c r="S3361" s="1" t="s">
        <v>4669</v>
      </c>
      <c r="W3361" s="8"/>
      <c r="AJ3361" s="1"/>
      <c r="AM3361" s="1" t="s">
        <v>6080</v>
      </c>
    </row>
    <row r="3362">
      <c r="H3362" s="1" t="s">
        <v>4577</v>
      </c>
      <c r="S3362" s="1" t="s">
        <v>1681</v>
      </c>
      <c r="W3362" s="8"/>
      <c r="AJ3362" s="1"/>
      <c r="AM3362" s="1" t="s">
        <v>6081</v>
      </c>
    </row>
    <row r="3363">
      <c r="H3363" s="1" t="s">
        <v>2892</v>
      </c>
      <c r="S3363" s="1" t="s">
        <v>1242</v>
      </c>
      <c r="W3363" s="8"/>
      <c r="AJ3363" s="1"/>
      <c r="AM3363" s="1" t="s">
        <v>3114</v>
      </c>
    </row>
    <row r="3364">
      <c r="H3364" s="1" t="s">
        <v>5634</v>
      </c>
      <c r="S3364" s="1" t="s">
        <v>4962</v>
      </c>
      <c r="W3364" s="8"/>
      <c r="AJ3364" s="1"/>
      <c r="AM3364" s="1" t="s">
        <v>3116</v>
      </c>
    </row>
    <row r="3365">
      <c r="H3365" s="1" t="s">
        <v>2895</v>
      </c>
      <c r="S3365" s="1" t="s">
        <v>2927</v>
      </c>
      <c r="W3365" s="8"/>
      <c r="AJ3365" s="1"/>
      <c r="AM3365" s="1" t="s">
        <v>3117</v>
      </c>
    </row>
    <row r="3366">
      <c r="H3366" s="1" t="s">
        <v>5636</v>
      </c>
      <c r="S3366" s="1" t="s">
        <v>5491</v>
      </c>
      <c r="W3366" s="8"/>
      <c r="AJ3366" s="1"/>
      <c r="AM3366" s="1" t="s">
        <v>4901</v>
      </c>
    </row>
    <row r="3367">
      <c r="H3367" s="1" t="s">
        <v>1019</v>
      </c>
      <c r="S3367" s="1" t="s">
        <v>5658</v>
      </c>
      <c r="W3367" s="8"/>
      <c r="AJ3367" s="1"/>
      <c r="AM3367" s="1" t="s">
        <v>3121</v>
      </c>
    </row>
    <row r="3368">
      <c r="H3368" s="1" t="s">
        <v>4268</v>
      </c>
      <c r="S3368" s="1" t="s">
        <v>5448</v>
      </c>
      <c r="W3368" s="8"/>
      <c r="AJ3368" s="1"/>
      <c r="AM3368" s="1" t="s">
        <v>6082</v>
      </c>
    </row>
    <row r="3369">
      <c r="H3369" s="1">
        <v>18.0</v>
      </c>
      <c r="S3369" s="1" t="s">
        <v>1747</v>
      </c>
      <c r="W3369" s="8"/>
      <c r="AJ3369" s="1"/>
      <c r="AM3369" s="1" t="s">
        <v>3124</v>
      </c>
    </row>
    <row r="3370">
      <c r="H3370" s="1" t="s">
        <v>6083</v>
      </c>
      <c r="S3370" s="1" t="s">
        <v>596</v>
      </c>
      <c r="W3370" s="8"/>
      <c r="AJ3370" s="1"/>
      <c r="AM3370" s="1" t="s">
        <v>399</v>
      </c>
    </row>
    <row r="3371">
      <c r="H3371" s="1" t="s">
        <v>5641</v>
      </c>
      <c r="S3371" s="1" t="s">
        <v>3776</v>
      </c>
      <c r="W3371" s="8"/>
      <c r="AJ3371" s="1"/>
      <c r="AM3371" s="1" t="s">
        <v>3129</v>
      </c>
    </row>
    <row r="3372">
      <c r="H3372" s="1" t="s">
        <v>1620</v>
      </c>
      <c r="S3372" s="1" t="s">
        <v>5890</v>
      </c>
      <c r="W3372" s="8"/>
      <c r="AJ3372" s="1"/>
      <c r="AM3372" s="1" t="s">
        <v>3131</v>
      </c>
    </row>
    <row r="3373">
      <c r="H3373" s="1" t="s">
        <v>2903</v>
      </c>
      <c r="S3373" s="1" t="s">
        <v>2410</v>
      </c>
      <c r="W3373" s="8"/>
      <c r="AJ3373" s="1"/>
      <c r="AM3373" s="1" t="s">
        <v>4909</v>
      </c>
    </row>
    <row r="3374">
      <c r="H3374" s="1" t="s">
        <v>1626</v>
      </c>
      <c r="S3374" s="1" t="s">
        <v>6084</v>
      </c>
      <c r="W3374" s="8"/>
      <c r="AJ3374" s="1"/>
      <c r="AM3374" s="1" t="s">
        <v>4911</v>
      </c>
    </row>
    <row r="3375">
      <c r="H3375" s="1" t="s">
        <v>2910</v>
      </c>
      <c r="S3375" s="1" t="s">
        <v>1435</v>
      </c>
      <c r="W3375" s="8"/>
      <c r="AJ3375" s="1"/>
      <c r="AM3375" s="1" t="s">
        <v>4913</v>
      </c>
    </row>
    <row r="3376">
      <c r="H3376" s="1" t="s">
        <v>3857</v>
      </c>
      <c r="S3376" s="1" t="s">
        <v>3387</v>
      </c>
      <c r="W3376" s="8"/>
      <c r="AJ3376" s="1"/>
      <c r="AM3376" s="1" t="s">
        <v>5785</v>
      </c>
    </row>
    <row r="3377">
      <c r="H3377" s="1" t="s">
        <v>5160</v>
      </c>
      <c r="S3377" s="1" t="s">
        <v>1913</v>
      </c>
      <c r="W3377" s="8"/>
      <c r="AJ3377" s="1"/>
      <c r="AM3377" s="1" t="s">
        <v>3964</v>
      </c>
    </row>
    <row r="3378">
      <c r="H3378" s="1" t="s">
        <v>5989</v>
      </c>
      <c r="S3378" s="1" t="s">
        <v>2026</v>
      </c>
      <c r="W3378" s="8"/>
      <c r="AJ3378" s="1"/>
      <c r="AM3378" s="1" t="s">
        <v>4917</v>
      </c>
    </row>
    <row r="3379">
      <c r="H3379" s="1" t="s">
        <v>5645</v>
      </c>
      <c r="S3379" s="1" t="s">
        <v>6085</v>
      </c>
      <c r="W3379" s="8"/>
      <c r="AJ3379" s="1"/>
      <c r="AM3379" s="1" t="s">
        <v>5786</v>
      </c>
    </row>
    <row r="3380">
      <c r="H3380" s="1" t="s">
        <v>5445</v>
      </c>
      <c r="S3380" s="1" t="s">
        <v>3564</v>
      </c>
      <c r="W3380" s="8"/>
      <c r="AJ3380" s="1"/>
      <c r="AM3380" s="1" t="s">
        <v>4919</v>
      </c>
    </row>
    <row r="3381">
      <c r="H3381" s="1" t="s">
        <v>4690</v>
      </c>
      <c r="S3381" s="1" t="s">
        <v>3884</v>
      </c>
      <c r="W3381" s="8"/>
      <c r="AJ3381" s="1"/>
      <c r="AM3381" s="1" t="s">
        <v>5788</v>
      </c>
    </row>
    <row r="3382">
      <c r="H3382" s="1" t="s">
        <v>5520</v>
      </c>
      <c r="S3382" s="1" t="s">
        <v>6086</v>
      </c>
      <c r="W3382" s="8"/>
      <c r="AJ3382" s="1"/>
      <c r="AM3382" s="1" t="s">
        <v>3133</v>
      </c>
    </row>
    <row r="3383">
      <c r="H3383" s="1" t="s">
        <v>1720</v>
      </c>
      <c r="S3383" s="1" t="s">
        <v>4998</v>
      </c>
      <c r="W3383" s="8"/>
      <c r="AJ3383" s="1"/>
      <c r="AM3383" s="1" t="s">
        <v>3139</v>
      </c>
    </row>
    <row r="3384">
      <c r="H3384" s="1" t="s">
        <v>4695</v>
      </c>
      <c r="S3384" s="1" t="s">
        <v>3598</v>
      </c>
      <c r="W3384" s="8"/>
      <c r="AJ3384" s="1"/>
      <c r="AM3384" s="1" t="s">
        <v>4921</v>
      </c>
    </row>
    <row r="3385">
      <c r="H3385" s="1" t="s">
        <v>2916</v>
      </c>
      <c r="S3385" s="1" t="s">
        <v>2730</v>
      </c>
      <c r="W3385" s="8"/>
      <c r="AJ3385" s="1"/>
      <c r="AM3385" s="1" t="s">
        <v>4922</v>
      </c>
    </row>
    <row r="3386">
      <c r="H3386" s="1" t="s">
        <v>2918</v>
      </c>
      <c r="S3386" s="1" t="s">
        <v>4630</v>
      </c>
      <c r="W3386" s="8"/>
      <c r="AJ3386" s="1"/>
      <c r="AM3386" s="1" t="s">
        <v>5350</v>
      </c>
    </row>
    <row r="3387">
      <c r="H3387" s="1" t="s">
        <v>2923</v>
      </c>
      <c r="S3387" s="1" t="s">
        <v>5709</v>
      </c>
      <c r="W3387" s="8"/>
      <c r="AJ3387" s="1"/>
      <c r="AM3387" s="1" t="s">
        <v>4923</v>
      </c>
    </row>
    <row r="3388">
      <c r="H3388" s="1" t="s">
        <v>1904</v>
      </c>
      <c r="S3388" s="1" t="s">
        <v>5612</v>
      </c>
      <c r="W3388" s="8"/>
      <c r="AJ3388" s="1"/>
      <c r="AM3388" s="1" t="s">
        <v>3141</v>
      </c>
    </row>
    <row r="3389">
      <c r="H3389" s="1" t="s">
        <v>5647</v>
      </c>
      <c r="S3389" s="1" t="s">
        <v>3980</v>
      </c>
      <c r="W3389" s="8"/>
      <c r="AJ3389" s="1"/>
      <c r="AM3389" s="1" t="s">
        <v>3145</v>
      </c>
    </row>
    <row r="3390">
      <c r="H3390" s="1" t="s">
        <v>5649</v>
      </c>
      <c r="S3390" s="1" t="s">
        <v>6087</v>
      </c>
      <c r="W3390" s="8"/>
      <c r="AJ3390" s="1"/>
      <c r="AM3390" s="1" t="s">
        <v>3148</v>
      </c>
    </row>
    <row r="3391">
      <c r="H3391" s="1" t="s">
        <v>5651</v>
      </c>
      <c r="S3391" s="1" t="s">
        <v>6088</v>
      </c>
      <c r="W3391" s="8"/>
      <c r="AJ3391" s="1"/>
      <c r="AM3391" s="1" t="s">
        <v>1824</v>
      </c>
    </row>
    <row r="3392">
      <c r="H3392" s="1" t="s">
        <v>5653</v>
      </c>
      <c r="S3392" s="1" t="s">
        <v>6032</v>
      </c>
      <c r="W3392" s="8"/>
      <c r="AJ3392" s="1"/>
      <c r="AM3392" s="1" t="s">
        <v>3151</v>
      </c>
    </row>
    <row r="3393">
      <c r="H3393" s="1" t="s">
        <v>5655</v>
      </c>
      <c r="S3393" s="1" t="s">
        <v>5391</v>
      </c>
      <c r="W3393" s="8"/>
      <c r="AJ3393" s="1"/>
      <c r="AM3393" s="1" t="s">
        <v>3155</v>
      </c>
    </row>
    <row r="3394">
      <c r="H3394" s="1" t="s">
        <v>4703</v>
      </c>
      <c r="S3394" s="1" t="s">
        <v>6089</v>
      </c>
      <c r="W3394" s="8"/>
      <c r="AJ3394" s="1"/>
      <c r="AM3394" s="1" t="s">
        <v>3157</v>
      </c>
    </row>
    <row r="3395">
      <c r="H3395" s="1" t="s">
        <v>2929</v>
      </c>
      <c r="S3395" s="1" t="s">
        <v>5099</v>
      </c>
      <c r="W3395" s="8"/>
      <c r="AJ3395" s="1"/>
      <c r="AM3395" s="1" t="s">
        <v>5799</v>
      </c>
    </row>
    <row r="3396">
      <c r="H3396" s="1" t="s">
        <v>3865</v>
      </c>
      <c r="S3396" s="1" t="s">
        <v>2700</v>
      </c>
      <c r="W3396" s="8"/>
      <c r="AJ3396" s="1"/>
      <c r="AM3396" s="1" t="s">
        <v>3160</v>
      </c>
    </row>
    <row r="3397">
      <c r="H3397" s="1" t="s">
        <v>5658</v>
      </c>
      <c r="S3397" s="1" t="s">
        <v>5788</v>
      </c>
      <c r="W3397" s="8"/>
      <c r="AJ3397" s="1"/>
      <c r="AM3397" s="1" t="s">
        <v>6090</v>
      </c>
    </row>
    <row r="3398">
      <c r="H3398" s="1" t="s">
        <v>5659</v>
      </c>
      <c r="S3398" s="1" t="s">
        <v>2787</v>
      </c>
      <c r="W3398" s="8"/>
      <c r="AJ3398" s="1"/>
      <c r="AM3398" s="1" t="s">
        <v>3162</v>
      </c>
    </row>
    <row r="3399">
      <c r="H3399" s="1" t="s">
        <v>4706</v>
      </c>
      <c r="S3399" s="1" t="s">
        <v>2751</v>
      </c>
      <c r="W3399" s="8"/>
      <c r="AJ3399" s="1"/>
      <c r="AM3399" s="1" t="s">
        <v>4552</v>
      </c>
    </row>
    <row r="3400">
      <c r="H3400" s="1" t="s">
        <v>1681</v>
      </c>
      <c r="S3400" s="1" t="s">
        <v>5259</v>
      </c>
      <c r="W3400" s="8"/>
      <c r="AJ3400" s="1"/>
      <c r="AM3400" s="1" t="s">
        <v>4935</v>
      </c>
    </row>
    <row r="3401">
      <c r="H3401" s="1" t="s">
        <v>6091</v>
      </c>
      <c r="S3401" s="1" t="s">
        <v>3497</v>
      </c>
      <c r="W3401" s="8"/>
      <c r="AJ3401" s="1"/>
      <c r="AM3401" s="1" t="s">
        <v>3166</v>
      </c>
    </row>
    <row r="3402">
      <c r="H3402" s="1" t="s">
        <v>5661</v>
      </c>
      <c r="S3402" s="1" t="s">
        <v>169</v>
      </c>
      <c r="W3402" s="8"/>
      <c r="AJ3402" s="1"/>
      <c r="AM3402" s="1" t="s">
        <v>3169</v>
      </c>
    </row>
    <row r="3403">
      <c r="H3403" s="1" t="s">
        <v>5662</v>
      </c>
      <c r="S3403" s="1" t="s">
        <v>6092</v>
      </c>
      <c r="W3403" s="8"/>
      <c r="AJ3403" s="1"/>
      <c r="AM3403" s="1" t="s">
        <v>1913</v>
      </c>
    </row>
    <row r="3404">
      <c r="H3404" s="1" t="s">
        <v>4711</v>
      </c>
      <c r="S3404" s="1" t="s">
        <v>5068</v>
      </c>
      <c r="W3404" s="8"/>
      <c r="AJ3404" s="1"/>
      <c r="AM3404" s="1" t="s">
        <v>3171</v>
      </c>
    </row>
    <row r="3405">
      <c r="H3405" s="1" t="s">
        <v>5663</v>
      </c>
      <c r="S3405" s="1" t="s">
        <v>490</v>
      </c>
      <c r="W3405" s="8"/>
      <c r="AJ3405" s="1"/>
      <c r="AM3405" s="1" t="s">
        <v>1518</v>
      </c>
    </row>
    <row r="3406">
      <c r="H3406" s="1" t="s">
        <v>4683</v>
      </c>
      <c r="S3406" s="1" t="s">
        <v>3749</v>
      </c>
      <c r="W3406" s="8"/>
      <c r="AJ3406" s="1"/>
      <c r="AM3406" s="1" t="s">
        <v>4943</v>
      </c>
    </row>
    <row r="3407">
      <c r="H3407" s="1" t="s">
        <v>4716</v>
      </c>
      <c r="S3407" s="1" t="s">
        <v>6093</v>
      </c>
      <c r="W3407" s="8"/>
      <c r="AJ3407" s="1"/>
      <c r="AM3407" s="1" t="s">
        <v>5397</v>
      </c>
    </row>
    <row r="3408">
      <c r="H3408" s="1" t="s">
        <v>6094</v>
      </c>
      <c r="S3408" s="1" t="s">
        <v>3694</v>
      </c>
      <c r="W3408" s="8"/>
      <c r="AJ3408" s="1"/>
      <c r="AM3408" s="1" t="s">
        <v>3176</v>
      </c>
    </row>
    <row r="3409">
      <c r="H3409" s="1" t="s">
        <v>2948</v>
      </c>
      <c r="S3409" s="1" t="s">
        <v>4476</v>
      </c>
      <c r="W3409" s="8"/>
      <c r="AJ3409" s="1"/>
      <c r="AM3409" s="1" t="s">
        <v>6095</v>
      </c>
    </row>
    <row r="3410">
      <c r="H3410" s="1" t="s">
        <v>5666</v>
      </c>
      <c r="S3410" s="1" t="s">
        <v>5918</v>
      </c>
      <c r="W3410" s="8"/>
      <c r="AJ3410" s="1"/>
      <c r="AM3410" s="1" t="s">
        <v>3178</v>
      </c>
    </row>
    <row r="3411">
      <c r="H3411" s="1" t="s">
        <v>1639</v>
      </c>
      <c r="S3411" s="1" t="s">
        <v>5825</v>
      </c>
      <c r="W3411" s="8"/>
      <c r="AJ3411" s="1"/>
      <c r="AM3411" s="1" t="s">
        <v>3179</v>
      </c>
    </row>
    <row r="3412">
      <c r="H3412" s="1" t="s">
        <v>1645</v>
      </c>
      <c r="S3412" s="1" t="s">
        <v>4605</v>
      </c>
      <c r="W3412" s="8"/>
      <c r="AJ3412" s="1"/>
      <c r="AM3412" s="1" t="s">
        <v>3183</v>
      </c>
    </row>
    <row r="3413">
      <c r="H3413" s="1" t="s">
        <v>5428</v>
      </c>
      <c r="S3413" s="1" t="s">
        <v>4010</v>
      </c>
      <c r="W3413" s="8"/>
      <c r="AJ3413" s="1"/>
      <c r="AM3413" s="1" t="s">
        <v>4948</v>
      </c>
    </row>
    <row r="3414">
      <c r="H3414" s="1" t="s">
        <v>4726</v>
      </c>
      <c r="S3414" s="1" t="s">
        <v>4805</v>
      </c>
      <c r="W3414" s="8"/>
      <c r="AJ3414" s="1"/>
      <c r="AM3414" s="1" t="s">
        <v>4951</v>
      </c>
    </row>
    <row r="3415">
      <c r="H3415" s="1" t="s">
        <v>5669</v>
      </c>
      <c r="S3415" s="1" t="s">
        <v>5015</v>
      </c>
      <c r="W3415" s="8"/>
      <c r="AJ3415" s="1"/>
      <c r="AM3415" s="1" t="s">
        <v>4956</v>
      </c>
    </row>
    <row r="3416">
      <c r="H3416" s="1" t="s">
        <v>4728</v>
      </c>
      <c r="S3416" s="1" t="s">
        <v>4729</v>
      </c>
      <c r="W3416" s="8"/>
      <c r="AJ3416" s="1"/>
      <c r="AM3416" s="1" t="s">
        <v>3187</v>
      </c>
    </row>
    <row r="3417">
      <c r="H3417" s="1" t="s">
        <v>757</v>
      </c>
      <c r="S3417" s="1" t="s">
        <v>894</v>
      </c>
      <c r="W3417" s="8"/>
      <c r="AJ3417" s="1"/>
      <c r="AM3417" s="1" t="s">
        <v>4959</v>
      </c>
    </row>
    <row r="3418">
      <c r="H3418" s="1" t="s">
        <v>5654</v>
      </c>
      <c r="S3418" s="1" t="s">
        <v>973</v>
      </c>
      <c r="W3418" s="8"/>
      <c r="AJ3418" s="1"/>
      <c r="AM3418" s="1" t="s">
        <v>6096</v>
      </c>
    </row>
    <row r="3419">
      <c r="H3419" s="1" t="s">
        <v>2961</v>
      </c>
      <c r="S3419" s="1" t="s">
        <v>4079</v>
      </c>
      <c r="W3419" s="8"/>
      <c r="AJ3419" s="1"/>
      <c r="AM3419" s="1" t="s">
        <v>3191</v>
      </c>
    </row>
    <row r="3420">
      <c r="H3420" s="1" t="s">
        <v>2965</v>
      </c>
      <c r="S3420" s="1" t="s">
        <v>6097</v>
      </c>
      <c r="W3420" s="8"/>
      <c r="AJ3420" s="1"/>
      <c r="AM3420" s="1" t="s">
        <v>1764</v>
      </c>
    </row>
    <row r="3421">
      <c r="H3421" s="1" t="s">
        <v>5672</v>
      </c>
      <c r="S3421" s="1" t="s">
        <v>3292</v>
      </c>
      <c r="W3421" s="8"/>
      <c r="AJ3421" s="1"/>
      <c r="AM3421" s="1" t="s">
        <v>4964</v>
      </c>
    </row>
    <row r="3422">
      <c r="H3422" s="1" t="s">
        <v>4730</v>
      </c>
      <c r="S3422" s="1" t="s">
        <v>3411</v>
      </c>
      <c r="W3422" s="8"/>
      <c r="AJ3422" s="1"/>
      <c r="AM3422" s="1" t="s">
        <v>3194</v>
      </c>
    </row>
    <row r="3423">
      <c r="H3423" s="1" t="s">
        <v>5320</v>
      </c>
      <c r="S3423" s="1" t="s">
        <v>5082</v>
      </c>
      <c r="W3423" s="8"/>
      <c r="AJ3423" s="1"/>
      <c r="AM3423" s="1" t="s">
        <v>3197</v>
      </c>
    </row>
    <row r="3424">
      <c r="H3424" s="1" t="s">
        <v>441</v>
      </c>
      <c r="S3424" s="1" t="s">
        <v>6098</v>
      </c>
      <c r="W3424" s="8"/>
      <c r="AJ3424" s="1"/>
      <c r="AM3424" s="1" t="s">
        <v>3201</v>
      </c>
    </row>
    <row r="3425">
      <c r="H3425" s="1" t="s">
        <v>5673</v>
      </c>
      <c r="S3425" s="1" t="s">
        <v>3342</v>
      </c>
      <c r="W3425" s="8"/>
      <c r="AJ3425" s="1"/>
      <c r="AM3425" s="1" t="s">
        <v>3205</v>
      </c>
    </row>
    <row r="3426">
      <c r="H3426" s="1" t="s">
        <v>3873</v>
      </c>
      <c r="S3426" s="1" t="s">
        <v>4643</v>
      </c>
      <c r="W3426" s="8"/>
      <c r="AJ3426" s="1"/>
      <c r="AM3426" s="1" t="s">
        <v>4970</v>
      </c>
    </row>
    <row r="3427">
      <c r="H3427" s="1" t="s">
        <v>5675</v>
      </c>
      <c r="S3427" s="1" t="s">
        <v>5992</v>
      </c>
      <c r="W3427" s="8"/>
      <c r="AJ3427" s="1"/>
      <c r="AM3427" s="1" t="s">
        <v>4971</v>
      </c>
    </row>
    <row r="3428">
      <c r="H3428" s="1" t="s">
        <v>6099</v>
      </c>
      <c r="S3428" s="1" t="s">
        <v>4964</v>
      </c>
      <c r="W3428" s="8"/>
      <c r="AJ3428" s="1"/>
      <c r="AM3428" s="1" t="s">
        <v>3208</v>
      </c>
    </row>
    <row r="3429">
      <c r="H3429" s="1" t="s">
        <v>1651</v>
      </c>
      <c r="S3429" s="1" t="s">
        <v>6100</v>
      </c>
      <c r="W3429" s="8"/>
      <c r="AJ3429" s="1"/>
      <c r="AM3429" s="1" t="s">
        <v>6101</v>
      </c>
    </row>
    <row r="3430">
      <c r="H3430" s="1" t="s">
        <v>6102</v>
      </c>
      <c r="S3430" s="1" t="s">
        <v>4796</v>
      </c>
      <c r="W3430" s="8"/>
      <c r="AJ3430" s="1"/>
      <c r="AM3430" s="1" t="s">
        <v>3210</v>
      </c>
    </row>
    <row r="3431">
      <c r="H3431" s="1" t="s">
        <v>4739</v>
      </c>
      <c r="S3431" s="1" t="s">
        <v>6103</v>
      </c>
      <c r="W3431" s="8"/>
      <c r="AJ3431" s="1"/>
      <c r="AM3431" s="1" t="s">
        <v>4977</v>
      </c>
    </row>
    <row r="3432">
      <c r="H3432" s="1" t="s">
        <v>4740</v>
      </c>
      <c r="S3432" s="1" t="s">
        <v>5850</v>
      </c>
      <c r="W3432" s="8"/>
      <c r="AJ3432" s="1"/>
      <c r="AM3432" s="1" t="s">
        <v>3213</v>
      </c>
    </row>
    <row r="3433">
      <c r="H3433" s="1" t="s">
        <v>4743</v>
      </c>
      <c r="S3433" s="1" t="s">
        <v>5365</v>
      </c>
      <c r="W3433" s="8"/>
      <c r="AJ3433" s="1"/>
      <c r="AM3433" s="1" t="s">
        <v>1692</v>
      </c>
    </row>
    <row r="3434">
      <c r="H3434" s="1" t="s">
        <v>5676</v>
      </c>
      <c r="S3434" s="1" t="s">
        <v>687</v>
      </c>
      <c r="W3434" s="8"/>
      <c r="AJ3434" s="1"/>
      <c r="AM3434" s="1" t="s">
        <v>444</v>
      </c>
    </row>
    <row r="3435">
      <c r="H3435" s="1" t="s">
        <v>4261</v>
      </c>
      <c r="S3435" s="1" t="s">
        <v>6104</v>
      </c>
      <c r="W3435" s="8"/>
      <c r="AJ3435" s="1"/>
      <c r="AM3435" s="1" t="s">
        <v>790</v>
      </c>
    </row>
    <row r="3436">
      <c r="H3436" s="1" t="s">
        <v>2975</v>
      </c>
      <c r="S3436" s="1" t="s">
        <v>5653</v>
      </c>
      <c r="W3436" s="8"/>
      <c r="AJ3436" s="1"/>
      <c r="AM3436" s="1" t="s">
        <v>1700</v>
      </c>
    </row>
    <row r="3437">
      <c r="H3437" s="1" t="s">
        <v>5408</v>
      </c>
      <c r="S3437" s="1" t="s">
        <v>4556</v>
      </c>
      <c r="W3437" s="8"/>
      <c r="AJ3437" s="1"/>
      <c r="AM3437" s="1" t="s">
        <v>3225</v>
      </c>
    </row>
    <row r="3438">
      <c r="H3438" s="1" t="s">
        <v>4746</v>
      </c>
      <c r="S3438" s="1" t="s">
        <v>6105</v>
      </c>
      <c r="W3438" s="8"/>
      <c r="AJ3438" s="1"/>
      <c r="AM3438" s="1" t="s">
        <v>4982</v>
      </c>
    </row>
    <row r="3439">
      <c r="H3439" s="1" t="s">
        <v>1785</v>
      </c>
      <c r="S3439" s="1" t="s">
        <v>1011</v>
      </c>
      <c r="W3439" s="8"/>
      <c r="AJ3439" s="1"/>
      <c r="AM3439" s="1" t="s">
        <v>6106</v>
      </c>
    </row>
    <row r="3440">
      <c r="H3440" s="1" t="s">
        <v>4747</v>
      </c>
      <c r="S3440" s="1" t="s">
        <v>6107</v>
      </c>
      <c r="W3440" s="8"/>
      <c r="AJ3440" s="1"/>
      <c r="AM3440" s="1" t="s">
        <v>1455</v>
      </c>
    </row>
    <row r="3441">
      <c r="H3441" s="1">
        <v>451.0</v>
      </c>
      <c r="S3441" s="1" t="s">
        <v>720</v>
      </c>
      <c r="W3441" s="8"/>
      <c r="AJ3441" s="1"/>
      <c r="AM3441" s="1" t="s">
        <v>5821</v>
      </c>
    </row>
    <row r="3442">
      <c r="H3442" s="1" t="s">
        <v>5765</v>
      </c>
      <c r="S3442" s="1" t="s">
        <v>5591</v>
      </c>
      <c r="W3442" s="8"/>
      <c r="AJ3442" s="1"/>
      <c r="AM3442" s="1" t="s">
        <v>4867</v>
      </c>
    </row>
    <row r="3443">
      <c r="H3443" s="1" t="s">
        <v>1946</v>
      </c>
      <c r="S3443" s="1" t="s">
        <v>4242</v>
      </c>
      <c r="W3443" s="8"/>
      <c r="AJ3443" s="1"/>
      <c r="AM3443" s="1" t="s">
        <v>3228</v>
      </c>
    </row>
    <row r="3444">
      <c r="H3444" s="1" t="s">
        <v>1873</v>
      </c>
      <c r="S3444" s="1" t="s">
        <v>5808</v>
      </c>
      <c r="W3444" s="8"/>
      <c r="AJ3444" s="1"/>
      <c r="AM3444" s="1" t="s">
        <v>3230</v>
      </c>
    </row>
    <row r="3445">
      <c r="H3445" s="1">
        <v>1957.0</v>
      </c>
      <c r="S3445" s="1" t="s">
        <v>4116</v>
      </c>
      <c r="W3445" s="8"/>
      <c r="AJ3445" s="1"/>
      <c r="AM3445" s="1" t="s">
        <v>4988</v>
      </c>
    </row>
    <row r="3446">
      <c r="H3446" s="1" t="s">
        <v>644</v>
      </c>
      <c r="S3446" s="1" t="s">
        <v>4865</v>
      </c>
      <c r="W3446" s="8"/>
      <c r="AJ3446" s="1"/>
      <c r="AM3446" s="1" t="s">
        <v>4990</v>
      </c>
    </row>
    <row r="3447">
      <c r="H3447" s="1" t="s">
        <v>6064</v>
      </c>
      <c r="S3447" s="1" t="s">
        <v>2831</v>
      </c>
      <c r="W3447" s="8"/>
      <c r="AJ3447" s="1"/>
      <c r="AM3447" s="1" t="s">
        <v>3232</v>
      </c>
    </row>
    <row r="3448">
      <c r="H3448" s="1" t="s">
        <v>3878</v>
      </c>
      <c r="S3448" s="1" t="s">
        <v>5123</v>
      </c>
      <c r="W3448" s="8"/>
      <c r="AJ3448" s="1"/>
      <c r="AM3448" s="1" t="s">
        <v>4994</v>
      </c>
    </row>
    <row r="3449">
      <c r="H3449" s="1" t="s">
        <v>2984</v>
      </c>
      <c r="S3449" s="1" t="s">
        <v>5563</v>
      </c>
      <c r="W3449" s="8"/>
      <c r="AJ3449" s="1"/>
      <c r="AM3449" s="1" t="s">
        <v>3235</v>
      </c>
    </row>
    <row r="3450">
      <c r="H3450" s="1" t="s">
        <v>6108</v>
      </c>
      <c r="S3450" s="1" t="s">
        <v>6109</v>
      </c>
      <c r="W3450" s="8"/>
      <c r="AJ3450" s="1"/>
      <c r="AM3450" s="1" t="s">
        <v>3239</v>
      </c>
    </row>
    <row r="3451">
      <c r="H3451" s="1" t="s">
        <v>5685</v>
      </c>
      <c r="S3451" s="1" t="s">
        <v>5372</v>
      </c>
      <c r="W3451" s="8"/>
      <c r="AJ3451" s="1"/>
      <c r="AM3451" s="1" t="s">
        <v>3242</v>
      </c>
    </row>
    <row r="3452">
      <c r="H3452" s="1" t="s">
        <v>4910</v>
      </c>
      <c r="S3452" s="1" t="s">
        <v>4529</v>
      </c>
      <c r="W3452" s="8"/>
      <c r="AJ3452" s="1"/>
      <c r="AM3452" s="1" t="s">
        <v>1837</v>
      </c>
    </row>
    <row r="3453">
      <c r="H3453" s="1" t="s">
        <v>227</v>
      </c>
      <c r="S3453" s="1" t="s">
        <v>6110</v>
      </c>
      <c r="W3453" s="8"/>
      <c r="AJ3453" s="1"/>
      <c r="AM3453" s="1" t="s">
        <v>3983</v>
      </c>
    </row>
    <row r="3454">
      <c r="H3454" s="1" t="s">
        <v>4754</v>
      </c>
      <c r="S3454" s="1" t="s">
        <v>3486</v>
      </c>
      <c r="W3454" s="8"/>
      <c r="AJ3454" s="1"/>
      <c r="AM3454" s="1" t="s">
        <v>3245</v>
      </c>
    </row>
    <row r="3455">
      <c r="H3455" s="1" t="s">
        <v>5689</v>
      </c>
      <c r="S3455" s="1" t="s">
        <v>5663</v>
      </c>
      <c r="W3455" s="8"/>
      <c r="AJ3455" s="1"/>
      <c r="AM3455" s="1" t="s">
        <v>3248</v>
      </c>
    </row>
    <row r="3456">
      <c r="H3456" s="1" t="s">
        <v>6111</v>
      </c>
      <c r="S3456" s="1" t="s">
        <v>390</v>
      </c>
      <c r="W3456" s="8"/>
      <c r="AJ3456" s="1"/>
      <c r="AM3456" s="1" t="s">
        <v>1895</v>
      </c>
    </row>
    <row r="3457">
      <c r="H3457" s="1" t="s">
        <v>2345</v>
      </c>
      <c r="S3457" s="1" t="s">
        <v>988</v>
      </c>
      <c r="W3457" s="8"/>
      <c r="AJ3457" s="1"/>
      <c r="AM3457" s="1" t="s">
        <v>3249</v>
      </c>
    </row>
    <row r="3458">
      <c r="H3458" s="1" t="s">
        <v>2993</v>
      </c>
      <c r="S3458" s="1" t="s">
        <v>693</v>
      </c>
      <c r="W3458" s="8"/>
      <c r="AJ3458" s="1"/>
      <c r="AM3458" s="1" t="s">
        <v>3252</v>
      </c>
    </row>
    <row r="3459">
      <c r="H3459" s="1" t="s">
        <v>2989</v>
      </c>
      <c r="S3459" s="1" t="s">
        <v>6112</v>
      </c>
      <c r="W3459" s="8"/>
      <c r="AJ3459" s="1"/>
      <c r="AM3459" s="1" t="s">
        <v>5126</v>
      </c>
    </row>
    <row r="3460">
      <c r="H3460" s="1" t="s">
        <v>4756</v>
      </c>
      <c r="S3460" s="1" t="s">
        <v>2264</v>
      </c>
      <c r="W3460" s="8"/>
      <c r="AJ3460" s="1"/>
      <c r="AM3460" s="1" t="s">
        <v>4633</v>
      </c>
    </row>
    <row r="3461">
      <c r="H3461" s="1" t="s">
        <v>6047</v>
      </c>
      <c r="S3461" s="1" t="s">
        <v>1523</v>
      </c>
      <c r="W3461" s="8"/>
      <c r="AJ3461" s="1"/>
      <c r="AM3461" s="1" t="s">
        <v>3255</v>
      </c>
    </row>
    <row r="3462">
      <c r="H3462" s="1" t="s">
        <v>4294</v>
      </c>
      <c r="S3462" s="1" t="s">
        <v>6113</v>
      </c>
      <c r="W3462" s="8"/>
      <c r="AJ3462" s="1"/>
      <c r="AM3462" s="1" t="s">
        <v>3258</v>
      </c>
    </row>
    <row r="3463">
      <c r="H3463" s="1" t="s">
        <v>6114</v>
      </c>
      <c r="S3463" s="1" t="s">
        <v>1098</v>
      </c>
      <c r="W3463" s="8"/>
      <c r="AJ3463" s="1"/>
      <c r="AM3463" s="1" t="s">
        <v>6115</v>
      </c>
    </row>
    <row r="3464">
      <c r="H3464" s="1" t="s">
        <v>5479</v>
      </c>
      <c r="S3464" s="1" t="s">
        <v>4436</v>
      </c>
      <c r="W3464" s="8"/>
      <c r="AJ3464" s="1"/>
      <c r="AM3464" s="1" t="s">
        <v>3262</v>
      </c>
    </row>
    <row r="3465">
      <c r="H3465" s="1" t="s">
        <v>2997</v>
      </c>
      <c r="S3465" s="1" t="s">
        <v>5718</v>
      </c>
      <c r="W3465" s="8"/>
      <c r="AJ3465" s="1"/>
      <c r="AM3465" s="1" t="s">
        <v>5008</v>
      </c>
    </row>
    <row r="3466">
      <c r="H3466" s="1" t="s">
        <v>3890</v>
      </c>
      <c r="S3466" s="1" t="s">
        <v>3709</v>
      </c>
      <c r="W3466" s="8"/>
      <c r="AJ3466" s="1"/>
      <c r="AM3466" s="1" t="s">
        <v>3266</v>
      </c>
    </row>
    <row r="3467">
      <c r="H3467" s="1" t="s">
        <v>6116</v>
      </c>
      <c r="S3467" s="1" t="s">
        <v>1132</v>
      </c>
      <c r="W3467" s="8"/>
      <c r="AJ3467" s="1"/>
      <c r="AM3467" s="1" t="s">
        <v>5012</v>
      </c>
    </row>
    <row r="3468">
      <c r="H3468" s="1" t="s">
        <v>4759</v>
      </c>
      <c r="S3468" s="1" t="s">
        <v>5744</v>
      </c>
      <c r="W3468" s="8"/>
      <c r="AJ3468" s="1"/>
      <c r="AM3468" s="1" t="s">
        <v>3270</v>
      </c>
    </row>
    <row r="3469">
      <c r="H3469" s="1" t="s">
        <v>1729</v>
      </c>
      <c r="S3469" s="1" t="s">
        <v>2373</v>
      </c>
      <c r="W3469" s="8"/>
      <c r="AJ3469" s="1"/>
      <c r="AM3469" s="1" t="s">
        <v>1915</v>
      </c>
    </row>
    <row r="3470">
      <c r="H3470" s="1" t="s">
        <v>4762</v>
      </c>
      <c r="S3470" s="1" t="s">
        <v>6117</v>
      </c>
      <c r="W3470" s="8"/>
      <c r="AJ3470" s="1"/>
      <c r="AM3470" s="1" t="s">
        <v>5015</v>
      </c>
    </row>
    <row r="3471">
      <c r="H3471" s="1" t="s">
        <v>4766</v>
      </c>
      <c r="S3471" s="1" t="s">
        <v>382</v>
      </c>
      <c r="W3471" s="8"/>
      <c r="AJ3471" s="1"/>
      <c r="AM3471" s="1" t="s">
        <v>3274</v>
      </c>
    </row>
    <row r="3472">
      <c r="H3472" s="1" t="s">
        <v>5694</v>
      </c>
      <c r="S3472" s="1" t="s">
        <v>3785</v>
      </c>
      <c r="W3472" s="8"/>
      <c r="AJ3472" s="1"/>
      <c r="AM3472" s="1" t="s">
        <v>3276</v>
      </c>
    </row>
    <row r="3473">
      <c r="H3473" s="1" t="s">
        <v>5695</v>
      </c>
      <c r="S3473" s="1" t="s">
        <v>766</v>
      </c>
      <c r="W3473" s="8"/>
      <c r="AJ3473" s="1"/>
      <c r="AM3473" s="1" t="s">
        <v>5020</v>
      </c>
    </row>
    <row r="3474">
      <c r="H3474" s="1" t="s">
        <v>4769</v>
      </c>
      <c r="S3474" s="1" t="s">
        <v>5463</v>
      </c>
      <c r="W3474" s="8"/>
      <c r="AJ3474" s="1"/>
      <c r="AM3474" s="1" t="s">
        <v>5845</v>
      </c>
    </row>
    <row r="3475">
      <c r="H3475" s="1" t="s">
        <v>3004</v>
      </c>
      <c r="S3475" s="1" t="s">
        <v>1896</v>
      </c>
      <c r="W3475" s="8"/>
      <c r="AJ3475" s="1"/>
      <c r="AM3475" s="1" t="s">
        <v>3278</v>
      </c>
    </row>
    <row r="3476">
      <c r="H3476" s="1" t="s">
        <v>1900</v>
      </c>
      <c r="S3476" s="1" t="s">
        <v>658</v>
      </c>
      <c r="W3476" s="8"/>
      <c r="AJ3476" s="1"/>
      <c r="AM3476" s="1" t="s">
        <v>3282</v>
      </c>
    </row>
    <row r="3477">
      <c r="H3477" s="1" t="s">
        <v>4774</v>
      </c>
      <c r="S3477" s="1" t="s">
        <v>4789</v>
      </c>
      <c r="W3477" s="8"/>
      <c r="AJ3477" s="1"/>
      <c r="AM3477" s="1" t="s">
        <v>6118</v>
      </c>
    </row>
    <row r="3478">
      <c r="H3478" s="1" t="s">
        <v>4673</v>
      </c>
      <c r="S3478" s="1" t="s">
        <v>691</v>
      </c>
      <c r="W3478" s="8"/>
      <c r="AJ3478" s="1"/>
      <c r="AM3478" s="1" t="s">
        <v>3997</v>
      </c>
    </row>
    <row r="3479">
      <c r="H3479" s="1" t="s">
        <v>4781</v>
      </c>
      <c r="S3479" s="1" t="s">
        <v>6119</v>
      </c>
      <c r="W3479" s="8"/>
      <c r="AJ3479" s="1"/>
      <c r="AM3479" s="1" t="s">
        <v>5846</v>
      </c>
    </row>
    <row r="3480">
      <c r="H3480" s="1" t="s">
        <v>4783</v>
      </c>
      <c r="S3480" s="1" t="s">
        <v>6120</v>
      </c>
      <c r="W3480" s="8"/>
      <c r="AJ3480" s="1"/>
      <c r="AM3480" s="1" t="s">
        <v>5023</v>
      </c>
    </row>
    <row r="3481">
      <c r="H3481" s="1" t="s">
        <v>3898</v>
      </c>
      <c r="S3481" s="1" t="s">
        <v>6121</v>
      </c>
      <c r="W3481" s="8"/>
      <c r="AJ3481" s="1"/>
      <c r="AM3481" s="1" t="s">
        <v>5025</v>
      </c>
    </row>
    <row r="3482">
      <c r="H3482" s="1" t="s">
        <v>5700</v>
      </c>
      <c r="S3482" s="1" t="s">
        <v>6122</v>
      </c>
      <c r="W3482" s="8"/>
      <c r="AJ3482" s="1"/>
      <c r="AM3482" s="1" t="s">
        <v>3285</v>
      </c>
    </row>
    <row r="3483">
      <c r="H3483" s="1" t="s">
        <v>5702</v>
      </c>
      <c r="S3483" s="1" t="s">
        <v>3967</v>
      </c>
      <c r="W3483" s="8"/>
      <c r="AJ3483" s="1"/>
      <c r="AM3483" s="1" t="s">
        <v>3287</v>
      </c>
    </row>
    <row r="3484">
      <c r="H3484" s="1" t="s">
        <v>1932</v>
      </c>
      <c r="S3484" s="1" t="s">
        <v>1652</v>
      </c>
      <c r="W3484" s="8"/>
      <c r="AJ3484" s="1"/>
      <c r="AM3484" s="1" t="s">
        <v>5902</v>
      </c>
    </row>
    <row r="3485">
      <c r="H3485" s="1" t="s">
        <v>4792</v>
      </c>
      <c r="S3485" s="1" t="s">
        <v>3861</v>
      </c>
      <c r="W3485" s="8"/>
      <c r="AJ3485" s="1"/>
      <c r="AM3485" s="1" t="s">
        <v>3290</v>
      </c>
    </row>
    <row r="3486">
      <c r="H3486" s="1" t="s">
        <v>3021</v>
      </c>
      <c r="S3486" s="1" t="s">
        <v>1035</v>
      </c>
      <c r="W3486" s="8"/>
      <c r="AJ3486" s="1"/>
      <c r="AM3486" s="1" t="s">
        <v>5029</v>
      </c>
    </row>
    <row r="3487">
      <c r="H3487" s="1" t="s">
        <v>5709</v>
      </c>
      <c r="S3487" s="1" t="s">
        <v>1584</v>
      </c>
      <c r="W3487" s="8"/>
      <c r="AJ3487" s="1"/>
      <c r="AM3487" s="1" t="s">
        <v>1705</v>
      </c>
    </row>
    <row r="3488">
      <c r="H3488" s="1" t="s">
        <v>5838</v>
      </c>
      <c r="S3488" s="1" t="s">
        <v>1738</v>
      </c>
      <c r="W3488" s="8"/>
      <c r="AJ3488" s="1"/>
      <c r="AM3488" s="1" t="s">
        <v>3297</v>
      </c>
    </row>
    <row r="3489">
      <c r="H3489" s="1" t="s">
        <v>4796</v>
      </c>
      <c r="S3489" s="1" t="s">
        <v>5865</v>
      </c>
      <c r="W3489" s="8"/>
      <c r="AJ3489" s="1"/>
      <c r="AM3489" s="1" t="s">
        <v>3303</v>
      </c>
    </row>
    <row r="3490">
      <c r="H3490" s="1" t="s">
        <v>4799</v>
      </c>
      <c r="S3490" s="1" t="s">
        <v>5566</v>
      </c>
      <c r="W3490" s="8"/>
      <c r="AJ3490" s="1"/>
      <c r="AM3490" s="1" t="s">
        <v>3306</v>
      </c>
    </row>
    <row r="3491">
      <c r="H3491" s="1" t="s">
        <v>5710</v>
      </c>
      <c r="S3491" s="1" t="s">
        <v>6123</v>
      </c>
      <c r="W3491" s="8"/>
      <c r="AJ3491" s="1"/>
      <c r="AM3491" s="1" t="s">
        <v>6124</v>
      </c>
    </row>
    <row r="3492">
      <c r="H3492" s="1" t="s">
        <v>3681</v>
      </c>
      <c r="S3492" s="1" t="s">
        <v>1984</v>
      </c>
      <c r="W3492" s="8"/>
      <c r="AJ3492" s="1"/>
      <c r="AM3492" s="1">
        <v>1962.0</v>
      </c>
    </row>
    <row r="3493">
      <c r="H3493" s="1" t="s">
        <v>4805</v>
      </c>
      <c r="S3493" s="1" t="s">
        <v>2777</v>
      </c>
      <c r="W3493" s="8"/>
      <c r="AJ3493" s="1"/>
      <c r="AM3493" s="1" t="s">
        <v>3312</v>
      </c>
    </row>
    <row r="3494">
      <c r="H3494" s="1" t="s">
        <v>5715</v>
      </c>
      <c r="S3494" s="1" t="s">
        <v>4855</v>
      </c>
      <c r="W3494" s="8"/>
      <c r="AJ3494" s="1"/>
      <c r="AM3494" s="1" t="s">
        <v>6125</v>
      </c>
    </row>
    <row r="3495">
      <c r="H3495" s="1" t="s">
        <v>3028</v>
      </c>
      <c r="S3495" s="1" t="s">
        <v>992</v>
      </c>
      <c r="W3495" s="8"/>
      <c r="AJ3495" s="1"/>
      <c r="AM3495" s="1" t="s">
        <v>6126</v>
      </c>
    </row>
    <row r="3496">
      <c r="H3496" s="1" t="s">
        <v>5717</v>
      </c>
      <c r="S3496" s="1" t="s">
        <v>3828</v>
      </c>
      <c r="W3496" s="8"/>
      <c r="AJ3496" s="1"/>
      <c r="AM3496" s="1" t="s">
        <v>3314</v>
      </c>
    </row>
    <row r="3497">
      <c r="H3497" s="1" t="s">
        <v>4809</v>
      </c>
      <c r="S3497" s="1" t="s">
        <v>4797</v>
      </c>
      <c r="W3497" s="8"/>
      <c r="AJ3497" s="1"/>
      <c r="AM3497" s="1" t="s">
        <v>3318</v>
      </c>
    </row>
    <row r="3498">
      <c r="H3498" s="1" t="s">
        <v>5718</v>
      </c>
      <c r="S3498" s="1" t="s">
        <v>224</v>
      </c>
      <c r="W3498" s="8"/>
      <c r="AJ3498" s="1"/>
      <c r="AM3498" s="1" t="s">
        <v>5855</v>
      </c>
    </row>
    <row r="3499">
      <c r="H3499" s="1" t="s">
        <v>1858</v>
      </c>
      <c r="S3499" s="1" t="s">
        <v>4442</v>
      </c>
      <c r="W3499" s="8"/>
      <c r="AJ3499" s="1"/>
      <c r="AM3499" s="1">
        <v>1987.0</v>
      </c>
    </row>
    <row r="3500">
      <c r="H3500" s="1" t="s">
        <v>4811</v>
      </c>
      <c r="S3500" s="1" t="s">
        <v>952</v>
      </c>
      <c r="W3500" s="8"/>
      <c r="AJ3500" s="1"/>
      <c r="AM3500" s="1" t="s">
        <v>5041</v>
      </c>
    </row>
    <row r="3501">
      <c r="H3501" s="1" t="s">
        <v>5759</v>
      </c>
      <c r="S3501" s="1" t="s">
        <v>1010</v>
      </c>
      <c r="W3501" s="8"/>
      <c r="AJ3501" s="1"/>
      <c r="AM3501" s="1" t="s">
        <v>5045</v>
      </c>
    </row>
    <row r="3502">
      <c r="H3502" s="1" t="s">
        <v>5723</v>
      </c>
      <c r="S3502" s="1" t="s">
        <v>4627</v>
      </c>
      <c r="W3502" s="8"/>
      <c r="AJ3502" s="1"/>
      <c r="AM3502" s="1" t="s">
        <v>3321</v>
      </c>
    </row>
    <row r="3503">
      <c r="H3503" s="1" t="s">
        <v>5201</v>
      </c>
      <c r="S3503" s="1" t="s">
        <v>5437</v>
      </c>
      <c r="W3503" s="8"/>
      <c r="AJ3503" s="1"/>
      <c r="AM3503" s="1" t="s">
        <v>5049</v>
      </c>
    </row>
    <row r="3504">
      <c r="H3504" s="1" t="s">
        <v>5725</v>
      </c>
      <c r="S3504" s="1" t="s">
        <v>4440</v>
      </c>
      <c r="W3504" s="8"/>
      <c r="AJ3504" s="1"/>
      <c r="AM3504" s="1" t="s">
        <v>6127</v>
      </c>
    </row>
    <row r="3505">
      <c r="H3505" s="1" t="s">
        <v>3908</v>
      </c>
      <c r="S3505" s="1" t="s">
        <v>1362</v>
      </c>
      <c r="W3505" s="8"/>
      <c r="AJ3505" s="1"/>
      <c r="AM3505" s="1" t="s">
        <v>5857</v>
      </c>
    </row>
    <row r="3506">
      <c r="H3506" s="1" t="s">
        <v>4195</v>
      </c>
      <c r="S3506" s="1" t="s">
        <v>763</v>
      </c>
      <c r="W3506" s="8"/>
      <c r="AJ3506" s="1"/>
      <c r="AM3506" s="1" t="s">
        <v>6128</v>
      </c>
    </row>
    <row r="3507">
      <c r="H3507" s="1" t="s">
        <v>3036</v>
      </c>
      <c r="S3507" s="1" t="s">
        <v>1473</v>
      </c>
      <c r="W3507" s="8"/>
      <c r="AJ3507" s="1"/>
      <c r="AM3507" s="1" t="s">
        <v>5860</v>
      </c>
    </row>
    <row r="3508">
      <c r="H3508" s="1" t="s">
        <v>3038</v>
      </c>
      <c r="S3508" s="1" t="s">
        <v>444</v>
      </c>
      <c r="W3508" s="8"/>
      <c r="AJ3508" s="1"/>
      <c r="AM3508" s="1" t="s">
        <v>3324</v>
      </c>
    </row>
    <row r="3509">
      <c r="H3509" s="1" t="s">
        <v>5727</v>
      </c>
      <c r="S3509" s="1" t="s">
        <v>5785</v>
      </c>
      <c r="W3509" s="8"/>
      <c r="AJ3509" s="1"/>
      <c r="AM3509" s="1" t="s">
        <v>6129</v>
      </c>
    </row>
    <row r="3510">
      <c r="H3510" s="1" t="s">
        <v>4817</v>
      </c>
      <c r="S3510" s="1" t="s">
        <v>304</v>
      </c>
      <c r="W3510" s="8"/>
      <c r="AJ3510" s="1"/>
      <c r="AM3510" s="1" t="s">
        <v>6130</v>
      </c>
    </row>
    <row r="3511">
      <c r="H3511" s="1" t="s">
        <v>5729</v>
      </c>
      <c r="S3511" s="1" t="s">
        <v>715</v>
      </c>
      <c r="W3511" s="8"/>
      <c r="AJ3511" s="1"/>
      <c r="AM3511" s="1" t="s">
        <v>3327</v>
      </c>
    </row>
    <row r="3512">
      <c r="H3512" s="1" t="s">
        <v>4822</v>
      </c>
      <c r="S3512" s="1" t="s">
        <v>6131</v>
      </c>
      <c r="W3512" s="8"/>
      <c r="AJ3512" s="1"/>
      <c r="AM3512" s="1" t="s">
        <v>5052</v>
      </c>
    </row>
    <row r="3513">
      <c r="H3513" s="1" t="s">
        <v>1667</v>
      </c>
      <c r="S3513" s="1" t="s">
        <v>2939</v>
      </c>
      <c r="W3513" s="8"/>
      <c r="AJ3513" s="1"/>
      <c r="AM3513" s="1" t="s">
        <v>3332</v>
      </c>
    </row>
    <row r="3514">
      <c r="H3514" s="1" t="s">
        <v>3042</v>
      </c>
      <c r="S3514" s="1" t="s">
        <v>5906</v>
      </c>
      <c r="W3514" s="8"/>
      <c r="AJ3514" s="1"/>
      <c r="AM3514" s="1" t="s">
        <v>5054</v>
      </c>
    </row>
    <row r="3515">
      <c r="H3515" s="1" t="s">
        <v>4826</v>
      </c>
      <c r="S3515" s="1" t="s">
        <v>641</v>
      </c>
      <c r="W3515" s="8"/>
      <c r="AJ3515" s="1"/>
      <c r="AM3515" s="1" t="s">
        <v>3334</v>
      </c>
    </row>
    <row r="3516">
      <c r="H3516" s="1" t="s">
        <v>1670</v>
      </c>
      <c r="S3516" s="1" t="s">
        <v>5222</v>
      </c>
      <c r="W3516" s="8"/>
      <c r="AJ3516" s="1"/>
      <c r="AM3516" s="1" t="s">
        <v>3339</v>
      </c>
    </row>
    <row r="3517">
      <c r="H3517" s="1" t="s">
        <v>3909</v>
      </c>
      <c r="S3517" s="1" t="s">
        <v>644</v>
      </c>
      <c r="W3517" s="8"/>
      <c r="AJ3517" s="1"/>
      <c r="AM3517" s="1" t="s">
        <v>3341</v>
      </c>
    </row>
    <row r="3518">
      <c r="H3518" s="1" t="s">
        <v>3044</v>
      </c>
      <c r="S3518" s="1" t="s">
        <v>3731</v>
      </c>
      <c r="W3518" s="8"/>
      <c r="AJ3518" s="1"/>
      <c r="AM3518" s="1" t="s">
        <v>3344</v>
      </c>
    </row>
    <row r="3519">
      <c r="H3519" s="1" t="s">
        <v>1673</v>
      </c>
      <c r="S3519" s="1" t="s">
        <v>498</v>
      </c>
      <c r="W3519" s="8"/>
      <c r="AJ3519" s="1"/>
      <c r="AM3519" s="1" t="s">
        <v>5058</v>
      </c>
    </row>
    <row r="3520">
      <c r="H3520" s="1" t="s">
        <v>3046</v>
      </c>
      <c r="S3520" s="1" t="s">
        <v>3708</v>
      </c>
      <c r="W3520" s="8"/>
      <c r="AJ3520" s="1"/>
      <c r="AM3520" s="1" t="s">
        <v>6132</v>
      </c>
    </row>
    <row r="3521">
      <c r="H3521" s="1" t="s">
        <v>4831</v>
      </c>
      <c r="S3521" s="1" t="s">
        <v>6133</v>
      </c>
      <c r="W3521" s="8"/>
      <c r="AJ3521" s="1"/>
      <c r="AM3521" s="1" t="s">
        <v>3350</v>
      </c>
    </row>
    <row r="3522">
      <c r="H3522" s="1" t="s">
        <v>4832</v>
      </c>
      <c r="S3522" s="1" t="s">
        <v>2206</v>
      </c>
      <c r="W3522" s="8"/>
      <c r="AJ3522" s="1"/>
      <c r="AM3522" s="1" t="s">
        <v>3353</v>
      </c>
    </row>
    <row r="3523">
      <c r="H3523" s="1" t="s">
        <v>5735</v>
      </c>
      <c r="S3523" s="1" t="s">
        <v>6134</v>
      </c>
      <c r="W3523" s="8"/>
      <c r="AJ3523" s="1"/>
      <c r="AM3523" s="1" t="s">
        <v>3354</v>
      </c>
    </row>
    <row r="3524">
      <c r="H3524" s="1" t="s">
        <v>1778</v>
      </c>
      <c r="S3524" s="1" t="s">
        <v>5888</v>
      </c>
      <c r="W3524" s="8"/>
      <c r="AJ3524" s="1"/>
      <c r="AM3524" s="1" t="s">
        <v>6135</v>
      </c>
    </row>
    <row r="3525">
      <c r="H3525" s="1" t="s">
        <v>5738</v>
      </c>
      <c r="S3525" s="1" t="s">
        <v>5036</v>
      </c>
      <c r="W3525" s="8"/>
      <c r="AJ3525" s="1"/>
      <c r="AM3525" s="1" t="s">
        <v>6136</v>
      </c>
    </row>
    <row r="3526">
      <c r="H3526" s="1" t="s">
        <v>4837</v>
      </c>
      <c r="S3526" s="1" t="s">
        <v>6137</v>
      </c>
      <c r="W3526" s="8"/>
      <c r="AJ3526" s="1"/>
      <c r="AM3526" s="1" t="s">
        <v>6138</v>
      </c>
    </row>
    <row r="3527">
      <c r="H3527" s="1" t="s">
        <v>3051</v>
      </c>
      <c r="S3527" s="1" t="s">
        <v>1346</v>
      </c>
      <c r="W3527" s="8"/>
      <c r="AJ3527" s="1"/>
      <c r="AM3527" s="1" t="s">
        <v>6139</v>
      </c>
    </row>
    <row r="3528">
      <c r="H3528" s="1" t="s">
        <v>1800</v>
      </c>
      <c r="S3528" s="1" t="s">
        <v>818</v>
      </c>
      <c r="W3528" s="8"/>
      <c r="AJ3528" s="1"/>
      <c r="AM3528" s="1" t="s">
        <v>6140</v>
      </c>
    </row>
    <row r="3529">
      <c r="H3529" s="1" t="s">
        <v>5740</v>
      </c>
      <c r="S3529" s="1" t="s">
        <v>6141</v>
      </c>
      <c r="W3529" s="8"/>
      <c r="AJ3529" s="1"/>
      <c r="AM3529" s="1" t="s">
        <v>5274</v>
      </c>
    </row>
    <row r="3530">
      <c r="H3530" s="1" t="s">
        <v>1805</v>
      </c>
      <c r="S3530" s="1" t="s">
        <v>1160</v>
      </c>
      <c r="W3530" s="8"/>
      <c r="AJ3530" s="1"/>
      <c r="AM3530" s="1" t="s">
        <v>3357</v>
      </c>
    </row>
    <row r="3531">
      <c r="H3531" s="1" t="s">
        <v>4839</v>
      </c>
      <c r="S3531" s="1" t="s">
        <v>4799</v>
      </c>
      <c r="W3531" s="8"/>
      <c r="AJ3531" s="1"/>
      <c r="AM3531" s="1" t="s">
        <v>5062</v>
      </c>
    </row>
    <row r="3532">
      <c r="H3532" s="1" t="s">
        <v>4538</v>
      </c>
      <c r="S3532" s="1" t="s">
        <v>3480</v>
      </c>
      <c r="W3532" s="8"/>
      <c r="AJ3532" s="1"/>
      <c r="AM3532" s="1" t="s">
        <v>3360</v>
      </c>
    </row>
    <row r="3533">
      <c r="H3533" s="1" t="s">
        <v>3056</v>
      </c>
      <c r="S3533" s="1" t="s">
        <v>4285</v>
      </c>
      <c r="W3533" s="8"/>
      <c r="AJ3533" s="1"/>
      <c r="AM3533" s="1" t="s">
        <v>5065</v>
      </c>
    </row>
    <row r="3534">
      <c r="H3534" s="1" t="s">
        <v>5741</v>
      </c>
      <c r="S3534" s="1" t="s">
        <v>1455</v>
      </c>
      <c r="W3534" s="8"/>
      <c r="AJ3534" s="1"/>
      <c r="AM3534" s="1" t="s">
        <v>6103</v>
      </c>
    </row>
    <row r="3535">
      <c r="H3535" s="1" t="s">
        <v>6142</v>
      </c>
      <c r="S3535" s="1" t="s">
        <v>2414</v>
      </c>
      <c r="W3535" s="8"/>
      <c r="AJ3535" s="1"/>
      <c r="AM3535" s="1" t="s">
        <v>1712</v>
      </c>
    </row>
    <row r="3536">
      <c r="H3536" s="1" t="s">
        <v>1878</v>
      </c>
      <c r="S3536" s="1" t="s">
        <v>2021</v>
      </c>
      <c r="W3536" s="8"/>
      <c r="AJ3536" s="1"/>
      <c r="AM3536" s="1" t="s">
        <v>3367</v>
      </c>
    </row>
    <row r="3537">
      <c r="H3537" s="1" t="s">
        <v>6143</v>
      </c>
      <c r="S3537" s="1" t="s">
        <v>6144</v>
      </c>
      <c r="W3537" s="8"/>
      <c r="AJ3537" s="1"/>
      <c r="AM3537" s="1" t="s">
        <v>6145</v>
      </c>
    </row>
    <row r="3538">
      <c r="H3538" s="1" t="s">
        <v>1869</v>
      </c>
      <c r="S3538" s="1" t="s">
        <v>597</v>
      </c>
      <c r="W3538" s="8"/>
      <c r="AJ3538" s="1"/>
      <c r="AM3538" s="1" t="s">
        <v>4598</v>
      </c>
    </row>
    <row r="3539">
      <c r="H3539" s="1" t="s">
        <v>5744</v>
      </c>
      <c r="S3539" s="1" t="s">
        <v>4711</v>
      </c>
      <c r="W3539" s="8"/>
      <c r="AJ3539" s="1"/>
      <c r="AM3539" s="1" t="s">
        <v>5879</v>
      </c>
    </row>
    <row r="3540">
      <c r="H3540" s="1" t="s">
        <v>3773</v>
      </c>
      <c r="S3540" s="1" t="s">
        <v>6146</v>
      </c>
      <c r="W3540" s="8"/>
      <c r="AJ3540" s="1"/>
      <c r="AM3540" s="1" t="s">
        <v>5068</v>
      </c>
    </row>
    <row r="3541">
      <c r="H3541" s="1" t="s">
        <v>5745</v>
      </c>
      <c r="S3541" s="1" t="s">
        <v>5854</v>
      </c>
      <c r="W3541" s="8"/>
      <c r="AJ3541" s="1"/>
      <c r="AM3541" s="1" t="s">
        <v>5071</v>
      </c>
    </row>
    <row r="3542">
      <c r="H3542" s="1" t="s">
        <v>3746</v>
      </c>
      <c r="S3542" s="1" t="s">
        <v>4265</v>
      </c>
      <c r="W3542" s="8"/>
      <c r="AJ3542" s="1"/>
      <c r="AM3542" s="1" t="s">
        <v>3331</v>
      </c>
    </row>
    <row r="3543">
      <c r="H3543" s="1" t="s">
        <v>5747</v>
      </c>
      <c r="S3543" s="1" t="s">
        <v>2109</v>
      </c>
      <c r="W3543" s="8"/>
      <c r="AJ3543" s="1"/>
      <c r="AM3543" s="1" t="s">
        <v>6147</v>
      </c>
    </row>
    <row r="3544">
      <c r="H3544" s="1" t="s">
        <v>5109</v>
      </c>
      <c r="S3544" s="1" t="s">
        <v>3294</v>
      </c>
      <c r="W3544" s="8"/>
      <c r="AJ3544" s="1"/>
      <c r="AM3544" s="1" t="s">
        <v>5074</v>
      </c>
    </row>
    <row r="3545">
      <c r="H3545" s="1" t="s">
        <v>4849</v>
      </c>
      <c r="S3545" s="1" t="s">
        <v>4832</v>
      </c>
      <c r="W3545" s="8"/>
      <c r="AJ3545" s="1"/>
      <c r="AM3545" s="1" t="s">
        <v>5077</v>
      </c>
    </row>
    <row r="3546">
      <c r="H3546" s="1" t="s">
        <v>4850</v>
      </c>
      <c r="S3546" s="1" t="s">
        <v>2998</v>
      </c>
      <c r="W3546" s="8"/>
      <c r="AJ3546" s="1"/>
      <c r="AM3546" s="1" t="s">
        <v>3371</v>
      </c>
    </row>
    <row r="3547">
      <c r="H3547" s="1" t="s">
        <v>3926</v>
      </c>
      <c r="S3547" s="1" t="s">
        <v>4592</v>
      </c>
      <c r="W3547" s="8"/>
      <c r="AJ3547" s="1"/>
      <c r="AM3547" s="1" t="s">
        <v>5881</v>
      </c>
    </row>
    <row r="3548">
      <c r="H3548" s="1" t="s">
        <v>4851</v>
      </c>
      <c r="S3548" s="1" t="s">
        <v>6148</v>
      </c>
      <c r="W3548" s="8"/>
      <c r="AJ3548" s="1"/>
      <c r="AM3548" s="1" t="s">
        <v>3375</v>
      </c>
    </row>
    <row r="3549">
      <c r="H3549" s="1" t="s">
        <v>4853</v>
      </c>
      <c r="S3549" s="1" t="s">
        <v>4293</v>
      </c>
      <c r="W3549" s="8"/>
      <c r="AJ3549" s="1"/>
      <c r="AM3549" s="1" t="s">
        <v>5080</v>
      </c>
    </row>
    <row r="3550">
      <c r="H3550" s="1" t="s">
        <v>4855</v>
      </c>
      <c r="S3550" s="1" t="s">
        <v>590</v>
      </c>
      <c r="W3550" s="8"/>
      <c r="AJ3550" s="1"/>
      <c r="AM3550" s="1" t="s">
        <v>5885</v>
      </c>
    </row>
    <row r="3551">
      <c r="H3551" s="1" t="s">
        <v>3928</v>
      </c>
      <c r="S3551" s="1" t="s">
        <v>3045</v>
      </c>
      <c r="W3551" s="8"/>
      <c r="AJ3551" s="1"/>
      <c r="AM3551" s="1" t="s">
        <v>5035</v>
      </c>
    </row>
    <row r="3552">
      <c r="H3552" s="1" t="s">
        <v>3930</v>
      </c>
      <c r="S3552" s="1" t="s">
        <v>6149</v>
      </c>
      <c r="W3552" s="8"/>
      <c r="AJ3552" s="1"/>
      <c r="AM3552" s="1" t="s">
        <v>5887</v>
      </c>
    </row>
    <row r="3553">
      <c r="H3553" s="1">
        <v>1975.0</v>
      </c>
      <c r="S3553" s="1" t="s">
        <v>643</v>
      </c>
      <c r="W3553" s="8"/>
      <c r="AJ3553" s="1"/>
      <c r="AM3553" s="1" t="s">
        <v>3379</v>
      </c>
    </row>
    <row r="3554">
      <c r="H3554" s="1" t="s">
        <v>5750</v>
      </c>
      <c r="S3554" s="1" t="s">
        <v>4051</v>
      </c>
      <c r="W3554" s="8"/>
      <c r="AJ3554" s="1"/>
      <c r="AM3554" s="1" t="s">
        <v>5894</v>
      </c>
    </row>
    <row r="3555">
      <c r="H3555" s="1" t="s">
        <v>5752</v>
      </c>
      <c r="S3555" s="1" t="s">
        <v>217</v>
      </c>
      <c r="W3555" s="8"/>
      <c r="AJ3555" s="1"/>
      <c r="AM3555" s="1" t="s">
        <v>3381</v>
      </c>
    </row>
    <row r="3556">
      <c r="H3556" s="1" t="s">
        <v>5754</v>
      </c>
      <c r="S3556" s="1" t="s">
        <v>1831</v>
      </c>
      <c r="W3556" s="8"/>
      <c r="AJ3556" s="1"/>
      <c r="AM3556" s="1" t="s">
        <v>6150</v>
      </c>
    </row>
    <row r="3557">
      <c r="H3557" s="1" t="s">
        <v>3836</v>
      </c>
      <c r="S3557" s="1" t="s">
        <v>5929</v>
      </c>
      <c r="W3557" s="8"/>
      <c r="AJ3557" s="1"/>
      <c r="AM3557" s="1" t="s">
        <v>5898</v>
      </c>
    </row>
    <row r="3558">
      <c r="H3558" s="1" t="s">
        <v>4863</v>
      </c>
      <c r="S3558" s="1" t="s">
        <v>4101</v>
      </c>
      <c r="W3558" s="8"/>
      <c r="AJ3558" s="1"/>
      <c r="AM3558" s="1" t="s">
        <v>3384</v>
      </c>
    </row>
    <row r="3559">
      <c r="H3559" s="1" t="s">
        <v>3077</v>
      </c>
      <c r="S3559" s="1" t="s">
        <v>210</v>
      </c>
      <c r="W3559" s="8"/>
      <c r="AJ3559" s="1"/>
      <c r="AM3559" s="1" t="s">
        <v>3386</v>
      </c>
    </row>
    <row r="3560">
      <c r="H3560" s="1" t="s">
        <v>4865</v>
      </c>
      <c r="S3560" s="1" t="s">
        <v>1340</v>
      </c>
      <c r="W3560" s="8"/>
      <c r="AJ3560" s="1"/>
      <c r="AM3560" s="1" t="s">
        <v>5899</v>
      </c>
    </row>
    <row r="3561">
      <c r="H3561" s="1" t="s">
        <v>4866</v>
      </c>
      <c r="S3561" s="1" t="s">
        <v>4432</v>
      </c>
      <c r="W3561" s="8"/>
      <c r="AJ3561" s="1"/>
      <c r="AM3561" s="1" t="s">
        <v>5085</v>
      </c>
    </row>
    <row r="3562">
      <c r="H3562" s="1" t="s">
        <v>4868</v>
      </c>
      <c r="S3562" s="1" t="s">
        <v>3718</v>
      </c>
      <c r="W3562" s="8"/>
      <c r="AJ3562" s="1"/>
      <c r="AM3562" s="1" t="s">
        <v>5901</v>
      </c>
    </row>
    <row r="3563">
      <c r="H3563" s="1" t="s">
        <v>4870</v>
      </c>
      <c r="S3563" s="1" t="s">
        <v>3829</v>
      </c>
      <c r="W3563" s="8"/>
      <c r="AJ3563" s="1"/>
      <c r="AM3563" s="1" t="s">
        <v>3390</v>
      </c>
    </row>
    <row r="3564">
      <c r="H3564" s="1" t="s">
        <v>3083</v>
      </c>
      <c r="S3564" s="1" t="s">
        <v>362</v>
      </c>
      <c r="W3564" s="8"/>
      <c r="AJ3564" s="1"/>
      <c r="AM3564" s="1"/>
    </row>
    <row r="3565">
      <c r="H3565" s="1" t="s">
        <v>3086</v>
      </c>
      <c r="S3565" s="1" t="s">
        <v>179</v>
      </c>
      <c r="W3565" s="8"/>
      <c r="AJ3565" s="1"/>
      <c r="AM3565" s="1"/>
    </row>
    <row r="3566">
      <c r="H3566" s="1" t="s">
        <v>5760</v>
      </c>
      <c r="S3566" s="1" t="s">
        <v>3712</v>
      </c>
      <c r="W3566" s="8"/>
      <c r="AJ3566" s="1"/>
      <c r="AM3566" s="1"/>
    </row>
    <row r="3567">
      <c r="H3567" s="1" t="s">
        <v>1844</v>
      </c>
      <c r="S3567" s="1" t="s">
        <v>1309</v>
      </c>
      <c r="W3567" s="8"/>
      <c r="AJ3567" s="1"/>
      <c r="AM3567" s="1"/>
    </row>
    <row r="3568">
      <c r="H3568" s="1" t="s">
        <v>1842</v>
      </c>
      <c r="S3568" s="1" t="s">
        <v>1990</v>
      </c>
      <c r="W3568" s="8"/>
      <c r="AJ3568" s="1"/>
      <c r="AM3568" s="1"/>
    </row>
    <row r="3569">
      <c r="H3569" s="1" t="s">
        <v>1974</v>
      </c>
      <c r="S3569" s="1" t="s">
        <v>6129</v>
      </c>
      <c r="W3569" s="8"/>
      <c r="AJ3569" s="1"/>
      <c r="AM3569" s="1"/>
    </row>
    <row r="3570">
      <c r="H3570" s="1" t="s">
        <v>5762</v>
      </c>
      <c r="S3570" s="1" t="s">
        <v>4516</v>
      </c>
      <c r="W3570" s="8"/>
      <c r="AJ3570" s="1"/>
      <c r="AM3570" s="1"/>
    </row>
    <row r="3571">
      <c r="H3571" s="1" t="s">
        <v>3089</v>
      </c>
      <c r="S3571" s="1" t="s">
        <v>406</v>
      </c>
      <c r="W3571" s="8"/>
      <c r="AJ3571" s="1"/>
      <c r="AM3571" s="1"/>
    </row>
    <row r="3572">
      <c r="H3572" s="1" t="s">
        <v>5763</v>
      </c>
      <c r="S3572" s="1" t="s">
        <v>4241</v>
      </c>
      <c r="W3572" s="8"/>
      <c r="AJ3572" s="1"/>
      <c r="AM3572" s="1"/>
    </row>
    <row r="3573">
      <c r="H3573" s="1" t="s">
        <v>3934</v>
      </c>
      <c r="S3573" s="1" t="s">
        <v>6151</v>
      </c>
      <c r="W3573" s="8"/>
      <c r="AJ3573" s="1"/>
      <c r="AM3573" s="1"/>
    </row>
    <row r="3574">
      <c r="H3574" s="1" t="s">
        <v>1678</v>
      </c>
      <c r="S3574" s="1" t="s">
        <v>3441</v>
      </c>
      <c r="W3574" s="8"/>
      <c r="AJ3574" s="1"/>
      <c r="AM3574" s="1"/>
    </row>
    <row r="3575">
      <c r="H3575" s="1" t="s">
        <v>4790</v>
      </c>
      <c r="S3575" s="1" t="s">
        <v>5455</v>
      </c>
      <c r="W3575" s="8"/>
      <c r="AJ3575" s="1"/>
      <c r="AM3575" s="1"/>
    </row>
    <row r="3576">
      <c r="H3576" s="1" t="s">
        <v>1685</v>
      </c>
      <c r="S3576" s="1" t="s">
        <v>4811</v>
      </c>
      <c r="W3576" s="8"/>
      <c r="AJ3576" s="1"/>
      <c r="AM3576" s="1"/>
    </row>
    <row r="3577">
      <c r="H3577" s="1" t="s">
        <v>3096</v>
      </c>
      <c r="S3577" s="1" t="s">
        <v>2397</v>
      </c>
      <c r="W3577" s="8"/>
      <c r="AJ3577" s="1"/>
      <c r="AM3577" s="1"/>
    </row>
    <row r="3578">
      <c r="H3578" s="1" t="s">
        <v>3099</v>
      </c>
      <c r="S3578" s="1" t="s">
        <v>5830</v>
      </c>
      <c r="W3578" s="8"/>
      <c r="AJ3578" s="1"/>
      <c r="AM3578" s="1"/>
    </row>
    <row r="3579">
      <c r="H3579" s="1" t="s">
        <v>1723</v>
      </c>
      <c r="S3579" s="1" t="s">
        <v>4948</v>
      </c>
      <c r="W3579" s="8"/>
      <c r="AJ3579" s="1"/>
      <c r="AM3579" s="1"/>
    </row>
    <row r="3580">
      <c r="H3580" s="1" t="s">
        <v>1747</v>
      </c>
      <c r="S3580" s="1" t="s">
        <v>99</v>
      </c>
      <c r="W3580" s="8"/>
      <c r="AJ3580" s="1"/>
      <c r="AM3580" s="1"/>
    </row>
    <row r="3581">
      <c r="H3581" s="1" t="s">
        <v>4887</v>
      </c>
      <c r="S3581" s="1" t="s">
        <v>5860</v>
      </c>
      <c r="W3581" s="8"/>
      <c r="AJ3581" s="1"/>
      <c r="AM3581" s="1"/>
    </row>
    <row r="3582">
      <c r="H3582" s="1" t="s">
        <v>5770</v>
      </c>
      <c r="S3582" s="1" t="s">
        <v>1274</v>
      </c>
      <c r="W3582" s="8"/>
      <c r="AJ3582" s="1"/>
      <c r="AM3582" s="1"/>
    </row>
    <row r="3583">
      <c r="H3583" s="1" t="s">
        <v>3103</v>
      </c>
      <c r="S3583" s="1" t="s">
        <v>2580</v>
      </c>
      <c r="W3583" s="8"/>
      <c r="AJ3583" s="1"/>
      <c r="AM3583" s="1"/>
    </row>
    <row r="3584">
      <c r="H3584" s="1" t="s">
        <v>4889</v>
      </c>
      <c r="S3584" s="1" t="s">
        <v>4639</v>
      </c>
      <c r="W3584" s="8"/>
      <c r="AJ3584" s="1"/>
      <c r="AM3584" s="1"/>
    </row>
    <row r="3585">
      <c r="H3585" s="1" t="s">
        <v>6152</v>
      </c>
      <c r="S3585" s="1" t="s">
        <v>347</v>
      </c>
      <c r="W3585" s="8"/>
      <c r="AJ3585" s="1"/>
      <c r="AM3585" s="1"/>
    </row>
    <row r="3586">
      <c r="H3586" s="1" t="s">
        <v>5773</v>
      </c>
      <c r="S3586" s="1" t="s">
        <v>352</v>
      </c>
      <c r="W3586" s="8"/>
      <c r="AJ3586" s="1"/>
      <c r="AM3586" s="1"/>
    </row>
    <row r="3587">
      <c r="H3587" s="1" t="s">
        <v>5774</v>
      </c>
      <c r="S3587" s="1" t="s">
        <v>2061</v>
      </c>
      <c r="W3587" s="8"/>
      <c r="AJ3587" s="1"/>
      <c r="AM3587" s="1"/>
    </row>
    <row r="3588">
      <c r="H3588" s="1" t="s">
        <v>3952</v>
      </c>
      <c r="S3588" s="1" t="s">
        <v>5832</v>
      </c>
      <c r="W3588" s="8"/>
      <c r="AJ3588" s="1"/>
      <c r="AM3588" s="1"/>
    </row>
    <row r="3589">
      <c r="H3589" s="1" t="s">
        <v>3110</v>
      </c>
      <c r="S3589" s="1" t="s">
        <v>3250</v>
      </c>
      <c r="W3589" s="8"/>
      <c r="AJ3589" s="1"/>
      <c r="AM3589" s="1"/>
    </row>
    <row r="3590">
      <c r="H3590" s="1" t="s">
        <v>5776</v>
      </c>
      <c r="S3590" s="1" t="s">
        <v>5944</v>
      </c>
      <c r="W3590" s="8"/>
      <c r="AJ3590" s="1"/>
      <c r="AM3590" s="1"/>
    </row>
    <row r="3591">
      <c r="H3591" s="1" t="s">
        <v>5778</v>
      </c>
      <c r="S3591" s="1" t="s">
        <v>2174</v>
      </c>
      <c r="W3591" s="8"/>
      <c r="AJ3591" s="1"/>
      <c r="AM3591" s="1"/>
    </row>
    <row r="3592">
      <c r="H3592" s="1" t="s">
        <v>3114</v>
      </c>
      <c r="S3592" s="1" t="s">
        <v>96</v>
      </c>
      <c r="W3592" s="8"/>
      <c r="AJ3592" s="1"/>
      <c r="AM3592" s="1"/>
    </row>
    <row r="3593">
      <c r="H3593" s="1" t="s">
        <v>4901</v>
      </c>
      <c r="S3593" s="1" t="s">
        <v>242</v>
      </c>
      <c r="W3593" s="8"/>
      <c r="AJ3593" s="1"/>
      <c r="AM3593" s="1"/>
    </row>
    <row r="3594">
      <c r="H3594" s="1" t="s">
        <v>3117</v>
      </c>
      <c r="S3594" s="1" t="s">
        <v>5516</v>
      </c>
      <c r="W3594" s="8"/>
      <c r="AJ3594" s="1"/>
      <c r="AM3594" s="1"/>
    </row>
    <row r="3595">
      <c r="H3595" s="1" t="s">
        <v>3116</v>
      </c>
      <c r="S3595" s="1" t="s">
        <v>3246</v>
      </c>
      <c r="W3595" s="8"/>
      <c r="AJ3595" s="1"/>
      <c r="AM3595" s="1"/>
    </row>
    <row r="3596">
      <c r="H3596" s="1" t="s">
        <v>6153</v>
      </c>
      <c r="S3596" s="1" t="s">
        <v>834</v>
      </c>
      <c r="W3596" s="8"/>
      <c r="AJ3596" s="1"/>
      <c r="AM3596" s="1"/>
    </row>
    <row r="3597">
      <c r="H3597" s="1" t="s">
        <v>3121</v>
      </c>
      <c r="S3597" s="1" t="s">
        <v>945</v>
      </c>
      <c r="W3597" s="8"/>
      <c r="AJ3597" s="1"/>
      <c r="AM3597" s="1"/>
    </row>
    <row r="3598">
      <c r="H3598" s="1" t="s">
        <v>399</v>
      </c>
      <c r="S3598" s="1" t="s">
        <v>1107</v>
      </c>
      <c r="W3598" s="8"/>
      <c r="AJ3598" s="1"/>
      <c r="AM3598" s="1"/>
    </row>
    <row r="3599">
      <c r="H3599" s="1" t="s">
        <v>3124</v>
      </c>
      <c r="S3599" s="1" t="s">
        <v>439</v>
      </c>
      <c r="W3599" s="8"/>
      <c r="AJ3599" s="1"/>
      <c r="AM3599" s="1"/>
    </row>
    <row r="3600">
      <c r="H3600" s="1" t="s">
        <v>3129</v>
      </c>
      <c r="S3600" s="1" t="s">
        <v>4417</v>
      </c>
      <c r="W3600" s="8"/>
      <c r="AJ3600" s="1"/>
      <c r="AM3600" s="1"/>
    </row>
    <row r="3601">
      <c r="H3601" s="1" t="s">
        <v>5572</v>
      </c>
      <c r="S3601" s="1" t="s">
        <v>1722</v>
      </c>
      <c r="W3601" s="8"/>
      <c r="AJ3601" s="1"/>
      <c r="AM3601" s="1"/>
    </row>
    <row r="3602">
      <c r="H3602" s="1" t="s">
        <v>2535</v>
      </c>
      <c r="S3602" s="1" t="s">
        <v>3220</v>
      </c>
      <c r="W3602" s="8"/>
      <c r="AJ3602" s="1"/>
      <c r="AM3602" s="1"/>
    </row>
    <row r="3603">
      <c r="H3603" s="1" t="s">
        <v>5782</v>
      </c>
      <c r="S3603" s="1" t="s">
        <v>3816</v>
      </c>
      <c r="W3603" s="8"/>
      <c r="AJ3603" s="1"/>
      <c r="AM3603" s="1"/>
    </row>
    <row r="3604">
      <c r="H3604" s="1" t="s">
        <v>6154</v>
      </c>
      <c r="S3604" s="1" t="s">
        <v>6155</v>
      </c>
      <c r="W3604" s="8"/>
      <c r="AJ3604" s="1"/>
      <c r="AM3604" s="1"/>
    </row>
    <row r="3605">
      <c r="H3605" s="1" t="s">
        <v>3131</v>
      </c>
      <c r="S3605" s="1" t="s">
        <v>2310</v>
      </c>
      <c r="W3605" s="8"/>
      <c r="AJ3605" s="1"/>
      <c r="AM3605" s="1"/>
    </row>
    <row r="3606">
      <c r="H3606" s="1" t="s">
        <v>4909</v>
      </c>
      <c r="S3606" s="1" t="s">
        <v>1917</v>
      </c>
      <c r="W3606" s="8"/>
      <c r="AJ3606" s="1"/>
      <c r="AM3606" s="1"/>
    </row>
    <row r="3607">
      <c r="H3607" s="1" t="s">
        <v>4461</v>
      </c>
      <c r="S3607" s="1" t="s">
        <v>904</v>
      </c>
      <c r="W3607" s="8"/>
      <c r="AJ3607" s="1"/>
      <c r="AM3607" s="1"/>
    </row>
    <row r="3608">
      <c r="H3608" s="1" t="s">
        <v>6156</v>
      </c>
      <c r="S3608" s="1" t="s">
        <v>6063</v>
      </c>
      <c r="W3608" s="8"/>
      <c r="AJ3608" s="1"/>
      <c r="AM3608" s="1"/>
    </row>
    <row r="3609">
      <c r="H3609" s="1" t="s">
        <v>4319</v>
      </c>
      <c r="S3609" s="1" t="s">
        <v>354</v>
      </c>
      <c r="W3609" s="8"/>
      <c r="AJ3609" s="1"/>
      <c r="AM3609" s="1"/>
    </row>
    <row r="3610">
      <c r="H3610" s="1" t="s">
        <v>1925</v>
      </c>
      <c r="S3610" s="1" t="s">
        <v>1211</v>
      </c>
      <c r="W3610" s="8"/>
      <c r="AJ3610" s="1"/>
      <c r="AM3610" s="1"/>
    </row>
    <row r="3611">
      <c r="H3611" s="1" t="s">
        <v>4913</v>
      </c>
      <c r="S3611" s="1" t="s">
        <v>384</v>
      </c>
      <c r="W3611" s="8"/>
      <c r="AJ3611" s="1"/>
      <c r="AM3611" s="1"/>
    </row>
    <row r="3612">
      <c r="H3612" s="1" t="s">
        <v>5785</v>
      </c>
      <c r="S3612" s="1" t="s">
        <v>460</v>
      </c>
      <c r="W3612" s="8"/>
      <c r="AJ3612" s="1"/>
      <c r="AM3612" s="1"/>
    </row>
    <row r="3613">
      <c r="H3613" s="1" t="s">
        <v>6157</v>
      </c>
      <c r="S3613" s="1" t="s">
        <v>4826</v>
      </c>
      <c r="W3613" s="8"/>
      <c r="AJ3613" s="1"/>
      <c r="AM3613" s="1"/>
    </row>
    <row r="3614">
      <c r="H3614" s="1" t="s">
        <v>4917</v>
      </c>
      <c r="S3614" s="1" t="s">
        <v>5431</v>
      </c>
      <c r="W3614" s="8"/>
      <c r="AJ3614" s="1"/>
      <c r="AM3614" s="1"/>
    </row>
    <row r="3615">
      <c r="H3615" s="1" t="s">
        <v>5786</v>
      </c>
      <c r="S3615" s="1" t="s">
        <v>3903</v>
      </c>
      <c r="W3615" s="8"/>
      <c r="AJ3615" s="1"/>
      <c r="AM3615" s="1"/>
    </row>
    <row r="3616">
      <c r="H3616" s="1" t="s">
        <v>4919</v>
      </c>
      <c r="S3616" s="1" t="s">
        <v>5303</v>
      </c>
      <c r="W3616" s="8"/>
      <c r="AJ3616" s="1"/>
      <c r="AM3616" s="1"/>
    </row>
    <row r="3617">
      <c r="H3617" s="1" t="s">
        <v>453</v>
      </c>
      <c r="S3617" s="1" t="s">
        <v>2953</v>
      </c>
      <c r="W3617" s="8"/>
      <c r="AJ3617" s="1"/>
      <c r="AM3617" s="1"/>
    </row>
    <row r="3618">
      <c r="H3618" s="1" t="s">
        <v>5788</v>
      </c>
      <c r="S3618" s="1" t="s">
        <v>3840</v>
      </c>
      <c r="W3618" s="8"/>
      <c r="AJ3618" s="1"/>
      <c r="AM3618" s="1"/>
    </row>
    <row r="3619">
      <c r="H3619" s="1" t="s">
        <v>5926</v>
      </c>
      <c r="S3619" s="1" t="s">
        <v>2453</v>
      </c>
      <c r="W3619" s="8"/>
      <c r="AJ3619" s="1"/>
      <c r="AM3619" s="1"/>
    </row>
    <row r="3620">
      <c r="H3620" s="1" t="s">
        <v>5350</v>
      </c>
      <c r="S3620" s="1" t="s">
        <v>2134</v>
      </c>
      <c r="W3620" s="8"/>
      <c r="AJ3620" s="1"/>
      <c r="AM3620" s="1"/>
    </row>
    <row r="3621">
      <c r="H3621" s="1" t="s">
        <v>1954</v>
      </c>
      <c r="S3621" s="1" t="s">
        <v>1731</v>
      </c>
      <c r="W3621" s="8"/>
      <c r="AJ3621" s="1"/>
      <c r="AM3621" s="1"/>
    </row>
    <row r="3622">
      <c r="H3622" s="1" t="s">
        <v>5790</v>
      </c>
      <c r="S3622" s="1" t="s">
        <v>3391</v>
      </c>
      <c r="W3622" s="8"/>
      <c r="AJ3622" s="1"/>
      <c r="AM3622" s="1"/>
    </row>
    <row r="3623">
      <c r="H3623" s="1" t="s">
        <v>4923</v>
      </c>
      <c r="S3623" s="1" t="s">
        <v>6158</v>
      </c>
      <c r="W3623" s="8"/>
      <c r="AJ3623" s="1"/>
      <c r="AM3623" s="1"/>
    </row>
    <row r="3624">
      <c r="H3624" s="1" t="s">
        <v>5791</v>
      </c>
      <c r="S3624" s="1" t="s">
        <v>826</v>
      </c>
      <c r="W3624" s="8"/>
      <c r="AJ3624" s="1"/>
      <c r="AM3624" s="1"/>
    </row>
    <row r="3625">
      <c r="H3625" s="1" t="s">
        <v>5794</v>
      </c>
      <c r="S3625" s="1" t="s">
        <v>4540</v>
      </c>
      <c r="W3625" s="8"/>
      <c r="AJ3625" s="1"/>
      <c r="AM3625" s="1"/>
    </row>
    <row r="3626">
      <c r="H3626" s="1" t="s">
        <v>5795</v>
      </c>
      <c r="S3626" s="1" t="s">
        <v>5134</v>
      </c>
      <c r="W3626" s="8"/>
      <c r="AJ3626" s="1"/>
      <c r="AM3626" s="1"/>
    </row>
    <row r="3627">
      <c r="H3627" s="1" t="s">
        <v>3148</v>
      </c>
      <c r="S3627" s="1" t="s">
        <v>4656</v>
      </c>
      <c r="W3627" s="8"/>
      <c r="AJ3627" s="1"/>
      <c r="AM3627" s="1"/>
    </row>
    <row r="3628">
      <c r="H3628" s="1" t="s">
        <v>1824</v>
      </c>
      <c r="S3628" s="1" t="s">
        <v>3226</v>
      </c>
      <c r="W3628" s="8"/>
      <c r="AJ3628" s="1"/>
      <c r="AM3628" s="1"/>
    </row>
    <row r="3629">
      <c r="H3629" s="1" t="s">
        <v>3151</v>
      </c>
      <c r="S3629" s="1" t="s">
        <v>1781</v>
      </c>
      <c r="W3629" s="8"/>
      <c r="AJ3629" s="1"/>
      <c r="AM3629" s="1"/>
    </row>
    <row r="3630">
      <c r="H3630" s="1" t="s">
        <v>3155</v>
      </c>
      <c r="S3630" s="1" t="s">
        <v>5096</v>
      </c>
      <c r="W3630" s="8"/>
      <c r="AJ3630" s="1"/>
      <c r="AM3630" s="1"/>
    </row>
    <row r="3631">
      <c r="H3631" s="1" t="s">
        <v>3157</v>
      </c>
      <c r="S3631" s="1" t="s">
        <v>808</v>
      </c>
      <c r="W3631" s="8"/>
      <c r="AJ3631" s="1"/>
      <c r="AM3631" s="1"/>
    </row>
    <row r="3632">
      <c r="H3632" s="1" t="s">
        <v>5799</v>
      </c>
      <c r="S3632" s="1" t="s">
        <v>3107</v>
      </c>
      <c r="W3632" s="8"/>
      <c r="AJ3632" s="1"/>
      <c r="AM3632" s="1"/>
    </row>
    <row r="3633">
      <c r="H3633" s="1" t="s">
        <v>3160</v>
      </c>
      <c r="S3633" s="1" t="s">
        <v>2148</v>
      </c>
      <c r="W3633" s="8"/>
      <c r="AJ3633" s="1"/>
      <c r="AM3633" s="1"/>
    </row>
    <row r="3634">
      <c r="H3634" s="1" t="s">
        <v>3162</v>
      </c>
      <c r="S3634" s="1" t="s">
        <v>6159</v>
      </c>
      <c r="W3634" s="8"/>
      <c r="AJ3634" s="1"/>
      <c r="AM3634" s="1"/>
    </row>
    <row r="3635">
      <c r="H3635" s="1" t="s">
        <v>5801</v>
      </c>
      <c r="S3635" s="1" t="s">
        <v>5110</v>
      </c>
      <c r="W3635" s="8"/>
      <c r="AJ3635" s="1"/>
      <c r="AM3635" s="1"/>
    </row>
    <row r="3636">
      <c r="H3636" s="1" t="s">
        <v>5802</v>
      </c>
      <c r="S3636" s="1" t="s">
        <v>4716</v>
      </c>
      <c r="W3636" s="8"/>
      <c r="AJ3636" s="1"/>
      <c r="AM3636" s="1"/>
    </row>
    <row r="3637">
      <c r="H3637" s="1" t="s">
        <v>1863</v>
      </c>
      <c r="S3637" s="1" t="s">
        <v>6160</v>
      </c>
      <c r="W3637" s="8"/>
      <c r="AJ3637" s="1"/>
      <c r="AM3637" s="1"/>
    </row>
    <row r="3638">
      <c r="H3638" s="1" t="s">
        <v>3169</v>
      </c>
      <c r="S3638" s="1" t="s">
        <v>2245</v>
      </c>
      <c r="W3638" s="8"/>
      <c r="AJ3638" s="1"/>
      <c r="AM3638" s="1"/>
    </row>
    <row r="3639">
      <c r="H3639" s="1" t="s">
        <v>1913</v>
      </c>
      <c r="S3639" s="1" t="s">
        <v>1172</v>
      </c>
      <c r="W3639" s="8"/>
      <c r="AJ3639" s="1"/>
      <c r="AM3639" s="1"/>
    </row>
    <row r="3640">
      <c r="H3640" s="1" t="s">
        <v>5803</v>
      </c>
      <c r="S3640" s="1" t="s">
        <v>6161</v>
      </c>
      <c r="W3640" s="8"/>
      <c r="AJ3640" s="1"/>
      <c r="AM3640" s="1"/>
    </row>
    <row r="3641">
      <c r="H3641" s="1" t="s">
        <v>3171</v>
      </c>
      <c r="S3641" s="1" t="s">
        <v>6162</v>
      </c>
      <c r="W3641" s="8"/>
      <c r="AJ3641" s="1"/>
      <c r="AM3641" s="1"/>
    </row>
    <row r="3642">
      <c r="H3642" s="1" t="s">
        <v>6163</v>
      </c>
      <c r="S3642" s="1" t="s">
        <v>6164</v>
      </c>
      <c r="W3642" s="8"/>
      <c r="AJ3642" s="1"/>
      <c r="AM3642" s="1"/>
    </row>
    <row r="3643">
      <c r="H3643" s="1" t="s">
        <v>5804</v>
      </c>
      <c r="S3643" s="1" t="s">
        <v>6165</v>
      </c>
      <c r="W3643" s="8"/>
      <c r="AJ3643" s="1"/>
      <c r="AM3643" s="1"/>
    </row>
    <row r="3644">
      <c r="H3644" s="1" t="s">
        <v>5805</v>
      </c>
      <c r="S3644" s="1" t="s">
        <v>6166</v>
      </c>
      <c r="W3644" s="8"/>
      <c r="AJ3644" s="1"/>
      <c r="AM3644" s="1"/>
    </row>
    <row r="3645">
      <c r="H3645" s="1" t="s">
        <v>5397</v>
      </c>
      <c r="S3645" s="1" t="s">
        <v>5930</v>
      </c>
      <c r="W3645" s="8"/>
      <c r="AJ3645" s="1"/>
      <c r="AM3645" s="1"/>
    </row>
    <row r="3646">
      <c r="H3646" s="1" t="s">
        <v>4951</v>
      </c>
      <c r="S3646" s="1" t="s">
        <v>6167</v>
      </c>
      <c r="W3646" s="8"/>
      <c r="AJ3646" s="1"/>
      <c r="AM3646" s="1"/>
    </row>
    <row r="3647">
      <c r="H3647" s="1" t="s">
        <v>4956</v>
      </c>
      <c r="S3647" s="1">
        <v>83.0</v>
      </c>
      <c r="W3647" s="8"/>
      <c r="AJ3647" s="1"/>
      <c r="AM3647" s="1"/>
    </row>
    <row r="3648">
      <c r="H3648" s="1" t="s">
        <v>6168</v>
      </c>
      <c r="S3648" s="1" t="s">
        <v>87</v>
      </c>
      <c r="W3648" s="8"/>
      <c r="AJ3648" s="1"/>
      <c r="AM3648" s="1"/>
    </row>
    <row r="3649">
      <c r="H3649" s="1" t="s">
        <v>5808</v>
      </c>
      <c r="S3649" s="1" t="s">
        <v>6169</v>
      </c>
      <c r="W3649" s="8"/>
      <c r="AJ3649" s="1"/>
      <c r="AM3649" s="1"/>
    </row>
    <row r="3650">
      <c r="H3650" s="1" t="s">
        <v>3191</v>
      </c>
      <c r="S3650" s="1" t="s">
        <v>123</v>
      </c>
      <c r="W3650" s="8"/>
      <c r="AJ3650" s="1"/>
      <c r="AM3650" s="1"/>
    </row>
    <row r="3651">
      <c r="H3651" s="1" t="s">
        <v>1519</v>
      </c>
      <c r="S3651" s="1" t="s">
        <v>1262</v>
      </c>
      <c r="W3651" s="8"/>
      <c r="AJ3651" s="1"/>
      <c r="AM3651" s="1"/>
    </row>
    <row r="3652">
      <c r="H3652" s="1" t="s">
        <v>1764</v>
      </c>
      <c r="S3652" s="1" t="s">
        <v>1842</v>
      </c>
      <c r="W3652" s="8"/>
      <c r="AJ3652" s="1"/>
      <c r="AM3652" s="1"/>
    </row>
    <row r="3653">
      <c r="H3653" s="1" t="s">
        <v>3197</v>
      </c>
      <c r="S3653" s="1" t="s">
        <v>1764</v>
      </c>
      <c r="W3653" s="8"/>
      <c r="AJ3653" s="1"/>
      <c r="AM3653" s="1"/>
    </row>
    <row r="3654">
      <c r="H3654" s="1" t="s">
        <v>3194</v>
      </c>
      <c r="S3654" s="1" t="s">
        <v>3591</v>
      </c>
      <c r="W3654" s="8"/>
      <c r="AJ3654" s="1"/>
      <c r="AM3654" s="1"/>
    </row>
    <row r="3655">
      <c r="H3655" s="1" t="s">
        <v>3201</v>
      </c>
      <c r="S3655" s="1" t="s">
        <v>1741</v>
      </c>
      <c r="W3655" s="8"/>
      <c r="AJ3655" s="1"/>
      <c r="AM3655" s="1"/>
    </row>
    <row r="3656">
      <c r="H3656" s="1" t="s">
        <v>5810</v>
      </c>
      <c r="S3656" s="1" t="s">
        <v>4400</v>
      </c>
      <c r="W3656" s="8"/>
      <c r="AJ3656" s="1"/>
      <c r="AM3656" s="1"/>
    </row>
    <row r="3657">
      <c r="H3657" s="1" t="s">
        <v>4970</v>
      </c>
      <c r="S3657" s="1" t="s">
        <v>6170</v>
      </c>
      <c r="W3657" s="8"/>
      <c r="AJ3657" s="1"/>
      <c r="AM3657" s="1"/>
    </row>
    <row r="3658">
      <c r="H3658" s="1" t="s">
        <v>4126</v>
      </c>
      <c r="S3658" s="1" t="s">
        <v>6171</v>
      </c>
      <c r="W3658" s="8"/>
      <c r="AJ3658" s="1"/>
      <c r="AM3658" s="1"/>
    </row>
    <row r="3659">
      <c r="H3659" s="1" t="s">
        <v>6172</v>
      </c>
      <c r="S3659" s="1" t="s">
        <v>5265</v>
      </c>
      <c r="W3659" s="8"/>
      <c r="AJ3659" s="1"/>
      <c r="AM3659" s="1"/>
    </row>
    <row r="3660">
      <c r="H3660" s="1" t="s">
        <v>4971</v>
      </c>
      <c r="S3660" s="1" t="s">
        <v>4922</v>
      </c>
      <c r="W3660" s="8"/>
      <c r="AJ3660" s="1"/>
      <c r="AM3660" s="1"/>
    </row>
    <row r="3661">
      <c r="H3661" s="1" t="s">
        <v>3208</v>
      </c>
      <c r="S3661" s="1" t="s">
        <v>4274</v>
      </c>
      <c r="W3661" s="8"/>
      <c r="AJ3661" s="1"/>
      <c r="AM3661" s="1"/>
    </row>
    <row r="3662">
      <c r="H3662" s="1" t="s">
        <v>6173</v>
      </c>
      <c r="S3662" s="1" t="s">
        <v>2078</v>
      </c>
      <c r="W3662" s="8"/>
      <c r="AJ3662" s="1"/>
      <c r="AM3662" s="1"/>
    </row>
    <row r="3663">
      <c r="H3663" s="1" t="s">
        <v>5813</v>
      </c>
      <c r="S3663" s="1" t="s">
        <v>4330</v>
      </c>
      <c r="W3663" s="8"/>
      <c r="AJ3663" s="1"/>
      <c r="AM3663" s="1"/>
    </row>
    <row r="3664">
      <c r="H3664" s="1" t="s">
        <v>3213</v>
      </c>
      <c r="S3664" s="1" t="s">
        <v>4988</v>
      </c>
      <c r="W3664" s="8"/>
      <c r="AJ3664" s="1"/>
      <c r="AM3664" s="1"/>
    </row>
    <row r="3665">
      <c r="H3665" s="1" t="s">
        <v>444</v>
      </c>
      <c r="S3665" s="1" t="s">
        <v>642</v>
      </c>
      <c r="W3665" s="8"/>
      <c r="AJ3665" s="1"/>
      <c r="AM3665" s="1"/>
    </row>
    <row r="3666">
      <c r="H3666" s="1" t="s">
        <v>1692</v>
      </c>
      <c r="S3666" s="1" t="s">
        <v>5128</v>
      </c>
      <c r="W3666" s="8"/>
      <c r="AJ3666" s="1"/>
      <c r="AM3666" s="1"/>
    </row>
    <row r="3667">
      <c r="H3667" s="1" t="s">
        <v>790</v>
      </c>
      <c r="S3667" s="1" t="s">
        <v>227</v>
      </c>
      <c r="W3667" s="8"/>
      <c r="AJ3667" s="1"/>
      <c r="AM3667" s="1"/>
    </row>
    <row r="3668">
      <c r="H3668" s="1" t="s">
        <v>5076</v>
      </c>
      <c r="S3668" s="1" t="s">
        <v>5339</v>
      </c>
      <c r="W3668" s="8"/>
      <c r="AJ3668" s="1"/>
      <c r="AM3668" s="1"/>
    </row>
    <row r="3669">
      <c r="H3669" s="1" t="s">
        <v>5818</v>
      </c>
      <c r="S3669" s="1" t="s">
        <v>989</v>
      </c>
      <c r="W3669" s="8"/>
      <c r="AJ3669" s="1"/>
      <c r="AM3669" s="1"/>
    </row>
    <row r="3670">
      <c r="H3670" s="1" t="s">
        <v>1700</v>
      </c>
      <c r="S3670" s="1" t="s">
        <v>2381</v>
      </c>
      <c r="W3670" s="8"/>
      <c r="AJ3670" s="1"/>
      <c r="AM3670" s="1"/>
    </row>
    <row r="3671">
      <c r="H3671" s="1" t="s">
        <v>5819</v>
      </c>
      <c r="S3671" s="1" t="s">
        <v>6174</v>
      </c>
      <c r="W3671" s="8"/>
      <c r="AJ3671" s="1"/>
      <c r="AM3671" s="1"/>
    </row>
    <row r="3672">
      <c r="H3672" s="1" t="s">
        <v>5820</v>
      </c>
      <c r="S3672" s="1" t="s">
        <v>4722</v>
      </c>
      <c r="W3672" s="8"/>
      <c r="AJ3672" s="1"/>
      <c r="AM3672" s="1"/>
    </row>
    <row r="3673">
      <c r="H3673" s="1" t="s">
        <v>5821</v>
      </c>
      <c r="S3673" s="1" t="s">
        <v>70</v>
      </c>
      <c r="W3673" s="8"/>
      <c r="AJ3673" s="1"/>
      <c r="AM3673" s="1"/>
    </row>
    <row r="3674">
      <c r="H3674" s="1" t="s">
        <v>4867</v>
      </c>
      <c r="S3674" s="1" t="s">
        <v>134</v>
      </c>
      <c r="W3674" s="8"/>
      <c r="AJ3674" s="1"/>
      <c r="AM3674" s="1"/>
    </row>
    <row r="3675">
      <c r="H3675" s="1" t="s">
        <v>3230</v>
      </c>
      <c r="S3675" s="1" t="s">
        <v>1348</v>
      </c>
      <c r="W3675" s="8"/>
      <c r="AJ3675" s="1"/>
      <c r="AM3675" s="1"/>
    </row>
    <row r="3676">
      <c r="H3676" s="1" t="s">
        <v>5724</v>
      </c>
      <c r="S3676" s="1" t="s">
        <v>2718</v>
      </c>
      <c r="W3676" s="8"/>
      <c r="AJ3676" s="1"/>
      <c r="AM3676" s="1"/>
    </row>
    <row r="3677">
      <c r="H3677" s="1" t="s">
        <v>4988</v>
      </c>
      <c r="S3677" s="1" t="s">
        <v>6175</v>
      </c>
      <c r="W3677" s="8"/>
      <c r="AJ3677" s="1"/>
      <c r="AM3677" s="1"/>
    </row>
    <row r="3678">
      <c r="H3678" s="1" t="s">
        <v>6010</v>
      </c>
      <c r="S3678" s="1" t="s">
        <v>4071</v>
      </c>
      <c r="W3678" s="8"/>
      <c r="AJ3678" s="1"/>
      <c r="AM3678" s="1"/>
    </row>
    <row r="3679">
      <c r="H3679" s="1" t="s">
        <v>6176</v>
      </c>
      <c r="S3679" s="1" t="s">
        <v>969</v>
      </c>
      <c r="W3679" s="8"/>
      <c r="AJ3679" s="1"/>
      <c r="AM3679" s="1"/>
    </row>
    <row r="3680">
      <c r="H3680" s="1" t="s">
        <v>6177</v>
      </c>
      <c r="S3680" s="1" t="s">
        <v>78</v>
      </c>
      <c r="W3680" s="8"/>
      <c r="AJ3680" s="1"/>
      <c r="AM3680" s="1"/>
    </row>
    <row r="3681">
      <c r="H3681" s="1" t="s">
        <v>4990</v>
      </c>
      <c r="S3681" s="1" t="s">
        <v>5468</v>
      </c>
      <c r="W3681" s="8"/>
      <c r="AJ3681" s="1"/>
      <c r="AM3681" s="1"/>
    </row>
    <row r="3682">
      <c r="H3682" s="1" t="s">
        <v>5824</v>
      </c>
      <c r="S3682" s="1" t="s">
        <v>1501</v>
      </c>
      <c r="W3682" s="8"/>
      <c r="AJ3682" s="1"/>
      <c r="AM3682" s="1"/>
    </row>
    <row r="3683">
      <c r="H3683" s="1" t="s">
        <v>5825</v>
      </c>
      <c r="S3683" s="1" t="s">
        <v>5725</v>
      </c>
      <c r="W3683" s="8"/>
      <c r="AJ3683" s="1"/>
      <c r="AM3683" s="1"/>
    </row>
    <row r="3684">
      <c r="H3684" s="1" t="s">
        <v>5827</v>
      </c>
      <c r="S3684" s="1" t="s">
        <v>3833</v>
      </c>
      <c r="W3684" s="8"/>
      <c r="AJ3684" s="1"/>
      <c r="AM3684" s="1"/>
    </row>
    <row r="3685">
      <c r="H3685" s="1" t="s">
        <v>4994</v>
      </c>
      <c r="S3685" s="1" t="s">
        <v>3339</v>
      </c>
      <c r="W3685" s="8"/>
      <c r="AJ3685" s="1"/>
      <c r="AM3685" s="1"/>
    </row>
    <row r="3686">
      <c r="H3686" s="1" t="s">
        <v>6178</v>
      </c>
      <c r="S3686" s="1" t="s">
        <v>880</v>
      </c>
      <c r="W3686" s="8"/>
      <c r="AJ3686" s="1"/>
      <c r="AM3686" s="1"/>
    </row>
    <row r="3687">
      <c r="H3687" s="1" t="s">
        <v>3242</v>
      </c>
      <c r="S3687" s="1" t="s">
        <v>2141</v>
      </c>
      <c r="W3687" s="8"/>
      <c r="AJ3687" s="1"/>
      <c r="AM3687" s="1"/>
    </row>
    <row r="3688">
      <c r="H3688" s="1" t="s">
        <v>1837</v>
      </c>
      <c r="S3688" s="1" t="s">
        <v>3692</v>
      </c>
      <c r="W3688" s="8"/>
      <c r="AJ3688" s="1"/>
      <c r="AM3688" s="1"/>
    </row>
    <row r="3689">
      <c r="H3689" s="1" t="s">
        <v>3983</v>
      </c>
      <c r="S3689" s="1" t="s">
        <v>626</v>
      </c>
      <c r="W3689" s="8"/>
      <c r="AJ3689" s="1"/>
      <c r="AM3689" s="1"/>
    </row>
    <row r="3690">
      <c r="H3690" s="1" t="s">
        <v>4877</v>
      </c>
      <c r="S3690" s="1" t="s">
        <v>2863</v>
      </c>
      <c r="W3690" s="8"/>
      <c r="AJ3690" s="1"/>
      <c r="AM3690" s="1"/>
    </row>
    <row r="3691">
      <c r="H3691" s="1" t="s">
        <v>3245</v>
      </c>
      <c r="S3691" s="1" t="s">
        <v>1208</v>
      </c>
      <c r="W3691" s="8"/>
      <c r="AJ3691" s="1"/>
      <c r="AM3691" s="1"/>
    </row>
    <row r="3692">
      <c r="H3692" s="1" t="s">
        <v>3986</v>
      </c>
      <c r="S3692" s="1" t="s">
        <v>1998</v>
      </c>
      <c r="W3692" s="8"/>
      <c r="AJ3692" s="1"/>
      <c r="AM3692" s="1"/>
    </row>
    <row r="3693">
      <c r="H3693" s="1" t="s">
        <v>5832</v>
      </c>
      <c r="S3693" s="1" t="s">
        <v>5735</v>
      </c>
      <c r="W3693" s="8"/>
      <c r="AJ3693" s="1"/>
      <c r="AM3693" s="1"/>
    </row>
    <row r="3694">
      <c r="H3694" s="1" t="s">
        <v>1895</v>
      </c>
      <c r="S3694" s="1" t="s">
        <v>2566</v>
      </c>
      <c r="W3694" s="8"/>
      <c r="AJ3694" s="1"/>
      <c r="AM3694" s="1"/>
    </row>
    <row r="3695">
      <c r="H3695" s="1" t="s">
        <v>5833</v>
      </c>
      <c r="S3695" s="1" t="s">
        <v>1051</v>
      </c>
      <c r="W3695" s="8"/>
      <c r="AJ3695" s="1"/>
      <c r="AM3695" s="1"/>
    </row>
    <row r="3696">
      <c r="H3696" s="1" t="s">
        <v>5835</v>
      </c>
      <c r="S3696" s="1" t="s">
        <v>3228</v>
      </c>
      <c r="W3696" s="8"/>
      <c r="AJ3696" s="1"/>
      <c r="AM3696" s="1"/>
    </row>
    <row r="3697">
      <c r="H3697" s="1" t="s">
        <v>3258</v>
      </c>
      <c r="S3697" s="1" t="s">
        <v>1075</v>
      </c>
      <c r="W3697" s="8"/>
      <c r="AJ3697" s="1"/>
      <c r="AM3697" s="1"/>
    </row>
    <row r="3698">
      <c r="H3698" s="1" t="s">
        <v>6115</v>
      </c>
      <c r="S3698" s="1" t="s">
        <v>750</v>
      </c>
      <c r="W3698" s="8"/>
      <c r="AJ3698" s="1"/>
      <c r="AM3698" s="1"/>
    </row>
    <row r="3699">
      <c r="H3699" s="1" t="s">
        <v>5836</v>
      </c>
      <c r="S3699" s="1" t="s">
        <v>456</v>
      </c>
      <c r="W3699" s="8"/>
      <c r="AJ3699" s="1"/>
      <c r="AM3699" s="1"/>
    </row>
    <row r="3700">
      <c r="H3700" s="1" t="s">
        <v>5008</v>
      </c>
      <c r="S3700" s="1" t="s">
        <v>1259</v>
      </c>
      <c r="W3700" s="8"/>
      <c r="AJ3700" s="1"/>
      <c r="AM3700" s="1"/>
    </row>
    <row r="3701">
      <c r="H3701" s="1" t="s">
        <v>3266</v>
      </c>
      <c r="S3701" s="1" t="s">
        <v>5085</v>
      </c>
      <c r="W3701" s="8"/>
      <c r="AJ3701" s="1"/>
      <c r="AM3701" s="1"/>
    </row>
    <row r="3702">
      <c r="H3702" s="1" t="s">
        <v>5012</v>
      </c>
      <c r="S3702" s="1" t="s">
        <v>606</v>
      </c>
      <c r="W3702" s="8"/>
      <c r="AJ3702" s="1"/>
      <c r="AM3702" s="1"/>
    </row>
    <row r="3703">
      <c r="H3703" s="1" t="s">
        <v>5841</v>
      </c>
      <c r="S3703" s="1" t="s">
        <v>6179</v>
      </c>
      <c r="W3703" s="8"/>
      <c r="AJ3703" s="1"/>
      <c r="AM3703" s="1"/>
    </row>
    <row r="3704">
      <c r="H3704" s="1" t="s">
        <v>2822</v>
      </c>
      <c r="S3704" s="1" t="s">
        <v>4773</v>
      </c>
      <c r="W3704" s="8"/>
      <c r="AJ3704" s="1"/>
      <c r="AM3704" s="1"/>
    </row>
    <row r="3705">
      <c r="H3705" s="1" t="s">
        <v>1915</v>
      </c>
      <c r="S3705" s="1" t="s">
        <v>603</v>
      </c>
      <c r="W3705" s="8"/>
      <c r="AJ3705" s="1"/>
      <c r="AM3705" s="1"/>
    </row>
    <row r="3706">
      <c r="H3706" s="1" t="s">
        <v>5015</v>
      </c>
      <c r="S3706" s="1" t="s">
        <v>4956</v>
      </c>
      <c r="W3706" s="8"/>
      <c r="AJ3706" s="1"/>
      <c r="AM3706" s="1"/>
    </row>
    <row r="3707">
      <c r="H3707" s="1" t="s">
        <v>3276</v>
      </c>
      <c r="S3707" s="1" t="s">
        <v>6005</v>
      </c>
      <c r="W3707" s="8"/>
      <c r="AJ3707" s="1"/>
      <c r="AM3707" s="1"/>
    </row>
    <row r="3708">
      <c r="H3708" s="1" t="s">
        <v>3274</v>
      </c>
      <c r="S3708" s="1" t="s">
        <v>5867</v>
      </c>
      <c r="W3708" s="8"/>
      <c r="AJ3708" s="1"/>
      <c r="AM3708" s="1"/>
    </row>
    <row r="3709">
      <c r="H3709" s="1" t="s">
        <v>5020</v>
      </c>
      <c r="S3709" s="1" t="s">
        <v>3817</v>
      </c>
      <c r="W3709" s="8"/>
      <c r="AJ3709" s="1"/>
      <c r="AM3709" s="1"/>
    </row>
    <row r="3710">
      <c r="H3710" s="1" t="s">
        <v>5844</v>
      </c>
      <c r="S3710" s="1" t="s">
        <v>5443</v>
      </c>
      <c r="W3710" s="8"/>
      <c r="AJ3710" s="1"/>
      <c r="AM3710" s="1"/>
    </row>
    <row r="3711">
      <c r="H3711" s="1" t="s">
        <v>5845</v>
      </c>
      <c r="S3711" s="1" t="s">
        <v>2151</v>
      </c>
      <c r="W3711" s="8"/>
      <c r="AJ3711" s="1"/>
      <c r="AM3711" s="1"/>
    </row>
    <row r="3712">
      <c r="H3712" s="1" t="s">
        <v>3278</v>
      </c>
      <c r="S3712" s="1" t="s">
        <v>1805</v>
      </c>
      <c r="W3712" s="8"/>
      <c r="AJ3712" s="1"/>
      <c r="AM3712" s="1"/>
    </row>
    <row r="3713">
      <c r="H3713" s="1" t="s">
        <v>5846</v>
      </c>
      <c r="S3713" s="1" t="s">
        <v>753</v>
      </c>
      <c r="W3713" s="8"/>
      <c r="AJ3713" s="1"/>
      <c r="AM3713" s="1"/>
    </row>
    <row r="3714">
      <c r="H3714" s="1" t="s">
        <v>5848</v>
      </c>
      <c r="S3714" s="1" t="s">
        <v>3878</v>
      </c>
      <c r="W3714" s="8"/>
      <c r="AJ3714" s="1"/>
      <c r="AM3714" s="1"/>
    </row>
    <row r="3715">
      <c r="H3715" s="1" t="s">
        <v>3383</v>
      </c>
      <c r="S3715" s="1" t="s">
        <v>1090</v>
      </c>
      <c r="W3715" s="8"/>
      <c r="AJ3715" s="1"/>
      <c r="AM3715" s="1"/>
    </row>
    <row r="3716">
      <c r="H3716" s="1" t="s">
        <v>5023</v>
      </c>
      <c r="S3716" s="1" t="s">
        <v>608</v>
      </c>
      <c r="W3716" s="8"/>
      <c r="AJ3716" s="1"/>
      <c r="AM3716" s="1"/>
    </row>
    <row r="3717">
      <c r="H3717" s="1" t="s">
        <v>5025</v>
      </c>
      <c r="S3717" s="1" t="s">
        <v>4626</v>
      </c>
      <c r="W3717" s="8"/>
      <c r="AJ3717" s="1"/>
      <c r="AM3717" s="1"/>
    </row>
    <row r="3718">
      <c r="H3718" s="1" t="s">
        <v>3285</v>
      </c>
      <c r="S3718" s="1" t="s">
        <v>5700</v>
      </c>
      <c r="W3718" s="8"/>
      <c r="AJ3718" s="1"/>
      <c r="AM3718" s="1"/>
    </row>
    <row r="3719">
      <c r="H3719" s="1" t="s">
        <v>5850</v>
      </c>
      <c r="S3719" s="1" t="s">
        <v>1057</v>
      </c>
      <c r="W3719" s="8"/>
      <c r="AJ3719" s="1"/>
      <c r="AM3719" s="1"/>
    </row>
    <row r="3720">
      <c r="H3720" s="1" t="s">
        <v>5807</v>
      </c>
      <c r="S3720" s="1" t="s">
        <v>4762</v>
      </c>
      <c r="W3720" s="8"/>
      <c r="AJ3720" s="1"/>
      <c r="AM3720" s="1"/>
    </row>
    <row r="3721">
      <c r="H3721" s="1" t="s">
        <v>1705</v>
      </c>
      <c r="S3721" s="1" t="s">
        <v>2537</v>
      </c>
      <c r="W3721" s="8"/>
      <c r="AJ3721" s="1"/>
      <c r="AM3721" s="1"/>
    </row>
    <row r="3722">
      <c r="H3722" s="1" t="s">
        <v>3297</v>
      </c>
      <c r="S3722" s="1" t="s">
        <v>6180</v>
      </c>
      <c r="W3722" s="8"/>
      <c r="AJ3722" s="1"/>
      <c r="AM3722" s="1"/>
    </row>
    <row r="3723">
      <c r="H3723" s="1" t="s">
        <v>3303</v>
      </c>
      <c r="S3723" s="1" t="s">
        <v>2656</v>
      </c>
      <c r="W3723" s="8"/>
      <c r="AJ3723" s="1"/>
      <c r="AM3723" s="1"/>
    </row>
    <row r="3724">
      <c r="H3724" s="1" t="s">
        <v>3306</v>
      </c>
      <c r="S3724" s="1" t="s">
        <v>2691</v>
      </c>
      <c r="W3724" s="8"/>
      <c r="AJ3724" s="1"/>
      <c r="AM3724" s="1"/>
    </row>
    <row r="3725">
      <c r="H3725" s="1" t="s">
        <v>3312</v>
      </c>
      <c r="S3725" s="1" t="s">
        <v>4952</v>
      </c>
      <c r="W3725" s="8"/>
      <c r="AJ3725" s="1"/>
      <c r="AM3725" s="1"/>
    </row>
    <row r="3726">
      <c r="H3726" s="1" t="s">
        <v>5854</v>
      </c>
      <c r="S3726" s="1" t="s">
        <v>6181</v>
      </c>
      <c r="W3726" s="8"/>
      <c r="AJ3726" s="1"/>
      <c r="AM3726" s="1"/>
    </row>
    <row r="3727">
      <c r="H3727" s="1" t="s">
        <v>6182</v>
      </c>
      <c r="S3727" s="1">
        <v>93.0</v>
      </c>
      <c r="W3727" s="8"/>
      <c r="AJ3727" s="1"/>
      <c r="AM3727" s="1"/>
    </row>
    <row r="3728">
      <c r="H3728" s="1" t="s">
        <v>5855</v>
      </c>
      <c r="S3728" s="1" t="s">
        <v>232</v>
      </c>
      <c r="W3728" s="8"/>
      <c r="AJ3728" s="1"/>
      <c r="AM3728" s="1"/>
    </row>
    <row r="3729">
      <c r="H3729" s="1" t="s">
        <v>5045</v>
      </c>
      <c r="S3729" s="1" t="s">
        <v>223</v>
      </c>
      <c r="W3729" s="8"/>
      <c r="AJ3729" s="1"/>
      <c r="AM3729" s="1"/>
    </row>
    <row r="3730">
      <c r="H3730" s="1" t="s">
        <v>5857</v>
      </c>
      <c r="S3730" s="1" t="s">
        <v>589</v>
      </c>
      <c r="W3730" s="8"/>
      <c r="AJ3730" s="1"/>
      <c r="AM3730" s="1"/>
    </row>
    <row r="3731">
      <c r="H3731" s="1" t="s">
        <v>5858</v>
      </c>
      <c r="S3731" s="1" t="s">
        <v>4332</v>
      </c>
      <c r="W3731" s="8"/>
      <c r="AJ3731" s="1"/>
      <c r="AM3731" s="1"/>
    </row>
    <row r="3732">
      <c r="H3732" s="1" t="s">
        <v>5860</v>
      </c>
      <c r="S3732" s="1" t="s">
        <v>1994</v>
      </c>
      <c r="W3732" s="8"/>
      <c r="AJ3732" s="1"/>
      <c r="AM3732" s="1"/>
    </row>
    <row r="3733">
      <c r="H3733" s="1" t="s">
        <v>6183</v>
      </c>
      <c r="S3733" s="1" t="s">
        <v>2664</v>
      </c>
      <c r="W3733" s="8"/>
      <c r="AJ3733" s="1"/>
      <c r="AM3733" s="1"/>
    </row>
    <row r="3734">
      <c r="H3734" s="1" t="s">
        <v>5800</v>
      </c>
      <c r="S3734" s="1" t="s">
        <v>202</v>
      </c>
      <c r="W3734" s="8"/>
      <c r="AJ3734" s="1"/>
      <c r="AM3734" s="1"/>
    </row>
    <row r="3735">
      <c r="H3735" s="1" t="s">
        <v>6184</v>
      </c>
      <c r="S3735" s="1" t="s">
        <v>2018</v>
      </c>
      <c r="W3735" s="8"/>
      <c r="AJ3735" s="1"/>
      <c r="AM3735" s="1"/>
    </row>
    <row r="3736">
      <c r="H3736" s="1" t="s">
        <v>5861</v>
      </c>
      <c r="S3736" s="1" t="s">
        <v>177</v>
      </c>
      <c r="W3736" s="8"/>
      <c r="AJ3736" s="1"/>
      <c r="AM3736" s="1"/>
    </row>
    <row r="3737">
      <c r="H3737" s="1" t="s">
        <v>6185</v>
      </c>
      <c r="S3737" s="1" t="s">
        <v>257</v>
      </c>
      <c r="W3737" s="8"/>
      <c r="AJ3737" s="1"/>
      <c r="AM3737" s="1"/>
    </row>
    <row r="3738">
      <c r="H3738" s="1" t="s">
        <v>5862</v>
      </c>
      <c r="S3738" s="1" t="s">
        <v>1673</v>
      </c>
      <c r="W3738" s="8"/>
      <c r="AJ3738" s="1"/>
      <c r="AM3738" s="1"/>
    </row>
    <row r="3739">
      <c r="H3739" s="1" t="s">
        <v>5618</v>
      </c>
      <c r="S3739" s="1" t="s">
        <v>4691</v>
      </c>
      <c r="W3739" s="8"/>
      <c r="AJ3739" s="1"/>
      <c r="AM3739" s="1"/>
    </row>
    <row r="3740">
      <c r="H3740" s="1" t="s">
        <v>6014</v>
      </c>
      <c r="S3740" s="1">
        <v>1975.0</v>
      </c>
      <c r="W3740" s="8"/>
      <c r="AJ3740" s="1"/>
      <c r="AM3740" s="1"/>
    </row>
    <row r="3741">
      <c r="H3741" s="1" t="s">
        <v>3327</v>
      </c>
      <c r="S3741" s="1" t="s">
        <v>6186</v>
      </c>
      <c r="W3741" s="8"/>
      <c r="AJ3741" s="1"/>
      <c r="AM3741" s="1"/>
    </row>
    <row r="3742">
      <c r="H3742" s="1" t="s">
        <v>6031</v>
      </c>
      <c r="S3742" s="1" t="s">
        <v>163</v>
      </c>
      <c r="W3742" s="8"/>
      <c r="AJ3742" s="1"/>
      <c r="AM3742" s="1"/>
    </row>
    <row r="3743">
      <c r="H3743" s="1" t="s">
        <v>2505</v>
      </c>
      <c r="S3743" s="1" t="s">
        <v>2091</v>
      </c>
      <c r="W3743" s="8"/>
      <c r="AJ3743" s="1"/>
      <c r="AM3743" s="1"/>
    </row>
    <row r="3744">
      <c r="H3744" s="1" t="s">
        <v>5865</v>
      </c>
      <c r="S3744" s="1" t="s">
        <v>183</v>
      </c>
      <c r="W3744" s="8"/>
      <c r="AJ3744" s="1"/>
      <c r="AM3744" s="1"/>
    </row>
    <row r="3745">
      <c r="H3745" s="1" t="s">
        <v>3339</v>
      </c>
      <c r="S3745" s="1" t="s">
        <v>251</v>
      </c>
      <c r="W3745" s="8"/>
      <c r="AJ3745" s="1"/>
      <c r="AM3745" s="1"/>
    </row>
    <row r="3746">
      <c r="H3746" s="1" t="s">
        <v>3341</v>
      </c>
      <c r="S3746" s="1" t="s">
        <v>427</v>
      </c>
      <c r="W3746" s="8"/>
      <c r="AJ3746" s="1"/>
      <c r="AM3746" s="1"/>
    </row>
    <row r="3747">
      <c r="H3747" s="1" t="s">
        <v>5867</v>
      </c>
      <c r="S3747" s="1" t="s">
        <v>3096</v>
      </c>
      <c r="W3747" s="8"/>
      <c r="AJ3747" s="1"/>
      <c r="AM3747" s="1"/>
    </row>
    <row r="3748">
      <c r="H3748" s="1" t="s">
        <v>3344</v>
      </c>
      <c r="S3748" s="1" t="s">
        <v>4492</v>
      </c>
      <c r="W3748" s="8"/>
      <c r="AJ3748" s="1"/>
      <c r="AM3748" s="1"/>
    </row>
    <row r="3749">
      <c r="H3749" s="1" t="s">
        <v>5868</v>
      </c>
      <c r="S3749" s="1" t="s">
        <v>2106</v>
      </c>
      <c r="W3749" s="8"/>
      <c r="AJ3749" s="1"/>
      <c r="AM3749" s="1"/>
    </row>
    <row r="3750">
      <c r="H3750" s="1" t="s">
        <v>5869</v>
      </c>
      <c r="S3750" s="1" t="s">
        <v>3759</v>
      </c>
      <c r="W3750" s="8"/>
      <c r="AJ3750" s="1"/>
      <c r="AM3750" s="1"/>
    </row>
    <row r="3751">
      <c r="H3751" s="1" t="s">
        <v>3353</v>
      </c>
      <c r="S3751" s="1" t="s">
        <v>196</v>
      </c>
      <c r="W3751" s="8"/>
      <c r="AJ3751" s="1"/>
      <c r="AM3751" s="1"/>
    </row>
    <row r="3752">
      <c r="H3752" s="1" t="s">
        <v>5870</v>
      </c>
      <c r="S3752" s="1" t="s">
        <v>2522</v>
      </c>
      <c r="W3752" s="8"/>
      <c r="AJ3752" s="1"/>
      <c r="AM3752" s="1"/>
    </row>
    <row r="3753">
      <c r="H3753" s="1" t="s">
        <v>5822</v>
      </c>
      <c r="S3753" s="1" t="s">
        <v>2872</v>
      </c>
      <c r="W3753" s="8"/>
      <c r="AJ3753" s="1"/>
      <c r="AM3753" s="1"/>
    </row>
    <row r="3754">
      <c r="H3754" s="1" t="s">
        <v>3354</v>
      </c>
      <c r="S3754" s="1" t="s">
        <v>1983</v>
      </c>
      <c r="W3754" s="8"/>
      <c r="AJ3754" s="1"/>
      <c r="AM3754" s="1"/>
    </row>
    <row r="3755">
      <c r="H3755" s="1" t="s">
        <v>5873</v>
      </c>
      <c r="S3755" s="1" t="s">
        <v>512</v>
      </c>
      <c r="W3755" s="8"/>
      <c r="AJ3755" s="1"/>
      <c r="AM3755" s="1"/>
    </row>
    <row r="3756">
      <c r="H3756" s="1" t="s">
        <v>5585</v>
      </c>
      <c r="S3756" s="1" t="s">
        <v>1411</v>
      </c>
      <c r="W3756" s="8"/>
      <c r="AJ3756" s="1"/>
      <c r="AM3756" s="1"/>
    </row>
    <row r="3757">
      <c r="H3757" s="1" t="s">
        <v>5874</v>
      </c>
      <c r="S3757" s="1" t="s">
        <v>193</v>
      </c>
      <c r="W3757" s="8"/>
      <c r="AJ3757" s="1"/>
      <c r="AM3757" s="1"/>
    </row>
    <row r="3758">
      <c r="H3758" s="1" t="s">
        <v>5814</v>
      </c>
      <c r="S3758" s="1" t="s">
        <v>2601</v>
      </c>
      <c r="W3758" s="8"/>
      <c r="AJ3758" s="1"/>
      <c r="AM3758" s="1"/>
    </row>
    <row r="3759">
      <c r="H3759" s="1" t="s">
        <v>3357</v>
      </c>
      <c r="S3759" s="1" t="s">
        <v>5137</v>
      </c>
      <c r="W3759" s="8"/>
      <c r="AJ3759" s="1"/>
      <c r="AM3759" s="1"/>
    </row>
    <row r="3760">
      <c r="H3760" s="1" t="s">
        <v>5877</v>
      </c>
      <c r="S3760" s="1" t="s">
        <v>1837</v>
      </c>
      <c r="W3760" s="8"/>
      <c r="AJ3760" s="1"/>
      <c r="AM3760" s="1"/>
    </row>
    <row r="3761">
      <c r="H3761" s="1" t="s">
        <v>4635</v>
      </c>
      <c r="S3761" s="1" t="s">
        <v>4723</v>
      </c>
      <c r="W3761" s="8"/>
      <c r="AJ3761" s="1"/>
      <c r="AM3761" s="1"/>
    </row>
    <row r="3762">
      <c r="H3762" s="1" t="s">
        <v>3434</v>
      </c>
      <c r="S3762" s="1" t="s">
        <v>5662</v>
      </c>
      <c r="W3762" s="8"/>
      <c r="AJ3762" s="1"/>
      <c r="AM3762" s="1"/>
    </row>
    <row r="3763">
      <c r="H3763" s="1" t="s">
        <v>6187</v>
      </c>
      <c r="S3763" s="1" t="s">
        <v>738</v>
      </c>
      <c r="W3763" s="8"/>
      <c r="AJ3763" s="1"/>
      <c r="AM3763" s="1"/>
    </row>
    <row r="3764">
      <c r="H3764" s="1" t="s">
        <v>3360</v>
      </c>
      <c r="S3764" s="1" t="s">
        <v>6188</v>
      </c>
      <c r="W3764" s="8"/>
      <c r="AJ3764" s="1"/>
      <c r="AM3764" s="1"/>
    </row>
    <row r="3765">
      <c r="H3765" s="1" t="s">
        <v>4023</v>
      </c>
      <c r="S3765" s="1" t="s">
        <v>5766</v>
      </c>
      <c r="W3765" s="8"/>
      <c r="AJ3765" s="1"/>
      <c r="AM3765" s="1"/>
    </row>
    <row r="3766">
      <c r="H3766" s="1" t="s">
        <v>1712</v>
      </c>
      <c r="S3766" s="1" t="s">
        <v>3477</v>
      </c>
      <c r="W3766" s="8"/>
      <c r="AJ3766" s="1"/>
      <c r="AM3766" s="1"/>
    </row>
    <row r="3767">
      <c r="H3767" s="1" t="s">
        <v>5879</v>
      </c>
      <c r="S3767" s="1" t="s">
        <v>1439</v>
      </c>
      <c r="W3767" s="8"/>
      <c r="AJ3767" s="1"/>
      <c r="AM3767" s="1"/>
    </row>
    <row r="3768">
      <c r="H3768" s="1" t="s">
        <v>5880</v>
      </c>
      <c r="S3768" s="1" t="s">
        <v>3270</v>
      </c>
      <c r="W3768" s="8"/>
      <c r="AJ3768" s="1"/>
      <c r="AM3768" s="1"/>
    </row>
    <row r="3769">
      <c r="H3769" s="1" t="s">
        <v>5077</v>
      </c>
      <c r="S3769" s="1" t="s">
        <v>3791</v>
      </c>
      <c r="W3769" s="8"/>
      <c r="AJ3769" s="1"/>
      <c r="AM3769" s="1"/>
    </row>
    <row r="3770">
      <c r="H3770" s="1" t="s">
        <v>3371</v>
      </c>
      <c r="S3770" s="1" t="s">
        <v>4250</v>
      </c>
      <c r="W3770" s="8"/>
      <c r="AJ3770" s="1"/>
      <c r="AM3770" s="1"/>
    </row>
    <row r="3771">
      <c r="H3771" s="1" t="s">
        <v>5881</v>
      </c>
      <c r="S3771" s="1" t="s">
        <v>4194</v>
      </c>
      <c r="W3771" s="8"/>
      <c r="AJ3771" s="1"/>
      <c r="AM3771" s="1"/>
    </row>
    <row r="3772">
      <c r="H3772" s="1" t="s">
        <v>3375</v>
      </c>
      <c r="S3772" s="1" t="s">
        <v>1953</v>
      </c>
      <c r="W3772" s="8"/>
      <c r="AJ3772" s="1"/>
      <c r="AM3772" s="1"/>
    </row>
    <row r="3773">
      <c r="H3773" s="1" t="s">
        <v>5677</v>
      </c>
      <c r="S3773" s="1" t="s">
        <v>1390</v>
      </c>
      <c r="W3773" s="8"/>
      <c r="AJ3773" s="1"/>
      <c r="AM3773" s="1"/>
    </row>
    <row r="3774">
      <c r="H3774" s="1" t="s">
        <v>5884</v>
      </c>
      <c r="S3774" s="1" t="s">
        <v>1083</v>
      </c>
      <c r="W3774" s="8"/>
      <c r="AJ3774" s="1"/>
      <c r="AM3774" s="1"/>
    </row>
    <row r="3775">
      <c r="H3775" s="1" t="s">
        <v>1960</v>
      </c>
      <c r="S3775" s="1" t="s">
        <v>5672</v>
      </c>
      <c r="W3775" s="8"/>
      <c r="AJ3775" s="1"/>
      <c r="AM3775" s="1"/>
    </row>
    <row r="3776">
      <c r="H3776" s="1" t="s">
        <v>5885</v>
      </c>
      <c r="S3776" s="1" t="s">
        <v>6189</v>
      </c>
      <c r="W3776" s="8"/>
      <c r="AJ3776" s="1"/>
      <c r="AM3776" s="1"/>
    </row>
    <row r="3777">
      <c r="H3777" s="1" t="s">
        <v>5886</v>
      </c>
      <c r="S3777" s="1" t="s">
        <v>1721</v>
      </c>
      <c r="W3777" s="8"/>
      <c r="AJ3777" s="1"/>
      <c r="AM3777" s="1"/>
    </row>
    <row r="3778">
      <c r="H3778" s="1" t="s">
        <v>5887</v>
      </c>
      <c r="S3778" s="1" t="s">
        <v>4129</v>
      </c>
      <c r="W3778" s="8"/>
      <c r="AJ3778" s="1"/>
      <c r="AM3778" s="1"/>
    </row>
    <row r="3779">
      <c r="H3779" s="1" t="s">
        <v>6190</v>
      </c>
      <c r="S3779" s="1" t="s">
        <v>3278</v>
      </c>
      <c r="W3779" s="8"/>
      <c r="AJ3779" s="1"/>
      <c r="AM3779" s="1"/>
    </row>
    <row r="3780">
      <c r="H3780" s="1" t="s">
        <v>5888</v>
      </c>
      <c r="S3780" s="1" t="s">
        <v>411</v>
      </c>
      <c r="W3780" s="8"/>
      <c r="AJ3780" s="1"/>
      <c r="AM3780" s="1"/>
    </row>
    <row r="3781">
      <c r="H3781" s="1" t="s">
        <v>5556</v>
      </c>
      <c r="S3781" s="1" t="s">
        <v>2000</v>
      </c>
      <c r="W3781" s="8"/>
      <c r="AJ3781" s="1"/>
      <c r="AM3781" s="1"/>
    </row>
    <row r="3782">
      <c r="H3782" s="1" t="s">
        <v>5891</v>
      </c>
      <c r="S3782" s="1" t="s">
        <v>1194</v>
      </c>
      <c r="W3782" s="8"/>
      <c r="AJ3782" s="1"/>
      <c r="AM3782" s="1"/>
    </row>
    <row r="3783">
      <c r="H3783" s="1" t="s">
        <v>5893</v>
      </c>
      <c r="S3783" s="1" t="s">
        <v>6191</v>
      </c>
      <c r="W3783" s="8"/>
      <c r="AJ3783" s="1"/>
      <c r="AM3783" s="1"/>
    </row>
    <row r="3784">
      <c r="H3784" s="1" t="s">
        <v>3379</v>
      </c>
      <c r="S3784" s="1" t="s">
        <v>4466</v>
      </c>
      <c r="W3784" s="8"/>
      <c r="AJ3784" s="1"/>
      <c r="AM3784" s="1"/>
    </row>
    <row r="3785">
      <c r="H3785" s="1" t="s">
        <v>5894</v>
      </c>
      <c r="S3785" s="1" t="s">
        <v>1329</v>
      </c>
      <c r="W3785" s="8"/>
      <c r="AJ3785" s="1"/>
      <c r="AM3785" s="1"/>
    </row>
    <row r="3786">
      <c r="H3786" s="1" t="s">
        <v>5896</v>
      </c>
      <c r="S3786" s="1" t="s">
        <v>6192</v>
      </c>
      <c r="W3786" s="8"/>
      <c r="AJ3786" s="1"/>
      <c r="AM3786" s="1"/>
    </row>
    <row r="3787">
      <c r="H3787" s="1" t="s">
        <v>6193</v>
      </c>
      <c r="S3787" s="1" t="s">
        <v>6194</v>
      </c>
      <c r="W3787" s="8"/>
      <c r="AJ3787" s="1"/>
      <c r="AM3787" s="1"/>
    </row>
    <row r="3788">
      <c r="H3788" s="1" t="s">
        <v>3381</v>
      </c>
      <c r="S3788" s="1" t="s">
        <v>2563</v>
      </c>
      <c r="W3788" s="8"/>
      <c r="AJ3788" s="1"/>
      <c r="AM3788" s="1"/>
    </row>
    <row r="3789">
      <c r="H3789" s="1" t="s">
        <v>6195</v>
      </c>
      <c r="S3789" s="1" t="s">
        <v>3216</v>
      </c>
      <c r="W3789" s="8"/>
      <c r="AJ3789" s="1"/>
      <c r="AM3789" s="1"/>
    </row>
    <row r="3790">
      <c r="H3790" s="1" t="s">
        <v>5898</v>
      </c>
      <c r="S3790" s="1" t="s">
        <v>145</v>
      </c>
      <c r="W3790" s="8"/>
      <c r="AJ3790" s="1"/>
      <c r="AM3790" s="1"/>
    </row>
    <row r="3791">
      <c r="H3791" s="1" t="s">
        <v>5899</v>
      </c>
      <c r="S3791" s="1" t="s">
        <v>1510</v>
      </c>
      <c r="W3791" s="8"/>
      <c r="AJ3791" s="1"/>
      <c r="AM3791" s="1"/>
    </row>
    <row r="3792">
      <c r="H3792" s="1" t="s">
        <v>5900</v>
      </c>
      <c r="S3792" s="1" t="s">
        <v>1755</v>
      </c>
      <c r="W3792" s="8"/>
      <c r="AJ3792" s="1"/>
      <c r="AM3792" s="1"/>
    </row>
    <row r="3793">
      <c r="H3793" s="1" t="s">
        <v>3386</v>
      </c>
      <c r="S3793" s="1" t="s">
        <v>2169</v>
      </c>
      <c r="W3793" s="8"/>
      <c r="AJ3793" s="1"/>
      <c r="AM3793" s="1"/>
    </row>
    <row r="3794">
      <c r="H3794" s="1" t="s">
        <v>5432</v>
      </c>
      <c r="S3794" s="1" t="s">
        <v>6196</v>
      </c>
      <c r="W3794" s="8"/>
      <c r="AJ3794" s="1"/>
      <c r="AM3794" s="1"/>
    </row>
    <row r="3795">
      <c r="H3795" s="1" t="s">
        <v>5085</v>
      </c>
      <c r="S3795" s="1" t="s">
        <v>2390</v>
      </c>
      <c r="W3795" s="8"/>
      <c r="AJ3795" s="1"/>
      <c r="AM3795" s="1"/>
    </row>
    <row r="3796">
      <c r="H3796" s="1" t="s">
        <v>5901</v>
      </c>
      <c r="S3796" s="1" t="s">
        <v>4545</v>
      </c>
      <c r="W3796" s="8"/>
      <c r="AJ3796" s="1"/>
      <c r="AM3796" s="1"/>
    </row>
    <row r="3797">
      <c r="H3797" s="1"/>
      <c r="S3797" s="1" t="s">
        <v>2827</v>
      </c>
      <c r="W3797" s="8"/>
      <c r="AJ3797" s="1"/>
      <c r="AM3797" s="1"/>
    </row>
    <row r="3798">
      <c r="H3798" s="1"/>
      <c r="S3798" s="1" t="s">
        <v>1707</v>
      </c>
      <c r="W3798" s="8"/>
      <c r="AJ3798" s="1"/>
      <c r="AM3798" s="1"/>
    </row>
    <row r="3799">
      <c r="H3799" s="1"/>
      <c r="S3799" s="1" t="s">
        <v>1656</v>
      </c>
      <c r="W3799" s="8"/>
      <c r="AJ3799" s="1"/>
      <c r="AM3799" s="1"/>
    </row>
    <row r="3800">
      <c r="H3800" s="1"/>
      <c r="S3800" s="1" t="s">
        <v>4560</v>
      </c>
      <c r="W3800" s="8"/>
      <c r="AJ3800" s="1"/>
      <c r="AM3800" s="1"/>
    </row>
    <row r="3801">
      <c r="H3801" s="1"/>
      <c r="S3801" s="1" t="s">
        <v>935</v>
      </c>
      <c r="W3801" s="8"/>
      <c r="AJ3801" s="1"/>
      <c r="AM3801" s="1"/>
    </row>
    <row r="3802">
      <c r="H3802" s="1"/>
      <c r="S3802" s="1" t="s">
        <v>527</v>
      </c>
      <c r="W3802" s="8"/>
      <c r="AJ3802" s="1"/>
      <c r="AM3802" s="1"/>
    </row>
    <row r="3803">
      <c r="H3803" s="1"/>
      <c r="S3803" s="1" t="s">
        <v>6197</v>
      </c>
      <c r="W3803" s="8"/>
      <c r="AJ3803" s="1"/>
      <c r="AM3803" s="1"/>
    </row>
    <row r="3804">
      <c r="H3804" s="1"/>
      <c r="S3804" s="1" t="s">
        <v>4234</v>
      </c>
      <c r="W3804" s="8"/>
      <c r="AJ3804" s="1"/>
      <c r="AM3804" s="1"/>
    </row>
    <row r="3805">
      <c r="H3805" s="1"/>
      <c r="S3805" s="1" t="s">
        <v>6198</v>
      </c>
      <c r="W3805" s="8"/>
      <c r="AJ3805" s="1"/>
      <c r="AM3805" s="1"/>
    </row>
    <row r="3806">
      <c r="H3806" s="1"/>
      <c r="S3806" s="1" t="s">
        <v>4624</v>
      </c>
      <c r="W3806" s="8"/>
      <c r="AJ3806" s="1"/>
      <c r="AM3806" s="1"/>
    </row>
    <row r="3807">
      <c r="H3807" s="1"/>
      <c r="S3807" s="1" t="s">
        <v>495</v>
      </c>
      <c r="W3807" s="8"/>
      <c r="AJ3807" s="1"/>
      <c r="AM3807" s="1"/>
    </row>
    <row r="3808">
      <c r="H3808" s="1"/>
      <c r="S3808" s="1" t="s">
        <v>2330</v>
      </c>
      <c r="W3808" s="8"/>
      <c r="AJ3808" s="1"/>
      <c r="AM3808" s="1"/>
    </row>
    <row r="3809">
      <c r="H3809" s="1"/>
      <c r="S3809" s="1" t="s">
        <v>2857</v>
      </c>
      <c r="W3809" s="8"/>
      <c r="AJ3809" s="1"/>
      <c r="AM3809" s="1"/>
    </row>
    <row r="3810">
      <c r="H3810" s="1"/>
      <c r="S3810" s="1" t="s">
        <v>4703</v>
      </c>
      <c r="W3810" s="8"/>
      <c r="AJ3810" s="1"/>
      <c r="AM3810" s="1"/>
    </row>
    <row r="3811">
      <c r="H3811" s="1"/>
      <c r="S3811" s="1" t="s">
        <v>3012</v>
      </c>
      <c r="W3811" s="8"/>
      <c r="AJ3811" s="1"/>
      <c r="AM3811" s="1"/>
    </row>
    <row r="3812">
      <c r="H3812" s="1"/>
      <c r="S3812" s="1" t="s">
        <v>925</v>
      </c>
      <c r="W3812" s="8"/>
      <c r="AJ3812" s="1"/>
      <c r="AM3812" s="1"/>
    </row>
    <row r="3813">
      <c r="H3813" s="1"/>
      <c r="S3813" s="1" t="s">
        <v>744</v>
      </c>
      <c r="W3813" s="8"/>
      <c r="AJ3813" s="1"/>
      <c r="AM3813" s="1"/>
    </row>
    <row r="3814">
      <c r="H3814" s="1"/>
      <c r="S3814" s="1" t="s">
        <v>1573</v>
      </c>
      <c r="W3814" s="8"/>
      <c r="AJ3814" s="1"/>
      <c r="AM3814" s="1"/>
    </row>
    <row r="3815">
      <c r="H3815" s="1"/>
      <c r="S3815" s="1" t="s">
        <v>1965</v>
      </c>
      <c r="W3815" s="8"/>
      <c r="AJ3815" s="1"/>
      <c r="AM3815" s="1"/>
    </row>
    <row r="3816">
      <c r="H3816" s="1"/>
      <c r="S3816" s="1" t="s">
        <v>36</v>
      </c>
      <c r="W3816" s="8"/>
      <c r="AJ3816" s="1"/>
      <c r="AM3816" s="1"/>
    </row>
    <row r="3817">
      <c r="H3817" s="1"/>
      <c r="S3817" s="1" t="s">
        <v>2305</v>
      </c>
      <c r="W3817" s="8"/>
      <c r="AJ3817" s="1"/>
      <c r="AM3817" s="1"/>
    </row>
    <row r="3818">
      <c r="H3818" s="1"/>
      <c r="S3818" s="1" t="s">
        <v>6199</v>
      </c>
      <c r="W3818" s="8"/>
      <c r="AJ3818" s="1"/>
      <c r="AM3818" s="1"/>
    </row>
    <row r="3819">
      <c r="H3819" s="1"/>
      <c r="S3819" s="1" t="s">
        <v>2697</v>
      </c>
      <c r="W3819" s="8"/>
      <c r="AJ3819" s="1"/>
      <c r="AM3819" s="1"/>
    </row>
    <row r="3820">
      <c r="H3820" s="1"/>
      <c r="S3820" s="1" t="s">
        <v>4160</v>
      </c>
      <c r="W3820" s="8"/>
      <c r="AJ3820" s="1"/>
      <c r="AM3820" s="1"/>
    </row>
    <row r="3821">
      <c r="H3821" s="1"/>
      <c r="S3821" s="1" t="s">
        <v>2306</v>
      </c>
      <c r="W3821" s="8"/>
      <c r="AJ3821" s="1"/>
      <c r="AM3821" s="1"/>
    </row>
    <row r="3822">
      <c r="H3822" s="1"/>
      <c r="S3822" s="1" t="s">
        <v>2137</v>
      </c>
      <c r="W3822" s="8"/>
      <c r="AJ3822" s="1"/>
      <c r="AM3822" s="1"/>
    </row>
    <row r="3823">
      <c r="H3823" s="1"/>
      <c r="S3823" s="1" t="s">
        <v>615</v>
      </c>
      <c r="W3823" s="8"/>
      <c r="AJ3823" s="1"/>
      <c r="AM3823" s="1"/>
    </row>
    <row r="3824">
      <c r="H3824" s="1"/>
      <c r="S3824" s="1" t="s">
        <v>2835</v>
      </c>
      <c r="W3824" s="8"/>
      <c r="AJ3824" s="1"/>
      <c r="AM3824" s="1"/>
    </row>
    <row r="3825">
      <c r="H3825" s="1"/>
      <c r="S3825" s="1" t="s">
        <v>2824</v>
      </c>
      <c r="W3825" s="8"/>
      <c r="AJ3825" s="1"/>
      <c r="AM3825" s="1"/>
    </row>
    <row r="3826">
      <c r="H3826" s="1"/>
      <c r="S3826" s="1" t="s">
        <v>6200</v>
      </c>
      <c r="W3826" s="8"/>
      <c r="AJ3826" s="1"/>
      <c r="AM3826" s="1"/>
    </row>
    <row r="3827">
      <c r="H3827" s="1"/>
      <c r="S3827" s="1" t="s">
        <v>4061</v>
      </c>
      <c r="W3827" s="8"/>
      <c r="AJ3827" s="1"/>
      <c r="AM3827" s="1"/>
    </row>
    <row r="3828">
      <c r="H3828" s="1"/>
      <c r="S3828" s="1" t="s">
        <v>4977</v>
      </c>
      <c r="W3828" s="8"/>
      <c r="AJ3828" s="1"/>
      <c r="AM3828" s="1"/>
    </row>
    <row r="3829">
      <c r="H3829" s="1"/>
      <c r="S3829" s="1" t="s">
        <v>6201</v>
      </c>
      <c r="W3829" s="8"/>
      <c r="AJ3829" s="1"/>
      <c r="AM3829" s="1"/>
    </row>
    <row r="3830">
      <c r="H3830" s="1"/>
      <c r="S3830" s="1" t="s">
        <v>4951</v>
      </c>
      <c r="W3830" s="8"/>
      <c r="AJ3830" s="1"/>
      <c r="AM3830" s="1"/>
    </row>
    <row r="3831">
      <c r="H3831" s="1"/>
      <c r="S3831" s="1" t="s">
        <v>6202</v>
      </c>
      <c r="W3831" s="8"/>
      <c r="AJ3831" s="1"/>
      <c r="AM3831" s="1"/>
    </row>
    <row r="3832">
      <c r="H3832" s="1"/>
      <c r="S3832" s="1" t="s">
        <v>1392</v>
      </c>
      <c r="W3832" s="8"/>
      <c r="AJ3832" s="1"/>
      <c r="AM3832" s="1"/>
    </row>
    <row r="3833">
      <c r="H3833" s="1"/>
      <c r="S3833" s="1" t="s">
        <v>3852</v>
      </c>
      <c r="W3833" s="8"/>
      <c r="AJ3833" s="1"/>
      <c r="AM3833" s="1"/>
    </row>
    <row r="3834">
      <c r="H3834" s="1"/>
      <c r="S3834" s="1" t="s">
        <v>6203</v>
      </c>
      <c r="W3834" s="8"/>
      <c r="AJ3834" s="1"/>
      <c r="AM3834" s="1"/>
    </row>
    <row r="3835">
      <c r="H3835" s="1"/>
      <c r="S3835" s="1" t="s">
        <v>3585</v>
      </c>
      <c r="W3835" s="8"/>
      <c r="AJ3835" s="1"/>
      <c r="AM3835" s="1"/>
    </row>
    <row r="3836">
      <c r="H3836" s="1"/>
      <c r="S3836" s="1" t="s">
        <v>561</v>
      </c>
      <c r="W3836" s="8"/>
      <c r="AJ3836" s="1"/>
      <c r="AM3836" s="1"/>
    </row>
    <row r="3837">
      <c r="H3837" s="1"/>
      <c r="S3837" s="1" t="s">
        <v>4034</v>
      </c>
      <c r="W3837" s="8"/>
      <c r="AJ3837" s="1"/>
      <c r="AM3837" s="1"/>
    </row>
    <row r="3838">
      <c r="H3838" s="1"/>
      <c r="S3838" s="1" t="s">
        <v>4306</v>
      </c>
      <c r="W3838" s="8"/>
      <c r="AJ3838" s="1"/>
      <c r="AM3838" s="1"/>
    </row>
    <row r="3839">
      <c r="H3839" s="1"/>
      <c r="S3839" s="1" t="s">
        <v>5893</v>
      </c>
      <c r="W3839" s="8"/>
      <c r="AJ3839" s="1"/>
      <c r="AM3839" s="1"/>
    </row>
    <row r="3840">
      <c r="H3840" s="1"/>
      <c r="S3840" s="1" t="s">
        <v>674</v>
      </c>
      <c r="W3840" s="8"/>
      <c r="AJ3840" s="1"/>
      <c r="AM3840" s="1"/>
    </row>
    <row r="3841">
      <c r="H3841" s="1"/>
      <c r="S3841" s="1" t="s">
        <v>4110</v>
      </c>
      <c r="W3841" s="8"/>
      <c r="AJ3841" s="1"/>
      <c r="AM3841" s="1"/>
    </row>
    <row r="3842">
      <c r="H3842" s="1"/>
      <c r="S3842" s="1" t="s">
        <v>5762</v>
      </c>
      <c r="W3842" s="8"/>
      <c r="AJ3842" s="1"/>
      <c r="AM3842" s="1"/>
    </row>
    <row r="3843">
      <c r="H3843" s="1"/>
      <c r="S3843" s="1" t="s">
        <v>419</v>
      </c>
      <c r="W3843" s="8"/>
      <c r="AJ3843" s="1"/>
      <c r="AM3843" s="1"/>
    </row>
    <row r="3844">
      <c r="H3844" s="1"/>
      <c r="S3844" s="1" t="s">
        <v>4257</v>
      </c>
      <c r="W3844" s="8"/>
      <c r="AJ3844" s="1"/>
      <c r="AM3844" s="1"/>
    </row>
    <row r="3845">
      <c r="H3845" s="1"/>
      <c r="S3845" s="1" t="s">
        <v>6204</v>
      </c>
      <c r="W3845" s="8"/>
      <c r="AJ3845" s="1"/>
      <c r="AM3845" s="1"/>
    </row>
    <row r="3846">
      <c r="H3846" s="1"/>
      <c r="S3846" s="1" t="s">
        <v>5694</v>
      </c>
      <c r="W3846" s="8"/>
      <c r="AJ3846" s="1"/>
      <c r="AM3846" s="1"/>
    </row>
    <row r="3847">
      <c r="H3847" s="1"/>
      <c r="S3847" s="1" t="s">
        <v>4393</v>
      </c>
      <c r="W3847" s="8"/>
      <c r="AJ3847" s="1"/>
      <c r="AM3847" s="1"/>
    </row>
    <row r="3848">
      <c r="H3848" s="1"/>
      <c r="S3848" s="1" t="s">
        <v>5891</v>
      </c>
      <c r="W3848" s="8"/>
      <c r="AJ3848" s="1"/>
      <c r="AM3848" s="1"/>
    </row>
    <row r="3849">
      <c r="H3849" s="1"/>
      <c r="S3849" s="1" t="s">
        <v>999</v>
      </c>
      <c r="W3849" s="8"/>
      <c r="AJ3849" s="1"/>
      <c r="AM3849" s="1"/>
    </row>
    <row r="3850">
      <c r="H3850" s="1"/>
      <c r="S3850" s="1" t="s">
        <v>6205</v>
      </c>
      <c r="W3850" s="8"/>
      <c r="AJ3850" s="1"/>
      <c r="AM3850" s="1"/>
    </row>
    <row r="3851">
      <c r="H3851" s="1"/>
      <c r="S3851" s="1" t="s">
        <v>4982</v>
      </c>
      <c r="W3851" s="8"/>
      <c r="AJ3851" s="1"/>
      <c r="AM3851" s="1"/>
    </row>
    <row r="3852">
      <c r="H3852" s="1"/>
      <c r="S3852" s="1" t="s">
        <v>6206</v>
      </c>
      <c r="W3852" s="8"/>
      <c r="AJ3852" s="1"/>
      <c r="AM3852" s="1"/>
    </row>
    <row r="3853">
      <c r="H3853" s="1"/>
      <c r="S3853" s="1" t="s">
        <v>3999</v>
      </c>
      <c r="W3853" s="8"/>
      <c r="AJ3853" s="1"/>
      <c r="AM3853" s="1"/>
    </row>
    <row r="3854">
      <c r="H3854" s="1"/>
      <c r="S3854" s="1" t="s">
        <v>3315</v>
      </c>
      <c r="W3854" s="8"/>
      <c r="AJ3854" s="1"/>
      <c r="AM3854" s="1"/>
    </row>
    <row r="3855">
      <c r="H3855" s="1"/>
      <c r="S3855" s="1" t="s">
        <v>6207</v>
      </c>
      <c r="W3855" s="8"/>
      <c r="AJ3855" s="1"/>
      <c r="AM3855" s="1"/>
    </row>
    <row r="3856">
      <c r="H3856" s="1"/>
      <c r="S3856" s="1" t="s">
        <v>758</v>
      </c>
      <c r="W3856" s="8"/>
      <c r="AJ3856" s="1"/>
      <c r="AM3856" s="1"/>
    </row>
    <row r="3857">
      <c r="H3857" s="1"/>
      <c r="S3857" s="1" t="s">
        <v>4781</v>
      </c>
      <c r="W3857" s="8"/>
      <c r="AJ3857" s="1"/>
      <c r="AM3857" s="1"/>
    </row>
    <row r="3858">
      <c r="H3858" s="1"/>
      <c r="S3858" s="1" t="s">
        <v>3180</v>
      </c>
      <c r="W3858" s="8"/>
      <c r="AJ3858" s="1"/>
      <c r="AM3858" s="1"/>
    </row>
    <row r="3859">
      <c r="H3859" s="1"/>
      <c r="S3859" s="1" t="s">
        <v>2251</v>
      </c>
      <c r="W3859" s="8"/>
      <c r="AJ3859" s="1"/>
      <c r="AM3859" s="1"/>
    </row>
    <row r="3860">
      <c r="H3860" s="1"/>
      <c r="S3860" s="1" t="s">
        <v>4585</v>
      </c>
      <c r="W3860" s="8"/>
      <c r="AJ3860" s="1"/>
      <c r="AM3860" s="1"/>
    </row>
    <row r="3861">
      <c r="H3861" s="1"/>
      <c r="S3861" s="1" t="s">
        <v>105</v>
      </c>
      <c r="W3861" s="8"/>
      <c r="AJ3861" s="1"/>
      <c r="AM3861" s="1"/>
    </row>
    <row r="3862">
      <c r="H3862" s="1"/>
      <c r="S3862" s="1" t="s">
        <v>294</v>
      </c>
      <c r="W3862" s="8"/>
      <c r="AJ3862" s="1"/>
      <c r="AM3862" s="1"/>
    </row>
    <row r="3863">
      <c r="H3863" s="1"/>
      <c r="S3863" s="1" t="s">
        <v>5745</v>
      </c>
      <c r="W3863" s="8"/>
      <c r="AJ3863" s="1"/>
      <c r="AM3863" s="1"/>
    </row>
    <row r="3864">
      <c r="H3864" s="1"/>
      <c r="S3864" s="1" t="s">
        <v>159</v>
      </c>
      <c r="W3864" s="8"/>
      <c r="AJ3864" s="1"/>
      <c r="AM3864" s="1"/>
    </row>
    <row r="3865">
      <c r="H3865" s="1"/>
      <c r="S3865" s="1" t="s">
        <v>4458</v>
      </c>
      <c r="W3865" s="8"/>
      <c r="AJ3865" s="1"/>
      <c r="AM3865" s="1"/>
    </row>
    <row r="3866">
      <c r="H3866" s="1"/>
      <c r="S3866" s="1" t="s">
        <v>2871</v>
      </c>
      <c r="W3866" s="8"/>
      <c r="AJ3866" s="1"/>
      <c r="AM3866" s="1"/>
    </row>
    <row r="3867">
      <c r="H3867" s="1"/>
      <c r="S3867" s="1" t="s">
        <v>4258</v>
      </c>
      <c r="W3867" s="8"/>
      <c r="AJ3867" s="1"/>
      <c r="AM3867" s="1"/>
    </row>
    <row r="3868">
      <c r="H3868" s="1"/>
      <c r="S3868" s="1" t="s">
        <v>1305</v>
      </c>
      <c r="W3868" s="8"/>
      <c r="AJ3868" s="1"/>
      <c r="AM3868" s="1"/>
    </row>
    <row r="3869">
      <c r="H3869" s="1"/>
      <c r="S3869" s="1" t="s">
        <v>4144</v>
      </c>
      <c r="W3869" s="8"/>
      <c r="AJ3869" s="1"/>
      <c r="AM3869" s="1"/>
    </row>
    <row r="3870">
      <c r="H3870" s="1"/>
      <c r="S3870" s="1" t="s">
        <v>1605</v>
      </c>
      <c r="W3870" s="8"/>
      <c r="AJ3870" s="1"/>
      <c r="AM3870" s="1"/>
    </row>
    <row r="3871">
      <c r="H3871" s="1"/>
      <c r="S3871" s="1" t="s">
        <v>5014</v>
      </c>
      <c r="W3871" s="8"/>
      <c r="AJ3871" s="1"/>
      <c r="AM3871" s="1"/>
    </row>
    <row r="3872">
      <c r="H3872" s="1"/>
      <c r="S3872" s="1" t="s">
        <v>5373</v>
      </c>
      <c r="W3872" s="8"/>
      <c r="AJ3872" s="1"/>
      <c r="AM3872" s="1"/>
    </row>
    <row r="3873">
      <c r="H3873" s="1"/>
      <c r="S3873" s="1" t="s">
        <v>3673</v>
      </c>
      <c r="W3873" s="8"/>
      <c r="AJ3873" s="1"/>
      <c r="AM3873" s="1"/>
    </row>
    <row r="3874">
      <c r="H3874" s="1"/>
      <c r="S3874" s="1" t="s">
        <v>4760</v>
      </c>
      <c r="W3874" s="8"/>
      <c r="AJ3874" s="1"/>
      <c r="AM3874" s="1"/>
    </row>
    <row r="3875">
      <c r="H3875" s="1"/>
      <c r="S3875" s="1" t="s">
        <v>1037</v>
      </c>
      <c r="W3875" s="8"/>
      <c r="AJ3875" s="1"/>
      <c r="AM3875" s="1"/>
    </row>
    <row r="3876">
      <c r="H3876" s="1"/>
      <c r="S3876" s="1" t="s">
        <v>3584</v>
      </c>
      <c r="W3876" s="8"/>
      <c r="AJ3876" s="1"/>
      <c r="AM3876" s="1"/>
    </row>
    <row r="3877">
      <c r="H3877" s="1"/>
      <c r="S3877" s="1" t="s">
        <v>3385</v>
      </c>
      <c r="W3877" s="8"/>
      <c r="AJ3877" s="1"/>
      <c r="AM3877" s="1"/>
    </row>
    <row r="3878">
      <c r="H3878" s="1"/>
      <c r="S3878" s="1" t="s">
        <v>296</v>
      </c>
      <c r="W3878" s="8"/>
      <c r="AJ3878" s="1"/>
      <c r="AM3878" s="1"/>
    </row>
    <row r="3879">
      <c r="H3879" s="1"/>
      <c r="S3879" s="1" t="s">
        <v>5632</v>
      </c>
      <c r="W3879" s="8"/>
      <c r="AJ3879" s="1"/>
      <c r="AM3879" s="1"/>
    </row>
    <row r="3880">
      <c r="H3880" s="1"/>
      <c r="S3880" s="1" t="s">
        <v>6208</v>
      </c>
      <c r="W3880" s="8"/>
      <c r="AJ3880" s="1"/>
      <c r="AM3880" s="1"/>
    </row>
    <row r="3881">
      <c r="H3881" s="1"/>
      <c r="S3881" s="1" t="s">
        <v>1647</v>
      </c>
      <c r="W3881" s="8"/>
      <c r="AJ3881" s="1"/>
      <c r="AM3881" s="1"/>
    </row>
    <row r="3882">
      <c r="H3882" s="1"/>
      <c r="S3882" s="1" t="s">
        <v>2339</v>
      </c>
      <c r="W3882" s="8"/>
      <c r="AJ3882" s="1"/>
      <c r="AM3882" s="1"/>
    </row>
    <row r="3883">
      <c r="H3883" s="1"/>
      <c r="S3883" s="1" t="s">
        <v>3871</v>
      </c>
      <c r="W3883" s="8"/>
      <c r="AJ3883" s="1"/>
      <c r="AM3883" s="1"/>
    </row>
    <row r="3884">
      <c r="H3884" s="1"/>
      <c r="S3884" s="1" t="s">
        <v>6209</v>
      </c>
      <c r="W3884" s="8"/>
      <c r="AJ3884" s="1"/>
      <c r="AM3884" s="1"/>
    </row>
    <row r="3885">
      <c r="H3885" s="1"/>
      <c r="S3885" s="1" t="s">
        <v>3757</v>
      </c>
      <c r="W3885" s="8"/>
      <c r="AJ3885" s="1"/>
      <c r="AM3885" s="1"/>
    </row>
    <row r="3886">
      <c r="H3886" s="1"/>
      <c r="S3886" s="1" t="s">
        <v>5080</v>
      </c>
      <c r="W3886" s="8"/>
      <c r="AJ3886" s="1"/>
      <c r="AM3886" s="1"/>
    </row>
    <row r="3887">
      <c r="H3887" s="1"/>
      <c r="S3887" s="1" t="s">
        <v>2690</v>
      </c>
      <c r="W3887" s="8"/>
      <c r="AJ3887" s="1"/>
      <c r="AM3887" s="1"/>
    </row>
    <row r="3888">
      <c r="H3888" s="1"/>
      <c r="S3888" s="1">
        <v>1973.0</v>
      </c>
      <c r="W3888" s="8"/>
      <c r="AJ3888" s="1"/>
      <c r="AM3888" s="1"/>
    </row>
    <row r="3889">
      <c r="H3889" s="1"/>
      <c r="S3889" s="1" t="s">
        <v>4850</v>
      </c>
      <c r="W3889" s="8"/>
      <c r="AJ3889" s="1"/>
      <c r="AM3889" s="1"/>
    </row>
    <row r="3890">
      <c r="H3890" s="1"/>
      <c r="S3890" s="1" t="s">
        <v>2022</v>
      </c>
      <c r="W3890" s="8"/>
      <c r="AJ3890" s="1"/>
      <c r="AM3890" s="1"/>
    </row>
    <row r="3891">
      <c r="H3891" s="1"/>
      <c r="S3891" s="1" t="s">
        <v>6210</v>
      </c>
      <c r="W3891" s="8"/>
      <c r="AJ3891" s="1"/>
      <c r="AM3891" s="1"/>
    </row>
    <row r="3892">
      <c r="H3892" s="1"/>
      <c r="S3892" s="1" t="s">
        <v>418</v>
      </c>
      <c r="W3892" s="8"/>
      <c r="AJ3892" s="1"/>
      <c r="AM3892" s="1"/>
    </row>
    <row r="3893">
      <c r="H3893" s="1"/>
      <c r="S3893" s="1" t="s">
        <v>3449</v>
      </c>
      <c r="W3893" s="8"/>
      <c r="AJ3893" s="1"/>
      <c r="AM3893" s="1"/>
    </row>
    <row r="3894">
      <c r="H3894" s="1"/>
      <c r="S3894" s="1" t="s">
        <v>2734</v>
      </c>
      <c r="W3894" s="8"/>
      <c r="AJ3894" s="1"/>
      <c r="AM3894" s="1"/>
    </row>
    <row r="3895">
      <c r="H3895" s="1"/>
      <c r="S3895" s="1" t="s">
        <v>3403</v>
      </c>
      <c r="W3895" s="8"/>
      <c r="AJ3895" s="1"/>
      <c r="AM3895" s="1"/>
    </row>
    <row r="3896">
      <c r="H3896" s="1"/>
      <c r="S3896" s="1" t="s">
        <v>2288</v>
      </c>
      <c r="W3896" s="8"/>
      <c r="AJ3896" s="1"/>
      <c r="AM3896" s="1"/>
    </row>
    <row r="3897">
      <c r="H3897" s="1"/>
      <c r="S3897" s="1" t="s">
        <v>4935</v>
      </c>
      <c r="W3897" s="8"/>
      <c r="AJ3897" s="1"/>
      <c r="AM3897" s="1"/>
    </row>
    <row r="3898">
      <c r="H3898" s="1"/>
      <c r="S3898" s="1" t="s">
        <v>1407</v>
      </c>
      <c r="W3898" s="8"/>
      <c r="AJ3898" s="1"/>
      <c r="AM3898" s="1"/>
    </row>
    <row r="3899">
      <c r="H3899" s="1"/>
      <c r="S3899" s="1" t="s">
        <v>502</v>
      </c>
      <c r="W3899" s="8"/>
      <c r="AJ3899" s="1"/>
      <c r="AM3899" s="1"/>
    </row>
    <row r="3900">
      <c r="H3900" s="1"/>
      <c r="S3900" s="1" t="s">
        <v>203</v>
      </c>
      <c r="W3900" s="8"/>
      <c r="AJ3900" s="1"/>
      <c r="AM3900" s="1"/>
    </row>
    <row r="3901">
      <c r="H3901" s="1"/>
      <c r="S3901" s="1" t="s">
        <v>482</v>
      </c>
      <c r="W3901" s="8"/>
      <c r="AJ3901" s="1"/>
      <c r="AM3901" s="1"/>
    </row>
    <row r="3902">
      <c r="H3902" s="1"/>
      <c r="S3902" s="1" t="s">
        <v>5046</v>
      </c>
      <c r="W3902" s="8"/>
      <c r="AJ3902" s="1"/>
      <c r="AM3902" s="1"/>
    </row>
    <row r="3903">
      <c r="H3903" s="1"/>
      <c r="S3903" s="1" t="s">
        <v>6211</v>
      </c>
      <c r="W3903" s="8"/>
      <c r="AJ3903" s="1"/>
      <c r="AM3903" s="1"/>
    </row>
    <row r="3904">
      <c r="H3904" s="1"/>
      <c r="S3904" s="1" t="s">
        <v>3864</v>
      </c>
      <c r="W3904" s="8"/>
      <c r="AJ3904" s="1"/>
      <c r="AM3904" s="1"/>
    </row>
    <row r="3905">
      <c r="H3905" s="1"/>
      <c r="S3905" s="1" t="s">
        <v>3526</v>
      </c>
      <c r="W3905" s="8"/>
      <c r="AJ3905" s="1"/>
      <c r="AM3905" s="1"/>
    </row>
    <row r="3906">
      <c r="H3906" s="1"/>
      <c r="S3906" s="1" t="s">
        <v>649</v>
      </c>
      <c r="W3906" s="8"/>
      <c r="AJ3906" s="1"/>
      <c r="AM3906" s="1"/>
    </row>
    <row r="3907">
      <c r="H3907" s="1"/>
      <c r="S3907" s="1" t="s">
        <v>4047</v>
      </c>
      <c r="W3907" s="8"/>
      <c r="AJ3907" s="1"/>
      <c r="AM3907" s="1"/>
    </row>
    <row r="3908">
      <c r="H3908" s="1"/>
      <c r="S3908" s="1" t="s">
        <v>368</v>
      </c>
      <c r="W3908" s="8"/>
      <c r="AJ3908" s="1"/>
      <c r="AM3908" s="1"/>
    </row>
    <row r="3909">
      <c r="H3909" s="1"/>
      <c r="S3909" s="1" t="s">
        <v>338</v>
      </c>
      <c r="W3909" s="8"/>
      <c r="AJ3909" s="1"/>
      <c r="AM3909" s="1"/>
    </row>
    <row r="3910">
      <c r="H3910" s="1"/>
      <c r="S3910" s="1" t="s">
        <v>1169</v>
      </c>
      <c r="W3910" s="8"/>
      <c r="AJ3910" s="1"/>
      <c r="AM3910" s="1"/>
    </row>
    <row r="3911">
      <c r="H3911" s="1"/>
      <c r="S3911" s="1" t="s">
        <v>4632</v>
      </c>
      <c r="W3911" s="8"/>
      <c r="AJ3911" s="1"/>
      <c r="AM3911" s="1"/>
    </row>
    <row r="3912">
      <c r="H3912" s="1"/>
      <c r="S3912" s="1" t="s">
        <v>3919</v>
      </c>
      <c r="W3912" s="8"/>
      <c r="AJ3912" s="1"/>
      <c r="AM3912" s="1"/>
    </row>
    <row r="3913">
      <c r="H3913" s="1"/>
      <c r="S3913" s="1" t="s">
        <v>5456</v>
      </c>
      <c r="W3913" s="8"/>
      <c r="AJ3913" s="1"/>
      <c r="AM3913" s="1"/>
    </row>
    <row r="3914">
      <c r="H3914" s="1"/>
      <c r="S3914" s="1" t="s">
        <v>3933</v>
      </c>
      <c r="W3914" s="8"/>
      <c r="AJ3914" s="1"/>
      <c r="AM3914" s="1"/>
    </row>
    <row r="3915">
      <c r="H3915" s="1"/>
      <c r="S3915" s="1" t="s">
        <v>5498</v>
      </c>
      <c r="W3915" s="8"/>
      <c r="AJ3915" s="1"/>
      <c r="AM3915" s="1"/>
    </row>
    <row r="3916">
      <c r="H3916" s="1"/>
      <c r="S3916" s="1" t="s">
        <v>6212</v>
      </c>
      <c r="W3916" s="8"/>
      <c r="AJ3916" s="1"/>
      <c r="AM3916" s="1"/>
    </row>
    <row r="3917">
      <c r="H3917" s="1"/>
      <c r="S3917" s="1" t="s">
        <v>1261</v>
      </c>
      <c r="W3917" s="8"/>
      <c r="AJ3917" s="1"/>
      <c r="AM3917" s="1"/>
    </row>
    <row r="3918">
      <c r="H3918" s="1"/>
      <c r="S3918" s="1" t="s">
        <v>6213</v>
      </c>
      <c r="W3918" s="8"/>
      <c r="AJ3918" s="1"/>
      <c r="AM3918" s="1"/>
    </row>
    <row r="3919">
      <c r="H3919" s="1"/>
      <c r="S3919" s="1" t="s">
        <v>6147</v>
      </c>
      <c r="W3919" s="8"/>
      <c r="AJ3919" s="1"/>
      <c r="AM3919" s="1"/>
    </row>
    <row r="3920">
      <c r="H3920" s="1"/>
      <c r="S3920" s="1" t="s">
        <v>3211</v>
      </c>
      <c r="W3920" s="8"/>
      <c r="AJ3920" s="1"/>
      <c r="AM3920" s="1"/>
    </row>
    <row r="3921">
      <c r="H3921" s="1"/>
      <c r="S3921" s="1" t="s">
        <v>757</v>
      </c>
      <c r="W3921" s="8"/>
      <c r="AJ3921" s="1"/>
      <c r="AM3921" s="1"/>
    </row>
    <row r="3922">
      <c r="H3922" s="1"/>
      <c r="S3922" s="1" t="s">
        <v>1889</v>
      </c>
      <c r="W3922" s="8"/>
      <c r="AJ3922" s="1"/>
      <c r="AM3922" s="1"/>
    </row>
    <row r="3923">
      <c r="H3923" s="1"/>
      <c r="S3923" s="1" t="s">
        <v>4304</v>
      </c>
      <c r="W3923" s="8"/>
      <c r="AJ3923" s="1"/>
      <c r="AM3923" s="1"/>
    </row>
    <row r="3924">
      <c r="H3924" s="1"/>
      <c r="S3924" s="1" t="s">
        <v>5496</v>
      </c>
      <c r="W3924" s="8"/>
      <c r="AJ3924" s="1"/>
      <c r="AM3924" s="1"/>
    </row>
    <row r="3925">
      <c r="H3925" s="1"/>
      <c r="S3925" s="1" t="s">
        <v>5819</v>
      </c>
      <c r="W3925" s="8"/>
      <c r="AJ3925" s="1"/>
      <c r="AM3925" s="1"/>
    </row>
    <row r="3926">
      <c r="H3926" s="1"/>
      <c r="S3926" s="1" t="s">
        <v>4277</v>
      </c>
      <c r="W3926" s="8"/>
      <c r="AJ3926" s="1"/>
      <c r="AM3926" s="1"/>
    </row>
    <row r="3927">
      <c r="H3927" s="1"/>
      <c r="S3927" s="1" t="s">
        <v>3893</v>
      </c>
      <c r="W3927" s="8"/>
      <c r="AJ3927" s="1"/>
      <c r="AM3927" s="1"/>
    </row>
    <row r="3928">
      <c r="H3928" s="1"/>
      <c r="S3928" s="1" t="s">
        <v>4698</v>
      </c>
      <c r="W3928" s="8"/>
      <c r="AJ3928" s="1"/>
      <c r="AM3928" s="1"/>
    </row>
    <row r="3929">
      <c r="H3929" s="1"/>
      <c r="S3929" s="1" t="s">
        <v>2325</v>
      </c>
      <c r="W3929" s="8"/>
      <c r="AJ3929" s="1"/>
      <c r="AM3929" s="1"/>
    </row>
    <row r="3930">
      <c r="H3930" s="1"/>
      <c r="S3930" s="1" t="s">
        <v>3446</v>
      </c>
      <c r="W3930" s="8"/>
      <c r="AJ3930" s="1"/>
      <c r="AM3930" s="1"/>
    </row>
    <row r="3931">
      <c r="H3931" s="1"/>
      <c r="S3931" s="1" t="s">
        <v>672</v>
      </c>
      <c r="W3931" s="8"/>
      <c r="AJ3931" s="1"/>
      <c r="AM3931" s="1"/>
    </row>
    <row r="3932">
      <c r="H3932" s="1"/>
      <c r="S3932" s="1" t="s">
        <v>5907</v>
      </c>
      <c r="W3932" s="8"/>
      <c r="AJ3932" s="1"/>
      <c r="AM3932" s="1"/>
    </row>
    <row r="3933">
      <c r="H3933" s="1"/>
      <c r="S3933" s="1" t="s">
        <v>535</v>
      </c>
      <c r="W3933" s="8"/>
      <c r="AJ3933" s="1"/>
      <c r="AM3933" s="1"/>
    </row>
    <row r="3934">
      <c r="H3934" s="1"/>
      <c r="S3934" s="1" t="s">
        <v>2618</v>
      </c>
      <c r="W3934" s="8"/>
      <c r="AJ3934" s="1"/>
      <c r="AM3934" s="1"/>
    </row>
    <row r="3935">
      <c r="H3935" s="1"/>
      <c r="S3935" s="1" t="s">
        <v>3528</v>
      </c>
      <c r="W3935" s="8"/>
      <c r="AJ3935" s="1"/>
      <c r="AM3935" s="1"/>
    </row>
    <row r="3936">
      <c r="H3936" s="1"/>
      <c r="S3936" s="1" t="s">
        <v>2983</v>
      </c>
      <c r="W3936" s="8"/>
      <c r="AJ3936" s="1"/>
      <c r="AM3936" s="1"/>
    </row>
    <row r="3937">
      <c r="H3937" s="1"/>
      <c r="S3937" s="1" t="s">
        <v>2533</v>
      </c>
      <c r="W3937" s="8"/>
      <c r="AJ3937" s="1"/>
      <c r="AM3937" s="1"/>
    </row>
    <row r="3938">
      <c r="H3938" s="1"/>
      <c r="S3938" s="1" t="s">
        <v>1931</v>
      </c>
      <c r="W3938" s="8"/>
      <c r="AJ3938" s="1"/>
      <c r="AM3938" s="1"/>
    </row>
    <row r="3939">
      <c r="H3939" s="1"/>
      <c r="S3939" s="1" t="s">
        <v>2874</v>
      </c>
      <c r="W3939" s="8"/>
      <c r="AJ3939" s="1"/>
      <c r="AM3939" s="1"/>
    </row>
    <row r="3940">
      <c r="H3940" s="1"/>
      <c r="S3940" s="1" t="s">
        <v>4100</v>
      </c>
      <c r="W3940" s="8"/>
      <c r="AJ3940" s="1"/>
      <c r="AM3940" s="1"/>
    </row>
    <row r="3941">
      <c r="H3941" s="1"/>
      <c r="S3941" s="1" t="s">
        <v>3951</v>
      </c>
      <c r="W3941" s="8"/>
      <c r="AJ3941" s="1"/>
      <c r="AM3941" s="1"/>
    </row>
    <row r="3942">
      <c r="H3942" s="1"/>
      <c r="S3942" s="1" t="s">
        <v>3253</v>
      </c>
      <c r="W3942" s="8"/>
      <c r="AJ3942" s="1"/>
      <c r="AM3942" s="1"/>
    </row>
    <row r="3943">
      <c r="H3943" s="1"/>
      <c r="S3943" s="1" t="s">
        <v>3355</v>
      </c>
      <c r="W3943" s="8"/>
      <c r="AJ3943" s="1"/>
      <c r="AM3943" s="1"/>
    </row>
    <row r="3944">
      <c r="H3944" s="1"/>
      <c r="S3944" s="1" t="s">
        <v>1841</v>
      </c>
      <c r="W3944" s="8"/>
      <c r="AJ3944" s="1"/>
      <c r="AM3944" s="1"/>
    </row>
    <row r="3945">
      <c r="H3945" s="1"/>
      <c r="S3945" s="1" t="s">
        <v>1053</v>
      </c>
      <c r="W3945" s="8"/>
      <c r="AJ3945" s="1"/>
      <c r="AM3945" s="1"/>
    </row>
    <row r="3946">
      <c r="H3946" s="1"/>
      <c r="S3946" s="1" t="s">
        <v>2602</v>
      </c>
      <c r="W3946" s="8"/>
      <c r="AJ3946" s="1"/>
      <c r="AM3946" s="1"/>
    </row>
    <row r="3947">
      <c r="H3947" s="1"/>
      <c r="S3947" s="1" t="s">
        <v>2632</v>
      </c>
      <c r="W3947" s="8"/>
      <c r="AJ3947" s="1"/>
      <c r="AM3947" s="1"/>
    </row>
    <row r="3948">
      <c r="H3948" s="1"/>
      <c r="S3948" s="1" t="s">
        <v>1855</v>
      </c>
      <c r="W3948" s="8"/>
      <c r="AJ3948" s="1"/>
      <c r="AM3948" s="1"/>
    </row>
    <row r="3949">
      <c r="H3949" s="1"/>
      <c r="S3949" s="1" t="s">
        <v>1467</v>
      </c>
      <c r="W3949" s="8"/>
      <c r="AJ3949" s="1"/>
      <c r="AM3949" s="1"/>
    </row>
    <row r="3950">
      <c r="H3950" s="1"/>
      <c r="S3950" s="1" t="s">
        <v>4336</v>
      </c>
      <c r="W3950" s="8"/>
      <c r="AJ3950" s="1"/>
      <c r="AM3950" s="1"/>
    </row>
    <row r="3951">
      <c r="H3951" s="1"/>
      <c r="S3951" s="1" t="s">
        <v>5043</v>
      </c>
      <c r="W3951" s="8"/>
      <c r="AJ3951" s="1"/>
      <c r="AM3951" s="1"/>
    </row>
    <row r="3952">
      <c r="H3952" s="1"/>
      <c r="S3952" s="1" t="s">
        <v>4578</v>
      </c>
      <c r="W3952" s="8"/>
      <c r="AJ3952" s="1"/>
      <c r="AM3952" s="1"/>
    </row>
    <row r="3953">
      <c r="H3953" s="1"/>
      <c r="S3953" s="1" t="s">
        <v>1531</v>
      </c>
      <c r="W3953" s="8"/>
      <c r="AJ3953" s="1"/>
      <c r="AM3953" s="1"/>
    </row>
    <row r="3954">
      <c r="H3954" s="1"/>
      <c r="S3954" s="1" t="s">
        <v>4539</v>
      </c>
      <c r="W3954" s="8"/>
      <c r="AJ3954" s="1"/>
      <c r="AM3954" s="1"/>
    </row>
    <row r="3955">
      <c r="H3955" s="1"/>
      <c r="S3955" s="1" t="s">
        <v>141</v>
      </c>
      <c r="W3955" s="8"/>
      <c r="AJ3955" s="1"/>
      <c r="AM3955" s="1"/>
    </row>
    <row r="3956">
      <c r="H3956" s="1"/>
      <c r="S3956" s="1" t="s">
        <v>1156</v>
      </c>
      <c r="W3956" s="8"/>
      <c r="AJ3956" s="1"/>
      <c r="AM3956" s="1"/>
    </row>
    <row r="3957">
      <c r="H3957" s="1"/>
      <c r="S3957" s="1" t="s">
        <v>4443</v>
      </c>
      <c r="W3957" s="8"/>
      <c r="AJ3957" s="1"/>
      <c r="AM3957" s="1"/>
    </row>
    <row r="3958">
      <c r="H3958" s="1"/>
      <c r="S3958" s="1" t="s">
        <v>3301</v>
      </c>
      <c r="W3958" s="8"/>
      <c r="AJ3958" s="1"/>
      <c r="AM3958" s="1"/>
    </row>
    <row r="3959">
      <c r="H3959" s="1"/>
      <c r="S3959" s="1" t="s">
        <v>6214</v>
      </c>
      <c r="W3959" s="8"/>
      <c r="AJ3959" s="1"/>
      <c r="AM3959" s="1"/>
    </row>
    <row r="3960">
      <c r="H3960" s="1"/>
      <c r="S3960" s="1" t="s">
        <v>6215</v>
      </c>
      <c r="W3960" s="8"/>
      <c r="AJ3960" s="1"/>
      <c r="AM3960" s="1"/>
    </row>
    <row r="3961">
      <c r="H3961" s="1"/>
      <c r="S3961" s="1" t="s">
        <v>1906</v>
      </c>
      <c r="W3961" s="8"/>
      <c r="AJ3961" s="1"/>
      <c r="AM3961" s="1"/>
    </row>
    <row r="3962">
      <c r="H3962" s="1"/>
      <c r="S3962" s="1" t="s">
        <v>3962</v>
      </c>
      <c r="W3962" s="8"/>
      <c r="AJ3962" s="1"/>
      <c r="AM3962" s="1"/>
    </row>
    <row r="3963">
      <c r="H3963" s="1"/>
      <c r="S3963" s="1" t="s">
        <v>2917</v>
      </c>
      <c r="W3963" s="8"/>
      <c r="AJ3963" s="1"/>
      <c r="AM3963" s="1"/>
    </row>
    <row r="3964">
      <c r="H3964" s="1"/>
      <c r="S3964" s="1" t="s">
        <v>5857</v>
      </c>
      <c r="W3964" s="8"/>
      <c r="AJ3964" s="1"/>
      <c r="AM3964" s="1"/>
    </row>
    <row r="3965">
      <c r="H3965" s="1"/>
      <c r="S3965" s="1" t="s">
        <v>4255</v>
      </c>
      <c r="W3965" s="8"/>
      <c r="AJ3965" s="1"/>
      <c r="AM3965" s="1"/>
    </row>
    <row r="3966">
      <c r="H3966" s="1"/>
      <c r="S3966" s="1" t="s">
        <v>3948</v>
      </c>
      <c r="W3966" s="8"/>
      <c r="AJ3966" s="1"/>
      <c r="AM3966" s="1"/>
    </row>
    <row r="3967">
      <c r="H3967" s="1"/>
      <c r="S3967" s="1" t="s">
        <v>6216</v>
      </c>
      <c r="W3967" s="8"/>
      <c r="AJ3967" s="1"/>
      <c r="AM3967" s="1"/>
    </row>
    <row r="3968">
      <c r="H3968" s="1"/>
      <c r="S3968" s="1" t="s">
        <v>425</v>
      </c>
      <c r="W3968" s="8"/>
      <c r="AJ3968" s="1"/>
      <c r="AM3968" s="1"/>
    </row>
    <row r="3969">
      <c r="H3969" s="1"/>
      <c r="S3969" s="1" t="s">
        <v>4872</v>
      </c>
      <c r="W3969" s="8"/>
      <c r="AJ3969" s="1"/>
      <c r="AM3969" s="1"/>
    </row>
    <row r="3970">
      <c r="H3970" s="1"/>
      <c r="S3970" s="1" t="s">
        <v>4971</v>
      </c>
      <c r="W3970" s="8"/>
      <c r="AJ3970" s="1"/>
      <c r="AM3970" s="1"/>
    </row>
    <row r="3971">
      <c r="H3971" s="1"/>
      <c r="S3971" s="1" t="s">
        <v>3855</v>
      </c>
      <c r="W3971" s="8"/>
      <c r="AJ3971" s="1"/>
      <c r="AM3971" s="1"/>
    </row>
    <row r="3972">
      <c r="H3972" s="1"/>
      <c r="S3972" s="1" t="s">
        <v>1504</v>
      </c>
      <c r="W3972" s="8"/>
      <c r="AJ3972" s="1"/>
      <c r="AM3972" s="1"/>
    </row>
    <row r="3973">
      <c r="H3973" s="1"/>
      <c r="S3973" s="1" t="s">
        <v>3184</v>
      </c>
      <c r="W3973" s="8"/>
      <c r="AJ3973" s="1"/>
      <c r="AM3973" s="1"/>
    </row>
    <row r="3974">
      <c r="H3974" s="1"/>
      <c r="S3974" s="1" t="s">
        <v>1118</v>
      </c>
      <c r="W3974" s="8"/>
      <c r="AJ3974" s="1"/>
      <c r="AM3974" s="1"/>
    </row>
    <row r="3975">
      <c r="H3975" s="1"/>
      <c r="S3975" s="1" t="s">
        <v>1819</v>
      </c>
      <c r="W3975" s="8"/>
      <c r="AJ3975" s="1"/>
      <c r="AM3975" s="1"/>
    </row>
    <row r="3976">
      <c r="H3976" s="1"/>
      <c r="S3976" s="1" t="s">
        <v>1452</v>
      </c>
      <c r="W3976" s="8"/>
      <c r="AJ3976" s="1"/>
      <c r="AM3976" s="1"/>
    </row>
    <row r="3977">
      <c r="H3977" s="1"/>
      <c r="S3977" s="1" t="s">
        <v>5899</v>
      </c>
      <c r="W3977" s="8"/>
      <c r="AJ3977" s="1"/>
      <c r="AM3977" s="1"/>
    </row>
    <row r="3978">
      <c r="H3978" s="1"/>
      <c r="S3978" s="1" t="s">
        <v>4377</v>
      </c>
      <c r="W3978" s="8"/>
      <c r="AJ3978" s="1"/>
      <c r="AM3978" s="1"/>
    </row>
    <row r="3979">
      <c r="H3979" s="1"/>
      <c r="S3979" s="1" t="s">
        <v>4375</v>
      </c>
      <c r="W3979" s="8"/>
      <c r="AJ3979" s="1"/>
      <c r="AM3979" s="1"/>
    </row>
    <row r="3980">
      <c r="H3980" s="1"/>
      <c r="S3980" s="1" t="s">
        <v>667</v>
      </c>
      <c r="W3980" s="8"/>
      <c r="AJ3980" s="1"/>
      <c r="AM3980" s="1"/>
    </row>
    <row r="3981">
      <c r="H3981" s="1"/>
      <c r="S3981" s="1" t="s">
        <v>2036</v>
      </c>
      <c r="W3981" s="8"/>
      <c r="AJ3981" s="1"/>
      <c r="AM3981" s="1"/>
    </row>
    <row r="3982">
      <c r="H3982" s="1"/>
      <c r="S3982" s="1" t="s">
        <v>934</v>
      </c>
      <c r="W3982" s="8"/>
      <c r="AJ3982" s="1"/>
      <c r="AM3982" s="1"/>
    </row>
    <row r="3983">
      <c r="H3983" s="1"/>
      <c r="S3983" s="1" t="s">
        <v>4199</v>
      </c>
      <c r="W3983" s="8"/>
      <c r="AJ3983" s="1"/>
      <c r="AM3983" s="1"/>
    </row>
    <row r="3984">
      <c r="H3984" s="1"/>
      <c r="S3984" s="1" t="s">
        <v>5079</v>
      </c>
      <c r="W3984" s="8"/>
      <c r="AJ3984" s="1"/>
      <c r="AM3984" s="1"/>
    </row>
    <row r="3985">
      <c r="H3985" s="1"/>
      <c r="S3985" s="1" t="s">
        <v>5239</v>
      </c>
      <c r="W3985" s="8"/>
      <c r="AJ3985" s="1"/>
      <c r="AM3985" s="1"/>
    </row>
    <row r="3986">
      <c r="H3986" s="1"/>
      <c r="S3986" s="1" t="s">
        <v>4817</v>
      </c>
      <c r="W3986" s="8"/>
      <c r="AJ3986" s="1"/>
      <c r="AM3986" s="1"/>
    </row>
    <row r="3987">
      <c r="H3987" s="1"/>
      <c r="S3987" s="1" t="s">
        <v>1007</v>
      </c>
      <c r="W3987" s="8"/>
      <c r="AJ3987" s="1"/>
      <c r="AM3987" s="1"/>
    </row>
    <row r="3988">
      <c r="H3988" s="1"/>
      <c r="S3988" s="1" t="s">
        <v>3938</v>
      </c>
      <c r="W3988" s="8"/>
      <c r="AJ3988" s="1"/>
      <c r="AM3988" s="1"/>
    </row>
    <row r="3989">
      <c r="H3989" s="1"/>
      <c r="S3989" s="1" t="s">
        <v>2962</v>
      </c>
      <c r="W3989" s="8"/>
      <c r="AJ3989" s="1"/>
      <c r="AM3989" s="1"/>
    </row>
    <row r="3990">
      <c r="H3990" s="1"/>
      <c r="S3990" s="1" t="s">
        <v>3466</v>
      </c>
      <c r="W3990" s="8"/>
      <c r="AJ3990" s="1"/>
      <c r="AM3990" s="1"/>
    </row>
    <row r="3991">
      <c r="H3991" s="1"/>
      <c r="S3991" s="1" t="s">
        <v>5328</v>
      </c>
      <c r="W3991" s="8"/>
      <c r="AJ3991" s="1"/>
      <c r="AM3991" s="1"/>
    </row>
    <row r="3992">
      <c r="H3992" s="1"/>
      <c r="S3992" s="1" t="s">
        <v>5273</v>
      </c>
      <c r="W3992" s="8"/>
      <c r="AJ3992" s="1"/>
      <c r="AM3992" s="1"/>
    </row>
    <row r="3993">
      <c r="H3993" s="1"/>
      <c r="S3993" s="1">
        <v>1984.0</v>
      </c>
      <c r="W3993" s="8"/>
      <c r="AJ3993" s="1"/>
      <c r="AM3993" s="1"/>
    </row>
    <row r="3994">
      <c r="H3994" s="1"/>
      <c r="S3994" s="1" t="s">
        <v>1772</v>
      </c>
      <c r="W3994" s="8"/>
      <c r="AJ3994" s="1"/>
      <c r="AM3994" s="1"/>
    </row>
    <row r="3995">
      <c r="H3995" s="1"/>
      <c r="S3995" s="1" t="s">
        <v>5570</v>
      </c>
      <c r="W3995" s="8"/>
      <c r="AJ3995" s="1"/>
      <c r="AM3995" s="1"/>
    </row>
    <row r="3996">
      <c r="H3996" s="1"/>
      <c r="S3996" s="1" t="s">
        <v>5821</v>
      </c>
      <c r="W3996" s="8"/>
      <c r="AJ3996" s="1"/>
      <c r="AM3996" s="1"/>
    </row>
    <row r="3997">
      <c r="H3997" s="1"/>
      <c r="S3997" s="1" t="s">
        <v>5717</v>
      </c>
      <c r="W3997" s="8"/>
      <c r="AJ3997" s="1"/>
      <c r="AM3997" s="1"/>
    </row>
    <row r="3998">
      <c r="H3998" s="1"/>
      <c r="S3998" s="1" t="s">
        <v>4917</v>
      </c>
      <c r="W3998" s="8"/>
      <c r="AJ3998" s="1"/>
      <c r="AM3998" s="1"/>
    </row>
    <row r="3999">
      <c r="H3999" s="1"/>
      <c r="S3999" s="1" t="s">
        <v>1013</v>
      </c>
      <c r="W3999" s="8"/>
      <c r="AJ3999" s="1"/>
      <c r="AM3999" s="1"/>
    </row>
    <row r="4000">
      <c r="H4000" s="1"/>
      <c r="S4000" s="1" t="s">
        <v>5480</v>
      </c>
      <c r="W4000" s="8"/>
      <c r="AJ4000" s="1"/>
      <c r="AM4000" s="1"/>
    </row>
    <row r="4001">
      <c r="H4001" s="1"/>
      <c r="S4001" s="1" t="s">
        <v>994</v>
      </c>
      <c r="W4001" s="8"/>
      <c r="AJ4001" s="1"/>
      <c r="AM4001" s="1"/>
    </row>
    <row r="4002">
      <c r="H4002" s="1"/>
      <c r="S4002" s="1" t="s">
        <v>774</v>
      </c>
      <c r="W4002" s="8"/>
      <c r="AJ4002" s="1"/>
      <c r="AM4002" s="1"/>
    </row>
    <row r="4003">
      <c r="H4003" s="1"/>
      <c r="S4003" s="1" t="s">
        <v>2794</v>
      </c>
      <c r="W4003" s="8"/>
      <c r="AJ4003" s="1"/>
      <c r="AM4003" s="1"/>
    </row>
    <row r="4004">
      <c r="H4004" s="1"/>
      <c r="S4004" s="1" t="s">
        <v>1959</v>
      </c>
      <c r="W4004" s="8"/>
      <c r="AJ4004" s="1"/>
      <c r="AM4004" s="1"/>
    </row>
    <row r="4005">
      <c r="H4005" s="1"/>
      <c r="S4005" s="1" t="s">
        <v>1912</v>
      </c>
      <c r="W4005" s="8"/>
      <c r="AJ4005" s="1"/>
      <c r="AM4005" s="1"/>
    </row>
    <row r="4006">
      <c r="H4006" s="1"/>
      <c r="S4006" s="1" t="s">
        <v>1415</v>
      </c>
      <c r="W4006" s="8"/>
      <c r="AJ4006" s="1"/>
      <c r="AM4006" s="1"/>
    </row>
    <row r="4007">
      <c r="H4007" s="1"/>
      <c r="S4007" s="1" t="s">
        <v>3822</v>
      </c>
      <c r="W4007" s="8"/>
      <c r="AJ4007" s="1"/>
      <c r="AM4007" s="1"/>
    </row>
    <row r="4008">
      <c r="H4008" s="1"/>
      <c r="S4008" s="1" t="s">
        <v>3134</v>
      </c>
      <c r="W4008" s="8"/>
      <c r="AJ4008" s="1"/>
      <c r="AM4008" s="1"/>
    </row>
    <row r="4009">
      <c r="H4009" s="1"/>
      <c r="S4009" s="1" t="s">
        <v>6217</v>
      </c>
      <c r="W4009" s="8"/>
      <c r="AJ4009" s="1"/>
      <c r="AM4009" s="1"/>
    </row>
    <row r="4010">
      <c r="H4010" s="1"/>
      <c r="S4010" s="1" t="s">
        <v>317</v>
      </c>
      <c r="W4010" s="8"/>
      <c r="AJ4010" s="1"/>
      <c r="AM4010" s="1"/>
    </row>
    <row r="4011">
      <c r="H4011" s="1"/>
      <c r="S4011" s="1" t="s">
        <v>192</v>
      </c>
      <c r="W4011" s="8"/>
      <c r="AJ4011" s="1"/>
      <c r="AM4011" s="1"/>
    </row>
    <row r="4012">
      <c r="H4012" s="1"/>
      <c r="S4012" s="1" t="s">
        <v>2391</v>
      </c>
      <c r="W4012" s="8"/>
      <c r="AJ4012" s="1"/>
      <c r="AM4012" s="1"/>
    </row>
    <row r="4013">
      <c r="H4013" s="1"/>
      <c r="S4013" s="1" t="s">
        <v>55</v>
      </c>
      <c r="W4013" s="8"/>
      <c r="AJ4013" s="1"/>
      <c r="AM4013" s="1"/>
    </row>
    <row r="4014">
      <c r="H4014" s="1"/>
      <c r="S4014" s="1" t="s">
        <v>309</v>
      </c>
      <c r="W4014" s="8"/>
      <c r="AJ4014" s="1"/>
      <c r="AM4014" s="1"/>
    </row>
    <row r="4015">
      <c r="H4015" s="1"/>
      <c r="S4015" s="1" t="s">
        <v>2371</v>
      </c>
      <c r="W4015" s="8"/>
      <c r="AJ4015" s="1"/>
      <c r="AM4015" s="1"/>
    </row>
    <row r="4016">
      <c r="H4016" s="1"/>
      <c r="S4016" s="1" t="s">
        <v>5849</v>
      </c>
      <c r="W4016" s="8"/>
      <c r="AJ4016" s="1"/>
      <c r="AM4016" s="1"/>
    </row>
    <row r="4017">
      <c r="H4017" s="1"/>
      <c r="S4017" s="1" t="s">
        <v>4566</v>
      </c>
      <c r="W4017" s="8"/>
      <c r="AJ4017" s="1"/>
      <c r="AM4017" s="1"/>
    </row>
    <row r="4018">
      <c r="H4018" s="1"/>
      <c r="S4018" s="1" t="s">
        <v>1315</v>
      </c>
      <c r="W4018" s="8"/>
      <c r="AJ4018" s="1"/>
      <c r="AM4018" s="1"/>
    </row>
    <row r="4019">
      <c r="H4019" s="1"/>
      <c r="S4019" s="1" t="s">
        <v>6218</v>
      </c>
      <c r="W4019" s="8"/>
      <c r="AJ4019" s="1"/>
      <c r="AM4019" s="1"/>
    </row>
    <row r="4020">
      <c r="H4020" s="1"/>
      <c r="S4020" s="1" t="s">
        <v>4550</v>
      </c>
      <c r="W4020" s="8"/>
      <c r="AJ4020" s="1"/>
      <c r="AM4020" s="1"/>
    </row>
    <row r="4021">
      <c r="H4021" s="1"/>
      <c r="S4021" s="1" t="s">
        <v>1410</v>
      </c>
      <c r="W4021" s="8"/>
      <c r="AJ4021" s="1"/>
      <c r="AM4021" s="1"/>
    </row>
    <row r="4022">
      <c r="H4022" s="1"/>
      <c r="S4022" s="1" t="s">
        <v>1134</v>
      </c>
      <c r="W4022" s="8"/>
      <c r="AJ4022" s="1"/>
      <c r="AM4022" s="1"/>
    </row>
    <row r="4023">
      <c r="H4023" s="1"/>
      <c r="S4023" s="1" t="s">
        <v>6219</v>
      </c>
      <c r="W4023" s="8"/>
      <c r="AJ4023" s="1"/>
      <c r="AM4023" s="1"/>
    </row>
    <row r="4024">
      <c r="H4024" s="1"/>
      <c r="S4024" s="1" t="s">
        <v>1604</v>
      </c>
      <c r="W4024" s="8"/>
      <c r="AJ4024" s="1"/>
      <c r="AM4024" s="1"/>
    </row>
    <row r="4025">
      <c r="H4025" s="1"/>
      <c r="S4025" s="1" t="s">
        <v>2562</v>
      </c>
      <c r="W4025" s="8"/>
      <c r="AJ4025" s="1"/>
      <c r="AM4025" s="1"/>
    </row>
    <row r="4026">
      <c r="H4026" s="1"/>
      <c r="S4026" s="1" t="s">
        <v>3312</v>
      </c>
      <c r="W4026" s="8"/>
      <c r="AJ4026" s="1"/>
      <c r="AM4026" s="1"/>
    </row>
    <row r="4027">
      <c r="H4027" s="1"/>
      <c r="S4027" s="1" t="s">
        <v>268</v>
      </c>
      <c r="W4027" s="8"/>
      <c r="AJ4027" s="1"/>
      <c r="AM4027" s="1"/>
    </row>
    <row r="4028">
      <c r="H4028" s="1"/>
      <c r="S4028" s="1" t="s">
        <v>3013</v>
      </c>
      <c r="W4028" s="8"/>
      <c r="AJ4028" s="1"/>
      <c r="AM4028" s="1"/>
    </row>
    <row r="4029">
      <c r="H4029" s="1"/>
      <c r="S4029" s="1" t="s">
        <v>344</v>
      </c>
      <c r="W4029" s="8"/>
      <c r="AJ4029" s="1"/>
      <c r="AM4029" s="1"/>
    </row>
    <row r="4030">
      <c r="H4030" s="1"/>
      <c r="S4030" s="1" t="s">
        <v>6220</v>
      </c>
      <c r="W4030" s="8"/>
      <c r="AJ4030" s="1"/>
      <c r="AM4030" s="1"/>
    </row>
    <row r="4031">
      <c r="H4031" s="1"/>
      <c r="S4031" s="1" t="s">
        <v>886</v>
      </c>
      <c r="W4031" s="8"/>
      <c r="AJ4031" s="1"/>
      <c r="AM4031" s="1"/>
    </row>
    <row r="4032">
      <c r="H4032" s="1"/>
      <c r="S4032" s="1" t="s">
        <v>1140</v>
      </c>
      <c r="W4032" s="8"/>
      <c r="AJ4032" s="1"/>
      <c r="AM4032" s="1"/>
    </row>
    <row r="4033">
      <c r="H4033" s="1"/>
      <c r="S4033" s="1" t="s">
        <v>2775</v>
      </c>
      <c r="W4033" s="8"/>
      <c r="AJ4033" s="1"/>
      <c r="AM4033" s="1"/>
    </row>
    <row r="4034">
      <c r="H4034" s="1"/>
      <c r="S4034" s="1" t="s">
        <v>4327</v>
      </c>
      <c r="W4034" s="8"/>
      <c r="AJ4034" s="1"/>
      <c r="AM4034" s="1"/>
    </row>
    <row r="4035">
      <c r="H4035" s="1"/>
      <c r="S4035" s="1" t="s">
        <v>4705</v>
      </c>
      <c r="W4035" s="8"/>
      <c r="AJ4035" s="1"/>
      <c r="AM4035" s="1"/>
    </row>
    <row r="4036">
      <c r="H4036" s="1"/>
      <c r="S4036" s="1" t="s">
        <v>1581</v>
      </c>
      <c r="W4036" s="8"/>
      <c r="AJ4036" s="1"/>
      <c r="AM4036" s="1"/>
    </row>
    <row r="4037">
      <c r="H4037" s="1"/>
      <c r="S4037" s="1" t="s">
        <v>4727</v>
      </c>
      <c r="W4037" s="8"/>
      <c r="AJ4037" s="1"/>
      <c r="AM4037" s="1"/>
    </row>
    <row r="4038">
      <c r="H4038" s="1"/>
      <c r="S4038" s="1" t="s">
        <v>1028</v>
      </c>
      <c r="W4038" s="8"/>
      <c r="AJ4038" s="1"/>
      <c r="AM4038" s="1"/>
    </row>
    <row r="4039">
      <c r="H4039" s="1"/>
      <c r="S4039" s="1" t="s">
        <v>6221</v>
      </c>
      <c r="W4039" s="8"/>
      <c r="AJ4039" s="1"/>
      <c r="AM4039" s="1"/>
    </row>
    <row r="4040">
      <c r="H4040" s="1"/>
      <c r="S4040" s="1" t="s">
        <v>2850</v>
      </c>
      <c r="W4040" s="8"/>
      <c r="AJ4040" s="1"/>
      <c r="AM4040" s="1"/>
    </row>
    <row r="4041">
      <c r="H4041" s="1"/>
      <c r="S4041" s="1" t="s">
        <v>2937</v>
      </c>
      <c r="W4041" s="8"/>
      <c r="AJ4041" s="1"/>
      <c r="AM4041" s="1"/>
    </row>
    <row r="4042">
      <c r="H4042" s="1"/>
      <c r="S4042" s="1" t="s">
        <v>1069</v>
      </c>
      <c r="W4042" s="8"/>
      <c r="AJ4042" s="1"/>
      <c r="AM4042" s="1"/>
    </row>
    <row r="4043">
      <c r="H4043" s="1"/>
      <c r="S4043" s="1" t="s">
        <v>6222</v>
      </c>
      <c r="W4043" s="8"/>
      <c r="AJ4043" s="1"/>
      <c r="AM4043" s="1"/>
    </row>
    <row r="4044">
      <c r="H4044" s="1"/>
      <c r="S4044" s="1" t="s">
        <v>5576</v>
      </c>
      <c r="W4044" s="8"/>
      <c r="AJ4044" s="1"/>
      <c r="AM4044" s="1"/>
    </row>
    <row r="4045">
      <c r="H4045" s="1"/>
      <c r="S4045" s="1" t="s">
        <v>1231</v>
      </c>
      <c r="W4045" s="8"/>
      <c r="AJ4045" s="1"/>
      <c r="AM4045" s="1"/>
    </row>
    <row r="4046">
      <c r="H4046" s="1"/>
      <c r="S4046" s="1" t="s">
        <v>3974</v>
      </c>
      <c r="W4046" s="8"/>
      <c r="AJ4046" s="1"/>
      <c r="AM4046" s="1"/>
    </row>
    <row r="4047">
      <c r="H4047" s="1"/>
      <c r="S4047" s="1" t="s">
        <v>2834</v>
      </c>
      <c r="W4047" s="8"/>
      <c r="AJ4047" s="1"/>
      <c r="AM4047" s="1"/>
    </row>
    <row r="4048">
      <c r="H4048" s="1"/>
      <c r="S4048" s="1" t="s">
        <v>6223</v>
      </c>
      <c r="W4048" s="8"/>
      <c r="AJ4048" s="1"/>
      <c r="AM4048" s="1"/>
    </row>
    <row r="4049">
      <c r="H4049" s="1"/>
      <c r="S4049" s="1" t="s">
        <v>607</v>
      </c>
      <c r="W4049" s="8"/>
      <c r="AJ4049" s="1"/>
      <c r="AM4049" s="1"/>
    </row>
    <row r="4050">
      <c r="H4050" s="1"/>
      <c r="S4050" s="1" t="s">
        <v>3141</v>
      </c>
      <c r="W4050" s="8"/>
      <c r="AJ4050" s="1"/>
      <c r="AM4050" s="1"/>
    </row>
    <row r="4051">
      <c r="H4051" s="1"/>
      <c r="S4051" s="1" t="s">
        <v>1877</v>
      </c>
      <c r="W4051" s="8"/>
      <c r="AJ4051" s="1"/>
      <c r="AM4051" s="1"/>
    </row>
    <row r="4052">
      <c r="H4052" s="1"/>
      <c r="S4052" s="1" t="s">
        <v>6224</v>
      </c>
      <c r="W4052" s="8"/>
      <c r="AJ4052" s="1"/>
      <c r="AM4052" s="1"/>
    </row>
    <row r="4053">
      <c r="H4053" s="1"/>
      <c r="S4053" s="1" t="s">
        <v>6225</v>
      </c>
      <c r="W4053" s="8"/>
      <c r="AJ4053" s="1"/>
      <c r="AM4053" s="1"/>
    </row>
    <row r="4054">
      <c r="H4054" s="1"/>
      <c r="S4054" s="1" t="s">
        <v>248</v>
      </c>
      <c r="W4054" s="8"/>
      <c r="AJ4054" s="1"/>
      <c r="AM4054" s="1"/>
    </row>
    <row r="4055">
      <c r="H4055" s="1"/>
      <c r="S4055" s="1" t="s">
        <v>208</v>
      </c>
      <c r="W4055" s="8"/>
      <c r="AJ4055" s="1"/>
      <c r="AM4055" s="1"/>
    </row>
    <row r="4056">
      <c r="H4056" s="1"/>
      <c r="S4056" s="1" t="s">
        <v>1556</v>
      </c>
      <c r="W4056" s="8"/>
      <c r="AJ4056" s="1"/>
      <c r="AM4056" s="1"/>
    </row>
    <row r="4057">
      <c r="H4057" s="1"/>
      <c r="S4057" s="1" t="s">
        <v>6226</v>
      </c>
      <c r="W4057" s="8"/>
      <c r="AJ4057" s="1"/>
      <c r="AM4057" s="1"/>
    </row>
    <row r="4058">
      <c r="H4058" s="1"/>
      <c r="S4058" s="1" t="s">
        <v>6227</v>
      </c>
      <c r="W4058" s="8"/>
      <c r="AJ4058" s="1"/>
      <c r="AM4058" s="1"/>
    </row>
    <row r="4059">
      <c r="H4059" s="1"/>
      <c r="S4059" s="1" t="s">
        <v>6228</v>
      </c>
      <c r="W4059" s="8"/>
      <c r="AJ4059" s="1"/>
      <c r="AM4059" s="1"/>
    </row>
    <row r="4060">
      <c r="H4060" s="1"/>
      <c r="S4060" s="1" t="s">
        <v>2298</v>
      </c>
      <c r="W4060" s="8"/>
      <c r="AJ4060" s="1"/>
      <c r="AM4060" s="1"/>
    </row>
    <row r="4061">
      <c r="H4061" s="1"/>
      <c r="S4061" s="1" t="s">
        <v>534</v>
      </c>
      <c r="W4061" s="8"/>
      <c r="AJ4061" s="1"/>
      <c r="AM4061" s="1"/>
    </row>
    <row r="4062">
      <c r="H4062" s="1"/>
      <c r="S4062" s="1" t="s">
        <v>4390</v>
      </c>
      <c r="W4062" s="8"/>
      <c r="AJ4062" s="1"/>
      <c r="AM4062" s="1"/>
    </row>
    <row r="4063">
      <c r="H4063" s="1"/>
      <c r="S4063" s="1" t="s">
        <v>3772</v>
      </c>
      <c r="W4063" s="8"/>
      <c r="AJ4063" s="1"/>
      <c r="AM4063" s="1"/>
    </row>
    <row r="4064">
      <c r="H4064" s="1"/>
      <c r="S4064" s="1" t="s">
        <v>2491</v>
      </c>
      <c r="W4064" s="8"/>
      <c r="AJ4064" s="1"/>
      <c r="AM4064" s="1"/>
    </row>
    <row r="4065">
      <c r="H4065" s="1"/>
      <c r="S4065" s="1" t="s">
        <v>5469</v>
      </c>
      <c r="W4065" s="8"/>
      <c r="AJ4065" s="1"/>
      <c r="AM4065" s="1"/>
    </row>
    <row r="4066">
      <c r="H4066" s="1"/>
      <c r="S4066" s="1" t="s">
        <v>1295</v>
      </c>
      <c r="W4066" s="8"/>
      <c r="AJ4066" s="1"/>
      <c r="AM4066" s="1"/>
    </row>
    <row r="4067">
      <c r="H4067" s="1"/>
      <c r="S4067" s="1" t="s">
        <v>2244</v>
      </c>
      <c r="W4067" s="8"/>
      <c r="AJ4067" s="1"/>
      <c r="AM4067" s="1"/>
    </row>
    <row r="4068">
      <c r="H4068" s="1"/>
      <c r="S4068" s="1" t="s">
        <v>1502</v>
      </c>
      <c r="W4068" s="8"/>
      <c r="AJ4068" s="1"/>
      <c r="AM4068" s="1"/>
    </row>
    <row r="4069">
      <c r="H4069" s="1"/>
      <c r="S4069" s="1" t="s">
        <v>6229</v>
      </c>
      <c r="W4069" s="8"/>
      <c r="AJ4069" s="1"/>
      <c r="AM4069" s="1"/>
    </row>
    <row r="4070">
      <c r="H4070" s="1"/>
      <c r="S4070" s="1" t="s">
        <v>2033</v>
      </c>
      <c r="W4070" s="8"/>
      <c r="AJ4070" s="1"/>
      <c r="AM4070" s="1"/>
    </row>
    <row r="4071">
      <c r="H4071" s="1"/>
      <c r="S4071" s="1" t="s">
        <v>2984</v>
      </c>
      <c r="W4071" s="8"/>
      <c r="AJ4071" s="1"/>
      <c r="AM4071" s="1"/>
    </row>
    <row r="4072">
      <c r="H4072" s="1"/>
      <c r="S4072" s="1" t="s">
        <v>2979</v>
      </c>
      <c r="W4072" s="8"/>
      <c r="AJ4072" s="1"/>
      <c r="AM4072" s="1"/>
    </row>
    <row r="4073">
      <c r="H4073" s="1"/>
      <c r="S4073" s="1" t="s">
        <v>1296</v>
      </c>
      <c r="W4073" s="8"/>
      <c r="AJ4073" s="1"/>
      <c r="AM4073" s="1"/>
    </row>
  </sheetData>
  <conditionalFormatting sqref="W1:W230">
    <cfRule type="notContainsBlanks" dxfId="0" priority="1">
      <formula>LEN(TRIM(W1))&gt;0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6230</v>
      </c>
      <c r="B1" s="1" t="s">
        <v>6231</v>
      </c>
      <c r="C1" s="1" t="s">
        <v>15</v>
      </c>
      <c r="E1" s="12" t="s">
        <v>6232</v>
      </c>
      <c r="F1" s="1" t="s">
        <v>6233</v>
      </c>
      <c r="G1" s="1" t="s">
        <v>6234</v>
      </c>
    </row>
    <row r="2">
      <c r="A2" s="13" t="s">
        <v>337</v>
      </c>
      <c r="B2" s="13" t="s">
        <v>164</v>
      </c>
      <c r="C2" s="13" t="s">
        <v>164</v>
      </c>
      <c r="E2" s="4" t="str">
        <f>IFERROR(__xludf.DUMMYFUNCTION("filter(A:A, MATCH(A:A,B:B , false))"),"bad")</f>
        <v>bad</v>
      </c>
      <c r="F2" s="4" t="str">
        <f>IFERROR(__xludf.DUMMYFUNCTION("filter(A:A, MATCH(A:A,C:C , false))"),"bad")</f>
        <v>bad</v>
      </c>
      <c r="G2" s="4" t="str">
        <f>IFERROR(__xludf.DUMMYFUNCTION("filter(B:B, MATCH(B:B,C:C , false))"),"worst")</f>
        <v>worst</v>
      </c>
    </row>
    <row r="3">
      <c r="A3" s="13" t="s">
        <v>3135</v>
      </c>
      <c r="B3" s="13" t="s">
        <v>3135</v>
      </c>
      <c r="C3" s="13" t="s">
        <v>614</v>
      </c>
      <c r="E3" s="6" t="str">
        <f>IFERROR(__xludf.DUMMYFUNCTION("""COMPUTED_VALUE"""),"lacks")</f>
        <v>lacks</v>
      </c>
      <c r="F3" s="6" t="str">
        <f>IFERROR(__xludf.DUMMYFUNCTION("""COMPUTED_VALUE"""),"no")</f>
        <v>no</v>
      </c>
      <c r="G3" s="6" t="str">
        <f>IFERROR(__xludf.DUMMYFUNCTION("""COMPUTED_VALUE"""),"lacking")</f>
        <v>lacking</v>
      </c>
    </row>
    <row r="4">
      <c r="A4" s="13" t="s">
        <v>60</v>
      </c>
      <c r="B4" s="13" t="s">
        <v>1545</v>
      </c>
      <c r="C4" s="13" t="s">
        <v>1545</v>
      </c>
      <c r="E4" s="6" t="str">
        <f>IFERROR(__xludf.DUMMYFUNCTION("""COMPUTED_VALUE"""),"too")</f>
        <v>too</v>
      </c>
      <c r="F4" s="6" t="str">
        <f>IFERROR(__xludf.DUMMYFUNCTION("""COMPUTED_VALUE"""),"dull")</f>
        <v>dull</v>
      </c>
      <c r="G4" s="6" t="str">
        <f>IFERROR(__xludf.DUMMYFUNCTION("""COMPUTED_VALUE"""),"stupid")</f>
        <v>stupid</v>
      </c>
    </row>
    <row r="5">
      <c r="A5" s="13" t="s">
        <v>2490</v>
      </c>
      <c r="B5" s="13" t="s">
        <v>1770</v>
      </c>
      <c r="C5" s="13" t="s">
        <v>4932</v>
      </c>
      <c r="E5" s="6" t="str">
        <f>IFERROR(__xludf.DUMMYFUNCTION("""COMPUTED_VALUE"""),"no")</f>
        <v>no</v>
      </c>
      <c r="F5" s="6" t="str">
        <f>IFERROR(__xludf.DUMMYFUNCTION("""COMPUTED_VALUE"""),"waste")</f>
        <v>waste</v>
      </c>
      <c r="G5" s="6" t="str">
        <f>IFERROR(__xludf.DUMMYFUNCTION("""COMPUTED_VALUE"""),"failure")</f>
        <v>failure</v>
      </c>
    </row>
    <row r="6">
      <c r="A6" s="13" t="s">
        <v>89</v>
      </c>
      <c r="B6" s="13" t="s">
        <v>2138</v>
      </c>
      <c r="C6" s="13" t="s">
        <v>3277</v>
      </c>
      <c r="E6" s="6" t="str">
        <f>IFERROR(__xludf.DUMMYFUNCTION("""COMPUTED_VALUE"""),"best")</f>
        <v>best</v>
      </c>
      <c r="F6" s="6" t="str">
        <f>IFERROR(__xludf.DUMMYFUNCTION("""COMPUTED_VALUE"""),"lack")</f>
        <v>lack</v>
      </c>
      <c r="G6" s="6" t="str">
        <f>IFERROR(__xludf.DUMMYFUNCTION("""COMPUTED_VALUE"""),"beautiful")</f>
        <v>beautiful</v>
      </c>
    </row>
    <row r="7">
      <c r="A7" s="13" t="s">
        <v>6235</v>
      </c>
      <c r="B7" s="13" t="s">
        <v>398</v>
      </c>
      <c r="C7" s="13" t="s">
        <v>6236</v>
      </c>
      <c r="E7" s="6" t="str">
        <f>IFERROR(__xludf.DUMMYFUNCTION("""COMPUTED_VALUE"""),"dull")</f>
        <v>dull</v>
      </c>
      <c r="G7" s="6" t="str">
        <f>IFERROR(__xludf.DUMMYFUNCTION("""COMPUTED_VALUE"""),"fascinating")</f>
        <v>fascinating</v>
      </c>
    </row>
    <row r="8">
      <c r="A8" s="13" t="s">
        <v>1188</v>
      </c>
      <c r="B8" s="13" t="s">
        <v>2559</v>
      </c>
      <c r="C8" s="13" t="s">
        <v>6237</v>
      </c>
      <c r="E8" s="6" t="str">
        <f>IFERROR(__xludf.DUMMYFUNCTION("""COMPUTED_VALUE"""),"waste")</f>
        <v>waste</v>
      </c>
      <c r="G8" s="6" t="str">
        <f>IFERROR(__xludf.DUMMYFUNCTION("""COMPUTED_VALUE"""),"wonderful")</f>
        <v>wonderful</v>
      </c>
    </row>
    <row r="9">
      <c r="A9" s="13" t="s">
        <v>43</v>
      </c>
      <c r="B9" s="13" t="s">
        <v>1618</v>
      </c>
      <c r="C9" s="13" t="s">
        <v>789</v>
      </c>
      <c r="E9" s="6" t="str">
        <f>IFERROR(__xludf.DUMMYFUNCTION("""COMPUTED_VALUE"""),"less")</f>
        <v>less</v>
      </c>
      <c r="G9" s="6" t="str">
        <f>IFERROR(__xludf.DUMMYFUNCTION("""COMPUTED_VALUE"""),"bad")</f>
        <v>bad</v>
      </c>
    </row>
    <row r="10">
      <c r="A10" s="13" t="s">
        <v>2258</v>
      </c>
      <c r="B10" s="13" t="s">
        <v>98</v>
      </c>
      <c r="C10" s="13" t="s">
        <v>125</v>
      </c>
      <c r="E10" s="6" t="str">
        <f>IFERROR(__xludf.DUMMYFUNCTION("""COMPUTED_VALUE"""),"lack")</f>
        <v>lack</v>
      </c>
      <c r="G10" s="6" t="str">
        <f>IFERROR(__xludf.DUMMYFUNCTION("""COMPUTED_VALUE"""),"enjoyable")</f>
        <v>enjoyable</v>
      </c>
    </row>
    <row r="11">
      <c r="A11" s="13" t="s">
        <v>146</v>
      </c>
      <c r="B11" s="13" t="s">
        <v>354</v>
      </c>
      <c r="C11" s="13" t="s">
        <v>1422</v>
      </c>
      <c r="E11" s="6" t="str">
        <f>IFERROR(__xludf.DUMMYFUNCTION("""COMPUTED_VALUE"""),"solid")</f>
        <v>solid</v>
      </c>
      <c r="G11" s="6" t="str">
        <f>IFERROR(__xludf.DUMMYFUNCTION("""COMPUTED_VALUE"""),"devoid")</f>
        <v>devoid</v>
      </c>
    </row>
    <row r="12">
      <c r="A12" s="13" t="s">
        <v>749</v>
      </c>
      <c r="B12" s="13" t="s">
        <v>3015</v>
      </c>
      <c r="C12" s="13" t="s">
        <v>865</v>
      </c>
      <c r="E12" s="6" t="str">
        <f>IFERROR(__xludf.DUMMYFUNCTION("""COMPUTED_VALUE"""),"touching")</f>
        <v>touching</v>
      </c>
      <c r="G12" s="6" t="str">
        <f>IFERROR(__xludf.DUMMYFUNCTION("""COMPUTED_VALUE"""),"lack")</f>
        <v>lack</v>
      </c>
    </row>
    <row r="13">
      <c r="A13" s="13" t="s">
        <v>299</v>
      </c>
      <c r="B13" s="13" t="s">
        <v>3821</v>
      </c>
      <c r="C13" s="13" t="s">
        <v>666</v>
      </c>
      <c r="G13" s="6" t="str">
        <f>IFERROR(__xludf.DUMMYFUNCTION("""COMPUTED_VALUE"""),"waste")</f>
        <v>waste</v>
      </c>
    </row>
    <row r="14">
      <c r="A14" s="13" t="s">
        <v>1370</v>
      </c>
      <c r="B14" s="13" t="s">
        <v>337</v>
      </c>
      <c r="C14" s="13" t="s">
        <v>1718</v>
      </c>
      <c r="G14" s="6" t="str">
        <f>IFERROR(__xludf.DUMMYFUNCTION("""COMPUTED_VALUE"""),"refreshing")</f>
        <v>refreshing</v>
      </c>
    </row>
    <row r="15">
      <c r="A15" s="13" t="s">
        <v>2034</v>
      </c>
      <c r="B15" s="13" t="s">
        <v>2376</v>
      </c>
      <c r="C15" s="13" t="s">
        <v>4615</v>
      </c>
      <c r="G15" s="6" t="str">
        <f>IFERROR(__xludf.DUMMYFUNCTION("""COMPUTED_VALUE"""),"terrific")</f>
        <v>terrific</v>
      </c>
    </row>
    <row r="16">
      <c r="A16" s="13" t="s">
        <v>3277</v>
      </c>
      <c r="B16" s="13" t="s">
        <v>2502</v>
      </c>
      <c r="C16" s="13" t="s">
        <v>1030</v>
      </c>
      <c r="G16" s="6" t="str">
        <f>IFERROR(__xludf.DUMMYFUNCTION("""COMPUTED_VALUE"""),"pointless")</f>
        <v>pointless</v>
      </c>
    </row>
    <row r="17">
      <c r="A17" s="13" t="s">
        <v>748</v>
      </c>
      <c r="B17" s="13" t="s">
        <v>2616</v>
      </c>
      <c r="C17" s="13" t="s">
        <v>559</v>
      </c>
      <c r="G17" s="6" t="str">
        <f>IFERROR(__xludf.DUMMYFUNCTION("""COMPUTED_VALUE"""),"poorly")</f>
        <v>poorly</v>
      </c>
    </row>
    <row r="18">
      <c r="A18" s="13" t="s">
        <v>6238</v>
      </c>
      <c r="B18" s="13" t="s">
        <v>1097</v>
      </c>
      <c r="C18" s="13" t="s">
        <v>6239</v>
      </c>
      <c r="G18" s="6" t="str">
        <f>IFERROR(__xludf.DUMMYFUNCTION("""COMPUTED_VALUE"""),"neither")</f>
        <v>neither</v>
      </c>
    </row>
    <row r="19">
      <c r="A19" s="13" t="s">
        <v>2062</v>
      </c>
      <c r="B19" s="13" t="s">
        <v>3277</v>
      </c>
      <c r="C19" s="13" t="s">
        <v>1618</v>
      </c>
      <c r="G19" s="6" t="str">
        <f>IFERROR(__xludf.DUMMYFUNCTION("""COMPUTED_VALUE"""),"dull")</f>
        <v>dull</v>
      </c>
    </row>
    <row r="20">
      <c r="A20" s="13" t="s">
        <v>664</v>
      </c>
      <c r="B20" s="13" t="s">
        <v>3780</v>
      </c>
      <c r="C20" s="13" t="s">
        <v>1287</v>
      </c>
      <c r="G20" s="6" t="str">
        <f>IFERROR(__xludf.DUMMYFUNCTION("""COMPUTED_VALUE"""),"poor")</f>
        <v>poor</v>
      </c>
    </row>
    <row r="21">
      <c r="A21" s="13" t="s">
        <v>87</v>
      </c>
      <c r="B21" s="13" t="s">
        <v>1335</v>
      </c>
      <c r="C21" s="13" t="s">
        <v>2502</v>
      </c>
      <c r="G21" s="6" t="str">
        <f>IFERROR(__xludf.DUMMYFUNCTION("""COMPUTED_VALUE"""),"ugly")</f>
        <v>ugly</v>
      </c>
    </row>
    <row r="22">
      <c r="A22" s="13" t="s">
        <v>1021</v>
      </c>
      <c r="B22" s="13" t="s">
        <v>1280</v>
      </c>
      <c r="C22" s="13" t="s">
        <v>2034</v>
      </c>
      <c r="G22" s="6" t="str">
        <f>IFERROR(__xludf.DUMMYFUNCTION("""COMPUTED_VALUE"""),"unnecessary")</f>
        <v>unnecessary</v>
      </c>
    </row>
    <row r="23">
      <c r="A23" s="13" t="s">
        <v>239</v>
      </c>
      <c r="B23" s="13" t="s">
        <v>2955</v>
      </c>
      <c r="C23" s="13" t="s">
        <v>6240</v>
      </c>
      <c r="G23" s="6" t="str">
        <f>IFERROR(__xludf.DUMMYFUNCTION("""COMPUTED_VALUE"""),"no")</f>
        <v>no</v>
      </c>
    </row>
    <row r="24">
      <c r="A24" s="13" t="s">
        <v>800</v>
      </c>
      <c r="B24" s="13" t="s">
        <v>60</v>
      </c>
      <c r="C24" s="13" t="s">
        <v>1097</v>
      </c>
      <c r="G24" s="6" t="str">
        <f>IFERROR(__xludf.DUMMYFUNCTION("""COMPUTED_VALUE"""),"brilliant")</f>
        <v>brilliant</v>
      </c>
    </row>
    <row r="25">
      <c r="A25" s="13" t="s">
        <v>6241</v>
      </c>
      <c r="B25" s="13" t="s">
        <v>125</v>
      </c>
      <c r="C25" s="13" t="s">
        <v>3015</v>
      </c>
    </row>
    <row r="26">
      <c r="A26" s="13" t="s">
        <v>1097</v>
      </c>
      <c r="B26" s="13" t="s">
        <v>614</v>
      </c>
      <c r="C26" s="13" t="s">
        <v>354</v>
      </c>
      <c r="E26" s="6">
        <f> 11/50</f>
        <v>0.22</v>
      </c>
      <c r="F26" s="6">
        <f>5/51</f>
        <v>0.09803921569</v>
      </c>
      <c r="G26" s="6">
        <f>23/50</f>
        <v>0.46</v>
      </c>
    </row>
    <row r="27">
      <c r="A27" s="13" t="s">
        <v>229</v>
      </c>
      <c r="B27" s="13" t="s">
        <v>6242</v>
      </c>
      <c r="C27" s="13" t="s">
        <v>2376</v>
      </c>
    </row>
    <row r="28">
      <c r="A28" s="13" t="s">
        <v>6243</v>
      </c>
      <c r="B28" s="13" t="s">
        <v>1773</v>
      </c>
      <c r="C28" s="13" t="s">
        <v>1380</v>
      </c>
    </row>
    <row r="29">
      <c r="A29" s="13" t="s">
        <v>2101</v>
      </c>
      <c r="B29" s="13" t="s">
        <v>6244</v>
      </c>
      <c r="C29" s="13" t="s">
        <v>1280</v>
      </c>
    </row>
    <row r="30">
      <c r="A30" s="13" t="s">
        <v>276</v>
      </c>
      <c r="B30" s="13" t="s">
        <v>299</v>
      </c>
      <c r="C30" s="13" t="s">
        <v>2882</v>
      </c>
    </row>
    <row r="31">
      <c r="A31" s="13" t="s">
        <v>6245</v>
      </c>
      <c r="B31" s="13" t="s">
        <v>1560</v>
      </c>
      <c r="C31" s="13" t="s">
        <v>6246</v>
      </c>
    </row>
    <row r="32">
      <c r="A32" s="13" t="s">
        <v>2955</v>
      </c>
      <c r="B32" s="13" t="s">
        <v>748</v>
      </c>
      <c r="C32" s="13" t="s">
        <v>267</v>
      </c>
    </row>
    <row r="33">
      <c r="A33" s="13" t="s">
        <v>6247</v>
      </c>
      <c r="B33" s="13" t="s">
        <v>6248</v>
      </c>
      <c r="C33" s="13" t="s">
        <v>2578</v>
      </c>
    </row>
    <row r="34">
      <c r="A34" s="13" t="s">
        <v>6249</v>
      </c>
      <c r="B34" s="13" t="s">
        <v>3420</v>
      </c>
      <c r="C34" s="13" t="s">
        <v>2559</v>
      </c>
    </row>
    <row r="35">
      <c r="A35" s="13" t="s">
        <v>326</v>
      </c>
      <c r="B35" s="13" t="s">
        <v>2034</v>
      </c>
      <c r="C35" s="13" t="s">
        <v>1209</v>
      </c>
    </row>
    <row r="36">
      <c r="A36" s="13" t="s">
        <v>6250</v>
      </c>
      <c r="B36" s="13" t="s">
        <v>6251</v>
      </c>
      <c r="C36" s="13" t="s">
        <v>2799</v>
      </c>
    </row>
    <row r="37">
      <c r="A37" s="13" t="s">
        <v>120</v>
      </c>
      <c r="B37" s="13" t="s">
        <v>1110</v>
      </c>
      <c r="C37" s="13" t="s">
        <v>48</v>
      </c>
    </row>
    <row r="38">
      <c r="A38" s="13" t="s">
        <v>6252</v>
      </c>
      <c r="B38" s="13" t="s">
        <v>6239</v>
      </c>
      <c r="C38" s="13" t="s">
        <v>2415</v>
      </c>
    </row>
    <row r="39">
      <c r="A39" s="13" t="s">
        <v>6253</v>
      </c>
      <c r="B39" s="13" t="s">
        <v>3031</v>
      </c>
      <c r="C39" s="13" t="s">
        <v>6254</v>
      </c>
    </row>
    <row r="40">
      <c r="A40" s="13" t="s">
        <v>1443</v>
      </c>
      <c r="B40" s="13" t="s">
        <v>2001</v>
      </c>
      <c r="C40" s="13" t="s">
        <v>98</v>
      </c>
    </row>
    <row r="41">
      <c r="A41" s="13" t="s">
        <v>188</v>
      </c>
      <c r="B41" s="13" t="s">
        <v>2053</v>
      </c>
      <c r="C41" s="13" t="s">
        <v>3711</v>
      </c>
    </row>
    <row r="42">
      <c r="A42" s="13" t="s">
        <v>6255</v>
      </c>
      <c r="B42" s="13" t="s">
        <v>789</v>
      </c>
      <c r="C42" s="13" t="s">
        <v>6256</v>
      </c>
    </row>
    <row r="43">
      <c r="A43" s="13" t="s">
        <v>4954</v>
      </c>
      <c r="B43" s="13" t="s">
        <v>6257</v>
      </c>
      <c r="C43" s="13" t="s">
        <v>1786</v>
      </c>
    </row>
    <row r="44">
      <c r="A44" s="13" t="s">
        <v>133</v>
      </c>
      <c r="B44" s="13" t="s">
        <v>1669</v>
      </c>
      <c r="C44" s="13" t="s">
        <v>3780</v>
      </c>
    </row>
    <row r="45">
      <c r="A45" s="13" t="s">
        <v>1779</v>
      </c>
      <c r="B45" s="13" t="s">
        <v>2415</v>
      </c>
      <c r="C45" s="13" t="s">
        <v>6258</v>
      </c>
    </row>
    <row r="46">
      <c r="A46" s="13" t="s">
        <v>1715</v>
      </c>
      <c r="B46" s="13" t="s">
        <v>133</v>
      </c>
      <c r="C46" s="13" t="s">
        <v>2402</v>
      </c>
    </row>
    <row r="47">
      <c r="A47" s="13" t="s">
        <v>6259</v>
      </c>
      <c r="B47" s="13" t="s">
        <v>89</v>
      </c>
      <c r="C47" s="13" t="s">
        <v>2430</v>
      </c>
    </row>
    <row r="48">
      <c r="A48" s="13" t="s">
        <v>6260</v>
      </c>
      <c r="B48" s="13" t="s">
        <v>6261</v>
      </c>
      <c r="C48" s="13" t="s">
        <v>3420</v>
      </c>
    </row>
    <row r="49">
      <c r="A49" s="13" t="s">
        <v>6262</v>
      </c>
      <c r="B49" s="13" t="s">
        <v>1209</v>
      </c>
      <c r="C49" s="13" t="s">
        <v>89</v>
      </c>
    </row>
    <row r="50">
      <c r="A50" s="13" t="s">
        <v>371</v>
      </c>
      <c r="B50" s="13" t="s">
        <v>635</v>
      </c>
      <c r="C50" s="13" t="s">
        <v>5211</v>
      </c>
    </row>
    <row r="51">
      <c r="A51" s="13" t="s">
        <v>2921</v>
      </c>
      <c r="B51" s="13" t="s">
        <v>2095</v>
      </c>
      <c r="C51" s="13" t="s">
        <v>337</v>
      </c>
    </row>
    <row r="52">
      <c r="A52" s="14"/>
      <c r="B52" s="13" t="s">
        <v>2517</v>
      </c>
      <c r="C52" s="15" t="s">
        <v>278</v>
      </c>
    </row>
    <row r="53">
      <c r="A53" s="13"/>
      <c r="B53" s="13"/>
    </row>
    <row r="54">
      <c r="A54" s="13"/>
      <c r="B54" s="13"/>
    </row>
    <row r="55">
      <c r="A55" s="13"/>
      <c r="B55" s="13"/>
    </row>
    <row r="56">
      <c r="A56" s="13"/>
      <c r="B56" s="13"/>
    </row>
    <row r="57">
      <c r="A57" s="13"/>
      <c r="B57" s="13"/>
    </row>
    <row r="58">
      <c r="A58" s="13"/>
      <c r="B58" s="13"/>
    </row>
    <row r="59">
      <c r="A59" s="13"/>
      <c r="B59" s="13"/>
    </row>
    <row r="60">
      <c r="A60" s="13"/>
      <c r="B60" s="13"/>
    </row>
    <row r="61">
      <c r="A61" s="13"/>
      <c r="B61" s="13"/>
    </row>
    <row r="62">
      <c r="A62" s="13"/>
      <c r="B62" s="13"/>
    </row>
    <row r="63">
      <c r="A63" s="13"/>
      <c r="B63" s="13"/>
    </row>
    <row r="64">
      <c r="A64" s="13"/>
      <c r="B64" s="13"/>
    </row>
    <row r="65">
      <c r="A65" s="13"/>
      <c r="B65" s="13"/>
    </row>
    <row r="66">
      <c r="A66" s="13"/>
      <c r="B66" s="13"/>
    </row>
    <row r="67">
      <c r="A67" s="13"/>
      <c r="B67" s="13"/>
    </row>
    <row r="68">
      <c r="A68" s="13"/>
      <c r="B68" s="13"/>
    </row>
    <row r="69">
      <c r="A69" s="13"/>
      <c r="B69" s="13"/>
    </row>
    <row r="70">
      <c r="A70" s="13"/>
      <c r="B70" s="13"/>
    </row>
    <row r="71">
      <c r="A71" s="13"/>
      <c r="B71" s="13"/>
    </row>
    <row r="72">
      <c r="A72" s="13"/>
      <c r="B72" s="13"/>
    </row>
    <row r="73">
      <c r="A73" s="13"/>
      <c r="B73" s="13"/>
    </row>
    <row r="74">
      <c r="A74" s="13"/>
      <c r="B74" s="13"/>
    </row>
    <row r="75">
      <c r="A75" s="13"/>
      <c r="B75" s="13"/>
    </row>
    <row r="76">
      <c r="A76" s="13"/>
      <c r="B76" s="13"/>
    </row>
    <row r="77">
      <c r="A77" s="13"/>
      <c r="B77" s="13"/>
    </row>
    <row r="78">
      <c r="A78" s="13"/>
      <c r="B78" s="13"/>
    </row>
    <row r="79">
      <c r="A79" s="13"/>
      <c r="B79" s="13"/>
    </row>
    <row r="80">
      <c r="A80" s="13"/>
      <c r="B80" s="13"/>
    </row>
    <row r="81">
      <c r="A81" s="13"/>
      <c r="B81" s="13"/>
    </row>
    <row r="82">
      <c r="A82" s="13"/>
      <c r="B82" s="13"/>
    </row>
    <row r="83">
      <c r="A83" s="13"/>
      <c r="B83" s="13"/>
    </row>
    <row r="84">
      <c r="A84" s="13"/>
      <c r="B84" s="13"/>
    </row>
    <row r="85">
      <c r="A85" s="13"/>
      <c r="B85" s="13"/>
    </row>
    <row r="86">
      <c r="A86" s="13"/>
      <c r="B86" s="13"/>
    </row>
    <row r="87">
      <c r="A87" s="13"/>
      <c r="B87" s="13"/>
    </row>
    <row r="88">
      <c r="A88" s="13"/>
      <c r="B88" s="13"/>
    </row>
    <row r="89">
      <c r="A89" s="13"/>
      <c r="B89" s="13"/>
    </row>
    <row r="90">
      <c r="A90" s="13"/>
      <c r="B90" s="13"/>
    </row>
    <row r="91">
      <c r="A91" s="13"/>
      <c r="B91" s="13"/>
    </row>
    <row r="92">
      <c r="A92" s="13"/>
      <c r="B92" s="13"/>
    </row>
    <row r="93">
      <c r="A93" s="13"/>
      <c r="B93" s="13"/>
    </row>
    <row r="94">
      <c r="A94" s="13"/>
      <c r="B94" s="13"/>
    </row>
    <row r="95">
      <c r="A95" s="13"/>
      <c r="B95" s="13"/>
    </row>
    <row r="96">
      <c r="A96" s="13"/>
      <c r="B96" s="13"/>
    </row>
    <row r="97">
      <c r="A97" s="13"/>
      <c r="B97" s="13"/>
    </row>
    <row r="98">
      <c r="A98" s="13"/>
      <c r="B98" s="13"/>
    </row>
    <row r="99">
      <c r="A99" s="13"/>
      <c r="B99" s="13"/>
    </row>
    <row r="100">
      <c r="A100" s="13"/>
      <c r="B100" s="13"/>
    </row>
    <row r="101">
      <c r="A101" s="13"/>
      <c r="B101" s="13"/>
    </row>
    <row r="102">
      <c r="A102" s="13"/>
      <c r="B102" s="13"/>
    </row>
    <row r="103">
      <c r="A103" s="13"/>
      <c r="B103" s="13"/>
    </row>
    <row r="104">
      <c r="A104" s="13"/>
      <c r="B104" s="13"/>
    </row>
    <row r="105">
      <c r="A105" s="13"/>
      <c r="B105" s="13"/>
    </row>
    <row r="106">
      <c r="A106" s="13"/>
      <c r="B106" s="13"/>
    </row>
    <row r="107">
      <c r="A107" s="13"/>
      <c r="B107" s="13"/>
    </row>
    <row r="108">
      <c r="A108" s="13"/>
      <c r="B108" s="13"/>
    </row>
    <row r="109">
      <c r="A109" s="13"/>
      <c r="B109" s="13"/>
    </row>
    <row r="110">
      <c r="A110" s="13"/>
      <c r="B110" s="13"/>
    </row>
    <row r="111">
      <c r="A111" s="13"/>
      <c r="B111" s="13"/>
    </row>
    <row r="112">
      <c r="A112" s="13"/>
      <c r="B112" s="13"/>
    </row>
    <row r="113">
      <c r="A113" s="13"/>
      <c r="B113" s="13"/>
    </row>
    <row r="114">
      <c r="A114" s="13"/>
      <c r="B114" s="13"/>
    </row>
    <row r="115">
      <c r="A115" s="13"/>
      <c r="B115" s="13"/>
    </row>
    <row r="116">
      <c r="A116" s="13"/>
      <c r="B116" s="13"/>
    </row>
    <row r="117">
      <c r="A117" s="13"/>
      <c r="B117" s="13"/>
    </row>
    <row r="118">
      <c r="A118" s="13"/>
      <c r="B118" s="13"/>
    </row>
    <row r="119">
      <c r="A119" s="13"/>
      <c r="B119" s="13"/>
    </row>
    <row r="120">
      <c r="A120" s="13"/>
      <c r="B120" s="13"/>
    </row>
    <row r="121">
      <c r="A121" s="13"/>
      <c r="B121" s="13"/>
    </row>
    <row r="122">
      <c r="A122" s="13"/>
      <c r="B122" s="13"/>
    </row>
    <row r="123">
      <c r="A123" s="13"/>
      <c r="B123" s="13"/>
    </row>
    <row r="124">
      <c r="A124" s="13"/>
      <c r="B124" s="13"/>
    </row>
    <row r="125">
      <c r="A125" s="13"/>
      <c r="B125" s="13"/>
    </row>
    <row r="126">
      <c r="A126" s="13"/>
      <c r="B126" s="13"/>
    </row>
    <row r="127">
      <c r="A127" s="13"/>
      <c r="B127" s="13"/>
    </row>
    <row r="128">
      <c r="A128" s="13"/>
      <c r="B128" s="13"/>
    </row>
    <row r="129">
      <c r="A129" s="13"/>
      <c r="B129" s="13"/>
    </row>
    <row r="130">
      <c r="A130" s="13"/>
      <c r="B130" s="13"/>
    </row>
    <row r="131">
      <c r="A131" s="13"/>
      <c r="B131" s="13"/>
    </row>
    <row r="132">
      <c r="A132" s="16"/>
      <c r="B132" s="16"/>
    </row>
    <row r="133">
      <c r="A133" s="13"/>
      <c r="B133" s="13"/>
    </row>
    <row r="134">
      <c r="A134" s="13"/>
      <c r="B134" s="13"/>
    </row>
    <row r="135">
      <c r="A135" s="13"/>
      <c r="B135" s="13"/>
    </row>
    <row r="136">
      <c r="A136" s="13"/>
      <c r="B136" s="13"/>
    </row>
    <row r="137">
      <c r="A137" s="13"/>
      <c r="B137" s="13"/>
    </row>
    <row r="138">
      <c r="A138" s="13"/>
      <c r="B138" s="13"/>
    </row>
    <row r="139">
      <c r="A139" s="13"/>
      <c r="B139" s="13"/>
    </row>
    <row r="140">
      <c r="A140" s="13"/>
      <c r="B140" s="13"/>
    </row>
    <row r="141">
      <c r="A141" s="13"/>
      <c r="B141" s="13"/>
    </row>
    <row r="142">
      <c r="A142" s="13"/>
      <c r="B142" s="13"/>
    </row>
    <row r="143">
      <c r="A143" s="13"/>
      <c r="B143" s="13"/>
    </row>
    <row r="144">
      <c r="A144" s="13"/>
      <c r="B144" s="13"/>
    </row>
    <row r="145">
      <c r="A145" s="13"/>
      <c r="B145" s="13"/>
    </row>
    <row r="146">
      <c r="A146" s="13"/>
      <c r="B146" s="13"/>
    </row>
    <row r="147">
      <c r="A147" s="13"/>
      <c r="B147" s="13"/>
    </row>
    <row r="148">
      <c r="A148" s="13"/>
      <c r="B148" s="13"/>
    </row>
    <row r="149">
      <c r="A149" s="13"/>
      <c r="B149" s="13"/>
    </row>
    <row r="150">
      <c r="A150" s="13"/>
      <c r="B150" s="13"/>
    </row>
    <row r="151">
      <c r="A151" s="13"/>
      <c r="B151" s="13"/>
    </row>
    <row r="152">
      <c r="A152" s="13"/>
      <c r="B152" s="13"/>
    </row>
    <row r="153">
      <c r="A153" s="13"/>
      <c r="B153" s="13"/>
    </row>
    <row r="154">
      <c r="A154" s="13"/>
      <c r="B154" s="13"/>
    </row>
    <row r="155">
      <c r="A155" s="13"/>
      <c r="B155" s="13"/>
    </row>
    <row r="156">
      <c r="A156" s="13"/>
      <c r="B156" s="13"/>
    </row>
    <row r="157">
      <c r="A157" s="13"/>
      <c r="B157" s="13"/>
    </row>
    <row r="158">
      <c r="A158" s="13"/>
      <c r="B158" s="13"/>
    </row>
    <row r="159">
      <c r="A159" s="13"/>
      <c r="B159" s="13"/>
    </row>
    <row r="160">
      <c r="A160" s="13"/>
      <c r="B160" s="13"/>
    </row>
    <row r="161">
      <c r="A161" s="13"/>
      <c r="B161" s="13"/>
    </row>
    <row r="162">
      <c r="A162" s="13"/>
      <c r="B162" s="13"/>
    </row>
    <row r="163">
      <c r="A163" s="13"/>
      <c r="B163" s="13"/>
    </row>
    <row r="164">
      <c r="A164" s="13"/>
      <c r="B164" s="13"/>
    </row>
    <row r="165">
      <c r="A165" s="13"/>
      <c r="B165" s="13"/>
    </row>
    <row r="166">
      <c r="A166" s="13"/>
      <c r="B166" s="13"/>
    </row>
    <row r="167">
      <c r="A167" s="13"/>
      <c r="B167" s="13"/>
    </row>
    <row r="168">
      <c r="A168" s="13"/>
      <c r="B168" s="13"/>
    </row>
    <row r="169">
      <c r="A169" s="13"/>
      <c r="B169" s="13"/>
    </row>
    <row r="170">
      <c r="A170" s="13"/>
      <c r="B170" s="13"/>
    </row>
    <row r="171">
      <c r="A171" s="13"/>
      <c r="B171" s="13"/>
    </row>
    <row r="172">
      <c r="A172" s="13"/>
      <c r="B172" s="13"/>
    </row>
    <row r="173">
      <c r="A173" s="13"/>
      <c r="B173" s="13"/>
    </row>
    <row r="174">
      <c r="A174" s="13"/>
      <c r="B174" s="13"/>
    </row>
    <row r="175">
      <c r="A175" s="13"/>
      <c r="B175" s="13"/>
    </row>
    <row r="176">
      <c r="A176" s="13"/>
      <c r="B176" s="13"/>
    </row>
    <row r="177">
      <c r="A177" s="17"/>
      <c r="B177" s="17"/>
    </row>
    <row r="178">
      <c r="A178" s="13"/>
      <c r="B178" s="13"/>
    </row>
    <row r="179">
      <c r="A179" s="13"/>
      <c r="B179" s="13"/>
    </row>
    <row r="180">
      <c r="A180" s="13"/>
      <c r="B180" s="13"/>
    </row>
    <row r="181">
      <c r="A181" s="13"/>
      <c r="B181" s="13"/>
    </row>
    <row r="182">
      <c r="A182" s="13"/>
      <c r="B182" s="13"/>
    </row>
    <row r="183">
      <c r="A183" s="13"/>
      <c r="B183" s="13"/>
    </row>
    <row r="184">
      <c r="A184" s="13"/>
      <c r="B184" s="13"/>
    </row>
    <row r="185">
      <c r="A185" s="13"/>
      <c r="B185" s="13"/>
    </row>
    <row r="186">
      <c r="A186" s="13"/>
      <c r="B186" s="13"/>
    </row>
    <row r="187">
      <c r="A187" s="13"/>
      <c r="B187" s="13"/>
    </row>
    <row r="188">
      <c r="A188" s="13"/>
      <c r="B188" s="13"/>
    </row>
    <row r="189">
      <c r="A189" s="13"/>
      <c r="B189" s="13"/>
    </row>
    <row r="190">
      <c r="A190" s="13"/>
      <c r="B190" s="13"/>
    </row>
    <row r="191">
      <c r="A191" s="13"/>
      <c r="B191" s="13"/>
    </row>
    <row r="192">
      <c r="A192" s="13"/>
      <c r="B192" s="13"/>
    </row>
    <row r="193">
      <c r="A193" s="13"/>
      <c r="B193" s="13"/>
    </row>
    <row r="194">
      <c r="A194" s="13"/>
      <c r="B194" s="13"/>
    </row>
    <row r="195">
      <c r="A195" s="13"/>
      <c r="B195" s="13"/>
    </row>
    <row r="196">
      <c r="A196" s="13"/>
      <c r="B196" s="13"/>
    </row>
    <row r="197">
      <c r="A197" s="13"/>
      <c r="B197" s="13"/>
    </row>
    <row r="198">
      <c r="A198" s="13"/>
      <c r="B198" s="13"/>
    </row>
    <row r="199">
      <c r="A199" s="13"/>
      <c r="B199" s="13"/>
    </row>
    <row r="200">
      <c r="A200" s="13"/>
      <c r="B200" s="13"/>
    </row>
    <row r="201">
      <c r="A201" s="13"/>
      <c r="B201" s="13"/>
    </row>
    <row r="202">
      <c r="A202" s="13"/>
      <c r="B202" s="13"/>
    </row>
    <row r="203">
      <c r="A203" s="13"/>
      <c r="B203" s="13"/>
    </row>
    <row r="204">
      <c r="A204" s="13"/>
      <c r="B204" s="13"/>
    </row>
    <row r="205">
      <c r="A205" s="13"/>
      <c r="B205" s="13"/>
    </row>
    <row r="206">
      <c r="A206" s="13"/>
      <c r="B206" s="13"/>
    </row>
    <row r="207">
      <c r="A207" s="13"/>
      <c r="B207" s="13"/>
    </row>
    <row r="208">
      <c r="A208" s="13"/>
      <c r="B208" s="13"/>
    </row>
    <row r="209">
      <c r="A209" s="13"/>
      <c r="B209" s="13"/>
    </row>
    <row r="210">
      <c r="A210" s="13"/>
      <c r="B210" s="13"/>
    </row>
    <row r="211">
      <c r="A211" s="13"/>
      <c r="B211" s="13"/>
    </row>
    <row r="212">
      <c r="A212" s="13"/>
      <c r="B212" s="13"/>
    </row>
    <row r="213">
      <c r="A213" s="13"/>
      <c r="B213" s="13"/>
    </row>
    <row r="214">
      <c r="A214" s="13"/>
      <c r="B214" s="13"/>
    </row>
    <row r="215">
      <c r="A215" s="13"/>
      <c r="B215" s="13"/>
    </row>
    <row r="216">
      <c r="A216" s="13"/>
      <c r="B216" s="13"/>
    </row>
    <row r="217">
      <c r="A217" s="13"/>
      <c r="B217" s="13"/>
    </row>
    <row r="218">
      <c r="A218" s="13"/>
      <c r="B218" s="13"/>
    </row>
    <row r="219">
      <c r="A219" s="13"/>
      <c r="B219" s="13"/>
    </row>
    <row r="220">
      <c r="A220" s="13"/>
      <c r="B220" s="13"/>
    </row>
    <row r="221">
      <c r="A221" s="13"/>
      <c r="B221" s="13"/>
    </row>
    <row r="222">
      <c r="A222" s="13"/>
      <c r="B222" s="13"/>
    </row>
    <row r="223">
      <c r="A223" s="13"/>
      <c r="B223" s="13"/>
    </row>
    <row r="224">
      <c r="A224" s="13"/>
      <c r="B224" s="13"/>
    </row>
    <row r="225">
      <c r="A225" s="13"/>
      <c r="B225" s="13"/>
    </row>
    <row r="226">
      <c r="A226" s="13"/>
      <c r="B226" s="13"/>
    </row>
    <row r="227">
      <c r="A227" s="13"/>
      <c r="B227" s="13"/>
    </row>
    <row r="228">
      <c r="A228" s="13"/>
      <c r="B228" s="13"/>
    </row>
    <row r="229">
      <c r="A229" s="13"/>
      <c r="B229" s="13"/>
    </row>
    <row r="230">
      <c r="A230" s="13"/>
      <c r="B230" s="13"/>
    </row>
    <row r="231">
      <c r="A231" s="13"/>
      <c r="B231" s="13"/>
    </row>
  </sheetData>
  <conditionalFormatting sqref="A1:A231">
    <cfRule type="notContainsBlanks" dxfId="0" priority="1">
      <formula>LEN(TRIM(A1))&gt;0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3" max="3" width="21.5"/>
    <col customWidth="1" min="9" max="9" width="14.0"/>
    <col customWidth="1" min="10" max="10" width="15.0"/>
  </cols>
  <sheetData>
    <row r="1">
      <c r="A1" s="1" t="s">
        <v>0</v>
      </c>
      <c r="B1" s="1" t="s">
        <v>3</v>
      </c>
      <c r="C1" s="1" t="s">
        <v>6263</v>
      </c>
      <c r="D1" s="1" t="s">
        <v>27</v>
      </c>
      <c r="E1" s="1" t="s">
        <v>6264</v>
      </c>
      <c r="F1" s="1" t="s">
        <v>6265</v>
      </c>
      <c r="H1" s="1" t="s">
        <v>10</v>
      </c>
      <c r="I1" s="1" t="s">
        <v>6266</v>
      </c>
      <c r="J1" s="1" t="s">
        <v>6267</v>
      </c>
      <c r="M1" s="18" t="s">
        <v>6268</v>
      </c>
      <c r="N1" s="18" t="s">
        <v>6269</v>
      </c>
      <c r="O1" s="18" t="s">
        <v>6270</v>
      </c>
      <c r="P1" s="18" t="s">
        <v>6271</v>
      </c>
      <c r="Q1" s="18" t="s">
        <v>6272</v>
      </c>
      <c r="R1" s="18" t="s">
        <v>6273</v>
      </c>
    </row>
    <row r="2">
      <c r="A2" s="1" t="s">
        <v>28</v>
      </c>
      <c r="B2" s="1" t="s">
        <v>30</v>
      </c>
      <c r="C2" s="1" t="s">
        <v>33</v>
      </c>
      <c r="D2" s="1" t="s">
        <v>30</v>
      </c>
      <c r="E2" s="1" t="s">
        <v>46</v>
      </c>
      <c r="F2" s="1" t="s">
        <v>30</v>
      </c>
      <c r="H2" s="1" t="s">
        <v>32</v>
      </c>
      <c r="I2" s="1" t="s">
        <v>39</v>
      </c>
      <c r="J2" s="1" t="s">
        <v>30</v>
      </c>
      <c r="M2" s="6" t="str">
        <f t="shared" ref="M2:R2" si="1">CONCAT(A2,",")</f>
        <v>superficial,</v>
      </c>
      <c r="N2" s="6" t="str">
        <f t="shared" si="1"/>
        <v>parental,</v>
      </c>
      <c r="O2" s="6" t="str">
        <f t="shared" si="1"/>
        <v>what,</v>
      </c>
      <c r="P2" s="6" t="str">
        <f t="shared" si="1"/>
        <v>parental,</v>
      </c>
      <c r="Q2" s="6" t="str">
        <f t="shared" si="1"/>
        <v>new,</v>
      </c>
      <c r="R2" s="6" t="str">
        <f t="shared" si="1"/>
        <v>parental,</v>
      </c>
    </row>
    <row r="3">
      <c r="A3" s="1" t="s">
        <v>37</v>
      </c>
      <c r="B3" s="1" t="s">
        <v>39</v>
      </c>
      <c r="C3" s="1" t="s">
        <v>41</v>
      </c>
      <c r="D3" s="1" t="s">
        <v>46</v>
      </c>
      <c r="E3" s="1" t="s">
        <v>4981</v>
      </c>
      <c r="F3" s="1" t="s">
        <v>46</v>
      </c>
      <c r="H3" s="1" t="s">
        <v>40</v>
      </c>
      <c r="I3" s="1" t="s">
        <v>58</v>
      </c>
      <c r="J3" s="1" t="s">
        <v>39</v>
      </c>
      <c r="M3" s="6" t="str">
        <f t="shared" ref="M3:R3" si="2">CONCAT(A3,",")</f>
        <v>depressed,</v>
      </c>
      <c r="N3" s="6" t="str">
        <f t="shared" si="2"/>
        <v>the,</v>
      </c>
      <c r="O3" s="6" t="str">
        <f t="shared" si="2"/>
        <v>on,</v>
      </c>
      <c r="P3" s="6" t="str">
        <f t="shared" si="2"/>
        <v>new,</v>
      </c>
      <c r="Q3" s="6" t="str">
        <f t="shared" si="2"/>
        <v>units,</v>
      </c>
      <c r="R3" s="6" t="str">
        <f t="shared" si="2"/>
        <v>new,</v>
      </c>
    </row>
    <row r="4">
      <c r="A4" s="1" t="s">
        <v>47</v>
      </c>
      <c r="B4" s="1" t="s">
        <v>32</v>
      </c>
      <c r="C4" s="1" t="s">
        <v>51</v>
      </c>
      <c r="D4" s="1" t="s">
        <v>45</v>
      </c>
      <c r="E4" s="1" t="s">
        <v>49</v>
      </c>
      <c r="F4" s="1" t="s">
        <v>58</v>
      </c>
      <c r="H4" s="1" t="s">
        <v>50</v>
      </c>
      <c r="I4" s="1" t="s">
        <v>46</v>
      </c>
      <c r="J4" s="1" t="s">
        <v>32</v>
      </c>
      <c r="M4" s="6" t="str">
        <f t="shared" ref="M4:R4" si="3">CONCAT(A4,",")</f>
        <v>redundant,</v>
      </c>
      <c r="N4" s="6" t="str">
        <f t="shared" si="3"/>
        <v>wit,</v>
      </c>
      <c r="O4" s="6" t="str">
        <f t="shared" si="3"/>
        <v>notorious,</v>
      </c>
      <c r="P4" s="6" t="str">
        <f t="shared" si="3"/>
        <v>contains,</v>
      </c>
      <c r="Q4" s="6" t="str">
        <f t="shared" si="3"/>
        <v>hide,</v>
      </c>
      <c r="R4" s="6" t="str">
        <f t="shared" si="3"/>
        <v>from,</v>
      </c>
    </row>
    <row r="5">
      <c r="A5" s="1" t="s">
        <v>55</v>
      </c>
      <c r="B5" s="1" t="s">
        <v>57</v>
      </c>
      <c r="C5" s="1" t="s">
        <v>61</v>
      </c>
      <c r="D5" s="1" t="s">
        <v>32</v>
      </c>
      <c r="E5" s="1" t="s">
        <v>45</v>
      </c>
      <c r="F5" s="1" t="s">
        <v>57</v>
      </c>
      <c r="H5" s="1" t="s">
        <v>60</v>
      </c>
      <c r="I5" s="1" t="s">
        <v>4981</v>
      </c>
      <c r="J5" s="1" t="s">
        <v>57</v>
      </c>
      <c r="M5" s="6" t="str">
        <f t="shared" ref="M5:R5" si="4">CONCAT(A5,",")</f>
        <v>succeeds,</v>
      </c>
      <c r="N5" s="6" t="str">
        <f t="shared" si="4"/>
        <v>only,</v>
      </c>
      <c r="O5" s="6" t="str">
        <f t="shared" si="4"/>
        <v>or,</v>
      </c>
      <c r="P5" s="6" t="str">
        <f t="shared" si="4"/>
        <v>wit,</v>
      </c>
      <c r="Q5" s="6" t="str">
        <f t="shared" si="4"/>
        <v>contains,</v>
      </c>
      <c r="R5" s="6" t="str">
        <f t="shared" si="4"/>
        <v>only,</v>
      </c>
    </row>
    <row r="6">
      <c r="A6" s="1" t="s">
        <v>66</v>
      </c>
      <c r="B6" s="1" t="s">
        <v>68</v>
      </c>
      <c r="C6" s="1" t="s">
        <v>71</v>
      </c>
      <c r="D6" s="1" t="s">
        <v>76</v>
      </c>
      <c r="E6" s="1" t="s">
        <v>88</v>
      </c>
      <c r="F6" s="1" t="s">
        <v>86</v>
      </c>
      <c r="H6" s="1" t="s">
        <v>70</v>
      </c>
      <c r="I6" s="1" t="s">
        <v>49</v>
      </c>
      <c r="J6" s="1" t="s">
        <v>68</v>
      </c>
      <c r="M6" s="6" t="str">
        <f t="shared" ref="M6:R6" si="5">CONCAT(A6,",")</f>
        <v>crude,</v>
      </c>
      <c r="N6" s="6" t="str">
        <f t="shared" si="5"/>
        <v>and,</v>
      </c>
      <c r="O6" s="6" t="str">
        <f t="shared" si="5"/>
        <v>to,</v>
      </c>
      <c r="P6" s="6" t="str">
        <f t="shared" si="5"/>
        <v>characters,</v>
      </c>
      <c r="Q6" s="6" t="str">
        <f t="shared" si="5"/>
        <v>something,</v>
      </c>
      <c r="R6" s="6" t="str">
        <f t="shared" si="5"/>
        <v>nature,</v>
      </c>
    </row>
    <row r="7">
      <c r="A7" s="1" t="s">
        <v>77</v>
      </c>
      <c r="B7" s="1" t="s">
        <v>76</v>
      </c>
      <c r="C7" s="1" t="s">
        <v>81</v>
      </c>
      <c r="D7" s="1" t="s">
        <v>86</v>
      </c>
      <c r="E7" s="1" t="s">
        <v>40</v>
      </c>
      <c r="F7" s="1" t="s">
        <v>76</v>
      </c>
      <c r="H7" s="1" t="s">
        <v>80</v>
      </c>
      <c r="I7" s="1" t="s">
        <v>435</v>
      </c>
      <c r="J7" s="1" t="s">
        <v>280</v>
      </c>
      <c r="M7" s="6" t="str">
        <f t="shared" ref="M7:R7" si="6">CONCAT(A7,",")</f>
        <v>oblivious,</v>
      </c>
      <c r="N7" s="6" t="str">
        <f t="shared" si="6"/>
        <v>characters,</v>
      </c>
      <c r="O7" s="6" t="str">
        <f t="shared" si="6"/>
        <v>past,</v>
      </c>
      <c r="P7" s="6" t="str">
        <f t="shared" si="6"/>
        <v>nature,</v>
      </c>
      <c r="Q7" s="6" t="str">
        <f t="shared" si="6"/>
        <v>human,</v>
      </c>
      <c r="R7" s="6" t="str">
        <f t="shared" si="6"/>
        <v>characters,</v>
      </c>
    </row>
    <row r="8">
      <c r="A8" s="1" t="s">
        <v>84</v>
      </c>
      <c r="B8" s="1" t="s">
        <v>88</v>
      </c>
      <c r="C8" s="1" t="s">
        <v>92</v>
      </c>
      <c r="D8" s="1" t="s">
        <v>68</v>
      </c>
      <c r="E8" s="1" t="s">
        <v>113</v>
      </c>
      <c r="F8" s="1" t="s">
        <v>280</v>
      </c>
      <c r="H8" s="1" t="s">
        <v>91</v>
      </c>
      <c r="I8" s="1" t="s">
        <v>89</v>
      </c>
      <c r="J8" s="1" t="s">
        <v>40</v>
      </c>
      <c r="M8" s="6" t="str">
        <f t="shared" ref="M8:R8" si="7">CONCAT(A8,",")</f>
        <v>sharply,</v>
      </c>
      <c r="N8" s="6" t="str">
        <f t="shared" si="7"/>
        <v>something,</v>
      </c>
      <c r="O8" s="6" t="str">
        <f t="shared" si="7"/>
        <v>compared,</v>
      </c>
      <c r="P8" s="6" t="str">
        <f t="shared" si="7"/>
        <v>and,</v>
      </c>
      <c r="Q8" s="6" t="str">
        <f t="shared" si="7"/>
        <v>rather,</v>
      </c>
      <c r="R8" s="6" t="str">
        <f t="shared" si="7"/>
        <v>about,</v>
      </c>
    </row>
    <row r="9">
      <c r="A9" s="1" t="s">
        <v>96</v>
      </c>
      <c r="B9" s="1" t="s">
        <v>98</v>
      </c>
      <c r="C9" s="1" t="s">
        <v>101</v>
      </c>
      <c r="D9" s="1" t="s">
        <v>98</v>
      </c>
      <c r="E9" s="1" t="s">
        <v>86</v>
      </c>
      <c r="F9" s="1" t="s">
        <v>98</v>
      </c>
      <c r="H9" s="1" t="s">
        <v>100</v>
      </c>
      <c r="I9" s="1" t="s">
        <v>57</v>
      </c>
      <c r="J9" s="1" t="s">
        <v>127</v>
      </c>
      <c r="M9" s="6" t="str">
        <f t="shared" ref="M9:R9" si="8">CONCAT(A9,",")</f>
        <v>recycled,</v>
      </c>
      <c r="N9" s="6" t="str">
        <f t="shared" si="8"/>
        <v>beautiful,</v>
      </c>
      <c r="O9" s="6" t="str">
        <f t="shared" si="8"/>
        <v>this,</v>
      </c>
      <c r="P9" s="6" t="str">
        <f t="shared" si="8"/>
        <v>beautiful,</v>
      </c>
      <c r="Q9" s="6" t="str">
        <f t="shared" si="8"/>
        <v>nature,</v>
      </c>
      <c r="R9" s="6" t="str">
        <f t="shared" si="8"/>
        <v>beautiful,</v>
      </c>
    </row>
    <row r="10">
      <c r="A10" s="1" t="s">
        <v>105</v>
      </c>
      <c r="B10" s="1" t="s">
        <v>40</v>
      </c>
      <c r="C10" s="1" t="s">
        <v>108</v>
      </c>
      <c r="D10" s="1" t="s">
        <v>113</v>
      </c>
      <c r="E10" s="1" t="s">
        <v>98</v>
      </c>
      <c r="F10" s="1" t="s">
        <v>88</v>
      </c>
      <c r="H10" s="1" t="s">
        <v>107</v>
      </c>
      <c r="I10" s="1" t="s">
        <v>45</v>
      </c>
      <c r="J10" s="1" t="s">
        <v>50</v>
      </c>
      <c r="M10" s="6" t="str">
        <f t="shared" ref="M10:R10" si="9">CONCAT(A10,",")</f>
        <v>proves,</v>
      </c>
      <c r="N10" s="6" t="str">
        <f t="shared" si="9"/>
        <v>human,</v>
      </c>
      <c r="O10" s="6" t="str">
        <f t="shared" si="9"/>
        <v>other,</v>
      </c>
      <c r="P10" s="6" t="str">
        <f t="shared" si="9"/>
        <v>rather,</v>
      </c>
      <c r="Q10" s="6" t="str">
        <f t="shared" si="9"/>
        <v>beautiful,</v>
      </c>
      <c r="R10" s="6" t="str">
        <f t="shared" si="9"/>
        <v>something,</v>
      </c>
    </row>
    <row r="11">
      <c r="A11" s="1" t="s">
        <v>95</v>
      </c>
      <c r="B11" s="1" t="s">
        <v>115</v>
      </c>
      <c r="C11" s="1" t="s">
        <v>118</v>
      </c>
      <c r="D11" s="1" t="s">
        <v>124</v>
      </c>
      <c r="E11" s="1" t="s">
        <v>76</v>
      </c>
      <c r="F11" s="1" t="s">
        <v>68</v>
      </c>
      <c r="H11" s="1" t="s">
        <v>117</v>
      </c>
      <c r="I11" s="1" t="s">
        <v>68</v>
      </c>
      <c r="J11" s="1" t="s">
        <v>152</v>
      </c>
      <c r="M11" s="6" t="str">
        <f t="shared" ref="M11:R11" si="10">CONCAT(A11,",")</f>
        <v>vivid,</v>
      </c>
      <c r="N11" s="6" t="str">
        <f t="shared" si="10"/>
        <v>utterly,</v>
      </c>
      <c r="O11" s="6" t="str">
        <f t="shared" si="10"/>
        <v>for,</v>
      </c>
      <c r="P11" s="6" t="str">
        <f t="shared" si="10"/>
        <v>throughout,</v>
      </c>
      <c r="Q11" s="6" t="str">
        <f t="shared" si="10"/>
        <v>characters,</v>
      </c>
      <c r="R11" s="6" t="str">
        <f t="shared" si="10"/>
        <v>and,</v>
      </c>
    </row>
    <row r="12">
      <c r="A12" s="1" t="s">
        <v>125</v>
      </c>
      <c r="B12" s="1" t="s">
        <v>127</v>
      </c>
      <c r="C12" s="1" t="s">
        <v>110</v>
      </c>
      <c r="D12" s="1" t="s">
        <v>115</v>
      </c>
      <c r="E12" s="1" t="s">
        <v>6274</v>
      </c>
      <c r="F12" s="1" t="s">
        <v>167</v>
      </c>
      <c r="H12" s="1" t="s">
        <v>129</v>
      </c>
      <c r="I12" s="1" t="s">
        <v>288</v>
      </c>
      <c r="J12" s="1" t="s">
        <v>65</v>
      </c>
      <c r="M12" s="6" t="str">
        <f t="shared" ref="M12:R12" si="11">CONCAT(A12,",")</f>
        <v>pointless,</v>
      </c>
      <c r="N12" s="6" t="str">
        <f t="shared" si="11"/>
        <v>remain,</v>
      </c>
      <c r="O12" s="6" t="str">
        <f t="shared" si="11"/>
        <v>road,</v>
      </c>
      <c r="P12" s="6" t="str">
        <f t="shared" si="11"/>
        <v>utterly,</v>
      </c>
      <c r="Q12" s="6" t="str">
        <f t="shared" si="11"/>
        <v>loves,</v>
      </c>
      <c r="R12" s="6" t="str">
        <f t="shared" si="11"/>
        <v>same,</v>
      </c>
    </row>
    <row r="13">
      <c r="A13" s="1" t="s">
        <v>133</v>
      </c>
      <c r="B13" s="1" t="s">
        <v>50</v>
      </c>
      <c r="C13" s="1" t="s">
        <v>137</v>
      </c>
      <c r="D13" s="1" t="s">
        <v>127</v>
      </c>
      <c r="E13" s="1" t="s">
        <v>124</v>
      </c>
      <c r="F13" s="1" t="s">
        <v>127</v>
      </c>
      <c r="H13" s="1" t="s">
        <v>136</v>
      </c>
      <c r="I13" s="1" t="s">
        <v>6275</v>
      </c>
      <c r="J13" s="1" t="s">
        <v>28</v>
      </c>
      <c r="M13" s="6" t="str">
        <f t="shared" ref="M13:R13" si="12">CONCAT(A13,",")</f>
        <v>touching,</v>
      </c>
      <c r="N13" s="6" t="str">
        <f t="shared" si="12"/>
        <v>filmmakers,</v>
      </c>
      <c r="O13" s="6" t="str">
        <f t="shared" si="12"/>
        <v>taken,</v>
      </c>
      <c r="P13" s="6" t="str">
        <f t="shared" si="12"/>
        <v>remain,</v>
      </c>
      <c r="Q13" s="6" t="str">
        <f t="shared" si="12"/>
        <v>throughout,</v>
      </c>
      <c r="R13" s="6" t="str">
        <f t="shared" si="12"/>
        <v>remain,</v>
      </c>
    </row>
    <row r="14">
      <c r="A14" s="1" t="s">
        <v>143</v>
      </c>
      <c r="B14" s="1" t="s">
        <v>65</v>
      </c>
      <c r="C14" s="1" t="s">
        <v>146</v>
      </c>
      <c r="D14" s="1" t="s">
        <v>50</v>
      </c>
      <c r="E14" s="1" t="s">
        <v>5017</v>
      </c>
      <c r="F14" s="1" t="s">
        <v>71</v>
      </c>
      <c r="H14" s="1" t="s">
        <v>145</v>
      </c>
      <c r="I14" s="1" t="s">
        <v>280</v>
      </c>
      <c r="J14" s="1" t="s">
        <v>177</v>
      </c>
      <c r="M14" s="6" t="str">
        <f t="shared" ref="M14:R14" si="13">CONCAT(A14,",")</f>
        <v>emptiness,</v>
      </c>
      <c r="N14" s="6" t="str">
        <f t="shared" si="13"/>
        <v>up,</v>
      </c>
      <c r="O14" s="6" t="str">
        <f t="shared" si="13"/>
        <v>have,</v>
      </c>
      <c r="P14" s="6" t="str">
        <f t="shared" si="13"/>
        <v>filmmakers,</v>
      </c>
      <c r="Q14" s="6" t="str">
        <f t="shared" si="13"/>
        <v>remains,</v>
      </c>
      <c r="R14" s="6" t="str">
        <f t="shared" si="13"/>
        <v>to,</v>
      </c>
    </row>
    <row r="15">
      <c r="A15" s="1" t="s">
        <v>151</v>
      </c>
      <c r="B15" s="1" t="s">
        <v>152</v>
      </c>
      <c r="C15" s="1" t="s">
        <v>154</v>
      </c>
      <c r="D15" s="1" t="s">
        <v>65</v>
      </c>
      <c r="E15" s="1" t="s">
        <v>127</v>
      </c>
      <c r="F15" s="1" t="s">
        <v>50</v>
      </c>
      <c r="H15" s="1" t="s">
        <v>47</v>
      </c>
      <c r="I15" s="1" t="s">
        <v>88</v>
      </c>
      <c r="J15" s="1" t="s">
        <v>185</v>
      </c>
      <c r="M15" s="6" t="str">
        <f t="shared" ref="M15:R15" si="14">CONCAT(A15,",")</f>
        <v>woven,</v>
      </c>
      <c r="N15" s="6" t="str">
        <f t="shared" si="14"/>
        <v>could,</v>
      </c>
      <c r="O15" s="6" t="str">
        <f t="shared" si="14"/>
        <v>getting,</v>
      </c>
      <c r="P15" s="6" t="str">
        <f t="shared" si="14"/>
        <v>up,</v>
      </c>
      <c r="Q15" s="6" t="str">
        <f t="shared" si="14"/>
        <v>remain,</v>
      </c>
      <c r="R15" s="6" t="str">
        <f t="shared" si="14"/>
        <v>filmmakers,</v>
      </c>
    </row>
    <row r="16">
      <c r="A16" s="1" t="s">
        <v>158</v>
      </c>
      <c r="B16" s="1" t="s">
        <v>28</v>
      </c>
      <c r="C16" s="1" t="s">
        <v>73</v>
      </c>
      <c r="D16" s="1" t="s">
        <v>164</v>
      </c>
      <c r="E16" s="1" t="s">
        <v>6276</v>
      </c>
      <c r="F16" s="1" t="s">
        <v>152</v>
      </c>
      <c r="H16" s="1" t="s">
        <v>55</v>
      </c>
      <c r="I16" s="1" t="s">
        <v>40</v>
      </c>
      <c r="J16" s="1" t="s">
        <v>60</v>
      </c>
      <c r="M16" s="6" t="str">
        <f t="shared" ref="M16:R16" si="15">CONCAT(A16,",")</f>
        <v>cruel,</v>
      </c>
      <c r="N16" s="6" t="str">
        <f t="shared" si="15"/>
        <v>superficial,</v>
      </c>
      <c r="O16" s="6" t="str">
        <f t="shared" si="15"/>
        <v>know,</v>
      </c>
      <c r="P16" s="6" t="str">
        <f t="shared" si="15"/>
        <v>worst,</v>
      </c>
      <c r="Q16" s="6" t="str">
        <f t="shared" si="15"/>
        <v>satisfied,</v>
      </c>
      <c r="R16" s="6" t="str">
        <f t="shared" si="15"/>
        <v>could,</v>
      </c>
    </row>
    <row r="17">
      <c r="A17" s="1" t="s">
        <v>165</v>
      </c>
      <c r="B17" s="1" t="s">
        <v>60</v>
      </c>
      <c r="C17" s="1" t="s">
        <v>170</v>
      </c>
      <c r="D17" s="1" t="s">
        <v>28</v>
      </c>
      <c r="E17" s="1" t="s">
        <v>152</v>
      </c>
      <c r="F17" s="1" t="s">
        <v>65</v>
      </c>
      <c r="H17" s="1" t="s">
        <v>169</v>
      </c>
      <c r="I17" s="1" t="s">
        <v>113</v>
      </c>
      <c r="J17" s="1" t="s">
        <v>1264</v>
      </c>
      <c r="M17" s="6" t="str">
        <f t="shared" ref="M17:R17" si="16">CONCAT(A17,",")</f>
        <v>historically,</v>
      </c>
      <c r="N17" s="6" t="str">
        <f t="shared" si="16"/>
        <v>too,</v>
      </c>
      <c r="O17" s="6" t="str">
        <f t="shared" si="16"/>
        <v>me,</v>
      </c>
      <c r="P17" s="6" t="str">
        <f t="shared" si="16"/>
        <v>superficial,</v>
      </c>
      <c r="Q17" s="6" t="str">
        <f t="shared" si="16"/>
        <v>could,</v>
      </c>
      <c r="R17" s="6" t="str">
        <f t="shared" si="16"/>
        <v>up,</v>
      </c>
    </row>
    <row r="18">
      <c r="A18" s="1" t="s">
        <v>175</v>
      </c>
      <c r="B18" s="1" t="s">
        <v>177</v>
      </c>
      <c r="C18" s="1" t="s">
        <v>180</v>
      </c>
      <c r="D18" s="1" t="s">
        <v>185</v>
      </c>
      <c r="E18" s="1" t="s">
        <v>164</v>
      </c>
      <c r="F18" s="1" t="s">
        <v>164</v>
      </c>
      <c r="H18" s="1" t="s">
        <v>179</v>
      </c>
      <c r="I18" s="1" t="s">
        <v>86</v>
      </c>
      <c r="J18" s="1" t="s">
        <v>80</v>
      </c>
      <c r="M18" s="6" t="str">
        <f t="shared" ref="M18:R18" si="17">CONCAT(A18,",")</f>
        <v>wisdom,</v>
      </c>
      <c r="N18" s="6" t="str">
        <f t="shared" si="17"/>
        <v>merit,</v>
      </c>
      <c r="O18" s="6" t="str">
        <f t="shared" si="17"/>
        <v>but,</v>
      </c>
      <c r="P18" s="6" t="str">
        <f t="shared" si="17"/>
        <v>tragic,</v>
      </c>
      <c r="Q18" s="6" t="str">
        <f t="shared" si="17"/>
        <v>worst,</v>
      </c>
      <c r="R18" s="6" t="str">
        <f t="shared" si="17"/>
        <v>worst,</v>
      </c>
    </row>
    <row r="19">
      <c r="A19" s="1" t="s">
        <v>186</v>
      </c>
      <c r="B19" s="1" t="s">
        <v>36</v>
      </c>
      <c r="C19" s="1" t="s">
        <v>189</v>
      </c>
      <c r="D19" s="1" t="s">
        <v>60</v>
      </c>
      <c r="E19" s="1" t="s">
        <v>1264</v>
      </c>
      <c r="F19" s="1" t="s">
        <v>28</v>
      </c>
      <c r="H19" s="1" t="s">
        <v>188</v>
      </c>
      <c r="I19" s="1" t="s">
        <v>98</v>
      </c>
      <c r="J19" s="1" t="s">
        <v>70</v>
      </c>
      <c r="M19" s="6" t="str">
        <f t="shared" ref="M19:R19" si="18">CONCAT(A19,",")</f>
        <v>fluid,</v>
      </c>
      <c r="N19" s="6" t="str">
        <f t="shared" si="18"/>
        <v>patriot,</v>
      </c>
      <c r="O19" s="6" t="str">
        <f t="shared" si="18"/>
        <v>been,</v>
      </c>
      <c r="P19" s="6" t="str">
        <f t="shared" si="18"/>
        <v>too,</v>
      </c>
      <c r="Q19" s="6" t="str">
        <f t="shared" si="18"/>
        <v>far,</v>
      </c>
      <c r="R19" s="6" t="str">
        <f t="shared" si="18"/>
        <v>superficial,</v>
      </c>
    </row>
    <row r="20">
      <c r="A20" s="1" t="s">
        <v>195</v>
      </c>
      <c r="B20" s="1" t="s">
        <v>197</v>
      </c>
      <c r="C20" s="1" t="s">
        <v>199</v>
      </c>
      <c r="D20" s="1" t="s">
        <v>36</v>
      </c>
      <c r="E20" s="1" t="s">
        <v>236</v>
      </c>
      <c r="F20" s="1" t="s">
        <v>236</v>
      </c>
      <c r="H20" s="1" t="s">
        <v>198</v>
      </c>
      <c r="I20" s="1" t="s">
        <v>76</v>
      </c>
      <c r="J20" s="1" t="s">
        <v>6277</v>
      </c>
      <c r="M20" s="6" t="str">
        <f t="shared" ref="M20:R20" si="19">CONCAT(A20,",")</f>
        <v>seal,</v>
      </c>
      <c r="N20" s="6" t="str">
        <f t="shared" si="19"/>
        <v>director,</v>
      </c>
      <c r="O20" s="6" t="str">
        <f t="shared" si="19"/>
        <v>because,</v>
      </c>
      <c r="P20" s="6" t="str">
        <f t="shared" si="19"/>
        <v>patriot,</v>
      </c>
      <c r="Q20" s="6" t="str">
        <f t="shared" si="19"/>
        <v>treatment,</v>
      </c>
      <c r="R20" s="6" t="str">
        <f t="shared" si="19"/>
        <v>treatment,</v>
      </c>
    </row>
    <row r="21">
      <c r="A21" s="1" t="s">
        <v>140</v>
      </c>
      <c r="B21" s="1" t="s">
        <v>204</v>
      </c>
      <c r="C21" s="1" t="s">
        <v>43</v>
      </c>
      <c r="D21" s="1" t="s">
        <v>80</v>
      </c>
      <c r="E21" s="1" t="s">
        <v>177</v>
      </c>
      <c r="F21" s="1" t="s">
        <v>185</v>
      </c>
      <c r="H21" s="1" t="s">
        <v>54</v>
      </c>
      <c r="I21" s="1" t="s">
        <v>6274</v>
      </c>
      <c r="J21" s="1" t="s">
        <v>234</v>
      </c>
      <c r="M21" s="6" t="str">
        <f t="shared" ref="M21:R21" si="20">CONCAT(A21,",")</f>
        <v>casts,</v>
      </c>
      <c r="N21" s="6" t="str">
        <f t="shared" si="20"/>
        <v>an,</v>
      </c>
      <c r="O21" s="6" t="str">
        <f t="shared" si="20"/>
        <v>like,</v>
      </c>
      <c r="P21" s="6" t="str">
        <f t="shared" si="20"/>
        <v>emotional,</v>
      </c>
      <c r="Q21" s="6" t="str">
        <f t="shared" si="20"/>
        <v>merit,</v>
      </c>
      <c r="R21" s="6" t="str">
        <f t="shared" si="20"/>
        <v>tragic,</v>
      </c>
    </row>
    <row r="22">
      <c r="A22" s="1" t="s">
        <v>209</v>
      </c>
      <c r="B22" s="1" t="s">
        <v>70</v>
      </c>
      <c r="C22" s="1" t="s">
        <v>91</v>
      </c>
      <c r="D22" s="1" t="s">
        <v>70</v>
      </c>
      <c r="E22" s="1" t="s">
        <v>112</v>
      </c>
      <c r="F22" s="1" t="s">
        <v>60</v>
      </c>
      <c r="H22" s="1" t="s">
        <v>211</v>
      </c>
      <c r="I22" s="1" t="s">
        <v>71</v>
      </c>
      <c r="J22" s="1" t="s">
        <v>112</v>
      </c>
      <c r="M22" s="6" t="str">
        <f t="shared" ref="M22:R22" si="21">CONCAT(A22,",")</f>
        <v>masterpiece,</v>
      </c>
      <c r="N22" s="6" t="str">
        <f t="shared" si="21"/>
        <v>demonstrates,</v>
      </c>
      <c r="O22" s="6" t="str">
        <f t="shared" si="21"/>
        <v>of,</v>
      </c>
      <c r="P22" s="6" t="str">
        <f t="shared" si="21"/>
        <v>demonstrates,</v>
      </c>
      <c r="Q22" s="6" t="str">
        <f t="shared" si="21"/>
        <v>film,</v>
      </c>
      <c r="R22" s="6" t="str">
        <f t="shared" si="21"/>
        <v>too,</v>
      </c>
    </row>
    <row r="23">
      <c r="A23" s="1" t="s">
        <v>216</v>
      </c>
      <c r="B23" s="1" t="s">
        <v>91</v>
      </c>
      <c r="C23" s="1" t="s">
        <v>219</v>
      </c>
      <c r="D23" s="1" t="s">
        <v>112</v>
      </c>
      <c r="E23" s="1" t="s">
        <v>282</v>
      </c>
      <c r="F23" s="1" t="s">
        <v>6278</v>
      </c>
      <c r="H23" s="1" t="s">
        <v>218</v>
      </c>
      <c r="I23" s="1" t="s">
        <v>167</v>
      </c>
      <c r="J23" s="1" t="s">
        <v>235</v>
      </c>
      <c r="M23" s="6" t="str">
        <f t="shared" ref="M23:R23" si="22">CONCAT(A23,",")</f>
        <v>hopeless,</v>
      </c>
      <c r="N23" s="6" t="str">
        <f t="shared" si="22"/>
        <v>of,</v>
      </c>
      <c r="O23" s="6" t="str">
        <f t="shared" si="22"/>
        <v>re,</v>
      </c>
      <c r="P23" s="6" t="str">
        <f t="shared" si="22"/>
        <v>film,</v>
      </c>
      <c r="Q23" s="6" t="str">
        <f t="shared" si="22"/>
        <v>still,</v>
      </c>
      <c r="R23" s="6" t="str">
        <f t="shared" si="22"/>
        <v>s,</v>
      </c>
    </row>
    <row r="24">
      <c r="A24" s="1" t="s">
        <v>224</v>
      </c>
      <c r="B24" s="1" t="s">
        <v>226</v>
      </c>
      <c r="C24" s="1" t="s">
        <v>229</v>
      </c>
      <c r="D24" s="1" t="s">
        <v>234</v>
      </c>
      <c r="E24" s="1" t="s">
        <v>234</v>
      </c>
      <c r="F24" s="1" t="s">
        <v>36</v>
      </c>
      <c r="H24" s="1" t="s">
        <v>228</v>
      </c>
      <c r="I24" s="1" t="s">
        <v>124</v>
      </c>
      <c r="J24" s="1" t="s">
        <v>197</v>
      </c>
      <c r="M24" s="6" t="str">
        <f t="shared" ref="M24:R24" si="23">CONCAT(A24,",")</f>
        <v>clumsy,</v>
      </c>
      <c r="N24" s="6" t="str">
        <f t="shared" si="23"/>
        <v>games,</v>
      </c>
      <c r="O24" s="6" t="str">
        <f t="shared" si="23"/>
        <v>has,</v>
      </c>
      <c r="P24" s="6" t="str">
        <f t="shared" si="23"/>
        <v>small,</v>
      </c>
      <c r="Q24" s="6" t="str">
        <f t="shared" si="23"/>
        <v>small,</v>
      </c>
      <c r="R24" s="6" t="str">
        <f t="shared" si="23"/>
        <v>patriot,</v>
      </c>
    </row>
    <row r="25">
      <c r="A25" s="1" t="s">
        <v>149</v>
      </c>
      <c r="B25" s="1" t="s">
        <v>235</v>
      </c>
      <c r="C25" s="1" t="s">
        <v>103</v>
      </c>
      <c r="D25" s="1" t="s">
        <v>197</v>
      </c>
      <c r="E25" s="1" t="s">
        <v>226</v>
      </c>
      <c r="F25" s="1" t="s">
        <v>70</v>
      </c>
      <c r="H25" s="1" t="s">
        <v>237</v>
      </c>
      <c r="I25" s="1" t="s">
        <v>5017</v>
      </c>
      <c r="J25" s="1" t="s">
        <v>266</v>
      </c>
      <c r="M25" s="6" t="str">
        <f t="shared" ref="M25:R25" si="24">CONCAT(A25,",")</f>
        <v>conviction,</v>
      </c>
      <c r="N25" s="6" t="str">
        <f t="shared" si="24"/>
        <v>as,</v>
      </c>
      <c r="O25" s="6" t="str">
        <f t="shared" si="24"/>
        <v>service,</v>
      </c>
      <c r="P25" s="6" t="str">
        <f t="shared" si="24"/>
        <v>director,</v>
      </c>
      <c r="Q25" s="6" t="str">
        <f t="shared" si="24"/>
        <v>games,</v>
      </c>
      <c r="R25" s="6" t="str">
        <f t="shared" si="24"/>
        <v>demonstrates,</v>
      </c>
    </row>
    <row r="26">
      <c r="A26" s="1" t="s">
        <v>241</v>
      </c>
      <c r="B26" s="1" t="s">
        <v>123</v>
      </c>
      <c r="C26" s="1" t="s">
        <v>35</v>
      </c>
      <c r="D26" s="1" t="s">
        <v>249</v>
      </c>
      <c r="E26" s="1" t="s">
        <v>197</v>
      </c>
      <c r="F26" s="1" t="s">
        <v>112</v>
      </c>
      <c r="H26" s="1" t="s">
        <v>244</v>
      </c>
      <c r="I26" s="1" t="s">
        <v>127</v>
      </c>
      <c r="J26" s="1" t="s">
        <v>100</v>
      </c>
      <c r="M26" s="6" t="str">
        <f t="shared" ref="M26:R26" si="25">CONCAT(A26,",")</f>
        <v>realistic,</v>
      </c>
      <c r="N26" s="6" t="str">
        <f t="shared" si="25"/>
        <v>suicidal,</v>
      </c>
      <c r="O26" s="6" t="str">
        <f t="shared" si="25"/>
        <v>one,</v>
      </c>
      <c r="P26" s="6" t="str">
        <f t="shared" si="25"/>
        <v>personal,</v>
      </c>
      <c r="Q26" s="6" t="str">
        <f t="shared" si="25"/>
        <v>director,</v>
      </c>
      <c r="R26" s="6" t="str">
        <f t="shared" si="25"/>
        <v>film,</v>
      </c>
    </row>
    <row r="27">
      <c r="A27" s="1" t="s">
        <v>250</v>
      </c>
      <c r="B27" s="1" t="s">
        <v>37</v>
      </c>
      <c r="C27" s="1" t="s">
        <v>253</v>
      </c>
      <c r="D27" s="1" t="s">
        <v>253</v>
      </c>
      <c r="E27" s="1" t="s">
        <v>1665</v>
      </c>
      <c r="F27" s="1" t="s">
        <v>6279</v>
      </c>
      <c r="H27" s="1" t="s">
        <v>252</v>
      </c>
      <c r="I27" s="1" t="s">
        <v>41</v>
      </c>
      <c r="J27" s="1" t="s">
        <v>117</v>
      </c>
      <c r="M27" s="6" t="str">
        <f t="shared" ref="M27:R27" si="26">CONCAT(A27,",")</f>
        <v>portrayal,</v>
      </c>
      <c r="N27" s="6" t="str">
        <f t="shared" si="26"/>
        <v>depressed,</v>
      </c>
      <c r="O27" s="6" t="str">
        <f t="shared" si="26"/>
        <v>with,</v>
      </c>
      <c r="P27" s="6" t="str">
        <f t="shared" si="26"/>
        <v>with,</v>
      </c>
      <c r="Q27" s="6" t="str">
        <f t="shared" si="26"/>
        <v>turn,</v>
      </c>
      <c r="R27" s="6" t="str">
        <f t="shared" si="26"/>
        <v>can,</v>
      </c>
    </row>
    <row r="28">
      <c r="A28" s="1" t="s">
        <v>157</v>
      </c>
      <c r="B28" s="1" t="s">
        <v>260</v>
      </c>
      <c r="C28" s="1" t="s">
        <v>262</v>
      </c>
      <c r="D28" s="1" t="s">
        <v>266</v>
      </c>
      <c r="E28" s="1" t="s">
        <v>249</v>
      </c>
      <c r="F28" s="1" t="s">
        <v>6262</v>
      </c>
      <c r="H28" s="1" t="s">
        <v>261</v>
      </c>
      <c r="I28" s="1" t="s">
        <v>65</v>
      </c>
      <c r="J28" s="1" t="s">
        <v>287</v>
      </c>
      <c r="M28" s="6" t="str">
        <f t="shared" ref="M28:R28" si="27">CONCAT(A28,",")</f>
        <v>reveals,</v>
      </c>
      <c r="N28" s="6" t="str">
        <f t="shared" si="27"/>
        <v>thought,</v>
      </c>
      <c r="O28" s="6" t="str">
        <f t="shared" si="27"/>
        <v>advantage,</v>
      </c>
      <c r="P28" s="6" t="str">
        <f t="shared" si="27"/>
        <v>out,</v>
      </c>
      <c r="Q28" s="6" t="str">
        <f t="shared" si="27"/>
        <v>personal,</v>
      </c>
      <c r="R28" s="6" t="str">
        <f t="shared" si="27"/>
        <v>.,</v>
      </c>
    </row>
    <row r="29">
      <c r="A29" s="1" t="s">
        <v>267</v>
      </c>
      <c r="B29" s="1" t="s">
        <v>269</v>
      </c>
      <c r="C29" s="1" t="s">
        <v>271</v>
      </c>
      <c r="D29" s="1" t="s">
        <v>123</v>
      </c>
      <c r="E29" s="1" t="s">
        <v>6277</v>
      </c>
      <c r="F29" s="1" t="s">
        <v>282</v>
      </c>
      <c r="H29" s="1" t="s">
        <v>74</v>
      </c>
      <c r="I29" s="1" t="s">
        <v>152</v>
      </c>
      <c r="J29" s="1" t="s">
        <v>260</v>
      </c>
      <c r="M29" s="6" t="str">
        <f t="shared" ref="M29:R29" si="28">CONCAT(A29,",")</f>
        <v>uneven,</v>
      </c>
      <c r="N29" s="6" t="str">
        <f t="shared" si="28"/>
        <v>are,</v>
      </c>
      <c r="O29" s="6" t="str">
        <f t="shared" si="28"/>
        <v>account,</v>
      </c>
      <c r="P29" s="6" t="str">
        <f t="shared" si="28"/>
        <v>suicidal,</v>
      </c>
      <c r="Q29" s="6" t="str">
        <f t="shared" si="28"/>
        <v>hollywood,</v>
      </c>
      <c r="R29" s="6" t="str">
        <f t="shared" si="28"/>
        <v>still,</v>
      </c>
    </row>
    <row r="30">
      <c r="A30" s="1" t="s">
        <v>192</v>
      </c>
      <c r="B30" s="1" t="s">
        <v>278</v>
      </c>
      <c r="C30" s="1" t="s">
        <v>280</v>
      </c>
      <c r="D30" s="1" t="s">
        <v>37</v>
      </c>
      <c r="E30" s="1" t="s">
        <v>80</v>
      </c>
      <c r="F30" s="1" t="s">
        <v>234</v>
      </c>
      <c r="H30" s="1" t="s">
        <v>66</v>
      </c>
      <c r="I30" s="1" t="s">
        <v>164</v>
      </c>
      <c r="J30" s="1" t="s">
        <v>411</v>
      </c>
      <c r="M30" s="6" t="str">
        <f t="shared" ref="M30:R30" si="29">CONCAT(A30,",")</f>
        <v>unpredictable,</v>
      </c>
      <c r="N30" s="6" t="str">
        <f t="shared" si="29"/>
        <v>in,</v>
      </c>
      <c r="O30" s="6" t="str">
        <f t="shared" si="29"/>
        <v>about,</v>
      </c>
      <c r="P30" s="6" t="str">
        <f t="shared" si="29"/>
        <v>depressed,</v>
      </c>
      <c r="Q30" s="6" t="str">
        <f t="shared" si="29"/>
        <v>emotional,</v>
      </c>
      <c r="R30" s="6" t="str">
        <f t="shared" si="29"/>
        <v>small,</v>
      </c>
    </row>
    <row r="31">
      <c r="A31" s="1" t="s">
        <v>285</v>
      </c>
      <c r="B31" s="1" t="s">
        <v>287</v>
      </c>
      <c r="C31" s="1" t="s">
        <v>288</v>
      </c>
      <c r="D31" s="1" t="s">
        <v>117</v>
      </c>
      <c r="E31" s="1" t="s">
        <v>100</v>
      </c>
      <c r="F31" s="1" t="s">
        <v>249</v>
      </c>
      <c r="H31" s="1" t="s">
        <v>146</v>
      </c>
      <c r="I31" s="1" t="s">
        <v>6278</v>
      </c>
      <c r="J31" s="1" t="s">
        <v>295</v>
      </c>
      <c r="M31" s="6" t="str">
        <f t="shared" ref="M31:R31" si="30">CONCAT(A31,",")</f>
        <v>epic,</v>
      </c>
      <c r="N31" s="6" t="str">
        <f t="shared" si="30"/>
        <v>through,</v>
      </c>
      <c r="O31" s="6" t="str">
        <f t="shared" si="30"/>
        <v>that,</v>
      </c>
      <c r="P31" s="6" t="str">
        <f t="shared" si="30"/>
        <v>deeply,</v>
      </c>
      <c r="Q31" s="6" t="str">
        <f t="shared" si="30"/>
        <v>poetry,</v>
      </c>
      <c r="R31" s="6" t="str">
        <f t="shared" si="30"/>
        <v>personal,</v>
      </c>
    </row>
    <row r="32">
      <c r="A32" s="1" t="s">
        <v>293</v>
      </c>
      <c r="B32" s="1" t="s">
        <v>295</v>
      </c>
      <c r="C32" s="1" t="s">
        <v>297</v>
      </c>
      <c r="D32" s="1" t="s">
        <v>107</v>
      </c>
      <c r="E32" s="1" t="s">
        <v>260</v>
      </c>
      <c r="F32" s="1" t="s">
        <v>226</v>
      </c>
      <c r="H32" s="1" t="s">
        <v>296</v>
      </c>
      <c r="I32" s="1" t="s">
        <v>1337</v>
      </c>
      <c r="J32" s="1" t="s">
        <v>303</v>
      </c>
      <c r="M32" s="6" t="str">
        <f t="shared" ref="M32:R32" si="31">CONCAT(A32,",")</f>
        <v>considerable,</v>
      </c>
      <c r="N32" s="6" t="str">
        <f t="shared" si="31"/>
        <v>absurd,</v>
      </c>
      <c r="O32" s="6" t="str">
        <f t="shared" si="31"/>
        <v>doing,</v>
      </c>
      <c r="P32" s="6" t="str">
        <f t="shared" si="31"/>
        <v>most,</v>
      </c>
      <c r="Q32" s="6" t="str">
        <f t="shared" si="31"/>
        <v>thought,</v>
      </c>
      <c r="R32" s="6" t="str">
        <f t="shared" si="31"/>
        <v>games,</v>
      </c>
    </row>
    <row r="33">
      <c r="A33" s="1" t="s">
        <v>301</v>
      </c>
      <c r="B33" s="1" t="s">
        <v>303</v>
      </c>
      <c r="C33" s="1" t="s">
        <v>306</v>
      </c>
      <c r="D33" s="1" t="s">
        <v>295</v>
      </c>
      <c r="E33" s="1" t="s">
        <v>383</v>
      </c>
      <c r="F33" s="1" t="s">
        <v>197</v>
      </c>
      <c r="H33" s="1" t="s">
        <v>305</v>
      </c>
      <c r="I33" s="1" t="s">
        <v>60</v>
      </c>
      <c r="J33" s="1" t="s">
        <v>118</v>
      </c>
      <c r="M33" s="6" t="str">
        <f t="shared" ref="M33:R33" si="32">CONCAT(A33,",")</f>
        <v>enables,</v>
      </c>
      <c r="N33" s="6" t="str">
        <f t="shared" si="32"/>
        <v>do,</v>
      </c>
      <c r="O33" s="6" t="str">
        <f t="shared" si="32"/>
        <v>being,</v>
      </c>
      <c r="P33" s="6" t="str">
        <f t="shared" si="32"/>
        <v>absurd,</v>
      </c>
      <c r="Q33" s="6" t="str">
        <f t="shared" si="32"/>
        <v>films,</v>
      </c>
      <c r="R33" s="6" t="str">
        <f t="shared" si="32"/>
        <v>director,</v>
      </c>
    </row>
    <row r="34">
      <c r="A34" s="1" t="s">
        <v>208</v>
      </c>
      <c r="B34" s="1" t="s">
        <v>118</v>
      </c>
      <c r="C34" s="1" t="s">
        <v>53</v>
      </c>
      <c r="D34" s="1" t="s">
        <v>136</v>
      </c>
      <c r="E34" s="1" t="s">
        <v>117</v>
      </c>
      <c r="F34" s="1" t="s">
        <v>253</v>
      </c>
      <c r="H34" s="1" t="s">
        <v>312</v>
      </c>
      <c r="I34" s="1" t="s">
        <v>1264</v>
      </c>
      <c r="J34" s="1" t="s">
        <v>43</v>
      </c>
      <c r="M34" s="6" t="str">
        <f t="shared" ref="M34:R34" si="33">CONCAT(A34,",")</f>
        <v>flashes,</v>
      </c>
      <c r="N34" s="6" t="str">
        <f t="shared" si="33"/>
        <v>for,</v>
      </c>
      <c r="O34" s="6" t="str">
        <f t="shared" si="33"/>
        <v>years,</v>
      </c>
      <c r="P34" s="6" t="str">
        <f t="shared" si="33"/>
        <v>goes,</v>
      </c>
      <c r="Q34" s="6" t="str">
        <f t="shared" si="33"/>
        <v>deeply,</v>
      </c>
      <c r="R34" s="6" t="str">
        <f t="shared" si="33"/>
        <v>with,</v>
      </c>
    </row>
    <row r="35">
      <c r="A35" s="1" t="s">
        <v>317</v>
      </c>
      <c r="B35" s="1" t="s">
        <v>319</v>
      </c>
      <c r="C35" s="1" t="s">
        <v>322</v>
      </c>
      <c r="D35" s="1" t="s">
        <v>326</v>
      </c>
      <c r="E35" s="1" t="s">
        <v>136</v>
      </c>
      <c r="F35" s="1" t="s">
        <v>235</v>
      </c>
      <c r="H35" s="1" t="s">
        <v>321</v>
      </c>
      <c r="I35" s="1" t="s">
        <v>236</v>
      </c>
      <c r="J35" s="1" t="s">
        <v>443</v>
      </c>
      <c r="M35" s="6" t="str">
        <f t="shared" ref="M35:R35" si="34">CONCAT(A35,",")</f>
        <v>vicious,</v>
      </c>
      <c r="N35" s="6" t="str">
        <f t="shared" si="34"/>
        <v>where,</v>
      </c>
      <c r="O35" s="6" t="str">
        <f t="shared" si="34"/>
        <v>experience,</v>
      </c>
      <c r="P35" s="6" t="str">
        <f t="shared" si="34"/>
        <v>t,</v>
      </c>
      <c r="Q35" s="6" t="str">
        <f t="shared" si="34"/>
        <v>goes,</v>
      </c>
      <c r="R35" s="6" t="str">
        <f t="shared" si="34"/>
        <v>as,</v>
      </c>
    </row>
    <row r="36">
      <c r="A36" s="1" t="s">
        <v>327</v>
      </c>
      <c r="B36" s="1" t="s">
        <v>328</v>
      </c>
      <c r="C36" s="1" t="s">
        <v>303</v>
      </c>
      <c r="D36" s="1" t="s">
        <v>334</v>
      </c>
      <c r="E36" s="1" t="s">
        <v>43</v>
      </c>
      <c r="F36" s="1" t="s">
        <v>91</v>
      </c>
      <c r="H36" s="1" t="s">
        <v>330</v>
      </c>
      <c r="I36" s="1" t="s">
        <v>177</v>
      </c>
      <c r="J36" s="1" t="s">
        <v>319</v>
      </c>
      <c r="M36" s="6" t="str">
        <f t="shared" ref="M36:R36" si="35">CONCAT(A36,",")</f>
        <v>jagged,</v>
      </c>
      <c r="N36" s="6" t="str">
        <f t="shared" si="35"/>
        <v>how,</v>
      </c>
      <c r="O36" s="6" t="str">
        <f t="shared" si="35"/>
        <v>do,</v>
      </c>
      <c r="P36" s="6" t="str">
        <f t="shared" si="35"/>
        <v>happening,</v>
      </c>
      <c r="Q36" s="6" t="str">
        <f t="shared" si="35"/>
        <v>like,</v>
      </c>
      <c r="R36" s="6" t="str">
        <f t="shared" si="35"/>
        <v>of,</v>
      </c>
    </row>
    <row r="37">
      <c r="A37" s="1" t="s">
        <v>335</v>
      </c>
      <c r="B37" s="1" t="s">
        <v>337</v>
      </c>
      <c r="C37" s="1" t="s">
        <v>340</v>
      </c>
      <c r="D37" s="1" t="s">
        <v>337</v>
      </c>
      <c r="E37" s="1" t="s">
        <v>455</v>
      </c>
      <c r="F37" s="1" t="s">
        <v>266</v>
      </c>
      <c r="H37" s="1" t="s">
        <v>339</v>
      </c>
      <c r="I37" s="1" t="s">
        <v>6262</v>
      </c>
      <c r="J37" s="1" t="s">
        <v>3522</v>
      </c>
      <c r="M37" s="6" t="str">
        <f t="shared" ref="M37:R37" si="36">CONCAT(A37,",")</f>
        <v>slick,</v>
      </c>
      <c r="N37" s="6" t="str">
        <f t="shared" si="36"/>
        <v>bad,</v>
      </c>
      <c r="O37" s="6" t="str">
        <f t="shared" si="36"/>
        <v>feel,</v>
      </c>
      <c r="P37" s="6" t="str">
        <f t="shared" si="36"/>
        <v>bad,</v>
      </c>
      <c r="Q37" s="6" t="str">
        <f t="shared" si="36"/>
        <v>used,</v>
      </c>
      <c r="R37" s="6" t="str">
        <f t="shared" si="36"/>
        <v>out,</v>
      </c>
    </row>
    <row r="38">
      <c r="A38" s="1" t="s">
        <v>345</v>
      </c>
      <c r="B38" s="1" t="s">
        <v>142</v>
      </c>
      <c r="C38" s="1" t="s">
        <v>348</v>
      </c>
      <c r="D38" s="1" t="s">
        <v>132</v>
      </c>
      <c r="E38" s="1" t="s">
        <v>1056</v>
      </c>
      <c r="F38" s="1" t="s">
        <v>583</v>
      </c>
      <c r="H38" s="1" t="s">
        <v>105</v>
      </c>
      <c r="I38" s="1" t="s">
        <v>583</v>
      </c>
      <c r="J38" s="1" t="s">
        <v>337</v>
      </c>
      <c r="M38" s="6" t="str">
        <f t="shared" ref="M38:R38" si="37">CONCAT(A38,",")</f>
        <v>essentially,</v>
      </c>
      <c r="N38" s="6" t="str">
        <f t="shared" si="37"/>
        <v>greatest,</v>
      </c>
      <c r="O38" s="6" t="str">
        <f t="shared" si="37"/>
        <v>i,</v>
      </c>
      <c r="P38" s="6" t="str">
        <f t="shared" si="37"/>
        <v>story,</v>
      </c>
      <c r="Q38" s="6" t="str">
        <f t="shared" si="37"/>
        <v>make,</v>
      </c>
      <c r="R38" s="6" t="str">
        <f t="shared" si="37"/>
        <v>a,</v>
      </c>
    </row>
    <row r="39">
      <c r="A39" s="1" t="s">
        <v>352</v>
      </c>
      <c r="B39" s="1" t="s">
        <v>145</v>
      </c>
      <c r="C39" s="1" t="s">
        <v>191</v>
      </c>
      <c r="D39" s="1" t="s">
        <v>360</v>
      </c>
      <c r="E39" s="1" t="s">
        <v>6280</v>
      </c>
      <c r="F39" s="1" t="s">
        <v>123</v>
      </c>
      <c r="H39" s="1" t="s">
        <v>355</v>
      </c>
      <c r="I39" s="1" t="s">
        <v>91</v>
      </c>
      <c r="J39" s="1" t="s">
        <v>785</v>
      </c>
      <c r="M39" s="6" t="str">
        <f t="shared" ref="M39:R39" si="38">CONCAT(A39,",")</f>
        <v>haunting,</v>
      </c>
      <c r="N39" s="6" t="str">
        <f t="shared" si="38"/>
        <v>intelligence,</v>
      </c>
      <c r="O39" s="6" t="str">
        <f t="shared" si="38"/>
        <v>going,</v>
      </c>
      <c r="P39" s="6" t="str">
        <f t="shared" si="38"/>
        <v>lend,</v>
      </c>
      <c r="Q39" s="6" t="str">
        <f t="shared" si="38"/>
        <v>anymore,</v>
      </c>
      <c r="R39" s="6" t="str">
        <f t="shared" si="38"/>
        <v>suicidal,</v>
      </c>
    </row>
    <row r="40">
      <c r="A40" s="1" t="s">
        <v>361</v>
      </c>
      <c r="B40" s="1" t="s">
        <v>47</v>
      </c>
      <c r="C40" s="1" t="s">
        <v>60</v>
      </c>
      <c r="D40" s="1" t="s">
        <v>367</v>
      </c>
      <c r="E40" s="1" t="s">
        <v>3529</v>
      </c>
      <c r="F40" s="1" t="s">
        <v>100</v>
      </c>
      <c r="H40" s="1" t="s">
        <v>359</v>
      </c>
      <c r="I40" s="1" t="s">
        <v>235</v>
      </c>
      <c r="J40" s="1" t="s">
        <v>483</v>
      </c>
      <c r="M40" s="6" t="str">
        <f t="shared" ref="M40:R40" si="39">CONCAT(A40,",")</f>
        <v>pale,</v>
      </c>
      <c r="N40" s="6" t="str">
        <f t="shared" si="39"/>
        <v>redundant,</v>
      </c>
      <c r="O40" s="6" t="str">
        <f t="shared" si="39"/>
        <v>too,</v>
      </c>
      <c r="P40" s="6" t="str">
        <f t="shared" si="39"/>
        <v>dumb,</v>
      </c>
      <c r="Q40" s="6" t="str">
        <f t="shared" si="39"/>
        <v>movies,</v>
      </c>
      <c r="R40" s="6" t="str">
        <f t="shared" si="39"/>
        <v>poetry,</v>
      </c>
    </row>
    <row r="41">
      <c r="A41" s="1" t="s">
        <v>31</v>
      </c>
      <c r="B41" s="1" t="s">
        <v>55</v>
      </c>
      <c r="C41" s="1" t="s">
        <v>477</v>
      </c>
      <c r="D41" s="1" t="s">
        <v>142</v>
      </c>
      <c r="E41" s="1" t="s">
        <v>443</v>
      </c>
      <c r="F41" s="1" t="s">
        <v>260</v>
      </c>
      <c r="H41" s="1" t="s">
        <v>370</v>
      </c>
      <c r="I41" s="1" t="s">
        <v>253</v>
      </c>
      <c r="J41" s="1" t="s">
        <v>145</v>
      </c>
      <c r="M41" s="6" t="str">
        <f t="shared" ref="M41:R41" si="40">CONCAT(A41,",")</f>
        <v>affecting,</v>
      </c>
      <c r="N41" s="6" t="str">
        <f t="shared" si="40"/>
        <v>succeeds,</v>
      </c>
      <c r="O41" s="6" t="str">
        <f t="shared" si="40"/>
        <v>morning,</v>
      </c>
      <c r="P41" s="6" t="str">
        <f t="shared" si="40"/>
        <v>greatest,</v>
      </c>
      <c r="Q41" s="6" t="str">
        <f t="shared" si="40"/>
        <v>part,</v>
      </c>
      <c r="R41" s="6" t="str">
        <f t="shared" si="40"/>
        <v>thought,</v>
      </c>
    </row>
    <row r="42">
      <c r="A42" s="1" t="s">
        <v>376</v>
      </c>
      <c r="B42" s="1" t="s">
        <v>169</v>
      </c>
      <c r="C42" s="1" t="s">
        <v>204</v>
      </c>
      <c r="D42" s="1" t="s">
        <v>145</v>
      </c>
      <c r="E42" s="1" t="s">
        <v>334</v>
      </c>
      <c r="F42" s="1" t="s">
        <v>287</v>
      </c>
      <c r="H42" s="1" t="s">
        <v>377</v>
      </c>
      <c r="I42" s="1" t="s">
        <v>204</v>
      </c>
      <c r="J42" s="1" t="s">
        <v>388</v>
      </c>
      <c r="M42" s="6" t="str">
        <f t="shared" ref="M42:R42" si="41">CONCAT(A42,",")</f>
        <v>intelligent,</v>
      </c>
      <c r="N42" s="6" t="str">
        <f t="shared" si="41"/>
        <v>casting,</v>
      </c>
      <c r="O42" s="6" t="str">
        <f t="shared" si="41"/>
        <v>an,</v>
      </c>
      <c r="P42" s="6" t="str">
        <f t="shared" si="41"/>
        <v>intelligence,</v>
      </c>
      <c r="Q42" s="6" t="str">
        <f t="shared" si="41"/>
        <v>happening,</v>
      </c>
      <c r="R42" s="6" t="str">
        <f t="shared" si="41"/>
        <v>through,</v>
      </c>
    </row>
    <row r="43">
      <c r="A43" s="1" t="s">
        <v>382</v>
      </c>
      <c r="B43" s="1" t="s">
        <v>179</v>
      </c>
      <c r="C43" s="1" t="s">
        <v>161</v>
      </c>
      <c r="D43" s="1" t="s">
        <v>388</v>
      </c>
      <c r="E43" s="1" t="s">
        <v>785</v>
      </c>
      <c r="F43" s="1" t="s">
        <v>107</v>
      </c>
      <c r="H43" s="1" t="s">
        <v>229</v>
      </c>
      <c r="I43" s="1" t="s">
        <v>266</v>
      </c>
      <c r="J43" s="1" t="s">
        <v>47</v>
      </c>
      <c r="M43" s="6" t="str">
        <f t="shared" ref="M43:R43" si="42">CONCAT(A43,",")</f>
        <v>backward,</v>
      </c>
      <c r="N43" s="6" t="str">
        <f t="shared" si="42"/>
        <v>actress,</v>
      </c>
      <c r="O43" s="6" t="str">
        <f t="shared" si="42"/>
        <v>get,</v>
      </c>
      <c r="P43" s="6" t="str">
        <f t="shared" si="42"/>
        <v>his,</v>
      </c>
      <c r="Q43" s="6" t="str">
        <f t="shared" si="42"/>
        <v>saw,</v>
      </c>
      <c r="R43" s="6" t="str">
        <f t="shared" si="42"/>
        <v>most,</v>
      </c>
    </row>
    <row r="44">
      <c r="A44" s="1" t="s">
        <v>389</v>
      </c>
      <c r="B44" s="1" t="s">
        <v>184</v>
      </c>
      <c r="C44" s="1" t="s">
        <v>278</v>
      </c>
      <c r="D44" s="1" t="s">
        <v>397</v>
      </c>
      <c r="E44" s="1" t="s">
        <v>337</v>
      </c>
      <c r="F44" s="1" t="s">
        <v>117</v>
      </c>
      <c r="H44" s="1" t="s">
        <v>95</v>
      </c>
      <c r="I44" s="1" t="s">
        <v>6279</v>
      </c>
      <c r="J44" s="1" t="s">
        <v>55</v>
      </c>
      <c r="M44" s="6" t="str">
        <f t="shared" ref="M44:R44" si="43">CONCAT(A44,",")</f>
        <v>thrill,</v>
      </c>
      <c r="N44" s="6" t="str">
        <f t="shared" si="43"/>
        <v>face,</v>
      </c>
      <c r="O44" s="6" t="str">
        <f t="shared" si="43"/>
        <v>in,</v>
      </c>
      <c r="P44" s="6" t="str">
        <f t="shared" si="43"/>
        <v>usual,</v>
      </c>
      <c r="Q44" s="6" t="str">
        <f t="shared" si="43"/>
        <v>bad,</v>
      </c>
      <c r="R44" s="6" t="str">
        <f t="shared" si="43"/>
        <v>deeply,</v>
      </c>
    </row>
    <row r="45">
      <c r="A45" s="1" t="s">
        <v>398</v>
      </c>
      <c r="B45" s="1" t="s">
        <v>400</v>
      </c>
      <c r="C45" s="1" t="s">
        <v>167</v>
      </c>
      <c r="D45" s="1" t="s">
        <v>47</v>
      </c>
      <c r="E45" s="1" t="s">
        <v>3522</v>
      </c>
      <c r="F45" s="1" t="s">
        <v>383</v>
      </c>
      <c r="H45" s="1" t="s">
        <v>125</v>
      </c>
      <c r="I45" s="1" t="s">
        <v>112</v>
      </c>
      <c r="J45" s="1" t="s">
        <v>169</v>
      </c>
      <c r="M45" s="6" t="str">
        <f t="shared" ref="M45:R45" si="44">CONCAT(A45,",")</f>
        <v>powerful,</v>
      </c>
      <c r="N45" s="6" t="str">
        <f t="shared" si="44"/>
        <v>by,</v>
      </c>
      <c r="O45" s="6" t="str">
        <f t="shared" si="44"/>
        <v>same,</v>
      </c>
      <c r="P45" s="6" t="str">
        <f t="shared" si="44"/>
        <v>redundant,</v>
      </c>
      <c r="Q45" s="6" t="str">
        <f t="shared" si="44"/>
        <v>movie,</v>
      </c>
      <c r="R45" s="6" t="str">
        <f t="shared" si="44"/>
        <v>films,</v>
      </c>
    </row>
    <row r="46">
      <c r="A46" s="1" t="s">
        <v>408</v>
      </c>
      <c r="B46" s="1" t="s">
        <v>410</v>
      </c>
      <c r="C46" s="1" t="s">
        <v>514</v>
      </c>
      <c r="D46" s="1" t="s">
        <v>417</v>
      </c>
      <c r="E46" s="1" t="s">
        <v>132</v>
      </c>
      <c r="F46" s="1" t="s">
        <v>5648</v>
      </c>
      <c r="H46" s="1" t="s">
        <v>412</v>
      </c>
      <c r="I46" s="1" t="s">
        <v>282</v>
      </c>
      <c r="J46" s="1" t="s">
        <v>179</v>
      </c>
      <c r="M46" s="6" t="str">
        <f t="shared" ref="M46:R46" si="45">CONCAT(A46,",")</f>
        <v>torture,</v>
      </c>
      <c r="N46" s="6" t="str">
        <f t="shared" si="45"/>
        <v>ways,</v>
      </c>
      <c r="O46" s="6" t="str">
        <f t="shared" si="45"/>
        <v>had,</v>
      </c>
      <c r="P46" s="6" t="str">
        <f t="shared" si="45"/>
        <v>concept,</v>
      </c>
      <c r="Q46" s="6" t="str">
        <f t="shared" si="45"/>
        <v>story,</v>
      </c>
      <c r="R46" s="6" t="str">
        <f t="shared" si="45"/>
        <v>`,</v>
      </c>
    </row>
    <row r="47">
      <c r="A47" s="1" t="s">
        <v>418</v>
      </c>
      <c r="B47" s="1" t="s">
        <v>44</v>
      </c>
      <c r="C47" s="1" t="s">
        <v>523</v>
      </c>
      <c r="D47" s="1" t="s">
        <v>55</v>
      </c>
      <c r="E47" s="1" t="s">
        <v>142</v>
      </c>
      <c r="F47" s="1" t="s">
        <v>805</v>
      </c>
      <c r="H47" s="1" t="s">
        <v>133</v>
      </c>
      <c r="I47" s="1" t="s">
        <v>234</v>
      </c>
      <c r="J47" s="1" t="s">
        <v>523</v>
      </c>
      <c r="M47" s="6" t="str">
        <f t="shared" ref="M47:R47" si="46">CONCAT(A47,",")</f>
        <v>celebrates,</v>
      </c>
      <c r="N47" s="6" t="str">
        <f t="shared" si="46"/>
        <v>feminist,</v>
      </c>
      <c r="O47" s="6" t="str">
        <f t="shared" si="46"/>
        <v>it,</v>
      </c>
      <c r="P47" s="6" t="str">
        <f t="shared" si="46"/>
        <v>succeeds,</v>
      </c>
      <c r="Q47" s="6" t="str">
        <f t="shared" si="46"/>
        <v>greatest,</v>
      </c>
      <c r="R47" s="6" t="str">
        <f t="shared" si="46"/>
        <v>than,</v>
      </c>
    </row>
    <row r="48">
      <c r="A48" s="1" t="s">
        <v>426</v>
      </c>
      <c r="B48" s="1" t="s">
        <v>75</v>
      </c>
      <c r="C48" s="1" t="s">
        <v>530</v>
      </c>
      <c r="D48" s="1" t="s">
        <v>169</v>
      </c>
      <c r="E48" s="1" t="s">
        <v>498</v>
      </c>
      <c r="F48" s="1" t="s">
        <v>278</v>
      </c>
      <c r="H48" s="1" t="s">
        <v>425</v>
      </c>
      <c r="I48" s="1" t="s">
        <v>226</v>
      </c>
      <c r="J48" s="1" t="s">
        <v>445</v>
      </c>
      <c r="M48" s="6" t="str">
        <f t="shared" ref="M48:R48" si="47">CONCAT(A48,",")</f>
        <v>strongest,</v>
      </c>
      <c r="N48" s="6" t="str">
        <f t="shared" si="47"/>
        <v>conspiracy,</v>
      </c>
      <c r="O48" s="6" t="str">
        <f t="shared" si="47"/>
        <v>problem,</v>
      </c>
      <c r="P48" s="6" t="str">
        <f t="shared" si="47"/>
        <v>casting,</v>
      </c>
      <c r="Q48" s="6" t="str">
        <f t="shared" si="47"/>
        <v>musicians,</v>
      </c>
      <c r="R48" s="6" t="str">
        <f t="shared" si="47"/>
        <v>in,</v>
      </c>
    </row>
    <row r="49">
      <c r="A49" s="1" t="s">
        <v>432</v>
      </c>
      <c r="B49" s="1" t="s">
        <v>434</v>
      </c>
      <c r="C49" s="1" t="s">
        <v>538</v>
      </c>
      <c r="D49" s="1" t="s">
        <v>184</v>
      </c>
      <c r="E49" s="1" t="s">
        <v>505</v>
      </c>
      <c r="F49" s="1" t="s">
        <v>269</v>
      </c>
      <c r="H49" s="1" t="s">
        <v>143</v>
      </c>
      <c r="I49" s="1" t="s">
        <v>197</v>
      </c>
      <c r="J49" s="1" t="s">
        <v>451</v>
      </c>
      <c r="M49" s="6" t="str">
        <f t="shared" ref="M49:R49" si="48">CONCAT(A49,",")</f>
        <v>irrelevant,</v>
      </c>
      <c r="N49" s="6" t="str">
        <f t="shared" si="48"/>
        <v>anything,</v>
      </c>
      <c r="O49" s="6" t="str">
        <f t="shared" si="48"/>
        <v>so,</v>
      </c>
      <c r="P49" s="6" t="str">
        <f t="shared" si="48"/>
        <v>face,</v>
      </c>
      <c r="Q49" s="6" t="str">
        <f t="shared" si="48"/>
        <v>cold,</v>
      </c>
      <c r="R49" s="6" t="str">
        <f t="shared" si="48"/>
        <v>are,</v>
      </c>
    </row>
    <row r="50">
      <c r="A50" s="1" t="s">
        <v>440</v>
      </c>
      <c r="B50" s="1" t="s">
        <v>442</v>
      </c>
      <c r="C50" s="1" t="s">
        <v>546</v>
      </c>
      <c r="D50" s="1" t="s">
        <v>451</v>
      </c>
      <c r="E50" s="1" t="s">
        <v>145</v>
      </c>
      <c r="F50" s="1" t="s">
        <v>129</v>
      </c>
      <c r="H50" s="1" t="s">
        <v>163</v>
      </c>
      <c r="I50" s="1" t="s">
        <v>1665</v>
      </c>
      <c r="J50" s="1" t="s">
        <v>194</v>
      </c>
      <c r="M50" s="6" t="str">
        <f t="shared" ref="M50:R50" si="49">CONCAT(A50,",")</f>
        <v>canvas,</v>
      </c>
      <c r="N50" s="6" t="str">
        <f t="shared" si="49"/>
        <v>black,</v>
      </c>
      <c r="O50" s="6" t="str">
        <f t="shared" si="49"/>
        <v>summer,</v>
      </c>
      <c r="P50" s="6" t="str">
        <f t="shared" si="49"/>
        <v>projects,</v>
      </c>
      <c r="Q50" s="6" t="str">
        <f t="shared" si="49"/>
        <v>intelligence,</v>
      </c>
      <c r="R50" s="6" t="str">
        <f t="shared" si="49"/>
        <v>more,</v>
      </c>
    </row>
    <row r="51">
      <c r="A51" s="1" t="s">
        <v>452</v>
      </c>
      <c r="B51" s="1" t="s">
        <v>188</v>
      </c>
      <c r="C51" s="1" t="s">
        <v>554</v>
      </c>
      <c r="D51" s="1" t="s">
        <v>458</v>
      </c>
      <c r="E51" s="1" t="s">
        <v>397</v>
      </c>
      <c r="F51" s="1" t="s">
        <v>295</v>
      </c>
      <c r="H51" s="1" t="s">
        <v>433</v>
      </c>
      <c r="I51" s="1" t="s">
        <v>249</v>
      </c>
      <c r="J51" s="1" t="s">
        <v>410</v>
      </c>
      <c r="M51" s="6" t="str">
        <f t="shared" ref="M51:R51" si="50">CONCAT(A51,",")</f>
        <v>smug,</v>
      </c>
      <c r="N51" s="6" t="str">
        <f t="shared" si="50"/>
        <v>performances,</v>
      </c>
      <c r="O51" s="6" t="str">
        <f t="shared" si="50"/>
        <v>seem,</v>
      </c>
      <c r="P51" s="6" t="str">
        <f t="shared" si="50"/>
        <v>above,</v>
      </c>
      <c r="Q51" s="6" t="str">
        <f t="shared" si="50"/>
        <v>usual,</v>
      </c>
      <c r="R51" s="6" t="str">
        <f t="shared" si="50"/>
        <v>absurd,</v>
      </c>
    </row>
    <row r="52">
      <c r="A52" s="1" t="s">
        <v>459</v>
      </c>
      <c r="B52" s="1" t="s">
        <v>461</v>
      </c>
      <c r="C52" s="1" t="s">
        <v>139</v>
      </c>
      <c r="D52" s="1" t="s">
        <v>466</v>
      </c>
      <c r="E52" s="1" t="s">
        <v>417</v>
      </c>
      <c r="F52" s="1" t="s">
        <v>136</v>
      </c>
      <c r="H52" s="1" t="s">
        <v>450</v>
      </c>
      <c r="I52" s="1" t="s">
        <v>6277</v>
      </c>
      <c r="J52" s="1" t="s">
        <v>75</v>
      </c>
      <c r="M52" s="6" t="str">
        <f t="shared" ref="M52:R52" si="51">CONCAT(A52,",")</f>
        <v>captures,</v>
      </c>
      <c r="N52" s="6" t="str">
        <f t="shared" si="51"/>
        <v>brave,</v>
      </c>
      <c r="O52" s="6" t="str">
        <f t="shared" si="51"/>
        <v>time,</v>
      </c>
      <c r="P52" s="6" t="str">
        <f t="shared" si="51"/>
        <v>young,</v>
      </c>
      <c r="Q52" s="6" t="str">
        <f t="shared" si="51"/>
        <v>concept,</v>
      </c>
      <c r="R52" s="6" t="str">
        <f t="shared" si="51"/>
        <v>goes,</v>
      </c>
    </row>
    <row r="53">
      <c r="A53" s="1" t="s">
        <v>467</v>
      </c>
      <c r="B53" s="1" t="s">
        <v>54</v>
      </c>
      <c r="C53" s="1" t="s">
        <v>231</v>
      </c>
      <c r="D53" s="1" t="s">
        <v>194</v>
      </c>
      <c r="E53" s="1" t="s">
        <v>184</v>
      </c>
      <c r="F53" s="1" t="s">
        <v>411</v>
      </c>
      <c r="H53" s="1" t="s">
        <v>340</v>
      </c>
      <c r="I53" s="1" t="s">
        <v>80</v>
      </c>
      <c r="J53" s="1" t="s">
        <v>44</v>
      </c>
      <c r="M53" s="6" t="str">
        <f t="shared" ref="M53:R53" si="52">CONCAT(A53,",")</f>
        <v>offensive,</v>
      </c>
      <c r="N53" s="6" t="str">
        <f t="shared" si="52"/>
        <v>enriched,</v>
      </c>
      <c r="O53" s="6" t="str">
        <f t="shared" si="52"/>
        <v>put,</v>
      </c>
      <c r="P53" s="6" t="str">
        <f t="shared" si="52"/>
        <v>original,</v>
      </c>
      <c r="Q53" s="6" t="str">
        <f t="shared" si="52"/>
        <v>face,</v>
      </c>
      <c r="R53" s="6" t="str">
        <f t="shared" si="52"/>
        <v>lengths,</v>
      </c>
    </row>
    <row r="54">
      <c r="A54" s="1" t="s">
        <v>474</v>
      </c>
      <c r="B54" s="1" t="s">
        <v>233</v>
      </c>
      <c r="C54" s="1" t="s">
        <v>172</v>
      </c>
      <c r="D54" s="1" t="s">
        <v>410</v>
      </c>
      <c r="E54" s="1" t="s">
        <v>466</v>
      </c>
      <c r="F54" s="1" t="s">
        <v>326</v>
      </c>
      <c r="H54" s="1" t="s">
        <v>476</v>
      </c>
      <c r="I54" s="1" t="s">
        <v>100</v>
      </c>
      <c r="J54" s="1" t="s">
        <v>434</v>
      </c>
      <c r="M54" s="6" t="str">
        <f t="shared" ref="M54:R54" si="53">CONCAT(A54,",")</f>
        <v>tale,</v>
      </c>
      <c r="N54" s="6" t="str">
        <f t="shared" si="53"/>
        <v>spirits,</v>
      </c>
      <c r="O54" s="6" t="str">
        <f t="shared" si="53"/>
        <v>long,</v>
      </c>
      <c r="P54" s="6" t="str">
        <f t="shared" si="53"/>
        <v>ways,</v>
      </c>
      <c r="Q54" s="6" t="str">
        <f t="shared" si="53"/>
        <v>young,</v>
      </c>
      <c r="R54" s="6" t="str">
        <f t="shared" si="53"/>
        <v>t,</v>
      </c>
    </row>
    <row r="55">
      <c r="A55" s="1" t="s">
        <v>481</v>
      </c>
      <c r="B55" s="1" t="s">
        <v>61</v>
      </c>
      <c r="C55" s="1" t="s">
        <v>583</v>
      </c>
      <c r="D55" s="1" t="s">
        <v>44</v>
      </c>
      <c r="E55" s="1" t="s">
        <v>2389</v>
      </c>
      <c r="F55" s="1" t="s">
        <v>303</v>
      </c>
      <c r="H55" s="1" t="s">
        <v>485</v>
      </c>
      <c r="I55" s="1" t="s">
        <v>5648</v>
      </c>
      <c r="J55" s="1" t="s">
        <v>509</v>
      </c>
      <c r="M55" s="6" t="str">
        <f t="shared" ref="M55:R55" si="54">CONCAT(A55,",")</f>
        <v>sitcom,</v>
      </c>
      <c r="N55" s="6" t="str">
        <f t="shared" si="54"/>
        <v>or,</v>
      </c>
      <c r="O55" s="6" t="str">
        <f t="shared" si="54"/>
        <v>a,</v>
      </c>
      <c r="P55" s="6" t="str">
        <f t="shared" si="54"/>
        <v>feminist,</v>
      </c>
      <c r="Q55" s="6" t="str">
        <f t="shared" si="54"/>
        <v>whose,</v>
      </c>
      <c r="R55" s="6" t="str">
        <f t="shared" si="54"/>
        <v>do,</v>
      </c>
    </row>
    <row r="56">
      <c r="A56" s="1" t="s">
        <v>489</v>
      </c>
      <c r="B56" s="1" t="s">
        <v>218</v>
      </c>
      <c r="C56" s="1" t="s">
        <v>221</v>
      </c>
      <c r="D56" s="1" t="s">
        <v>75</v>
      </c>
      <c r="E56" s="1" t="s">
        <v>179</v>
      </c>
      <c r="F56" s="1" t="s">
        <v>1056</v>
      </c>
      <c r="H56" s="1" t="s">
        <v>488</v>
      </c>
      <c r="I56" s="1" t="s">
        <v>278</v>
      </c>
      <c r="J56" s="1" t="s">
        <v>188</v>
      </c>
      <c r="M56" s="6" t="str">
        <f t="shared" ref="M56:R56" si="55">CONCAT(A56,",")</f>
        <v>abuse,</v>
      </c>
      <c r="N56" s="6" t="str">
        <f t="shared" si="55"/>
        <v>cinema,</v>
      </c>
      <c r="O56" s="6" t="str">
        <f t="shared" si="55"/>
        <v>next,</v>
      </c>
      <c r="P56" s="6" t="str">
        <f t="shared" si="55"/>
        <v>conspiracy,</v>
      </c>
      <c r="Q56" s="6" t="str">
        <f t="shared" si="55"/>
        <v>actress,</v>
      </c>
      <c r="R56" s="6" t="str">
        <f t="shared" si="55"/>
        <v>make,</v>
      </c>
    </row>
    <row r="57">
      <c r="A57" s="1" t="s">
        <v>496</v>
      </c>
      <c r="B57" s="1" t="s">
        <v>237</v>
      </c>
      <c r="C57" s="1" t="s">
        <v>600</v>
      </c>
      <c r="D57" s="1" t="s">
        <v>85</v>
      </c>
      <c r="E57" s="1" t="s">
        <v>451</v>
      </c>
      <c r="F57" s="1" t="s">
        <v>2252</v>
      </c>
      <c r="H57" s="1" t="s">
        <v>166</v>
      </c>
      <c r="I57" s="1" t="s">
        <v>269</v>
      </c>
      <c r="J57" s="1" t="s">
        <v>461</v>
      </c>
      <c r="M57" s="6" t="str">
        <f t="shared" ref="M57:R57" si="56">CONCAT(A57,",")</f>
        <v>suffers,</v>
      </c>
      <c r="N57" s="6" t="str">
        <f t="shared" si="56"/>
        <v>plot,</v>
      </c>
      <c r="O57" s="6" t="str">
        <f t="shared" si="56"/>
        <v>them,</v>
      </c>
      <c r="P57" s="6" t="str">
        <f t="shared" si="56"/>
        <v>theorist,</v>
      </c>
      <c r="Q57" s="6" t="str">
        <f t="shared" si="56"/>
        <v>projects,</v>
      </c>
      <c r="R57" s="6" t="str">
        <f t="shared" si="56"/>
        <v>those,</v>
      </c>
    </row>
    <row r="58">
      <c r="A58" s="1" t="s">
        <v>503</v>
      </c>
      <c r="B58" s="1" t="s">
        <v>314</v>
      </c>
      <c r="C58" s="1" t="s">
        <v>610</v>
      </c>
      <c r="D58" s="1" t="s">
        <v>509</v>
      </c>
      <c r="E58" s="1" t="s">
        <v>6281</v>
      </c>
      <c r="F58" s="1" t="s">
        <v>443</v>
      </c>
      <c r="H58" s="1" t="s">
        <v>193</v>
      </c>
      <c r="I58" s="1" t="s">
        <v>129</v>
      </c>
      <c r="J58" s="1" t="s">
        <v>233</v>
      </c>
      <c r="M58" s="6" t="str">
        <f t="shared" ref="M58:R58" si="57">CONCAT(A58,",")</f>
        <v>drown,</v>
      </c>
      <c r="N58" s="6" t="str">
        <f t="shared" si="57"/>
        <v>find,</v>
      </c>
      <c r="O58" s="6" t="str">
        <f t="shared" si="57"/>
        <v>wait,</v>
      </c>
      <c r="P58" s="6" t="str">
        <f t="shared" si="57"/>
        <v>smile,</v>
      </c>
      <c r="Q58" s="6" t="str">
        <f t="shared" si="57"/>
        <v>swimming,</v>
      </c>
      <c r="R58" s="6" t="str">
        <f t="shared" si="57"/>
        <v>part,</v>
      </c>
    </row>
    <row r="59">
      <c r="A59" s="1" t="s">
        <v>510</v>
      </c>
      <c r="B59" s="1" t="s">
        <v>64</v>
      </c>
      <c r="C59" s="1" t="s">
        <v>652</v>
      </c>
      <c r="D59" s="1" t="s">
        <v>461</v>
      </c>
      <c r="E59" s="1" t="s">
        <v>169</v>
      </c>
      <c r="F59" s="1" t="s">
        <v>469</v>
      </c>
      <c r="H59" s="1" t="s">
        <v>513</v>
      </c>
      <c r="I59" s="1" t="s">
        <v>287</v>
      </c>
      <c r="J59" s="1" t="s">
        <v>211</v>
      </c>
      <c r="M59" s="6" t="str">
        <f t="shared" ref="M59:R59" si="58">CONCAT(A59,",")</f>
        <v>enduring,</v>
      </c>
      <c r="N59" s="6" t="str">
        <f t="shared" si="58"/>
        <v>weaving,</v>
      </c>
      <c r="O59" s="6" t="str">
        <f t="shared" si="58"/>
        <v>you,</v>
      </c>
      <c r="P59" s="6" t="str">
        <f t="shared" si="58"/>
        <v>brave,</v>
      </c>
      <c r="Q59" s="6" t="str">
        <f t="shared" si="58"/>
        <v>casting,</v>
      </c>
      <c r="R59" s="6" t="str">
        <f t="shared" si="58"/>
        <v>was,</v>
      </c>
    </row>
    <row r="60">
      <c r="A60" s="1" t="s">
        <v>518</v>
      </c>
      <c r="B60" s="1" t="s">
        <v>520</v>
      </c>
      <c r="C60" s="1" t="s">
        <v>660</v>
      </c>
      <c r="D60" s="1" t="s">
        <v>188</v>
      </c>
      <c r="E60" s="1" t="s">
        <v>156</v>
      </c>
      <c r="F60" s="1" t="s">
        <v>3522</v>
      </c>
      <c r="H60" s="1" t="s">
        <v>522</v>
      </c>
      <c r="I60" s="1" t="s">
        <v>805</v>
      </c>
      <c r="J60" s="1" t="s">
        <v>1222</v>
      </c>
      <c r="M60" s="6" t="str">
        <f t="shared" ref="M60:R60" si="59">CONCAT(A60,",")</f>
        <v>acid,</v>
      </c>
      <c r="N60" s="6" t="str">
        <f t="shared" si="59"/>
        <v>clone,</v>
      </c>
      <c r="O60" s="6" t="str">
        <f t="shared" si="59"/>
        <v>else,</v>
      </c>
      <c r="P60" s="6" t="str">
        <f t="shared" si="59"/>
        <v>performances,</v>
      </c>
      <c r="Q60" s="6" t="str">
        <f t="shared" si="59"/>
        <v>even,</v>
      </c>
      <c r="R60" s="6" t="str">
        <f t="shared" si="59"/>
        <v>movie,</v>
      </c>
    </row>
    <row r="61">
      <c r="A61" s="1" t="s">
        <v>468</v>
      </c>
      <c r="B61" s="1" t="s">
        <v>276</v>
      </c>
      <c r="C61" s="1" t="s">
        <v>246</v>
      </c>
      <c r="D61" s="1" t="s">
        <v>54</v>
      </c>
      <c r="E61" s="1" t="s">
        <v>194</v>
      </c>
      <c r="F61" s="1" t="s">
        <v>716</v>
      </c>
      <c r="H61" s="1" t="s">
        <v>528</v>
      </c>
      <c r="I61" s="1" t="s">
        <v>107</v>
      </c>
      <c r="J61" s="1" t="s">
        <v>61</v>
      </c>
      <c r="M61" s="6" t="str">
        <f t="shared" ref="M61:R61" si="60">CONCAT(A61,",")</f>
        <v>meaningful,</v>
      </c>
      <c r="N61" s="6" t="str">
        <f t="shared" si="60"/>
        <v>funny,</v>
      </c>
      <c r="O61" s="6" t="str">
        <f t="shared" si="60"/>
        <v>order,</v>
      </c>
      <c r="P61" s="6" t="str">
        <f t="shared" si="60"/>
        <v>enriched,</v>
      </c>
      <c r="Q61" s="6" t="str">
        <f t="shared" si="60"/>
        <v>original,</v>
      </c>
      <c r="R61" s="6" t="str">
        <f t="shared" si="60"/>
        <v>some,</v>
      </c>
    </row>
    <row r="62">
      <c r="A62" s="1" t="s">
        <v>534</v>
      </c>
      <c r="B62" s="1" t="s">
        <v>74</v>
      </c>
      <c r="C62" s="1" t="s">
        <v>682</v>
      </c>
      <c r="D62" s="1" t="s">
        <v>233</v>
      </c>
      <c r="E62" s="1" t="s">
        <v>410</v>
      </c>
      <c r="F62" s="1" t="s">
        <v>483</v>
      </c>
      <c r="H62" s="1" t="s">
        <v>537</v>
      </c>
      <c r="I62" s="1" t="s">
        <v>260</v>
      </c>
      <c r="J62" s="1" t="s">
        <v>218</v>
      </c>
      <c r="M62" s="6" t="str">
        <f t="shared" ref="M62:R62" si="61">CONCAT(A62,",")</f>
        <v>juvenile,</v>
      </c>
      <c r="N62" s="6" t="str">
        <f t="shared" si="61"/>
        <v>storyline,</v>
      </c>
      <c r="O62" s="6" t="str">
        <f t="shared" si="61"/>
        <v>kitchen,</v>
      </c>
      <c r="P62" s="6" t="str">
        <f t="shared" si="61"/>
        <v>spirits,</v>
      </c>
      <c r="Q62" s="6" t="str">
        <f t="shared" si="61"/>
        <v>ways,</v>
      </c>
      <c r="R62" s="6" t="str">
        <f t="shared" si="61"/>
        <v>dignity,</v>
      </c>
    </row>
    <row r="63">
      <c r="A63" s="1" t="s">
        <v>543</v>
      </c>
      <c r="B63" s="1" t="s">
        <v>544</v>
      </c>
      <c r="C63" s="1" t="s">
        <v>255</v>
      </c>
      <c r="D63" s="1" t="s">
        <v>211</v>
      </c>
      <c r="E63" s="1" t="s">
        <v>393</v>
      </c>
      <c r="F63" s="1" t="s">
        <v>132</v>
      </c>
      <c r="H63" s="1" t="s">
        <v>545</v>
      </c>
      <c r="I63" s="1" t="s">
        <v>383</v>
      </c>
      <c r="J63" s="1" t="s">
        <v>568</v>
      </c>
      <c r="M63" s="6" t="str">
        <f t="shared" ref="M63:R63" si="62">CONCAT(A63,",")</f>
        <v>portrait,</v>
      </c>
      <c r="N63" s="6" t="str">
        <f t="shared" si="62"/>
        <v>real,</v>
      </c>
      <c r="O63" s="6" t="str">
        <f t="shared" si="62"/>
        <v>main,</v>
      </c>
      <c r="P63" s="6" t="str">
        <f t="shared" si="62"/>
        <v>cast,</v>
      </c>
      <c r="Q63" s="6" t="str">
        <f t="shared" si="62"/>
        <v>see,</v>
      </c>
      <c r="R63" s="6" t="str">
        <f t="shared" si="62"/>
        <v>story,</v>
      </c>
    </row>
    <row r="64">
      <c r="A64" s="1" t="s">
        <v>551</v>
      </c>
      <c r="B64" s="1" t="s">
        <v>66</v>
      </c>
      <c r="C64" s="1" t="s">
        <v>696</v>
      </c>
      <c r="D64" s="1" t="s">
        <v>559</v>
      </c>
      <c r="E64" s="1" t="s">
        <v>442</v>
      </c>
      <c r="F64" s="1" t="s">
        <v>142</v>
      </c>
      <c r="H64" s="1" t="s">
        <v>553</v>
      </c>
      <c r="I64" s="1" t="s">
        <v>117</v>
      </c>
      <c r="J64" s="1" t="s">
        <v>237</v>
      </c>
      <c r="M64" s="6" t="str">
        <f t="shared" ref="M64:R64" si="63">CONCAT(A64,",")</f>
        <v>compassion,</v>
      </c>
      <c r="N64" s="6" t="str">
        <f t="shared" si="63"/>
        <v>crude,</v>
      </c>
      <c r="O64" s="6" t="str">
        <f t="shared" si="63"/>
        <v>obvious,</v>
      </c>
      <c r="P64" s="6" t="str">
        <f t="shared" si="63"/>
        <v>worse,</v>
      </c>
      <c r="Q64" s="6" t="str">
        <f t="shared" si="63"/>
        <v>black,</v>
      </c>
      <c r="R64" s="6" t="str">
        <f t="shared" si="63"/>
        <v>greatest,</v>
      </c>
    </row>
    <row r="65">
      <c r="A65" s="1" t="s">
        <v>560</v>
      </c>
      <c r="B65" s="1" t="s">
        <v>562</v>
      </c>
      <c r="C65" s="1" t="s">
        <v>702</v>
      </c>
      <c r="D65" s="1" t="s">
        <v>568</v>
      </c>
      <c r="E65" s="1" t="s">
        <v>1704</v>
      </c>
      <c r="F65" s="1" t="s">
        <v>498</v>
      </c>
      <c r="H65" s="1" t="s">
        <v>563</v>
      </c>
      <c r="I65" s="1" t="s">
        <v>136</v>
      </c>
      <c r="J65" s="1" t="s">
        <v>2650</v>
      </c>
      <c r="M65" s="6" t="str">
        <f t="shared" ref="M65:R65" si="64">CONCAT(A65,",")</f>
        <v>imitation,</v>
      </c>
      <c r="N65" s="6" t="str">
        <f t="shared" si="64"/>
        <v>silly,</v>
      </c>
      <c r="O65" s="6" t="str">
        <f t="shared" si="64"/>
        <v>food,</v>
      </c>
      <c r="P65" s="6" t="str">
        <f t="shared" si="64"/>
        <v>world,</v>
      </c>
      <c r="Q65" s="6" t="str">
        <f t="shared" si="64"/>
        <v>named,</v>
      </c>
      <c r="R65" s="6" t="str">
        <f t="shared" si="64"/>
        <v>musicians,</v>
      </c>
    </row>
    <row r="66">
      <c r="A66" s="1" t="s">
        <v>29</v>
      </c>
      <c r="B66" s="1" t="s">
        <v>122</v>
      </c>
      <c r="C66" s="1" t="s">
        <v>710</v>
      </c>
      <c r="D66" s="1" t="s">
        <v>218</v>
      </c>
      <c r="E66" s="1" t="s">
        <v>434</v>
      </c>
      <c r="F66" s="1" t="s">
        <v>505</v>
      </c>
      <c r="H66" s="1" t="s">
        <v>570</v>
      </c>
      <c r="I66" s="1" t="s">
        <v>326</v>
      </c>
      <c r="J66" s="1" t="s">
        <v>248</v>
      </c>
      <c r="M66" s="6" t="str">
        <f t="shared" ref="M66:R66" si="65">CONCAT(A66,",")</f>
        <v>bleak,</v>
      </c>
      <c r="N66" s="6" t="str">
        <f t="shared" si="65"/>
        <v>heroes,</v>
      </c>
      <c r="O66" s="6" t="str">
        <f t="shared" si="65"/>
        <v>taking,</v>
      </c>
      <c r="P66" s="6" t="str">
        <f t="shared" si="65"/>
        <v>cinema,</v>
      </c>
      <c r="Q66" s="6" t="str">
        <f t="shared" si="65"/>
        <v>anything,</v>
      </c>
      <c r="R66" s="6" t="str">
        <f t="shared" si="65"/>
        <v>cold,</v>
      </c>
    </row>
    <row r="67">
      <c r="A67" s="1" t="s">
        <v>552</v>
      </c>
      <c r="B67" s="1" t="s">
        <v>77</v>
      </c>
      <c r="C67" s="1" t="s">
        <v>716</v>
      </c>
      <c r="D67" s="1" t="s">
        <v>581</v>
      </c>
      <c r="E67" s="1" t="s">
        <v>630</v>
      </c>
      <c r="F67" s="1" t="s">
        <v>145</v>
      </c>
      <c r="H67" s="1" t="s">
        <v>373</v>
      </c>
      <c r="I67" s="1" t="s">
        <v>118</v>
      </c>
      <c r="J67" s="1" t="s">
        <v>64</v>
      </c>
      <c r="M67" s="6" t="str">
        <f t="shared" ref="M67:R67" si="66">CONCAT(A67,",")</f>
        <v>convincing,</v>
      </c>
      <c r="N67" s="6" t="str">
        <f t="shared" si="66"/>
        <v>oblivious,</v>
      </c>
      <c r="O67" s="6" t="str">
        <f t="shared" si="66"/>
        <v>some,</v>
      </c>
      <c r="P67" s="6" t="str">
        <f t="shared" si="66"/>
        <v>alternative,</v>
      </c>
      <c r="Q67" s="6" t="str">
        <f t="shared" si="66"/>
        <v>storm,</v>
      </c>
      <c r="R67" s="6" t="str">
        <f t="shared" si="66"/>
        <v>intelligence,</v>
      </c>
    </row>
    <row r="68">
      <c r="A68" s="1" t="s">
        <v>511</v>
      </c>
      <c r="B68" s="1" t="s">
        <v>310</v>
      </c>
      <c r="C68" s="1" t="s">
        <v>725</v>
      </c>
      <c r="D68" s="1" t="s">
        <v>228</v>
      </c>
      <c r="E68" s="1" t="s">
        <v>6282</v>
      </c>
      <c r="F68" s="1" t="s">
        <v>388</v>
      </c>
      <c r="H68" s="1" t="s">
        <v>538</v>
      </c>
      <c r="I68" s="1" t="s">
        <v>6283</v>
      </c>
      <c r="J68" s="1" t="s">
        <v>276</v>
      </c>
      <c r="M68" s="6" t="str">
        <f t="shared" ref="M68:R68" si="67">CONCAT(A68,",")</f>
        <v>affection,</v>
      </c>
      <c r="N68" s="6" t="str">
        <f t="shared" si="67"/>
        <v>existence,</v>
      </c>
      <c r="O68" s="6" t="str">
        <f t="shared" si="67"/>
        <v>tables,</v>
      </c>
      <c r="P68" s="6" t="str">
        <f t="shared" si="67"/>
        <v>viewing,</v>
      </c>
      <c r="Q68" s="6" t="str">
        <f t="shared" si="67"/>
        <v>dick,</v>
      </c>
      <c r="R68" s="6" t="str">
        <f t="shared" si="67"/>
        <v>his,</v>
      </c>
    </row>
    <row r="69">
      <c r="A69" s="1" t="s">
        <v>588</v>
      </c>
      <c r="B69" s="1" t="s">
        <v>84</v>
      </c>
      <c r="C69" s="1" t="s">
        <v>732</v>
      </c>
      <c r="D69" s="1" t="s">
        <v>237</v>
      </c>
      <c r="E69" s="1" t="s">
        <v>6284</v>
      </c>
      <c r="F69" s="1" t="s">
        <v>397</v>
      </c>
      <c r="H69" s="1" t="s">
        <v>591</v>
      </c>
      <c r="I69" s="1" t="s">
        <v>6285</v>
      </c>
      <c r="J69" s="1" t="s">
        <v>74</v>
      </c>
      <c r="M69" s="6" t="str">
        <f t="shared" ref="M69:R69" si="68">CONCAT(A69,",")</f>
        <v>kills,</v>
      </c>
      <c r="N69" s="6" t="str">
        <f t="shared" si="68"/>
        <v>sharply,</v>
      </c>
      <c r="O69" s="6" t="str">
        <f t="shared" si="68"/>
        <v>initial,</v>
      </c>
      <c r="P69" s="6" t="str">
        <f t="shared" si="68"/>
        <v>plot,</v>
      </c>
      <c r="Q69" s="6" t="str">
        <f t="shared" si="68"/>
        <v>dirty,</v>
      </c>
      <c r="R69" s="6" t="str">
        <f t="shared" si="68"/>
        <v>usual,</v>
      </c>
    </row>
    <row r="70">
      <c r="A70" s="1" t="s">
        <v>420</v>
      </c>
      <c r="B70" s="1" t="s">
        <v>598</v>
      </c>
      <c r="C70" s="1" t="s">
        <v>742</v>
      </c>
      <c r="D70" s="1" t="s">
        <v>248</v>
      </c>
      <c r="E70" s="1" t="s">
        <v>6286</v>
      </c>
      <c r="F70" s="1" t="s">
        <v>47</v>
      </c>
      <c r="H70" s="1" t="s">
        <v>596</v>
      </c>
      <c r="I70" s="1" t="s">
        <v>43</v>
      </c>
      <c r="J70" s="1" t="s">
        <v>66</v>
      </c>
      <c r="M70" s="6" t="str">
        <f t="shared" ref="M70:R70" si="69">CONCAT(A70,",")</f>
        <v>courage,</v>
      </c>
      <c r="N70" s="6" t="str">
        <f t="shared" si="69"/>
        <v>point,</v>
      </c>
      <c r="O70" s="6" t="str">
        <f t="shared" si="69"/>
        <v>miss,</v>
      </c>
      <c r="P70" s="6" t="str">
        <f t="shared" si="69"/>
        <v>cylinders,</v>
      </c>
      <c r="Q70" s="6" t="str">
        <f t="shared" si="69"/>
        <v>camps,</v>
      </c>
      <c r="R70" s="6" t="str">
        <f t="shared" si="69"/>
        <v>redundant,</v>
      </c>
    </row>
    <row r="71">
      <c r="A71" s="1" t="s">
        <v>606</v>
      </c>
      <c r="B71" s="1" t="s">
        <v>312</v>
      </c>
      <c r="C71" s="1" t="s">
        <v>751</v>
      </c>
      <c r="D71" s="1" t="s">
        <v>614</v>
      </c>
      <c r="E71" s="1" t="s">
        <v>6287</v>
      </c>
      <c r="F71" s="1" t="s">
        <v>179</v>
      </c>
      <c r="H71" s="1" t="s">
        <v>609</v>
      </c>
      <c r="I71" s="1" t="s">
        <v>303</v>
      </c>
      <c r="J71" s="1" t="s">
        <v>562</v>
      </c>
      <c r="M71" s="6" t="str">
        <f t="shared" ref="M71:R71" si="70">CONCAT(A71,",")</f>
        <v>meditation,</v>
      </c>
      <c r="N71" s="6" t="str">
        <f t="shared" si="70"/>
        <v>nowhere,</v>
      </c>
      <c r="O71" s="6" t="str">
        <f t="shared" si="70"/>
        <v>hit,</v>
      </c>
      <c r="P71" s="6" t="str">
        <f t="shared" si="70"/>
        <v>poorly,</v>
      </c>
      <c r="Q71" s="6" t="str">
        <f t="shared" si="70"/>
        <v>karen,</v>
      </c>
      <c r="R71" s="6" t="str">
        <f t="shared" si="70"/>
        <v>actress,</v>
      </c>
    </row>
    <row r="72">
      <c r="A72" s="1" t="s">
        <v>615</v>
      </c>
      <c r="B72" s="1" t="s">
        <v>96</v>
      </c>
      <c r="C72" s="1" t="s">
        <v>760</v>
      </c>
      <c r="D72" s="1" t="s">
        <v>314</v>
      </c>
      <c r="E72" s="1" t="s">
        <v>75</v>
      </c>
      <c r="F72" s="1" t="s">
        <v>55</v>
      </c>
      <c r="H72" s="1" t="s">
        <v>613</v>
      </c>
      <c r="I72" s="1" t="s">
        <v>455</v>
      </c>
      <c r="J72" s="1" t="s">
        <v>4281</v>
      </c>
      <c r="M72" s="6" t="str">
        <f t="shared" ref="M72:R72" si="71">CONCAT(A72,",")</f>
        <v>universal,</v>
      </c>
      <c r="N72" s="6" t="str">
        <f t="shared" si="71"/>
        <v>recycled,</v>
      </c>
      <c r="O72" s="6" t="str">
        <f t="shared" si="71"/>
        <v>seems,</v>
      </c>
      <c r="P72" s="6" t="str">
        <f t="shared" si="71"/>
        <v>find,</v>
      </c>
      <c r="Q72" s="6" t="str">
        <f t="shared" si="71"/>
        <v>conspiracy,</v>
      </c>
      <c r="R72" s="6" t="str">
        <f t="shared" si="71"/>
        <v>succeeds,</v>
      </c>
    </row>
    <row r="73">
      <c r="A73" s="1" t="s">
        <v>622</v>
      </c>
      <c r="B73" s="1" t="s">
        <v>330</v>
      </c>
      <c r="C73" s="1" t="s">
        <v>791</v>
      </c>
      <c r="D73" s="1" t="s">
        <v>258</v>
      </c>
      <c r="E73" s="1" t="s">
        <v>509</v>
      </c>
      <c r="F73" s="1" t="s">
        <v>2389</v>
      </c>
      <c r="H73" s="1" t="s">
        <v>624</v>
      </c>
      <c r="I73" s="1" t="s">
        <v>1056</v>
      </c>
      <c r="J73" s="1" t="s">
        <v>544</v>
      </c>
      <c r="M73" s="6" t="str">
        <f t="shared" ref="M73:R73" si="72">CONCAT(A73,",")</f>
        <v>awkwardly,</v>
      </c>
      <c r="N73" s="6" t="str">
        <f t="shared" si="72"/>
        <v>already,</v>
      </c>
      <c r="O73" s="6" t="str">
        <f t="shared" si="72"/>
        <v>quality,</v>
      </c>
      <c r="P73" s="6" t="str">
        <f t="shared" si="72"/>
        <v>year,</v>
      </c>
      <c r="Q73" s="6" t="str">
        <f t="shared" si="72"/>
        <v>smile,</v>
      </c>
      <c r="R73" s="6" t="str">
        <f t="shared" si="72"/>
        <v>whose,</v>
      </c>
    </row>
    <row r="74">
      <c r="A74" s="1" t="s">
        <v>628</v>
      </c>
      <c r="B74" s="1" t="s">
        <v>189</v>
      </c>
      <c r="C74" s="1" t="s">
        <v>799</v>
      </c>
      <c r="D74" s="1" t="s">
        <v>261</v>
      </c>
      <c r="E74" s="1" t="s">
        <v>198</v>
      </c>
      <c r="F74" s="1" t="s">
        <v>458</v>
      </c>
      <c r="H74" s="1" t="s">
        <v>627</v>
      </c>
      <c r="I74" s="1" t="s">
        <v>2252</v>
      </c>
      <c r="J74" s="1" t="s">
        <v>5731</v>
      </c>
      <c r="M74" s="6" t="str">
        <f t="shared" ref="M74:R74" si="73">CONCAT(A74,",")</f>
        <v>detached,</v>
      </c>
      <c r="N74" s="6" t="str">
        <f t="shared" si="73"/>
        <v>been,</v>
      </c>
      <c r="O74" s="6" t="str">
        <f t="shared" si="73"/>
        <v>n,</v>
      </c>
      <c r="P74" s="6" t="str">
        <f t="shared" si="73"/>
        <v>sit,</v>
      </c>
      <c r="Q74" s="6" t="str">
        <f t="shared" si="73"/>
        <v>comes,</v>
      </c>
      <c r="R74" s="6" t="str">
        <f t="shared" si="73"/>
        <v>above,</v>
      </c>
    </row>
    <row r="75">
      <c r="A75" s="1" t="s">
        <v>636</v>
      </c>
      <c r="B75" s="1" t="s">
        <v>638</v>
      </c>
      <c r="C75" s="1" t="s">
        <v>805</v>
      </c>
      <c r="D75" s="1" t="s">
        <v>64</v>
      </c>
      <c r="E75" s="1" t="s">
        <v>188</v>
      </c>
      <c r="F75" s="1" t="s">
        <v>184</v>
      </c>
      <c r="H75" s="1" t="s">
        <v>635</v>
      </c>
      <c r="I75" s="1" t="s">
        <v>6280</v>
      </c>
      <c r="J75" s="1" t="s">
        <v>3400</v>
      </c>
      <c r="M75" s="6" t="str">
        <f t="shared" ref="M75:R75" si="74">CONCAT(A75,",")</f>
        <v>clever,</v>
      </c>
      <c r="N75" s="6" t="str">
        <f t="shared" si="74"/>
        <v>fourth,</v>
      </c>
      <c r="O75" s="6" t="str">
        <f t="shared" si="74"/>
        <v>than,</v>
      </c>
      <c r="P75" s="6" t="str">
        <f t="shared" si="74"/>
        <v>weaving,</v>
      </c>
      <c r="Q75" s="6" t="str">
        <f t="shared" si="74"/>
        <v>performances,</v>
      </c>
      <c r="R75" s="6" t="str">
        <f t="shared" si="74"/>
        <v>face,</v>
      </c>
    </row>
    <row r="76">
      <c r="A76" s="1" t="s">
        <v>643</v>
      </c>
      <c r="B76" s="1" t="s">
        <v>141</v>
      </c>
      <c r="C76" s="1" t="s">
        <v>809</v>
      </c>
      <c r="D76" s="1" t="s">
        <v>276</v>
      </c>
      <c r="E76" s="1" t="s">
        <v>461</v>
      </c>
      <c r="F76" s="1" t="s">
        <v>466</v>
      </c>
      <c r="H76" s="1" t="s">
        <v>645</v>
      </c>
      <c r="I76" s="1" t="s">
        <v>3529</v>
      </c>
      <c r="J76" s="1" t="s">
        <v>122</v>
      </c>
      <c r="M76" s="6" t="str">
        <f t="shared" ref="M76:R76" si="75">CONCAT(A76,",")</f>
        <v>faithful,</v>
      </c>
      <c r="N76" s="6" t="str">
        <f t="shared" si="75"/>
        <v>swords,</v>
      </c>
      <c r="O76" s="6" t="str">
        <f t="shared" si="75"/>
        <v>when,</v>
      </c>
      <c r="P76" s="6" t="str">
        <f t="shared" si="75"/>
        <v>funny,</v>
      </c>
      <c r="Q76" s="6" t="str">
        <f t="shared" si="75"/>
        <v>brave,</v>
      </c>
      <c r="R76" s="6" t="str">
        <f t="shared" si="75"/>
        <v>young,</v>
      </c>
    </row>
    <row r="77">
      <c r="A77" s="1" t="s">
        <v>648</v>
      </c>
      <c r="B77" s="1" t="s">
        <v>105</v>
      </c>
      <c r="C77" s="1" t="s">
        <v>815</v>
      </c>
      <c r="D77" s="1" t="s">
        <v>284</v>
      </c>
      <c r="E77" s="1" t="s">
        <v>211</v>
      </c>
      <c r="F77" s="1" t="s">
        <v>445</v>
      </c>
      <c r="H77" s="1" t="s">
        <v>651</v>
      </c>
      <c r="I77" s="1" t="s">
        <v>319</v>
      </c>
      <c r="J77" s="1" t="s">
        <v>312</v>
      </c>
      <c r="M77" s="6" t="str">
        <f t="shared" ref="M77:R77" si="76">CONCAT(A77,",")</f>
        <v>exaggerated,</v>
      </c>
      <c r="N77" s="6" t="str">
        <f t="shared" si="76"/>
        <v>proves,</v>
      </c>
      <c r="O77" s="6" t="str">
        <f t="shared" si="76"/>
        <v>(,</v>
      </c>
      <c r="P77" s="6" t="str">
        <f t="shared" si="76"/>
        <v>theme,</v>
      </c>
      <c r="Q77" s="6" t="str">
        <f t="shared" si="76"/>
        <v>cast,</v>
      </c>
      <c r="R77" s="6" t="str">
        <f t="shared" si="76"/>
        <v>is,</v>
      </c>
    </row>
    <row r="78">
      <c r="A78" s="1" t="s">
        <v>655</v>
      </c>
      <c r="B78" s="1" t="s">
        <v>657</v>
      </c>
      <c r="C78" s="1" t="s">
        <v>88</v>
      </c>
      <c r="D78" s="1" t="s">
        <v>664</v>
      </c>
      <c r="E78" s="1" t="s">
        <v>679</v>
      </c>
      <c r="F78" s="1" t="s">
        <v>400</v>
      </c>
      <c r="H78" s="1" t="s">
        <v>659</v>
      </c>
      <c r="I78" s="1" t="s">
        <v>443</v>
      </c>
      <c r="J78" s="1" t="s">
        <v>96</v>
      </c>
      <c r="M78" s="6" t="str">
        <f t="shared" ref="M78:R78" si="77">CONCAT(A78,",")</f>
        <v>capable,</v>
      </c>
      <c r="N78" s="6" t="str">
        <f t="shared" si="77"/>
        <v>off,</v>
      </c>
      <c r="O78" s="6" t="str">
        <f t="shared" si="77"/>
        <v>something,</v>
      </c>
      <c r="P78" s="6" t="str">
        <f t="shared" si="77"/>
        <v>another,</v>
      </c>
      <c r="Q78" s="6" t="str">
        <f t="shared" si="77"/>
        <v>mixed,</v>
      </c>
      <c r="R78" s="6" t="str">
        <f t="shared" si="77"/>
        <v>by,</v>
      </c>
    </row>
    <row r="79">
      <c r="A79" s="1" t="s">
        <v>665</v>
      </c>
      <c r="B79" s="1" t="s">
        <v>229</v>
      </c>
      <c r="C79" s="1" t="s">
        <v>830</v>
      </c>
      <c r="D79" s="1" t="s">
        <v>520</v>
      </c>
      <c r="E79" s="1" t="s">
        <v>233</v>
      </c>
      <c r="F79" s="1" t="s">
        <v>194</v>
      </c>
      <c r="H79" s="1" t="s">
        <v>668</v>
      </c>
      <c r="I79" s="1" t="s">
        <v>334</v>
      </c>
      <c r="J79" s="1" t="s">
        <v>189</v>
      </c>
      <c r="M79" s="6" t="str">
        <f t="shared" ref="M79:R79" si="78">CONCAT(A79,",")</f>
        <v>daring,</v>
      </c>
      <c r="N79" s="6" t="str">
        <f t="shared" si="78"/>
        <v>has,</v>
      </c>
      <c r="O79" s="6" t="str">
        <f t="shared" si="78"/>
        <v>stores,</v>
      </c>
      <c r="P79" s="6" t="str">
        <f t="shared" si="78"/>
        <v>clone,</v>
      </c>
      <c r="Q79" s="6" t="str">
        <f t="shared" si="78"/>
        <v>spirits,</v>
      </c>
      <c r="R79" s="6" t="str">
        <f t="shared" si="78"/>
        <v>original,</v>
      </c>
    </row>
    <row r="80">
      <c r="A80" s="1" t="s">
        <v>674</v>
      </c>
      <c r="B80" s="1" t="s">
        <v>150</v>
      </c>
      <c r="C80" s="1" t="s">
        <v>836</v>
      </c>
      <c r="D80" s="1" t="s">
        <v>74</v>
      </c>
      <c r="E80" s="1" t="s">
        <v>532</v>
      </c>
      <c r="F80" s="1" t="s">
        <v>156</v>
      </c>
      <c r="H80" s="1" t="s">
        <v>175</v>
      </c>
      <c r="I80" s="1" t="s">
        <v>469</v>
      </c>
      <c r="J80" s="1" t="s">
        <v>795</v>
      </c>
      <c r="M80" s="6" t="str">
        <f t="shared" ref="M80:R80" si="79">CONCAT(A80,",")</f>
        <v>emerge,</v>
      </c>
      <c r="N80" s="6" t="str">
        <f t="shared" si="79"/>
        <v>horrors,</v>
      </c>
      <c r="O80" s="6" t="str">
        <f t="shared" si="79"/>
        <v>car,</v>
      </c>
      <c r="P80" s="6" t="str">
        <f t="shared" si="79"/>
        <v>storyline,</v>
      </c>
      <c r="Q80" s="6" t="str">
        <f t="shared" si="79"/>
        <v>half,</v>
      </c>
      <c r="R80" s="6" t="str">
        <f t="shared" si="79"/>
        <v>even,</v>
      </c>
    </row>
    <row r="81">
      <c r="A81" s="1" t="s">
        <v>678</v>
      </c>
      <c r="B81" s="1" t="s">
        <v>95</v>
      </c>
      <c r="C81" s="1" t="s">
        <v>290</v>
      </c>
      <c r="D81" s="1" t="s">
        <v>66</v>
      </c>
      <c r="E81" s="1" t="s">
        <v>559</v>
      </c>
      <c r="F81" s="1" t="s">
        <v>410</v>
      </c>
      <c r="H81" s="1" t="s">
        <v>681</v>
      </c>
      <c r="I81" s="1" t="s">
        <v>101</v>
      </c>
      <c r="J81" s="1" t="s">
        <v>357</v>
      </c>
      <c r="M81" s="6" t="str">
        <f t="shared" ref="M81:R81" si="80">CONCAT(A81,",")</f>
        <v>deadly,</v>
      </c>
      <c r="N81" s="6" t="str">
        <f t="shared" si="80"/>
        <v>vivid,</v>
      </c>
      <c r="O81" s="6" t="str">
        <f t="shared" si="80"/>
        <v>much,</v>
      </c>
      <c r="P81" s="6" t="str">
        <f t="shared" si="80"/>
        <v>crude,</v>
      </c>
      <c r="Q81" s="6" t="str">
        <f t="shared" si="80"/>
        <v>worse,</v>
      </c>
      <c r="R81" s="6" t="str">
        <f t="shared" si="80"/>
        <v>ways,</v>
      </c>
    </row>
    <row r="82">
      <c r="A82" s="1" t="s">
        <v>685</v>
      </c>
      <c r="B82" s="1" t="s">
        <v>687</v>
      </c>
      <c r="C82" s="1" t="s">
        <v>847</v>
      </c>
      <c r="D82" s="1" t="s">
        <v>544</v>
      </c>
      <c r="E82" s="1" t="s">
        <v>568</v>
      </c>
      <c r="F82" s="1" t="s">
        <v>75</v>
      </c>
      <c r="H82" s="1" t="s">
        <v>688</v>
      </c>
      <c r="I82" s="1" t="s">
        <v>328</v>
      </c>
      <c r="J82" s="1" t="s">
        <v>803</v>
      </c>
      <c r="M82" s="6" t="str">
        <f t="shared" ref="M82:R82" si="81">CONCAT(A82,",")</f>
        <v>striking,</v>
      </c>
      <c r="N82" s="6" t="str">
        <f t="shared" si="81"/>
        <v>splashed,</v>
      </c>
      <c r="O82" s="6" t="str">
        <f t="shared" si="81"/>
        <v>kind,</v>
      </c>
      <c r="P82" s="6" t="str">
        <f t="shared" si="81"/>
        <v>real,</v>
      </c>
      <c r="Q82" s="6" t="str">
        <f t="shared" si="81"/>
        <v>world,</v>
      </c>
      <c r="R82" s="6" t="str">
        <f t="shared" si="81"/>
        <v>conspiracy,</v>
      </c>
    </row>
    <row r="83">
      <c r="A83" s="1" t="s">
        <v>692</v>
      </c>
      <c r="B83" s="1" t="s">
        <v>694</v>
      </c>
      <c r="C83" s="1" t="s">
        <v>852</v>
      </c>
      <c r="D83" s="1" t="s">
        <v>700</v>
      </c>
      <c r="E83" s="1" t="s">
        <v>218</v>
      </c>
      <c r="F83" s="1" t="s">
        <v>44</v>
      </c>
      <c r="H83" s="1" t="s">
        <v>684</v>
      </c>
      <c r="I83" s="1" t="s">
        <v>785</v>
      </c>
      <c r="J83" s="1" t="s">
        <v>819</v>
      </c>
      <c r="M83" s="6" t="str">
        <f t="shared" ref="M83:R83" si="82">CONCAT(A83,",")</f>
        <v>dramatically,</v>
      </c>
      <c r="N83" s="6" t="str">
        <f t="shared" si="82"/>
        <v>any,</v>
      </c>
      <c r="O83" s="6" t="str">
        <f t="shared" si="82"/>
        <v>clothes,</v>
      </c>
      <c r="P83" s="6" t="str">
        <f t="shared" si="82"/>
        <v>issues,</v>
      </c>
      <c r="Q83" s="6" t="str">
        <f t="shared" si="82"/>
        <v>cinema,</v>
      </c>
      <c r="R83" s="6" t="str">
        <f t="shared" si="82"/>
        <v>feminist,</v>
      </c>
    </row>
    <row r="84">
      <c r="A84" s="1" t="s">
        <v>701</v>
      </c>
      <c r="B84" s="1" t="s">
        <v>125</v>
      </c>
      <c r="C84" s="1" t="s">
        <v>858</v>
      </c>
      <c r="D84" s="1" t="s">
        <v>122</v>
      </c>
      <c r="E84" s="1" t="s">
        <v>239</v>
      </c>
      <c r="F84" s="1" t="s">
        <v>85</v>
      </c>
      <c r="H84" s="1" t="s">
        <v>159</v>
      </c>
      <c r="I84" s="1" t="s">
        <v>337</v>
      </c>
      <c r="J84" s="1" t="s">
        <v>976</v>
      </c>
      <c r="M84" s="6" t="str">
        <f t="shared" ref="M84:R84" si="83">CONCAT(A84,",")</f>
        <v>longest,</v>
      </c>
      <c r="N84" s="6" t="str">
        <f t="shared" si="83"/>
        <v>pointless,</v>
      </c>
      <c r="O84" s="6" t="str">
        <f t="shared" si="83"/>
        <v>trip,</v>
      </c>
      <c r="P84" s="6" t="str">
        <f t="shared" si="83"/>
        <v>heroes,</v>
      </c>
      <c r="Q84" s="6" t="str">
        <f t="shared" si="83"/>
        <v>good,</v>
      </c>
      <c r="R84" s="6" t="str">
        <f t="shared" si="83"/>
        <v>theorist,</v>
      </c>
    </row>
    <row r="85">
      <c r="A85" s="1" t="s">
        <v>706</v>
      </c>
      <c r="B85" s="1" t="s">
        <v>708</v>
      </c>
      <c r="C85" s="1" t="s">
        <v>314</v>
      </c>
      <c r="D85" s="1" t="s">
        <v>310</v>
      </c>
      <c r="E85" s="1" t="s">
        <v>581</v>
      </c>
      <c r="F85" s="1" t="s">
        <v>1704</v>
      </c>
      <c r="H85" s="1" t="s">
        <v>709</v>
      </c>
      <c r="I85" s="1" t="s">
        <v>3522</v>
      </c>
      <c r="J85" s="1" t="s">
        <v>105</v>
      </c>
      <c r="M85" s="6" t="str">
        <f t="shared" ref="M85:R85" si="84">CONCAT(A85,",")</f>
        <v>skill,</v>
      </c>
      <c r="N85" s="6" t="str">
        <f t="shared" si="84"/>
        <v>beautifully,</v>
      </c>
      <c r="O85" s="6" t="str">
        <f t="shared" si="84"/>
        <v>find,</v>
      </c>
      <c r="P85" s="6" t="str">
        <f t="shared" si="84"/>
        <v>existence,</v>
      </c>
      <c r="Q85" s="6" t="str">
        <f t="shared" si="84"/>
        <v>alternative,</v>
      </c>
      <c r="R85" s="6" t="str">
        <f t="shared" si="84"/>
        <v>named,</v>
      </c>
    </row>
    <row r="86">
      <c r="A86" s="1" t="s">
        <v>713</v>
      </c>
      <c r="B86" s="1" t="s">
        <v>396</v>
      </c>
      <c r="C86" s="1" t="s">
        <v>282</v>
      </c>
      <c r="D86" s="1" t="s">
        <v>84</v>
      </c>
      <c r="E86" s="1" t="s">
        <v>6247</v>
      </c>
      <c r="F86" s="1" t="s">
        <v>442</v>
      </c>
      <c r="H86" s="1" t="s">
        <v>191</v>
      </c>
      <c r="I86" s="1" t="s">
        <v>716</v>
      </c>
      <c r="J86" s="1" t="s">
        <v>657</v>
      </c>
      <c r="M86" s="6" t="str">
        <f t="shared" ref="M86:R86" si="85">CONCAT(A86,",")</f>
        <v>fierce,</v>
      </c>
      <c r="N86" s="6" t="str">
        <f t="shared" si="85"/>
        <v>situations,</v>
      </c>
      <c r="O86" s="6" t="str">
        <f t="shared" si="85"/>
        <v>still,</v>
      </c>
      <c r="P86" s="6" t="str">
        <f t="shared" si="85"/>
        <v>sharply,</v>
      </c>
      <c r="Q86" s="6" t="str">
        <f t="shared" si="85"/>
        <v>nothing,</v>
      </c>
      <c r="R86" s="6" t="str">
        <f t="shared" si="85"/>
        <v>black,</v>
      </c>
    </row>
    <row r="87">
      <c r="A87" s="1" t="s">
        <v>721</v>
      </c>
      <c r="B87" s="1" t="s">
        <v>407</v>
      </c>
      <c r="C87" s="1" t="s">
        <v>910</v>
      </c>
      <c r="D87" s="1" t="s">
        <v>312</v>
      </c>
      <c r="E87" s="1" t="s">
        <v>2650</v>
      </c>
      <c r="F87" s="1" t="s">
        <v>434</v>
      </c>
      <c r="H87" s="1" t="s">
        <v>724</v>
      </c>
      <c r="I87" s="1" t="s">
        <v>132</v>
      </c>
      <c r="J87" s="1" t="s">
        <v>359</v>
      </c>
      <c r="M87" s="6" t="str">
        <f t="shared" ref="M87:R87" si="86">CONCAT(A87,",")</f>
        <v>fallen,</v>
      </c>
      <c r="N87" s="6" t="str">
        <f t="shared" si="86"/>
        <v>room,</v>
      </c>
      <c r="O87" s="6" t="str">
        <f t="shared" si="86"/>
        <v>piano,</v>
      </c>
      <c r="P87" s="6" t="str">
        <f t="shared" si="86"/>
        <v>nowhere,</v>
      </c>
      <c r="Q87" s="6" t="str">
        <f t="shared" si="86"/>
        <v>start,</v>
      </c>
      <c r="R87" s="6" t="str">
        <f t="shared" si="86"/>
        <v>anything,</v>
      </c>
    </row>
    <row r="88">
      <c r="A88" s="1" t="s">
        <v>728</v>
      </c>
      <c r="B88" s="1" t="s">
        <v>133</v>
      </c>
      <c r="C88" s="1" t="s">
        <v>918</v>
      </c>
      <c r="D88" s="1" t="s">
        <v>598</v>
      </c>
      <c r="E88" s="1" t="s">
        <v>244</v>
      </c>
      <c r="F88" s="1" t="s">
        <v>6284</v>
      </c>
      <c r="H88" s="1" t="s">
        <v>731</v>
      </c>
      <c r="I88" s="1" t="s">
        <v>142</v>
      </c>
      <c r="J88" s="1" t="s">
        <v>865</v>
      </c>
      <c r="M88" s="6" t="str">
        <f t="shared" ref="M88:R88" si="87">CONCAT(A88,",")</f>
        <v>drain,</v>
      </c>
      <c r="N88" s="6" t="str">
        <f t="shared" si="87"/>
        <v>touching,</v>
      </c>
      <c r="O88" s="6" t="str">
        <f t="shared" si="87"/>
        <v>picture,</v>
      </c>
      <c r="P88" s="6" t="str">
        <f t="shared" si="87"/>
        <v>point,</v>
      </c>
      <c r="Q88" s="6" t="str">
        <f t="shared" si="87"/>
        <v>finish,</v>
      </c>
      <c r="R88" s="6" t="str">
        <f t="shared" si="87"/>
        <v>dirty,</v>
      </c>
    </row>
    <row r="89">
      <c r="A89" s="1" t="s">
        <v>737</v>
      </c>
      <c r="B89" s="1" t="s">
        <v>739</v>
      </c>
      <c r="C89" s="1" t="s">
        <v>923</v>
      </c>
      <c r="D89" s="1" t="s">
        <v>321</v>
      </c>
      <c r="E89" s="1" t="s">
        <v>237</v>
      </c>
      <c r="F89" s="1" t="s">
        <v>959</v>
      </c>
      <c r="H89" s="1" t="s">
        <v>741</v>
      </c>
      <c r="I89" s="1" t="s">
        <v>498</v>
      </c>
      <c r="J89" s="1" t="s">
        <v>229</v>
      </c>
      <c r="M89" s="6" t="str">
        <f t="shared" ref="M89:R89" si="88">CONCAT(A89,",")</f>
        <v>remarkably,</v>
      </c>
      <c r="N89" s="6" t="str">
        <f t="shared" si="88"/>
        <v>legend,</v>
      </c>
      <c r="O89" s="6" t="str">
        <f t="shared" si="88"/>
        <v>looking,</v>
      </c>
      <c r="P89" s="6" t="str">
        <f t="shared" si="88"/>
        <v>course,</v>
      </c>
      <c r="Q89" s="6" t="str">
        <f t="shared" si="88"/>
        <v>plot,</v>
      </c>
      <c r="R89" s="6" t="str">
        <f t="shared" si="88"/>
        <v>your,</v>
      </c>
    </row>
    <row r="90">
      <c r="A90" s="1" t="s">
        <v>746</v>
      </c>
      <c r="B90" s="1" t="s">
        <v>748</v>
      </c>
      <c r="C90" s="1" t="s">
        <v>928</v>
      </c>
      <c r="D90" s="1" t="s">
        <v>305</v>
      </c>
      <c r="E90" s="1" t="s">
        <v>4483</v>
      </c>
      <c r="F90" s="1" t="s">
        <v>509</v>
      </c>
      <c r="H90" s="1" t="s">
        <v>131</v>
      </c>
      <c r="I90" s="1" t="s">
        <v>505</v>
      </c>
      <c r="J90" s="1" t="s">
        <v>150</v>
      </c>
      <c r="M90" s="6" t="str">
        <f t="shared" ref="M90:R90" si="89">CONCAT(A90,",")</f>
        <v>nausea,</v>
      </c>
      <c r="N90" s="6" t="str">
        <f t="shared" si="89"/>
        <v>less,</v>
      </c>
      <c r="O90" s="6" t="str">
        <f t="shared" si="89"/>
        <v>crowd,</v>
      </c>
      <c r="P90" s="6" t="str">
        <f t="shared" si="89"/>
        <v>entire,</v>
      </c>
      <c r="Q90" s="6" t="str">
        <f t="shared" si="89"/>
        <v>action,</v>
      </c>
      <c r="R90" s="6" t="str">
        <f t="shared" si="89"/>
        <v>smile,</v>
      </c>
    </row>
    <row r="91">
      <c r="A91" s="1" t="s">
        <v>756</v>
      </c>
      <c r="B91" s="1" t="s">
        <v>425</v>
      </c>
      <c r="C91" s="1" t="s">
        <v>350</v>
      </c>
      <c r="D91" s="1" t="s">
        <v>764</v>
      </c>
      <c r="E91" s="1" t="s">
        <v>749</v>
      </c>
      <c r="F91" s="1" t="s">
        <v>198</v>
      </c>
      <c r="H91" s="1" t="s">
        <v>759</v>
      </c>
      <c r="I91" s="1" t="s">
        <v>388</v>
      </c>
      <c r="J91" s="1" t="s">
        <v>95</v>
      </c>
      <c r="M91" s="6" t="str">
        <f t="shared" ref="M91:R91" si="90">CONCAT(A91,",")</f>
        <v>brightly,</v>
      </c>
      <c r="N91" s="6" t="str">
        <f t="shared" si="90"/>
        <v>veins,</v>
      </c>
      <c r="O91" s="6" t="str">
        <f t="shared" si="90"/>
        <v>take,</v>
      </c>
      <c r="P91" s="6" t="str">
        <f t="shared" si="90"/>
        <v>dog,</v>
      </c>
      <c r="Q91" s="6" t="str">
        <f t="shared" si="90"/>
        <v>little,</v>
      </c>
      <c r="R91" s="6" t="str">
        <f t="shared" si="90"/>
        <v>comes,</v>
      </c>
    </row>
    <row r="92">
      <c r="A92" s="1" t="s">
        <v>765</v>
      </c>
      <c r="B92" s="1" t="s">
        <v>767</v>
      </c>
      <c r="C92" s="1" t="s">
        <v>58</v>
      </c>
      <c r="D92" s="1" t="s">
        <v>96</v>
      </c>
      <c r="E92" s="1" t="s">
        <v>264</v>
      </c>
      <c r="F92" s="1" t="s">
        <v>461</v>
      </c>
      <c r="H92" s="1" t="s">
        <v>769</v>
      </c>
      <c r="I92" s="1" t="s">
        <v>145</v>
      </c>
      <c r="J92" s="1" t="s">
        <v>585</v>
      </c>
      <c r="M92" s="6" t="str">
        <f t="shared" ref="M92:R92" si="91">CONCAT(A92,",")</f>
        <v>playful,</v>
      </c>
      <c r="N92" s="6" t="str">
        <f t="shared" si="91"/>
        <v>rich,</v>
      </c>
      <c r="O92" s="6" t="str">
        <f t="shared" si="91"/>
        <v>from,</v>
      </c>
      <c r="P92" s="6" t="str">
        <f t="shared" si="91"/>
        <v>recycled,</v>
      </c>
      <c r="Q92" s="6" t="str">
        <f t="shared" si="91"/>
        <v>often,</v>
      </c>
      <c r="R92" s="6" t="str">
        <f t="shared" si="91"/>
        <v>brave,</v>
      </c>
    </row>
    <row r="93">
      <c r="A93" s="1" t="s">
        <v>773</v>
      </c>
      <c r="B93" s="1" t="s">
        <v>775</v>
      </c>
      <c r="C93" s="1" t="s">
        <v>946</v>
      </c>
      <c r="D93" s="1" t="s">
        <v>779</v>
      </c>
      <c r="E93" s="1" t="s">
        <v>314</v>
      </c>
      <c r="F93" s="1" t="s">
        <v>54</v>
      </c>
      <c r="H93" s="1" t="s">
        <v>720</v>
      </c>
      <c r="I93" s="1" t="s">
        <v>397</v>
      </c>
      <c r="J93" s="1" t="s">
        <v>888</v>
      </c>
      <c r="M93" s="6" t="str">
        <f t="shared" ref="M93:R93" si="92">CONCAT(A93,",")</f>
        <v>tremendous,</v>
      </c>
      <c r="N93" s="6" t="str">
        <f t="shared" si="92"/>
        <v>apparent,</v>
      </c>
      <c r="O93" s="6" t="str">
        <f t="shared" si="92"/>
        <v>while,</v>
      </c>
      <c r="P93" s="6" t="str">
        <f t="shared" si="92"/>
        <v>count,</v>
      </c>
      <c r="Q93" s="6" t="str">
        <f t="shared" si="92"/>
        <v>find,</v>
      </c>
      <c r="R93" s="6" t="str">
        <f t="shared" si="92"/>
        <v>enriched,</v>
      </c>
    </row>
    <row r="94">
      <c r="A94" s="1" t="s">
        <v>780</v>
      </c>
      <c r="B94" s="1" t="s">
        <v>782</v>
      </c>
      <c r="C94" s="1" t="s">
        <v>954</v>
      </c>
      <c r="D94" s="1" t="s">
        <v>189</v>
      </c>
      <c r="E94" s="1" t="s">
        <v>252</v>
      </c>
      <c r="F94" s="1" t="s">
        <v>233</v>
      </c>
      <c r="H94" s="1" t="s">
        <v>784</v>
      </c>
      <c r="I94" s="1" t="s">
        <v>417</v>
      </c>
      <c r="J94" s="1" t="s">
        <v>1018</v>
      </c>
      <c r="M94" s="6" t="str">
        <f t="shared" ref="M94:R94" si="93">CONCAT(A94,",")</f>
        <v>acute,</v>
      </c>
      <c r="N94" s="6" t="str">
        <f t="shared" si="93"/>
        <v>joy,</v>
      </c>
      <c r="O94" s="6" t="str">
        <f t="shared" si="93"/>
        <v>hear,</v>
      </c>
      <c r="P94" s="6" t="str">
        <f t="shared" si="93"/>
        <v>been,</v>
      </c>
      <c r="Q94" s="6" t="str">
        <f t="shared" si="93"/>
        <v>interest,</v>
      </c>
      <c r="R94" s="6" t="str">
        <f t="shared" si="93"/>
        <v>spirits,</v>
      </c>
    </row>
    <row r="95">
      <c r="A95" s="1" t="s">
        <v>311</v>
      </c>
      <c r="B95" s="1" t="s">
        <v>789</v>
      </c>
      <c r="C95" s="1" t="s">
        <v>959</v>
      </c>
      <c r="D95" s="1" t="s">
        <v>795</v>
      </c>
      <c r="E95" s="1" t="s">
        <v>6288</v>
      </c>
      <c r="F95" s="1" t="s">
        <v>211</v>
      </c>
      <c r="H95" s="1" t="s">
        <v>209</v>
      </c>
      <c r="I95" s="1" t="s">
        <v>445</v>
      </c>
      <c r="J95" s="1" t="s">
        <v>694</v>
      </c>
      <c r="M95" s="6" t="str">
        <f t="shared" ref="M95:R95" si="94">CONCAT(A95,",")</f>
        <v>absorbing,</v>
      </c>
      <c r="N95" s="6" t="str">
        <f t="shared" si="94"/>
        <v>ugly,</v>
      </c>
      <c r="O95" s="6" t="str">
        <f t="shared" si="94"/>
        <v>your,</v>
      </c>
      <c r="P95" s="6" t="str">
        <f t="shared" si="94"/>
        <v>care,</v>
      </c>
      <c r="Q95" s="6" t="str">
        <f t="shared" si="94"/>
        <v>acted,</v>
      </c>
      <c r="R95" s="6" t="str">
        <f t="shared" si="94"/>
        <v>cast,</v>
      </c>
    </row>
    <row r="96">
      <c r="A96" s="1" t="s">
        <v>796</v>
      </c>
      <c r="B96" s="1" t="s">
        <v>797</v>
      </c>
      <c r="C96" s="1" t="s">
        <v>964</v>
      </c>
      <c r="D96" s="1" t="s">
        <v>803</v>
      </c>
      <c r="E96" s="1" t="s">
        <v>614</v>
      </c>
      <c r="F96" s="1" t="s">
        <v>679</v>
      </c>
      <c r="H96" s="1" t="s">
        <v>798</v>
      </c>
      <c r="I96" s="1" t="s">
        <v>523</v>
      </c>
      <c r="J96" s="1" t="s">
        <v>593</v>
      </c>
      <c r="M96" s="6" t="str">
        <f t="shared" ref="M96:R96" si="95">CONCAT(A96,",")</f>
        <v>qualities,</v>
      </c>
      <c r="N96" s="6" t="str">
        <f t="shared" si="95"/>
        <v>video,</v>
      </c>
      <c r="O96" s="6" t="str">
        <f t="shared" si="95"/>
        <v>musical,</v>
      </c>
      <c r="P96" s="6" t="str">
        <f t="shared" si="95"/>
        <v>feature,</v>
      </c>
      <c r="Q96" s="6" t="str">
        <f t="shared" si="95"/>
        <v>poorly,</v>
      </c>
      <c r="R96" s="6" t="str">
        <f t="shared" si="95"/>
        <v>mixed,</v>
      </c>
    </row>
    <row r="97">
      <c r="A97" s="1" t="s">
        <v>259</v>
      </c>
      <c r="B97" s="1" t="s">
        <v>143</v>
      </c>
      <c r="C97" s="1" t="s">
        <v>342</v>
      </c>
      <c r="D97" s="1" t="s">
        <v>638</v>
      </c>
      <c r="E97" s="1" t="s">
        <v>258</v>
      </c>
      <c r="F97" s="1" t="s">
        <v>1222</v>
      </c>
      <c r="H97" s="1" t="s">
        <v>182</v>
      </c>
      <c r="I97" s="1" t="s">
        <v>400</v>
      </c>
      <c r="J97" s="1" t="s">
        <v>125</v>
      </c>
      <c r="M97" s="6" t="str">
        <f t="shared" ref="M97:R97" si="96">CONCAT(A97,",")</f>
        <v>gripping,</v>
      </c>
      <c r="N97" s="6" t="str">
        <f t="shared" si="96"/>
        <v>emptiness,</v>
      </c>
      <c r="O97" s="6" t="str">
        <f t="shared" si="96"/>
        <v>found,</v>
      </c>
      <c r="P97" s="6" t="str">
        <f t="shared" si="96"/>
        <v>fourth,</v>
      </c>
      <c r="Q97" s="6" t="str">
        <f t="shared" si="96"/>
        <v>year,</v>
      </c>
      <c r="R97" s="6" t="str">
        <f t="shared" si="96"/>
        <v>which,</v>
      </c>
    </row>
    <row r="98">
      <c r="A98" s="1" t="s">
        <v>561</v>
      </c>
      <c r="B98" s="1" t="s">
        <v>433</v>
      </c>
      <c r="C98" s="1" t="s">
        <v>975</v>
      </c>
      <c r="D98" s="1" t="s">
        <v>813</v>
      </c>
      <c r="E98" s="1" t="s">
        <v>261</v>
      </c>
      <c r="F98" s="1" t="s">
        <v>559</v>
      </c>
      <c r="H98" s="1" t="s">
        <v>216</v>
      </c>
      <c r="I98" s="1" t="s">
        <v>575</v>
      </c>
      <c r="J98" s="1" t="s">
        <v>708</v>
      </c>
      <c r="M98" s="6" t="str">
        <f t="shared" ref="M98:R98" si="97">CONCAT(A98,",")</f>
        <v>startling,</v>
      </c>
      <c r="N98" s="6" t="str">
        <f t="shared" si="97"/>
        <v>relentless,</v>
      </c>
      <c r="O98" s="6" t="str">
        <f t="shared" si="97"/>
        <v>bite,</v>
      </c>
      <c r="P98" s="6" t="str">
        <f t="shared" si="97"/>
        <v>covers,</v>
      </c>
      <c r="Q98" s="6" t="str">
        <f t="shared" si="97"/>
        <v>sit,</v>
      </c>
      <c r="R98" s="6" t="str">
        <f t="shared" si="97"/>
        <v>worse,</v>
      </c>
    </row>
    <row r="99">
      <c r="A99" s="1" t="s">
        <v>774</v>
      </c>
      <c r="B99" s="1" t="s">
        <v>163</v>
      </c>
      <c r="C99" s="1" t="s">
        <v>129</v>
      </c>
      <c r="D99" s="1" t="s">
        <v>819</v>
      </c>
      <c r="E99" s="1" t="s">
        <v>664</v>
      </c>
      <c r="F99" s="1" t="s">
        <v>532</v>
      </c>
      <c r="H99" s="1" t="s">
        <v>224</v>
      </c>
      <c r="I99" s="1" t="s">
        <v>184</v>
      </c>
      <c r="J99" s="1" t="s">
        <v>396</v>
      </c>
      <c r="M99" s="6" t="str">
        <f t="shared" ref="M99:R99" si="98">CONCAT(A99,",")</f>
        <v>fatal,</v>
      </c>
      <c r="N99" s="6" t="str">
        <f t="shared" si="98"/>
        <v>exploration,</v>
      </c>
      <c r="O99" s="6" t="str">
        <f t="shared" si="98"/>
        <v>more,</v>
      </c>
      <c r="P99" s="6" t="str">
        <f t="shared" si="98"/>
        <v>territory,</v>
      </c>
      <c r="Q99" s="6" t="str">
        <f t="shared" si="98"/>
        <v>another,</v>
      </c>
      <c r="R99" s="6" t="str">
        <f t="shared" si="98"/>
        <v>half,</v>
      </c>
    </row>
    <row r="100">
      <c r="A100" s="1" t="s">
        <v>820</v>
      </c>
      <c r="B100" s="1" t="s">
        <v>821</v>
      </c>
      <c r="C100" s="1" t="s">
        <v>679</v>
      </c>
      <c r="D100" s="1" t="s">
        <v>339</v>
      </c>
      <c r="E100" s="1" t="s">
        <v>299</v>
      </c>
      <c r="F100" s="1" t="s">
        <v>61</v>
      </c>
      <c r="H100" s="1" t="s">
        <v>736</v>
      </c>
      <c r="I100" s="1" t="s">
        <v>466</v>
      </c>
      <c r="J100" s="1" t="s">
        <v>133</v>
      </c>
      <c r="M100" s="6" t="str">
        <f t="shared" ref="M100:R100" si="99">CONCAT(A100,",")</f>
        <v>glossy,</v>
      </c>
      <c r="N100" s="6" t="str">
        <f t="shared" si="99"/>
        <v>sour,</v>
      </c>
      <c r="O100" s="6" t="str">
        <f t="shared" si="99"/>
        <v>mixed,</v>
      </c>
      <c r="P100" s="6" t="str">
        <f t="shared" si="99"/>
        <v>version,</v>
      </c>
      <c r="Q100" s="6" t="str">
        <f t="shared" si="99"/>
        <v>best,</v>
      </c>
      <c r="R100" s="6" t="str">
        <f t="shared" si="99"/>
        <v>or,</v>
      </c>
    </row>
    <row r="101">
      <c r="A101" s="1" t="s">
        <v>826</v>
      </c>
      <c r="B101" s="1" t="s">
        <v>827</v>
      </c>
      <c r="C101" s="1" t="s">
        <v>909</v>
      </c>
      <c r="D101" s="1" t="s">
        <v>833</v>
      </c>
      <c r="E101" s="1" t="s">
        <v>284</v>
      </c>
      <c r="F101" s="1" t="s">
        <v>218</v>
      </c>
      <c r="H101" s="1" t="s">
        <v>829</v>
      </c>
      <c r="I101" s="1" t="s">
        <v>458</v>
      </c>
      <c r="J101" s="1" t="s">
        <v>412</v>
      </c>
      <c r="M101" s="6" t="str">
        <f t="shared" ref="M101:R101" si="100">CONCAT(A101,",")</f>
        <v>rises,</v>
      </c>
      <c r="N101" s="6" t="str">
        <f t="shared" si="100"/>
        <v>our,</v>
      </c>
      <c r="O101" s="6" t="str">
        <f t="shared" si="100"/>
        <v>grab,</v>
      </c>
      <c r="P101" s="6" t="str">
        <f t="shared" si="100"/>
        <v>million,</v>
      </c>
      <c r="Q101" s="6" t="str">
        <f t="shared" si="100"/>
        <v>theme,</v>
      </c>
      <c r="R101" s="6" t="str">
        <f t="shared" si="100"/>
        <v>cinema,</v>
      </c>
    </row>
    <row r="102">
      <c r="A102" s="1" t="s">
        <v>834</v>
      </c>
      <c r="B102" s="1" t="s">
        <v>776</v>
      </c>
      <c r="C102" s="1" t="s">
        <v>995</v>
      </c>
      <c r="D102" s="1" t="s">
        <v>839</v>
      </c>
      <c r="E102" s="1" t="s">
        <v>276</v>
      </c>
      <c r="F102" s="1" t="s">
        <v>568</v>
      </c>
      <c r="H102" s="1" t="s">
        <v>149</v>
      </c>
      <c r="I102" s="1" t="s">
        <v>2389</v>
      </c>
      <c r="J102" s="1" t="s">
        <v>748</v>
      </c>
      <c r="M102" s="6" t="str">
        <f t="shared" ref="M102:R102" si="101">CONCAT(A102,",")</f>
        <v>achievement,</v>
      </c>
      <c r="N102" s="6" t="str">
        <f t="shared" si="101"/>
        <v>pretty,</v>
      </c>
      <c r="O102" s="6" t="str">
        <f t="shared" si="101"/>
        <v>eat,</v>
      </c>
      <c r="P102" s="6" t="str">
        <f t="shared" si="101"/>
        <v>gorgeous,</v>
      </c>
      <c r="Q102" s="6" t="str">
        <f t="shared" si="101"/>
        <v>funny,</v>
      </c>
      <c r="R102" s="6" t="str">
        <f t="shared" si="101"/>
        <v>world,</v>
      </c>
    </row>
    <row r="103">
      <c r="A103" s="1" t="s">
        <v>840</v>
      </c>
      <c r="B103" s="1" t="s">
        <v>841</v>
      </c>
      <c r="C103" s="1" t="s">
        <v>1000</v>
      </c>
      <c r="D103" s="1" t="s">
        <v>141</v>
      </c>
      <c r="E103" s="1" t="s">
        <v>683</v>
      </c>
      <c r="F103" s="1" t="s">
        <v>581</v>
      </c>
      <c r="H103" s="1" t="s">
        <v>419</v>
      </c>
      <c r="I103" s="1" t="s">
        <v>179</v>
      </c>
      <c r="J103" s="1" t="s">
        <v>943</v>
      </c>
      <c r="M103" s="6" t="str">
        <f t="shared" ref="M103:R103" si="102">CONCAT(A103,",")</f>
        <v>graceful,</v>
      </c>
      <c r="N103" s="6" t="str">
        <f t="shared" si="102"/>
        <v>these,</v>
      </c>
      <c r="O103" s="6" t="str">
        <f t="shared" si="102"/>
        <v>spears,</v>
      </c>
      <c r="P103" s="6" t="str">
        <f t="shared" si="102"/>
        <v>swords,</v>
      </c>
      <c r="Q103" s="6" t="str">
        <f t="shared" si="102"/>
        <v>think,</v>
      </c>
      <c r="R103" s="6" t="str">
        <f t="shared" si="102"/>
        <v>alternative,</v>
      </c>
    </row>
    <row r="104">
      <c r="A104" s="1" t="s">
        <v>846</v>
      </c>
      <c r="B104" s="1" t="s">
        <v>174</v>
      </c>
      <c r="C104" s="1" t="s">
        <v>365</v>
      </c>
      <c r="D104" s="1" t="s">
        <v>359</v>
      </c>
      <c r="E104" s="1" t="s">
        <v>544</v>
      </c>
      <c r="F104" s="1" t="s">
        <v>239</v>
      </c>
      <c r="H104" s="1" t="s">
        <v>794</v>
      </c>
      <c r="I104" s="1" t="s">
        <v>451</v>
      </c>
      <c r="J104" s="1" t="s">
        <v>767</v>
      </c>
      <c r="M104" s="6" t="str">
        <f t="shared" ref="M104:R104" si="103">CONCAT(A104,",")</f>
        <v>frantic,</v>
      </c>
      <c r="N104" s="6" t="str">
        <f t="shared" si="103"/>
        <v>mergers,</v>
      </c>
      <c r="O104" s="6" t="str">
        <f t="shared" si="103"/>
        <v>play,</v>
      </c>
      <c r="P104" s="6" t="str">
        <f t="shared" si="103"/>
        <v>performance,</v>
      </c>
      <c r="Q104" s="6" t="str">
        <f t="shared" si="103"/>
        <v>real,</v>
      </c>
      <c r="R104" s="6" t="str">
        <f t="shared" si="103"/>
        <v>good,</v>
      </c>
    </row>
    <row r="105">
      <c r="A105" s="1" t="s">
        <v>850</v>
      </c>
      <c r="B105" s="1" t="s">
        <v>151</v>
      </c>
      <c r="C105" s="1" t="s">
        <v>1012</v>
      </c>
      <c r="D105" s="1" t="s">
        <v>105</v>
      </c>
      <c r="E105" s="1" t="s">
        <v>700</v>
      </c>
      <c r="F105" s="1" t="s">
        <v>228</v>
      </c>
      <c r="H105" s="1" t="s">
        <v>851</v>
      </c>
      <c r="I105" s="1" t="s">
        <v>6281</v>
      </c>
      <c r="J105" s="1" t="s">
        <v>782</v>
      </c>
      <c r="M105" s="6" t="str">
        <f t="shared" ref="M105:R105" si="104">CONCAT(A105,",")</f>
        <v>amusing,</v>
      </c>
      <c r="N105" s="6" t="str">
        <f t="shared" si="104"/>
        <v>woven,</v>
      </c>
      <c r="O105" s="6" t="str">
        <f t="shared" si="104"/>
        <v>listen,</v>
      </c>
      <c r="P105" s="6" t="str">
        <f t="shared" si="104"/>
        <v>proves,</v>
      </c>
      <c r="Q105" s="6" t="str">
        <f t="shared" si="104"/>
        <v>issues,</v>
      </c>
      <c r="R105" s="6" t="str">
        <f t="shared" si="104"/>
        <v>viewing,</v>
      </c>
    </row>
    <row r="106">
      <c r="A106" s="1" t="s">
        <v>667</v>
      </c>
      <c r="B106" s="1" t="s">
        <v>855</v>
      </c>
      <c r="C106" s="1" t="s">
        <v>1021</v>
      </c>
      <c r="D106" s="1" t="s">
        <v>861</v>
      </c>
      <c r="E106" s="1" t="s">
        <v>5731</v>
      </c>
      <c r="F106" s="1" t="s">
        <v>2650</v>
      </c>
      <c r="H106" s="1" t="s">
        <v>857</v>
      </c>
      <c r="I106" s="1" t="s">
        <v>156</v>
      </c>
      <c r="J106" s="1" t="s">
        <v>775</v>
      </c>
      <c r="M106" s="6" t="str">
        <f t="shared" ref="M106:R106" si="105">CONCAT(A106,",")</f>
        <v>stirring,</v>
      </c>
      <c r="N106" s="6" t="str">
        <f t="shared" si="105"/>
        <v>aerial,</v>
      </c>
      <c r="O106" s="6" t="str">
        <f t="shared" si="105"/>
        <v>?,</v>
      </c>
      <c r="P106" s="6" t="str">
        <f t="shared" si="105"/>
        <v>touch,</v>
      </c>
      <c r="Q106" s="6" t="str">
        <f t="shared" si="105"/>
        <v>marriage,</v>
      </c>
      <c r="R106" s="6" t="str">
        <f t="shared" si="105"/>
        <v>start,</v>
      </c>
    </row>
    <row r="107">
      <c r="A107" s="1" t="s">
        <v>862</v>
      </c>
      <c r="B107" s="1" t="s">
        <v>104</v>
      </c>
      <c r="C107" s="1" t="s">
        <v>827</v>
      </c>
      <c r="D107" s="1" t="s">
        <v>865</v>
      </c>
      <c r="E107" s="1" t="s">
        <v>3020</v>
      </c>
      <c r="F107" s="1" t="s">
        <v>180</v>
      </c>
      <c r="H107" s="1" t="s">
        <v>710</v>
      </c>
      <c r="I107" s="1" t="s">
        <v>194</v>
      </c>
      <c r="J107" s="1" t="s">
        <v>789</v>
      </c>
      <c r="M107" s="6" t="str">
        <f t="shared" ref="M107:R107" si="106">CONCAT(A107,",")</f>
        <v>builds,</v>
      </c>
      <c r="N107" s="6" t="str">
        <f t="shared" si="106"/>
        <v>storylines,</v>
      </c>
      <c r="O107" s="6" t="str">
        <f t="shared" si="106"/>
        <v>our,</v>
      </c>
      <c r="P107" s="6" t="str">
        <f t="shared" si="106"/>
        <v>superb,</v>
      </c>
      <c r="Q107" s="6" t="str">
        <f t="shared" si="106"/>
        <v>liked,</v>
      </c>
      <c r="R107" s="6" t="str">
        <f t="shared" si="106"/>
        <v>but,</v>
      </c>
    </row>
    <row r="108">
      <c r="A108" s="1" t="s">
        <v>866</v>
      </c>
      <c r="B108" s="1" t="s">
        <v>322</v>
      </c>
      <c r="C108" s="1" t="s">
        <v>1078</v>
      </c>
      <c r="D108" s="1" t="s">
        <v>150</v>
      </c>
      <c r="E108" s="1" t="s">
        <v>4281</v>
      </c>
      <c r="F108" s="1" t="s">
        <v>244</v>
      </c>
      <c r="H108" s="1" t="s">
        <v>868</v>
      </c>
      <c r="I108" s="1" t="s">
        <v>410</v>
      </c>
      <c r="J108" s="1" t="s">
        <v>797</v>
      </c>
      <c r="M108" s="6" t="str">
        <f t="shared" ref="M108:R108" si="107">CONCAT(A108,",")</f>
        <v>flourish,</v>
      </c>
      <c r="N108" s="6" t="str">
        <f t="shared" si="107"/>
        <v>experience,</v>
      </c>
      <c r="O108" s="6" t="str">
        <f t="shared" si="107"/>
        <v>hour,</v>
      </c>
      <c r="P108" s="6" t="str">
        <f t="shared" si="107"/>
        <v>horrors,</v>
      </c>
      <c r="Q108" s="6" t="str">
        <f t="shared" si="107"/>
        <v>adults,</v>
      </c>
      <c r="R108" s="6" t="str">
        <f t="shared" si="107"/>
        <v>finish,</v>
      </c>
    </row>
    <row r="109">
      <c r="A109" s="1" t="s">
        <v>873</v>
      </c>
      <c r="B109" s="1" t="s">
        <v>158</v>
      </c>
      <c r="C109" s="1" t="s">
        <v>1086</v>
      </c>
      <c r="D109" s="1" t="s">
        <v>95</v>
      </c>
      <c r="E109" s="1" t="s">
        <v>6289</v>
      </c>
      <c r="F109" s="1" t="s">
        <v>237</v>
      </c>
      <c r="H109" s="1" t="s">
        <v>875</v>
      </c>
      <c r="I109" s="1" t="s">
        <v>1133</v>
      </c>
      <c r="J109" s="1" t="s">
        <v>5464</v>
      </c>
      <c r="M109" s="6" t="str">
        <f t="shared" ref="M109:R109" si="108">CONCAT(A109,",")</f>
        <v>touched,</v>
      </c>
      <c r="N109" s="6" t="str">
        <f t="shared" si="108"/>
        <v>cruel,</v>
      </c>
      <c r="O109" s="6" t="str">
        <f t="shared" si="108"/>
        <v>maximum,</v>
      </c>
      <c r="P109" s="6" t="str">
        <f t="shared" si="108"/>
        <v>vivid,</v>
      </c>
      <c r="Q109" s="6" t="str">
        <f t="shared" si="108"/>
        <v>tucked,</v>
      </c>
      <c r="R109" s="6" t="str">
        <f t="shared" si="108"/>
        <v>plot,</v>
      </c>
    </row>
    <row r="110">
      <c r="A110" s="1" t="s">
        <v>880</v>
      </c>
      <c r="B110" s="1" t="s">
        <v>881</v>
      </c>
      <c r="C110" s="1" t="s">
        <v>1093</v>
      </c>
      <c r="D110" s="1" t="s">
        <v>888</v>
      </c>
      <c r="E110" s="1" t="s">
        <v>74</v>
      </c>
      <c r="F110" s="1" t="s">
        <v>248</v>
      </c>
      <c r="H110" s="1" t="s">
        <v>883</v>
      </c>
      <c r="I110" s="1" t="s">
        <v>393</v>
      </c>
      <c r="J110" s="1" t="s">
        <v>143</v>
      </c>
      <c r="M110" s="6" t="str">
        <f t="shared" ref="M110:R110" si="109">CONCAT(A110,",")</f>
        <v>problematic,</v>
      </c>
      <c r="N110" s="6" t="str">
        <f t="shared" si="109"/>
        <v>women,</v>
      </c>
      <c r="O110" s="6" t="str">
        <f t="shared" si="109"/>
        <v>at,</v>
      </c>
      <c r="P110" s="6" t="str">
        <f t="shared" si="109"/>
        <v>beauty,</v>
      </c>
      <c r="Q110" s="6" t="str">
        <f t="shared" si="109"/>
        <v>storyline,</v>
      </c>
      <c r="R110" s="6" t="str">
        <f t="shared" si="109"/>
        <v>cylinders,</v>
      </c>
    </row>
    <row r="111">
      <c r="A111" s="1" t="s">
        <v>889</v>
      </c>
      <c r="B111" s="1" t="s">
        <v>502</v>
      </c>
      <c r="C111" s="1" t="s">
        <v>1105</v>
      </c>
      <c r="D111" s="1" t="s">
        <v>694</v>
      </c>
      <c r="E111" s="1" t="s">
        <v>562</v>
      </c>
      <c r="F111" s="1" t="s">
        <v>749</v>
      </c>
      <c r="H111" s="1" t="s">
        <v>890</v>
      </c>
      <c r="I111" s="1" t="s">
        <v>442</v>
      </c>
      <c r="J111" s="1" t="s">
        <v>163</v>
      </c>
      <c r="M111" s="6" t="str">
        <f t="shared" ref="M111:R111" si="110">CONCAT(A111,",")</f>
        <v>drains,</v>
      </c>
      <c r="N111" s="6" t="str">
        <f t="shared" si="110"/>
        <v>deception,</v>
      </c>
      <c r="O111" s="6" t="str">
        <f t="shared" si="110"/>
        <v>populated,</v>
      </c>
      <c r="P111" s="6" t="str">
        <f t="shared" si="110"/>
        <v>any,</v>
      </c>
      <c r="Q111" s="6" t="str">
        <f t="shared" si="110"/>
        <v>silly,</v>
      </c>
      <c r="R111" s="6" t="str">
        <f t="shared" si="110"/>
        <v>little,</v>
      </c>
    </row>
    <row r="112">
      <c r="A112" s="1" t="s">
        <v>712</v>
      </c>
      <c r="B112" s="1" t="s">
        <v>166</v>
      </c>
      <c r="C112" s="1" t="s">
        <v>1111</v>
      </c>
      <c r="D112" s="1" t="s">
        <v>125</v>
      </c>
      <c r="E112" s="1" t="s">
        <v>122</v>
      </c>
      <c r="F112" s="1" t="s">
        <v>314</v>
      </c>
      <c r="H112" s="1" t="s">
        <v>646</v>
      </c>
      <c r="I112" s="1" t="s">
        <v>1704</v>
      </c>
      <c r="J112" s="1" t="s">
        <v>1144</v>
      </c>
      <c r="M112" s="6" t="str">
        <f t="shared" ref="M112:R112" si="111">CONCAT(A112,",")</f>
        <v>magnetic,</v>
      </c>
      <c r="N112" s="6" t="str">
        <f t="shared" si="111"/>
        <v>eastwood,</v>
      </c>
      <c r="O112" s="6" t="str">
        <f t="shared" si="111"/>
        <v>note,</v>
      </c>
      <c r="P112" s="6" t="str">
        <f t="shared" si="111"/>
        <v>pointless,</v>
      </c>
      <c r="Q112" s="6" t="str">
        <f t="shared" si="111"/>
        <v>heroes,</v>
      </c>
      <c r="R112" s="6" t="str">
        <f t="shared" si="111"/>
        <v>find,</v>
      </c>
    </row>
    <row r="113">
      <c r="A113" s="1" t="s">
        <v>898</v>
      </c>
      <c r="B113" s="1" t="s">
        <v>193</v>
      </c>
      <c r="C113" s="1" t="s">
        <v>1120</v>
      </c>
      <c r="D113" s="1" t="s">
        <v>708</v>
      </c>
      <c r="E113" s="1" t="s">
        <v>310</v>
      </c>
      <c r="F113" s="1" t="s">
        <v>6288</v>
      </c>
      <c r="H113" s="1" t="s">
        <v>257</v>
      </c>
      <c r="I113" s="1" t="s">
        <v>434</v>
      </c>
      <c r="J113" s="1" t="s">
        <v>450</v>
      </c>
      <c r="M113" s="6" t="str">
        <f t="shared" ref="M113:R113" si="112">CONCAT(A113,",")</f>
        <v>monstrous,</v>
      </c>
      <c r="N113" s="6" t="str">
        <f t="shared" si="112"/>
        <v>earnest,</v>
      </c>
      <c r="O113" s="6" t="str">
        <f t="shared" si="112"/>
        <v>anyone,</v>
      </c>
      <c r="P113" s="6" t="str">
        <f t="shared" si="112"/>
        <v>beautifully,</v>
      </c>
      <c r="Q113" s="6" t="str">
        <f t="shared" si="112"/>
        <v>existence,</v>
      </c>
      <c r="R113" s="6" t="str">
        <f t="shared" si="112"/>
        <v>acted,</v>
      </c>
    </row>
    <row r="114">
      <c r="A114" s="1" t="s">
        <v>902</v>
      </c>
      <c r="B114" s="1" t="s">
        <v>903</v>
      </c>
      <c r="C114" s="1" t="s">
        <v>1126</v>
      </c>
      <c r="D114" s="1" t="s">
        <v>396</v>
      </c>
      <c r="E114" s="1" t="s">
        <v>84</v>
      </c>
      <c r="F114" s="1" t="s">
        <v>264</v>
      </c>
      <c r="H114" s="1" t="s">
        <v>241</v>
      </c>
      <c r="I114" s="1" t="s">
        <v>630</v>
      </c>
      <c r="J114" s="1" t="s">
        <v>776</v>
      </c>
      <c r="M114" s="6" t="str">
        <f t="shared" ref="M114:R114" si="113">CONCAT(A114,",")</f>
        <v>breathe,</v>
      </c>
      <c r="N114" s="6" t="str">
        <f t="shared" si="113"/>
        <v>pays,</v>
      </c>
      <c r="O114" s="6" t="str">
        <f t="shared" si="113"/>
        <v>ask,</v>
      </c>
      <c r="P114" s="6" t="str">
        <f t="shared" si="113"/>
        <v>situations,</v>
      </c>
      <c r="Q114" s="6" t="str">
        <f t="shared" si="113"/>
        <v>sharply,</v>
      </c>
      <c r="R114" s="6" t="str">
        <f t="shared" si="113"/>
        <v>often,</v>
      </c>
    </row>
    <row r="115">
      <c r="A115" s="1" t="s">
        <v>906</v>
      </c>
      <c r="B115" s="1" t="s">
        <v>907</v>
      </c>
      <c r="C115" s="1" t="s">
        <v>1133</v>
      </c>
      <c r="D115" s="1" t="s">
        <v>407</v>
      </c>
      <c r="E115" s="1" t="s">
        <v>516</v>
      </c>
      <c r="F115" s="1" t="s">
        <v>252</v>
      </c>
      <c r="H115" s="1" t="s">
        <v>909</v>
      </c>
      <c r="I115" s="1" t="s">
        <v>6282</v>
      </c>
      <c r="J115" s="1" t="s">
        <v>1016</v>
      </c>
      <c r="M115" s="6" t="str">
        <f t="shared" ref="M115:R115" si="114">CONCAT(A115,",")</f>
        <v>asleep,</v>
      </c>
      <c r="N115" s="6" t="str">
        <f t="shared" si="114"/>
        <v>homage,</v>
      </c>
      <c r="O115" s="6" t="str">
        <f t="shared" si="114"/>
        <v>if,</v>
      </c>
      <c r="P115" s="6" t="str">
        <f t="shared" si="114"/>
        <v>room,</v>
      </c>
      <c r="Q115" s="6" t="str">
        <f t="shared" si="114"/>
        <v>every,</v>
      </c>
      <c r="R115" s="6" t="str">
        <f t="shared" si="114"/>
        <v>interest,</v>
      </c>
    </row>
    <row r="116">
      <c r="A116" s="1" t="s">
        <v>914</v>
      </c>
      <c r="B116" s="1" t="s">
        <v>915</v>
      </c>
      <c r="C116" s="1" t="s">
        <v>1138</v>
      </c>
      <c r="D116" s="1" t="s">
        <v>133</v>
      </c>
      <c r="E116" s="1" t="s">
        <v>598</v>
      </c>
      <c r="F116" s="1" t="s">
        <v>1715</v>
      </c>
      <c r="H116" s="1" t="s">
        <v>917</v>
      </c>
      <c r="I116" s="1" t="s">
        <v>6284</v>
      </c>
      <c r="J116" s="1" t="s">
        <v>174</v>
      </c>
      <c r="M116" s="6" t="str">
        <f t="shared" ref="M116:R116" si="115">CONCAT(A116,",")</f>
        <v>borrowed,</v>
      </c>
      <c r="N116" s="6" t="str">
        <f t="shared" si="115"/>
        <v>laughs,</v>
      </c>
      <c r="O116" s="6" t="str">
        <f t="shared" si="115"/>
        <v>idea,</v>
      </c>
      <c r="P116" s="6" t="str">
        <f t="shared" si="115"/>
        <v>touching,</v>
      </c>
      <c r="Q116" s="6" t="str">
        <f t="shared" si="115"/>
        <v>point,</v>
      </c>
      <c r="R116" s="6" t="str">
        <f t="shared" si="115"/>
        <v>will,</v>
      </c>
    </row>
    <row r="117">
      <c r="A117" s="1" t="s">
        <v>921</v>
      </c>
      <c r="B117" s="1" t="s">
        <v>528</v>
      </c>
      <c r="C117" s="1" t="s">
        <v>447</v>
      </c>
      <c r="D117" s="1" t="s">
        <v>412</v>
      </c>
      <c r="E117" s="1" t="s">
        <v>321</v>
      </c>
      <c r="F117" s="1" t="s">
        <v>258</v>
      </c>
      <c r="H117" s="1" t="s">
        <v>157</v>
      </c>
      <c r="I117" s="1" t="s">
        <v>959</v>
      </c>
      <c r="J117" s="1" t="s">
        <v>1035</v>
      </c>
      <c r="M117" s="6" t="str">
        <f t="shared" ref="M117:R117" si="116">CONCAT(A117,",")</f>
        <v>creates,</v>
      </c>
      <c r="N117" s="6" t="str">
        <f t="shared" si="116"/>
        <v>few,</v>
      </c>
      <c r="O117" s="6" t="str">
        <f t="shared" si="116"/>
        <v>making,</v>
      </c>
      <c r="P117" s="6" t="str">
        <f t="shared" si="116"/>
        <v>subtle,</v>
      </c>
      <c r="Q117" s="6" t="str">
        <f t="shared" si="116"/>
        <v>course,</v>
      </c>
      <c r="R117" s="6" t="str">
        <f t="shared" si="116"/>
        <v>year,</v>
      </c>
    </row>
    <row r="118">
      <c r="A118" s="1" t="s">
        <v>793</v>
      </c>
      <c r="B118" s="1" t="s">
        <v>926</v>
      </c>
      <c r="C118" s="1" t="s">
        <v>1150</v>
      </c>
      <c r="D118" s="1" t="s">
        <v>933</v>
      </c>
      <c r="E118" s="1" t="s">
        <v>305</v>
      </c>
      <c r="F118" s="1" t="s">
        <v>64</v>
      </c>
      <c r="H118" s="1" t="s">
        <v>275</v>
      </c>
      <c r="I118" s="1" t="s">
        <v>509</v>
      </c>
      <c r="J118" s="1" t="s">
        <v>465</v>
      </c>
      <c r="M118" s="6" t="str">
        <f t="shared" ref="M118:R118" si="117">CONCAT(A118,",")</f>
        <v>expresses,</v>
      </c>
      <c r="N118" s="6" t="str">
        <f t="shared" si="117"/>
        <v>endure,</v>
      </c>
      <c r="O118" s="6" t="str">
        <f t="shared" si="117"/>
        <v>needed,</v>
      </c>
      <c r="P118" s="6" t="str">
        <f t="shared" si="117"/>
        <v>starts,</v>
      </c>
      <c r="Q118" s="6" t="str">
        <f t="shared" si="117"/>
        <v>entire,</v>
      </c>
      <c r="R118" s="6" t="str">
        <f t="shared" si="117"/>
        <v>weaving,</v>
      </c>
    </row>
    <row r="119">
      <c r="A119" s="1" t="s">
        <v>934</v>
      </c>
      <c r="B119" s="1" t="s">
        <v>810</v>
      </c>
      <c r="C119" s="1" t="s">
        <v>386</v>
      </c>
      <c r="D119" s="1" t="s">
        <v>748</v>
      </c>
      <c r="E119" s="1" t="s">
        <v>3661</v>
      </c>
      <c r="F119" s="1" t="s">
        <v>520</v>
      </c>
      <c r="H119" s="1" t="s">
        <v>162</v>
      </c>
      <c r="I119" s="1" t="s">
        <v>198</v>
      </c>
      <c r="J119" s="1" t="s">
        <v>476</v>
      </c>
      <c r="M119" s="6" t="str">
        <f t="shared" ref="M119:R119" si="118">CONCAT(A119,",")</f>
        <v>inactive,</v>
      </c>
      <c r="N119" s="6" t="str">
        <f t="shared" si="118"/>
        <v>help,</v>
      </c>
      <c r="O119" s="6" t="str">
        <f t="shared" si="118"/>
        <v>around,</v>
      </c>
      <c r="P119" s="6" t="str">
        <f t="shared" si="118"/>
        <v>less,</v>
      </c>
      <c r="Q119" s="6" t="str">
        <f t="shared" si="118"/>
        <v>sense,</v>
      </c>
      <c r="R119" s="6" t="str">
        <f t="shared" si="118"/>
        <v>clone,</v>
      </c>
    </row>
    <row r="120">
      <c r="A120" s="1" t="s">
        <v>497</v>
      </c>
      <c r="B120" s="1" t="s">
        <v>537</v>
      </c>
      <c r="C120" s="1" t="s">
        <v>415</v>
      </c>
      <c r="D120" s="1" t="s">
        <v>943</v>
      </c>
      <c r="E120" s="1" t="s">
        <v>764</v>
      </c>
      <c r="F120" s="1" t="s">
        <v>299</v>
      </c>
      <c r="H120" s="1" t="s">
        <v>938</v>
      </c>
      <c r="I120" s="1" t="s">
        <v>188</v>
      </c>
      <c r="J120" s="1" t="s">
        <v>158</v>
      </c>
      <c r="M120" s="6" t="str">
        <f t="shared" ref="M120:R120" si="119">CONCAT(A120,",")</f>
        <v>establishes,</v>
      </c>
      <c r="N120" s="6" t="str">
        <f t="shared" si="119"/>
        <v>power,</v>
      </c>
      <c r="O120" s="6" t="str">
        <f t="shared" si="119"/>
        <v>night,</v>
      </c>
      <c r="P120" s="6" t="str">
        <f t="shared" si="119"/>
        <v>sophisticated,</v>
      </c>
      <c r="Q120" s="6" t="str">
        <f t="shared" si="119"/>
        <v>dog,</v>
      </c>
      <c r="R120" s="6" t="str">
        <f t="shared" si="119"/>
        <v>best,</v>
      </c>
    </row>
    <row r="121">
      <c r="A121" s="1" t="s">
        <v>944</v>
      </c>
      <c r="B121" s="1" t="s">
        <v>111</v>
      </c>
      <c r="C121" s="1" t="s">
        <v>1167</v>
      </c>
      <c r="D121" s="1" t="s">
        <v>425</v>
      </c>
      <c r="E121" s="1" t="s">
        <v>6290</v>
      </c>
      <c r="F121" s="1" t="s">
        <v>276</v>
      </c>
      <c r="H121" s="1" t="s">
        <v>292</v>
      </c>
      <c r="I121" s="1" t="s">
        <v>211</v>
      </c>
      <c r="J121" s="1" t="s">
        <v>488</v>
      </c>
      <c r="M121" s="6" t="str">
        <f t="shared" ref="M121:R121" si="120">CONCAT(A121,",")</f>
        <v>feast,</v>
      </c>
      <c r="N121" s="6" t="str">
        <f t="shared" si="120"/>
        <v>generates,</v>
      </c>
      <c r="O121" s="6" t="str">
        <f t="shared" si="120"/>
        <v>busy,</v>
      </c>
      <c r="P121" s="6" t="str">
        <f t="shared" si="120"/>
        <v>veins,</v>
      </c>
      <c r="Q121" s="6" t="str">
        <f t="shared" si="120"/>
        <v>classic,</v>
      </c>
      <c r="R121" s="6" t="str">
        <f t="shared" si="120"/>
        <v>funny,</v>
      </c>
    </row>
    <row r="122">
      <c r="A122" s="1" t="s">
        <v>951</v>
      </c>
      <c r="B122" s="1" t="s">
        <v>952</v>
      </c>
      <c r="C122" s="1" t="s">
        <v>373</v>
      </c>
      <c r="D122" s="1" t="s">
        <v>767</v>
      </c>
      <c r="E122" s="1" t="s">
        <v>312</v>
      </c>
      <c r="F122" s="1" t="s">
        <v>664</v>
      </c>
      <c r="H122" s="1" t="s">
        <v>872</v>
      </c>
      <c r="I122" s="1" t="s">
        <v>679</v>
      </c>
      <c r="J122" s="1" t="s">
        <v>4361</v>
      </c>
      <c r="M122" s="6" t="str">
        <f t="shared" ref="M122:R122" si="121">CONCAT(A122,",")</f>
        <v>lavish,</v>
      </c>
      <c r="N122" s="6" t="str">
        <f t="shared" si="121"/>
        <v>highs,</v>
      </c>
      <c r="O122" s="6" t="str">
        <f t="shared" si="121"/>
        <v>first,</v>
      </c>
      <c r="P122" s="6" t="str">
        <f t="shared" si="121"/>
        <v>rich,</v>
      </c>
      <c r="Q122" s="6" t="str">
        <f t="shared" si="121"/>
        <v>nowhere,</v>
      </c>
      <c r="R122" s="6" t="str">
        <f t="shared" si="121"/>
        <v>another,</v>
      </c>
    </row>
    <row r="123">
      <c r="A123" s="1" t="s">
        <v>242</v>
      </c>
      <c r="B123" s="1" t="s">
        <v>653</v>
      </c>
      <c r="C123" s="1" t="s">
        <v>1181</v>
      </c>
      <c r="D123" s="1" t="s">
        <v>782</v>
      </c>
      <c r="E123" s="1" t="s">
        <v>669</v>
      </c>
      <c r="F123" s="1" t="s">
        <v>74</v>
      </c>
      <c r="H123" s="1" t="s">
        <v>887</v>
      </c>
      <c r="I123" s="1" t="s">
        <v>1888</v>
      </c>
      <c r="J123" s="1" t="s">
        <v>1116</v>
      </c>
      <c r="M123" s="6" t="str">
        <f t="shared" ref="M123:R123" si="122">CONCAT(A123,",")</f>
        <v>reduces,</v>
      </c>
      <c r="N123" s="6" t="str">
        <f t="shared" si="122"/>
        <v>without,</v>
      </c>
      <c r="O123" s="6" t="str">
        <f t="shared" si="122"/>
        <v>actually,</v>
      </c>
      <c r="P123" s="6" t="str">
        <f t="shared" si="122"/>
        <v>joy,</v>
      </c>
      <c r="Q123" s="6" t="str">
        <f t="shared" si="122"/>
        <v>sometimes,</v>
      </c>
      <c r="R123" s="6" t="str">
        <f t="shared" si="122"/>
        <v>storyline,</v>
      </c>
    </row>
    <row r="124">
      <c r="A124" s="1" t="s">
        <v>963</v>
      </c>
      <c r="B124" s="1" t="s">
        <v>165</v>
      </c>
      <c r="C124" s="1" t="s">
        <v>1189</v>
      </c>
      <c r="D124" s="1" t="s">
        <v>967</v>
      </c>
      <c r="E124" s="1" t="s">
        <v>6291</v>
      </c>
      <c r="F124" s="1" t="s">
        <v>544</v>
      </c>
      <c r="H124" s="1" t="s">
        <v>173</v>
      </c>
      <c r="I124" s="1" t="s">
        <v>1222</v>
      </c>
      <c r="J124" s="1" t="s">
        <v>166</v>
      </c>
      <c r="M124" s="6" t="str">
        <f t="shared" ref="M124:R124" si="123">CONCAT(A124,",")</f>
        <v>sympathetic,</v>
      </c>
      <c r="N124" s="6" t="str">
        <f t="shared" si="123"/>
        <v>historically,</v>
      </c>
      <c r="O124" s="6" t="str">
        <f t="shared" si="123"/>
        <v>b,</v>
      </c>
      <c r="P124" s="6" t="str">
        <f t="shared" si="123"/>
        <v>shot,</v>
      </c>
      <c r="Q124" s="6" t="str">
        <f t="shared" si="123"/>
        <v>dry,</v>
      </c>
      <c r="R124" s="6" t="str">
        <f t="shared" si="123"/>
        <v>real,</v>
      </c>
    </row>
    <row r="125">
      <c r="A125" s="1" t="s">
        <v>968</v>
      </c>
      <c r="B125" s="1" t="s">
        <v>545</v>
      </c>
      <c r="C125" s="1" t="s">
        <v>393</v>
      </c>
      <c r="D125" s="1" t="s">
        <v>789</v>
      </c>
      <c r="E125" s="1" t="s">
        <v>357</v>
      </c>
      <c r="F125" s="1" t="s">
        <v>3400</v>
      </c>
      <c r="H125" s="1" t="s">
        <v>905</v>
      </c>
      <c r="I125" s="1" t="s">
        <v>61</v>
      </c>
      <c r="J125" s="1" t="s">
        <v>193</v>
      </c>
      <c r="M125" s="6" t="str">
        <f t="shared" ref="M125:R125" si="124">CONCAT(A125,",")</f>
        <v>clarity,</v>
      </c>
      <c r="N125" s="6" t="str">
        <f t="shared" si="124"/>
        <v>significant,</v>
      </c>
      <c r="O125" s="6" t="str">
        <f t="shared" si="124"/>
        <v>see,</v>
      </c>
      <c r="P125" s="6" t="str">
        <f t="shared" si="124"/>
        <v>ugly,</v>
      </c>
      <c r="Q125" s="6" t="str">
        <f t="shared" si="124"/>
        <v>come,</v>
      </c>
      <c r="R125" s="6" t="str">
        <f t="shared" si="124"/>
        <v>between,</v>
      </c>
    </row>
    <row r="126">
      <c r="A126" s="1" t="s">
        <v>973</v>
      </c>
      <c r="B126" s="1" t="s">
        <v>558</v>
      </c>
      <c r="C126" s="1" t="s">
        <v>1199</v>
      </c>
      <c r="D126" s="1" t="s">
        <v>163</v>
      </c>
      <c r="E126" s="1" t="s">
        <v>955</v>
      </c>
      <c r="F126" s="1" t="s">
        <v>146</v>
      </c>
      <c r="H126" s="1" t="s">
        <v>316</v>
      </c>
      <c r="I126" s="1" t="s">
        <v>532</v>
      </c>
      <c r="J126" s="1" t="s">
        <v>907</v>
      </c>
      <c r="M126" s="6" t="str">
        <f t="shared" ref="M126:R126" si="125">CONCAT(A126,",")</f>
        <v>chuckle,</v>
      </c>
      <c r="N126" s="6" t="str">
        <f t="shared" si="125"/>
        <v>tribute,</v>
      </c>
      <c r="O126" s="6" t="str">
        <f t="shared" si="125"/>
        <v>wedding,</v>
      </c>
      <c r="P126" s="6" t="str">
        <f t="shared" si="125"/>
        <v>exploration,</v>
      </c>
      <c r="Q126" s="6" t="str">
        <f t="shared" si="125"/>
        <v>times,</v>
      </c>
      <c r="R126" s="6" t="str">
        <f t="shared" si="125"/>
        <v>have,</v>
      </c>
    </row>
    <row r="127">
      <c r="A127" s="1" t="s">
        <v>849</v>
      </c>
      <c r="B127" s="1" t="s">
        <v>553</v>
      </c>
      <c r="C127" s="1" t="s">
        <v>404</v>
      </c>
      <c r="D127" s="1" t="s">
        <v>143</v>
      </c>
      <c r="E127" s="1" t="s">
        <v>330</v>
      </c>
      <c r="F127" s="1" t="s">
        <v>562</v>
      </c>
      <c r="H127" s="1" t="s">
        <v>183</v>
      </c>
      <c r="I127" s="1" t="s">
        <v>559</v>
      </c>
      <c r="J127" s="1" t="s">
        <v>903</v>
      </c>
      <c r="M127" s="6" t="str">
        <f t="shared" ref="M127:R127" si="126">CONCAT(A127,",")</f>
        <v>commanding,</v>
      </c>
      <c r="N127" s="6" t="str">
        <f t="shared" si="126"/>
        <v>actors,</v>
      </c>
      <c r="O127" s="6" t="str">
        <f t="shared" si="126"/>
        <v>side,</v>
      </c>
      <c r="P127" s="6" t="str">
        <f t="shared" si="126"/>
        <v>emptiness,</v>
      </c>
      <c r="Q127" s="6" t="str">
        <f t="shared" si="126"/>
        <v>already,</v>
      </c>
      <c r="R127" s="6" t="str">
        <f t="shared" si="126"/>
        <v>silly,</v>
      </c>
    </row>
    <row r="128">
      <c r="A128" s="1" t="s">
        <v>982</v>
      </c>
      <c r="B128" s="1" t="s">
        <v>570</v>
      </c>
      <c r="C128" s="1" t="s">
        <v>57</v>
      </c>
      <c r="D128" s="1" t="s">
        <v>433</v>
      </c>
      <c r="E128" s="1" t="s">
        <v>795</v>
      </c>
      <c r="F128" s="1" t="s">
        <v>348</v>
      </c>
      <c r="H128" s="1" t="s">
        <v>937</v>
      </c>
      <c r="I128" s="1" t="s">
        <v>568</v>
      </c>
      <c r="J128" s="1" t="s">
        <v>915</v>
      </c>
      <c r="M128" s="6" t="str">
        <f t="shared" ref="M128:R128" si="127">CONCAT(A128,",")</f>
        <v>fabricated,</v>
      </c>
      <c r="N128" s="6" t="str">
        <f t="shared" si="127"/>
        <v>generate,</v>
      </c>
      <c r="O128" s="6" t="str">
        <f t="shared" si="127"/>
        <v>only,</v>
      </c>
      <c r="P128" s="6" t="str">
        <f t="shared" si="127"/>
        <v>relentless,</v>
      </c>
      <c r="Q128" s="6" t="str">
        <f t="shared" si="127"/>
        <v>care,</v>
      </c>
      <c r="R128" s="6" t="str">
        <f t="shared" si="127"/>
        <v>i,</v>
      </c>
    </row>
    <row r="129">
      <c r="A129" s="1" t="s">
        <v>986</v>
      </c>
      <c r="B129" s="1" t="s">
        <v>987</v>
      </c>
      <c r="C129" s="1" t="s">
        <v>1215</v>
      </c>
      <c r="D129" s="1" t="s">
        <v>991</v>
      </c>
      <c r="E129" s="1" t="s">
        <v>779</v>
      </c>
      <c r="F129" s="1" t="s">
        <v>66</v>
      </c>
      <c r="H129" s="1" t="s">
        <v>942</v>
      </c>
      <c r="I129" s="1" t="s">
        <v>218</v>
      </c>
      <c r="J129" s="1" t="s">
        <v>1171</v>
      </c>
      <c r="M129" s="6" t="str">
        <f t="shared" ref="M129:R129" si="128">CONCAT(A129,",")</f>
        <v>uneasy,</v>
      </c>
      <c r="N129" s="6" t="str">
        <f t="shared" si="128"/>
        <v>comedy,</v>
      </c>
      <c r="O129" s="6" t="str">
        <f t="shared" si="128"/>
        <v>fine,</v>
      </c>
      <c r="P129" s="6" t="str">
        <f t="shared" si="128"/>
        <v>core,</v>
      </c>
      <c r="Q129" s="6" t="str">
        <f t="shared" si="128"/>
        <v>count,</v>
      </c>
      <c r="R129" s="6" t="str">
        <f t="shared" si="128"/>
        <v>crude,</v>
      </c>
    </row>
    <row r="130">
      <c r="A130" s="1" t="s">
        <v>992</v>
      </c>
      <c r="B130" s="1" t="s">
        <v>993</v>
      </c>
      <c r="C130" s="1" t="s">
        <v>1269</v>
      </c>
      <c r="D130" s="1" t="s">
        <v>450</v>
      </c>
      <c r="E130" s="1" t="s">
        <v>638</v>
      </c>
      <c r="F130" s="1" t="s">
        <v>683</v>
      </c>
      <c r="H130" s="1" t="s">
        <v>530</v>
      </c>
      <c r="I130" s="1" t="s">
        <v>6292</v>
      </c>
      <c r="J130" s="1" t="s">
        <v>537</v>
      </c>
      <c r="M130" s="6" t="str">
        <f t="shared" ref="M130:R130" si="129">CONCAT(A130,",")</f>
        <v>precisely,</v>
      </c>
      <c r="N130" s="6" t="str">
        <f t="shared" si="129"/>
        <v>heat,</v>
      </c>
      <c r="O130" s="6" t="str">
        <f t="shared" si="129"/>
        <v>opened,</v>
      </c>
      <c r="P130" s="6" t="str">
        <f t="shared" si="129"/>
        <v>thrilling,</v>
      </c>
      <c r="Q130" s="6" t="str">
        <f t="shared" si="129"/>
        <v>fourth,</v>
      </c>
      <c r="R130" s="6" t="str">
        <f t="shared" si="129"/>
        <v>think,</v>
      </c>
    </row>
    <row r="131">
      <c r="A131" s="1" t="s">
        <v>998</v>
      </c>
      <c r="B131" s="1" t="s">
        <v>591</v>
      </c>
      <c r="C131" s="1" t="s">
        <v>1276</v>
      </c>
      <c r="D131" s="1" t="s">
        <v>1003</v>
      </c>
      <c r="E131" s="1" t="s">
        <v>803</v>
      </c>
      <c r="F131" s="1" t="s">
        <v>122</v>
      </c>
      <c r="H131" s="1" t="s">
        <v>87</v>
      </c>
      <c r="I131" s="1" t="s">
        <v>239</v>
      </c>
      <c r="J131" s="1" t="s">
        <v>926</v>
      </c>
      <c r="M131" s="6" t="str">
        <f t="shared" ref="M131:R131" si="130">CONCAT(A131,",")</f>
        <v>stalls,</v>
      </c>
      <c r="N131" s="6" t="str">
        <f t="shared" si="130"/>
        <v>robert,</v>
      </c>
      <c r="O131" s="6" t="str">
        <f t="shared" si="130"/>
        <v>tickets,</v>
      </c>
      <c r="P131" s="6" t="str">
        <f t="shared" si="130"/>
        <v>hold,</v>
      </c>
      <c r="Q131" s="6" t="str">
        <f t="shared" si="130"/>
        <v>feature,</v>
      </c>
      <c r="R131" s="6" t="str">
        <f t="shared" si="130"/>
        <v>heroes,</v>
      </c>
    </row>
    <row r="132">
      <c r="A132" s="1" t="s">
        <v>693</v>
      </c>
      <c r="B132" s="1" t="s">
        <v>121</v>
      </c>
      <c r="C132" s="1" t="s">
        <v>1283</v>
      </c>
      <c r="D132" s="1" t="s">
        <v>1009</v>
      </c>
      <c r="E132" s="1" t="s">
        <v>819</v>
      </c>
      <c r="F132" s="1" t="s">
        <v>310</v>
      </c>
      <c r="H132" s="1" t="s">
        <v>962</v>
      </c>
      <c r="I132" s="1" t="s">
        <v>581</v>
      </c>
      <c r="J132" s="1" t="s">
        <v>111</v>
      </c>
      <c r="M132" s="6" t="str">
        <f t="shared" ref="M132:R132" si="131">CONCAT(A132,",")</f>
        <v>jerking,</v>
      </c>
      <c r="N132" s="6" t="str">
        <f t="shared" si="131"/>
        <v>extremes,</v>
      </c>
      <c r="O132" s="6" t="str">
        <f t="shared" si="131"/>
        <v>give,</v>
      </c>
      <c r="P132" s="6" t="str">
        <f t="shared" si="131"/>
        <v>ford,</v>
      </c>
      <c r="Q132" s="6" t="str">
        <f t="shared" si="131"/>
        <v>territory,</v>
      </c>
      <c r="R132" s="6" t="str">
        <f t="shared" si="131"/>
        <v>existence,</v>
      </c>
    </row>
    <row r="133">
      <c r="A133" s="1" t="s">
        <v>1010</v>
      </c>
      <c r="B133" s="1" t="s">
        <v>215</v>
      </c>
      <c r="C133" s="1" t="s">
        <v>1288</v>
      </c>
      <c r="D133" s="1" t="s">
        <v>1016</v>
      </c>
      <c r="E133" s="1" t="s">
        <v>813</v>
      </c>
      <c r="F133" s="1" t="s">
        <v>84</v>
      </c>
      <c r="H133" s="1" t="s">
        <v>822</v>
      </c>
      <c r="I133" s="1" t="s">
        <v>180</v>
      </c>
      <c r="J133" s="1" t="s">
        <v>290</v>
      </c>
      <c r="M133" s="6" t="str">
        <f t="shared" ref="M133:R133" si="132">CONCAT(A133,",")</f>
        <v>harmless,</v>
      </c>
      <c r="N133" s="6" t="str">
        <f t="shared" si="132"/>
        <v>continuum,</v>
      </c>
      <c r="O133" s="6" t="str">
        <f t="shared" si="132"/>
        <v>heck,</v>
      </c>
      <c r="P133" s="6" t="str">
        <f t="shared" si="132"/>
        <v>damned,</v>
      </c>
      <c r="Q133" s="6" t="str">
        <f t="shared" si="132"/>
        <v>covers,</v>
      </c>
      <c r="R133" s="6" t="str">
        <f t="shared" si="132"/>
        <v>sharply,</v>
      </c>
    </row>
    <row r="134">
      <c r="A134" s="1" t="s">
        <v>1017</v>
      </c>
      <c r="B134" s="1" t="s">
        <v>605</v>
      </c>
      <c r="C134" s="1" t="s">
        <v>1197</v>
      </c>
      <c r="D134" s="1" t="s">
        <v>174</v>
      </c>
      <c r="E134" s="1" t="s">
        <v>5427</v>
      </c>
      <c r="F134" s="1" t="s">
        <v>321</v>
      </c>
      <c r="H134" s="1" t="s">
        <v>1020</v>
      </c>
      <c r="I134" s="1" t="s">
        <v>6247</v>
      </c>
      <c r="J134" s="1" t="s">
        <v>1370</v>
      </c>
      <c r="M134" s="6" t="str">
        <f t="shared" ref="M134:R134" si="133">CONCAT(A134,",")</f>
        <v>adequately,</v>
      </c>
      <c r="N134" s="6" t="str">
        <f t="shared" si="133"/>
        <v>manages,</v>
      </c>
      <c r="O134" s="6" t="str">
        <f t="shared" si="133"/>
        <v>down,</v>
      </c>
      <c r="P134" s="6" t="str">
        <f t="shared" si="133"/>
        <v>mergers,</v>
      </c>
      <c r="Q134" s="6" t="str">
        <f t="shared" si="133"/>
        <v>suggesting,</v>
      </c>
      <c r="R134" s="6" t="str">
        <f t="shared" si="133"/>
        <v>course,</v>
      </c>
    </row>
    <row r="135">
      <c r="A135" s="1" t="s">
        <v>1026</v>
      </c>
      <c r="B135" s="1" t="s">
        <v>596</v>
      </c>
      <c r="C135" s="1" t="s">
        <v>455</v>
      </c>
      <c r="D135" s="1" t="s">
        <v>465</v>
      </c>
      <c r="E135" s="1" t="s">
        <v>976</v>
      </c>
      <c r="F135" s="1" t="s">
        <v>6290</v>
      </c>
      <c r="H135" s="1" t="s">
        <v>972</v>
      </c>
      <c r="I135" s="1" t="s">
        <v>2650</v>
      </c>
      <c r="J135" s="1" t="s">
        <v>165</v>
      </c>
      <c r="M135" s="6" t="str">
        <f t="shared" ref="M135:R135" si="134">CONCAT(A135,",")</f>
        <v>eerie,</v>
      </c>
      <c r="N135" s="6" t="str">
        <f t="shared" si="134"/>
        <v>intensity,</v>
      </c>
      <c r="O135" s="6" t="str">
        <f t="shared" si="134"/>
        <v>used,</v>
      </c>
      <c r="P135" s="6" t="str">
        <f t="shared" si="134"/>
        <v>climate,</v>
      </c>
      <c r="Q135" s="6" t="str">
        <f t="shared" si="134"/>
        <v>game,</v>
      </c>
      <c r="R135" s="6" t="str">
        <f t="shared" si="134"/>
        <v>classic,</v>
      </c>
    </row>
    <row r="136">
      <c r="A136" s="1" t="s">
        <v>1030</v>
      </c>
      <c r="B136" s="1" t="s">
        <v>711</v>
      </c>
      <c r="C136" s="1" t="s">
        <v>1306</v>
      </c>
      <c r="D136" s="1" t="s">
        <v>1035</v>
      </c>
      <c r="E136" s="1" t="s">
        <v>833</v>
      </c>
      <c r="F136" s="1" t="s">
        <v>764</v>
      </c>
      <c r="H136" s="1" t="s">
        <v>267</v>
      </c>
      <c r="I136" s="1" t="s">
        <v>244</v>
      </c>
      <c r="J136" s="1" t="s">
        <v>545</v>
      </c>
      <c r="M136" s="6" t="str">
        <f t="shared" ref="M136:R136" si="135">CONCAT(A136,",")</f>
        <v>insulting,</v>
      </c>
      <c r="N136" s="6" t="str">
        <f t="shared" si="135"/>
        <v>family,</v>
      </c>
      <c r="O136" s="6" t="str">
        <f t="shared" si="135"/>
        <v>groups,</v>
      </c>
      <c r="P136" s="6" t="str">
        <f t="shared" si="135"/>
        <v>recording,</v>
      </c>
      <c r="Q136" s="6" t="str">
        <f t="shared" si="135"/>
        <v>million,</v>
      </c>
      <c r="R136" s="6" t="str">
        <f t="shared" si="135"/>
        <v>dog,</v>
      </c>
    </row>
    <row r="137">
      <c r="A137" s="1" t="s">
        <v>1036</v>
      </c>
      <c r="B137" s="1" t="s">
        <v>609</v>
      </c>
      <c r="C137" s="1" t="s">
        <v>1313</v>
      </c>
      <c r="D137" s="1" t="s">
        <v>1041</v>
      </c>
      <c r="E137" s="1" t="s">
        <v>339</v>
      </c>
      <c r="F137" s="1" t="s">
        <v>598</v>
      </c>
      <c r="H137" s="1" t="s">
        <v>556</v>
      </c>
      <c r="I137" s="1" t="s">
        <v>237</v>
      </c>
      <c r="J137" s="1" t="s">
        <v>558</v>
      </c>
      <c r="M137" s="6" t="str">
        <f t="shared" ref="M137:R137" si="136">CONCAT(A137,",")</f>
        <v>racist,</v>
      </c>
      <c r="N137" s="6" t="str">
        <f t="shared" si="136"/>
        <v>flair,</v>
      </c>
      <c r="O137" s="6" t="str">
        <f t="shared" si="136"/>
        <v>cheaper,</v>
      </c>
      <c r="P137" s="6" t="str">
        <f t="shared" si="136"/>
        <v>current,</v>
      </c>
      <c r="Q137" s="6" t="str">
        <f t="shared" si="136"/>
        <v>version,</v>
      </c>
      <c r="R137" s="6" t="str">
        <f t="shared" si="136"/>
        <v>point,</v>
      </c>
    </row>
    <row r="138">
      <c r="A138" s="1" t="s">
        <v>1042</v>
      </c>
      <c r="B138" s="1" t="s">
        <v>1043</v>
      </c>
      <c r="C138" s="1" t="s">
        <v>1319</v>
      </c>
      <c r="D138" s="1" t="s">
        <v>104</v>
      </c>
      <c r="E138" s="1">
        <v>40.0</v>
      </c>
      <c r="F138" s="1" t="s">
        <v>305</v>
      </c>
      <c r="H138" s="1" t="s">
        <v>1045</v>
      </c>
      <c r="I138" s="1" t="s">
        <v>4483</v>
      </c>
      <c r="J138" s="1" t="s">
        <v>553</v>
      </c>
      <c r="M138" s="6" t="str">
        <f t="shared" ref="M138:R138" si="137">CONCAT(A138,",")</f>
        <v>confident,</v>
      </c>
      <c r="N138" s="6" t="str">
        <f t="shared" si="137"/>
        <v>keep,</v>
      </c>
      <c r="O138" s="6" t="str">
        <f t="shared" si="137"/>
        <v>3d,</v>
      </c>
      <c r="P138" s="6" t="str">
        <f t="shared" si="137"/>
        <v>storylines,</v>
      </c>
      <c r="Q138" s="6" t="str">
        <f t="shared" si="137"/>
        <v>40,</v>
      </c>
      <c r="R138" s="6" t="str">
        <f t="shared" si="137"/>
        <v>entire,</v>
      </c>
    </row>
    <row r="139">
      <c r="A139" s="1" t="s">
        <v>347</v>
      </c>
      <c r="B139" s="1" t="s">
        <v>613</v>
      </c>
      <c r="C139" s="1" t="s">
        <v>1349</v>
      </c>
      <c r="D139" s="1" t="s">
        <v>151</v>
      </c>
      <c r="E139" s="1" t="s">
        <v>839</v>
      </c>
      <c r="F139" s="1" t="s">
        <v>6291</v>
      </c>
      <c r="H139" s="1" t="s">
        <v>751</v>
      </c>
      <c r="I139" s="1" t="s">
        <v>1715</v>
      </c>
      <c r="J139" s="1" t="s">
        <v>1235</v>
      </c>
      <c r="M139" s="6" t="str">
        <f t="shared" ref="M139:R139" si="138">CONCAT(A139,",")</f>
        <v>hollow,</v>
      </c>
      <c r="N139" s="6" t="str">
        <f t="shared" si="138"/>
        <v>animated,</v>
      </c>
      <c r="O139" s="6" t="str">
        <f t="shared" si="138"/>
        <v>into,</v>
      </c>
      <c r="P139" s="6" t="str">
        <f t="shared" si="138"/>
        <v>woven,</v>
      </c>
      <c r="Q139" s="6" t="str">
        <f t="shared" si="138"/>
        <v>gorgeous,</v>
      </c>
      <c r="R139" s="6" t="str">
        <f t="shared" si="138"/>
        <v>dry,</v>
      </c>
    </row>
    <row r="140">
      <c r="A140" s="1" t="s">
        <v>1054</v>
      </c>
      <c r="B140" s="1" t="s">
        <v>1055</v>
      </c>
      <c r="C140" s="1" t="s">
        <v>370</v>
      </c>
      <c r="D140" s="1" t="s">
        <v>322</v>
      </c>
      <c r="E140" s="1" t="s">
        <v>4788</v>
      </c>
      <c r="F140" s="1" t="s">
        <v>955</v>
      </c>
      <c r="H140" s="1" t="s">
        <v>599</v>
      </c>
      <c r="I140" s="1" t="s">
        <v>749</v>
      </c>
      <c r="J140" s="1" t="s">
        <v>996</v>
      </c>
      <c r="M140" s="6" t="str">
        <f t="shared" ref="M140:R140" si="139">CONCAT(A140,",")</f>
        <v>sensation,</v>
      </c>
      <c r="N140" s="6" t="str">
        <f t="shared" si="139"/>
        <v>alternating,</v>
      </c>
      <c r="O140" s="6" t="str">
        <f t="shared" si="139"/>
        <v>once,</v>
      </c>
      <c r="P140" s="6" t="str">
        <f t="shared" si="139"/>
        <v>experience,</v>
      </c>
      <c r="Q140" s="6" t="str">
        <f t="shared" si="139"/>
        <v>cross,</v>
      </c>
      <c r="R140" s="6" t="str">
        <f t="shared" si="139"/>
        <v>times,</v>
      </c>
    </row>
    <row r="141">
      <c r="A141" s="1" t="s">
        <v>1058</v>
      </c>
      <c r="B141" s="1" t="s">
        <v>627</v>
      </c>
      <c r="C141" s="1" t="s">
        <v>493</v>
      </c>
      <c r="D141" s="1" t="s">
        <v>485</v>
      </c>
      <c r="E141" s="1" t="s">
        <v>978</v>
      </c>
      <c r="F141" s="1" t="s">
        <v>908</v>
      </c>
      <c r="H141" s="1" t="s">
        <v>1060</v>
      </c>
      <c r="I141" s="1" t="s">
        <v>264</v>
      </c>
      <c r="J141" s="1" t="s">
        <v>809</v>
      </c>
      <c r="M141" s="6" t="str">
        <f t="shared" ref="M141:R141" si="140">CONCAT(A141,",")</f>
        <v>sincerity,</v>
      </c>
      <c r="N141" s="6" t="str">
        <f t="shared" si="140"/>
        <v>parody,</v>
      </c>
      <c r="O141" s="6" t="str">
        <f t="shared" si="140"/>
        <v>since,</v>
      </c>
      <c r="P141" s="6" t="str">
        <f t="shared" si="140"/>
        <v>together,</v>
      </c>
      <c r="Q141" s="6" t="str">
        <f t="shared" si="140"/>
        <v>lost,</v>
      </c>
      <c r="R141" s="6" t="str">
        <f t="shared" si="140"/>
        <v>having,</v>
      </c>
    </row>
    <row r="142">
      <c r="A142" s="1" t="s">
        <v>1066</v>
      </c>
      <c r="B142" s="1" t="s">
        <v>642</v>
      </c>
      <c r="C142" s="1" t="s">
        <v>1364</v>
      </c>
      <c r="D142" s="1" t="s">
        <v>488</v>
      </c>
      <c r="E142" s="1" t="s">
        <v>359</v>
      </c>
      <c r="F142" s="1" t="s">
        <v>96</v>
      </c>
      <c r="H142" s="1" t="s">
        <v>997</v>
      </c>
      <c r="I142" s="1" t="s">
        <v>314</v>
      </c>
      <c r="J142" s="1" t="s">
        <v>1423</v>
      </c>
      <c r="M142" s="6" t="str">
        <f t="shared" ref="M142:R142" si="141">CONCAT(A142,",")</f>
        <v>sensual,</v>
      </c>
      <c r="N142" s="6" t="str">
        <f t="shared" si="141"/>
        <v>android,</v>
      </c>
      <c r="O142" s="6" t="str">
        <f t="shared" si="141"/>
        <v>decent,</v>
      </c>
      <c r="P142" s="6" t="str">
        <f t="shared" si="141"/>
        <v>empathy,</v>
      </c>
      <c r="Q142" s="6" t="str">
        <f t="shared" si="141"/>
        <v>performance,</v>
      </c>
      <c r="R142" s="6" t="str">
        <f t="shared" si="141"/>
        <v>recycled,</v>
      </c>
    </row>
    <row r="143">
      <c r="A143" s="1" t="s">
        <v>714</v>
      </c>
      <c r="B143" s="1" t="s">
        <v>635</v>
      </c>
      <c r="C143" s="1" t="s">
        <v>1372</v>
      </c>
      <c r="D143" s="1" t="s">
        <v>158</v>
      </c>
      <c r="E143" s="1" t="s">
        <v>861</v>
      </c>
      <c r="F143" s="1" t="s">
        <v>779</v>
      </c>
      <c r="H143" s="1" t="s">
        <v>1072</v>
      </c>
      <c r="I143" s="1" t="s">
        <v>252</v>
      </c>
      <c r="J143" s="1" t="s">
        <v>591</v>
      </c>
      <c r="M143" s="6" t="str">
        <f t="shared" ref="M143:R143" si="142">CONCAT(A143,",")</f>
        <v>cerebral,</v>
      </c>
      <c r="N143" s="6" t="str">
        <f t="shared" si="142"/>
        <v>intriguing,</v>
      </c>
      <c r="O143" s="6" t="str">
        <f t="shared" si="142"/>
        <v>stock,</v>
      </c>
      <c r="P143" s="6" t="str">
        <f t="shared" si="142"/>
        <v>cruel,</v>
      </c>
      <c r="Q143" s="6" t="str">
        <f t="shared" si="142"/>
        <v>touch,</v>
      </c>
      <c r="R143" s="6" t="str">
        <f t="shared" si="142"/>
        <v>count,</v>
      </c>
    </row>
    <row r="144">
      <c r="A144" s="1" t="s">
        <v>1076</v>
      </c>
      <c r="B144" s="1" t="s">
        <v>1077</v>
      </c>
      <c r="C144" s="1" t="s">
        <v>694</v>
      </c>
      <c r="D144" s="1" t="s">
        <v>502</v>
      </c>
      <c r="E144" s="1" t="s">
        <v>355</v>
      </c>
      <c r="F144" s="1" t="s">
        <v>795</v>
      </c>
      <c r="H144" s="1" t="s">
        <v>1008</v>
      </c>
      <c r="I144" s="1" t="s">
        <v>6288</v>
      </c>
      <c r="J144" s="1" t="s">
        <v>596</v>
      </c>
      <c r="M144" s="6" t="str">
        <f t="shared" ref="M144:R144" si="143">CONCAT(A144,",")</f>
        <v>glued,</v>
      </c>
      <c r="N144" s="6" t="str">
        <f t="shared" si="143"/>
        <v>comic,</v>
      </c>
      <c r="O144" s="6" t="str">
        <f t="shared" si="143"/>
        <v>any,</v>
      </c>
      <c r="P144" s="6" t="str">
        <f t="shared" si="143"/>
        <v>deception,</v>
      </c>
      <c r="Q144" s="6" t="str">
        <f t="shared" si="143"/>
        <v>bringing,</v>
      </c>
      <c r="R144" s="6" t="str">
        <f t="shared" si="143"/>
        <v>care,</v>
      </c>
    </row>
    <row r="145">
      <c r="A145" s="1" t="s">
        <v>1083</v>
      </c>
      <c r="B145" s="1" t="s">
        <v>647</v>
      </c>
      <c r="C145" s="1" t="s">
        <v>1383</v>
      </c>
      <c r="D145" s="1" t="s">
        <v>1089</v>
      </c>
      <c r="E145" s="1" t="s">
        <v>593</v>
      </c>
      <c r="F145" s="1" t="s">
        <v>819</v>
      </c>
      <c r="H145" s="1" t="s">
        <v>1085</v>
      </c>
      <c r="I145" s="1" t="s">
        <v>258</v>
      </c>
      <c r="J145" s="1" t="s">
        <v>121</v>
      </c>
      <c r="M145" s="6" t="str">
        <f t="shared" ref="M145:R145" si="144">CONCAT(A145,",")</f>
        <v>reflective,</v>
      </c>
      <c r="N145" s="6" t="str">
        <f t="shared" si="144"/>
        <v>pulp,</v>
      </c>
      <c r="O145" s="6" t="str">
        <f t="shared" si="144"/>
        <v>noble,</v>
      </c>
      <c r="P145" s="6" t="str">
        <f t="shared" si="144"/>
        <v>sounds,</v>
      </c>
      <c r="Q145" s="6" t="str">
        <f t="shared" si="144"/>
        <v>us,</v>
      </c>
      <c r="R145" s="6" t="str">
        <f t="shared" si="144"/>
        <v>territory,</v>
      </c>
    </row>
    <row r="146">
      <c r="A146" s="1" t="s">
        <v>1090</v>
      </c>
      <c r="B146" s="1" t="s">
        <v>1091</v>
      </c>
      <c r="C146" s="1" t="s">
        <v>1282</v>
      </c>
      <c r="D146" s="1" t="s">
        <v>1097</v>
      </c>
      <c r="E146" s="1" t="s">
        <v>585</v>
      </c>
      <c r="F146" s="1" t="s">
        <v>813</v>
      </c>
      <c r="H146" s="1" t="s">
        <v>1015</v>
      </c>
      <c r="I146" s="1" t="s">
        <v>261</v>
      </c>
      <c r="J146" s="1" t="s">
        <v>605</v>
      </c>
      <c r="M146" s="6" t="str">
        <f t="shared" ref="M146:R146" si="145">CONCAT(A146,",")</f>
        <v>snaps,</v>
      </c>
      <c r="N146" s="6" t="str">
        <f t="shared" si="145"/>
        <v>difference,</v>
      </c>
      <c r="O146" s="6" t="str">
        <f t="shared" si="145"/>
        <v>somehow,</v>
      </c>
      <c r="P146" s="6" t="str">
        <f t="shared" si="145"/>
        <v>lack,</v>
      </c>
      <c r="Q146" s="6" t="str">
        <f t="shared" si="145"/>
        <v>ever,</v>
      </c>
      <c r="R146" s="6" t="str">
        <f t="shared" si="145"/>
        <v>covers,</v>
      </c>
    </row>
    <row r="147">
      <c r="A147" s="1" t="s">
        <v>1098</v>
      </c>
      <c r="B147" s="1" t="s">
        <v>223</v>
      </c>
      <c r="C147" s="1" t="s">
        <v>1414</v>
      </c>
      <c r="D147" s="1" t="s">
        <v>1102</v>
      </c>
      <c r="E147" s="1" t="s">
        <v>6293</v>
      </c>
      <c r="F147" s="1" t="s">
        <v>976</v>
      </c>
      <c r="H147" s="1" t="s">
        <v>293</v>
      </c>
      <c r="I147" s="1" t="s">
        <v>664</v>
      </c>
      <c r="J147" s="1" t="s">
        <v>609</v>
      </c>
      <c r="M147" s="6" t="str">
        <f t="shared" ref="M147:R147" si="146">CONCAT(A147,",")</f>
        <v>viewed,</v>
      </c>
      <c r="N147" s="6" t="str">
        <f t="shared" si="146"/>
        <v>artworks,</v>
      </c>
      <c r="O147" s="6" t="str">
        <f t="shared" si="146"/>
        <v>/,</v>
      </c>
      <c r="P147" s="6" t="str">
        <f t="shared" si="146"/>
        <v>carried,</v>
      </c>
      <c r="Q147" s="6" t="str">
        <f t="shared" si="146"/>
        <v>given,</v>
      </c>
      <c r="R147" s="6" t="str">
        <f t="shared" si="146"/>
        <v>game,</v>
      </c>
    </row>
    <row r="148">
      <c r="A148" s="1" t="s">
        <v>925</v>
      </c>
      <c r="B148" s="1" t="s">
        <v>1103</v>
      </c>
      <c r="C148" s="1" t="s">
        <v>1419</v>
      </c>
      <c r="D148" s="1" t="s">
        <v>554</v>
      </c>
      <c r="E148" s="1" t="s">
        <v>888</v>
      </c>
      <c r="F148" s="1" t="s">
        <v>339</v>
      </c>
      <c r="H148" s="1" t="s">
        <v>1104</v>
      </c>
      <c r="I148" s="1" t="s">
        <v>299</v>
      </c>
      <c r="J148" s="1" t="s">
        <v>1280</v>
      </c>
      <c r="M148" s="6" t="str">
        <f t="shared" ref="M148:R148" si="147">CONCAT(A148,",")</f>
        <v>credible,</v>
      </c>
      <c r="N148" s="6" t="str">
        <f t="shared" si="147"/>
        <v>does,</v>
      </c>
      <c r="O148" s="6" t="str">
        <f t="shared" si="147"/>
        <v>exact,</v>
      </c>
      <c r="P148" s="6" t="str">
        <f t="shared" si="147"/>
        <v>seem,</v>
      </c>
      <c r="Q148" s="6" t="str">
        <f t="shared" si="147"/>
        <v>beauty,</v>
      </c>
      <c r="R148" s="6" t="str">
        <f t="shared" si="147"/>
        <v>version,</v>
      </c>
    </row>
    <row r="149">
      <c r="A149" s="1" t="s">
        <v>1107</v>
      </c>
      <c r="B149" s="1" t="s">
        <v>1108</v>
      </c>
      <c r="C149" s="1" t="s">
        <v>1424</v>
      </c>
      <c r="D149" s="1" t="s">
        <v>1116</v>
      </c>
      <c r="E149" s="1" t="s">
        <v>1018</v>
      </c>
      <c r="F149" s="1" t="s">
        <v>833</v>
      </c>
      <c r="H149" s="1" t="s">
        <v>1110</v>
      </c>
      <c r="I149" s="1" t="s">
        <v>284</v>
      </c>
      <c r="J149" s="1" t="s">
        <v>1291</v>
      </c>
      <c r="M149" s="6" t="str">
        <f t="shared" ref="M149:R149" si="148">CONCAT(A149,",")</f>
        <v>combines,</v>
      </c>
      <c r="N149" s="6" t="str">
        <f t="shared" si="148"/>
        <v>commonplace,</v>
      </c>
      <c r="O149" s="6" t="str">
        <f t="shared" si="148"/>
        <v>packed,</v>
      </c>
      <c r="P149" s="6" t="str">
        <f t="shared" si="148"/>
        <v>history,</v>
      </c>
      <c r="Q149" s="6" t="str">
        <f t="shared" si="148"/>
        <v>bloody,</v>
      </c>
      <c r="R149" s="6" t="str">
        <f t="shared" si="148"/>
        <v>million,</v>
      </c>
    </row>
    <row r="150">
      <c r="A150" s="1" t="s">
        <v>940</v>
      </c>
      <c r="B150" s="1" t="s">
        <v>1117</v>
      </c>
      <c r="C150" s="1" t="s">
        <v>532</v>
      </c>
      <c r="D150" s="1" t="s">
        <v>166</v>
      </c>
      <c r="E150" s="1" t="s">
        <v>471</v>
      </c>
      <c r="F150" s="1" t="s">
        <v>839</v>
      </c>
      <c r="H150" s="1" t="s">
        <v>1119</v>
      </c>
      <c r="I150" s="1" t="s">
        <v>276</v>
      </c>
      <c r="J150" s="1" t="s">
        <v>613</v>
      </c>
      <c r="M150" s="6" t="str">
        <f t="shared" ref="M150:R150" si="149">CONCAT(A150,",")</f>
        <v>corpse,</v>
      </c>
      <c r="N150" s="6" t="str">
        <f t="shared" si="149"/>
        <v>explore,</v>
      </c>
      <c r="O150" s="6" t="str">
        <f t="shared" si="149"/>
        <v>half,</v>
      </c>
      <c r="P150" s="6" t="str">
        <f t="shared" si="149"/>
        <v>eastwood,</v>
      </c>
      <c r="Q150" s="6" t="str">
        <f t="shared" si="149"/>
        <v>many,</v>
      </c>
      <c r="R150" s="6" t="str">
        <f t="shared" si="149"/>
        <v>gorgeous,</v>
      </c>
    </row>
    <row r="151">
      <c r="A151" s="1" t="s">
        <v>1123</v>
      </c>
      <c r="B151" s="1" t="s">
        <v>1124</v>
      </c>
      <c r="C151" s="1" t="s">
        <v>1437</v>
      </c>
      <c r="D151" s="1" t="s">
        <v>193</v>
      </c>
      <c r="E151" s="1" t="s">
        <v>396</v>
      </c>
      <c r="F151" s="1" t="s">
        <v>141</v>
      </c>
      <c r="H151" s="1" t="s">
        <v>208</v>
      </c>
      <c r="I151" s="1" t="s">
        <v>348</v>
      </c>
      <c r="J151" s="1" t="s">
        <v>1120</v>
      </c>
      <c r="M151" s="6" t="str">
        <f t="shared" ref="M151:R151" si="150">CONCAT(A151,",")</f>
        <v>wins,</v>
      </c>
      <c r="N151" s="6" t="str">
        <f t="shared" si="150"/>
        <v>criminal,</v>
      </c>
      <c r="O151" s="6" t="str">
        <f t="shared" si="150"/>
        <v>ve,</v>
      </c>
      <c r="P151" s="6" t="str">
        <f t="shared" si="150"/>
        <v>earnest,</v>
      </c>
      <c r="Q151" s="6" t="str">
        <f t="shared" si="150"/>
        <v>situations,</v>
      </c>
      <c r="R151" s="6" t="str">
        <f t="shared" si="150"/>
        <v>swords,</v>
      </c>
    </row>
    <row r="152">
      <c r="A152" s="1" t="s">
        <v>1130</v>
      </c>
      <c r="B152" s="1" t="s">
        <v>1131</v>
      </c>
      <c r="C152" s="1" t="s">
        <v>1483</v>
      </c>
      <c r="D152" s="1" t="s">
        <v>907</v>
      </c>
      <c r="E152" s="1" t="s">
        <v>6239</v>
      </c>
      <c r="F152" s="1" t="s">
        <v>600</v>
      </c>
      <c r="H152" s="1" t="s">
        <v>369</v>
      </c>
      <c r="I152" s="1" t="s">
        <v>146</v>
      </c>
      <c r="J152" s="1" t="s">
        <v>624</v>
      </c>
      <c r="M152" s="6" t="str">
        <f t="shared" ref="M152:R152" si="151">CONCAT(A152,",")</f>
        <v>lifts,</v>
      </c>
      <c r="N152" s="6" t="str">
        <f t="shared" si="151"/>
        <v>directed,</v>
      </c>
      <c r="O152" s="6" t="str">
        <f t="shared" si="151"/>
        <v>peak,</v>
      </c>
      <c r="P152" s="6" t="str">
        <f t="shared" si="151"/>
        <v>homage,</v>
      </c>
      <c r="Q152" s="6" t="str">
        <f t="shared" si="151"/>
        <v>poor,</v>
      </c>
      <c r="R152" s="6" t="str">
        <f t="shared" si="151"/>
        <v>them,</v>
      </c>
    </row>
    <row r="153">
      <c r="A153" s="1" t="s">
        <v>1136</v>
      </c>
      <c r="B153" s="1" t="s">
        <v>663</v>
      </c>
      <c r="C153" s="1" t="s">
        <v>548</v>
      </c>
      <c r="D153" s="1" t="s">
        <v>528</v>
      </c>
      <c r="E153" s="1" t="s">
        <v>1044</v>
      </c>
      <c r="F153" s="1" t="s">
        <v>105</v>
      </c>
      <c r="H153" s="1" t="s">
        <v>1065</v>
      </c>
      <c r="I153" s="1" t="s">
        <v>33</v>
      </c>
      <c r="J153" s="1" t="s">
        <v>627</v>
      </c>
      <c r="M153" s="6" t="str">
        <f t="shared" ref="M153:R153" si="152">CONCAT(A153,",")</f>
        <v>shorter,</v>
      </c>
      <c r="N153" s="6" t="str">
        <f t="shared" si="152"/>
        <v>washington,</v>
      </c>
      <c r="O153" s="6" t="str">
        <f t="shared" si="152"/>
        <v>south,</v>
      </c>
      <c r="P153" s="6" t="str">
        <f t="shared" si="152"/>
        <v>few,</v>
      </c>
      <c r="Q153" s="6" t="str">
        <f t="shared" si="152"/>
        <v>ben,</v>
      </c>
      <c r="R153" s="6" t="str">
        <f t="shared" si="152"/>
        <v>proves,</v>
      </c>
    </row>
    <row r="154">
      <c r="A154" s="1" t="s">
        <v>1142</v>
      </c>
      <c r="B154" s="1" t="s">
        <v>1143</v>
      </c>
      <c r="C154" s="1" t="s">
        <v>556</v>
      </c>
      <c r="D154" s="1" t="s">
        <v>915</v>
      </c>
      <c r="E154" s="1" t="s">
        <v>6294</v>
      </c>
      <c r="F154" s="1" t="s">
        <v>359</v>
      </c>
      <c r="H154" s="1" t="s">
        <v>1145</v>
      </c>
      <c r="I154" s="1" t="s">
        <v>3400</v>
      </c>
      <c r="J154" s="1" t="s">
        <v>635</v>
      </c>
      <c r="M154" s="6" t="str">
        <f t="shared" ref="M154:R154" si="153">CONCAT(A154,",")</f>
        <v>refuses,</v>
      </c>
      <c r="N154" s="6" t="str">
        <f t="shared" si="153"/>
        <v>certainly,</v>
      </c>
      <c r="O154" s="6" t="str">
        <f t="shared" si="153"/>
        <v>want,</v>
      </c>
      <c r="P154" s="6" t="str">
        <f t="shared" si="153"/>
        <v>laughs,</v>
      </c>
      <c r="Q154" s="6" t="str">
        <f t="shared" si="153"/>
        <v>driving,</v>
      </c>
      <c r="R154" s="6" t="str">
        <f t="shared" si="153"/>
        <v>performance,</v>
      </c>
    </row>
    <row r="155">
      <c r="A155" s="1" t="s">
        <v>1148</v>
      </c>
      <c r="B155" s="1" t="s">
        <v>172</v>
      </c>
      <c r="C155" s="1" t="s">
        <v>1498</v>
      </c>
      <c r="D155" s="1" t="s">
        <v>537</v>
      </c>
      <c r="E155" s="1" t="s">
        <v>3571</v>
      </c>
      <c r="F155" s="1" t="s">
        <v>657</v>
      </c>
      <c r="H155" s="1" t="s">
        <v>1149</v>
      </c>
      <c r="I155" s="1" t="s">
        <v>683</v>
      </c>
      <c r="J155" s="1" t="s">
        <v>1077</v>
      </c>
      <c r="M155" s="6" t="str">
        <f t="shared" ref="M155:R155" si="154">CONCAT(A155,",")</f>
        <v>elaborate,</v>
      </c>
      <c r="N155" s="6" t="str">
        <f t="shared" si="154"/>
        <v>long,</v>
      </c>
      <c r="O155" s="6" t="str">
        <f t="shared" si="154"/>
        <v>inside,</v>
      </c>
      <c r="P155" s="6" t="str">
        <f t="shared" si="154"/>
        <v>power,</v>
      </c>
      <c r="Q155" s="6" t="str">
        <f t="shared" si="154"/>
        <v>directions,</v>
      </c>
      <c r="R155" s="6" t="str">
        <f t="shared" si="154"/>
        <v>off,</v>
      </c>
    </row>
    <row r="156">
      <c r="A156" s="1" t="s">
        <v>956</v>
      </c>
      <c r="B156" s="1" t="s">
        <v>688</v>
      </c>
      <c r="C156" s="1" t="s">
        <v>319</v>
      </c>
      <c r="D156" s="1" t="s">
        <v>926</v>
      </c>
      <c r="E156" s="1" t="s">
        <v>407</v>
      </c>
      <c r="F156" s="1" t="s">
        <v>6295</v>
      </c>
      <c r="H156" s="1" t="s">
        <v>1156</v>
      </c>
      <c r="I156" s="1" t="s">
        <v>544</v>
      </c>
      <c r="J156" s="1" t="s">
        <v>645</v>
      </c>
      <c r="M156" s="6" t="str">
        <f t="shared" ref="M156:R156" si="155">CONCAT(A156,",")</f>
        <v>bravery,</v>
      </c>
      <c r="N156" s="6" t="str">
        <f t="shared" si="155"/>
        <v>images,</v>
      </c>
      <c r="O156" s="6" t="str">
        <f t="shared" si="155"/>
        <v>where,</v>
      </c>
      <c r="P156" s="6" t="str">
        <f t="shared" si="155"/>
        <v>endure,</v>
      </c>
      <c r="Q156" s="6" t="str">
        <f t="shared" si="155"/>
        <v>room,</v>
      </c>
      <c r="R156" s="6" t="str">
        <f t="shared" si="155"/>
        <v>he,</v>
      </c>
    </row>
    <row r="157">
      <c r="A157" s="1" t="s">
        <v>1159</v>
      </c>
      <c r="B157" s="1" t="s">
        <v>684</v>
      </c>
      <c r="C157" s="1" t="s">
        <v>1512</v>
      </c>
      <c r="D157" s="1" t="s">
        <v>810</v>
      </c>
      <c r="E157" s="1" t="s">
        <v>133</v>
      </c>
      <c r="F157" s="1" t="s">
        <v>978</v>
      </c>
      <c r="H157" s="1" t="s">
        <v>1161</v>
      </c>
      <c r="I157" s="1" t="s">
        <v>700</v>
      </c>
      <c r="J157" s="1" t="s">
        <v>1103</v>
      </c>
      <c r="M157" s="6" t="str">
        <f t="shared" ref="M157:R157" si="156">CONCAT(A157,",")</f>
        <v>spontaneous,</v>
      </c>
      <c r="N157" s="6" t="str">
        <f t="shared" si="156"/>
        <v>eyes,</v>
      </c>
      <c r="O157" s="6" t="str">
        <f t="shared" si="156"/>
        <v>popularity,</v>
      </c>
      <c r="P157" s="6" t="str">
        <f t="shared" si="156"/>
        <v>help,</v>
      </c>
      <c r="Q157" s="6" t="str">
        <f t="shared" si="156"/>
        <v>touching,</v>
      </c>
      <c r="R157" s="6" t="str">
        <f t="shared" si="156"/>
        <v>lost,</v>
      </c>
    </row>
    <row r="158">
      <c r="A158" s="1" t="s">
        <v>1165</v>
      </c>
      <c r="B158" s="1" t="s">
        <v>681</v>
      </c>
      <c r="C158" s="1" t="s">
        <v>1519</v>
      </c>
      <c r="D158" s="1" t="s">
        <v>1171</v>
      </c>
      <c r="E158" s="1" t="s">
        <v>933</v>
      </c>
      <c r="F158" s="1" t="s">
        <v>355</v>
      </c>
      <c r="H158" s="1" t="s">
        <v>1075</v>
      </c>
      <c r="I158" s="1" t="s">
        <v>5731</v>
      </c>
      <c r="J158" s="1" t="s">
        <v>659</v>
      </c>
      <c r="M158" s="6" t="str">
        <f t="shared" ref="M158:R158" si="157">CONCAT(A158,",")</f>
        <v>quietly,</v>
      </c>
      <c r="N158" s="6" t="str">
        <f t="shared" si="157"/>
        <v>tear,</v>
      </c>
      <c r="O158" s="6" t="str">
        <f t="shared" si="157"/>
        <v>chicken,</v>
      </c>
      <c r="P158" s="6" t="str">
        <f t="shared" si="157"/>
        <v>horror,</v>
      </c>
      <c r="Q158" s="6" t="str">
        <f t="shared" si="157"/>
        <v>starts,</v>
      </c>
      <c r="R158" s="6" t="str">
        <f t="shared" si="157"/>
        <v>bringing,</v>
      </c>
    </row>
    <row r="159">
      <c r="A159" s="1" t="s">
        <v>1172</v>
      </c>
      <c r="B159" s="1" t="s">
        <v>159</v>
      </c>
      <c r="C159" s="1" t="s">
        <v>572</v>
      </c>
      <c r="D159" s="1" t="s">
        <v>111</v>
      </c>
      <c r="E159" s="1" t="s">
        <v>739</v>
      </c>
      <c r="F159" s="1" t="s">
        <v>861</v>
      </c>
      <c r="H159" s="1" t="s">
        <v>1174</v>
      </c>
      <c r="I159" s="1" t="s">
        <v>3020</v>
      </c>
      <c r="J159" s="1" t="s">
        <v>175</v>
      </c>
      <c r="M159" s="6" t="str">
        <f t="shared" ref="M159:R159" si="158">CONCAT(A159,",")</f>
        <v>portrays,</v>
      </c>
      <c r="N159" s="6" t="str">
        <f t="shared" si="158"/>
        <v>cinematic,</v>
      </c>
      <c r="O159" s="6" t="str">
        <f t="shared" si="158"/>
        <v>river,</v>
      </c>
      <c r="P159" s="6" t="str">
        <f t="shared" si="158"/>
        <v>generates,</v>
      </c>
      <c r="Q159" s="6" t="str">
        <f t="shared" si="158"/>
        <v>legend,</v>
      </c>
      <c r="R159" s="6" t="str">
        <f t="shared" si="158"/>
        <v>touch,</v>
      </c>
    </row>
    <row r="160">
      <c r="A160" s="1" t="s">
        <v>1178</v>
      </c>
      <c r="B160" s="1" t="s">
        <v>1179</v>
      </c>
      <c r="C160" s="1" t="s">
        <v>1533</v>
      </c>
      <c r="D160" s="1" t="s">
        <v>542</v>
      </c>
      <c r="E160" s="1" t="s">
        <v>748</v>
      </c>
      <c r="F160" s="1" t="s">
        <v>370</v>
      </c>
      <c r="H160" s="1" t="s">
        <v>1088</v>
      </c>
      <c r="I160" s="1" t="s">
        <v>4281</v>
      </c>
      <c r="J160" s="1" t="s">
        <v>2307</v>
      </c>
      <c r="M160" s="6" t="str">
        <f t="shared" ref="M160:R160" si="159">CONCAT(A160,",")</f>
        <v>profound,</v>
      </c>
      <c r="N160" s="6" t="str">
        <f t="shared" si="159"/>
        <v>addition,</v>
      </c>
      <c r="O160" s="6" t="str">
        <f t="shared" si="159"/>
        <v>practice,</v>
      </c>
      <c r="P160" s="6" t="str">
        <f t="shared" si="159"/>
        <v>life,</v>
      </c>
      <c r="Q160" s="6" t="str">
        <f t="shared" si="159"/>
        <v>less,</v>
      </c>
      <c r="R160" s="6" t="str">
        <f t="shared" si="159"/>
        <v>once,</v>
      </c>
    </row>
    <row r="161">
      <c r="A161" s="1" t="s">
        <v>1185</v>
      </c>
      <c r="B161" s="1" t="s">
        <v>1186</v>
      </c>
      <c r="C161" s="1" t="s">
        <v>578</v>
      </c>
      <c r="D161" s="1" t="s">
        <v>165</v>
      </c>
      <c r="E161" s="1" t="s">
        <v>767</v>
      </c>
      <c r="F161" s="1" t="s">
        <v>229</v>
      </c>
      <c r="H161" s="1" t="s">
        <v>1188</v>
      </c>
      <c r="I161" s="1" t="s">
        <v>122</v>
      </c>
      <c r="J161" s="1" t="s">
        <v>663</v>
      </c>
      <c r="M161" s="6" t="str">
        <f t="shared" ref="M161:R161" si="160">CONCAT(A161,",")</f>
        <v>dubious,</v>
      </c>
      <c r="N161" s="6" t="str">
        <f t="shared" si="160"/>
        <v>titles,</v>
      </c>
      <c r="O161" s="6" t="str">
        <f t="shared" si="160"/>
        <v>knew,</v>
      </c>
      <c r="P161" s="6" t="str">
        <f t="shared" si="160"/>
        <v>historically,</v>
      </c>
      <c r="Q161" s="6" t="str">
        <f t="shared" si="160"/>
        <v>rich,</v>
      </c>
      <c r="R161" s="6" t="str">
        <f t="shared" si="160"/>
        <v>has,</v>
      </c>
    </row>
    <row r="162">
      <c r="A162" s="1" t="s">
        <v>304</v>
      </c>
      <c r="B162" s="1" t="s">
        <v>1192</v>
      </c>
      <c r="C162" s="1" t="s">
        <v>1548</v>
      </c>
      <c r="D162" s="1" t="s">
        <v>545</v>
      </c>
      <c r="E162" s="1" t="s">
        <v>6296</v>
      </c>
      <c r="F162" s="1" t="s">
        <v>377</v>
      </c>
      <c r="H162" s="1" t="s">
        <v>884</v>
      </c>
      <c r="I162" s="1" t="s">
        <v>310</v>
      </c>
      <c r="J162" s="1" t="s">
        <v>1131</v>
      </c>
      <c r="M162" s="6" t="str">
        <f t="shared" ref="M162:R162" si="161">CONCAT(A162,",")</f>
        <v>hampered,</v>
      </c>
      <c r="N162" s="6" t="str">
        <f t="shared" si="161"/>
        <v>generally,</v>
      </c>
      <c r="O162" s="6" t="str">
        <f t="shared" si="161"/>
        <v>meal,</v>
      </c>
      <c r="P162" s="6" t="str">
        <f t="shared" si="161"/>
        <v>significant,</v>
      </c>
      <c r="Q162" s="6" t="str">
        <f t="shared" si="161"/>
        <v>stuff,</v>
      </c>
      <c r="R162" s="6" t="str">
        <f t="shared" si="161"/>
        <v>again,</v>
      </c>
    </row>
    <row r="163">
      <c r="A163" s="1" t="s">
        <v>1196</v>
      </c>
      <c r="B163" s="1" t="s">
        <v>1197</v>
      </c>
      <c r="C163" s="1" t="s">
        <v>1560</v>
      </c>
      <c r="D163" s="1" t="b">
        <v>1</v>
      </c>
      <c r="E163" s="1" t="s">
        <v>425</v>
      </c>
      <c r="F163" s="1" t="s">
        <v>865</v>
      </c>
      <c r="H163" s="1" t="s">
        <v>1198</v>
      </c>
      <c r="I163" s="1" t="s">
        <v>516</v>
      </c>
      <c r="J163" s="1" t="s">
        <v>673</v>
      </c>
      <c r="M163" s="6" t="str">
        <f t="shared" ref="M163:R163" si="162">CONCAT(A163,",")</f>
        <v>niche,</v>
      </c>
      <c r="N163" s="6" t="str">
        <f t="shared" si="162"/>
        <v>down,</v>
      </c>
      <c r="O163" s="6" t="str">
        <f t="shared" si="162"/>
        <v>bore,</v>
      </c>
      <c r="P163" s="6" t="str">
        <f t="shared" si="162"/>
        <v>TRUE,</v>
      </c>
      <c r="Q163" s="6" t="str">
        <f t="shared" si="162"/>
        <v>veins,</v>
      </c>
      <c r="R163" s="6" t="str">
        <f t="shared" si="162"/>
        <v>superb,</v>
      </c>
    </row>
    <row r="164">
      <c r="A164" s="1" t="s">
        <v>1202</v>
      </c>
      <c r="B164" s="1" t="s">
        <v>1203</v>
      </c>
      <c r="C164" s="1" t="s">
        <v>1565</v>
      </c>
      <c r="D164" s="1" t="s">
        <v>558</v>
      </c>
      <c r="E164" s="1" t="s">
        <v>782</v>
      </c>
      <c r="F164" s="1" t="s">
        <v>150</v>
      </c>
      <c r="H164" s="1" t="s">
        <v>1204</v>
      </c>
      <c r="I164" s="1" t="s">
        <v>598</v>
      </c>
      <c r="J164" s="1" t="s">
        <v>677</v>
      </c>
      <c r="M164" s="6" t="str">
        <f t="shared" ref="M164:R164" si="163">CONCAT(A164,",")</f>
        <v>slack,</v>
      </c>
      <c r="N164" s="6" t="str">
        <f t="shared" si="163"/>
        <v>mystery,</v>
      </c>
      <c r="O164" s="6" t="str">
        <f t="shared" si="163"/>
        <v>asian,</v>
      </c>
      <c r="P164" s="6" t="str">
        <f t="shared" si="163"/>
        <v>tribute,</v>
      </c>
      <c r="Q164" s="6" t="str">
        <f t="shared" si="163"/>
        <v>joy,</v>
      </c>
      <c r="R164" s="6" t="str">
        <f t="shared" si="163"/>
        <v>horrors,</v>
      </c>
    </row>
    <row r="165">
      <c r="A165" s="1" t="s">
        <v>1208</v>
      </c>
      <c r="B165" s="1">
        <v>3000.0</v>
      </c>
      <c r="C165" s="1" t="s">
        <v>593</v>
      </c>
      <c r="D165" s="1" t="s">
        <v>373</v>
      </c>
      <c r="E165" s="1" t="s">
        <v>775</v>
      </c>
      <c r="F165" s="1" t="s">
        <v>95</v>
      </c>
      <c r="H165" s="1" t="s">
        <v>1209</v>
      </c>
      <c r="I165" s="1" t="s">
        <v>321</v>
      </c>
      <c r="J165" s="1" t="s">
        <v>172</v>
      </c>
      <c r="M165" s="6" t="str">
        <f t="shared" ref="M165:R165" si="164">CONCAT(A165,",")</f>
        <v>vital,</v>
      </c>
      <c r="N165" s="6" t="str">
        <f t="shared" si="164"/>
        <v>3000,</v>
      </c>
      <c r="O165" s="6" t="str">
        <f t="shared" si="164"/>
        <v>us,</v>
      </c>
      <c r="P165" s="6" t="str">
        <f t="shared" si="164"/>
        <v>first,</v>
      </c>
      <c r="Q165" s="6" t="str">
        <f t="shared" si="164"/>
        <v>apparent,</v>
      </c>
      <c r="R165" s="6" t="str">
        <f t="shared" si="164"/>
        <v>vivid,</v>
      </c>
    </row>
    <row r="166">
      <c r="A166" s="1" t="s">
        <v>1212</v>
      </c>
      <c r="B166" s="1" t="s">
        <v>1213</v>
      </c>
      <c r="C166" s="1" t="s">
        <v>1576</v>
      </c>
      <c r="D166" s="1" t="s">
        <v>324</v>
      </c>
      <c r="E166" s="1" t="s">
        <v>797</v>
      </c>
      <c r="F166" s="1" t="s">
        <v>694</v>
      </c>
      <c r="H166" s="1" t="s">
        <v>1214</v>
      </c>
      <c r="I166" s="1" t="s">
        <v>305</v>
      </c>
      <c r="J166" s="1" t="s">
        <v>688</v>
      </c>
      <c r="M166" s="6" t="str">
        <f t="shared" ref="M166:R166" si="165">CONCAT(A166,",")</f>
        <v>sweetly,</v>
      </c>
      <c r="N166" s="6" t="str">
        <f t="shared" si="165"/>
        <v>own,</v>
      </c>
      <c r="O166" s="6" t="str">
        <f t="shared" si="165"/>
        <v>stars,</v>
      </c>
      <c r="P166" s="6" t="str">
        <f t="shared" si="165"/>
        <v>two,</v>
      </c>
      <c r="Q166" s="6" t="str">
        <f t="shared" si="165"/>
        <v>video,</v>
      </c>
      <c r="R166" s="6" t="str">
        <f t="shared" si="165"/>
        <v>any,</v>
      </c>
    </row>
    <row r="167">
      <c r="A167" s="1" t="s">
        <v>597</v>
      </c>
      <c r="B167" s="1" t="s">
        <v>1220</v>
      </c>
      <c r="C167" s="1" t="s">
        <v>260</v>
      </c>
      <c r="D167" s="1" t="s">
        <v>996</v>
      </c>
      <c r="E167" s="1" t="s">
        <v>967</v>
      </c>
      <c r="F167" s="1" t="s">
        <v>593</v>
      </c>
      <c r="H167" s="1" t="s">
        <v>1221</v>
      </c>
      <c r="I167" s="1" t="s">
        <v>3661</v>
      </c>
      <c r="J167" s="1" t="s">
        <v>159</v>
      </c>
      <c r="M167" s="6" t="str">
        <f t="shared" ref="M167:R167" si="166">CONCAT(A167,",")</f>
        <v>infectious,</v>
      </c>
      <c r="N167" s="6" t="str">
        <f t="shared" si="166"/>
        <v>em,</v>
      </c>
      <c r="O167" s="6" t="str">
        <f t="shared" si="166"/>
        <v>thought,</v>
      </c>
      <c r="P167" s="6" t="str">
        <f t="shared" si="166"/>
        <v>enough,</v>
      </c>
      <c r="Q167" s="6" t="str">
        <f t="shared" si="166"/>
        <v>shot,</v>
      </c>
      <c r="R167" s="6" t="str">
        <f t="shared" si="166"/>
        <v>us,</v>
      </c>
    </row>
    <row r="168">
      <c r="A168" s="1" t="s">
        <v>1225</v>
      </c>
      <c r="B168" s="1" t="s">
        <v>108</v>
      </c>
      <c r="C168" s="1" t="s">
        <v>1585</v>
      </c>
      <c r="D168" s="1" t="s">
        <v>1230</v>
      </c>
      <c r="E168" s="1" t="s">
        <v>5464</v>
      </c>
      <c r="F168" s="1" t="s">
        <v>888</v>
      </c>
      <c r="H168" s="1" t="s">
        <v>1226</v>
      </c>
      <c r="I168" s="1" t="s">
        <v>764</v>
      </c>
      <c r="J168" s="1" t="s">
        <v>1197</v>
      </c>
      <c r="M168" s="6" t="str">
        <f t="shared" ref="M168:R168" si="167">CONCAT(A168,",")</f>
        <v>conspicuous,</v>
      </c>
      <c r="N168" s="6" t="str">
        <f t="shared" si="167"/>
        <v>other,</v>
      </c>
      <c r="O168" s="6" t="str">
        <f t="shared" si="167"/>
        <v>rice,</v>
      </c>
      <c r="P168" s="6" t="str">
        <f t="shared" si="167"/>
        <v>throw,</v>
      </c>
      <c r="Q168" s="6" t="str">
        <f t="shared" si="167"/>
        <v>digital,</v>
      </c>
      <c r="R168" s="6" t="str">
        <f t="shared" si="167"/>
        <v>beauty,</v>
      </c>
    </row>
    <row r="169">
      <c r="A169" s="1" t="s">
        <v>1231</v>
      </c>
      <c r="B169" s="1" t="s">
        <v>1232</v>
      </c>
      <c r="C169" s="1" t="s">
        <v>400</v>
      </c>
      <c r="D169" s="1" t="s">
        <v>1235</v>
      </c>
      <c r="E169" s="1" t="s">
        <v>789</v>
      </c>
      <c r="F169" s="1" t="s">
        <v>1018</v>
      </c>
      <c r="H169" s="1" t="s">
        <v>116</v>
      </c>
      <c r="I169" s="1" t="s">
        <v>6290</v>
      </c>
      <c r="J169" s="1" t="s">
        <v>4893</v>
      </c>
      <c r="M169" s="6" t="str">
        <f t="shared" ref="M169:R169" si="168">CONCAT(A169,",")</f>
        <v>thud,</v>
      </c>
      <c r="N169" s="6" t="str">
        <f t="shared" si="168"/>
        <v>concert,</v>
      </c>
      <c r="O169" s="6" t="str">
        <f t="shared" si="168"/>
        <v>by,</v>
      </c>
      <c r="P169" s="6" t="str">
        <f t="shared" si="168"/>
        <v>spark,</v>
      </c>
      <c r="Q169" s="6" t="str">
        <f t="shared" si="168"/>
        <v>ugly,</v>
      </c>
      <c r="R169" s="6" t="str">
        <f t="shared" si="168"/>
        <v>bloody,</v>
      </c>
    </row>
    <row r="170">
      <c r="A170" s="1" t="s">
        <v>1236</v>
      </c>
      <c r="B170" s="1" t="s">
        <v>1237</v>
      </c>
      <c r="C170" s="1" t="s">
        <v>646</v>
      </c>
      <c r="D170" s="1" t="s">
        <v>591</v>
      </c>
      <c r="E170" s="1" t="s">
        <v>991</v>
      </c>
      <c r="F170" s="1" t="s">
        <v>471</v>
      </c>
      <c r="H170" s="1" t="s">
        <v>1238</v>
      </c>
      <c r="I170" s="1" t="s">
        <v>312</v>
      </c>
      <c r="J170" s="1" t="s">
        <v>724</v>
      </c>
      <c r="M170" s="6" t="str">
        <f t="shared" ref="M170:R170" si="169">CONCAT(A170,",")</f>
        <v>represents,</v>
      </c>
      <c r="N170" s="6" t="str">
        <f t="shared" si="169"/>
        <v>authority,</v>
      </c>
      <c r="O170" s="6" t="str">
        <f t="shared" si="169"/>
        <v>look,</v>
      </c>
      <c r="P170" s="6" t="str">
        <f t="shared" si="169"/>
        <v>robert,</v>
      </c>
      <c r="Q170" s="6" t="str">
        <f t="shared" si="169"/>
        <v>core,</v>
      </c>
      <c r="R170" s="6" t="str">
        <f t="shared" si="169"/>
        <v>many,</v>
      </c>
    </row>
    <row r="171">
      <c r="A171" s="1" t="s">
        <v>981</v>
      </c>
      <c r="B171" s="1" t="s">
        <v>186</v>
      </c>
      <c r="C171" s="1" t="s">
        <v>528</v>
      </c>
      <c r="D171" s="1" t="s">
        <v>121</v>
      </c>
      <c r="E171" s="1" t="s">
        <v>1144</v>
      </c>
      <c r="F171" s="1" t="s">
        <v>708</v>
      </c>
      <c r="H171" s="1" t="s">
        <v>945</v>
      </c>
      <c r="I171" s="1" t="s">
        <v>669</v>
      </c>
      <c r="J171" s="1" t="s">
        <v>1203</v>
      </c>
      <c r="M171" s="6" t="str">
        <f t="shared" ref="M171:R171" si="170">CONCAT(A171,",")</f>
        <v>exploitation,</v>
      </c>
      <c r="N171" s="6" t="str">
        <f t="shared" si="170"/>
        <v>fluid,</v>
      </c>
      <c r="O171" s="6" t="str">
        <f t="shared" si="170"/>
        <v>few,</v>
      </c>
      <c r="P171" s="6" t="str">
        <f t="shared" si="170"/>
        <v>extremes,</v>
      </c>
      <c r="Q171" s="6" t="str">
        <f t="shared" si="170"/>
        <v>ending,</v>
      </c>
      <c r="R171" s="6" t="str">
        <f t="shared" si="170"/>
        <v>beautifully,</v>
      </c>
    </row>
    <row r="172">
      <c r="A172" s="1" t="s">
        <v>203</v>
      </c>
      <c r="B172" s="1" t="s">
        <v>514</v>
      </c>
      <c r="C172" s="1" t="s">
        <v>1631</v>
      </c>
      <c r="D172" s="1" t="s">
        <v>215</v>
      </c>
      <c r="E172" s="1" t="s">
        <v>163</v>
      </c>
      <c r="F172" s="1" t="s">
        <v>6239</v>
      </c>
      <c r="H172" s="1" t="s">
        <v>1248</v>
      </c>
      <c r="I172" s="1" t="s">
        <v>6291</v>
      </c>
      <c r="J172" s="1" t="s">
        <v>1232</v>
      </c>
      <c r="M172" s="6" t="str">
        <f t="shared" ref="M172:R172" si="171">CONCAT(A172,",")</f>
        <v>triumph,</v>
      </c>
      <c r="N172" s="6" t="str">
        <f t="shared" si="171"/>
        <v>had,</v>
      </c>
      <c r="O172" s="6" t="str">
        <f t="shared" si="171"/>
        <v>table,</v>
      </c>
      <c r="P172" s="6" t="str">
        <f t="shared" si="171"/>
        <v>continuum,</v>
      </c>
      <c r="Q172" s="6" t="str">
        <f t="shared" si="171"/>
        <v>exploration,</v>
      </c>
      <c r="R172" s="6" t="str">
        <f t="shared" si="171"/>
        <v>poor,</v>
      </c>
    </row>
    <row r="173">
      <c r="A173" s="1" t="s">
        <v>1254</v>
      </c>
      <c r="B173" s="1" t="s">
        <v>131</v>
      </c>
      <c r="C173" s="1" t="s">
        <v>1637</v>
      </c>
      <c r="D173" s="1" t="s">
        <v>596</v>
      </c>
      <c r="E173" s="1" t="s">
        <v>565</v>
      </c>
      <c r="F173" s="1" t="s">
        <v>2146</v>
      </c>
      <c r="H173" s="1" t="s">
        <v>1256</v>
      </c>
      <c r="I173" s="1" t="s">
        <v>6297</v>
      </c>
      <c r="J173" s="1" t="s">
        <v>6298</v>
      </c>
      <c r="M173" s="6" t="str">
        <f t="shared" ref="M173:R173" si="172">CONCAT(A173,",")</f>
        <v>spends,</v>
      </c>
      <c r="N173" s="6" t="str">
        <f t="shared" si="172"/>
        <v>storytelling,</v>
      </c>
      <c r="O173" s="6" t="str">
        <f t="shared" si="172"/>
        <v>desire,</v>
      </c>
      <c r="P173" s="6" t="str">
        <f t="shared" si="172"/>
        <v>intensity,</v>
      </c>
      <c r="Q173" s="6" t="str">
        <f t="shared" si="172"/>
        <v>though,</v>
      </c>
      <c r="R173" s="6" t="str">
        <f t="shared" si="172"/>
        <v>him,</v>
      </c>
    </row>
    <row r="174">
      <c r="A174" s="1" t="s">
        <v>1261</v>
      </c>
      <c r="B174" s="1" t="s">
        <v>140</v>
      </c>
      <c r="C174" s="1" t="s">
        <v>1385</v>
      </c>
      <c r="D174" s="1" t="s">
        <v>605</v>
      </c>
      <c r="E174" s="1" t="s">
        <v>1003</v>
      </c>
      <c r="F174" s="1" t="s">
        <v>6294</v>
      </c>
      <c r="H174" s="1" t="s">
        <v>1263</v>
      </c>
      <c r="I174" s="1" t="s">
        <v>189</v>
      </c>
      <c r="J174" s="1" t="s">
        <v>1237</v>
      </c>
      <c r="M174" s="6" t="str">
        <f t="shared" ref="M174:R174" si="173">CONCAT(A174,",")</f>
        <v>breakthrough,</v>
      </c>
      <c r="N174" s="6" t="str">
        <f t="shared" si="173"/>
        <v>casts,</v>
      </c>
      <c r="O174" s="6" t="str">
        <f t="shared" si="173"/>
        <v>yet,</v>
      </c>
      <c r="P174" s="6" t="str">
        <f t="shared" si="173"/>
        <v>manages,</v>
      </c>
      <c r="Q174" s="6" t="str">
        <f t="shared" si="173"/>
        <v>hold,</v>
      </c>
      <c r="R174" s="6" t="str">
        <f t="shared" si="173"/>
        <v>driving,</v>
      </c>
    </row>
    <row r="175">
      <c r="A175" s="1" t="s">
        <v>1267</v>
      </c>
      <c r="B175" s="1" t="s">
        <v>769</v>
      </c>
      <c r="C175" s="1" t="s">
        <v>266</v>
      </c>
      <c r="D175" s="1" t="s">
        <v>609</v>
      </c>
      <c r="E175" s="1" t="s">
        <v>1009</v>
      </c>
      <c r="F175" s="1" t="s">
        <v>412</v>
      </c>
      <c r="H175" s="1" t="s">
        <v>196</v>
      </c>
      <c r="I175" s="1" t="s">
        <v>357</v>
      </c>
      <c r="J175" s="1" t="s">
        <v>186</v>
      </c>
      <c r="M175" s="6" t="str">
        <f t="shared" ref="M175:R175" si="174">CONCAT(A175,",")</f>
        <v>unmistakable,</v>
      </c>
      <c r="N175" s="6" t="str">
        <f t="shared" si="174"/>
        <v>uses,</v>
      </c>
      <c r="O175" s="6" t="str">
        <f t="shared" si="174"/>
        <v>out,</v>
      </c>
      <c r="P175" s="6" t="str">
        <f t="shared" si="174"/>
        <v>flair,</v>
      </c>
      <c r="Q175" s="6" t="str">
        <f t="shared" si="174"/>
        <v>ford,</v>
      </c>
      <c r="R175" s="6" t="str">
        <f t="shared" si="174"/>
        <v>subtle,</v>
      </c>
    </row>
    <row r="176">
      <c r="A176" s="1" t="s">
        <v>1273</v>
      </c>
      <c r="B176" s="1" t="s">
        <v>720</v>
      </c>
      <c r="C176" s="1" t="s">
        <v>1671</v>
      </c>
      <c r="D176" s="1" t="s">
        <v>1280</v>
      </c>
      <c r="E176" s="1" t="s">
        <v>776</v>
      </c>
      <c r="F176" s="1" t="s">
        <v>133</v>
      </c>
      <c r="H176" s="1" t="s">
        <v>1275</v>
      </c>
      <c r="I176" s="1" t="s">
        <v>955</v>
      </c>
      <c r="J176" s="1" t="s">
        <v>670</v>
      </c>
      <c r="M176" s="6" t="str">
        <f t="shared" ref="M176:R176" si="175">CONCAT(A176,",")</f>
        <v>capture,</v>
      </c>
      <c r="N176" s="6" t="str">
        <f t="shared" si="175"/>
        <v>pleasures,</v>
      </c>
      <c r="O176" s="6" t="str">
        <f t="shared" si="175"/>
        <v>eye,</v>
      </c>
      <c r="P176" s="6" t="str">
        <f t="shared" si="175"/>
        <v>terrific,</v>
      </c>
      <c r="Q176" s="6" t="str">
        <f t="shared" si="175"/>
        <v>pretty,</v>
      </c>
      <c r="R176" s="6" t="str">
        <f t="shared" si="175"/>
        <v>touching,</v>
      </c>
    </row>
    <row r="177">
      <c r="A177" s="1" t="s">
        <v>989</v>
      </c>
      <c r="B177" s="1" t="s">
        <v>209</v>
      </c>
      <c r="C177" s="1" t="s">
        <v>1676</v>
      </c>
      <c r="D177" s="1" t="s">
        <v>711</v>
      </c>
      <c r="E177" s="1" t="s">
        <v>1016</v>
      </c>
      <c r="F177" s="1" t="s">
        <v>6299</v>
      </c>
      <c r="H177" s="1" t="s">
        <v>1282</v>
      </c>
      <c r="I177" s="1" t="s">
        <v>908</v>
      </c>
      <c r="J177" s="1" t="s">
        <v>1780</v>
      </c>
      <c r="M177" s="6" t="str">
        <f t="shared" ref="M177:R177" si="176">CONCAT(A177,",")</f>
        <v>penetrating,</v>
      </c>
      <c r="N177" s="6" t="str">
        <f t="shared" si="176"/>
        <v>masterpiece,</v>
      </c>
      <c r="O177" s="6" t="str">
        <f t="shared" si="176"/>
        <v>cause,</v>
      </c>
      <c r="P177" s="6" t="str">
        <f t="shared" si="176"/>
        <v>family,</v>
      </c>
      <c r="Q177" s="6" t="str">
        <f t="shared" si="176"/>
        <v>damned,</v>
      </c>
      <c r="R177" s="6" t="str">
        <f t="shared" si="176"/>
        <v>be,</v>
      </c>
    </row>
    <row r="178">
      <c r="A178" s="1" t="s">
        <v>114</v>
      </c>
      <c r="B178" s="1" t="s">
        <v>182</v>
      </c>
      <c r="C178" s="1" t="s">
        <v>1683</v>
      </c>
      <c r="D178" s="1" t="s">
        <v>1291</v>
      </c>
      <c r="E178" s="1" t="s">
        <v>201</v>
      </c>
      <c r="F178" s="1" t="s">
        <v>739</v>
      </c>
      <c r="H178" s="1" t="s">
        <v>1287</v>
      </c>
      <c r="I178" s="1" t="s">
        <v>330</v>
      </c>
      <c r="J178" s="1" t="s">
        <v>131</v>
      </c>
      <c r="M178" s="6" t="str">
        <f t="shared" ref="M178:R178" si="177">CONCAT(A178,",")</f>
        <v>fascination,</v>
      </c>
      <c r="N178" s="6" t="str">
        <f t="shared" si="177"/>
        <v>called,</v>
      </c>
      <c r="O178" s="6" t="str">
        <f t="shared" si="177"/>
        <v>amount,</v>
      </c>
      <c r="P178" s="6" t="str">
        <f t="shared" si="177"/>
        <v>entertainment,</v>
      </c>
      <c r="Q178" s="6" t="str">
        <f t="shared" si="177"/>
        <v>never,</v>
      </c>
      <c r="R178" s="6" t="str">
        <f t="shared" si="177"/>
        <v>legend,</v>
      </c>
    </row>
    <row r="179">
      <c r="A179" s="1" t="s">
        <v>1292</v>
      </c>
      <c r="B179" s="1" t="s">
        <v>1293</v>
      </c>
      <c r="C179" s="1" t="s">
        <v>1690</v>
      </c>
      <c r="D179" s="1" t="s">
        <v>613</v>
      </c>
      <c r="E179" s="1" t="s">
        <v>340</v>
      </c>
      <c r="F179" s="1" t="s">
        <v>933</v>
      </c>
      <c r="H179" s="1" t="s">
        <v>1294</v>
      </c>
      <c r="I179" s="1" t="s">
        <v>795</v>
      </c>
      <c r="J179" s="1" t="s">
        <v>1568</v>
      </c>
      <c r="M179" s="6" t="str">
        <f t="shared" ref="M179:R179" si="178">CONCAT(A179,",")</f>
        <v>economical,</v>
      </c>
      <c r="N179" s="6" t="str">
        <f t="shared" si="178"/>
        <v>lot,</v>
      </c>
      <c r="O179" s="6" t="str">
        <f t="shared" si="178"/>
        <v>dragon,</v>
      </c>
      <c r="P179" s="6" t="str">
        <f t="shared" si="178"/>
        <v>animated,</v>
      </c>
      <c r="Q179" s="6" t="str">
        <f t="shared" si="178"/>
        <v>feel,</v>
      </c>
      <c r="R179" s="6" t="str">
        <f t="shared" si="178"/>
        <v>starts,</v>
      </c>
    </row>
    <row r="180">
      <c r="A180" s="1" t="s">
        <v>1297</v>
      </c>
      <c r="B180" s="1" t="s">
        <v>148</v>
      </c>
      <c r="C180" s="1" t="s">
        <v>1711</v>
      </c>
      <c r="D180" s="1" t="s">
        <v>621</v>
      </c>
      <c r="E180" s="1" t="s">
        <v>35</v>
      </c>
      <c r="F180" s="1" t="s">
        <v>943</v>
      </c>
      <c r="H180" s="1" t="s">
        <v>1298</v>
      </c>
      <c r="I180" s="1" t="s">
        <v>779</v>
      </c>
      <c r="J180" s="1" t="s">
        <v>6300</v>
      </c>
      <c r="M180" s="6" t="str">
        <f t="shared" ref="M180:R180" si="179">CONCAT(A180,",")</f>
        <v>costly,</v>
      </c>
      <c r="N180" s="6" t="str">
        <f t="shared" si="179"/>
        <v>back,</v>
      </c>
      <c r="O180" s="6" t="str">
        <f t="shared" si="179"/>
        <v>hole,</v>
      </c>
      <c r="P180" s="6" t="str">
        <f t="shared" si="179"/>
        <v>believe,</v>
      </c>
      <c r="Q180" s="6" t="str">
        <f t="shared" si="179"/>
        <v>one,</v>
      </c>
      <c r="R180" s="6" t="str">
        <f t="shared" si="179"/>
        <v>sophisticated,</v>
      </c>
    </row>
    <row r="181">
      <c r="A181" s="1" t="s">
        <v>1302</v>
      </c>
      <c r="B181" s="1" t="s">
        <v>1303</v>
      </c>
      <c r="C181" s="1" t="s">
        <v>582</v>
      </c>
      <c r="D181" s="1" t="s">
        <v>1120</v>
      </c>
      <c r="E181" s="1" t="s">
        <v>1041</v>
      </c>
      <c r="F181" s="1" t="s">
        <v>425</v>
      </c>
      <c r="H181" s="1" t="s">
        <v>354</v>
      </c>
      <c r="I181" s="1" t="s">
        <v>638</v>
      </c>
      <c r="J181" s="1" t="s">
        <v>769</v>
      </c>
      <c r="M181" s="6" t="str">
        <f t="shared" ref="M181:R181" si="180">CONCAT(A181,",")</f>
        <v>tuned,</v>
      </c>
      <c r="N181" s="6" t="str">
        <f t="shared" si="180"/>
        <v>forgotten,</v>
      </c>
      <c r="O181" s="6" t="str">
        <f t="shared" si="180"/>
        <v>end,</v>
      </c>
      <c r="P181" s="6" t="str">
        <f t="shared" si="180"/>
        <v>anyone,</v>
      </c>
      <c r="Q181" s="6" t="str">
        <f t="shared" si="180"/>
        <v>current,</v>
      </c>
      <c r="R181" s="6" t="str">
        <f t="shared" si="180"/>
        <v>veins,</v>
      </c>
    </row>
    <row r="182">
      <c r="A182" s="1" t="s">
        <v>1310</v>
      </c>
      <c r="B182" s="1" t="s">
        <v>1311</v>
      </c>
      <c r="C182" s="1" t="s">
        <v>683</v>
      </c>
      <c r="D182" s="1" t="s">
        <v>1307</v>
      </c>
      <c r="E182" s="1" t="s">
        <v>4067</v>
      </c>
      <c r="F182" s="1" t="s">
        <v>767</v>
      </c>
      <c r="H182" s="1" t="s">
        <v>1272</v>
      </c>
      <c r="I182" s="1" t="s">
        <v>803</v>
      </c>
      <c r="J182" s="1" t="s">
        <v>720</v>
      </c>
      <c r="M182" s="6" t="str">
        <f t="shared" ref="M182:R182" si="181">CONCAT(A182,",")</f>
        <v>displays,</v>
      </c>
      <c r="N182" s="6" t="str">
        <f t="shared" si="181"/>
        <v>laugh,</v>
      </c>
      <c r="O182" s="6" t="str">
        <f t="shared" si="181"/>
        <v>think,</v>
      </c>
      <c r="P182" s="6" t="str">
        <f t="shared" si="181"/>
        <v>central,</v>
      </c>
      <c r="Q182" s="6" t="str">
        <f t="shared" si="181"/>
        <v>industry,</v>
      </c>
      <c r="R182" s="6" t="str">
        <f t="shared" si="181"/>
        <v>rich,</v>
      </c>
    </row>
    <row r="183">
      <c r="A183" s="1" t="s">
        <v>1317</v>
      </c>
      <c r="B183" s="1" t="s">
        <v>836</v>
      </c>
      <c r="C183" s="1" t="s">
        <v>1739</v>
      </c>
      <c r="D183" s="1" t="s">
        <v>627</v>
      </c>
      <c r="E183" s="1" t="s">
        <v>1035</v>
      </c>
      <c r="F183" s="1" t="s">
        <v>782</v>
      </c>
      <c r="H183" s="1" t="s">
        <v>1279</v>
      </c>
      <c r="I183" s="1" t="s">
        <v>819</v>
      </c>
      <c r="J183" s="1" t="s">
        <v>784</v>
      </c>
      <c r="M183" s="6" t="str">
        <f t="shared" ref="M183:R183" si="182">CONCAT(A183,",")</f>
        <v>padded,</v>
      </c>
      <c r="N183" s="6" t="str">
        <f t="shared" si="182"/>
        <v>car,</v>
      </c>
      <c r="O183" s="6" t="str">
        <f t="shared" si="182"/>
        <v>simply,</v>
      </c>
      <c r="P183" s="6" t="str">
        <f t="shared" si="182"/>
        <v>parody,</v>
      </c>
      <c r="Q183" s="6" t="str">
        <f t="shared" si="182"/>
        <v>recording,</v>
      </c>
      <c r="R183" s="6" t="str">
        <f t="shared" si="182"/>
        <v>joy,</v>
      </c>
    </row>
    <row r="184">
      <c r="A184" s="1" t="s">
        <v>1323</v>
      </c>
      <c r="B184" s="1" t="s">
        <v>161</v>
      </c>
      <c r="C184" s="1" t="s">
        <v>670</v>
      </c>
      <c r="D184" s="1" t="s">
        <v>635</v>
      </c>
      <c r="E184" s="1" t="s">
        <v>465</v>
      </c>
      <c r="F184" s="1" t="s">
        <v>967</v>
      </c>
      <c r="H184" s="1" t="s">
        <v>247</v>
      </c>
      <c r="I184" s="1" t="s">
        <v>813</v>
      </c>
      <c r="J184" s="1" t="s">
        <v>209</v>
      </c>
      <c r="M184" s="6" t="str">
        <f t="shared" ref="M184:R184" si="183">CONCAT(A184,",")</f>
        <v>propaganda,</v>
      </c>
      <c r="N184" s="6" t="str">
        <f t="shared" si="183"/>
        <v>get,</v>
      </c>
      <c r="O184" s="6" t="str">
        <f t="shared" si="183"/>
        <v>would,</v>
      </c>
      <c r="P184" s="6" t="str">
        <f t="shared" si="183"/>
        <v>intriguing,</v>
      </c>
      <c r="Q184" s="6" t="str">
        <f t="shared" si="183"/>
        <v>climate,</v>
      </c>
      <c r="R184" s="6" t="str">
        <f t="shared" si="183"/>
        <v>shot,</v>
      </c>
    </row>
    <row r="185">
      <c r="A185" s="1" t="s">
        <v>1328</v>
      </c>
      <c r="B185" s="1" t="s">
        <v>216</v>
      </c>
      <c r="C185" s="1" t="s">
        <v>1749</v>
      </c>
      <c r="D185" s="1" t="s">
        <v>642</v>
      </c>
      <c r="E185" s="1" t="s">
        <v>6301</v>
      </c>
      <c r="F185" s="1" t="s">
        <v>789</v>
      </c>
      <c r="H185" s="1" t="s">
        <v>335</v>
      </c>
      <c r="I185" s="7">
        <v>20.0</v>
      </c>
      <c r="J185" s="1" t="s">
        <v>847</v>
      </c>
      <c r="M185" s="6" t="str">
        <f t="shared" ref="M185:R185" si="184">CONCAT(A185,",")</f>
        <v>directorial,</v>
      </c>
      <c r="N185" s="6" t="str">
        <f t="shared" si="184"/>
        <v>hopeless,</v>
      </c>
      <c r="O185" s="6" t="str">
        <f t="shared" si="184"/>
        <v>carry,</v>
      </c>
      <c r="P185" s="6" t="str">
        <f t="shared" si="184"/>
        <v>android,</v>
      </c>
      <c r="Q185" s="6" t="str">
        <f t="shared" si="184"/>
        <v>corporate,</v>
      </c>
      <c r="R185" s="6" t="str">
        <f t="shared" si="184"/>
        <v>ugly,</v>
      </c>
    </row>
    <row r="186">
      <c r="A186" s="1" t="s">
        <v>1334</v>
      </c>
      <c r="B186" s="1" t="s">
        <v>1335</v>
      </c>
      <c r="C186" s="1" t="s">
        <v>703</v>
      </c>
      <c r="D186" s="1" t="s">
        <v>647</v>
      </c>
      <c r="E186" s="1" t="s">
        <v>4777</v>
      </c>
      <c r="F186" s="1" t="s">
        <v>5464</v>
      </c>
      <c r="H186" s="1" t="s">
        <v>1309</v>
      </c>
      <c r="I186" s="1" t="s">
        <v>976</v>
      </c>
      <c r="J186" s="1" t="s">
        <v>1303</v>
      </c>
      <c r="M186" s="6" t="str">
        <f t="shared" ref="M186:R186" si="185">CONCAT(A186,",")</f>
        <v>repeated,</v>
      </c>
      <c r="N186" s="6" t="str">
        <f t="shared" si="185"/>
        <v>charming,</v>
      </c>
      <c r="O186" s="6" t="str">
        <f t="shared" si="185"/>
        <v>club,</v>
      </c>
      <c r="P186" s="6" t="str">
        <f t="shared" si="185"/>
        <v>pulp,</v>
      </c>
      <c r="Q186" s="6" t="str">
        <f t="shared" si="185"/>
        <v>circus,</v>
      </c>
      <c r="R186" s="6" t="str">
        <f t="shared" si="185"/>
        <v>digital,</v>
      </c>
    </row>
    <row r="187">
      <c r="A187" s="1" t="s">
        <v>1341</v>
      </c>
      <c r="B187" s="1" t="s">
        <v>736</v>
      </c>
      <c r="C187" s="1" t="s">
        <v>1782</v>
      </c>
      <c r="D187" s="1" t="s">
        <v>1077</v>
      </c>
      <c r="E187" s="1" t="s">
        <v>485</v>
      </c>
      <c r="F187" s="1" t="s">
        <v>163</v>
      </c>
      <c r="H187" s="1" t="s">
        <v>350</v>
      </c>
      <c r="I187" s="1" t="s">
        <v>833</v>
      </c>
      <c r="J187" s="1" t="s">
        <v>1880</v>
      </c>
      <c r="M187" s="6" t="str">
        <f t="shared" ref="M187:R187" si="186">CONCAT(A187,",")</f>
        <v>misery,</v>
      </c>
      <c r="N187" s="6" t="str">
        <f t="shared" si="186"/>
        <v>dialogue,</v>
      </c>
      <c r="O187" s="6" t="str">
        <f t="shared" si="186"/>
        <v>photo,</v>
      </c>
      <c r="P187" s="6" t="str">
        <f t="shared" si="186"/>
        <v>comic,</v>
      </c>
      <c r="Q187" s="6" t="str">
        <f t="shared" si="186"/>
        <v>together,</v>
      </c>
      <c r="R187" s="6" t="str">
        <f t="shared" si="186"/>
        <v>exploration,</v>
      </c>
    </row>
    <row r="188">
      <c r="A188" s="1" t="s">
        <v>1346</v>
      </c>
      <c r="B188" s="1" t="s">
        <v>224</v>
      </c>
      <c r="C188" s="1" t="s">
        <v>1789</v>
      </c>
      <c r="D188" s="1" t="s">
        <v>1091</v>
      </c>
      <c r="E188" s="1" t="s">
        <v>322</v>
      </c>
      <c r="F188" s="1" t="s">
        <v>433</v>
      </c>
      <c r="H188" s="1" t="s">
        <v>1348</v>
      </c>
      <c r="I188" s="1" t="s">
        <v>339</v>
      </c>
      <c r="J188" s="1" t="s">
        <v>836</v>
      </c>
      <c r="M188" s="6" t="str">
        <f t="shared" ref="M188:R188" si="187">CONCAT(A188,",")</f>
        <v>willingness,</v>
      </c>
      <c r="N188" s="6" t="str">
        <f t="shared" si="187"/>
        <v>clumsy,</v>
      </c>
      <c r="O188" s="6" t="str">
        <f t="shared" si="187"/>
        <v>done,</v>
      </c>
      <c r="P188" s="6" t="str">
        <f t="shared" si="187"/>
        <v>difference,</v>
      </c>
      <c r="Q188" s="6" t="str">
        <f t="shared" si="187"/>
        <v>experience,</v>
      </c>
      <c r="R188" s="6" t="str">
        <f t="shared" si="187"/>
        <v>relentless,</v>
      </c>
    </row>
    <row r="189">
      <c r="A189" s="1" t="s">
        <v>1352</v>
      </c>
      <c r="B189" s="1" t="s">
        <v>745</v>
      </c>
      <c r="C189" s="1" t="s">
        <v>1540</v>
      </c>
      <c r="D189" s="1" t="s">
        <v>1055</v>
      </c>
      <c r="E189" s="1" t="s">
        <v>6302</v>
      </c>
      <c r="F189" s="1" t="s">
        <v>143</v>
      </c>
      <c r="H189" s="1" t="s">
        <v>1322</v>
      </c>
      <c r="I189" s="1">
        <v>40.0</v>
      </c>
      <c r="J189" s="1" t="s">
        <v>1311</v>
      </c>
      <c r="M189" s="6" t="str">
        <f t="shared" ref="M189:R189" si="188">CONCAT(A189,",")</f>
        <v>pity,</v>
      </c>
      <c r="N189" s="6" t="str">
        <f t="shared" si="188"/>
        <v>sentiment,</v>
      </c>
      <c r="O189" s="6" t="str">
        <f t="shared" si="188"/>
        <v>m,</v>
      </c>
      <c r="P189" s="6" t="str">
        <f t="shared" si="188"/>
        <v>alternating,</v>
      </c>
      <c r="Q189" s="6" t="str">
        <f t="shared" si="188"/>
        <v>overall,</v>
      </c>
      <c r="R189" s="6" t="str">
        <f t="shared" si="188"/>
        <v>emptiness,</v>
      </c>
    </row>
    <row r="190">
      <c r="A190" s="1" t="s">
        <v>1356</v>
      </c>
      <c r="B190" s="1" t="s">
        <v>755</v>
      </c>
      <c r="C190" s="1" t="s">
        <v>697</v>
      </c>
      <c r="D190" s="1" t="s">
        <v>1360</v>
      </c>
      <c r="E190" s="1" t="s">
        <v>4211</v>
      </c>
      <c r="F190" s="1" t="s">
        <v>1093</v>
      </c>
      <c r="H190" s="1" t="s">
        <v>1327</v>
      </c>
      <c r="I190" s="1" t="s">
        <v>600</v>
      </c>
      <c r="J190" s="1" t="s">
        <v>1335</v>
      </c>
      <c r="M190" s="6" t="str">
        <f t="shared" ref="M190:R190" si="189">CONCAT(A190,",")</f>
        <v>wears,</v>
      </c>
      <c r="N190" s="6" t="str">
        <f t="shared" si="189"/>
        <v>tissues,</v>
      </c>
      <c r="O190" s="6" t="str">
        <f t="shared" si="189"/>
        <v>right,</v>
      </c>
      <c r="P190" s="6" t="str">
        <f t="shared" si="189"/>
        <v>questions,</v>
      </c>
      <c r="Q190" s="6" t="str">
        <f t="shared" si="189"/>
        <v>shots,</v>
      </c>
      <c r="R190" s="6" t="str">
        <f t="shared" si="189"/>
        <v>at,</v>
      </c>
    </row>
    <row r="191">
      <c r="A191" s="1" t="s">
        <v>1361</v>
      </c>
      <c r="B191" s="1" t="s">
        <v>763</v>
      </c>
      <c r="C191" s="1" t="s">
        <v>733</v>
      </c>
      <c r="D191" s="1" t="s">
        <v>645</v>
      </c>
      <c r="E191" s="1" t="s">
        <v>855</v>
      </c>
      <c r="F191" s="1" t="s">
        <v>1144</v>
      </c>
      <c r="H191" s="1" t="s">
        <v>1363</v>
      </c>
      <c r="I191" s="1" t="s">
        <v>4788</v>
      </c>
      <c r="J191" s="1" t="s">
        <v>1616</v>
      </c>
      <c r="M191" s="6" t="str">
        <f t="shared" ref="M191:R191" si="190">CONCAT(A191,",")</f>
        <v>assurance,</v>
      </c>
      <c r="N191" s="6" t="str">
        <f t="shared" si="190"/>
        <v>betrayed,</v>
      </c>
      <c r="O191" s="6" t="str">
        <f t="shared" si="190"/>
        <v>moved,</v>
      </c>
      <c r="P191" s="6" t="str">
        <f t="shared" si="190"/>
        <v>moments,</v>
      </c>
      <c r="Q191" s="6" t="str">
        <f t="shared" si="190"/>
        <v>aerial,</v>
      </c>
      <c r="R191" s="6" t="str">
        <f t="shared" si="190"/>
        <v>ending,</v>
      </c>
    </row>
    <row r="192">
      <c r="A192" s="1" t="s">
        <v>1368</v>
      </c>
      <c r="B192" s="1" t="s">
        <v>1369</v>
      </c>
      <c r="C192" s="1" t="s">
        <v>1820</v>
      </c>
      <c r="D192" s="1" t="s">
        <v>223</v>
      </c>
      <c r="E192" s="1" t="s">
        <v>1255</v>
      </c>
      <c r="F192" s="1" t="s">
        <v>371</v>
      </c>
      <c r="H192" s="1" t="s">
        <v>1011</v>
      </c>
      <c r="I192" s="1" t="s">
        <v>6295</v>
      </c>
      <c r="J192" s="1" t="s">
        <v>1477</v>
      </c>
      <c r="M192" s="6" t="str">
        <f t="shared" ref="M192:R192" si="191">CONCAT(A192,",")</f>
        <v>impact,</v>
      </c>
      <c r="N192" s="6" t="str">
        <f t="shared" si="191"/>
        <v>surprisingly,</v>
      </c>
      <c r="O192" s="6" t="str">
        <f t="shared" si="191"/>
        <v>fact,</v>
      </c>
      <c r="P192" s="6" t="str">
        <f t="shared" si="191"/>
        <v>artworks,</v>
      </c>
      <c r="Q192" s="6" t="str">
        <f t="shared" si="191"/>
        <v>men,</v>
      </c>
      <c r="R192" s="6" t="str">
        <f t="shared" si="191"/>
        <v>just,</v>
      </c>
    </row>
    <row r="193">
      <c r="A193" s="1" t="s">
        <v>1051</v>
      </c>
      <c r="B193" s="1" t="s">
        <v>1377</v>
      </c>
      <c r="C193" s="1" t="s">
        <v>328</v>
      </c>
      <c r="D193" s="1" t="s">
        <v>1380</v>
      </c>
      <c r="E193" s="1" t="s">
        <v>881</v>
      </c>
      <c r="F193" s="1" t="s">
        <v>565</v>
      </c>
      <c r="H193" s="1" t="s">
        <v>1333</v>
      </c>
      <c r="I193" s="1" t="s">
        <v>229</v>
      </c>
      <c r="J193" s="1" t="s">
        <v>6303</v>
      </c>
      <c r="M193" s="6" t="str">
        <f t="shared" ref="M193:R193" si="192">CONCAT(A193,",")</f>
        <v>sly,</v>
      </c>
      <c r="N193" s="6" t="str">
        <f t="shared" si="192"/>
        <v>makeup,</v>
      </c>
      <c r="O193" s="6" t="str">
        <f t="shared" si="192"/>
        <v>how,</v>
      </c>
      <c r="P193" s="6" t="str">
        <f t="shared" si="192"/>
        <v>stale,</v>
      </c>
      <c r="Q193" s="6" t="str">
        <f t="shared" si="192"/>
        <v>women,</v>
      </c>
      <c r="R193" s="6" t="str">
        <f t="shared" si="192"/>
        <v>though,</v>
      </c>
    </row>
    <row r="194">
      <c r="A194" s="1" t="s">
        <v>1381</v>
      </c>
      <c r="B194" s="1" t="s">
        <v>419</v>
      </c>
      <c r="C194" s="1" t="s">
        <v>1830</v>
      </c>
      <c r="D194" s="1" t="s">
        <v>1385</v>
      </c>
      <c r="E194" s="1" t="s">
        <v>1247</v>
      </c>
      <c r="F194" s="1" t="s">
        <v>1003</v>
      </c>
      <c r="H194" s="1" t="s">
        <v>1345</v>
      </c>
      <c r="I194" s="1" t="s">
        <v>657</v>
      </c>
      <c r="J194" s="1" t="s">
        <v>736</v>
      </c>
      <c r="M194" s="6" t="str">
        <f t="shared" ref="M194:R194" si="193">CONCAT(A194,",")</f>
        <v>emerges,</v>
      </c>
      <c r="N194" s="6" t="str">
        <f t="shared" si="193"/>
        <v>bourne,</v>
      </c>
      <c r="O194" s="6" t="str">
        <f t="shared" si="193"/>
        <v>type,</v>
      </c>
      <c r="P194" s="6" t="str">
        <f t="shared" si="193"/>
        <v>yet,</v>
      </c>
      <c r="Q194" s="6" t="str">
        <f t="shared" si="193"/>
        <v>total,</v>
      </c>
      <c r="R194" s="6" t="str">
        <f t="shared" si="193"/>
        <v>hold,</v>
      </c>
    </row>
    <row r="195">
      <c r="A195" s="1" t="s">
        <v>1386</v>
      </c>
      <c r="B195" s="1" t="s">
        <v>149</v>
      </c>
      <c r="C195" s="1" t="s">
        <v>1799</v>
      </c>
      <c r="D195" s="1" t="s">
        <v>175</v>
      </c>
      <c r="E195" s="1" t="s">
        <v>1102</v>
      </c>
      <c r="F195" s="1" t="s">
        <v>340</v>
      </c>
      <c r="H195" s="1" t="s">
        <v>1388</v>
      </c>
      <c r="I195" s="1" t="s">
        <v>377</v>
      </c>
      <c r="J195" s="1" t="s">
        <v>224</v>
      </c>
      <c r="M195" s="6" t="str">
        <f t="shared" ref="M195:R195" si="194">CONCAT(A195,",")</f>
        <v>static,</v>
      </c>
      <c r="N195" s="6" t="str">
        <f t="shared" si="194"/>
        <v>conviction,</v>
      </c>
      <c r="O195" s="6" t="str">
        <f t="shared" si="194"/>
        <v>describe,</v>
      </c>
      <c r="P195" s="6" t="str">
        <f t="shared" si="194"/>
        <v>wisdom,</v>
      </c>
      <c r="Q195" s="6" t="str">
        <f t="shared" si="194"/>
        <v>carried,</v>
      </c>
      <c r="R195" s="6" t="str">
        <f t="shared" si="194"/>
        <v>feel,</v>
      </c>
    </row>
    <row r="196">
      <c r="A196" s="1" t="s">
        <v>1392</v>
      </c>
      <c r="B196" s="1" t="s">
        <v>1393</v>
      </c>
      <c r="C196" s="1" t="s">
        <v>1840</v>
      </c>
      <c r="D196" s="1" t="s">
        <v>663</v>
      </c>
      <c r="E196" s="1" t="s">
        <v>1097</v>
      </c>
      <c r="F196" s="1" t="s">
        <v>201</v>
      </c>
      <c r="H196" s="1" t="s">
        <v>1395</v>
      </c>
      <c r="I196" s="1" t="s">
        <v>370</v>
      </c>
      <c r="J196" s="1" t="s">
        <v>745</v>
      </c>
      <c r="M196" s="6" t="str">
        <f t="shared" ref="M196:R196" si="195">CONCAT(A196,",")</f>
        <v>photographed,</v>
      </c>
      <c r="N196" s="6" t="str">
        <f t="shared" si="195"/>
        <v>brings,</v>
      </c>
      <c r="O196" s="6" t="str">
        <f t="shared" si="195"/>
        <v>kids,</v>
      </c>
      <c r="P196" s="6" t="str">
        <f t="shared" si="195"/>
        <v>washington,</v>
      </c>
      <c r="Q196" s="6" t="str">
        <f t="shared" si="195"/>
        <v>lack,</v>
      </c>
      <c r="R196" s="6" t="str">
        <f t="shared" si="195"/>
        <v>never,</v>
      </c>
    </row>
    <row r="197">
      <c r="A197" s="1" t="s">
        <v>1399</v>
      </c>
      <c r="B197" s="1" t="s">
        <v>1400</v>
      </c>
      <c r="C197" s="1" t="s">
        <v>711</v>
      </c>
      <c r="D197" s="1" t="s">
        <v>673</v>
      </c>
      <c r="E197" s="1" t="s">
        <v>1089</v>
      </c>
      <c r="F197" s="1" t="s">
        <v>35</v>
      </c>
      <c r="H197" s="1" t="s">
        <v>1402</v>
      </c>
      <c r="I197" s="1" t="s">
        <v>978</v>
      </c>
      <c r="J197" s="1" t="s">
        <v>1369</v>
      </c>
      <c r="M197" s="6" t="str">
        <f t="shared" ref="M197:R197" si="196">CONCAT(A197,",")</f>
        <v>arbitrary,</v>
      </c>
      <c r="N197" s="6" t="str">
        <f t="shared" si="196"/>
        <v>proper,</v>
      </c>
      <c r="O197" s="6" t="str">
        <f t="shared" si="196"/>
        <v>family,</v>
      </c>
      <c r="P197" s="6" t="str">
        <f t="shared" si="196"/>
        <v>respectable,</v>
      </c>
      <c r="Q197" s="6" t="str">
        <f t="shared" si="196"/>
        <v>sounds,</v>
      </c>
      <c r="R197" s="6" t="str">
        <f t="shared" si="196"/>
        <v>one,</v>
      </c>
    </row>
    <row r="198">
      <c r="A198" s="1" t="s">
        <v>1407</v>
      </c>
      <c r="B198" s="1" t="s">
        <v>1408</v>
      </c>
      <c r="C198" s="1" t="s">
        <v>752</v>
      </c>
      <c r="D198" s="1" t="s">
        <v>677</v>
      </c>
      <c r="E198" s="1" t="s">
        <v>4361</v>
      </c>
      <c r="F198" s="1" t="s">
        <v>174</v>
      </c>
      <c r="H198" s="1" t="s">
        <v>1353</v>
      </c>
      <c r="I198" s="1" t="s">
        <v>359</v>
      </c>
      <c r="J198" s="1" t="s">
        <v>149</v>
      </c>
      <c r="M198" s="6" t="str">
        <f t="shared" ref="M198:R198" si="197">CONCAT(A198,",")</f>
        <v>riot,</v>
      </c>
      <c r="N198" s="6" t="str">
        <f t="shared" si="197"/>
        <v>role,</v>
      </c>
      <c r="O198" s="6" t="str">
        <f t="shared" si="197"/>
        <v>different,</v>
      </c>
      <c r="P198" s="6" t="str">
        <f t="shared" si="197"/>
        <v>showcase,</v>
      </c>
      <c r="Q198" s="6" t="str">
        <f t="shared" si="197"/>
        <v>ideas,</v>
      </c>
      <c r="R198" s="6" t="str">
        <f t="shared" si="197"/>
        <v>mergers,</v>
      </c>
    </row>
    <row r="199">
      <c r="A199" s="1" t="s">
        <v>1412</v>
      </c>
      <c r="B199" s="1" t="s">
        <v>787</v>
      </c>
      <c r="C199" s="1" t="s">
        <v>1851</v>
      </c>
      <c r="D199" s="1" t="s">
        <v>684</v>
      </c>
      <c r="E199" s="1" t="s">
        <v>554</v>
      </c>
      <c r="F199" s="1" t="s">
        <v>1035</v>
      </c>
      <c r="H199" s="1" t="s">
        <v>495</v>
      </c>
      <c r="I199" s="1" t="s">
        <v>861</v>
      </c>
      <c r="J199" s="1" t="s">
        <v>1408</v>
      </c>
      <c r="M199" s="6" t="str">
        <f t="shared" ref="M199:R199" si="198">CONCAT(A199,",")</f>
        <v>loosely,</v>
      </c>
      <c r="N199" s="6" t="str">
        <f t="shared" si="198"/>
        <v>diplomacy,</v>
      </c>
      <c r="O199" s="6" t="str">
        <f t="shared" si="198"/>
        <v>hundred,</v>
      </c>
      <c r="P199" s="6" t="str">
        <f t="shared" si="198"/>
        <v>eyes,</v>
      </c>
      <c r="Q199" s="6" t="str">
        <f t="shared" si="198"/>
        <v>seem,</v>
      </c>
      <c r="R199" s="6" t="str">
        <f t="shared" si="198"/>
        <v>recording,</v>
      </c>
    </row>
    <row r="200">
      <c r="A200" s="1" t="s">
        <v>1417</v>
      </c>
      <c r="B200" s="1" t="s">
        <v>1418</v>
      </c>
      <c r="C200" s="1" t="s">
        <v>1867</v>
      </c>
      <c r="D200" s="1" t="s">
        <v>688</v>
      </c>
      <c r="E200" s="1" t="s">
        <v>6256</v>
      </c>
      <c r="F200" s="1" t="s">
        <v>1041</v>
      </c>
      <c r="H200" s="1" t="s">
        <v>265</v>
      </c>
      <c r="I200" s="1" t="s">
        <v>355</v>
      </c>
      <c r="J200" s="1" t="s">
        <v>1694</v>
      </c>
      <c r="M200" s="6" t="str">
        <f t="shared" ref="M200:R200" si="199">CONCAT(A200,",")</f>
        <v>honesty,</v>
      </c>
      <c r="N200" s="6" t="str">
        <f t="shared" si="199"/>
        <v>generosity,</v>
      </c>
      <c r="O200" s="6" t="str">
        <f t="shared" si="199"/>
        <v>ice,</v>
      </c>
      <c r="P200" s="6" t="str">
        <f t="shared" si="199"/>
        <v>images,</v>
      </c>
      <c r="Q200" s="6" t="str">
        <f t="shared" si="199"/>
        <v>fresh,</v>
      </c>
      <c r="R200" s="6" t="str">
        <f t="shared" si="199"/>
        <v>current,</v>
      </c>
    </row>
    <row r="201">
      <c r="A201" s="1" t="s">
        <v>1422</v>
      </c>
      <c r="B201" s="1" t="s">
        <v>851</v>
      </c>
      <c r="C201" s="1">
        <v>4.0</v>
      </c>
      <c r="D201" s="1" t="s">
        <v>1428</v>
      </c>
      <c r="E201" s="1" t="s">
        <v>1116</v>
      </c>
      <c r="F201" s="1" t="s">
        <v>465</v>
      </c>
      <c r="H201" s="1" t="s">
        <v>225</v>
      </c>
      <c r="I201" s="1" t="s">
        <v>593</v>
      </c>
      <c r="J201" s="1" t="s">
        <v>1418</v>
      </c>
      <c r="M201" s="6" t="str">
        <f t="shared" ref="M201:R201" si="200">CONCAT(A201,",")</f>
        <v>dreadful,</v>
      </c>
      <c r="N201" s="6" t="str">
        <f t="shared" si="200"/>
        <v>impressions,</v>
      </c>
      <c r="O201" s="6" t="str">
        <f t="shared" si="200"/>
        <v>4,</v>
      </c>
      <c r="P201" s="6" t="str">
        <f t="shared" si="200"/>
        <v>read,</v>
      </c>
      <c r="Q201" s="6" t="str">
        <f t="shared" si="200"/>
        <v>history,</v>
      </c>
      <c r="R201" s="6" t="str">
        <f t="shared" si="200"/>
        <v>climate,</v>
      </c>
    </row>
    <row r="202">
      <c r="A202" s="1" t="s">
        <v>1429</v>
      </c>
      <c r="B202" s="1" t="s">
        <v>1430</v>
      </c>
      <c r="C202" s="1" t="s">
        <v>1876</v>
      </c>
      <c r="D202" s="1" t="s">
        <v>681</v>
      </c>
      <c r="E202" s="1" t="s">
        <v>1304</v>
      </c>
      <c r="F202" s="1" t="s">
        <v>4067</v>
      </c>
      <c r="H202" s="1" t="s">
        <v>1431</v>
      </c>
      <c r="I202" s="1" t="s">
        <v>694</v>
      </c>
      <c r="J202" s="1" t="s">
        <v>1734</v>
      </c>
      <c r="M202" s="6" t="str">
        <f t="shared" ref="M202:R202" si="201">CONCAT(A202,",")</f>
        <v>elephant,</v>
      </c>
      <c r="N202" s="6" t="str">
        <f t="shared" si="201"/>
        <v>artist,</v>
      </c>
      <c r="O202" s="6" t="str">
        <f t="shared" si="201"/>
        <v>lights,</v>
      </c>
      <c r="P202" s="6" t="str">
        <f t="shared" si="201"/>
        <v>tear,</v>
      </c>
      <c r="Q202" s="6" t="str">
        <f t="shared" si="201"/>
        <v>weak,</v>
      </c>
      <c r="R202" s="6" t="str">
        <f t="shared" si="201"/>
        <v>industry,</v>
      </c>
    </row>
    <row r="203">
      <c r="A203" s="1" t="s">
        <v>1435</v>
      </c>
      <c r="B203" s="1" t="s">
        <v>875</v>
      </c>
      <c r="C203" s="1" t="s">
        <v>777</v>
      </c>
      <c r="D203" s="1" t="s">
        <v>1440</v>
      </c>
      <c r="E203" s="1" t="s">
        <v>463</v>
      </c>
      <c r="F203" s="1" t="s">
        <v>104</v>
      </c>
      <c r="H203" s="1" t="s">
        <v>1436</v>
      </c>
      <c r="I203" s="1" t="s">
        <v>585</v>
      </c>
      <c r="J203" s="1" t="s">
        <v>2002</v>
      </c>
      <c r="M203" s="6" t="str">
        <f t="shared" ref="M203:R203" si="202">CONCAT(A203,",")</f>
        <v>approaches,</v>
      </c>
      <c r="N203" s="6" t="str">
        <f t="shared" si="202"/>
        <v>engaging,</v>
      </c>
      <c r="O203" s="6" t="str">
        <f t="shared" si="202"/>
        <v>got,</v>
      </c>
      <c r="P203" s="6" t="str">
        <f t="shared" si="202"/>
        <v>hate,</v>
      </c>
      <c r="Q203" s="6" t="str">
        <f t="shared" si="202"/>
        <v>people,</v>
      </c>
      <c r="R203" s="6" t="str">
        <f t="shared" si="202"/>
        <v>storylines,</v>
      </c>
    </row>
    <row r="204">
      <c r="A204" s="1" t="s">
        <v>1441</v>
      </c>
      <c r="B204" s="1" t="s">
        <v>1442</v>
      </c>
      <c r="C204" s="1" t="s">
        <v>1888</v>
      </c>
      <c r="D204" s="1" t="s">
        <v>159</v>
      </c>
      <c r="E204" s="1" t="s">
        <v>537</v>
      </c>
      <c r="F204" s="1" t="s">
        <v>151</v>
      </c>
      <c r="H204" s="1" t="s">
        <v>527</v>
      </c>
      <c r="I204" s="1" t="s">
        <v>6293</v>
      </c>
      <c r="J204" s="1" t="s">
        <v>857</v>
      </c>
      <c r="M204" s="6" t="str">
        <f t="shared" ref="M204:R204" si="203">CONCAT(A204,",")</f>
        <v>straining,</v>
      </c>
      <c r="N204" s="6" t="str">
        <f t="shared" si="203"/>
        <v>similar,</v>
      </c>
      <c r="O204" s="6" t="str">
        <f t="shared" si="203"/>
        <v>:,</v>
      </c>
      <c r="P204" s="6" t="str">
        <f t="shared" si="203"/>
        <v>cinematic,</v>
      </c>
      <c r="Q204" s="6" t="str">
        <f t="shared" si="203"/>
        <v>power,</v>
      </c>
      <c r="R204" s="6" t="str">
        <f t="shared" si="203"/>
        <v>woven,</v>
      </c>
    </row>
    <row r="205">
      <c r="A205" s="1" t="s">
        <v>1447</v>
      </c>
      <c r="B205" s="1" t="s">
        <v>802</v>
      </c>
      <c r="C205" s="1" t="s">
        <v>1911</v>
      </c>
      <c r="D205" s="1" t="s">
        <v>1453</v>
      </c>
      <c r="E205" s="1" t="s">
        <v>810</v>
      </c>
      <c r="F205" s="1" t="s">
        <v>322</v>
      </c>
      <c r="H205" s="1" t="s">
        <v>352</v>
      </c>
      <c r="I205" s="1" t="s">
        <v>888</v>
      </c>
      <c r="J205" s="1" t="s">
        <v>1430</v>
      </c>
      <c r="M205" s="6" t="str">
        <f t="shared" ref="M205:R205" si="204">CONCAT(A205,",")</f>
        <v>translate,</v>
      </c>
      <c r="N205" s="6" t="str">
        <f t="shared" si="204"/>
        <v>collapse,</v>
      </c>
      <c r="O205" s="6" t="str">
        <f t="shared" si="204"/>
        <v>milk,</v>
      </c>
      <c r="P205" s="6" t="str">
        <f t="shared" si="204"/>
        <v>recent,</v>
      </c>
      <c r="Q205" s="6" t="str">
        <f t="shared" si="204"/>
        <v>help,</v>
      </c>
      <c r="R205" s="6" t="str">
        <f t="shared" si="204"/>
        <v>experience,</v>
      </c>
    </row>
    <row r="206">
      <c r="A206" s="1" t="s">
        <v>1454</v>
      </c>
      <c r="B206" s="1" t="s">
        <v>812</v>
      </c>
      <c r="C206" s="1" t="s">
        <v>792</v>
      </c>
      <c r="D206" s="1" t="s">
        <v>1179</v>
      </c>
      <c r="E206" s="1" t="s">
        <v>2986</v>
      </c>
      <c r="F206" s="1" t="s">
        <v>476</v>
      </c>
      <c r="H206" s="1" t="s">
        <v>1406</v>
      </c>
      <c r="I206" s="1" t="s">
        <v>1018</v>
      </c>
      <c r="J206" s="1" t="s">
        <v>883</v>
      </c>
      <c r="M206" s="6" t="str">
        <f t="shared" ref="M206:R206" si="205">CONCAT(A206,",")</f>
        <v>lowered,</v>
      </c>
      <c r="N206" s="6" t="str">
        <f t="shared" si="205"/>
        <v>flaws,</v>
      </c>
      <c r="O206" s="6" t="str">
        <f t="shared" si="205"/>
        <v>street,</v>
      </c>
      <c r="P206" s="6" t="str">
        <f t="shared" si="205"/>
        <v>addition,</v>
      </c>
      <c r="Q206" s="6" t="str">
        <f t="shared" si="205"/>
        <v>almost,</v>
      </c>
      <c r="R206" s="6" t="str">
        <f t="shared" si="205"/>
        <v>magnificent,</v>
      </c>
    </row>
    <row r="207">
      <c r="A207" s="1" t="s">
        <v>1459</v>
      </c>
      <c r="B207" s="1" t="s">
        <v>1460</v>
      </c>
      <c r="C207" s="1" t="s">
        <v>1642</v>
      </c>
      <c r="D207" s="1" t="s">
        <v>1192</v>
      </c>
      <c r="E207" s="1" t="s">
        <v>1171</v>
      </c>
      <c r="F207" s="1" t="s">
        <v>4211</v>
      </c>
      <c r="H207" s="1" t="s">
        <v>1462</v>
      </c>
      <c r="I207" s="1" t="s">
        <v>471</v>
      </c>
      <c r="J207" s="1" t="s">
        <v>875</v>
      </c>
      <c r="M207" s="6" t="str">
        <f t="shared" ref="M207:R207" si="206">CONCAT(A207,",")</f>
        <v>disgust,</v>
      </c>
      <c r="N207" s="6" t="str">
        <f t="shared" si="206"/>
        <v>poses,</v>
      </c>
      <c r="O207" s="6" t="str">
        <f t="shared" si="206"/>
        <v>ahead,</v>
      </c>
      <c r="P207" s="6" t="str">
        <f t="shared" si="206"/>
        <v>generally,</v>
      </c>
      <c r="Q207" s="6" t="str">
        <f t="shared" si="206"/>
        <v>horror,</v>
      </c>
      <c r="R207" s="6" t="str">
        <f t="shared" si="206"/>
        <v>shots,</v>
      </c>
    </row>
    <row r="208">
      <c r="A208" s="1" t="s">
        <v>1468</v>
      </c>
      <c r="B208" s="1" t="s">
        <v>1469</v>
      </c>
      <c r="C208" s="1" t="s">
        <v>1922</v>
      </c>
      <c r="D208" s="1" t="s">
        <v>1203</v>
      </c>
      <c r="E208" s="1" t="s">
        <v>6304</v>
      </c>
      <c r="F208" s="1" t="s">
        <v>158</v>
      </c>
      <c r="H208" s="1" t="s">
        <v>1411</v>
      </c>
      <c r="I208" s="1" t="s">
        <v>2146</v>
      </c>
      <c r="J208" s="1" t="s">
        <v>868</v>
      </c>
      <c r="M208" s="6" t="str">
        <f t="shared" ref="M208:R208" si="207">CONCAT(A208,",")</f>
        <v>slip,</v>
      </c>
      <c r="N208" s="6" t="str">
        <f t="shared" si="207"/>
        <v>tool,</v>
      </c>
      <c r="O208" s="6" t="str">
        <f t="shared" si="207"/>
        <v>corners,</v>
      </c>
      <c r="P208" s="6" t="str">
        <f t="shared" si="207"/>
        <v>mystery,</v>
      </c>
      <c r="Q208" s="6" t="str">
        <f t="shared" si="207"/>
        <v>absolute,</v>
      </c>
      <c r="R208" s="6" t="str">
        <f t="shared" si="207"/>
        <v>cruel,</v>
      </c>
    </row>
    <row r="209">
      <c r="A209" s="1" t="s">
        <v>336</v>
      </c>
      <c r="B209" s="1" t="s">
        <v>1474</v>
      </c>
      <c r="C209" s="1" t="s">
        <v>1929</v>
      </c>
      <c r="D209" s="1" t="s">
        <v>231</v>
      </c>
      <c r="E209" s="1" t="s">
        <v>542</v>
      </c>
      <c r="F209" s="1" t="s">
        <v>502</v>
      </c>
      <c r="H209" s="1" t="s">
        <v>1476</v>
      </c>
      <c r="I209" s="1" t="s">
        <v>6239</v>
      </c>
      <c r="J209" s="1" t="s">
        <v>807</v>
      </c>
      <c r="M209" s="6" t="str">
        <f t="shared" ref="M209:R209" si="208">CONCAT(A209,",")</f>
        <v>stylized,</v>
      </c>
      <c r="N209" s="6" t="str">
        <f t="shared" si="208"/>
        <v>excuse,</v>
      </c>
      <c r="O209" s="6" t="str">
        <f t="shared" si="208"/>
        <v>somewhat,</v>
      </c>
      <c r="P209" s="6" t="str">
        <f t="shared" si="208"/>
        <v>put,</v>
      </c>
      <c r="Q209" s="6" t="str">
        <f t="shared" si="208"/>
        <v>life,</v>
      </c>
      <c r="R209" s="6" t="str">
        <f t="shared" si="208"/>
        <v>deception,</v>
      </c>
    </row>
    <row r="210">
      <c r="A210" s="1" t="s">
        <v>1481</v>
      </c>
      <c r="B210" s="1" t="s">
        <v>890</v>
      </c>
      <c r="C210" s="1" t="s">
        <v>1934</v>
      </c>
      <c r="D210" s="1">
        <v>3000.0</v>
      </c>
      <c r="E210" s="1" t="s">
        <v>290</v>
      </c>
      <c r="F210" s="1" t="s">
        <v>1102</v>
      </c>
      <c r="H210" s="1" t="s">
        <v>1482</v>
      </c>
      <c r="I210" s="1" t="s">
        <v>1044</v>
      </c>
      <c r="J210" s="1" t="s">
        <v>812</v>
      </c>
      <c r="M210" s="6" t="str">
        <f t="shared" ref="M210:R210" si="209">CONCAT(A210,",")</f>
        <v>fires,</v>
      </c>
      <c r="N210" s="6" t="str">
        <f t="shared" si="209"/>
        <v>effective,</v>
      </c>
      <c r="O210" s="6" t="str">
        <f t="shared" si="209"/>
        <v>flavor,</v>
      </c>
      <c r="P210" s="6" t="str">
        <f t="shared" si="209"/>
        <v>3000,</v>
      </c>
      <c r="Q210" s="6" t="str">
        <f t="shared" si="209"/>
        <v>much,</v>
      </c>
      <c r="R210" s="6" t="str">
        <f t="shared" si="209"/>
        <v>carried,</v>
      </c>
    </row>
    <row r="211">
      <c r="A211" s="1" t="s">
        <v>1488</v>
      </c>
      <c r="B211" s="1" t="s">
        <v>1489</v>
      </c>
      <c r="C211" s="1" t="s">
        <v>1940</v>
      </c>
      <c r="D211" s="1" t="s">
        <v>1220</v>
      </c>
      <c r="E211" s="1" t="s">
        <v>653</v>
      </c>
      <c r="F211" s="1" t="s">
        <v>488</v>
      </c>
      <c r="H211" s="1" t="s">
        <v>1490</v>
      </c>
      <c r="I211" s="1" t="s">
        <v>6294</v>
      </c>
      <c r="J211" s="1" t="s">
        <v>4239</v>
      </c>
      <c r="M211" s="6" t="str">
        <f t="shared" ref="M211:R211" si="210">CONCAT(A211,",")</f>
        <v>utilizing,</v>
      </c>
      <c r="N211" s="6" t="str">
        <f t="shared" si="210"/>
        <v>community,</v>
      </c>
      <c r="O211" s="6" t="str">
        <f t="shared" si="210"/>
        <v>cutting,</v>
      </c>
      <c r="P211" s="6" t="str">
        <f t="shared" si="210"/>
        <v>em,</v>
      </c>
      <c r="Q211" s="6" t="str">
        <f t="shared" si="210"/>
        <v>without,</v>
      </c>
      <c r="R211" s="6" t="str">
        <f t="shared" si="210"/>
        <v>empathy,</v>
      </c>
    </row>
    <row r="212">
      <c r="A212" s="1" t="s">
        <v>1152</v>
      </c>
      <c r="B212" s="1" t="s">
        <v>1492</v>
      </c>
      <c r="C212" s="1" t="s">
        <v>1945</v>
      </c>
      <c r="D212" s="1" t="s">
        <v>1432</v>
      </c>
      <c r="E212" s="1" t="s">
        <v>1370</v>
      </c>
      <c r="F212" s="1" t="s">
        <v>1255</v>
      </c>
      <c r="H212" s="1" t="s">
        <v>31</v>
      </c>
      <c r="I212" s="1" t="s">
        <v>3571</v>
      </c>
      <c r="J212" s="1" t="s">
        <v>890</v>
      </c>
      <c r="M212" s="6" t="str">
        <f t="shared" ref="M212:R212" si="211">CONCAT(A212,",")</f>
        <v>pollution,</v>
      </c>
      <c r="N212" s="6" t="str">
        <f t="shared" si="211"/>
        <v>tradition,</v>
      </c>
      <c r="O212" s="6" t="str">
        <f t="shared" si="211"/>
        <v>lower,</v>
      </c>
      <c r="P212" s="6" t="str">
        <f t="shared" si="211"/>
        <v>late,</v>
      </c>
      <c r="Q212" s="6" t="str">
        <f t="shared" si="211"/>
        <v>fun,</v>
      </c>
      <c r="R212" s="6" t="str">
        <f t="shared" si="211"/>
        <v>men,</v>
      </c>
    </row>
    <row r="213">
      <c r="A213" s="1" t="s">
        <v>1496</v>
      </c>
      <c r="B213" s="1" t="s">
        <v>818</v>
      </c>
      <c r="C213" s="1" t="s">
        <v>330</v>
      </c>
      <c r="D213" s="1" t="s">
        <v>724</v>
      </c>
      <c r="E213" s="1" t="s">
        <v>1378</v>
      </c>
      <c r="F213" s="1" t="s">
        <v>881</v>
      </c>
      <c r="H213" s="1" t="s">
        <v>1497</v>
      </c>
      <c r="I213" s="1" t="s">
        <v>6299</v>
      </c>
      <c r="J213" s="1" t="s">
        <v>1489</v>
      </c>
      <c r="M213" s="6" t="str">
        <f t="shared" ref="M213:R213" si="212">CONCAT(A213,",")</f>
        <v>achieving,</v>
      </c>
      <c r="N213" s="6" t="str">
        <f t="shared" si="212"/>
        <v>conquer,</v>
      </c>
      <c r="O213" s="6" t="str">
        <f t="shared" si="212"/>
        <v>already,</v>
      </c>
      <c r="P213" s="6" t="str">
        <f t="shared" si="212"/>
        <v>go,</v>
      </c>
      <c r="Q213" s="6" t="str">
        <f t="shared" si="212"/>
        <v>based,</v>
      </c>
      <c r="R213" s="6" t="str">
        <f t="shared" si="212"/>
        <v>women,</v>
      </c>
    </row>
    <row r="214">
      <c r="A214" s="1" t="s">
        <v>1503</v>
      </c>
      <c r="B214" s="1" t="s">
        <v>1438</v>
      </c>
      <c r="C214" s="1" t="s">
        <v>1982</v>
      </c>
      <c r="D214" s="1" t="s">
        <v>939</v>
      </c>
      <c r="E214" s="1" t="b">
        <v>1</v>
      </c>
      <c r="F214" s="1" t="s">
        <v>1247</v>
      </c>
      <c r="H214" s="1" t="s">
        <v>1505</v>
      </c>
      <c r="I214" s="1" t="s">
        <v>407</v>
      </c>
      <c r="J214" s="1" t="s">
        <v>1492</v>
      </c>
      <c r="M214" s="6" t="str">
        <f t="shared" ref="M214:R214" si="213">CONCAT(A214,",")</f>
        <v>profile,</v>
      </c>
      <c r="N214" s="6" t="str">
        <f t="shared" si="213"/>
        <v>set,</v>
      </c>
      <c r="O214" s="6" t="str">
        <f t="shared" si="213"/>
        <v>buy,</v>
      </c>
      <c r="P214" s="6" t="str">
        <f t="shared" si="213"/>
        <v>work,</v>
      </c>
      <c r="Q214" s="6" t="str">
        <f t="shared" si="213"/>
        <v>TRUE,</v>
      </c>
      <c r="R214" s="6" t="str">
        <f t="shared" si="213"/>
        <v>total,</v>
      </c>
    </row>
    <row r="215">
      <c r="A215" s="1" t="s">
        <v>1510</v>
      </c>
      <c r="B215" s="1" t="s">
        <v>1511</v>
      </c>
      <c r="C215" s="1" t="s">
        <v>800</v>
      </c>
      <c r="D215" s="1" t="s">
        <v>186</v>
      </c>
      <c r="E215" s="1" t="s">
        <v>545</v>
      </c>
      <c r="F215" s="1" t="s">
        <v>6305</v>
      </c>
      <c r="H215" s="1" t="s">
        <v>376</v>
      </c>
      <c r="I215" s="1" t="s">
        <v>133</v>
      </c>
      <c r="J215" s="1" t="s">
        <v>1517</v>
      </c>
      <c r="M215" s="6" t="str">
        <f t="shared" ref="M215:R215" si="214">CONCAT(A215,",")</f>
        <v>intensely,</v>
      </c>
      <c r="N215" s="6" t="str">
        <f t="shared" si="214"/>
        <v>phones,</v>
      </c>
      <c r="O215" s="6" t="str">
        <f t="shared" si="214"/>
        <v>need,</v>
      </c>
      <c r="P215" s="6" t="str">
        <f t="shared" si="214"/>
        <v>fluid,</v>
      </c>
      <c r="Q215" s="6" t="str">
        <f t="shared" si="214"/>
        <v>significant,</v>
      </c>
      <c r="R215" s="6" t="str">
        <f t="shared" si="214"/>
        <v>marginal,</v>
      </c>
    </row>
    <row r="216">
      <c r="A216" s="1" t="s">
        <v>1516</v>
      </c>
      <c r="B216" s="1" t="s">
        <v>1517</v>
      </c>
      <c r="C216" s="1" t="s">
        <v>810</v>
      </c>
      <c r="D216" s="1" t="s">
        <v>731</v>
      </c>
      <c r="E216" s="1" t="s">
        <v>165</v>
      </c>
      <c r="F216" s="1" t="s">
        <v>6256</v>
      </c>
      <c r="H216" s="1" t="s">
        <v>1487</v>
      </c>
      <c r="I216" s="1" t="s">
        <v>933</v>
      </c>
      <c r="J216" s="1" t="s">
        <v>2052</v>
      </c>
      <c r="M216" s="6" t="str">
        <f t="shared" ref="M216:R216" si="215">CONCAT(A216,",")</f>
        <v>loser,</v>
      </c>
      <c r="N216" s="6" t="str">
        <f t="shared" si="215"/>
        <v>delivers,</v>
      </c>
      <c r="O216" s="6" t="str">
        <f t="shared" si="215"/>
        <v>help,</v>
      </c>
      <c r="P216" s="6" t="str">
        <f t="shared" si="215"/>
        <v>direction,</v>
      </c>
      <c r="Q216" s="6" t="str">
        <f t="shared" si="215"/>
        <v>historically,</v>
      </c>
      <c r="R216" s="6" t="str">
        <f t="shared" si="215"/>
        <v>fresh,</v>
      </c>
    </row>
    <row r="217">
      <c r="A217" s="1" t="s">
        <v>1523</v>
      </c>
      <c r="B217" s="1" t="s">
        <v>1524</v>
      </c>
      <c r="C217" s="1" t="s">
        <v>1997</v>
      </c>
      <c r="D217" s="1" t="s">
        <v>1529</v>
      </c>
      <c r="E217" s="1" t="s">
        <v>558</v>
      </c>
      <c r="F217" s="1" t="s">
        <v>1116</v>
      </c>
      <c r="H217" s="1" t="s">
        <v>550</v>
      </c>
      <c r="I217" s="1" t="s">
        <v>739</v>
      </c>
      <c r="J217" s="1" t="s">
        <v>1524</v>
      </c>
      <c r="M217" s="6" t="str">
        <f t="shared" ref="M217:R217" si="216">CONCAT(A217,",")</f>
        <v>gently,</v>
      </c>
      <c r="N217" s="6" t="str">
        <f t="shared" si="216"/>
        <v>roll,</v>
      </c>
      <c r="O217" s="6" t="str">
        <f t="shared" si="216"/>
        <v>seen,</v>
      </c>
      <c r="P217" s="6" t="str">
        <f t="shared" si="216"/>
        <v>deal,</v>
      </c>
      <c r="Q217" s="6" t="str">
        <f t="shared" si="216"/>
        <v>tribute,</v>
      </c>
      <c r="R217" s="6" t="str">
        <f t="shared" si="216"/>
        <v>history,</v>
      </c>
    </row>
    <row r="218">
      <c r="A218" s="1" t="s">
        <v>1530</v>
      </c>
      <c r="B218" s="1" t="s">
        <v>257</v>
      </c>
      <c r="C218" s="1" t="s">
        <v>1119</v>
      </c>
      <c r="D218" s="1" t="s">
        <v>1536</v>
      </c>
      <c r="E218" s="1" t="s">
        <v>373</v>
      </c>
      <c r="F218" s="1" t="s">
        <v>193</v>
      </c>
      <c r="H218" s="1" t="s">
        <v>1532</v>
      </c>
      <c r="I218" s="1" t="s">
        <v>748</v>
      </c>
      <c r="J218" s="1" t="s">
        <v>257</v>
      </c>
      <c r="M218" s="6" t="str">
        <f t="shared" ref="M218:R218" si="217">CONCAT(A218,",")</f>
        <v>stretched,</v>
      </c>
      <c r="N218" s="6" t="str">
        <f t="shared" si="217"/>
        <v>suspense,</v>
      </c>
      <c r="O218" s="6" t="str">
        <f t="shared" si="217"/>
        <v>thing,</v>
      </c>
      <c r="P218" s="6" t="str">
        <f t="shared" si="217"/>
        <v>ron,</v>
      </c>
      <c r="Q218" s="6" t="str">
        <f t="shared" si="217"/>
        <v>first,</v>
      </c>
      <c r="R218" s="6" t="str">
        <f t="shared" si="217"/>
        <v>earnest,</v>
      </c>
    </row>
    <row r="219">
      <c r="A219" s="1" t="s">
        <v>1537</v>
      </c>
      <c r="B219" s="1" t="s">
        <v>1538</v>
      </c>
      <c r="C219" s="1" t="s">
        <v>816</v>
      </c>
      <c r="D219" s="1" t="s">
        <v>131</v>
      </c>
      <c r="E219" s="1" t="s">
        <v>324</v>
      </c>
      <c r="F219" s="1" t="s">
        <v>903</v>
      </c>
      <c r="H219" s="1" t="s">
        <v>1540</v>
      </c>
      <c r="I219" s="1" t="s">
        <v>767</v>
      </c>
      <c r="J219" s="1" t="s">
        <v>1545</v>
      </c>
      <c r="M219" s="6" t="str">
        <f t="shared" ref="M219:R219" si="218">CONCAT(A219,",")</f>
        <v>honorable,</v>
      </c>
      <c r="N219" s="6" t="str">
        <f t="shared" si="218"/>
        <v>consistent,</v>
      </c>
      <c r="O219" s="6" t="str">
        <f t="shared" si="218"/>
        <v>say,</v>
      </c>
      <c r="P219" s="6" t="str">
        <f t="shared" si="218"/>
        <v>storytelling,</v>
      </c>
      <c r="Q219" s="6" t="str">
        <f t="shared" si="218"/>
        <v>two,</v>
      </c>
      <c r="R219" s="6" t="str">
        <f t="shared" si="218"/>
        <v>pays,</v>
      </c>
    </row>
    <row r="220">
      <c r="A220" s="1" t="s">
        <v>1544</v>
      </c>
      <c r="B220" s="1" t="s">
        <v>1545</v>
      </c>
      <c r="C220" s="1" t="s">
        <v>2005</v>
      </c>
      <c r="D220" s="1" t="s">
        <v>1551</v>
      </c>
      <c r="E220" s="1" t="s">
        <v>996</v>
      </c>
      <c r="F220" s="1" t="s">
        <v>907</v>
      </c>
      <c r="H220" s="1" t="s">
        <v>1547</v>
      </c>
      <c r="I220" s="1" t="s">
        <v>6296</v>
      </c>
      <c r="J220" s="1" t="s">
        <v>241</v>
      </c>
      <c r="M220" s="6" t="str">
        <f t="shared" ref="M220:R220" si="219">CONCAT(A220,",")</f>
        <v>symbolic,</v>
      </c>
      <c r="N220" s="6" t="str">
        <f t="shared" si="219"/>
        <v>lacking,</v>
      </c>
      <c r="O220" s="6" t="str">
        <f t="shared" si="219"/>
        <v>probably,</v>
      </c>
      <c r="P220" s="6" t="str">
        <f t="shared" si="219"/>
        <v>piece,</v>
      </c>
      <c r="Q220" s="6" t="str">
        <f t="shared" si="219"/>
        <v>enough,</v>
      </c>
      <c r="R220" s="6" t="str">
        <f t="shared" si="219"/>
        <v>homage,</v>
      </c>
    </row>
    <row r="221">
      <c r="A221" s="1" t="s">
        <v>1552</v>
      </c>
      <c r="B221" s="1" t="s">
        <v>250</v>
      </c>
      <c r="C221" s="1" t="s">
        <v>2006</v>
      </c>
      <c r="D221" s="1" t="s">
        <v>140</v>
      </c>
      <c r="E221" s="1" t="s">
        <v>993</v>
      </c>
      <c r="F221" s="1" t="s">
        <v>1304</v>
      </c>
      <c r="H221" s="1" t="s">
        <v>1554</v>
      </c>
      <c r="I221" s="1" t="s">
        <v>782</v>
      </c>
      <c r="J221" s="1" t="s">
        <v>250</v>
      </c>
      <c r="M221" s="6" t="str">
        <f t="shared" ref="M221:R221" si="220">CONCAT(A221,",")</f>
        <v>freedom,</v>
      </c>
      <c r="N221" s="6" t="str">
        <f t="shared" si="220"/>
        <v>portrayal,</v>
      </c>
      <c r="O221" s="6" t="str">
        <f t="shared" si="220"/>
        <v>card,</v>
      </c>
      <c r="P221" s="6" t="str">
        <f t="shared" si="220"/>
        <v>casts,</v>
      </c>
      <c r="Q221" s="6" t="str">
        <f t="shared" si="220"/>
        <v>heat,</v>
      </c>
      <c r="R221" s="6" t="str">
        <f t="shared" si="220"/>
        <v>weak,</v>
      </c>
    </row>
    <row r="222">
      <c r="A222" s="1" t="s">
        <v>1558</v>
      </c>
      <c r="B222" s="1" t="s">
        <v>241</v>
      </c>
      <c r="C222" s="1" t="s">
        <v>2010</v>
      </c>
      <c r="D222" s="1" t="s">
        <v>759</v>
      </c>
      <c r="E222" s="1" t="s">
        <v>1762</v>
      </c>
      <c r="F222" s="1" t="s">
        <v>513</v>
      </c>
      <c r="H222" s="1" t="s">
        <v>1329</v>
      </c>
      <c r="I222" s="1" t="s">
        <v>775</v>
      </c>
      <c r="J222" s="1" t="s">
        <v>1569</v>
      </c>
      <c r="M222" s="6" t="str">
        <f t="shared" ref="M222:R222" si="221">CONCAT(A222,",")</f>
        <v>weary,</v>
      </c>
      <c r="N222" s="6" t="str">
        <f t="shared" si="221"/>
        <v>realistic,</v>
      </c>
      <c r="O222" s="6" t="str">
        <f t="shared" si="221"/>
        <v>competition,</v>
      </c>
      <c r="P222" s="6" t="str">
        <f t="shared" si="221"/>
        <v>landscape,</v>
      </c>
      <c r="Q222" s="6" t="str">
        <f t="shared" si="221"/>
        <v>appear,</v>
      </c>
      <c r="R222" s="6" t="str">
        <f t="shared" si="221"/>
        <v>skip,</v>
      </c>
    </row>
    <row r="223">
      <c r="A223" s="1" t="s">
        <v>1563</v>
      </c>
      <c r="B223" s="1" t="s">
        <v>1564</v>
      </c>
      <c r="C223" s="1" t="s">
        <v>2013</v>
      </c>
      <c r="D223" s="1" t="s">
        <v>1568</v>
      </c>
      <c r="E223" s="1" t="s">
        <v>987</v>
      </c>
      <c r="F223" s="1" t="s">
        <v>528</v>
      </c>
      <c r="H223" s="1" t="s">
        <v>582</v>
      </c>
      <c r="I223" s="1" t="s">
        <v>797</v>
      </c>
      <c r="J223" s="1" t="s">
        <v>1564</v>
      </c>
      <c r="M223" s="6" t="str">
        <f t="shared" ref="M223:R223" si="222">CONCAT(A223,",")</f>
        <v>whale,</v>
      </c>
      <c r="N223" s="6" t="str">
        <f t="shared" si="222"/>
        <v>trying,</v>
      </c>
      <c r="O223" s="6" t="str">
        <f t="shared" si="222"/>
        <v>gift,</v>
      </c>
      <c r="P223" s="6" t="str">
        <f t="shared" si="222"/>
        <v>attractive,</v>
      </c>
      <c r="Q223" s="6" t="str">
        <f t="shared" si="222"/>
        <v>comedy,</v>
      </c>
      <c r="R223" s="6" t="str">
        <f t="shared" si="222"/>
        <v>few,</v>
      </c>
    </row>
    <row r="224">
      <c r="A224" s="1" t="s">
        <v>251</v>
      </c>
      <c r="B224" s="1" t="s">
        <v>1569</v>
      </c>
      <c r="C224" s="1" t="s">
        <v>823</v>
      </c>
      <c r="D224" s="1" t="s">
        <v>1574</v>
      </c>
      <c r="E224" s="1" t="s">
        <v>563</v>
      </c>
      <c r="F224" s="1" t="s">
        <v>522</v>
      </c>
      <c r="H224" s="1" t="s">
        <v>567</v>
      </c>
      <c r="I224" s="1" t="s">
        <v>967</v>
      </c>
      <c r="J224" s="1" t="s">
        <v>157</v>
      </c>
      <c r="M224" s="6" t="str">
        <f t="shared" ref="M224:R224" si="223">CONCAT(A224,",")</f>
        <v>prejudice,</v>
      </c>
      <c r="N224" s="6" t="str">
        <f t="shared" si="223"/>
        <v>tries,</v>
      </c>
      <c r="O224" s="6" t="str">
        <f t="shared" si="223"/>
        <v>light,</v>
      </c>
      <c r="P224" s="6" t="str">
        <f t="shared" si="223"/>
        <v>takes,</v>
      </c>
      <c r="Q224" s="6" t="str">
        <f t="shared" si="223"/>
        <v>reaction,</v>
      </c>
      <c r="R224" s="6" t="str">
        <f t="shared" si="223"/>
        <v>surprises,</v>
      </c>
    </row>
    <row r="225">
      <c r="A225" s="1" t="s">
        <v>675</v>
      </c>
      <c r="B225" s="1" t="s">
        <v>917</v>
      </c>
      <c r="C225" s="1" t="s">
        <v>2020</v>
      </c>
      <c r="D225" s="1" t="s">
        <v>720</v>
      </c>
      <c r="E225" s="1" t="s">
        <v>1230</v>
      </c>
      <c r="F225" s="1" t="s">
        <v>463</v>
      </c>
      <c r="H225" s="1" t="s">
        <v>38</v>
      </c>
      <c r="I225" s="1" t="s">
        <v>5464</v>
      </c>
      <c r="J225" s="1" t="s">
        <v>275</v>
      </c>
      <c r="M225" s="6" t="str">
        <f t="shared" ref="M225:R225" si="224">CONCAT(A225,",")</f>
        <v>lifeless,</v>
      </c>
      <c r="N225" s="6" t="str">
        <f t="shared" si="224"/>
        <v>stunts,</v>
      </c>
      <c r="O225" s="6" t="str">
        <f t="shared" si="224"/>
        <v>bright,</v>
      </c>
      <c r="P225" s="6" t="str">
        <f t="shared" si="224"/>
        <v>pleasures,</v>
      </c>
      <c r="Q225" s="6" t="str">
        <f t="shared" si="224"/>
        <v>throw,</v>
      </c>
      <c r="R225" s="6" t="str">
        <f t="shared" si="224"/>
        <v>people,</v>
      </c>
    </row>
    <row r="226">
      <c r="A226" s="1" t="s">
        <v>1581</v>
      </c>
      <c r="B226" s="1" t="s">
        <v>157</v>
      </c>
      <c r="C226" s="1" t="s">
        <v>837</v>
      </c>
      <c r="D226" s="1" t="s">
        <v>209</v>
      </c>
      <c r="E226" s="1" t="s">
        <v>553</v>
      </c>
      <c r="F226" s="1" t="s">
        <v>926</v>
      </c>
      <c r="H226" s="1" t="s">
        <v>291</v>
      </c>
      <c r="I226" s="1" t="s">
        <v>6306</v>
      </c>
      <c r="J226" s="1" t="s">
        <v>1590</v>
      </c>
      <c r="M226" s="6" t="str">
        <f t="shared" ref="M226:R226" si="225">CONCAT(A226,",")</f>
        <v>compatible,</v>
      </c>
      <c r="N226" s="6" t="str">
        <f t="shared" si="225"/>
        <v>reveals,</v>
      </c>
      <c r="O226" s="6" t="str">
        <f t="shared" si="225"/>
        <v>head,</v>
      </c>
      <c r="P226" s="6" t="str">
        <f t="shared" si="225"/>
        <v>masterpiece,</v>
      </c>
      <c r="Q226" s="6" t="str">
        <f t="shared" si="225"/>
        <v>actors,</v>
      </c>
      <c r="R226" s="6" t="str">
        <f t="shared" si="225"/>
        <v>endure,</v>
      </c>
    </row>
    <row r="227">
      <c r="A227" s="1" t="s">
        <v>1295</v>
      </c>
      <c r="B227" s="1" t="s">
        <v>275</v>
      </c>
      <c r="C227" s="1" t="s">
        <v>843</v>
      </c>
      <c r="D227" s="1" t="s">
        <v>139</v>
      </c>
      <c r="E227" s="1" t="s">
        <v>1423</v>
      </c>
      <c r="F227" s="1" t="s">
        <v>111</v>
      </c>
      <c r="H227" s="1" t="s">
        <v>1584</v>
      </c>
      <c r="I227" s="1" t="s">
        <v>1093</v>
      </c>
      <c r="J227" s="1" t="s">
        <v>1606</v>
      </c>
      <c r="M227" s="6" t="str">
        <f t="shared" ref="M227:R227" si="226">CONCAT(A227,",")</f>
        <v>embraced,</v>
      </c>
      <c r="N227" s="6" t="str">
        <f t="shared" si="226"/>
        <v>talents,</v>
      </c>
      <c r="O227" s="6" t="str">
        <f t="shared" si="226"/>
        <v>early,</v>
      </c>
      <c r="P227" s="6" t="str">
        <f t="shared" si="226"/>
        <v>time,</v>
      </c>
      <c r="Q227" s="6" t="str">
        <f t="shared" si="226"/>
        <v>ca,</v>
      </c>
      <c r="R227" s="6" t="str">
        <f t="shared" si="226"/>
        <v>generates,</v>
      </c>
    </row>
    <row r="228">
      <c r="A228" s="1" t="s">
        <v>1589</v>
      </c>
      <c r="B228" s="1" t="s">
        <v>1590</v>
      </c>
      <c r="C228" s="1" t="s">
        <v>2039</v>
      </c>
      <c r="D228" s="1" t="s">
        <v>1293</v>
      </c>
      <c r="E228" s="1" t="s">
        <v>570</v>
      </c>
      <c r="F228" s="1" t="s">
        <v>542</v>
      </c>
      <c r="H228" s="1" t="s">
        <v>1567</v>
      </c>
      <c r="I228" s="1" t="s">
        <v>991</v>
      </c>
      <c r="J228" s="1" t="s">
        <v>162</v>
      </c>
      <c r="M228" s="6" t="str">
        <f t="shared" ref="M228:R228" si="227">CONCAT(A228,",")</f>
        <v>denial,</v>
      </c>
      <c r="N228" s="6" t="str">
        <f t="shared" si="227"/>
        <v>important,</v>
      </c>
      <c r="O228" s="6" t="str">
        <f t="shared" si="227"/>
        <v>cut,</v>
      </c>
      <c r="P228" s="6" t="str">
        <f t="shared" si="227"/>
        <v>lot,</v>
      </c>
      <c r="Q228" s="6" t="str">
        <f t="shared" si="227"/>
        <v>generate,</v>
      </c>
      <c r="R228" s="6" t="str">
        <f t="shared" si="227"/>
        <v>life,</v>
      </c>
    </row>
    <row r="229">
      <c r="A229" s="1" t="s">
        <v>1593</v>
      </c>
      <c r="B229" s="1" t="s">
        <v>103</v>
      </c>
      <c r="C229" s="1" t="s">
        <v>877</v>
      </c>
      <c r="D229" s="1" t="s">
        <v>216</v>
      </c>
      <c r="E229" s="1" t="s">
        <v>591</v>
      </c>
      <c r="F229" s="1" t="s">
        <v>1370</v>
      </c>
      <c r="H229" s="1" t="s">
        <v>587</v>
      </c>
      <c r="I229" s="1" t="s">
        <v>1144</v>
      </c>
      <c r="J229" s="1" t="s">
        <v>1617</v>
      </c>
      <c r="M229" s="6" t="str">
        <f t="shared" ref="M229:R229" si="228">CONCAT(A229,",")</f>
        <v>banged,</v>
      </c>
      <c r="N229" s="6" t="str">
        <f t="shared" si="228"/>
        <v>service,</v>
      </c>
      <c r="O229" s="6" t="str">
        <f t="shared" si="228"/>
        <v>college,</v>
      </c>
      <c r="P229" s="6" t="str">
        <f t="shared" si="228"/>
        <v>hopeless,</v>
      </c>
      <c r="Q229" s="6" t="str">
        <f t="shared" si="228"/>
        <v>robert,</v>
      </c>
      <c r="R229" s="6" t="str">
        <f t="shared" si="228"/>
        <v>fun,</v>
      </c>
    </row>
    <row r="230">
      <c r="A230" s="1" t="s">
        <v>1315</v>
      </c>
      <c r="B230" s="1" t="s">
        <v>1599</v>
      </c>
      <c r="C230" s="1" t="s">
        <v>443</v>
      </c>
      <c r="D230" s="1" t="s">
        <v>1335</v>
      </c>
      <c r="E230" s="1" t="s">
        <v>711</v>
      </c>
      <c r="F230" s="1" t="s">
        <v>165</v>
      </c>
      <c r="H230" s="1" t="s">
        <v>1601</v>
      </c>
      <c r="I230" s="1" t="s">
        <v>6235</v>
      </c>
      <c r="J230" s="1" t="s">
        <v>1623</v>
      </c>
      <c r="M230" s="6" t="str">
        <f t="shared" ref="M230:R230" si="229">CONCAT(A230,",")</f>
        <v>capturing,</v>
      </c>
      <c r="N230" s="6" t="str">
        <f t="shared" si="229"/>
        <v>da,</v>
      </c>
      <c r="O230" s="6" t="str">
        <f t="shared" si="229"/>
        <v>part,</v>
      </c>
      <c r="P230" s="6" t="str">
        <f t="shared" si="229"/>
        <v>charming,</v>
      </c>
      <c r="Q230" s="6" t="str">
        <f t="shared" si="229"/>
        <v>family,</v>
      </c>
      <c r="R230" s="6" t="str">
        <f t="shared" si="229"/>
        <v>historically,</v>
      </c>
    </row>
    <row r="231">
      <c r="A231" s="1" t="s">
        <v>1605</v>
      </c>
      <c r="B231" s="1" t="s">
        <v>1606</v>
      </c>
      <c r="C231" s="1" t="s">
        <v>869</v>
      </c>
      <c r="D231" s="1" t="s">
        <v>877</v>
      </c>
      <c r="E231" s="1" t="s">
        <v>1043</v>
      </c>
      <c r="F231" s="1" t="b">
        <v>1</v>
      </c>
      <c r="H231" s="1" t="s">
        <v>1608</v>
      </c>
      <c r="I231" s="1" t="s">
        <v>371</v>
      </c>
      <c r="J231" s="1" t="s">
        <v>938</v>
      </c>
      <c r="M231" s="6" t="str">
        <f t="shared" ref="M231:R231" si="230">CONCAT(A231,",")</f>
        <v>collectively,</v>
      </c>
      <c r="N231" s="6" t="str">
        <f t="shared" si="230"/>
        <v>relief,</v>
      </c>
      <c r="O231" s="6" t="str">
        <f t="shared" si="230"/>
        <v>day,</v>
      </c>
      <c r="P231" s="6" t="str">
        <f t="shared" si="230"/>
        <v>college,</v>
      </c>
      <c r="Q231" s="6" t="str">
        <f t="shared" si="230"/>
        <v>keep,</v>
      </c>
      <c r="R231" s="6" t="str">
        <f t="shared" si="230"/>
        <v>TRUE,</v>
      </c>
    </row>
    <row r="232">
      <c r="A232" s="1" t="s">
        <v>1344</v>
      </c>
      <c r="B232" s="1" t="s">
        <v>162</v>
      </c>
      <c r="C232" s="1" t="s">
        <v>853</v>
      </c>
      <c r="D232" s="1" t="s">
        <v>1616</v>
      </c>
      <c r="E232" s="1" t="s">
        <v>596</v>
      </c>
      <c r="F232" s="1" t="s">
        <v>1762</v>
      </c>
      <c r="H232" s="1" t="s">
        <v>1613</v>
      </c>
      <c r="I232" s="1" t="s">
        <v>827</v>
      </c>
      <c r="J232" s="1" t="s">
        <v>872</v>
      </c>
      <c r="M232" s="6" t="str">
        <f t="shared" ref="M232:R232" si="231">CONCAT(A232,",")</f>
        <v>prolonged,</v>
      </c>
      <c r="N232" s="6" t="str">
        <f t="shared" si="231"/>
        <v>filmmaking,</v>
      </c>
      <c r="O232" s="6" t="str">
        <f t="shared" si="231"/>
        <v>school,</v>
      </c>
      <c r="P232" s="6" t="str">
        <f t="shared" si="231"/>
        <v>pure,</v>
      </c>
      <c r="Q232" s="6" t="str">
        <f t="shared" si="231"/>
        <v>intensity,</v>
      </c>
      <c r="R232" s="6" t="str">
        <f t="shared" si="231"/>
        <v>appear,</v>
      </c>
    </row>
    <row r="233">
      <c r="A233" s="1" t="s">
        <v>1187</v>
      </c>
      <c r="B233" s="1" t="s">
        <v>1617</v>
      </c>
      <c r="C233" s="1" t="s">
        <v>2056</v>
      </c>
      <c r="D233" s="1" t="s">
        <v>1622</v>
      </c>
      <c r="E233" s="1" t="s">
        <v>605</v>
      </c>
      <c r="F233" s="1" t="s">
        <v>1235</v>
      </c>
      <c r="H233" s="1" t="s">
        <v>1618</v>
      </c>
      <c r="I233" s="1" t="s">
        <v>565</v>
      </c>
      <c r="J233" s="1" t="s">
        <v>1331</v>
      </c>
      <c r="M233" s="6" t="str">
        <f t="shared" ref="M233:R233" si="232">CONCAT(A233,",")</f>
        <v>rejected,</v>
      </c>
      <c r="N233" s="6" t="str">
        <f t="shared" si="232"/>
        <v>promise,</v>
      </c>
      <c r="O233" s="6" t="str">
        <f t="shared" si="232"/>
        <v>desperately,</v>
      </c>
      <c r="P233" s="6" t="str">
        <f t="shared" si="232"/>
        <v>match,</v>
      </c>
      <c r="Q233" s="6" t="str">
        <f t="shared" si="232"/>
        <v>manages,</v>
      </c>
      <c r="R233" s="6" t="str">
        <f t="shared" si="232"/>
        <v>spark,</v>
      </c>
    </row>
    <row r="234">
      <c r="A234" s="1" t="s">
        <v>1354</v>
      </c>
      <c r="B234" s="1" t="s">
        <v>1623</v>
      </c>
      <c r="C234" s="1" t="s">
        <v>863</v>
      </c>
      <c r="D234" s="1" t="s">
        <v>1628</v>
      </c>
      <c r="E234" s="1" t="s">
        <v>1291</v>
      </c>
      <c r="F234" s="1" t="s">
        <v>373</v>
      </c>
      <c r="H234" s="1" t="s">
        <v>398</v>
      </c>
      <c r="I234" s="1" t="s">
        <v>1003</v>
      </c>
      <c r="J234" s="1" t="s">
        <v>1663</v>
      </c>
      <c r="M234" s="6" t="str">
        <f t="shared" ref="M234:R234" si="233">CONCAT(A234,",")</f>
        <v>flatly,</v>
      </c>
      <c r="N234" s="6" t="str">
        <f t="shared" si="233"/>
        <v>view,</v>
      </c>
      <c r="O234" s="6" t="str">
        <f t="shared" si="233"/>
        <v>american,</v>
      </c>
      <c r="P234" s="6" t="str">
        <f t="shared" si="233"/>
        <v>creations,</v>
      </c>
      <c r="Q234" s="6" t="str">
        <f t="shared" si="233"/>
        <v>entertainment,</v>
      </c>
      <c r="R234" s="6" t="str">
        <f t="shared" si="233"/>
        <v>first,</v>
      </c>
    </row>
    <row r="235">
      <c r="A235" s="1" t="s">
        <v>1629</v>
      </c>
      <c r="B235" s="1" t="s">
        <v>610</v>
      </c>
      <c r="C235" s="1" t="s">
        <v>2063</v>
      </c>
      <c r="D235" s="1" t="s">
        <v>736</v>
      </c>
      <c r="E235" s="1" t="s">
        <v>613</v>
      </c>
      <c r="F235" s="1" t="s">
        <v>324</v>
      </c>
      <c r="H235" s="1" t="s">
        <v>315</v>
      </c>
      <c r="I235" s="1" t="s">
        <v>1009</v>
      </c>
      <c r="J235" s="1" t="s">
        <v>887</v>
      </c>
      <c r="M235" s="6" t="str">
        <f t="shared" ref="M235:R235" si="234">CONCAT(A235,",")</f>
        <v>phenomenon,</v>
      </c>
      <c r="N235" s="6" t="str">
        <f t="shared" si="234"/>
        <v>wait,</v>
      </c>
      <c r="O235" s="6" t="str">
        <f t="shared" si="234"/>
        <v>friends,</v>
      </c>
      <c r="P235" s="6" t="str">
        <f t="shared" si="234"/>
        <v>dialogue,</v>
      </c>
      <c r="Q235" s="6" t="str">
        <f t="shared" si="234"/>
        <v>animated,</v>
      </c>
      <c r="R235" s="6" t="str">
        <f t="shared" si="234"/>
        <v>two,</v>
      </c>
    </row>
    <row r="236">
      <c r="A236" s="1" t="s">
        <v>1379</v>
      </c>
      <c r="B236" s="1" t="s">
        <v>292</v>
      </c>
      <c r="C236" s="1" t="s">
        <v>2066</v>
      </c>
      <c r="D236" s="1" t="s">
        <v>745</v>
      </c>
      <c r="E236" s="1" t="s">
        <v>1307</v>
      </c>
      <c r="F236" s="1" t="s">
        <v>1230</v>
      </c>
      <c r="H236" s="1" t="s">
        <v>1636</v>
      </c>
      <c r="I236" s="1" t="s">
        <v>776</v>
      </c>
      <c r="J236" s="1" t="s">
        <v>894</v>
      </c>
      <c r="M236" s="6" t="str">
        <f t="shared" ref="M236:R236" si="235">CONCAT(A236,",")</f>
        <v>emphasizes,</v>
      </c>
      <c r="N236" s="6" t="str">
        <f t="shared" si="235"/>
        <v>auschwitz,</v>
      </c>
      <c r="O236" s="6" t="str">
        <f t="shared" si="235"/>
        <v>typical,</v>
      </c>
      <c r="P236" s="6" t="str">
        <f t="shared" si="235"/>
        <v>sentiment,</v>
      </c>
      <c r="Q236" s="6" t="str">
        <f t="shared" si="235"/>
        <v>central,</v>
      </c>
      <c r="R236" s="6" t="str">
        <f t="shared" si="235"/>
        <v>throw,</v>
      </c>
    </row>
    <row r="237">
      <c r="A237" s="1" t="s">
        <v>1641</v>
      </c>
      <c r="B237" s="1" t="s">
        <v>879</v>
      </c>
      <c r="C237" s="1">
        <v>1998.0</v>
      </c>
      <c r="D237" s="1" t="s">
        <v>224</v>
      </c>
      <c r="E237" s="1" t="s">
        <v>1525</v>
      </c>
      <c r="F237" s="1" t="s">
        <v>553</v>
      </c>
      <c r="H237" s="1" t="s">
        <v>1084</v>
      </c>
      <c r="I237" s="1" t="s">
        <v>6307</v>
      </c>
      <c r="J237" s="1" t="s">
        <v>1669</v>
      </c>
      <c r="M237" s="6" t="str">
        <f t="shared" ref="M237:R237" si="236">CONCAT(A237,",")</f>
        <v>scarcely,</v>
      </c>
      <c r="N237" s="6" t="str">
        <f t="shared" si="236"/>
        <v>simulation,</v>
      </c>
      <c r="O237" s="6" t="str">
        <f t="shared" si="236"/>
        <v>1998,</v>
      </c>
      <c r="P237" s="6" t="str">
        <f t="shared" si="236"/>
        <v>clumsy,</v>
      </c>
      <c r="Q237" s="6" t="str">
        <f t="shared" si="236"/>
        <v>written,</v>
      </c>
      <c r="R237" s="6" t="str">
        <f t="shared" si="236"/>
        <v>actors,</v>
      </c>
    </row>
    <row r="238">
      <c r="A238" s="1" t="s">
        <v>1647</v>
      </c>
      <c r="B238" s="1" t="s">
        <v>872</v>
      </c>
      <c r="C238" s="1" t="s">
        <v>2083</v>
      </c>
      <c r="D238" s="1" t="s">
        <v>1653</v>
      </c>
      <c r="E238" s="1" t="s">
        <v>621</v>
      </c>
      <c r="F238" s="1" t="s">
        <v>563</v>
      </c>
      <c r="H238" s="1" t="s">
        <v>1649</v>
      </c>
      <c r="I238" s="1" t="s">
        <v>841</v>
      </c>
      <c r="J238" s="1" t="s">
        <v>173</v>
      </c>
      <c r="M238" s="6" t="str">
        <f t="shared" ref="M238:R238" si="237">CONCAT(A238,",")</f>
        <v>expressive,</v>
      </c>
      <c r="N238" s="6" t="str">
        <f t="shared" si="237"/>
        <v>theatrical,</v>
      </c>
      <c r="O238" s="6" t="str">
        <f t="shared" si="237"/>
        <v>might,</v>
      </c>
      <c r="P238" s="6" t="str">
        <f t="shared" si="237"/>
        <v>unfortunately,</v>
      </c>
      <c r="Q238" s="6" t="str">
        <f t="shared" si="237"/>
        <v>believe,</v>
      </c>
      <c r="R238" s="6" t="str">
        <f t="shared" si="237"/>
        <v>reaction,</v>
      </c>
    </row>
    <row r="239">
      <c r="A239" s="1" t="s">
        <v>1654</v>
      </c>
      <c r="B239" s="1" t="s">
        <v>1655</v>
      </c>
      <c r="C239" s="1" t="s">
        <v>1192</v>
      </c>
      <c r="D239" s="1" t="s">
        <v>755</v>
      </c>
      <c r="E239" s="1" t="s">
        <v>1120</v>
      </c>
      <c r="F239" s="1" t="s">
        <v>538</v>
      </c>
      <c r="H239" s="1" t="s">
        <v>1657</v>
      </c>
      <c r="I239" s="1" t="s">
        <v>201</v>
      </c>
      <c r="J239" s="1" t="s">
        <v>905</v>
      </c>
      <c r="M239" s="6" t="str">
        <f t="shared" ref="M239:R239" si="238">CONCAT(A239,",")</f>
        <v>successfully,</v>
      </c>
      <c r="N239" s="6" t="str">
        <f t="shared" si="238"/>
        <v>camp,</v>
      </c>
      <c r="O239" s="6" t="str">
        <f t="shared" si="238"/>
        <v>generally,</v>
      </c>
      <c r="P239" s="6" t="str">
        <f t="shared" si="238"/>
        <v>tissues,</v>
      </c>
      <c r="Q239" s="6" t="str">
        <f t="shared" si="238"/>
        <v>anyone,</v>
      </c>
      <c r="R239" s="6" t="str">
        <f t="shared" si="238"/>
        <v>so,</v>
      </c>
    </row>
    <row r="240">
      <c r="A240" s="1" t="s">
        <v>1662</v>
      </c>
      <c r="B240" s="1" t="s">
        <v>1663</v>
      </c>
      <c r="C240" s="1" t="s">
        <v>2089</v>
      </c>
      <c r="D240" s="1" t="s">
        <v>829</v>
      </c>
      <c r="E240" s="1" t="s">
        <v>624</v>
      </c>
      <c r="F240" s="1" t="s">
        <v>121</v>
      </c>
      <c r="H240" s="1" t="s">
        <v>1664</v>
      </c>
      <c r="I240" s="1" t="s">
        <v>340</v>
      </c>
      <c r="J240" s="1" t="s">
        <v>1701</v>
      </c>
      <c r="M240" s="6" t="str">
        <f t="shared" ref="M240:R240" si="239">CONCAT(A240,",")</f>
        <v>bitten,</v>
      </c>
      <c r="N240" s="6" t="str">
        <f t="shared" si="239"/>
        <v>extraordinary,</v>
      </c>
      <c r="O240" s="6" t="str">
        <f t="shared" si="239"/>
        <v>friend,</v>
      </c>
      <c r="P240" s="6" t="str">
        <f t="shared" si="239"/>
        <v>bring,</v>
      </c>
      <c r="Q240" s="6" t="str">
        <f t="shared" si="239"/>
        <v>creation,</v>
      </c>
      <c r="R240" s="6" t="str">
        <f t="shared" si="239"/>
        <v>extremes,</v>
      </c>
    </row>
    <row r="241">
      <c r="A241" s="1" t="s">
        <v>1668</v>
      </c>
      <c r="B241" s="1" t="s">
        <v>1669</v>
      </c>
      <c r="C241" s="1" t="s">
        <v>1636</v>
      </c>
      <c r="D241" s="1" t="s">
        <v>763</v>
      </c>
      <c r="E241" s="1" t="s">
        <v>386</v>
      </c>
      <c r="F241" s="1" t="s">
        <v>215</v>
      </c>
      <c r="H241" s="1" t="s">
        <v>48</v>
      </c>
      <c r="I241" s="1" t="s">
        <v>35</v>
      </c>
      <c r="J241" s="1" t="s">
        <v>2172</v>
      </c>
      <c r="M241" s="6" t="str">
        <f t="shared" ref="M241:R241" si="240">CONCAT(A241,",")</f>
        <v>transformed,</v>
      </c>
      <c r="N241" s="6" t="str">
        <f t="shared" si="240"/>
        <v>heart,</v>
      </c>
      <c r="O241" s="6" t="str">
        <f t="shared" si="240"/>
        <v>reason,</v>
      </c>
      <c r="P241" s="6" t="str">
        <f t="shared" si="240"/>
        <v>betrayed,</v>
      </c>
      <c r="Q241" s="6" t="str">
        <f t="shared" si="240"/>
        <v>around,</v>
      </c>
      <c r="R241" s="6" t="str">
        <f t="shared" si="240"/>
        <v>continuum,</v>
      </c>
    </row>
    <row r="242">
      <c r="A242" s="1" t="s">
        <v>1675</v>
      </c>
      <c r="B242" s="1" t="s">
        <v>894</v>
      </c>
      <c r="C242" s="1" t="s">
        <v>2094</v>
      </c>
      <c r="D242" s="1" t="s">
        <v>149</v>
      </c>
      <c r="E242" s="1" t="s">
        <v>1360</v>
      </c>
      <c r="F242" s="1" t="s">
        <v>605</v>
      </c>
      <c r="H242" s="1" t="s">
        <v>1396</v>
      </c>
      <c r="I242" s="1" t="s">
        <v>1041</v>
      </c>
      <c r="J242" s="1" t="s">
        <v>1708</v>
      </c>
      <c r="M242" s="6" t="str">
        <f t="shared" ref="M242:R242" si="241">CONCAT(A242,",")</f>
        <v>downward,</v>
      </c>
      <c r="N242" s="6" t="str">
        <f t="shared" si="241"/>
        <v>champion,</v>
      </c>
      <c r="O242" s="6" t="str">
        <f t="shared" si="241"/>
        <v>her,</v>
      </c>
      <c r="P242" s="6" t="str">
        <f t="shared" si="241"/>
        <v>conviction,</v>
      </c>
      <c r="Q242" s="6" t="str">
        <f t="shared" si="241"/>
        <v>questions,</v>
      </c>
      <c r="R242" s="6" t="str">
        <f t="shared" si="241"/>
        <v>manages,</v>
      </c>
    </row>
    <row r="243">
      <c r="A243" s="1" t="s">
        <v>1680</v>
      </c>
      <c r="B243" s="1" t="s">
        <v>173</v>
      </c>
      <c r="C243" s="1" t="s">
        <v>1823</v>
      </c>
      <c r="D243" s="1" t="s">
        <v>419</v>
      </c>
      <c r="E243" s="1" t="s">
        <v>1091</v>
      </c>
      <c r="F243" s="1" t="s">
        <v>596</v>
      </c>
      <c r="H243" s="1" t="s">
        <v>1682</v>
      </c>
      <c r="I243" s="1" t="s">
        <v>4067</v>
      </c>
      <c r="J243" s="1" t="s">
        <v>316</v>
      </c>
      <c r="M243" s="6" t="str">
        <f t="shared" ref="M243:R243" si="242">CONCAT(A243,",")</f>
        <v>evolve,</v>
      </c>
      <c r="N243" s="6" t="str">
        <f t="shared" si="242"/>
        <v>adaptation,</v>
      </c>
      <c r="O243" s="6" t="str">
        <f t="shared" si="242"/>
        <v>cell,</v>
      </c>
      <c r="P243" s="6" t="str">
        <f t="shared" si="242"/>
        <v>bourne,</v>
      </c>
      <c r="Q243" s="6" t="str">
        <f t="shared" si="242"/>
        <v>difference,</v>
      </c>
      <c r="R243" s="6" t="str">
        <f t="shared" si="242"/>
        <v>intensity,</v>
      </c>
    </row>
    <row r="244">
      <c r="A244" s="1" t="s">
        <v>1687</v>
      </c>
      <c r="B244" s="1" t="s">
        <v>1688</v>
      </c>
      <c r="C244" s="1" t="s">
        <v>2098</v>
      </c>
      <c r="D244" s="1" t="s">
        <v>1694</v>
      </c>
      <c r="E244" s="1" t="s">
        <v>1077</v>
      </c>
      <c r="F244" s="1" t="s">
        <v>609</v>
      </c>
      <c r="H244" s="1" t="s">
        <v>56</v>
      </c>
      <c r="I244" s="1" t="s">
        <v>1035</v>
      </c>
      <c r="J244" s="1" t="s">
        <v>183</v>
      </c>
      <c r="M244" s="6" t="str">
        <f t="shared" ref="M244:R244" si="243">CONCAT(A244,",")</f>
        <v>dies,</v>
      </c>
      <c r="N244" s="6" t="str">
        <f t="shared" si="243"/>
        <v>interesting,</v>
      </c>
      <c r="O244" s="6" t="str">
        <f t="shared" si="243"/>
        <v>dogs,</v>
      </c>
      <c r="P244" s="6" t="str">
        <f t="shared" si="243"/>
        <v>jason,</v>
      </c>
      <c r="Q244" s="6" t="str">
        <f t="shared" si="243"/>
        <v>comic,</v>
      </c>
      <c r="R244" s="6" t="str">
        <f t="shared" si="243"/>
        <v>flair,</v>
      </c>
    </row>
    <row r="245">
      <c r="A245" s="1" t="s">
        <v>1695</v>
      </c>
      <c r="B245" s="1" t="s">
        <v>309</v>
      </c>
      <c r="C245" s="1" t="s">
        <v>2112</v>
      </c>
      <c r="D245" s="1" t="s">
        <v>1408</v>
      </c>
      <c r="E245" s="1" t="s">
        <v>645</v>
      </c>
      <c r="F245" s="1" t="s">
        <v>1280</v>
      </c>
      <c r="H245" s="1" t="s">
        <v>1697</v>
      </c>
      <c r="I245" s="1" t="s">
        <v>465</v>
      </c>
      <c r="J245" s="1" t="s">
        <v>937</v>
      </c>
      <c r="M245" s="6" t="str">
        <f t="shared" ref="M245:R245" si="244">CONCAT(A245,",")</f>
        <v>examines,</v>
      </c>
      <c r="N245" s="6" t="str">
        <f t="shared" si="244"/>
        <v>descends,</v>
      </c>
      <c r="O245" s="6" t="str">
        <f t="shared" si="244"/>
        <v>possible,</v>
      </c>
      <c r="P245" s="6" t="str">
        <f t="shared" si="244"/>
        <v>role,</v>
      </c>
      <c r="Q245" s="6" t="str">
        <f t="shared" si="244"/>
        <v>moments,</v>
      </c>
      <c r="R245" s="6" t="str">
        <f t="shared" si="244"/>
        <v>terrific,</v>
      </c>
    </row>
    <row r="246">
      <c r="A246" s="1" t="s">
        <v>1445</v>
      </c>
      <c r="B246" s="1" t="s">
        <v>1701</v>
      </c>
      <c r="C246" s="1" t="s">
        <v>107</v>
      </c>
      <c r="D246" s="1" t="s">
        <v>1393</v>
      </c>
      <c r="E246" s="1" t="s">
        <v>668</v>
      </c>
      <c r="F246" s="1" t="s">
        <v>711</v>
      </c>
      <c r="H246" s="1" t="s">
        <v>742</v>
      </c>
      <c r="I246" s="1" t="s">
        <v>6301</v>
      </c>
      <c r="J246" s="1" t="s">
        <v>1730</v>
      </c>
      <c r="M246" s="6" t="str">
        <f t="shared" ref="M246:R246" si="245">CONCAT(A246,",")</f>
        <v>heroic,</v>
      </c>
      <c r="N246" s="6" t="str">
        <f t="shared" si="245"/>
        <v>works,</v>
      </c>
      <c r="O246" s="6" t="str">
        <f t="shared" si="245"/>
        <v>most,</v>
      </c>
      <c r="P246" s="6" t="str">
        <f t="shared" si="245"/>
        <v>brings,</v>
      </c>
      <c r="Q246" s="6" t="str">
        <f t="shared" si="245"/>
        <v>become,</v>
      </c>
      <c r="R246" s="6" t="str">
        <f t="shared" si="245"/>
        <v>family,</v>
      </c>
    </row>
    <row r="247">
      <c r="A247" s="1" t="s">
        <v>1707</v>
      </c>
      <c r="B247" s="1" t="s">
        <v>1708</v>
      </c>
      <c r="C247" s="1" t="s">
        <v>2116</v>
      </c>
      <c r="D247" s="1" t="s">
        <v>787</v>
      </c>
      <c r="E247" s="1" t="s">
        <v>651</v>
      </c>
      <c r="F247" s="1" t="s">
        <v>1291</v>
      </c>
      <c r="H247" s="1" t="s">
        <v>1710</v>
      </c>
      <c r="I247" s="1" t="s">
        <v>485</v>
      </c>
      <c r="J247" s="1" t="s">
        <v>1992</v>
      </c>
      <c r="M247" s="6" t="str">
        <f t="shared" ref="M247:R247" si="246">CONCAT(A247,",")</f>
        <v>foolish,</v>
      </c>
      <c r="N247" s="6" t="str">
        <f t="shared" si="246"/>
        <v>keeping,</v>
      </c>
      <c r="O247" s="6" t="str">
        <f t="shared" si="246"/>
        <v>sleep,</v>
      </c>
      <c r="P247" s="6" t="str">
        <f t="shared" si="246"/>
        <v>diplomacy,</v>
      </c>
      <c r="Q247" s="6" t="str">
        <f t="shared" si="246"/>
        <v>standard,</v>
      </c>
      <c r="R247" s="6" t="str">
        <f t="shared" si="246"/>
        <v>entertainment,</v>
      </c>
    </row>
    <row r="248">
      <c r="A248" s="1" t="s">
        <v>1713</v>
      </c>
      <c r="B248" s="1" t="s">
        <v>316</v>
      </c>
      <c r="C248" s="1" t="s">
        <v>2120</v>
      </c>
      <c r="D248" s="1" t="s">
        <v>794</v>
      </c>
      <c r="E248" s="1" t="s">
        <v>659</v>
      </c>
      <c r="F248" s="1" t="s">
        <v>613</v>
      </c>
      <c r="H248" s="1" t="s">
        <v>1714</v>
      </c>
      <c r="I248" s="1" t="s">
        <v>322</v>
      </c>
      <c r="J248" s="1" t="s">
        <v>530</v>
      </c>
      <c r="M248" s="6" t="str">
        <f t="shared" ref="M248:R248" si="247">CONCAT(A248,",")</f>
        <v>formed,</v>
      </c>
      <c r="N248" s="6" t="str">
        <f t="shared" si="247"/>
        <v>derivative,</v>
      </c>
      <c r="O248" s="6" t="str">
        <f t="shared" si="247"/>
        <v>humane,</v>
      </c>
      <c r="P248" s="6" t="str">
        <f t="shared" si="247"/>
        <v>charm,</v>
      </c>
      <c r="Q248" s="6" t="str">
        <f t="shared" si="247"/>
        <v>follow,</v>
      </c>
      <c r="R248" s="6" t="str">
        <f t="shared" si="247"/>
        <v>animated,</v>
      </c>
    </row>
    <row r="249">
      <c r="A249" s="1" t="s">
        <v>1717</v>
      </c>
      <c r="B249" s="1" t="s">
        <v>183</v>
      </c>
      <c r="C249" s="1" t="s">
        <v>2124</v>
      </c>
      <c r="D249" s="1" t="s">
        <v>1418</v>
      </c>
      <c r="E249" s="1" t="s">
        <v>1124</v>
      </c>
      <c r="F249" s="1" t="s">
        <v>1120</v>
      </c>
      <c r="H249" s="1" t="s">
        <v>1718</v>
      </c>
      <c r="I249" s="1" t="s">
        <v>6302</v>
      </c>
      <c r="J249" s="1" t="s">
        <v>87</v>
      </c>
      <c r="M249" s="6" t="str">
        <f t="shared" ref="M249:R249" si="248">CONCAT(A249,",")</f>
        <v>offended,</v>
      </c>
      <c r="N249" s="6" t="str">
        <f t="shared" si="248"/>
        <v>sequel,</v>
      </c>
      <c r="O249" s="6" t="str">
        <f t="shared" si="248"/>
        <v>afford,</v>
      </c>
      <c r="P249" s="6" t="str">
        <f t="shared" si="248"/>
        <v>generosity,</v>
      </c>
      <c r="Q249" s="6" t="str">
        <f t="shared" si="248"/>
        <v>criminal,</v>
      </c>
      <c r="R249" s="6" t="str">
        <f t="shared" si="248"/>
        <v>anyone,</v>
      </c>
    </row>
    <row r="250">
      <c r="A250" s="1" t="s">
        <v>1723</v>
      </c>
      <c r="B250" s="1" t="s">
        <v>932</v>
      </c>
      <c r="C250" s="1" t="s">
        <v>2127</v>
      </c>
      <c r="D250" s="1" t="s">
        <v>53</v>
      </c>
      <c r="E250" s="1" t="s">
        <v>1117</v>
      </c>
      <c r="F250" s="1" t="s">
        <v>652</v>
      </c>
      <c r="H250" s="1" t="s">
        <v>1725</v>
      </c>
      <c r="I250" s="1" t="s">
        <v>4211</v>
      </c>
      <c r="J250" s="1" t="s">
        <v>918</v>
      </c>
      <c r="M250" s="6" t="str">
        <f t="shared" ref="M250:R250" si="249">CONCAT(A250,",")</f>
        <v>fused,</v>
      </c>
      <c r="N250" s="6" t="str">
        <f t="shared" si="249"/>
        <v>archives,</v>
      </c>
      <c r="O250" s="6" t="str">
        <f t="shared" si="249"/>
        <v>pain,</v>
      </c>
      <c r="P250" s="6" t="str">
        <f t="shared" si="249"/>
        <v>years,</v>
      </c>
      <c r="Q250" s="6" t="str">
        <f t="shared" si="249"/>
        <v>explore,</v>
      </c>
      <c r="R250" s="6" t="str">
        <f t="shared" si="249"/>
        <v>you,</v>
      </c>
    </row>
    <row r="251">
      <c r="A251" s="1" t="s">
        <v>1729</v>
      </c>
      <c r="B251" s="1" t="s">
        <v>1730</v>
      </c>
      <c r="C251" s="1" t="s">
        <v>152</v>
      </c>
      <c r="D251" s="1" t="s">
        <v>1734</v>
      </c>
      <c r="E251" s="1" t="s">
        <v>1385</v>
      </c>
      <c r="F251" s="1" t="s">
        <v>1525</v>
      </c>
      <c r="H251" s="1" t="s">
        <v>1698</v>
      </c>
      <c r="I251" s="1" t="s">
        <v>1255</v>
      </c>
      <c r="J251" s="1" t="s">
        <v>1257</v>
      </c>
      <c r="M251" s="6" t="str">
        <f t="shared" ref="M251:R251" si="250">CONCAT(A251,",")</f>
        <v>reaches,</v>
      </c>
      <c r="N251" s="6" t="str">
        <f t="shared" si="250"/>
        <v>despite,</v>
      </c>
      <c r="O251" s="6" t="str">
        <f t="shared" si="250"/>
        <v>could,</v>
      </c>
      <c r="P251" s="6" t="str">
        <f t="shared" si="250"/>
        <v>share,</v>
      </c>
      <c r="Q251" s="6" t="str">
        <f t="shared" si="250"/>
        <v>yet,</v>
      </c>
      <c r="R251" s="6" t="str">
        <f t="shared" si="250"/>
        <v>written,</v>
      </c>
    </row>
    <row r="252">
      <c r="A252" s="1" t="s">
        <v>1735</v>
      </c>
      <c r="B252" s="1" t="s">
        <v>1736</v>
      </c>
      <c r="C252" s="1" t="s">
        <v>2132</v>
      </c>
      <c r="D252" s="1" t="s">
        <v>857</v>
      </c>
      <c r="E252" s="1" t="s">
        <v>5108</v>
      </c>
      <c r="F252" s="1" t="s">
        <v>1307</v>
      </c>
      <c r="H252" s="1" t="s">
        <v>1738</v>
      </c>
      <c r="I252" s="1" t="s">
        <v>881</v>
      </c>
      <c r="J252" s="1" t="s">
        <v>1020</v>
      </c>
      <c r="M252" s="6" t="str">
        <f t="shared" ref="M252:R252" si="251">CONCAT(A252,",")</f>
        <v>effectively,</v>
      </c>
      <c r="N252" s="6" t="str">
        <f t="shared" si="251"/>
        <v>argues,</v>
      </c>
      <c r="O252" s="6" t="str">
        <f t="shared" si="251"/>
        <v>sign,</v>
      </c>
      <c r="P252" s="6" t="str">
        <f t="shared" si="251"/>
        <v>effort,</v>
      </c>
      <c r="Q252" s="6" t="str">
        <f t="shared" si="251"/>
        <v>sudden,</v>
      </c>
      <c r="R252" s="6" t="str">
        <f t="shared" si="251"/>
        <v>central,</v>
      </c>
    </row>
    <row r="253">
      <c r="A253" s="1" t="s">
        <v>1743</v>
      </c>
      <c r="B253" s="1" t="s">
        <v>942</v>
      </c>
      <c r="C253" s="1" t="s">
        <v>2135</v>
      </c>
      <c r="D253" s="1" t="s">
        <v>875</v>
      </c>
      <c r="E253" s="1" t="s">
        <v>175</v>
      </c>
      <c r="F253" s="1" t="s">
        <v>1055</v>
      </c>
      <c r="H253" s="1" t="s">
        <v>1745</v>
      </c>
      <c r="I253" s="1" t="s">
        <v>1247</v>
      </c>
      <c r="J253" s="1" t="s">
        <v>333</v>
      </c>
      <c r="M253" s="6" t="str">
        <f t="shared" ref="M253:R253" si="252">CONCAT(A253,",")</f>
        <v>precise,</v>
      </c>
      <c r="N253" s="6" t="str">
        <f t="shared" si="252"/>
        <v>ambitions,</v>
      </c>
      <c r="O253" s="6" t="str">
        <f t="shared" si="252"/>
        <v>decided,</v>
      </c>
      <c r="P253" s="6" t="str">
        <f t="shared" si="252"/>
        <v>engaging,</v>
      </c>
      <c r="Q253" s="6" t="str">
        <f t="shared" si="252"/>
        <v>wisdom,</v>
      </c>
      <c r="R253" s="6" t="str">
        <f t="shared" si="252"/>
        <v>alternating,</v>
      </c>
    </row>
    <row r="254">
      <c r="A254" s="1" t="s">
        <v>1747</v>
      </c>
      <c r="B254" s="1" t="s">
        <v>530</v>
      </c>
      <c r="C254" s="1" t="s">
        <v>664</v>
      </c>
      <c r="D254" s="1" t="s">
        <v>802</v>
      </c>
      <c r="E254" s="1" t="s">
        <v>5412</v>
      </c>
      <c r="F254" s="1" t="s">
        <v>627</v>
      </c>
      <c r="H254" s="1" t="s">
        <v>1748</v>
      </c>
      <c r="I254" s="1" t="s">
        <v>1102</v>
      </c>
      <c r="J254" s="1" t="s">
        <v>2014</v>
      </c>
      <c r="M254" s="6" t="str">
        <f t="shared" ref="M254:R254" si="253">CONCAT(A254,",")</f>
        <v>playfully,</v>
      </c>
      <c r="N254" s="6" t="str">
        <f t="shared" si="253"/>
        <v>problem,</v>
      </c>
      <c r="O254" s="6" t="str">
        <f t="shared" si="253"/>
        <v>another,</v>
      </c>
      <c r="P254" s="6" t="str">
        <f t="shared" si="253"/>
        <v>collapse,</v>
      </c>
      <c r="Q254" s="6" t="str">
        <f t="shared" si="253"/>
        <v>career,</v>
      </c>
      <c r="R254" s="6" t="str">
        <f t="shared" si="253"/>
        <v>parody,</v>
      </c>
    </row>
    <row r="255">
      <c r="A255" s="1" t="s">
        <v>1751</v>
      </c>
      <c r="B255" s="1" t="s">
        <v>87</v>
      </c>
      <c r="C255" s="1" t="s">
        <v>2140</v>
      </c>
      <c r="D255" s="1" t="s">
        <v>807</v>
      </c>
      <c r="E255" s="1" t="s">
        <v>1131</v>
      </c>
      <c r="F255" s="1" t="s">
        <v>647</v>
      </c>
      <c r="H255" s="1">
        <v>2002.0</v>
      </c>
      <c r="I255" s="1" t="s">
        <v>1097</v>
      </c>
      <c r="J255" s="1" t="s">
        <v>1770</v>
      </c>
      <c r="M255" s="6" t="str">
        <f t="shared" ref="M255:R255" si="254">CONCAT(A255,",")</f>
        <v>bolt,</v>
      </c>
      <c r="N255" s="6" t="str">
        <f t="shared" si="254"/>
        <v>compelling,</v>
      </c>
      <c r="O255" s="6" t="str">
        <f t="shared" si="254"/>
        <v>someone,</v>
      </c>
      <c r="P255" s="6" t="str">
        <f t="shared" si="254"/>
        <v>forgive,</v>
      </c>
      <c r="Q255" s="6" t="str">
        <f t="shared" si="254"/>
        <v>directed,</v>
      </c>
      <c r="R255" s="6" t="str">
        <f t="shared" si="254"/>
        <v>pulp,</v>
      </c>
    </row>
    <row r="256">
      <c r="A256" s="1" t="s">
        <v>1753</v>
      </c>
      <c r="B256" s="1" t="s">
        <v>1754</v>
      </c>
      <c r="C256" s="1" t="s">
        <v>2156</v>
      </c>
      <c r="D256" s="1" t="s">
        <v>812</v>
      </c>
      <c r="E256" s="1" t="s">
        <v>663</v>
      </c>
      <c r="F256" s="1" t="s">
        <v>1360</v>
      </c>
      <c r="H256" s="1" t="s">
        <v>1756</v>
      </c>
      <c r="I256" s="1" t="s">
        <v>1089</v>
      </c>
      <c r="J256" s="1" t="s">
        <v>822</v>
      </c>
      <c r="M256" s="6" t="str">
        <f t="shared" ref="M256:R256" si="255">CONCAT(A256,",")</f>
        <v>screams,</v>
      </c>
      <c r="N256" s="6" t="str">
        <f t="shared" si="255"/>
        <v>mere,</v>
      </c>
      <c r="O256" s="6" t="str">
        <f t="shared" si="255"/>
        <v>procedure,</v>
      </c>
      <c r="P256" s="6" t="str">
        <f t="shared" si="255"/>
        <v>flaws,</v>
      </c>
      <c r="Q256" s="6" t="str">
        <f t="shared" si="255"/>
        <v>washington,</v>
      </c>
      <c r="R256" s="6" t="str">
        <f t="shared" si="255"/>
        <v>questions,</v>
      </c>
    </row>
    <row r="257">
      <c r="A257" s="1" t="s">
        <v>1760</v>
      </c>
      <c r="B257" s="1">
        <v>84.0</v>
      </c>
      <c r="C257" s="1" t="s">
        <v>1428</v>
      </c>
      <c r="D257" s="1" t="s">
        <v>1469</v>
      </c>
      <c r="E257" s="1" t="s">
        <v>2307</v>
      </c>
      <c r="F257" s="1" t="s">
        <v>1091</v>
      </c>
      <c r="H257" s="1" t="s">
        <v>1761</v>
      </c>
      <c r="I257" s="1" t="s">
        <v>4361</v>
      </c>
      <c r="J257" s="1" t="s">
        <v>2023</v>
      </c>
      <c r="M257" s="6" t="str">
        <f t="shared" ref="M257:R257" si="256">CONCAT(A257,",")</f>
        <v>knockout,</v>
      </c>
      <c r="N257" s="6" t="str">
        <f t="shared" si="256"/>
        <v>84,</v>
      </c>
      <c r="O257" s="6" t="str">
        <f t="shared" si="256"/>
        <v>read,</v>
      </c>
      <c r="P257" s="6" t="str">
        <f t="shared" si="256"/>
        <v>tool,</v>
      </c>
      <c r="Q257" s="6" t="str">
        <f t="shared" si="256"/>
        <v>clear,</v>
      </c>
      <c r="R257" s="6" t="str">
        <f t="shared" si="256"/>
        <v>difference,</v>
      </c>
    </row>
    <row r="258">
      <c r="A258" s="1" t="s">
        <v>1764</v>
      </c>
      <c r="B258" s="1" t="s">
        <v>333</v>
      </c>
      <c r="C258" s="1" t="s">
        <v>936</v>
      </c>
      <c r="D258" s="1" t="s">
        <v>1769</v>
      </c>
      <c r="E258" s="1" t="s">
        <v>1642</v>
      </c>
      <c r="F258" s="1" t="s">
        <v>645</v>
      </c>
      <c r="H258" s="1" t="s">
        <v>459</v>
      </c>
      <c r="I258" s="1" t="s">
        <v>554</v>
      </c>
      <c r="J258" s="1" t="s">
        <v>2041</v>
      </c>
      <c r="M258" s="6" t="str">
        <f t="shared" ref="M258:R258" si="257">CONCAT(A258,",")</f>
        <v>rooted,</v>
      </c>
      <c r="N258" s="6" t="str">
        <f t="shared" si="257"/>
        <v>procession,</v>
      </c>
      <c r="O258" s="6" t="str">
        <f t="shared" si="257"/>
        <v>may,</v>
      </c>
      <c r="P258" s="6" t="str">
        <f t="shared" si="257"/>
        <v>serves,</v>
      </c>
      <c r="Q258" s="6" t="str">
        <f t="shared" si="257"/>
        <v>ahead,</v>
      </c>
      <c r="R258" s="6" t="str">
        <f t="shared" si="257"/>
        <v>moments,</v>
      </c>
    </row>
    <row r="259">
      <c r="A259" s="1" t="s">
        <v>519</v>
      </c>
      <c r="B259" s="1" t="s">
        <v>1770</v>
      </c>
      <c r="C259" s="1" t="s">
        <v>2162</v>
      </c>
      <c r="D259" s="1" t="s">
        <v>1774</v>
      </c>
      <c r="E259" s="1" t="s">
        <v>1143</v>
      </c>
      <c r="F259" s="1" t="s">
        <v>223</v>
      </c>
      <c r="H259" s="1" t="s">
        <v>512</v>
      </c>
      <c r="I259" s="1" t="s">
        <v>6256</v>
      </c>
      <c r="J259" s="1" t="s">
        <v>6308</v>
      </c>
      <c r="M259" s="6" t="str">
        <f t="shared" ref="M259:R259" si="258">CONCAT(A259,",")</f>
        <v>strains,</v>
      </c>
      <c r="N259" s="6" t="str">
        <f t="shared" si="258"/>
        <v>remarkable,</v>
      </c>
      <c r="O259" s="6" t="str">
        <f t="shared" si="258"/>
        <v>working,</v>
      </c>
      <c r="P259" s="6" t="str">
        <f t="shared" si="258"/>
        <v>learning,</v>
      </c>
      <c r="Q259" s="6" t="str">
        <f t="shared" si="258"/>
        <v>certainly,</v>
      </c>
      <c r="R259" s="6" t="str">
        <f t="shared" si="258"/>
        <v>artworks,</v>
      </c>
    </row>
    <row r="260">
      <c r="A260" s="1" t="s">
        <v>329</v>
      </c>
      <c r="B260" s="1" t="s">
        <v>1775</v>
      </c>
      <c r="C260" s="1" t="s">
        <v>955</v>
      </c>
      <c r="D260" s="1" t="s">
        <v>890</v>
      </c>
      <c r="E260" s="1" t="s">
        <v>4571</v>
      </c>
      <c r="F260" s="1" t="s">
        <v>668</v>
      </c>
      <c r="H260" s="1" t="s">
        <v>719</v>
      </c>
      <c r="I260" s="1" t="s">
        <v>1116</v>
      </c>
      <c r="J260" s="1" t="s">
        <v>6309</v>
      </c>
      <c r="M260" s="6" t="str">
        <f t="shared" ref="M260:R260" si="259">CONCAT(A260,",")</f>
        <v>fiercely,</v>
      </c>
      <c r="N260" s="6" t="str">
        <f t="shared" si="259"/>
        <v>date,</v>
      </c>
      <c r="O260" s="6" t="str">
        <f t="shared" si="259"/>
        <v>times,</v>
      </c>
      <c r="P260" s="6" t="str">
        <f t="shared" si="259"/>
        <v>effective,</v>
      </c>
      <c r="Q260" s="6" t="str">
        <f t="shared" si="259"/>
        <v>memory,</v>
      </c>
      <c r="R260" s="6" t="str">
        <f t="shared" si="259"/>
        <v>become,</v>
      </c>
    </row>
    <row r="261">
      <c r="A261" s="1" t="s">
        <v>1778</v>
      </c>
      <c r="B261" s="1" t="s">
        <v>1779</v>
      </c>
      <c r="C261" s="1" t="s">
        <v>466</v>
      </c>
      <c r="D261" s="1" t="s">
        <v>1489</v>
      </c>
      <c r="E261" s="1" t="s">
        <v>172</v>
      </c>
      <c r="F261" s="1" t="s">
        <v>1117</v>
      </c>
      <c r="H261" s="1" t="s">
        <v>467</v>
      </c>
      <c r="I261" s="1" t="s">
        <v>1304</v>
      </c>
      <c r="J261" s="1" t="s">
        <v>972</v>
      </c>
      <c r="M261" s="6" t="str">
        <f t="shared" ref="M261:R261" si="260">CONCAT(A261,",")</f>
        <v>wreckage,</v>
      </c>
      <c r="N261" s="6" t="str">
        <f t="shared" si="260"/>
        <v>short,</v>
      </c>
      <c r="O261" s="6" t="str">
        <f t="shared" si="260"/>
        <v>young,</v>
      </c>
      <c r="P261" s="6" t="str">
        <f t="shared" si="260"/>
        <v>community,</v>
      </c>
      <c r="Q261" s="6" t="str">
        <f t="shared" si="260"/>
        <v>long,</v>
      </c>
      <c r="R261" s="6" t="str">
        <f t="shared" si="260"/>
        <v>explore,</v>
      </c>
    </row>
    <row r="262">
      <c r="A262" s="1" t="s">
        <v>1785</v>
      </c>
      <c r="B262" s="1" t="s">
        <v>1786</v>
      </c>
      <c r="C262" s="1" t="s">
        <v>939</v>
      </c>
      <c r="D262" s="1" t="s">
        <v>1791</v>
      </c>
      <c r="E262" s="1" t="s">
        <v>684</v>
      </c>
      <c r="F262" s="1" t="s">
        <v>651</v>
      </c>
      <c r="H262" s="1" t="s">
        <v>1788</v>
      </c>
      <c r="I262" s="1" t="s">
        <v>528</v>
      </c>
      <c r="J262" s="1" t="s">
        <v>267</v>
      </c>
      <c r="M262" s="6" t="str">
        <f t="shared" ref="M262:R262" si="261">CONCAT(A262,",")</f>
        <v>ordeal,</v>
      </c>
      <c r="N262" s="6" t="str">
        <f t="shared" si="261"/>
        <v>pleasant,</v>
      </c>
      <c r="O262" s="6" t="str">
        <f t="shared" si="261"/>
        <v>work,</v>
      </c>
      <c r="P262" s="6" t="str">
        <f t="shared" si="261"/>
        <v>importance,</v>
      </c>
      <c r="Q262" s="6" t="str">
        <f t="shared" si="261"/>
        <v>eyes,</v>
      </c>
      <c r="R262" s="6" t="str">
        <f t="shared" si="261"/>
        <v>standard,</v>
      </c>
    </row>
    <row r="263">
      <c r="A263" s="1" t="s">
        <v>1792</v>
      </c>
      <c r="B263" s="1" t="s">
        <v>1793</v>
      </c>
      <c r="C263" s="1" t="s">
        <v>2180</v>
      </c>
      <c r="D263" s="1" t="s">
        <v>818</v>
      </c>
      <c r="E263" s="1" t="s">
        <v>726</v>
      </c>
      <c r="F263" s="1" t="s">
        <v>1380</v>
      </c>
      <c r="H263" s="1" t="s">
        <v>1796</v>
      </c>
      <c r="I263" s="1" t="s">
        <v>463</v>
      </c>
      <c r="J263" s="1" t="s">
        <v>1121</v>
      </c>
      <c r="M263" s="6" t="str">
        <f t="shared" ref="M263:R263" si="262">CONCAT(A263,",")</f>
        <v>plateau,</v>
      </c>
      <c r="N263" s="6" t="str">
        <f t="shared" si="262"/>
        <v>slightest,</v>
      </c>
      <c r="O263" s="6" t="str">
        <f t="shared" si="262"/>
        <v>thinking,</v>
      </c>
      <c r="P263" s="6" t="str">
        <f t="shared" si="262"/>
        <v>conquer,</v>
      </c>
      <c r="Q263" s="6" t="str">
        <f t="shared" si="262"/>
        <v>away,</v>
      </c>
      <c r="R263" s="6" t="str">
        <f t="shared" si="262"/>
        <v>stale,</v>
      </c>
    </row>
    <row r="264">
      <c r="A264" s="1" t="s">
        <v>1800</v>
      </c>
      <c r="B264" s="1" t="s">
        <v>972</v>
      </c>
      <c r="C264" s="1" t="s">
        <v>2184</v>
      </c>
      <c r="D264" s="1" t="s">
        <v>825</v>
      </c>
      <c r="E264" s="1" t="s">
        <v>1428</v>
      </c>
      <c r="F264" s="1" t="s">
        <v>6310</v>
      </c>
      <c r="H264" s="1" t="s">
        <v>1802</v>
      </c>
      <c r="I264" s="1" t="s">
        <v>537</v>
      </c>
      <c r="J264" s="1">
        <v>90.0</v>
      </c>
      <c r="M264" s="6" t="str">
        <f t="shared" ref="M264:R264" si="263">CONCAT(A264,",")</f>
        <v>discarded,</v>
      </c>
      <c r="N264" s="6" t="str">
        <f t="shared" si="263"/>
        <v>wildly,</v>
      </c>
      <c r="O264" s="6" t="str">
        <f t="shared" si="263"/>
        <v>happen,</v>
      </c>
      <c r="P264" s="6" t="str">
        <f t="shared" si="263"/>
        <v>business,</v>
      </c>
      <c r="Q264" s="6" t="str">
        <f t="shared" si="263"/>
        <v>read,</v>
      </c>
      <c r="R264" s="6" t="str">
        <f t="shared" si="263"/>
        <v>!,</v>
      </c>
    </row>
    <row r="265">
      <c r="A265" s="1" t="s">
        <v>1805</v>
      </c>
      <c r="B265" s="1" t="s">
        <v>1806</v>
      </c>
      <c r="C265" s="1" t="s">
        <v>2187</v>
      </c>
      <c r="D265" s="1" t="s">
        <v>1517</v>
      </c>
      <c r="E265" s="1" t="s">
        <v>688</v>
      </c>
      <c r="F265" s="1" t="s">
        <v>5108</v>
      </c>
      <c r="H265" s="1" t="s">
        <v>217</v>
      </c>
      <c r="I265" s="1" t="s">
        <v>810</v>
      </c>
      <c r="J265" s="1" t="s">
        <v>1806</v>
      </c>
      <c r="M265" s="6" t="str">
        <f t="shared" ref="M265:R265" si="264">CONCAT(A265,",")</f>
        <v>humming,</v>
      </c>
      <c r="N265" s="6" t="str">
        <f t="shared" si="264"/>
        <v>videos,</v>
      </c>
      <c r="O265" s="6" t="str">
        <f t="shared" si="264"/>
        <v>conversation,</v>
      </c>
      <c r="P265" s="6" t="str">
        <f t="shared" si="264"/>
        <v>delivers,</v>
      </c>
      <c r="Q265" s="6" t="str">
        <f t="shared" si="264"/>
        <v>images,</v>
      </c>
      <c r="R265" s="6" t="str">
        <f t="shared" si="264"/>
        <v>sudden,</v>
      </c>
    </row>
    <row r="266">
      <c r="A266" s="1" t="s">
        <v>1702</v>
      </c>
      <c r="B266" s="1" t="s">
        <v>1121</v>
      </c>
      <c r="C266" s="1" t="s">
        <v>983</v>
      </c>
      <c r="D266" s="1" t="s">
        <v>1816</v>
      </c>
      <c r="E266" s="1" t="s">
        <v>1440</v>
      </c>
      <c r="F266" s="1" t="s">
        <v>175</v>
      </c>
      <c r="H266" s="1" t="s">
        <v>1789</v>
      </c>
      <c r="I266" s="1" t="s">
        <v>2986</v>
      </c>
      <c r="J266" s="1" t="s">
        <v>1045</v>
      </c>
      <c r="M266" s="6" t="str">
        <f t="shared" ref="M266:R266" si="265">CONCAT(A266,",")</f>
        <v>commands,</v>
      </c>
      <c r="N266" s="6" t="str">
        <f t="shared" si="265"/>
        <v>music,</v>
      </c>
      <c r="O266" s="6" t="str">
        <f t="shared" si="265"/>
        <v>near,</v>
      </c>
      <c r="P266" s="6" t="str">
        <f t="shared" si="265"/>
        <v>plans,</v>
      </c>
      <c r="Q266" s="6" t="str">
        <f t="shared" si="265"/>
        <v>hate,</v>
      </c>
      <c r="R266" s="6" t="str">
        <f t="shared" si="265"/>
        <v>wisdom,</v>
      </c>
    </row>
    <row r="267">
      <c r="A267" s="1" t="s">
        <v>1817</v>
      </c>
      <c r="B267" s="1" t="s">
        <v>1818</v>
      </c>
      <c r="C267" s="1" t="s">
        <v>980</v>
      </c>
      <c r="D267" s="1" t="s">
        <v>1823</v>
      </c>
      <c r="E267" s="1" t="s">
        <v>681</v>
      </c>
      <c r="F267" s="1" t="s">
        <v>1642</v>
      </c>
      <c r="H267" s="1" t="s">
        <v>1443</v>
      </c>
      <c r="I267" s="1" t="s">
        <v>1171</v>
      </c>
      <c r="J267" s="1" t="s">
        <v>306</v>
      </c>
      <c r="M267" s="6" t="str">
        <f t="shared" ref="M267:R267" si="266">CONCAT(A267,",")</f>
        <v>prominent,</v>
      </c>
      <c r="N267" s="6" t="str">
        <f t="shared" si="266"/>
        <v>color,</v>
      </c>
      <c r="O267" s="6" t="str">
        <f t="shared" si="266"/>
        <v>party,</v>
      </c>
      <c r="P267" s="6" t="str">
        <f t="shared" si="266"/>
        <v>cell,</v>
      </c>
      <c r="Q267" s="6" t="str">
        <f t="shared" si="266"/>
        <v>tear,</v>
      </c>
      <c r="R267" s="6" t="str">
        <f t="shared" si="266"/>
        <v>ahead,</v>
      </c>
    </row>
    <row r="268">
      <c r="A268" s="1" t="s">
        <v>1824</v>
      </c>
      <c r="B268" s="1" t="s">
        <v>344</v>
      </c>
      <c r="C268" s="1" t="s">
        <v>1883</v>
      </c>
      <c r="D268" s="1" t="s">
        <v>1524</v>
      </c>
      <c r="E268" s="1" t="s">
        <v>1179</v>
      </c>
      <c r="F268" s="1" t="s">
        <v>4571</v>
      </c>
      <c r="H268" s="1" t="s">
        <v>384</v>
      </c>
      <c r="I268" s="1" t="s">
        <v>6304</v>
      </c>
      <c r="J268" s="1" t="s">
        <v>599</v>
      </c>
      <c r="M268" s="6" t="str">
        <f t="shared" ref="M268:R268" si="267">CONCAT(A268,",")</f>
        <v>yields,</v>
      </c>
      <c r="N268" s="6" t="str">
        <f t="shared" si="267"/>
        <v>preliminary,</v>
      </c>
      <c r="O268" s="6" t="str">
        <f t="shared" si="267"/>
        <v>others,</v>
      </c>
      <c r="P268" s="6" t="str">
        <f t="shared" si="267"/>
        <v>roll,</v>
      </c>
      <c r="Q268" s="6" t="str">
        <f t="shared" si="267"/>
        <v>addition,</v>
      </c>
      <c r="R268" s="6" t="str">
        <f t="shared" si="267"/>
        <v>memory,</v>
      </c>
    </row>
    <row r="269">
      <c r="A269" s="1" t="s">
        <v>1500</v>
      </c>
      <c r="B269" s="1" t="s">
        <v>1827</v>
      </c>
      <c r="C269" s="1" t="s">
        <v>2213</v>
      </c>
      <c r="D269" s="1" t="s">
        <v>257</v>
      </c>
      <c r="E269" s="1" t="s">
        <v>1453</v>
      </c>
      <c r="F269" s="1" t="s">
        <v>677</v>
      </c>
      <c r="H269" s="1" t="s">
        <v>1829</v>
      </c>
      <c r="I269" s="1" t="s">
        <v>542</v>
      </c>
      <c r="J269" s="1" t="s">
        <v>1060</v>
      </c>
      <c r="M269" s="6" t="str">
        <f t="shared" ref="M269:R269" si="268">CONCAT(A269,",")</f>
        <v>stakes,</v>
      </c>
      <c r="N269" s="6" t="str">
        <f t="shared" si="268"/>
        <v>style,</v>
      </c>
      <c r="O269" s="6" t="str">
        <f t="shared" si="268"/>
        <v>sports,</v>
      </c>
      <c r="P269" s="6" t="str">
        <f t="shared" si="268"/>
        <v>suspense,</v>
      </c>
      <c r="Q269" s="6" t="str">
        <f t="shared" si="268"/>
        <v>recent,</v>
      </c>
      <c r="R269" s="6" t="str">
        <f t="shared" si="268"/>
        <v>showcase,</v>
      </c>
    </row>
    <row r="270">
      <c r="A270" s="1" t="s">
        <v>1832</v>
      </c>
      <c r="B270" s="1" t="s">
        <v>599</v>
      </c>
      <c r="C270" s="1" t="s">
        <v>2231</v>
      </c>
      <c r="D270" s="1" t="s">
        <v>1836</v>
      </c>
      <c r="E270" s="1" t="s">
        <v>1186</v>
      </c>
      <c r="F270" s="1" t="s">
        <v>681</v>
      </c>
      <c r="H270" s="1" t="s">
        <v>1833</v>
      </c>
      <c r="I270" s="1" t="s">
        <v>290</v>
      </c>
      <c r="J270" s="1" t="s">
        <v>1827</v>
      </c>
      <c r="M270" s="6" t="str">
        <f t="shared" ref="M270:R270" si="269">CONCAT(A270,",")</f>
        <v>muted,</v>
      </c>
      <c r="N270" s="6" t="str">
        <f t="shared" si="269"/>
        <v>narrative,</v>
      </c>
      <c r="O270" s="6" t="str">
        <f t="shared" si="269"/>
        <v>praises,</v>
      </c>
      <c r="P270" s="6" t="str">
        <f t="shared" si="269"/>
        <v>surprise,</v>
      </c>
      <c r="Q270" s="6" t="str">
        <f t="shared" si="269"/>
        <v>titles,</v>
      </c>
      <c r="R270" s="6" t="str">
        <f t="shared" si="269"/>
        <v>tear,</v>
      </c>
    </row>
    <row r="271">
      <c r="A271" s="1" t="s">
        <v>1837</v>
      </c>
      <c r="B271" s="1" t="s">
        <v>1838</v>
      </c>
      <c r="C271" s="1" t="s">
        <v>2234</v>
      </c>
      <c r="D271" s="1" t="s">
        <v>1545</v>
      </c>
      <c r="E271" s="1" t="s">
        <v>709</v>
      </c>
      <c r="F271" s="1" t="s">
        <v>172</v>
      </c>
      <c r="H271" s="1" t="s">
        <v>210</v>
      </c>
      <c r="I271" s="1" t="s">
        <v>653</v>
      </c>
      <c r="J271" s="1" t="s">
        <v>2069</v>
      </c>
      <c r="M271" s="6" t="str">
        <f t="shared" ref="M271:R271" si="270">CONCAT(A271,",")</f>
        <v>naive,</v>
      </c>
      <c r="N271" s="6" t="str">
        <f t="shared" si="270"/>
        <v>difficult,</v>
      </c>
      <c r="O271" s="6" t="str">
        <f t="shared" si="270"/>
        <v>drive,</v>
      </c>
      <c r="P271" s="6" t="str">
        <f t="shared" si="270"/>
        <v>lacking,</v>
      </c>
      <c r="Q271" s="6" t="str">
        <f t="shared" si="270"/>
        <v>sporting,</v>
      </c>
      <c r="R271" s="6" t="str">
        <f t="shared" si="270"/>
        <v>long,</v>
      </c>
    </row>
    <row r="272">
      <c r="A272" s="1" t="s">
        <v>1842</v>
      </c>
      <c r="B272" s="1" t="s">
        <v>192</v>
      </c>
      <c r="C272" s="1" t="s">
        <v>2238</v>
      </c>
      <c r="D272" s="1" t="s">
        <v>250</v>
      </c>
      <c r="E272" s="1" t="s">
        <v>1192</v>
      </c>
      <c r="F272" s="1" t="s">
        <v>684</v>
      </c>
      <c r="H272" s="1" t="s">
        <v>754</v>
      </c>
      <c r="I272" s="1" t="s">
        <v>1370</v>
      </c>
      <c r="J272" s="1" t="s">
        <v>1838</v>
      </c>
      <c r="M272" s="6" t="str">
        <f t="shared" ref="M272:R272" si="271">CONCAT(A272,",")</f>
        <v>worm,</v>
      </c>
      <c r="N272" s="6" t="str">
        <f t="shared" si="271"/>
        <v>unpredictable,</v>
      </c>
      <c r="O272" s="6" t="str">
        <f t="shared" si="271"/>
        <v>stop,</v>
      </c>
      <c r="P272" s="6" t="str">
        <f t="shared" si="271"/>
        <v>portrayal,</v>
      </c>
      <c r="Q272" s="6" t="str">
        <f t="shared" si="271"/>
        <v>generally,</v>
      </c>
      <c r="R272" s="6" t="str">
        <f t="shared" si="271"/>
        <v>eyes,</v>
      </c>
    </row>
    <row r="273">
      <c r="A273" s="1" t="s">
        <v>1844</v>
      </c>
      <c r="B273" s="1" t="s">
        <v>1845</v>
      </c>
      <c r="C273" s="1" t="s">
        <v>388</v>
      </c>
      <c r="D273" s="1" t="s">
        <v>241</v>
      </c>
      <c r="E273" s="1" t="s">
        <v>1555</v>
      </c>
      <c r="F273" s="1" t="s">
        <v>688</v>
      </c>
      <c r="H273" s="1" t="s">
        <v>1847</v>
      </c>
      <c r="I273" s="1" t="s">
        <v>1378</v>
      </c>
      <c r="J273" s="1" t="s">
        <v>192</v>
      </c>
      <c r="M273" s="6" t="str">
        <f t="shared" ref="M273:R273" si="272">CONCAT(A273,",")</f>
        <v>vacant,</v>
      </c>
      <c r="N273" s="6" t="str">
        <f t="shared" si="272"/>
        <v>running,</v>
      </c>
      <c r="O273" s="6" t="str">
        <f t="shared" si="272"/>
        <v>his,</v>
      </c>
      <c r="P273" s="6" t="str">
        <f t="shared" si="272"/>
        <v>realistic,</v>
      </c>
      <c r="Q273" s="6" t="str">
        <f t="shared" si="272"/>
        <v>quite,</v>
      </c>
      <c r="R273" s="6" t="str">
        <f t="shared" si="272"/>
        <v>images,</v>
      </c>
    </row>
    <row r="274">
      <c r="A274" s="1" t="s">
        <v>1849</v>
      </c>
      <c r="B274" s="1" t="s">
        <v>997</v>
      </c>
      <c r="C274" s="1" t="s">
        <v>996</v>
      </c>
      <c r="D274" s="1" t="s">
        <v>909</v>
      </c>
      <c r="E274" s="1" t="s">
        <v>724</v>
      </c>
      <c r="F274" s="1" t="s">
        <v>1440</v>
      </c>
      <c r="H274" s="1" t="s">
        <v>342</v>
      </c>
      <c r="I274" s="1" t="b">
        <v>1</v>
      </c>
      <c r="J274" s="1" t="s">
        <v>1845</v>
      </c>
      <c r="M274" s="6" t="str">
        <f t="shared" ref="M274:R274" si="273">CONCAT(A274,",")</f>
        <v>grenade,</v>
      </c>
      <c r="N274" s="6" t="str">
        <f t="shared" si="273"/>
        <v>spectacle,</v>
      </c>
      <c r="O274" s="6" t="str">
        <f t="shared" si="273"/>
        <v>enough,</v>
      </c>
      <c r="P274" s="6" t="str">
        <f t="shared" si="273"/>
        <v>grab,</v>
      </c>
      <c r="Q274" s="6" t="str">
        <f t="shared" si="273"/>
        <v>go,</v>
      </c>
      <c r="R274" s="6" t="str">
        <f t="shared" si="273"/>
        <v>hate,</v>
      </c>
    </row>
    <row r="275">
      <c r="A275" s="1" t="s">
        <v>1854</v>
      </c>
      <c r="B275" s="1" t="s">
        <v>202</v>
      </c>
      <c r="C275" s="1" t="s">
        <v>749</v>
      </c>
      <c r="D275" s="1" t="s">
        <v>1564</v>
      </c>
      <c r="E275" s="1" t="s">
        <v>191</v>
      </c>
      <c r="F275" s="1" t="s">
        <v>159</v>
      </c>
      <c r="H275" s="1" t="s">
        <v>1856</v>
      </c>
      <c r="I275" s="1" t="s">
        <v>545</v>
      </c>
      <c r="J275" s="1" t="s">
        <v>997</v>
      </c>
      <c r="M275" s="6" t="str">
        <f t="shared" ref="M275:R275" si="274">CONCAT(A275,",")</f>
        <v>transforms,</v>
      </c>
      <c r="N275" s="6" t="str">
        <f t="shared" si="274"/>
        <v>conclusions,</v>
      </c>
      <c r="O275" s="6" t="str">
        <f t="shared" si="274"/>
        <v>little,</v>
      </c>
      <c r="P275" s="6" t="str">
        <f t="shared" si="274"/>
        <v>trying,</v>
      </c>
      <c r="Q275" s="6" t="str">
        <f t="shared" si="274"/>
        <v>going,</v>
      </c>
      <c r="R275" s="6" t="str">
        <f t="shared" si="274"/>
        <v>cinematic,</v>
      </c>
    </row>
    <row r="276">
      <c r="A276" s="1" t="s">
        <v>1858</v>
      </c>
      <c r="B276" s="1" t="s">
        <v>1008</v>
      </c>
      <c r="C276" s="1" t="s">
        <v>2247</v>
      </c>
      <c r="D276" s="1" t="s">
        <v>1862</v>
      </c>
      <c r="E276" s="1" t="s">
        <v>1127</v>
      </c>
      <c r="F276" s="1" t="s">
        <v>1179</v>
      </c>
      <c r="H276" s="1" t="s">
        <v>1859</v>
      </c>
      <c r="I276" s="1" t="s">
        <v>165</v>
      </c>
      <c r="J276" s="1" t="s">
        <v>990</v>
      </c>
      <c r="M276" s="6" t="str">
        <f t="shared" ref="M276:R276" si="275">CONCAT(A276,",")</f>
        <v>liability,</v>
      </c>
      <c r="N276" s="6" t="str">
        <f t="shared" si="275"/>
        <v>dramas,</v>
      </c>
      <c r="O276" s="6" t="str">
        <f t="shared" si="275"/>
        <v>bit,</v>
      </c>
      <c r="P276" s="6" t="str">
        <f t="shared" si="275"/>
        <v>lump,</v>
      </c>
      <c r="Q276" s="6" t="str">
        <f t="shared" si="275"/>
        <v>show,</v>
      </c>
      <c r="R276" s="6" t="str">
        <f t="shared" si="275"/>
        <v>addition,</v>
      </c>
    </row>
    <row r="277">
      <c r="A277" s="1" t="s">
        <v>1863</v>
      </c>
      <c r="B277" s="1" t="s">
        <v>1864</v>
      </c>
      <c r="C277" s="1" t="s">
        <v>2252</v>
      </c>
      <c r="D277" s="1" t="s">
        <v>917</v>
      </c>
      <c r="E277" s="1" t="s">
        <v>1432</v>
      </c>
      <c r="F277" s="1" t="s">
        <v>1453</v>
      </c>
      <c r="H277" s="1" t="s">
        <v>1866</v>
      </c>
      <c r="I277" s="1" t="s">
        <v>558</v>
      </c>
      <c r="J277" s="1" t="s">
        <v>2093</v>
      </c>
      <c r="M277" s="6" t="str">
        <f t="shared" ref="M277:R277" si="276">CONCAT(A277,",")</f>
        <v>slapping,</v>
      </c>
      <c r="N277" s="6" t="str">
        <f t="shared" si="276"/>
        <v>reach,</v>
      </c>
      <c r="O277" s="6" t="str">
        <f t="shared" si="276"/>
        <v>those,</v>
      </c>
      <c r="P277" s="6" t="str">
        <f t="shared" si="276"/>
        <v>stunts,</v>
      </c>
      <c r="Q277" s="6" t="str">
        <f t="shared" si="276"/>
        <v>late,</v>
      </c>
      <c r="R277" s="6" t="str">
        <f t="shared" si="276"/>
        <v>recent,</v>
      </c>
    </row>
    <row r="278">
      <c r="A278" s="1" t="s">
        <v>1869</v>
      </c>
      <c r="B278" s="1" t="s">
        <v>1085</v>
      </c>
      <c r="C278" s="1" t="s">
        <v>258</v>
      </c>
      <c r="D278" s="1" t="s">
        <v>157</v>
      </c>
      <c r="E278" s="1" t="s">
        <v>231</v>
      </c>
      <c r="F278" s="1" t="s">
        <v>1186</v>
      </c>
      <c r="H278" s="1" t="s">
        <v>1871</v>
      </c>
      <c r="I278" s="1" t="s">
        <v>373</v>
      </c>
      <c r="J278" s="1" t="s">
        <v>285</v>
      </c>
      <c r="M278" s="6" t="str">
        <f t="shared" ref="M278:R278" si="277">CONCAT(A278,",")</f>
        <v>motionless,</v>
      </c>
      <c r="N278" s="6" t="str">
        <f t="shared" si="277"/>
        <v>satisfying,</v>
      </c>
      <c r="O278" s="6" t="str">
        <f t="shared" si="277"/>
        <v>year,</v>
      </c>
      <c r="P278" s="6" t="str">
        <f t="shared" si="277"/>
        <v>reveals,</v>
      </c>
      <c r="Q278" s="6" t="str">
        <f t="shared" si="277"/>
        <v>put,</v>
      </c>
      <c r="R278" s="6" t="str">
        <f t="shared" si="277"/>
        <v>titles,</v>
      </c>
    </row>
    <row r="279">
      <c r="A279" s="1" t="s">
        <v>1873</v>
      </c>
      <c r="B279" s="1" t="s">
        <v>1025</v>
      </c>
      <c r="C279" s="1" t="s">
        <v>2259</v>
      </c>
      <c r="D279" s="1" t="s">
        <v>275</v>
      </c>
      <c r="E279" s="1" t="s">
        <v>4893</v>
      </c>
      <c r="F279" s="1" t="s">
        <v>191</v>
      </c>
      <c r="H279" s="1" t="s">
        <v>394</v>
      </c>
      <c r="I279" s="1" t="s">
        <v>809</v>
      </c>
      <c r="J279" s="1" t="s">
        <v>1126</v>
      </c>
      <c r="M279" s="6" t="str">
        <f t="shared" ref="M279:R279" si="278">CONCAT(A279,",")</f>
        <v>numb,</v>
      </c>
      <c r="N279" s="6" t="str">
        <f t="shared" si="278"/>
        <v>ponder,</v>
      </c>
      <c r="O279" s="6" t="str">
        <f t="shared" si="278"/>
        <v>totally,</v>
      </c>
      <c r="P279" s="6" t="str">
        <f t="shared" si="278"/>
        <v>talents,</v>
      </c>
      <c r="Q279" s="6" t="str">
        <f t="shared" si="278"/>
        <v>science,</v>
      </c>
      <c r="R279" s="6" t="str">
        <f t="shared" si="278"/>
        <v>going,</v>
      </c>
    </row>
    <row r="280">
      <c r="A280" s="1" t="s">
        <v>1878</v>
      </c>
      <c r="B280" s="1" t="s">
        <v>1879</v>
      </c>
      <c r="C280" s="1" t="s">
        <v>1022</v>
      </c>
      <c r="D280" s="1" t="s">
        <v>1883</v>
      </c>
      <c r="E280" s="1" t="s">
        <v>6311</v>
      </c>
      <c r="F280" s="1" t="s">
        <v>1220</v>
      </c>
      <c r="H280" s="1" t="s">
        <v>1881</v>
      </c>
      <c r="I280" s="1" t="s">
        <v>324</v>
      </c>
      <c r="J280" s="1" t="s">
        <v>1085</v>
      </c>
      <c r="M280" s="6" t="str">
        <f t="shared" ref="M280:R280" si="279">CONCAT(A280,",")</f>
        <v>overview,</v>
      </c>
      <c r="N280" s="6" t="str">
        <f t="shared" si="279"/>
        <v>forces,</v>
      </c>
      <c r="O280" s="6" t="str">
        <f t="shared" si="279"/>
        <v>white,</v>
      </c>
      <c r="P280" s="6" t="str">
        <f t="shared" si="279"/>
        <v>others,</v>
      </c>
      <c r="Q280" s="6" t="str">
        <f t="shared" si="279"/>
        <v>theatre,</v>
      </c>
      <c r="R280" s="6" t="str">
        <f t="shared" si="279"/>
        <v>em,</v>
      </c>
    </row>
    <row r="281">
      <c r="A281" s="1" t="s">
        <v>1884</v>
      </c>
      <c r="B281" s="1" t="s">
        <v>1885</v>
      </c>
      <c r="C281" s="1" t="s">
        <v>2274</v>
      </c>
      <c r="D281" s="1" t="s">
        <v>1606</v>
      </c>
      <c r="E281" s="1" t="s">
        <v>5366</v>
      </c>
      <c r="F281" s="1" t="s">
        <v>1203</v>
      </c>
      <c r="H281" s="1" t="s">
        <v>1887</v>
      </c>
      <c r="I281" s="1" t="s">
        <v>996</v>
      </c>
      <c r="J281" s="1" t="s">
        <v>1864</v>
      </c>
      <c r="M281" s="6" t="str">
        <f t="shared" ref="M281:R281" si="280">CONCAT(A281,",")</f>
        <v>vain,</v>
      </c>
      <c r="N281" s="6" t="str">
        <f t="shared" si="280"/>
        <v>speak,</v>
      </c>
      <c r="O281" s="6" t="str">
        <f t="shared" si="280"/>
        <v>otherwise,</v>
      </c>
      <c r="P281" s="6" t="str">
        <f t="shared" si="280"/>
        <v>relief,</v>
      </c>
      <c r="Q281" s="6" t="str">
        <f t="shared" si="280"/>
        <v>build,</v>
      </c>
      <c r="R281" s="6" t="str">
        <f t="shared" si="280"/>
        <v>mystery,</v>
      </c>
    </row>
    <row r="282">
      <c r="A282" s="1" t="s">
        <v>1890</v>
      </c>
      <c r="B282" s="1" t="s">
        <v>301</v>
      </c>
      <c r="C282" s="1" t="s">
        <v>2278</v>
      </c>
      <c r="D282" s="1" t="s">
        <v>1894</v>
      </c>
      <c r="E282" s="1" t="s">
        <v>6312</v>
      </c>
      <c r="F282" s="1" t="s">
        <v>108</v>
      </c>
      <c r="H282" s="1" t="s">
        <v>474</v>
      </c>
      <c r="I282" s="1" t="s">
        <v>993</v>
      </c>
      <c r="J282" s="1" t="s">
        <v>6313</v>
      </c>
      <c r="M282" s="6" t="str">
        <f t="shared" ref="M282:R282" si="281">CONCAT(A282,",")</f>
        <v>satisfactory,</v>
      </c>
      <c r="N282" s="6" t="str">
        <f t="shared" si="281"/>
        <v>enables,</v>
      </c>
      <c r="O282" s="6" t="str">
        <f t="shared" si="281"/>
        <v>sweet,</v>
      </c>
      <c r="P282" s="6" t="str">
        <f t="shared" si="281"/>
        <v>welcome,</v>
      </c>
      <c r="Q282" s="6" t="str">
        <f t="shared" si="281"/>
        <v>website,</v>
      </c>
      <c r="R282" s="6" t="str">
        <f t="shared" si="281"/>
        <v>other,</v>
      </c>
    </row>
    <row r="283">
      <c r="A283" s="1" t="s">
        <v>1895</v>
      </c>
      <c r="B283" s="1" t="s">
        <v>293</v>
      </c>
      <c r="C283" s="1" t="s">
        <v>2279</v>
      </c>
      <c r="D283" s="1" t="s">
        <v>162</v>
      </c>
      <c r="E283" s="1" t="s">
        <v>3534</v>
      </c>
      <c r="F283" s="1" t="s">
        <v>1432</v>
      </c>
      <c r="H283" s="1" t="s">
        <v>1897</v>
      </c>
      <c r="I283" s="1" t="s">
        <v>1762</v>
      </c>
      <c r="J283" s="1" t="s">
        <v>1015</v>
      </c>
      <c r="M283" s="6" t="str">
        <f t="shared" ref="M283:R283" si="282">CONCAT(A283,",")</f>
        <v>scoring,</v>
      </c>
      <c r="N283" s="6" t="str">
        <f t="shared" si="282"/>
        <v>considerable,</v>
      </c>
      <c r="O283" s="6" t="str">
        <f t="shared" si="282"/>
        <v>item,</v>
      </c>
      <c r="P283" s="6" t="str">
        <f t="shared" si="282"/>
        <v>filmmaking,</v>
      </c>
      <c r="Q283" s="6" t="str">
        <f t="shared" si="282"/>
        <v>theater,</v>
      </c>
      <c r="R283" s="6" t="str">
        <f t="shared" si="282"/>
        <v>late,</v>
      </c>
    </row>
    <row r="284">
      <c r="A284" s="1" t="s">
        <v>1900</v>
      </c>
      <c r="B284" s="1" t="s">
        <v>525</v>
      </c>
      <c r="C284" s="1" t="s">
        <v>2289</v>
      </c>
      <c r="D284" s="1" t="s">
        <v>1617</v>
      </c>
      <c r="E284" s="1" t="s">
        <v>1203</v>
      </c>
      <c r="F284" s="1" t="s">
        <v>1197</v>
      </c>
      <c r="H284" s="1" t="s">
        <v>1901</v>
      </c>
      <c r="I284" s="1" t="s">
        <v>987</v>
      </c>
      <c r="J284" s="1" t="s">
        <v>1025</v>
      </c>
      <c r="M284" s="6" t="str">
        <f t="shared" ref="M284:R284" si="283">CONCAT(A284,",")</f>
        <v>explosive,</v>
      </c>
      <c r="N284" s="6" t="str">
        <f t="shared" si="283"/>
        <v>large,</v>
      </c>
      <c r="O284" s="6" t="str">
        <f t="shared" si="283"/>
        <v>meat,</v>
      </c>
      <c r="P284" s="6" t="str">
        <f t="shared" si="283"/>
        <v>promise,</v>
      </c>
      <c r="Q284" s="6" t="str">
        <f t="shared" si="283"/>
        <v>mystery,</v>
      </c>
      <c r="R284" s="6" t="str">
        <f t="shared" si="283"/>
        <v>down,</v>
      </c>
    </row>
    <row r="285">
      <c r="A285" s="1" t="s">
        <v>1904</v>
      </c>
      <c r="B285" s="1" t="s">
        <v>1110</v>
      </c>
      <c r="C285" s="1" t="s">
        <v>748</v>
      </c>
      <c r="D285" s="1" t="s">
        <v>610</v>
      </c>
      <c r="E285" s="1" t="s">
        <v>1220</v>
      </c>
      <c r="F285" s="1" t="s">
        <v>724</v>
      </c>
      <c r="H285" s="1" t="s">
        <v>481</v>
      </c>
      <c r="I285" s="1" t="s">
        <v>563</v>
      </c>
      <c r="J285" s="1" t="s">
        <v>1879</v>
      </c>
      <c r="M285" s="6" t="str">
        <f t="shared" ref="M285:R285" si="284">CONCAT(A285,",")</f>
        <v>disastrous,</v>
      </c>
      <c r="N285" s="6" t="str">
        <f t="shared" si="284"/>
        <v>flat,</v>
      </c>
      <c r="O285" s="6" t="str">
        <f t="shared" si="284"/>
        <v>less,</v>
      </c>
      <c r="P285" s="6" t="str">
        <f t="shared" si="284"/>
        <v>wait,</v>
      </c>
      <c r="Q285" s="6" t="str">
        <f t="shared" si="284"/>
        <v>em,</v>
      </c>
      <c r="R285" s="6" t="str">
        <f t="shared" si="284"/>
        <v>go,</v>
      </c>
    </row>
    <row r="286">
      <c r="A286" s="1" t="s">
        <v>1907</v>
      </c>
      <c r="B286" s="1" t="s">
        <v>1908</v>
      </c>
      <c r="C286" s="1" t="s">
        <v>2293</v>
      </c>
      <c r="D286" s="1" t="s">
        <v>292</v>
      </c>
      <c r="E286" s="1" t="s">
        <v>939</v>
      </c>
      <c r="F286" s="1" t="s">
        <v>1232</v>
      </c>
      <c r="H286" s="1" t="s">
        <v>1910</v>
      </c>
      <c r="I286" s="1" t="s">
        <v>1230</v>
      </c>
      <c r="J286" s="1" t="s">
        <v>293</v>
      </c>
      <c r="M286" s="6" t="str">
        <f t="shared" ref="M286:R286" si="285">CONCAT(A286,",")</f>
        <v>stripped,</v>
      </c>
      <c r="N286" s="6" t="str">
        <f t="shared" si="285"/>
        <v>bold,</v>
      </c>
      <c r="O286" s="6" t="str">
        <f t="shared" si="285"/>
        <v>store,</v>
      </c>
      <c r="P286" s="6" t="str">
        <f t="shared" si="285"/>
        <v>auschwitz,</v>
      </c>
      <c r="Q286" s="6" t="str">
        <f t="shared" si="285"/>
        <v>work,</v>
      </c>
      <c r="R286" s="6" t="str">
        <f t="shared" si="285"/>
        <v>concert,</v>
      </c>
    </row>
    <row r="287">
      <c r="A287" s="1" t="s">
        <v>1913</v>
      </c>
      <c r="B287" s="1" t="s">
        <v>1914</v>
      </c>
      <c r="C287" s="1" t="s">
        <v>2296</v>
      </c>
      <c r="D287" s="1" t="s">
        <v>872</v>
      </c>
      <c r="E287" s="1" t="s">
        <v>1232</v>
      </c>
      <c r="F287" s="1" t="s">
        <v>939</v>
      </c>
      <c r="H287" s="1" t="s">
        <v>496</v>
      </c>
      <c r="I287" s="1" t="s">
        <v>553</v>
      </c>
      <c r="J287" s="1" t="s">
        <v>1110</v>
      </c>
      <c r="M287" s="6" t="str">
        <f t="shared" ref="M287:R287" si="286">CONCAT(A287,",")</f>
        <v>attracting,</v>
      </c>
      <c r="N287" s="6" t="str">
        <f t="shared" si="286"/>
        <v>effects,</v>
      </c>
      <c r="O287" s="6" t="str">
        <f t="shared" si="286"/>
        <v>giant,</v>
      </c>
      <c r="P287" s="6" t="str">
        <f t="shared" si="286"/>
        <v>theatrical,</v>
      </c>
      <c r="Q287" s="6" t="str">
        <f t="shared" si="286"/>
        <v>concert,</v>
      </c>
      <c r="R287" s="6" t="str">
        <f t="shared" si="286"/>
        <v>work,</v>
      </c>
    </row>
    <row r="288">
      <c r="A288" s="1" t="s">
        <v>1915</v>
      </c>
      <c r="B288" s="1" t="s">
        <v>1916</v>
      </c>
      <c r="C288" s="1" t="s">
        <v>2300</v>
      </c>
      <c r="D288" s="1" t="s">
        <v>879</v>
      </c>
      <c r="E288" s="1" t="s">
        <v>1529</v>
      </c>
      <c r="F288" s="1" t="s">
        <v>186</v>
      </c>
      <c r="H288" s="1" t="s">
        <v>1918</v>
      </c>
      <c r="I288" s="1" t="s">
        <v>1423</v>
      </c>
      <c r="J288" s="1" t="s">
        <v>2119</v>
      </c>
      <c r="M288" s="6" t="str">
        <f t="shared" ref="M288:R288" si="287">CONCAT(A288,",")</f>
        <v>effectiveness,</v>
      </c>
      <c r="N288" s="6" t="str">
        <f t="shared" si="287"/>
        <v>whole,</v>
      </c>
      <c r="O288" s="6" t="str">
        <f t="shared" si="287"/>
        <v>remember,</v>
      </c>
      <c r="P288" s="6" t="str">
        <f t="shared" si="287"/>
        <v>simulation,</v>
      </c>
      <c r="Q288" s="6" t="str">
        <f t="shared" si="287"/>
        <v>deal,</v>
      </c>
      <c r="R288" s="6" t="str">
        <f t="shared" si="287"/>
        <v>fluid,</v>
      </c>
    </row>
    <row r="289">
      <c r="A289" s="1" t="s">
        <v>1919</v>
      </c>
      <c r="B289" s="1" t="s">
        <v>208</v>
      </c>
      <c r="C289" s="1" t="s">
        <v>1770</v>
      </c>
      <c r="D289" s="1" t="s">
        <v>1331</v>
      </c>
      <c r="E289" s="1" t="s">
        <v>731</v>
      </c>
      <c r="F289" s="1" t="s">
        <v>1536</v>
      </c>
      <c r="H289" s="1" t="s">
        <v>1921</v>
      </c>
      <c r="I289" s="1" t="s">
        <v>538</v>
      </c>
      <c r="J289" s="1" t="s">
        <v>1908</v>
      </c>
      <c r="M289" s="6" t="str">
        <f t="shared" ref="M289:R289" si="288">CONCAT(A289,",")</f>
        <v>counts,</v>
      </c>
      <c r="N289" s="6" t="str">
        <f t="shared" si="288"/>
        <v>flashes,</v>
      </c>
      <c r="O289" s="6" t="str">
        <f t="shared" si="288"/>
        <v>remarkable,</v>
      </c>
      <c r="P289" s="6" t="str">
        <f t="shared" si="288"/>
        <v>death,</v>
      </c>
      <c r="Q289" s="6" t="str">
        <f t="shared" si="288"/>
        <v>direction,</v>
      </c>
      <c r="R289" s="6" t="str">
        <f t="shared" si="288"/>
        <v>ron,</v>
      </c>
    </row>
    <row r="290">
      <c r="A290" s="1" t="s">
        <v>1925</v>
      </c>
      <c r="B290" s="1" t="s">
        <v>1053</v>
      </c>
      <c r="C290" s="1" t="s">
        <v>2314</v>
      </c>
      <c r="D290" s="1" t="s">
        <v>887</v>
      </c>
      <c r="E290" s="1" t="s">
        <v>1237</v>
      </c>
      <c r="F290" s="1" t="s">
        <v>731</v>
      </c>
      <c r="H290" s="1" t="s">
        <v>1928</v>
      </c>
      <c r="I290" s="1" t="s">
        <v>591</v>
      </c>
      <c r="J290" s="1" t="s">
        <v>2128</v>
      </c>
      <c r="M290" s="6" t="str">
        <f t="shared" ref="M290:R290" si="289">CONCAT(A290,",")</f>
        <v>ineffective,</v>
      </c>
      <c r="N290" s="6" t="str">
        <f t="shared" si="289"/>
        <v>sibling,</v>
      </c>
      <c r="O290" s="6" t="str">
        <f t="shared" si="289"/>
        <v>interior,</v>
      </c>
      <c r="P290" s="6" t="str">
        <f t="shared" si="289"/>
        <v>faith,</v>
      </c>
      <c r="Q290" s="6" t="str">
        <f t="shared" si="289"/>
        <v>authority,</v>
      </c>
      <c r="R290" s="6" t="str">
        <f t="shared" si="289"/>
        <v>direction,</v>
      </c>
    </row>
    <row r="291">
      <c r="A291" s="1" t="s">
        <v>1932</v>
      </c>
      <c r="B291" s="1" t="s">
        <v>375</v>
      </c>
      <c r="C291" s="1" t="s">
        <v>485</v>
      </c>
      <c r="D291" s="1" t="s">
        <v>1663</v>
      </c>
      <c r="E291" s="1" t="s">
        <v>3514</v>
      </c>
      <c r="F291" s="1" t="s">
        <v>6298</v>
      </c>
      <c r="H291" s="1" t="s">
        <v>168</v>
      </c>
      <c r="I291" s="1" t="s">
        <v>711</v>
      </c>
      <c r="J291" s="1" t="s">
        <v>1914</v>
      </c>
      <c r="M291" s="6" t="str">
        <f t="shared" ref="M291:R291" si="290">CONCAT(A291,",")</f>
        <v>error,</v>
      </c>
      <c r="N291" s="6" t="str">
        <f t="shared" si="290"/>
        <v>reconciliation,</v>
      </c>
      <c r="O291" s="6" t="str">
        <f t="shared" si="290"/>
        <v>together,</v>
      </c>
      <c r="P291" s="6" t="str">
        <f t="shared" si="290"/>
        <v>extraordinary,</v>
      </c>
      <c r="Q291" s="6" t="str">
        <f t="shared" si="290"/>
        <v>harris,</v>
      </c>
      <c r="R291" s="6" t="str">
        <f t="shared" si="290"/>
        <v>cam,</v>
      </c>
    </row>
    <row r="292">
      <c r="A292" s="1" t="s">
        <v>1937</v>
      </c>
      <c r="B292" s="1" t="s">
        <v>1938</v>
      </c>
      <c r="C292" s="1" t="s">
        <v>2320</v>
      </c>
      <c r="D292" s="1" t="s">
        <v>894</v>
      </c>
      <c r="E292" s="1" t="s">
        <v>1536</v>
      </c>
      <c r="F292" s="1" t="s">
        <v>1780</v>
      </c>
      <c r="H292" s="1" t="s">
        <v>416</v>
      </c>
      <c r="I292" s="1" t="s">
        <v>1043</v>
      </c>
      <c r="J292" s="1" t="s">
        <v>1181</v>
      </c>
      <c r="M292" s="6" t="str">
        <f t="shared" ref="M292:R292" si="291">CONCAT(A292,",")</f>
        <v>deficit,</v>
      </c>
      <c r="N292" s="6" t="str">
        <f t="shared" si="291"/>
        <v>warmth,</v>
      </c>
      <c r="O292" s="6" t="str">
        <f t="shared" si="291"/>
        <v>sisters,</v>
      </c>
      <c r="P292" s="6" t="str">
        <f t="shared" si="291"/>
        <v>champion,</v>
      </c>
      <c r="Q292" s="6" t="str">
        <f t="shared" si="291"/>
        <v>ron,</v>
      </c>
      <c r="R292" s="6" t="str">
        <f t="shared" si="291"/>
        <v>further,</v>
      </c>
    </row>
    <row r="293">
      <c r="A293" s="1" t="s">
        <v>1942</v>
      </c>
      <c r="B293" s="1" t="s">
        <v>381</v>
      </c>
      <c r="C293" s="1" t="s">
        <v>2323</v>
      </c>
      <c r="D293" s="1" t="s">
        <v>1669</v>
      </c>
      <c r="E293" s="1" t="s">
        <v>195</v>
      </c>
      <c r="F293" s="1" t="s">
        <v>670</v>
      </c>
      <c r="H293" s="1" t="s">
        <v>1944</v>
      </c>
      <c r="I293" s="1" t="s">
        <v>1291</v>
      </c>
      <c r="J293" s="1" t="s">
        <v>1916</v>
      </c>
      <c r="M293" s="6" t="str">
        <f t="shared" ref="M293:R293" si="292">CONCAT(A293,",")</f>
        <v>arrogant,</v>
      </c>
      <c r="N293" s="6" t="str">
        <f t="shared" si="292"/>
        <v>avoids,</v>
      </c>
      <c r="O293" s="6" t="str">
        <f t="shared" si="292"/>
        <v>close,</v>
      </c>
      <c r="P293" s="6" t="str">
        <f t="shared" si="292"/>
        <v>heart,</v>
      </c>
      <c r="Q293" s="6" t="str">
        <f t="shared" si="292"/>
        <v>seal,</v>
      </c>
      <c r="R293" s="6" t="str">
        <f t="shared" si="292"/>
        <v>would,</v>
      </c>
    </row>
    <row r="294">
      <c r="A294" s="1" t="s">
        <v>1946</v>
      </c>
      <c r="B294" s="1" t="s">
        <v>369</v>
      </c>
      <c r="C294" s="1" t="s">
        <v>1039</v>
      </c>
      <c r="D294" s="1" t="s">
        <v>173</v>
      </c>
      <c r="E294" s="1" t="s">
        <v>186</v>
      </c>
      <c r="F294" s="1" t="s">
        <v>514</v>
      </c>
      <c r="H294" s="1" t="s">
        <v>430</v>
      </c>
      <c r="I294" s="1" t="s">
        <v>613</v>
      </c>
      <c r="J294" s="1" t="s">
        <v>208</v>
      </c>
      <c r="M294" s="6" t="str">
        <f t="shared" ref="M294:R294" si="293">CONCAT(A294,",")</f>
        <v>beaches,</v>
      </c>
      <c r="N294" s="6" t="str">
        <f t="shared" si="293"/>
        <v>script,</v>
      </c>
      <c r="O294" s="6" t="str">
        <f t="shared" si="293"/>
        <v>served,</v>
      </c>
      <c r="P294" s="6" t="str">
        <f t="shared" si="293"/>
        <v>adaptation,</v>
      </c>
      <c r="Q294" s="6" t="str">
        <f t="shared" si="293"/>
        <v>fluid,</v>
      </c>
      <c r="R294" s="6" t="str">
        <f t="shared" si="293"/>
        <v>had,</v>
      </c>
    </row>
    <row r="295">
      <c r="A295" s="1" t="s">
        <v>1626</v>
      </c>
      <c r="B295" s="1" t="s">
        <v>1161</v>
      </c>
      <c r="C295" s="1" t="s">
        <v>1018</v>
      </c>
      <c r="D295" s="1" t="s">
        <v>309</v>
      </c>
      <c r="E295" s="1" t="s">
        <v>670</v>
      </c>
      <c r="F295" s="1" t="s">
        <v>131</v>
      </c>
      <c r="H295" s="1" t="s">
        <v>1951</v>
      </c>
      <c r="I295" s="1" t="s">
        <v>652</v>
      </c>
      <c r="J295" s="1" t="s">
        <v>1938</v>
      </c>
      <c r="M295" s="6" t="str">
        <f t="shared" ref="M295:R295" si="294">CONCAT(A295,",")</f>
        <v>destructive,</v>
      </c>
      <c r="N295" s="6" t="str">
        <f t="shared" si="294"/>
        <v>credits,</v>
      </c>
      <c r="O295" s="6" t="str">
        <f t="shared" si="294"/>
        <v>bloody,</v>
      </c>
      <c r="P295" s="6" t="str">
        <f t="shared" si="294"/>
        <v>descends,</v>
      </c>
      <c r="Q295" s="6" t="str">
        <f t="shared" si="294"/>
        <v>would,</v>
      </c>
      <c r="R295" s="6" t="str">
        <f t="shared" si="294"/>
        <v>storytelling,</v>
      </c>
    </row>
    <row r="296">
      <c r="A296" s="1" t="s">
        <v>1954</v>
      </c>
      <c r="B296" s="1" t="s">
        <v>1955</v>
      </c>
      <c r="C296" s="1" t="s">
        <v>1046</v>
      </c>
      <c r="D296" s="1" t="s">
        <v>905</v>
      </c>
      <c r="E296" s="1" t="s">
        <v>6314</v>
      </c>
      <c r="F296" s="1" t="s">
        <v>1551</v>
      </c>
      <c r="H296" s="1" t="s">
        <v>1957</v>
      </c>
      <c r="I296" s="1" t="s">
        <v>1307</v>
      </c>
      <c r="J296" s="1" t="s">
        <v>2354</v>
      </c>
      <c r="M296" s="6" t="str">
        <f t="shared" ref="M296:R296" si="295">CONCAT(A296,",")</f>
        <v>contributions,</v>
      </c>
      <c r="N296" s="6" t="str">
        <f t="shared" si="295"/>
        <v>bar,</v>
      </c>
      <c r="O296" s="6" t="str">
        <f t="shared" si="295"/>
        <v>group,</v>
      </c>
      <c r="P296" s="6" t="str">
        <f t="shared" si="295"/>
        <v>noir,</v>
      </c>
      <c r="Q296" s="6" t="str">
        <f t="shared" si="295"/>
        <v>gone,</v>
      </c>
      <c r="R296" s="6" t="str">
        <f t="shared" si="295"/>
        <v>piece,</v>
      </c>
    </row>
    <row r="297">
      <c r="A297" s="1" t="s">
        <v>1960</v>
      </c>
      <c r="B297" s="1" t="s">
        <v>1961</v>
      </c>
      <c r="C297" s="1" t="s">
        <v>2333</v>
      </c>
      <c r="D297" s="1" t="s">
        <v>913</v>
      </c>
      <c r="E297" s="1" t="s">
        <v>741</v>
      </c>
      <c r="F297" s="1" t="s">
        <v>140</v>
      </c>
      <c r="H297" s="1" t="s">
        <v>1963</v>
      </c>
      <c r="I297" s="1" t="s">
        <v>1525</v>
      </c>
      <c r="J297" s="1" t="s">
        <v>369</v>
      </c>
      <c r="M297" s="6" t="str">
        <f t="shared" ref="M297:R297" si="296">CONCAT(A297,",")</f>
        <v>flopped,</v>
      </c>
      <c r="N297" s="6" t="str">
        <f t="shared" si="296"/>
        <v>enjoy,</v>
      </c>
      <c r="O297" s="6" t="str">
        <f t="shared" si="296"/>
        <v>destination,</v>
      </c>
      <c r="P297" s="6" t="str">
        <f t="shared" si="296"/>
        <v>tight,</v>
      </c>
      <c r="Q297" s="6" t="str">
        <f t="shared" si="296"/>
        <v>step,</v>
      </c>
      <c r="R297" s="6" t="str">
        <f t="shared" si="296"/>
        <v>casts,</v>
      </c>
    </row>
    <row r="298">
      <c r="A298" s="1" t="s">
        <v>1965</v>
      </c>
      <c r="B298" s="1" t="s">
        <v>214</v>
      </c>
      <c r="C298" s="1" t="s">
        <v>2335</v>
      </c>
      <c r="D298" s="1" t="s">
        <v>1701</v>
      </c>
      <c r="E298" s="1" t="s">
        <v>1551</v>
      </c>
      <c r="F298" s="1" t="s">
        <v>759</v>
      </c>
      <c r="H298" s="1" t="s">
        <v>1274</v>
      </c>
      <c r="I298" s="1" t="s">
        <v>621</v>
      </c>
      <c r="J298" s="1" t="s">
        <v>381</v>
      </c>
      <c r="M298" s="6" t="str">
        <f t="shared" ref="M298:R298" si="297">CONCAT(A298,",")</f>
        <v>weighs,</v>
      </c>
      <c r="N298" s="6" t="str">
        <f t="shared" si="297"/>
        <v>predecessors,</v>
      </c>
      <c r="O298" s="6" t="str">
        <f t="shared" si="297"/>
        <v>reminded,</v>
      </c>
      <c r="P298" s="6" t="str">
        <f t="shared" si="297"/>
        <v>works,</v>
      </c>
      <c r="Q298" s="6" t="str">
        <f t="shared" si="297"/>
        <v>piece,</v>
      </c>
      <c r="R298" s="6" t="str">
        <f t="shared" si="297"/>
        <v>landscape,</v>
      </c>
    </row>
    <row r="299">
      <c r="A299" s="1" t="s">
        <v>1968</v>
      </c>
      <c r="B299" s="1" t="s">
        <v>1969</v>
      </c>
      <c r="C299" s="1" t="s">
        <v>2348</v>
      </c>
      <c r="D299" s="1" t="s">
        <v>1349</v>
      </c>
      <c r="E299" s="1" t="s">
        <v>1794</v>
      </c>
      <c r="F299" s="1" t="s">
        <v>2606</v>
      </c>
      <c r="H299" s="1" t="s">
        <v>1971</v>
      </c>
      <c r="I299" s="1" t="s">
        <v>1120</v>
      </c>
      <c r="J299" s="1" t="s">
        <v>1065</v>
      </c>
      <c r="M299" s="6" t="str">
        <f t="shared" ref="M299:R299" si="298">CONCAT(A299,",")</f>
        <v>shaking,</v>
      </c>
      <c r="N299" s="6" t="str">
        <f t="shared" si="298"/>
        <v>visions,</v>
      </c>
      <c r="O299" s="6" t="str">
        <f t="shared" si="298"/>
        <v>slightly,</v>
      </c>
      <c r="P299" s="6" t="str">
        <f t="shared" si="298"/>
        <v>into,</v>
      </c>
      <c r="Q299" s="6" t="str">
        <f t="shared" si="298"/>
        <v>harsh,</v>
      </c>
      <c r="R299" s="6" t="str">
        <f t="shared" si="298"/>
        <v>watch,</v>
      </c>
    </row>
    <row r="300">
      <c r="A300" s="1" t="s">
        <v>1974</v>
      </c>
      <c r="B300" s="1" t="s">
        <v>1975</v>
      </c>
      <c r="C300" s="1" t="s">
        <v>1188</v>
      </c>
      <c r="D300" s="1" t="s">
        <v>316</v>
      </c>
      <c r="E300" s="1" t="s">
        <v>1807</v>
      </c>
      <c r="F300" s="1" t="s">
        <v>6300</v>
      </c>
      <c r="H300" s="1" t="s">
        <v>1299</v>
      </c>
      <c r="I300" s="1" t="s">
        <v>624</v>
      </c>
      <c r="J300" s="1" t="s">
        <v>2166</v>
      </c>
      <c r="M300" s="6" t="str">
        <f t="shared" ref="M300:R300" si="299">CONCAT(A300,",")</f>
        <v>respects,</v>
      </c>
      <c r="N300" s="6" t="str">
        <f t="shared" si="299"/>
        <v>beyond,</v>
      </c>
      <c r="O300" s="6" t="str">
        <f t="shared" si="299"/>
        <v>feels,</v>
      </c>
      <c r="P300" s="6" t="str">
        <f t="shared" si="299"/>
        <v>derivative,</v>
      </c>
      <c r="Q300" s="6" t="str">
        <f t="shared" si="299"/>
        <v>shirt,</v>
      </c>
      <c r="R300" s="6" t="str">
        <f t="shared" si="299"/>
        <v>talented,</v>
      </c>
    </row>
    <row r="301">
      <c r="A301" s="1" t="s">
        <v>1979</v>
      </c>
      <c r="B301" s="1" t="s">
        <v>1075</v>
      </c>
      <c r="C301" s="1" t="s">
        <v>124</v>
      </c>
      <c r="D301" s="1" t="s">
        <v>183</v>
      </c>
      <c r="E301" s="1" t="s">
        <v>1574</v>
      </c>
      <c r="F301" s="1" t="s">
        <v>1574</v>
      </c>
      <c r="H301" s="1" t="s">
        <v>460</v>
      </c>
      <c r="I301" s="1" t="s">
        <v>386</v>
      </c>
      <c r="J301" s="1" t="s">
        <v>1961</v>
      </c>
      <c r="M301" s="6" t="str">
        <f t="shared" ref="M301:R301" si="300">CONCAT(A301,",")</f>
        <v>ensures,</v>
      </c>
      <c r="N301" s="6" t="str">
        <f t="shared" si="300"/>
        <v>pacing,</v>
      </c>
      <c r="O301" s="6" t="str">
        <f t="shared" si="300"/>
        <v>throughout,</v>
      </c>
      <c r="P301" s="6" t="str">
        <f t="shared" si="300"/>
        <v>sequel,</v>
      </c>
      <c r="Q301" s="6" t="str">
        <f t="shared" si="300"/>
        <v>takes,</v>
      </c>
      <c r="R301" s="6" t="str">
        <f t="shared" si="300"/>
        <v>takes,</v>
      </c>
    </row>
    <row r="302">
      <c r="B302" s="1" t="s">
        <v>1088</v>
      </c>
      <c r="C302" s="1" t="s">
        <v>1214</v>
      </c>
      <c r="D302" s="1" t="s">
        <v>932</v>
      </c>
      <c r="E302" s="1" t="s">
        <v>2606</v>
      </c>
      <c r="F302" s="1" t="s">
        <v>769</v>
      </c>
      <c r="H302" s="1" t="s">
        <v>1981</v>
      </c>
      <c r="I302" s="1" t="s">
        <v>1360</v>
      </c>
      <c r="J302" s="1" t="s">
        <v>2178</v>
      </c>
    </row>
    <row r="303">
      <c r="B303" s="1" t="s">
        <v>1198</v>
      </c>
      <c r="C303" s="1" t="s">
        <v>2369</v>
      </c>
      <c r="D303" s="1" t="s">
        <v>937</v>
      </c>
      <c r="E303" s="1" t="s">
        <v>4582</v>
      </c>
      <c r="F303" s="1" t="s">
        <v>720</v>
      </c>
      <c r="H303" s="1" t="s">
        <v>1985</v>
      </c>
      <c r="I303" s="1" t="s">
        <v>1091</v>
      </c>
      <c r="J303" s="1" t="s">
        <v>1075</v>
      </c>
    </row>
    <row r="304">
      <c r="B304" s="1" t="s">
        <v>884</v>
      </c>
      <c r="C304" s="1" t="s">
        <v>1669</v>
      </c>
      <c r="D304" s="1" t="s">
        <v>1730</v>
      </c>
      <c r="E304" s="1" t="s">
        <v>769</v>
      </c>
      <c r="F304" s="1" t="s">
        <v>847</v>
      </c>
      <c r="H304" s="1" t="s">
        <v>482</v>
      </c>
      <c r="I304" s="1" t="s">
        <v>1077</v>
      </c>
      <c r="J304" s="1" t="s">
        <v>1082</v>
      </c>
    </row>
    <row r="305">
      <c r="B305" s="1" t="s">
        <v>395</v>
      </c>
      <c r="C305" s="1" t="s">
        <v>1056</v>
      </c>
      <c r="D305" s="1" t="s">
        <v>1992</v>
      </c>
      <c r="E305" s="1" t="s">
        <v>759</v>
      </c>
      <c r="F305" s="1" t="s">
        <v>209</v>
      </c>
      <c r="H305" s="1" t="s">
        <v>1990</v>
      </c>
      <c r="I305" s="1" t="s">
        <v>645</v>
      </c>
      <c r="J305" s="1" t="s">
        <v>1188</v>
      </c>
    </row>
    <row r="306">
      <c r="B306" s="1" t="s">
        <v>1993</v>
      </c>
      <c r="C306" s="1" t="s">
        <v>2389</v>
      </c>
      <c r="D306" s="1" t="s">
        <v>942</v>
      </c>
      <c r="E306" s="1" t="s">
        <v>1568</v>
      </c>
      <c r="F306" s="1" t="s">
        <v>836</v>
      </c>
      <c r="H306" s="1" t="s">
        <v>518</v>
      </c>
      <c r="I306" s="1" t="s">
        <v>668</v>
      </c>
      <c r="J306" s="1" t="s">
        <v>884</v>
      </c>
    </row>
    <row r="307">
      <c r="B307" s="1" t="s">
        <v>406</v>
      </c>
      <c r="C307" s="1" t="s">
        <v>2393</v>
      </c>
      <c r="D307" s="1" t="s">
        <v>950</v>
      </c>
      <c r="E307" s="1" t="s">
        <v>784</v>
      </c>
      <c r="F307" s="1" t="s">
        <v>1303</v>
      </c>
      <c r="H307" s="1" t="s">
        <v>1996</v>
      </c>
      <c r="I307" s="1" t="s">
        <v>1103</v>
      </c>
      <c r="J307" s="1" t="s">
        <v>1204</v>
      </c>
    </row>
    <row r="308">
      <c r="B308" s="1" t="s">
        <v>1204</v>
      </c>
      <c r="C308" s="1" t="s">
        <v>2396</v>
      </c>
      <c r="D308" s="1" t="s">
        <v>87</v>
      </c>
      <c r="E308" s="1" t="s">
        <v>182</v>
      </c>
      <c r="F308" s="1" t="s">
        <v>1293</v>
      </c>
      <c r="H308" s="1" t="s">
        <v>1999</v>
      </c>
      <c r="I308" s="1" t="s">
        <v>651</v>
      </c>
      <c r="J308" s="1" t="s">
        <v>1209</v>
      </c>
    </row>
    <row r="309">
      <c r="B309" s="1" t="s">
        <v>2001</v>
      </c>
      <c r="C309" s="1" t="s">
        <v>2400</v>
      </c>
      <c r="D309" s="1" t="s">
        <v>962</v>
      </c>
      <c r="E309" s="1" t="s">
        <v>847</v>
      </c>
      <c r="F309" s="1" t="s">
        <v>1880</v>
      </c>
      <c r="H309" s="1" t="s">
        <v>2003</v>
      </c>
      <c r="I309" s="1" t="s">
        <v>659</v>
      </c>
      <c r="J309" s="1" t="s">
        <v>2001</v>
      </c>
    </row>
    <row r="310">
      <c r="B310" s="1" t="s">
        <v>1209</v>
      </c>
      <c r="C310" s="1" t="s">
        <v>1697</v>
      </c>
      <c r="D310" s="1" t="s">
        <v>1257</v>
      </c>
      <c r="E310" s="1" t="s">
        <v>798</v>
      </c>
      <c r="F310" s="1" t="s">
        <v>2309</v>
      </c>
      <c r="H310" s="1" t="s">
        <v>2004</v>
      </c>
      <c r="I310" s="1" t="s">
        <v>1124</v>
      </c>
      <c r="J310" s="1" t="s">
        <v>2211</v>
      </c>
    </row>
    <row r="311">
      <c r="B311" s="1" t="s">
        <v>222</v>
      </c>
      <c r="C311" s="1" t="s">
        <v>1062</v>
      </c>
      <c r="D311" s="1" t="s">
        <v>918</v>
      </c>
      <c r="E311" s="1" t="s">
        <v>139</v>
      </c>
      <c r="F311" s="1" t="s">
        <v>216</v>
      </c>
      <c r="H311" s="1" t="s">
        <v>468</v>
      </c>
      <c r="I311" s="1" t="s">
        <v>1385</v>
      </c>
      <c r="J311" s="1" t="s">
        <v>2217</v>
      </c>
    </row>
    <row r="312">
      <c r="B312" s="1" t="s">
        <v>2008</v>
      </c>
      <c r="C312" s="1" t="s">
        <v>2427</v>
      </c>
      <c r="D312" s="1" t="s">
        <v>333</v>
      </c>
      <c r="E312" s="1" t="s">
        <v>148</v>
      </c>
      <c r="F312" s="1" t="s">
        <v>1335</v>
      </c>
      <c r="H312" s="1" t="s">
        <v>2009</v>
      </c>
      <c r="I312" s="1" t="s">
        <v>6310</v>
      </c>
      <c r="J312" s="1" t="s">
        <v>2008</v>
      </c>
    </row>
    <row r="313">
      <c r="B313" s="1" t="s">
        <v>317</v>
      </c>
      <c r="C313" s="1" t="s">
        <v>2429</v>
      </c>
      <c r="D313" s="1" t="s">
        <v>2014</v>
      </c>
      <c r="E313" s="1" t="s">
        <v>161</v>
      </c>
      <c r="F313" s="1" t="s">
        <v>4510</v>
      </c>
      <c r="H313" s="1" t="s">
        <v>2012</v>
      </c>
      <c r="I313" s="1" t="s">
        <v>5108</v>
      </c>
      <c r="J313" s="1" t="s">
        <v>2215</v>
      </c>
    </row>
    <row r="314">
      <c r="B314" s="1" t="s">
        <v>2015</v>
      </c>
      <c r="C314" s="1" t="s">
        <v>2433</v>
      </c>
      <c r="D314" s="1" t="s">
        <v>1770</v>
      </c>
      <c r="E314" s="1" t="s">
        <v>836</v>
      </c>
      <c r="F314" s="1" t="s">
        <v>877</v>
      </c>
      <c r="H314" s="1" t="s">
        <v>2016</v>
      </c>
      <c r="I314" s="1" t="s">
        <v>5412</v>
      </c>
      <c r="J314" s="1" t="s">
        <v>2015</v>
      </c>
    </row>
    <row r="315">
      <c r="B315" s="1" t="s">
        <v>424</v>
      </c>
      <c r="C315" s="1" t="s">
        <v>2435</v>
      </c>
      <c r="D315" s="1" t="s">
        <v>2023</v>
      </c>
      <c r="E315" s="1" t="s">
        <v>2309</v>
      </c>
      <c r="F315" s="1" t="s">
        <v>1991</v>
      </c>
      <c r="H315" s="1" t="s">
        <v>2019</v>
      </c>
      <c r="I315" s="1" t="s">
        <v>1131</v>
      </c>
      <c r="J315" s="1" t="s">
        <v>1221</v>
      </c>
    </row>
    <row r="316">
      <c r="B316" s="1" t="s">
        <v>1129</v>
      </c>
      <c r="C316" s="1" t="s">
        <v>2438</v>
      </c>
      <c r="D316" s="1" t="s">
        <v>822</v>
      </c>
      <c r="E316" s="1" t="s">
        <v>1293</v>
      </c>
      <c r="F316" s="1" t="s">
        <v>1112</v>
      </c>
      <c r="H316" s="1" t="s">
        <v>800</v>
      </c>
      <c r="I316" s="1" t="s">
        <v>663</v>
      </c>
      <c r="J316" s="1" t="s">
        <v>1226</v>
      </c>
    </row>
    <row r="317">
      <c r="B317" s="1" t="s">
        <v>936</v>
      </c>
      <c r="C317" s="1" t="s">
        <v>1073</v>
      </c>
      <c r="D317" s="1" t="s">
        <v>1020</v>
      </c>
      <c r="E317" s="1" t="s">
        <v>6315</v>
      </c>
      <c r="F317" s="1" t="s">
        <v>1616</v>
      </c>
      <c r="H317" s="1" t="s">
        <v>2026</v>
      </c>
      <c r="I317" s="1" t="s">
        <v>2307</v>
      </c>
      <c r="J317" s="1" t="s">
        <v>116</v>
      </c>
    </row>
    <row r="318">
      <c r="B318" s="1" t="s">
        <v>1498</v>
      </c>
      <c r="C318" s="1" t="s">
        <v>2442</v>
      </c>
      <c r="D318" s="1" t="s">
        <v>1775</v>
      </c>
      <c r="E318" s="1" t="s">
        <v>1880</v>
      </c>
      <c r="F318" s="1" t="s">
        <v>1622</v>
      </c>
      <c r="H318" s="1" t="s">
        <v>2029</v>
      </c>
      <c r="I318" s="1" t="s">
        <v>1642</v>
      </c>
      <c r="J318" s="1" t="s">
        <v>2038</v>
      </c>
    </row>
    <row r="319">
      <c r="B319" s="1" t="s">
        <v>1141</v>
      </c>
      <c r="C319" s="1" t="s">
        <v>1957</v>
      </c>
      <c r="D319" s="1" t="s">
        <v>1786</v>
      </c>
      <c r="E319" s="1" t="s">
        <v>1311</v>
      </c>
      <c r="F319" s="1" t="s">
        <v>6303</v>
      </c>
      <c r="H319" s="1" t="s">
        <v>534</v>
      </c>
      <c r="I319" s="1" t="s">
        <v>1143</v>
      </c>
      <c r="J319" s="1" t="s">
        <v>2044</v>
      </c>
    </row>
    <row r="320">
      <c r="B320" s="1" t="s">
        <v>116</v>
      </c>
      <c r="C320" s="1" t="s">
        <v>2107</v>
      </c>
      <c r="D320" s="1" t="s">
        <v>1793</v>
      </c>
      <c r="E320" s="1" t="s">
        <v>1874</v>
      </c>
      <c r="F320" s="1" t="s">
        <v>745</v>
      </c>
      <c r="H320" s="1" t="s">
        <v>814</v>
      </c>
      <c r="I320" s="1" t="s">
        <v>4571</v>
      </c>
      <c r="J320" s="1" t="s">
        <v>1238</v>
      </c>
    </row>
    <row r="321">
      <c r="B321" s="1" t="s">
        <v>431</v>
      </c>
      <c r="C321" s="1" t="s">
        <v>2454</v>
      </c>
      <c r="D321" s="1" t="s">
        <v>2037</v>
      </c>
      <c r="E321" s="1" t="s">
        <v>1303</v>
      </c>
      <c r="F321" s="1" t="s">
        <v>736</v>
      </c>
      <c r="H321" s="1" t="s">
        <v>2035</v>
      </c>
      <c r="I321" s="1" t="s">
        <v>172</v>
      </c>
      <c r="J321" s="1" t="s">
        <v>2263</v>
      </c>
    </row>
    <row r="322">
      <c r="B322" s="1" t="s">
        <v>2038</v>
      </c>
      <c r="C322" s="1" t="s">
        <v>2458</v>
      </c>
      <c r="D322" s="1" t="s">
        <v>2041</v>
      </c>
      <c r="E322" s="1" t="s">
        <v>1112</v>
      </c>
      <c r="F322" s="1" t="s">
        <v>224</v>
      </c>
      <c r="H322" s="1" t="s">
        <v>456</v>
      </c>
      <c r="I322" s="1" t="s">
        <v>684</v>
      </c>
      <c r="J322" s="1" t="s">
        <v>1184</v>
      </c>
    </row>
    <row r="323">
      <c r="B323" s="1" t="s">
        <v>1238</v>
      </c>
      <c r="C323" s="1" t="s">
        <v>2461</v>
      </c>
      <c r="D323" s="1" t="s">
        <v>972</v>
      </c>
      <c r="E323" s="1" t="s">
        <v>877</v>
      </c>
      <c r="F323" s="1" t="s">
        <v>1653</v>
      </c>
      <c r="H323" s="1" t="s">
        <v>2034</v>
      </c>
      <c r="I323" s="1" t="s">
        <v>726</v>
      </c>
      <c r="J323" s="1" t="s">
        <v>945</v>
      </c>
    </row>
    <row r="324">
      <c r="B324" s="1" t="s">
        <v>2044</v>
      </c>
      <c r="C324" s="1" t="s">
        <v>1143</v>
      </c>
      <c r="D324" s="1" t="s">
        <v>267</v>
      </c>
      <c r="E324" s="1" t="s">
        <v>1622</v>
      </c>
      <c r="F324" s="1" t="s">
        <v>479</v>
      </c>
      <c r="H324" s="1" t="s">
        <v>178</v>
      </c>
      <c r="I324" s="1" t="s">
        <v>1428</v>
      </c>
      <c r="J324" s="1" t="s">
        <v>752</v>
      </c>
    </row>
    <row r="325">
      <c r="B325" s="1" t="s">
        <v>439</v>
      </c>
      <c r="C325" s="1" t="s">
        <v>1524</v>
      </c>
      <c r="D325" s="1" t="s">
        <v>1121</v>
      </c>
      <c r="E325" s="1" t="s">
        <v>1991</v>
      </c>
      <c r="F325" s="1" t="s">
        <v>763</v>
      </c>
      <c r="H325" s="1" t="s">
        <v>2046</v>
      </c>
      <c r="I325" s="1" t="s">
        <v>688</v>
      </c>
      <c r="J325" s="1" t="s">
        <v>1195</v>
      </c>
    </row>
    <row r="326">
      <c r="B326" s="1" t="s">
        <v>945</v>
      </c>
      <c r="C326" s="1" t="s">
        <v>2489</v>
      </c>
      <c r="D326" s="1" t="s">
        <v>1818</v>
      </c>
      <c r="E326" s="1" t="s">
        <v>4510</v>
      </c>
      <c r="F326" s="1" t="s">
        <v>1369</v>
      </c>
      <c r="H326" s="1" t="s">
        <v>543</v>
      </c>
      <c r="I326" s="1" t="s">
        <v>1440</v>
      </c>
      <c r="J326" s="1" t="s">
        <v>2285</v>
      </c>
    </row>
    <row r="327">
      <c r="B327" s="1" t="s">
        <v>2049</v>
      </c>
      <c r="C327" s="1" t="s">
        <v>2494</v>
      </c>
      <c r="D327" s="1" t="s">
        <v>1045</v>
      </c>
      <c r="E327" s="1" t="s">
        <v>1616</v>
      </c>
      <c r="F327" s="1" t="s">
        <v>149</v>
      </c>
      <c r="H327" s="1" t="s">
        <v>2050</v>
      </c>
      <c r="I327" s="1" t="s">
        <v>681</v>
      </c>
      <c r="J327" s="1" t="s">
        <v>1248</v>
      </c>
    </row>
    <row r="328">
      <c r="B328" s="1" t="s">
        <v>1195</v>
      </c>
      <c r="C328" s="1" t="s">
        <v>305</v>
      </c>
      <c r="D328" s="1" t="s">
        <v>2054</v>
      </c>
      <c r="E328" s="1" t="s">
        <v>6303</v>
      </c>
      <c r="F328" s="1" t="s">
        <v>419</v>
      </c>
      <c r="H328" s="1" t="s">
        <v>2053</v>
      </c>
      <c r="I328" s="1" t="s">
        <v>1179</v>
      </c>
      <c r="J328" s="1" t="s">
        <v>2058</v>
      </c>
    </row>
    <row r="329">
      <c r="B329" s="1" t="s">
        <v>1248</v>
      </c>
      <c r="C329" s="1" t="s">
        <v>2498</v>
      </c>
      <c r="D329" s="1" t="s">
        <v>219</v>
      </c>
      <c r="E329" s="1" t="s">
        <v>736</v>
      </c>
      <c r="F329" s="1" t="s">
        <v>1393</v>
      </c>
      <c r="H329" s="1" t="s">
        <v>464</v>
      </c>
      <c r="I329" s="1" t="s">
        <v>1453</v>
      </c>
      <c r="J329" s="1" t="s">
        <v>1138</v>
      </c>
    </row>
    <row r="330">
      <c r="B330" s="1" t="s">
        <v>2058</v>
      </c>
      <c r="C330" s="1" t="s">
        <v>2500</v>
      </c>
      <c r="D330" s="1" t="s">
        <v>344</v>
      </c>
      <c r="E330" s="1" t="s">
        <v>479</v>
      </c>
      <c r="F330" s="1" t="s">
        <v>1418</v>
      </c>
      <c r="H330" s="1" t="s">
        <v>2060</v>
      </c>
      <c r="I330" s="1" t="s">
        <v>1186</v>
      </c>
      <c r="J330" s="1" t="s">
        <v>2064</v>
      </c>
    </row>
    <row r="331">
      <c r="B331" s="1" t="s">
        <v>2062</v>
      </c>
      <c r="C331" s="1" t="s">
        <v>2503</v>
      </c>
      <c r="D331" s="1" t="s">
        <v>599</v>
      </c>
      <c r="E331" s="1" t="s">
        <v>1653</v>
      </c>
      <c r="F331" s="1" t="s">
        <v>787</v>
      </c>
      <c r="H331" s="1" t="s">
        <v>1032</v>
      </c>
      <c r="I331" s="1" t="s">
        <v>709</v>
      </c>
      <c r="J331" s="1" t="s">
        <v>2062</v>
      </c>
    </row>
    <row r="332">
      <c r="B332" s="1" t="s">
        <v>2064</v>
      </c>
      <c r="C332" s="1" t="s">
        <v>2505</v>
      </c>
      <c r="D332" s="1" t="s">
        <v>1838</v>
      </c>
      <c r="E332" s="1" t="s">
        <v>1926</v>
      </c>
      <c r="F332" s="1" t="s">
        <v>1987</v>
      </c>
      <c r="H332" s="1" t="s">
        <v>2065</v>
      </c>
      <c r="I332" s="1" t="s">
        <v>1192</v>
      </c>
      <c r="J332" s="1" t="s">
        <v>1207</v>
      </c>
    </row>
    <row r="333">
      <c r="B333" s="1" t="s">
        <v>449</v>
      </c>
      <c r="C333" s="1" t="s">
        <v>2507</v>
      </c>
      <c r="D333" s="1" t="s">
        <v>2069</v>
      </c>
      <c r="E333" s="1" t="s">
        <v>829</v>
      </c>
      <c r="F333" s="1" t="s">
        <v>53</v>
      </c>
      <c r="H333" s="1" t="s">
        <v>878</v>
      </c>
      <c r="I333" s="1" t="s">
        <v>1555</v>
      </c>
      <c r="J333" s="1" t="s">
        <v>2074</v>
      </c>
    </row>
    <row r="334">
      <c r="B334" s="1" t="s">
        <v>1207</v>
      </c>
      <c r="C334" s="1" t="s">
        <v>2532</v>
      </c>
      <c r="D334" s="1" t="s">
        <v>2073</v>
      </c>
      <c r="E334" s="1" t="s">
        <v>4036</v>
      </c>
      <c r="F334" s="1" t="s">
        <v>1734</v>
      </c>
      <c r="H334" s="1" t="s">
        <v>2070</v>
      </c>
      <c r="I334" s="1" t="s">
        <v>108</v>
      </c>
      <c r="J334" s="1" t="s">
        <v>449</v>
      </c>
    </row>
    <row r="335">
      <c r="B335" s="1" t="s">
        <v>2074</v>
      </c>
      <c r="C335" s="1" t="s">
        <v>2535</v>
      </c>
      <c r="D335" s="1" t="s">
        <v>1060</v>
      </c>
      <c r="E335" s="1" t="s">
        <v>1377</v>
      </c>
      <c r="F335" s="1" t="s">
        <v>2002</v>
      </c>
      <c r="H335" s="1" t="s">
        <v>2075</v>
      </c>
      <c r="I335" s="1" t="s">
        <v>1197</v>
      </c>
      <c r="J335" s="1" t="s">
        <v>1256</v>
      </c>
    </row>
    <row r="336">
      <c r="B336" s="1" t="s">
        <v>2079</v>
      </c>
      <c r="C336" s="1" t="s">
        <v>2093</v>
      </c>
      <c r="D336" s="1" t="s">
        <v>192</v>
      </c>
      <c r="E336" s="1" t="s">
        <v>1408</v>
      </c>
      <c r="F336" s="1" t="s">
        <v>710</v>
      </c>
      <c r="H336" s="1" t="s">
        <v>29</v>
      </c>
      <c r="I336" s="1" t="s">
        <v>724</v>
      </c>
      <c r="J336" s="1" t="s">
        <v>2299</v>
      </c>
    </row>
    <row r="337">
      <c r="B337" s="1" t="s">
        <v>1211</v>
      </c>
      <c r="C337" s="1">
        <v>2001.0</v>
      </c>
      <c r="D337" s="1" t="s">
        <v>990</v>
      </c>
      <c r="E337" s="1" t="s">
        <v>1694</v>
      </c>
      <c r="F337" s="1" t="s">
        <v>1139</v>
      </c>
      <c r="H337" s="1" t="s">
        <v>2082</v>
      </c>
      <c r="I337" s="1" t="s">
        <v>191</v>
      </c>
      <c r="J337" s="1" t="s">
        <v>2091</v>
      </c>
    </row>
    <row r="338">
      <c r="B338" s="1" t="s">
        <v>196</v>
      </c>
      <c r="C338" s="1" t="s">
        <v>2542</v>
      </c>
      <c r="D338" s="1" t="s">
        <v>997</v>
      </c>
      <c r="E338" s="1" t="s">
        <v>1400</v>
      </c>
      <c r="F338" s="1" t="s">
        <v>875</v>
      </c>
      <c r="H338" s="1" t="s">
        <v>2085</v>
      </c>
      <c r="I338" s="1" t="s">
        <v>1213</v>
      </c>
      <c r="J338" s="1" t="s">
        <v>196</v>
      </c>
    </row>
    <row r="339">
      <c r="B339" s="1" t="s">
        <v>1219</v>
      </c>
      <c r="C339" s="1" t="s">
        <v>2544</v>
      </c>
      <c r="D339" s="1" t="s">
        <v>285</v>
      </c>
      <c r="E339" s="1" t="s">
        <v>1393</v>
      </c>
      <c r="F339" s="1" t="s">
        <v>868</v>
      </c>
      <c r="H339" s="1" t="s">
        <v>552</v>
      </c>
      <c r="I339" s="1" t="s">
        <v>1127</v>
      </c>
      <c r="J339" s="1" t="s">
        <v>457</v>
      </c>
    </row>
    <row r="340">
      <c r="B340" s="1" t="s">
        <v>2091</v>
      </c>
      <c r="C340" s="1" t="s">
        <v>2548</v>
      </c>
      <c r="D340" s="1" t="s">
        <v>2093</v>
      </c>
      <c r="E340" s="1" t="s">
        <v>422</v>
      </c>
      <c r="F340" s="1" t="s">
        <v>802</v>
      </c>
      <c r="H340" s="1" t="s">
        <v>480</v>
      </c>
      <c r="I340" s="1" t="s">
        <v>1432</v>
      </c>
      <c r="J340" s="1" t="s">
        <v>232</v>
      </c>
    </row>
    <row r="341">
      <c r="B341" s="1" t="s">
        <v>457</v>
      </c>
      <c r="C341" s="1" t="s">
        <v>2163</v>
      </c>
      <c r="D341" s="1" t="s">
        <v>2095</v>
      </c>
      <c r="E341" s="1" t="s">
        <v>1987</v>
      </c>
      <c r="F341" s="1" t="s">
        <v>807</v>
      </c>
      <c r="H341" s="1" t="s">
        <v>804</v>
      </c>
      <c r="I341" s="1" t="s">
        <v>231</v>
      </c>
      <c r="J341" s="1" t="s">
        <v>2102</v>
      </c>
    </row>
    <row r="342">
      <c r="B342" s="1" t="s">
        <v>1229</v>
      </c>
      <c r="C342" s="1" t="s">
        <v>2550</v>
      </c>
      <c r="D342" s="1" t="s">
        <v>1072</v>
      </c>
      <c r="E342" s="1" t="s">
        <v>53</v>
      </c>
      <c r="F342" s="1" t="s">
        <v>2369</v>
      </c>
      <c r="H342" s="1" t="s">
        <v>2096</v>
      </c>
      <c r="I342" s="1" t="s">
        <v>4893</v>
      </c>
      <c r="J342" s="1" t="s">
        <v>1287</v>
      </c>
    </row>
    <row r="343">
      <c r="B343" s="1" t="s">
        <v>232</v>
      </c>
      <c r="C343" s="1" t="s">
        <v>1730</v>
      </c>
      <c r="D343" s="1" t="s">
        <v>202</v>
      </c>
      <c r="E343" s="1" t="s">
        <v>1139</v>
      </c>
      <c r="F343" s="1" t="s">
        <v>1469</v>
      </c>
      <c r="H343" s="1" t="s">
        <v>511</v>
      </c>
      <c r="I343" s="1" t="s">
        <v>6311</v>
      </c>
      <c r="J343" s="1" t="s">
        <v>1294</v>
      </c>
    </row>
    <row r="344">
      <c r="B344" s="1" t="s">
        <v>1275</v>
      </c>
      <c r="C344" s="1" t="s">
        <v>2555</v>
      </c>
      <c r="D344" s="1" t="s">
        <v>1008</v>
      </c>
      <c r="E344" s="1" t="s">
        <v>710</v>
      </c>
      <c r="F344" s="1" t="s">
        <v>4239</v>
      </c>
      <c r="H344" s="1" t="s">
        <v>2100</v>
      </c>
      <c r="I344" s="1" t="s">
        <v>5366</v>
      </c>
      <c r="J344" s="1" t="s">
        <v>1253</v>
      </c>
    </row>
    <row r="345">
      <c r="B345" s="1" t="s">
        <v>2102</v>
      </c>
      <c r="C345" s="1" t="s">
        <v>2558</v>
      </c>
      <c r="D345" s="1" t="s">
        <v>1015</v>
      </c>
      <c r="E345" s="1" t="s">
        <v>1430</v>
      </c>
      <c r="F345" s="1" t="s">
        <v>2227</v>
      </c>
      <c r="H345" s="1" t="s">
        <v>588</v>
      </c>
      <c r="I345" s="1" t="s">
        <v>6312</v>
      </c>
      <c r="J345" s="1" t="s">
        <v>1298</v>
      </c>
    </row>
    <row r="346">
      <c r="B346" s="1" t="s">
        <v>1246</v>
      </c>
      <c r="C346" s="1" t="s">
        <v>542</v>
      </c>
      <c r="D346" s="1" t="s">
        <v>1025</v>
      </c>
      <c r="E346" s="1" t="s">
        <v>2002</v>
      </c>
      <c r="F346" s="1" t="s">
        <v>3326</v>
      </c>
      <c r="H346" s="1" t="s">
        <v>494</v>
      </c>
      <c r="I346" s="1" t="s">
        <v>3534</v>
      </c>
      <c r="J346" s="1" t="s">
        <v>6316</v>
      </c>
    </row>
    <row r="347">
      <c r="B347" s="1" t="s">
        <v>1294</v>
      </c>
      <c r="C347" s="1" t="s">
        <v>2572</v>
      </c>
      <c r="D347" s="1" t="s">
        <v>1879</v>
      </c>
      <c r="E347" s="1" t="s">
        <v>1734</v>
      </c>
      <c r="F347" s="1" t="s">
        <v>1489</v>
      </c>
      <c r="H347" s="1" t="s">
        <v>420</v>
      </c>
      <c r="I347" s="1" t="s">
        <v>1203</v>
      </c>
      <c r="J347" s="1" t="s">
        <v>354</v>
      </c>
    </row>
    <row r="348">
      <c r="B348" s="1" t="s">
        <v>1253</v>
      </c>
      <c r="C348" s="1" t="s">
        <v>2575</v>
      </c>
      <c r="D348" s="1" t="s">
        <v>301</v>
      </c>
      <c r="E348" s="1" t="s">
        <v>857</v>
      </c>
      <c r="F348" s="1" t="s">
        <v>1438</v>
      </c>
      <c r="H348" s="1" t="s">
        <v>2111</v>
      </c>
      <c r="I348" s="1" t="s">
        <v>1220</v>
      </c>
      <c r="J348" s="1" t="s">
        <v>1279</v>
      </c>
    </row>
    <row r="349">
      <c r="B349" s="1" t="s">
        <v>240</v>
      </c>
      <c r="C349" s="1" t="s">
        <v>1121</v>
      </c>
      <c r="D349" s="1" t="s">
        <v>293</v>
      </c>
      <c r="E349" s="1" t="s">
        <v>1442</v>
      </c>
      <c r="F349" s="1" t="s">
        <v>1517</v>
      </c>
      <c r="H349" s="1" t="s">
        <v>144</v>
      </c>
      <c r="I349" s="1" t="s">
        <v>939</v>
      </c>
      <c r="J349" s="1" t="s">
        <v>1272</v>
      </c>
    </row>
    <row r="350">
      <c r="B350" s="1" t="s">
        <v>354</v>
      </c>
      <c r="C350" s="1" t="s">
        <v>1127</v>
      </c>
      <c r="D350" s="1" t="s">
        <v>2119</v>
      </c>
      <c r="E350" s="1" t="s">
        <v>868</v>
      </c>
      <c r="F350" s="1" t="s">
        <v>3006</v>
      </c>
      <c r="H350" s="1" t="s">
        <v>2115</v>
      </c>
      <c r="I350" s="1" t="s">
        <v>1232</v>
      </c>
      <c r="J350" s="1" t="s">
        <v>2364</v>
      </c>
    </row>
    <row r="351">
      <c r="B351" s="1" t="s">
        <v>1272</v>
      </c>
      <c r="C351" s="1" t="s">
        <v>244</v>
      </c>
      <c r="D351" s="1" t="s">
        <v>2122</v>
      </c>
      <c r="E351" s="1" t="s">
        <v>802</v>
      </c>
      <c r="F351" s="1" t="s">
        <v>1511</v>
      </c>
      <c r="H351" s="1" t="s">
        <v>606</v>
      </c>
      <c r="I351" s="1" t="s">
        <v>1529</v>
      </c>
      <c r="J351" s="1" t="s">
        <v>2125</v>
      </c>
    </row>
    <row r="352">
      <c r="B352" s="1" t="s">
        <v>327</v>
      </c>
      <c r="C352" s="1" t="s">
        <v>795</v>
      </c>
      <c r="D352" s="1" t="s">
        <v>1908</v>
      </c>
      <c r="E352" s="1" t="s">
        <v>4830</v>
      </c>
      <c r="F352" s="1" t="s">
        <v>2055</v>
      </c>
      <c r="H352" s="1" t="s">
        <v>2123</v>
      </c>
      <c r="I352" s="1" t="s">
        <v>731</v>
      </c>
      <c r="J352" s="1" t="s">
        <v>247</v>
      </c>
    </row>
    <row r="353">
      <c r="B353" s="1" t="s">
        <v>2125</v>
      </c>
      <c r="C353" s="1" t="s">
        <v>1453</v>
      </c>
      <c r="D353" s="1" t="s">
        <v>2128</v>
      </c>
      <c r="E353" s="1" t="s">
        <v>807</v>
      </c>
      <c r="F353" s="1" t="s">
        <v>4122</v>
      </c>
      <c r="H353" s="1" t="s">
        <v>2126</v>
      </c>
      <c r="I353" s="1" t="s">
        <v>1237</v>
      </c>
      <c r="J353" s="1" t="s">
        <v>2139</v>
      </c>
    </row>
    <row r="354">
      <c r="B354" s="1" t="s">
        <v>247</v>
      </c>
      <c r="C354" s="1" t="s">
        <v>2597</v>
      </c>
      <c r="D354" s="1" t="s">
        <v>1914</v>
      </c>
      <c r="E354" s="1" t="s">
        <v>1774</v>
      </c>
      <c r="F354" s="1" t="s">
        <v>1524</v>
      </c>
      <c r="H354" s="1" t="s">
        <v>2129</v>
      </c>
      <c r="I354" s="1" t="s">
        <v>3514</v>
      </c>
      <c r="J354" s="1" t="s">
        <v>1309</v>
      </c>
    </row>
    <row r="355">
      <c r="B355" s="1" t="s">
        <v>2131</v>
      </c>
      <c r="C355" s="1" t="s">
        <v>2166</v>
      </c>
      <c r="D355" s="1" t="s">
        <v>2134</v>
      </c>
      <c r="E355" s="1" t="s">
        <v>1769</v>
      </c>
      <c r="F355" s="1" t="s">
        <v>1068</v>
      </c>
      <c r="H355" s="1" t="s">
        <v>729</v>
      </c>
      <c r="I355" s="1" t="s">
        <v>1536</v>
      </c>
      <c r="J355" s="1" t="s">
        <v>350</v>
      </c>
    </row>
    <row r="356">
      <c r="B356" s="1" t="s">
        <v>1290</v>
      </c>
      <c r="C356" s="1" t="s">
        <v>2606</v>
      </c>
      <c r="D356" s="1" t="s">
        <v>1034</v>
      </c>
      <c r="E356" s="1" t="s">
        <v>1469</v>
      </c>
      <c r="F356" s="1" t="s">
        <v>257</v>
      </c>
      <c r="H356" s="1" t="s">
        <v>1560</v>
      </c>
      <c r="I356" s="1" t="s">
        <v>195</v>
      </c>
      <c r="J356" s="1" t="s">
        <v>4966</v>
      </c>
    </row>
    <row r="357">
      <c r="B357" s="1" t="s">
        <v>335</v>
      </c>
      <c r="C357" s="1" t="s">
        <v>2609</v>
      </c>
      <c r="D357" s="1" t="s">
        <v>2138</v>
      </c>
      <c r="E357" s="1" t="s">
        <v>540</v>
      </c>
      <c r="F357" s="1" t="s">
        <v>1545</v>
      </c>
      <c r="H357" s="1" t="s">
        <v>2137</v>
      </c>
      <c r="I357" s="1" t="s">
        <v>514</v>
      </c>
      <c r="J357" s="1" t="s">
        <v>2641</v>
      </c>
    </row>
    <row r="358">
      <c r="B358" s="1" t="s">
        <v>2139</v>
      </c>
      <c r="C358" s="1" t="s">
        <v>1238</v>
      </c>
      <c r="D358" s="1" t="s">
        <v>208</v>
      </c>
      <c r="E358" s="1" t="s">
        <v>365</v>
      </c>
      <c r="F358" s="1" t="s">
        <v>1836</v>
      </c>
      <c r="H358" s="1" t="s">
        <v>941</v>
      </c>
      <c r="I358" s="1" t="s">
        <v>670</v>
      </c>
      <c r="J358" s="1" t="s">
        <v>2056</v>
      </c>
    </row>
    <row r="359">
      <c r="B359" s="1" t="s">
        <v>1309</v>
      </c>
      <c r="C359" s="1" t="s">
        <v>1157</v>
      </c>
      <c r="D359" s="1" t="s">
        <v>375</v>
      </c>
      <c r="E359" s="1" t="s">
        <v>2227</v>
      </c>
      <c r="F359" s="1" t="s">
        <v>241</v>
      </c>
      <c r="H359" s="1" t="s">
        <v>2142</v>
      </c>
      <c r="I359" s="1" t="s">
        <v>1780</v>
      </c>
      <c r="J359" s="1" t="s">
        <v>345</v>
      </c>
    </row>
    <row r="360">
      <c r="B360" s="1" t="s">
        <v>2144</v>
      </c>
      <c r="C360" s="1" t="s">
        <v>1072</v>
      </c>
      <c r="D360" s="1" t="s">
        <v>1053</v>
      </c>
      <c r="E360" s="1" t="s">
        <v>4239</v>
      </c>
      <c r="F360" s="1" t="s">
        <v>250</v>
      </c>
      <c r="H360" s="1" t="s">
        <v>2145</v>
      </c>
      <c r="I360" s="1" t="s">
        <v>6314</v>
      </c>
      <c r="J360" s="1" t="s">
        <v>1322</v>
      </c>
    </row>
    <row r="361">
      <c r="B361" s="1" t="s">
        <v>2148</v>
      </c>
      <c r="C361" s="1" t="s">
        <v>1041</v>
      </c>
      <c r="D361" s="1" t="s">
        <v>1938</v>
      </c>
      <c r="E361" s="1" t="s">
        <v>1474</v>
      </c>
      <c r="F361" s="1" t="s">
        <v>909</v>
      </c>
      <c r="H361" s="1" t="s">
        <v>2149</v>
      </c>
      <c r="I361" s="1" t="s">
        <v>741</v>
      </c>
      <c r="J361" s="1" t="s">
        <v>1327</v>
      </c>
    </row>
    <row r="362">
      <c r="B362" s="1" t="s">
        <v>2056</v>
      </c>
      <c r="C362" s="1" t="s">
        <v>967</v>
      </c>
      <c r="D362" s="1" t="s">
        <v>2153</v>
      </c>
      <c r="E362" s="1" t="s">
        <v>890</v>
      </c>
      <c r="F362" s="1" t="s">
        <v>5053</v>
      </c>
      <c r="H362" s="1" t="s">
        <v>617</v>
      </c>
      <c r="I362" s="1" t="s">
        <v>1551</v>
      </c>
      <c r="J362" s="1" t="s">
        <v>1005</v>
      </c>
    </row>
    <row r="363">
      <c r="B363" s="1" t="s">
        <v>1327</v>
      </c>
      <c r="C363" s="1" t="s">
        <v>2647</v>
      </c>
      <c r="D363" s="1" t="s">
        <v>381</v>
      </c>
      <c r="E363" s="1" t="s">
        <v>3326</v>
      </c>
      <c r="F363" s="1" t="s">
        <v>1862</v>
      </c>
      <c r="H363" s="1" t="s">
        <v>490</v>
      </c>
      <c r="I363" s="1" t="s">
        <v>1807</v>
      </c>
      <c r="J363" s="1" t="s">
        <v>1011</v>
      </c>
    </row>
    <row r="364">
      <c r="B364" s="1" t="s">
        <v>1322</v>
      </c>
      <c r="C364" s="1" t="s">
        <v>1162</v>
      </c>
      <c r="D364" s="1" t="s">
        <v>1065</v>
      </c>
      <c r="E364" s="1" t="s">
        <v>1489</v>
      </c>
      <c r="F364" s="1" t="s">
        <v>1569</v>
      </c>
      <c r="H364" s="1" t="s">
        <v>2155</v>
      </c>
      <c r="I364" s="1" t="s">
        <v>1574</v>
      </c>
      <c r="J364" s="1" t="s">
        <v>2434</v>
      </c>
    </row>
    <row r="365">
      <c r="B365" s="1" t="s">
        <v>1011</v>
      </c>
      <c r="C365" s="1" t="s">
        <v>2650</v>
      </c>
      <c r="D365" s="1" t="s">
        <v>369</v>
      </c>
      <c r="E365" s="1" t="s">
        <v>1492</v>
      </c>
      <c r="F365" s="1" t="s">
        <v>1564</v>
      </c>
      <c r="H365" s="1" t="s">
        <v>808</v>
      </c>
      <c r="I365" s="1" t="s">
        <v>2606</v>
      </c>
      <c r="J365" s="1" t="s">
        <v>2159</v>
      </c>
    </row>
    <row r="366">
      <c r="B366" s="1" t="s">
        <v>2159</v>
      </c>
      <c r="C366" s="1" t="s">
        <v>1198</v>
      </c>
      <c r="D366" s="1" t="s">
        <v>2162</v>
      </c>
      <c r="E366" s="1" t="s">
        <v>1791</v>
      </c>
      <c r="F366" s="1" t="s">
        <v>917</v>
      </c>
      <c r="H366" s="1" t="s">
        <v>2160</v>
      </c>
      <c r="I366" s="1" t="s">
        <v>4582</v>
      </c>
      <c r="J366" s="1" t="s">
        <v>2436</v>
      </c>
    </row>
    <row r="367">
      <c r="B367" s="1" t="s">
        <v>2163</v>
      </c>
      <c r="C367" s="1" t="s">
        <v>1880</v>
      </c>
      <c r="D367" s="1" t="s">
        <v>2166</v>
      </c>
      <c r="E367" s="1" t="s">
        <v>1438</v>
      </c>
      <c r="F367" s="1" t="s">
        <v>157</v>
      </c>
      <c r="H367" s="1" t="s">
        <v>2164</v>
      </c>
      <c r="I367" s="1" t="s">
        <v>769</v>
      </c>
      <c r="J367" s="1" t="s">
        <v>2163</v>
      </c>
    </row>
    <row r="368">
      <c r="B368" s="1" t="s">
        <v>2167</v>
      </c>
      <c r="C368" s="1" t="s">
        <v>2658</v>
      </c>
      <c r="D368" s="1" t="s">
        <v>214</v>
      </c>
      <c r="E368" s="1" t="s">
        <v>646</v>
      </c>
      <c r="F368" s="1" t="s">
        <v>1590</v>
      </c>
      <c r="H368" s="1" t="s">
        <v>2168</v>
      </c>
      <c r="I368" s="1" t="s">
        <v>759</v>
      </c>
      <c r="J368" s="1" t="s">
        <v>2176</v>
      </c>
    </row>
    <row r="369">
      <c r="B369" s="1" t="s">
        <v>2171</v>
      </c>
      <c r="C369" s="1" t="s">
        <v>2674</v>
      </c>
      <c r="D369" s="1" t="s">
        <v>2175</v>
      </c>
      <c r="E369" s="1" t="s">
        <v>825</v>
      </c>
      <c r="F369" s="1" t="s">
        <v>275</v>
      </c>
      <c r="H369" s="1" t="s">
        <v>2173</v>
      </c>
      <c r="I369" s="1" t="s">
        <v>784</v>
      </c>
      <c r="J369" s="1" t="s">
        <v>2171</v>
      </c>
    </row>
    <row r="370">
      <c r="B370" s="1" t="s">
        <v>2176</v>
      </c>
      <c r="C370" s="1" t="s">
        <v>2677</v>
      </c>
      <c r="D370" s="1" t="s">
        <v>2178</v>
      </c>
      <c r="E370" s="1" t="s">
        <v>1816</v>
      </c>
      <c r="F370" s="1" t="s">
        <v>103</v>
      </c>
      <c r="H370" s="1" t="s">
        <v>2177</v>
      </c>
      <c r="I370" s="1" t="s">
        <v>182</v>
      </c>
      <c r="J370" s="1" t="s">
        <v>2179</v>
      </c>
    </row>
    <row r="371">
      <c r="B371" s="1" t="s">
        <v>2179</v>
      </c>
      <c r="C371" s="1" t="s">
        <v>1248</v>
      </c>
      <c r="D371" s="1" t="s">
        <v>1075</v>
      </c>
      <c r="E371" s="1" t="s">
        <v>1823</v>
      </c>
      <c r="F371" s="1" t="s">
        <v>2107</v>
      </c>
      <c r="H371" s="1" t="s">
        <v>1099</v>
      </c>
      <c r="I371" s="1" t="s">
        <v>847</v>
      </c>
      <c r="J371" s="1" t="s">
        <v>2685</v>
      </c>
    </row>
    <row r="372">
      <c r="B372" s="1" t="s">
        <v>1345</v>
      </c>
      <c r="C372" s="1" t="s">
        <v>2689</v>
      </c>
      <c r="D372" s="1" t="s">
        <v>1174</v>
      </c>
      <c r="E372" s="1" t="s">
        <v>3006</v>
      </c>
      <c r="F372" s="1" t="s">
        <v>162</v>
      </c>
      <c r="H372" s="1" t="s">
        <v>2183</v>
      </c>
      <c r="I372" s="1" t="s">
        <v>798</v>
      </c>
      <c r="J372" s="1" t="s">
        <v>2691</v>
      </c>
    </row>
    <row r="373">
      <c r="B373" s="1" t="s">
        <v>495</v>
      </c>
      <c r="C373" s="1" t="s">
        <v>1175</v>
      </c>
      <c r="D373" s="1" t="s">
        <v>1082</v>
      </c>
      <c r="E373" s="1" t="s">
        <v>6317</v>
      </c>
      <c r="F373" s="1" t="s">
        <v>1617</v>
      </c>
      <c r="H373" s="1" t="s">
        <v>2186</v>
      </c>
      <c r="I373" s="1" t="s">
        <v>815</v>
      </c>
      <c r="J373" s="1" t="s">
        <v>6318</v>
      </c>
    </row>
    <row r="374">
      <c r="B374" s="1" t="s">
        <v>1061</v>
      </c>
      <c r="C374" s="1" t="s">
        <v>2710</v>
      </c>
      <c r="D374" s="1" t="s">
        <v>2191</v>
      </c>
      <c r="E374" s="1" t="s">
        <v>4122</v>
      </c>
      <c r="F374" s="1" t="s">
        <v>610</v>
      </c>
      <c r="H374" s="1" t="s">
        <v>2188</v>
      </c>
      <c r="I374" s="1" t="s">
        <v>6319</v>
      </c>
      <c r="J374" s="1" t="s">
        <v>495</v>
      </c>
    </row>
    <row r="375">
      <c r="B375" s="1" t="s">
        <v>256</v>
      </c>
      <c r="C375" s="1" t="s">
        <v>2713</v>
      </c>
      <c r="D375" s="1" t="s">
        <v>1088</v>
      </c>
      <c r="E375" s="1" t="s">
        <v>2055</v>
      </c>
      <c r="F375" s="1" t="s">
        <v>292</v>
      </c>
      <c r="H375" s="1" t="s">
        <v>2192</v>
      </c>
      <c r="I375" s="1" t="s">
        <v>770</v>
      </c>
      <c r="J375" s="1" t="s">
        <v>256</v>
      </c>
    </row>
    <row r="376">
      <c r="B376" s="1" t="s">
        <v>265</v>
      </c>
      <c r="C376" s="1" t="s">
        <v>2716</v>
      </c>
      <c r="D376" s="1" t="s">
        <v>395</v>
      </c>
      <c r="E376" s="1" t="s">
        <v>2059</v>
      </c>
      <c r="F376" s="1" t="s">
        <v>872</v>
      </c>
      <c r="H376" s="1" t="s">
        <v>2195</v>
      </c>
      <c r="I376" s="1" t="s">
        <v>139</v>
      </c>
      <c r="J376" s="1" t="s">
        <v>265</v>
      </c>
    </row>
    <row r="377">
      <c r="B377" s="1" t="s">
        <v>225</v>
      </c>
      <c r="C377" s="1" t="s">
        <v>1779</v>
      </c>
      <c r="D377" s="1" t="s">
        <v>406</v>
      </c>
      <c r="E377" s="1" t="s">
        <v>6320</v>
      </c>
      <c r="F377" s="1" t="s">
        <v>1331</v>
      </c>
      <c r="H377" s="1" t="s">
        <v>1939</v>
      </c>
      <c r="I377" s="1" t="s">
        <v>148</v>
      </c>
      <c r="J377" s="1" t="s">
        <v>225</v>
      </c>
    </row>
    <row r="378">
      <c r="B378" s="1" t="s">
        <v>1431</v>
      </c>
      <c r="C378" s="1" t="s">
        <v>1182</v>
      </c>
      <c r="D378" s="1" t="s">
        <v>1204</v>
      </c>
      <c r="E378" s="1" t="s">
        <v>1068</v>
      </c>
      <c r="F378" s="1" t="s">
        <v>6321</v>
      </c>
      <c r="H378" s="1" t="s">
        <v>2200</v>
      </c>
      <c r="I378" s="1" t="s">
        <v>161</v>
      </c>
      <c r="J378" s="1" t="s">
        <v>1431</v>
      </c>
    </row>
    <row r="379">
      <c r="B379" s="1" t="s">
        <v>2203</v>
      </c>
      <c r="C379" s="1" t="s">
        <v>2723</v>
      </c>
      <c r="D379" s="1" t="s">
        <v>1209</v>
      </c>
      <c r="E379" s="1" t="s">
        <v>1524</v>
      </c>
      <c r="F379" s="1" t="s">
        <v>1663</v>
      </c>
      <c r="H379" s="1" t="s">
        <v>1982</v>
      </c>
      <c r="I379" s="1" t="s">
        <v>836</v>
      </c>
      <c r="J379" s="1" t="s">
        <v>1436</v>
      </c>
    </row>
    <row r="380">
      <c r="B380" s="1" t="s">
        <v>1436</v>
      </c>
      <c r="C380" s="1" t="s">
        <v>2733</v>
      </c>
      <c r="D380" s="1" t="s">
        <v>2001</v>
      </c>
      <c r="E380" s="1" t="s">
        <v>1836</v>
      </c>
      <c r="F380" s="1" t="s">
        <v>887</v>
      </c>
      <c r="H380" s="1" t="s">
        <v>2205</v>
      </c>
      <c r="I380" s="1" t="s">
        <v>2309</v>
      </c>
      <c r="J380" s="1" t="s">
        <v>2094</v>
      </c>
    </row>
    <row r="381">
      <c r="B381" s="1" t="s">
        <v>1972</v>
      </c>
      <c r="C381" s="1" t="s">
        <v>2735</v>
      </c>
      <c r="D381" s="1" t="s">
        <v>222</v>
      </c>
      <c r="E381" s="1" t="s">
        <v>1538</v>
      </c>
      <c r="F381" s="1" t="s">
        <v>894</v>
      </c>
      <c r="H381" s="1" t="s">
        <v>2207</v>
      </c>
      <c r="I381" s="1" t="s">
        <v>1293</v>
      </c>
      <c r="J381" s="1" t="s">
        <v>352</v>
      </c>
    </row>
    <row r="382">
      <c r="B382" s="1" t="s">
        <v>352</v>
      </c>
      <c r="C382" s="1" t="s">
        <v>651</v>
      </c>
      <c r="D382" s="1" t="s">
        <v>2211</v>
      </c>
      <c r="E382" s="1" t="s">
        <v>1564</v>
      </c>
      <c r="F382" s="1" t="s">
        <v>1669</v>
      </c>
      <c r="H382" s="1" t="s">
        <v>2209</v>
      </c>
      <c r="I382" s="1" t="s">
        <v>6315</v>
      </c>
      <c r="J382" s="1" t="s">
        <v>527</v>
      </c>
    </row>
    <row r="383">
      <c r="B383" s="1" t="s">
        <v>527</v>
      </c>
      <c r="C383" s="1" t="s">
        <v>2741</v>
      </c>
      <c r="D383" s="1" t="s">
        <v>2215</v>
      </c>
      <c r="E383" s="1" t="s">
        <v>1569</v>
      </c>
      <c r="F383" s="1" t="s">
        <v>173</v>
      </c>
      <c r="H383" s="1" t="s">
        <v>2212</v>
      </c>
      <c r="I383" s="1" t="s">
        <v>1880</v>
      </c>
      <c r="J383" s="1" t="s">
        <v>1391</v>
      </c>
    </row>
    <row r="384">
      <c r="B384" s="1" t="s">
        <v>960</v>
      </c>
      <c r="C384" s="1" t="s">
        <v>2744</v>
      </c>
      <c r="D384" s="1" t="s">
        <v>2217</v>
      </c>
      <c r="E384" s="1" t="s">
        <v>2088</v>
      </c>
      <c r="F384" s="1" t="s">
        <v>309</v>
      </c>
      <c r="H384" s="1" t="s">
        <v>2216</v>
      </c>
      <c r="I384" s="1" t="s">
        <v>1311</v>
      </c>
      <c r="J384" s="1" t="s">
        <v>2504</v>
      </c>
    </row>
    <row r="385">
      <c r="B385" s="1" t="s">
        <v>1215</v>
      </c>
      <c r="C385" s="1" t="s">
        <v>2590</v>
      </c>
      <c r="D385" s="1" t="s">
        <v>760</v>
      </c>
      <c r="E385" s="1" t="s">
        <v>909</v>
      </c>
      <c r="F385" s="1" t="s">
        <v>905</v>
      </c>
      <c r="H385" s="1" t="s">
        <v>882</v>
      </c>
      <c r="I385" s="1" t="s">
        <v>1874</v>
      </c>
      <c r="J385" s="1" t="s">
        <v>1411</v>
      </c>
    </row>
    <row r="386">
      <c r="B386" s="1" t="s">
        <v>1398</v>
      </c>
      <c r="C386" s="1" t="s">
        <v>198</v>
      </c>
      <c r="D386" s="1" t="s">
        <v>1115</v>
      </c>
      <c r="E386" s="1" t="s">
        <v>103</v>
      </c>
      <c r="F386" s="1" t="s">
        <v>6253</v>
      </c>
      <c r="H386" s="1" t="s">
        <v>2220</v>
      </c>
      <c r="I386" s="1" t="s">
        <v>1303</v>
      </c>
      <c r="J386" s="1" t="s">
        <v>2229</v>
      </c>
    </row>
    <row r="387">
      <c r="B387" s="1" t="s">
        <v>2222</v>
      </c>
      <c r="C387" s="1" t="s">
        <v>1423</v>
      </c>
      <c r="D387" s="1" t="s">
        <v>2225</v>
      </c>
      <c r="E387" s="1" t="s">
        <v>1883</v>
      </c>
      <c r="F387" s="1" t="s">
        <v>913</v>
      </c>
      <c r="H387" s="1" t="s">
        <v>2223</v>
      </c>
      <c r="I387" s="1" t="s">
        <v>1477</v>
      </c>
      <c r="J387" s="1" t="s">
        <v>2233</v>
      </c>
    </row>
    <row r="388">
      <c r="B388" s="1" t="s">
        <v>1411</v>
      </c>
      <c r="C388" s="1" t="s">
        <v>2757</v>
      </c>
      <c r="D388" s="1" t="s">
        <v>424</v>
      </c>
      <c r="E388" s="1" t="s">
        <v>2107</v>
      </c>
      <c r="F388" s="1" t="s">
        <v>6322</v>
      </c>
      <c r="H388" s="1" t="s">
        <v>2226</v>
      </c>
      <c r="I388" s="1" t="s">
        <v>1112</v>
      </c>
      <c r="J388" s="1" t="s">
        <v>2222</v>
      </c>
    </row>
    <row r="389">
      <c r="B389" s="1" t="s">
        <v>2229</v>
      </c>
      <c r="C389" s="1" t="s">
        <v>2762</v>
      </c>
      <c r="D389" s="1" t="s">
        <v>1129</v>
      </c>
      <c r="E389" s="1" t="s">
        <v>1590</v>
      </c>
      <c r="F389" s="1" t="s">
        <v>1708</v>
      </c>
      <c r="H389" s="1" t="s">
        <v>2230</v>
      </c>
      <c r="I389" s="1" t="s">
        <v>877</v>
      </c>
      <c r="J389" s="1" t="s">
        <v>2509</v>
      </c>
    </row>
    <row r="390">
      <c r="B390" s="1" t="s">
        <v>2233</v>
      </c>
      <c r="C390" s="1" t="s">
        <v>2217</v>
      </c>
      <c r="D390" s="1" t="s">
        <v>1135</v>
      </c>
      <c r="E390" s="1" t="s">
        <v>157</v>
      </c>
      <c r="F390" s="1" t="s">
        <v>1701</v>
      </c>
      <c r="H390" s="1" t="s">
        <v>636</v>
      </c>
      <c r="I390" s="1" t="s">
        <v>1622</v>
      </c>
      <c r="J390" s="1" t="s">
        <v>853</v>
      </c>
    </row>
    <row r="391">
      <c r="B391" s="1" t="s">
        <v>2236</v>
      </c>
      <c r="C391" s="1" t="s">
        <v>2756</v>
      </c>
      <c r="D391" s="1" t="s">
        <v>936</v>
      </c>
      <c r="E391" s="1" t="s">
        <v>1599</v>
      </c>
      <c r="F391" s="1" t="s">
        <v>316</v>
      </c>
      <c r="H391" s="1" t="s">
        <v>2237</v>
      </c>
      <c r="I391" s="1" t="s">
        <v>1991</v>
      </c>
      <c r="J391" s="1" t="s">
        <v>1227</v>
      </c>
    </row>
    <row r="392">
      <c r="B392" s="1" t="s">
        <v>2240</v>
      </c>
      <c r="C392" s="1" t="s">
        <v>2774</v>
      </c>
      <c r="D392" s="1" t="s">
        <v>1141</v>
      </c>
      <c r="E392" s="1" t="s">
        <v>1606</v>
      </c>
      <c r="F392" s="1" t="s">
        <v>6323</v>
      </c>
      <c r="H392" s="1" t="s">
        <v>2241</v>
      </c>
      <c r="I392" s="1" t="s">
        <v>4510</v>
      </c>
      <c r="J392" s="1" t="s">
        <v>1476</v>
      </c>
    </row>
    <row r="393">
      <c r="B393" s="1" t="s">
        <v>274</v>
      </c>
      <c r="C393" s="1" t="s">
        <v>2779</v>
      </c>
      <c r="D393" s="1" t="s">
        <v>116</v>
      </c>
      <c r="E393" s="1" t="s">
        <v>1894</v>
      </c>
      <c r="F393" s="1" t="s">
        <v>183</v>
      </c>
      <c r="H393" s="1" t="s">
        <v>2243</v>
      </c>
      <c r="I393" s="1" t="s">
        <v>1616</v>
      </c>
      <c r="J393" s="1" t="s">
        <v>1416</v>
      </c>
    </row>
    <row r="394">
      <c r="B394" s="1" t="s">
        <v>283</v>
      </c>
      <c r="C394" s="1" t="s">
        <v>2781</v>
      </c>
      <c r="D394" s="1" t="s">
        <v>2246</v>
      </c>
      <c r="E394" s="1" t="s">
        <v>1617</v>
      </c>
      <c r="F394" s="1" t="s">
        <v>937</v>
      </c>
      <c r="H394" s="1" t="s">
        <v>154</v>
      </c>
      <c r="I394" s="1" t="s">
        <v>6303</v>
      </c>
      <c r="J394" s="1" t="s">
        <v>274</v>
      </c>
    </row>
    <row r="395">
      <c r="B395" s="1" t="s">
        <v>1452</v>
      </c>
      <c r="C395" s="1" t="s">
        <v>2782</v>
      </c>
      <c r="D395" s="1" t="s">
        <v>1154</v>
      </c>
      <c r="E395" s="1" t="s">
        <v>6324</v>
      </c>
      <c r="F395" s="1" t="s">
        <v>932</v>
      </c>
      <c r="H395" s="1" t="s">
        <v>643</v>
      </c>
      <c r="I395" s="1" t="s">
        <v>479</v>
      </c>
      <c r="J395" s="1" t="s">
        <v>1434</v>
      </c>
    </row>
    <row r="396">
      <c r="B396" s="1" t="s">
        <v>361</v>
      </c>
      <c r="C396" s="1" t="s">
        <v>764</v>
      </c>
      <c r="D396" s="1" t="s">
        <v>431</v>
      </c>
      <c r="E396" s="1" t="s">
        <v>1623</v>
      </c>
      <c r="F396" s="1" t="s">
        <v>1750</v>
      </c>
      <c r="H396" s="1" t="s">
        <v>2249</v>
      </c>
      <c r="I396" s="1" t="s">
        <v>1653</v>
      </c>
      <c r="J396" s="1" t="s">
        <v>1490</v>
      </c>
    </row>
    <row r="397">
      <c r="B397" s="1" t="s">
        <v>2251</v>
      </c>
      <c r="C397" s="1" t="s">
        <v>1205</v>
      </c>
      <c r="D397" s="1" t="s">
        <v>2254</v>
      </c>
      <c r="E397" s="1" t="s">
        <v>2936</v>
      </c>
      <c r="F397" s="1" t="s">
        <v>6325</v>
      </c>
      <c r="H397" s="1" t="s">
        <v>533</v>
      </c>
      <c r="I397" s="1" t="s">
        <v>829</v>
      </c>
      <c r="J397" s="1" t="s">
        <v>283</v>
      </c>
    </row>
    <row r="398">
      <c r="B398" s="1" t="s">
        <v>31</v>
      </c>
      <c r="C398" s="1" t="s">
        <v>681</v>
      </c>
      <c r="D398" s="1" t="s">
        <v>1164</v>
      </c>
      <c r="E398" s="1" t="s">
        <v>610</v>
      </c>
      <c r="F398" s="1" t="s">
        <v>1730</v>
      </c>
      <c r="H398" s="1" t="s">
        <v>2255</v>
      </c>
      <c r="I398" s="1" t="s">
        <v>4036</v>
      </c>
      <c r="J398" s="1" t="s">
        <v>1452</v>
      </c>
    </row>
    <row r="399">
      <c r="B399" s="1" t="s">
        <v>1467</v>
      </c>
      <c r="C399" s="1" t="s">
        <v>1617</v>
      </c>
      <c r="D399" s="1" t="s">
        <v>1170</v>
      </c>
      <c r="E399" s="1" t="s">
        <v>938</v>
      </c>
      <c r="F399" s="1" t="s">
        <v>1992</v>
      </c>
      <c r="H399" s="1" t="s">
        <v>2258</v>
      </c>
      <c r="I399" s="1" t="s">
        <v>1377</v>
      </c>
      <c r="J399" s="1" t="s">
        <v>361</v>
      </c>
    </row>
    <row r="400">
      <c r="B400" s="1" t="s">
        <v>1473</v>
      </c>
      <c r="C400" s="1" t="s">
        <v>184</v>
      </c>
      <c r="D400" s="1" t="s">
        <v>1238</v>
      </c>
      <c r="E400" s="1" t="s">
        <v>2529</v>
      </c>
      <c r="F400" s="1" t="s">
        <v>3931</v>
      </c>
      <c r="H400" s="1" t="s">
        <v>927</v>
      </c>
      <c r="I400" s="1" t="s">
        <v>1408</v>
      </c>
      <c r="J400" s="1" t="s">
        <v>31</v>
      </c>
    </row>
    <row r="401">
      <c r="B401" s="1" t="s">
        <v>1480</v>
      </c>
      <c r="C401" s="1" t="s">
        <v>1216</v>
      </c>
      <c r="D401" s="1" t="s">
        <v>2263</v>
      </c>
      <c r="E401" s="1" t="s">
        <v>1331</v>
      </c>
      <c r="F401" s="1" t="s">
        <v>942</v>
      </c>
      <c r="H401" s="1" t="s">
        <v>1002</v>
      </c>
      <c r="I401" s="1" t="s">
        <v>1694</v>
      </c>
      <c r="J401" s="1" t="s">
        <v>1480</v>
      </c>
    </row>
    <row r="402">
      <c r="B402" s="1" t="s">
        <v>1497</v>
      </c>
      <c r="C402" s="1" t="s">
        <v>1223</v>
      </c>
      <c r="D402" s="1" t="s">
        <v>439</v>
      </c>
      <c r="E402" s="1" t="s">
        <v>1655</v>
      </c>
      <c r="F402" s="1" t="s">
        <v>87</v>
      </c>
      <c r="H402" s="1" t="s">
        <v>2264</v>
      </c>
      <c r="I402" s="1" t="s">
        <v>1400</v>
      </c>
      <c r="J402" s="1" t="s">
        <v>1497</v>
      </c>
    </row>
    <row r="403">
      <c r="B403" s="1" t="s">
        <v>2267</v>
      </c>
      <c r="C403" s="1" t="s">
        <v>2825</v>
      </c>
      <c r="D403" s="1" t="s">
        <v>1184</v>
      </c>
      <c r="E403" s="1" t="s">
        <v>872</v>
      </c>
      <c r="F403" s="1">
        <v>84.0</v>
      </c>
      <c r="H403" s="1" t="s">
        <v>2268</v>
      </c>
      <c r="I403" s="1" t="s">
        <v>1393</v>
      </c>
      <c r="J403" s="1" t="s">
        <v>1505</v>
      </c>
    </row>
    <row r="404">
      <c r="B404" s="1" t="s">
        <v>1487</v>
      </c>
      <c r="C404" s="1" t="s">
        <v>1227</v>
      </c>
      <c r="D404" s="1" t="s">
        <v>945</v>
      </c>
      <c r="E404" s="1" t="s">
        <v>887</v>
      </c>
      <c r="F404" s="1" t="s">
        <v>1257</v>
      </c>
      <c r="H404" s="1" t="s">
        <v>2272</v>
      </c>
      <c r="I404" s="1" t="s">
        <v>422</v>
      </c>
      <c r="J404" s="1" t="s">
        <v>2267</v>
      </c>
    </row>
    <row r="405">
      <c r="B405" s="1" t="s">
        <v>376</v>
      </c>
      <c r="C405" s="1" t="s">
        <v>2070</v>
      </c>
      <c r="D405" s="1" t="s">
        <v>1195</v>
      </c>
      <c r="E405" s="1" t="s">
        <v>1663</v>
      </c>
      <c r="F405" s="1" t="s">
        <v>1754</v>
      </c>
      <c r="H405" s="1" t="s">
        <v>747</v>
      </c>
      <c r="I405" s="1" t="s">
        <v>1987</v>
      </c>
      <c r="J405" s="1" t="s">
        <v>376</v>
      </c>
    </row>
    <row r="406">
      <c r="B406" s="1" t="s">
        <v>2276</v>
      </c>
      <c r="C406" s="1" t="s">
        <v>1275</v>
      </c>
      <c r="D406" s="1" t="s">
        <v>1248</v>
      </c>
      <c r="E406" s="1" t="s">
        <v>1997</v>
      </c>
      <c r="F406" s="1" t="s">
        <v>962</v>
      </c>
      <c r="H406" s="1" t="s">
        <v>2277</v>
      </c>
      <c r="I406" s="1" t="s">
        <v>53</v>
      </c>
      <c r="J406" s="1" t="s">
        <v>1487</v>
      </c>
    </row>
    <row r="407">
      <c r="B407" s="1" t="s">
        <v>550</v>
      </c>
      <c r="C407" s="1" t="s">
        <v>2833</v>
      </c>
      <c r="D407" s="1" t="s">
        <v>2281</v>
      </c>
      <c r="E407" s="1" t="s">
        <v>1669</v>
      </c>
      <c r="F407" s="1" t="s">
        <v>333</v>
      </c>
      <c r="H407" s="1" t="s">
        <v>655</v>
      </c>
      <c r="I407" s="1" t="s">
        <v>1139</v>
      </c>
      <c r="J407" s="1" t="s">
        <v>550</v>
      </c>
    </row>
    <row r="408">
      <c r="B408" s="1" t="s">
        <v>2282</v>
      </c>
      <c r="C408" s="1" t="s">
        <v>2837</v>
      </c>
      <c r="D408" s="1" t="s">
        <v>2285</v>
      </c>
      <c r="E408" s="1" t="s">
        <v>894</v>
      </c>
      <c r="F408" s="1" t="s">
        <v>2014</v>
      </c>
      <c r="H408" s="1" t="s">
        <v>2283</v>
      </c>
      <c r="I408" s="1" t="s">
        <v>710</v>
      </c>
      <c r="J408" s="1" t="s">
        <v>2593</v>
      </c>
    </row>
    <row r="409">
      <c r="B409" s="1" t="s">
        <v>1502</v>
      </c>
      <c r="C409" s="1" t="s">
        <v>2840</v>
      </c>
      <c r="D409" s="1" t="s">
        <v>2064</v>
      </c>
      <c r="E409" s="1" t="s">
        <v>6326</v>
      </c>
      <c r="F409" s="1" t="s">
        <v>1770</v>
      </c>
      <c r="H409" s="1" t="s">
        <v>649</v>
      </c>
      <c r="I409" s="1" t="s">
        <v>1430</v>
      </c>
      <c r="J409" s="1" t="s">
        <v>2599</v>
      </c>
    </row>
    <row r="410">
      <c r="B410" s="1" t="s">
        <v>923</v>
      </c>
      <c r="C410" s="1" t="s">
        <v>1568</v>
      </c>
      <c r="D410" s="1" t="s">
        <v>449</v>
      </c>
      <c r="E410" s="1" t="s">
        <v>173</v>
      </c>
      <c r="F410" s="1" t="s">
        <v>1020</v>
      </c>
      <c r="H410" s="1" t="s">
        <v>665</v>
      </c>
      <c r="I410" s="1" t="s">
        <v>2002</v>
      </c>
      <c r="J410" s="1" t="s">
        <v>1329</v>
      </c>
    </row>
    <row r="411">
      <c r="B411" s="1" t="s">
        <v>1329</v>
      </c>
      <c r="C411" s="1" t="s">
        <v>2059</v>
      </c>
      <c r="D411" s="1" t="s">
        <v>1207</v>
      </c>
      <c r="E411" s="1" t="s">
        <v>1688</v>
      </c>
      <c r="F411" s="1" t="s">
        <v>1786</v>
      </c>
      <c r="H411" s="1" t="s">
        <v>427</v>
      </c>
      <c r="I411" s="1" t="s">
        <v>1734</v>
      </c>
      <c r="J411" s="1" t="s">
        <v>6327</v>
      </c>
    </row>
    <row r="412">
      <c r="B412" s="1" t="s">
        <v>546</v>
      </c>
      <c r="C412" s="1" t="s">
        <v>2159</v>
      </c>
      <c r="D412" s="1" t="s">
        <v>2079</v>
      </c>
      <c r="E412" s="1" t="s">
        <v>6328</v>
      </c>
      <c r="F412" s="1" t="s">
        <v>1793</v>
      </c>
      <c r="H412" s="1" t="s">
        <v>715</v>
      </c>
      <c r="I412" s="1" t="s">
        <v>857</v>
      </c>
      <c r="J412" s="1" t="s">
        <v>567</v>
      </c>
    </row>
    <row r="413">
      <c r="B413" s="1" t="s">
        <v>38</v>
      </c>
      <c r="C413" s="1" t="s">
        <v>829</v>
      </c>
      <c r="D413" s="1" t="s">
        <v>2299</v>
      </c>
      <c r="E413" s="1" t="s">
        <v>1701</v>
      </c>
      <c r="F413" s="1" t="s">
        <v>2037</v>
      </c>
      <c r="H413" s="1" t="s">
        <v>2295</v>
      </c>
      <c r="I413" s="1" t="s">
        <v>1442</v>
      </c>
      <c r="J413" s="1" t="s">
        <v>38</v>
      </c>
    </row>
    <row r="414">
      <c r="B414" s="1" t="s">
        <v>567</v>
      </c>
      <c r="C414" s="1" t="s">
        <v>2869</v>
      </c>
      <c r="D414" s="1" t="s">
        <v>1211</v>
      </c>
      <c r="E414" s="1" t="s">
        <v>6322</v>
      </c>
      <c r="F414" s="1" t="s">
        <v>6309</v>
      </c>
      <c r="H414" s="1" t="s">
        <v>674</v>
      </c>
      <c r="I414" s="1" t="s">
        <v>868</v>
      </c>
      <c r="J414" s="1" t="s">
        <v>1543</v>
      </c>
    </row>
    <row r="415">
      <c r="B415" s="1" t="s">
        <v>2303</v>
      </c>
      <c r="C415" s="1" t="s">
        <v>2873</v>
      </c>
      <c r="D415" s="1" t="s">
        <v>1219</v>
      </c>
      <c r="E415" s="1" t="s">
        <v>2172</v>
      </c>
      <c r="F415" s="1" t="s">
        <v>2041</v>
      </c>
      <c r="H415" s="1" t="s">
        <v>2304</v>
      </c>
      <c r="I415" s="1" t="s">
        <v>802</v>
      </c>
      <c r="J415" s="1" t="s">
        <v>291</v>
      </c>
    </row>
    <row r="416">
      <c r="B416" s="1" t="s">
        <v>1543</v>
      </c>
      <c r="C416" s="1" t="s">
        <v>2876</v>
      </c>
      <c r="D416" s="1" t="s">
        <v>2091</v>
      </c>
      <c r="E416" s="1" t="s">
        <v>1708</v>
      </c>
      <c r="F416" s="1" t="s">
        <v>6308</v>
      </c>
      <c r="H416" s="1" t="s">
        <v>816</v>
      </c>
      <c r="I416" s="1" t="s">
        <v>2369</v>
      </c>
      <c r="J416" s="1" t="s">
        <v>2318</v>
      </c>
    </row>
    <row r="417">
      <c r="B417" s="1" t="s">
        <v>580</v>
      </c>
      <c r="C417" s="1" t="s">
        <v>993</v>
      </c>
      <c r="D417" s="1" t="s">
        <v>457</v>
      </c>
      <c r="E417" s="1" t="s">
        <v>913</v>
      </c>
      <c r="F417" s="1" t="s">
        <v>267</v>
      </c>
      <c r="H417" s="1" t="s">
        <v>2308</v>
      </c>
      <c r="I417" s="1" t="s">
        <v>4830</v>
      </c>
      <c r="J417" s="1" t="s">
        <v>2322</v>
      </c>
    </row>
    <row r="418">
      <c r="B418" s="1" t="s">
        <v>291</v>
      </c>
      <c r="C418" s="1" t="s">
        <v>1250</v>
      </c>
      <c r="D418" s="1" t="s">
        <v>1162</v>
      </c>
      <c r="E418" s="1" t="s">
        <v>937</v>
      </c>
      <c r="F418" s="1" t="s">
        <v>972</v>
      </c>
      <c r="H418" s="1" t="s">
        <v>1070</v>
      </c>
      <c r="I418" s="1" t="s">
        <v>1774</v>
      </c>
      <c r="J418" s="1" t="s">
        <v>2920</v>
      </c>
    </row>
    <row r="419">
      <c r="B419" s="1" t="s">
        <v>1562</v>
      </c>
      <c r="C419" s="1" t="s">
        <v>2900</v>
      </c>
      <c r="D419" s="1" t="s">
        <v>1229</v>
      </c>
      <c r="E419" s="1" t="s">
        <v>932</v>
      </c>
      <c r="F419" s="1" t="s">
        <v>2974</v>
      </c>
      <c r="H419" s="1" t="s">
        <v>2313</v>
      </c>
      <c r="I419" s="1" t="s">
        <v>1769</v>
      </c>
      <c r="J419" s="1" t="s">
        <v>2678</v>
      </c>
    </row>
    <row r="420">
      <c r="B420" s="1" t="s">
        <v>1584</v>
      </c>
      <c r="C420" s="1" t="s">
        <v>2902</v>
      </c>
      <c r="D420" s="1" t="s">
        <v>232</v>
      </c>
      <c r="E420" s="1" t="s">
        <v>183</v>
      </c>
      <c r="F420" s="1">
        <v>90.0</v>
      </c>
      <c r="H420" s="1" t="s">
        <v>2317</v>
      </c>
      <c r="I420" s="1" t="s">
        <v>1469</v>
      </c>
      <c r="J420" s="1" t="s">
        <v>1580</v>
      </c>
    </row>
    <row r="421">
      <c r="B421" s="1" t="s">
        <v>2318</v>
      </c>
      <c r="C421" s="1" t="s">
        <v>2906</v>
      </c>
      <c r="D421" s="1" t="s">
        <v>2102</v>
      </c>
      <c r="E421" s="1" t="s">
        <v>1750</v>
      </c>
      <c r="F421" s="1" t="s">
        <v>1121</v>
      </c>
      <c r="H421" s="1" t="s">
        <v>2319</v>
      </c>
      <c r="I421" s="1" t="s">
        <v>540</v>
      </c>
      <c r="J421" s="1" t="s">
        <v>2942</v>
      </c>
    </row>
    <row r="422">
      <c r="B422" s="1" t="s">
        <v>2322</v>
      </c>
      <c r="C422" s="1" t="s">
        <v>1487</v>
      </c>
      <c r="D422" s="1" t="s">
        <v>1275</v>
      </c>
      <c r="E422" s="1" t="s">
        <v>1730</v>
      </c>
      <c r="F422" s="1" t="s">
        <v>556</v>
      </c>
      <c r="H422" s="1" t="s">
        <v>935</v>
      </c>
      <c r="I422" s="1" t="s">
        <v>365</v>
      </c>
      <c r="J422" s="1" t="s">
        <v>1601</v>
      </c>
    </row>
    <row r="423">
      <c r="B423" s="1" t="s">
        <v>1567</v>
      </c>
      <c r="C423" s="1" t="s">
        <v>2922</v>
      </c>
      <c r="D423" s="1" t="s">
        <v>2325</v>
      </c>
      <c r="E423" s="1" t="s">
        <v>1736</v>
      </c>
      <c r="F423" s="1" t="s">
        <v>1806</v>
      </c>
      <c r="H423" s="1" t="s">
        <v>791</v>
      </c>
      <c r="I423" s="1" t="s">
        <v>2227</v>
      </c>
      <c r="J423" s="1" t="s">
        <v>1598</v>
      </c>
    </row>
    <row r="424">
      <c r="B424" s="1" t="s">
        <v>2326</v>
      </c>
      <c r="C424" s="1" t="s">
        <v>2035</v>
      </c>
      <c r="D424" s="1" t="s">
        <v>473</v>
      </c>
      <c r="E424" s="1" t="s">
        <v>1992</v>
      </c>
      <c r="F424" s="1" t="s">
        <v>1818</v>
      </c>
      <c r="H424" s="1" t="s">
        <v>2327</v>
      </c>
      <c r="I424" s="1" t="s">
        <v>4239</v>
      </c>
      <c r="J424" s="1" t="s">
        <v>389</v>
      </c>
    </row>
    <row r="425">
      <c r="B425" s="1" t="s">
        <v>2328</v>
      </c>
      <c r="C425" s="1" t="s">
        <v>2932</v>
      </c>
      <c r="D425" s="1" t="s">
        <v>1246</v>
      </c>
      <c r="E425" s="1" t="s">
        <v>950</v>
      </c>
      <c r="F425" s="1" t="s">
        <v>1045</v>
      </c>
      <c r="H425" s="1" t="s">
        <v>2329</v>
      </c>
      <c r="I425" s="1" t="s">
        <v>890</v>
      </c>
      <c r="J425" s="1" t="s">
        <v>1608</v>
      </c>
    </row>
    <row r="426">
      <c r="B426" s="1" t="s">
        <v>2331</v>
      </c>
      <c r="C426" s="1" t="s">
        <v>1258</v>
      </c>
      <c r="D426" s="1" t="s">
        <v>1287</v>
      </c>
      <c r="E426" s="1" t="s">
        <v>530</v>
      </c>
      <c r="F426" s="1" t="s">
        <v>6329</v>
      </c>
      <c r="H426" s="1" t="s">
        <v>2332</v>
      </c>
      <c r="I426" s="1" t="s">
        <v>3326</v>
      </c>
      <c r="J426" s="1" t="s">
        <v>1613</v>
      </c>
    </row>
    <row r="427">
      <c r="B427" s="1" t="s">
        <v>382</v>
      </c>
      <c r="C427" s="1" t="s">
        <v>2921</v>
      </c>
      <c r="D427" s="1" t="s">
        <v>1294</v>
      </c>
      <c r="E427" s="1" t="s">
        <v>1257</v>
      </c>
      <c r="F427" s="1" t="s">
        <v>219</v>
      </c>
      <c r="H427" s="1" t="s">
        <v>685</v>
      </c>
      <c r="I427" s="1" t="s">
        <v>1489</v>
      </c>
      <c r="J427" s="1" t="s">
        <v>1825</v>
      </c>
    </row>
    <row r="428">
      <c r="B428" s="1" t="s">
        <v>2336</v>
      </c>
      <c r="C428" s="1" t="s">
        <v>2947</v>
      </c>
      <c r="D428" s="1" t="s">
        <v>1253</v>
      </c>
      <c r="E428" s="1" t="s">
        <v>962</v>
      </c>
      <c r="F428" s="1" t="s">
        <v>2054</v>
      </c>
      <c r="H428" s="1" t="s">
        <v>2337</v>
      </c>
      <c r="I428" s="1" t="s">
        <v>1492</v>
      </c>
      <c r="J428" s="1" t="s">
        <v>308</v>
      </c>
    </row>
    <row r="429">
      <c r="B429" s="1" t="s">
        <v>587</v>
      </c>
      <c r="C429" s="1" t="s">
        <v>407</v>
      </c>
      <c r="D429" s="1" t="s">
        <v>2343</v>
      </c>
      <c r="E429" s="1" t="s">
        <v>918</v>
      </c>
      <c r="F429" s="1" t="s">
        <v>751</v>
      </c>
      <c r="H429" s="1" t="s">
        <v>2339</v>
      </c>
      <c r="I429" s="1" t="s">
        <v>1791</v>
      </c>
      <c r="J429" s="1" t="s">
        <v>2368</v>
      </c>
    </row>
    <row r="430">
      <c r="B430" s="1" t="s">
        <v>1580</v>
      </c>
      <c r="C430" s="1" t="s">
        <v>194</v>
      </c>
      <c r="D430" s="1" t="s">
        <v>2347</v>
      </c>
      <c r="E430" s="1" t="s">
        <v>6330</v>
      </c>
      <c r="F430" s="1" t="s">
        <v>306</v>
      </c>
      <c r="H430" s="1" t="s">
        <v>2344</v>
      </c>
      <c r="I430" s="1" t="s">
        <v>1438</v>
      </c>
      <c r="J430" s="1" t="s">
        <v>2376</v>
      </c>
    </row>
    <row r="431">
      <c r="B431" s="1" t="s">
        <v>604</v>
      </c>
      <c r="C431" s="1" t="s">
        <v>2964</v>
      </c>
      <c r="D431" s="1" t="s">
        <v>240</v>
      </c>
      <c r="E431" s="1">
        <v>84.0</v>
      </c>
      <c r="F431" s="1" t="s">
        <v>344</v>
      </c>
      <c r="H431" s="1" t="s">
        <v>557</v>
      </c>
      <c r="I431" s="1" t="s">
        <v>646</v>
      </c>
      <c r="J431" s="1" t="s">
        <v>2380</v>
      </c>
    </row>
    <row r="432">
      <c r="B432" s="1" t="s">
        <v>595</v>
      </c>
      <c r="C432" s="1" t="s">
        <v>2968</v>
      </c>
      <c r="D432" s="1" t="s">
        <v>354</v>
      </c>
      <c r="E432" s="1" t="s">
        <v>1754</v>
      </c>
      <c r="F432" s="1" t="s">
        <v>599</v>
      </c>
      <c r="H432" s="1" t="s">
        <v>692</v>
      </c>
      <c r="I432" s="1" t="s">
        <v>825</v>
      </c>
      <c r="J432" s="1" t="s">
        <v>1618</v>
      </c>
    </row>
    <row r="433">
      <c r="B433" s="1" t="s">
        <v>1601</v>
      </c>
      <c r="C433" s="1" t="s">
        <v>2974</v>
      </c>
      <c r="D433" s="1" t="s">
        <v>1272</v>
      </c>
      <c r="E433" s="1" t="s">
        <v>2023</v>
      </c>
      <c r="F433" s="1" t="s">
        <v>869</v>
      </c>
      <c r="H433" s="1" t="s">
        <v>353</v>
      </c>
      <c r="I433" s="1" t="s">
        <v>1816</v>
      </c>
      <c r="J433" s="1" t="s">
        <v>2392</v>
      </c>
    </row>
    <row r="434">
      <c r="B434" s="1" t="s">
        <v>1598</v>
      </c>
      <c r="C434" s="1" t="s">
        <v>2977</v>
      </c>
      <c r="D434" s="1" t="s">
        <v>1279</v>
      </c>
      <c r="E434" s="1" t="s">
        <v>822</v>
      </c>
      <c r="F434" s="1" t="s">
        <v>1060</v>
      </c>
      <c r="H434" s="1" t="s">
        <v>2351</v>
      </c>
      <c r="I434" s="1" t="s">
        <v>1823</v>
      </c>
      <c r="J434" s="1" t="s">
        <v>398</v>
      </c>
    </row>
    <row r="435">
      <c r="B435" s="1" t="s">
        <v>389</v>
      </c>
      <c r="C435" s="1" t="s">
        <v>2981</v>
      </c>
      <c r="D435" s="1" t="s">
        <v>2358</v>
      </c>
      <c r="E435" s="1" t="s">
        <v>1020</v>
      </c>
      <c r="F435" s="1" t="s">
        <v>2073</v>
      </c>
      <c r="H435" s="1" t="s">
        <v>788</v>
      </c>
      <c r="I435" s="1" t="s">
        <v>3006</v>
      </c>
      <c r="J435" s="1" t="s">
        <v>315</v>
      </c>
    </row>
    <row r="436">
      <c r="B436" s="1" t="s">
        <v>1613</v>
      </c>
      <c r="C436" s="1" t="s">
        <v>1237</v>
      </c>
      <c r="D436" s="1" t="s">
        <v>2362</v>
      </c>
      <c r="E436" s="1" t="s">
        <v>1770</v>
      </c>
      <c r="F436" s="1" t="s">
        <v>2069</v>
      </c>
      <c r="H436" s="1" t="s">
        <v>2359</v>
      </c>
      <c r="I436" s="1" t="s">
        <v>6317</v>
      </c>
      <c r="J436" s="1" t="s">
        <v>2404</v>
      </c>
    </row>
    <row r="437">
      <c r="B437" s="1" t="s">
        <v>300</v>
      </c>
      <c r="C437" s="1" t="s">
        <v>1845</v>
      </c>
      <c r="D437" s="1" t="s">
        <v>2364</v>
      </c>
      <c r="E437" s="1" t="s">
        <v>6331</v>
      </c>
      <c r="F437" s="1" t="s">
        <v>192</v>
      </c>
      <c r="H437" s="1" t="s">
        <v>2363</v>
      </c>
      <c r="I437" s="1" t="s">
        <v>4122</v>
      </c>
      <c r="J437" s="1" t="s">
        <v>2754</v>
      </c>
    </row>
    <row r="438">
      <c r="B438" s="1" t="s">
        <v>1825</v>
      </c>
      <c r="C438" s="1" t="s">
        <v>1838</v>
      </c>
      <c r="D438" s="1" t="s">
        <v>247</v>
      </c>
      <c r="E438" s="1" t="s">
        <v>1775</v>
      </c>
      <c r="F438" s="1" t="s">
        <v>6332</v>
      </c>
      <c r="H438" s="1" t="s">
        <v>2365</v>
      </c>
      <c r="I438" s="1" t="s">
        <v>2055</v>
      </c>
      <c r="J438" s="1" t="s">
        <v>2407</v>
      </c>
    </row>
    <row r="439">
      <c r="B439" s="1" t="s">
        <v>308</v>
      </c>
      <c r="C439" s="1" t="s">
        <v>3003</v>
      </c>
      <c r="D439" s="1" t="s">
        <v>2131</v>
      </c>
      <c r="E439" s="1" t="s">
        <v>1779</v>
      </c>
      <c r="F439" s="1" t="s">
        <v>285</v>
      </c>
      <c r="H439" s="1" t="s">
        <v>2366</v>
      </c>
      <c r="I439" s="1" t="s">
        <v>2059</v>
      </c>
      <c r="J439" s="1" t="s">
        <v>5471</v>
      </c>
    </row>
    <row r="440">
      <c r="B440" s="1" t="s">
        <v>2368</v>
      </c>
      <c r="C440" s="1" t="s">
        <v>3006</v>
      </c>
      <c r="D440" s="1" t="s">
        <v>1290</v>
      </c>
      <c r="E440" s="1" t="s">
        <v>1786</v>
      </c>
      <c r="F440" s="1" t="s">
        <v>997</v>
      </c>
      <c r="H440" s="1" t="s">
        <v>2323</v>
      </c>
      <c r="I440" s="1" t="s">
        <v>1068</v>
      </c>
      <c r="J440" s="1" t="s">
        <v>1640</v>
      </c>
    </row>
    <row r="441">
      <c r="B441" s="1" t="s">
        <v>2372</v>
      </c>
      <c r="C441" s="1" t="s">
        <v>1289</v>
      </c>
      <c r="D441" s="1" t="s">
        <v>2139</v>
      </c>
      <c r="E441" s="1" t="s">
        <v>2041</v>
      </c>
      <c r="F441" s="1" t="s">
        <v>2093</v>
      </c>
      <c r="H441" s="1" t="s">
        <v>2373</v>
      </c>
      <c r="I441" s="1" t="s">
        <v>1524</v>
      </c>
      <c r="J441" s="1" t="s">
        <v>2424</v>
      </c>
    </row>
    <row r="442">
      <c r="B442" s="1" t="s">
        <v>2376</v>
      </c>
      <c r="C442" s="1" t="s">
        <v>3022</v>
      </c>
      <c r="D442" s="1" t="s">
        <v>1296</v>
      </c>
      <c r="E442" s="1" t="s">
        <v>6308</v>
      </c>
      <c r="F442" s="1" t="s">
        <v>2095</v>
      </c>
      <c r="H442" s="1" t="s">
        <v>2377</v>
      </c>
      <c r="I442" s="1" t="s">
        <v>1836</v>
      </c>
      <c r="J442" s="1" t="s">
        <v>641</v>
      </c>
    </row>
    <row r="443">
      <c r="B443" s="1" t="s">
        <v>2380</v>
      </c>
      <c r="C443" s="1" t="s">
        <v>3024</v>
      </c>
      <c r="D443" s="1" t="s">
        <v>1301</v>
      </c>
      <c r="E443" s="1" t="s">
        <v>6309</v>
      </c>
      <c r="F443" s="1" t="s">
        <v>202</v>
      </c>
      <c r="H443" s="1" t="s">
        <v>99</v>
      </c>
      <c r="I443" s="1" t="s">
        <v>1564</v>
      </c>
      <c r="J443" s="1" t="s">
        <v>418</v>
      </c>
    </row>
    <row r="444">
      <c r="B444" s="1" t="s">
        <v>2382</v>
      </c>
      <c r="C444" s="1" t="s">
        <v>2504</v>
      </c>
      <c r="D444" s="1" t="s">
        <v>1309</v>
      </c>
      <c r="E444" s="1" t="s">
        <v>6333</v>
      </c>
      <c r="F444" s="1" t="s">
        <v>1008</v>
      </c>
      <c r="H444" s="1" t="s">
        <v>2383</v>
      </c>
      <c r="I444" s="1" t="s">
        <v>1569</v>
      </c>
      <c r="J444" s="1" t="s">
        <v>2456</v>
      </c>
    </row>
    <row r="445">
      <c r="B445" s="1" t="s">
        <v>2384</v>
      </c>
      <c r="C445" s="1" t="s">
        <v>3032</v>
      </c>
      <c r="D445" s="1" t="s">
        <v>350</v>
      </c>
      <c r="E445" s="1" t="s">
        <v>2974</v>
      </c>
      <c r="F445" s="1" t="s">
        <v>946</v>
      </c>
      <c r="H445" s="1" t="s">
        <v>2385</v>
      </c>
      <c r="I445" s="1" t="s">
        <v>2088</v>
      </c>
      <c r="J445" s="1" t="s">
        <v>2452</v>
      </c>
    </row>
    <row r="446">
      <c r="B446" s="1" t="s">
        <v>1618</v>
      </c>
      <c r="C446" s="1" t="s">
        <v>1170</v>
      </c>
      <c r="D446" s="1" t="s">
        <v>2144</v>
      </c>
      <c r="E446" s="1" t="s">
        <v>1121</v>
      </c>
      <c r="F446" s="1" t="s">
        <v>1025</v>
      </c>
      <c r="H446" s="1" t="s">
        <v>2388</v>
      </c>
      <c r="I446" s="1" t="s">
        <v>909</v>
      </c>
      <c r="J446" s="1" t="s">
        <v>1693</v>
      </c>
    </row>
    <row r="447">
      <c r="B447" s="1" t="s">
        <v>2392</v>
      </c>
      <c r="C447" s="1" t="s">
        <v>3041</v>
      </c>
      <c r="D447" s="1" t="s">
        <v>1348</v>
      </c>
      <c r="E447" s="1" t="s">
        <v>556</v>
      </c>
      <c r="F447" s="1" t="s">
        <v>1885</v>
      </c>
      <c r="H447" s="1" t="s">
        <v>1242</v>
      </c>
      <c r="I447" s="1" t="s">
        <v>103</v>
      </c>
      <c r="J447" s="1" t="s">
        <v>48</v>
      </c>
    </row>
    <row r="448">
      <c r="B448" s="1" t="s">
        <v>398</v>
      </c>
      <c r="C448" s="1" t="s">
        <v>2732</v>
      </c>
      <c r="D448" s="1" t="s">
        <v>2398</v>
      </c>
      <c r="E448" s="1" t="s">
        <v>2103</v>
      </c>
      <c r="F448" s="1" t="s">
        <v>1879</v>
      </c>
      <c r="H448" s="1" t="s">
        <v>658</v>
      </c>
      <c r="I448" s="1" t="s">
        <v>1883</v>
      </c>
      <c r="J448" s="1" t="s">
        <v>1706</v>
      </c>
    </row>
    <row r="449">
      <c r="B449" s="1" t="s">
        <v>315</v>
      </c>
      <c r="C449" s="1" t="s">
        <v>2319</v>
      </c>
      <c r="D449" s="1" t="s">
        <v>2148</v>
      </c>
      <c r="E449" s="1">
        <v>90.0</v>
      </c>
      <c r="F449" s="1" t="s">
        <v>293</v>
      </c>
      <c r="H449" s="1" t="s">
        <v>2399</v>
      </c>
      <c r="I449" s="1" t="s">
        <v>2107</v>
      </c>
      <c r="J449" s="1" t="s">
        <v>2478</v>
      </c>
    </row>
    <row r="450">
      <c r="B450" s="1" t="s">
        <v>447</v>
      </c>
      <c r="C450" s="1" t="s">
        <v>2951</v>
      </c>
      <c r="D450" s="1" t="s">
        <v>2056</v>
      </c>
      <c r="E450" s="1" t="s">
        <v>1806</v>
      </c>
      <c r="F450" s="1" t="s">
        <v>525</v>
      </c>
      <c r="H450" s="1" t="s">
        <v>2403</v>
      </c>
      <c r="I450" s="1" t="s">
        <v>1590</v>
      </c>
      <c r="J450" s="1" t="s">
        <v>1682</v>
      </c>
    </row>
    <row r="451">
      <c r="B451" s="1" t="s">
        <v>2404</v>
      </c>
      <c r="C451" s="1" t="s">
        <v>2599</v>
      </c>
      <c r="D451" s="1" t="s">
        <v>2406</v>
      </c>
      <c r="E451" s="1" t="s">
        <v>1818</v>
      </c>
      <c r="F451" s="1" t="s">
        <v>2378</v>
      </c>
      <c r="H451" s="1" t="s">
        <v>706</v>
      </c>
      <c r="I451" s="1" t="s">
        <v>157</v>
      </c>
      <c r="J451" s="1" t="s">
        <v>56</v>
      </c>
    </row>
    <row r="452">
      <c r="B452" s="1" t="s">
        <v>2407</v>
      </c>
      <c r="C452" s="1" t="s">
        <v>3055</v>
      </c>
      <c r="D452" s="1" t="s">
        <v>345</v>
      </c>
      <c r="E452" s="1" t="s">
        <v>1045</v>
      </c>
      <c r="F452" s="1" t="s">
        <v>1104</v>
      </c>
      <c r="H452" s="1" t="s">
        <v>2408</v>
      </c>
      <c r="I452" s="1" t="s">
        <v>1599</v>
      </c>
      <c r="J452" s="1" t="s">
        <v>1722</v>
      </c>
    </row>
    <row r="453">
      <c r="B453" s="1" t="s">
        <v>1084</v>
      </c>
      <c r="C453" s="1" t="s">
        <v>3058</v>
      </c>
      <c r="D453" s="1" t="s">
        <v>63</v>
      </c>
      <c r="E453" s="1">
        <v>100.0</v>
      </c>
      <c r="F453" s="1" t="s">
        <v>2119</v>
      </c>
      <c r="H453" s="1" t="s">
        <v>2411</v>
      </c>
      <c r="I453" s="1" t="s">
        <v>1606</v>
      </c>
      <c r="J453" s="1" t="s">
        <v>343</v>
      </c>
    </row>
    <row r="454">
      <c r="B454" s="1" t="s">
        <v>1634</v>
      </c>
      <c r="C454" s="1" t="s">
        <v>3076</v>
      </c>
      <c r="D454" s="1" t="s">
        <v>2417</v>
      </c>
      <c r="E454" s="1" t="s">
        <v>6329</v>
      </c>
      <c r="F454" s="1" t="s">
        <v>2122</v>
      </c>
      <c r="H454" s="1" t="s">
        <v>2414</v>
      </c>
      <c r="I454" s="1" t="s">
        <v>1894</v>
      </c>
      <c r="J454" s="1" t="s">
        <v>1728</v>
      </c>
    </row>
    <row r="455">
      <c r="B455" s="1" t="s">
        <v>2418</v>
      </c>
      <c r="C455" s="1" t="s">
        <v>3082</v>
      </c>
      <c r="D455" s="1" t="s">
        <v>1322</v>
      </c>
      <c r="E455" s="1" t="s">
        <v>751</v>
      </c>
      <c r="F455" s="1" t="s">
        <v>6334</v>
      </c>
      <c r="H455" s="1" t="s">
        <v>2419</v>
      </c>
      <c r="I455" s="1" t="s">
        <v>1617</v>
      </c>
      <c r="J455" s="1" t="s">
        <v>2487</v>
      </c>
    </row>
    <row r="456">
      <c r="B456" s="1" t="s">
        <v>332</v>
      </c>
      <c r="C456" s="1" t="s">
        <v>1314</v>
      </c>
      <c r="D456" s="1" t="s">
        <v>1327</v>
      </c>
      <c r="E456" s="1" t="s">
        <v>869</v>
      </c>
      <c r="F456" s="1" t="s">
        <v>2128</v>
      </c>
      <c r="H456" s="1" t="s">
        <v>2421</v>
      </c>
      <c r="I456" s="1" t="s">
        <v>6324</v>
      </c>
      <c r="J456" s="1" t="s">
        <v>426</v>
      </c>
    </row>
    <row r="457">
      <c r="B457" s="1" t="s">
        <v>2424</v>
      </c>
      <c r="C457" s="1" t="s">
        <v>3094</v>
      </c>
      <c r="D457" s="1" t="s">
        <v>1363</v>
      </c>
      <c r="E457" s="1" t="s">
        <v>1827</v>
      </c>
      <c r="F457" s="1" t="s">
        <v>2134</v>
      </c>
      <c r="H457" s="1" t="s">
        <v>738</v>
      </c>
      <c r="I457" s="1" t="s">
        <v>1623</v>
      </c>
      <c r="J457" s="1" t="s">
        <v>2864</v>
      </c>
    </row>
    <row r="458">
      <c r="B458" s="1" t="s">
        <v>1646</v>
      </c>
      <c r="C458" s="1" t="s">
        <v>2233</v>
      </c>
      <c r="D458" s="1" t="s">
        <v>1333</v>
      </c>
      <c r="E458" s="1" t="s">
        <v>1838</v>
      </c>
      <c r="F458" s="1" t="s">
        <v>1181</v>
      </c>
      <c r="H458" s="1" t="s">
        <v>1424</v>
      </c>
      <c r="I458" s="1" t="s">
        <v>2936</v>
      </c>
      <c r="J458" s="1" t="s">
        <v>691</v>
      </c>
    </row>
    <row r="459">
      <c r="B459" s="1" t="s">
        <v>634</v>
      </c>
      <c r="C459" s="1" t="s">
        <v>3105</v>
      </c>
      <c r="D459" s="1" t="s">
        <v>1011</v>
      </c>
      <c r="E459" s="1" t="s">
        <v>4663</v>
      </c>
      <c r="F459" s="1" t="s">
        <v>1119</v>
      </c>
      <c r="H459" s="1" t="s">
        <v>368</v>
      </c>
      <c r="I459" s="1" t="s">
        <v>610</v>
      </c>
      <c r="J459" s="1" t="s">
        <v>1710</v>
      </c>
    </row>
    <row r="460">
      <c r="B460" s="1" t="s">
        <v>2431</v>
      </c>
      <c r="C460" s="1" t="s">
        <v>3109</v>
      </c>
      <c r="D460" s="1" t="s">
        <v>2434</v>
      </c>
      <c r="E460" s="1" t="s">
        <v>2073</v>
      </c>
      <c r="F460" s="1" t="s">
        <v>2138</v>
      </c>
      <c r="H460" s="1" t="s">
        <v>2432</v>
      </c>
      <c r="I460" s="1" t="s">
        <v>938</v>
      </c>
      <c r="J460" s="1" t="s">
        <v>1718</v>
      </c>
    </row>
    <row r="461">
      <c r="B461" s="1" t="s">
        <v>408</v>
      </c>
      <c r="C461" s="1" t="s">
        <v>3113</v>
      </c>
      <c r="D461" s="1" t="s">
        <v>2436</v>
      </c>
      <c r="E461" s="1" t="s">
        <v>599</v>
      </c>
      <c r="F461" s="1" t="s">
        <v>1916</v>
      </c>
      <c r="H461" s="1" t="s">
        <v>737</v>
      </c>
      <c r="I461" s="1" t="s">
        <v>2529</v>
      </c>
      <c r="J461" s="1" t="s">
        <v>1738</v>
      </c>
    </row>
    <row r="462">
      <c r="B462" s="1" t="s">
        <v>641</v>
      </c>
      <c r="C462" s="1" t="s">
        <v>1564</v>
      </c>
      <c r="D462" s="1" t="s">
        <v>2167</v>
      </c>
      <c r="E462" s="1" t="s">
        <v>1060</v>
      </c>
      <c r="F462" s="1" t="s">
        <v>208</v>
      </c>
      <c r="H462" s="1" t="s">
        <v>2437</v>
      </c>
      <c r="I462" s="1" t="s">
        <v>1331</v>
      </c>
      <c r="J462" s="1" t="s">
        <v>2899</v>
      </c>
    </row>
    <row r="463">
      <c r="B463" s="1" t="s">
        <v>1614</v>
      </c>
      <c r="C463" s="1" t="s">
        <v>1748</v>
      </c>
      <c r="D463" s="1" t="s">
        <v>2441</v>
      </c>
      <c r="E463" s="1" t="s">
        <v>344</v>
      </c>
      <c r="F463" s="1" t="s">
        <v>375</v>
      </c>
      <c r="H463" s="1" t="s">
        <v>680</v>
      </c>
      <c r="I463" s="1" t="s">
        <v>1655</v>
      </c>
      <c r="J463" s="1" t="s">
        <v>1745</v>
      </c>
    </row>
    <row r="464">
      <c r="B464" s="1" t="s">
        <v>418</v>
      </c>
      <c r="C464" s="1" t="s">
        <v>3120</v>
      </c>
      <c r="D464" s="1" t="s">
        <v>1038</v>
      </c>
      <c r="E464" s="1" t="s">
        <v>1845</v>
      </c>
      <c r="F464" s="1" t="s">
        <v>2153</v>
      </c>
      <c r="H464" s="1" t="s">
        <v>302</v>
      </c>
      <c r="I464" s="1" t="s">
        <v>887</v>
      </c>
      <c r="J464" s="1" t="s">
        <v>2904</v>
      </c>
    </row>
    <row r="465">
      <c r="B465" s="1" t="s">
        <v>1022</v>
      </c>
      <c r="C465" s="1" t="s">
        <v>2942</v>
      </c>
      <c r="D465" s="1" t="s">
        <v>1345</v>
      </c>
      <c r="E465" s="1" t="s">
        <v>6332</v>
      </c>
      <c r="F465" s="1" t="s">
        <v>1053</v>
      </c>
      <c r="H465" s="1" t="s">
        <v>2444</v>
      </c>
      <c r="I465" s="1" t="s">
        <v>1997</v>
      </c>
      <c r="J465" s="1" t="s">
        <v>1773</v>
      </c>
    </row>
    <row r="466">
      <c r="B466" s="1" t="s">
        <v>325</v>
      </c>
      <c r="C466" s="1" t="s">
        <v>3128</v>
      </c>
      <c r="D466" s="1" t="s">
        <v>1395</v>
      </c>
      <c r="E466" s="1" t="s">
        <v>2093</v>
      </c>
      <c r="F466" s="1" t="s">
        <v>6335</v>
      </c>
      <c r="H466" s="1" t="s">
        <v>2447</v>
      </c>
      <c r="I466" s="1" t="s">
        <v>1669</v>
      </c>
      <c r="J466" s="1" t="s">
        <v>2517</v>
      </c>
    </row>
    <row r="467">
      <c r="B467" s="1" t="s">
        <v>672</v>
      </c>
      <c r="C467" s="1" t="s">
        <v>3132</v>
      </c>
      <c r="D467" s="1" t="s">
        <v>1388</v>
      </c>
      <c r="E467" s="1" t="s">
        <v>990</v>
      </c>
      <c r="F467" s="1" t="s">
        <v>1145</v>
      </c>
      <c r="H467" s="1" t="s">
        <v>2449</v>
      </c>
      <c r="I467" s="1" t="s">
        <v>894</v>
      </c>
      <c r="J467" s="1">
        <v>2002.0</v>
      </c>
    </row>
    <row r="468">
      <c r="B468" s="1" t="s">
        <v>2452</v>
      </c>
      <c r="C468" s="1" t="s">
        <v>3138</v>
      </c>
      <c r="D468" s="1" t="s">
        <v>495</v>
      </c>
      <c r="E468" s="1" t="s">
        <v>285</v>
      </c>
      <c r="F468" s="1" t="s">
        <v>369</v>
      </c>
      <c r="H468" s="1" t="s">
        <v>874</v>
      </c>
      <c r="I468" s="1" t="s">
        <v>6326</v>
      </c>
      <c r="J468" s="1" t="s">
        <v>440</v>
      </c>
    </row>
    <row r="469">
      <c r="B469" s="1" t="s">
        <v>662</v>
      </c>
      <c r="C469" s="1" t="s">
        <v>1338</v>
      </c>
      <c r="D469" s="1" t="s">
        <v>1061</v>
      </c>
      <c r="E469" s="1" t="s">
        <v>1126</v>
      </c>
      <c r="F469" s="1" t="s">
        <v>1149</v>
      </c>
      <c r="H469" s="1" t="s">
        <v>1169</v>
      </c>
      <c r="I469" s="1" t="s">
        <v>173</v>
      </c>
      <c r="J469" s="1" t="s">
        <v>1815</v>
      </c>
    </row>
    <row r="470">
      <c r="B470" s="1" t="s">
        <v>2456</v>
      </c>
      <c r="C470" s="1" t="s">
        <v>3150</v>
      </c>
      <c r="D470" s="1" t="s">
        <v>256</v>
      </c>
      <c r="E470" s="1" t="s">
        <v>1072</v>
      </c>
      <c r="F470" s="1" t="s">
        <v>6336</v>
      </c>
      <c r="H470" s="1" t="s">
        <v>2457</v>
      </c>
      <c r="I470" s="1" t="s">
        <v>1688</v>
      </c>
      <c r="J470" s="1" t="s">
        <v>1756</v>
      </c>
    </row>
    <row r="471">
      <c r="B471" s="1" t="s">
        <v>2460</v>
      </c>
      <c r="C471" s="1" t="s">
        <v>3154</v>
      </c>
      <c r="D471" s="1" t="s">
        <v>265</v>
      </c>
      <c r="E471" s="1" t="s">
        <v>2095</v>
      </c>
      <c r="F471" s="1" t="s">
        <v>6337</v>
      </c>
      <c r="H471" s="1" t="s">
        <v>842</v>
      </c>
      <c r="I471" s="1" t="s">
        <v>1349</v>
      </c>
      <c r="J471" s="1" t="s">
        <v>2534</v>
      </c>
    </row>
    <row r="472">
      <c r="B472" s="1" t="s">
        <v>2464</v>
      </c>
      <c r="C472" s="1" t="s">
        <v>3156</v>
      </c>
      <c r="D472" s="1" t="s">
        <v>225</v>
      </c>
      <c r="E472" s="1" t="s">
        <v>6313</v>
      </c>
      <c r="F472" s="1" t="s">
        <v>1156</v>
      </c>
      <c r="H472" s="1" t="s">
        <v>2465</v>
      </c>
      <c r="I472" s="1" t="s">
        <v>6253</v>
      </c>
      <c r="J472" s="1" t="s">
        <v>2950</v>
      </c>
    </row>
    <row r="473">
      <c r="B473" s="1" t="s">
        <v>1693</v>
      </c>
      <c r="C473" s="1" t="s">
        <v>3159</v>
      </c>
      <c r="D473" s="1" t="s">
        <v>1376</v>
      </c>
      <c r="E473" s="1" t="s">
        <v>1864</v>
      </c>
      <c r="F473" s="1" t="s">
        <v>1955</v>
      </c>
      <c r="H473" s="1" t="s">
        <v>2468</v>
      </c>
      <c r="I473" s="1" t="s">
        <v>6328</v>
      </c>
      <c r="J473" s="1" t="s">
        <v>2955</v>
      </c>
    </row>
    <row r="474">
      <c r="B474" s="1" t="s">
        <v>48</v>
      </c>
      <c r="C474" s="1" t="s">
        <v>3161</v>
      </c>
      <c r="D474" s="1" t="s">
        <v>1431</v>
      </c>
      <c r="E474" s="1" t="s">
        <v>1015</v>
      </c>
      <c r="F474" s="1">
        <v>3.0</v>
      </c>
      <c r="H474" s="1" t="s">
        <v>773</v>
      </c>
      <c r="I474" s="1" t="s">
        <v>1701</v>
      </c>
      <c r="J474" s="1" t="s">
        <v>705</v>
      </c>
    </row>
    <row r="475">
      <c r="B475" s="1" t="s">
        <v>1396</v>
      </c>
      <c r="C475" s="1" t="s">
        <v>3165</v>
      </c>
      <c r="D475" s="1" t="s">
        <v>2203</v>
      </c>
      <c r="E475" s="1" t="s">
        <v>1879</v>
      </c>
      <c r="F475" s="1" t="s">
        <v>2166</v>
      </c>
      <c r="H475" s="1" t="s">
        <v>2471</v>
      </c>
      <c r="I475" s="1" t="s">
        <v>6322</v>
      </c>
      <c r="J475" s="1" t="s">
        <v>1761</v>
      </c>
    </row>
    <row r="476">
      <c r="B476" s="1" t="s">
        <v>1682</v>
      </c>
      <c r="C476" s="1" t="s">
        <v>2985</v>
      </c>
      <c r="D476" s="1" t="s">
        <v>1436</v>
      </c>
      <c r="E476" s="1" t="s">
        <v>1885</v>
      </c>
      <c r="F476" s="1" t="s">
        <v>1961</v>
      </c>
      <c r="H476" s="1" t="s">
        <v>2473</v>
      </c>
      <c r="I476" s="1" t="s">
        <v>2172</v>
      </c>
      <c r="J476" s="1" t="s">
        <v>452</v>
      </c>
    </row>
    <row r="477">
      <c r="B477" s="1" t="s">
        <v>2476</v>
      </c>
      <c r="C477" s="1" t="s">
        <v>3177</v>
      </c>
      <c r="D477" s="1" t="s">
        <v>1972</v>
      </c>
      <c r="E477" s="1" t="s">
        <v>525</v>
      </c>
      <c r="F477" s="1" t="s">
        <v>214</v>
      </c>
      <c r="H477" s="1" t="s">
        <v>311</v>
      </c>
      <c r="I477" s="1" t="s">
        <v>1708</v>
      </c>
      <c r="J477" s="1" t="s">
        <v>459</v>
      </c>
    </row>
    <row r="478">
      <c r="B478" s="1" t="s">
        <v>2478</v>
      </c>
      <c r="C478" s="1" t="s">
        <v>861</v>
      </c>
      <c r="D478" s="1" t="s">
        <v>2094</v>
      </c>
      <c r="E478" s="1" t="s">
        <v>293</v>
      </c>
      <c r="F478" s="1" t="s">
        <v>1969</v>
      </c>
      <c r="H478" s="1" t="s">
        <v>633</v>
      </c>
      <c r="I478" s="1" t="s">
        <v>913</v>
      </c>
      <c r="J478" s="1" t="s">
        <v>2553</v>
      </c>
    </row>
    <row r="479">
      <c r="B479" s="1" t="s">
        <v>56</v>
      </c>
      <c r="C479" s="1" t="s">
        <v>136</v>
      </c>
      <c r="D479" s="1" t="s">
        <v>527</v>
      </c>
      <c r="E479" s="1" t="s">
        <v>4765</v>
      </c>
      <c r="F479" s="1" t="s">
        <v>2175</v>
      </c>
      <c r="H479" s="1" t="s">
        <v>796</v>
      </c>
      <c r="I479" s="1" t="s">
        <v>937</v>
      </c>
      <c r="J479" s="1" t="s">
        <v>2557</v>
      </c>
    </row>
    <row r="480">
      <c r="B480" s="1" t="s">
        <v>343</v>
      </c>
      <c r="C480" s="1" t="s">
        <v>1350</v>
      </c>
      <c r="D480" s="1" t="s">
        <v>352</v>
      </c>
      <c r="E480" s="1" t="s">
        <v>1110</v>
      </c>
      <c r="F480" s="1" t="s">
        <v>2178</v>
      </c>
      <c r="H480" s="1" t="s">
        <v>2483</v>
      </c>
      <c r="I480" s="1" t="s">
        <v>1750</v>
      </c>
      <c r="J480" s="1" t="s">
        <v>2559</v>
      </c>
    </row>
    <row r="481">
      <c r="B481" s="1" t="s">
        <v>1722</v>
      </c>
      <c r="C481" s="1" t="s">
        <v>1918</v>
      </c>
      <c r="D481" s="1" t="s">
        <v>1391</v>
      </c>
      <c r="E481" s="1" t="s">
        <v>1104</v>
      </c>
      <c r="F481" s="1" t="s">
        <v>1075</v>
      </c>
      <c r="H481" s="1" t="s">
        <v>640</v>
      </c>
      <c r="I481" s="1" t="s">
        <v>1730</v>
      </c>
      <c r="J481" s="1" t="s">
        <v>719</v>
      </c>
    </row>
    <row r="482">
      <c r="B482" s="1" t="s">
        <v>2487</v>
      </c>
      <c r="C482" s="1" t="s">
        <v>3204</v>
      </c>
      <c r="D482" s="1" t="s">
        <v>1215</v>
      </c>
      <c r="E482" s="1" t="s">
        <v>6238</v>
      </c>
      <c r="F482" s="1" t="s">
        <v>1082</v>
      </c>
      <c r="H482" s="1" t="s">
        <v>2488</v>
      </c>
      <c r="I482" s="1" t="s">
        <v>3931</v>
      </c>
      <c r="J482" s="1" t="s">
        <v>2994</v>
      </c>
    </row>
    <row r="483">
      <c r="B483" s="1" t="s">
        <v>1742</v>
      </c>
      <c r="C483" s="1" t="s">
        <v>3207</v>
      </c>
      <c r="D483" s="1" t="s">
        <v>2492</v>
      </c>
      <c r="E483" s="1" t="s">
        <v>625</v>
      </c>
      <c r="F483" s="1" t="s">
        <v>2191</v>
      </c>
      <c r="H483" s="1" t="s">
        <v>2490</v>
      </c>
      <c r="I483" s="1" t="s">
        <v>950</v>
      </c>
      <c r="J483" s="1" t="s">
        <v>467</v>
      </c>
    </row>
    <row r="484">
      <c r="B484" s="1" t="s">
        <v>1733</v>
      </c>
      <c r="C484" s="1" t="s">
        <v>2073</v>
      </c>
      <c r="D484" s="1" t="s">
        <v>2496</v>
      </c>
      <c r="E484" s="1" t="s">
        <v>2122</v>
      </c>
      <c r="F484" s="1" t="s">
        <v>1283</v>
      </c>
      <c r="H484" s="1" t="s">
        <v>2493</v>
      </c>
      <c r="I484" s="1" t="s">
        <v>530</v>
      </c>
      <c r="J484" s="1" t="s">
        <v>2570</v>
      </c>
    </row>
    <row r="485">
      <c r="B485" s="1" t="s">
        <v>1697</v>
      </c>
      <c r="C485" s="1" t="s">
        <v>2152</v>
      </c>
      <c r="D485" s="1" t="s">
        <v>1840</v>
      </c>
      <c r="E485" s="1" t="s">
        <v>2119</v>
      </c>
      <c r="F485" s="1" t="s">
        <v>884</v>
      </c>
      <c r="H485" s="1" t="s">
        <v>1643</v>
      </c>
      <c r="I485" s="1" t="s">
        <v>1257</v>
      </c>
      <c r="J485" s="1" t="s">
        <v>1796</v>
      </c>
    </row>
    <row r="486">
      <c r="B486" s="1" t="s">
        <v>426</v>
      </c>
      <c r="C486" s="1" t="s">
        <v>3217</v>
      </c>
      <c r="D486" s="1" t="s">
        <v>1398</v>
      </c>
      <c r="E486" s="1" t="s">
        <v>6338</v>
      </c>
      <c r="F486" s="1" t="s">
        <v>395</v>
      </c>
      <c r="H486" s="1" t="s">
        <v>259</v>
      </c>
      <c r="I486" s="1" t="s">
        <v>962</v>
      </c>
      <c r="J486" s="1" t="s">
        <v>1788</v>
      </c>
    </row>
    <row r="487">
      <c r="B487" s="1" t="s">
        <v>691</v>
      </c>
      <c r="C487" s="1" t="s">
        <v>1353</v>
      </c>
      <c r="D487" s="1" t="s">
        <v>1406</v>
      </c>
      <c r="E487" s="1" t="s">
        <v>2128</v>
      </c>
      <c r="F487" s="1" t="s">
        <v>2426</v>
      </c>
      <c r="H487" s="1" t="s">
        <v>561</v>
      </c>
      <c r="I487" s="1" t="s">
        <v>918</v>
      </c>
      <c r="J487" s="1" t="s">
        <v>1239</v>
      </c>
    </row>
    <row r="488">
      <c r="B488" s="1" t="s">
        <v>1710</v>
      </c>
      <c r="C488" s="1" t="s">
        <v>3221</v>
      </c>
      <c r="D488" s="1" t="s">
        <v>2504</v>
      </c>
      <c r="E488" s="1" t="s">
        <v>1908</v>
      </c>
      <c r="F488" s="1" t="s">
        <v>1993</v>
      </c>
      <c r="H488" s="1" t="s">
        <v>2502</v>
      </c>
      <c r="I488" s="1" t="s">
        <v>6330</v>
      </c>
      <c r="J488" s="1" t="s">
        <v>3308</v>
      </c>
    </row>
    <row r="489">
      <c r="B489" s="1" t="s">
        <v>1759</v>
      </c>
      <c r="C489" s="1" t="s">
        <v>621</v>
      </c>
      <c r="D489" s="1" t="s">
        <v>1411</v>
      </c>
      <c r="E489" s="1" t="s">
        <v>6334</v>
      </c>
      <c r="F489" s="1" t="s">
        <v>406</v>
      </c>
      <c r="H489" s="1" t="s">
        <v>774</v>
      </c>
      <c r="I489" s="1">
        <v>84.0</v>
      </c>
      <c r="J489" s="1" t="s">
        <v>1853</v>
      </c>
    </row>
    <row r="490">
      <c r="B490" s="1" t="s">
        <v>1718</v>
      </c>
      <c r="C490" s="1" t="s">
        <v>1657</v>
      </c>
      <c r="D490" s="1" t="s">
        <v>2509</v>
      </c>
      <c r="E490" s="1" t="s">
        <v>1181</v>
      </c>
      <c r="F490" s="1" t="s">
        <v>1204</v>
      </c>
      <c r="H490" s="1" t="s">
        <v>2506</v>
      </c>
      <c r="I490" s="1" t="s">
        <v>2023</v>
      </c>
      <c r="J490" s="1" t="s">
        <v>217</v>
      </c>
    </row>
    <row r="491">
      <c r="B491" s="1" t="s">
        <v>699</v>
      </c>
      <c r="C491" s="1" t="s">
        <v>3238</v>
      </c>
      <c r="D491" s="1" t="s">
        <v>2229</v>
      </c>
      <c r="E491" s="1" t="s">
        <v>1914</v>
      </c>
      <c r="F491" s="1" t="s">
        <v>2001</v>
      </c>
      <c r="H491" s="1" t="s">
        <v>2510</v>
      </c>
      <c r="I491" s="1" t="s">
        <v>822</v>
      </c>
      <c r="J491" s="1" t="s">
        <v>1861</v>
      </c>
    </row>
    <row r="492">
      <c r="B492" s="1" t="s">
        <v>2512</v>
      </c>
      <c r="C492" s="1" t="s">
        <v>1395</v>
      </c>
      <c r="D492" s="1" t="s">
        <v>2222</v>
      </c>
      <c r="E492" s="1" t="s">
        <v>1119</v>
      </c>
      <c r="F492" s="1" t="s">
        <v>6339</v>
      </c>
      <c r="H492" s="1" t="s">
        <v>2513</v>
      </c>
      <c r="I492" s="1" t="s">
        <v>1020</v>
      </c>
      <c r="J492" s="1" t="s">
        <v>2338</v>
      </c>
    </row>
    <row r="493">
      <c r="B493" s="1" t="s">
        <v>2517</v>
      </c>
      <c r="C493" s="1" t="s">
        <v>3244</v>
      </c>
      <c r="D493" s="1" t="s">
        <v>831</v>
      </c>
      <c r="E493" s="1" t="s">
        <v>5064</v>
      </c>
      <c r="F493" s="1" t="s">
        <v>6340</v>
      </c>
      <c r="H493" s="1" t="s">
        <v>2518</v>
      </c>
      <c r="I493" s="1" t="s">
        <v>6331</v>
      </c>
      <c r="J493" s="1" t="s">
        <v>1325</v>
      </c>
    </row>
    <row r="494">
      <c r="B494" s="1" t="s">
        <v>1811</v>
      </c>
      <c r="C494" s="1" t="s">
        <v>2044</v>
      </c>
      <c r="D494" s="1" t="s">
        <v>2525</v>
      </c>
      <c r="E494" s="1" t="s">
        <v>1916</v>
      </c>
      <c r="F494" s="1" t="s">
        <v>222</v>
      </c>
      <c r="H494" s="1" t="s">
        <v>2522</v>
      </c>
      <c r="I494" s="1" t="s">
        <v>1775</v>
      </c>
      <c r="J494" s="1" t="s">
        <v>384</v>
      </c>
    </row>
    <row r="495">
      <c r="B495" s="1" t="s">
        <v>440</v>
      </c>
      <c r="C495" s="1" t="s">
        <v>3251</v>
      </c>
      <c r="D495" s="1" t="s">
        <v>2528</v>
      </c>
      <c r="E495" s="1" t="s">
        <v>2138</v>
      </c>
      <c r="F495" s="1" t="s">
        <v>2211</v>
      </c>
      <c r="H495" s="1" t="s">
        <v>2526</v>
      </c>
      <c r="I495" s="1" t="s">
        <v>1779</v>
      </c>
      <c r="J495" s="1" t="s">
        <v>5978</v>
      </c>
    </row>
    <row r="496">
      <c r="B496" s="1" t="s">
        <v>1815</v>
      </c>
      <c r="C496" s="1" t="s">
        <v>2463</v>
      </c>
      <c r="D496" s="1" t="s">
        <v>1476</v>
      </c>
      <c r="E496" s="1" t="s">
        <v>6335</v>
      </c>
      <c r="F496" s="1" t="s">
        <v>2215</v>
      </c>
      <c r="H496" s="1" t="s">
        <v>1118</v>
      </c>
      <c r="I496" s="1" t="s">
        <v>2041</v>
      </c>
      <c r="J496" s="1" t="s">
        <v>210</v>
      </c>
    </row>
    <row r="497">
      <c r="B497" s="1" t="s">
        <v>1756</v>
      </c>
      <c r="C497" s="1" t="s">
        <v>3261</v>
      </c>
      <c r="D497" s="1" t="s">
        <v>1416</v>
      </c>
      <c r="E497" s="1" t="s">
        <v>6341</v>
      </c>
      <c r="F497" s="1" t="s">
        <v>1214</v>
      </c>
      <c r="H497" s="1" t="s">
        <v>2531</v>
      </c>
      <c r="I497" s="1" t="s">
        <v>6308</v>
      </c>
      <c r="J497" s="1" t="s">
        <v>3536</v>
      </c>
    </row>
    <row r="498">
      <c r="B498" s="1" t="s">
        <v>2534</v>
      </c>
      <c r="C498" s="1" t="s">
        <v>3269</v>
      </c>
      <c r="D498" s="1" t="s">
        <v>274</v>
      </c>
      <c r="E498" s="1" t="s">
        <v>2153</v>
      </c>
      <c r="F498" s="1" t="s">
        <v>6342</v>
      </c>
      <c r="H498" s="1" t="s">
        <v>363</v>
      </c>
      <c r="I498" s="1" t="s">
        <v>6309</v>
      </c>
      <c r="J498" s="1" t="s">
        <v>5120</v>
      </c>
    </row>
    <row r="499">
      <c r="B499" s="1" t="s">
        <v>705</v>
      </c>
      <c r="C499" s="1" t="s">
        <v>3273</v>
      </c>
      <c r="D499" s="1" t="s">
        <v>1427</v>
      </c>
      <c r="E499" s="1" t="s">
        <v>1938</v>
      </c>
      <c r="F499" s="1" t="s">
        <v>1115</v>
      </c>
      <c r="H499" s="1" t="s">
        <v>1260</v>
      </c>
      <c r="I499" s="1" t="s">
        <v>6333</v>
      </c>
      <c r="J499" s="1" t="s">
        <v>1856</v>
      </c>
    </row>
    <row r="500">
      <c r="B500" s="1" t="s">
        <v>2539</v>
      </c>
      <c r="C500" s="1" t="s">
        <v>1365</v>
      </c>
      <c r="D500" s="1" t="s">
        <v>1482</v>
      </c>
      <c r="E500" s="1" t="s">
        <v>2354</v>
      </c>
      <c r="F500" s="1" t="s">
        <v>2015</v>
      </c>
      <c r="H500" s="1" t="s">
        <v>2540</v>
      </c>
      <c r="I500" s="1" t="s">
        <v>2974</v>
      </c>
      <c r="J500" s="1" t="s">
        <v>2630</v>
      </c>
    </row>
    <row r="501">
      <c r="B501" s="1" t="s">
        <v>110</v>
      </c>
      <c r="C501" s="1" t="s">
        <v>2343</v>
      </c>
      <c r="D501" s="1" t="s">
        <v>1434</v>
      </c>
      <c r="E501" s="1" t="s">
        <v>2162</v>
      </c>
      <c r="F501" s="1" t="s">
        <v>424</v>
      </c>
      <c r="H501" s="1" t="s">
        <v>2541</v>
      </c>
      <c r="I501" s="1" t="s">
        <v>1121</v>
      </c>
      <c r="J501" s="1" t="s">
        <v>1859</v>
      </c>
    </row>
    <row r="502">
      <c r="B502" s="1" t="s">
        <v>1761</v>
      </c>
      <c r="C502" s="1" t="s">
        <v>3281</v>
      </c>
      <c r="D502" s="1" t="s">
        <v>2547</v>
      </c>
      <c r="E502" s="1" t="s">
        <v>369</v>
      </c>
      <c r="F502" s="1" t="s">
        <v>1498</v>
      </c>
      <c r="H502" s="1" t="s">
        <v>826</v>
      </c>
      <c r="I502" s="1" t="s">
        <v>556</v>
      </c>
      <c r="J502" s="1" t="s">
        <v>2646</v>
      </c>
    </row>
    <row r="503">
      <c r="B503" s="1" t="s">
        <v>452</v>
      </c>
      <c r="C503" s="1" t="s">
        <v>3284</v>
      </c>
      <c r="D503" s="1" t="s">
        <v>1490</v>
      </c>
      <c r="E503" s="1" t="s">
        <v>1149</v>
      </c>
      <c r="F503" s="1" t="s">
        <v>1141</v>
      </c>
      <c r="H503" s="1" t="s">
        <v>1059</v>
      </c>
      <c r="I503" s="1" t="s">
        <v>2103</v>
      </c>
      <c r="J503" s="1" t="s">
        <v>1797</v>
      </c>
    </row>
    <row r="504">
      <c r="B504" s="1" t="s">
        <v>696</v>
      </c>
      <c r="C504" s="1" t="s">
        <v>3286</v>
      </c>
      <c r="D504" s="1" t="s">
        <v>283</v>
      </c>
      <c r="E504" s="1" t="s">
        <v>1065</v>
      </c>
      <c r="F504" s="1" t="s">
        <v>1226</v>
      </c>
      <c r="H504" s="1" t="s">
        <v>1271</v>
      </c>
      <c r="I504" s="1">
        <v>90.0</v>
      </c>
      <c r="J504" s="1" t="s">
        <v>394</v>
      </c>
    </row>
    <row r="505">
      <c r="B505" s="1" t="s">
        <v>351</v>
      </c>
      <c r="C505" s="1" t="s">
        <v>3313</v>
      </c>
      <c r="D505" s="1" t="s">
        <v>2551</v>
      </c>
      <c r="E505" s="1" t="s">
        <v>1145</v>
      </c>
      <c r="F505" s="1" t="s">
        <v>2030</v>
      </c>
      <c r="H505" s="1" t="s">
        <v>2549</v>
      </c>
      <c r="I505" s="1" t="s">
        <v>1806</v>
      </c>
      <c r="J505" s="1" t="s">
        <v>1881</v>
      </c>
    </row>
    <row r="506">
      <c r="B506" s="1" t="s">
        <v>459</v>
      </c>
      <c r="C506" s="1" t="s">
        <v>3317</v>
      </c>
      <c r="D506" s="1" t="s">
        <v>1446</v>
      </c>
      <c r="E506" s="1" t="s">
        <v>6337</v>
      </c>
      <c r="F506" s="1" t="s">
        <v>116</v>
      </c>
      <c r="H506" s="1" t="s">
        <v>1846</v>
      </c>
      <c r="I506" s="1" t="s">
        <v>1818</v>
      </c>
      <c r="J506" s="1" t="s">
        <v>1897</v>
      </c>
    </row>
    <row r="507">
      <c r="B507" s="1" t="s">
        <v>2553</v>
      </c>
      <c r="C507" s="1" t="s">
        <v>3320</v>
      </c>
      <c r="D507" s="1" t="s">
        <v>1452</v>
      </c>
      <c r="E507" s="1" t="s">
        <v>1955</v>
      </c>
      <c r="F507" s="1" t="s">
        <v>2246</v>
      </c>
      <c r="H507" s="1" t="s">
        <v>2554</v>
      </c>
      <c r="I507" s="1" t="s">
        <v>1045</v>
      </c>
      <c r="J507" s="1" t="s">
        <v>474</v>
      </c>
    </row>
    <row r="508">
      <c r="B508" s="1" t="s">
        <v>2557</v>
      </c>
      <c r="C508" s="1" t="s">
        <v>3323</v>
      </c>
      <c r="D508" s="1" t="s">
        <v>2251</v>
      </c>
      <c r="E508" s="1" t="s">
        <v>1161</v>
      </c>
      <c r="F508" s="1" t="s">
        <v>1154</v>
      </c>
      <c r="H508" s="1" t="s">
        <v>846</v>
      </c>
      <c r="I508" s="1" t="s">
        <v>2054</v>
      </c>
      <c r="J508" s="1" t="s">
        <v>1901</v>
      </c>
    </row>
    <row r="509">
      <c r="B509" s="1" t="s">
        <v>2559</v>
      </c>
      <c r="C509" s="1" t="s">
        <v>3034</v>
      </c>
      <c r="D509" s="1" t="s">
        <v>31</v>
      </c>
      <c r="E509" s="1" t="s">
        <v>6336</v>
      </c>
      <c r="F509" s="1" t="s">
        <v>431</v>
      </c>
      <c r="H509" s="1" t="s">
        <v>850</v>
      </c>
      <c r="I509" s="1" t="s">
        <v>306</v>
      </c>
      <c r="J509" s="1" t="s">
        <v>481</v>
      </c>
    </row>
    <row r="510">
      <c r="B510" s="1" t="s">
        <v>719</v>
      </c>
      <c r="C510" s="1" t="s">
        <v>3338</v>
      </c>
      <c r="D510" s="1" t="s">
        <v>1467</v>
      </c>
      <c r="E510" s="1" t="s">
        <v>2166</v>
      </c>
      <c r="F510" s="1" t="s">
        <v>2044</v>
      </c>
      <c r="H510" s="1" t="s">
        <v>589</v>
      </c>
      <c r="I510" s="1" t="s">
        <v>219</v>
      </c>
      <c r="J510" s="1" t="s">
        <v>2833</v>
      </c>
    </row>
    <row r="511">
      <c r="B511" s="1" t="s">
        <v>512</v>
      </c>
      <c r="C511" s="1" t="s">
        <v>3349</v>
      </c>
      <c r="D511" s="1" t="s">
        <v>1473</v>
      </c>
      <c r="E511" s="1" t="s">
        <v>1961</v>
      </c>
      <c r="F511" s="1" t="s">
        <v>1170</v>
      </c>
      <c r="H511" s="1" t="s">
        <v>2564</v>
      </c>
      <c r="I511" s="1">
        <v>100.0</v>
      </c>
      <c r="J511" s="1" t="s">
        <v>3135</v>
      </c>
    </row>
    <row r="512">
      <c r="B512" s="1" t="s">
        <v>358</v>
      </c>
      <c r="C512" s="1" t="s">
        <v>1221</v>
      </c>
      <c r="D512" s="1" t="s">
        <v>1480</v>
      </c>
      <c r="E512" s="1" t="s">
        <v>2175</v>
      </c>
      <c r="F512" s="1" t="s">
        <v>1164</v>
      </c>
      <c r="H512" s="1" t="s">
        <v>2567</v>
      </c>
      <c r="I512" s="1" t="s">
        <v>6329</v>
      </c>
      <c r="J512" s="1" t="s">
        <v>1924</v>
      </c>
    </row>
    <row r="513">
      <c r="B513" s="1" t="s">
        <v>2570</v>
      </c>
      <c r="C513" s="1" t="s">
        <v>908</v>
      </c>
      <c r="D513" s="1" t="s">
        <v>1497</v>
      </c>
      <c r="E513" s="1" t="s">
        <v>1975</v>
      </c>
      <c r="F513" s="1" t="s">
        <v>1238</v>
      </c>
      <c r="H513" s="1" t="s">
        <v>2571</v>
      </c>
      <c r="I513" s="1" t="s">
        <v>751</v>
      </c>
      <c r="J513" s="1" t="s">
        <v>489</v>
      </c>
    </row>
    <row r="514">
      <c r="B514" s="1" t="s">
        <v>467</v>
      </c>
      <c r="C514" s="1" t="s">
        <v>3356</v>
      </c>
      <c r="D514" s="1" t="s">
        <v>1487</v>
      </c>
      <c r="E514" s="1" t="s">
        <v>2178</v>
      </c>
      <c r="F514" s="1" t="s">
        <v>2263</v>
      </c>
      <c r="H514" s="1" t="s">
        <v>667</v>
      </c>
      <c r="I514" s="1" t="s">
        <v>869</v>
      </c>
      <c r="J514" s="1" t="s">
        <v>6343</v>
      </c>
    </row>
    <row r="515">
      <c r="B515" s="1" t="s">
        <v>1848</v>
      </c>
      <c r="C515" s="1" t="s">
        <v>3359</v>
      </c>
      <c r="D515" s="1" t="s">
        <v>376</v>
      </c>
      <c r="E515" s="1" t="s">
        <v>1174</v>
      </c>
      <c r="F515" s="1" t="s">
        <v>439</v>
      </c>
      <c r="H515" s="1" t="s">
        <v>2576</v>
      </c>
      <c r="I515" s="1" t="s">
        <v>1827</v>
      </c>
      <c r="J515" s="1" t="s">
        <v>496</v>
      </c>
    </row>
    <row r="516">
      <c r="B516" s="1" t="s">
        <v>1796</v>
      </c>
      <c r="C516" s="1" t="s">
        <v>3362</v>
      </c>
      <c r="D516" s="1" t="s">
        <v>2578</v>
      </c>
      <c r="E516" s="1" t="s">
        <v>6344</v>
      </c>
      <c r="F516" s="1" t="s">
        <v>1184</v>
      </c>
      <c r="H516" s="1" t="s">
        <v>862</v>
      </c>
      <c r="I516" s="1" t="s">
        <v>1838</v>
      </c>
      <c r="J516" s="1" t="s">
        <v>1918</v>
      </c>
    </row>
    <row r="517">
      <c r="B517" s="1" t="s">
        <v>1853</v>
      </c>
      <c r="C517" s="1" t="s">
        <v>3366</v>
      </c>
      <c r="D517" s="1" t="s">
        <v>550</v>
      </c>
      <c r="E517" s="1" t="s">
        <v>1283</v>
      </c>
      <c r="F517" s="1" t="s">
        <v>6345</v>
      </c>
      <c r="H517" s="1" t="s">
        <v>2579</v>
      </c>
      <c r="I517" s="1" t="s">
        <v>4663</v>
      </c>
      <c r="J517" s="1" t="s">
        <v>1941</v>
      </c>
    </row>
    <row r="518">
      <c r="B518" s="1" t="s">
        <v>1802</v>
      </c>
      <c r="C518" s="1" t="s">
        <v>950</v>
      </c>
      <c r="D518" s="1" t="s">
        <v>2282</v>
      </c>
      <c r="E518" s="1" t="s">
        <v>1082</v>
      </c>
      <c r="F518" s="1" t="s">
        <v>945</v>
      </c>
      <c r="H518" s="1" t="s">
        <v>2581</v>
      </c>
      <c r="I518" s="1" t="s">
        <v>2073</v>
      </c>
      <c r="J518" s="1" t="s">
        <v>2684</v>
      </c>
    </row>
    <row r="519">
      <c r="B519" s="1" t="s">
        <v>217</v>
      </c>
      <c r="C519" s="1" t="s">
        <v>3383</v>
      </c>
      <c r="D519" s="1" t="s">
        <v>1495</v>
      </c>
      <c r="E519" s="1" t="s">
        <v>2191</v>
      </c>
      <c r="F519" s="1" t="s">
        <v>752</v>
      </c>
      <c r="H519" s="1" t="s">
        <v>2584</v>
      </c>
      <c r="I519" s="1" t="s">
        <v>1845</v>
      </c>
      <c r="J519" s="1" t="s">
        <v>1921</v>
      </c>
    </row>
    <row r="520">
      <c r="B520" s="1" t="s">
        <v>1789</v>
      </c>
      <c r="C520" s="1" t="s">
        <v>2615</v>
      </c>
      <c r="D520" s="1" t="s">
        <v>1502</v>
      </c>
      <c r="E520" s="1" t="s">
        <v>5483</v>
      </c>
      <c r="F520" s="1" t="s">
        <v>1248</v>
      </c>
      <c r="H520" s="1" t="s">
        <v>2587</v>
      </c>
      <c r="I520" s="1" t="s">
        <v>6332</v>
      </c>
      <c r="J520" s="1" t="s">
        <v>1690</v>
      </c>
    </row>
    <row r="521">
      <c r="B521" s="1" t="s">
        <v>2590</v>
      </c>
      <c r="C521" s="1" t="s">
        <v>3389</v>
      </c>
      <c r="D521" s="1" t="s">
        <v>2593</v>
      </c>
      <c r="E521" s="1" t="s">
        <v>1188</v>
      </c>
      <c r="F521" s="1" t="s">
        <v>2281</v>
      </c>
      <c r="H521" s="1" t="s">
        <v>730</v>
      </c>
      <c r="I521" s="1" t="s">
        <v>2093</v>
      </c>
      <c r="J521" s="1" t="s">
        <v>168</v>
      </c>
    </row>
    <row r="522">
      <c r="B522" s="1" t="s">
        <v>2338</v>
      </c>
      <c r="C522" s="1" t="s">
        <v>3392</v>
      </c>
      <c r="D522" s="1" t="s">
        <v>1509</v>
      </c>
      <c r="E522" s="1" t="s">
        <v>1088</v>
      </c>
      <c r="F522" s="1" t="s">
        <v>2285</v>
      </c>
      <c r="H522" s="1" t="s">
        <v>2594</v>
      </c>
      <c r="I522" s="1" t="s">
        <v>990</v>
      </c>
      <c r="J522" s="1" t="s">
        <v>1949</v>
      </c>
    </row>
    <row r="523">
      <c r="B523" s="1" t="s">
        <v>2596</v>
      </c>
      <c r="C523" s="1" t="s">
        <v>3397</v>
      </c>
      <c r="D523" s="1" t="s">
        <v>2599</v>
      </c>
      <c r="E523" s="1" t="s">
        <v>884</v>
      </c>
      <c r="F523" s="1" t="s">
        <v>2062</v>
      </c>
      <c r="H523" s="1" t="s">
        <v>690</v>
      </c>
      <c r="I523" s="1" t="s">
        <v>1126</v>
      </c>
      <c r="J523" s="1" t="s">
        <v>2699</v>
      </c>
    </row>
    <row r="524">
      <c r="B524" s="1" t="s">
        <v>735</v>
      </c>
      <c r="C524" s="1" t="s">
        <v>3400</v>
      </c>
      <c r="D524" s="1" t="s">
        <v>1329</v>
      </c>
      <c r="E524" s="1" t="s">
        <v>1993</v>
      </c>
      <c r="F524" s="1" t="s">
        <v>1138</v>
      </c>
      <c r="H524" s="1" t="s">
        <v>2600</v>
      </c>
      <c r="I524" s="1" t="s">
        <v>1072</v>
      </c>
      <c r="J524" s="1" t="s">
        <v>2703</v>
      </c>
    </row>
    <row r="525">
      <c r="B525" s="1" t="s">
        <v>2603</v>
      </c>
      <c r="C525" s="1" t="s">
        <v>2634</v>
      </c>
      <c r="D525" s="1" t="s">
        <v>697</v>
      </c>
      <c r="E525" s="1" t="s">
        <v>1209</v>
      </c>
      <c r="F525" s="1" t="s">
        <v>449</v>
      </c>
      <c r="H525" s="1" t="s">
        <v>2604</v>
      </c>
      <c r="I525" s="1" t="s">
        <v>2095</v>
      </c>
      <c r="J525" s="1" t="s">
        <v>2708</v>
      </c>
    </row>
    <row r="526">
      <c r="B526" s="1" t="s">
        <v>384</v>
      </c>
      <c r="C526" s="1">
        <v>95.0</v>
      </c>
      <c r="D526" s="1" t="s">
        <v>546</v>
      </c>
      <c r="E526" s="1" t="s">
        <v>6340</v>
      </c>
      <c r="F526" s="1" t="s">
        <v>1256</v>
      </c>
      <c r="H526" s="1" t="s">
        <v>712</v>
      </c>
      <c r="I526" s="1" t="s">
        <v>6313</v>
      </c>
      <c r="J526" s="1" t="s">
        <v>416</v>
      </c>
    </row>
    <row r="527">
      <c r="B527" s="1" t="s">
        <v>366</v>
      </c>
      <c r="C527" s="1" t="s">
        <v>1590</v>
      </c>
      <c r="D527" s="1" t="s">
        <v>38</v>
      </c>
      <c r="E527" s="1" t="s">
        <v>6339</v>
      </c>
      <c r="F527" s="1" t="s">
        <v>5384</v>
      </c>
      <c r="H527" s="1" t="s">
        <v>2608</v>
      </c>
      <c r="I527" s="1" t="s">
        <v>1864</v>
      </c>
      <c r="J527" s="1" t="s">
        <v>2717</v>
      </c>
    </row>
    <row r="528">
      <c r="B528" s="1" t="s">
        <v>2610</v>
      </c>
      <c r="C528" s="1" t="s">
        <v>261</v>
      </c>
      <c r="D528" s="1" t="s">
        <v>567</v>
      </c>
      <c r="E528" s="1" t="s">
        <v>1214</v>
      </c>
      <c r="F528" s="1" t="s">
        <v>2079</v>
      </c>
      <c r="H528" s="1" t="s">
        <v>2611</v>
      </c>
      <c r="I528" s="1" t="s">
        <v>1015</v>
      </c>
      <c r="J528" s="1" t="s">
        <v>423</v>
      </c>
    </row>
    <row r="529">
      <c r="B529" s="1" t="s">
        <v>210</v>
      </c>
      <c r="C529" s="1" t="s">
        <v>3416</v>
      </c>
      <c r="D529" s="1" t="s">
        <v>1535</v>
      </c>
      <c r="E529" s="1" t="s">
        <v>760</v>
      </c>
      <c r="F529" s="1" t="s">
        <v>1207</v>
      </c>
      <c r="H529" s="1" t="s">
        <v>2615</v>
      </c>
      <c r="I529" s="1" t="s">
        <v>946</v>
      </c>
      <c r="J529" s="1" t="s">
        <v>1944</v>
      </c>
    </row>
    <row r="530">
      <c r="B530" s="1" t="s">
        <v>754</v>
      </c>
      <c r="C530" s="1" t="s">
        <v>3419</v>
      </c>
      <c r="D530" s="1" t="s">
        <v>2620</v>
      </c>
      <c r="E530" s="1" t="s">
        <v>2217</v>
      </c>
      <c r="F530" s="1" t="s">
        <v>5125</v>
      </c>
      <c r="H530" s="1" t="s">
        <v>2618</v>
      </c>
      <c r="I530" s="1" t="s">
        <v>1879</v>
      </c>
      <c r="J530" s="1" t="s">
        <v>1978</v>
      </c>
    </row>
    <row r="531">
      <c r="B531" s="1" t="s">
        <v>2621</v>
      </c>
      <c r="C531" s="1" t="s">
        <v>3421</v>
      </c>
      <c r="D531" s="1" t="s">
        <v>1543</v>
      </c>
      <c r="E531" s="1" t="s">
        <v>2215</v>
      </c>
      <c r="F531" s="1" t="s">
        <v>3058</v>
      </c>
      <c r="H531" s="1" t="s">
        <v>2623</v>
      </c>
      <c r="I531" s="1" t="s">
        <v>1885</v>
      </c>
      <c r="J531" s="1" t="s">
        <v>2725</v>
      </c>
    </row>
    <row r="532">
      <c r="B532" s="1" t="s">
        <v>374</v>
      </c>
      <c r="C532" s="1" t="s">
        <v>3424</v>
      </c>
      <c r="D532" s="1" t="s">
        <v>2303</v>
      </c>
      <c r="E532" s="1" t="s">
        <v>6342</v>
      </c>
      <c r="F532" s="1" t="s">
        <v>1211</v>
      </c>
      <c r="H532" s="1" t="s">
        <v>1312</v>
      </c>
      <c r="I532" s="1" t="s">
        <v>2378</v>
      </c>
      <c r="J532" s="1" t="s">
        <v>3492</v>
      </c>
    </row>
    <row r="533">
      <c r="B533" s="1" t="s">
        <v>1856</v>
      </c>
      <c r="C533" s="1" t="s">
        <v>3426</v>
      </c>
      <c r="D533" s="1" t="s">
        <v>291</v>
      </c>
      <c r="E533" s="1" t="s">
        <v>2225</v>
      </c>
      <c r="F533" s="1" t="s">
        <v>2091</v>
      </c>
      <c r="H533" s="1" t="s">
        <v>2628</v>
      </c>
      <c r="I533" s="1" t="s">
        <v>525</v>
      </c>
      <c r="J533" s="1" t="s">
        <v>1984</v>
      </c>
    </row>
    <row r="534">
      <c r="B534" s="1" t="s">
        <v>2630</v>
      </c>
      <c r="C534" s="1" t="s">
        <v>3429</v>
      </c>
      <c r="D534" s="1" t="s">
        <v>580</v>
      </c>
      <c r="E534" s="1" t="s">
        <v>936</v>
      </c>
      <c r="F534" s="1" t="s">
        <v>196</v>
      </c>
      <c r="H534" s="1" t="s">
        <v>2631</v>
      </c>
      <c r="I534" s="1" t="s">
        <v>293</v>
      </c>
      <c r="J534" s="1" t="s">
        <v>430</v>
      </c>
    </row>
    <row r="535">
      <c r="B535" s="1" t="s">
        <v>2634</v>
      </c>
      <c r="C535" s="1" t="s">
        <v>1396</v>
      </c>
      <c r="D535" s="1" t="s">
        <v>1562</v>
      </c>
      <c r="E535" s="1" t="s">
        <v>1498</v>
      </c>
      <c r="F535" s="1" t="s">
        <v>1162</v>
      </c>
      <c r="H535" s="1" t="s">
        <v>1281</v>
      </c>
      <c r="I535" s="1" t="s">
        <v>4765</v>
      </c>
      <c r="J535" s="1" t="s">
        <v>1951</v>
      </c>
    </row>
    <row r="536">
      <c r="B536" s="1" t="s">
        <v>772</v>
      </c>
      <c r="C536" s="1" t="s">
        <v>3436</v>
      </c>
      <c r="D536" s="1" t="s">
        <v>1584</v>
      </c>
      <c r="E536" s="1" t="s">
        <v>1135</v>
      </c>
      <c r="F536" s="1" t="s">
        <v>457</v>
      </c>
      <c r="H536" s="1" t="s">
        <v>2636</v>
      </c>
      <c r="I536" s="1" t="s">
        <v>1110</v>
      </c>
      <c r="J536" s="1" t="s">
        <v>503</v>
      </c>
    </row>
    <row r="537">
      <c r="B537" s="1" t="s">
        <v>2638</v>
      </c>
      <c r="C537" s="1" t="s">
        <v>3438</v>
      </c>
      <c r="D537" s="1" t="s">
        <v>2458</v>
      </c>
      <c r="E537" s="1" t="s">
        <v>1221</v>
      </c>
      <c r="F537" s="1" t="s">
        <v>232</v>
      </c>
      <c r="H537" s="1" t="s">
        <v>2639</v>
      </c>
      <c r="I537" s="1" t="s">
        <v>1104</v>
      </c>
      <c r="J537" s="1" t="s">
        <v>1989</v>
      </c>
    </row>
    <row r="538">
      <c r="B538" s="1" t="s">
        <v>1871</v>
      </c>
      <c r="C538" s="1" t="s">
        <v>3440</v>
      </c>
      <c r="D538" s="1" t="s">
        <v>1330</v>
      </c>
      <c r="E538" s="1" t="s">
        <v>1141</v>
      </c>
      <c r="F538" s="1" t="s">
        <v>1275</v>
      </c>
      <c r="H538" s="1" t="s">
        <v>2642</v>
      </c>
      <c r="I538" s="1" t="s">
        <v>625</v>
      </c>
      <c r="J538" s="1" t="s">
        <v>1274</v>
      </c>
    </row>
    <row r="539">
      <c r="B539" s="1" t="s">
        <v>380</v>
      </c>
      <c r="C539" s="1" t="s">
        <v>2755</v>
      </c>
      <c r="D539" s="1" t="s">
        <v>2645</v>
      </c>
      <c r="E539" s="1" t="s">
        <v>6346</v>
      </c>
      <c r="F539" s="1" t="s">
        <v>1282</v>
      </c>
      <c r="H539" s="1" t="s">
        <v>823</v>
      </c>
      <c r="I539" s="1" t="s">
        <v>2122</v>
      </c>
      <c r="J539" s="1" t="s">
        <v>2752</v>
      </c>
    </row>
    <row r="540">
      <c r="B540" s="1" t="s">
        <v>2646</v>
      </c>
      <c r="C540" s="1" t="s">
        <v>3444</v>
      </c>
      <c r="D540" s="1" t="s">
        <v>2322</v>
      </c>
      <c r="E540" s="1" t="s">
        <v>1226</v>
      </c>
      <c r="F540" s="1" t="s">
        <v>473</v>
      </c>
      <c r="H540" s="1" t="s">
        <v>1980</v>
      </c>
      <c r="I540" s="1" t="s">
        <v>2119</v>
      </c>
      <c r="J540" s="1" t="s">
        <v>2755</v>
      </c>
    </row>
    <row r="541">
      <c r="B541" s="1" t="s">
        <v>387</v>
      </c>
      <c r="C541" s="1" t="s">
        <v>3445</v>
      </c>
      <c r="D541" s="1" t="s">
        <v>1567</v>
      </c>
      <c r="E541" s="1" t="s">
        <v>6347</v>
      </c>
      <c r="F541" s="1" t="s">
        <v>1246</v>
      </c>
      <c r="H541" s="1" t="s">
        <v>2648</v>
      </c>
      <c r="I541" s="1" t="s">
        <v>6338</v>
      </c>
      <c r="J541" s="1" t="s">
        <v>2765</v>
      </c>
    </row>
    <row r="542">
      <c r="B542" s="1" t="s">
        <v>394</v>
      </c>
      <c r="C542" s="1" t="s">
        <v>3448</v>
      </c>
      <c r="D542" s="1" t="s">
        <v>2328</v>
      </c>
      <c r="E542" s="1" t="s">
        <v>2030</v>
      </c>
      <c r="F542" s="1" t="s">
        <v>4980</v>
      </c>
      <c r="H542" s="1" t="s">
        <v>1781</v>
      </c>
      <c r="I542" s="1" t="s">
        <v>2128</v>
      </c>
      <c r="J542" s="1" t="s">
        <v>1995</v>
      </c>
    </row>
    <row r="543">
      <c r="B543" s="1" t="s">
        <v>1881</v>
      </c>
      <c r="C543" s="1" t="s">
        <v>2539</v>
      </c>
      <c r="D543" s="1" t="s">
        <v>2326</v>
      </c>
      <c r="E543" s="1" t="s">
        <v>116</v>
      </c>
      <c r="F543" s="1" t="s">
        <v>120</v>
      </c>
      <c r="H543" s="1" t="s">
        <v>2652</v>
      </c>
      <c r="I543" s="1" t="s">
        <v>1908</v>
      </c>
      <c r="J543" s="1" t="s">
        <v>3543</v>
      </c>
    </row>
    <row r="544">
      <c r="B544" s="1" t="s">
        <v>1897</v>
      </c>
      <c r="C544" s="1" t="s">
        <v>1404</v>
      </c>
      <c r="D544" s="1" t="s">
        <v>2657</v>
      </c>
      <c r="E544" s="1" t="s">
        <v>2246</v>
      </c>
      <c r="F544" s="1" t="s">
        <v>1287</v>
      </c>
      <c r="H544" s="1" t="s">
        <v>2654</v>
      </c>
      <c r="I544" s="1" t="s">
        <v>1181</v>
      </c>
      <c r="J544" s="1" t="s">
        <v>3546</v>
      </c>
    </row>
    <row r="545">
      <c r="B545" s="1" t="s">
        <v>474</v>
      </c>
      <c r="C545" s="1" t="s">
        <v>1622</v>
      </c>
      <c r="D545" s="1" t="s">
        <v>2661</v>
      </c>
      <c r="E545" s="1" t="s">
        <v>1164</v>
      </c>
      <c r="F545" s="1" t="s">
        <v>1253</v>
      </c>
      <c r="H545" s="1" t="s">
        <v>1350</v>
      </c>
      <c r="I545" s="1" t="s">
        <v>1914</v>
      </c>
      <c r="J545" s="1" t="s">
        <v>3277</v>
      </c>
    </row>
    <row r="546">
      <c r="B546" s="1" t="s">
        <v>481</v>
      </c>
      <c r="C546" s="1" t="s">
        <v>1110</v>
      </c>
      <c r="D546" s="1" t="s">
        <v>2666</v>
      </c>
      <c r="E546" s="1" t="s">
        <v>1238</v>
      </c>
      <c r="F546" s="1" t="s">
        <v>2343</v>
      </c>
      <c r="H546" s="1" t="s">
        <v>2662</v>
      </c>
      <c r="I546" s="1" t="s">
        <v>1119</v>
      </c>
      <c r="J546" s="1" t="s">
        <v>460</v>
      </c>
    </row>
    <row r="547">
      <c r="B547" s="1" t="s">
        <v>2667</v>
      </c>
      <c r="C547" s="1" t="s">
        <v>3417</v>
      </c>
      <c r="D547" s="1" t="s">
        <v>221</v>
      </c>
      <c r="E547" s="1" t="s">
        <v>2044</v>
      </c>
      <c r="F547" s="1" t="s">
        <v>2347</v>
      </c>
      <c r="H547" s="1" t="s">
        <v>744</v>
      </c>
      <c r="I547" s="1" t="s">
        <v>5064</v>
      </c>
      <c r="J547" s="1" t="s">
        <v>2777</v>
      </c>
    </row>
    <row r="548">
      <c r="B548" s="1" t="s">
        <v>1924</v>
      </c>
      <c r="C548" s="1" t="s">
        <v>3475</v>
      </c>
      <c r="D548" s="1" t="s">
        <v>382</v>
      </c>
      <c r="E548" s="1" t="s">
        <v>439</v>
      </c>
      <c r="F548" s="1" t="s">
        <v>240</v>
      </c>
      <c r="H548" s="1" t="s">
        <v>2670</v>
      </c>
      <c r="I548" s="1" t="s">
        <v>1916</v>
      </c>
      <c r="J548" s="1" t="s">
        <v>482</v>
      </c>
    </row>
    <row r="549">
      <c r="B549" s="1" t="s">
        <v>2672</v>
      </c>
      <c r="C549" s="1" t="s">
        <v>3479</v>
      </c>
      <c r="D549" s="1" t="s">
        <v>2296</v>
      </c>
      <c r="E549" s="1" t="s">
        <v>1184</v>
      </c>
      <c r="F549" s="1" t="s">
        <v>1403</v>
      </c>
      <c r="H549" s="1" t="s">
        <v>2673</v>
      </c>
      <c r="I549" s="1" t="s">
        <v>2138</v>
      </c>
      <c r="J549" s="1" t="s">
        <v>510</v>
      </c>
    </row>
    <row r="550">
      <c r="B550" s="1" t="s">
        <v>1931</v>
      </c>
      <c r="C550" s="1" t="s">
        <v>3481</v>
      </c>
      <c r="D550" s="1" t="s">
        <v>2678</v>
      </c>
      <c r="E550" s="1" t="s">
        <v>5048</v>
      </c>
      <c r="F550" s="1" t="s">
        <v>354</v>
      </c>
      <c r="H550" s="1" t="s">
        <v>2676</v>
      </c>
      <c r="I550" s="1" t="s">
        <v>6335</v>
      </c>
      <c r="J550" s="1" t="s">
        <v>1990</v>
      </c>
    </row>
    <row r="551">
      <c r="B551" s="1" t="s">
        <v>496</v>
      </c>
      <c r="C551" s="1" t="s">
        <v>3483</v>
      </c>
      <c r="D551" s="1" t="s">
        <v>587</v>
      </c>
      <c r="E551" s="1" t="s">
        <v>1471</v>
      </c>
      <c r="F551" s="1" t="s">
        <v>2125</v>
      </c>
      <c r="H551" s="1" t="s">
        <v>294</v>
      </c>
      <c r="I551" s="1" t="s">
        <v>6341</v>
      </c>
      <c r="J551" s="1" t="s">
        <v>1996</v>
      </c>
    </row>
    <row r="552">
      <c r="B552" s="1" t="s">
        <v>1918</v>
      </c>
      <c r="C552" s="1" t="s">
        <v>3485</v>
      </c>
      <c r="D552" s="1" t="s">
        <v>1580</v>
      </c>
      <c r="E552" s="1" t="s">
        <v>6345</v>
      </c>
      <c r="F552" s="1" t="s">
        <v>2364</v>
      </c>
      <c r="H552" s="1" t="s">
        <v>2680</v>
      </c>
      <c r="I552" s="1" t="s">
        <v>2153</v>
      </c>
      <c r="J552" s="1" t="s">
        <v>2795</v>
      </c>
    </row>
    <row r="553">
      <c r="B553" s="1" t="s">
        <v>1936</v>
      </c>
      <c r="C553" s="1" t="s">
        <v>3490</v>
      </c>
      <c r="D553" s="1" t="s">
        <v>2683</v>
      </c>
      <c r="E553" s="1" t="s">
        <v>2049</v>
      </c>
      <c r="F553" s="1" t="s">
        <v>2358</v>
      </c>
      <c r="H553" s="1" t="s">
        <v>2681</v>
      </c>
      <c r="I553" s="1" t="s">
        <v>2162</v>
      </c>
      <c r="J553" s="1" t="s">
        <v>2278</v>
      </c>
    </row>
    <row r="554">
      <c r="B554" s="1" t="s">
        <v>2684</v>
      </c>
      <c r="C554" s="1" t="s">
        <v>2531</v>
      </c>
      <c r="D554" s="1" t="s">
        <v>595</v>
      </c>
      <c r="E554" s="1" t="s">
        <v>752</v>
      </c>
      <c r="F554" s="1" t="s">
        <v>327</v>
      </c>
      <c r="H554" s="1" t="s">
        <v>921</v>
      </c>
      <c r="I554" s="1" t="s">
        <v>369</v>
      </c>
      <c r="J554" s="1" t="s">
        <v>2004</v>
      </c>
    </row>
    <row r="555">
      <c r="B555" s="1" t="s">
        <v>1690</v>
      </c>
      <c r="C555" s="1" t="s">
        <v>345</v>
      </c>
      <c r="D555" s="1" t="s">
        <v>604</v>
      </c>
      <c r="E555" s="1" t="s">
        <v>2281</v>
      </c>
      <c r="F555" s="1" t="s">
        <v>247</v>
      </c>
      <c r="H555" s="1" t="s">
        <v>2688</v>
      </c>
      <c r="I555" s="1" t="s">
        <v>1149</v>
      </c>
      <c r="J555" s="1" t="s">
        <v>2799</v>
      </c>
    </row>
    <row r="556">
      <c r="B556" s="1" t="s">
        <v>1941</v>
      </c>
      <c r="C556" s="1" t="s">
        <v>3501</v>
      </c>
      <c r="D556" s="1" t="s">
        <v>1601</v>
      </c>
      <c r="E556" s="1" t="s">
        <v>2285</v>
      </c>
      <c r="F556" s="1" t="s">
        <v>6348</v>
      </c>
      <c r="H556" s="1" t="s">
        <v>2692</v>
      </c>
      <c r="I556" s="1" t="s">
        <v>1065</v>
      </c>
      <c r="J556" s="1" t="s">
        <v>468</v>
      </c>
    </row>
    <row r="557">
      <c r="B557" s="1" t="s">
        <v>1928</v>
      </c>
      <c r="C557" s="1" t="s">
        <v>3507</v>
      </c>
      <c r="D557" s="1" t="s">
        <v>389</v>
      </c>
      <c r="E557" s="1" t="s">
        <v>2058</v>
      </c>
      <c r="F557" s="1" t="s">
        <v>2131</v>
      </c>
      <c r="H557" s="1" t="s">
        <v>2696</v>
      </c>
      <c r="I557" s="1">
        <v>3.0</v>
      </c>
      <c r="J557" s="1" t="s">
        <v>2009</v>
      </c>
    </row>
    <row r="558">
      <c r="B558" s="1" t="s">
        <v>2699</v>
      </c>
      <c r="C558" s="1">
        <v>99.0</v>
      </c>
      <c r="D558" s="1" t="s">
        <v>1598</v>
      </c>
      <c r="E558" s="1" t="s">
        <v>1138</v>
      </c>
      <c r="F558" s="1" t="s">
        <v>2622</v>
      </c>
      <c r="H558" s="1" t="s">
        <v>2700</v>
      </c>
      <c r="I558" s="1" t="s">
        <v>6337</v>
      </c>
      <c r="J558" s="1" t="s">
        <v>3113</v>
      </c>
    </row>
    <row r="559">
      <c r="B559" s="1" t="s">
        <v>2703</v>
      </c>
      <c r="C559" s="1" t="s">
        <v>3511</v>
      </c>
      <c r="D559" s="1" t="s">
        <v>2706</v>
      </c>
      <c r="E559" s="1" t="s">
        <v>2479</v>
      </c>
      <c r="F559" s="1" t="s">
        <v>335</v>
      </c>
      <c r="H559" s="1" t="s">
        <v>2704</v>
      </c>
      <c r="I559" s="1" t="s">
        <v>1955</v>
      </c>
      <c r="J559" s="1" t="s">
        <v>2805</v>
      </c>
    </row>
    <row r="560">
      <c r="B560" s="1" t="s">
        <v>1949</v>
      </c>
      <c r="C560" s="1" t="s">
        <v>50</v>
      </c>
      <c r="D560" s="1" t="s">
        <v>1608</v>
      </c>
      <c r="E560" s="1" t="s">
        <v>2062</v>
      </c>
      <c r="F560" s="1" t="s">
        <v>792</v>
      </c>
      <c r="H560" s="1" t="s">
        <v>2707</v>
      </c>
      <c r="I560" s="1" t="s">
        <v>1161</v>
      </c>
      <c r="J560" s="1" t="s">
        <v>845</v>
      </c>
    </row>
    <row r="561">
      <c r="B561" s="1" t="s">
        <v>2708</v>
      </c>
      <c r="C561" s="1" t="s">
        <v>3514</v>
      </c>
      <c r="D561" s="1" t="s">
        <v>300</v>
      </c>
      <c r="E561" s="1" t="s">
        <v>2064</v>
      </c>
      <c r="F561" s="1" t="s">
        <v>2144</v>
      </c>
      <c r="H561" s="1" t="s">
        <v>2709</v>
      </c>
      <c r="I561" s="1" t="s">
        <v>2166</v>
      </c>
      <c r="J561" s="1" t="s">
        <v>3343</v>
      </c>
    </row>
    <row r="562">
      <c r="B562" s="1" t="s">
        <v>405</v>
      </c>
      <c r="C562" s="1" t="s">
        <v>617</v>
      </c>
      <c r="D562" s="1" t="s">
        <v>1739</v>
      </c>
      <c r="E562" s="1" t="s">
        <v>1256</v>
      </c>
      <c r="F562" s="1" t="s">
        <v>1309</v>
      </c>
      <c r="H562" s="1" t="s">
        <v>2712</v>
      </c>
      <c r="I562" s="1" t="s">
        <v>1961</v>
      </c>
      <c r="J562" s="1" t="s">
        <v>3352</v>
      </c>
    </row>
    <row r="563">
      <c r="B563" s="1" t="s">
        <v>416</v>
      </c>
      <c r="C563" s="1" t="s">
        <v>2709</v>
      </c>
      <c r="D563" s="1" t="s">
        <v>1825</v>
      </c>
      <c r="E563" s="1" t="s">
        <v>3058</v>
      </c>
      <c r="F563" s="1" t="s">
        <v>1301</v>
      </c>
      <c r="H563" s="1" t="s">
        <v>2715</v>
      </c>
      <c r="I563" s="1" t="s">
        <v>2175</v>
      </c>
      <c r="J563" s="1" t="s">
        <v>2820</v>
      </c>
    </row>
    <row r="564">
      <c r="B564" s="1" t="s">
        <v>2717</v>
      </c>
      <c r="C564" s="1" t="s">
        <v>2496</v>
      </c>
      <c r="D564" s="1" t="s">
        <v>308</v>
      </c>
      <c r="E564" s="1" t="s">
        <v>1263</v>
      </c>
      <c r="F564" s="1" t="s">
        <v>1296</v>
      </c>
      <c r="H564" s="1" t="s">
        <v>1672</v>
      </c>
      <c r="I564" s="1" t="s">
        <v>1975</v>
      </c>
      <c r="J564" s="1" t="s">
        <v>2016</v>
      </c>
    </row>
    <row r="565">
      <c r="B565" s="1" t="s">
        <v>423</v>
      </c>
      <c r="C565" s="1" t="s">
        <v>3522</v>
      </c>
      <c r="D565" s="1" t="s">
        <v>2722</v>
      </c>
      <c r="E565" s="1" t="s">
        <v>5125</v>
      </c>
      <c r="F565" s="1" t="s">
        <v>4966</v>
      </c>
      <c r="H565" s="1" t="s">
        <v>2720</v>
      </c>
      <c r="I565" s="1" t="s">
        <v>2178</v>
      </c>
      <c r="J565" s="1" t="s">
        <v>448</v>
      </c>
    </row>
    <row r="566">
      <c r="B566" s="1" t="s">
        <v>1944</v>
      </c>
      <c r="C566" s="1" t="s">
        <v>383</v>
      </c>
      <c r="D566" s="1" t="s">
        <v>2380</v>
      </c>
      <c r="E566" s="1" t="s">
        <v>1207</v>
      </c>
      <c r="F566" s="1" t="s">
        <v>1348</v>
      </c>
      <c r="H566" s="1" t="s">
        <v>318</v>
      </c>
      <c r="I566" s="1" t="s">
        <v>1174</v>
      </c>
      <c r="J566" s="1" t="s">
        <v>2026</v>
      </c>
    </row>
    <row r="567">
      <c r="B567" s="1" t="s">
        <v>2725</v>
      </c>
      <c r="C567" s="1" t="s">
        <v>3529</v>
      </c>
      <c r="D567" s="1" t="s">
        <v>2376</v>
      </c>
      <c r="E567" s="1" t="s">
        <v>2074</v>
      </c>
      <c r="F567" s="1" t="s">
        <v>2398</v>
      </c>
      <c r="H567" s="1" t="s">
        <v>2726</v>
      </c>
      <c r="I567" s="1" t="s">
        <v>6344</v>
      </c>
      <c r="J567" s="1" t="s">
        <v>2029</v>
      </c>
    </row>
    <row r="568">
      <c r="B568" s="1" t="s">
        <v>430</v>
      </c>
      <c r="C568" s="1" t="s">
        <v>3536</v>
      </c>
      <c r="D568" s="1" t="s">
        <v>2382</v>
      </c>
      <c r="E568" s="1" t="s">
        <v>2079</v>
      </c>
      <c r="F568" s="1" t="s">
        <v>2148</v>
      </c>
      <c r="H568" s="1" t="s">
        <v>2729</v>
      </c>
      <c r="I568" s="1" t="s">
        <v>1283</v>
      </c>
      <c r="J568" s="1" t="s">
        <v>814</v>
      </c>
    </row>
    <row r="569">
      <c r="B569" s="1" t="s">
        <v>1984</v>
      </c>
      <c r="C569" s="1" t="s">
        <v>3538</v>
      </c>
      <c r="D569" s="1" t="s">
        <v>1223</v>
      </c>
      <c r="E569" s="1" t="s">
        <v>5458</v>
      </c>
      <c r="F569" s="1" t="s">
        <v>2406</v>
      </c>
      <c r="H569" s="1" t="s">
        <v>2732</v>
      </c>
      <c r="I569" s="1" t="s">
        <v>1082</v>
      </c>
      <c r="J569" s="1" t="s">
        <v>2519</v>
      </c>
    </row>
    <row r="570">
      <c r="B570" s="1" t="s">
        <v>1986</v>
      </c>
      <c r="C570" s="1" t="s">
        <v>112</v>
      </c>
      <c r="D570" s="1" t="s">
        <v>1618</v>
      </c>
      <c r="E570" s="1" t="s">
        <v>2091</v>
      </c>
      <c r="F570" s="1" t="s">
        <v>2856</v>
      </c>
      <c r="H570" s="1" t="s">
        <v>1896</v>
      </c>
      <c r="I570" s="1" t="s">
        <v>2191</v>
      </c>
      <c r="J570" s="1" t="s">
        <v>3394</v>
      </c>
    </row>
    <row r="571">
      <c r="B571" s="1" t="s">
        <v>2737</v>
      </c>
      <c r="C571" s="1" t="s">
        <v>3545</v>
      </c>
      <c r="D571" s="1" t="s">
        <v>2392</v>
      </c>
      <c r="E571" s="1" t="s">
        <v>1162</v>
      </c>
      <c r="F571" s="1" t="s">
        <v>3224</v>
      </c>
      <c r="H571" s="1" t="s">
        <v>2738</v>
      </c>
      <c r="I571" s="1" t="s">
        <v>1188</v>
      </c>
      <c r="J571" s="1" t="s">
        <v>456</v>
      </c>
    </row>
    <row r="572">
      <c r="B572" s="1" t="s">
        <v>2740</v>
      </c>
      <c r="C572" s="1" t="s">
        <v>3548</v>
      </c>
      <c r="D572" s="1" t="s">
        <v>398</v>
      </c>
      <c r="E572" s="1" t="s">
        <v>2325</v>
      </c>
      <c r="F572" s="1" t="s">
        <v>63</v>
      </c>
      <c r="H572" s="1" t="s">
        <v>1466</v>
      </c>
      <c r="I572" s="1" t="s">
        <v>1088</v>
      </c>
      <c r="J572" s="1" t="s">
        <v>2034</v>
      </c>
    </row>
    <row r="573">
      <c r="B573" s="1" t="s">
        <v>2743</v>
      </c>
      <c r="C573" s="1" t="s">
        <v>1420</v>
      </c>
      <c r="D573" s="1" t="s">
        <v>2427</v>
      </c>
      <c r="E573" s="1" t="s">
        <v>1282</v>
      </c>
      <c r="F573" s="1" t="s">
        <v>2417</v>
      </c>
      <c r="H573" s="1" t="s">
        <v>497</v>
      </c>
      <c r="I573" s="1" t="s">
        <v>1198</v>
      </c>
      <c r="J573" s="1" t="s">
        <v>2846</v>
      </c>
    </row>
    <row r="574">
      <c r="B574" s="1" t="s">
        <v>1963</v>
      </c>
      <c r="C574" s="1" t="s">
        <v>1311</v>
      </c>
      <c r="D574" s="1" t="s">
        <v>315</v>
      </c>
      <c r="E574" s="1" t="s">
        <v>1275</v>
      </c>
      <c r="F574" s="1" t="s">
        <v>1322</v>
      </c>
      <c r="H574" s="1" t="s">
        <v>2348</v>
      </c>
      <c r="I574" s="1" t="s">
        <v>1437</v>
      </c>
      <c r="J574" s="1" t="s">
        <v>178</v>
      </c>
    </row>
    <row r="575">
      <c r="B575" s="1" t="s">
        <v>1989</v>
      </c>
      <c r="C575" s="1" t="s">
        <v>3560</v>
      </c>
      <c r="D575" s="1" t="s">
        <v>1636</v>
      </c>
      <c r="E575" s="1" t="s">
        <v>232</v>
      </c>
      <c r="F575" s="1" t="s">
        <v>1327</v>
      </c>
      <c r="H575" s="1" t="s">
        <v>2747</v>
      </c>
      <c r="I575" s="1" t="s">
        <v>884</v>
      </c>
      <c r="J575" s="1" t="s">
        <v>6349</v>
      </c>
    </row>
    <row r="576">
      <c r="B576" s="1" t="s">
        <v>1274</v>
      </c>
      <c r="C576" s="1" t="s">
        <v>1425</v>
      </c>
      <c r="D576" s="1" t="s">
        <v>2404</v>
      </c>
      <c r="E576" s="1" t="s">
        <v>2102</v>
      </c>
      <c r="F576" s="1" t="s">
        <v>843</v>
      </c>
      <c r="H576" s="1" t="s">
        <v>616</v>
      </c>
      <c r="I576" s="1" t="s">
        <v>1993</v>
      </c>
      <c r="J576" s="1" t="s">
        <v>2040</v>
      </c>
    </row>
    <row r="577">
      <c r="B577" s="1" t="s">
        <v>2752</v>
      </c>
      <c r="C577" s="1" t="s">
        <v>1432</v>
      </c>
      <c r="D577" s="1" t="s">
        <v>2754</v>
      </c>
      <c r="E577" s="1" t="s">
        <v>120</v>
      </c>
      <c r="F577" s="1" t="s">
        <v>1363</v>
      </c>
      <c r="H577" s="1" t="s">
        <v>242</v>
      </c>
      <c r="I577" s="1" t="s">
        <v>6340</v>
      </c>
      <c r="J577" s="1" t="s">
        <v>2865</v>
      </c>
    </row>
    <row r="578">
      <c r="B578" s="1" t="s">
        <v>2755</v>
      </c>
      <c r="C578" s="9">
        <v>436.0</v>
      </c>
      <c r="D578" s="1" t="s">
        <v>447</v>
      </c>
      <c r="E578" s="1" t="s">
        <v>4980</v>
      </c>
      <c r="F578" s="1" t="s">
        <v>3877</v>
      </c>
      <c r="H578" s="1" t="s">
        <v>2756</v>
      </c>
      <c r="I578" s="1" t="s">
        <v>6339</v>
      </c>
      <c r="J578" s="1" t="s">
        <v>543</v>
      </c>
    </row>
    <row r="579">
      <c r="B579" s="1" t="s">
        <v>2760</v>
      </c>
      <c r="C579" s="1" t="s">
        <v>1438</v>
      </c>
      <c r="D579" s="1" t="s">
        <v>2407</v>
      </c>
      <c r="E579" s="1" t="s">
        <v>1294</v>
      </c>
      <c r="F579" s="1" t="s">
        <v>1011</v>
      </c>
      <c r="H579" s="1" t="s">
        <v>2761</v>
      </c>
      <c r="I579" s="1" t="s">
        <v>2008</v>
      </c>
      <c r="J579" s="1" t="s">
        <v>2047</v>
      </c>
    </row>
    <row r="580">
      <c r="B580" s="1" t="s">
        <v>2765</v>
      </c>
      <c r="C580" s="1" t="s">
        <v>3571</v>
      </c>
      <c r="D580" s="1" t="s">
        <v>1084</v>
      </c>
      <c r="E580" s="1" t="s">
        <v>2343</v>
      </c>
      <c r="F580" s="1" t="s">
        <v>2434</v>
      </c>
      <c r="H580" s="1" t="s">
        <v>2766</v>
      </c>
      <c r="I580" s="1" t="s">
        <v>1214</v>
      </c>
      <c r="J580" s="1" t="s">
        <v>2048</v>
      </c>
    </row>
    <row r="581">
      <c r="B581" s="1" t="s">
        <v>1995</v>
      </c>
      <c r="C581" s="1" t="s">
        <v>3581</v>
      </c>
      <c r="D581" s="1" t="s">
        <v>1634</v>
      </c>
      <c r="E581" s="1" t="s">
        <v>1253</v>
      </c>
      <c r="F581" s="1" t="s">
        <v>1333</v>
      </c>
      <c r="H581" s="1" t="s">
        <v>2767</v>
      </c>
      <c r="I581" s="1" t="s">
        <v>760</v>
      </c>
      <c r="J581" s="1" t="s">
        <v>2127</v>
      </c>
    </row>
    <row r="582">
      <c r="B582" s="1">
        <v>1984.0</v>
      </c>
      <c r="C582" s="1" t="s">
        <v>3583</v>
      </c>
      <c r="D582" s="1" t="s">
        <v>1640</v>
      </c>
      <c r="E582" s="1" t="s">
        <v>6350</v>
      </c>
      <c r="F582" s="1" t="s">
        <v>2159</v>
      </c>
      <c r="H582" s="1" t="s">
        <v>2770</v>
      </c>
      <c r="I582" s="1" t="s">
        <v>2217</v>
      </c>
      <c r="J582" s="1" t="s">
        <v>2053</v>
      </c>
    </row>
    <row r="583">
      <c r="B583" s="1" t="s">
        <v>460</v>
      </c>
      <c r="C583" s="1" t="s">
        <v>3586</v>
      </c>
      <c r="D583" s="1" t="s">
        <v>2776</v>
      </c>
      <c r="E583" s="1" t="s">
        <v>1298</v>
      </c>
      <c r="F583" s="1" t="s">
        <v>2167</v>
      </c>
      <c r="H583" s="1" t="s">
        <v>2773</v>
      </c>
      <c r="I583" s="1" t="s">
        <v>2215</v>
      </c>
      <c r="J583" s="1" t="s">
        <v>2888</v>
      </c>
    </row>
    <row r="584">
      <c r="B584" s="1" t="s">
        <v>2777</v>
      </c>
      <c r="C584" s="1" t="s">
        <v>3590</v>
      </c>
      <c r="D584" s="1" t="s">
        <v>1649</v>
      </c>
      <c r="E584" s="1" t="s">
        <v>1403</v>
      </c>
      <c r="F584" s="1" t="s">
        <v>2436</v>
      </c>
      <c r="H584" s="1" t="s">
        <v>2778</v>
      </c>
      <c r="I584" s="1" t="s">
        <v>6342</v>
      </c>
      <c r="J584" s="1" t="s">
        <v>2894</v>
      </c>
    </row>
    <row r="585">
      <c r="B585" s="1" t="s">
        <v>482</v>
      </c>
      <c r="C585" s="1" t="s">
        <v>3592</v>
      </c>
      <c r="D585" s="1" t="s">
        <v>2418</v>
      </c>
      <c r="E585" s="1" t="s">
        <v>2125</v>
      </c>
      <c r="F585" s="1" t="s">
        <v>2176</v>
      </c>
      <c r="H585" s="1" t="s">
        <v>1528</v>
      </c>
      <c r="I585" s="1" t="s">
        <v>199</v>
      </c>
      <c r="J585" s="1" t="s">
        <v>560</v>
      </c>
    </row>
    <row r="586">
      <c r="B586" s="1" t="s">
        <v>510</v>
      </c>
      <c r="C586" s="1" t="s">
        <v>1580</v>
      </c>
      <c r="D586" s="1" t="s">
        <v>2424</v>
      </c>
      <c r="E586" s="1" t="s">
        <v>2362</v>
      </c>
      <c r="F586" s="1" t="s">
        <v>2171</v>
      </c>
      <c r="H586" s="1" t="s">
        <v>824</v>
      </c>
      <c r="I586" s="1" t="s">
        <v>2225</v>
      </c>
      <c r="J586" s="1" t="s">
        <v>2905</v>
      </c>
    </row>
    <row r="587">
      <c r="B587" s="1" t="s">
        <v>2784</v>
      </c>
      <c r="C587" s="1" t="s">
        <v>3596</v>
      </c>
      <c r="D587" s="1" t="s">
        <v>332</v>
      </c>
      <c r="E587" s="1" t="s">
        <v>4343</v>
      </c>
      <c r="F587" s="1" t="s">
        <v>2441</v>
      </c>
      <c r="H587" s="1" t="s">
        <v>2785</v>
      </c>
      <c r="I587" s="1" t="s">
        <v>936</v>
      </c>
      <c r="J587" s="1" t="s">
        <v>2908</v>
      </c>
    </row>
    <row r="588">
      <c r="B588" s="1" t="s">
        <v>1996</v>
      </c>
      <c r="C588" s="1" t="s">
        <v>1664</v>
      </c>
      <c r="D588" s="1" t="s">
        <v>2791</v>
      </c>
      <c r="E588" s="1" t="s">
        <v>2364</v>
      </c>
      <c r="F588" s="1" t="s">
        <v>6351</v>
      </c>
      <c r="H588" s="1" t="s">
        <v>2788</v>
      </c>
      <c r="I588" s="1" t="s">
        <v>1498</v>
      </c>
      <c r="J588" s="1" t="s">
        <v>2060</v>
      </c>
    </row>
    <row r="589">
      <c r="B589" s="1" t="s">
        <v>518</v>
      </c>
      <c r="C589" s="1" t="s">
        <v>2457</v>
      </c>
      <c r="D589" s="1" t="s">
        <v>1646</v>
      </c>
      <c r="E589" s="1" t="s">
        <v>2358</v>
      </c>
      <c r="F589" s="1" t="s">
        <v>2685</v>
      </c>
      <c r="H589" s="1" t="s">
        <v>2792</v>
      </c>
      <c r="I589" s="1" t="s">
        <v>1135</v>
      </c>
      <c r="J589" s="1" t="s">
        <v>2068</v>
      </c>
    </row>
    <row r="590">
      <c r="B590" s="1" t="s">
        <v>2795</v>
      </c>
      <c r="C590" s="1" t="s">
        <v>2368</v>
      </c>
      <c r="D590" s="1" t="s">
        <v>634</v>
      </c>
      <c r="E590" s="1" t="s">
        <v>1279</v>
      </c>
      <c r="F590" s="1" t="s">
        <v>2179</v>
      </c>
      <c r="H590" s="1" t="s">
        <v>2796</v>
      </c>
      <c r="I590" s="1" t="s">
        <v>1221</v>
      </c>
      <c r="J590" s="1" t="s">
        <v>2911</v>
      </c>
    </row>
    <row r="591">
      <c r="B591" s="1" t="s">
        <v>2278</v>
      </c>
      <c r="C591" s="1" t="s">
        <v>1725</v>
      </c>
      <c r="D591" s="1" t="s">
        <v>408</v>
      </c>
      <c r="E591" s="1" t="s">
        <v>1272</v>
      </c>
      <c r="F591" s="1" t="s">
        <v>1402</v>
      </c>
      <c r="H591" s="1" t="s">
        <v>973</v>
      </c>
      <c r="I591" s="1" t="s">
        <v>1141</v>
      </c>
      <c r="J591" s="1" t="s">
        <v>1032</v>
      </c>
    </row>
    <row r="592">
      <c r="B592" s="1" t="s">
        <v>2799</v>
      </c>
      <c r="C592" s="1" t="s">
        <v>3613</v>
      </c>
      <c r="D592" s="1" t="s">
        <v>641</v>
      </c>
      <c r="E592" s="1" t="s">
        <v>2131</v>
      </c>
      <c r="F592" s="1" t="s">
        <v>1345</v>
      </c>
      <c r="H592" s="1" t="s">
        <v>1765</v>
      </c>
      <c r="I592" s="1" t="s">
        <v>6346</v>
      </c>
      <c r="J592" s="1" t="s">
        <v>2081</v>
      </c>
    </row>
    <row r="593">
      <c r="B593" s="1" t="s">
        <v>468</v>
      </c>
      <c r="C593" s="1" t="s">
        <v>3615</v>
      </c>
      <c r="D593" s="1" t="s">
        <v>2802</v>
      </c>
      <c r="E593" s="1" t="s">
        <v>792</v>
      </c>
      <c r="F593" s="1" t="s">
        <v>1353</v>
      </c>
      <c r="H593" s="1" t="s">
        <v>1362</v>
      </c>
      <c r="I593" s="1" t="s">
        <v>1226</v>
      </c>
      <c r="J593" s="1" t="s">
        <v>2087</v>
      </c>
    </row>
    <row r="594">
      <c r="B594" s="1" t="s">
        <v>438</v>
      </c>
      <c r="C594" s="1" t="s">
        <v>3215</v>
      </c>
      <c r="D594" s="1" t="s">
        <v>418</v>
      </c>
      <c r="E594" s="1" t="s">
        <v>2622</v>
      </c>
      <c r="F594" s="1" t="s">
        <v>6318</v>
      </c>
      <c r="H594" s="1" t="s">
        <v>1444</v>
      </c>
      <c r="I594" s="1" t="s">
        <v>6347</v>
      </c>
      <c r="J594" s="1" t="s">
        <v>1783</v>
      </c>
    </row>
    <row r="595">
      <c r="B595" s="1" t="s">
        <v>2805</v>
      </c>
      <c r="C595" s="1" t="s">
        <v>881</v>
      </c>
      <c r="D595" s="1" t="s">
        <v>2808</v>
      </c>
      <c r="E595" s="1" t="s">
        <v>1290</v>
      </c>
      <c r="F595" s="1" t="s">
        <v>1395</v>
      </c>
      <c r="H595" s="1" t="s">
        <v>666</v>
      </c>
      <c r="I595" s="1" t="s">
        <v>2030</v>
      </c>
      <c r="J595" s="1" t="s">
        <v>2075</v>
      </c>
    </row>
    <row r="596">
      <c r="B596" s="1" t="s">
        <v>845</v>
      </c>
      <c r="C596" s="1" t="s">
        <v>3627</v>
      </c>
      <c r="D596" s="1" t="s">
        <v>1022</v>
      </c>
      <c r="E596" s="1" t="s">
        <v>350</v>
      </c>
      <c r="F596" s="1" t="s">
        <v>1216</v>
      </c>
      <c r="H596" s="1" t="s">
        <v>2809</v>
      </c>
      <c r="I596" s="1" t="s">
        <v>116</v>
      </c>
      <c r="J596" s="1" t="s">
        <v>29</v>
      </c>
    </row>
    <row r="597">
      <c r="B597" s="1" t="s">
        <v>2812</v>
      </c>
      <c r="C597" s="1" t="s">
        <v>3630</v>
      </c>
      <c r="D597" s="1" t="s">
        <v>1657</v>
      </c>
      <c r="E597" s="1" t="s">
        <v>1301</v>
      </c>
      <c r="F597" s="1" t="s">
        <v>495</v>
      </c>
      <c r="H597" s="1" t="s">
        <v>2813</v>
      </c>
      <c r="I597" s="1" t="s">
        <v>2246</v>
      </c>
      <c r="J597" s="1" t="s">
        <v>2082</v>
      </c>
    </row>
    <row r="598">
      <c r="B598" s="1" t="s">
        <v>2817</v>
      </c>
      <c r="C598" s="1" t="s">
        <v>3632</v>
      </c>
      <c r="D598" s="1" t="s">
        <v>325</v>
      </c>
      <c r="E598" s="1" t="s">
        <v>4966</v>
      </c>
      <c r="F598" s="1" t="s">
        <v>1464</v>
      </c>
      <c r="H598" s="1" t="s">
        <v>2818</v>
      </c>
      <c r="I598" s="1" t="s">
        <v>1164</v>
      </c>
      <c r="J598" s="1" t="s">
        <v>2092</v>
      </c>
    </row>
    <row r="599">
      <c r="B599" s="1" t="s">
        <v>2820</v>
      </c>
      <c r="C599" s="1" t="s">
        <v>3214</v>
      </c>
      <c r="D599" s="1" t="s">
        <v>662</v>
      </c>
      <c r="E599" s="1" t="s">
        <v>6352</v>
      </c>
      <c r="F599" s="1" t="s">
        <v>256</v>
      </c>
      <c r="H599" s="1" t="s">
        <v>891</v>
      </c>
      <c r="I599" s="1" t="s">
        <v>1238</v>
      </c>
      <c r="J599" s="1" t="s">
        <v>2616</v>
      </c>
    </row>
    <row r="600">
      <c r="B600" s="1" t="s">
        <v>2018</v>
      </c>
      <c r="C600" s="1" t="s">
        <v>3639</v>
      </c>
      <c r="D600" s="1" t="s">
        <v>672</v>
      </c>
      <c r="E600" s="1" t="s">
        <v>2398</v>
      </c>
      <c r="F600" s="1" t="s">
        <v>265</v>
      </c>
      <c r="H600" s="1" t="s">
        <v>2821</v>
      </c>
      <c r="I600" s="1" t="s">
        <v>2044</v>
      </c>
      <c r="J600" s="1" t="s">
        <v>472</v>
      </c>
    </row>
    <row r="601">
      <c r="B601" s="1" t="s">
        <v>2824</v>
      </c>
      <c r="C601" s="1" t="s">
        <v>3646</v>
      </c>
      <c r="D601" s="1" t="s">
        <v>2452</v>
      </c>
      <c r="E601" s="1" t="s">
        <v>2641</v>
      </c>
      <c r="F601" s="1" t="s">
        <v>2719</v>
      </c>
      <c r="H601" s="1" t="s">
        <v>637</v>
      </c>
      <c r="I601" s="1" t="s">
        <v>439</v>
      </c>
      <c r="J601" s="1" t="s">
        <v>552</v>
      </c>
    </row>
    <row r="602">
      <c r="B602" s="1" t="s">
        <v>2016</v>
      </c>
      <c r="C602" s="1" t="s">
        <v>3648</v>
      </c>
      <c r="D602" s="1" t="s">
        <v>2828</v>
      </c>
      <c r="E602" s="1" t="s">
        <v>2406</v>
      </c>
      <c r="F602" s="1" t="s">
        <v>225</v>
      </c>
      <c r="H602" s="1" t="s">
        <v>2826</v>
      </c>
      <c r="I602" s="1" t="s">
        <v>5048</v>
      </c>
      <c r="J602" s="1" t="s">
        <v>480</v>
      </c>
    </row>
    <row r="603">
      <c r="B603" s="1" t="s">
        <v>448</v>
      </c>
      <c r="C603" s="1" t="s">
        <v>3651</v>
      </c>
      <c r="D603" s="1" t="s">
        <v>1693</v>
      </c>
      <c r="E603" s="1" t="s">
        <v>2056</v>
      </c>
      <c r="F603" s="1" t="s">
        <v>2203</v>
      </c>
      <c r="H603" s="1" t="s">
        <v>2829</v>
      </c>
      <c r="I603" s="1" t="s">
        <v>1471</v>
      </c>
      <c r="J603" s="1" t="s">
        <v>2982</v>
      </c>
    </row>
    <row r="604">
      <c r="B604" s="1" t="s">
        <v>2026</v>
      </c>
      <c r="C604" s="1" t="s">
        <v>3524</v>
      </c>
      <c r="D604" s="1" t="s">
        <v>48</v>
      </c>
      <c r="E604" s="1" t="s">
        <v>2856</v>
      </c>
      <c r="F604" s="1" t="s">
        <v>1972</v>
      </c>
      <c r="H604" s="1" t="s">
        <v>693</v>
      </c>
      <c r="I604" s="1" t="s">
        <v>6345</v>
      </c>
      <c r="J604" s="1" t="s">
        <v>2980</v>
      </c>
    </row>
    <row r="605">
      <c r="B605" s="1" t="s">
        <v>2029</v>
      </c>
      <c r="C605" s="1" t="s">
        <v>3659</v>
      </c>
      <c r="D605" s="1" t="s">
        <v>1706</v>
      </c>
      <c r="E605" s="1" t="s">
        <v>345</v>
      </c>
      <c r="F605" s="1" t="s">
        <v>527</v>
      </c>
      <c r="H605" s="1" t="s">
        <v>1588</v>
      </c>
      <c r="I605" s="1" t="s">
        <v>2049</v>
      </c>
      <c r="J605" s="1" t="s">
        <v>2096</v>
      </c>
    </row>
    <row r="606">
      <c r="B606" s="1" t="s">
        <v>534</v>
      </c>
      <c r="C606" s="1" t="s">
        <v>3661</v>
      </c>
      <c r="D606" s="1" t="s">
        <v>2478</v>
      </c>
      <c r="E606" s="1" t="s">
        <v>63</v>
      </c>
      <c r="F606" s="1" t="s">
        <v>352</v>
      </c>
      <c r="H606" s="1" t="s">
        <v>2836</v>
      </c>
      <c r="I606" s="1" t="s">
        <v>752</v>
      </c>
      <c r="J606" s="1" t="s">
        <v>511</v>
      </c>
    </row>
    <row r="607">
      <c r="B607" s="1" t="s">
        <v>456</v>
      </c>
      <c r="C607" s="1" t="s">
        <v>3665</v>
      </c>
      <c r="D607" s="1" t="s">
        <v>56</v>
      </c>
      <c r="E607" s="1" t="s">
        <v>3224</v>
      </c>
      <c r="F607" s="1" t="s">
        <v>960</v>
      </c>
      <c r="H607" s="1" t="s">
        <v>2839</v>
      </c>
      <c r="I607" s="1" t="s">
        <v>2281</v>
      </c>
      <c r="J607" s="1" t="s">
        <v>487</v>
      </c>
    </row>
    <row r="608">
      <c r="B608" s="1" t="s">
        <v>2843</v>
      </c>
      <c r="C608" s="1" t="s">
        <v>3666</v>
      </c>
      <c r="D608" s="1" t="s">
        <v>343</v>
      </c>
      <c r="E608" s="1" t="s">
        <v>2417</v>
      </c>
      <c r="F608" s="1" t="s">
        <v>1215</v>
      </c>
      <c r="H608" s="1" t="s">
        <v>2844</v>
      </c>
      <c r="I608" s="1" t="s">
        <v>2285</v>
      </c>
      <c r="J608" s="1" t="s">
        <v>429</v>
      </c>
    </row>
    <row r="609">
      <c r="B609" s="1" t="s">
        <v>2846</v>
      </c>
      <c r="C609" s="1" t="s">
        <v>3668</v>
      </c>
      <c r="D609" s="1" t="s">
        <v>1722</v>
      </c>
      <c r="E609" s="1" t="s">
        <v>1005</v>
      </c>
      <c r="F609" s="1" t="s">
        <v>1391</v>
      </c>
      <c r="H609" s="1" t="s">
        <v>2847</v>
      </c>
      <c r="I609" s="1" t="s">
        <v>2058</v>
      </c>
      <c r="J609" s="1" t="s">
        <v>2106</v>
      </c>
    </row>
    <row r="610">
      <c r="B610" s="1" t="s">
        <v>2034</v>
      </c>
      <c r="C610" s="1" t="s">
        <v>2646</v>
      </c>
      <c r="D610" s="1" t="s">
        <v>1728</v>
      </c>
      <c r="E610" s="1" t="s">
        <v>1322</v>
      </c>
      <c r="F610" s="1" t="s">
        <v>2496</v>
      </c>
      <c r="H610" s="1" t="s">
        <v>2849</v>
      </c>
      <c r="I610" s="1" t="s">
        <v>1138</v>
      </c>
      <c r="J610" s="1" t="s">
        <v>3532</v>
      </c>
    </row>
    <row r="611">
      <c r="B611" s="1" t="s">
        <v>178</v>
      </c>
      <c r="C611" s="1" t="s">
        <v>3066</v>
      </c>
      <c r="D611" s="1" t="s">
        <v>2487</v>
      </c>
      <c r="E611" s="1" t="s">
        <v>1327</v>
      </c>
      <c r="F611" s="1" t="s">
        <v>1398</v>
      </c>
      <c r="H611" s="1" t="s">
        <v>1666</v>
      </c>
      <c r="I611" s="1" t="s">
        <v>2479</v>
      </c>
      <c r="J611" s="1" t="s">
        <v>3748</v>
      </c>
    </row>
    <row r="612">
      <c r="B612" s="1" t="s">
        <v>2854</v>
      </c>
      <c r="C612" s="1" t="s">
        <v>3677</v>
      </c>
      <c r="D612" s="1" t="s">
        <v>1733</v>
      </c>
      <c r="E612" s="1" t="s">
        <v>843</v>
      </c>
      <c r="F612" s="1" t="s">
        <v>1462</v>
      </c>
      <c r="H612" s="1" t="s">
        <v>1855</v>
      </c>
      <c r="I612" s="1" t="s">
        <v>2062</v>
      </c>
      <c r="J612" s="1" t="s">
        <v>2995</v>
      </c>
    </row>
    <row r="613">
      <c r="B613" s="1" t="s">
        <v>2040</v>
      </c>
      <c r="C613" s="1" t="s">
        <v>3091</v>
      </c>
      <c r="D613" s="1" t="s">
        <v>1742</v>
      </c>
      <c r="E613" s="1" t="s">
        <v>1363</v>
      </c>
      <c r="F613" s="1" t="s">
        <v>6353</v>
      </c>
      <c r="H613" s="1" t="s">
        <v>1611</v>
      </c>
      <c r="I613" s="1" t="s">
        <v>1256</v>
      </c>
      <c r="J613" s="1" t="s">
        <v>2114</v>
      </c>
    </row>
    <row r="614">
      <c r="B614" s="1" t="s">
        <v>860</v>
      </c>
      <c r="C614" s="1" t="s">
        <v>3681</v>
      </c>
      <c r="D614" s="1" t="s">
        <v>426</v>
      </c>
      <c r="E614" s="1" t="s">
        <v>3877</v>
      </c>
      <c r="F614" s="1" t="s">
        <v>2233</v>
      </c>
      <c r="H614" s="1" t="s">
        <v>1627</v>
      </c>
      <c r="I614" s="1" t="s">
        <v>3058</v>
      </c>
      <c r="J614" s="1" t="s">
        <v>2110</v>
      </c>
    </row>
    <row r="615">
      <c r="B615" s="1" t="s">
        <v>2861</v>
      </c>
      <c r="C615" s="1" t="s">
        <v>2243</v>
      </c>
      <c r="D615" s="1" t="s">
        <v>2864</v>
      </c>
      <c r="E615" s="1" t="s">
        <v>1333</v>
      </c>
      <c r="F615" s="1" t="s">
        <v>1411</v>
      </c>
      <c r="H615" s="1" t="s">
        <v>2862</v>
      </c>
      <c r="I615" s="1" t="s">
        <v>1263</v>
      </c>
      <c r="J615" s="1" t="s">
        <v>3540</v>
      </c>
    </row>
    <row r="616">
      <c r="B616" s="1" t="s">
        <v>2865</v>
      </c>
      <c r="C616" s="1" t="s">
        <v>3685</v>
      </c>
      <c r="D616" s="1" t="s">
        <v>691</v>
      </c>
      <c r="E616" s="1" t="s">
        <v>1586</v>
      </c>
      <c r="F616" s="1" t="s">
        <v>2229</v>
      </c>
      <c r="H616" s="1" t="s">
        <v>1010</v>
      </c>
      <c r="I616" s="1" t="s">
        <v>5125</v>
      </c>
      <c r="J616" s="1" t="s">
        <v>3005</v>
      </c>
    </row>
    <row r="617">
      <c r="B617" s="1" t="s">
        <v>543</v>
      </c>
      <c r="C617" s="1" t="s">
        <v>252</v>
      </c>
      <c r="D617" s="1" t="s">
        <v>1710</v>
      </c>
      <c r="E617" s="1" t="s">
        <v>2159</v>
      </c>
      <c r="F617" s="1" t="s">
        <v>831</v>
      </c>
      <c r="H617" s="1" t="s">
        <v>67</v>
      </c>
      <c r="I617" s="1" t="s">
        <v>5458</v>
      </c>
      <c r="J617" s="1" t="s">
        <v>3014</v>
      </c>
    </row>
    <row r="618">
      <c r="B618" s="1" t="s">
        <v>2047</v>
      </c>
      <c r="C618" s="1" t="s">
        <v>3688</v>
      </c>
      <c r="D618" s="1" t="s">
        <v>1759</v>
      </c>
      <c r="E618" s="1" t="s">
        <v>2163</v>
      </c>
      <c r="F618" s="1" t="s">
        <v>2222</v>
      </c>
      <c r="H618" s="1" t="s">
        <v>1594</v>
      </c>
      <c r="I618" s="1" t="s">
        <v>1162</v>
      </c>
      <c r="J618" s="1" t="s">
        <v>2100</v>
      </c>
    </row>
    <row r="619">
      <c r="B619" s="1" t="s">
        <v>2127</v>
      </c>
      <c r="C619" s="1" t="s">
        <v>3691</v>
      </c>
      <c r="D619" s="1" t="s">
        <v>1714</v>
      </c>
      <c r="E619" s="1" t="s">
        <v>2386</v>
      </c>
      <c r="F619" s="1" t="s">
        <v>2509</v>
      </c>
      <c r="H619" s="1" t="s">
        <v>2872</v>
      </c>
      <c r="I619" s="1" t="s">
        <v>2325</v>
      </c>
      <c r="J619" s="1" t="s">
        <v>494</v>
      </c>
    </row>
    <row r="620">
      <c r="B620" s="1" t="s">
        <v>2048</v>
      </c>
      <c r="C620" s="1" t="s">
        <v>2142</v>
      </c>
      <c r="D620" s="1" t="s">
        <v>1718</v>
      </c>
      <c r="E620" s="1" t="s">
        <v>2167</v>
      </c>
      <c r="F620" s="1" t="s">
        <v>853</v>
      </c>
      <c r="H620" s="1" t="s">
        <v>2875</v>
      </c>
      <c r="I620" s="1" t="s">
        <v>1282</v>
      </c>
      <c r="J620" s="1" t="s">
        <v>420</v>
      </c>
    </row>
    <row r="621">
      <c r="B621" s="1" t="s">
        <v>2878</v>
      </c>
      <c r="C621" s="1" t="s">
        <v>3695</v>
      </c>
      <c r="D621" s="1" t="s">
        <v>2882</v>
      </c>
      <c r="E621" s="1" t="s">
        <v>2176</v>
      </c>
      <c r="F621" s="1" t="s">
        <v>1227</v>
      </c>
      <c r="H621" s="1" t="s">
        <v>2879</v>
      </c>
      <c r="I621" s="1" t="s">
        <v>1275</v>
      </c>
      <c r="J621" s="1" t="s">
        <v>3782</v>
      </c>
    </row>
    <row r="622">
      <c r="B622" s="1" t="s">
        <v>2053</v>
      </c>
      <c r="C622" s="1" t="s">
        <v>3706</v>
      </c>
      <c r="D622" s="1" t="s">
        <v>1725</v>
      </c>
      <c r="E622" s="1" t="s">
        <v>6354</v>
      </c>
      <c r="F622" s="1" t="s">
        <v>2525</v>
      </c>
      <c r="H622" s="1" t="s">
        <v>1661</v>
      </c>
      <c r="I622" s="1" t="s">
        <v>232</v>
      </c>
      <c r="J622" s="1" t="s">
        <v>920</v>
      </c>
    </row>
    <row r="623">
      <c r="B623" s="1" t="s">
        <v>551</v>
      </c>
      <c r="C623" s="1" t="s">
        <v>684</v>
      </c>
      <c r="D623" s="1" t="s">
        <v>699</v>
      </c>
      <c r="E623" s="1" t="s">
        <v>2171</v>
      </c>
      <c r="F623" s="1" t="s">
        <v>1416</v>
      </c>
      <c r="H623" s="1" t="s">
        <v>1820</v>
      </c>
      <c r="I623" s="1" t="s">
        <v>2102</v>
      </c>
      <c r="J623" s="1" t="s">
        <v>144</v>
      </c>
    </row>
    <row r="624">
      <c r="B624" s="1" t="s">
        <v>2888</v>
      </c>
      <c r="C624" s="1" t="s">
        <v>1478</v>
      </c>
      <c r="D624" s="1" t="s">
        <v>2893</v>
      </c>
      <c r="E624" s="1" t="s">
        <v>6355</v>
      </c>
      <c r="F624" s="1" t="s">
        <v>6356</v>
      </c>
      <c r="H624" s="1" t="s">
        <v>2890</v>
      </c>
      <c r="I624" s="1" t="s">
        <v>120</v>
      </c>
      <c r="J624" s="1" t="s">
        <v>2115</v>
      </c>
    </row>
    <row r="625">
      <c r="B625" s="1" t="s">
        <v>2894</v>
      </c>
      <c r="C625" s="1" t="s">
        <v>3175</v>
      </c>
      <c r="D625" s="1" t="s">
        <v>1768</v>
      </c>
      <c r="E625" s="1" t="s">
        <v>2441</v>
      </c>
      <c r="F625" s="1" t="s">
        <v>2240</v>
      </c>
      <c r="H625" s="1" t="s">
        <v>1679</v>
      </c>
      <c r="I625" s="1" t="s">
        <v>4980</v>
      </c>
      <c r="J625" s="1" t="s">
        <v>606</v>
      </c>
    </row>
    <row r="626">
      <c r="B626" s="1" t="s">
        <v>464</v>
      </c>
      <c r="C626" s="1" t="s">
        <v>1484</v>
      </c>
      <c r="D626" s="1" t="s">
        <v>2899</v>
      </c>
      <c r="E626" s="1" t="s">
        <v>2685</v>
      </c>
      <c r="F626" s="1" t="s">
        <v>6357</v>
      </c>
      <c r="H626" s="1" t="s">
        <v>347</v>
      </c>
      <c r="I626" s="1" t="s">
        <v>1294</v>
      </c>
      <c r="J626" s="1" t="s">
        <v>2129</v>
      </c>
    </row>
    <row r="627">
      <c r="B627" s="1" t="s">
        <v>2061</v>
      </c>
      <c r="C627" s="1" t="s">
        <v>1491</v>
      </c>
      <c r="D627" s="1" t="s">
        <v>1738</v>
      </c>
      <c r="E627" s="1" t="s">
        <v>5170</v>
      </c>
      <c r="F627" s="1" t="s">
        <v>274</v>
      </c>
      <c r="H627" s="1" t="s">
        <v>1531</v>
      </c>
      <c r="I627" s="1" t="s">
        <v>2343</v>
      </c>
      <c r="J627" s="1" t="s">
        <v>729</v>
      </c>
    </row>
    <row r="628">
      <c r="B628" s="1" t="s">
        <v>2901</v>
      </c>
      <c r="C628" s="1" t="s">
        <v>287</v>
      </c>
      <c r="D628" s="1" t="s">
        <v>2904</v>
      </c>
      <c r="E628" s="1" t="s">
        <v>2179</v>
      </c>
      <c r="F628" s="1" t="s">
        <v>1482</v>
      </c>
      <c r="H628" s="1" t="s">
        <v>901</v>
      </c>
      <c r="I628" s="1" t="s">
        <v>6350</v>
      </c>
      <c r="J628" s="1" t="s">
        <v>2147</v>
      </c>
    </row>
    <row r="629">
      <c r="B629" s="1" t="s">
        <v>2905</v>
      </c>
      <c r="C629" s="1" t="s">
        <v>3721</v>
      </c>
      <c r="D629" s="1" t="s">
        <v>1745</v>
      </c>
      <c r="E629" s="1" t="s">
        <v>1038</v>
      </c>
      <c r="F629" s="1" t="s">
        <v>2782</v>
      </c>
      <c r="H629" s="1" t="s">
        <v>783</v>
      </c>
      <c r="I629" s="1" t="s">
        <v>1298</v>
      </c>
      <c r="J629" s="1" t="s">
        <v>3049</v>
      </c>
    </row>
    <row r="630">
      <c r="B630" s="1" t="s">
        <v>2908</v>
      </c>
      <c r="C630" s="1" t="s">
        <v>3492</v>
      </c>
      <c r="D630" s="1" t="s">
        <v>1773</v>
      </c>
      <c r="E630" s="1" t="s">
        <v>1353</v>
      </c>
      <c r="F630" s="1" t="s">
        <v>6358</v>
      </c>
      <c r="H630" s="1" t="s">
        <v>714</v>
      </c>
      <c r="I630" s="1" t="s">
        <v>1403</v>
      </c>
      <c r="J630" s="1" t="s">
        <v>3579</v>
      </c>
    </row>
    <row r="631">
      <c r="B631" s="1" t="s">
        <v>2911</v>
      </c>
      <c r="C631" s="1" t="s">
        <v>276</v>
      </c>
      <c r="D631" s="1" t="s">
        <v>1777</v>
      </c>
      <c r="E631" s="1" t="s">
        <v>1216</v>
      </c>
      <c r="F631" s="1" t="s">
        <v>283</v>
      </c>
      <c r="H631" s="1" t="s">
        <v>2912</v>
      </c>
      <c r="I631" s="1" t="s">
        <v>2125</v>
      </c>
      <c r="J631" s="1" t="s">
        <v>1560</v>
      </c>
    </row>
    <row r="632">
      <c r="B632" s="1" t="s">
        <v>2068</v>
      </c>
      <c r="C632" s="1" t="s">
        <v>3730</v>
      </c>
      <c r="D632" s="1" t="s">
        <v>432</v>
      </c>
      <c r="E632" s="1" t="s">
        <v>1402</v>
      </c>
      <c r="F632" s="1" t="s">
        <v>1452</v>
      </c>
      <c r="H632" s="1" t="s">
        <v>2914</v>
      </c>
      <c r="I632" s="1" t="s">
        <v>2362</v>
      </c>
      <c r="J632" s="1" t="s">
        <v>615</v>
      </c>
    </row>
    <row r="633">
      <c r="B633" s="1" t="s">
        <v>1032</v>
      </c>
      <c r="C633" s="1" t="s">
        <v>2905</v>
      </c>
      <c r="D633" s="1" t="s">
        <v>1748</v>
      </c>
      <c r="E633" s="1" t="s">
        <v>1388</v>
      </c>
      <c r="F633" s="1" t="s">
        <v>1446</v>
      </c>
      <c r="H633" s="1" t="s">
        <v>2917</v>
      </c>
      <c r="I633" s="1" t="s">
        <v>4343</v>
      </c>
      <c r="J633" s="1" t="s">
        <v>2137</v>
      </c>
    </row>
    <row r="634">
      <c r="B634" s="1" t="s">
        <v>2078</v>
      </c>
      <c r="C634" s="1" t="s">
        <v>3734</v>
      </c>
      <c r="D634" s="1" t="s">
        <v>2924</v>
      </c>
      <c r="E634" s="1" t="s">
        <v>1395</v>
      </c>
      <c r="F634" s="1" t="s">
        <v>31</v>
      </c>
      <c r="H634" s="1" t="s">
        <v>2921</v>
      </c>
      <c r="I634" s="1" t="s">
        <v>2364</v>
      </c>
      <c r="J634" s="1" t="s">
        <v>2158</v>
      </c>
    </row>
    <row r="635">
      <c r="B635" s="1" t="s">
        <v>2925</v>
      </c>
      <c r="C635" s="1" t="s">
        <v>3739</v>
      </c>
      <c r="D635" s="1" t="s">
        <v>1799</v>
      </c>
      <c r="E635" s="1" t="s">
        <v>1345</v>
      </c>
      <c r="F635" s="1" t="s">
        <v>6359</v>
      </c>
      <c r="H635" s="1" t="s">
        <v>2926</v>
      </c>
      <c r="I635" s="1" t="s">
        <v>2358</v>
      </c>
      <c r="J635" s="1" t="s">
        <v>2165</v>
      </c>
    </row>
    <row r="636">
      <c r="B636" s="1" t="s">
        <v>2928</v>
      </c>
      <c r="C636" s="1" t="s">
        <v>3742</v>
      </c>
      <c r="D636" s="1">
        <v>2002.0</v>
      </c>
      <c r="E636" s="1" t="s">
        <v>1464</v>
      </c>
      <c r="F636" s="1" t="s">
        <v>1473</v>
      </c>
      <c r="H636" s="1" t="s">
        <v>1943</v>
      </c>
      <c r="I636" s="1" t="s">
        <v>1279</v>
      </c>
      <c r="J636" s="1" t="s">
        <v>3602</v>
      </c>
    </row>
    <row r="637">
      <c r="B637" s="1" t="s">
        <v>2081</v>
      </c>
      <c r="C637" s="1" t="s">
        <v>3745</v>
      </c>
      <c r="D637" s="1" t="s">
        <v>1811</v>
      </c>
      <c r="E637" s="1" t="s">
        <v>2711</v>
      </c>
      <c r="F637" s="1" t="s">
        <v>1467</v>
      </c>
      <c r="H637" s="1" t="s">
        <v>2931</v>
      </c>
      <c r="I637" s="1" t="s">
        <v>1272</v>
      </c>
      <c r="J637" s="1" t="s">
        <v>941</v>
      </c>
    </row>
    <row r="638">
      <c r="B638" s="1" t="s">
        <v>878</v>
      </c>
      <c r="C638" s="1" t="s">
        <v>3746</v>
      </c>
      <c r="D638" s="1" t="s">
        <v>440</v>
      </c>
      <c r="E638" s="1" t="s">
        <v>6360</v>
      </c>
      <c r="F638" s="1" t="s">
        <v>1497</v>
      </c>
      <c r="H638" s="1" t="s">
        <v>2935</v>
      </c>
      <c r="I638" s="1" t="s">
        <v>2131</v>
      </c>
      <c r="J638" s="1" t="s">
        <v>3084</v>
      </c>
    </row>
    <row r="639">
      <c r="B639" s="1" t="s">
        <v>29</v>
      </c>
      <c r="C639" s="1" t="s">
        <v>3556</v>
      </c>
      <c r="D639" s="1" t="s">
        <v>2940</v>
      </c>
      <c r="E639" s="1" t="s">
        <v>4223</v>
      </c>
      <c r="F639" s="1" t="s">
        <v>2267</v>
      </c>
      <c r="H639" s="1" t="s">
        <v>1727</v>
      </c>
      <c r="I639" s="1" t="s">
        <v>792</v>
      </c>
      <c r="J639" s="1" t="s">
        <v>2415</v>
      </c>
    </row>
    <row r="640">
      <c r="B640" s="1" t="s">
        <v>2941</v>
      </c>
      <c r="C640" s="1" t="s">
        <v>3623</v>
      </c>
      <c r="D640" s="1" t="s">
        <v>1815</v>
      </c>
      <c r="E640" s="1" t="s">
        <v>1061</v>
      </c>
      <c r="F640" s="1" t="s">
        <v>1487</v>
      </c>
      <c r="H640" s="1" t="s">
        <v>2943</v>
      </c>
      <c r="I640" s="1" t="s">
        <v>2622</v>
      </c>
      <c r="J640" s="1" t="s">
        <v>2514</v>
      </c>
    </row>
    <row r="641">
      <c r="B641" s="1" t="s">
        <v>2198</v>
      </c>
      <c r="C641" s="1" t="s">
        <v>3565</v>
      </c>
      <c r="D641" s="1" t="s">
        <v>2950</v>
      </c>
      <c r="E641" s="1" t="s">
        <v>2719</v>
      </c>
      <c r="F641" s="1" t="s">
        <v>2282</v>
      </c>
      <c r="H641" s="1" t="s">
        <v>2946</v>
      </c>
      <c r="I641" s="1" t="s">
        <v>1290</v>
      </c>
      <c r="J641" s="1" t="s">
        <v>3101</v>
      </c>
    </row>
    <row r="642">
      <c r="B642" s="1" t="s">
        <v>1561</v>
      </c>
      <c r="C642" s="1" t="s">
        <v>2115</v>
      </c>
      <c r="D642" s="1" t="s">
        <v>1756</v>
      </c>
      <c r="E642" s="1" t="s">
        <v>1376</v>
      </c>
      <c r="F642" s="1" t="s">
        <v>550</v>
      </c>
      <c r="H642" s="1" t="s">
        <v>2951</v>
      </c>
      <c r="I642" s="1" t="s">
        <v>350</v>
      </c>
      <c r="J642" s="1" t="s">
        <v>617</v>
      </c>
    </row>
    <row r="643">
      <c r="B643" s="1" t="s">
        <v>2092</v>
      </c>
      <c r="C643" s="1" t="s">
        <v>3755</v>
      </c>
      <c r="D643" s="1" t="s">
        <v>2955</v>
      </c>
      <c r="E643" s="1" t="s">
        <v>1431</v>
      </c>
      <c r="F643" s="1" t="s">
        <v>1495</v>
      </c>
      <c r="H643" s="1" t="s">
        <v>2954</v>
      </c>
      <c r="I643" s="1" t="s">
        <v>1301</v>
      </c>
      <c r="J643" s="1" t="s">
        <v>2182</v>
      </c>
    </row>
    <row r="644">
      <c r="B644" s="1" t="s">
        <v>2616</v>
      </c>
      <c r="C644" s="1" t="s">
        <v>2317</v>
      </c>
      <c r="D644" s="1" t="s">
        <v>705</v>
      </c>
      <c r="E644" s="1" t="s">
        <v>225</v>
      </c>
      <c r="F644" s="1" t="s">
        <v>1502</v>
      </c>
      <c r="H644" s="1" t="s">
        <v>2957</v>
      </c>
      <c r="I644" s="1" t="s">
        <v>4966</v>
      </c>
      <c r="J644" s="1" t="s">
        <v>490</v>
      </c>
    </row>
    <row r="645">
      <c r="B645" s="1" t="s">
        <v>472</v>
      </c>
      <c r="C645" s="1" t="s">
        <v>3758</v>
      </c>
      <c r="D645" s="1" t="s">
        <v>1761</v>
      </c>
      <c r="E645" s="1" t="s">
        <v>1436</v>
      </c>
      <c r="F645" s="1" t="s">
        <v>2593</v>
      </c>
      <c r="H645" s="1" t="s">
        <v>2959</v>
      </c>
      <c r="I645" s="1" t="s">
        <v>6352</v>
      </c>
      <c r="J645" s="1" t="s">
        <v>808</v>
      </c>
    </row>
    <row r="646">
      <c r="B646" s="1" t="s">
        <v>552</v>
      </c>
      <c r="C646" s="1" t="s">
        <v>1818</v>
      </c>
      <c r="D646" s="1" t="s">
        <v>110</v>
      </c>
      <c r="E646" s="1" t="s">
        <v>2203</v>
      </c>
      <c r="F646" s="1" t="s">
        <v>923</v>
      </c>
      <c r="H646" s="1" t="s">
        <v>2963</v>
      </c>
      <c r="I646" s="1" t="s">
        <v>2398</v>
      </c>
      <c r="J646" s="1" t="s">
        <v>2160</v>
      </c>
    </row>
    <row r="647">
      <c r="B647" s="1">
        <v>1989.0</v>
      </c>
      <c r="C647" s="1" t="s">
        <v>3763</v>
      </c>
      <c r="D647" s="1" t="s">
        <v>452</v>
      </c>
      <c r="E647" s="1" t="s">
        <v>1972</v>
      </c>
      <c r="F647" s="1" t="s">
        <v>1547</v>
      </c>
      <c r="H647" s="1" t="s">
        <v>2967</v>
      </c>
      <c r="I647" s="1" t="s">
        <v>2641</v>
      </c>
      <c r="J647" s="1" t="s">
        <v>2194</v>
      </c>
    </row>
    <row r="648">
      <c r="B648" s="1" t="s">
        <v>480</v>
      </c>
      <c r="C648" s="1" t="s">
        <v>1506</v>
      </c>
      <c r="D648" s="1" t="s">
        <v>696</v>
      </c>
      <c r="E648" s="1" t="s">
        <v>960</v>
      </c>
      <c r="F648" s="1" t="s">
        <v>1554</v>
      </c>
      <c r="H648" s="1" t="s">
        <v>2970</v>
      </c>
      <c r="I648" s="1" t="s">
        <v>2406</v>
      </c>
      <c r="J648" s="1" t="s">
        <v>949</v>
      </c>
    </row>
    <row r="649">
      <c r="B649" s="1" t="s">
        <v>2973</v>
      </c>
      <c r="C649" s="1" t="s">
        <v>3773</v>
      </c>
      <c r="D649" s="1" t="s">
        <v>351</v>
      </c>
      <c r="E649" s="1" t="s">
        <v>527</v>
      </c>
      <c r="F649" s="1" t="s">
        <v>582</v>
      </c>
      <c r="H649" s="1" t="s">
        <v>1394</v>
      </c>
      <c r="I649" s="1" t="s">
        <v>2856</v>
      </c>
      <c r="J649" s="1" t="s">
        <v>3127</v>
      </c>
    </row>
    <row r="650">
      <c r="B650" s="1" t="s">
        <v>2976</v>
      </c>
      <c r="C650" s="1" t="s">
        <v>3779</v>
      </c>
      <c r="D650" s="1" t="s">
        <v>459</v>
      </c>
      <c r="E650" s="1" t="s">
        <v>1215</v>
      </c>
      <c r="F650" s="1" t="s">
        <v>1329</v>
      </c>
      <c r="H650" s="1" t="s">
        <v>1098</v>
      </c>
      <c r="I650" s="1" t="s">
        <v>345</v>
      </c>
      <c r="J650" s="1" t="s">
        <v>2199</v>
      </c>
    </row>
    <row r="651">
      <c r="B651" s="1" t="s">
        <v>2980</v>
      </c>
      <c r="C651" s="1" t="s">
        <v>3778</v>
      </c>
      <c r="D651" s="1" t="s">
        <v>2557</v>
      </c>
      <c r="E651" s="1" t="s">
        <v>1391</v>
      </c>
      <c r="F651" s="1" t="s">
        <v>546</v>
      </c>
      <c r="H651" s="1" t="s">
        <v>919</v>
      </c>
      <c r="I651" s="1" t="s">
        <v>63</v>
      </c>
      <c r="J651" s="1" t="s">
        <v>2202</v>
      </c>
    </row>
    <row r="652">
      <c r="B652" s="1" t="s">
        <v>2982</v>
      </c>
      <c r="C652" s="1" t="s">
        <v>3789</v>
      </c>
      <c r="D652" s="1" t="s">
        <v>2559</v>
      </c>
      <c r="E652" s="1" t="s">
        <v>1840</v>
      </c>
      <c r="F652" s="1" t="s">
        <v>697</v>
      </c>
      <c r="H652" s="1" t="s">
        <v>2983</v>
      </c>
      <c r="I652" s="1" t="s">
        <v>3224</v>
      </c>
      <c r="J652" s="1" t="s">
        <v>3652</v>
      </c>
    </row>
    <row r="653">
      <c r="B653" s="1" t="s">
        <v>511</v>
      </c>
      <c r="C653" s="1" t="s">
        <v>3100</v>
      </c>
      <c r="D653" s="1" t="s">
        <v>719</v>
      </c>
      <c r="E653" s="1" t="s">
        <v>2496</v>
      </c>
      <c r="F653" s="1" t="s">
        <v>689</v>
      </c>
      <c r="H653" s="1" t="s">
        <v>535</v>
      </c>
      <c r="I653" s="1" t="s">
        <v>1005</v>
      </c>
      <c r="J653" s="1" t="s">
        <v>3657</v>
      </c>
    </row>
    <row r="654">
      <c r="B654" s="1" t="s">
        <v>487</v>
      </c>
      <c r="C654" s="1" t="s">
        <v>913</v>
      </c>
      <c r="D654" s="1" t="s">
        <v>512</v>
      </c>
      <c r="E654" s="1" t="s">
        <v>2492</v>
      </c>
      <c r="F654" s="1" t="s">
        <v>6327</v>
      </c>
      <c r="H654" s="1" t="s">
        <v>1132</v>
      </c>
      <c r="I654" s="1" t="s">
        <v>1322</v>
      </c>
      <c r="J654" s="1" t="s">
        <v>2173</v>
      </c>
    </row>
    <row r="655">
      <c r="B655" s="1" t="s">
        <v>2106</v>
      </c>
      <c r="C655" s="1" t="s">
        <v>2277</v>
      </c>
      <c r="D655" s="1" t="s">
        <v>2991</v>
      </c>
      <c r="E655" s="1" t="s">
        <v>6361</v>
      </c>
      <c r="F655" s="1" t="s">
        <v>2866</v>
      </c>
      <c r="H655" s="1" t="s">
        <v>1092</v>
      </c>
      <c r="I655" s="1" t="s">
        <v>1327</v>
      </c>
      <c r="J655" s="1" t="s">
        <v>3663</v>
      </c>
    </row>
    <row r="656">
      <c r="B656" s="1" t="s">
        <v>2992</v>
      </c>
      <c r="C656" s="1" t="s">
        <v>3797</v>
      </c>
      <c r="D656" s="1" t="s">
        <v>2994</v>
      </c>
      <c r="E656" s="1" t="s">
        <v>6362</v>
      </c>
      <c r="F656" s="1" t="s">
        <v>38</v>
      </c>
      <c r="H656" s="1" t="s">
        <v>707</v>
      </c>
      <c r="I656" s="1" t="s">
        <v>843</v>
      </c>
      <c r="J656" s="1" t="s">
        <v>3142</v>
      </c>
    </row>
    <row r="657">
      <c r="B657" s="1" t="s">
        <v>2995</v>
      </c>
      <c r="C657" s="1" t="s">
        <v>3663</v>
      </c>
      <c r="D657" s="1" t="s">
        <v>358</v>
      </c>
      <c r="E657" s="1" t="s">
        <v>2504</v>
      </c>
      <c r="F657" s="1" t="s">
        <v>567</v>
      </c>
      <c r="H657" s="1" t="s">
        <v>2996</v>
      </c>
      <c r="I657" s="1" t="s">
        <v>1363</v>
      </c>
      <c r="J657" s="1" t="s">
        <v>2177</v>
      </c>
    </row>
    <row r="658">
      <c r="B658" s="1" t="s">
        <v>2999</v>
      </c>
      <c r="C658" s="1" t="s">
        <v>1303</v>
      </c>
      <c r="D658" s="1" t="s">
        <v>467</v>
      </c>
      <c r="E658" s="1" t="s">
        <v>1406</v>
      </c>
      <c r="F658" s="1" t="s">
        <v>2620</v>
      </c>
      <c r="H658" s="1" t="s">
        <v>3000</v>
      </c>
      <c r="I658" s="1" t="s">
        <v>3877</v>
      </c>
      <c r="J658" s="1" t="s">
        <v>2183</v>
      </c>
    </row>
    <row r="659">
      <c r="B659" s="1" t="s">
        <v>2110</v>
      </c>
      <c r="C659" s="1" t="s">
        <v>3803</v>
      </c>
      <c r="D659" s="1" t="s">
        <v>1848</v>
      </c>
      <c r="E659" s="1" t="s">
        <v>1462</v>
      </c>
      <c r="F659" s="1" t="s">
        <v>1535</v>
      </c>
      <c r="H659" s="1" t="s">
        <v>948</v>
      </c>
      <c r="I659" s="1" t="s">
        <v>1333</v>
      </c>
      <c r="J659" s="1" t="s">
        <v>2188</v>
      </c>
    </row>
    <row r="660">
      <c r="B660" s="1" t="s">
        <v>3005</v>
      </c>
      <c r="C660" s="1" t="s">
        <v>3807</v>
      </c>
      <c r="D660" s="1" t="s">
        <v>1788</v>
      </c>
      <c r="E660" s="1" t="s">
        <v>6353</v>
      </c>
      <c r="F660" s="1" t="s">
        <v>2507</v>
      </c>
      <c r="H660" s="1" t="s">
        <v>1798</v>
      </c>
      <c r="I660" s="1" t="s">
        <v>6363</v>
      </c>
      <c r="J660" s="1" t="s">
        <v>517</v>
      </c>
    </row>
    <row r="661">
      <c r="B661" s="1" t="s">
        <v>2114</v>
      </c>
      <c r="C661" s="1" t="s">
        <v>1513</v>
      </c>
      <c r="D661" s="1" t="s">
        <v>1796</v>
      </c>
      <c r="E661" s="1" t="s">
        <v>831</v>
      </c>
      <c r="F661" s="1" t="s">
        <v>2303</v>
      </c>
      <c r="H661" s="1" t="s">
        <v>536</v>
      </c>
      <c r="I661" s="1" t="s">
        <v>1586</v>
      </c>
      <c r="J661" s="1" t="s">
        <v>2186</v>
      </c>
    </row>
    <row r="662">
      <c r="B662" s="1" t="s">
        <v>3010</v>
      </c>
      <c r="C662" s="1" t="s">
        <v>3811</v>
      </c>
      <c r="D662" s="1" t="s">
        <v>1239</v>
      </c>
      <c r="E662" s="1" t="s">
        <v>2509</v>
      </c>
      <c r="F662" s="1" t="s">
        <v>291</v>
      </c>
      <c r="H662" s="1" t="s">
        <v>1810</v>
      </c>
      <c r="I662" s="1" t="s">
        <v>2159</v>
      </c>
      <c r="J662" s="1" t="s">
        <v>2214</v>
      </c>
    </row>
    <row r="663">
      <c r="B663" s="1" t="s">
        <v>3014</v>
      </c>
      <c r="C663" s="1" t="s">
        <v>3815</v>
      </c>
      <c r="D663" s="1" t="s">
        <v>1853</v>
      </c>
      <c r="E663" s="1" t="s">
        <v>6364</v>
      </c>
      <c r="F663" s="1" t="s">
        <v>580</v>
      </c>
      <c r="H663" s="1" t="s">
        <v>3016</v>
      </c>
      <c r="I663" s="1" t="s">
        <v>2163</v>
      </c>
      <c r="J663" s="1" t="s">
        <v>6365</v>
      </c>
    </row>
    <row r="664">
      <c r="B664" s="1" t="s">
        <v>2100</v>
      </c>
      <c r="C664" s="1" t="s">
        <v>3792</v>
      </c>
      <c r="D664" s="1" t="s">
        <v>217</v>
      </c>
      <c r="E664" s="1" t="s">
        <v>2233</v>
      </c>
      <c r="F664" s="1" t="s">
        <v>2458</v>
      </c>
      <c r="H664" s="1" t="s">
        <v>3019</v>
      </c>
      <c r="I664" s="1" t="s">
        <v>2386</v>
      </c>
      <c r="J664" s="1" t="s">
        <v>2200</v>
      </c>
    </row>
    <row r="665">
      <c r="B665" s="1" t="s">
        <v>2118</v>
      </c>
      <c r="C665" s="1" t="s">
        <v>2362</v>
      </c>
      <c r="D665" s="1" t="s">
        <v>1861</v>
      </c>
      <c r="E665" s="1" t="s">
        <v>1411</v>
      </c>
      <c r="F665" s="1" t="s">
        <v>2645</v>
      </c>
      <c r="H665" s="1" t="s">
        <v>766</v>
      </c>
      <c r="I665" s="1" t="s">
        <v>2167</v>
      </c>
      <c r="J665" s="1" t="s">
        <v>3916</v>
      </c>
    </row>
    <row r="666">
      <c r="B666" s="1" t="s">
        <v>588</v>
      </c>
      <c r="C666" s="1" t="s">
        <v>1861</v>
      </c>
      <c r="D666" s="1" t="s">
        <v>3026</v>
      </c>
      <c r="E666" s="1" t="s">
        <v>853</v>
      </c>
      <c r="F666" s="1" t="s">
        <v>1567</v>
      </c>
      <c r="H666" s="1" t="s">
        <v>279</v>
      </c>
      <c r="I666" s="1" t="s">
        <v>2176</v>
      </c>
      <c r="J666" s="1" t="s">
        <v>2207</v>
      </c>
    </row>
    <row r="667">
      <c r="B667" s="1" t="s">
        <v>3027</v>
      </c>
      <c r="C667" s="1" t="s">
        <v>3826</v>
      </c>
      <c r="D667" s="1" t="s">
        <v>3029</v>
      </c>
      <c r="E667" s="1" t="s">
        <v>1227</v>
      </c>
      <c r="F667" s="1" t="s">
        <v>2328</v>
      </c>
      <c r="H667" s="1" t="s">
        <v>686</v>
      </c>
      <c r="I667" s="1" t="s">
        <v>6354</v>
      </c>
      <c r="J667" s="1" t="s">
        <v>2216</v>
      </c>
    </row>
    <row r="668">
      <c r="B668" s="1" t="s">
        <v>494</v>
      </c>
      <c r="C668" s="1" t="s">
        <v>3827</v>
      </c>
      <c r="D668" s="1" t="s">
        <v>735</v>
      </c>
      <c r="E668" s="1" t="s">
        <v>2528</v>
      </c>
      <c r="F668" s="1" t="s">
        <v>2661</v>
      </c>
      <c r="H668" s="1" t="s">
        <v>3031</v>
      </c>
      <c r="I668" s="1" t="s">
        <v>2171</v>
      </c>
      <c r="J668" s="1" t="s">
        <v>882</v>
      </c>
    </row>
    <row r="669">
      <c r="B669" s="1" t="s">
        <v>3033</v>
      </c>
      <c r="C669" s="1" t="s">
        <v>3808</v>
      </c>
      <c r="D669" s="1" t="s">
        <v>3037</v>
      </c>
      <c r="E669" s="1" t="s">
        <v>1476</v>
      </c>
      <c r="F669" s="1" t="s">
        <v>2331</v>
      </c>
      <c r="H669" s="1" t="s">
        <v>3035</v>
      </c>
      <c r="I669" s="1" t="s">
        <v>6355</v>
      </c>
      <c r="J669" s="1" t="s">
        <v>3188</v>
      </c>
    </row>
    <row r="670">
      <c r="B670" s="1" t="s">
        <v>420</v>
      </c>
      <c r="C670" s="1" t="s">
        <v>3836</v>
      </c>
      <c r="D670" s="1" t="s">
        <v>2603</v>
      </c>
      <c r="E670" s="1" t="s">
        <v>2525</v>
      </c>
      <c r="F670" s="1" t="s">
        <v>1243</v>
      </c>
      <c r="H670" s="1" t="s">
        <v>1262</v>
      </c>
      <c r="I670" s="1" t="s">
        <v>2441</v>
      </c>
      <c r="J670" s="1" t="s">
        <v>2220</v>
      </c>
    </row>
    <row r="671">
      <c r="B671" s="1" t="s">
        <v>920</v>
      </c>
      <c r="C671" s="1" t="s">
        <v>3838</v>
      </c>
      <c r="D671" s="1" t="s">
        <v>3040</v>
      </c>
      <c r="E671" s="1" t="s">
        <v>6356</v>
      </c>
      <c r="F671" s="1" t="s">
        <v>221</v>
      </c>
      <c r="H671" s="1" t="s">
        <v>3039</v>
      </c>
      <c r="I671" s="1" t="s">
        <v>2685</v>
      </c>
      <c r="J671" s="1" t="s">
        <v>2223</v>
      </c>
    </row>
    <row r="672">
      <c r="B672" s="1" t="s">
        <v>144</v>
      </c>
      <c r="C672" s="1" t="s">
        <v>1520</v>
      </c>
      <c r="D672" s="1" t="s">
        <v>384</v>
      </c>
      <c r="E672" s="1" t="s">
        <v>1416</v>
      </c>
      <c r="F672" s="1" t="s">
        <v>2920</v>
      </c>
      <c r="H672" s="1" t="s">
        <v>187</v>
      </c>
      <c r="I672" s="1" t="s">
        <v>5170</v>
      </c>
      <c r="J672" s="1" t="s">
        <v>2226</v>
      </c>
    </row>
    <row r="673">
      <c r="B673" s="1" t="s">
        <v>606</v>
      </c>
      <c r="C673" s="1" t="s">
        <v>3845</v>
      </c>
      <c r="D673" s="1" t="s">
        <v>366</v>
      </c>
      <c r="E673" s="1" t="s">
        <v>2240</v>
      </c>
      <c r="F673" s="1" t="s">
        <v>2296</v>
      </c>
      <c r="H673" s="1" t="s">
        <v>3043</v>
      </c>
      <c r="I673" s="1" t="s">
        <v>2179</v>
      </c>
      <c r="J673" s="1" t="s">
        <v>2230</v>
      </c>
    </row>
    <row r="674">
      <c r="B674" s="1" t="s">
        <v>2126</v>
      </c>
      <c r="C674" s="1" t="s">
        <v>2808</v>
      </c>
      <c r="D674" s="1" t="s">
        <v>1829</v>
      </c>
      <c r="E674" s="1" t="s">
        <v>6357</v>
      </c>
      <c r="F674" s="1" t="s">
        <v>382</v>
      </c>
      <c r="H674" s="1" t="s">
        <v>608</v>
      </c>
      <c r="I674" s="1" t="s">
        <v>1038</v>
      </c>
      <c r="J674" s="1" t="s">
        <v>636</v>
      </c>
    </row>
    <row r="675">
      <c r="B675" s="1" t="s">
        <v>729</v>
      </c>
      <c r="C675" s="1" t="s">
        <v>2719</v>
      </c>
      <c r="D675" s="1" t="s">
        <v>1833</v>
      </c>
      <c r="E675" s="1" t="s">
        <v>1482</v>
      </c>
      <c r="F675" s="1" t="s">
        <v>2678</v>
      </c>
      <c r="H675" s="1" t="s">
        <v>521</v>
      </c>
      <c r="I675" s="1" t="s">
        <v>6318</v>
      </c>
      <c r="J675" s="1" t="s">
        <v>4491</v>
      </c>
    </row>
    <row r="676">
      <c r="B676" s="1" t="s">
        <v>931</v>
      </c>
      <c r="C676" s="1" t="s">
        <v>3854</v>
      </c>
      <c r="D676" s="1" t="s">
        <v>754</v>
      </c>
      <c r="E676" s="1" t="s">
        <v>1434</v>
      </c>
      <c r="F676" s="1" t="s">
        <v>587</v>
      </c>
      <c r="H676" s="1" t="s">
        <v>3047</v>
      </c>
      <c r="I676" s="1" t="s">
        <v>1353</v>
      </c>
      <c r="J676" s="1" t="s">
        <v>885</v>
      </c>
    </row>
    <row r="677">
      <c r="B677" s="1" t="s">
        <v>3049</v>
      </c>
      <c r="C677" s="1" t="s">
        <v>840</v>
      </c>
      <c r="D677" s="1" t="s">
        <v>210</v>
      </c>
      <c r="E677" s="1" t="s">
        <v>6358</v>
      </c>
      <c r="F677" s="1" t="s">
        <v>2683</v>
      </c>
      <c r="H677" s="1" t="s">
        <v>3050</v>
      </c>
      <c r="I677" s="1" t="s">
        <v>1216</v>
      </c>
      <c r="J677" s="1" t="s">
        <v>3218</v>
      </c>
    </row>
    <row r="678">
      <c r="B678" s="1" t="s">
        <v>1233</v>
      </c>
      <c r="C678" s="1" t="s">
        <v>3195</v>
      </c>
      <c r="D678" s="1" t="s">
        <v>2621</v>
      </c>
      <c r="E678" s="1" t="s">
        <v>1490</v>
      </c>
      <c r="F678" s="1" t="s">
        <v>379</v>
      </c>
      <c r="H678" s="1" t="s">
        <v>3053</v>
      </c>
      <c r="I678" s="1" t="s">
        <v>1402</v>
      </c>
      <c r="J678" s="1" t="s">
        <v>2237</v>
      </c>
    </row>
    <row r="679">
      <c r="B679" s="1" t="s">
        <v>1560</v>
      </c>
      <c r="C679" s="1" t="s">
        <v>3862</v>
      </c>
      <c r="D679" s="1" t="s">
        <v>1847</v>
      </c>
      <c r="E679" s="1" t="s">
        <v>2547</v>
      </c>
      <c r="F679" s="1" t="s">
        <v>2942</v>
      </c>
      <c r="H679" s="1" t="s">
        <v>3054</v>
      </c>
      <c r="I679" s="1" t="s">
        <v>1388</v>
      </c>
      <c r="J679" s="1" t="s">
        <v>3215</v>
      </c>
    </row>
    <row r="680">
      <c r="B680" s="1" t="s">
        <v>3057</v>
      </c>
      <c r="C680" s="1" t="s">
        <v>132</v>
      </c>
      <c r="D680" s="1" t="s">
        <v>342</v>
      </c>
      <c r="E680" s="1" t="s">
        <v>2551</v>
      </c>
      <c r="F680" s="1" t="s">
        <v>595</v>
      </c>
      <c r="H680" s="1" t="s">
        <v>1917</v>
      </c>
      <c r="I680" s="1" t="s">
        <v>1395</v>
      </c>
      <c r="J680" s="1" t="s">
        <v>2243</v>
      </c>
    </row>
    <row r="681">
      <c r="B681" s="1" t="s">
        <v>2137</v>
      </c>
      <c r="C681" s="1" t="s">
        <v>1613</v>
      </c>
      <c r="D681" s="1" t="s">
        <v>3061</v>
      </c>
      <c r="E681" s="1" t="s">
        <v>361</v>
      </c>
      <c r="F681" s="1" t="s">
        <v>604</v>
      </c>
      <c r="H681" s="1" t="s">
        <v>79</v>
      </c>
      <c r="I681" s="1" t="s">
        <v>1345</v>
      </c>
      <c r="J681" s="1" t="s">
        <v>643</v>
      </c>
    </row>
    <row r="682">
      <c r="B682" s="1" t="s">
        <v>615</v>
      </c>
      <c r="C682" s="1" t="s">
        <v>3874</v>
      </c>
      <c r="D682" s="1" t="s">
        <v>3066</v>
      </c>
      <c r="E682" s="1" t="s">
        <v>1446</v>
      </c>
      <c r="F682" s="1" t="s">
        <v>1601</v>
      </c>
      <c r="H682" s="1" t="s">
        <v>3062</v>
      </c>
      <c r="I682" s="1" t="s">
        <v>1464</v>
      </c>
      <c r="J682" s="1" t="s">
        <v>648</v>
      </c>
    </row>
    <row r="683">
      <c r="B683" s="1" t="s">
        <v>501</v>
      </c>
      <c r="C683" s="1" t="s">
        <v>3720</v>
      </c>
      <c r="D683" s="1" t="s">
        <v>374</v>
      </c>
      <c r="E683" s="1" t="s">
        <v>1452</v>
      </c>
      <c r="F683" s="1" t="s">
        <v>2956</v>
      </c>
      <c r="H683" s="1" t="s">
        <v>3067</v>
      </c>
      <c r="I683" s="1" t="s">
        <v>2711</v>
      </c>
      <c r="J683" s="1" t="s">
        <v>3583</v>
      </c>
    </row>
    <row r="684">
      <c r="B684" s="1" t="s">
        <v>3069</v>
      </c>
      <c r="C684" s="1" t="s">
        <v>3882</v>
      </c>
      <c r="D684" s="1" t="s">
        <v>3073</v>
      </c>
      <c r="E684" s="1" t="s">
        <v>6359</v>
      </c>
      <c r="F684" s="1" t="s">
        <v>389</v>
      </c>
      <c r="H684" s="1" t="s">
        <v>3070</v>
      </c>
      <c r="I684" s="1" t="s">
        <v>6360</v>
      </c>
      <c r="J684" s="1" t="s">
        <v>3747</v>
      </c>
    </row>
    <row r="685">
      <c r="B685" s="1" t="s">
        <v>2165</v>
      </c>
      <c r="C685" s="1" t="s">
        <v>741</v>
      </c>
      <c r="D685" s="1" t="s">
        <v>3079</v>
      </c>
      <c r="E685" s="1" t="s">
        <v>1480</v>
      </c>
      <c r="F685" s="1" t="s">
        <v>2706</v>
      </c>
      <c r="H685" s="1" t="s">
        <v>3075</v>
      </c>
      <c r="I685" s="1" t="s">
        <v>4223</v>
      </c>
      <c r="J685" s="1" t="s">
        <v>2253</v>
      </c>
    </row>
    <row r="686">
      <c r="B686" s="1" t="s">
        <v>2415</v>
      </c>
      <c r="C686" s="1" t="s">
        <v>1833</v>
      </c>
      <c r="D686" s="1" t="s">
        <v>1856</v>
      </c>
      <c r="E686" s="1" t="s">
        <v>1497</v>
      </c>
      <c r="F686" s="1" t="s">
        <v>1608</v>
      </c>
      <c r="H686" s="1" t="s">
        <v>3081</v>
      </c>
      <c r="I686" s="1" t="s">
        <v>1061</v>
      </c>
      <c r="J686" s="1" t="s">
        <v>2257</v>
      </c>
    </row>
    <row r="687">
      <c r="B687" s="1" t="s">
        <v>3084</v>
      </c>
      <c r="C687" s="1" t="s">
        <v>3125</v>
      </c>
      <c r="D687" s="1" t="s">
        <v>2630</v>
      </c>
      <c r="E687" s="1" t="s">
        <v>1505</v>
      </c>
      <c r="F687" s="1" t="s">
        <v>1613</v>
      </c>
      <c r="H687" s="1" t="s">
        <v>3085</v>
      </c>
      <c r="I687" s="1" t="s">
        <v>2719</v>
      </c>
      <c r="J687" s="1" t="s">
        <v>2255</v>
      </c>
    </row>
    <row r="688">
      <c r="B688" s="1" t="s">
        <v>3087</v>
      </c>
      <c r="C688" s="1" t="s">
        <v>3899</v>
      </c>
      <c r="D688" s="1" t="s">
        <v>3090</v>
      </c>
      <c r="E688" s="1" t="s">
        <v>2267</v>
      </c>
      <c r="F688" s="1" t="s">
        <v>6366</v>
      </c>
      <c r="H688" s="1" t="s">
        <v>3088</v>
      </c>
      <c r="I688" s="1" t="s">
        <v>1376</v>
      </c>
      <c r="J688" s="1" t="s">
        <v>533</v>
      </c>
    </row>
    <row r="689">
      <c r="B689" s="1" t="s">
        <v>2170</v>
      </c>
      <c r="C689" s="1" t="s">
        <v>3902</v>
      </c>
      <c r="D689" s="1" t="s">
        <v>772</v>
      </c>
      <c r="E689" s="1" t="s">
        <v>1487</v>
      </c>
      <c r="F689" s="1" t="s">
        <v>300</v>
      </c>
      <c r="H689" s="1" t="s">
        <v>3091</v>
      </c>
      <c r="I689" s="1" t="s">
        <v>1431</v>
      </c>
      <c r="J689" s="1" t="s">
        <v>5963</v>
      </c>
    </row>
    <row r="690">
      <c r="B690" s="1" t="s">
        <v>2514</v>
      </c>
      <c r="C690" s="1" t="s">
        <v>3905</v>
      </c>
      <c r="D690" s="1" t="s">
        <v>1859</v>
      </c>
      <c r="E690" s="1" t="s">
        <v>376</v>
      </c>
      <c r="F690" s="1" t="s">
        <v>6367</v>
      </c>
      <c r="H690" s="1" t="s">
        <v>3093</v>
      </c>
      <c r="I690" s="1" t="s">
        <v>225</v>
      </c>
      <c r="J690" s="1" t="s">
        <v>1002</v>
      </c>
    </row>
    <row r="691">
      <c r="B691" s="1" t="s">
        <v>2145</v>
      </c>
      <c r="C691" s="1" t="s">
        <v>3111</v>
      </c>
      <c r="D691" s="1" t="s">
        <v>380</v>
      </c>
      <c r="E691" s="1" t="s">
        <v>2276</v>
      </c>
      <c r="F691" s="1" t="s">
        <v>6368</v>
      </c>
      <c r="H691" s="1" t="s">
        <v>1716</v>
      </c>
      <c r="I691" s="1" t="s">
        <v>1436</v>
      </c>
      <c r="J691" s="1" t="s">
        <v>927</v>
      </c>
    </row>
    <row r="692">
      <c r="B692" s="1" t="s">
        <v>2174</v>
      </c>
      <c r="C692" s="1" t="s">
        <v>1551</v>
      </c>
      <c r="D692" s="1" t="s">
        <v>2646</v>
      </c>
      <c r="E692" s="1" t="s">
        <v>6369</v>
      </c>
      <c r="F692" s="1" t="s">
        <v>1825</v>
      </c>
      <c r="H692" s="1" t="s">
        <v>3097</v>
      </c>
      <c r="I692" s="1" t="s">
        <v>1972</v>
      </c>
      <c r="J692" s="1" t="s">
        <v>2266</v>
      </c>
    </row>
    <row r="693">
      <c r="B693" s="1" t="s">
        <v>3101</v>
      </c>
      <c r="C693" s="1" t="s">
        <v>339</v>
      </c>
      <c r="D693" s="1" t="s">
        <v>387</v>
      </c>
      <c r="E693" s="1" t="s">
        <v>4112</v>
      </c>
      <c r="F693" s="1" t="s">
        <v>308</v>
      </c>
      <c r="H693" s="1" t="s">
        <v>304</v>
      </c>
      <c r="I693" s="1" t="s">
        <v>2094</v>
      </c>
      <c r="J693" s="1" t="s">
        <v>3774</v>
      </c>
    </row>
    <row r="694">
      <c r="B694" s="1" t="s">
        <v>490</v>
      </c>
      <c r="C694" s="1" t="s">
        <v>1728</v>
      </c>
      <c r="D694" s="1" t="s">
        <v>394</v>
      </c>
      <c r="E694" s="1" t="s">
        <v>6370</v>
      </c>
      <c r="F694" s="1" t="s">
        <v>2368</v>
      </c>
      <c r="H694" s="1" t="s">
        <v>3104</v>
      </c>
      <c r="I694" s="1" t="s">
        <v>960</v>
      </c>
      <c r="J694" s="1" t="s">
        <v>170</v>
      </c>
    </row>
    <row r="695">
      <c r="B695" s="1" t="s">
        <v>2155</v>
      </c>
      <c r="C695" s="1" t="s">
        <v>2826</v>
      </c>
      <c r="D695" s="1" t="s">
        <v>1887</v>
      </c>
      <c r="E695" s="1" t="s">
        <v>1502</v>
      </c>
      <c r="F695" s="1" t="s">
        <v>2722</v>
      </c>
      <c r="H695" s="1" t="s">
        <v>3108</v>
      </c>
      <c r="I695" s="1" t="s">
        <v>527</v>
      </c>
      <c r="J695" s="1" t="s">
        <v>6371</v>
      </c>
    </row>
    <row r="696">
      <c r="B696" s="1" t="s">
        <v>3111</v>
      </c>
      <c r="C696" s="1" t="s">
        <v>3910</v>
      </c>
      <c r="D696" s="1" t="s">
        <v>474</v>
      </c>
      <c r="E696" s="1" t="s">
        <v>2593</v>
      </c>
      <c r="F696" s="1" t="s">
        <v>2380</v>
      </c>
      <c r="H696" s="1" t="s">
        <v>3112</v>
      </c>
      <c r="I696" s="1" t="s">
        <v>1215</v>
      </c>
      <c r="J696" s="1" t="s">
        <v>3792</v>
      </c>
    </row>
    <row r="697">
      <c r="B697" s="1" t="s">
        <v>808</v>
      </c>
      <c r="C697" s="1" t="s">
        <v>3603</v>
      </c>
      <c r="D697" s="1" t="s">
        <v>1897</v>
      </c>
      <c r="E697" s="1" t="s">
        <v>923</v>
      </c>
      <c r="F697" s="1" t="s">
        <v>2382</v>
      </c>
      <c r="H697" s="1" t="s">
        <v>491</v>
      </c>
      <c r="I697" s="1" t="s">
        <v>1391</v>
      </c>
      <c r="J697" s="1" t="s">
        <v>747</v>
      </c>
    </row>
    <row r="698">
      <c r="B698" s="1" t="s">
        <v>2160</v>
      </c>
      <c r="C698" s="1" t="s">
        <v>1885</v>
      </c>
      <c r="D698" s="1" t="s">
        <v>3118</v>
      </c>
      <c r="E698" s="1" t="s">
        <v>1509</v>
      </c>
      <c r="F698" s="1" t="s">
        <v>1223</v>
      </c>
      <c r="H698" s="1" t="s">
        <v>1923</v>
      </c>
      <c r="I698" s="1" t="s">
        <v>1840</v>
      </c>
      <c r="J698" s="1" t="s">
        <v>2277</v>
      </c>
    </row>
    <row r="699">
      <c r="B699" s="1" t="s">
        <v>949</v>
      </c>
      <c r="C699" s="1" t="s">
        <v>3913</v>
      </c>
      <c r="D699" s="1" t="s">
        <v>481</v>
      </c>
      <c r="E699" s="1" t="s">
        <v>2599</v>
      </c>
      <c r="F699" s="1" t="s">
        <v>2392</v>
      </c>
      <c r="H699" s="1" t="s">
        <v>3119</v>
      </c>
      <c r="I699" s="1" t="s">
        <v>2496</v>
      </c>
      <c r="J699" s="1" t="s">
        <v>3804</v>
      </c>
    </row>
    <row r="700">
      <c r="B700" s="1" t="s">
        <v>2194</v>
      </c>
      <c r="C700" s="1" t="s">
        <v>3918</v>
      </c>
      <c r="D700" s="1" t="s">
        <v>2667</v>
      </c>
      <c r="E700" s="1" t="s">
        <v>1547</v>
      </c>
      <c r="F700" s="1" t="s">
        <v>1618</v>
      </c>
      <c r="H700" s="1" t="s">
        <v>3123</v>
      </c>
      <c r="I700" s="1" t="s">
        <v>2492</v>
      </c>
      <c r="J700" s="1" t="s">
        <v>5719</v>
      </c>
    </row>
    <row r="701">
      <c r="B701" s="1" t="s">
        <v>2484</v>
      </c>
      <c r="C701" s="1" t="s">
        <v>3921</v>
      </c>
      <c r="D701" s="1" t="s">
        <v>1924</v>
      </c>
      <c r="E701" s="1" t="s">
        <v>697</v>
      </c>
      <c r="F701" s="1" t="s">
        <v>398</v>
      </c>
      <c r="H701" s="1" t="s">
        <v>3125</v>
      </c>
      <c r="I701" s="1" t="s">
        <v>6361</v>
      </c>
      <c r="J701" s="1" t="s">
        <v>2288</v>
      </c>
    </row>
    <row r="702">
      <c r="B702" s="1" t="s">
        <v>3127</v>
      </c>
      <c r="C702" s="1" t="s">
        <v>3924</v>
      </c>
      <c r="D702" s="1" t="s">
        <v>3130</v>
      </c>
      <c r="E702" s="1" t="s">
        <v>582</v>
      </c>
      <c r="F702" s="1" t="s">
        <v>2427</v>
      </c>
      <c r="H702" s="1" t="s">
        <v>1933</v>
      </c>
      <c r="I702" s="1" t="s">
        <v>6362</v>
      </c>
      <c r="J702" s="1" t="s">
        <v>3813</v>
      </c>
    </row>
    <row r="703">
      <c r="B703" s="1" t="s">
        <v>2164</v>
      </c>
      <c r="C703" s="1" t="s">
        <v>3927</v>
      </c>
      <c r="D703" s="1" t="s">
        <v>2833</v>
      </c>
      <c r="E703" s="1" t="s">
        <v>546</v>
      </c>
      <c r="F703" s="1" t="s">
        <v>315</v>
      </c>
      <c r="H703" s="1" t="s">
        <v>597</v>
      </c>
      <c r="I703" s="1" t="s">
        <v>2504</v>
      </c>
      <c r="J703" s="1" t="s">
        <v>649</v>
      </c>
    </row>
    <row r="704">
      <c r="B704" s="1" t="s">
        <v>2199</v>
      </c>
      <c r="C704" s="1" t="s">
        <v>3931</v>
      </c>
      <c r="D704" s="1" t="s">
        <v>3135</v>
      </c>
      <c r="E704" s="1" t="s">
        <v>689</v>
      </c>
      <c r="F704" s="1" t="s">
        <v>3015</v>
      </c>
      <c r="H704" s="1" t="s">
        <v>475</v>
      </c>
      <c r="I704" s="1" t="s">
        <v>6353</v>
      </c>
      <c r="J704" s="1" t="s">
        <v>2292</v>
      </c>
    </row>
    <row r="705">
      <c r="B705" s="1" t="s">
        <v>3136</v>
      </c>
      <c r="C705" s="1" t="s">
        <v>3941</v>
      </c>
      <c r="D705" s="1" t="s">
        <v>2672</v>
      </c>
      <c r="E705" s="1" t="s">
        <v>6372</v>
      </c>
      <c r="F705" s="1" t="s">
        <v>3030</v>
      </c>
      <c r="H705" s="1" t="s">
        <v>3137</v>
      </c>
      <c r="I705" s="1" t="s">
        <v>831</v>
      </c>
      <c r="J705" s="1" t="s">
        <v>665</v>
      </c>
    </row>
    <row r="706">
      <c r="B706" s="1" t="s">
        <v>2173</v>
      </c>
      <c r="C706" s="1" t="s">
        <v>784</v>
      </c>
      <c r="D706" s="1" t="s">
        <v>489</v>
      </c>
      <c r="E706" s="1" t="s">
        <v>5998</v>
      </c>
      <c r="F706" s="1" t="s">
        <v>3034</v>
      </c>
      <c r="H706" s="1" t="s">
        <v>3140</v>
      </c>
      <c r="I706" s="1" t="s">
        <v>2509</v>
      </c>
      <c r="J706" s="1" t="s">
        <v>427</v>
      </c>
    </row>
    <row r="707">
      <c r="B707" s="1" t="s">
        <v>3142</v>
      </c>
      <c r="C707" s="1" t="s">
        <v>2954</v>
      </c>
      <c r="D707" s="1" t="s">
        <v>3146</v>
      </c>
      <c r="E707" s="1" t="s">
        <v>500</v>
      </c>
      <c r="F707" s="1" t="s">
        <v>2407</v>
      </c>
      <c r="H707" s="1" t="s">
        <v>3143</v>
      </c>
      <c r="I707" s="1" t="s">
        <v>6364</v>
      </c>
      <c r="J707" s="1" t="s">
        <v>715</v>
      </c>
    </row>
    <row r="708">
      <c r="B708" s="1" t="s">
        <v>2177</v>
      </c>
      <c r="C708" s="1" t="s">
        <v>3949</v>
      </c>
      <c r="D708" s="1" t="s">
        <v>1931</v>
      </c>
      <c r="E708" s="1" t="s">
        <v>6327</v>
      </c>
      <c r="F708" s="1" t="s">
        <v>5471</v>
      </c>
      <c r="H708" s="1" t="s">
        <v>3147</v>
      </c>
      <c r="I708" s="1" t="s">
        <v>2233</v>
      </c>
      <c r="J708" s="1" t="s">
        <v>3304</v>
      </c>
    </row>
    <row r="709">
      <c r="B709" s="1" t="s">
        <v>2183</v>
      </c>
      <c r="C709" s="1" t="s">
        <v>3953</v>
      </c>
      <c r="D709" s="1" t="s">
        <v>3152</v>
      </c>
      <c r="E709" s="1" t="s">
        <v>2866</v>
      </c>
      <c r="F709" s="1" t="s">
        <v>1634</v>
      </c>
      <c r="H709" s="1" t="s">
        <v>3149</v>
      </c>
      <c r="I709" s="1" t="s">
        <v>853</v>
      </c>
      <c r="J709" s="1" t="s">
        <v>2302</v>
      </c>
    </row>
    <row r="710">
      <c r="B710" s="1" t="s">
        <v>517</v>
      </c>
      <c r="C710" s="1" t="s">
        <v>3960</v>
      </c>
      <c r="D710" s="1" t="s">
        <v>496</v>
      </c>
      <c r="E710" s="1" t="s">
        <v>1320</v>
      </c>
      <c r="F710" s="1" t="s">
        <v>1640</v>
      </c>
      <c r="H710" s="1" t="s">
        <v>3153</v>
      </c>
      <c r="I710" s="1" t="s">
        <v>1227</v>
      </c>
      <c r="J710" s="1" t="s">
        <v>2295</v>
      </c>
    </row>
    <row r="711">
      <c r="B711" s="1" t="s">
        <v>2188</v>
      </c>
      <c r="C711" s="1" t="s">
        <v>3328</v>
      </c>
      <c r="D711" s="1" t="s">
        <v>1918</v>
      </c>
      <c r="E711" s="1" t="s">
        <v>2620</v>
      </c>
      <c r="F711" s="1" t="s">
        <v>1649</v>
      </c>
      <c r="H711" s="1" t="s">
        <v>1236</v>
      </c>
      <c r="I711" s="1" t="s">
        <v>2528</v>
      </c>
      <c r="J711" s="1" t="s">
        <v>674</v>
      </c>
    </row>
    <row r="712">
      <c r="B712" s="1" t="s">
        <v>2186</v>
      </c>
      <c r="C712" s="1" t="s">
        <v>3965</v>
      </c>
      <c r="D712" s="1" t="s">
        <v>1936</v>
      </c>
      <c r="E712" s="1" t="s">
        <v>1535</v>
      </c>
      <c r="F712" s="1" t="s">
        <v>332</v>
      </c>
      <c r="H712" s="1" t="s">
        <v>656</v>
      </c>
      <c r="I712" s="1" t="s">
        <v>1476</v>
      </c>
      <c r="J712" s="1" t="s">
        <v>3311</v>
      </c>
    </row>
    <row r="713">
      <c r="B713" s="1" t="s">
        <v>971</v>
      </c>
      <c r="C713" s="1" t="s">
        <v>1442</v>
      </c>
      <c r="D713" s="1" t="s">
        <v>1941</v>
      </c>
      <c r="E713" s="1" t="s">
        <v>2507</v>
      </c>
      <c r="F713" s="1" t="s">
        <v>634</v>
      </c>
      <c r="H713" s="1" t="s">
        <v>106</v>
      </c>
      <c r="I713" s="1" t="s">
        <v>2525</v>
      </c>
      <c r="J713" s="1" t="s">
        <v>816</v>
      </c>
    </row>
    <row r="714">
      <c r="B714" s="1" t="s">
        <v>2195</v>
      </c>
      <c r="C714" s="1" t="s">
        <v>3968</v>
      </c>
      <c r="D714" s="1" t="s">
        <v>2474</v>
      </c>
      <c r="E714" s="1" t="s">
        <v>1964</v>
      </c>
      <c r="F714" s="1" t="s">
        <v>641</v>
      </c>
      <c r="H714" s="1" t="s">
        <v>3164</v>
      </c>
      <c r="I714" s="1" t="s">
        <v>6356</v>
      </c>
      <c r="J714" s="1" t="s">
        <v>3315</v>
      </c>
    </row>
    <row r="715">
      <c r="B715" s="1" t="s">
        <v>3167</v>
      </c>
      <c r="C715" s="1" t="s">
        <v>3972</v>
      </c>
      <c r="D715" s="1" t="s">
        <v>1690</v>
      </c>
      <c r="E715" s="1" t="s">
        <v>1543</v>
      </c>
      <c r="F715" s="1" t="s">
        <v>2802</v>
      </c>
      <c r="H715" s="1" t="s">
        <v>203</v>
      </c>
      <c r="I715" s="1" t="s">
        <v>1416</v>
      </c>
      <c r="J715" s="1" t="s">
        <v>3325</v>
      </c>
    </row>
    <row r="716">
      <c r="B716" s="1" t="s">
        <v>1939</v>
      </c>
      <c r="C716" s="1" t="s">
        <v>3765</v>
      </c>
      <c r="D716" s="1" t="s">
        <v>1928</v>
      </c>
      <c r="E716" s="1" t="s">
        <v>6373</v>
      </c>
      <c r="F716" s="1" t="s">
        <v>1614</v>
      </c>
      <c r="H716" s="1" t="s">
        <v>1254</v>
      </c>
      <c r="I716" s="1" t="s">
        <v>2782</v>
      </c>
      <c r="J716" s="1" t="s">
        <v>3847</v>
      </c>
    </row>
    <row r="717">
      <c r="B717" s="1" t="s">
        <v>2219</v>
      </c>
      <c r="C717" s="1" t="s">
        <v>3080</v>
      </c>
      <c r="D717" s="1" t="s">
        <v>1949</v>
      </c>
      <c r="E717" s="1" t="s">
        <v>6374</v>
      </c>
      <c r="F717" s="1" t="s">
        <v>5935</v>
      </c>
      <c r="H717" s="1" t="s">
        <v>3172</v>
      </c>
      <c r="I717" s="1" t="s">
        <v>1482</v>
      </c>
      <c r="J717" s="1" t="s">
        <v>2312</v>
      </c>
    </row>
    <row r="718">
      <c r="B718" s="1" t="s">
        <v>3174</v>
      </c>
      <c r="C718" s="1" t="s">
        <v>1226</v>
      </c>
      <c r="D718" s="1" t="s">
        <v>168</v>
      </c>
      <c r="E718" s="1" t="s">
        <v>2889</v>
      </c>
      <c r="F718" s="1" t="s">
        <v>418</v>
      </c>
      <c r="H718" s="1" t="s">
        <v>3175</v>
      </c>
      <c r="I718" s="1" t="s">
        <v>1434</v>
      </c>
      <c r="J718" s="1" t="s">
        <v>3560</v>
      </c>
    </row>
    <row r="719">
      <c r="B719" s="1" t="s">
        <v>2209</v>
      </c>
      <c r="C719" s="1" t="s">
        <v>3977</v>
      </c>
      <c r="D719" s="1" t="s">
        <v>2699</v>
      </c>
      <c r="E719" s="1" t="s">
        <v>6375</v>
      </c>
      <c r="F719" s="1" t="s">
        <v>2808</v>
      </c>
      <c r="H719" s="1" t="s">
        <v>1273</v>
      </c>
      <c r="I719" s="1" t="s">
        <v>6358</v>
      </c>
      <c r="J719" s="1" t="s">
        <v>935</v>
      </c>
    </row>
    <row r="720">
      <c r="B720" s="1" t="s">
        <v>2216</v>
      </c>
      <c r="C720" s="1" t="s">
        <v>3978</v>
      </c>
      <c r="D720" s="1" t="s">
        <v>3181</v>
      </c>
      <c r="E720" s="1" t="s">
        <v>1562</v>
      </c>
      <c r="F720" s="1" t="s">
        <v>1022</v>
      </c>
      <c r="H720" s="1" t="s">
        <v>114</v>
      </c>
      <c r="I720" s="1" t="s">
        <v>1490</v>
      </c>
      <c r="J720" s="1">
        <v>20.0</v>
      </c>
    </row>
    <row r="721">
      <c r="B721" s="1" t="s">
        <v>628</v>
      </c>
      <c r="C721" s="1" t="s">
        <v>3981</v>
      </c>
      <c r="D721" s="1" t="s">
        <v>3185</v>
      </c>
      <c r="E721" s="1" t="s">
        <v>6376</v>
      </c>
      <c r="F721" s="1" t="s">
        <v>6377</v>
      </c>
      <c r="H721" s="1" t="s">
        <v>1696</v>
      </c>
      <c r="I721" s="1" t="s">
        <v>2547</v>
      </c>
      <c r="J721" s="1" t="s">
        <v>2327</v>
      </c>
    </row>
    <row r="722">
      <c r="B722" s="1" t="s">
        <v>2228</v>
      </c>
      <c r="C722" s="1" t="s">
        <v>3189</v>
      </c>
      <c r="D722" s="1" t="s">
        <v>2703</v>
      </c>
      <c r="E722" s="1" t="s">
        <v>2318</v>
      </c>
      <c r="F722" s="1" t="s">
        <v>325</v>
      </c>
      <c r="H722" s="1" t="s">
        <v>3186</v>
      </c>
      <c r="I722" s="1" t="s">
        <v>361</v>
      </c>
      <c r="J722" s="1" t="s">
        <v>3377</v>
      </c>
    </row>
    <row r="723">
      <c r="B723" s="1" t="s">
        <v>3188</v>
      </c>
      <c r="C723" s="1" t="s">
        <v>3992</v>
      </c>
      <c r="D723" s="1" t="s">
        <v>405</v>
      </c>
      <c r="E723" s="1" t="s">
        <v>1330</v>
      </c>
      <c r="F723" s="1" t="s">
        <v>662</v>
      </c>
      <c r="H723" s="1" t="s">
        <v>3189</v>
      </c>
      <c r="I723" s="1" t="s">
        <v>1446</v>
      </c>
      <c r="J723" s="1" t="s">
        <v>678</v>
      </c>
    </row>
    <row r="724">
      <c r="B724" s="1" t="s">
        <v>2223</v>
      </c>
      <c r="C724" s="1" t="s">
        <v>3994</v>
      </c>
      <c r="D724" s="1" t="s">
        <v>416</v>
      </c>
      <c r="E724" s="1" t="s">
        <v>2645</v>
      </c>
      <c r="F724" s="1" t="s">
        <v>672</v>
      </c>
      <c r="H724" s="1" t="s">
        <v>623</v>
      </c>
      <c r="I724" s="1" t="s">
        <v>1480</v>
      </c>
      <c r="J724" s="1" t="s">
        <v>685</v>
      </c>
    </row>
    <row r="725">
      <c r="B725" s="1" t="s">
        <v>3196</v>
      </c>
      <c r="C725" s="1" t="s">
        <v>3998</v>
      </c>
      <c r="D725" s="1" t="s">
        <v>2717</v>
      </c>
      <c r="E725" s="1" t="s">
        <v>2322</v>
      </c>
      <c r="F725" s="1" t="s">
        <v>2452</v>
      </c>
      <c r="H725" s="1" t="s">
        <v>1292</v>
      </c>
      <c r="I725" s="1" t="s">
        <v>1497</v>
      </c>
      <c r="J725" s="1" t="s">
        <v>3395</v>
      </c>
    </row>
    <row r="726">
      <c r="B726" s="1" t="s">
        <v>2226</v>
      </c>
      <c r="C726" s="1" t="s">
        <v>2706</v>
      </c>
      <c r="D726" s="1" t="s">
        <v>423</v>
      </c>
      <c r="E726" s="1" t="s">
        <v>2909</v>
      </c>
      <c r="F726" s="1" t="s">
        <v>2828</v>
      </c>
      <c r="H726" s="1" t="s">
        <v>3199</v>
      </c>
      <c r="I726" s="1" t="s">
        <v>1505</v>
      </c>
      <c r="J726" s="1" t="s">
        <v>2346</v>
      </c>
    </row>
    <row r="727">
      <c r="B727" s="1" t="s">
        <v>2230</v>
      </c>
      <c r="C727" s="1" t="s">
        <v>1476</v>
      </c>
      <c r="D727" s="1" t="s">
        <v>1973</v>
      </c>
      <c r="E727" s="1" t="s">
        <v>2328</v>
      </c>
      <c r="F727" s="1" t="s">
        <v>2464</v>
      </c>
      <c r="H727" s="1" t="s">
        <v>1250</v>
      </c>
      <c r="I727" s="1" t="s">
        <v>2267</v>
      </c>
      <c r="J727" s="1" t="s">
        <v>2339</v>
      </c>
    </row>
    <row r="728">
      <c r="B728" s="1" t="s">
        <v>636</v>
      </c>
      <c r="C728" s="1" t="s">
        <v>2567</v>
      </c>
      <c r="D728" s="1" t="s">
        <v>1978</v>
      </c>
      <c r="E728" s="1" t="s">
        <v>6378</v>
      </c>
      <c r="F728" s="1" t="s">
        <v>1693</v>
      </c>
      <c r="H728" s="1" t="s">
        <v>3206</v>
      </c>
      <c r="I728" s="1" t="s">
        <v>1487</v>
      </c>
      <c r="J728" s="1" t="s">
        <v>2344</v>
      </c>
    </row>
    <row r="729">
      <c r="B729" s="1" t="s">
        <v>985</v>
      </c>
      <c r="C729" s="1" t="s">
        <v>4015</v>
      </c>
      <c r="D729" s="1" t="s">
        <v>3212</v>
      </c>
      <c r="E729" s="1" t="s">
        <v>2661</v>
      </c>
      <c r="F729" s="1" t="s">
        <v>48</v>
      </c>
      <c r="H729" s="1" t="s">
        <v>3209</v>
      </c>
      <c r="I729" s="1" t="s">
        <v>2276</v>
      </c>
      <c r="J729" s="1" t="s">
        <v>3984</v>
      </c>
    </row>
    <row r="730">
      <c r="B730" s="1" t="s">
        <v>2243</v>
      </c>
      <c r="C730" s="1" t="s">
        <v>2281</v>
      </c>
      <c r="D730" s="1" t="s">
        <v>2412</v>
      </c>
      <c r="E730" s="1" t="s">
        <v>6379</v>
      </c>
      <c r="F730" s="1" t="s">
        <v>1706</v>
      </c>
      <c r="H730" s="1" t="s">
        <v>2689</v>
      </c>
      <c r="I730" s="1" t="s">
        <v>6369</v>
      </c>
      <c r="J730" s="1" t="s">
        <v>2357</v>
      </c>
    </row>
    <row r="731">
      <c r="B731" s="1" t="s">
        <v>3215</v>
      </c>
      <c r="C731" s="1" t="s">
        <v>3219</v>
      </c>
      <c r="D731" s="1" t="s">
        <v>430</v>
      </c>
      <c r="E731" s="1" t="s">
        <v>2666</v>
      </c>
      <c r="F731" s="1" t="s">
        <v>3665</v>
      </c>
      <c r="H731" s="1" t="s">
        <v>3216</v>
      </c>
      <c r="I731" s="1" t="s">
        <v>4112</v>
      </c>
      <c r="J731" s="1" t="s">
        <v>2361</v>
      </c>
    </row>
    <row r="732">
      <c r="B732" s="1" t="s">
        <v>3218</v>
      </c>
      <c r="C732" s="1" t="s">
        <v>4020</v>
      </c>
      <c r="D732" s="1" t="s">
        <v>1984</v>
      </c>
      <c r="E732" s="1" t="s">
        <v>2657</v>
      </c>
      <c r="F732" s="1" t="s">
        <v>2478</v>
      </c>
      <c r="H732" s="1" t="s">
        <v>3219</v>
      </c>
      <c r="I732" s="1" t="s">
        <v>6370</v>
      </c>
      <c r="J732" s="1" t="s">
        <v>3913</v>
      </c>
    </row>
    <row r="733">
      <c r="B733" s="1" t="s">
        <v>643</v>
      </c>
      <c r="C733" s="1" t="s">
        <v>731</v>
      </c>
      <c r="D733" s="1" t="s">
        <v>503</v>
      </c>
      <c r="E733" s="1" t="s">
        <v>221</v>
      </c>
      <c r="F733" s="1" t="s">
        <v>56</v>
      </c>
      <c r="H733" s="1" t="s">
        <v>1927</v>
      </c>
      <c r="I733" s="1" t="s">
        <v>1502</v>
      </c>
      <c r="J733" s="1" t="s">
        <v>2120</v>
      </c>
    </row>
    <row r="734">
      <c r="B734" s="1" t="s">
        <v>648</v>
      </c>
      <c r="C734" s="1" t="s">
        <v>4027</v>
      </c>
      <c r="D734" s="1" t="s">
        <v>2532</v>
      </c>
      <c r="E734" s="1" t="s">
        <v>1243</v>
      </c>
      <c r="F734" s="1" t="s">
        <v>343</v>
      </c>
      <c r="H734" s="1" t="s">
        <v>3223</v>
      </c>
      <c r="I734" s="1" t="s">
        <v>2593</v>
      </c>
      <c r="J734" s="1" t="s">
        <v>3001</v>
      </c>
    </row>
    <row r="735">
      <c r="B735" s="1" t="s">
        <v>2253</v>
      </c>
      <c r="C735" s="1" t="s">
        <v>2047</v>
      </c>
      <c r="D735" s="1" t="s">
        <v>1986</v>
      </c>
      <c r="E735" s="1" t="s">
        <v>2920</v>
      </c>
      <c r="F735" s="1" t="s">
        <v>1722</v>
      </c>
      <c r="H735" s="1" t="s">
        <v>3227</v>
      </c>
      <c r="I735" s="1" t="s">
        <v>1540</v>
      </c>
      <c r="J735" s="1" t="s">
        <v>3423</v>
      </c>
    </row>
    <row r="736">
      <c r="B736" s="1" t="s">
        <v>975</v>
      </c>
      <c r="C736" s="1" t="s">
        <v>4029</v>
      </c>
      <c r="D736" s="1" t="s">
        <v>2737</v>
      </c>
      <c r="E736" s="1" t="s">
        <v>2296</v>
      </c>
      <c r="F736" s="1" t="s">
        <v>5279</v>
      </c>
      <c r="H736" s="1" t="s">
        <v>3229</v>
      </c>
      <c r="I736" s="1" t="s">
        <v>923</v>
      </c>
      <c r="J736" s="1" t="s">
        <v>353</v>
      </c>
    </row>
    <row r="737">
      <c r="B737" s="1" t="s">
        <v>2257</v>
      </c>
      <c r="C737" s="1" t="s">
        <v>2145</v>
      </c>
      <c r="D737" s="1" t="s">
        <v>2740</v>
      </c>
      <c r="E737" s="1" t="s">
        <v>382</v>
      </c>
      <c r="F737" s="1" t="s">
        <v>1733</v>
      </c>
      <c r="H737" s="1" t="s">
        <v>3231</v>
      </c>
      <c r="I737" s="1" t="s">
        <v>1509</v>
      </c>
      <c r="J737" s="1" t="s">
        <v>3430</v>
      </c>
    </row>
    <row r="738">
      <c r="B738" s="1" t="s">
        <v>533</v>
      </c>
      <c r="C738" s="1" t="s">
        <v>1549</v>
      </c>
      <c r="D738" s="1" t="s">
        <v>2743</v>
      </c>
      <c r="E738" s="1" t="s">
        <v>2336</v>
      </c>
      <c r="F738" s="1" t="s">
        <v>1742</v>
      </c>
      <c r="H738" s="1" t="s">
        <v>2902</v>
      </c>
      <c r="I738" s="1" t="s">
        <v>2599</v>
      </c>
      <c r="J738" s="1" t="s">
        <v>2351</v>
      </c>
    </row>
    <row r="739">
      <c r="B739" s="1" t="s">
        <v>2045</v>
      </c>
      <c r="C739" s="1" t="s">
        <v>1530</v>
      </c>
      <c r="D739" s="1" t="s">
        <v>1963</v>
      </c>
      <c r="E739" s="1" t="s">
        <v>379</v>
      </c>
      <c r="F739" s="1" t="s">
        <v>1697</v>
      </c>
      <c r="H739" s="1" t="s">
        <v>3237</v>
      </c>
      <c r="I739" s="1" t="s">
        <v>1547</v>
      </c>
      <c r="J739" s="1" t="s">
        <v>788</v>
      </c>
    </row>
    <row r="740">
      <c r="B740" s="1" t="s">
        <v>1002</v>
      </c>
      <c r="C740" s="1" t="s">
        <v>4036</v>
      </c>
      <c r="D740" s="1" t="s">
        <v>3243</v>
      </c>
      <c r="E740" s="1" t="s">
        <v>2942</v>
      </c>
      <c r="F740" s="1" t="s">
        <v>2864</v>
      </c>
      <c r="H740" s="1" t="s">
        <v>3241</v>
      </c>
      <c r="I740" s="1" t="s">
        <v>697</v>
      </c>
      <c r="J740" s="1" t="s">
        <v>6380</v>
      </c>
    </row>
    <row r="741">
      <c r="B741" s="1" t="s">
        <v>2264</v>
      </c>
      <c r="C741" s="1" t="s">
        <v>4041</v>
      </c>
      <c r="D741" s="1" t="s">
        <v>1364</v>
      </c>
      <c r="E741" s="1" t="s">
        <v>2683</v>
      </c>
      <c r="F741" s="1" t="s">
        <v>742</v>
      </c>
      <c r="H741" s="1" t="s">
        <v>781</v>
      </c>
      <c r="I741" s="1" t="s">
        <v>582</v>
      </c>
      <c r="J741" s="1" t="s">
        <v>2371</v>
      </c>
    </row>
    <row r="742">
      <c r="B742" s="1" t="s">
        <v>2266</v>
      </c>
      <c r="C742" s="1" t="s">
        <v>2168</v>
      </c>
      <c r="D742" s="1" t="s">
        <v>1989</v>
      </c>
      <c r="E742" s="1" t="s">
        <v>1580</v>
      </c>
      <c r="F742" s="1" t="s">
        <v>691</v>
      </c>
      <c r="H742" s="1" t="s">
        <v>3247</v>
      </c>
      <c r="I742" s="1" t="s">
        <v>546</v>
      </c>
      <c r="J742" s="1" t="s">
        <v>2365</v>
      </c>
    </row>
    <row r="743">
      <c r="B743" s="1" t="s">
        <v>1007</v>
      </c>
      <c r="C743" s="1" t="s">
        <v>4044</v>
      </c>
      <c r="D743" s="1" t="s">
        <v>1274</v>
      </c>
      <c r="E743" s="1" t="s">
        <v>2956</v>
      </c>
      <c r="F743" s="1" t="s">
        <v>1710</v>
      </c>
      <c r="H743" s="1" t="s">
        <v>758</v>
      </c>
      <c r="I743" s="1" t="s">
        <v>689</v>
      </c>
      <c r="J743" s="1" t="s">
        <v>2733</v>
      </c>
    </row>
    <row r="744">
      <c r="B744" s="1" t="s">
        <v>3011</v>
      </c>
      <c r="C744" s="1" t="s">
        <v>2935</v>
      </c>
      <c r="D744" s="1" t="s">
        <v>3253</v>
      </c>
      <c r="E744" s="1" t="s">
        <v>1601</v>
      </c>
      <c r="F744" s="1" t="s">
        <v>6381</v>
      </c>
      <c r="H744" s="1" t="s">
        <v>1342</v>
      </c>
      <c r="I744" s="1" t="s">
        <v>6372</v>
      </c>
      <c r="J744" s="1" t="s">
        <v>2375</v>
      </c>
    </row>
    <row r="745">
      <c r="B745" s="1" t="s">
        <v>1014</v>
      </c>
      <c r="C745" s="1" t="s">
        <v>1468</v>
      </c>
      <c r="D745" s="1" t="s">
        <v>3256</v>
      </c>
      <c r="E745" s="1" t="s">
        <v>6382</v>
      </c>
      <c r="F745" s="1" t="s">
        <v>1714</v>
      </c>
      <c r="H745" s="1" t="s">
        <v>2550</v>
      </c>
      <c r="I745" s="1" t="s">
        <v>5998</v>
      </c>
      <c r="J745" s="1" t="s">
        <v>2366</v>
      </c>
    </row>
    <row r="746">
      <c r="B746" s="1" t="s">
        <v>1024</v>
      </c>
      <c r="C746" s="1" t="s">
        <v>3409</v>
      </c>
      <c r="D746" s="1" t="s">
        <v>1971</v>
      </c>
      <c r="E746" s="1" t="s">
        <v>2706</v>
      </c>
      <c r="F746" s="1" t="s">
        <v>1718</v>
      </c>
      <c r="H746" s="1" t="s">
        <v>3257</v>
      </c>
      <c r="I746" s="1" t="s">
        <v>500</v>
      </c>
      <c r="J746" s="1" t="s">
        <v>2323</v>
      </c>
    </row>
    <row r="747">
      <c r="B747" s="1" t="s">
        <v>3259</v>
      </c>
      <c r="C747" s="1" t="s">
        <v>4007</v>
      </c>
      <c r="D747" s="1" t="s">
        <v>2765</v>
      </c>
      <c r="E747" s="1" t="s">
        <v>1608</v>
      </c>
      <c r="F747" s="1" t="s">
        <v>2882</v>
      </c>
      <c r="H747" s="1" t="s">
        <v>3260</v>
      </c>
      <c r="I747" s="1" t="s">
        <v>6327</v>
      </c>
      <c r="J747" s="1" t="s">
        <v>2373</v>
      </c>
    </row>
    <row r="748">
      <c r="B748" s="1" t="s">
        <v>1029</v>
      </c>
      <c r="C748" s="1" t="s">
        <v>4052</v>
      </c>
      <c r="D748" s="1" t="s">
        <v>1995</v>
      </c>
      <c r="E748" s="1" t="s">
        <v>6366</v>
      </c>
      <c r="F748" s="1" t="s">
        <v>699</v>
      </c>
      <c r="H748" s="1" t="s">
        <v>3264</v>
      </c>
      <c r="I748" s="1" t="s">
        <v>2866</v>
      </c>
      <c r="J748" s="1" t="s">
        <v>573</v>
      </c>
    </row>
    <row r="749">
      <c r="B749" s="1" t="s">
        <v>747</v>
      </c>
      <c r="C749" s="1" t="s">
        <v>4054</v>
      </c>
      <c r="D749" s="1" t="s">
        <v>3271</v>
      </c>
      <c r="E749" s="1" t="s">
        <v>1613</v>
      </c>
      <c r="F749" s="1" t="s">
        <v>1199</v>
      </c>
      <c r="H749" s="1" t="s">
        <v>3268</v>
      </c>
      <c r="I749" s="1" t="s">
        <v>1320</v>
      </c>
      <c r="J749" s="1" t="s">
        <v>3989</v>
      </c>
    </row>
    <row r="750">
      <c r="B750" s="1" t="s">
        <v>2277</v>
      </c>
      <c r="C750" s="1" t="s">
        <v>2828</v>
      </c>
      <c r="D750" s="1">
        <v>1984.0</v>
      </c>
      <c r="E750" s="1" t="s">
        <v>1739</v>
      </c>
      <c r="F750" s="1" t="s">
        <v>6383</v>
      </c>
      <c r="H750" s="1" t="s">
        <v>3272</v>
      </c>
      <c r="I750" s="1" t="s">
        <v>2620</v>
      </c>
      <c r="J750" s="1" t="s">
        <v>83</v>
      </c>
    </row>
    <row r="751">
      <c r="B751" s="1" t="s">
        <v>655</v>
      </c>
      <c r="C751" s="1" t="s">
        <v>1368</v>
      </c>
      <c r="D751" s="1" t="s">
        <v>3277</v>
      </c>
      <c r="E751" s="1" t="s">
        <v>6367</v>
      </c>
      <c r="F751" s="1" t="s">
        <v>2899</v>
      </c>
      <c r="H751" s="1" t="s">
        <v>3275</v>
      </c>
      <c r="I751" s="1" t="s">
        <v>2507</v>
      </c>
      <c r="J751" s="1" t="s">
        <v>3458</v>
      </c>
    </row>
    <row r="752">
      <c r="B752" s="1" t="s">
        <v>541</v>
      </c>
      <c r="C752" s="1" t="s">
        <v>1924</v>
      </c>
      <c r="D752" s="1" t="s">
        <v>460</v>
      </c>
      <c r="E752" s="1" t="s">
        <v>6368</v>
      </c>
      <c r="F752" s="1" t="s">
        <v>6109</v>
      </c>
      <c r="H752" s="1" t="s">
        <v>1352</v>
      </c>
      <c r="I752" s="1" t="s">
        <v>1964</v>
      </c>
      <c r="J752" s="1" t="s">
        <v>4004</v>
      </c>
    </row>
    <row r="753">
      <c r="B753" s="1" t="s">
        <v>649</v>
      </c>
      <c r="C753" s="1" t="s">
        <v>1561</v>
      </c>
      <c r="D753" s="1" t="s">
        <v>1981</v>
      </c>
      <c r="E753" s="1" t="s">
        <v>1825</v>
      </c>
      <c r="F753" s="1" t="s">
        <v>2904</v>
      </c>
      <c r="H753" s="1" t="s">
        <v>3280</v>
      </c>
      <c r="I753" s="1" t="s">
        <v>1543</v>
      </c>
      <c r="J753" s="1" t="s">
        <v>2383</v>
      </c>
    </row>
    <row r="754">
      <c r="B754" s="1" t="s">
        <v>2292</v>
      </c>
      <c r="C754" s="1" t="s">
        <v>4057</v>
      </c>
      <c r="D754" s="1" t="s">
        <v>1985</v>
      </c>
      <c r="E754" s="1" t="s">
        <v>2368</v>
      </c>
      <c r="F754" s="1" t="s">
        <v>6384</v>
      </c>
      <c r="H754" s="1" t="s">
        <v>3283</v>
      </c>
      <c r="I754" s="1" t="s">
        <v>6373</v>
      </c>
      <c r="J754" s="1" t="s">
        <v>4138</v>
      </c>
    </row>
    <row r="755">
      <c r="B755" s="1" t="s">
        <v>665</v>
      </c>
      <c r="C755" s="1" t="s">
        <v>3206</v>
      </c>
      <c r="D755" s="1" t="s">
        <v>2777</v>
      </c>
      <c r="E755" s="1" t="s">
        <v>2722</v>
      </c>
      <c r="F755" s="1" t="s">
        <v>1773</v>
      </c>
      <c r="H755" s="1" t="s">
        <v>1356</v>
      </c>
      <c r="I755" s="1" t="s">
        <v>6374</v>
      </c>
      <c r="J755" s="1" t="s">
        <v>3463</v>
      </c>
    </row>
    <row r="756">
      <c r="B756" s="1" t="s">
        <v>427</v>
      </c>
      <c r="C756" s="1" t="s">
        <v>1525</v>
      </c>
      <c r="D756" s="1" t="s">
        <v>482</v>
      </c>
      <c r="E756" s="1" t="s">
        <v>2382</v>
      </c>
      <c r="F756" s="1" t="s">
        <v>2924</v>
      </c>
      <c r="H756" s="1" t="s">
        <v>3288</v>
      </c>
      <c r="I756" s="1" t="s">
        <v>2889</v>
      </c>
      <c r="J756" s="1" t="s">
        <v>4011</v>
      </c>
    </row>
    <row r="757">
      <c r="B757" s="1" t="s">
        <v>715</v>
      </c>
      <c r="C757" s="1" t="s">
        <v>4063</v>
      </c>
      <c r="D757" s="1" t="s">
        <v>510</v>
      </c>
      <c r="E757" s="1" t="s">
        <v>1223</v>
      </c>
      <c r="F757" s="1" t="s">
        <v>1748</v>
      </c>
      <c r="H757" s="1" t="s">
        <v>3292</v>
      </c>
      <c r="I757" s="1" t="s">
        <v>6375</v>
      </c>
      <c r="J757" s="1" t="s">
        <v>2385</v>
      </c>
    </row>
    <row r="758">
      <c r="B758" s="1" t="s">
        <v>2306</v>
      </c>
      <c r="C758" s="1" t="s">
        <v>4067</v>
      </c>
      <c r="D758" s="1" t="s">
        <v>1990</v>
      </c>
      <c r="E758" s="1" t="s">
        <v>2384</v>
      </c>
      <c r="F758" s="1" t="s">
        <v>432</v>
      </c>
      <c r="H758" s="1" t="s">
        <v>3295</v>
      </c>
      <c r="I758" s="1" t="s">
        <v>2458</v>
      </c>
      <c r="J758" s="1" t="s">
        <v>3092</v>
      </c>
    </row>
    <row r="759">
      <c r="B759" s="1" t="s">
        <v>3299</v>
      </c>
      <c r="C759" s="1" t="s">
        <v>1212</v>
      </c>
      <c r="D759" s="1" t="s">
        <v>1999</v>
      </c>
      <c r="E759" s="1" t="s">
        <v>1618</v>
      </c>
      <c r="F759" s="1" t="s">
        <v>3203</v>
      </c>
      <c r="H759" s="1" t="s">
        <v>3301</v>
      </c>
      <c r="I759" s="1" t="s">
        <v>6376</v>
      </c>
      <c r="J759" s="1" t="s">
        <v>658</v>
      </c>
    </row>
    <row r="760">
      <c r="B760" s="1" t="s">
        <v>3304</v>
      </c>
      <c r="C760" s="1" t="s">
        <v>4073</v>
      </c>
      <c r="D760" s="1" t="s">
        <v>1996</v>
      </c>
      <c r="E760" s="1" t="s">
        <v>2392</v>
      </c>
      <c r="F760" s="1">
        <v>2002.0</v>
      </c>
      <c r="H760" s="1" t="s">
        <v>1368</v>
      </c>
      <c r="I760" s="1" t="s">
        <v>2318</v>
      </c>
      <c r="J760" s="1" t="s">
        <v>1242</v>
      </c>
    </row>
    <row r="761">
      <c r="B761" s="1" t="s">
        <v>674</v>
      </c>
      <c r="C761" s="1" t="s">
        <v>3794</v>
      </c>
      <c r="D761" s="1" t="s">
        <v>2795</v>
      </c>
      <c r="E761" s="1" t="s">
        <v>398</v>
      </c>
      <c r="F761" s="1" t="s">
        <v>440</v>
      </c>
      <c r="H761" s="1" t="s">
        <v>3309</v>
      </c>
      <c r="I761" s="1" t="s">
        <v>1330</v>
      </c>
      <c r="J761" s="1" t="s">
        <v>2399</v>
      </c>
    </row>
    <row r="762">
      <c r="B762" s="1" t="s">
        <v>3311</v>
      </c>
      <c r="C762" s="1" t="s">
        <v>4077</v>
      </c>
      <c r="D762" s="1" t="s">
        <v>2003</v>
      </c>
      <c r="E762" s="1" t="s">
        <v>2427</v>
      </c>
      <c r="F762" s="1" t="s">
        <v>2940</v>
      </c>
      <c r="H762" s="1" t="s">
        <v>1867</v>
      </c>
      <c r="I762" s="1" t="s">
        <v>2645</v>
      </c>
      <c r="J762" s="1" t="s">
        <v>706</v>
      </c>
    </row>
    <row r="763">
      <c r="B763" s="1" t="s">
        <v>816</v>
      </c>
      <c r="C763" s="1" t="s">
        <v>4078</v>
      </c>
      <c r="D763" s="1" t="s">
        <v>2278</v>
      </c>
      <c r="E763" s="1" t="s">
        <v>3015</v>
      </c>
      <c r="F763" s="1" t="s">
        <v>1815</v>
      </c>
      <c r="H763" s="1" t="s">
        <v>1757</v>
      </c>
      <c r="I763" s="1" t="s">
        <v>2322</v>
      </c>
      <c r="J763" s="1" t="s">
        <v>2408</v>
      </c>
    </row>
    <row r="764">
      <c r="B764" s="1" t="s">
        <v>3315</v>
      </c>
      <c r="C764" s="1" t="s">
        <v>4080</v>
      </c>
      <c r="D764" s="1" t="s">
        <v>2799</v>
      </c>
      <c r="E764" s="1" t="s">
        <v>1636</v>
      </c>
      <c r="F764" s="1" t="s">
        <v>2955</v>
      </c>
      <c r="H764" s="1" t="s">
        <v>3316</v>
      </c>
      <c r="I764" s="1" t="s">
        <v>2328</v>
      </c>
      <c r="J764" s="1" t="s">
        <v>4171</v>
      </c>
    </row>
    <row r="765">
      <c r="B765" s="1" t="s">
        <v>2310</v>
      </c>
      <c r="C765" s="1" t="s">
        <v>1571</v>
      </c>
      <c r="D765" s="1" t="s">
        <v>438</v>
      </c>
      <c r="E765" s="1" t="s">
        <v>447</v>
      </c>
      <c r="F765" s="1" t="s">
        <v>2534</v>
      </c>
      <c r="H765" s="1" t="s">
        <v>988</v>
      </c>
      <c r="I765" s="1" t="s">
        <v>6378</v>
      </c>
      <c r="J765" s="1" t="s">
        <v>2624</v>
      </c>
    </row>
    <row r="766">
      <c r="B766" s="1" t="s">
        <v>1052</v>
      </c>
      <c r="C766" s="1" t="s">
        <v>2765</v>
      </c>
      <c r="D766" s="1" t="s">
        <v>468</v>
      </c>
      <c r="E766" s="1" t="s">
        <v>3034</v>
      </c>
      <c r="F766" s="1" t="s">
        <v>705</v>
      </c>
      <c r="H766" s="1" t="s">
        <v>3322</v>
      </c>
      <c r="I766" s="1" t="s">
        <v>2661</v>
      </c>
      <c r="J766" s="1" t="s">
        <v>713</v>
      </c>
    </row>
    <row r="767">
      <c r="B767" s="1" t="s">
        <v>3325</v>
      </c>
      <c r="C767" s="1" t="s">
        <v>4084</v>
      </c>
      <c r="D767" s="1" t="s">
        <v>3329</v>
      </c>
      <c r="E767" s="1" t="s">
        <v>2404</v>
      </c>
      <c r="F767" s="1" t="s">
        <v>452</v>
      </c>
      <c r="H767" s="1" t="s">
        <v>904</v>
      </c>
      <c r="I767" s="1" t="s">
        <v>6379</v>
      </c>
      <c r="J767" s="1" t="s">
        <v>2423</v>
      </c>
    </row>
    <row r="768">
      <c r="B768" s="1" t="s">
        <v>2312</v>
      </c>
      <c r="C768" s="1" t="s">
        <v>2016</v>
      </c>
      <c r="D768" s="1" t="s">
        <v>2009</v>
      </c>
      <c r="E768" s="1" t="s">
        <v>2754</v>
      </c>
      <c r="F768" s="1" t="s">
        <v>351</v>
      </c>
      <c r="H768" s="1" t="s">
        <v>3330</v>
      </c>
      <c r="I768" s="1" t="s">
        <v>2666</v>
      </c>
      <c r="J768" s="1" t="s">
        <v>6261</v>
      </c>
    </row>
    <row r="769">
      <c r="B769" s="1" t="s">
        <v>2316</v>
      </c>
      <c r="C769" s="1" t="s">
        <v>4089</v>
      </c>
      <c r="D769" s="1" t="s">
        <v>845</v>
      </c>
      <c r="E769" s="1" t="s">
        <v>5471</v>
      </c>
      <c r="F769" s="1" t="s">
        <v>459</v>
      </c>
      <c r="H769" s="1" t="s">
        <v>3333</v>
      </c>
      <c r="I769" s="1" t="s">
        <v>2657</v>
      </c>
      <c r="J769" s="1" t="s">
        <v>2414</v>
      </c>
    </row>
    <row r="770">
      <c r="B770" s="1" t="s">
        <v>3336</v>
      </c>
      <c r="C770" s="1" t="s">
        <v>3733</v>
      </c>
      <c r="D770" s="1" t="s">
        <v>2812</v>
      </c>
      <c r="E770" s="1" t="s">
        <v>1634</v>
      </c>
      <c r="F770" s="1" t="s">
        <v>2557</v>
      </c>
      <c r="H770" s="1" t="s">
        <v>3337</v>
      </c>
      <c r="I770" s="1" t="s">
        <v>221</v>
      </c>
      <c r="J770" s="1" t="s">
        <v>2430</v>
      </c>
    </row>
    <row r="771">
      <c r="B771" s="1" t="s">
        <v>549</v>
      </c>
      <c r="C771" s="1" t="s">
        <v>4091</v>
      </c>
      <c r="D771" s="1" t="s">
        <v>3343</v>
      </c>
      <c r="E771" s="1" t="s">
        <v>2776</v>
      </c>
      <c r="F771" s="1" t="s">
        <v>2559</v>
      </c>
      <c r="H771" s="1" t="s">
        <v>2109</v>
      </c>
      <c r="I771" s="1" t="s">
        <v>1243</v>
      </c>
      <c r="J771" s="1" t="s">
        <v>721</v>
      </c>
    </row>
    <row r="772">
      <c r="B772" s="1" t="s">
        <v>2321</v>
      </c>
      <c r="C772" s="1" t="s">
        <v>2662</v>
      </c>
      <c r="D772" s="1" t="s">
        <v>3346</v>
      </c>
      <c r="E772" s="1" t="s">
        <v>1640</v>
      </c>
      <c r="F772" s="1" t="s">
        <v>719</v>
      </c>
      <c r="H772" s="1" t="s">
        <v>126</v>
      </c>
      <c r="I772" s="1" t="s">
        <v>2296</v>
      </c>
      <c r="J772" s="1" t="s">
        <v>738</v>
      </c>
    </row>
    <row r="773">
      <c r="B773" s="1" t="s">
        <v>3347</v>
      </c>
      <c r="C773" s="1" t="s">
        <v>4095</v>
      </c>
      <c r="D773" s="1" t="s">
        <v>3352</v>
      </c>
      <c r="E773" s="1" t="s">
        <v>1649</v>
      </c>
      <c r="F773" s="1" t="s">
        <v>2991</v>
      </c>
      <c r="H773" s="1" t="s">
        <v>3348</v>
      </c>
      <c r="I773" s="1" t="s">
        <v>2336</v>
      </c>
      <c r="J773" s="1" t="s">
        <v>2440</v>
      </c>
    </row>
    <row r="774">
      <c r="B774" s="1" t="s">
        <v>1070</v>
      </c>
      <c r="C774" s="1" t="s">
        <v>4099</v>
      </c>
      <c r="D774" s="1" t="s">
        <v>2817</v>
      </c>
      <c r="E774" s="1" t="s">
        <v>6385</v>
      </c>
      <c r="F774" s="1" t="s">
        <v>2994</v>
      </c>
      <c r="H774" s="1" t="s">
        <v>1386</v>
      </c>
      <c r="I774" s="1" t="s">
        <v>379</v>
      </c>
      <c r="J774" s="1" t="s">
        <v>3888</v>
      </c>
    </row>
    <row r="775">
      <c r="B775" s="1" t="s">
        <v>1064</v>
      </c>
      <c r="C775" s="1" t="s">
        <v>3846</v>
      </c>
      <c r="D775" s="1" t="s">
        <v>2820</v>
      </c>
      <c r="E775" s="1" t="s">
        <v>6386</v>
      </c>
      <c r="F775" s="1" t="s">
        <v>6387</v>
      </c>
      <c r="H775" s="1" t="s">
        <v>1392</v>
      </c>
      <c r="I775" s="1" t="s">
        <v>2942</v>
      </c>
      <c r="J775" s="1" t="s">
        <v>368</v>
      </c>
    </row>
    <row r="776">
      <c r="B776" s="1" t="s">
        <v>2313</v>
      </c>
      <c r="C776" s="1" t="s">
        <v>3989</v>
      </c>
      <c r="D776" s="1" t="s">
        <v>2018</v>
      </c>
      <c r="E776" s="1" t="s">
        <v>493</v>
      </c>
      <c r="F776" s="1" t="s">
        <v>512</v>
      </c>
      <c r="H776" s="1" t="s">
        <v>484</v>
      </c>
      <c r="I776" s="1" t="s">
        <v>2683</v>
      </c>
      <c r="J776" s="1" t="s">
        <v>2453</v>
      </c>
    </row>
    <row r="777">
      <c r="B777" s="1" t="s">
        <v>935</v>
      </c>
      <c r="C777" s="1" t="s">
        <v>2023</v>
      </c>
      <c r="D777" s="1" t="s">
        <v>2022</v>
      </c>
      <c r="E777" s="1" t="s">
        <v>332</v>
      </c>
      <c r="F777" s="1" t="s">
        <v>358</v>
      </c>
      <c r="H777" s="1" t="s">
        <v>1719</v>
      </c>
      <c r="I777" s="1" t="s">
        <v>1580</v>
      </c>
      <c r="J777" s="1" t="s">
        <v>4212</v>
      </c>
    </row>
    <row r="778">
      <c r="B778" s="1" t="s">
        <v>791</v>
      </c>
      <c r="C778" s="1" t="s">
        <v>4105</v>
      </c>
      <c r="D778" s="1" t="s">
        <v>2016</v>
      </c>
      <c r="E778" s="1" t="s">
        <v>6388</v>
      </c>
      <c r="F778" s="1" t="s">
        <v>1314</v>
      </c>
      <c r="H778" s="1" t="s">
        <v>3361</v>
      </c>
      <c r="I778" s="1" t="s">
        <v>2956</v>
      </c>
      <c r="J778" s="1" t="s">
        <v>2432</v>
      </c>
    </row>
    <row r="779">
      <c r="B779" s="1" t="s">
        <v>3364</v>
      </c>
      <c r="C779" s="1" t="s">
        <v>2666</v>
      </c>
      <c r="D779" s="1" t="s">
        <v>2824</v>
      </c>
      <c r="E779" s="1" t="s">
        <v>408</v>
      </c>
      <c r="F779" s="1" t="s">
        <v>467</v>
      </c>
      <c r="H779" s="1" t="s">
        <v>3365</v>
      </c>
      <c r="I779" s="1" t="s">
        <v>6382</v>
      </c>
      <c r="J779" s="1" t="s">
        <v>3549</v>
      </c>
    </row>
    <row r="780">
      <c r="B780" s="1">
        <v>20.0</v>
      </c>
      <c r="C780" s="1" t="s">
        <v>1649</v>
      </c>
      <c r="D780" s="1" t="s">
        <v>800</v>
      </c>
      <c r="E780" s="1" t="s">
        <v>1614</v>
      </c>
      <c r="F780" s="1" t="s">
        <v>2570</v>
      </c>
      <c r="H780" s="1" t="s">
        <v>3369</v>
      </c>
      <c r="I780" s="1" t="s">
        <v>2706</v>
      </c>
      <c r="J780" s="1" t="s">
        <v>6389</v>
      </c>
    </row>
    <row r="781">
      <c r="B781" s="1" t="s">
        <v>2329</v>
      </c>
      <c r="C781" s="1" t="s">
        <v>2087</v>
      </c>
      <c r="D781" s="1" t="s">
        <v>3376</v>
      </c>
      <c r="E781" s="1" t="s">
        <v>2335</v>
      </c>
      <c r="F781" s="1" t="s">
        <v>1788</v>
      </c>
      <c r="H781" s="1" t="s">
        <v>3373</v>
      </c>
      <c r="I781" s="1" t="s">
        <v>1608</v>
      </c>
      <c r="J781" s="1" t="s">
        <v>594</v>
      </c>
    </row>
    <row r="782">
      <c r="B782" s="1" t="s">
        <v>3377</v>
      </c>
      <c r="C782" s="1" t="s">
        <v>4109</v>
      </c>
      <c r="D782" s="1" t="s">
        <v>448</v>
      </c>
      <c r="E782" s="1" t="s">
        <v>641</v>
      </c>
      <c r="F782" s="1" t="s">
        <v>1848</v>
      </c>
      <c r="H782" s="1" t="s">
        <v>128</v>
      </c>
      <c r="I782" s="1" t="s">
        <v>6366</v>
      </c>
      <c r="J782" s="1" t="s">
        <v>246</v>
      </c>
    </row>
    <row r="783">
      <c r="B783" s="1" t="s">
        <v>678</v>
      </c>
      <c r="C783" s="1" t="s">
        <v>2060</v>
      </c>
      <c r="D783" s="1" t="s">
        <v>2026</v>
      </c>
      <c r="E783" s="1" t="s">
        <v>2802</v>
      </c>
      <c r="F783" s="1" t="s">
        <v>1506</v>
      </c>
      <c r="H783" s="1" t="s">
        <v>277</v>
      </c>
      <c r="I783" s="1" t="s">
        <v>1613</v>
      </c>
      <c r="J783" s="1" t="s">
        <v>3556</v>
      </c>
    </row>
    <row r="784">
      <c r="B784" s="1" t="s">
        <v>3382</v>
      </c>
      <c r="C784" s="1" t="s">
        <v>4114</v>
      </c>
      <c r="D784" s="1" t="s">
        <v>2029</v>
      </c>
      <c r="E784" s="1" t="s">
        <v>1022</v>
      </c>
      <c r="F784" s="1" t="s">
        <v>4973</v>
      </c>
      <c r="H784" s="1" t="s">
        <v>922</v>
      </c>
      <c r="I784" s="1" t="s">
        <v>1739</v>
      </c>
      <c r="J784" s="1" t="s">
        <v>4029</v>
      </c>
    </row>
    <row r="785">
      <c r="B785" s="1" t="s">
        <v>2332</v>
      </c>
      <c r="C785" s="1" t="s">
        <v>2171</v>
      </c>
      <c r="D785" s="1" t="s">
        <v>534</v>
      </c>
      <c r="E785" s="1" t="s">
        <v>2808</v>
      </c>
      <c r="F785" s="1" t="s">
        <v>3291</v>
      </c>
      <c r="H785" s="1">
        <v>51.0</v>
      </c>
      <c r="I785" s="1" t="s">
        <v>6367</v>
      </c>
      <c r="J785" s="1" t="s">
        <v>2463</v>
      </c>
    </row>
    <row r="786">
      <c r="B786" s="1" t="s">
        <v>1074</v>
      </c>
      <c r="C786" s="1" t="s">
        <v>2630</v>
      </c>
      <c r="D786" s="1" t="s">
        <v>2519</v>
      </c>
      <c r="E786" s="1" t="s">
        <v>5935</v>
      </c>
      <c r="F786" s="1" t="s">
        <v>1239</v>
      </c>
      <c r="H786" s="1" t="s">
        <v>3388</v>
      </c>
      <c r="I786" s="1" t="s">
        <v>6368</v>
      </c>
      <c r="J786" s="1" t="s">
        <v>1577</v>
      </c>
    </row>
    <row r="787">
      <c r="B787" s="1" t="s">
        <v>685</v>
      </c>
      <c r="C787" s="1" t="s">
        <v>3847</v>
      </c>
      <c r="D787" s="1" t="s">
        <v>3394</v>
      </c>
      <c r="E787" s="1" t="s">
        <v>6377</v>
      </c>
      <c r="F787" s="1" t="s">
        <v>1853</v>
      </c>
      <c r="H787" s="1" t="s">
        <v>134</v>
      </c>
      <c r="I787" s="1" t="s">
        <v>1825</v>
      </c>
      <c r="J787" s="1" t="s">
        <v>737</v>
      </c>
    </row>
    <row r="788">
      <c r="B788" s="1" t="s">
        <v>3395</v>
      </c>
      <c r="C788" s="1" t="s">
        <v>4122</v>
      </c>
      <c r="D788" s="1" t="s">
        <v>456</v>
      </c>
      <c r="E788" s="1" t="s">
        <v>1657</v>
      </c>
      <c r="F788" s="1" t="s">
        <v>1802</v>
      </c>
      <c r="H788" s="1" t="s">
        <v>3396</v>
      </c>
      <c r="I788" s="1" t="s">
        <v>2368</v>
      </c>
      <c r="J788" s="1" t="s">
        <v>2437</v>
      </c>
    </row>
    <row r="789">
      <c r="B789" s="1" t="s">
        <v>1081</v>
      </c>
      <c r="C789" s="1" t="s">
        <v>3804</v>
      </c>
      <c r="D789" s="1" t="s">
        <v>2034</v>
      </c>
      <c r="E789" s="1" t="s">
        <v>3080</v>
      </c>
      <c r="F789" s="1" t="s">
        <v>217</v>
      </c>
      <c r="H789" s="1" t="s">
        <v>3398</v>
      </c>
      <c r="I789" s="1" t="s">
        <v>2722</v>
      </c>
      <c r="J789" s="1" t="s">
        <v>2467</v>
      </c>
    </row>
    <row r="790">
      <c r="B790" s="1" t="s">
        <v>2337</v>
      </c>
      <c r="C790" s="1" t="s">
        <v>4124</v>
      </c>
      <c r="D790" s="1" t="s">
        <v>2846</v>
      </c>
      <c r="E790" s="1" t="s">
        <v>2828</v>
      </c>
      <c r="F790" s="1" t="s">
        <v>255</v>
      </c>
      <c r="H790" s="1" t="s">
        <v>3399</v>
      </c>
      <c r="I790" s="1" t="s">
        <v>2382</v>
      </c>
      <c r="J790" s="1" t="s">
        <v>603</v>
      </c>
    </row>
    <row r="791">
      <c r="B791" s="1" t="s">
        <v>2339</v>
      </c>
      <c r="C791" s="1" t="s">
        <v>4125</v>
      </c>
      <c r="D791" s="1" t="s">
        <v>3404</v>
      </c>
      <c r="E791" s="1" t="s">
        <v>325</v>
      </c>
      <c r="F791" s="1" t="s">
        <v>1789</v>
      </c>
      <c r="H791" s="1" t="s">
        <v>3401</v>
      </c>
      <c r="I791" s="1" t="s">
        <v>1223</v>
      </c>
      <c r="J791" s="1" t="s">
        <v>680</v>
      </c>
    </row>
    <row r="792">
      <c r="B792" s="1" t="s">
        <v>3405</v>
      </c>
      <c r="C792" s="1" t="s">
        <v>4126</v>
      </c>
      <c r="D792" s="1" t="s">
        <v>178</v>
      </c>
      <c r="E792" s="1" t="s">
        <v>2464</v>
      </c>
      <c r="F792" s="1" t="s">
        <v>3029</v>
      </c>
      <c r="H792" s="1" t="s">
        <v>1336</v>
      </c>
      <c r="I792" s="1" t="s">
        <v>1618</v>
      </c>
      <c r="J792" s="1" t="s">
        <v>1153</v>
      </c>
    </row>
    <row r="793">
      <c r="B793" s="1" t="s">
        <v>557</v>
      </c>
      <c r="C793" s="1" t="s">
        <v>3682</v>
      </c>
      <c r="D793" s="1" t="s">
        <v>3409</v>
      </c>
      <c r="E793" s="1" t="s">
        <v>2460</v>
      </c>
      <c r="F793" s="1" t="s">
        <v>735</v>
      </c>
      <c r="H793" s="1" t="s">
        <v>3407</v>
      </c>
      <c r="I793" s="1" t="s">
        <v>2392</v>
      </c>
      <c r="J793" s="1" t="s">
        <v>4214</v>
      </c>
    </row>
    <row r="794">
      <c r="B794" s="1" t="s">
        <v>3410</v>
      </c>
      <c r="C794" s="1" t="s">
        <v>1558</v>
      </c>
      <c r="D794" s="1" t="s">
        <v>2040</v>
      </c>
      <c r="E794" s="1" t="s">
        <v>1664</v>
      </c>
      <c r="F794" s="1" t="s">
        <v>3040</v>
      </c>
      <c r="H794" s="1" t="s">
        <v>1459</v>
      </c>
      <c r="I794" s="1" t="s">
        <v>398</v>
      </c>
      <c r="J794" s="1" t="s">
        <v>612</v>
      </c>
    </row>
    <row r="795">
      <c r="B795" s="1" t="s">
        <v>692</v>
      </c>
      <c r="C795" s="1" t="s">
        <v>4132</v>
      </c>
      <c r="D795" s="1" t="s">
        <v>860</v>
      </c>
      <c r="E795" s="1" t="s">
        <v>6390</v>
      </c>
      <c r="F795" s="1" t="s">
        <v>384</v>
      </c>
      <c r="H795" s="1" t="s">
        <v>3411</v>
      </c>
      <c r="I795" s="1" t="s">
        <v>3015</v>
      </c>
      <c r="J795" s="1" t="s">
        <v>4090</v>
      </c>
    </row>
    <row r="796">
      <c r="B796" s="1" t="s">
        <v>3412</v>
      </c>
      <c r="C796" s="1" t="s">
        <v>4133</v>
      </c>
      <c r="D796" s="1" t="s">
        <v>2865</v>
      </c>
      <c r="E796" s="1" t="s">
        <v>1693</v>
      </c>
      <c r="F796" s="1" t="s">
        <v>366</v>
      </c>
      <c r="H796" s="1" t="s">
        <v>629</v>
      </c>
      <c r="I796" s="1" t="s">
        <v>1636</v>
      </c>
      <c r="J796" s="1" t="s">
        <v>2988</v>
      </c>
    </row>
    <row r="797">
      <c r="B797" s="1" t="s">
        <v>2357</v>
      </c>
      <c r="C797" s="1" t="s">
        <v>3624</v>
      </c>
      <c r="D797" s="1" t="s">
        <v>2046</v>
      </c>
      <c r="E797" s="1" t="s">
        <v>6236</v>
      </c>
      <c r="F797" s="1" t="s">
        <v>5978</v>
      </c>
      <c r="H797" s="1" t="s">
        <v>336</v>
      </c>
      <c r="I797" s="1" t="s">
        <v>447</v>
      </c>
      <c r="J797" s="1" t="s">
        <v>2444</v>
      </c>
    </row>
    <row r="798">
      <c r="B798" s="1" t="s">
        <v>2852</v>
      </c>
      <c r="C798" s="1" t="s">
        <v>2153</v>
      </c>
      <c r="D798" s="1" t="s">
        <v>2861</v>
      </c>
      <c r="E798" s="1" t="s">
        <v>48</v>
      </c>
      <c r="F798" s="1" t="s">
        <v>6391</v>
      </c>
      <c r="H798" s="1" t="s">
        <v>3415</v>
      </c>
      <c r="I798" s="1" t="s">
        <v>3034</v>
      </c>
      <c r="J798" s="1" t="s">
        <v>477</v>
      </c>
    </row>
    <row r="799">
      <c r="B799" s="1" t="s">
        <v>3001</v>
      </c>
      <c r="C799" s="1" t="s">
        <v>3027</v>
      </c>
      <c r="D799" s="1" t="s">
        <v>543</v>
      </c>
      <c r="E799" s="1" t="s">
        <v>1396</v>
      </c>
      <c r="F799" s="1" t="s">
        <v>2250</v>
      </c>
      <c r="H799" s="1">
        <v>89.0</v>
      </c>
      <c r="I799" s="1" t="s">
        <v>2404</v>
      </c>
      <c r="J799" s="1" t="s">
        <v>1595</v>
      </c>
    </row>
    <row r="800">
      <c r="B800" s="1" t="s">
        <v>2120</v>
      </c>
      <c r="C800" s="1" t="s">
        <v>3283</v>
      </c>
      <c r="D800" s="1" t="s">
        <v>2047</v>
      </c>
      <c r="E800" s="1" t="s">
        <v>1706</v>
      </c>
      <c r="F800" s="1" t="s">
        <v>1833</v>
      </c>
      <c r="H800" s="1" t="s">
        <v>3417</v>
      </c>
      <c r="I800" s="1" t="s">
        <v>5471</v>
      </c>
      <c r="J800" s="1" t="s">
        <v>874</v>
      </c>
    </row>
    <row r="801">
      <c r="B801" s="1" t="s">
        <v>404</v>
      </c>
      <c r="C801" s="1" t="s">
        <v>1377</v>
      </c>
      <c r="D801" s="1" t="s">
        <v>2048</v>
      </c>
      <c r="E801" s="1" t="s">
        <v>2478</v>
      </c>
      <c r="F801" s="1" t="s">
        <v>754</v>
      </c>
      <c r="H801" s="1" t="s">
        <v>3170</v>
      </c>
      <c r="I801" s="1" t="s">
        <v>1634</v>
      </c>
      <c r="J801" s="1" t="s">
        <v>765</v>
      </c>
    </row>
    <row r="802">
      <c r="B802" s="1" t="s">
        <v>3420</v>
      </c>
      <c r="C802" s="1" t="s">
        <v>802</v>
      </c>
      <c r="D802" s="1" t="s">
        <v>2051</v>
      </c>
      <c r="E802" s="1" t="s">
        <v>2476</v>
      </c>
      <c r="F802" s="1" t="s">
        <v>210</v>
      </c>
      <c r="H802" s="1" t="s">
        <v>2206</v>
      </c>
      <c r="I802" s="1" t="s">
        <v>2776</v>
      </c>
      <c r="J802" s="1" t="s">
        <v>1169</v>
      </c>
    </row>
    <row r="803">
      <c r="B803" s="1" t="s">
        <v>3423</v>
      </c>
      <c r="C803" s="1" t="s">
        <v>4139</v>
      </c>
      <c r="D803" s="1" t="s">
        <v>1249</v>
      </c>
      <c r="E803" s="1" t="s">
        <v>1682</v>
      </c>
      <c r="F803" s="1" t="s">
        <v>1847</v>
      </c>
      <c r="H803" s="1" t="s">
        <v>1318</v>
      </c>
      <c r="I803" s="1" t="s">
        <v>1640</v>
      </c>
      <c r="J803" s="1" t="s">
        <v>4106</v>
      </c>
    </row>
    <row r="804">
      <c r="B804" s="1" t="s">
        <v>353</v>
      </c>
      <c r="C804" s="1" t="s">
        <v>2557</v>
      </c>
      <c r="D804" s="1" t="s">
        <v>3427</v>
      </c>
      <c r="E804" s="1" t="s">
        <v>6392</v>
      </c>
      <c r="F804" s="1" t="s">
        <v>342</v>
      </c>
      <c r="H804" s="1" t="s">
        <v>3425</v>
      </c>
      <c r="I804" s="1" t="s">
        <v>1649</v>
      </c>
      <c r="J804" s="1" t="s">
        <v>842</v>
      </c>
    </row>
    <row r="805">
      <c r="B805" s="1" t="s">
        <v>701</v>
      </c>
      <c r="C805" s="1" t="s">
        <v>1582</v>
      </c>
      <c r="D805" s="1" t="s">
        <v>2053</v>
      </c>
      <c r="E805" s="1" t="s">
        <v>1722</v>
      </c>
      <c r="F805" s="1" t="s">
        <v>3536</v>
      </c>
      <c r="H805" s="1" t="s">
        <v>3428</v>
      </c>
      <c r="I805" s="1" t="s">
        <v>6385</v>
      </c>
      <c r="J805" s="1" t="s">
        <v>2497</v>
      </c>
    </row>
    <row r="806">
      <c r="B806" s="1" t="s">
        <v>3430</v>
      </c>
      <c r="C806" s="1" t="s">
        <v>4147</v>
      </c>
      <c r="D806" s="1" t="s">
        <v>1167</v>
      </c>
      <c r="E806" s="1" t="s">
        <v>1728</v>
      </c>
      <c r="F806" s="1" t="s">
        <v>3061</v>
      </c>
      <c r="H806" s="1" t="s">
        <v>3431</v>
      </c>
      <c r="I806" s="1" t="s">
        <v>6386</v>
      </c>
      <c r="J806" s="1" t="s">
        <v>311</v>
      </c>
    </row>
    <row r="807">
      <c r="B807" s="1" t="s">
        <v>1096</v>
      </c>
      <c r="C807" s="1" t="s">
        <v>962</v>
      </c>
      <c r="D807" s="1" t="s">
        <v>551</v>
      </c>
      <c r="E807" s="1" t="s">
        <v>2487</v>
      </c>
      <c r="F807" s="1" t="s">
        <v>5120</v>
      </c>
      <c r="H807" s="1" t="s">
        <v>3433</v>
      </c>
      <c r="I807" s="1" t="s">
        <v>493</v>
      </c>
      <c r="J807" s="1" t="s">
        <v>1201</v>
      </c>
    </row>
    <row r="808">
      <c r="B808" s="1" t="s">
        <v>2351</v>
      </c>
      <c r="C808" s="1" t="s">
        <v>2945</v>
      </c>
      <c r="D808" s="1" t="s">
        <v>3435</v>
      </c>
      <c r="E808" s="1" t="s">
        <v>1697</v>
      </c>
      <c r="F808" s="1" t="s">
        <v>3066</v>
      </c>
      <c r="H808" s="1" t="s">
        <v>1711</v>
      </c>
      <c r="I808" s="1" t="s">
        <v>332</v>
      </c>
      <c r="J808" s="1" t="s">
        <v>3626</v>
      </c>
    </row>
    <row r="809">
      <c r="B809" s="1" t="s">
        <v>788</v>
      </c>
      <c r="C809" s="1" t="s">
        <v>4156</v>
      </c>
      <c r="D809" s="1" t="s">
        <v>2894</v>
      </c>
      <c r="E809" s="1" t="s">
        <v>2864</v>
      </c>
      <c r="F809" s="1" t="s">
        <v>374</v>
      </c>
      <c r="H809" s="1" t="s">
        <v>1180</v>
      </c>
      <c r="I809" s="1" t="s">
        <v>6388</v>
      </c>
      <c r="J809" s="1" t="s">
        <v>2483</v>
      </c>
    </row>
    <row r="810">
      <c r="B810" s="1" t="s">
        <v>2363</v>
      </c>
      <c r="C810" s="1" t="s">
        <v>2214</v>
      </c>
      <c r="D810" s="1" t="s">
        <v>464</v>
      </c>
      <c r="E810" s="1" t="s">
        <v>742</v>
      </c>
      <c r="F810" s="1" t="s">
        <v>1856</v>
      </c>
      <c r="H810" s="1" t="s">
        <v>3437</v>
      </c>
      <c r="I810" s="1" t="s">
        <v>1614</v>
      </c>
      <c r="J810" s="1" t="s">
        <v>640</v>
      </c>
    </row>
    <row r="811">
      <c r="B811" s="1" t="s">
        <v>2375</v>
      </c>
      <c r="C811" s="1" t="s">
        <v>396</v>
      </c>
      <c r="D811" s="1" t="s">
        <v>560</v>
      </c>
      <c r="E811" s="1" t="s">
        <v>6381</v>
      </c>
      <c r="F811" s="1" t="s">
        <v>3079</v>
      </c>
      <c r="H811" s="1" t="s">
        <v>78</v>
      </c>
      <c r="I811" s="1" t="s">
        <v>2335</v>
      </c>
      <c r="J811" s="1" t="s">
        <v>3633</v>
      </c>
    </row>
    <row r="812">
      <c r="B812" s="1" t="s">
        <v>2373</v>
      </c>
      <c r="C812" s="1" t="s">
        <v>1065</v>
      </c>
      <c r="D812" s="1" t="s">
        <v>3442</v>
      </c>
      <c r="E812" s="1" t="s">
        <v>2658</v>
      </c>
      <c r="F812" s="1" t="s">
        <v>2634</v>
      </c>
      <c r="H812" s="1" t="s">
        <v>97</v>
      </c>
      <c r="I812" s="1" t="s">
        <v>1022</v>
      </c>
      <c r="J812" s="1" t="s">
        <v>4207</v>
      </c>
    </row>
    <row r="813">
      <c r="B813" s="1" t="s">
        <v>566</v>
      </c>
      <c r="C813" s="1">
        <v>100.0</v>
      </c>
      <c r="D813" s="1" t="s">
        <v>2061</v>
      </c>
      <c r="E813" s="1" t="s">
        <v>1714</v>
      </c>
      <c r="F813" s="1" t="s">
        <v>2630</v>
      </c>
      <c r="H813" s="1" t="s">
        <v>3443</v>
      </c>
      <c r="I813" s="1" t="s">
        <v>2808</v>
      </c>
      <c r="J813" s="1" t="s">
        <v>2488</v>
      </c>
    </row>
    <row r="814">
      <c r="B814" s="1" t="s">
        <v>2391</v>
      </c>
      <c r="C814" s="1" t="s">
        <v>3443</v>
      </c>
      <c r="D814" s="1" t="s">
        <v>2901</v>
      </c>
      <c r="E814" s="1" t="s">
        <v>2882</v>
      </c>
      <c r="F814" s="1" t="s">
        <v>772</v>
      </c>
      <c r="H814" s="1" t="s">
        <v>1656</v>
      </c>
      <c r="I814" s="1" t="s">
        <v>5935</v>
      </c>
      <c r="J814" s="1" t="s">
        <v>2490</v>
      </c>
    </row>
    <row r="815">
      <c r="B815" s="1" t="s">
        <v>99</v>
      </c>
      <c r="C815" s="1" t="s">
        <v>4174</v>
      </c>
      <c r="D815" s="1" t="s">
        <v>2905</v>
      </c>
      <c r="E815" s="1" t="s">
        <v>1725</v>
      </c>
      <c r="F815" s="1" t="s">
        <v>2638</v>
      </c>
      <c r="H815" s="1" t="s">
        <v>3447</v>
      </c>
      <c r="I815" s="1" t="s">
        <v>1657</v>
      </c>
      <c r="J815" s="1" t="s">
        <v>733</v>
      </c>
    </row>
    <row r="816">
      <c r="B816" s="1" t="s">
        <v>573</v>
      </c>
      <c r="C816" s="1" t="s">
        <v>3580</v>
      </c>
      <c r="D816" s="1" t="s">
        <v>3451</v>
      </c>
      <c r="E816" s="1" t="s">
        <v>6383</v>
      </c>
      <c r="F816" s="1" t="s">
        <v>1157</v>
      </c>
      <c r="H816" s="1" t="s">
        <v>3450</v>
      </c>
      <c r="I816" s="1" t="s">
        <v>3080</v>
      </c>
      <c r="J816" s="1" t="s">
        <v>3644</v>
      </c>
    </row>
    <row r="817">
      <c r="B817" s="1" t="s">
        <v>1114</v>
      </c>
      <c r="C817" s="1" t="s">
        <v>4178</v>
      </c>
      <c r="D817" s="1" t="s">
        <v>871</v>
      </c>
      <c r="E817" s="1" t="s">
        <v>1199</v>
      </c>
      <c r="F817" s="1" t="s">
        <v>1871</v>
      </c>
      <c r="H817" s="1" t="s">
        <v>3452</v>
      </c>
      <c r="I817" s="1" t="s">
        <v>2828</v>
      </c>
      <c r="J817" s="1" t="s">
        <v>3649</v>
      </c>
    </row>
    <row r="818">
      <c r="B818" s="1" t="s">
        <v>3453</v>
      </c>
      <c r="C818" s="1" t="s">
        <v>4038</v>
      </c>
      <c r="D818" s="1" t="s">
        <v>2908</v>
      </c>
      <c r="E818" s="1" t="s">
        <v>1698</v>
      </c>
      <c r="F818" s="1" t="s">
        <v>380</v>
      </c>
      <c r="H818" s="1" t="s">
        <v>3454</v>
      </c>
      <c r="I818" s="1" t="s">
        <v>2464</v>
      </c>
      <c r="J818" s="1" t="s">
        <v>4141</v>
      </c>
    </row>
    <row r="819">
      <c r="B819" s="1" t="s">
        <v>83</v>
      </c>
      <c r="C819" s="1" t="s">
        <v>2383</v>
      </c>
      <c r="D819" s="1" t="s">
        <v>2060</v>
      </c>
      <c r="E819" s="1" t="s">
        <v>2893</v>
      </c>
      <c r="F819" s="1" t="s">
        <v>2646</v>
      </c>
      <c r="H819" s="1" t="s">
        <v>3457</v>
      </c>
      <c r="I819" s="1" t="s">
        <v>2460</v>
      </c>
      <c r="J819" s="1" t="s">
        <v>4311</v>
      </c>
    </row>
    <row r="820">
      <c r="B820" s="1" t="s">
        <v>579</v>
      </c>
      <c r="C820" s="1" t="s">
        <v>933</v>
      </c>
      <c r="D820" s="1" t="s">
        <v>2068</v>
      </c>
      <c r="E820" s="1" t="s">
        <v>1512</v>
      </c>
      <c r="F820" s="1" t="s">
        <v>387</v>
      </c>
      <c r="H820" s="1" t="s">
        <v>1516</v>
      </c>
      <c r="I820" s="1" t="s">
        <v>1664</v>
      </c>
      <c r="J820" s="1" t="s">
        <v>6393</v>
      </c>
    </row>
    <row r="821">
      <c r="B821" s="1" t="s">
        <v>3458</v>
      </c>
      <c r="C821" s="1" t="s">
        <v>4155</v>
      </c>
      <c r="D821" s="1" t="s">
        <v>2072</v>
      </c>
      <c r="E821" s="1" t="s">
        <v>3182</v>
      </c>
      <c r="F821" s="1" t="s">
        <v>394</v>
      </c>
      <c r="H821" s="1" t="s">
        <v>2244</v>
      </c>
      <c r="I821" s="1" t="s">
        <v>6390</v>
      </c>
      <c r="J821" s="1" t="s">
        <v>2493</v>
      </c>
    </row>
    <row r="822">
      <c r="B822" s="1" t="s">
        <v>3460</v>
      </c>
      <c r="C822" s="1" t="s">
        <v>4192</v>
      </c>
      <c r="D822" s="1" t="s">
        <v>2078</v>
      </c>
      <c r="E822" s="1" t="s">
        <v>1768</v>
      </c>
      <c r="F822" s="1" t="s">
        <v>1881</v>
      </c>
      <c r="H822" s="1" t="s">
        <v>176</v>
      </c>
      <c r="I822" s="1" t="s">
        <v>6236</v>
      </c>
      <c r="J822" s="1" t="s">
        <v>4150</v>
      </c>
    </row>
    <row r="823">
      <c r="B823" s="1" t="s">
        <v>3463</v>
      </c>
      <c r="C823" s="1" t="s">
        <v>4195</v>
      </c>
      <c r="D823" s="1" t="s">
        <v>2928</v>
      </c>
      <c r="E823" s="1" t="s">
        <v>1738</v>
      </c>
      <c r="F823" s="1" t="s">
        <v>1887</v>
      </c>
      <c r="H823" s="1" t="s">
        <v>3464</v>
      </c>
      <c r="I823" s="1" t="s">
        <v>48</v>
      </c>
      <c r="J823" s="1" t="s">
        <v>3655</v>
      </c>
    </row>
    <row r="824">
      <c r="B824" s="1" t="s">
        <v>3466</v>
      </c>
      <c r="C824" s="1" t="s">
        <v>4196</v>
      </c>
      <c r="D824" s="1" t="s">
        <v>2081</v>
      </c>
      <c r="E824" s="1" t="s">
        <v>2899</v>
      </c>
      <c r="F824" s="1" t="s">
        <v>1897</v>
      </c>
      <c r="H824" s="1" t="s">
        <v>3467</v>
      </c>
      <c r="I824" s="1" t="s">
        <v>1396</v>
      </c>
      <c r="J824" s="1" t="s">
        <v>259</v>
      </c>
    </row>
    <row r="825">
      <c r="B825" s="1" t="s">
        <v>3470</v>
      </c>
      <c r="C825" s="1" t="s">
        <v>4197</v>
      </c>
      <c r="D825" s="1" t="s">
        <v>3474</v>
      </c>
      <c r="E825" s="1" t="s">
        <v>6384</v>
      </c>
      <c r="F825" s="1" t="s">
        <v>474</v>
      </c>
      <c r="H825" s="1" t="s">
        <v>3471</v>
      </c>
      <c r="I825" s="1" t="s">
        <v>3665</v>
      </c>
      <c r="J825" s="1" t="s">
        <v>561</v>
      </c>
    </row>
    <row r="826">
      <c r="B826" s="1" t="s">
        <v>2401</v>
      </c>
      <c r="C826" s="1" t="s">
        <v>4198</v>
      </c>
      <c r="D826" s="1" t="s">
        <v>878</v>
      </c>
      <c r="E826" s="1" t="s">
        <v>1745</v>
      </c>
      <c r="F826" s="1" t="s">
        <v>3118</v>
      </c>
      <c r="H826" s="1" t="s">
        <v>390</v>
      </c>
      <c r="I826" s="1" t="s">
        <v>2478</v>
      </c>
      <c r="J826" s="1" t="s">
        <v>6394</v>
      </c>
    </row>
    <row r="827">
      <c r="B827" s="1" t="s">
        <v>3477</v>
      </c>
      <c r="C827" s="1" t="s">
        <v>2994</v>
      </c>
      <c r="D827" s="1" t="s">
        <v>2087</v>
      </c>
      <c r="E827" s="1" t="s">
        <v>6109</v>
      </c>
      <c r="F827" s="1" t="s">
        <v>481</v>
      </c>
      <c r="H827" s="1" t="s">
        <v>3478</v>
      </c>
      <c r="I827" s="1" t="s">
        <v>2476</v>
      </c>
      <c r="J827" s="1" t="s">
        <v>4172</v>
      </c>
    </row>
    <row r="828">
      <c r="B828" s="1" t="s">
        <v>2388</v>
      </c>
      <c r="C828" s="1" t="s">
        <v>4202</v>
      </c>
      <c r="D828" s="1" t="s">
        <v>2065</v>
      </c>
      <c r="E828" s="1" t="s">
        <v>1777</v>
      </c>
      <c r="F828" s="1" t="s">
        <v>3130</v>
      </c>
      <c r="H828" s="1" t="s">
        <v>3480</v>
      </c>
      <c r="I828" s="1" t="s">
        <v>1728</v>
      </c>
      <c r="J828" s="1" t="s">
        <v>1289</v>
      </c>
    </row>
    <row r="829">
      <c r="B829" s="1" t="s">
        <v>2385</v>
      </c>
      <c r="C829" s="1" t="s">
        <v>779</v>
      </c>
      <c r="D829" s="1" t="s">
        <v>29</v>
      </c>
      <c r="E829" s="1" t="s">
        <v>1748</v>
      </c>
      <c r="F829" s="1" t="s">
        <v>2833</v>
      </c>
      <c r="H829" s="1" t="s">
        <v>2270</v>
      </c>
      <c r="I829" s="1" t="s">
        <v>2487</v>
      </c>
      <c r="J829" s="1" t="s">
        <v>3671</v>
      </c>
    </row>
    <row r="830">
      <c r="B830" s="1" t="s">
        <v>2405</v>
      </c>
      <c r="C830" s="1" t="s">
        <v>2267</v>
      </c>
      <c r="D830" s="1" t="s">
        <v>2941</v>
      </c>
      <c r="E830" s="1" t="s">
        <v>2924</v>
      </c>
      <c r="F830" s="1" t="s">
        <v>2672</v>
      </c>
      <c r="H830" s="1" t="s">
        <v>2527</v>
      </c>
      <c r="I830" s="1" t="s">
        <v>1697</v>
      </c>
      <c r="J830" s="1" t="s">
        <v>3669</v>
      </c>
    </row>
    <row r="831">
      <c r="B831" s="1" t="s">
        <v>3487</v>
      </c>
      <c r="C831" s="1" t="s">
        <v>709</v>
      </c>
      <c r="D831" s="1" t="s">
        <v>3491</v>
      </c>
      <c r="E831" s="1" t="s">
        <v>1799</v>
      </c>
      <c r="F831" s="1" t="s">
        <v>489</v>
      </c>
      <c r="H831" s="1" t="s">
        <v>3489</v>
      </c>
      <c r="I831" s="1" t="s">
        <v>2864</v>
      </c>
      <c r="J831" s="1" t="s">
        <v>2502</v>
      </c>
    </row>
    <row r="832">
      <c r="B832" s="1" t="s">
        <v>1242</v>
      </c>
      <c r="C832" s="1" t="s">
        <v>2752</v>
      </c>
      <c r="D832" s="1" t="s">
        <v>2092</v>
      </c>
      <c r="E832" s="1">
        <v>2002.0</v>
      </c>
      <c r="F832" s="1" t="s">
        <v>3146</v>
      </c>
      <c r="H832" s="1" t="s">
        <v>409</v>
      </c>
      <c r="I832" s="1" t="s">
        <v>742</v>
      </c>
      <c r="J832" s="1" t="s">
        <v>774</v>
      </c>
    </row>
    <row r="833">
      <c r="B833" s="1" t="s">
        <v>706</v>
      </c>
      <c r="C833" s="1" t="s">
        <v>862</v>
      </c>
      <c r="D833" s="1" t="s">
        <v>2616</v>
      </c>
      <c r="E833" s="1" t="s">
        <v>1811</v>
      </c>
      <c r="F833" s="1" t="s">
        <v>1931</v>
      </c>
      <c r="H833" s="1" t="s">
        <v>3494</v>
      </c>
      <c r="I833" s="1" t="s">
        <v>6381</v>
      </c>
      <c r="J833" s="1" t="s">
        <v>820</v>
      </c>
    </row>
    <row r="834">
      <c r="B834" s="1" t="s">
        <v>3496</v>
      </c>
      <c r="C834" s="1" t="s">
        <v>3801</v>
      </c>
      <c r="D834" s="1" t="s">
        <v>3498</v>
      </c>
      <c r="E834" s="1" t="s">
        <v>2940</v>
      </c>
      <c r="F834" s="1" t="s">
        <v>3152</v>
      </c>
      <c r="H834" s="1" t="s">
        <v>1530</v>
      </c>
      <c r="I834" s="1" t="s">
        <v>2658</v>
      </c>
      <c r="J834" s="1" t="s">
        <v>2546</v>
      </c>
    </row>
    <row r="835">
      <c r="B835" s="1" t="s">
        <v>3499</v>
      </c>
      <c r="C835" s="1" t="s">
        <v>4211</v>
      </c>
      <c r="D835" s="1" t="s">
        <v>472</v>
      </c>
      <c r="E835" s="1" t="s">
        <v>2534</v>
      </c>
      <c r="F835" s="1" t="s">
        <v>1918</v>
      </c>
      <c r="H835" s="1" t="s">
        <v>3500</v>
      </c>
      <c r="I835" s="1" t="s">
        <v>2882</v>
      </c>
      <c r="J835" s="1" t="s">
        <v>3680</v>
      </c>
    </row>
    <row r="836">
      <c r="B836" s="1" t="s">
        <v>2408</v>
      </c>
      <c r="C836" s="1" t="s">
        <v>4213</v>
      </c>
      <c r="D836" s="1" t="s">
        <v>552</v>
      </c>
      <c r="E836" s="1" t="s">
        <v>1756</v>
      </c>
      <c r="F836" s="1" t="s">
        <v>1921</v>
      </c>
      <c r="H836" s="1" t="s">
        <v>3503</v>
      </c>
      <c r="I836" s="1" t="s">
        <v>1725</v>
      </c>
      <c r="J836" s="1" t="s">
        <v>2506</v>
      </c>
    </row>
    <row r="837">
      <c r="B837" s="1" t="s">
        <v>2411</v>
      </c>
      <c r="C837" s="1" t="s">
        <v>4214</v>
      </c>
      <c r="D837" s="1" t="s">
        <v>480</v>
      </c>
      <c r="E837" s="1" t="s">
        <v>2955</v>
      </c>
      <c r="F837" s="1" t="s">
        <v>1941</v>
      </c>
      <c r="H837" s="1" t="s">
        <v>3506</v>
      </c>
      <c r="I837" s="1" t="s">
        <v>6383</v>
      </c>
      <c r="J837" s="1" t="s">
        <v>2522</v>
      </c>
    </row>
    <row r="838">
      <c r="B838" s="1" t="s">
        <v>2066</v>
      </c>
      <c r="C838" s="1" t="s">
        <v>2041</v>
      </c>
      <c r="D838" s="1" t="s">
        <v>3509</v>
      </c>
      <c r="E838" s="1" t="s">
        <v>2950</v>
      </c>
      <c r="F838" s="1" t="s">
        <v>1936</v>
      </c>
      <c r="H838" s="1" t="s">
        <v>2674</v>
      </c>
      <c r="I838" s="1" t="s">
        <v>1199</v>
      </c>
      <c r="J838" s="1" t="s">
        <v>3689</v>
      </c>
    </row>
    <row r="839">
      <c r="B839" s="1" t="s">
        <v>713</v>
      </c>
      <c r="C839" s="1" t="s">
        <v>4216</v>
      </c>
      <c r="D839" s="1" t="s">
        <v>2973</v>
      </c>
      <c r="E839" s="1" t="s">
        <v>110</v>
      </c>
      <c r="F839" s="1" t="s">
        <v>4993</v>
      </c>
      <c r="H839" s="1" t="s">
        <v>3510</v>
      </c>
      <c r="I839" s="1" t="s">
        <v>1698</v>
      </c>
      <c r="J839" s="1" t="s">
        <v>654</v>
      </c>
    </row>
    <row r="840">
      <c r="B840" s="1" t="s">
        <v>2423</v>
      </c>
      <c r="C840" s="1" t="s">
        <v>915</v>
      </c>
      <c r="D840" s="1" t="s">
        <v>3513</v>
      </c>
      <c r="E840" s="1" t="s">
        <v>1761</v>
      </c>
      <c r="F840" s="1" t="s">
        <v>2684</v>
      </c>
      <c r="H840" s="1" t="s">
        <v>3512</v>
      </c>
      <c r="I840" s="1" t="s">
        <v>2893</v>
      </c>
      <c r="J840" s="1" t="s">
        <v>4376</v>
      </c>
    </row>
    <row r="841">
      <c r="B841" s="1" t="s">
        <v>2414</v>
      </c>
      <c r="C841" s="1" t="s">
        <v>335</v>
      </c>
      <c r="D841" s="1" t="s">
        <v>3516</v>
      </c>
      <c r="E841" s="1" t="s">
        <v>2539</v>
      </c>
      <c r="F841" s="1" t="s">
        <v>1928</v>
      </c>
      <c r="H841" s="1" t="s">
        <v>2548</v>
      </c>
      <c r="I841" s="1" t="s">
        <v>1512</v>
      </c>
      <c r="J841" s="1" t="s">
        <v>1637</v>
      </c>
    </row>
    <row r="842">
      <c r="B842" s="1" t="s">
        <v>2430</v>
      </c>
      <c r="C842" s="1" t="s">
        <v>2178</v>
      </c>
      <c r="D842" s="1" t="s">
        <v>2982</v>
      </c>
      <c r="E842" s="1" t="s">
        <v>696</v>
      </c>
      <c r="F842" s="1" t="s">
        <v>3356</v>
      </c>
      <c r="H842" s="1" t="s">
        <v>3517</v>
      </c>
      <c r="I842" s="1" t="s">
        <v>3182</v>
      </c>
      <c r="J842" s="1" t="s">
        <v>1245</v>
      </c>
    </row>
    <row r="843">
      <c r="B843" s="1" t="s">
        <v>586</v>
      </c>
      <c r="C843" s="1" t="s">
        <v>3582</v>
      </c>
      <c r="D843" s="1" t="s">
        <v>511</v>
      </c>
      <c r="E843" s="1" t="s">
        <v>2553</v>
      </c>
      <c r="F843" s="1" t="s">
        <v>2703</v>
      </c>
      <c r="H843" s="1" t="s">
        <v>3518</v>
      </c>
      <c r="I843" s="1" t="s">
        <v>1768</v>
      </c>
      <c r="J843" s="1" t="s">
        <v>2560</v>
      </c>
    </row>
    <row r="844">
      <c r="B844" s="1" t="s">
        <v>721</v>
      </c>
      <c r="C844" s="1" t="s">
        <v>1333</v>
      </c>
      <c r="D844" s="1" t="s">
        <v>487</v>
      </c>
      <c r="E844" s="1" t="s">
        <v>6395</v>
      </c>
      <c r="F844" s="1" t="s">
        <v>2699</v>
      </c>
      <c r="H844" s="1" t="s">
        <v>1210</v>
      </c>
      <c r="I844" s="1" t="s">
        <v>1738</v>
      </c>
      <c r="J844" s="1" t="s">
        <v>3713</v>
      </c>
    </row>
    <row r="845">
      <c r="B845" s="1" t="s">
        <v>2421</v>
      </c>
      <c r="C845" s="1" t="s">
        <v>4223</v>
      </c>
      <c r="D845" s="1" t="s">
        <v>3524</v>
      </c>
      <c r="E845" s="1" t="s">
        <v>2269</v>
      </c>
      <c r="F845" s="1" t="s">
        <v>3181</v>
      </c>
      <c r="H845" s="1" t="s">
        <v>3521</v>
      </c>
      <c r="I845" s="1" t="s">
        <v>2512</v>
      </c>
      <c r="J845" s="1" t="s">
        <v>3711</v>
      </c>
    </row>
    <row r="846">
      <c r="B846" s="1" t="s">
        <v>738</v>
      </c>
      <c r="C846" s="1" t="s">
        <v>2051</v>
      </c>
      <c r="D846" s="1" t="s">
        <v>2106</v>
      </c>
      <c r="E846" s="1" t="s">
        <v>2559</v>
      </c>
      <c r="F846" s="1" t="s">
        <v>3419</v>
      </c>
      <c r="H846" s="1" t="s">
        <v>3525</v>
      </c>
      <c r="I846" s="1" t="s">
        <v>6384</v>
      </c>
      <c r="J846" s="1" t="s">
        <v>4210</v>
      </c>
    </row>
    <row r="847">
      <c r="B847" s="1" t="s">
        <v>3527</v>
      </c>
      <c r="C847" s="1" t="s">
        <v>4227</v>
      </c>
      <c r="D847" s="1" t="s">
        <v>2995</v>
      </c>
      <c r="E847" s="1" t="s">
        <v>2991</v>
      </c>
      <c r="F847" s="1" t="s">
        <v>405</v>
      </c>
      <c r="H847" s="1" t="s">
        <v>3528</v>
      </c>
      <c r="I847" s="1" t="s">
        <v>1777</v>
      </c>
      <c r="J847" s="1" t="s">
        <v>1252</v>
      </c>
    </row>
    <row r="848">
      <c r="B848" s="1" t="s">
        <v>2443</v>
      </c>
      <c r="C848" s="1" t="s">
        <v>3860</v>
      </c>
      <c r="D848" s="1" t="s">
        <v>3532</v>
      </c>
      <c r="E848" s="1" t="s">
        <v>2994</v>
      </c>
      <c r="F848" s="1" t="s">
        <v>416</v>
      </c>
      <c r="H848" s="1" t="s">
        <v>1347</v>
      </c>
      <c r="I848" s="1" t="s">
        <v>1021</v>
      </c>
      <c r="J848" s="1" t="s">
        <v>3716</v>
      </c>
    </row>
    <row r="849">
      <c r="B849" s="1" t="s">
        <v>2446</v>
      </c>
      <c r="C849" s="1" t="s">
        <v>1641</v>
      </c>
      <c r="D849" s="1" t="s">
        <v>2110</v>
      </c>
      <c r="E849" s="1" t="s">
        <v>6387</v>
      </c>
      <c r="F849" s="1" t="s">
        <v>423</v>
      </c>
      <c r="H849" s="1" t="s">
        <v>3533</v>
      </c>
      <c r="I849" s="1" t="s">
        <v>2517</v>
      </c>
      <c r="J849" s="1" t="s">
        <v>3723</v>
      </c>
    </row>
    <row r="850">
      <c r="B850" s="1" t="s">
        <v>3535</v>
      </c>
      <c r="C850" s="1" t="s">
        <v>1591</v>
      </c>
      <c r="D850" s="1" t="s">
        <v>2114</v>
      </c>
      <c r="E850" s="1" t="s">
        <v>965</v>
      </c>
      <c r="F850" s="1" t="s">
        <v>1944</v>
      </c>
      <c r="H850" s="1" t="s">
        <v>1244</v>
      </c>
      <c r="I850" s="1" t="s">
        <v>1748</v>
      </c>
      <c r="J850" s="1" t="s">
        <v>1260</v>
      </c>
    </row>
    <row r="851">
      <c r="B851" s="1" t="s">
        <v>368</v>
      </c>
      <c r="C851" s="1" t="s">
        <v>4239</v>
      </c>
      <c r="D851" s="1" t="s">
        <v>3540</v>
      </c>
      <c r="E851" s="1" t="s">
        <v>1314</v>
      </c>
      <c r="F851" s="1" t="s">
        <v>3484</v>
      </c>
      <c r="H851" s="1" t="s">
        <v>1563</v>
      </c>
      <c r="I851" s="1" t="s">
        <v>2924</v>
      </c>
      <c r="J851" s="1" t="s">
        <v>3728</v>
      </c>
    </row>
    <row r="852">
      <c r="B852" s="1" t="s">
        <v>3541</v>
      </c>
      <c r="C852" s="1" t="s">
        <v>2510</v>
      </c>
      <c r="D852" s="1" t="s">
        <v>2100</v>
      </c>
      <c r="E852" s="1" t="s">
        <v>2024</v>
      </c>
      <c r="F852" s="1" t="s">
        <v>6396</v>
      </c>
      <c r="H852" s="1" t="s">
        <v>3542</v>
      </c>
      <c r="I852" s="1" t="s">
        <v>1799</v>
      </c>
      <c r="J852" s="1" t="s">
        <v>2541</v>
      </c>
    </row>
    <row r="853">
      <c r="B853" s="1" t="s">
        <v>2453</v>
      </c>
      <c r="C853" s="1" t="s">
        <v>4243</v>
      </c>
      <c r="D853" s="1" t="s">
        <v>2118</v>
      </c>
      <c r="E853" s="1" t="s">
        <v>6397</v>
      </c>
      <c r="F853" s="1" t="s">
        <v>2725</v>
      </c>
      <c r="H853" s="1" t="s">
        <v>3544</v>
      </c>
      <c r="I853" s="1" t="s">
        <v>3203</v>
      </c>
      <c r="J853" s="1" t="s">
        <v>2112</v>
      </c>
    </row>
    <row r="854">
      <c r="B854" s="1" t="s">
        <v>2451</v>
      </c>
      <c r="C854" s="1" t="s">
        <v>4245</v>
      </c>
      <c r="D854" s="1" t="s">
        <v>3027</v>
      </c>
      <c r="E854" s="1" t="s">
        <v>2570</v>
      </c>
      <c r="F854" s="1" t="s">
        <v>1978</v>
      </c>
      <c r="H854" s="1" t="s">
        <v>3547</v>
      </c>
      <c r="I854" s="1">
        <v>2002.0</v>
      </c>
      <c r="J854" s="1" t="s">
        <v>826</v>
      </c>
    </row>
    <row r="855">
      <c r="B855" s="1" t="s">
        <v>2432</v>
      </c>
      <c r="C855" s="1" t="s">
        <v>4249</v>
      </c>
      <c r="D855" s="1" t="s">
        <v>494</v>
      </c>
      <c r="E855" s="1" t="s">
        <v>467</v>
      </c>
      <c r="F855" s="1" t="s">
        <v>3492</v>
      </c>
      <c r="H855" s="1" t="s">
        <v>251</v>
      </c>
      <c r="I855" s="1" t="s">
        <v>1811</v>
      </c>
      <c r="J855" s="1" t="s">
        <v>1059</v>
      </c>
    </row>
    <row r="856">
      <c r="B856" s="1" t="s">
        <v>3549</v>
      </c>
      <c r="C856" s="1" t="s">
        <v>4251</v>
      </c>
      <c r="D856" s="1" t="s">
        <v>912</v>
      </c>
      <c r="E856" s="1" t="s">
        <v>1506</v>
      </c>
      <c r="F856" s="1" t="s">
        <v>6398</v>
      </c>
      <c r="H856" s="1" t="s">
        <v>1277</v>
      </c>
      <c r="I856" s="1" t="s">
        <v>2940</v>
      </c>
      <c r="J856" s="1" t="s">
        <v>1271</v>
      </c>
    </row>
    <row r="857">
      <c r="B857" s="1" t="s">
        <v>594</v>
      </c>
      <c r="C857" s="1" t="s">
        <v>4252</v>
      </c>
      <c r="D857" s="1" t="s">
        <v>3551</v>
      </c>
      <c r="E857" s="1" t="s">
        <v>4973</v>
      </c>
      <c r="F857" s="1" t="s">
        <v>6399</v>
      </c>
      <c r="H857" s="1" t="s">
        <v>3550</v>
      </c>
      <c r="I857" s="1" t="s">
        <v>2534</v>
      </c>
      <c r="J857" s="1" t="s">
        <v>2586</v>
      </c>
    </row>
    <row r="858">
      <c r="B858" s="1" t="s">
        <v>3552</v>
      </c>
      <c r="C858" s="1" t="s">
        <v>4253</v>
      </c>
      <c r="D858" s="1" t="s">
        <v>420</v>
      </c>
      <c r="E858" s="1" t="s">
        <v>1788</v>
      </c>
      <c r="F858" s="1" t="s">
        <v>430</v>
      </c>
      <c r="H858" s="1" t="s">
        <v>3553</v>
      </c>
      <c r="I858" s="1" t="s">
        <v>1756</v>
      </c>
      <c r="J858" s="1" t="s">
        <v>2589</v>
      </c>
    </row>
    <row r="859">
      <c r="B859" s="1" t="s">
        <v>3556</v>
      </c>
      <c r="C859" s="1" t="s">
        <v>2726</v>
      </c>
      <c r="D859" s="1" t="s">
        <v>1146</v>
      </c>
      <c r="E859" s="1" t="s">
        <v>1853</v>
      </c>
      <c r="F859" s="1" t="s">
        <v>503</v>
      </c>
      <c r="H859" s="1" t="s">
        <v>3557</v>
      </c>
      <c r="I859" s="1" t="s">
        <v>2955</v>
      </c>
      <c r="J859" s="1" t="s">
        <v>4247</v>
      </c>
    </row>
    <row r="860">
      <c r="B860" s="1" t="s">
        <v>2463</v>
      </c>
      <c r="C860" s="1" t="s">
        <v>1775</v>
      </c>
      <c r="D860" s="1" t="s">
        <v>2130</v>
      </c>
      <c r="E860" s="1" t="s">
        <v>1802</v>
      </c>
      <c r="F860" s="1" t="s">
        <v>1986</v>
      </c>
      <c r="H860" s="1" t="s">
        <v>3559</v>
      </c>
      <c r="I860" s="1" t="s">
        <v>110</v>
      </c>
      <c r="J860" s="1" t="s">
        <v>2592</v>
      </c>
    </row>
    <row r="861">
      <c r="B861" s="1" t="s">
        <v>3561</v>
      </c>
      <c r="C861" s="1" t="s">
        <v>1989</v>
      </c>
      <c r="D861" s="1" t="s">
        <v>920</v>
      </c>
      <c r="E861" s="1" t="s">
        <v>255</v>
      </c>
      <c r="F861" s="1" t="s">
        <v>2740</v>
      </c>
      <c r="H861" s="1" t="s">
        <v>675</v>
      </c>
      <c r="I861" s="1" t="s">
        <v>1761</v>
      </c>
      <c r="J861" s="1" t="s">
        <v>6400</v>
      </c>
    </row>
    <row r="862">
      <c r="B862" s="1" t="s">
        <v>737</v>
      </c>
      <c r="C862" s="1" t="s">
        <v>3684</v>
      </c>
      <c r="D862" s="1" t="s">
        <v>144</v>
      </c>
      <c r="E862" s="1" t="s">
        <v>1861</v>
      </c>
      <c r="F862" s="1" t="s">
        <v>2743</v>
      </c>
      <c r="H862" s="1" t="s">
        <v>3563</v>
      </c>
      <c r="I862" s="1" t="s">
        <v>2539</v>
      </c>
      <c r="J862" s="1" t="s">
        <v>4406</v>
      </c>
    </row>
    <row r="863">
      <c r="B863" s="1" t="s">
        <v>2741</v>
      </c>
      <c r="C863" s="1" t="s">
        <v>1780</v>
      </c>
      <c r="D863" s="1" t="s">
        <v>2111</v>
      </c>
      <c r="E863" s="1" t="s">
        <v>3026</v>
      </c>
      <c r="F863" s="1" t="s">
        <v>1989</v>
      </c>
      <c r="H863" s="1" t="s">
        <v>3565</v>
      </c>
      <c r="I863" s="1" t="s">
        <v>696</v>
      </c>
      <c r="J863" s="1" t="s">
        <v>1278</v>
      </c>
    </row>
    <row r="864">
      <c r="B864" s="1" t="s">
        <v>2437</v>
      </c>
      <c r="C864" s="1" t="s">
        <v>4259</v>
      </c>
      <c r="D864" s="1" t="s">
        <v>2115</v>
      </c>
      <c r="E864" s="1" t="s">
        <v>217</v>
      </c>
      <c r="F864" s="1">
        <v>4.0</v>
      </c>
      <c r="H864" s="1" t="s">
        <v>994</v>
      </c>
      <c r="I864" s="1" t="s">
        <v>2553</v>
      </c>
      <c r="J864" s="1" t="s">
        <v>1285</v>
      </c>
    </row>
    <row r="865">
      <c r="B865" s="1" t="s">
        <v>2467</v>
      </c>
      <c r="C865" s="1" t="s">
        <v>4260</v>
      </c>
      <c r="D865" s="1" t="s">
        <v>606</v>
      </c>
      <c r="E865" s="1" t="s">
        <v>1789</v>
      </c>
      <c r="F865" s="1" t="s">
        <v>1414</v>
      </c>
      <c r="H865" s="1" t="s">
        <v>3568</v>
      </c>
      <c r="I865" s="1" t="s">
        <v>6395</v>
      </c>
      <c r="J865" s="1" t="s">
        <v>834</v>
      </c>
    </row>
    <row r="866">
      <c r="B866" s="1" t="s">
        <v>746</v>
      </c>
      <c r="C866" s="1" t="s">
        <v>1616</v>
      </c>
      <c r="D866" s="1" t="s">
        <v>2126</v>
      </c>
      <c r="E866" s="1" t="s">
        <v>3029</v>
      </c>
      <c r="F866" s="1" t="s">
        <v>6401</v>
      </c>
      <c r="H866" s="1" t="s">
        <v>3569</v>
      </c>
      <c r="I866" s="1" t="s">
        <v>2269</v>
      </c>
      <c r="J866" s="1" t="s">
        <v>4256</v>
      </c>
    </row>
    <row r="867">
      <c r="B867" s="1" t="s">
        <v>603</v>
      </c>
      <c r="C867" s="1" t="s">
        <v>4261</v>
      </c>
      <c r="D867" s="1" t="s">
        <v>2129</v>
      </c>
      <c r="E867" s="1" t="s">
        <v>1443</v>
      </c>
      <c r="F867" s="1" t="s">
        <v>2755</v>
      </c>
      <c r="H867" s="1" t="s">
        <v>3570</v>
      </c>
      <c r="I867" s="1" t="s">
        <v>2559</v>
      </c>
      <c r="J867" s="1" t="s">
        <v>2605</v>
      </c>
    </row>
    <row r="868">
      <c r="B868" s="1" t="s">
        <v>680</v>
      </c>
      <c r="C868" s="1" t="s">
        <v>4262</v>
      </c>
      <c r="D868" s="1" t="s">
        <v>729</v>
      </c>
      <c r="E868" s="1" t="s">
        <v>2590</v>
      </c>
      <c r="F868" s="1" t="s">
        <v>2752</v>
      </c>
      <c r="H868" s="1" t="s">
        <v>1173</v>
      </c>
      <c r="I868" s="1" t="s">
        <v>2991</v>
      </c>
      <c r="J868" s="1" t="s">
        <v>1846</v>
      </c>
    </row>
    <row r="869">
      <c r="B869" s="1" t="s">
        <v>1153</v>
      </c>
      <c r="C869" s="1" t="s">
        <v>4264</v>
      </c>
      <c r="D869" s="1" t="s">
        <v>931</v>
      </c>
      <c r="E869" s="1" t="s">
        <v>2338</v>
      </c>
      <c r="F869" s="1" t="s">
        <v>1274</v>
      </c>
      <c r="H869" s="1" t="s">
        <v>2387</v>
      </c>
      <c r="I869" s="1" t="s">
        <v>2994</v>
      </c>
      <c r="J869" s="1" t="s">
        <v>4444</v>
      </c>
    </row>
    <row r="870">
      <c r="B870" s="1" t="s">
        <v>612</v>
      </c>
      <c r="C870" s="1" t="s">
        <v>4266</v>
      </c>
      <c r="D870" s="1" t="s">
        <v>2147</v>
      </c>
      <c r="E870" s="1" t="s">
        <v>1325</v>
      </c>
      <c r="F870" s="1" t="s">
        <v>1971</v>
      </c>
      <c r="H870" s="1" t="s">
        <v>3572</v>
      </c>
      <c r="I870" s="1" t="s">
        <v>965</v>
      </c>
      <c r="J870" s="1" t="s">
        <v>2554</v>
      </c>
    </row>
    <row r="871">
      <c r="B871" s="1" t="s">
        <v>302</v>
      </c>
      <c r="C871" s="1" t="s">
        <v>4268</v>
      </c>
      <c r="D871" s="1" t="s">
        <v>2152</v>
      </c>
      <c r="E871" s="1" t="s">
        <v>2596</v>
      </c>
      <c r="F871" s="1" t="s">
        <v>1299</v>
      </c>
      <c r="H871" s="1" t="s">
        <v>3574</v>
      </c>
      <c r="I871" s="1" t="s">
        <v>1314</v>
      </c>
      <c r="J871" s="1" t="s">
        <v>3764</v>
      </c>
    </row>
    <row r="872">
      <c r="B872" s="1" t="s">
        <v>3576</v>
      </c>
      <c r="C872" s="1" t="s">
        <v>1077</v>
      </c>
      <c r="D872" s="1" t="s">
        <v>3579</v>
      </c>
      <c r="E872" s="1" t="s">
        <v>3040</v>
      </c>
      <c r="F872" s="1" t="s">
        <v>2765</v>
      </c>
      <c r="H872" s="1" t="s">
        <v>3577</v>
      </c>
      <c r="I872" s="1" t="s">
        <v>2024</v>
      </c>
      <c r="J872" s="1" t="s">
        <v>3768</v>
      </c>
    </row>
    <row r="873">
      <c r="B873" s="1" t="s">
        <v>2988</v>
      </c>
      <c r="C873" s="1" t="s">
        <v>1102</v>
      </c>
      <c r="D873" s="1" t="s">
        <v>1560</v>
      </c>
      <c r="E873" s="1" t="s">
        <v>3037</v>
      </c>
      <c r="F873" s="1" t="s">
        <v>3271</v>
      </c>
      <c r="H873" s="1" t="s">
        <v>3580</v>
      </c>
      <c r="I873" s="1" t="s">
        <v>6397</v>
      </c>
      <c r="J873" s="1" t="s">
        <v>671</v>
      </c>
    </row>
    <row r="874">
      <c r="B874" s="1" t="s">
        <v>3582</v>
      </c>
      <c r="C874" s="1" t="s">
        <v>2460</v>
      </c>
      <c r="D874" s="1" t="s">
        <v>615</v>
      </c>
      <c r="E874" s="1" t="s">
        <v>2603</v>
      </c>
      <c r="F874" s="1" t="s">
        <v>3546</v>
      </c>
      <c r="H874" s="1" t="s">
        <v>969</v>
      </c>
      <c r="I874" s="1" t="s">
        <v>2570</v>
      </c>
      <c r="J874" s="1" t="s">
        <v>2614</v>
      </c>
    </row>
    <row r="875">
      <c r="B875" s="1" t="s">
        <v>477</v>
      </c>
      <c r="C875" s="1" t="s">
        <v>4271</v>
      </c>
      <c r="D875" s="1" t="s">
        <v>2137</v>
      </c>
      <c r="E875" s="1" t="s">
        <v>5978</v>
      </c>
      <c r="F875" s="1" t="s">
        <v>460</v>
      </c>
      <c r="H875" s="1" t="s">
        <v>3585</v>
      </c>
      <c r="I875" s="1" t="s">
        <v>467</v>
      </c>
      <c r="J875" s="1" t="s">
        <v>5444</v>
      </c>
    </row>
    <row r="876">
      <c r="B876" s="1" t="s">
        <v>756</v>
      </c>
      <c r="C876" s="1" t="s">
        <v>359</v>
      </c>
      <c r="D876" s="1" t="s">
        <v>501</v>
      </c>
      <c r="E876" s="1" t="s">
        <v>2610</v>
      </c>
      <c r="F876" s="1" t="s">
        <v>1981</v>
      </c>
      <c r="H876" s="1" t="s">
        <v>607</v>
      </c>
      <c r="I876" s="1">
        <v>2.0</v>
      </c>
      <c r="J876" s="1" t="s">
        <v>660</v>
      </c>
    </row>
    <row r="877">
      <c r="B877" s="1" t="s">
        <v>1776</v>
      </c>
      <c r="C877" s="1" t="s">
        <v>4275</v>
      </c>
      <c r="D877" s="1" t="s">
        <v>3069</v>
      </c>
      <c r="E877" s="1" t="s">
        <v>6402</v>
      </c>
      <c r="F877" s="1" t="s">
        <v>2777</v>
      </c>
      <c r="H877" s="1" t="s">
        <v>3589</v>
      </c>
      <c r="I877" s="1" t="s">
        <v>1506</v>
      </c>
      <c r="J877" s="1" t="s">
        <v>840</v>
      </c>
    </row>
    <row r="878">
      <c r="B878" s="1" t="s">
        <v>874</v>
      </c>
      <c r="C878" s="1" t="s">
        <v>797</v>
      </c>
      <c r="D878" s="1" t="s">
        <v>2158</v>
      </c>
      <c r="E878" s="1" t="s">
        <v>2250</v>
      </c>
      <c r="F878" s="1" t="s">
        <v>482</v>
      </c>
      <c r="H878" s="1" t="s">
        <v>3591</v>
      </c>
      <c r="I878" s="1" t="s">
        <v>4973</v>
      </c>
      <c r="J878" s="1" t="s">
        <v>3786</v>
      </c>
    </row>
    <row r="879">
      <c r="B879" s="1" t="s">
        <v>765</v>
      </c>
      <c r="C879" s="1" t="s">
        <v>3061</v>
      </c>
      <c r="D879" s="1" t="s">
        <v>3594</v>
      </c>
      <c r="E879" s="1" t="s">
        <v>1829</v>
      </c>
      <c r="F879" s="1" t="s">
        <v>510</v>
      </c>
      <c r="H879" s="1" t="s">
        <v>3593</v>
      </c>
      <c r="I879" s="1" t="s">
        <v>1239</v>
      </c>
      <c r="J879" s="1" t="s">
        <v>2625</v>
      </c>
    </row>
    <row r="880">
      <c r="B880" s="1" t="s">
        <v>1169</v>
      </c>
      <c r="C880" s="1" t="s">
        <v>4278</v>
      </c>
      <c r="D880" s="1" t="s">
        <v>941</v>
      </c>
      <c r="E880" s="1" t="s">
        <v>1833</v>
      </c>
      <c r="F880" s="1" t="s">
        <v>6403</v>
      </c>
      <c r="H880" s="1" t="s">
        <v>3595</v>
      </c>
      <c r="I880" s="1" t="s">
        <v>6404</v>
      </c>
      <c r="J880" s="1" t="s">
        <v>850</v>
      </c>
    </row>
    <row r="881">
      <c r="B881" s="1" t="s">
        <v>2457</v>
      </c>
      <c r="C881" s="1" t="s">
        <v>4280</v>
      </c>
      <c r="D881" s="1" t="s">
        <v>2165</v>
      </c>
      <c r="E881" s="1" t="s">
        <v>6405</v>
      </c>
      <c r="F881" s="1" t="s">
        <v>1990</v>
      </c>
      <c r="H881" s="1">
        <v>93.0</v>
      </c>
      <c r="I881" s="1" t="s">
        <v>1853</v>
      </c>
      <c r="J881" s="1" t="s">
        <v>3793</v>
      </c>
    </row>
    <row r="882">
      <c r="B882" s="1" t="s">
        <v>3597</v>
      </c>
      <c r="C882" s="1" t="s">
        <v>4281</v>
      </c>
      <c r="D882" s="1" t="s">
        <v>2415</v>
      </c>
      <c r="E882" s="1" t="s">
        <v>210</v>
      </c>
      <c r="F882" s="1" t="s">
        <v>1999</v>
      </c>
      <c r="H882" s="1" t="s">
        <v>3598</v>
      </c>
      <c r="I882" s="1" t="s">
        <v>1802</v>
      </c>
      <c r="J882" s="1" t="s">
        <v>589</v>
      </c>
    </row>
    <row r="883">
      <c r="B883" s="1" t="s">
        <v>2098</v>
      </c>
      <c r="C883" s="1" t="s">
        <v>4060</v>
      </c>
      <c r="D883" s="1" t="s">
        <v>3084</v>
      </c>
      <c r="E883" s="1" t="s">
        <v>1847</v>
      </c>
      <c r="F883" s="1" t="s">
        <v>2795</v>
      </c>
      <c r="H883" s="1" t="s">
        <v>362</v>
      </c>
      <c r="I883" s="1" t="s">
        <v>255</v>
      </c>
      <c r="J883" s="1" t="s">
        <v>2633</v>
      </c>
    </row>
    <row r="884">
      <c r="B884" s="1" t="s">
        <v>842</v>
      </c>
      <c r="C884" s="1" t="s">
        <v>4282</v>
      </c>
      <c r="D884" s="1" t="s">
        <v>3602</v>
      </c>
      <c r="E884" s="1" t="s">
        <v>342</v>
      </c>
      <c r="F884" s="1" t="s">
        <v>2003</v>
      </c>
      <c r="H884" s="1" t="s">
        <v>3601</v>
      </c>
      <c r="I884" s="1" t="s">
        <v>1861</v>
      </c>
      <c r="J884" s="1" t="s">
        <v>3801</v>
      </c>
    </row>
    <row r="885">
      <c r="B885" s="1" t="s">
        <v>3603</v>
      </c>
      <c r="C885" s="1" t="s">
        <v>2183</v>
      </c>
      <c r="D885" s="1" t="s">
        <v>622</v>
      </c>
      <c r="E885" s="1" t="s">
        <v>3536</v>
      </c>
      <c r="F885" s="1" t="s">
        <v>2278</v>
      </c>
      <c r="H885" s="1" t="s">
        <v>3604</v>
      </c>
      <c r="I885" s="1" t="s">
        <v>3026</v>
      </c>
      <c r="J885" s="1" t="s">
        <v>667</v>
      </c>
    </row>
    <row r="886">
      <c r="B886" s="1" t="s">
        <v>3605</v>
      </c>
      <c r="C886" s="1" t="s">
        <v>2809</v>
      </c>
      <c r="D886" s="1" t="s">
        <v>2170</v>
      </c>
      <c r="E886" s="1" t="s">
        <v>5120</v>
      </c>
      <c r="F886" s="1" t="s">
        <v>2004</v>
      </c>
      <c r="H886" s="1" t="s">
        <v>3607</v>
      </c>
      <c r="I886" s="1" t="s">
        <v>1789</v>
      </c>
      <c r="J886" s="1" t="s">
        <v>2576</v>
      </c>
    </row>
    <row r="887">
      <c r="B887" s="1" t="s">
        <v>773</v>
      </c>
      <c r="C887" s="1" t="s">
        <v>1609</v>
      </c>
      <c r="D887" s="1" t="s">
        <v>2514</v>
      </c>
      <c r="E887" s="1" t="s">
        <v>3066</v>
      </c>
      <c r="F887" s="1" t="s">
        <v>2799</v>
      </c>
      <c r="H887" s="1" t="s">
        <v>1187</v>
      </c>
      <c r="I887" s="1" t="s">
        <v>3029</v>
      </c>
      <c r="J887" s="1" t="s">
        <v>862</v>
      </c>
    </row>
    <row r="888">
      <c r="B888" s="1" t="s">
        <v>3392</v>
      </c>
      <c r="C888" s="1" t="s">
        <v>4297</v>
      </c>
      <c r="D888" s="1" t="s">
        <v>2189</v>
      </c>
      <c r="E888" s="1" t="s">
        <v>5087</v>
      </c>
      <c r="F888" s="1" t="s">
        <v>438</v>
      </c>
      <c r="H888" s="1" t="s">
        <v>1624</v>
      </c>
      <c r="I888" s="1" t="s">
        <v>1443</v>
      </c>
      <c r="J888" s="1" t="s">
        <v>3816</v>
      </c>
    </row>
    <row r="889">
      <c r="B889" s="1" t="s">
        <v>2473</v>
      </c>
      <c r="C889" s="1" t="s">
        <v>4300</v>
      </c>
      <c r="D889" s="1" t="s">
        <v>2149</v>
      </c>
      <c r="E889" s="1" t="s">
        <v>2630</v>
      </c>
      <c r="F889" s="1" t="s">
        <v>3329</v>
      </c>
      <c r="H889" s="1" t="s">
        <v>3612</v>
      </c>
      <c r="I889" s="1" t="s">
        <v>2590</v>
      </c>
      <c r="J889" s="1" t="s">
        <v>6406</v>
      </c>
    </row>
    <row r="890">
      <c r="B890" s="1" t="s">
        <v>3614</v>
      </c>
      <c r="C890" s="1" t="s">
        <v>1136</v>
      </c>
      <c r="D890" s="1" t="s">
        <v>2145</v>
      </c>
      <c r="E890" s="1" t="s">
        <v>2634</v>
      </c>
      <c r="F890" s="1" t="s">
        <v>3113</v>
      </c>
      <c r="H890" s="1" t="s">
        <v>135</v>
      </c>
      <c r="I890" s="1" t="s">
        <v>2338</v>
      </c>
      <c r="J890" s="1" t="s">
        <v>2579</v>
      </c>
    </row>
    <row r="891">
      <c r="B891" s="1" t="s">
        <v>780</v>
      </c>
      <c r="C891" s="1" t="s">
        <v>4303</v>
      </c>
      <c r="D891" s="1" t="s">
        <v>2174</v>
      </c>
      <c r="E891" s="1" t="s">
        <v>6407</v>
      </c>
      <c r="F891" s="1" t="s">
        <v>2009</v>
      </c>
      <c r="H891" s="1" t="s">
        <v>529</v>
      </c>
      <c r="I891" s="1" t="s">
        <v>1325</v>
      </c>
      <c r="J891" s="1" t="s">
        <v>4288</v>
      </c>
    </row>
    <row r="892">
      <c r="B892" s="1" t="s">
        <v>2497</v>
      </c>
      <c r="C892" s="1" t="s">
        <v>4308</v>
      </c>
      <c r="D892" s="1" t="s">
        <v>617</v>
      </c>
      <c r="E892" s="1" t="s">
        <v>1157</v>
      </c>
      <c r="F892" s="1" t="s">
        <v>6408</v>
      </c>
      <c r="H892" s="1" t="s">
        <v>1629</v>
      </c>
      <c r="I892" s="1" t="s">
        <v>2596</v>
      </c>
      <c r="J892" s="1" t="s">
        <v>880</v>
      </c>
    </row>
    <row r="893">
      <c r="B893" s="1" t="s">
        <v>311</v>
      </c>
      <c r="C893" s="1" t="s">
        <v>2864</v>
      </c>
      <c r="D893" s="1" t="s">
        <v>3101</v>
      </c>
      <c r="E893" s="1" t="s">
        <v>2638</v>
      </c>
      <c r="F893" s="1" t="s">
        <v>2012</v>
      </c>
      <c r="H893" s="1" t="s">
        <v>1461</v>
      </c>
      <c r="I893" s="1" t="s">
        <v>3040</v>
      </c>
      <c r="J893" s="1" t="s">
        <v>3821</v>
      </c>
    </row>
    <row r="894">
      <c r="B894" s="1" t="s">
        <v>626</v>
      </c>
      <c r="C894" s="1" t="s">
        <v>4314</v>
      </c>
      <c r="D894" s="1" t="s">
        <v>2182</v>
      </c>
      <c r="E894" s="1" t="s">
        <v>1866</v>
      </c>
      <c r="F894" s="1" t="s">
        <v>845</v>
      </c>
      <c r="H894" s="1" t="s">
        <v>3622</v>
      </c>
      <c r="I894" s="1" t="s">
        <v>3037</v>
      </c>
      <c r="J894" s="1" t="s">
        <v>2581</v>
      </c>
    </row>
    <row r="895">
      <c r="B895" s="1" t="s">
        <v>633</v>
      </c>
      <c r="C895" s="1" t="s">
        <v>45</v>
      </c>
      <c r="D895" s="1" t="s">
        <v>490</v>
      </c>
      <c r="E895" s="1" t="s">
        <v>1859</v>
      </c>
      <c r="F895" s="1" t="s">
        <v>2643</v>
      </c>
      <c r="H895" s="1" t="s">
        <v>3623</v>
      </c>
      <c r="I895" s="1" t="s">
        <v>5978</v>
      </c>
      <c r="J895" s="1" t="s">
        <v>2584</v>
      </c>
    </row>
    <row r="896">
      <c r="B896" s="1" t="s">
        <v>1201</v>
      </c>
      <c r="C896" s="1" t="s">
        <v>4119</v>
      </c>
      <c r="D896" s="1" t="s">
        <v>3625</v>
      </c>
      <c r="E896" s="1" t="s">
        <v>2646</v>
      </c>
      <c r="F896" s="1" t="s">
        <v>3346</v>
      </c>
      <c r="H896" s="1" t="s">
        <v>3624</v>
      </c>
      <c r="I896" s="1" t="s">
        <v>2610</v>
      </c>
      <c r="J896" s="1" t="s">
        <v>2656</v>
      </c>
    </row>
    <row r="897">
      <c r="B897" s="1" t="s">
        <v>3626</v>
      </c>
      <c r="C897" s="1" t="s">
        <v>2928</v>
      </c>
      <c r="D897" s="1" t="s">
        <v>808</v>
      </c>
      <c r="E897" s="1" t="s">
        <v>380</v>
      </c>
      <c r="F897" s="1" t="s">
        <v>3352</v>
      </c>
      <c r="H897" s="1" t="s">
        <v>1160</v>
      </c>
      <c r="I897" s="1" t="s">
        <v>6402</v>
      </c>
      <c r="J897" s="1" t="s">
        <v>4509</v>
      </c>
    </row>
    <row r="898">
      <c r="B898" s="1" t="s">
        <v>3628</v>
      </c>
      <c r="C898" s="1" t="s">
        <v>2737</v>
      </c>
      <c r="D898" s="1" t="s">
        <v>2160</v>
      </c>
      <c r="E898" s="1" t="s">
        <v>1797</v>
      </c>
      <c r="F898" s="1" t="s">
        <v>2820</v>
      </c>
      <c r="H898" s="1" t="s">
        <v>3629</v>
      </c>
      <c r="I898" s="1" t="s">
        <v>2250</v>
      </c>
      <c r="J898" s="1" t="s">
        <v>4305</v>
      </c>
    </row>
    <row r="899">
      <c r="B899" s="1" t="s">
        <v>640</v>
      </c>
      <c r="C899" s="1" t="s">
        <v>4328</v>
      </c>
      <c r="D899" s="1" t="s">
        <v>863</v>
      </c>
      <c r="E899" s="1" t="s">
        <v>394</v>
      </c>
      <c r="F899" s="1" t="s">
        <v>2016</v>
      </c>
      <c r="H899" s="1" t="s">
        <v>3631</v>
      </c>
      <c r="I899" s="1" t="s">
        <v>1833</v>
      </c>
      <c r="J899" s="1" t="s">
        <v>995</v>
      </c>
    </row>
    <row r="900">
      <c r="B900" s="1" t="s">
        <v>3633</v>
      </c>
      <c r="C900" s="1" t="s">
        <v>2223</v>
      </c>
      <c r="D900" s="1" t="s">
        <v>949</v>
      </c>
      <c r="E900" s="1" t="s">
        <v>1887</v>
      </c>
      <c r="F900" s="1" t="s">
        <v>800</v>
      </c>
      <c r="H900" s="1" t="s">
        <v>3635</v>
      </c>
      <c r="I900" s="1" t="s">
        <v>6405</v>
      </c>
      <c r="J900" s="1" t="s">
        <v>2594</v>
      </c>
    </row>
    <row r="901">
      <c r="B901" s="1" t="s">
        <v>3637</v>
      </c>
      <c r="C901" s="1" t="s">
        <v>2241</v>
      </c>
      <c r="D901" s="1" t="s">
        <v>2194</v>
      </c>
      <c r="E901" s="1" t="s">
        <v>1901</v>
      </c>
      <c r="F901" s="1" t="s">
        <v>2022</v>
      </c>
      <c r="H901" s="1" t="s">
        <v>3638</v>
      </c>
      <c r="I901" s="1" t="s">
        <v>210</v>
      </c>
      <c r="J901" s="1" t="s">
        <v>690</v>
      </c>
    </row>
    <row r="902">
      <c r="B902" s="1" t="s">
        <v>2488</v>
      </c>
      <c r="C902" s="1" t="s">
        <v>1552</v>
      </c>
      <c r="D902" s="1" t="s">
        <v>957</v>
      </c>
      <c r="E902" s="1" t="s">
        <v>3118</v>
      </c>
      <c r="F902" s="1" t="s">
        <v>448</v>
      </c>
      <c r="H902" s="1" t="s">
        <v>1731</v>
      </c>
      <c r="I902" s="1" t="s">
        <v>1847</v>
      </c>
      <c r="J902" s="1" t="s">
        <v>4321</v>
      </c>
    </row>
    <row r="903">
      <c r="B903" s="1" t="s">
        <v>733</v>
      </c>
      <c r="C903" s="1" t="s">
        <v>3196</v>
      </c>
      <c r="D903" s="1" t="s">
        <v>2199</v>
      </c>
      <c r="E903" s="1" t="s">
        <v>474</v>
      </c>
      <c r="F903" s="1" t="s">
        <v>2029</v>
      </c>
      <c r="H903" s="1" t="s">
        <v>3642</v>
      </c>
      <c r="I903" s="1" t="s">
        <v>342</v>
      </c>
      <c r="J903" s="1" t="s">
        <v>2600</v>
      </c>
    </row>
    <row r="904">
      <c r="B904" s="1" t="s">
        <v>3644</v>
      </c>
      <c r="C904" s="1" t="s">
        <v>4340</v>
      </c>
      <c r="D904" s="1" t="s">
        <v>2202</v>
      </c>
      <c r="E904" s="1" t="s">
        <v>1910</v>
      </c>
      <c r="F904" s="1" t="s">
        <v>814</v>
      </c>
      <c r="H904" s="1" t="s">
        <v>3645</v>
      </c>
      <c r="I904" s="1" t="s">
        <v>3536</v>
      </c>
      <c r="J904" s="1" t="s">
        <v>2679</v>
      </c>
    </row>
    <row r="905">
      <c r="B905" s="1" t="s">
        <v>2521</v>
      </c>
      <c r="C905" s="1" t="s">
        <v>4343</v>
      </c>
      <c r="D905" s="1" t="s">
        <v>2164</v>
      </c>
      <c r="E905" s="1" t="s">
        <v>2667</v>
      </c>
      <c r="F905" s="1" t="s">
        <v>3394</v>
      </c>
      <c r="H905" s="1" t="s">
        <v>3647</v>
      </c>
      <c r="I905" s="1" t="s">
        <v>5120</v>
      </c>
      <c r="J905" s="1" t="s">
        <v>1340</v>
      </c>
    </row>
    <row r="906">
      <c r="B906" s="1" t="s">
        <v>3649</v>
      </c>
      <c r="C906" s="1" t="s">
        <v>1017</v>
      </c>
      <c r="D906" s="1" t="s">
        <v>3652</v>
      </c>
      <c r="E906" s="1" t="s">
        <v>1924</v>
      </c>
      <c r="F906" s="1" t="s">
        <v>456</v>
      </c>
      <c r="H906" s="1" t="s">
        <v>3650</v>
      </c>
      <c r="I906" s="1" t="s">
        <v>3066</v>
      </c>
      <c r="J906" s="1" t="s">
        <v>2682</v>
      </c>
    </row>
    <row r="907">
      <c r="B907" s="1" t="s">
        <v>2493</v>
      </c>
      <c r="C907" s="1" t="s">
        <v>2642</v>
      </c>
      <c r="D907" s="1" t="s">
        <v>3136</v>
      </c>
      <c r="E907" s="1" t="s">
        <v>3130</v>
      </c>
      <c r="F907" s="1" t="s">
        <v>5440</v>
      </c>
      <c r="H907" s="1" t="s">
        <v>3653</v>
      </c>
      <c r="I907" s="1" t="s">
        <v>5087</v>
      </c>
      <c r="J907" s="1" t="s">
        <v>3850</v>
      </c>
    </row>
    <row r="908">
      <c r="B908" s="1" t="s">
        <v>3655</v>
      </c>
      <c r="C908" s="1" t="s">
        <v>3363</v>
      </c>
      <c r="D908" s="1" t="s">
        <v>3656</v>
      </c>
      <c r="E908" s="1" t="s">
        <v>1749</v>
      </c>
      <c r="F908" s="1" t="s">
        <v>2034</v>
      </c>
      <c r="H908" s="1" t="s">
        <v>1390</v>
      </c>
      <c r="I908" s="1" t="s">
        <v>2630</v>
      </c>
      <c r="J908" s="1" t="s">
        <v>2695</v>
      </c>
    </row>
    <row r="909">
      <c r="B909" s="1" t="s">
        <v>259</v>
      </c>
      <c r="C909" s="1" t="s">
        <v>4350</v>
      </c>
      <c r="D909" s="1" t="s">
        <v>3657</v>
      </c>
      <c r="E909" s="1" t="s">
        <v>2833</v>
      </c>
      <c r="F909" s="1" t="s">
        <v>178</v>
      </c>
      <c r="H909" s="1" t="s">
        <v>1654</v>
      </c>
      <c r="I909" s="1" t="s">
        <v>2634</v>
      </c>
      <c r="J909" s="1" t="s">
        <v>2698</v>
      </c>
    </row>
    <row r="910">
      <c r="B910" s="1" t="s">
        <v>561</v>
      </c>
      <c r="C910" s="1" t="s">
        <v>4352</v>
      </c>
      <c r="D910" s="1" t="s">
        <v>2173</v>
      </c>
      <c r="E910" s="1" t="s">
        <v>2672</v>
      </c>
      <c r="F910" s="1" t="s">
        <v>6409</v>
      </c>
      <c r="H910" s="1" t="s">
        <v>3658</v>
      </c>
      <c r="I910" s="1" t="s">
        <v>6407</v>
      </c>
      <c r="J910" s="1" t="s">
        <v>1355</v>
      </c>
    </row>
    <row r="911">
      <c r="B911" s="1" t="s">
        <v>2537</v>
      </c>
      <c r="C911" s="1" t="s">
        <v>4358</v>
      </c>
      <c r="D911" s="1" t="s">
        <v>3663</v>
      </c>
      <c r="E911" s="1" t="s">
        <v>489</v>
      </c>
      <c r="F911" s="1" t="s">
        <v>3409</v>
      </c>
      <c r="H911" s="1" t="s">
        <v>695</v>
      </c>
      <c r="I911" s="1" t="s">
        <v>1157</v>
      </c>
      <c r="J911" s="1" t="s">
        <v>898</v>
      </c>
    </row>
    <row r="912">
      <c r="B912" s="1" t="s">
        <v>2538</v>
      </c>
      <c r="C912" s="1" t="s">
        <v>4359</v>
      </c>
      <c r="D912" s="1" t="s">
        <v>3142</v>
      </c>
      <c r="E912" s="1" t="s">
        <v>3146</v>
      </c>
      <c r="F912" s="1" t="s">
        <v>437</v>
      </c>
      <c r="H912" s="1" t="s">
        <v>3664</v>
      </c>
      <c r="I912" s="1" t="s">
        <v>2638</v>
      </c>
      <c r="J912" s="1" t="s">
        <v>3858</v>
      </c>
    </row>
    <row r="913">
      <c r="B913" s="1" t="s">
        <v>1218</v>
      </c>
      <c r="C913" s="1" t="s">
        <v>2836</v>
      </c>
      <c r="D913" s="1" t="s">
        <v>2177</v>
      </c>
      <c r="E913" s="1" t="s">
        <v>3152</v>
      </c>
      <c r="F913" s="1" t="s">
        <v>2040</v>
      </c>
      <c r="H913" s="1" t="s">
        <v>1668</v>
      </c>
      <c r="I913" s="1" t="s">
        <v>1866</v>
      </c>
      <c r="J913" s="1" t="s">
        <v>2608</v>
      </c>
    </row>
    <row r="914">
      <c r="B914" s="1" t="s">
        <v>1289</v>
      </c>
      <c r="C914" s="1" t="s">
        <v>4361</v>
      </c>
      <c r="D914" s="1" t="s">
        <v>508</v>
      </c>
      <c r="E914" s="1" t="s">
        <v>6343</v>
      </c>
      <c r="F914" s="1" t="s">
        <v>860</v>
      </c>
      <c r="H914" s="1" t="s">
        <v>3667</v>
      </c>
      <c r="I914" s="1" t="s">
        <v>2646</v>
      </c>
      <c r="J914" s="1" t="s">
        <v>4353</v>
      </c>
    </row>
    <row r="915">
      <c r="B915" s="1" t="s">
        <v>3669</v>
      </c>
      <c r="C915" s="1" t="s">
        <v>4362</v>
      </c>
      <c r="D915" s="1" t="s">
        <v>2183</v>
      </c>
      <c r="E915" s="1" t="s">
        <v>1931</v>
      </c>
      <c r="F915" s="1" t="s">
        <v>6410</v>
      </c>
      <c r="H915" s="1" t="s">
        <v>3670</v>
      </c>
      <c r="I915" s="1" t="s">
        <v>1797</v>
      </c>
      <c r="J915" s="1" t="s">
        <v>6411</v>
      </c>
    </row>
    <row r="916">
      <c r="B916" s="1" t="s">
        <v>3671</v>
      </c>
      <c r="C916" s="1" t="s">
        <v>2417</v>
      </c>
      <c r="D916" s="1" t="s">
        <v>517</v>
      </c>
      <c r="E916" s="1" t="s">
        <v>1918</v>
      </c>
      <c r="F916" s="1" t="s">
        <v>2865</v>
      </c>
      <c r="H916" s="1" t="s">
        <v>1755</v>
      </c>
      <c r="I916" s="1" t="s">
        <v>1887</v>
      </c>
      <c r="J916" s="1" t="s">
        <v>5152</v>
      </c>
    </row>
    <row r="917">
      <c r="B917" s="1" t="s">
        <v>2502</v>
      </c>
      <c r="C917" s="1" t="s">
        <v>4367</v>
      </c>
      <c r="D917" s="1" t="s">
        <v>2186</v>
      </c>
      <c r="E917" s="1" t="s">
        <v>4993</v>
      </c>
      <c r="F917" s="1" t="s">
        <v>2063</v>
      </c>
      <c r="H917" s="1" t="s">
        <v>3673</v>
      </c>
      <c r="I917" s="1" t="s">
        <v>1901</v>
      </c>
      <c r="J917" s="1" t="s">
        <v>3867</v>
      </c>
    </row>
    <row r="918">
      <c r="B918" s="1" t="s">
        <v>774</v>
      </c>
      <c r="C918" s="1" t="s">
        <v>4019</v>
      </c>
      <c r="D918" s="1" t="s">
        <v>2188</v>
      </c>
      <c r="E918" s="1" t="s">
        <v>2474</v>
      </c>
      <c r="F918" s="1" t="s">
        <v>543</v>
      </c>
      <c r="H918" s="1" t="s">
        <v>3674</v>
      </c>
      <c r="I918" s="1" t="s">
        <v>3118</v>
      </c>
      <c r="J918" s="1" t="s">
        <v>2231</v>
      </c>
    </row>
    <row r="919">
      <c r="B919" s="1" t="s">
        <v>2546</v>
      </c>
      <c r="C919" s="1" t="s">
        <v>2102</v>
      </c>
      <c r="D919" s="1" t="s">
        <v>3679</v>
      </c>
      <c r="E919" s="1" t="s">
        <v>1690</v>
      </c>
      <c r="F919" s="1" t="s">
        <v>2047</v>
      </c>
      <c r="H919" s="1" t="s">
        <v>1415</v>
      </c>
      <c r="I919" s="1" t="s">
        <v>474</v>
      </c>
      <c r="J919" s="1" t="s">
        <v>4366</v>
      </c>
    </row>
    <row r="920">
      <c r="B920" s="1" t="s">
        <v>820</v>
      </c>
      <c r="C920" s="1" t="s">
        <v>4381</v>
      </c>
      <c r="D920" s="1" t="s">
        <v>971</v>
      </c>
      <c r="E920" s="1" t="s">
        <v>1928</v>
      </c>
      <c r="F920" s="1" t="s">
        <v>2050</v>
      </c>
      <c r="H920" s="1" t="s">
        <v>346</v>
      </c>
      <c r="I920" s="1" t="s">
        <v>1910</v>
      </c>
      <c r="J920" s="1" t="s">
        <v>1312</v>
      </c>
    </row>
    <row r="921">
      <c r="B921" s="1" t="s">
        <v>3680</v>
      </c>
      <c r="C921" s="1" t="s">
        <v>4386</v>
      </c>
      <c r="D921" s="1" t="s">
        <v>2214</v>
      </c>
      <c r="E921" s="1" t="s">
        <v>3356</v>
      </c>
      <c r="F921" s="1" t="s">
        <v>2048</v>
      </c>
      <c r="H921" s="1" t="s">
        <v>338</v>
      </c>
      <c r="I921" s="1" t="s">
        <v>1924</v>
      </c>
      <c r="J921" s="1" t="s">
        <v>2628</v>
      </c>
    </row>
    <row r="922">
      <c r="B922" s="1" t="s">
        <v>3682</v>
      </c>
      <c r="C922" s="1" t="s">
        <v>4232</v>
      </c>
      <c r="D922" s="1" t="s">
        <v>3362</v>
      </c>
      <c r="E922" s="1" t="s">
        <v>6412</v>
      </c>
      <c r="F922" s="1" t="s">
        <v>1249</v>
      </c>
      <c r="H922" s="1" t="s">
        <v>3683</v>
      </c>
      <c r="I922" s="1" t="s">
        <v>3130</v>
      </c>
      <c r="J922" s="1" t="s">
        <v>3884</v>
      </c>
    </row>
    <row r="923">
      <c r="B923" s="1" t="s">
        <v>2518</v>
      </c>
      <c r="C923" s="1" t="s">
        <v>3088</v>
      </c>
      <c r="D923" s="1" t="s">
        <v>526</v>
      </c>
      <c r="E923" s="1" t="s">
        <v>2708</v>
      </c>
      <c r="F923" s="1" t="s">
        <v>3427</v>
      </c>
      <c r="H923" s="1" t="s">
        <v>3684</v>
      </c>
      <c r="I923" s="1" t="s">
        <v>1749</v>
      </c>
      <c r="J923" s="1" t="s">
        <v>1281</v>
      </c>
    </row>
    <row r="924">
      <c r="B924" s="1" t="s">
        <v>2522</v>
      </c>
      <c r="C924" s="1" t="s">
        <v>4394</v>
      </c>
      <c r="D924" s="1" t="s">
        <v>1582</v>
      </c>
      <c r="E924" s="1" t="s">
        <v>2703</v>
      </c>
      <c r="F924" s="1" t="s">
        <v>551</v>
      </c>
      <c r="H924" s="1" t="s">
        <v>3686</v>
      </c>
      <c r="I924" s="1" t="s">
        <v>2833</v>
      </c>
      <c r="J924" s="1" t="s">
        <v>2734</v>
      </c>
    </row>
    <row r="925">
      <c r="B925" s="1" t="s">
        <v>3687</v>
      </c>
      <c r="C925" s="1" t="s">
        <v>1391</v>
      </c>
      <c r="D925" s="1" t="s">
        <v>3167</v>
      </c>
      <c r="E925" s="1" t="s">
        <v>1766</v>
      </c>
      <c r="F925" s="1" t="s">
        <v>2888</v>
      </c>
      <c r="H925" s="1" t="s">
        <v>268</v>
      </c>
      <c r="I925" s="1" t="s">
        <v>2672</v>
      </c>
      <c r="J925" s="1" t="s">
        <v>928</v>
      </c>
    </row>
    <row r="926">
      <c r="B926" s="1" t="s">
        <v>3689</v>
      </c>
      <c r="C926" s="1" t="s">
        <v>2767</v>
      </c>
      <c r="D926" s="1" t="s">
        <v>3693</v>
      </c>
      <c r="E926" s="1" t="s">
        <v>168</v>
      </c>
      <c r="F926" s="1" t="s">
        <v>3435</v>
      </c>
      <c r="H926" s="1" t="s">
        <v>3690</v>
      </c>
      <c r="I926" s="1" t="s">
        <v>489</v>
      </c>
      <c r="J926" s="1" t="s">
        <v>4391</v>
      </c>
    </row>
    <row r="927">
      <c r="B927" s="1" t="s">
        <v>654</v>
      </c>
      <c r="C927" s="1" t="s">
        <v>1184</v>
      </c>
      <c r="D927" s="1" t="s">
        <v>1939</v>
      </c>
      <c r="E927" s="1" t="s">
        <v>3185</v>
      </c>
      <c r="F927" s="1" t="s">
        <v>464</v>
      </c>
      <c r="H927" s="1" t="s">
        <v>574</v>
      </c>
      <c r="I927" s="1" t="s">
        <v>3152</v>
      </c>
      <c r="J927" s="1" t="s">
        <v>2642</v>
      </c>
    </row>
    <row r="928">
      <c r="B928" s="1" t="s">
        <v>1118</v>
      </c>
      <c r="C928" s="1" t="s">
        <v>3512</v>
      </c>
      <c r="D928" s="1" t="s">
        <v>2219</v>
      </c>
      <c r="E928" s="1" t="s">
        <v>2005</v>
      </c>
      <c r="F928" s="1" t="s">
        <v>560</v>
      </c>
      <c r="H928" s="1" t="s">
        <v>2552</v>
      </c>
      <c r="I928" s="1" t="s">
        <v>6343</v>
      </c>
      <c r="J928" s="1" t="s">
        <v>823</v>
      </c>
    </row>
    <row r="929">
      <c r="B929" s="1" t="s">
        <v>3697</v>
      </c>
      <c r="C929" s="1" t="s">
        <v>4397</v>
      </c>
      <c r="D929" s="1" t="s">
        <v>2200</v>
      </c>
      <c r="E929" s="1" t="s">
        <v>3419</v>
      </c>
      <c r="F929" s="1" t="s">
        <v>3442</v>
      </c>
      <c r="H929" s="1" t="s">
        <v>1433</v>
      </c>
      <c r="I929" s="1" t="s">
        <v>1918</v>
      </c>
      <c r="J929" s="1" t="s">
        <v>718</v>
      </c>
    </row>
    <row r="930">
      <c r="B930" s="1" t="s">
        <v>3699</v>
      </c>
      <c r="C930" s="1" t="s">
        <v>4113</v>
      </c>
      <c r="D930" s="1" t="s">
        <v>2132</v>
      </c>
      <c r="E930" s="1" t="s">
        <v>830</v>
      </c>
      <c r="F930" s="1" t="s">
        <v>2061</v>
      </c>
      <c r="H930" s="1" t="s">
        <v>1630</v>
      </c>
      <c r="I930" s="1" t="s">
        <v>4993</v>
      </c>
      <c r="J930" s="1" t="s">
        <v>4544</v>
      </c>
    </row>
    <row r="931">
      <c r="B931" s="1" t="s">
        <v>3702</v>
      </c>
      <c r="C931" s="1" t="s">
        <v>2875</v>
      </c>
      <c r="D931" s="1" t="s">
        <v>3440</v>
      </c>
      <c r="E931" s="1" t="s">
        <v>1944</v>
      </c>
      <c r="F931" s="1" t="s">
        <v>3071</v>
      </c>
      <c r="H931" s="1" t="s">
        <v>3703</v>
      </c>
      <c r="I931" s="1" t="s">
        <v>2474</v>
      </c>
      <c r="J931" s="1" t="s">
        <v>2648</v>
      </c>
    </row>
    <row r="932">
      <c r="B932" s="1" t="s">
        <v>1241</v>
      </c>
      <c r="C932" s="1" t="s">
        <v>4403</v>
      </c>
      <c r="D932" s="1" t="s">
        <v>2209</v>
      </c>
      <c r="E932" s="1" t="s">
        <v>1973</v>
      </c>
      <c r="F932" s="1" t="s">
        <v>2905</v>
      </c>
      <c r="H932" s="1" t="s">
        <v>3705</v>
      </c>
      <c r="I932" s="1" t="s">
        <v>1690</v>
      </c>
      <c r="J932" s="1" t="s">
        <v>2749</v>
      </c>
    </row>
    <row r="933">
      <c r="B933" s="1" t="s">
        <v>1245</v>
      </c>
      <c r="C933" s="1" t="s">
        <v>4406</v>
      </c>
      <c r="D933" s="1" t="s">
        <v>2205</v>
      </c>
      <c r="E933" s="1" t="s">
        <v>6396</v>
      </c>
      <c r="F933" s="1" t="s">
        <v>871</v>
      </c>
      <c r="H933" s="1" t="s">
        <v>3708</v>
      </c>
      <c r="I933" s="1" t="s">
        <v>3356</v>
      </c>
      <c r="J933" s="1" t="s">
        <v>1781</v>
      </c>
    </row>
    <row r="934">
      <c r="B934" s="1" t="s">
        <v>2560</v>
      </c>
      <c r="C934" s="1" t="s">
        <v>4407</v>
      </c>
      <c r="D934" s="1" t="s">
        <v>2212</v>
      </c>
      <c r="E934" s="1" t="s">
        <v>2725</v>
      </c>
      <c r="F934" s="1" t="s">
        <v>2060</v>
      </c>
      <c r="H934" s="1" t="s">
        <v>2582</v>
      </c>
      <c r="I934" s="1" t="s">
        <v>6412</v>
      </c>
      <c r="J934" s="1" t="s">
        <v>4420</v>
      </c>
    </row>
    <row r="935">
      <c r="B935" s="1" t="s">
        <v>2563</v>
      </c>
      <c r="C935" s="1" t="s">
        <v>4410</v>
      </c>
      <c r="D935" s="1" t="s">
        <v>2247</v>
      </c>
      <c r="E935" s="1" t="s">
        <v>3484</v>
      </c>
      <c r="F935" s="1" t="s">
        <v>1032</v>
      </c>
      <c r="H935" s="1" t="s">
        <v>2588</v>
      </c>
      <c r="I935" s="1" t="s">
        <v>2708</v>
      </c>
      <c r="J935" s="1" t="s">
        <v>2751</v>
      </c>
    </row>
    <row r="936">
      <c r="B936" s="1" t="s">
        <v>3711</v>
      </c>
      <c r="C936" s="1" t="s">
        <v>4411</v>
      </c>
      <c r="D936" s="1" t="s">
        <v>2216</v>
      </c>
      <c r="E936" s="1" t="s">
        <v>3212</v>
      </c>
      <c r="F936" s="1" t="s">
        <v>2068</v>
      </c>
      <c r="H936" s="1" t="s">
        <v>3712</v>
      </c>
      <c r="I936" s="1" t="s">
        <v>2703</v>
      </c>
      <c r="J936" s="1" t="s">
        <v>2753</v>
      </c>
    </row>
    <row r="937">
      <c r="B937" s="1" t="s">
        <v>3713</v>
      </c>
      <c r="C937" s="1" t="s">
        <v>4413</v>
      </c>
      <c r="D937" s="1" t="s">
        <v>628</v>
      </c>
      <c r="E937" s="1" t="s">
        <v>3590</v>
      </c>
      <c r="F937" s="1" t="s">
        <v>2072</v>
      </c>
      <c r="H937" s="1" t="s">
        <v>3714</v>
      </c>
      <c r="I937" s="1" t="s">
        <v>1766</v>
      </c>
      <c r="J937" s="1" t="s">
        <v>3929</v>
      </c>
    </row>
    <row r="938">
      <c r="B938" s="1" t="s">
        <v>1252</v>
      </c>
      <c r="C938" s="1" t="s">
        <v>4415</v>
      </c>
      <c r="D938" s="1" t="s">
        <v>2228</v>
      </c>
      <c r="E938" s="1" t="s">
        <v>3488</v>
      </c>
      <c r="F938" s="1" t="s">
        <v>2078</v>
      </c>
      <c r="H938" s="1" t="s">
        <v>2619</v>
      </c>
      <c r="I938" s="1" t="s">
        <v>168</v>
      </c>
      <c r="J938" s="1" t="s">
        <v>4614</v>
      </c>
    </row>
    <row r="939">
      <c r="B939" s="1" t="s">
        <v>3716</v>
      </c>
      <c r="C939" s="1" t="s">
        <v>4421</v>
      </c>
      <c r="D939" s="1" t="s">
        <v>882</v>
      </c>
      <c r="E939" s="1" t="s">
        <v>2412</v>
      </c>
      <c r="F939" s="1" t="s">
        <v>2928</v>
      </c>
      <c r="H939" s="1" t="s">
        <v>3717</v>
      </c>
      <c r="I939" s="1" t="s">
        <v>3185</v>
      </c>
      <c r="J939" s="1" t="s">
        <v>2769</v>
      </c>
    </row>
    <row r="940">
      <c r="B940" s="1" t="s">
        <v>3718</v>
      </c>
      <c r="C940" s="1" t="s">
        <v>4423</v>
      </c>
      <c r="D940" s="1" t="s">
        <v>3188</v>
      </c>
      <c r="E940" s="1" t="s">
        <v>3492</v>
      </c>
      <c r="F940" s="1" t="s">
        <v>2081</v>
      </c>
      <c r="H940" s="1" t="s">
        <v>2627</v>
      </c>
      <c r="I940" s="1" t="s">
        <v>2005</v>
      </c>
      <c r="J940" s="1" t="s">
        <v>4620</v>
      </c>
    </row>
    <row r="941">
      <c r="B941" s="1" t="s">
        <v>2574</v>
      </c>
      <c r="C941" s="1" t="s">
        <v>545</v>
      </c>
      <c r="D941" s="1" t="s">
        <v>2220</v>
      </c>
      <c r="E941" s="1" t="s">
        <v>6398</v>
      </c>
      <c r="F941" s="1" t="s">
        <v>3474</v>
      </c>
      <c r="H941" s="1" t="s">
        <v>3720</v>
      </c>
      <c r="I941" s="1" t="s">
        <v>3419</v>
      </c>
      <c r="J941" s="1" t="s">
        <v>3943</v>
      </c>
    </row>
    <row r="942">
      <c r="B942" s="1" t="s">
        <v>2569</v>
      </c>
      <c r="C942" s="1" t="s">
        <v>3491</v>
      </c>
      <c r="D942" s="1" t="s">
        <v>2223</v>
      </c>
      <c r="E942" s="1" t="s">
        <v>6399</v>
      </c>
      <c r="F942" s="1" t="s">
        <v>1456</v>
      </c>
      <c r="H942" s="1" t="s">
        <v>1288</v>
      </c>
      <c r="I942" s="1" t="s">
        <v>830</v>
      </c>
      <c r="J942" s="1" t="s">
        <v>744</v>
      </c>
    </row>
    <row r="943">
      <c r="B943" s="1" t="s">
        <v>3723</v>
      </c>
      <c r="C943" s="1" t="s">
        <v>4427</v>
      </c>
      <c r="D943" s="1" t="s">
        <v>2226</v>
      </c>
      <c r="E943" s="1" t="s">
        <v>1951</v>
      </c>
      <c r="F943" s="1" t="s">
        <v>878</v>
      </c>
      <c r="H943" s="1" t="s">
        <v>504</v>
      </c>
      <c r="I943" s="1" t="s">
        <v>1944</v>
      </c>
      <c r="J943" s="1" t="s">
        <v>3947</v>
      </c>
    </row>
    <row r="944">
      <c r="B944" s="1" t="s">
        <v>1260</v>
      </c>
      <c r="C944" s="1" t="s">
        <v>4430</v>
      </c>
      <c r="D944" s="1" t="s">
        <v>2230</v>
      </c>
      <c r="E944" s="1" t="s">
        <v>1957</v>
      </c>
      <c r="F944" s="1" t="s">
        <v>2087</v>
      </c>
      <c r="H944" s="1" t="s">
        <v>2655</v>
      </c>
      <c r="I944" s="1" t="s">
        <v>6396</v>
      </c>
      <c r="J944" s="1" t="s">
        <v>3951</v>
      </c>
    </row>
    <row r="945">
      <c r="B945" s="1" t="s">
        <v>1266</v>
      </c>
      <c r="C945" s="1" t="s">
        <v>4435</v>
      </c>
      <c r="D945" s="1" t="s">
        <v>636</v>
      </c>
      <c r="E945" s="1" t="s">
        <v>4636</v>
      </c>
      <c r="F945" s="1" t="s">
        <v>3511</v>
      </c>
      <c r="H945" s="1" t="s">
        <v>2713</v>
      </c>
      <c r="I945" s="1" t="s">
        <v>2725</v>
      </c>
      <c r="J945" s="1" t="s">
        <v>3955</v>
      </c>
    </row>
    <row r="946">
      <c r="B946" s="1" t="s">
        <v>2541</v>
      </c>
      <c r="C946" s="1" t="s">
        <v>3427</v>
      </c>
      <c r="D946" s="1" t="s">
        <v>885</v>
      </c>
      <c r="E946" s="1" t="s">
        <v>5084</v>
      </c>
      <c r="F946" s="1" t="s">
        <v>1783</v>
      </c>
      <c r="H946" s="1" t="s">
        <v>3726</v>
      </c>
      <c r="I946" s="1" t="s">
        <v>3484</v>
      </c>
      <c r="J946" s="1" t="s">
        <v>4638</v>
      </c>
    </row>
    <row r="947">
      <c r="B947" s="1" t="s">
        <v>3728</v>
      </c>
      <c r="C947" s="1" t="s">
        <v>1745</v>
      </c>
      <c r="D947" s="1" t="s">
        <v>985</v>
      </c>
      <c r="E947" s="1" t="s">
        <v>2532</v>
      </c>
      <c r="F947" s="1" t="s">
        <v>6413</v>
      </c>
      <c r="H947" s="1" t="s">
        <v>3729</v>
      </c>
      <c r="I947" s="1" t="s">
        <v>3212</v>
      </c>
      <c r="J947" s="1" t="s">
        <v>3966</v>
      </c>
    </row>
    <row r="948">
      <c r="B948" s="1" t="s">
        <v>2112</v>
      </c>
      <c r="C948" s="1">
        <v>1957.0</v>
      </c>
      <c r="D948" s="1" t="s">
        <v>154</v>
      </c>
      <c r="E948" s="1" t="s">
        <v>1986</v>
      </c>
      <c r="F948" s="1" t="s">
        <v>29</v>
      </c>
      <c r="H948" s="1" t="s">
        <v>1735</v>
      </c>
      <c r="I948" s="1" t="s">
        <v>3590</v>
      </c>
      <c r="J948" s="1" t="s">
        <v>762</v>
      </c>
    </row>
    <row r="949">
      <c r="B949" s="1" t="s">
        <v>826</v>
      </c>
      <c r="C949" s="1" t="s">
        <v>76</v>
      </c>
      <c r="D949" s="1" t="s">
        <v>3733</v>
      </c>
      <c r="E949" s="1" t="s">
        <v>6414</v>
      </c>
      <c r="F949" s="1" t="s">
        <v>297</v>
      </c>
      <c r="H949" s="1" t="s">
        <v>1387</v>
      </c>
      <c r="I949" s="1" t="s">
        <v>2412</v>
      </c>
      <c r="J949" s="1" t="s">
        <v>4463</v>
      </c>
    </row>
    <row r="950">
      <c r="B950" s="1" t="s">
        <v>2580</v>
      </c>
      <c r="C950" s="1" t="s">
        <v>4445</v>
      </c>
      <c r="D950" s="1" t="s">
        <v>2237</v>
      </c>
      <c r="E950" s="1" t="s">
        <v>2737</v>
      </c>
      <c r="F950" s="1" t="s">
        <v>2198</v>
      </c>
      <c r="H950" s="1">
        <v>94.0</v>
      </c>
      <c r="I950" s="1" t="s">
        <v>3492</v>
      </c>
      <c r="J950" s="1" t="s">
        <v>2676</v>
      </c>
    </row>
    <row r="951">
      <c r="B951" s="1" t="s">
        <v>3736</v>
      </c>
      <c r="C951" s="1" t="s">
        <v>4456</v>
      </c>
      <c r="D951" s="1" t="s">
        <v>2241</v>
      </c>
      <c r="E951" s="1" t="s">
        <v>2740</v>
      </c>
      <c r="F951" s="1" t="s">
        <v>3491</v>
      </c>
      <c r="H951" s="1" t="s">
        <v>3737</v>
      </c>
      <c r="I951" s="1" t="s">
        <v>6398</v>
      </c>
      <c r="J951" s="1" t="s">
        <v>294</v>
      </c>
    </row>
    <row r="952">
      <c r="B952" s="1" t="s">
        <v>1271</v>
      </c>
      <c r="C952" s="1" t="s">
        <v>4033</v>
      </c>
      <c r="D952" s="1" t="s">
        <v>2243</v>
      </c>
      <c r="E952" s="1" t="s">
        <v>3243</v>
      </c>
      <c r="F952" s="1" t="s">
        <v>1561</v>
      </c>
      <c r="H952" s="1" t="s">
        <v>835</v>
      </c>
      <c r="I952" s="1" t="s">
        <v>6399</v>
      </c>
      <c r="J952" s="1" t="s">
        <v>2804</v>
      </c>
    </row>
    <row r="953">
      <c r="B953" s="1" t="s">
        <v>2586</v>
      </c>
      <c r="C953" s="1" t="s">
        <v>4460</v>
      </c>
      <c r="D953" s="1" t="s">
        <v>643</v>
      </c>
      <c r="E953" s="1" t="s">
        <v>2218</v>
      </c>
      <c r="F953" s="1" t="s">
        <v>3498</v>
      </c>
      <c r="H953" s="1" t="s">
        <v>3741</v>
      </c>
      <c r="I953" s="1" t="s">
        <v>1951</v>
      </c>
      <c r="J953" s="1" t="s">
        <v>2807</v>
      </c>
    </row>
    <row r="954">
      <c r="B954" s="1" t="s">
        <v>2589</v>
      </c>
      <c r="C954" s="1" t="s">
        <v>4461</v>
      </c>
      <c r="D954" s="1" t="s">
        <v>648</v>
      </c>
      <c r="E954" s="1" t="s">
        <v>2083</v>
      </c>
      <c r="F954" s="1" t="s">
        <v>2092</v>
      </c>
      <c r="H954" s="1" t="s">
        <v>3744</v>
      </c>
      <c r="I954" s="1" t="s">
        <v>1957</v>
      </c>
      <c r="J954" s="1" t="s">
        <v>3826</v>
      </c>
    </row>
    <row r="955">
      <c r="B955" s="1" t="s">
        <v>2592</v>
      </c>
      <c r="C955" s="1" t="s">
        <v>2672</v>
      </c>
      <c r="D955" s="1" t="s">
        <v>3747</v>
      </c>
      <c r="E955" s="1" t="s">
        <v>1989</v>
      </c>
      <c r="F955" s="1" t="s">
        <v>472</v>
      </c>
      <c r="H955" s="1" t="s">
        <v>750</v>
      </c>
      <c r="I955" s="1" t="s">
        <v>4636</v>
      </c>
      <c r="J955" s="1" t="s">
        <v>1591</v>
      </c>
    </row>
    <row r="956">
      <c r="B956" s="1" t="s">
        <v>1278</v>
      </c>
      <c r="C956" s="1" t="s">
        <v>1632</v>
      </c>
      <c r="D956" s="1" t="s">
        <v>3583</v>
      </c>
      <c r="E956" s="1" t="s">
        <v>6401</v>
      </c>
      <c r="F956" s="1" t="s">
        <v>2085</v>
      </c>
      <c r="H956" s="1" t="s">
        <v>2724</v>
      </c>
      <c r="I956" s="1" t="s">
        <v>5084</v>
      </c>
      <c r="J956" s="1" t="s">
        <v>4000</v>
      </c>
    </row>
    <row r="957">
      <c r="B957" s="1" t="s">
        <v>1285</v>
      </c>
      <c r="C957" s="1" t="s">
        <v>4465</v>
      </c>
      <c r="D957" s="1" t="s">
        <v>2253</v>
      </c>
      <c r="E957" s="1" t="s">
        <v>1168</v>
      </c>
      <c r="F957" s="1" t="s">
        <v>552</v>
      </c>
      <c r="H957" s="1" t="s">
        <v>3749</v>
      </c>
      <c r="I957" s="1" t="s">
        <v>2532</v>
      </c>
      <c r="J957" s="1" t="s">
        <v>5733</v>
      </c>
    </row>
    <row r="958">
      <c r="B958" s="1" t="s">
        <v>2140</v>
      </c>
      <c r="C958" s="1" t="s">
        <v>4467</v>
      </c>
      <c r="D958" s="1" t="s">
        <v>3751</v>
      </c>
      <c r="E958" s="1" t="s">
        <v>1299</v>
      </c>
      <c r="F958" s="1" t="s">
        <v>480</v>
      </c>
      <c r="H958" s="1" t="s">
        <v>1475</v>
      </c>
      <c r="I958" s="1" t="s">
        <v>6414</v>
      </c>
      <c r="J958" s="1" t="s">
        <v>2816</v>
      </c>
    </row>
    <row r="959">
      <c r="B959" s="1" t="s">
        <v>3752</v>
      </c>
      <c r="C959" s="1" t="s">
        <v>4469</v>
      </c>
      <c r="D959" s="1" t="s">
        <v>2300</v>
      </c>
      <c r="E959" s="1" t="s">
        <v>6415</v>
      </c>
      <c r="F959" s="1" t="s">
        <v>3509</v>
      </c>
      <c r="H959" s="1" t="s">
        <v>3753</v>
      </c>
      <c r="I959" s="1" t="s">
        <v>2737</v>
      </c>
      <c r="J959" s="1" t="s">
        <v>2819</v>
      </c>
    </row>
    <row r="960">
      <c r="B960" s="1" t="s">
        <v>834</v>
      </c>
      <c r="C960" s="1" t="s">
        <v>2579</v>
      </c>
      <c r="D960" s="1" t="s">
        <v>2257</v>
      </c>
      <c r="E960" s="1" t="s">
        <v>2752</v>
      </c>
      <c r="F960" s="1" t="s">
        <v>4857</v>
      </c>
      <c r="H960" s="1" t="s">
        <v>3754</v>
      </c>
      <c r="I960" s="1" t="s">
        <v>2740</v>
      </c>
      <c r="J960" s="1" t="s">
        <v>4485</v>
      </c>
    </row>
    <row r="961">
      <c r="B961" s="1" t="s">
        <v>2549</v>
      </c>
      <c r="C961" s="1" t="s">
        <v>3361</v>
      </c>
      <c r="D961" s="1" t="s">
        <v>533</v>
      </c>
      <c r="E961" s="1" t="s">
        <v>6416</v>
      </c>
      <c r="F961" s="1" t="s">
        <v>3516</v>
      </c>
      <c r="H961" s="1" t="s">
        <v>3756</v>
      </c>
      <c r="I961" s="1" t="s">
        <v>3243</v>
      </c>
      <c r="J961" s="1" t="s">
        <v>2705</v>
      </c>
    </row>
    <row r="962">
      <c r="B962" s="1" t="s">
        <v>3757</v>
      </c>
      <c r="C962" s="1" t="s">
        <v>4470</v>
      </c>
      <c r="D962" s="1" t="s">
        <v>2255</v>
      </c>
      <c r="E962" s="1" t="s">
        <v>2755</v>
      </c>
      <c r="F962" s="1" t="s">
        <v>2980</v>
      </c>
      <c r="H962" s="1" t="s">
        <v>1286</v>
      </c>
      <c r="I962" s="1" t="s">
        <v>2218</v>
      </c>
      <c r="J962" s="1" t="s">
        <v>4008</v>
      </c>
    </row>
    <row r="963">
      <c r="B963" s="1" t="s">
        <v>2605</v>
      </c>
      <c r="C963" s="1" t="s">
        <v>4008</v>
      </c>
      <c r="D963" s="1" t="s">
        <v>2258</v>
      </c>
      <c r="E963" s="1" t="s">
        <v>5095</v>
      </c>
      <c r="F963" s="1" t="s">
        <v>2982</v>
      </c>
      <c r="H963" s="1" t="s">
        <v>1371</v>
      </c>
      <c r="I963" s="1" t="s">
        <v>1414</v>
      </c>
      <c r="J963" s="1" t="s">
        <v>921</v>
      </c>
    </row>
    <row r="964">
      <c r="B964" s="1" t="s">
        <v>2602</v>
      </c>
      <c r="C964" s="1" t="s">
        <v>4473</v>
      </c>
      <c r="D964" s="1" t="s">
        <v>1002</v>
      </c>
      <c r="E964" s="1" t="s">
        <v>3256</v>
      </c>
      <c r="F964" s="1" t="s">
        <v>804</v>
      </c>
      <c r="H964" s="1" t="s">
        <v>3762</v>
      </c>
      <c r="I964" s="1">
        <v>4.0</v>
      </c>
      <c r="J964" s="1" t="s">
        <v>1426</v>
      </c>
    </row>
    <row r="965">
      <c r="B965" s="1" t="s">
        <v>1846</v>
      </c>
      <c r="C965" s="1" t="s">
        <v>4474</v>
      </c>
      <c r="D965" s="1" t="s">
        <v>2264</v>
      </c>
      <c r="E965" s="1" t="s">
        <v>3253</v>
      </c>
      <c r="F965" s="1" t="s">
        <v>6417</v>
      </c>
      <c r="H965" s="1" t="s">
        <v>1401</v>
      </c>
      <c r="I965" s="1" t="s">
        <v>2083</v>
      </c>
      <c r="J965" s="1" t="s">
        <v>4018</v>
      </c>
    </row>
    <row r="966">
      <c r="B966" s="1" t="s">
        <v>3764</v>
      </c>
      <c r="C966" s="1" t="s">
        <v>1859</v>
      </c>
      <c r="D966" s="1" t="s">
        <v>1007</v>
      </c>
      <c r="E966" s="1" t="s">
        <v>1971</v>
      </c>
      <c r="F966" s="1" t="s">
        <v>487</v>
      </c>
      <c r="H966" s="1" t="s">
        <v>3765</v>
      </c>
      <c r="I966" s="1" t="s">
        <v>1989</v>
      </c>
      <c r="J966" s="1" t="s">
        <v>2688</v>
      </c>
    </row>
    <row r="967">
      <c r="B967" s="1" t="s">
        <v>3768</v>
      </c>
      <c r="C967" s="1" t="s">
        <v>4307</v>
      </c>
      <c r="D967" s="1" t="s">
        <v>2266</v>
      </c>
      <c r="E967" s="1" t="s">
        <v>2760</v>
      </c>
      <c r="F967" s="1" t="s">
        <v>429</v>
      </c>
      <c r="H967" s="1" t="s">
        <v>3769</v>
      </c>
      <c r="I967" s="1" t="s">
        <v>6401</v>
      </c>
      <c r="J967" s="1" t="s">
        <v>786</v>
      </c>
    </row>
    <row r="968">
      <c r="B968" s="1" t="s">
        <v>671</v>
      </c>
      <c r="C968" s="1" t="s">
        <v>4479</v>
      </c>
      <c r="D968" s="1" t="s">
        <v>2271</v>
      </c>
      <c r="E968" s="1" t="s">
        <v>2765</v>
      </c>
      <c r="F968" s="1" t="s">
        <v>2106</v>
      </c>
      <c r="H968" s="1" t="s">
        <v>3771</v>
      </c>
      <c r="I968" s="1" t="s">
        <v>1168</v>
      </c>
      <c r="J968" s="1" t="s">
        <v>2503</v>
      </c>
    </row>
    <row r="969">
      <c r="B969" s="1" t="s">
        <v>2614</v>
      </c>
      <c r="C969" s="1" t="s">
        <v>4483</v>
      </c>
      <c r="D969" s="1" t="s">
        <v>3774</v>
      </c>
      <c r="E969" s="1" t="s">
        <v>3271</v>
      </c>
      <c r="F969" s="1" t="s">
        <v>3532</v>
      </c>
      <c r="H969" s="1" t="s">
        <v>974</v>
      </c>
      <c r="I969" s="1" t="s">
        <v>1299</v>
      </c>
      <c r="J969" s="1" t="s">
        <v>4033</v>
      </c>
    </row>
    <row r="970">
      <c r="B970" s="1" t="s">
        <v>3775</v>
      </c>
      <c r="C970" s="1" t="s">
        <v>4484</v>
      </c>
      <c r="D970" s="1" t="s">
        <v>170</v>
      </c>
      <c r="E970" s="1">
        <v>1984.0</v>
      </c>
      <c r="F970" s="1" t="s">
        <v>2999</v>
      </c>
      <c r="H970" s="1" t="s">
        <v>3776</v>
      </c>
      <c r="I970" s="1" t="s">
        <v>6415</v>
      </c>
      <c r="J970" s="1" t="s">
        <v>4519</v>
      </c>
    </row>
    <row r="971">
      <c r="B971" s="1" t="s">
        <v>840</v>
      </c>
      <c r="C971" s="1" t="s">
        <v>4486</v>
      </c>
      <c r="D971" s="1" t="s">
        <v>3011</v>
      </c>
      <c r="E971" s="1" t="s">
        <v>3543</v>
      </c>
      <c r="F971" s="1" t="s">
        <v>2110</v>
      </c>
      <c r="H971" s="1" t="s">
        <v>3777</v>
      </c>
      <c r="I971" s="1" t="s">
        <v>2752</v>
      </c>
      <c r="J971" s="1" t="s">
        <v>2704</v>
      </c>
    </row>
    <row r="972">
      <c r="B972" s="1" t="s">
        <v>846</v>
      </c>
      <c r="C972" s="1" t="s">
        <v>4489</v>
      </c>
      <c r="D972" s="1" t="s">
        <v>3780</v>
      </c>
      <c r="E972" s="1" t="s">
        <v>3546</v>
      </c>
      <c r="F972" s="1" t="s">
        <v>2114</v>
      </c>
      <c r="H972" s="1" t="s">
        <v>3778</v>
      </c>
      <c r="I972" s="1" t="s">
        <v>6416</v>
      </c>
      <c r="J972" s="1" t="s">
        <v>4046</v>
      </c>
    </row>
    <row r="973">
      <c r="B973" s="1" t="s">
        <v>3781</v>
      </c>
      <c r="C973" s="1" t="s">
        <v>4491</v>
      </c>
      <c r="D973" s="1" t="s">
        <v>1014</v>
      </c>
      <c r="E973" s="1" t="s">
        <v>6418</v>
      </c>
      <c r="F973" s="1" t="s">
        <v>3014</v>
      </c>
      <c r="H973" s="1" t="s">
        <v>3783</v>
      </c>
      <c r="I973" s="1" t="s">
        <v>2755</v>
      </c>
      <c r="J973" s="1" t="s">
        <v>2853</v>
      </c>
    </row>
    <row r="974">
      <c r="B974" s="1" t="s">
        <v>676</v>
      </c>
      <c r="C974" s="1" t="s">
        <v>1186</v>
      </c>
      <c r="D974" s="1" t="s">
        <v>1024</v>
      </c>
      <c r="E974" s="1" t="s">
        <v>3277</v>
      </c>
      <c r="F974" s="1" t="s">
        <v>2118</v>
      </c>
      <c r="H974" s="1" t="s">
        <v>3784</v>
      </c>
      <c r="I974" s="1" t="s">
        <v>5095</v>
      </c>
      <c r="J974" s="1" t="s">
        <v>4708</v>
      </c>
    </row>
    <row r="975">
      <c r="B975" s="1" t="s">
        <v>3786</v>
      </c>
      <c r="C975" s="1" t="s">
        <v>4418</v>
      </c>
      <c r="D975" s="1" t="s">
        <v>2268</v>
      </c>
      <c r="E975" s="1" t="s">
        <v>6419</v>
      </c>
      <c r="F975" s="1" t="s">
        <v>3027</v>
      </c>
      <c r="H975" s="1" t="s">
        <v>3787</v>
      </c>
      <c r="I975" s="1" t="s">
        <v>3256</v>
      </c>
      <c r="J975" s="1" t="s">
        <v>4710</v>
      </c>
    </row>
    <row r="976">
      <c r="B976" s="1" t="s">
        <v>2625</v>
      </c>
      <c r="C976" s="1" t="s">
        <v>4493</v>
      </c>
      <c r="D976" s="1" t="s">
        <v>3259</v>
      </c>
      <c r="E976" s="1" t="s">
        <v>460</v>
      </c>
      <c r="F976" s="1" t="s">
        <v>494</v>
      </c>
      <c r="H976" s="1" t="s">
        <v>2815</v>
      </c>
      <c r="I976" s="1" t="s">
        <v>3253</v>
      </c>
      <c r="J976" s="1" t="s">
        <v>4053</v>
      </c>
    </row>
    <row r="977">
      <c r="B977" s="1" t="s">
        <v>850</v>
      </c>
      <c r="C977" s="1" t="s">
        <v>4494</v>
      </c>
      <c r="D977" s="1" t="s">
        <v>3792</v>
      </c>
      <c r="E977" s="1" t="s">
        <v>1981</v>
      </c>
      <c r="F977" s="1" t="s">
        <v>912</v>
      </c>
      <c r="H977" s="1" t="s">
        <v>3790</v>
      </c>
      <c r="I977" s="1" t="s">
        <v>1971</v>
      </c>
      <c r="J977" s="1" t="s">
        <v>1451</v>
      </c>
    </row>
    <row r="978">
      <c r="B978" s="1" t="s">
        <v>3793</v>
      </c>
      <c r="C978" s="1" t="s">
        <v>890</v>
      </c>
      <c r="D978" s="1" t="s">
        <v>3794</v>
      </c>
      <c r="E978" s="1" t="s">
        <v>1985</v>
      </c>
      <c r="F978" s="1" t="s">
        <v>3551</v>
      </c>
      <c r="H978" s="1" t="s">
        <v>722</v>
      </c>
      <c r="I978" s="1" t="s">
        <v>2760</v>
      </c>
      <c r="J978" s="1" t="s">
        <v>2858</v>
      </c>
    </row>
    <row r="979">
      <c r="B979" s="1" t="s">
        <v>589</v>
      </c>
      <c r="C979" s="1" t="s">
        <v>4499</v>
      </c>
      <c r="D979" s="1" t="s">
        <v>1029</v>
      </c>
      <c r="E979" s="1" t="s">
        <v>2784</v>
      </c>
      <c r="F979" s="1" t="s">
        <v>1146</v>
      </c>
      <c r="H979" s="1" t="s">
        <v>519</v>
      </c>
      <c r="I979" s="1" t="s">
        <v>2765</v>
      </c>
      <c r="J979" s="1" t="s">
        <v>1513</v>
      </c>
    </row>
    <row r="980">
      <c r="B980" s="1" t="s">
        <v>2564</v>
      </c>
      <c r="C980" s="1" t="s">
        <v>2661</v>
      </c>
      <c r="D980" s="1" t="s">
        <v>747</v>
      </c>
      <c r="E980" s="1" t="s">
        <v>6403</v>
      </c>
      <c r="F980" s="1" t="s">
        <v>420</v>
      </c>
      <c r="H980" s="1" t="s">
        <v>3796</v>
      </c>
      <c r="I980" s="1" t="s">
        <v>3271</v>
      </c>
      <c r="J980" s="1" t="s">
        <v>2709</v>
      </c>
    </row>
    <row r="981">
      <c r="B981" s="1" t="s">
        <v>2633</v>
      </c>
      <c r="C981" s="1" t="s">
        <v>4504</v>
      </c>
      <c r="D981" s="1" t="s">
        <v>2277</v>
      </c>
      <c r="E981" s="1" t="s">
        <v>1990</v>
      </c>
      <c r="F981" s="1" t="s">
        <v>3782</v>
      </c>
      <c r="H981" s="1" t="s">
        <v>3798</v>
      </c>
      <c r="I981" s="1">
        <v>1984.0</v>
      </c>
      <c r="J981" s="1" t="s">
        <v>4056</v>
      </c>
    </row>
    <row r="982">
      <c r="B982" s="1" t="s">
        <v>3801</v>
      </c>
      <c r="C982" s="1" t="s">
        <v>4507</v>
      </c>
      <c r="D982" s="1" t="s">
        <v>2825</v>
      </c>
      <c r="E982" s="1" t="s">
        <v>518</v>
      </c>
      <c r="F982" s="1" t="s">
        <v>920</v>
      </c>
      <c r="H982" s="1" t="s">
        <v>153</v>
      </c>
      <c r="I982" s="1" t="s">
        <v>3543</v>
      </c>
      <c r="J982" s="1" t="s">
        <v>6420</v>
      </c>
    </row>
    <row r="983">
      <c r="B983" s="1" t="s">
        <v>667</v>
      </c>
      <c r="C983" s="1" t="s">
        <v>4512</v>
      </c>
      <c r="D983" s="1" t="s">
        <v>541</v>
      </c>
      <c r="E983" s="1" t="s">
        <v>1996</v>
      </c>
      <c r="F983" s="1" t="s">
        <v>2115</v>
      </c>
      <c r="H983" s="1" t="s">
        <v>2834</v>
      </c>
      <c r="I983" s="1" t="s">
        <v>3546</v>
      </c>
      <c r="J983" s="1" t="s">
        <v>3098</v>
      </c>
    </row>
    <row r="984">
      <c r="B984" s="1" t="s">
        <v>2576</v>
      </c>
      <c r="C984" s="1" t="s">
        <v>1511</v>
      </c>
      <c r="D984" s="1" t="s">
        <v>3804</v>
      </c>
      <c r="E984" s="1" t="s">
        <v>3567</v>
      </c>
      <c r="F984" s="1" t="s">
        <v>144</v>
      </c>
      <c r="H984" s="1" t="s">
        <v>1702</v>
      </c>
      <c r="I984" s="1" t="s">
        <v>6418</v>
      </c>
      <c r="J984" s="1" t="s">
        <v>4062</v>
      </c>
    </row>
    <row r="985">
      <c r="B985" s="1" t="s">
        <v>3805</v>
      </c>
      <c r="C985" s="1" t="s">
        <v>4515</v>
      </c>
      <c r="D985" s="1" t="s">
        <v>3808</v>
      </c>
      <c r="E985" s="1" t="s">
        <v>2278</v>
      </c>
      <c r="F985" s="1" t="s">
        <v>606</v>
      </c>
      <c r="H985" s="1" t="s">
        <v>3806</v>
      </c>
      <c r="I985" s="1" t="s">
        <v>3277</v>
      </c>
      <c r="J985" s="1" t="s">
        <v>2729</v>
      </c>
    </row>
    <row r="986">
      <c r="B986" s="1" t="s">
        <v>866</v>
      </c>
      <c r="C986" s="1" t="s">
        <v>4013</v>
      </c>
      <c r="D986" s="1" t="s">
        <v>2288</v>
      </c>
      <c r="E986" s="1" t="s">
        <v>2004</v>
      </c>
      <c r="F986" s="1" t="s">
        <v>2129</v>
      </c>
      <c r="H986" s="1" t="s">
        <v>1743</v>
      </c>
      <c r="I986" s="1" t="s">
        <v>6419</v>
      </c>
      <c r="J986" s="1" t="s">
        <v>4066</v>
      </c>
    </row>
    <row r="987">
      <c r="B987" s="1" t="s">
        <v>2644</v>
      </c>
      <c r="C987" s="1" t="s">
        <v>663</v>
      </c>
      <c r="D987" s="1" t="s">
        <v>3813</v>
      </c>
      <c r="E987" s="1" t="s">
        <v>6421</v>
      </c>
      <c r="F987" s="1" t="s">
        <v>931</v>
      </c>
      <c r="H987" s="1" t="s">
        <v>3810</v>
      </c>
      <c r="I987" s="1" t="s">
        <v>1981</v>
      </c>
      <c r="J987" s="1" t="s">
        <v>4557</v>
      </c>
    </row>
    <row r="988">
      <c r="B988" s="1" t="s">
        <v>3814</v>
      </c>
      <c r="C988" s="1" t="s">
        <v>2678</v>
      </c>
      <c r="D988" s="1" t="s">
        <v>649</v>
      </c>
      <c r="E988" s="1" t="s">
        <v>2009</v>
      </c>
      <c r="F988" s="1" t="s">
        <v>2147</v>
      </c>
      <c r="H988" s="1" t="s">
        <v>329</v>
      </c>
      <c r="I988" s="1" t="s">
        <v>1985</v>
      </c>
      <c r="J988" s="1" t="s">
        <v>2738</v>
      </c>
    </row>
    <row r="989">
      <c r="B989" s="1" t="s">
        <v>3816</v>
      </c>
      <c r="C989" s="1" t="s">
        <v>4447</v>
      </c>
      <c r="D989" s="1" t="s">
        <v>2292</v>
      </c>
      <c r="E989" s="1" t="s">
        <v>3329</v>
      </c>
      <c r="F989" s="1" t="s">
        <v>2152</v>
      </c>
      <c r="H989" s="1" t="s">
        <v>1504</v>
      </c>
      <c r="I989" s="1" t="s">
        <v>2784</v>
      </c>
      <c r="J989" s="1" t="s">
        <v>4075</v>
      </c>
    </row>
    <row r="990">
      <c r="B990" s="1" t="s">
        <v>880</v>
      </c>
      <c r="C990" s="1" t="s">
        <v>4523</v>
      </c>
      <c r="D990" s="1" t="s">
        <v>665</v>
      </c>
      <c r="E990" s="1" t="s">
        <v>3113</v>
      </c>
      <c r="F990" s="1" t="s">
        <v>6422</v>
      </c>
      <c r="H990" s="1" t="s">
        <v>3818</v>
      </c>
      <c r="I990" s="1" t="s">
        <v>6403</v>
      </c>
      <c r="J990" s="1" t="s">
        <v>1466</v>
      </c>
    </row>
    <row r="991">
      <c r="B991" s="1" t="s">
        <v>3821</v>
      </c>
      <c r="C991" s="1" t="s">
        <v>1981</v>
      </c>
      <c r="D991" s="1" t="s">
        <v>2298</v>
      </c>
      <c r="E991" s="1" t="s">
        <v>6408</v>
      </c>
      <c r="F991" s="1" t="s">
        <v>3049</v>
      </c>
      <c r="H991" s="1" t="s">
        <v>3822</v>
      </c>
      <c r="I991" s="1" t="s">
        <v>1990</v>
      </c>
      <c r="J991" s="1" t="s">
        <v>4856</v>
      </c>
    </row>
    <row r="992">
      <c r="B992" s="1" t="s">
        <v>1308</v>
      </c>
      <c r="C992" s="1" t="s">
        <v>1235</v>
      </c>
      <c r="D992" s="1" t="s">
        <v>715</v>
      </c>
      <c r="E992" s="1" t="s">
        <v>2012</v>
      </c>
      <c r="F992" s="1" t="s">
        <v>6423</v>
      </c>
      <c r="H992" s="1" t="s">
        <v>3824</v>
      </c>
      <c r="I992" s="1" t="s">
        <v>518</v>
      </c>
      <c r="J992" s="1" t="s">
        <v>497</v>
      </c>
    </row>
    <row r="993">
      <c r="B993" s="1" t="s">
        <v>1316</v>
      </c>
      <c r="C993" s="1" t="s">
        <v>4528</v>
      </c>
      <c r="D993" s="1" t="s">
        <v>2302</v>
      </c>
      <c r="E993" s="1" t="s">
        <v>2812</v>
      </c>
      <c r="F993" s="1" t="s">
        <v>1560</v>
      </c>
      <c r="H993" s="1" t="s">
        <v>1125</v>
      </c>
      <c r="I993" s="1" t="s">
        <v>3567</v>
      </c>
      <c r="J993" s="1" t="s">
        <v>811</v>
      </c>
    </row>
    <row r="994">
      <c r="B994" s="1" t="s">
        <v>2587</v>
      </c>
      <c r="C994" s="1" t="s">
        <v>3348</v>
      </c>
      <c r="D994" s="1" t="s">
        <v>2306</v>
      </c>
      <c r="E994" s="1" t="s">
        <v>845</v>
      </c>
      <c r="F994" s="1" t="s">
        <v>6424</v>
      </c>
      <c r="H994" s="1" t="s">
        <v>2859</v>
      </c>
      <c r="I994" s="1" t="s">
        <v>2278</v>
      </c>
      <c r="J994" s="1" t="s">
        <v>951</v>
      </c>
    </row>
    <row r="995">
      <c r="B995" s="1" t="s">
        <v>2581</v>
      </c>
      <c r="C995" s="1" t="s">
        <v>188</v>
      </c>
      <c r="D995" s="1" t="s">
        <v>2295</v>
      </c>
      <c r="E995" s="1" t="s">
        <v>3346</v>
      </c>
      <c r="F995" s="1" t="s">
        <v>3200</v>
      </c>
      <c r="H995" s="1" t="s">
        <v>3829</v>
      </c>
      <c r="I995" s="1" t="s">
        <v>2004</v>
      </c>
      <c r="J995" s="1" t="s">
        <v>2348</v>
      </c>
    </row>
    <row r="996">
      <c r="B996" s="1" t="s">
        <v>2656</v>
      </c>
      <c r="C996" s="1" t="s">
        <v>4536</v>
      </c>
      <c r="D996" s="1" t="s">
        <v>3299</v>
      </c>
      <c r="E996" s="1" t="s">
        <v>2817</v>
      </c>
      <c r="F996" s="1" t="s">
        <v>2137</v>
      </c>
      <c r="H996" s="1" t="s">
        <v>3832</v>
      </c>
      <c r="I996" s="1" t="s">
        <v>6421</v>
      </c>
      <c r="J996" s="1" t="s">
        <v>2898</v>
      </c>
    </row>
    <row r="997">
      <c r="B997" s="1" t="s">
        <v>730</v>
      </c>
      <c r="C997" s="1" t="s">
        <v>4538</v>
      </c>
      <c r="D997" s="1" t="s">
        <v>3304</v>
      </c>
      <c r="E997" s="1" t="s">
        <v>2820</v>
      </c>
      <c r="F997" s="1" t="s">
        <v>501</v>
      </c>
      <c r="H997" s="1" t="s">
        <v>3833</v>
      </c>
      <c r="I997" s="1" t="s">
        <v>2009</v>
      </c>
      <c r="J997" s="1" t="s">
        <v>2896</v>
      </c>
    </row>
    <row r="998">
      <c r="B998" s="1" t="s">
        <v>2027</v>
      </c>
      <c r="C998" s="1" t="s">
        <v>1135</v>
      </c>
      <c r="D998" s="1" t="s">
        <v>674</v>
      </c>
      <c r="E998" s="1" t="s">
        <v>800</v>
      </c>
      <c r="F998" s="1" t="s">
        <v>4761</v>
      </c>
      <c r="H998" s="1" t="s">
        <v>1689</v>
      </c>
      <c r="I998" s="1" t="s">
        <v>3329</v>
      </c>
      <c r="J998" s="1" t="s">
        <v>639</v>
      </c>
    </row>
    <row r="999">
      <c r="B999" s="1" t="s">
        <v>690</v>
      </c>
      <c r="C999" s="1" t="s">
        <v>4541</v>
      </c>
      <c r="D999" s="1" t="s">
        <v>3311</v>
      </c>
      <c r="E999" s="1" t="s">
        <v>3376</v>
      </c>
      <c r="F999" s="1" t="s">
        <v>2165</v>
      </c>
      <c r="H999" s="1" t="s">
        <v>1907</v>
      </c>
      <c r="I999" s="1" t="s">
        <v>3113</v>
      </c>
      <c r="J999" s="1" t="s">
        <v>4088</v>
      </c>
    </row>
    <row r="1000">
      <c r="B1000" s="1" t="s">
        <v>698</v>
      </c>
      <c r="C1000" s="1" t="s">
        <v>4544</v>
      </c>
      <c r="D1000" s="1" t="s">
        <v>3842</v>
      </c>
      <c r="E1000" s="1" t="s">
        <v>2019</v>
      </c>
      <c r="F1000" s="1" t="s">
        <v>941</v>
      </c>
      <c r="H1000" s="1" t="s">
        <v>3840</v>
      </c>
      <c r="I1000" s="1" t="s">
        <v>6408</v>
      </c>
      <c r="J1000" s="1" t="s">
        <v>616</v>
      </c>
    </row>
    <row r="1001">
      <c r="B1001" s="1" t="s">
        <v>2600</v>
      </c>
      <c r="C1001" s="1" t="s">
        <v>3053</v>
      </c>
      <c r="D1001" s="1" t="s">
        <v>1052</v>
      </c>
      <c r="E1001" s="1" t="s">
        <v>2016</v>
      </c>
      <c r="F1001" s="1" t="s">
        <v>622</v>
      </c>
      <c r="H1001" s="1" t="s">
        <v>3843</v>
      </c>
      <c r="I1001" s="1" t="s">
        <v>2812</v>
      </c>
      <c r="J1001" s="1" t="s">
        <v>1039</v>
      </c>
    </row>
    <row r="1002">
      <c r="B1002" s="1" t="s">
        <v>1340</v>
      </c>
      <c r="C1002" s="1" t="s">
        <v>3566</v>
      </c>
      <c r="D1002" s="1" t="s">
        <v>2310</v>
      </c>
      <c r="E1002" s="1" t="s">
        <v>448</v>
      </c>
      <c r="F1002" s="1" t="s">
        <v>2142</v>
      </c>
      <c r="H1002" s="1" t="s">
        <v>3844</v>
      </c>
      <c r="I1002" s="1" t="s">
        <v>2643</v>
      </c>
      <c r="J1002" s="1" t="s">
        <v>4764</v>
      </c>
    </row>
    <row r="1003">
      <c r="B1003" s="1" t="s">
        <v>2679</v>
      </c>
      <c r="C1003" s="1" t="s">
        <v>1497</v>
      </c>
      <c r="D1003" s="1" t="s">
        <v>3847</v>
      </c>
      <c r="E1003" s="1" t="s">
        <v>2814</v>
      </c>
      <c r="F1003" s="1" t="s">
        <v>3602</v>
      </c>
      <c r="H1003" s="1" t="s">
        <v>413</v>
      </c>
      <c r="I1003" s="1" t="s">
        <v>3346</v>
      </c>
      <c r="J1003" s="1" t="s">
        <v>4094</v>
      </c>
    </row>
    <row r="1004">
      <c r="B1004" s="1" t="s">
        <v>704</v>
      </c>
      <c r="C1004" s="1" t="s">
        <v>4552</v>
      </c>
      <c r="D1004" s="1" t="s">
        <v>2312</v>
      </c>
      <c r="E1004" s="1" t="s">
        <v>2029</v>
      </c>
      <c r="F1004" s="1" t="s">
        <v>2415</v>
      </c>
      <c r="H1004" s="1" t="s">
        <v>3848</v>
      </c>
      <c r="I1004" s="1" t="s">
        <v>2817</v>
      </c>
      <c r="J1004" s="1" t="s">
        <v>2907</v>
      </c>
    </row>
    <row r="1005">
      <c r="B1005" s="1" t="s">
        <v>3850</v>
      </c>
      <c r="C1005" s="1" t="s">
        <v>4554</v>
      </c>
      <c r="D1005" s="1" t="s">
        <v>2316</v>
      </c>
      <c r="E1005" s="1" t="s">
        <v>3606</v>
      </c>
      <c r="F1005" s="1" t="s">
        <v>2170</v>
      </c>
      <c r="H1005" s="1" t="s">
        <v>2895</v>
      </c>
      <c r="I1005" s="1" t="s">
        <v>2820</v>
      </c>
      <c r="J1005" s="1" t="s">
        <v>817</v>
      </c>
    </row>
    <row r="1006">
      <c r="B1006" s="1" t="s">
        <v>712</v>
      </c>
      <c r="C1006" s="1" t="s">
        <v>1629</v>
      </c>
      <c r="D1006" s="1" t="s">
        <v>3853</v>
      </c>
      <c r="E1006" s="1" t="s">
        <v>814</v>
      </c>
      <c r="F1006" s="1" t="s">
        <v>2145</v>
      </c>
      <c r="H1006" s="1" t="s">
        <v>1019</v>
      </c>
      <c r="I1006" s="1" t="s">
        <v>800</v>
      </c>
      <c r="J1006" s="1" t="s">
        <v>4098</v>
      </c>
    </row>
    <row r="1007">
      <c r="B1007" s="1" t="s">
        <v>2698</v>
      </c>
      <c r="C1007" s="1" t="s">
        <v>4559</v>
      </c>
      <c r="D1007" s="1" t="s">
        <v>3560</v>
      </c>
      <c r="E1007" s="1" t="s">
        <v>2519</v>
      </c>
      <c r="F1007" s="1" t="s">
        <v>2174</v>
      </c>
      <c r="H1007" s="1" t="s">
        <v>1626</v>
      </c>
      <c r="I1007" s="1" t="s">
        <v>3376</v>
      </c>
      <c r="J1007" s="1" t="s">
        <v>3941</v>
      </c>
    </row>
    <row r="1008">
      <c r="B1008" s="1" t="s">
        <v>1355</v>
      </c>
      <c r="C1008" s="1" t="s">
        <v>3728</v>
      </c>
      <c r="D1008" s="1" t="s">
        <v>549</v>
      </c>
      <c r="E1008" s="1" t="s">
        <v>2035</v>
      </c>
      <c r="F1008" s="1" t="s">
        <v>3101</v>
      </c>
      <c r="H1008" s="1" t="s">
        <v>3857</v>
      </c>
      <c r="I1008" s="1" t="s">
        <v>2019</v>
      </c>
      <c r="J1008" s="1" t="s">
        <v>2766</v>
      </c>
    </row>
    <row r="1009">
      <c r="B1009" s="1" t="s">
        <v>3858</v>
      </c>
      <c r="C1009" s="1" t="s">
        <v>2326</v>
      </c>
      <c r="D1009" s="1" t="s">
        <v>2321</v>
      </c>
      <c r="E1009" s="1" t="s">
        <v>2193</v>
      </c>
      <c r="F1009" s="1" t="s">
        <v>2438</v>
      </c>
      <c r="H1009" s="1" t="s">
        <v>3504</v>
      </c>
      <c r="I1009" s="1" t="s">
        <v>2016</v>
      </c>
      <c r="J1009" s="1" t="s">
        <v>2930</v>
      </c>
    </row>
    <row r="1010">
      <c r="B1010" s="1" t="s">
        <v>898</v>
      </c>
      <c r="C1010" s="1" t="s">
        <v>4405</v>
      </c>
      <c r="D1010" s="1" t="s">
        <v>1064</v>
      </c>
      <c r="E1010" s="1" t="s">
        <v>3394</v>
      </c>
      <c r="F1010" s="1" t="s">
        <v>490</v>
      </c>
      <c r="H1010" s="1" t="s">
        <v>2918</v>
      </c>
      <c r="I1010" s="1" t="s">
        <v>2814</v>
      </c>
      <c r="J1010" s="1" t="s">
        <v>2939</v>
      </c>
    </row>
    <row r="1011">
      <c r="B1011" s="1" t="s">
        <v>3860</v>
      </c>
      <c r="C1011" s="1" t="s">
        <v>3040</v>
      </c>
      <c r="D1011" s="1" t="s">
        <v>1070</v>
      </c>
      <c r="E1011" s="1" t="s">
        <v>2843</v>
      </c>
      <c r="F1011" s="1" t="s">
        <v>3625</v>
      </c>
      <c r="H1011" s="1" t="s">
        <v>3861</v>
      </c>
      <c r="I1011" s="1" t="s">
        <v>3606</v>
      </c>
      <c r="J1011" s="1" t="s">
        <v>4113</v>
      </c>
    </row>
    <row r="1012">
      <c r="B1012" s="1" t="s">
        <v>2608</v>
      </c>
      <c r="C1012" s="1" t="s">
        <v>1879</v>
      </c>
      <c r="D1012" s="1" t="s">
        <v>2317</v>
      </c>
      <c r="E1012" s="1" t="s">
        <v>456</v>
      </c>
      <c r="F1012" s="1" t="s">
        <v>6425</v>
      </c>
      <c r="H1012" s="1" t="s">
        <v>2929</v>
      </c>
      <c r="I1012" s="1" t="s">
        <v>2519</v>
      </c>
      <c r="J1012" s="1" t="s">
        <v>4117</v>
      </c>
    </row>
    <row r="1013">
      <c r="B1013" s="1" t="s">
        <v>2618</v>
      </c>
      <c r="C1013" s="1" t="s">
        <v>4571</v>
      </c>
      <c r="D1013" s="1" t="s">
        <v>2313</v>
      </c>
      <c r="E1013" s="1" t="s">
        <v>6426</v>
      </c>
      <c r="F1013" s="1">
        <v>1.0</v>
      </c>
      <c r="H1013" s="1" t="s">
        <v>3865</v>
      </c>
      <c r="I1013" s="1" t="s">
        <v>2035</v>
      </c>
      <c r="J1013" s="1" t="s">
        <v>4119</v>
      </c>
    </row>
    <row r="1014">
      <c r="B1014" s="1" t="s">
        <v>3867</v>
      </c>
      <c r="C1014" s="1" t="s">
        <v>4437</v>
      </c>
      <c r="D1014" s="1" t="s">
        <v>2319</v>
      </c>
      <c r="E1014" s="1" t="s">
        <v>5440</v>
      </c>
      <c r="F1014" s="1" t="s">
        <v>4507</v>
      </c>
      <c r="H1014" s="1" t="s">
        <v>1681</v>
      </c>
      <c r="I1014" s="1" t="s">
        <v>2193</v>
      </c>
      <c r="J1014" s="1" t="s">
        <v>4015</v>
      </c>
    </row>
    <row r="1015">
      <c r="B1015" s="1" t="s">
        <v>3869</v>
      </c>
      <c r="C1015" s="1" t="s">
        <v>1871</v>
      </c>
      <c r="D1015" s="1" t="s">
        <v>935</v>
      </c>
      <c r="E1015" s="1" t="s">
        <v>2846</v>
      </c>
      <c r="F1015" s="1" t="s">
        <v>808</v>
      </c>
      <c r="H1015" s="1" t="s">
        <v>2938</v>
      </c>
      <c r="I1015" s="1" t="s">
        <v>3394</v>
      </c>
      <c r="J1015" s="1" t="s">
        <v>2962</v>
      </c>
    </row>
    <row r="1016">
      <c r="B1016" s="1" t="s">
        <v>2231</v>
      </c>
      <c r="C1016" s="1" t="s">
        <v>1666</v>
      </c>
      <c r="D1016" s="1" t="s">
        <v>2330</v>
      </c>
      <c r="E1016" s="1" t="s">
        <v>6349</v>
      </c>
      <c r="F1016" s="1" t="s">
        <v>863</v>
      </c>
      <c r="H1016" s="1" t="s">
        <v>757</v>
      </c>
      <c r="I1016" s="1" t="s">
        <v>2843</v>
      </c>
      <c r="J1016" s="1" t="s">
        <v>4120</v>
      </c>
    </row>
    <row r="1017">
      <c r="B1017" s="1" t="s">
        <v>3871</v>
      </c>
      <c r="C1017" s="1" t="s">
        <v>1890</v>
      </c>
      <c r="D1017" s="1" t="s">
        <v>3377</v>
      </c>
      <c r="E1017" s="1" t="s">
        <v>437</v>
      </c>
      <c r="F1017" s="1" t="s">
        <v>949</v>
      </c>
      <c r="H1017" s="1" t="s">
        <v>441</v>
      </c>
      <c r="I1017" s="1" t="s">
        <v>456</v>
      </c>
      <c r="J1017" s="1" t="s">
        <v>2972</v>
      </c>
    </row>
    <row r="1018">
      <c r="B1018" s="1" t="s">
        <v>1359</v>
      </c>
      <c r="C1018" s="1" t="s">
        <v>4577</v>
      </c>
      <c r="D1018" s="1" t="s">
        <v>678</v>
      </c>
      <c r="E1018" s="1" t="s">
        <v>6427</v>
      </c>
      <c r="F1018" s="1" t="s">
        <v>2194</v>
      </c>
      <c r="H1018" s="1" t="s">
        <v>3873</v>
      </c>
      <c r="I1018" s="1" t="s">
        <v>6426</v>
      </c>
      <c r="J1018" s="1" t="s">
        <v>1522</v>
      </c>
    </row>
    <row r="1019">
      <c r="B1019" s="1" t="s">
        <v>3876</v>
      </c>
      <c r="C1019" s="1" t="s">
        <v>3914</v>
      </c>
      <c r="D1019" s="1" t="s">
        <v>1074</v>
      </c>
      <c r="E1019" s="1" t="s">
        <v>6409</v>
      </c>
      <c r="F1019" s="1" t="s">
        <v>2484</v>
      </c>
      <c r="H1019" s="1" t="s">
        <v>644</v>
      </c>
      <c r="I1019" s="1" t="s">
        <v>5440</v>
      </c>
      <c r="J1019" s="1" t="s">
        <v>4828</v>
      </c>
    </row>
    <row r="1020">
      <c r="B1020" s="1" t="s">
        <v>2623</v>
      </c>
      <c r="C1020" s="1" t="s">
        <v>4580</v>
      </c>
      <c r="D1020" s="1" t="s">
        <v>685</v>
      </c>
      <c r="E1020" s="1" t="s">
        <v>2040</v>
      </c>
      <c r="F1020" s="1" t="s">
        <v>3127</v>
      </c>
      <c r="H1020" s="1" t="s">
        <v>1526</v>
      </c>
      <c r="I1020" s="1" t="s">
        <v>2846</v>
      </c>
      <c r="J1020" s="1" t="s">
        <v>2778</v>
      </c>
    </row>
    <row r="1021">
      <c r="B1021" s="1" t="s">
        <v>1367</v>
      </c>
      <c r="C1021" s="1" t="s">
        <v>4584</v>
      </c>
      <c r="D1021" s="1" t="s">
        <v>2342</v>
      </c>
      <c r="E1021" s="1" t="s">
        <v>6410</v>
      </c>
      <c r="F1021" s="1" t="s">
        <v>957</v>
      </c>
      <c r="H1021" s="1" t="s">
        <v>3878</v>
      </c>
      <c r="I1021" s="1" t="s">
        <v>6349</v>
      </c>
      <c r="J1021" s="1" t="s">
        <v>2985</v>
      </c>
    </row>
    <row r="1022">
      <c r="B1022" s="1" t="s">
        <v>2628</v>
      </c>
      <c r="C1022" s="1" t="s">
        <v>1751</v>
      </c>
      <c r="D1022" s="1" t="s">
        <v>3395</v>
      </c>
      <c r="E1022" s="1" t="s">
        <v>2865</v>
      </c>
      <c r="F1022" s="1" t="s">
        <v>6428</v>
      </c>
      <c r="H1022" s="1" t="s">
        <v>3881</v>
      </c>
      <c r="I1022" s="1" t="s">
        <v>437</v>
      </c>
      <c r="J1022" s="1" t="s">
        <v>2990</v>
      </c>
    </row>
    <row r="1023">
      <c r="B1023" s="1" t="s">
        <v>3884</v>
      </c>
      <c r="C1023" s="1" t="s">
        <v>4587</v>
      </c>
      <c r="D1023" s="1" t="s">
        <v>1659</v>
      </c>
      <c r="E1023" s="1" t="s">
        <v>1046</v>
      </c>
      <c r="F1023" s="1" t="s">
        <v>2199</v>
      </c>
      <c r="H1023" s="1" t="s">
        <v>3885</v>
      </c>
      <c r="I1023" s="1" t="s">
        <v>6427</v>
      </c>
      <c r="J1023" s="1" t="s">
        <v>2785</v>
      </c>
    </row>
    <row r="1024">
      <c r="B1024" s="1" t="s">
        <v>3887</v>
      </c>
      <c r="C1024" s="1" t="s">
        <v>1672</v>
      </c>
      <c r="D1024" s="1" t="s">
        <v>2346</v>
      </c>
      <c r="E1024" s="1" t="s">
        <v>2063</v>
      </c>
      <c r="F1024" s="1" t="s">
        <v>2164</v>
      </c>
      <c r="H1024" s="1" t="s">
        <v>227</v>
      </c>
      <c r="I1024" s="1" t="s">
        <v>6409</v>
      </c>
      <c r="J1024" s="1" t="s">
        <v>4134</v>
      </c>
    </row>
    <row r="1025">
      <c r="B1025" s="1" t="s">
        <v>3889</v>
      </c>
      <c r="C1025" s="1" t="s">
        <v>1345</v>
      </c>
      <c r="D1025" s="1" t="s">
        <v>3892</v>
      </c>
      <c r="E1025" s="1" t="s">
        <v>543</v>
      </c>
      <c r="F1025" s="1" t="s">
        <v>3656</v>
      </c>
      <c r="H1025" s="1" t="s">
        <v>3890</v>
      </c>
      <c r="I1025" s="1" t="s">
        <v>1046</v>
      </c>
      <c r="J1025" s="1" t="s">
        <v>6429</v>
      </c>
    </row>
    <row r="1026">
      <c r="B1026" s="1" t="s">
        <v>3893</v>
      </c>
      <c r="C1026" s="1" t="s">
        <v>4496</v>
      </c>
      <c r="D1026" s="1" t="s">
        <v>2710</v>
      </c>
      <c r="E1026" s="1" t="s">
        <v>2047</v>
      </c>
      <c r="F1026" s="1" t="s">
        <v>2168</v>
      </c>
      <c r="H1026" s="1" t="s">
        <v>3895</v>
      </c>
      <c r="I1026" s="1" t="s">
        <v>2063</v>
      </c>
      <c r="J1026" s="1" t="s">
        <v>2998</v>
      </c>
    </row>
    <row r="1027">
      <c r="B1027" s="1" t="s">
        <v>1281</v>
      </c>
      <c r="C1027" s="1" t="s">
        <v>4593</v>
      </c>
      <c r="D1027" s="1" t="s">
        <v>1081</v>
      </c>
      <c r="E1027" s="1" t="s">
        <v>2050</v>
      </c>
      <c r="F1027" s="1" t="s">
        <v>2177</v>
      </c>
      <c r="H1027" s="1" t="s">
        <v>3897</v>
      </c>
      <c r="I1027" s="1" t="s">
        <v>543</v>
      </c>
      <c r="J1027" s="1" t="s">
        <v>963</v>
      </c>
    </row>
    <row r="1028">
      <c r="B1028" s="1" t="s">
        <v>2731</v>
      </c>
      <c r="C1028" s="1" t="s">
        <v>3410</v>
      </c>
      <c r="D1028" s="1" t="s">
        <v>2337</v>
      </c>
      <c r="E1028" s="1" t="s">
        <v>2127</v>
      </c>
      <c r="F1028" s="1" t="s">
        <v>3142</v>
      </c>
      <c r="H1028" s="1" t="s">
        <v>3898</v>
      </c>
      <c r="I1028" s="1" t="s">
        <v>2047</v>
      </c>
      <c r="J1028" s="1" t="s">
        <v>2792</v>
      </c>
    </row>
    <row r="1029">
      <c r="B1029" s="1" t="s">
        <v>2734</v>
      </c>
      <c r="C1029" s="1" t="s">
        <v>4374</v>
      </c>
      <c r="D1029" s="1" t="s">
        <v>2339</v>
      </c>
      <c r="E1029" s="1" t="s">
        <v>4814</v>
      </c>
      <c r="F1029" s="1" t="s">
        <v>3894</v>
      </c>
      <c r="H1029" s="1" t="s">
        <v>3901</v>
      </c>
      <c r="I1029" s="1" t="s">
        <v>2050</v>
      </c>
      <c r="J1029" s="1" t="s">
        <v>4145</v>
      </c>
    </row>
    <row r="1030">
      <c r="B1030" s="1" t="s">
        <v>928</v>
      </c>
      <c r="C1030" s="1" t="s">
        <v>4597</v>
      </c>
      <c r="D1030" s="1" t="s">
        <v>2344</v>
      </c>
      <c r="E1030" s="1" t="s">
        <v>2048</v>
      </c>
      <c r="F1030" s="1" t="s">
        <v>1099</v>
      </c>
      <c r="H1030" s="1" t="s">
        <v>3904</v>
      </c>
      <c r="I1030" s="1" t="s">
        <v>2127</v>
      </c>
      <c r="J1030" s="1" t="s">
        <v>3013</v>
      </c>
    </row>
    <row r="1031">
      <c r="B1031" s="1" t="s">
        <v>2639</v>
      </c>
      <c r="C1031" s="1" t="s">
        <v>4603</v>
      </c>
      <c r="D1031" s="1" t="s">
        <v>3340</v>
      </c>
      <c r="E1031" s="1" t="s">
        <v>2878</v>
      </c>
      <c r="F1031" s="1" t="s">
        <v>4331</v>
      </c>
      <c r="H1031" s="1" t="s">
        <v>3681</v>
      </c>
      <c r="I1031" s="1" t="s">
        <v>4814</v>
      </c>
      <c r="J1031" s="1" t="s">
        <v>4151</v>
      </c>
    </row>
    <row r="1032">
      <c r="B1032" s="1" t="s">
        <v>718</v>
      </c>
      <c r="C1032" s="1" t="s">
        <v>1677</v>
      </c>
      <c r="D1032" s="1" t="s">
        <v>557</v>
      </c>
      <c r="E1032" s="1">
        <v>48.0</v>
      </c>
      <c r="F1032" s="1" t="s">
        <v>508</v>
      </c>
      <c r="H1032" s="1" t="s">
        <v>3907</v>
      </c>
      <c r="I1032" s="1" t="s">
        <v>2878</v>
      </c>
      <c r="J1032" s="1" t="s">
        <v>968</v>
      </c>
    </row>
    <row r="1033">
      <c r="B1033" s="1" t="s">
        <v>1980</v>
      </c>
      <c r="C1033" s="1" t="s">
        <v>2194</v>
      </c>
      <c r="D1033" s="1" t="s">
        <v>692</v>
      </c>
      <c r="E1033" s="1" t="s">
        <v>1249</v>
      </c>
      <c r="F1033" s="1" t="s">
        <v>2183</v>
      </c>
      <c r="H1033" s="1" t="s">
        <v>3908</v>
      </c>
      <c r="I1033" s="1">
        <v>48.0</v>
      </c>
      <c r="J1033" s="1" t="s">
        <v>2796</v>
      </c>
    </row>
    <row r="1034">
      <c r="B1034" s="1" t="s">
        <v>727</v>
      </c>
      <c r="C1034" s="1" t="s">
        <v>3620</v>
      </c>
      <c r="D1034" s="1" t="s">
        <v>3412</v>
      </c>
      <c r="E1034" s="1" t="s">
        <v>2051</v>
      </c>
      <c r="F1034" s="1" t="s">
        <v>517</v>
      </c>
      <c r="H1034" s="1" t="s">
        <v>1667</v>
      </c>
      <c r="I1034" s="1" t="s">
        <v>1249</v>
      </c>
      <c r="J1034" s="1" t="s">
        <v>973</v>
      </c>
    </row>
    <row r="1035">
      <c r="B1035" s="1" t="s">
        <v>2648</v>
      </c>
      <c r="C1035" s="1" t="s">
        <v>4235</v>
      </c>
      <c r="D1035" s="1" t="s">
        <v>2357</v>
      </c>
      <c r="E1035" s="1" t="s">
        <v>3427</v>
      </c>
      <c r="F1035" s="1" t="s">
        <v>2186</v>
      </c>
      <c r="H1035" s="1" t="s">
        <v>1670</v>
      </c>
      <c r="I1035" s="1" t="s">
        <v>3427</v>
      </c>
      <c r="J1035" s="1" t="s">
        <v>4157</v>
      </c>
    </row>
    <row r="1036">
      <c r="B1036" s="1" t="s">
        <v>1409</v>
      </c>
      <c r="C1036" s="1" t="s">
        <v>4617</v>
      </c>
      <c r="D1036" s="1" t="s">
        <v>2361</v>
      </c>
      <c r="E1036" s="1" t="s">
        <v>6430</v>
      </c>
      <c r="F1036" s="1" t="s">
        <v>971</v>
      </c>
      <c r="H1036" s="1" t="s">
        <v>3909</v>
      </c>
      <c r="I1036" s="1" t="s">
        <v>6430</v>
      </c>
      <c r="J1036" s="1" t="s">
        <v>4158</v>
      </c>
    </row>
    <row r="1037">
      <c r="B1037" s="1" t="s">
        <v>3911</v>
      </c>
      <c r="C1037" s="1" t="s">
        <v>4618</v>
      </c>
      <c r="D1037" s="1" t="s">
        <v>3913</v>
      </c>
      <c r="E1037" s="1" t="s">
        <v>1167</v>
      </c>
      <c r="F1037" s="1" t="s">
        <v>2195</v>
      </c>
      <c r="H1037" s="1" t="s">
        <v>3912</v>
      </c>
      <c r="I1037" s="1" t="s">
        <v>1167</v>
      </c>
      <c r="J1037" s="1" t="s">
        <v>1362</v>
      </c>
    </row>
    <row r="1038">
      <c r="B1038" s="1" t="s">
        <v>1781</v>
      </c>
      <c r="C1038" s="1" t="s">
        <v>4621</v>
      </c>
      <c r="D1038" s="1" t="s">
        <v>3914</v>
      </c>
      <c r="E1038" s="1" t="s">
        <v>2888</v>
      </c>
      <c r="F1038" s="1" t="s">
        <v>6431</v>
      </c>
      <c r="H1038" s="1" t="s">
        <v>1048</v>
      </c>
      <c r="I1038" s="1" t="s">
        <v>2888</v>
      </c>
      <c r="J1038" s="1" t="s">
        <v>4873</v>
      </c>
    </row>
    <row r="1039">
      <c r="B1039" s="1" t="s">
        <v>3915</v>
      </c>
      <c r="C1039" s="1" t="s">
        <v>2920</v>
      </c>
      <c r="D1039" s="1" t="s">
        <v>3001</v>
      </c>
      <c r="E1039" s="1" t="s">
        <v>2894</v>
      </c>
      <c r="F1039" s="1" t="s">
        <v>2214</v>
      </c>
      <c r="H1039" s="1" t="s">
        <v>2779</v>
      </c>
      <c r="I1039" s="1" t="s">
        <v>6432</v>
      </c>
      <c r="J1039" s="1" t="s">
        <v>4166</v>
      </c>
    </row>
    <row r="1040">
      <c r="B1040" s="1" t="s">
        <v>2749</v>
      </c>
      <c r="C1040" s="1" t="s">
        <v>3693</v>
      </c>
      <c r="D1040" s="1" t="s">
        <v>2120</v>
      </c>
      <c r="E1040" s="1" t="s">
        <v>6432</v>
      </c>
      <c r="F1040" s="1" t="s">
        <v>3362</v>
      </c>
      <c r="H1040" s="1" t="s">
        <v>3917</v>
      </c>
      <c r="I1040" s="1" t="s">
        <v>3442</v>
      </c>
      <c r="J1040" s="1" t="s">
        <v>849</v>
      </c>
    </row>
    <row r="1041">
      <c r="B1041" s="1" t="s">
        <v>3920</v>
      </c>
      <c r="C1041" s="1" t="s">
        <v>773</v>
      </c>
      <c r="D1041" s="1" t="s">
        <v>3922</v>
      </c>
      <c r="E1041" s="1" t="s">
        <v>3442</v>
      </c>
      <c r="F1041" s="1" t="s">
        <v>526</v>
      </c>
      <c r="H1041" s="1" t="s">
        <v>3746</v>
      </c>
      <c r="I1041" s="1" t="s">
        <v>2901</v>
      </c>
      <c r="J1041" s="1" t="s">
        <v>5364</v>
      </c>
    </row>
    <row r="1042">
      <c r="B1042" s="1" t="s">
        <v>3923</v>
      </c>
      <c r="C1042" s="1" t="s">
        <v>645</v>
      </c>
      <c r="D1042" s="1" t="s">
        <v>3420</v>
      </c>
      <c r="E1042" s="1" t="s">
        <v>2901</v>
      </c>
      <c r="F1042" s="1" t="s">
        <v>6365</v>
      </c>
      <c r="H1042" s="1" t="s">
        <v>1031</v>
      </c>
      <c r="I1042" s="1" t="s">
        <v>3071</v>
      </c>
      <c r="J1042" s="1" t="s">
        <v>4684</v>
      </c>
    </row>
    <row r="1043">
      <c r="B1043" s="1" t="s">
        <v>2751</v>
      </c>
      <c r="C1043" s="1" t="s">
        <v>1400</v>
      </c>
      <c r="D1043" s="1" t="s">
        <v>3423</v>
      </c>
      <c r="E1043" s="1" t="s">
        <v>3071</v>
      </c>
      <c r="F1043" s="1" t="s">
        <v>3693</v>
      </c>
      <c r="H1043" s="1" t="s">
        <v>3926</v>
      </c>
      <c r="I1043" s="1" t="s">
        <v>3451</v>
      </c>
      <c r="J1043" s="1" t="s">
        <v>1444</v>
      </c>
    </row>
    <row r="1044">
      <c r="B1044" s="1" t="s">
        <v>2753</v>
      </c>
      <c r="C1044" s="1" t="s">
        <v>186</v>
      </c>
      <c r="D1044" s="1" t="s">
        <v>353</v>
      </c>
      <c r="E1044" s="1" t="s">
        <v>3451</v>
      </c>
      <c r="F1044" s="1" t="s">
        <v>1763</v>
      </c>
      <c r="H1044" s="1" t="s">
        <v>3928</v>
      </c>
      <c r="I1044" s="1" t="s">
        <v>2060</v>
      </c>
      <c r="J1044" s="1" t="s">
        <v>4173</v>
      </c>
    </row>
    <row r="1045">
      <c r="B1045" s="1" t="s">
        <v>3929</v>
      </c>
      <c r="C1045" s="1" t="s">
        <v>4633</v>
      </c>
      <c r="D1045" s="1" t="s">
        <v>3932</v>
      </c>
      <c r="E1045" s="1" t="s">
        <v>2908</v>
      </c>
      <c r="F1045" s="1" t="s">
        <v>1939</v>
      </c>
      <c r="H1045" s="1" t="s">
        <v>3930</v>
      </c>
      <c r="I1045" s="1" t="s">
        <v>1032</v>
      </c>
      <c r="J1045" s="1" t="s">
        <v>666</v>
      </c>
    </row>
    <row r="1046">
      <c r="B1046" s="1" t="s">
        <v>2759</v>
      </c>
      <c r="C1046" s="1" t="s">
        <v>2528</v>
      </c>
      <c r="D1046" s="1" t="s">
        <v>3426</v>
      </c>
      <c r="E1046" s="1" t="s">
        <v>2060</v>
      </c>
      <c r="F1046" s="1" t="s">
        <v>6433</v>
      </c>
      <c r="H1046" s="1" t="s">
        <v>1268</v>
      </c>
      <c r="I1046" s="1" t="s">
        <v>2911</v>
      </c>
      <c r="J1046" s="1" t="s">
        <v>4687</v>
      </c>
    </row>
    <row r="1047">
      <c r="B1047" s="1" t="s">
        <v>2764</v>
      </c>
      <c r="C1047" s="1" t="s">
        <v>4641</v>
      </c>
      <c r="D1047" s="1" t="s">
        <v>3936</v>
      </c>
      <c r="E1047" s="1" t="s">
        <v>1032</v>
      </c>
      <c r="F1047" s="1" t="s">
        <v>1619</v>
      </c>
      <c r="H1047" s="1" t="s">
        <v>3934</v>
      </c>
      <c r="I1047" s="1" t="s">
        <v>3677</v>
      </c>
      <c r="J1047" s="1" t="s">
        <v>3017</v>
      </c>
    </row>
    <row r="1048">
      <c r="B1048" s="1" t="s">
        <v>734</v>
      </c>
      <c r="C1048" s="1" t="s">
        <v>4434</v>
      </c>
      <c r="D1048" s="1" t="s">
        <v>701</v>
      </c>
      <c r="E1048" s="1" t="s">
        <v>2911</v>
      </c>
      <c r="F1048" s="1" t="s">
        <v>2219</v>
      </c>
      <c r="H1048" s="1" t="s">
        <v>3937</v>
      </c>
      <c r="I1048" s="1" t="s">
        <v>2925</v>
      </c>
      <c r="J1048" s="1" t="s">
        <v>4474</v>
      </c>
    </row>
    <row r="1049">
      <c r="B1049" s="1" t="s">
        <v>3939</v>
      </c>
      <c r="C1049" s="1" t="s">
        <v>4642</v>
      </c>
      <c r="D1049" s="1" t="s">
        <v>3430</v>
      </c>
      <c r="E1049" s="1" t="s">
        <v>2072</v>
      </c>
      <c r="F1049" s="1" t="s">
        <v>2200</v>
      </c>
      <c r="H1049" s="1" t="s">
        <v>3940</v>
      </c>
      <c r="I1049" s="1" t="s">
        <v>2081</v>
      </c>
      <c r="J1049" s="1" t="s">
        <v>2809</v>
      </c>
    </row>
    <row r="1050">
      <c r="B1050" s="1" t="s">
        <v>3943</v>
      </c>
      <c r="C1050" s="1" t="s">
        <v>2506</v>
      </c>
      <c r="D1050" s="1" t="s">
        <v>1096</v>
      </c>
      <c r="E1050" s="1" t="s">
        <v>3677</v>
      </c>
      <c r="F1050" s="1" t="s">
        <v>3916</v>
      </c>
      <c r="H1050" s="1" t="s">
        <v>3944</v>
      </c>
      <c r="I1050" s="1" t="s">
        <v>1456</v>
      </c>
      <c r="J1050" s="1" t="s">
        <v>6434</v>
      </c>
    </row>
    <row r="1051">
      <c r="B1051" s="1" t="s">
        <v>744</v>
      </c>
      <c r="C1051" s="1" t="s">
        <v>4644</v>
      </c>
      <c r="D1051" s="1" t="s">
        <v>2351</v>
      </c>
      <c r="E1051" s="1" t="s">
        <v>2925</v>
      </c>
      <c r="F1051" s="1" t="s">
        <v>2132</v>
      </c>
      <c r="H1051" s="1" t="s">
        <v>3099</v>
      </c>
      <c r="I1051" s="1" t="s">
        <v>3511</v>
      </c>
      <c r="J1051" s="1" t="s">
        <v>982</v>
      </c>
    </row>
    <row r="1052">
      <c r="B1052" s="1" t="s">
        <v>3947</v>
      </c>
      <c r="C1052" s="1" t="s">
        <v>3101</v>
      </c>
      <c r="D1052" s="1" t="s">
        <v>788</v>
      </c>
      <c r="E1052" s="1" t="s">
        <v>2928</v>
      </c>
      <c r="F1052" s="1" t="s">
        <v>1982</v>
      </c>
      <c r="H1052" s="1" t="s">
        <v>3948</v>
      </c>
      <c r="I1052" s="1" t="s">
        <v>2087</v>
      </c>
      <c r="J1052" s="1" t="s">
        <v>4182</v>
      </c>
    </row>
    <row r="1053">
      <c r="B1053" s="1" t="s">
        <v>914</v>
      </c>
      <c r="C1053" s="1" t="s">
        <v>4648</v>
      </c>
      <c r="D1053" s="1" t="s">
        <v>799</v>
      </c>
      <c r="E1053" s="1" t="s">
        <v>2081</v>
      </c>
      <c r="F1053" s="1" t="s">
        <v>3440</v>
      </c>
      <c r="H1053" s="1" t="s">
        <v>3106</v>
      </c>
      <c r="I1053" s="1" t="s">
        <v>1783</v>
      </c>
      <c r="J1053" s="1" t="s">
        <v>4696</v>
      </c>
    </row>
    <row r="1054">
      <c r="B1054" s="1" t="s">
        <v>3951</v>
      </c>
      <c r="C1054" s="1" t="s">
        <v>2600</v>
      </c>
      <c r="D1054" s="1" t="s">
        <v>2363</v>
      </c>
      <c r="E1054" s="1" t="s">
        <v>3221</v>
      </c>
      <c r="F1054" s="1" t="s">
        <v>2205</v>
      </c>
      <c r="H1054" s="1" t="s">
        <v>3952</v>
      </c>
      <c r="I1054" s="1" t="s">
        <v>6413</v>
      </c>
      <c r="J1054" s="1" t="s">
        <v>986</v>
      </c>
    </row>
    <row r="1055">
      <c r="B1055" s="1" t="s">
        <v>3955</v>
      </c>
      <c r="C1055" s="1" t="s">
        <v>4651</v>
      </c>
      <c r="D1055" s="1" t="s">
        <v>3958</v>
      </c>
      <c r="E1055" s="1" t="s">
        <v>3511</v>
      </c>
      <c r="F1055" s="1" t="s">
        <v>2247</v>
      </c>
      <c r="H1055" s="1" t="s">
        <v>399</v>
      </c>
      <c r="I1055" s="1" t="s">
        <v>2075</v>
      </c>
      <c r="J1055" s="1" t="s">
        <v>3045</v>
      </c>
    </row>
    <row r="1056">
      <c r="B1056" s="1" t="s">
        <v>753</v>
      </c>
      <c r="C1056" s="1" t="s">
        <v>4653</v>
      </c>
      <c r="D1056" s="1" t="s">
        <v>2371</v>
      </c>
      <c r="E1056" s="1" t="s">
        <v>2087</v>
      </c>
      <c r="F1056" s="1" t="s">
        <v>2216</v>
      </c>
      <c r="H1056" s="1" t="s">
        <v>3959</v>
      </c>
      <c r="I1056" s="1" t="s">
        <v>2082</v>
      </c>
      <c r="J1056" s="1" t="s">
        <v>4445</v>
      </c>
    </row>
    <row r="1057">
      <c r="B1057" s="1" t="s">
        <v>2670</v>
      </c>
      <c r="C1057" s="1" t="s">
        <v>4655</v>
      </c>
      <c r="D1057" s="1" t="s">
        <v>3963</v>
      </c>
      <c r="E1057" s="1" t="s">
        <v>2070</v>
      </c>
      <c r="F1057" s="1" t="s">
        <v>6435</v>
      </c>
      <c r="H1057" s="1" t="s">
        <v>3961</v>
      </c>
      <c r="I1057" s="1" t="s">
        <v>2198</v>
      </c>
      <c r="J1057" s="1" t="s">
        <v>4189</v>
      </c>
    </row>
    <row r="1058">
      <c r="B1058" s="1" t="s">
        <v>2783</v>
      </c>
      <c r="C1058" s="1" t="s">
        <v>2682</v>
      </c>
      <c r="D1058" s="1" t="s">
        <v>2365</v>
      </c>
      <c r="E1058" s="1" t="s">
        <v>878</v>
      </c>
      <c r="F1058" s="1" t="s">
        <v>628</v>
      </c>
      <c r="H1058" s="1" t="s">
        <v>3964</v>
      </c>
      <c r="I1058" s="1" t="s">
        <v>297</v>
      </c>
      <c r="J1058" s="1" t="s">
        <v>4191</v>
      </c>
    </row>
    <row r="1059">
      <c r="B1059" s="1" t="s">
        <v>3966</v>
      </c>
      <c r="C1059" s="1" t="s">
        <v>4659</v>
      </c>
      <c r="D1059" s="1" t="s">
        <v>2375</v>
      </c>
      <c r="E1059" s="1" t="s">
        <v>1783</v>
      </c>
      <c r="F1059" s="1" t="s">
        <v>882</v>
      </c>
      <c r="H1059" s="1" t="s">
        <v>453</v>
      </c>
      <c r="I1059" s="1" t="s">
        <v>1561</v>
      </c>
      <c r="J1059" s="1" t="s">
        <v>992</v>
      </c>
    </row>
    <row r="1060">
      <c r="B1060" s="1" t="s">
        <v>762</v>
      </c>
      <c r="C1060" s="1" t="s">
        <v>2072</v>
      </c>
      <c r="D1060" s="1" t="s">
        <v>3970</v>
      </c>
      <c r="E1060" s="1" t="s">
        <v>6413</v>
      </c>
      <c r="F1060" s="1" t="s">
        <v>3188</v>
      </c>
      <c r="H1060" s="1" t="s">
        <v>1828</v>
      </c>
      <c r="I1060" s="1" t="s">
        <v>4469</v>
      </c>
      <c r="J1060" s="1" t="s">
        <v>3320</v>
      </c>
    </row>
    <row r="1061">
      <c r="B1061" s="1" t="s">
        <v>771</v>
      </c>
      <c r="C1061" s="1" t="s">
        <v>1946</v>
      </c>
      <c r="D1061" s="1" t="s">
        <v>2366</v>
      </c>
      <c r="E1061" s="1" t="s">
        <v>2075</v>
      </c>
      <c r="F1061" s="1" t="s">
        <v>4423</v>
      </c>
      <c r="H1061" s="1" t="s">
        <v>3971</v>
      </c>
      <c r="I1061" s="1" t="s">
        <v>3491</v>
      </c>
      <c r="J1061" s="1" t="s">
        <v>854</v>
      </c>
    </row>
    <row r="1062">
      <c r="B1062" s="1" t="s">
        <v>3974</v>
      </c>
      <c r="C1062" s="1" t="s">
        <v>4662</v>
      </c>
      <c r="D1062" s="1" t="s">
        <v>2323</v>
      </c>
      <c r="E1062" s="1" t="s">
        <v>2082</v>
      </c>
      <c r="F1062" s="1" t="s">
        <v>2220</v>
      </c>
      <c r="H1062" s="1" t="s">
        <v>1518</v>
      </c>
      <c r="I1062" s="1" t="s">
        <v>2616</v>
      </c>
      <c r="J1062" s="1" t="s">
        <v>3052</v>
      </c>
    </row>
    <row r="1063">
      <c r="B1063" s="1" t="s">
        <v>2676</v>
      </c>
      <c r="C1063" s="1" t="s">
        <v>2014</v>
      </c>
      <c r="D1063" s="1" t="s">
        <v>2373</v>
      </c>
      <c r="E1063" s="1" t="s">
        <v>1561</v>
      </c>
      <c r="F1063" s="1" t="s">
        <v>2223</v>
      </c>
      <c r="H1063" s="1" t="s">
        <v>1600</v>
      </c>
      <c r="I1063" s="1" t="s">
        <v>2085</v>
      </c>
      <c r="J1063" s="1" t="s">
        <v>3048</v>
      </c>
    </row>
    <row r="1064">
      <c r="B1064" s="1" t="s">
        <v>778</v>
      </c>
      <c r="C1064" s="1" t="s">
        <v>4663</v>
      </c>
      <c r="D1064" s="1" t="s">
        <v>566</v>
      </c>
      <c r="E1064" s="1" t="s">
        <v>4469</v>
      </c>
      <c r="F1064" s="1" t="s">
        <v>6436</v>
      </c>
      <c r="H1064" s="1" t="s">
        <v>444</v>
      </c>
      <c r="I1064" s="1" t="s">
        <v>472</v>
      </c>
      <c r="J1064" s="1" t="s">
        <v>4720</v>
      </c>
    </row>
    <row r="1065">
      <c r="B1065" s="1" t="s">
        <v>2801</v>
      </c>
      <c r="C1065" s="1" t="s">
        <v>1196</v>
      </c>
      <c r="D1065" s="1" t="s">
        <v>2377</v>
      </c>
      <c r="E1065" s="1" t="s">
        <v>3491</v>
      </c>
      <c r="F1065" s="1" t="s">
        <v>2226</v>
      </c>
      <c r="H1065" s="1" t="s">
        <v>790</v>
      </c>
      <c r="I1065" s="1" t="s">
        <v>3305</v>
      </c>
      <c r="J1065" s="1" t="s">
        <v>637</v>
      </c>
    </row>
    <row r="1066">
      <c r="B1066" s="1" t="s">
        <v>1190</v>
      </c>
      <c r="C1066" s="1" t="s">
        <v>1402</v>
      </c>
      <c r="D1066" s="1" t="s">
        <v>3979</v>
      </c>
      <c r="E1066" s="1" t="s">
        <v>2616</v>
      </c>
      <c r="F1066" s="1" t="s">
        <v>2230</v>
      </c>
      <c r="H1066" s="1" t="s">
        <v>723</v>
      </c>
      <c r="I1066" s="1">
        <v>1989.0</v>
      </c>
      <c r="J1066" s="1" t="s">
        <v>2826</v>
      </c>
    </row>
    <row r="1067">
      <c r="B1067" s="1" t="s">
        <v>3980</v>
      </c>
      <c r="C1067" s="1" t="s">
        <v>2704</v>
      </c>
      <c r="D1067" s="1" t="s">
        <v>573</v>
      </c>
      <c r="E1067" s="1" t="s">
        <v>2085</v>
      </c>
      <c r="F1067" s="1" t="s">
        <v>636</v>
      </c>
      <c r="H1067" s="1" t="s">
        <v>1455</v>
      </c>
      <c r="I1067" s="1" t="s">
        <v>6437</v>
      </c>
      <c r="J1067" s="1" t="s">
        <v>2355</v>
      </c>
    </row>
    <row r="1068">
      <c r="B1068" s="1" t="s">
        <v>294</v>
      </c>
      <c r="C1068" s="1" t="s">
        <v>2405</v>
      </c>
      <c r="D1068" s="1" t="s">
        <v>1114</v>
      </c>
      <c r="E1068" s="1" t="s">
        <v>472</v>
      </c>
      <c r="F1068" s="1" t="s">
        <v>1079</v>
      </c>
      <c r="H1068" s="1" t="s">
        <v>506</v>
      </c>
      <c r="I1068" s="1" t="s">
        <v>3509</v>
      </c>
      <c r="J1068" s="1" t="s">
        <v>2829</v>
      </c>
    </row>
    <row r="1069">
      <c r="B1069" s="1" t="s">
        <v>2807</v>
      </c>
      <c r="C1069" s="1" t="s">
        <v>4673</v>
      </c>
      <c r="D1069" s="1" t="s">
        <v>99</v>
      </c>
      <c r="E1069" s="1" t="s">
        <v>3305</v>
      </c>
      <c r="F1069" s="1" t="s">
        <v>4491</v>
      </c>
      <c r="H1069" s="1" t="s">
        <v>3983</v>
      </c>
      <c r="I1069" s="1" t="s">
        <v>4857</v>
      </c>
      <c r="J1069" s="1" t="s">
        <v>693</v>
      </c>
    </row>
    <row r="1070">
      <c r="B1070" s="1" t="s">
        <v>3985</v>
      </c>
      <c r="C1070" s="1" t="s">
        <v>1704</v>
      </c>
      <c r="D1070" s="1" t="s">
        <v>2391</v>
      </c>
      <c r="E1070" s="1">
        <v>1989.0</v>
      </c>
      <c r="F1070" s="1" t="s">
        <v>885</v>
      </c>
      <c r="H1070" s="1" t="s">
        <v>3986</v>
      </c>
      <c r="I1070" s="1" t="s">
        <v>6438</v>
      </c>
      <c r="J1070" s="1" t="s">
        <v>4734</v>
      </c>
    </row>
    <row r="1071">
      <c r="B1071" s="1" t="s">
        <v>3987</v>
      </c>
      <c r="C1071" s="1" t="s">
        <v>4676</v>
      </c>
      <c r="D1071" s="1" t="s">
        <v>3989</v>
      </c>
      <c r="E1071" s="1" t="s">
        <v>6437</v>
      </c>
      <c r="F1071" s="1" t="s">
        <v>985</v>
      </c>
      <c r="H1071" s="1" t="s">
        <v>3988</v>
      </c>
      <c r="I1071" s="1" t="s">
        <v>2976</v>
      </c>
      <c r="J1071" s="1" t="s">
        <v>3548</v>
      </c>
    </row>
    <row r="1072">
      <c r="B1072" s="1" t="s">
        <v>3990</v>
      </c>
      <c r="C1072" s="1" t="s">
        <v>4678</v>
      </c>
      <c r="D1072" s="1" t="s">
        <v>2395</v>
      </c>
      <c r="E1072" s="1" t="s">
        <v>4020</v>
      </c>
      <c r="F1072" s="1" t="s">
        <v>3218</v>
      </c>
      <c r="H1072" s="1" t="s">
        <v>3991</v>
      </c>
      <c r="I1072" s="1" t="s">
        <v>2973</v>
      </c>
      <c r="J1072" s="1" t="s">
        <v>2849</v>
      </c>
    </row>
    <row r="1073">
      <c r="B1073" s="1" t="s">
        <v>3826</v>
      </c>
      <c r="C1073" s="1" t="s">
        <v>1699</v>
      </c>
      <c r="D1073" s="1" t="s">
        <v>3995</v>
      </c>
      <c r="E1073" s="1" t="s">
        <v>3509</v>
      </c>
      <c r="F1073" s="1" t="s">
        <v>2241</v>
      </c>
      <c r="H1073" s="1" t="s">
        <v>3993</v>
      </c>
      <c r="I1073" s="1" t="s">
        <v>892</v>
      </c>
      <c r="J1073" s="1" t="s">
        <v>286</v>
      </c>
    </row>
    <row r="1074">
      <c r="B1074" s="1" t="s">
        <v>1591</v>
      </c>
      <c r="C1074" s="1" t="s">
        <v>4683</v>
      </c>
      <c r="D1074" s="1" t="s">
        <v>3453</v>
      </c>
      <c r="E1074" s="1" t="s">
        <v>4857</v>
      </c>
      <c r="F1074" s="1" t="s">
        <v>2237</v>
      </c>
      <c r="H1074" s="1" t="s">
        <v>3996</v>
      </c>
      <c r="I1074" s="1" t="s">
        <v>6439</v>
      </c>
      <c r="J1074" s="1" t="s">
        <v>864</v>
      </c>
    </row>
    <row r="1075">
      <c r="B1075" s="1" t="s">
        <v>2811</v>
      </c>
      <c r="C1075" s="1" t="s">
        <v>2708</v>
      </c>
      <c r="D1075" s="1" t="s">
        <v>83</v>
      </c>
      <c r="E1075" s="1" t="s">
        <v>6438</v>
      </c>
      <c r="F1075" s="1" t="s">
        <v>2243</v>
      </c>
      <c r="H1075" s="1" t="s">
        <v>3997</v>
      </c>
      <c r="I1075" s="1" t="s">
        <v>429</v>
      </c>
      <c r="J1075" s="1" t="s">
        <v>1611</v>
      </c>
    </row>
    <row r="1076">
      <c r="B1076" s="1" t="s">
        <v>4000</v>
      </c>
      <c r="C1076" s="1" t="s">
        <v>3319</v>
      </c>
      <c r="D1076" s="1" t="s">
        <v>579</v>
      </c>
      <c r="E1076" s="1" t="s">
        <v>2976</v>
      </c>
      <c r="F1076" s="1" t="s">
        <v>154</v>
      </c>
      <c r="H1076" s="1" t="s">
        <v>1819</v>
      </c>
      <c r="I1076" s="1" t="s">
        <v>3524</v>
      </c>
      <c r="J1076" s="1" t="s">
        <v>1855</v>
      </c>
    </row>
    <row r="1077">
      <c r="B1077" s="1" t="s">
        <v>4001</v>
      </c>
      <c r="C1077" s="1" t="s">
        <v>4689</v>
      </c>
      <c r="D1077" s="1" t="s">
        <v>4004</v>
      </c>
      <c r="E1077" s="1" t="s">
        <v>2973</v>
      </c>
      <c r="F1077" s="1" t="s">
        <v>2374</v>
      </c>
      <c r="H1077" s="1" t="s">
        <v>4002</v>
      </c>
      <c r="I1077" s="1" t="s">
        <v>2995</v>
      </c>
      <c r="J1077" s="1" t="s">
        <v>3100</v>
      </c>
    </row>
    <row r="1078">
      <c r="B1078" s="1" t="s">
        <v>2816</v>
      </c>
      <c r="C1078" s="1" t="s">
        <v>4692</v>
      </c>
      <c r="D1078" s="1" t="s">
        <v>2383</v>
      </c>
      <c r="E1078" s="1" t="s">
        <v>892</v>
      </c>
      <c r="F1078" s="1" t="s">
        <v>3215</v>
      </c>
      <c r="H1078" s="1" t="s">
        <v>3479</v>
      </c>
      <c r="I1078" s="1" t="s">
        <v>3532</v>
      </c>
      <c r="J1078" s="1" t="s">
        <v>2862</v>
      </c>
    </row>
    <row r="1079">
      <c r="B1079" s="1" t="s">
        <v>2705</v>
      </c>
      <c r="C1079" s="1" t="s">
        <v>4501</v>
      </c>
      <c r="D1079" s="1" t="s">
        <v>3458</v>
      </c>
      <c r="E1079" s="1" t="s">
        <v>2982</v>
      </c>
      <c r="F1079" s="1" t="s">
        <v>3733</v>
      </c>
      <c r="H1079" s="1" t="s">
        <v>4005</v>
      </c>
      <c r="I1079" s="1" t="s">
        <v>3748</v>
      </c>
      <c r="J1079" s="1" t="s">
        <v>4226</v>
      </c>
    </row>
    <row r="1080">
      <c r="B1080" s="1" t="s">
        <v>4008</v>
      </c>
      <c r="C1080" s="1" t="s">
        <v>3212</v>
      </c>
      <c r="D1080" s="1" t="s">
        <v>4011</v>
      </c>
      <c r="E1080" s="1" t="s">
        <v>6439</v>
      </c>
      <c r="F1080" s="1" t="s">
        <v>643</v>
      </c>
      <c r="H1080" s="1" t="s">
        <v>4009</v>
      </c>
      <c r="I1080" s="1" t="s">
        <v>2999</v>
      </c>
      <c r="J1080" s="1" t="s">
        <v>3115</v>
      </c>
    </row>
    <row r="1081">
      <c r="B1081" s="1" t="s">
        <v>777</v>
      </c>
      <c r="C1081" s="1" t="s">
        <v>3621</v>
      </c>
      <c r="D1081" s="1" t="s">
        <v>2401</v>
      </c>
      <c r="E1081" s="1" t="s">
        <v>6417</v>
      </c>
      <c r="F1081" s="1" t="s">
        <v>3976</v>
      </c>
      <c r="H1081" s="1" t="s">
        <v>4012</v>
      </c>
      <c r="I1081" s="1" t="s">
        <v>3010</v>
      </c>
      <c r="J1081" s="1" t="s">
        <v>1627</v>
      </c>
    </row>
    <row r="1082">
      <c r="B1082" s="1" t="s">
        <v>921</v>
      </c>
      <c r="C1082" s="1" t="s">
        <v>769</v>
      </c>
      <c r="D1082" s="1" t="s">
        <v>2385</v>
      </c>
      <c r="E1082" s="1" t="s">
        <v>429</v>
      </c>
      <c r="F1082" s="1" t="s">
        <v>648</v>
      </c>
      <c r="H1082" s="1" t="s">
        <v>4014</v>
      </c>
      <c r="I1082" s="1" t="s">
        <v>6440</v>
      </c>
      <c r="J1082" s="1" t="s">
        <v>4231</v>
      </c>
    </row>
    <row r="1083">
      <c r="B1083" s="1" t="s">
        <v>2723</v>
      </c>
      <c r="C1083" s="1" t="s">
        <v>4699</v>
      </c>
      <c r="D1083" s="1" t="s">
        <v>2388</v>
      </c>
      <c r="E1083" s="1" t="s">
        <v>3524</v>
      </c>
      <c r="F1083" s="1" t="s">
        <v>3583</v>
      </c>
      <c r="H1083" s="1" t="s">
        <v>1839</v>
      </c>
      <c r="I1083" s="1" t="s">
        <v>6441</v>
      </c>
      <c r="J1083" s="1" t="s">
        <v>1010</v>
      </c>
    </row>
    <row r="1084">
      <c r="B1084" s="1" t="s">
        <v>1426</v>
      </c>
      <c r="C1084" s="1" t="s">
        <v>4702</v>
      </c>
      <c r="D1084" s="1" t="s">
        <v>2405</v>
      </c>
      <c r="E1084" s="1" t="s">
        <v>2106</v>
      </c>
      <c r="F1084" s="1" t="s">
        <v>2253</v>
      </c>
      <c r="H1084" s="1" t="s">
        <v>4016</v>
      </c>
      <c r="I1084" s="1" t="s">
        <v>2100</v>
      </c>
      <c r="J1084" s="1" t="s">
        <v>4240</v>
      </c>
    </row>
    <row r="1085">
      <c r="B1085" s="1" t="s">
        <v>4018</v>
      </c>
      <c r="C1085" s="1" t="s">
        <v>1734</v>
      </c>
      <c r="D1085" s="1" t="s">
        <v>3487</v>
      </c>
      <c r="E1085" s="1" t="s">
        <v>2992</v>
      </c>
      <c r="F1085" s="1" t="s">
        <v>3751</v>
      </c>
      <c r="H1085" s="1" t="s">
        <v>4019</v>
      </c>
      <c r="I1085" s="1" t="s">
        <v>3027</v>
      </c>
      <c r="J1085" s="1" t="s">
        <v>4770</v>
      </c>
    </row>
    <row r="1086">
      <c r="B1086" s="1" t="s">
        <v>4022</v>
      </c>
      <c r="C1086" s="1" t="s">
        <v>3842</v>
      </c>
      <c r="D1086" s="1" t="s">
        <v>658</v>
      </c>
      <c r="E1086" s="1" t="s">
        <v>2995</v>
      </c>
      <c r="F1086" s="1" t="s">
        <v>2300</v>
      </c>
      <c r="H1086" s="1" t="s">
        <v>4023</v>
      </c>
      <c r="I1086" s="1" t="s">
        <v>3033</v>
      </c>
      <c r="J1086" s="1" t="s">
        <v>4248</v>
      </c>
    </row>
    <row r="1087">
      <c r="B1087" s="1" t="s">
        <v>1111</v>
      </c>
      <c r="C1087" s="1" t="s">
        <v>4709</v>
      </c>
      <c r="D1087" s="1" t="s">
        <v>706</v>
      </c>
      <c r="E1087" s="1" t="s">
        <v>3532</v>
      </c>
      <c r="F1087" s="1" t="s">
        <v>975</v>
      </c>
      <c r="H1087" s="1" t="s">
        <v>4026</v>
      </c>
      <c r="I1087" s="1" t="s">
        <v>1146</v>
      </c>
      <c r="J1087" s="1" t="s">
        <v>4773</v>
      </c>
    </row>
    <row r="1088">
      <c r="B1088" s="1" t="s">
        <v>2089</v>
      </c>
      <c r="C1088" s="1" t="s">
        <v>4713</v>
      </c>
      <c r="D1088" s="1" t="s">
        <v>1242</v>
      </c>
      <c r="E1088" s="1" t="s">
        <v>3748</v>
      </c>
      <c r="F1088" s="1" t="s">
        <v>533</v>
      </c>
      <c r="H1088" s="1" t="s">
        <v>3429</v>
      </c>
      <c r="I1088" s="1" t="s">
        <v>6442</v>
      </c>
      <c r="J1088" s="1" t="s">
        <v>67</v>
      </c>
    </row>
    <row r="1089">
      <c r="B1089" s="1" t="s">
        <v>786</v>
      </c>
      <c r="C1089" s="1" t="s">
        <v>4718</v>
      </c>
      <c r="D1089" s="1" t="s">
        <v>2408</v>
      </c>
      <c r="E1089" s="1" t="s">
        <v>2999</v>
      </c>
      <c r="F1089" s="1" t="s">
        <v>2255</v>
      </c>
      <c r="H1089" s="1" t="s">
        <v>3375</v>
      </c>
      <c r="I1089" s="1" t="s">
        <v>2130</v>
      </c>
      <c r="J1089" s="1" t="s">
        <v>3862</v>
      </c>
    </row>
    <row r="1090">
      <c r="B1090" s="1" t="s">
        <v>793</v>
      </c>
      <c r="C1090" s="1" t="s">
        <v>4719</v>
      </c>
      <c r="D1090" s="1" t="s">
        <v>2411</v>
      </c>
      <c r="E1090" s="1" t="s">
        <v>3010</v>
      </c>
      <c r="F1090" s="1" t="s">
        <v>6443</v>
      </c>
      <c r="H1090" s="1" t="s">
        <v>4028</v>
      </c>
      <c r="I1090" s="1" t="s">
        <v>3782</v>
      </c>
      <c r="J1090" s="1" t="s">
        <v>4255</v>
      </c>
    </row>
    <row r="1091">
      <c r="B1091" s="1" t="s">
        <v>801</v>
      </c>
      <c r="C1091" s="1" t="s">
        <v>4721</v>
      </c>
      <c r="D1091" s="1" t="s">
        <v>4031</v>
      </c>
      <c r="E1091" s="1" t="s">
        <v>6440</v>
      </c>
      <c r="F1091" s="1" t="s">
        <v>5963</v>
      </c>
      <c r="I1091" s="1" t="s">
        <v>2115</v>
      </c>
      <c r="J1091" s="1" t="s">
        <v>4996</v>
      </c>
    </row>
    <row r="1092">
      <c r="B1092" s="1" t="s">
        <v>934</v>
      </c>
      <c r="C1092" s="1" t="s">
        <v>236</v>
      </c>
      <c r="D1092" s="1" t="s">
        <v>2066</v>
      </c>
      <c r="E1092" s="1" t="s">
        <v>6441</v>
      </c>
      <c r="F1092" s="1" t="s">
        <v>2045</v>
      </c>
      <c r="I1092" s="1" t="s">
        <v>144</v>
      </c>
      <c r="J1092" s="1" t="s">
        <v>2872</v>
      </c>
    </row>
    <row r="1093">
      <c r="B1093" s="1" t="s">
        <v>2831</v>
      </c>
      <c r="C1093" s="1" t="s">
        <v>4725</v>
      </c>
      <c r="D1093" s="1" t="s">
        <v>2624</v>
      </c>
      <c r="E1093" s="1" t="s">
        <v>3014</v>
      </c>
      <c r="F1093" s="1" t="s">
        <v>1002</v>
      </c>
      <c r="I1093" s="1" t="s">
        <v>6444</v>
      </c>
      <c r="J1093" s="1" t="s">
        <v>5374</v>
      </c>
    </row>
    <row r="1094">
      <c r="B1094" s="1" t="s">
        <v>4033</v>
      </c>
      <c r="C1094" s="1" t="s">
        <v>4158</v>
      </c>
      <c r="D1094" s="1" t="s">
        <v>713</v>
      </c>
      <c r="E1094" s="1" t="s">
        <v>2100</v>
      </c>
      <c r="F1094" s="1" t="s">
        <v>6445</v>
      </c>
      <c r="I1094" s="1" t="s">
        <v>2757</v>
      </c>
      <c r="J1094" s="1" t="s">
        <v>2875</v>
      </c>
    </row>
    <row r="1095">
      <c r="B1095" s="1" t="s">
        <v>4035</v>
      </c>
      <c r="C1095" s="1" t="s">
        <v>1608</v>
      </c>
      <c r="D1095" s="1" t="s">
        <v>4038</v>
      </c>
      <c r="E1095" s="1" t="s">
        <v>3027</v>
      </c>
      <c r="F1095" s="1" t="s">
        <v>1007</v>
      </c>
      <c r="I1095" s="1" t="s">
        <v>6446</v>
      </c>
      <c r="J1095" s="1" t="s">
        <v>1042</v>
      </c>
    </row>
    <row r="1096">
      <c r="B1096" s="1" t="s">
        <v>4039</v>
      </c>
      <c r="C1096" s="1" t="s">
        <v>3820</v>
      </c>
      <c r="D1096" s="1" t="s">
        <v>2423</v>
      </c>
      <c r="E1096" s="1" t="s">
        <v>588</v>
      </c>
      <c r="F1096" s="1" t="s">
        <v>2266</v>
      </c>
      <c r="I1096" s="1" t="s">
        <v>1233</v>
      </c>
      <c r="J1096" s="1" t="s">
        <v>3134</v>
      </c>
    </row>
    <row r="1097">
      <c r="B1097" s="1" t="s">
        <v>2692</v>
      </c>
      <c r="C1097" s="1" t="s">
        <v>3423</v>
      </c>
      <c r="D1097" s="1" t="s">
        <v>4043</v>
      </c>
      <c r="E1097" s="1" t="s">
        <v>3033</v>
      </c>
      <c r="F1097" s="1" t="s">
        <v>2271</v>
      </c>
      <c r="I1097" s="1" t="s">
        <v>2152</v>
      </c>
      <c r="J1097" s="1" t="s">
        <v>2879</v>
      </c>
    </row>
    <row r="1098">
      <c r="B1098" s="1" t="s">
        <v>2700</v>
      </c>
      <c r="C1098" s="1" t="s">
        <v>4688</v>
      </c>
      <c r="D1098" s="1" t="s">
        <v>4045</v>
      </c>
      <c r="E1098" s="1" t="s">
        <v>1146</v>
      </c>
      <c r="F1098" s="1" t="s">
        <v>3774</v>
      </c>
      <c r="I1098" s="1" t="s">
        <v>3579</v>
      </c>
      <c r="J1098" s="1" t="s">
        <v>1652</v>
      </c>
    </row>
    <row r="1099">
      <c r="B1099" s="1" t="s">
        <v>4046</v>
      </c>
      <c r="C1099" s="1" t="s">
        <v>798</v>
      </c>
      <c r="D1099" s="1" t="s">
        <v>2414</v>
      </c>
      <c r="E1099" s="1" t="s">
        <v>420</v>
      </c>
      <c r="F1099" s="1" t="s">
        <v>170</v>
      </c>
      <c r="I1099" s="1" t="s">
        <v>6423</v>
      </c>
      <c r="J1099" s="1" t="s">
        <v>6447</v>
      </c>
    </row>
    <row r="1100">
      <c r="B1100" s="1" t="s">
        <v>2851</v>
      </c>
      <c r="C1100" s="1" t="s">
        <v>4733</v>
      </c>
      <c r="D1100" s="1" t="s">
        <v>1857</v>
      </c>
      <c r="E1100" s="1" t="s">
        <v>6442</v>
      </c>
      <c r="F1100" s="1" t="s">
        <v>3780</v>
      </c>
      <c r="I1100" s="1" t="s">
        <v>6424</v>
      </c>
      <c r="J1100" s="1" t="s">
        <v>2890</v>
      </c>
    </row>
    <row r="1101">
      <c r="B1101" s="1" t="s">
        <v>2853</v>
      </c>
      <c r="C1101" s="1" t="s">
        <v>4735</v>
      </c>
      <c r="D1101" s="1" t="s">
        <v>2430</v>
      </c>
      <c r="E1101" s="1" t="s">
        <v>2130</v>
      </c>
      <c r="F1101" s="1" t="s">
        <v>1024</v>
      </c>
      <c r="I1101" s="1" t="s">
        <v>3200</v>
      </c>
      <c r="J1101" s="1" t="s">
        <v>5009</v>
      </c>
    </row>
    <row r="1102">
      <c r="B1102" s="1" t="s">
        <v>4049</v>
      </c>
      <c r="C1102" s="1" t="s">
        <v>4742</v>
      </c>
      <c r="D1102" s="1" t="s">
        <v>4051</v>
      </c>
      <c r="E1102" s="1" t="s">
        <v>3782</v>
      </c>
      <c r="F1102" s="1" t="s">
        <v>1014</v>
      </c>
      <c r="I1102" s="1" t="s">
        <v>615</v>
      </c>
      <c r="J1102" s="1" t="s">
        <v>347</v>
      </c>
    </row>
    <row r="1103">
      <c r="B1103" s="1" t="s">
        <v>1451</v>
      </c>
      <c r="C1103" s="1" t="s">
        <v>2336</v>
      </c>
      <c r="D1103" s="1" t="s">
        <v>586</v>
      </c>
      <c r="E1103" s="1" t="s">
        <v>2115</v>
      </c>
      <c r="F1103" s="1" t="s">
        <v>2268</v>
      </c>
      <c r="I1103" s="1" t="s">
        <v>2137</v>
      </c>
      <c r="J1103" s="1" t="s">
        <v>3706</v>
      </c>
    </row>
    <row r="1104">
      <c r="B1104" s="1" t="s">
        <v>4053</v>
      </c>
      <c r="C1104" s="1" t="s">
        <v>4549</v>
      </c>
      <c r="D1104" s="1" t="s">
        <v>2421</v>
      </c>
      <c r="E1104" s="1" t="s">
        <v>144</v>
      </c>
      <c r="F1104" s="1" t="s">
        <v>3259</v>
      </c>
      <c r="I1104" s="1" t="s">
        <v>5545</v>
      </c>
      <c r="J1104" s="1" t="s">
        <v>1054</v>
      </c>
    </row>
    <row r="1105">
      <c r="B1105" s="1" t="s">
        <v>1513</v>
      </c>
      <c r="C1105" s="1" t="s">
        <v>1806</v>
      </c>
      <c r="D1105" s="1" t="s">
        <v>2454</v>
      </c>
      <c r="E1105" s="1" t="s">
        <v>6444</v>
      </c>
      <c r="F1105" s="1" t="s">
        <v>1029</v>
      </c>
      <c r="I1105" s="1" t="s">
        <v>3594</v>
      </c>
      <c r="J1105" s="1" t="s">
        <v>1058</v>
      </c>
    </row>
    <row r="1106">
      <c r="B1106" s="1" t="s">
        <v>2858</v>
      </c>
      <c r="C1106" s="1" t="s">
        <v>2100</v>
      </c>
      <c r="D1106" s="1" t="s">
        <v>721</v>
      </c>
      <c r="E1106" s="1" t="s">
        <v>2757</v>
      </c>
      <c r="F1106" s="1" t="s">
        <v>2272</v>
      </c>
      <c r="I1106" s="1" t="s">
        <v>2142</v>
      </c>
      <c r="J1106" s="1" t="s">
        <v>5021</v>
      </c>
    </row>
    <row r="1107">
      <c r="B1107" s="1" t="s">
        <v>2860</v>
      </c>
      <c r="C1107" s="1" t="s">
        <v>2969</v>
      </c>
      <c r="D1107" s="1" t="s">
        <v>738</v>
      </c>
      <c r="E1107" s="1" t="s">
        <v>6446</v>
      </c>
      <c r="F1107" s="1" t="s">
        <v>747</v>
      </c>
      <c r="I1107" s="1" t="s">
        <v>2165</v>
      </c>
      <c r="J1107" s="1" t="s">
        <v>5796</v>
      </c>
    </row>
    <row r="1108">
      <c r="B1108" s="1" t="s">
        <v>1458</v>
      </c>
      <c r="C1108" s="1" t="s">
        <v>857</v>
      </c>
      <c r="D1108" s="1" t="s">
        <v>2440</v>
      </c>
      <c r="E1108" s="1" t="s">
        <v>1233</v>
      </c>
      <c r="F1108" s="1" t="s">
        <v>2277</v>
      </c>
      <c r="I1108" s="1" t="s">
        <v>941</v>
      </c>
      <c r="J1108" s="1" t="s">
        <v>4827</v>
      </c>
    </row>
    <row r="1109">
      <c r="B1109" s="1" t="s">
        <v>4056</v>
      </c>
      <c r="C1109" s="1" t="s">
        <v>2819</v>
      </c>
      <c r="D1109" s="1" t="s">
        <v>3527</v>
      </c>
      <c r="E1109" s="1" t="s">
        <v>2152</v>
      </c>
      <c r="F1109" s="1" t="s">
        <v>2825</v>
      </c>
      <c r="I1109" s="1" t="s">
        <v>3084</v>
      </c>
      <c r="J1109" s="1" t="s">
        <v>1531</v>
      </c>
    </row>
    <row r="1110">
      <c r="B1110" s="1" t="s">
        <v>2720</v>
      </c>
      <c r="C1110" s="1" t="s">
        <v>3496</v>
      </c>
      <c r="D1110" s="1" t="s">
        <v>2443</v>
      </c>
      <c r="E1110" s="1" t="s">
        <v>3579</v>
      </c>
      <c r="F1110" s="1" t="s">
        <v>655</v>
      </c>
      <c r="I1110" s="1" t="s">
        <v>2189</v>
      </c>
      <c r="J1110" s="1" t="s">
        <v>1066</v>
      </c>
    </row>
    <row r="1111">
      <c r="B1111" s="1" t="s">
        <v>3098</v>
      </c>
      <c r="C1111" s="1" t="s">
        <v>2592</v>
      </c>
      <c r="D1111" s="1" t="s">
        <v>4059</v>
      </c>
      <c r="E1111" s="1" t="s">
        <v>6423</v>
      </c>
      <c r="F1111" s="1" t="s">
        <v>5977</v>
      </c>
      <c r="I1111" s="1" t="s">
        <v>2514</v>
      </c>
      <c r="J1111" s="1" t="s">
        <v>714</v>
      </c>
    </row>
    <row r="1112">
      <c r="B1112" s="1" t="s">
        <v>318</v>
      </c>
      <c r="C1112" s="1" t="s">
        <v>4758</v>
      </c>
      <c r="D1112" s="1" t="s">
        <v>2446</v>
      </c>
      <c r="E1112" s="1" t="s">
        <v>2147</v>
      </c>
      <c r="F1112" s="1" t="s">
        <v>541</v>
      </c>
      <c r="I1112" s="1" t="s">
        <v>2149</v>
      </c>
      <c r="J1112" s="1" t="s">
        <v>2964</v>
      </c>
    </row>
    <row r="1113">
      <c r="B1113" s="1" t="s">
        <v>4062</v>
      </c>
      <c r="C1113" s="1" t="s">
        <v>903</v>
      </c>
      <c r="D1113" s="1" t="s">
        <v>1424</v>
      </c>
      <c r="E1113" s="1" t="s">
        <v>6424</v>
      </c>
      <c r="F1113" s="1" t="s">
        <v>3804</v>
      </c>
      <c r="I1113" s="1" t="s">
        <v>4692</v>
      </c>
      <c r="J1113" s="1" t="s">
        <v>2912</v>
      </c>
    </row>
    <row r="1114">
      <c r="B1114" s="1" t="s">
        <v>2729</v>
      </c>
      <c r="C1114" s="1" t="s">
        <v>2478</v>
      </c>
      <c r="D1114" s="1" t="s">
        <v>368</v>
      </c>
      <c r="E1114" s="1" t="s">
        <v>1560</v>
      </c>
      <c r="F1114" s="1" t="s">
        <v>3808</v>
      </c>
      <c r="I1114" s="1" t="s">
        <v>2145</v>
      </c>
      <c r="J1114" s="1" t="s">
        <v>2914</v>
      </c>
    </row>
    <row r="1115">
      <c r="B1115" s="1" t="s">
        <v>4066</v>
      </c>
      <c r="C1115" s="1" t="s">
        <v>4761</v>
      </c>
      <c r="D1115" s="1" t="s">
        <v>2451</v>
      </c>
      <c r="E1115" s="1" t="s">
        <v>3200</v>
      </c>
      <c r="F1115" s="1" t="s">
        <v>3813</v>
      </c>
      <c r="I1115" s="1" t="s">
        <v>6448</v>
      </c>
      <c r="J1115" s="1" t="s">
        <v>3180</v>
      </c>
    </row>
    <row r="1116">
      <c r="B1116" s="1" t="s">
        <v>4068</v>
      </c>
      <c r="C1116" s="1" t="s">
        <v>4767</v>
      </c>
      <c r="D1116" s="1" t="s">
        <v>2453</v>
      </c>
      <c r="E1116" s="1" t="s">
        <v>3057</v>
      </c>
      <c r="F1116" s="1" t="s">
        <v>649</v>
      </c>
      <c r="I1116" s="1" t="s">
        <v>617</v>
      </c>
      <c r="J1116" s="1" t="s">
        <v>3184</v>
      </c>
    </row>
    <row r="1117">
      <c r="B1117" s="1" t="s">
        <v>1896</v>
      </c>
      <c r="C1117" s="1" t="s">
        <v>286</v>
      </c>
      <c r="D1117" s="1" t="s">
        <v>3549</v>
      </c>
      <c r="E1117" s="1" t="s">
        <v>615</v>
      </c>
      <c r="F1117" s="1" t="s">
        <v>2292</v>
      </c>
      <c r="I1117" s="1" t="s">
        <v>2438</v>
      </c>
      <c r="J1117" s="1" t="s">
        <v>3024</v>
      </c>
    </row>
    <row r="1118">
      <c r="B1118" s="1" t="s">
        <v>2868</v>
      </c>
      <c r="C1118" s="1" t="s">
        <v>3906</v>
      </c>
      <c r="D1118" s="1" t="s">
        <v>594</v>
      </c>
      <c r="E1118" s="1" t="s">
        <v>2137</v>
      </c>
      <c r="F1118" s="1" t="s">
        <v>665</v>
      </c>
      <c r="I1118" s="1" t="s">
        <v>2182</v>
      </c>
      <c r="J1118" s="1" t="s">
        <v>3195</v>
      </c>
    </row>
    <row r="1119">
      <c r="B1119" s="1" t="s">
        <v>2874</v>
      </c>
      <c r="C1119" s="1" t="s">
        <v>3043</v>
      </c>
      <c r="D1119" s="1" t="s">
        <v>1078</v>
      </c>
      <c r="E1119" s="1" t="s">
        <v>5545</v>
      </c>
      <c r="F1119" s="1" t="s">
        <v>2298</v>
      </c>
      <c r="I1119" s="1" t="s">
        <v>3625</v>
      </c>
      <c r="J1119" s="1" t="s">
        <v>3198</v>
      </c>
    </row>
    <row r="1120">
      <c r="B1120" s="1" t="s">
        <v>2871</v>
      </c>
      <c r="C1120" s="1" t="s">
        <v>4772</v>
      </c>
      <c r="D1120" s="1" t="s">
        <v>4029</v>
      </c>
      <c r="E1120" s="1" t="s">
        <v>3594</v>
      </c>
      <c r="F1120" s="1" t="s">
        <v>2295</v>
      </c>
      <c r="I1120" s="1">
        <v>1.0</v>
      </c>
      <c r="J1120" s="1" t="s">
        <v>2926</v>
      </c>
    </row>
    <row r="1121">
      <c r="B1121" s="1" t="s">
        <v>4075</v>
      </c>
      <c r="C1121" s="1" t="s">
        <v>4776</v>
      </c>
      <c r="D1121" s="1" t="s">
        <v>837</v>
      </c>
      <c r="E1121" s="1" t="s">
        <v>4761</v>
      </c>
      <c r="F1121" s="1" t="s">
        <v>2302</v>
      </c>
      <c r="I1121" s="1" t="s">
        <v>4507</v>
      </c>
      <c r="J1121" s="1" t="s">
        <v>1943</v>
      </c>
    </row>
    <row r="1122">
      <c r="B1122" s="1" t="s">
        <v>1466</v>
      </c>
      <c r="C1122" s="1" t="s">
        <v>4777</v>
      </c>
      <c r="D1122" s="1" t="s">
        <v>3556</v>
      </c>
      <c r="E1122" s="1" t="s">
        <v>2142</v>
      </c>
      <c r="F1122" s="1" t="s">
        <v>2306</v>
      </c>
      <c r="I1122" s="1" t="s">
        <v>3111</v>
      </c>
      <c r="J1122" s="1" t="s">
        <v>4298</v>
      </c>
    </row>
    <row r="1123">
      <c r="B1123" s="1" t="s">
        <v>497</v>
      </c>
      <c r="C1123" s="1" t="s">
        <v>4780</v>
      </c>
      <c r="D1123" s="1" t="s">
        <v>2463</v>
      </c>
      <c r="E1123" s="1" t="s">
        <v>2165</v>
      </c>
      <c r="F1123" s="1" t="s">
        <v>3299</v>
      </c>
      <c r="I1123" s="1" t="s">
        <v>808</v>
      </c>
      <c r="J1123" s="1" t="s">
        <v>4301</v>
      </c>
    </row>
    <row r="1124">
      <c r="B1124" s="1" t="s">
        <v>2887</v>
      </c>
      <c r="C1124" s="1" t="s">
        <v>4782</v>
      </c>
      <c r="D1124" s="1" t="s">
        <v>737</v>
      </c>
      <c r="E1124" s="1" t="s">
        <v>941</v>
      </c>
      <c r="F1124" s="1" t="s">
        <v>3304</v>
      </c>
      <c r="I1124" s="1" t="s">
        <v>6449</v>
      </c>
      <c r="J1124" s="1" t="s">
        <v>4302</v>
      </c>
    </row>
    <row r="1125">
      <c r="B1125" s="1" t="s">
        <v>811</v>
      </c>
      <c r="C1125" s="1" t="s">
        <v>4784</v>
      </c>
      <c r="D1125" s="1" t="s">
        <v>2467</v>
      </c>
      <c r="E1125" s="1" t="s">
        <v>3084</v>
      </c>
      <c r="F1125" s="1" t="s">
        <v>4699</v>
      </c>
      <c r="I1125" s="1" t="s">
        <v>863</v>
      </c>
      <c r="J1125" s="1" t="s">
        <v>4306</v>
      </c>
    </row>
    <row r="1126">
      <c r="B1126" s="1" t="s">
        <v>94</v>
      </c>
      <c r="C1126" s="1" t="s">
        <v>4788</v>
      </c>
      <c r="D1126" s="1" t="s">
        <v>746</v>
      </c>
      <c r="E1126" s="1" t="s">
        <v>2189</v>
      </c>
      <c r="F1126" s="1" t="s">
        <v>674</v>
      </c>
      <c r="I1126" s="1" t="s">
        <v>2194</v>
      </c>
      <c r="J1126" s="1" t="s">
        <v>2931</v>
      </c>
    </row>
    <row r="1127">
      <c r="B1127" s="1" t="s">
        <v>951</v>
      </c>
      <c r="C1127" s="1" t="s">
        <v>4794</v>
      </c>
      <c r="D1127" s="1" t="s">
        <v>603</v>
      </c>
      <c r="E1127" s="1" t="s">
        <v>2514</v>
      </c>
      <c r="F1127" s="1" t="s">
        <v>3311</v>
      </c>
      <c r="I1127" s="1" t="s">
        <v>2164</v>
      </c>
      <c r="J1127" s="1" t="s">
        <v>4871</v>
      </c>
    </row>
    <row r="1128">
      <c r="B1128" s="1" t="s">
        <v>4083</v>
      </c>
      <c r="C1128" s="1" t="s">
        <v>4795</v>
      </c>
      <c r="D1128" s="1" t="s">
        <v>680</v>
      </c>
      <c r="E1128" s="1" t="s">
        <v>2149</v>
      </c>
      <c r="F1128" s="1" t="s">
        <v>1094</v>
      </c>
      <c r="I1128" s="1" t="s">
        <v>2202</v>
      </c>
      <c r="J1128" s="1" t="s">
        <v>4875</v>
      </c>
    </row>
    <row r="1129">
      <c r="B1129" s="1" t="s">
        <v>639</v>
      </c>
      <c r="C1129" s="1" t="s">
        <v>3618</v>
      </c>
      <c r="D1129" s="1" t="s">
        <v>1153</v>
      </c>
      <c r="E1129" s="1" t="s">
        <v>4692</v>
      </c>
      <c r="F1129" s="1" t="s">
        <v>1052</v>
      </c>
      <c r="I1129" s="1" t="s">
        <v>3652</v>
      </c>
      <c r="J1129" s="1" t="s">
        <v>4324</v>
      </c>
    </row>
    <row r="1130">
      <c r="B1130" s="1" t="s">
        <v>2747</v>
      </c>
      <c r="C1130" s="1" t="s">
        <v>4804</v>
      </c>
      <c r="D1130" s="1" t="s">
        <v>612</v>
      </c>
      <c r="E1130" s="1" t="s">
        <v>2145</v>
      </c>
      <c r="F1130" s="1" t="s">
        <v>2310</v>
      </c>
      <c r="I1130" s="1" t="s">
        <v>3656</v>
      </c>
      <c r="J1130" s="1" t="s">
        <v>3211</v>
      </c>
    </row>
    <row r="1131">
      <c r="B1131" s="1" t="s">
        <v>4088</v>
      </c>
      <c r="C1131" s="1" t="s">
        <v>2123</v>
      </c>
      <c r="D1131" s="1" t="s">
        <v>4090</v>
      </c>
      <c r="E1131" s="1" t="s">
        <v>6448</v>
      </c>
      <c r="F1131" s="1" t="s">
        <v>3847</v>
      </c>
      <c r="I1131" s="1" t="s">
        <v>3657</v>
      </c>
      <c r="J1131" s="1" t="s">
        <v>4326</v>
      </c>
    </row>
    <row r="1132">
      <c r="B1132" s="1" t="s">
        <v>616</v>
      </c>
      <c r="C1132" s="1" t="s">
        <v>4444</v>
      </c>
      <c r="D1132" s="1" t="s">
        <v>302</v>
      </c>
      <c r="E1132" s="1" t="s">
        <v>617</v>
      </c>
      <c r="F1132" s="1" t="s">
        <v>2312</v>
      </c>
      <c r="I1132" s="1" t="s">
        <v>6450</v>
      </c>
      <c r="J1132" s="1" t="s">
        <v>3214</v>
      </c>
    </row>
    <row r="1133">
      <c r="B1133" s="1" t="s">
        <v>242</v>
      </c>
      <c r="C1133" s="1" t="s">
        <v>4808</v>
      </c>
      <c r="D1133" s="1" t="s">
        <v>2988</v>
      </c>
      <c r="E1133" s="1" t="s">
        <v>3101</v>
      </c>
      <c r="F1133" s="1" t="s">
        <v>2316</v>
      </c>
      <c r="I1133" s="1" t="s">
        <v>3880</v>
      </c>
      <c r="J1133" s="1" t="s">
        <v>3220</v>
      </c>
    </row>
    <row r="1134">
      <c r="B1134" s="1" t="s">
        <v>1486</v>
      </c>
      <c r="C1134" s="1" t="s">
        <v>2607</v>
      </c>
      <c r="D1134" s="1" t="s">
        <v>4093</v>
      </c>
      <c r="E1134" s="1" t="s">
        <v>2438</v>
      </c>
      <c r="F1134" s="1" t="s">
        <v>2196</v>
      </c>
      <c r="I1134" s="1" t="s">
        <v>3663</v>
      </c>
      <c r="J1134" s="1" t="s">
        <v>3222</v>
      </c>
    </row>
    <row r="1135">
      <c r="B1135" s="1" t="s">
        <v>4094</v>
      </c>
      <c r="C1135" s="1" t="s">
        <v>3300</v>
      </c>
      <c r="D1135" s="1" t="s">
        <v>2572</v>
      </c>
      <c r="E1135" s="1" t="s">
        <v>2182</v>
      </c>
      <c r="F1135" s="1" t="s">
        <v>3560</v>
      </c>
      <c r="I1135" s="1" t="s">
        <v>3894</v>
      </c>
      <c r="J1135" s="1" t="s">
        <v>3226</v>
      </c>
    </row>
    <row r="1136">
      <c r="B1136" s="1" t="s">
        <v>817</v>
      </c>
      <c r="C1136" s="1" t="s">
        <v>4813</v>
      </c>
      <c r="D1136" s="1" t="s">
        <v>477</v>
      </c>
      <c r="E1136" s="1" t="s">
        <v>2155</v>
      </c>
      <c r="F1136" s="1" t="s">
        <v>549</v>
      </c>
      <c r="H1136" s="10"/>
      <c r="I1136" s="1" t="s">
        <v>1099</v>
      </c>
      <c r="J1136" s="1" t="s">
        <v>5099</v>
      </c>
    </row>
    <row r="1137">
      <c r="B1137" s="1" t="s">
        <v>4098</v>
      </c>
      <c r="C1137" s="1" t="s">
        <v>4814</v>
      </c>
      <c r="D1137" s="1" t="s">
        <v>1595</v>
      </c>
      <c r="E1137" s="1" t="s">
        <v>3625</v>
      </c>
      <c r="F1137" s="1" t="s">
        <v>2308</v>
      </c>
      <c r="I1137" s="1" t="s">
        <v>3896</v>
      </c>
      <c r="J1137" s="1" t="s">
        <v>2957</v>
      </c>
    </row>
    <row r="1138">
      <c r="B1138" s="1" t="s">
        <v>1494</v>
      </c>
      <c r="C1138" s="1" t="s">
        <v>2015</v>
      </c>
      <c r="D1138" s="1" t="s">
        <v>756</v>
      </c>
      <c r="E1138" s="1" t="s">
        <v>4507</v>
      </c>
      <c r="F1138" s="1" t="s">
        <v>5996</v>
      </c>
      <c r="I1138" s="1" t="s">
        <v>4331</v>
      </c>
      <c r="J1138" s="1" t="s">
        <v>4915</v>
      </c>
    </row>
    <row r="1139">
      <c r="B1139" s="1" t="s">
        <v>2766</v>
      </c>
      <c r="C1139" s="1" t="s">
        <v>4821</v>
      </c>
      <c r="D1139" s="1" t="s">
        <v>874</v>
      </c>
      <c r="E1139" s="1" t="s">
        <v>3111</v>
      </c>
      <c r="F1139" s="1" t="s">
        <v>207</v>
      </c>
      <c r="I1139" s="1" t="s">
        <v>2188</v>
      </c>
      <c r="J1139" s="1" t="s">
        <v>3236</v>
      </c>
    </row>
    <row r="1140">
      <c r="B1140" s="1" t="s">
        <v>2919</v>
      </c>
      <c r="C1140" s="1" t="s">
        <v>4824</v>
      </c>
      <c r="D1140" s="1" t="s">
        <v>1776</v>
      </c>
      <c r="E1140" s="1" t="s">
        <v>808</v>
      </c>
      <c r="F1140" s="1" t="s">
        <v>1064</v>
      </c>
      <c r="I1140" s="1" t="s">
        <v>2195</v>
      </c>
      <c r="J1140" s="1" t="s">
        <v>3485</v>
      </c>
    </row>
    <row r="1141">
      <c r="B1141" s="1" t="s">
        <v>1501</v>
      </c>
      <c r="C1141" s="1" t="s">
        <v>4825</v>
      </c>
      <c r="D1141" s="1" t="s">
        <v>765</v>
      </c>
      <c r="E1141" s="1" t="s">
        <v>6449</v>
      </c>
      <c r="F1141" s="1" t="s">
        <v>1070</v>
      </c>
      <c r="I1141" s="1" t="s">
        <v>3362</v>
      </c>
      <c r="J1141" s="1" t="s">
        <v>5490</v>
      </c>
    </row>
    <row r="1142">
      <c r="B1142" s="1" t="s">
        <v>2927</v>
      </c>
      <c r="C1142" s="1" t="s">
        <v>2318</v>
      </c>
      <c r="D1142" s="1" t="s">
        <v>1169</v>
      </c>
      <c r="E1142" s="1" t="s">
        <v>2160</v>
      </c>
      <c r="F1142" s="1" t="s">
        <v>2319</v>
      </c>
      <c r="I1142" s="1" t="s">
        <v>6431</v>
      </c>
      <c r="J1142" s="1" t="s">
        <v>4125</v>
      </c>
    </row>
    <row r="1143">
      <c r="B1143" s="1" t="s">
        <v>2930</v>
      </c>
      <c r="C1143" s="1" t="s">
        <v>4775</v>
      </c>
      <c r="D1143" s="1" t="s">
        <v>2457</v>
      </c>
      <c r="E1143" s="1" t="s">
        <v>863</v>
      </c>
      <c r="F1143" s="1" t="s">
        <v>935</v>
      </c>
      <c r="I1143" s="1" t="s">
        <v>2214</v>
      </c>
      <c r="J1143" s="1" t="s">
        <v>3742</v>
      </c>
    </row>
    <row r="1144">
      <c r="B1144" s="1" t="s">
        <v>2934</v>
      </c>
      <c r="C1144" s="1" t="s">
        <v>2770</v>
      </c>
      <c r="D1144" s="1" t="s">
        <v>4106</v>
      </c>
      <c r="E1144" s="1" t="s">
        <v>2194</v>
      </c>
      <c r="F1144" s="1">
        <v>20.0</v>
      </c>
      <c r="I1144" s="1" t="s">
        <v>1582</v>
      </c>
      <c r="J1144" s="1" t="s">
        <v>2963</v>
      </c>
    </row>
    <row r="1145">
      <c r="B1145" s="1" t="s">
        <v>2939</v>
      </c>
      <c r="C1145" s="1" t="s">
        <v>4829</v>
      </c>
      <c r="D1145" s="1" t="s">
        <v>842</v>
      </c>
      <c r="E1145" s="1">
        <v>105.0</v>
      </c>
      <c r="F1145" s="1" t="s">
        <v>2327</v>
      </c>
      <c r="I1145" s="1" t="s">
        <v>6365</v>
      </c>
      <c r="J1145" s="1" t="s">
        <v>6451</v>
      </c>
    </row>
    <row r="1146">
      <c r="B1146" s="1" t="s">
        <v>1508</v>
      </c>
      <c r="C1146" s="1" t="s">
        <v>4608</v>
      </c>
      <c r="D1146" s="1" t="s">
        <v>3603</v>
      </c>
      <c r="E1146" s="1" t="s">
        <v>2164</v>
      </c>
      <c r="F1146" s="1" t="s">
        <v>3377</v>
      </c>
      <c r="I1146" s="1" t="s">
        <v>3693</v>
      </c>
      <c r="J1146" s="1" t="s">
        <v>2970</v>
      </c>
    </row>
    <row r="1147">
      <c r="B1147" s="1" t="s">
        <v>2945</v>
      </c>
      <c r="C1147" s="1" t="s">
        <v>1999</v>
      </c>
      <c r="D1147" s="1" t="s">
        <v>4108</v>
      </c>
      <c r="E1147" s="1" t="s">
        <v>2202</v>
      </c>
      <c r="F1147" s="1" t="s">
        <v>3296</v>
      </c>
      <c r="I1147" s="1" t="s">
        <v>6433</v>
      </c>
      <c r="J1147" s="1" t="s">
        <v>3250</v>
      </c>
    </row>
    <row r="1148">
      <c r="B1148" s="1" t="s">
        <v>2949</v>
      </c>
      <c r="C1148" s="1" t="s">
        <v>4001</v>
      </c>
      <c r="D1148" s="1" t="s">
        <v>2489</v>
      </c>
      <c r="E1148" s="1" t="s">
        <v>2199</v>
      </c>
      <c r="F1148" s="1" t="s">
        <v>678</v>
      </c>
      <c r="I1148" s="1" t="s">
        <v>1763</v>
      </c>
      <c r="J1148" s="1" t="s">
        <v>919</v>
      </c>
    </row>
    <row r="1149">
      <c r="B1149" s="1" t="s">
        <v>2953</v>
      </c>
      <c r="C1149" s="1" t="s">
        <v>4299</v>
      </c>
      <c r="D1149" s="1" t="s">
        <v>3675</v>
      </c>
      <c r="E1149" s="1" t="s">
        <v>3652</v>
      </c>
      <c r="F1149" s="1" t="s">
        <v>2332</v>
      </c>
      <c r="I1149" s="1" t="s">
        <v>1619</v>
      </c>
      <c r="J1149" s="1" t="s">
        <v>1520</v>
      </c>
    </row>
    <row r="1150">
      <c r="B1150" s="1" t="b">
        <v>0</v>
      </c>
      <c r="C1150" s="1" t="s">
        <v>4842</v>
      </c>
      <c r="D1150" s="1" t="s">
        <v>3605</v>
      </c>
      <c r="E1150" s="1" t="s">
        <v>3656</v>
      </c>
      <c r="F1150" s="1" t="s">
        <v>1074</v>
      </c>
      <c r="I1150" s="1" t="s">
        <v>3916</v>
      </c>
      <c r="J1150" s="1" t="s">
        <v>3263</v>
      </c>
    </row>
    <row r="1151">
      <c r="B1151" s="1" t="s">
        <v>4113</v>
      </c>
      <c r="C1151" s="1" t="s">
        <v>4844</v>
      </c>
      <c r="D1151" s="1" t="s">
        <v>4116</v>
      </c>
      <c r="E1151" s="1" t="s">
        <v>3657</v>
      </c>
      <c r="F1151" s="1" t="s">
        <v>2342</v>
      </c>
      <c r="I1151" s="1" t="s">
        <v>3174</v>
      </c>
      <c r="J1151" s="1" t="s">
        <v>925</v>
      </c>
    </row>
    <row r="1152">
      <c r="B1152" s="1" t="s">
        <v>4117</v>
      </c>
      <c r="C1152" s="1" t="s">
        <v>3035</v>
      </c>
      <c r="D1152" s="1" t="s">
        <v>3905</v>
      </c>
      <c r="E1152" s="1" t="s">
        <v>3136</v>
      </c>
      <c r="F1152" s="1" t="s">
        <v>6452</v>
      </c>
      <c r="I1152" s="1" t="s">
        <v>2132</v>
      </c>
      <c r="J1152" s="1" t="s">
        <v>4395</v>
      </c>
    </row>
    <row r="1153">
      <c r="B1153" s="1" t="s">
        <v>4118</v>
      </c>
      <c r="C1153" s="1" t="s">
        <v>1232</v>
      </c>
      <c r="D1153" s="1" t="s">
        <v>2468</v>
      </c>
      <c r="E1153" s="1" t="s">
        <v>6450</v>
      </c>
      <c r="F1153" s="1" t="s">
        <v>3395</v>
      </c>
      <c r="I1153" s="1" t="s">
        <v>1982</v>
      </c>
      <c r="J1153" s="1" t="s">
        <v>535</v>
      </c>
    </row>
    <row r="1154">
      <c r="B1154" s="1" t="s">
        <v>4119</v>
      </c>
      <c r="C1154" s="1" t="s">
        <v>4848</v>
      </c>
      <c r="D1154" s="1" t="s">
        <v>1177</v>
      </c>
      <c r="E1154" s="1" t="s">
        <v>3880</v>
      </c>
      <c r="F1154" s="1" t="s">
        <v>1659</v>
      </c>
      <c r="I1154" s="1" t="s">
        <v>3440</v>
      </c>
      <c r="J1154" s="1" t="s">
        <v>1107</v>
      </c>
    </row>
    <row r="1155">
      <c r="B1155" s="1" t="s">
        <v>2962</v>
      </c>
      <c r="C1155" s="1" t="s">
        <v>1816</v>
      </c>
      <c r="D1155" s="1" t="s">
        <v>2471</v>
      </c>
      <c r="E1155" s="1" t="s">
        <v>3663</v>
      </c>
      <c r="F1155" s="1" t="s">
        <v>2346</v>
      </c>
      <c r="I1155" s="1" t="s">
        <v>2207</v>
      </c>
      <c r="J1155" s="1" t="s">
        <v>3279</v>
      </c>
    </row>
    <row r="1156">
      <c r="B1156" s="1" t="s">
        <v>4015</v>
      </c>
      <c r="C1156" s="1" t="s">
        <v>1255</v>
      </c>
      <c r="D1156" s="1" t="s">
        <v>3614</v>
      </c>
      <c r="E1156" s="1" t="s">
        <v>3894</v>
      </c>
      <c r="F1156" s="1" t="s">
        <v>2710</v>
      </c>
      <c r="I1156" s="1" t="s">
        <v>2212</v>
      </c>
      <c r="J1156" s="1" t="s">
        <v>1699</v>
      </c>
    </row>
    <row r="1157">
      <c r="B1157" s="1" t="s">
        <v>4120</v>
      </c>
      <c r="C1157" s="1" t="s">
        <v>4634</v>
      </c>
      <c r="D1157" s="1" t="s">
        <v>780</v>
      </c>
      <c r="E1157" s="1" t="s">
        <v>1099</v>
      </c>
      <c r="F1157" s="1" t="s">
        <v>1081</v>
      </c>
      <c r="I1157" s="1" t="s">
        <v>2247</v>
      </c>
      <c r="J1157" s="1" t="s">
        <v>707</v>
      </c>
    </row>
    <row r="1158">
      <c r="B1158" s="1" t="s">
        <v>4121</v>
      </c>
      <c r="C1158" s="1" t="s">
        <v>2354</v>
      </c>
      <c r="D1158" s="1" t="s">
        <v>2497</v>
      </c>
      <c r="E1158" s="1" t="s">
        <v>3896</v>
      </c>
      <c r="F1158" s="1" t="s">
        <v>2337</v>
      </c>
      <c r="I1158" s="1" t="s">
        <v>6435</v>
      </c>
      <c r="J1158" s="1" t="s">
        <v>2996</v>
      </c>
    </row>
    <row r="1159">
      <c r="B1159" s="1" t="s">
        <v>2966</v>
      </c>
      <c r="C1159" s="1" t="s">
        <v>4854</v>
      </c>
      <c r="D1159" s="1" t="s">
        <v>3269</v>
      </c>
      <c r="E1159" s="1" t="s">
        <v>4331</v>
      </c>
      <c r="F1159" s="1" t="s">
        <v>3405</v>
      </c>
      <c r="I1159" s="1" t="s">
        <v>2228</v>
      </c>
      <c r="J1159" s="1" t="s">
        <v>4422</v>
      </c>
    </row>
    <row r="1160">
      <c r="B1160" s="1" t="s">
        <v>2969</v>
      </c>
      <c r="C1160" s="1" t="s">
        <v>4856</v>
      </c>
      <c r="D1160" s="1" t="s">
        <v>626</v>
      </c>
      <c r="E1160" s="1" t="s">
        <v>2183</v>
      </c>
      <c r="F1160" s="1" t="s">
        <v>2344</v>
      </c>
      <c r="I1160" s="1" t="s">
        <v>4423</v>
      </c>
      <c r="J1160" s="1" t="s">
        <v>3307</v>
      </c>
    </row>
    <row r="1161">
      <c r="B1161" s="1" t="s">
        <v>2972</v>
      </c>
      <c r="C1161" s="1" t="s">
        <v>4857</v>
      </c>
      <c r="D1161" s="1" t="s">
        <v>633</v>
      </c>
      <c r="E1161" s="1" t="s">
        <v>2188</v>
      </c>
      <c r="F1161" s="1" t="s">
        <v>3340</v>
      </c>
      <c r="I1161" s="1">
        <v>10.0</v>
      </c>
      <c r="J1161" s="1" t="s">
        <v>3319</v>
      </c>
    </row>
    <row r="1162">
      <c r="B1162" s="1" t="s">
        <v>1522</v>
      </c>
      <c r="C1162" s="1" t="s">
        <v>4861</v>
      </c>
      <c r="D1162" s="1" t="s">
        <v>311</v>
      </c>
      <c r="E1162" s="1" t="s">
        <v>2186</v>
      </c>
      <c r="F1162" s="1" t="s">
        <v>1493</v>
      </c>
      <c r="I1162" s="1">
        <v>0.0</v>
      </c>
      <c r="J1162" s="1" t="s">
        <v>536</v>
      </c>
    </row>
    <row r="1163">
      <c r="B1163" s="1" t="s">
        <v>4127</v>
      </c>
      <c r="C1163" s="1" t="s">
        <v>503</v>
      </c>
      <c r="D1163" s="1" t="s">
        <v>1201</v>
      </c>
      <c r="E1163" s="1" t="s">
        <v>3679</v>
      </c>
      <c r="F1163" s="1" t="s">
        <v>557</v>
      </c>
      <c r="I1163" s="1" t="s">
        <v>2220</v>
      </c>
      <c r="J1163" s="1" t="s">
        <v>3016</v>
      </c>
    </row>
    <row r="1164">
      <c r="B1164" s="1" t="s">
        <v>2979</v>
      </c>
      <c r="C1164" s="1" t="s">
        <v>1708</v>
      </c>
      <c r="D1164" s="1" t="s">
        <v>2561</v>
      </c>
      <c r="E1164" s="1" t="s">
        <v>517</v>
      </c>
      <c r="F1164" s="1" t="s">
        <v>692</v>
      </c>
      <c r="I1164" s="1" t="s">
        <v>6436</v>
      </c>
      <c r="J1164" s="1" t="s">
        <v>6453</v>
      </c>
    </row>
    <row r="1165">
      <c r="B1165" s="1" t="s">
        <v>2773</v>
      </c>
      <c r="C1165" s="1" t="s">
        <v>4867</v>
      </c>
      <c r="D1165" s="1" t="s">
        <v>3313</v>
      </c>
      <c r="E1165" s="1" t="s">
        <v>2195</v>
      </c>
      <c r="F1165" s="1" t="s">
        <v>3914</v>
      </c>
      <c r="I1165" s="1" t="s">
        <v>3196</v>
      </c>
      <c r="J1165" s="1" t="s">
        <v>2201</v>
      </c>
    </row>
    <row r="1166">
      <c r="B1166" s="1" t="s">
        <v>2778</v>
      </c>
      <c r="C1166" s="1" t="s">
        <v>1716</v>
      </c>
      <c r="D1166" s="1" t="s">
        <v>2393</v>
      </c>
      <c r="E1166" s="1" t="s">
        <v>3362</v>
      </c>
      <c r="F1166" s="1" t="s">
        <v>2361</v>
      </c>
      <c r="I1166" s="1" t="s">
        <v>2226</v>
      </c>
      <c r="J1166" s="1" t="s">
        <v>4394</v>
      </c>
    </row>
    <row r="1167">
      <c r="B1167" s="1" t="s">
        <v>1528</v>
      </c>
      <c r="C1167" s="1" t="s">
        <v>3307</v>
      </c>
      <c r="D1167" s="1" t="s">
        <v>2483</v>
      </c>
      <c r="E1167" s="1" t="s">
        <v>6431</v>
      </c>
      <c r="F1167" s="1" t="s">
        <v>3913</v>
      </c>
      <c r="I1167" s="1" t="s">
        <v>1079</v>
      </c>
      <c r="J1167" s="1" t="s">
        <v>5014</v>
      </c>
    </row>
    <row r="1168">
      <c r="B1168" s="1" t="s">
        <v>2990</v>
      </c>
      <c r="C1168" s="1" t="s">
        <v>450</v>
      </c>
      <c r="D1168" s="1" t="s">
        <v>640</v>
      </c>
      <c r="E1168" s="1" t="s">
        <v>2214</v>
      </c>
      <c r="F1168" s="1" t="s">
        <v>404</v>
      </c>
      <c r="I1168" s="1" t="s">
        <v>4491</v>
      </c>
      <c r="J1168" s="1" t="s">
        <v>5135</v>
      </c>
    </row>
    <row r="1169">
      <c r="B1169" s="1" t="s">
        <v>2785</v>
      </c>
      <c r="C1169" s="1" t="s">
        <v>1720</v>
      </c>
      <c r="D1169" s="1" t="s">
        <v>3633</v>
      </c>
      <c r="E1169" s="1" t="s">
        <v>1582</v>
      </c>
      <c r="F1169" s="1" t="s">
        <v>3922</v>
      </c>
      <c r="I1169" s="1" t="s">
        <v>885</v>
      </c>
      <c r="J1169" s="1" t="s">
        <v>5016</v>
      </c>
    </row>
    <row r="1170">
      <c r="B1170" s="1" t="s">
        <v>4134</v>
      </c>
      <c r="C1170" s="1" t="s">
        <v>4684</v>
      </c>
      <c r="D1170" s="1" t="s">
        <v>2516</v>
      </c>
      <c r="E1170" s="1" t="s">
        <v>6365</v>
      </c>
      <c r="F1170" s="1" t="s">
        <v>3420</v>
      </c>
      <c r="I1170" s="1" t="s">
        <v>2333</v>
      </c>
      <c r="J1170" s="1" t="s">
        <v>686</v>
      </c>
    </row>
    <row r="1171">
      <c r="B1171" s="1" t="s">
        <v>3293</v>
      </c>
      <c r="C1171" s="1" t="s">
        <v>4877</v>
      </c>
      <c r="D1171" s="1" t="s">
        <v>2490</v>
      </c>
      <c r="E1171" s="1" t="s">
        <v>526</v>
      </c>
      <c r="F1171" s="1" t="s">
        <v>353</v>
      </c>
      <c r="I1171" s="1" t="s">
        <v>154</v>
      </c>
      <c r="J1171" s="1" t="s">
        <v>1130</v>
      </c>
    </row>
    <row r="1172">
      <c r="B1172" s="1" t="s">
        <v>2998</v>
      </c>
      <c r="C1172" s="1" t="s">
        <v>4806</v>
      </c>
      <c r="D1172" s="1" t="s">
        <v>4136</v>
      </c>
      <c r="E1172" s="1" t="s">
        <v>3693</v>
      </c>
      <c r="F1172" s="1" t="s">
        <v>701</v>
      </c>
      <c r="I1172" s="1" t="s">
        <v>3215</v>
      </c>
      <c r="J1172" s="1" t="s">
        <v>1826</v>
      </c>
    </row>
    <row r="1173">
      <c r="B1173" s="1" t="s">
        <v>963</v>
      </c>
      <c r="C1173" s="1" t="s">
        <v>4881</v>
      </c>
      <c r="D1173" s="1" t="s">
        <v>2521</v>
      </c>
      <c r="E1173" s="1" t="s">
        <v>1763</v>
      </c>
      <c r="F1173" s="1" t="s">
        <v>3936</v>
      </c>
      <c r="I1173" s="1" t="s">
        <v>3218</v>
      </c>
      <c r="J1173" s="1" t="s">
        <v>964</v>
      </c>
    </row>
    <row r="1174">
      <c r="B1174" s="1" t="s">
        <v>832</v>
      </c>
      <c r="C1174" s="1" t="s">
        <v>3936</v>
      </c>
      <c r="D1174" s="1" t="s">
        <v>1205</v>
      </c>
      <c r="E1174" s="1" t="s">
        <v>1619</v>
      </c>
      <c r="F1174" s="1" t="s">
        <v>6454</v>
      </c>
      <c r="I1174" s="1" t="s">
        <v>2243</v>
      </c>
      <c r="J1174" s="1" t="s">
        <v>3391</v>
      </c>
    </row>
    <row r="1175">
      <c r="B1175" s="1" t="s">
        <v>838</v>
      </c>
      <c r="C1175" s="1" t="s">
        <v>2714</v>
      </c>
      <c r="D1175" s="1" t="s">
        <v>2493</v>
      </c>
      <c r="E1175" s="1" t="s">
        <v>1939</v>
      </c>
      <c r="F1175" s="1" t="s">
        <v>3430</v>
      </c>
      <c r="I1175" s="1" t="s">
        <v>2237</v>
      </c>
      <c r="J1175" s="1" t="s">
        <v>6455</v>
      </c>
    </row>
    <row r="1176">
      <c r="B1176" s="1" t="s">
        <v>2792</v>
      </c>
      <c r="C1176" s="1" t="s">
        <v>4884</v>
      </c>
      <c r="D1176" s="1" t="s">
        <v>2180</v>
      </c>
      <c r="E1176" s="1" t="s">
        <v>2219</v>
      </c>
      <c r="F1176" s="1" t="s">
        <v>1096</v>
      </c>
      <c r="I1176" s="1" t="s">
        <v>3733</v>
      </c>
      <c r="J1176" s="1" t="s">
        <v>1835</v>
      </c>
    </row>
    <row r="1177">
      <c r="B1177" s="1" t="s">
        <v>273</v>
      </c>
      <c r="C1177" s="1" t="s">
        <v>4385</v>
      </c>
      <c r="D1177" s="1" t="s">
        <v>4141</v>
      </c>
      <c r="E1177" s="1" t="s">
        <v>2200</v>
      </c>
      <c r="F1177" s="1" t="s">
        <v>6456</v>
      </c>
      <c r="I1177" s="1" t="s">
        <v>2374</v>
      </c>
      <c r="J1177" s="1" t="s">
        <v>4480</v>
      </c>
    </row>
    <row r="1178">
      <c r="B1178" s="1" t="s">
        <v>4142</v>
      </c>
      <c r="C1178" s="1" t="s">
        <v>4886</v>
      </c>
      <c r="D1178" s="1" t="s">
        <v>3649</v>
      </c>
      <c r="E1178" s="1" t="s">
        <v>3916</v>
      </c>
      <c r="F1178" s="1" t="s">
        <v>2351</v>
      </c>
      <c r="I1178" s="1" t="s">
        <v>3976</v>
      </c>
      <c r="J1178" s="1" t="s">
        <v>3406</v>
      </c>
    </row>
    <row r="1179">
      <c r="B1179" s="1" t="s">
        <v>4145</v>
      </c>
      <c r="C1179" s="1" t="s">
        <v>1726</v>
      </c>
      <c r="D1179" s="1" t="s">
        <v>4146</v>
      </c>
      <c r="E1179" s="1" t="s">
        <v>3174</v>
      </c>
      <c r="F1179" s="1" t="s">
        <v>788</v>
      </c>
      <c r="I1179" s="1" t="s">
        <v>3583</v>
      </c>
      <c r="J1179" s="1" t="s">
        <v>3043</v>
      </c>
    </row>
    <row r="1180">
      <c r="B1180" s="1" t="s">
        <v>3013</v>
      </c>
      <c r="C1180" s="1" t="s">
        <v>4888</v>
      </c>
      <c r="D1180" s="1" t="s">
        <v>1643</v>
      </c>
      <c r="E1180" s="1" t="s">
        <v>2132</v>
      </c>
      <c r="F1180" s="1" t="s">
        <v>6380</v>
      </c>
      <c r="I1180" s="1" t="s">
        <v>3747</v>
      </c>
      <c r="J1180" s="1" t="s">
        <v>4490</v>
      </c>
    </row>
    <row r="1181">
      <c r="B1181" s="1" t="s">
        <v>4148</v>
      </c>
      <c r="C1181" s="1" t="s">
        <v>2589</v>
      </c>
      <c r="D1181" s="1" t="s">
        <v>4150</v>
      </c>
      <c r="E1181" s="1" t="s">
        <v>1982</v>
      </c>
      <c r="F1181" s="1" t="s">
        <v>799</v>
      </c>
      <c r="I1181" s="1" t="s">
        <v>6457</v>
      </c>
      <c r="J1181" s="1" t="s">
        <v>521</v>
      </c>
    </row>
    <row r="1182">
      <c r="B1182" s="1" t="s">
        <v>4151</v>
      </c>
      <c r="C1182" s="1" t="s">
        <v>4893</v>
      </c>
      <c r="D1182" s="1" t="s">
        <v>2524</v>
      </c>
      <c r="E1182" s="1" t="s">
        <v>3440</v>
      </c>
      <c r="F1182" s="1" t="s">
        <v>2363</v>
      </c>
      <c r="I1182" s="1" t="s">
        <v>3751</v>
      </c>
      <c r="J1182" s="1" t="s">
        <v>1148</v>
      </c>
    </row>
    <row r="1183">
      <c r="B1183" s="1" t="s">
        <v>968</v>
      </c>
      <c r="C1183" s="1" t="s">
        <v>4894</v>
      </c>
      <c r="D1183" s="1" t="s">
        <v>4153</v>
      </c>
      <c r="E1183" s="1" t="s">
        <v>2207</v>
      </c>
      <c r="F1183" s="1" t="s">
        <v>3958</v>
      </c>
      <c r="I1183" s="1" t="s">
        <v>2300</v>
      </c>
      <c r="J1183" s="1" t="s">
        <v>1159</v>
      </c>
    </row>
    <row r="1184">
      <c r="B1184" s="1" t="s">
        <v>973</v>
      </c>
      <c r="C1184" s="1" t="s">
        <v>1291</v>
      </c>
      <c r="D1184" s="1" t="s">
        <v>259</v>
      </c>
      <c r="E1184" s="1" t="s">
        <v>2205</v>
      </c>
      <c r="F1184" s="1" t="s">
        <v>2371</v>
      </c>
      <c r="I1184" s="1" t="s">
        <v>975</v>
      </c>
      <c r="J1184" s="1" t="s">
        <v>4514</v>
      </c>
    </row>
    <row r="1185">
      <c r="B1185" s="1" t="s">
        <v>4155</v>
      </c>
      <c r="C1185" s="1" t="s">
        <v>1279</v>
      </c>
      <c r="D1185" s="1" t="s">
        <v>1218</v>
      </c>
      <c r="E1185" s="1" t="s">
        <v>2212</v>
      </c>
      <c r="F1185" s="1" t="s">
        <v>6458</v>
      </c>
      <c r="I1185" s="1" t="s">
        <v>2257</v>
      </c>
      <c r="J1185" s="1" t="s">
        <v>1165</v>
      </c>
    </row>
    <row r="1186">
      <c r="B1186" s="1" t="s">
        <v>4157</v>
      </c>
      <c r="C1186" s="1" t="s">
        <v>3589</v>
      </c>
      <c r="D1186" s="1" t="s">
        <v>561</v>
      </c>
      <c r="E1186" s="1" t="s">
        <v>2247</v>
      </c>
      <c r="F1186" s="1" t="s">
        <v>2375</v>
      </c>
      <c r="I1186" s="1" t="s">
        <v>1902</v>
      </c>
      <c r="J1186" s="1" t="s">
        <v>4534</v>
      </c>
    </row>
    <row r="1187">
      <c r="B1187" s="1" t="s">
        <v>4158</v>
      </c>
      <c r="C1187" s="1" t="s">
        <v>2364</v>
      </c>
      <c r="D1187" s="1" t="s">
        <v>2537</v>
      </c>
      <c r="E1187" s="1" t="s">
        <v>6435</v>
      </c>
      <c r="F1187" s="1" t="s">
        <v>2366</v>
      </c>
      <c r="I1187" s="1" t="s">
        <v>2255</v>
      </c>
      <c r="J1187" s="1" t="s">
        <v>6459</v>
      </c>
    </row>
    <row r="1188">
      <c r="B1188" s="1" t="s">
        <v>844</v>
      </c>
      <c r="C1188" s="1" t="s">
        <v>4907</v>
      </c>
      <c r="D1188" s="1" t="s">
        <v>2538</v>
      </c>
      <c r="E1188" s="1" t="s">
        <v>2216</v>
      </c>
      <c r="F1188" s="1" t="s">
        <v>2323</v>
      </c>
      <c r="I1188" s="1" t="s">
        <v>5963</v>
      </c>
      <c r="J1188" s="1" t="s">
        <v>1889</v>
      </c>
    </row>
    <row r="1189">
      <c r="B1189" s="1" t="s">
        <v>1765</v>
      </c>
      <c r="C1189" s="1" t="s">
        <v>2048</v>
      </c>
      <c r="D1189" s="1" t="s">
        <v>4163</v>
      </c>
      <c r="E1189" s="1" t="s">
        <v>3925</v>
      </c>
      <c r="F1189" s="1" t="s">
        <v>566</v>
      </c>
      <c r="I1189" s="1" t="s">
        <v>2258</v>
      </c>
      <c r="J1189" s="1" t="s">
        <v>3446</v>
      </c>
    </row>
    <row r="1190">
      <c r="B1190" s="1" t="s">
        <v>1362</v>
      </c>
      <c r="C1190" s="1" t="s">
        <v>1417</v>
      </c>
      <c r="D1190" s="1" t="s">
        <v>4165</v>
      </c>
      <c r="E1190" s="1" t="s">
        <v>2228</v>
      </c>
      <c r="F1190" s="1" t="s">
        <v>573</v>
      </c>
      <c r="I1190" s="1" t="s">
        <v>2045</v>
      </c>
      <c r="J1190" s="1" t="s">
        <v>3075</v>
      </c>
    </row>
    <row r="1191">
      <c r="B1191" s="1" t="s">
        <v>4166</v>
      </c>
      <c r="C1191" s="1" t="s">
        <v>4912</v>
      </c>
      <c r="D1191" s="1" t="s">
        <v>4167</v>
      </c>
      <c r="E1191" s="1" t="s">
        <v>4423</v>
      </c>
      <c r="F1191" s="1" t="s">
        <v>1114</v>
      </c>
      <c r="I1191" s="1" t="s">
        <v>5604</v>
      </c>
      <c r="J1191" s="1" t="s">
        <v>4725</v>
      </c>
    </row>
    <row r="1192">
      <c r="B1192" s="1" t="s">
        <v>849</v>
      </c>
      <c r="C1192" s="1" t="s">
        <v>4914</v>
      </c>
      <c r="D1192" s="1" t="s">
        <v>4168</v>
      </c>
      <c r="E1192" s="1">
        <v>10.0</v>
      </c>
      <c r="F1192" s="1" t="s">
        <v>99</v>
      </c>
      <c r="I1192" s="1" t="s">
        <v>6445</v>
      </c>
      <c r="J1192" s="1" t="s">
        <v>1172</v>
      </c>
    </row>
    <row r="1193">
      <c r="B1193" s="1" t="s">
        <v>4169</v>
      </c>
      <c r="C1193" s="1" t="s">
        <v>4916</v>
      </c>
      <c r="D1193" s="1" t="s">
        <v>4170</v>
      </c>
      <c r="E1193" s="1">
        <v>0.0</v>
      </c>
      <c r="F1193" s="1" t="s">
        <v>4282</v>
      </c>
      <c r="I1193" s="1" t="s">
        <v>3774</v>
      </c>
      <c r="J1193" s="1" t="s">
        <v>3085</v>
      </c>
    </row>
    <row r="1194">
      <c r="B1194" s="1" t="s">
        <v>1573</v>
      </c>
      <c r="C1194" s="1" t="s">
        <v>2604</v>
      </c>
      <c r="D1194" s="1" t="s">
        <v>4172</v>
      </c>
      <c r="E1194" s="1" t="s">
        <v>2220</v>
      </c>
      <c r="F1194" s="1" t="s">
        <v>2391</v>
      </c>
      <c r="I1194" s="1" t="s">
        <v>1007</v>
      </c>
      <c r="J1194" s="1" t="s">
        <v>4562</v>
      </c>
    </row>
    <row r="1195">
      <c r="B1195" s="1" t="s">
        <v>4173</v>
      </c>
      <c r="C1195" s="1" t="s">
        <v>1732</v>
      </c>
      <c r="D1195" s="1" t="s">
        <v>1289</v>
      </c>
      <c r="E1195" s="1" t="s">
        <v>6436</v>
      </c>
      <c r="F1195" s="1" t="s">
        <v>2395</v>
      </c>
      <c r="I1195" s="1" t="s">
        <v>170</v>
      </c>
      <c r="J1195" s="1" t="s">
        <v>3091</v>
      </c>
    </row>
    <row r="1196">
      <c r="B1196" s="1" t="s">
        <v>666</v>
      </c>
      <c r="C1196" s="1" t="s">
        <v>2731</v>
      </c>
      <c r="D1196" s="1" t="s">
        <v>4175</v>
      </c>
      <c r="E1196" s="1" t="s">
        <v>3196</v>
      </c>
      <c r="F1196" s="1" t="s">
        <v>579</v>
      </c>
      <c r="I1196" s="1" t="s">
        <v>3011</v>
      </c>
      <c r="J1196" s="1" t="s">
        <v>3093</v>
      </c>
    </row>
    <row r="1197">
      <c r="B1197" s="1" t="s">
        <v>4176</v>
      </c>
      <c r="C1197" s="1" t="s">
        <v>1356</v>
      </c>
      <c r="D1197" s="1" t="s">
        <v>3669</v>
      </c>
      <c r="E1197" s="1" t="s">
        <v>2223</v>
      </c>
      <c r="F1197" s="1" t="s">
        <v>2383</v>
      </c>
      <c r="I1197" s="1" t="s">
        <v>2268</v>
      </c>
      <c r="J1197" s="1" t="s">
        <v>3483</v>
      </c>
    </row>
    <row r="1198">
      <c r="B1198" s="1" t="s">
        <v>982</v>
      </c>
      <c r="C1198" s="1" t="s">
        <v>4324</v>
      </c>
      <c r="D1198" s="1" t="s">
        <v>2502</v>
      </c>
      <c r="E1198" s="1" t="s">
        <v>2226</v>
      </c>
      <c r="F1198" s="1" t="s">
        <v>4138</v>
      </c>
      <c r="I1198" s="1" t="s">
        <v>702</v>
      </c>
      <c r="J1198" s="1" t="s">
        <v>5270</v>
      </c>
    </row>
    <row r="1199">
      <c r="B1199" s="1" t="s">
        <v>4180</v>
      </c>
      <c r="C1199" s="1" t="s">
        <v>4168</v>
      </c>
      <c r="D1199" s="1" t="s">
        <v>774</v>
      </c>
      <c r="E1199" s="1" t="s">
        <v>2230</v>
      </c>
      <c r="F1199" s="1" t="s">
        <v>4011</v>
      </c>
      <c r="I1199" s="1" t="s">
        <v>6371</v>
      </c>
      <c r="J1199" s="1" t="s">
        <v>3473</v>
      </c>
    </row>
    <row r="1200">
      <c r="B1200" s="1" t="s">
        <v>4182</v>
      </c>
      <c r="C1200" s="1" t="s">
        <v>4927</v>
      </c>
      <c r="D1200" s="1" t="s">
        <v>2546</v>
      </c>
      <c r="E1200" s="1" t="s">
        <v>1079</v>
      </c>
      <c r="F1200" s="1" t="s">
        <v>2385</v>
      </c>
      <c r="I1200" s="1" t="s">
        <v>3792</v>
      </c>
      <c r="J1200" s="1" t="s">
        <v>1178</v>
      </c>
    </row>
    <row r="1201">
      <c r="B1201" s="1" t="s">
        <v>1579</v>
      </c>
      <c r="C1201" s="1" t="s">
        <v>4931</v>
      </c>
      <c r="D1201" s="1" t="s">
        <v>820</v>
      </c>
      <c r="E1201" s="1" t="s">
        <v>4491</v>
      </c>
      <c r="F1201" s="1" t="s">
        <v>6460</v>
      </c>
      <c r="I1201" s="1" t="s">
        <v>1830</v>
      </c>
      <c r="J1201" s="1" t="s">
        <v>5309</v>
      </c>
    </row>
    <row r="1202">
      <c r="B1202" s="1" t="s">
        <v>4186</v>
      </c>
      <c r="C1202" s="1" t="s">
        <v>3525</v>
      </c>
      <c r="D1202" s="1" t="s">
        <v>3680</v>
      </c>
      <c r="E1202" s="1" t="s">
        <v>885</v>
      </c>
      <c r="F1202" s="1" t="s">
        <v>2401</v>
      </c>
      <c r="I1202" s="1" t="s">
        <v>2272</v>
      </c>
      <c r="J1202" s="1" t="s">
        <v>3495</v>
      </c>
    </row>
    <row r="1203">
      <c r="B1203" s="1" t="s">
        <v>986</v>
      </c>
      <c r="C1203" s="1" t="s">
        <v>3812</v>
      </c>
      <c r="D1203" s="1" t="s">
        <v>2506</v>
      </c>
      <c r="E1203" s="1" t="s">
        <v>2333</v>
      </c>
      <c r="F1203" s="1" t="s">
        <v>2405</v>
      </c>
      <c r="I1203" s="1" t="s">
        <v>2825</v>
      </c>
      <c r="J1203" s="1" t="s">
        <v>4581</v>
      </c>
    </row>
    <row r="1204">
      <c r="B1204" s="1" t="s">
        <v>3045</v>
      </c>
      <c r="C1204" s="1" t="s">
        <v>1754</v>
      </c>
      <c r="D1204" s="1" t="s">
        <v>2510</v>
      </c>
      <c r="E1204" s="1" t="s">
        <v>154</v>
      </c>
      <c r="F1204" s="1" t="s">
        <v>3487</v>
      </c>
      <c r="I1204" s="1" t="s">
        <v>655</v>
      </c>
      <c r="J1204" s="1" t="s">
        <v>4592</v>
      </c>
    </row>
    <row r="1205">
      <c r="B1205" s="1" t="s">
        <v>4189</v>
      </c>
      <c r="C1205" s="1" t="s">
        <v>4438</v>
      </c>
      <c r="D1205" s="1" t="s">
        <v>4190</v>
      </c>
      <c r="E1205" s="1" t="s">
        <v>3215</v>
      </c>
      <c r="F1205" s="1" t="s">
        <v>706</v>
      </c>
      <c r="I1205" s="1" t="s">
        <v>3804</v>
      </c>
      <c r="J1205" s="1" t="s">
        <v>304</v>
      </c>
    </row>
    <row r="1206">
      <c r="B1206" s="1" t="s">
        <v>4191</v>
      </c>
      <c r="C1206" s="1" t="s">
        <v>4701</v>
      </c>
      <c r="D1206" s="1" t="s">
        <v>4193</v>
      </c>
      <c r="E1206" s="1" t="s">
        <v>3218</v>
      </c>
      <c r="F1206" s="1" t="s">
        <v>658</v>
      </c>
      <c r="I1206" s="1" t="s">
        <v>6461</v>
      </c>
      <c r="J1206" s="1" t="s">
        <v>3104</v>
      </c>
    </row>
    <row r="1207">
      <c r="B1207" s="1" t="s">
        <v>992</v>
      </c>
      <c r="C1207" s="1" t="s">
        <v>4941</v>
      </c>
      <c r="D1207" s="1" t="s">
        <v>2513</v>
      </c>
      <c r="E1207" s="1" t="s">
        <v>2243</v>
      </c>
      <c r="F1207" s="1" t="s">
        <v>1242</v>
      </c>
      <c r="I1207" s="1" t="s">
        <v>5719</v>
      </c>
      <c r="J1207" s="1" t="s">
        <v>5145</v>
      </c>
    </row>
    <row r="1208">
      <c r="B1208" s="1" t="s">
        <v>2542</v>
      </c>
      <c r="C1208" s="1" t="s">
        <v>4942</v>
      </c>
      <c r="D1208" s="1" t="s">
        <v>2522</v>
      </c>
      <c r="E1208" s="1" t="s">
        <v>2237</v>
      </c>
      <c r="F1208" s="1" t="s">
        <v>2399</v>
      </c>
      <c r="I1208" s="1" t="s">
        <v>3813</v>
      </c>
      <c r="J1208" s="1" t="s">
        <v>5149</v>
      </c>
    </row>
    <row r="1209">
      <c r="B1209" s="1" t="s">
        <v>854</v>
      </c>
      <c r="C1209" s="1" t="s">
        <v>4945</v>
      </c>
      <c r="D1209" s="1" t="s">
        <v>2526</v>
      </c>
      <c r="E1209" s="1" t="s">
        <v>3733</v>
      </c>
      <c r="F1209" s="1" t="s">
        <v>2408</v>
      </c>
      <c r="I1209" s="1" t="s">
        <v>6462</v>
      </c>
      <c r="J1209" s="1" t="s">
        <v>3112</v>
      </c>
    </row>
    <row r="1210">
      <c r="B1210" s="1" t="s">
        <v>2821</v>
      </c>
      <c r="C1210" s="1" t="s">
        <v>1941</v>
      </c>
      <c r="D1210" s="1" t="s">
        <v>654</v>
      </c>
      <c r="E1210" s="1" t="s">
        <v>2374</v>
      </c>
      <c r="F1210" s="1" t="s">
        <v>3499</v>
      </c>
      <c r="I1210" s="1" t="s">
        <v>73</v>
      </c>
      <c r="J1210" s="1" t="s">
        <v>3519</v>
      </c>
    </row>
    <row r="1211">
      <c r="B1211" s="1" t="s">
        <v>3048</v>
      </c>
      <c r="C1211" s="1" t="s">
        <v>3532</v>
      </c>
      <c r="D1211" s="1" t="s">
        <v>1118</v>
      </c>
      <c r="E1211" s="1" t="s">
        <v>3976</v>
      </c>
      <c r="F1211" s="1" t="s">
        <v>2411</v>
      </c>
      <c r="I1211" s="1" t="s">
        <v>2295</v>
      </c>
      <c r="J1211" s="1" t="s">
        <v>3530</v>
      </c>
    </row>
    <row r="1212">
      <c r="B1212" s="1" t="s">
        <v>637</v>
      </c>
      <c r="C1212" s="1" t="s">
        <v>2295</v>
      </c>
      <c r="D1212" s="1" t="s">
        <v>661</v>
      </c>
      <c r="E1212" s="1" t="s">
        <v>3583</v>
      </c>
      <c r="F1212" s="1" t="s">
        <v>713</v>
      </c>
      <c r="I1212" s="1" t="s">
        <v>4699</v>
      </c>
      <c r="J1212" s="1" t="s">
        <v>5153</v>
      </c>
    </row>
    <row r="1213">
      <c r="B1213" s="1" t="s">
        <v>2826</v>
      </c>
      <c r="C1213" s="1" t="s">
        <v>759</v>
      </c>
      <c r="D1213" s="1" t="s">
        <v>2531</v>
      </c>
      <c r="E1213" s="1" t="s">
        <v>3747</v>
      </c>
      <c r="F1213" s="1" t="s">
        <v>4038</v>
      </c>
      <c r="I1213" s="1" t="s">
        <v>1094</v>
      </c>
      <c r="J1213" s="1" t="s">
        <v>1196</v>
      </c>
    </row>
    <row r="1214">
      <c r="B1214" s="1" t="s">
        <v>2355</v>
      </c>
      <c r="C1214" s="1" t="s">
        <v>1294</v>
      </c>
      <c r="D1214" s="1" t="s">
        <v>1241</v>
      </c>
      <c r="E1214" s="1" t="s">
        <v>6457</v>
      </c>
      <c r="F1214" s="1" t="s">
        <v>4045</v>
      </c>
      <c r="I1214" s="1" t="s">
        <v>4040</v>
      </c>
      <c r="J1214" s="1" t="s">
        <v>4616</v>
      </c>
    </row>
    <row r="1215">
      <c r="B1215" s="1" t="s">
        <v>693</v>
      </c>
      <c r="C1215" s="1" t="s">
        <v>4960</v>
      </c>
      <c r="D1215" s="1" t="s">
        <v>1245</v>
      </c>
      <c r="E1215" s="1" t="s">
        <v>3751</v>
      </c>
      <c r="F1215" s="1" t="s">
        <v>6463</v>
      </c>
      <c r="I1215" s="1" t="s">
        <v>2304</v>
      </c>
      <c r="J1215" s="1" t="s">
        <v>3539</v>
      </c>
    </row>
    <row r="1216">
      <c r="B1216" s="1" t="s">
        <v>859</v>
      </c>
      <c r="C1216" s="1" t="s">
        <v>4961</v>
      </c>
      <c r="D1216" s="1" t="s">
        <v>4203</v>
      </c>
      <c r="E1216" s="1" t="s">
        <v>2300</v>
      </c>
      <c r="F1216" s="1" t="s">
        <v>1632</v>
      </c>
      <c r="I1216" s="1" t="s">
        <v>816</v>
      </c>
      <c r="J1216" s="1" t="s">
        <v>1202</v>
      </c>
    </row>
    <row r="1217">
      <c r="B1217" s="1" t="s">
        <v>2836</v>
      </c>
      <c r="C1217" s="1" t="s">
        <v>1469</v>
      </c>
      <c r="D1217" s="1" t="s">
        <v>2560</v>
      </c>
      <c r="E1217" s="1" t="s">
        <v>975</v>
      </c>
      <c r="F1217" s="1" t="s">
        <v>81</v>
      </c>
      <c r="I1217" s="1" t="s">
        <v>3315</v>
      </c>
      <c r="J1217" s="1" t="s">
        <v>4628</v>
      </c>
    </row>
    <row r="1218">
      <c r="B1218" s="1" t="s">
        <v>2839</v>
      </c>
      <c r="C1218" s="1" t="s">
        <v>4966</v>
      </c>
      <c r="D1218" s="1" t="s">
        <v>2563</v>
      </c>
      <c r="E1218" s="1" t="s">
        <v>2257</v>
      </c>
      <c r="F1218" s="1" t="s">
        <v>1857</v>
      </c>
      <c r="I1218" s="1" t="s">
        <v>3325</v>
      </c>
      <c r="J1218" s="1" t="s">
        <v>3123</v>
      </c>
    </row>
    <row r="1219">
      <c r="B1219" s="1" t="s">
        <v>4205</v>
      </c>
      <c r="C1219" s="1" t="s">
        <v>4967</v>
      </c>
      <c r="D1219" s="1" t="s">
        <v>3711</v>
      </c>
      <c r="E1219" s="1" t="s">
        <v>1902</v>
      </c>
      <c r="F1219" s="1" t="s">
        <v>1151</v>
      </c>
      <c r="I1219" s="1" t="s">
        <v>3847</v>
      </c>
      <c r="J1219" s="1" t="s">
        <v>1208</v>
      </c>
    </row>
    <row r="1220">
      <c r="B1220" s="1" t="s">
        <v>3548</v>
      </c>
      <c r="C1220" s="1" t="s">
        <v>4969</v>
      </c>
      <c r="D1220" s="1" t="s">
        <v>3713</v>
      </c>
      <c r="E1220" s="1" t="s">
        <v>2255</v>
      </c>
      <c r="F1220" s="1" t="s">
        <v>2430</v>
      </c>
      <c r="I1220" s="1" t="s">
        <v>2310</v>
      </c>
      <c r="J1220" s="1" t="s">
        <v>1212</v>
      </c>
    </row>
    <row r="1221">
      <c r="B1221" s="1" t="s">
        <v>1666</v>
      </c>
      <c r="C1221" s="1" t="s">
        <v>688</v>
      </c>
      <c r="D1221" s="1" t="s">
        <v>2320</v>
      </c>
      <c r="E1221" s="1" t="s">
        <v>5963</v>
      </c>
      <c r="F1221" s="1" t="s">
        <v>3150</v>
      </c>
      <c r="I1221" s="1" t="s">
        <v>2312</v>
      </c>
      <c r="J1221" s="1" t="s">
        <v>5335</v>
      </c>
    </row>
    <row r="1222">
      <c r="B1222" s="1" t="s">
        <v>4209</v>
      </c>
      <c r="C1222" s="1" t="s">
        <v>4976</v>
      </c>
      <c r="D1222" s="1" t="s">
        <v>4210</v>
      </c>
      <c r="E1222" s="1" t="s">
        <v>2258</v>
      </c>
      <c r="F1222" s="1" t="s">
        <v>586</v>
      </c>
      <c r="I1222" s="1" t="s">
        <v>3853</v>
      </c>
      <c r="J1222" s="1" t="s">
        <v>475</v>
      </c>
    </row>
    <row r="1223">
      <c r="B1223" s="1" t="s">
        <v>3078</v>
      </c>
      <c r="C1223" s="1" t="s">
        <v>1427</v>
      </c>
      <c r="D1223" s="1" t="s">
        <v>1252</v>
      </c>
      <c r="E1223" s="1" t="s">
        <v>2045</v>
      </c>
      <c r="F1223" s="1" t="s">
        <v>2454</v>
      </c>
      <c r="I1223" s="1" t="s">
        <v>3560</v>
      </c>
      <c r="J1223" s="1" t="s">
        <v>3555</v>
      </c>
    </row>
    <row r="1224">
      <c r="B1224" s="1" t="s">
        <v>286</v>
      </c>
      <c r="C1224" s="1" t="s">
        <v>3577</v>
      </c>
      <c r="D1224" s="1" t="s">
        <v>3716</v>
      </c>
      <c r="E1224" s="1" t="s">
        <v>5604</v>
      </c>
      <c r="F1224" s="1" t="s">
        <v>2421</v>
      </c>
      <c r="I1224" s="1" t="s">
        <v>2196</v>
      </c>
      <c r="J1224" s="1" t="s">
        <v>3558</v>
      </c>
    </row>
    <row r="1225">
      <c r="B1225" s="1" t="s">
        <v>864</v>
      </c>
      <c r="C1225" s="1" t="s">
        <v>3422</v>
      </c>
      <c r="D1225" s="1" t="s">
        <v>2569</v>
      </c>
      <c r="E1225" s="1" t="s">
        <v>927</v>
      </c>
      <c r="F1225" s="1" t="s">
        <v>721</v>
      </c>
      <c r="I1225" s="1" t="s">
        <v>3336</v>
      </c>
      <c r="J1225" s="1" t="s">
        <v>3841</v>
      </c>
    </row>
    <row r="1226">
      <c r="B1226" s="1" t="s">
        <v>1855</v>
      </c>
      <c r="C1226" s="1" t="s">
        <v>4978</v>
      </c>
      <c r="D1226" s="1" t="s">
        <v>2574</v>
      </c>
      <c r="E1226" s="1" t="s">
        <v>6445</v>
      </c>
      <c r="F1226" s="1" t="s">
        <v>728</v>
      </c>
      <c r="I1226" s="1" t="s">
        <v>2184</v>
      </c>
      <c r="J1226" s="1" t="s">
        <v>4340</v>
      </c>
    </row>
    <row r="1227">
      <c r="B1227" s="1" t="s">
        <v>3055</v>
      </c>
      <c r="C1227" s="1" t="s">
        <v>4981</v>
      </c>
      <c r="D1227" s="1" t="s">
        <v>363</v>
      </c>
      <c r="E1227" s="1" t="s">
        <v>3774</v>
      </c>
      <c r="F1227" s="1" t="s">
        <v>738</v>
      </c>
      <c r="I1227" s="1" t="s">
        <v>6464</v>
      </c>
      <c r="J1227" s="1" t="s">
        <v>3143</v>
      </c>
    </row>
    <row r="1228">
      <c r="B1228" s="1" t="s">
        <v>1621</v>
      </c>
      <c r="C1228" s="1" t="s">
        <v>3835</v>
      </c>
      <c r="D1228" s="1" t="s">
        <v>1260</v>
      </c>
      <c r="E1228" s="1" t="s">
        <v>1007</v>
      </c>
      <c r="F1228" s="1" t="s">
        <v>3527</v>
      </c>
      <c r="I1228" s="1" t="s">
        <v>207</v>
      </c>
      <c r="J1228" s="1" t="s">
        <v>1231</v>
      </c>
    </row>
    <row r="1229">
      <c r="B1229" s="1" t="s">
        <v>3095</v>
      </c>
      <c r="C1229" s="1" t="s">
        <v>4984</v>
      </c>
      <c r="D1229" s="1" t="s">
        <v>2540</v>
      </c>
      <c r="E1229" s="1" t="s">
        <v>3011</v>
      </c>
      <c r="F1229" s="1" t="s">
        <v>2446</v>
      </c>
      <c r="I1229" s="1" t="s">
        <v>2321</v>
      </c>
      <c r="J1229" s="1" t="s">
        <v>3153</v>
      </c>
    </row>
    <row r="1230">
      <c r="B1230" s="1" t="s">
        <v>4217</v>
      </c>
      <c r="C1230" s="1" t="s">
        <v>4181</v>
      </c>
      <c r="D1230" s="1" t="s">
        <v>1266</v>
      </c>
      <c r="E1230" s="1" t="s">
        <v>2268</v>
      </c>
      <c r="F1230" s="1" t="s">
        <v>4842</v>
      </c>
      <c r="I1230" s="1" t="s">
        <v>6465</v>
      </c>
      <c r="J1230" s="1" t="s">
        <v>1236</v>
      </c>
    </row>
    <row r="1231">
      <c r="B1231" s="1" t="s">
        <v>4218</v>
      </c>
      <c r="C1231" s="1" t="s">
        <v>2862</v>
      </c>
      <c r="D1231" s="1" t="s">
        <v>4219</v>
      </c>
      <c r="E1231" s="1" t="s">
        <v>702</v>
      </c>
      <c r="F1231" s="1" t="s">
        <v>3535</v>
      </c>
      <c r="I1231" s="1" t="s">
        <v>2317</v>
      </c>
      <c r="J1231" s="1" t="s">
        <v>656</v>
      </c>
    </row>
    <row r="1232">
      <c r="B1232" s="1" t="s">
        <v>3100</v>
      </c>
      <c r="C1232" s="1" t="s">
        <v>4581</v>
      </c>
      <c r="D1232" s="1" t="s">
        <v>4221</v>
      </c>
      <c r="E1232" s="1" t="s">
        <v>6371</v>
      </c>
      <c r="F1232" s="1" t="s">
        <v>3586</v>
      </c>
      <c r="I1232" s="1" t="s">
        <v>6466</v>
      </c>
      <c r="J1232" s="1" t="s">
        <v>981</v>
      </c>
    </row>
    <row r="1233">
      <c r="B1233" s="1" t="s">
        <v>4222</v>
      </c>
      <c r="C1233" s="1" t="s">
        <v>3542</v>
      </c>
      <c r="D1233" s="1" t="s">
        <v>4224</v>
      </c>
      <c r="E1233" s="1" t="s">
        <v>3792</v>
      </c>
      <c r="F1233" s="1" t="s">
        <v>368</v>
      </c>
      <c r="I1233" s="1" t="s">
        <v>1070</v>
      </c>
      <c r="J1233" s="1" t="s">
        <v>1105</v>
      </c>
    </row>
    <row r="1234">
      <c r="B1234" s="1" t="s">
        <v>3107</v>
      </c>
      <c r="C1234" s="1" t="s">
        <v>4853</v>
      </c>
      <c r="D1234" s="1" t="s">
        <v>2541</v>
      </c>
      <c r="E1234" s="1" t="s">
        <v>1830</v>
      </c>
      <c r="F1234" s="1" t="s">
        <v>4206</v>
      </c>
      <c r="I1234" s="1" t="s">
        <v>2319</v>
      </c>
      <c r="J1234" s="1" t="s">
        <v>106</v>
      </c>
    </row>
    <row r="1235">
      <c r="B1235" s="1" t="s">
        <v>1627</v>
      </c>
      <c r="C1235" s="1" t="s">
        <v>2064</v>
      </c>
      <c r="D1235" s="1" t="s">
        <v>3728</v>
      </c>
      <c r="E1235" s="1" t="s">
        <v>2272</v>
      </c>
      <c r="F1235" s="1" t="s">
        <v>2451</v>
      </c>
      <c r="I1235" s="1" t="s">
        <v>4060</v>
      </c>
      <c r="J1235" s="1" t="s">
        <v>203</v>
      </c>
    </row>
    <row r="1236">
      <c r="B1236" s="1" t="s">
        <v>4226</v>
      </c>
      <c r="C1236" s="1" t="s">
        <v>4936</v>
      </c>
      <c r="D1236" s="1" t="s">
        <v>4228</v>
      </c>
      <c r="E1236" s="1" t="s">
        <v>2825</v>
      </c>
      <c r="F1236" s="1" t="s">
        <v>2432</v>
      </c>
      <c r="I1236" s="1" t="s">
        <v>935</v>
      </c>
      <c r="J1236" s="1" t="s">
        <v>5298</v>
      </c>
    </row>
    <row r="1237">
      <c r="B1237" s="1" t="s">
        <v>2862</v>
      </c>
      <c r="C1237" s="1">
        <v>0.0</v>
      </c>
      <c r="D1237" s="1" t="s">
        <v>4230</v>
      </c>
      <c r="E1237" s="1" t="s">
        <v>655</v>
      </c>
      <c r="F1237" s="1" t="s">
        <v>4212</v>
      </c>
      <c r="I1237" s="1">
        <v>20.0</v>
      </c>
      <c r="J1237" s="1" t="s">
        <v>4670</v>
      </c>
    </row>
    <row r="1238">
      <c r="B1238" s="1" t="s">
        <v>4231</v>
      </c>
      <c r="C1238" s="1" t="s">
        <v>4490</v>
      </c>
      <c r="D1238" s="1" t="s">
        <v>2580</v>
      </c>
      <c r="E1238" s="1" t="s">
        <v>3804</v>
      </c>
      <c r="F1238" s="1" t="s">
        <v>2453</v>
      </c>
      <c r="I1238" s="1" t="s">
        <v>791</v>
      </c>
      <c r="J1238" s="1" t="s">
        <v>3172</v>
      </c>
    </row>
    <row r="1239">
      <c r="B1239" s="1" t="s">
        <v>3115</v>
      </c>
      <c r="C1239" s="1" t="s">
        <v>4999</v>
      </c>
      <c r="D1239" s="1" t="s">
        <v>4236</v>
      </c>
      <c r="E1239" s="1" t="s">
        <v>6461</v>
      </c>
      <c r="F1239" s="1" t="s">
        <v>6389</v>
      </c>
      <c r="I1239" s="1" t="s">
        <v>2274</v>
      </c>
      <c r="J1239" s="1" t="s">
        <v>5225</v>
      </c>
    </row>
    <row r="1240">
      <c r="B1240" s="1" t="s">
        <v>4237</v>
      </c>
      <c r="C1240" s="1" t="s">
        <v>5002</v>
      </c>
      <c r="D1240" s="1" t="s">
        <v>3736</v>
      </c>
      <c r="E1240" s="1" t="s">
        <v>5719</v>
      </c>
      <c r="F1240" s="1" t="s">
        <v>594</v>
      </c>
      <c r="I1240" s="1" t="s">
        <v>2327</v>
      </c>
      <c r="J1240" s="1" t="s">
        <v>114</v>
      </c>
    </row>
    <row r="1241">
      <c r="B1241" s="1" t="s">
        <v>1010</v>
      </c>
      <c r="C1241" s="1" t="s">
        <v>4986</v>
      </c>
      <c r="D1241" s="1" t="s">
        <v>1059</v>
      </c>
      <c r="E1241" s="1" t="s">
        <v>6467</v>
      </c>
      <c r="F1241" s="1" t="s">
        <v>137</v>
      </c>
      <c r="I1241" s="1" t="s">
        <v>5454</v>
      </c>
      <c r="J1241" s="1" t="s">
        <v>1696</v>
      </c>
    </row>
    <row r="1242">
      <c r="B1242" s="1" t="s">
        <v>870</v>
      </c>
      <c r="C1242" s="1" t="s">
        <v>5005</v>
      </c>
      <c r="D1242" s="1" t="s">
        <v>1271</v>
      </c>
      <c r="E1242" s="1" t="s">
        <v>3813</v>
      </c>
      <c r="F1242" s="1" t="s">
        <v>3556</v>
      </c>
      <c r="I1242" s="1" t="s">
        <v>2329</v>
      </c>
      <c r="J1242" s="1" t="s">
        <v>4174</v>
      </c>
    </row>
    <row r="1243">
      <c r="B1243" s="1" t="s">
        <v>4240</v>
      </c>
      <c r="C1243" s="1" t="s">
        <v>5007</v>
      </c>
      <c r="D1243" s="1" t="s">
        <v>2586</v>
      </c>
      <c r="E1243" s="1" t="s">
        <v>6462</v>
      </c>
      <c r="F1243" s="1" t="s">
        <v>5916</v>
      </c>
      <c r="I1243" s="1" t="s">
        <v>3296</v>
      </c>
      <c r="J1243" s="1" t="s">
        <v>5241</v>
      </c>
    </row>
    <row r="1244">
      <c r="B1244" s="1" t="s">
        <v>4242</v>
      </c>
      <c r="C1244" s="1" t="s">
        <v>3181</v>
      </c>
      <c r="D1244" s="1" t="s">
        <v>2589</v>
      </c>
      <c r="E1244" s="1" t="s">
        <v>73</v>
      </c>
      <c r="F1244" s="1" t="s">
        <v>1577</v>
      </c>
      <c r="I1244" s="1" t="s">
        <v>3421</v>
      </c>
      <c r="J1244" s="1" t="s">
        <v>4697</v>
      </c>
    </row>
    <row r="1245">
      <c r="B1245" s="1" t="s">
        <v>1017</v>
      </c>
      <c r="C1245" s="1" t="s">
        <v>5010</v>
      </c>
      <c r="D1245" s="1" t="s">
        <v>4247</v>
      </c>
      <c r="E1245" s="1" t="s">
        <v>2295</v>
      </c>
      <c r="F1245" s="1" t="s">
        <v>2741</v>
      </c>
      <c r="I1245" s="1" t="s">
        <v>2332</v>
      </c>
      <c r="J1245" s="1" t="s">
        <v>4676</v>
      </c>
    </row>
    <row r="1246">
      <c r="B1246" s="1" t="s">
        <v>4248</v>
      </c>
      <c r="C1246" s="1" t="s">
        <v>3990</v>
      </c>
      <c r="D1246" s="1" t="s">
        <v>2592</v>
      </c>
      <c r="E1246" s="1" t="s">
        <v>3304</v>
      </c>
      <c r="F1246" s="1" t="s">
        <v>737</v>
      </c>
      <c r="I1246" s="1" t="s">
        <v>1659</v>
      </c>
      <c r="J1246" s="1" t="s">
        <v>2000</v>
      </c>
    </row>
    <row r="1247">
      <c r="B1247" s="1" t="s">
        <v>1026</v>
      </c>
      <c r="C1247" s="1" t="s">
        <v>3065</v>
      </c>
      <c r="D1247" s="1" t="s">
        <v>1958</v>
      </c>
      <c r="E1247" s="1" t="s">
        <v>3299</v>
      </c>
      <c r="F1247" s="1" t="s">
        <v>2437</v>
      </c>
      <c r="I1247" s="1" t="s">
        <v>2710</v>
      </c>
      <c r="J1247" s="1" t="s">
        <v>6468</v>
      </c>
    </row>
    <row r="1248">
      <c r="B1248" s="1" t="s">
        <v>67</v>
      </c>
      <c r="C1248" s="1" t="s">
        <v>5013</v>
      </c>
      <c r="D1248" s="1" t="s">
        <v>1278</v>
      </c>
      <c r="E1248" s="1" t="s">
        <v>4699</v>
      </c>
      <c r="F1248" s="1" t="s">
        <v>4232</v>
      </c>
      <c r="I1248" s="1" t="s">
        <v>6469</v>
      </c>
      <c r="J1248" s="1" t="s">
        <v>3302</v>
      </c>
    </row>
    <row r="1249">
      <c r="B1249" s="1" t="s">
        <v>1030</v>
      </c>
      <c r="C1249" s="1" t="s">
        <v>4337</v>
      </c>
      <c r="D1249" s="1" t="s">
        <v>1285</v>
      </c>
      <c r="E1249" s="1" t="s">
        <v>1094</v>
      </c>
      <c r="F1249" s="1" t="s">
        <v>2467</v>
      </c>
      <c r="I1249" s="1" t="s">
        <v>6470</v>
      </c>
      <c r="J1249" s="1" t="s">
        <v>1001</v>
      </c>
    </row>
    <row r="1250">
      <c r="B1250" s="1" t="s">
        <v>886</v>
      </c>
      <c r="C1250" s="1" t="s">
        <v>3650</v>
      </c>
      <c r="D1250" s="1" t="s">
        <v>2140</v>
      </c>
      <c r="E1250" s="1" t="s">
        <v>4040</v>
      </c>
      <c r="F1250" s="1" t="s">
        <v>603</v>
      </c>
      <c r="I1250" s="1" t="s">
        <v>6471</v>
      </c>
      <c r="J1250" s="1" t="s">
        <v>6472</v>
      </c>
    </row>
    <row r="1251">
      <c r="B1251" s="1" t="s">
        <v>4255</v>
      </c>
      <c r="C1251" s="1" t="s">
        <v>5019</v>
      </c>
      <c r="D1251" s="1" t="s">
        <v>2549</v>
      </c>
      <c r="E1251" s="1" t="s">
        <v>2304</v>
      </c>
      <c r="F1251" s="1" t="s">
        <v>1153</v>
      </c>
      <c r="I1251" s="1" t="s">
        <v>6473</v>
      </c>
      <c r="J1251" s="1" t="s">
        <v>3206</v>
      </c>
    </row>
    <row r="1252">
      <c r="B1252" s="1" t="s">
        <v>2872</v>
      </c>
      <c r="C1252" s="1" t="s">
        <v>875</v>
      </c>
      <c r="D1252" s="1" t="s">
        <v>4256</v>
      </c>
      <c r="E1252" s="1" t="s">
        <v>816</v>
      </c>
      <c r="F1252" s="1" t="s">
        <v>6237</v>
      </c>
      <c r="I1252" s="1" t="s">
        <v>6474</v>
      </c>
      <c r="J1252" s="1" t="s">
        <v>1013</v>
      </c>
    </row>
    <row r="1253">
      <c r="B1253" s="1" t="s">
        <v>2875</v>
      </c>
      <c r="C1253" s="1" t="s">
        <v>5022</v>
      </c>
      <c r="D1253" s="1" t="s">
        <v>2602</v>
      </c>
      <c r="E1253" s="1" t="s">
        <v>3315</v>
      </c>
      <c r="F1253" s="1" t="s">
        <v>6475</v>
      </c>
      <c r="I1253" s="1" t="s">
        <v>3461</v>
      </c>
      <c r="J1253" s="1" t="s">
        <v>3219</v>
      </c>
    </row>
    <row r="1254">
      <c r="B1254" s="1" t="s">
        <v>1042</v>
      </c>
      <c r="C1254" s="1" t="s">
        <v>5024</v>
      </c>
      <c r="D1254" s="1" t="s">
        <v>2605</v>
      </c>
      <c r="E1254" s="1" t="s">
        <v>3842</v>
      </c>
      <c r="F1254" s="1" t="s">
        <v>4214</v>
      </c>
      <c r="I1254" s="1" t="s">
        <v>2339</v>
      </c>
      <c r="J1254" s="1" t="s">
        <v>3636</v>
      </c>
    </row>
    <row r="1255">
      <c r="B1255" s="1" t="s">
        <v>1652</v>
      </c>
      <c r="C1255" s="1" t="s">
        <v>4925</v>
      </c>
      <c r="D1255" s="1" t="s">
        <v>1846</v>
      </c>
      <c r="E1255" s="1" t="s">
        <v>3325</v>
      </c>
      <c r="F1255" s="1" t="s">
        <v>612</v>
      </c>
      <c r="I1255" s="1" t="s">
        <v>3405</v>
      </c>
      <c r="J1255" s="1" t="s">
        <v>3223</v>
      </c>
    </row>
    <row r="1256">
      <c r="B1256" s="1" t="s">
        <v>3134</v>
      </c>
      <c r="C1256" s="1" t="s">
        <v>3964</v>
      </c>
      <c r="D1256" s="1" t="s">
        <v>3757</v>
      </c>
      <c r="E1256" s="1" t="s">
        <v>3847</v>
      </c>
      <c r="F1256" s="1" t="s">
        <v>4090</v>
      </c>
      <c r="I1256" s="1" t="s">
        <v>2344</v>
      </c>
      <c r="J1256" s="1" t="s">
        <v>5056</v>
      </c>
    </row>
    <row r="1257">
      <c r="B1257" s="1" t="s">
        <v>2879</v>
      </c>
      <c r="C1257" s="1" t="s">
        <v>5028</v>
      </c>
      <c r="D1257" s="1" t="s">
        <v>3768</v>
      </c>
      <c r="E1257" s="1" t="s">
        <v>2310</v>
      </c>
      <c r="F1257" s="1" t="s">
        <v>302</v>
      </c>
      <c r="I1257" s="1" t="s">
        <v>3984</v>
      </c>
      <c r="J1257" s="1" t="s">
        <v>3666</v>
      </c>
    </row>
    <row r="1258">
      <c r="B1258" s="1" t="s">
        <v>1661</v>
      </c>
      <c r="C1258" s="1" t="s">
        <v>1115</v>
      </c>
      <c r="D1258" s="1" t="s">
        <v>2554</v>
      </c>
      <c r="E1258" s="1" t="s">
        <v>2312</v>
      </c>
      <c r="F1258" s="1" t="s">
        <v>2988</v>
      </c>
      <c r="I1258" s="1" t="s">
        <v>3340</v>
      </c>
      <c r="J1258" s="1" t="s">
        <v>2025</v>
      </c>
    </row>
    <row r="1259">
      <c r="B1259" s="1" t="s">
        <v>1820</v>
      </c>
      <c r="C1259" s="1" t="s">
        <v>5030</v>
      </c>
      <c r="D1259" s="1" t="s">
        <v>3764</v>
      </c>
      <c r="E1259" s="1" t="s">
        <v>3853</v>
      </c>
      <c r="F1259" s="1" t="s">
        <v>3582</v>
      </c>
      <c r="I1259" s="1" t="s">
        <v>1493</v>
      </c>
      <c r="J1259" s="1" t="s">
        <v>3229</v>
      </c>
    </row>
    <row r="1260">
      <c r="B1260" s="1" t="s">
        <v>2890</v>
      </c>
      <c r="C1260" s="1" t="s">
        <v>5032</v>
      </c>
      <c r="D1260" s="1" t="s">
        <v>671</v>
      </c>
      <c r="E1260" s="1" t="s">
        <v>3560</v>
      </c>
      <c r="F1260" s="1" t="s">
        <v>3576</v>
      </c>
      <c r="I1260" s="1" t="s">
        <v>5497</v>
      </c>
      <c r="J1260" s="1" t="s">
        <v>2028</v>
      </c>
    </row>
    <row r="1261">
      <c r="B1261" s="1" t="s">
        <v>1674</v>
      </c>
      <c r="C1261" s="1" t="s">
        <v>5038</v>
      </c>
      <c r="D1261" s="1" t="s">
        <v>2614</v>
      </c>
      <c r="E1261" s="1" t="s">
        <v>2196</v>
      </c>
      <c r="F1261" s="1" t="s">
        <v>4912</v>
      </c>
      <c r="I1261" s="1" t="s">
        <v>3410</v>
      </c>
      <c r="J1261" s="1" t="s">
        <v>1677</v>
      </c>
    </row>
    <row r="1262">
      <c r="B1262" s="1" t="s">
        <v>1679</v>
      </c>
      <c r="C1262" s="1" t="s">
        <v>5044</v>
      </c>
      <c r="D1262" s="1" t="s">
        <v>660</v>
      </c>
      <c r="E1262" s="1" t="s">
        <v>3336</v>
      </c>
      <c r="F1262" s="1" t="s">
        <v>2572</v>
      </c>
      <c r="I1262" s="1" t="s">
        <v>3914</v>
      </c>
      <c r="J1262" s="1" t="s">
        <v>3672</v>
      </c>
    </row>
    <row r="1263">
      <c r="B1263" s="1" t="s">
        <v>4267</v>
      </c>
      <c r="C1263" s="1" t="s">
        <v>5047</v>
      </c>
      <c r="D1263" s="1" t="s">
        <v>840</v>
      </c>
      <c r="E1263" s="1" t="s">
        <v>2184</v>
      </c>
      <c r="F1263" s="1" t="s">
        <v>848</v>
      </c>
      <c r="I1263" s="1" t="s">
        <v>2852</v>
      </c>
      <c r="J1263" s="1" t="s">
        <v>3247</v>
      </c>
    </row>
    <row r="1264">
      <c r="B1264" s="1" t="s">
        <v>347</v>
      </c>
      <c r="C1264" s="1" t="s">
        <v>5048</v>
      </c>
      <c r="D1264" s="1" t="s">
        <v>1478</v>
      </c>
      <c r="E1264" s="1" t="s">
        <v>6464</v>
      </c>
      <c r="F1264" s="1" t="s">
        <v>4702</v>
      </c>
      <c r="I1264" s="1" t="s">
        <v>3913</v>
      </c>
      <c r="J1264" s="1" t="s">
        <v>1342</v>
      </c>
    </row>
    <row r="1265">
      <c r="B1265" s="1" t="s">
        <v>3158</v>
      </c>
      <c r="C1265" s="1" t="s">
        <v>3697</v>
      </c>
      <c r="D1265" s="1" t="s">
        <v>676</v>
      </c>
      <c r="E1265" s="1" t="s">
        <v>5150</v>
      </c>
      <c r="F1265" s="1" t="s">
        <v>1595</v>
      </c>
      <c r="I1265" s="1" t="s">
        <v>404</v>
      </c>
      <c r="J1265" s="1" t="s">
        <v>3692</v>
      </c>
    </row>
    <row r="1266">
      <c r="B1266" s="1" t="s">
        <v>4269</v>
      </c>
      <c r="C1266" s="1" t="s">
        <v>3943</v>
      </c>
      <c r="D1266" s="1" t="s">
        <v>2625</v>
      </c>
      <c r="E1266" s="1" t="s">
        <v>207</v>
      </c>
      <c r="F1266" s="1" t="s">
        <v>4794</v>
      </c>
      <c r="I1266" s="1" t="s">
        <v>3001</v>
      </c>
      <c r="J1266" s="1" t="s">
        <v>4793</v>
      </c>
    </row>
    <row r="1267">
      <c r="B1267" s="1" t="s">
        <v>4270</v>
      </c>
      <c r="C1267" s="1" t="s">
        <v>3768</v>
      </c>
      <c r="D1267" s="1" t="s">
        <v>3786</v>
      </c>
      <c r="E1267" s="1" t="s">
        <v>2321</v>
      </c>
      <c r="F1267" s="1" t="s">
        <v>3789</v>
      </c>
      <c r="I1267" s="1" t="s">
        <v>3420</v>
      </c>
      <c r="J1267" s="1" t="s">
        <v>2550</v>
      </c>
    </row>
    <row r="1268">
      <c r="B1268" s="1" t="s">
        <v>1054</v>
      </c>
      <c r="C1268" s="1" t="s">
        <v>5053</v>
      </c>
      <c r="D1268" s="1" t="s">
        <v>850</v>
      </c>
      <c r="E1268" s="1" t="s">
        <v>3347</v>
      </c>
      <c r="F1268" s="1" t="s">
        <v>2449</v>
      </c>
      <c r="I1268" s="1" t="s">
        <v>3426</v>
      </c>
      <c r="J1268" s="1" t="s">
        <v>3501</v>
      </c>
    </row>
    <row r="1269">
      <c r="B1269" s="1" t="s">
        <v>1058</v>
      </c>
      <c r="C1269" s="1" t="s">
        <v>1060</v>
      </c>
      <c r="D1269" s="1" t="s">
        <v>3793</v>
      </c>
      <c r="E1269" s="1" t="s">
        <v>2317</v>
      </c>
      <c r="F1269" s="1">
        <v>140.0</v>
      </c>
      <c r="I1269" s="1" t="s">
        <v>701</v>
      </c>
      <c r="J1269" s="1" t="s">
        <v>3260</v>
      </c>
    </row>
    <row r="1270">
      <c r="B1270" s="1" t="s">
        <v>3163</v>
      </c>
      <c r="C1270" s="1" t="s">
        <v>5055</v>
      </c>
      <c r="D1270" s="1" t="s">
        <v>589</v>
      </c>
      <c r="E1270" s="1" t="s">
        <v>6466</v>
      </c>
      <c r="F1270" s="1" t="s">
        <v>1169</v>
      </c>
      <c r="I1270" s="1" t="s">
        <v>6454</v>
      </c>
      <c r="J1270" s="1" t="s">
        <v>3264</v>
      </c>
    </row>
    <row r="1271">
      <c r="B1271" s="1" t="s">
        <v>897</v>
      </c>
      <c r="C1271" s="1" t="s">
        <v>5056</v>
      </c>
      <c r="D1271" s="1" t="s">
        <v>2564</v>
      </c>
      <c r="E1271" s="1" t="s">
        <v>1070</v>
      </c>
      <c r="F1271" s="1" t="s">
        <v>2457</v>
      </c>
      <c r="I1271" s="1" t="s">
        <v>3936</v>
      </c>
      <c r="J1271" s="1" t="s">
        <v>4806</v>
      </c>
    </row>
    <row r="1272">
      <c r="B1272" s="1" t="s">
        <v>901</v>
      </c>
      <c r="C1272" s="1" t="s">
        <v>277</v>
      </c>
      <c r="D1272" s="1" t="s">
        <v>2633</v>
      </c>
      <c r="E1272" s="1" t="s">
        <v>2319</v>
      </c>
      <c r="F1272" s="1" t="s">
        <v>4106</v>
      </c>
      <c r="I1272" s="1" t="s">
        <v>3430</v>
      </c>
      <c r="J1272" s="1" t="s">
        <v>1328</v>
      </c>
    </row>
    <row r="1273">
      <c r="B1273" s="1" t="s">
        <v>1531</v>
      </c>
      <c r="C1273" s="1" t="s">
        <v>2441</v>
      </c>
      <c r="D1273" s="1" t="s">
        <v>2567</v>
      </c>
      <c r="E1273" s="1" t="s">
        <v>4060</v>
      </c>
      <c r="F1273" s="1" t="s">
        <v>842</v>
      </c>
      <c r="I1273" s="1" t="s">
        <v>6476</v>
      </c>
      <c r="J1273" s="1" t="s">
        <v>4810</v>
      </c>
    </row>
    <row r="1274">
      <c r="B1274" s="1" t="s">
        <v>783</v>
      </c>
      <c r="C1274" s="1" t="s">
        <v>5059</v>
      </c>
      <c r="D1274" s="1" t="s">
        <v>2571</v>
      </c>
      <c r="E1274" s="1" t="s">
        <v>935</v>
      </c>
      <c r="F1274" s="1" t="s">
        <v>3603</v>
      </c>
      <c r="I1274" s="1" t="s">
        <v>6477</v>
      </c>
      <c r="J1274" s="1" t="s">
        <v>4812</v>
      </c>
    </row>
    <row r="1275">
      <c r="B1275" s="1">
        <v>30.0</v>
      </c>
      <c r="C1275" s="1" t="s">
        <v>4311</v>
      </c>
      <c r="D1275" s="1" t="s">
        <v>667</v>
      </c>
      <c r="E1275" s="1">
        <v>20.0</v>
      </c>
      <c r="F1275" s="1" t="s">
        <v>2098</v>
      </c>
      <c r="I1275" s="1" t="s">
        <v>2359</v>
      </c>
      <c r="J1275" s="1" t="s">
        <v>3272</v>
      </c>
    </row>
    <row r="1276">
      <c r="B1276" s="1" t="s">
        <v>1066</v>
      </c>
      <c r="C1276" s="1" t="s">
        <v>1858</v>
      </c>
      <c r="D1276" s="1" t="s">
        <v>2576</v>
      </c>
      <c r="E1276" s="1" t="s">
        <v>791</v>
      </c>
      <c r="F1276" s="1" t="s">
        <v>2489</v>
      </c>
      <c r="I1276" s="1" t="s">
        <v>799</v>
      </c>
      <c r="J1276" s="1" t="s">
        <v>3710</v>
      </c>
    </row>
    <row r="1277">
      <c r="B1277" s="1" t="s">
        <v>714</v>
      </c>
      <c r="C1277" s="1" t="s">
        <v>1921</v>
      </c>
      <c r="D1277" s="1" t="s">
        <v>4279</v>
      </c>
      <c r="E1277" s="1" t="s">
        <v>2274</v>
      </c>
      <c r="F1277" s="1" t="s">
        <v>2080</v>
      </c>
      <c r="I1277" s="1" t="s">
        <v>631</v>
      </c>
      <c r="J1277" s="1" t="s">
        <v>1341</v>
      </c>
    </row>
    <row r="1278">
      <c r="B1278" s="1" t="s">
        <v>2912</v>
      </c>
      <c r="C1278" s="1" t="s">
        <v>5064</v>
      </c>
      <c r="D1278" s="1" t="s">
        <v>866</v>
      </c>
      <c r="E1278" s="1" t="s">
        <v>3364</v>
      </c>
      <c r="F1278" s="1" t="s">
        <v>3675</v>
      </c>
      <c r="I1278" s="1" t="s">
        <v>3958</v>
      </c>
      <c r="J1278" s="1" t="s">
        <v>1352</v>
      </c>
    </row>
    <row r="1279">
      <c r="B1279" s="1" t="s">
        <v>3180</v>
      </c>
      <c r="C1279" s="1" t="s">
        <v>3701</v>
      </c>
      <c r="D1279" s="1" t="s">
        <v>862</v>
      </c>
      <c r="E1279" s="1" t="s">
        <v>2330</v>
      </c>
      <c r="F1279" s="1" t="s">
        <v>2468</v>
      </c>
      <c r="I1279" s="1" t="s">
        <v>6458</v>
      </c>
      <c r="J1279" s="1" t="s">
        <v>3283</v>
      </c>
    </row>
    <row r="1280">
      <c r="B1280" s="1" t="s">
        <v>2914</v>
      </c>
      <c r="C1280" s="1" t="s">
        <v>5066</v>
      </c>
      <c r="D1280" s="1" t="s">
        <v>2644</v>
      </c>
      <c r="E1280" s="1" t="s">
        <v>2327</v>
      </c>
      <c r="F1280" s="1" t="s">
        <v>6478</v>
      </c>
      <c r="I1280" s="1" t="s">
        <v>2365</v>
      </c>
      <c r="J1280" s="1" t="s">
        <v>1356</v>
      </c>
    </row>
    <row r="1281">
      <c r="B1281" s="1" t="s">
        <v>1383</v>
      </c>
      <c r="C1281" s="1" t="s">
        <v>3442</v>
      </c>
      <c r="D1281" s="1" t="s">
        <v>3814</v>
      </c>
      <c r="E1281" s="1" t="s">
        <v>5454</v>
      </c>
      <c r="F1281" s="1" t="s">
        <v>3614</v>
      </c>
      <c r="I1281" s="1" t="s">
        <v>3963</v>
      </c>
      <c r="J1281" s="1" t="s">
        <v>3288</v>
      </c>
    </row>
    <row r="1282">
      <c r="B1282" s="1" t="s">
        <v>4078</v>
      </c>
      <c r="C1282" s="1" t="s">
        <v>3925</v>
      </c>
      <c r="D1282" s="1" t="s">
        <v>3816</v>
      </c>
      <c r="E1282" s="1" t="s">
        <v>2329</v>
      </c>
      <c r="F1282" s="1" t="s">
        <v>780</v>
      </c>
      <c r="I1282" s="1" t="s">
        <v>6479</v>
      </c>
      <c r="J1282" s="1" t="s">
        <v>3177</v>
      </c>
    </row>
    <row r="1283">
      <c r="B1283" s="1" t="s">
        <v>3184</v>
      </c>
      <c r="C1283" s="1" t="s">
        <v>2029</v>
      </c>
      <c r="D1283" s="1" t="s">
        <v>4284</v>
      </c>
      <c r="E1283" s="1" t="s">
        <v>3296</v>
      </c>
      <c r="F1283" s="1" t="s">
        <v>2497</v>
      </c>
      <c r="I1283" s="1" t="s">
        <v>2733</v>
      </c>
      <c r="J1283" s="1" t="s">
        <v>3725</v>
      </c>
    </row>
    <row r="1284">
      <c r="B1284" s="1" t="s">
        <v>4285</v>
      </c>
      <c r="C1284" s="1" t="s">
        <v>2437</v>
      </c>
      <c r="D1284" s="1" t="s">
        <v>4288</v>
      </c>
      <c r="E1284" s="1" t="s">
        <v>3421</v>
      </c>
      <c r="F1284" s="1" t="s">
        <v>3739</v>
      </c>
      <c r="I1284" s="1" t="s">
        <v>2323</v>
      </c>
      <c r="J1284" s="1" t="s">
        <v>3727</v>
      </c>
    </row>
    <row r="1285">
      <c r="B1285" s="1" t="s">
        <v>2917</v>
      </c>
      <c r="C1285" s="1" t="s">
        <v>5073</v>
      </c>
      <c r="D1285" s="1" t="s">
        <v>880</v>
      </c>
      <c r="E1285" s="1" t="s">
        <v>3377</v>
      </c>
      <c r="F1285" s="1" t="s">
        <v>3269</v>
      </c>
      <c r="I1285" s="1" t="s">
        <v>2366</v>
      </c>
      <c r="J1285" s="1" t="s">
        <v>3731</v>
      </c>
    </row>
    <row r="1286">
      <c r="B1286" s="1" t="s">
        <v>3192</v>
      </c>
      <c r="C1286" s="1" t="s">
        <v>537</v>
      </c>
      <c r="D1286" s="1" t="s">
        <v>3821</v>
      </c>
      <c r="E1286" s="1" t="s">
        <v>678</v>
      </c>
      <c r="F1286" s="1" t="s">
        <v>633</v>
      </c>
      <c r="I1286" s="1" t="s">
        <v>2377</v>
      </c>
      <c r="J1286" s="1" t="s">
        <v>3301</v>
      </c>
    </row>
    <row r="1287">
      <c r="B1287" s="1" t="s">
        <v>2101</v>
      </c>
      <c r="C1287" s="1" t="s">
        <v>2327</v>
      </c>
      <c r="D1287" s="1" t="s">
        <v>1308</v>
      </c>
      <c r="E1287" s="1" t="s">
        <v>2332</v>
      </c>
      <c r="F1287" s="1" t="s">
        <v>626</v>
      </c>
      <c r="I1287" s="1" t="s">
        <v>4282</v>
      </c>
      <c r="J1287" s="1" t="s">
        <v>5829</v>
      </c>
    </row>
    <row r="1288">
      <c r="B1288" s="1" t="s">
        <v>1076</v>
      </c>
      <c r="C1288" s="1" t="s">
        <v>1802</v>
      </c>
      <c r="D1288" s="1" t="s">
        <v>1316</v>
      </c>
      <c r="E1288" s="1" t="s">
        <v>685</v>
      </c>
      <c r="F1288" s="1" t="s">
        <v>311</v>
      </c>
      <c r="I1288" s="1" t="s">
        <v>3989</v>
      </c>
      <c r="J1288" s="1" t="s">
        <v>4843</v>
      </c>
    </row>
    <row r="1289">
      <c r="B1289" s="1" t="s">
        <v>4293</v>
      </c>
      <c r="C1289" s="1" t="s">
        <v>1757</v>
      </c>
      <c r="D1289" s="1" t="s">
        <v>2584</v>
      </c>
      <c r="E1289" s="1" t="s">
        <v>3395</v>
      </c>
      <c r="F1289" s="1" t="s">
        <v>1201</v>
      </c>
      <c r="I1289" s="1" t="s">
        <v>83</v>
      </c>
      <c r="J1289" s="1" t="s">
        <v>1047</v>
      </c>
    </row>
    <row r="1290">
      <c r="B1290" s="1" t="s">
        <v>3195</v>
      </c>
      <c r="C1290" s="1" t="s">
        <v>4030</v>
      </c>
      <c r="D1290" s="1" t="s">
        <v>2581</v>
      </c>
      <c r="E1290" s="1" t="s">
        <v>1659</v>
      </c>
      <c r="F1290" s="1" t="s">
        <v>6480</v>
      </c>
      <c r="I1290" s="1" t="s">
        <v>2395</v>
      </c>
      <c r="J1290" s="1" t="s">
        <v>1361</v>
      </c>
    </row>
    <row r="1291">
      <c r="B1291" s="1" t="s">
        <v>3198</v>
      </c>
      <c r="C1291" s="1" t="s">
        <v>5084</v>
      </c>
      <c r="D1291" s="1" t="s">
        <v>1321</v>
      </c>
      <c r="E1291" s="1" t="s">
        <v>2710</v>
      </c>
      <c r="F1291" s="1" t="s">
        <v>2561</v>
      </c>
      <c r="I1291" s="1" t="s">
        <v>4140</v>
      </c>
      <c r="J1291" s="1" t="s">
        <v>2071</v>
      </c>
    </row>
    <row r="1292">
      <c r="B1292" s="1" t="s">
        <v>2921</v>
      </c>
      <c r="C1292" s="1" t="s">
        <v>5087</v>
      </c>
      <c r="D1292" s="1" t="s">
        <v>2656</v>
      </c>
      <c r="E1292" s="1" t="s">
        <v>6469</v>
      </c>
      <c r="F1292" s="1" t="s">
        <v>3313</v>
      </c>
      <c r="I1292" s="1" t="s">
        <v>4138</v>
      </c>
      <c r="J1292" s="1" t="s">
        <v>1000</v>
      </c>
    </row>
    <row r="1293">
      <c r="B1293" s="1" t="s">
        <v>1943</v>
      </c>
      <c r="C1293" s="1" t="s">
        <v>211</v>
      </c>
      <c r="D1293" s="1" t="s">
        <v>2660</v>
      </c>
      <c r="E1293" s="1" t="s">
        <v>6470</v>
      </c>
      <c r="F1293" s="1" t="s">
        <v>6481</v>
      </c>
      <c r="I1293" s="1" t="s">
        <v>2383</v>
      </c>
      <c r="J1293" s="1" t="s">
        <v>1381</v>
      </c>
    </row>
    <row r="1294">
      <c r="B1294" s="1" t="s">
        <v>4298</v>
      </c>
      <c r="C1294" s="1" t="s">
        <v>5092</v>
      </c>
      <c r="D1294" s="1" t="s">
        <v>2665</v>
      </c>
      <c r="E1294" s="1" t="s">
        <v>6471</v>
      </c>
      <c r="F1294" s="1" t="s">
        <v>2393</v>
      </c>
      <c r="I1294" s="1" t="s">
        <v>3460</v>
      </c>
      <c r="J1294" s="1" t="s">
        <v>4860</v>
      </c>
    </row>
    <row r="1295">
      <c r="B1295" s="1" t="s">
        <v>4301</v>
      </c>
      <c r="C1295" s="1" t="s">
        <v>3689</v>
      </c>
      <c r="D1295" s="1" t="s">
        <v>730</v>
      </c>
      <c r="E1295" s="1" t="s">
        <v>6473</v>
      </c>
      <c r="F1295" s="1" t="s">
        <v>796</v>
      </c>
      <c r="I1295" s="1" t="s">
        <v>3463</v>
      </c>
      <c r="J1295" s="1" t="s">
        <v>3759</v>
      </c>
    </row>
    <row r="1296">
      <c r="B1296" s="1" t="s">
        <v>4302</v>
      </c>
      <c r="C1296" s="1" t="s">
        <v>5095</v>
      </c>
      <c r="D1296" s="1" t="s">
        <v>4305</v>
      </c>
      <c r="E1296" s="1" t="s">
        <v>6474</v>
      </c>
      <c r="F1296" s="1" t="s">
        <v>2483</v>
      </c>
      <c r="I1296" s="1" t="s">
        <v>2385</v>
      </c>
      <c r="J1296" s="1" t="s">
        <v>3761</v>
      </c>
    </row>
    <row r="1297">
      <c r="B1297" s="1" t="s">
        <v>4306</v>
      </c>
      <c r="C1297" s="1" t="s">
        <v>1144</v>
      </c>
      <c r="D1297" s="1" t="s">
        <v>2594</v>
      </c>
      <c r="E1297" s="1" t="s">
        <v>1081</v>
      </c>
      <c r="F1297" s="1" t="s">
        <v>640</v>
      </c>
      <c r="I1297" s="1" t="s">
        <v>2388</v>
      </c>
      <c r="J1297" s="1" t="s">
        <v>5359</v>
      </c>
    </row>
    <row r="1298">
      <c r="B1298" s="1" t="s">
        <v>4310</v>
      </c>
      <c r="C1298" s="1" t="s">
        <v>5016</v>
      </c>
      <c r="D1298" s="1" t="s">
        <v>690</v>
      </c>
      <c r="E1298" s="1" t="s">
        <v>3461</v>
      </c>
      <c r="F1298" s="1" t="s">
        <v>3633</v>
      </c>
      <c r="I1298" s="1" t="s">
        <v>3466</v>
      </c>
      <c r="J1298" s="1" t="s">
        <v>4433</v>
      </c>
    </row>
    <row r="1299">
      <c r="B1299" s="1" t="s">
        <v>4312</v>
      </c>
      <c r="C1299" s="1" t="s">
        <v>5098</v>
      </c>
      <c r="D1299" s="1" t="s">
        <v>698</v>
      </c>
      <c r="E1299" s="1" t="s">
        <v>2339</v>
      </c>
      <c r="F1299" s="1" t="s">
        <v>4207</v>
      </c>
      <c r="I1299" s="1" t="s">
        <v>6482</v>
      </c>
      <c r="J1299" s="1" t="s">
        <v>1057</v>
      </c>
    </row>
    <row r="1300">
      <c r="B1300" s="1" t="s">
        <v>4313</v>
      </c>
      <c r="C1300" s="1" t="s">
        <v>2122</v>
      </c>
      <c r="D1300" s="1" t="s">
        <v>2600</v>
      </c>
      <c r="E1300" s="1" t="s">
        <v>3405</v>
      </c>
      <c r="F1300" s="1" t="s">
        <v>2516</v>
      </c>
      <c r="I1300" s="1" t="s">
        <v>3092</v>
      </c>
      <c r="J1300" s="1" t="s">
        <v>5518</v>
      </c>
    </row>
    <row r="1301">
      <c r="B1301" s="1" t="s">
        <v>2931</v>
      </c>
      <c r="C1301" s="1" t="s">
        <v>412</v>
      </c>
      <c r="D1301" s="1" t="s">
        <v>4317</v>
      </c>
      <c r="E1301" s="1" t="s">
        <v>2344</v>
      </c>
      <c r="F1301" s="1" t="s">
        <v>2488</v>
      </c>
      <c r="I1301" s="1" t="s">
        <v>5234</v>
      </c>
      <c r="J1301" s="1" t="s">
        <v>4872</v>
      </c>
    </row>
    <row r="1302">
      <c r="B1302" s="1" t="s">
        <v>4318</v>
      </c>
      <c r="C1302" s="1" t="s">
        <v>5102</v>
      </c>
      <c r="D1302" s="1" t="s">
        <v>4321</v>
      </c>
      <c r="E1302" s="1" t="s">
        <v>3984</v>
      </c>
      <c r="F1302" s="1" t="s">
        <v>2490</v>
      </c>
      <c r="I1302" s="1" t="s">
        <v>658</v>
      </c>
      <c r="J1302" s="1" t="s">
        <v>1596</v>
      </c>
    </row>
    <row r="1303">
      <c r="B1303" s="1" t="s">
        <v>2565</v>
      </c>
      <c r="C1303" s="1" t="s">
        <v>5105</v>
      </c>
      <c r="D1303" s="1" t="s">
        <v>1340</v>
      </c>
      <c r="E1303" s="1" t="s">
        <v>3340</v>
      </c>
      <c r="F1303" s="1" t="s">
        <v>733</v>
      </c>
      <c r="I1303" s="1" t="s">
        <v>2403</v>
      </c>
      <c r="J1303" s="1" t="s">
        <v>4364</v>
      </c>
    </row>
    <row r="1304">
      <c r="B1304" s="1" t="s">
        <v>4324</v>
      </c>
      <c r="C1304" s="1" t="s">
        <v>5108</v>
      </c>
      <c r="D1304" s="1" t="s">
        <v>2679</v>
      </c>
      <c r="E1304" s="1" t="s">
        <v>1493</v>
      </c>
      <c r="F1304" s="1" t="s">
        <v>2521</v>
      </c>
      <c r="I1304" s="1" t="s">
        <v>2411</v>
      </c>
      <c r="J1304" s="1" t="s">
        <v>4879</v>
      </c>
    </row>
    <row r="1305">
      <c r="B1305" s="1" t="s">
        <v>3211</v>
      </c>
      <c r="C1305" s="1" t="s">
        <v>2655</v>
      </c>
      <c r="D1305" s="1" t="s">
        <v>2604</v>
      </c>
      <c r="E1305" s="1" t="s">
        <v>5497</v>
      </c>
      <c r="F1305" s="1" t="s">
        <v>4299</v>
      </c>
      <c r="I1305" s="1" t="s">
        <v>2408</v>
      </c>
      <c r="J1305" s="1" t="s">
        <v>988</v>
      </c>
    </row>
    <row r="1306">
      <c r="B1306" s="1" t="s">
        <v>4326</v>
      </c>
      <c r="C1306" s="1" t="s">
        <v>4246</v>
      </c>
      <c r="D1306" s="1" t="s">
        <v>4327</v>
      </c>
      <c r="E1306" s="1" t="s">
        <v>3410</v>
      </c>
      <c r="F1306" s="1" t="s">
        <v>6393</v>
      </c>
      <c r="I1306" s="1" t="s">
        <v>2624</v>
      </c>
      <c r="J1306" s="1" t="s">
        <v>3791</v>
      </c>
    </row>
    <row r="1307">
      <c r="B1307" s="1" t="s">
        <v>3214</v>
      </c>
      <c r="C1307" s="1" t="s">
        <v>5112</v>
      </c>
      <c r="D1307" s="1" t="s">
        <v>704</v>
      </c>
      <c r="E1307" s="1" t="s">
        <v>3914</v>
      </c>
      <c r="F1307" s="1" t="s">
        <v>2180</v>
      </c>
      <c r="I1307" s="1" t="s">
        <v>2066</v>
      </c>
      <c r="J1307" s="1" t="s">
        <v>5381</v>
      </c>
    </row>
    <row r="1308">
      <c r="B1308" s="1" t="s">
        <v>1727</v>
      </c>
      <c r="C1308" s="1" t="s">
        <v>2893</v>
      </c>
      <c r="D1308" s="1" t="s">
        <v>4329</v>
      </c>
      <c r="E1308" s="1" t="s">
        <v>2852</v>
      </c>
      <c r="F1308" s="1" t="s">
        <v>4311</v>
      </c>
      <c r="I1308" s="1" t="s">
        <v>4177</v>
      </c>
      <c r="J1308" s="1" t="s">
        <v>3800</v>
      </c>
    </row>
    <row r="1309">
      <c r="B1309" s="1" t="s">
        <v>4330</v>
      </c>
      <c r="C1309" s="1" t="s">
        <v>3430</v>
      </c>
      <c r="D1309" s="1" t="s">
        <v>889</v>
      </c>
      <c r="E1309" s="1" t="s">
        <v>3913</v>
      </c>
      <c r="F1309" s="1" t="s">
        <v>1643</v>
      </c>
      <c r="I1309" s="1" t="s">
        <v>4038</v>
      </c>
      <c r="J1309" s="1" t="s">
        <v>1069</v>
      </c>
    </row>
    <row r="1310">
      <c r="B1310" s="1" t="s">
        <v>3220</v>
      </c>
      <c r="C1310" s="1" t="s">
        <v>3010</v>
      </c>
      <c r="D1310" s="1" t="s">
        <v>2682</v>
      </c>
      <c r="E1310" s="1" t="s">
        <v>404</v>
      </c>
      <c r="F1310" s="1" t="s">
        <v>3760</v>
      </c>
      <c r="I1310" s="1" t="s">
        <v>4045</v>
      </c>
      <c r="J1310" s="1" t="s">
        <v>4896</v>
      </c>
    </row>
    <row r="1311">
      <c r="B1311" s="1" t="s">
        <v>4333</v>
      </c>
      <c r="C1311" s="1" t="s">
        <v>5113</v>
      </c>
      <c r="D1311" s="1" t="s">
        <v>3850</v>
      </c>
      <c r="E1311" s="1" t="s">
        <v>3001</v>
      </c>
      <c r="F1311" s="1" t="s">
        <v>3655</v>
      </c>
      <c r="I1311" s="1" t="s">
        <v>4043</v>
      </c>
      <c r="J1311" s="1" t="s">
        <v>904</v>
      </c>
    </row>
    <row r="1312">
      <c r="B1312" s="1" t="s">
        <v>3222</v>
      </c>
      <c r="C1312" s="1" t="s">
        <v>659</v>
      </c>
      <c r="D1312" s="1" t="s">
        <v>2671</v>
      </c>
      <c r="E1312" s="1" t="s">
        <v>3420</v>
      </c>
      <c r="F1312" s="1" t="s">
        <v>259</v>
      </c>
      <c r="I1312" s="1" t="s">
        <v>1151</v>
      </c>
      <c r="J1312" s="1" t="s">
        <v>5828</v>
      </c>
    </row>
    <row r="1313">
      <c r="B1313" s="1" t="s">
        <v>4337</v>
      </c>
      <c r="C1313" s="1" t="s">
        <v>4841</v>
      </c>
      <c r="D1313" s="1" t="s">
        <v>4338</v>
      </c>
      <c r="E1313" s="1" t="s">
        <v>3426</v>
      </c>
      <c r="F1313" s="1" t="s">
        <v>561</v>
      </c>
      <c r="I1313" s="1" t="s">
        <v>1632</v>
      </c>
      <c r="J1313" s="1" t="s">
        <v>4373</v>
      </c>
    </row>
    <row r="1314">
      <c r="B1314" s="1" t="s">
        <v>3226</v>
      </c>
      <c r="C1314" s="1" t="s">
        <v>5116</v>
      </c>
      <c r="D1314" s="1" t="s">
        <v>2687</v>
      </c>
      <c r="E1314" s="1" t="s">
        <v>701</v>
      </c>
      <c r="F1314" s="1" t="s">
        <v>1218</v>
      </c>
      <c r="I1314" s="1" t="s">
        <v>81</v>
      </c>
      <c r="J1314" s="1" t="s">
        <v>5398</v>
      </c>
    </row>
    <row r="1315">
      <c r="B1315" s="1" t="s">
        <v>4342</v>
      </c>
      <c r="C1315" s="1" t="s">
        <v>5117</v>
      </c>
      <c r="D1315" s="1" t="s">
        <v>712</v>
      </c>
      <c r="E1315" s="1" t="s">
        <v>6454</v>
      </c>
      <c r="F1315" s="1" t="s">
        <v>2537</v>
      </c>
      <c r="I1315" s="1" t="s">
        <v>1857</v>
      </c>
      <c r="J1315" s="1" t="s">
        <v>4908</v>
      </c>
    </row>
    <row r="1316">
      <c r="B1316" s="1" t="s">
        <v>911</v>
      </c>
      <c r="C1316" s="1" t="s">
        <v>5122</v>
      </c>
      <c r="D1316" s="1" t="s">
        <v>4346</v>
      </c>
      <c r="E1316" s="1" t="s">
        <v>3936</v>
      </c>
      <c r="F1316" s="1" t="s">
        <v>4163</v>
      </c>
      <c r="I1316" s="1" t="s">
        <v>6483</v>
      </c>
      <c r="J1316" s="1" t="s">
        <v>5327</v>
      </c>
    </row>
    <row r="1317">
      <c r="B1317" s="1" t="s">
        <v>4347</v>
      </c>
      <c r="C1317" s="1" t="s">
        <v>3377</v>
      </c>
      <c r="D1317" s="1" t="s">
        <v>2695</v>
      </c>
      <c r="E1317" s="1" t="s">
        <v>3430</v>
      </c>
      <c r="F1317" s="1" t="s">
        <v>4407</v>
      </c>
      <c r="I1317" s="1" t="s">
        <v>6463</v>
      </c>
      <c r="J1317" s="1" t="s">
        <v>3831</v>
      </c>
    </row>
    <row r="1318">
      <c r="B1318" s="1" t="s">
        <v>3827</v>
      </c>
      <c r="C1318" s="1" t="s">
        <v>3930</v>
      </c>
      <c r="D1318" s="1" t="s">
        <v>2698</v>
      </c>
      <c r="E1318" s="1" t="s">
        <v>6476</v>
      </c>
      <c r="F1318" s="1" t="s">
        <v>2538</v>
      </c>
      <c r="I1318" s="1" t="s">
        <v>2419</v>
      </c>
      <c r="J1318" s="1" t="s">
        <v>126</v>
      </c>
    </row>
    <row r="1319">
      <c r="B1319" s="1" t="s">
        <v>1741</v>
      </c>
      <c r="C1319" s="1" t="s">
        <v>2912</v>
      </c>
      <c r="D1319" s="1" t="s">
        <v>1355</v>
      </c>
      <c r="E1319" s="1" t="s">
        <v>2351</v>
      </c>
      <c r="F1319" s="1" t="s">
        <v>4165</v>
      </c>
      <c r="I1319" s="1" t="s">
        <v>3150</v>
      </c>
      <c r="J1319" s="1" t="s">
        <v>5407</v>
      </c>
    </row>
    <row r="1320">
      <c r="B1320" s="1" t="s">
        <v>2946</v>
      </c>
      <c r="C1320" s="1" t="s">
        <v>5126</v>
      </c>
      <c r="D1320" s="1" t="s">
        <v>898</v>
      </c>
      <c r="E1320" s="1" t="s">
        <v>6456</v>
      </c>
      <c r="F1320" s="1" t="s">
        <v>4167</v>
      </c>
      <c r="I1320" s="1" t="s">
        <v>4051</v>
      </c>
      <c r="J1320" s="1" t="s">
        <v>3348</v>
      </c>
    </row>
    <row r="1321">
      <c r="B1321" s="1" t="s">
        <v>4349</v>
      </c>
      <c r="C1321" s="1" t="s">
        <v>5129</v>
      </c>
      <c r="D1321" s="1" t="s">
        <v>2608</v>
      </c>
      <c r="E1321" s="1" t="s">
        <v>6477</v>
      </c>
      <c r="F1321" s="1" t="s">
        <v>4168</v>
      </c>
      <c r="I1321" s="1" t="s">
        <v>4147</v>
      </c>
      <c r="J1321" s="1" t="s">
        <v>3846</v>
      </c>
    </row>
    <row r="1322">
      <c r="B1322" s="1" t="s">
        <v>1083</v>
      </c>
      <c r="C1322" s="1" t="s">
        <v>2904</v>
      </c>
      <c r="D1322" s="1" t="s">
        <v>4351</v>
      </c>
      <c r="E1322" s="1" t="s">
        <v>2359</v>
      </c>
      <c r="F1322" s="1" t="s">
        <v>6394</v>
      </c>
      <c r="I1322" s="1" t="s">
        <v>2454</v>
      </c>
      <c r="J1322" s="1" t="s">
        <v>1386</v>
      </c>
    </row>
    <row r="1323">
      <c r="B1323" s="1" t="s">
        <v>3233</v>
      </c>
      <c r="C1323" s="1" t="s">
        <v>5131</v>
      </c>
      <c r="D1323" s="1" t="s">
        <v>4353</v>
      </c>
      <c r="E1323" s="1" t="s">
        <v>631</v>
      </c>
      <c r="F1323" s="1" t="s">
        <v>4172</v>
      </c>
      <c r="I1323" s="1" t="s">
        <v>721</v>
      </c>
      <c r="J1323" s="1" t="s">
        <v>1392</v>
      </c>
    </row>
    <row r="1324">
      <c r="B1324" s="1" t="s">
        <v>4354</v>
      </c>
      <c r="C1324" s="1" t="s">
        <v>5135</v>
      </c>
      <c r="D1324" s="1" t="s">
        <v>2618</v>
      </c>
      <c r="E1324" s="1" t="s">
        <v>3958</v>
      </c>
      <c r="F1324" s="1" t="s">
        <v>1289</v>
      </c>
      <c r="I1324" s="1" t="s">
        <v>2421</v>
      </c>
      <c r="J1324" s="1" t="s">
        <v>1399</v>
      </c>
    </row>
    <row r="1325">
      <c r="B1325" s="1" t="s">
        <v>4357</v>
      </c>
      <c r="C1325" s="1" t="s">
        <v>3404</v>
      </c>
      <c r="D1325" s="1" t="s">
        <v>2714</v>
      </c>
      <c r="E1325" s="1" t="s">
        <v>2371</v>
      </c>
      <c r="F1325" s="1" t="s">
        <v>3671</v>
      </c>
      <c r="I1325" s="1" t="s">
        <v>4059</v>
      </c>
      <c r="J1325" s="1" t="s">
        <v>3365</v>
      </c>
    </row>
    <row r="1326">
      <c r="B1326" s="1" t="s">
        <v>2957</v>
      </c>
      <c r="C1326" s="1" t="s">
        <v>1763</v>
      </c>
      <c r="D1326" s="1" t="s">
        <v>2231</v>
      </c>
      <c r="E1326" s="1" t="s">
        <v>2365</v>
      </c>
      <c r="F1326" s="1" t="s">
        <v>2502</v>
      </c>
      <c r="I1326" s="1" t="s">
        <v>4842</v>
      </c>
      <c r="J1326" s="1" t="s">
        <v>4936</v>
      </c>
    </row>
    <row r="1327">
      <c r="B1327" s="1" t="s">
        <v>1090</v>
      </c>
      <c r="C1327" s="1" t="s">
        <v>5140</v>
      </c>
      <c r="D1327" s="1" t="s">
        <v>3871</v>
      </c>
      <c r="E1327" s="1" t="s">
        <v>3963</v>
      </c>
      <c r="F1327" s="1" t="s">
        <v>774</v>
      </c>
      <c r="I1327" s="1" t="s">
        <v>3535</v>
      </c>
      <c r="J1327" s="1" t="s">
        <v>6484</v>
      </c>
    </row>
    <row r="1328">
      <c r="B1328" s="1" t="s">
        <v>3236</v>
      </c>
      <c r="C1328" s="1" t="s">
        <v>4371</v>
      </c>
      <c r="D1328" s="1" t="s">
        <v>1359</v>
      </c>
      <c r="E1328" s="1" t="s">
        <v>6479</v>
      </c>
      <c r="F1328" s="1" t="s">
        <v>2546</v>
      </c>
      <c r="I1328" s="1" t="s">
        <v>3888</v>
      </c>
      <c r="J1328" s="1" t="s">
        <v>4938</v>
      </c>
    </row>
    <row r="1329">
      <c r="B1329" s="1" t="s">
        <v>3485</v>
      </c>
      <c r="C1329" s="1" t="s">
        <v>1567</v>
      </c>
      <c r="D1329" s="1" t="s">
        <v>2623</v>
      </c>
      <c r="E1329" s="1" t="s">
        <v>2733</v>
      </c>
      <c r="F1329" s="1" t="s">
        <v>820</v>
      </c>
      <c r="I1329" s="1" t="s">
        <v>3541</v>
      </c>
      <c r="J1329" s="1" t="s">
        <v>4080</v>
      </c>
    </row>
    <row r="1330">
      <c r="B1330" s="1" t="s">
        <v>4363</v>
      </c>
      <c r="C1330" s="1" t="s">
        <v>48</v>
      </c>
      <c r="D1330" s="1" t="s">
        <v>4251</v>
      </c>
      <c r="E1330" s="1" t="s">
        <v>2375</v>
      </c>
      <c r="F1330" s="1" t="s">
        <v>4190</v>
      </c>
      <c r="I1330" s="1" t="s">
        <v>4206</v>
      </c>
      <c r="J1330" s="1" t="s">
        <v>3870</v>
      </c>
    </row>
    <row r="1331">
      <c r="B1331" s="1" t="s">
        <v>3284</v>
      </c>
      <c r="C1331" s="1" t="s">
        <v>605</v>
      </c>
      <c r="D1331" s="1" t="s">
        <v>4366</v>
      </c>
      <c r="E1331" s="1" t="s">
        <v>3970</v>
      </c>
      <c r="F1331" s="1" t="s">
        <v>4193</v>
      </c>
      <c r="I1331" s="1" t="s">
        <v>6389</v>
      </c>
      <c r="J1331" s="1" t="s">
        <v>2133</v>
      </c>
    </row>
    <row r="1332">
      <c r="B1332" s="1" t="s">
        <v>1671</v>
      </c>
      <c r="C1332" s="1" t="s">
        <v>1847</v>
      </c>
      <c r="D1332" s="1" t="s">
        <v>1367</v>
      </c>
      <c r="E1332" s="1" t="s">
        <v>2323</v>
      </c>
      <c r="F1332" s="1" t="s">
        <v>2522</v>
      </c>
      <c r="I1332" s="1" t="s">
        <v>2453</v>
      </c>
      <c r="J1332" s="1" t="s">
        <v>1087</v>
      </c>
    </row>
    <row r="1333">
      <c r="B1333" s="1" t="s">
        <v>4125</v>
      </c>
      <c r="C1333" s="1" t="s">
        <v>5147</v>
      </c>
      <c r="D1333" s="1" t="s">
        <v>1312</v>
      </c>
      <c r="E1333" s="1" t="s">
        <v>2366</v>
      </c>
      <c r="F1333" s="1" t="s">
        <v>654</v>
      </c>
      <c r="I1333" s="1" t="s">
        <v>837</v>
      </c>
      <c r="J1333" s="1" t="s">
        <v>277</v>
      </c>
    </row>
    <row r="1334">
      <c r="B1334" s="1" t="s">
        <v>3240</v>
      </c>
      <c r="C1334" s="1" t="s">
        <v>5148</v>
      </c>
      <c r="D1334" s="1" t="s">
        <v>3884</v>
      </c>
      <c r="E1334" s="1" t="s">
        <v>2377</v>
      </c>
      <c r="F1334" s="1" t="s">
        <v>4813</v>
      </c>
      <c r="I1334" s="1" t="s">
        <v>246</v>
      </c>
      <c r="J1334" s="1">
        <v>51.0</v>
      </c>
    </row>
    <row r="1335">
      <c r="B1335" s="1" t="s">
        <v>1746</v>
      </c>
      <c r="C1335" s="1" t="s">
        <v>2088</v>
      </c>
      <c r="D1335" s="1" t="s">
        <v>1375</v>
      </c>
      <c r="E1335" s="1" t="s">
        <v>4282</v>
      </c>
      <c r="F1335" s="1" t="s">
        <v>1118</v>
      </c>
      <c r="I1335" s="1" t="s">
        <v>137</v>
      </c>
      <c r="J1335" s="1" t="s">
        <v>3388</v>
      </c>
    </row>
    <row r="1336">
      <c r="B1336" s="1" t="s">
        <v>4375</v>
      </c>
      <c r="C1336" s="1" t="s">
        <v>2673</v>
      </c>
      <c r="D1336" s="1" t="s">
        <v>3893</v>
      </c>
      <c r="E1336" s="1" t="s">
        <v>3989</v>
      </c>
      <c r="F1336" s="1" t="s">
        <v>661</v>
      </c>
      <c r="I1336" s="1" t="s">
        <v>4029</v>
      </c>
      <c r="J1336" s="1" t="s">
        <v>1417</v>
      </c>
    </row>
    <row r="1337">
      <c r="B1337" s="1" t="s">
        <v>2963</v>
      </c>
      <c r="C1337" s="1" t="s">
        <v>813</v>
      </c>
      <c r="D1337" s="1" t="s">
        <v>4378</v>
      </c>
      <c r="E1337" s="1" t="s">
        <v>83</v>
      </c>
      <c r="F1337" s="1" t="s">
        <v>1241</v>
      </c>
      <c r="I1337" s="1" t="s">
        <v>1078</v>
      </c>
      <c r="J1337" s="1" t="s">
        <v>3906</v>
      </c>
    </row>
    <row r="1338">
      <c r="B1338" s="1" t="s">
        <v>4379</v>
      </c>
      <c r="C1338" s="1" t="s">
        <v>3672</v>
      </c>
      <c r="D1338" s="1" t="s">
        <v>2731</v>
      </c>
      <c r="E1338" s="1" t="s">
        <v>2395</v>
      </c>
      <c r="F1338" s="1" t="s">
        <v>2560</v>
      </c>
      <c r="I1338" s="1" t="s">
        <v>3556</v>
      </c>
      <c r="J1338" s="1" t="s">
        <v>3032</v>
      </c>
    </row>
    <row r="1339">
      <c r="B1339" s="1" t="s">
        <v>4380</v>
      </c>
      <c r="C1339" s="1" t="s">
        <v>2699</v>
      </c>
      <c r="D1339" s="1" t="s">
        <v>1281</v>
      </c>
      <c r="E1339" s="1" t="s">
        <v>3453</v>
      </c>
      <c r="F1339" s="1" t="s">
        <v>2563</v>
      </c>
      <c r="I1339" s="1" t="s">
        <v>5916</v>
      </c>
      <c r="J1339" s="1" t="s">
        <v>1422</v>
      </c>
    </row>
    <row r="1340">
      <c r="B1340" s="1" t="s">
        <v>4382</v>
      </c>
      <c r="C1340" s="1" t="s">
        <v>5152</v>
      </c>
      <c r="D1340" s="1" t="s">
        <v>4384</v>
      </c>
      <c r="E1340" s="1" t="s">
        <v>4140</v>
      </c>
      <c r="F1340" s="1" t="s">
        <v>3713</v>
      </c>
      <c r="I1340" s="1" t="s">
        <v>1577</v>
      </c>
      <c r="J1340" s="1" t="s">
        <v>1435</v>
      </c>
    </row>
    <row r="1341">
      <c r="B1341" s="1" t="s">
        <v>4385</v>
      </c>
      <c r="C1341" s="1" t="s">
        <v>888</v>
      </c>
      <c r="D1341" s="1" t="s">
        <v>4388</v>
      </c>
      <c r="E1341" s="1" t="s">
        <v>4138</v>
      </c>
      <c r="F1341" s="1" t="s">
        <v>3711</v>
      </c>
      <c r="I1341" s="1" t="s">
        <v>2463</v>
      </c>
      <c r="J1341" s="1" t="s">
        <v>134</v>
      </c>
    </row>
    <row r="1342">
      <c r="B1342" s="1" t="s">
        <v>3246</v>
      </c>
      <c r="C1342" s="1" t="s">
        <v>1662</v>
      </c>
      <c r="D1342" s="1" t="s">
        <v>2734</v>
      </c>
      <c r="E1342" s="1" t="s">
        <v>2383</v>
      </c>
      <c r="F1342" s="1" t="s">
        <v>2320</v>
      </c>
      <c r="I1342" s="1" t="s">
        <v>3561</v>
      </c>
      <c r="J1342" s="1" t="s">
        <v>4983</v>
      </c>
    </row>
    <row r="1343">
      <c r="B1343" s="1" t="s">
        <v>2970</v>
      </c>
      <c r="C1343" s="1" t="s">
        <v>5154</v>
      </c>
      <c r="D1343" s="1" t="s">
        <v>1929</v>
      </c>
      <c r="E1343" s="1" t="s">
        <v>3460</v>
      </c>
      <c r="F1343" s="1" t="s">
        <v>1252</v>
      </c>
      <c r="I1343" s="1" t="s">
        <v>4232</v>
      </c>
      <c r="J1343" s="1" t="s">
        <v>4985</v>
      </c>
    </row>
    <row r="1344">
      <c r="B1344" s="1" t="s">
        <v>4390</v>
      </c>
      <c r="C1344" s="1" t="s">
        <v>285</v>
      </c>
      <c r="D1344" s="1" t="s">
        <v>4391</v>
      </c>
      <c r="E1344" s="1" t="s">
        <v>4004</v>
      </c>
      <c r="F1344" s="1" t="s">
        <v>6485</v>
      </c>
      <c r="I1344" s="1" t="s">
        <v>603</v>
      </c>
      <c r="J1344" s="1" t="s">
        <v>1106</v>
      </c>
    </row>
    <row r="1345">
      <c r="B1345" s="1" t="s">
        <v>4392</v>
      </c>
      <c r="C1345" s="1" t="s">
        <v>1148</v>
      </c>
      <c r="D1345" s="1" t="s">
        <v>902</v>
      </c>
      <c r="E1345" s="1" t="s">
        <v>3463</v>
      </c>
      <c r="F1345" s="1" t="s">
        <v>2569</v>
      </c>
      <c r="I1345" s="1" t="s">
        <v>6486</v>
      </c>
      <c r="J1345" s="1" t="s">
        <v>5629</v>
      </c>
    </row>
    <row r="1346">
      <c r="B1346" s="1" t="s">
        <v>3250</v>
      </c>
      <c r="C1346" s="1" t="s">
        <v>5157</v>
      </c>
      <c r="D1346" s="1" t="s">
        <v>213</v>
      </c>
      <c r="E1346" s="1" t="s">
        <v>2385</v>
      </c>
      <c r="F1346" s="1" t="s">
        <v>3723</v>
      </c>
      <c r="I1346" s="1" t="s">
        <v>3562</v>
      </c>
      <c r="J1346" s="1" t="s">
        <v>4715</v>
      </c>
    </row>
    <row r="1347">
      <c r="B1347" s="1" t="s">
        <v>919</v>
      </c>
      <c r="C1347" s="1" t="s">
        <v>3223</v>
      </c>
      <c r="D1347" s="1" t="s">
        <v>2636</v>
      </c>
      <c r="E1347" s="1" t="s">
        <v>2388</v>
      </c>
      <c r="F1347" s="1" t="s">
        <v>363</v>
      </c>
      <c r="I1347" s="1" t="s">
        <v>6475</v>
      </c>
      <c r="J1347" s="1" t="s">
        <v>1122</v>
      </c>
    </row>
    <row r="1348">
      <c r="B1348" s="1" t="s">
        <v>925</v>
      </c>
      <c r="C1348" s="1" t="s">
        <v>5159</v>
      </c>
      <c r="D1348" s="1" t="s">
        <v>2642</v>
      </c>
      <c r="E1348" s="1" t="s">
        <v>3466</v>
      </c>
      <c r="F1348" s="1" t="s">
        <v>1260</v>
      </c>
      <c r="I1348" s="1" t="s">
        <v>6487</v>
      </c>
      <c r="J1348" s="1" t="s">
        <v>3957</v>
      </c>
    </row>
    <row r="1349">
      <c r="B1349" s="1" t="s">
        <v>3263</v>
      </c>
      <c r="C1349" s="1" t="s">
        <v>5160</v>
      </c>
      <c r="D1349" s="1" t="s">
        <v>823</v>
      </c>
      <c r="E1349" s="1" t="s">
        <v>6482</v>
      </c>
      <c r="F1349" s="1" t="s">
        <v>2540</v>
      </c>
      <c r="I1349" s="1" t="s">
        <v>2988</v>
      </c>
      <c r="J1349" s="1" t="s">
        <v>5646</v>
      </c>
    </row>
    <row r="1350">
      <c r="B1350" s="1" t="s">
        <v>3267</v>
      </c>
      <c r="C1350" s="1" t="s">
        <v>228</v>
      </c>
      <c r="D1350" s="1" t="s">
        <v>718</v>
      </c>
      <c r="E1350" s="1" t="s">
        <v>3092</v>
      </c>
      <c r="F1350" s="1" t="s">
        <v>1266</v>
      </c>
      <c r="I1350" s="1" t="s">
        <v>4912</v>
      </c>
      <c r="J1350" s="1" t="s">
        <v>4748</v>
      </c>
    </row>
    <row r="1351">
      <c r="B1351" s="1" t="s">
        <v>4395</v>
      </c>
      <c r="C1351" s="1" t="s">
        <v>5163</v>
      </c>
      <c r="D1351" s="1" t="s">
        <v>1980</v>
      </c>
      <c r="E1351" s="1" t="s">
        <v>5234</v>
      </c>
      <c r="F1351" s="1" t="s">
        <v>4219</v>
      </c>
      <c r="I1351" s="1" t="s">
        <v>6488</v>
      </c>
      <c r="J1351" s="1" t="s">
        <v>1831</v>
      </c>
    </row>
    <row r="1352">
      <c r="B1352" s="1" t="s">
        <v>947</v>
      </c>
      <c r="C1352" s="1" t="s">
        <v>5166</v>
      </c>
      <c r="D1352" s="1" t="s">
        <v>4399</v>
      </c>
      <c r="E1352" s="1" t="s">
        <v>658</v>
      </c>
      <c r="F1352" s="1" t="s">
        <v>6489</v>
      </c>
      <c r="I1352" s="1" t="s">
        <v>620</v>
      </c>
      <c r="J1352" s="1" t="s">
        <v>2204</v>
      </c>
    </row>
    <row r="1353">
      <c r="B1353" s="1" t="s">
        <v>2983</v>
      </c>
      <c r="C1353" s="1" t="s">
        <v>1020</v>
      </c>
      <c r="D1353" s="1" t="s">
        <v>4400</v>
      </c>
      <c r="E1353" s="1" t="s">
        <v>2403</v>
      </c>
      <c r="F1353" s="1" t="s">
        <v>4224</v>
      </c>
      <c r="I1353" s="1" t="s">
        <v>848</v>
      </c>
      <c r="J1353" s="1" t="s">
        <v>5034</v>
      </c>
    </row>
    <row r="1354">
      <c r="B1354" s="1" t="s">
        <v>535</v>
      </c>
      <c r="C1354" s="1" t="s">
        <v>4724</v>
      </c>
      <c r="D1354" s="1" t="s">
        <v>4402</v>
      </c>
      <c r="E1354" s="1" t="s">
        <v>706</v>
      </c>
      <c r="F1354" s="1" t="s">
        <v>4228</v>
      </c>
      <c r="I1354" s="1" t="s">
        <v>2774</v>
      </c>
      <c r="J1354" s="1" t="s">
        <v>5039</v>
      </c>
    </row>
    <row r="1355">
      <c r="B1355" s="1" t="s">
        <v>3279</v>
      </c>
      <c r="C1355" s="1" t="s">
        <v>5170</v>
      </c>
      <c r="D1355" s="1" t="s">
        <v>2500</v>
      </c>
      <c r="E1355" s="1" t="s">
        <v>2411</v>
      </c>
      <c r="F1355" s="1" t="s">
        <v>2112</v>
      </c>
      <c r="I1355" s="1" t="s">
        <v>2444</v>
      </c>
      <c r="J1355" s="1" t="s">
        <v>3999</v>
      </c>
    </row>
    <row r="1356">
      <c r="B1356" s="1" t="s">
        <v>4405</v>
      </c>
      <c r="C1356" s="1" t="s">
        <v>706</v>
      </c>
      <c r="D1356" s="1" t="s">
        <v>727</v>
      </c>
      <c r="E1356" s="1" t="s">
        <v>2408</v>
      </c>
      <c r="F1356" s="1" t="s">
        <v>826</v>
      </c>
      <c r="I1356" s="1" t="s">
        <v>4702</v>
      </c>
      <c r="J1356" s="1" t="s">
        <v>4007</v>
      </c>
    </row>
    <row r="1357">
      <c r="B1357" s="1" t="s">
        <v>1132</v>
      </c>
      <c r="C1357" s="1" t="s">
        <v>5173</v>
      </c>
      <c r="D1357" s="1" t="s">
        <v>4408</v>
      </c>
      <c r="E1357" s="1" t="s">
        <v>4171</v>
      </c>
      <c r="F1357" s="1" t="s">
        <v>2580</v>
      </c>
      <c r="I1357" s="1" t="s">
        <v>4794</v>
      </c>
      <c r="J1357" s="1" t="s">
        <v>4013</v>
      </c>
    </row>
    <row r="1358">
      <c r="B1358" s="1" t="s">
        <v>4409</v>
      </c>
      <c r="C1358" s="1" t="s">
        <v>3231</v>
      </c>
      <c r="D1358" s="1" t="s">
        <v>2648</v>
      </c>
      <c r="E1358" s="1" t="s">
        <v>2624</v>
      </c>
      <c r="F1358" s="1" t="s">
        <v>4236</v>
      </c>
      <c r="I1358" s="1" t="s">
        <v>477</v>
      </c>
      <c r="J1358" s="1" t="s">
        <v>1318</v>
      </c>
    </row>
    <row r="1359">
      <c r="B1359" s="1" t="s">
        <v>707</v>
      </c>
      <c r="C1359" s="1" t="s">
        <v>5178</v>
      </c>
      <c r="D1359" s="1" t="s">
        <v>3911</v>
      </c>
      <c r="E1359" s="1" t="s">
        <v>2066</v>
      </c>
      <c r="F1359" s="1" t="s">
        <v>1271</v>
      </c>
      <c r="I1359" s="1" t="s">
        <v>3789</v>
      </c>
      <c r="J1359" s="1" t="s">
        <v>5681</v>
      </c>
    </row>
    <row r="1360">
      <c r="B1360" s="1" t="s">
        <v>2996</v>
      </c>
      <c r="C1360" s="1" t="s">
        <v>873</v>
      </c>
      <c r="D1360" s="1" t="s">
        <v>1781</v>
      </c>
      <c r="E1360" s="1" t="s">
        <v>6490</v>
      </c>
      <c r="F1360" s="1" t="s">
        <v>2586</v>
      </c>
      <c r="I1360" s="1" t="s">
        <v>3927</v>
      </c>
      <c r="J1360" s="1" t="s">
        <v>4025</v>
      </c>
    </row>
    <row r="1361">
      <c r="B1361" s="1" t="s">
        <v>3294</v>
      </c>
      <c r="C1361" s="1" t="s">
        <v>987</v>
      </c>
      <c r="D1361" s="1" t="s">
        <v>2749</v>
      </c>
      <c r="E1361" s="1" t="s">
        <v>4177</v>
      </c>
      <c r="F1361" s="1" t="s">
        <v>2589</v>
      </c>
      <c r="I1361" s="1" t="s">
        <v>1595</v>
      </c>
      <c r="J1361" s="1" t="s">
        <v>1147</v>
      </c>
    </row>
    <row r="1362">
      <c r="B1362" s="1" t="s">
        <v>4417</v>
      </c>
      <c r="C1362" s="1" t="s">
        <v>5180</v>
      </c>
      <c r="D1362" s="1" t="s">
        <v>3915</v>
      </c>
      <c r="E1362" s="1" t="s">
        <v>4038</v>
      </c>
      <c r="F1362" s="1" t="s">
        <v>4406</v>
      </c>
      <c r="I1362" s="1" t="s">
        <v>2449</v>
      </c>
      <c r="J1362" s="1" t="s">
        <v>1503</v>
      </c>
    </row>
    <row r="1363">
      <c r="B1363" s="1" t="s">
        <v>4418</v>
      </c>
      <c r="C1363" s="1" t="s">
        <v>4763</v>
      </c>
      <c r="D1363" s="1" t="s">
        <v>4420</v>
      </c>
      <c r="E1363" s="1" t="s">
        <v>713</v>
      </c>
      <c r="F1363" s="1" t="s">
        <v>2592</v>
      </c>
      <c r="I1363" s="1" t="s">
        <v>6491</v>
      </c>
      <c r="J1363" s="1" t="s">
        <v>5530</v>
      </c>
    </row>
    <row r="1364">
      <c r="B1364" s="1" t="s">
        <v>1772</v>
      </c>
      <c r="C1364" s="1" t="s">
        <v>5184</v>
      </c>
      <c r="D1364" s="1" t="s">
        <v>3920</v>
      </c>
      <c r="E1364" s="1" t="s">
        <v>4045</v>
      </c>
      <c r="F1364" s="1" t="s">
        <v>1958</v>
      </c>
      <c r="I1364" s="1" t="s">
        <v>1776</v>
      </c>
      <c r="J1364" s="1" t="s">
        <v>3428</v>
      </c>
    </row>
    <row r="1365">
      <c r="B1365" s="1" t="s">
        <v>4422</v>
      </c>
      <c r="C1365" s="1" t="s">
        <v>2778</v>
      </c>
      <c r="D1365" s="1" t="s">
        <v>2652</v>
      </c>
      <c r="E1365" s="1" t="s">
        <v>4043</v>
      </c>
      <c r="F1365" s="1" t="s">
        <v>1278</v>
      </c>
      <c r="I1365" s="1" t="s">
        <v>874</v>
      </c>
      <c r="J1365" s="1" t="s">
        <v>4037</v>
      </c>
    </row>
    <row r="1366">
      <c r="B1366" s="1" t="s">
        <v>3307</v>
      </c>
      <c r="C1366" s="1" t="s">
        <v>5188</v>
      </c>
      <c r="D1366" s="1" t="s">
        <v>2751</v>
      </c>
      <c r="E1366" s="1" t="s">
        <v>1151</v>
      </c>
      <c r="F1366" s="1" t="s">
        <v>1285</v>
      </c>
      <c r="I1366" s="1" t="s">
        <v>6492</v>
      </c>
      <c r="J1366" s="1" t="s">
        <v>3613</v>
      </c>
    </row>
    <row r="1367">
      <c r="B1367" s="1" t="s">
        <v>940</v>
      </c>
      <c r="C1367" s="1" t="s">
        <v>2554</v>
      </c>
      <c r="D1367" s="1" t="s">
        <v>2753</v>
      </c>
      <c r="E1367" s="1" t="s">
        <v>1632</v>
      </c>
      <c r="F1367" s="1" t="s">
        <v>2140</v>
      </c>
      <c r="I1367" s="1" t="s">
        <v>3597</v>
      </c>
      <c r="J1367" s="1" t="s">
        <v>4042</v>
      </c>
    </row>
    <row r="1368">
      <c r="B1368" s="1" t="s">
        <v>1784</v>
      </c>
      <c r="C1368" s="1" t="s">
        <v>5191</v>
      </c>
      <c r="D1368" s="1" t="s">
        <v>3929</v>
      </c>
      <c r="E1368" s="1" t="s">
        <v>81</v>
      </c>
      <c r="F1368" s="1" t="s">
        <v>2762</v>
      </c>
      <c r="I1368" s="1" t="s">
        <v>4106</v>
      </c>
      <c r="J1368" s="1" t="s">
        <v>5706</v>
      </c>
    </row>
    <row r="1369">
      <c r="B1369" s="1" t="s">
        <v>4426</v>
      </c>
      <c r="C1369" s="1" t="s">
        <v>4169</v>
      </c>
      <c r="D1369" s="1" t="s">
        <v>4428</v>
      </c>
      <c r="E1369" s="1" t="s">
        <v>1857</v>
      </c>
      <c r="F1369" s="1" t="s">
        <v>3752</v>
      </c>
      <c r="I1369" s="1" t="s">
        <v>1169</v>
      </c>
      <c r="J1369" s="1">
        <v>83.0</v>
      </c>
    </row>
    <row r="1370">
      <c r="B1370" s="1" t="s">
        <v>2340</v>
      </c>
      <c r="C1370" s="1" t="s">
        <v>5196</v>
      </c>
      <c r="D1370" s="1" t="s">
        <v>4432</v>
      </c>
      <c r="E1370" s="1" t="s">
        <v>6483</v>
      </c>
      <c r="F1370" s="1" t="s">
        <v>2549</v>
      </c>
      <c r="I1370" s="1" t="s">
        <v>3603</v>
      </c>
      <c r="J1370" s="1" t="s">
        <v>5756</v>
      </c>
    </row>
    <row r="1371">
      <c r="B1371" s="1" t="s">
        <v>948</v>
      </c>
      <c r="C1371" s="1" t="s">
        <v>5198</v>
      </c>
      <c r="D1371" s="1" t="s">
        <v>2759</v>
      </c>
      <c r="E1371" s="1" t="s">
        <v>6463</v>
      </c>
      <c r="F1371" s="1" t="s">
        <v>834</v>
      </c>
      <c r="I1371" s="1" t="s">
        <v>2098</v>
      </c>
      <c r="J1371" s="1" t="s">
        <v>3437</v>
      </c>
    </row>
    <row r="1372">
      <c r="B1372" s="1" t="s">
        <v>4434</v>
      </c>
      <c r="C1372" s="1" t="s">
        <v>4710</v>
      </c>
      <c r="D1372" s="1" t="s">
        <v>2764</v>
      </c>
      <c r="E1372" s="1" t="s">
        <v>2419</v>
      </c>
      <c r="F1372" s="1" t="s">
        <v>4256</v>
      </c>
      <c r="I1372" s="1" t="s">
        <v>4108</v>
      </c>
      <c r="J1372" s="1" t="s">
        <v>4050</v>
      </c>
    </row>
    <row r="1373">
      <c r="B1373" s="1" t="s">
        <v>1798</v>
      </c>
      <c r="C1373" s="1" t="s">
        <v>782</v>
      </c>
      <c r="D1373" s="1" t="s">
        <v>734</v>
      </c>
      <c r="E1373" s="1" t="s">
        <v>3150</v>
      </c>
      <c r="F1373" s="1" t="s">
        <v>2602</v>
      </c>
      <c r="I1373" s="1" t="s">
        <v>2489</v>
      </c>
      <c r="J1373" s="1" t="s">
        <v>4984</v>
      </c>
    </row>
    <row r="1374">
      <c r="B1374" s="1" t="s">
        <v>4436</v>
      </c>
      <c r="C1374" s="1" t="s">
        <v>5205</v>
      </c>
      <c r="D1374" s="1" t="s">
        <v>4437</v>
      </c>
      <c r="E1374" s="1" t="s">
        <v>4051</v>
      </c>
      <c r="F1374" s="1" t="s">
        <v>2605</v>
      </c>
      <c r="I1374" s="1" t="s">
        <v>2080</v>
      </c>
      <c r="J1374" s="1" t="s">
        <v>5100</v>
      </c>
    </row>
    <row r="1375">
      <c r="B1375" s="1" t="s">
        <v>4438</v>
      </c>
      <c r="C1375" s="1" t="s">
        <v>5206</v>
      </c>
      <c r="D1375" s="1" t="s">
        <v>2769</v>
      </c>
      <c r="E1375" s="1" t="s">
        <v>4147</v>
      </c>
      <c r="F1375" s="1" t="s">
        <v>3757</v>
      </c>
      <c r="I1375" s="1" t="s">
        <v>3675</v>
      </c>
      <c r="J1375" s="1" t="s">
        <v>4058</v>
      </c>
    </row>
    <row r="1376">
      <c r="B1376" s="1" t="s">
        <v>3335</v>
      </c>
      <c r="C1376" s="1" t="s">
        <v>5210</v>
      </c>
      <c r="D1376" s="1" t="s">
        <v>2772</v>
      </c>
      <c r="E1376" s="1" t="s">
        <v>2454</v>
      </c>
      <c r="F1376" s="1" t="s">
        <v>5568</v>
      </c>
      <c r="I1376" s="1" t="s">
        <v>3605</v>
      </c>
      <c r="J1376" s="1" t="s">
        <v>1516</v>
      </c>
    </row>
    <row r="1377">
      <c r="B1377" s="1" t="s">
        <v>4441</v>
      </c>
      <c r="C1377" s="1" t="s">
        <v>1076</v>
      </c>
      <c r="D1377" s="1" t="s">
        <v>2775</v>
      </c>
      <c r="E1377" s="1" t="s">
        <v>721</v>
      </c>
      <c r="F1377" s="1" t="s">
        <v>4444</v>
      </c>
      <c r="I1377" s="1" t="s">
        <v>1420</v>
      </c>
      <c r="J1377" s="1" t="s">
        <v>4065</v>
      </c>
    </row>
    <row r="1378">
      <c r="B1378" s="1" t="s">
        <v>1810</v>
      </c>
      <c r="C1378" s="1" t="s">
        <v>636</v>
      </c>
      <c r="D1378" s="1" t="s">
        <v>3943</v>
      </c>
      <c r="E1378" s="1" t="s">
        <v>2421</v>
      </c>
      <c r="F1378" s="1" t="s">
        <v>2554</v>
      </c>
      <c r="I1378" s="1" t="s">
        <v>3905</v>
      </c>
      <c r="J1378" s="1" t="s">
        <v>5110</v>
      </c>
    </row>
    <row r="1379">
      <c r="B1379" s="1" t="s">
        <v>3016</v>
      </c>
      <c r="C1379" s="1" t="s">
        <v>4210</v>
      </c>
      <c r="D1379" s="1" t="s">
        <v>744</v>
      </c>
      <c r="E1379" s="1" t="s">
        <v>4059</v>
      </c>
      <c r="F1379" s="1" t="s">
        <v>3764</v>
      </c>
      <c r="I1379" s="1" t="s">
        <v>6478</v>
      </c>
      <c r="J1379" s="1" t="s">
        <v>4072</v>
      </c>
    </row>
    <row r="1380">
      <c r="B1380" s="1" t="s">
        <v>4447</v>
      </c>
      <c r="C1380" s="1" t="s">
        <v>301</v>
      </c>
      <c r="D1380" s="1" t="s">
        <v>3947</v>
      </c>
      <c r="E1380" s="1" t="s">
        <v>2443</v>
      </c>
      <c r="F1380" s="1" t="s">
        <v>671</v>
      </c>
      <c r="I1380" s="1" t="s">
        <v>3392</v>
      </c>
      <c r="J1380" s="1" t="s">
        <v>390</v>
      </c>
    </row>
    <row r="1381">
      <c r="B1381" s="1" t="s">
        <v>3019</v>
      </c>
      <c r="C1381" s="1" t="s">
        <v>5217</v>
      </c>
      <c r="D1381" s="1" t="s">
        <v>4272</v>
      </c>
      <c r="E1381" s="1" t="s">
        <v>3535</v>
      </c>
      <c r="F1381" s="1" t="s">
        <v>2614</v>
      </c>
      <c r="I1381" s="1" t="s">
        <v>2473</v>
      </c>
      <c r="J1381" s="1" t="s">
        <v>1523</v>
      </c>
    </row>
    <row r="1382">
      <c r="B1382" s="1" t="s">
        <v>3342</v>
      </c>
      <c r="C1382" s="1" t="s">
        <v>5218</v>
      </c>
      <c r="D1382" s="1" t="s">
        <v>3951</v>
      </c>
      <c r="E1382" s="1" t="s">
        <v>1424</v>
      </c>
      <c r="F1382" s="1" t="s">
        <v>4884</v>
      </c>
      <c r="I1382" s="1" t="s">
        <v>2471</v>
      </c>
      <c r="J1382" s="1" t="s">
        <v>409</v>
      </c>
    </row>
    <row r="1383">
      <c r="B1383" s="1" t="s">
        <v>3345</v>
      </c>
      <c r="C1383" s="1" t="s">
        <v>5220</v>
      </c>
      <c r="D1383" s="1" t="s">
        <v>3955</v>
      </c>
      <c r="E1383" s="1" t="s">
        <v>3888</v>
      </c>
      <c r="F1383" s="1" t="s">
        <v>840</v>
      </c>
      <c r="I1383" s="1" t="s">
        <v>3269</v>
      </c>
      <c r="J1383" s="1" t="s">
        <v>2280</v>
      </c>
    </row>
    <row r="1384">
      <c r="B1384" s="1" t="s">
        <v>3351</v>
      </c>
      <c r="C1384" s="1" t="s">
        <v>1634</v>
      </c>
      <c r="D1384" s="1" t="s">
        <v>753</v>
      </c>
      <c r="E1384" s="1" t="s">
        <v>3586</v>
      </c>
      <c r="F1384" s="1" t="s">
        <v>846</v>
      </c>
      <c r="I1384" s="1" t="s">
        <v>3739</v>
      </c>
      <c r="J1384" s="1" t="s">
        <v>3503</v>
      </c>
    </row>
    <row r="1385">
      <c r="B1385" s="1" t="s">
        <v>766</v>
      </c>
      <c r="C1385" s="1" t="s">
        <v>4752</v>
      </c>
      <c r="D1385" s="1" t="s">
        <v>4455</v>
      </c>
      <c r="E1385" s="1" t="s">
        <v>3541</v>
      </c>
      <c r="F1385" s="1" t="s">
        <v>3781</v>
      </c>
      <c r="I1385" s="1" t="s">
        <v>924</v>
      </c>
      <c r="J1385" s="1" t="s">
        <v>4383</v>
      </c>
    </row>
    <row r="1386">
      <c r="B1386" s="1" t="s">
        <v>279</v>
      </c>
      <c r="C1386" s="1" t="s">
        <v>5228</v>
      </c>
      <c r="D1386" s="1" t="s">
        <v>2783</v>
      </c>
      <c r="E1386" s="1" t="s">
        <v>4206</v>
      </c>
      <c r="F1386" s="1" t="s">
        <v>676</v>
      </c>
      <c r="I1386" s="1" t="s">
        <v>1201</v>
      </c>
      <c r="J1386" s="1" t="s">
        <v>3506</v>
      </c>
    </row>
    <row r="1387">
      <c r="B1387" s="1">
        <v>15.0</v>
      </c>
      <c r="C1387" s="1" t="s">
        <v>5231</v>
      </c>
      <c r="D1387" s="1" t="s">
        <v>2787</v>
      </c>
      <c r="E1387" s="1" t="s">
        <v>6389</v>
      </c>
      <c r="F1387" s="1" t="s">
        <v>3786</v>
      </c>
      <c r="I1387" s="1" t="s">
        <v>6493</v>
      </c>
      <c r="J1387" s="1" t="s">
        <v>3854</v>
      </c>
    </row>
    <row r="1388">
      <c r="B1388" s="1" t="s">
        <v>4458</v>
      </c>
      <c r="C1388" s="1" t="s">
        <v>4827</v>
      </c>
      <c r="D1388" s="1" t="s">
        <v>3966</v>
      </c>
      <c r="E1388" s="1" t="s">
        <v>2453</v>
      </c>
      <c r="F1388" s="1" t="s">
        <v>2625</v>
      </c>
      <c r="I1388" s="1" t="s">
        <v>6480</v>
      </c>
      <c r="J1388" s="1" t="s">
        <v>4135</v>
      </c>
    </row>
    <row r="1389">
      <c r="B1389" s="1" t="s">
        <v>3358</v>
      </c>
      <c r="C1389" s="1" t="s">
        <v>5212</v>
      </c>
      <c r="D1389" s="1" t="s">
        <v>762</v>
      </c>
      <c r="E1389" s="1" t="s">
        <v>2432</v>
      </c>
      <c r="F1389" s="1" t="s">
        <v>6494</v>
      </c>
      <c r="I1389" s="1" t="s">
        <v>3313</v>
      </c>
      <c r="J1389" s="1" t="s">
        <v>5158</v>
      </c>
    </row>
    <row r="1390">
      <c r="B1390" s="1" t="s">
        <v>3355</v>
      </c>
      <c r="C1390" s="1" t="s">
        <v>5235</v>
      </c>
      <c r="D1390" s="1" t="s">
        <v>771</v>
      </c>
      <c r="E1390" s="1" t="s">
        <v>837</v>
      </c>
      <c r="F1390" s="1" t="s">
        <v>589</v>
      </c>
      <c r="I1390" s="1" t="s">
        <v>2393</v>
      </c>
      <c r="J1390" s="1" t="s">
        <v>1224</v>
      </c>
    </row>
    <row r="1391">
      <c r="B1391" s="1" t="s">
        <v>4394</v>
      </c>
      <c r="C1391" s="1" t="s">
        <v>3465</v>
      </c>
      <c r="D1391" s="1" t="s">
        <v>3974</v>
      </c>
      <c r="E1391" s="1" t="s">
        <v>246</v>
      </c>
      <c r="F1391" s="1" t="s">
        <v>2289</v>
      </c>
      <c r="I1391" s="1" t="s">
        <v>6481</v>
      </c>
      <c r="J1391" s="1" t="s">
        <v>1558</v>
      </c>
    </row>
    <row r="1392">
      <c r="B1392" s="1" t="s">
        <v>1822</v>
      </c>
      <c r="C1392" s="1" t="s">
        <v>4218</v>
      </c>
      <c r="D1392" s="1" t="s">
        <v>4463</v>
      </c>
      <c r="E1392" s="1" t="s">
        <v>137</v>
      </c>
      <c r="F1392" s="1" t="s">
        <v>2564</v>
      </c>
      <c r="I1392" s="1" t="s">
        <v>6495</v>
      </c>
      <c r="J1392" s="1" t="s">
        <v>6496</v>
      </c>
    </row>
    <row r="1393">
      <c r="B1393" s="1" t="s">
        <v>686</v>
      </c>
      <c r="C1393" s="1" t="s">
        <v>3744</v>
      </c>
      <c r="D1393" s="1" t="s">
        <v>2673</v>
      </c>
      <c r="E1393" s="1" t="s">
        <v>4029</v>
      </c>
      <c r="F1393" s="1" t="s">
        <v>5116</v>
      </c>
      <c r="I1393" s="1" t="s">
        <v>2483</v>
      </c>
      <c r="J1393" s="1" t="s">
        <v>3528</v>
      </c>
    </row>
    <row r="1394">
      <c r="B1394" s="1" t="s">
        <v>4466</v>
      </c>
      <c r="C1394" s="1" t="s">
        <v>3505</v>
      </c>
      <c r="D1394" s="1" t="s">
        <v>778</v>
      </c>
      <c r="E1394" s="1" t="s">
        <v>1078</v>
      </c>
      <c r="F1394" s="1" t="s">
        <v>6497</v>
      </c>
      <c r="I1394" s="1" t="s">
        <v>4207</v>
      </c>
      <c r="J1394" s="1" t="s">
        <v>5177</v>
      </c>
    </row>
    <row r="1395">
      <c r="B1395" s="1" t="s">
        <v>1130</v>
      </c>
      <c r="C1395" s="1" t="s">
        <v>361</v>
      </c>
      <c r="D1395" s="1" t="s">
        <v>2676</v>
      </c>
      <c r="E1395" s="1" t="s">
        <v>3556</v>
      </c>
      <c r="F1395" s="1" t="s">
        <v>3402</v>
      </c>
      <c r="I1395" s="1" t="s">
        <v>4292</v>
      </c>
      <c r="J1395" s="1" t="s">
        <v>5181</v>
      </c>
    </row>
    <row r="1396">
      <c r="B1396" s="1" t="s">
        <v>3372</v>
      </c>
      <c r="C1396" s="1" t="s">
        <v>3973</v>
      </c>
      <c r="D1396" s="1" t="s">
        <v>2801</v>
      </c>
      <c r="E1396" s="1" t="s">
        <v>5916</v>
      </c>
      <c r="F1396" s="1" t="s">
        <v>2435</v>
      </c>
      <c r="I1396" s="1" t="s">
        <v>733</v>
      </c>
      <c r="J1396" s="1" t="s">
        <v>1945</v>
      </c>
    </row>
    <row r="1397">
      <c r="B1397" s="1" t="s">
        <v>3380</v>
      </c>
      <c r="C1397" s="1" t="s">
        <v>5247</v>
      </c>
      <c r="D1397" s="1" t="s">
        <v>3980</v>
      </c>
      <c r="E1397" s="1" t="s">
        <v>1577</v>
      </c>
      <c r="F1397" s="1" t="s">
        <v>2571</v>
      </c>
      <c r="I1397" s="1" t="s">
        <v>2490</v>
      </c>
      <c r="J1397" s="1" t="s">
        <v>1277</v>
      </c>
    </row>
    <row r="1398">
      <c r="B1398" s="1" t="s">
        <v>1262</v>
      </c>
      <c r="C1398" s="1" t="s">
        <v>4498</v>
      </c>
      <c r="D1398" s="1" t="s">
        <v>294</v>
      </c>
      <c r="E1398" s="1" t="s">
        <v>2463</v>
      </c>
      <c r="F1398" s="1" t="s">
        <v>667</v>
      </c>
      <c r="I1398" s="1" t="s">
        <v>6498</v>
      </c>
      <c r="J1398" s="1" t="s">
        <v>5197</v>
      </c>
    </row>
    <row r="1399">
      <c r="B1399" s="1" t="s">
        <v>3385</v>
      </c>
      <c r="C1399" s="1" t="s">
        <v>5248</v>
      </c>
      <c r="D1399" s="1" t="s">
        <v>2804</v>
      </c>
      <c r="E1399" s="1" t="s">
        <v>3561</v>
      </c>
      <c r="F1399" s="1" t="s">
        <v>2576</v>
      </c>
      <c r="I1399" s="1" t="s">
        <v>1205</v>
      </c>
      <c r="J1399" s="1" t="s">
        <v>675</v>
      </c>
    </row>
    <row r="1400">
      <c r="B1400" s="1" t="s">
        <v>4472</v>
      </c>
      <c r="C1400" s="1" t="s">
        <v>5250</v>
      </c>
      <c r="D1400" s="1" t="s">
        <v>2807</v>
      </c>
      <c r="E1400" s="1" t="s">
        <v>2741</v>
      </c>
      <c r="F1400" s="1" t="s">
        <v>4279</v>
      </c>
      <c r="I1400" s="1" t="s">
        <v>4299</v>
      </c>
      <c r="J1400" s="1" t="s">
        <v>4185</v>
      </c>
    </row>
    <row r="1401">
      <c r="B1401" s="1" t="s">
        <v>964</v>
      </c>
      <c r="C1401" s="1" t="s">
        <v>3602</v>
      </c>
      <c r="D1401" s="1" t="s">
        <v>2680</v>
      </c>
      <c r="E1401" s="1" t="s">
        <v>4232</v>
      </c>
      <c r="F1401" s="1" t="s">
        <v>866</v>
      </c>
      <c r="I1401" s="1" t="s">
        <v>4307</v>
      </c>
      <c r="J1401" s="1" t="s">
        <v>994</v>
      </c>
    </row>
    <row r="1402">
      <c r="B1402" s="1" t="s">
        <v>3391</v>
      </c>
      <c r="C1402" s="1" t="s">
        <v>5253</v>
      </c>
      <c r="D1402" s="1" t="s">
        <v>3990</v>
      </c>
      <c r="E1402" s="1" t="s">
        <v>2437</v>
      </c>
      <c r="F1402" s="1" t="s">
        <v>873</v>
      </c>
      <c r="I1402" s="1" t="s">
        <v>2180</v>
      </c>
      <c r="J1402" s="1" t="s">
        <v>5222</v>
      </c>
    </row>
    <row r="1403">
      <c r="B1403" s="1" t="s">
        <v>3039</v>
      </c>
      <c r="C1403" s="1" t="s">
        <v>2052</v>
      </c>
      <c r="D1403" s="1" t="s">
        <v>1591</v>
      </c>
      <c r="E1403" s="1" t="s">
        <v>603</v>
      </c>
      <c r="F1403" s="1" t="s">
        <v>4488</v>
      </c>
      <c r="I1403" s="1" t="s">
        <v>6499</v>
      </c>
      <c r="J1403" s="1" t="s">
        <v>1073</v>
      </c>
    </row>
    <row r="1404">
      <c r="B1404" s="1" t="s">
        <v>1835</v>
      </c>
      <c r="C1404" s="1" t="s">
        <v>4680</v>
      </c>
      <c r="D1404" s="1" t="s">
        <v>4477</v>
      </c>
      <c r="E1404" s="1" t="s">
        <v>680</v>
      </c>
      <c r="F1404" s="1" t="s">
        <v>3816</v>
      </c>
      <c r="I1404" s="1" t="s">
        <v>6393</v>
      </c>
      <c r="J1404" s="1" t="s">
        <v>5233</v>
      </c>
    </row>
    <row r="1405">
      <c r="B1405" s="1" t="s">
        <v>1841</v>
      </c>
      <c r="C1405" s="1" t="s">
        <v>4166</v>
      </c>
      <c r="D1405" s="1" t="s">
        <v>3413</v>
      </c>
      <c r="E1405" s="1" t="s">
        <v>6486</v>
      </c>
      <c r="F1405" s="1" t="s">
        <v>6406</v>
      </c>
      <c r="I1405" s="1" t="s">
        <v>4311</v>
      </c>
      <c r="J1405" s="1" t="s">
        <v>1173</v>
      </c>
    </row>
    <row r="1406">
      <c r="B1406" s="1" t="s">
        <v>3403</v>
      </c>
      <c r="C1406" s="1" t="s">
        <v>3898</v>
      </c>
      <c r="D1406" s="1" t="s">
        <v>2811</v>
      </c>
      <c r="E1406" s="1" t="s">
        <v>3562</v>
      </c>
      <c r="F1406" s="1" t="s">
        <v>2579</v>
      </c>
      <c r="I1406" s="1" t="s">
        <v>4146</v>
      </c>
      <c r="J1406" s="1" t="s">
        <v>3574</v>
      </c>
    </row>
    <row r="1407">
      <c r="B1407" s="1" t="s">
        <v>4480</v>
      </c>
      <c r="C1407" s="1" t="s">
        <v>3130</v>
      </c>
      <c r="D1407" s="1" t="s">
        <v>4000</v>
      </c>
      <c r="E1407" s="1" t="s">
        <v>6475</v>
      </c>
      <c r="F1407" s="1" t="s">
        <v>4284</v>
      </c>
      <c r="I1407" s="1" t="s">
        <v>2493</v>
      </c>
      <c r="J1407" s="1" t="s">
        <v>5714</v>
      </c>
    </row>
    <row r="1408">
      <c r="B1408" s="1" t="s">
        <v>187</v>
      </c>
      <c r="C1408" s="1" t="s">
        <v>2569</v>
      </c>
      <c r="D1408" s="1" t="s">
        <v>2816</v>
      </c>
      <c r="E1408" s="1" t="s">
        <v>612</v>
      </c>
      <c r="F1408" s="1" t="s">
        <v>4288</v>
      </c>
      <c r="I1408" s="1" t="s">
        <v>4150</v>
      </c>
      <c r="J1408" s="1" t="s">
        <v>4523</v>
      </c>
    </row>
    <row r="1409">
      <c r="B1409" s="1" t="s">
        <v>3406</v>
      </c>
      <c r="C1409" s="1" t="s">
        <v>2518</v>
      </c>
      <c r="D1409" s="1" t="s">
        <v>2819</v>
      </c>
      <c r="E1409" s="1" t="s">
        <v>6487</v>
      </c>
      <c r="F1409" s="1" t="s">
        <v>880</v>
      </c>
      <c r="I1409" s="1" t="s">
        <v>3760</v>
      </c>
      <c r="J1409" s="1" t="s">
        <v>969</v>
      </c>
    </row>
    <row r="1410">
      <c r="B1410" s="1" t="s">
        <v>3043</v>
      </c>
      <c r="C1410" s="1" t="s">
        <v>5257</v>
      </c>
      <c r="D1410" s="1" t="s">
        <v>4485</v>
      </c>
      <c r="E1410" s="1" t="s">
        <v>2988</v>
      </c>
      <c r="F1410" s="1" t="s">
        <v>3821</v>
      </c>
      <c r="I1410" s="1" t="s">
        <v>2524</v>
      </c>
      <c r="J1410" s="1" t="s">
        <v>5256</v>
      </c>
    </row>
    <row r="1411">
      <c r="B1411" s="1" t="s">
        <v>1136</v>
      </c>
      <c r="C1411" s="1" t="s">
        <v>4558</v>
      </c>
      <c r="D1411" s="1" t="s">
        <v>4008</v>
      </c>
      <c r="E1411" s="1" t="s">
        <v>3582</v>
      </c>
      <c r="F1411" s="1" t="s">
        <v>1316</v>
      </c>
      <c r="I1411" s="1" t="s">
        <v>4315</v>
      </c>
      <c r="J1411" s="1" t="s">
        <v>5258</v>
      </c>
    </row>
    <row r="1412">
      <c r="B1412" s="1" t="s">
        <v>608</v>
      </c>
      <c r="C1412" s="1" t="s">
        <v>1796</v>
      </c>
      <c r="D1412" s="1" t="s">
        <v>777</v>
      </c>
      <c r="E1412" s="1" t="s">
        <v>4912</v>
      </c>
      <c r="F1412" s="1" t="s">
        <v>1308</v>
      </c>
      <c r="I1412" s="1" t="s">
        <v>4153</v>
      </c>
      <c r="J1412" s="1" t="s">
        <v>4220</v>
      </c>
    </row>
    <row r="1413">
      <c r="B1413" s="1" t="s">
        <v>4490</v>
      </c>
      <c r="C1413" s="1" t="s">
        <v>3638</v>
      </c>
      <c r="D1413" s="1" t="s">
        <v>921</v>
      </c>
      <c r="E1413" s="1" t="s">
        <v>4093</v>
      </c>
      <c r="F1413" s="1" t="s">
        <v>2584</v>
      </c>
      <c r="I1413" s="1" t="s">
        <v>4163</v>
      </c>
      <c r="J1413" s="1" t="s">
        <v>3595</v>
      </c>
    </row>
    <row r="1414">
      <c r="B1414" s="1" t="s">
        <v>521</v>
      </c>
      <c r="C1414" s="1" t="s">
        <v>5261</v>
      </c>
      <c r="D1414" s="1" t="s">
        <v>1426</v>
      </c>
      <c r="E1414" s="1" t="s">
        <v>6488</v>
      </c>
      <c r="F1414" s="1" t="s">
        <v>6500</v>
      </c>
      <c r="I1414" s="1" t="s">
        <v>4178</v>
      </c>
      <c r="J1414" s="1" t="s">
        <v>2416</v>
      </c>
    </row>
    <row r="1415">
      <c r="B1415" s="1" t="s">
        <v>1142</v>
      </c>
      <c r="C1415" s="1" t="s">
        <v>5262</v>
      </c>
      <c r="D1415" s="1" t="s">
        <v>4018</v>
      </c>
      <c r="E1415" s="1" t="s">
        <v>2572</v>
      </c>
      <c r="F1415" s="1" t="s">
        <v>5184</v>
      </c>
      <c r="I1415" s="1" t="s">
        <v>4407</v>
      </c>
      <c r="J1415" s="1" t="s">
        <v>4229</v>
      </c>
    </row>
    <row r="1416">
      <c r="B1416" s="1" t="s">
        <v>3047</v>
      </c>
      <c r="C1416" s="1" t="s">
        <v>3573</v>
      </c>
      <c r="D1416" s="1" t="s">
        <v>1111</v>
      </c>
      <c r="E1416" s="1" t="s">
        <v>620</v>
      </c>
      <c r="F1416" s="1" t="s">
        <v>2656</v>
      </c>
      <c r="I1416" s="1" t="s">
        <v>2538</v>
      </c>
      <c r="J1416" s="1" t="s">
        <v>5853</v>
      </c>
    </row>
    <row r="1417">
      <c r="B1417" s="1" t="s">
        <v>3414</v>
      </c>
      <c r="C1417" s="1" t="s">
        <v>1951</v>
      </c>
      <c r="D1417" s="1" t="s">
        <v>2089</v>
      </c>
      <c r="E1417" s="1" t="s">
        <v>848</v>
      </c>
      <c r="F1417" s="1" t="s">
        <v>1321</v>
      </c>
      <c r="I1417" s="1" t="s">
        <v>4165</v>
      </c>
      <c r="J1417" s="1" t="s">
        <v>362</v>
      </c>
    </row>
    <row r="1418">
      <c r="B1418" s="1" t="s">
        <v>4495</v>
      </c>
      <c r="C1418" s="1" t="s">
        <v>4402</v>
      </c>
      <c r="D1418" s="1" t="s">
        <v>4497</v>
      </c>
      <c r="E1418" s="1" t="s">
        <v>2774</v>
      </c>
      <c r="F1418" s="1" t="s">
        <v>4506</v>
      </c>
      <c r="I1418" s="1" t="s">
        <v>4168</v>
      </c>
      <c r="J1418" s="1" t="s">
        <v>5742</v>
      </c>
    </row>
    <row r="1419">
      <c r="B1419" s="1" t="s">
        <v>4498</v>
      </c>
      <c r="C1419" s="1" t="s">
        <v>4414</v>
      </c>
      <c r="D1419" s="1" t="s">
        <v>2688</v>
      </c>
      <c r="E1419" s="1" t="s">
        <v>2444</v>
      </c>
      <c r="F1419" s="1" t="s">
        <v>6501</v>
      </c>
      <c r="I1419" s="1" t="s">
        <v>4172</v>
      </c>
      <c r="J1419" s="1" t="s">
        <v>4439</v>
      </c>
    </row>
    <row r="1420">
      <c r="B1420" s="1" t="s">
        <v>956</v>
      </c>
      <c r="C1420" s="1" t="s">
        <v>3714</v>
      </c>
      <c r="D1420" s="1" t="s">
        <v>4500</v>
      </c>
      <c r="E1420" s="1" t="s">
        <v>4702</v>
      </c>
      <c r="F1420" s="1" t="s">
        <v>4503</v>
      </c>
      <c r="I1420" s="1" t="s">
        <v>5252</v>
      </c>
      <c r="J1420" s="1" t="s">
        <v>4246</v>
      </c>
    </row>
    <row r="1421">
      <c r="B1421" s="1" t="s">
        <v>3050</v>
      </c>
      <c r="C1421" s="1" t="s">
        <v>3705</v>
      </c>
      <c r="D1421" s="1" t="s">
        <v>786</v>
      </c>
      <c r="E1421" s="1" t="s">
        <v>4794</v>
      </c>
      <c r="F1421" s="1" t="s">
        <v>2660</v>
      </c>
      <c r="I1421" s="1" t="s">
        <v>6502</v>
      </c>
      <c r="J1421" s="1" t="s">
        <v>3607</v>
      </c>
    </row>
    <row r="1422">
      <c r="B1422" s="1" t="s">
        <v>1852</v>
      </c>
      <c r="C1422" s="1" t="s">
        <v>1099</v>
      </c>
      <c r="D1422" s="1" t="s">
        <v>793</v>
      </c>
      <c r="E1422" s="1" t="s">
        <v>477</v>
      </c>
      <c r="F1422" s="1" t="s">
        <v>6503</v>
      </c>
      <c r="I1422" s="1" t="s">
        <v>6394</v>
      </c>
      <c r="J1422" s="1" t="s">
        <v>1351</v>
      </c>
    </row>
    <row r="1423">
      <c r="B1423" s="1" t="s">
        <v>4505</v>
      </c>
      <c r="C1423" s="1" t="s">
        <v>5169</v>
      </c>
      <c r="D1423" s="1" t="s">
        <v>801</v>
      </c>
      <c r="E1423" s="1" t="s">
        <v>3789</v>
      </c>
      <c r="F1423" s="1" t="s">
        <v>730</v>
      </c>
      <c r="I1423" s="1" t="s">
        <v>4651</v>
      </c>
      <c r="J1423" s="1" t="s">
        <v>1624</v>
      </c>
    </row>
    <row r="1424">
      <c r="B1424" s="1" t="s">
        <v>4508</v>
      </c>
      <c r="C1424" s="1" t="s">
        <v>4487</v>
      </c>
      <c r="D1424" s="1" t="s">
        <v>2503</v>
      </c>
      <c r="E1424" s="1" t="s">
        <v>3927</v>
      </c>
      <c r="F1424" s="1" t="s">
        <v>4305</v>
      </c>
      <c r="I1424" s="1" t="s">
        <v>2259</v>
      </c>
      <c r="J1424" s="1" t="s">
        <v>2470</v>
      </c>
    </row>
    <row r="1425">
      <c r="B1425" s="1" t="s">
        <v>1159</v>
      </c>
      <c r="C1425" s="1" t="s">
        <v>2747</v>
      </c>
      <c r="D1425" s="1" t="s">
        <v>2831</v>
      </c>
      <c r="E1425" s="1" t="s">
        <v>1595</v>
      </c>
      <c r="F1425" s="1" t="s">
        <v>2027</v>
      </c>
      <c r="I1425" s="1" t="s">
        <v>6504</v>
      </c>
      <c r="J1425" s="1" t="s">
        <v>3624</v>
      </c>
    </row>
    <row r="1426">
      <c r="B1426" s="1" t="s">
        <v>3053</v>
      </c>
      <c r="C1426" s="1" t="s">
        <v>4543</v>
      </c>
      <c r="D1426" s="1" t="s">
        <v>934</v>
      </c>
      <c r="E1426" s="1" t="s">
        <v>2449</v>
      </c>
      <c r="F1426" s="1" t="s">
        <v>2594</v>
      </c>
      <c r="I1426" s="1" t="s">
        <v>1289</v>
      </c>
      <c r="J1426" s="1" t="s">
        <v>3631</v>
      </c>
    </row>
    <row r="1427">
      <c r="B1427" s="1" t="s">
        <v>2108</v>
      </c>
      <c r="C1427" s="1" t="s">
        <v>3710</v>
      </c>
      <c r="D1427" s="1" t="s">
        <v>4033</v>
      </c>
      <c r="E1427" s="1" t="s">
        <v>6491</v>
      </c>
      <c r="F1427" s="1" t="s">
        <v>690</v>
      </c>
      <c r="I1427" s="1" t="s">
        <v>3669</v>
      </c>
      <c r="J1427" s="1" t="s">
        <v>6505</v>
      </c>
    </row>
    <row r="1428">
      <c r="B1428" s="1" t="s">
        <v>4514</v>
      </c>
      <c r="C1428" s="1" t="s">
        <v>5271</v>
      </c>
      <c r="D1428" s="1" t="s">
        <v>4039</v>
      </c>
      <c r="E1428" s="1" t="s">
        <v>1776</v>
      </c>
      <c r="F1428" s="1" t="s">
        <v>698</v>
      </c>
      <c r="I1428" s="1" t="s">
        <v>2506</v>
      </c>
      <c r="J1428" s="1" t="s">
        <v>5308</v>
      </c>
    </row>
    <row r="1429">
      <c r="B1429" s="1" t="s">
        <v>3054</v>
      </c>
      <c r="C1429" s="1" t="s">
        <v>3690</v>
      </c>
      <c r="D1429" s="1" t="s">
        <v>2835</v>
      </c>
      <c r="E1429" s="1" t="s">
        <v>874</v>
      </c>
      <c r="F1429" s="1" t="s">
        <v>1340</v>
      </c>
      <c r="I1429" s="1" t="s">
        <v>4190</v>
      </c>
      <c r="J1429" s="1" t="s">
        <v>4291</v>
      </c>
    </row>
    <row r="1430">
      <c r="B1430" s="1" t="s">
        <v>1165</v>
      </c>
      <c r="C1430" s="1" t="s">
        <v>2631</v>
      </c>
      <c r="D1430" s="1" t="s">
        <v>2696</v>
      </c>
      <c r="E1430" s="1" t="s">
        <v>6492</v>
      </c>
      <c r="F1430" s="1" t="s">
        <v>2604</v>
      </c>
      <c r="I1430" s="1" t="s">
        <v>3682</v>
      </c>
      <c r="J1430" s="1" t="s">
        <v>3289</v>
      </c>
    </row>
    <row r="1431">
      <c r="B1431" s="1" t="s">
        <v>1483</v>
      </c>
      <c r="C1431" s="1" t="s">
        <v>5274</v>
      </c>
      <c r="D1431" s="1" t="s">
        <v>2838</v>
      </c>
      <c r="E1431" s="1">
        <v>140.0</v>
      </c>
      <c r="F1431" s="1" t="s">
        <v>618</v>
      </c>
      <c r="I1431" s="1" t="s">
        <v>4355</v>
      </c>
      <c r="J1431" s="1" t="s">
        <v>1647</v>
      </c>
    </row>
    <row r="1432">
      <c r="B1432" s="1" t="s">
        <v>961</v>
      </c>
      <c r="C1432" s="1" t="s">
        <v>3260</v>
      </c>
      <c r="D1432" s="1" t="s">
        <v>2842</v>
      </c>
      <c r="E1432" s="1" t="s">
        <v>3597</v>
      </c>
      <c r="F1432" s="1" t="s">
        <v>4327</v>
      </c>
      <c r="I1432" s="1" t="s">
        <v>4193</v>
      </c>
      <c r="J1432" s="1" t="s">
        <v>1390</v>
      </c>
    </row>
    <row r="1433">
      <c r="B1433" s="1" t="s">
        <v>4518</v>
      </c>
      <c r="C1433" s="1" t="s">
        <v>5276</v>
      </c>
      <c r="D1433" s="1" t="s">
        <v>4519</v>
      </c>
      <c r="E1433" s="1" t="s">
        <v>4106</v>
      </c>
      <c r="F1433" s="1" t="s">
        <v>704</v>
      </c>
      <c r="I1433" s="1" t="s">
        <v>2513</v>
      </c>
      <c r="J1433" s="1" t="s">
        <v>4618</v>
      </c>
    </row>
    <row r="1434">
      <c r="B1434" s="1" t="s">
        <v>4520</v>
      </c>
      <c r="C1434" s="1">
        <v>86.0</v>
      </c>
      <c r="D1434" s="1" t="s">
        <v>2700</v>
      </c>
      <c r="E1434" s="1" t="s">
        <v>1169</v>
      </c>
      <c r="F1434" s="1" t="s">
        <v>4329</v>
      </c>
      <c r="I1434" s="1" t="s">
        <v>6506</v>
      </c>
      <c r="J1434" s="1" t="s">
        <v>5339</v>
      </c>
    </row>
    <row r="1435">
      <c r="B1435" s="1" t="s">
        <v>4521</v>
      </c>
      <c r="C1435" s="1" t="s">
        <v>2970</v>
      </c>
      <c r="D1435" s="1" t="s">
        <v>4522</v>
      </c>
      <c r="E1435" s="1" t="s">
        <v>3603</v>
      </c>
      <c r="F1435" s="1" t="s">
        <v>889</v>
      </c>
      <c r="I1435" s="1" t="s">
        <v>3687</v>
      </c>
      <c r="J1435" s="1" t="s">
        <v>51</v>
      </c>
    </row>
    <row r="1436">
      <c r="B1436" s="1" t="s">
        <v>3128</v>
      </c>
      <c r="C1436" s="1" t="s">
        <v>4357</v>
      </c>
      <c r="D1436" s="1" t="s">
        <v>4525</v>
      </c>
      <c r="E1436" s="1" t="s">
        <v>2098</v>
      </c>
      <c r="F1436" s="1" t="s">
        <v>3850</v>
      </c>
      <c r="I1436" s="1" t="s">
        <v>3697</v>
      </c>
      <c r="J1436" s="1" t="s">
        <v>5816</v>
      </c>
    </row>
    <row r="1437">
      <c r="B1437" s="1">
        <v>86.0</v>
      </c>
      <c r="C1437" s="1" t="s">
        <v>1178</v>
      </c>
      <c r="D1437" s="1" t="s">
        <v>2704</v>
      </c>
      <c r="E1437" s="1" t="s">
        <v>4108</v>
      </c>
      <c r="F1437" s="1" t="s">
        <v>2682</v>
      </c>
      <c r="I1437" s="1" t="s">
        <v>4813</v>
      </c>
      <c r="J1437" s="1" t="s">
        <v>3138</v>
      </c>
    </row>
    <row r="1438">
      <c r="B1438" s="1" t="s">
        <v>3994</v>
      </c>
      <c r="C1438" s="1" t="s">
        <v>5281</v>
      </c>
      <c r="D1438" s="1" t="s">
        <v>2851</v>
      </c>
      <c r="E1438" s="1" t="s">
        <v>2489</v>
      </c>
      <c r="F1438" s="1" t="s">
        <v>1372</v>
      </c>
      <c r="I1438" s="1" t="s">
        <v>3699</v>
      </c>
      <c r="J1438" s="1" t="s">
        <v>4332</v>
      </c>
    </row>
    <row r="1439">
      <c r="B1439" s="1" t="s">
        <v>1872</v>
      </c>
      <c r="C1439" s="1" t="s">
        <v>871</v>
      </c>
      <c r="D1439" s="1" t="s">
        <v>4530</v>
      </c>
      <c r="E1439" s="1" t="s">
        <v>2080</v>
      </c>
      <c r="F1439" s="1" t="s">
        <v>2671</v>
      </c>
      <c r="I1439" s="1" t="s">
        <v>1637</v>
      </c>
      <c r="J1439" s="1" t="s">
        <v>3670</v>
      </c>
    </row>
    <row r="1440">
      <c r="B1440" s="1" t="s">
        <v>4531</v>
      </c>
      <c r="C1440" s="1" t="s">
        <v>3476</v>
      </c>
      <c r="D1440" s="1" t="s">
        <v>4046</v>
      </c>
      <c r="E1440" s="1" t="s">
        <v>3605</v>
      </c>
      <c r="F1440" s="1" t="s">
        <v>712</v>
      </c>
      <c r="I1440" s="1" t="s">
        <v>3702</v>
      </c>
      <c r="J1440" s="1" t="s">
        <v>1755</v>
      </c>
    </row>
    <row r="1441">
      <c r="B1441" s="1" t="s">
        <v>4533</v>
      </c>
      <c r="C1441" s="1" t="s">
        <v>2821</v>
      </c>
      <c r="D1441" s="1" t="s">
        <v>2853</v>
      </c>
      <c r="E1441" s="1" t="s">
        <v>2465</v>
      </c>
      <c r="F1441" s="1" t="s">
        <v>6507</v>
      </c>
      <c r="I1441" s="1" t="s">
        <v>6508</v>
      </c>
      <c r="J1441" s="1" t="s">
        <v>1549</v>
      </c>
    </row>
    <row r="1442">
      <c r="B1442" s="1" t="s">
        <v>4534</v>
      </c>
      <c r="C1442" s="1" t="s">
        <v>2914</v>
      </c>
      <c r="D1442" s="1" t="s">
        <v>3685</v>
      </c>
      <c r="E1442" s="1" t="s">
        <v>1420</v>
      </c>
      <c r="F1442" s="1" t="s">
        <v>2695</v>
      </c>
      <c r="I1442" s="1" t="s">
        <v>2320</v>
      </c>
      <c r="J1442" s="1" t="s">
        <v>5382</v>
      </c>
    </row>
    <row r="1443">
      <c r="B1443" s="1" t="s">
        <v>4535</v>
      </c>
      <c r="C1443" s="1" t="s">
        <v>5284</v>
      </c>
      <c r="D1443" s="1" t="s">
        <v>1451</v>
      </c>
      <c r="E1443" s="1" t="s">
        <v>3905</v>
      </c>
      <c r="F1443" s="1" t="s">
        <v>1355</v>
      </c>
      <c r="I1443" s="1" t="s">
        <v>6485</v>
      </c>
      <c r="J1443" s="1" t="s">
        <v>268</v>
      </c>
    </row>
    <row r="1444">
      <c r="B1444" s="1" t="s">
        <v>1877</v>
      </c>
      <c r="C1444" s="1" t="s">
        <v>5285</v>
      </c>
      <c r="D1444" s="1" t="s">
        <v>2858</v>
      </c>
      <c r="E1444" s="1" t="s">
        <v>6478</v>
      </c>
      <c r="F1444" s="1" t="s">
        <v>898</v>
      </c>
      <c r="I1444" s="1" t="s">
        <v>3716</v>
      </c>
      <c r="J1444" s="1" t="s">
        <v>5678</v>
      </c>
    </row>
    <row r="1445">
      <c r="B1445" s="1" t="s">
        <v>1882</v>
      </c>
      <c r="C1445" s="1" t="s">
        <v>5287</v>
      </c>
      <c r="D1445" s="1" t="s">
        <v>4053</v>
      </c>
      <c r="E1445" s="1" t="s">
        <v>3392</v>
      </c>
      <c r="F1445" s="1" t="s">
        <v>3370</v>
      </c>
      <c r="I1445" s="1" t="s">
        <v>363</v>
      </c>
      <c r="J1445" s="1" t="s">
        <v>5047</v>
      </c>
    </row>
    <row r="1446">
      <c r="B1446" s="1" t="s">
        <v>3439</v>
      </c>
      <c r="C1446" s="1" t="s">
        <v>5291</v>
      </c>
      <c r="D1446" s="1" t="s">
        <v>2860</v>
      </c>
      <c r="E1446" s="1" t="s">
        <v>2473</v>
      </c>
      <c r="F1446" s="1" t="s">
        <v>2608</v>
      </c>
      <c r="I1446" s="1" t="s">
        <v>2540</v>
      </c>
      <c r="J1446" s="1" t="s">
        <v>5418</v>
      </c>
    </row>
    <row r="1447">
      <c r="B1447" s="1" t="s">
        <v>4289</v>
      </c>
      <c r="C1447" s="1" t="s">
        <v>4042</v>
      </c>
      <c r="D1447" s="1" t="s">
        <v>1458</v>
      </c>
      <c r="E1447" s="1" t="s">
        <v>2471</v>
      </c>
      <c r="F1447" s="1" t="s">
        <v>4351</v>
      </c>
      <c r="I1447" s="1" t="s">
        <v>6509</v>
      </c>
      <c r="J1447" s="1" t="s">
        <v>1445</v>
      </c>
    </row>
    <row r="1448">
      <c r="B1448" s="1" t="s">
        <v>4543</v>
      </c>
      <c r="C1448" s="1" t="s">
        <v>1706</v>
      </c>
      <c r="D1448" s="1" t="s">
        <v>2715</v>
      </c>
      <c r="E1448" s="1" t="s">
        <v>3269</v>
      </c>
      <c r="F1448" s="1" t="s">
        <v>2615</v>
      </c>
      <c r="I1448" s="1" t="s">
        <v>6489</v>
      </c>
      <c r="J1448" s="1" t="s">
        <v>1491</v>
      </c>
    </row>
    <row r="1449">
      <c r="B1449" s="1" t="s">
        <v>3441</v>
      </c>
      <c r="C1449" s="1" t="s">
        <v>5296</v>
      </c>
      <c r="D1449" s="1" t="s">
        <v>2720</v>
      </c>
      <c r="E1449" s="1" t="s">
        <v>3739</v>
      </c>
      <c r="F1449" s="1" t="s">
        <v>4353</v>
      </c>
      <c r="I1449" s="1" t="s">
        <v>4219</v>
      </c>
      <c r="J1449" s="1" t="s">
        <v>2588</v>
      </c>
    </row>
    <row r="1450">
      <c r="B1450" s="1" t="s">
        <v>1917</v>
      </c>
      <c r="C1450" s="1" t="s">
        <v>5225</v>
      </c>
      <c r="D1450" s="1" t="s">
        <v>3721</v>
      </c>
      <c r="E1450" s="1" t="s">
        <v>924</v>
      </c>
      <c r="F1450" s="1" t="s">
        <v>3867</v>
      </c>
      <c r="I1450" s="1" t="s">
        <v>6510</v>
      </c>
      <c r="J1450" s="1" t="s">
        <v>4442</v>
      </c>
    </row>
    <row r="1451">
      <c r="B1451" s="1" t="s">
        <v>4546</v>
      </c>
      <c r="C1451" s="1" t="s">
        <v>5298</v>
      </c>
      <c r="D1451" s="1" t="s">
        <v>4139</v>
      </c>
      <c r="E1451" s="1" t="s">
        <v>1201</v>
      </c>
      <c r="F1451" s="1" t="s">
        <v>2231</v>
      </c>
      <c r="I1451" s="1" t="s">
        <v>6511</v>
      </c>
      <c r="J1451" s="1" t="s">
        <v>2293</v>
      </c>
    </row>
    <row r="1452">
      <c r="B1452" s="1" t="s">
        <v>3639</v>
      </c>
      <c r="C1452" s="1" t="s">
        <v>968</v>
      </c>
      <c r="D1452" s="1" t="s">
        <v>318</v>
      </c>
      <c r="E1452" s="1" t="s">
        <v>6493</v>
      </c>
      <c r="F1452" s="1" t="s">
        <v>1359</v>
      </c>
      <c r="I1452" s="1" t="s">
        <v>4221</v>
      </c>
      <c r="J1452" s="1" t="s">
        <v>5903</v>
      </c>
    </row>
    <row r="1453">
      <c r="B1453" s="1" t="s">
        <v>4549</v>
      </c>
      <c r="C1453" s="1" t="s">
        <v>1598</v>
      </c>
      <c r="D1453" s="1" t="s">
        <v>4278</v>
      </c>
      <c r="E1453" s="1" t="s">
        <v>6480</v>
      </c>
      <c r="F1453" s="1" t="s">
        <v>4366</v>
      </c>
      <c r="I1453" s="1" t="s">
        <v>4224</v>
      </c>
      <c r="J1453" s="1" t="s">
        <v>5905</v>
      </c>
    </row>
    <row r="1454">
      <c r="B1454" s="1" t="s">
        <v>4551</v>
      </c>
      <c r="C1454" s="1" t="s">
        <v>1771</v>
      </c>
      <c r="D1454" s="1" t="s">
        <v>2729</v>
      </c>
      <c r="E1454" s="1" t="s">
        <v>2561</v>
      </c>
      <c r="F1454" s="1" t="s">
        <v>4251</v>
      </c>
      <c r="I1454" s="1" t="s">
        <v>4230</v>
      </c>
      <c r="J1454" s="1" t="s">
        <v>1713</v>
      </c>
    </row>
    <row r="1455">
      <c r="B1455" s="1" t="s">
        <v>1889</v>
      </c>
      <c r="C1455" s="1" t="s">
        <v>5305</v>
      </c>
      <c r="D1455" s="1" t="s">
        <v>4555</v>
      </c>
      <c r="E1455" s="1" t="s">
        <v>3313</v>
      </c>
      <c r="F1455" s="1" t="s">
        <v>1367</v>
      </c>
      <c r="I1455" s="1" t="s">
        <v>578</v>
      </c>
      <c r="J1455" s="1" t="s">
        <v>4457</v>
      </c>
    </row>
    <row r="1456">
      <c r="B1456" s="1" t="s">
        <v>3446</v>
      </c>
      <c r="C1456" s="1" t="s">
        <v>1447</v>
      </c>
      <c r="D1456" s="1" t="s">
        <v>4066</v>
      </c>
      <c r="E1456" s="1" t="s">
        <v>2393</v>
      </c>
      <c r="F1456" s="1" t="s">
        <v>1312</v>
      </c>
      <c r="I1456" s="1" t="s">
        <v>2112</v>
      </c>
      <c r="J1456" s="1" t="s">
        <v>5410</v>
      </c>
    </row>
    <row r="1457">
      <c r="B1457" s="1" t="s">
        <v>3449</v>
      </c>
      <c r="C1457" s="1" t="s">
        <v>5309</v>
      </c>
      <c r="D1457" s="1" t="s">
        <v>4557</v>
      </c>
      <c r="E1457" s="1" t="s">
        <v>6481</v>
      </c>
      <c r="F1457" s="1" t="s">
        <v>3887</v>
      </c>
      <c r="I1457" s="1" t="s">
        <v>6512</v>
      </c>
      <c r="J1457" s="1" t="s">
        <v>5925</v>
      </c>
    </row>
    <row r="1458">
      <c r="B1458" s="1" t="s">
        <v>3075</v>
      </c>
      <c r="C1458" s="1" t="s">
        <v>2096</v>
      </c>
      <c r="D1458" s="1" t="s">
        <v>4558</v>
      </c>
      <c r="E1458" s="1" t="s">
        <v>6495</v>
      </c>
      <c r="F1458" s="1" t="s">
        <v>1375</v>
      </c>
      <c r="I1458" s="1" t="s">
        <v>3728</v>
      </c>
      <c r="J1458" s="1" t="s">
        <v>5451</v>
      </c>
    </row>
    <row r="1459">
      <c r="B1459" s="1" t="s">
        <v>1893</v>
      </c>
      <c r="C1459" s="1" t="s">
        <v>3192</v>
      </c>
      <c r="D1459" s="1" t="s">
        <v>4068</v>
      </c>
      <c r="E1459" s="1" t="s">
        <v>2483</v>
      </c>
      <c r="F1459" s="1" t="s">
        <v>3889</v>
      </c>
      <c r="I1459" s="1" t="s">
        <v>4228</v>
      </c>
      <c r="J1459" s="1" t="s">
        <v>5469</v>
      </c>
    </row>
    <row r="1460">
      <c r="B1460" s="1" t="s">
        <v>1172</v>
      </c>
      <c r="C1460" s="1" t="s">
        <v>4521</v>
      </c>
      <c r="D1460" s="1" t="s">
        <v>1896</v>
      </c>
      <c r="E1460" s="1" t="s">
        <v>4207</v>
      </c>
      <c r="F1460" s="1" t="s">
        <v>4378</v>
      </c>
      <c r="I1460" s="1" t="s">
        <v>1059</v>
      </c>
      <c r="J1460" s="1" t="s">
        <v>2686</v>
      </c>
    </row>
    <row r="1461">
      <c r="B1461" s="1" t="s">
        <v>3085</v>
      </c>
      <c r="C1461" s="1" t="s">
        <v>5313</v>
      </c>
      <c r="D1461" s="1" t="s">
        <v>2738</v>
      </c>
      <c r="E1461" s="1" t="s">
        <v>4292</v>
      </c>
      <c r="F1461" s="1" t="s">
        <v>6513</v>
      </c>
      <c r="I1461" s="1" t="s">
        <v>2586</v>
      </c>
      <c r="J1461" s="1" t="s">
        <v>2690</v>
      </c>
    </row>
    <row r="1462">
      <c r="B1462" s="1" t="s">
        <v>4562</v>
      </c>
      <c r="C1462" s="1" t="s">
        <v>5314</v>
      </c>
      <c r="D1462" s="1" t="s">
        <v>4563</v>
      </c>
      <c r="E1462" s="1" t="s">
        <v>733</v>
      </c>
      <c r="F1462" s="1" t="s">
        <v>1281</v>
      </c>
      <c r="I1462" s="1" t="s">
        <v>6400</v>
      </c>
      <c r="J1462" s="1" t="s">
        <v>835</v>
      </c>
    </row>
    <row r="1463">
      <c r="B1463" s="1" t="s">
        <v>4564</v>
      </c>
      <c r="C1463" s="1" t="s">
        <v>5317</v>
      </c>
      <c r="D1463" s="1" t="s">
        <v>2868</v>
      </c>
      <c r="E1463" s="1" t="s">
        <v>2490</v>
      </c>
      <c r="F1463" s="1" t="s">
        <v>4384</v>
      </c>
      <c r="I1463" s="1" t="s">
        <v>2592</v>
      </c>
      <c r="J1463" s="1" t="s">
        <v>4105</v>
      </c>
    </row>
    <row r="1464">
      <c r="B1464" s="1" t="s">
        <v>4565</v>
      </c>
      <c r="C1464" s="1" t="s">
        <v>5318</v>
      </c>
      <c r="D1464" s="1" t="s">
        <v>2871</v>
      </c>
      <c r="E1464" s="1" t="s">
        <v>2488</v>
      </c>
      <c r="F1464" s="1" t="s">
        <v>4388</v>
      </c>
      <c r="I1464" s="1" t="s">
        <v>1958</v>
      </c>
      <c r="J1464" s="1" t="s">
        <v>6514</v>
      </c>
    </row>
    <row r="1465">
      <c r="B1465" s="1" t="s">
        <v>3459</v>
      </c>
      <c r="C1465" s="1" t="s">
        <v>5320</v>
      </c>
      <c r="D1465" s="1" t="s">
        <v>2874</v>
      </c>
      <c r="E1465" s="1" t="s">
        <v>6498</v>
      </c>
      <c r="F1465" s="1" t="s">
        <v>2734</v>
      </c>
      <c r="I1465" s="1" t="s">
        <v>4406</v>
      </c>
      <c r="J1465" s="1" t="s">
        <v>5962</v>
      </c>
    </row>
    <row r="1466">
      <c r="B1466" s="1" t="s">
        <v>3093</v>
      </c>
      <c r="C1466" s="1" t="s">
        <v>833</v>
      </c>
      <c r="D1466" s="1" t="s">
        <v>1466</v>
      </c>
      <c r="E1466" s="1" t="s">
        <v>1205</v>
      </c>
      <c r="F1466" s="1" t="s">
        <v>902</v>
      </c>
      <c r="I1466" s="1" t="s">
        <v>2140</v>
      </c>
      <c r="J1466" s="1" t="s">
        <v>5131</v>
      </c>
    </row>
    <row r="1467">
      <c r="B1467" s="1" t="s">
        <v>4568</v>
      </c>
      <c r="C1467" s="1" t="s">
        <v>5326</v>
      </c>
      <c r="D1467" s="1" t="s">
        <v>2881</v>
      </c>
      <c r="E1467" s="1" t="s">
        <v>4299</v>
      </c>
      <c r="F1467" s="1" t="s">
        <v>4391</v>
      </c>
      <c r="I1467" s="1" t="s">
        <v>6515</v>
      </c>
      <c r="J1467" s="1" t="s">
        <v>3769</v>
      </c>
    </row>
    <row r="1468">
      <c r="B1468" s="1" t="s">
        <v>3473</v>
      </c>
      <c r="C1468" s="1" t="s">
        <v>5327</v>
      </c>
      <c r="D1468" s="1" t="s">
        <v>497</v>
      </c>
      <c r="E1468" s="1" t="s">
        <v>4307</v>
      </c>
      <c r="F1468" s="1" t="s">
        <v>2642</v>
      </c>
      <c r="I1468" s="1" t="s">
        <v>2762</v>
      </c>
      <c r="J1468" s="1" t="s">
        <v>5533</v>
      </c>
    </row>
    <row r="1469">
      <c r="B1469" s="1" t="s">
        <v>3482</v>
      </c>
      <c r="C1469" s="1" t="s">
        <v>250</v>
      </c>
      <c r="D1469" s="1" t="s">
        <v>4570</v>
      </c>
      <c r="E1469" s="1" t="s">
        <v>2180</v>
      </c>
      <c r="F1469" s="1" t="s">
        <v>823</v>
      </c>
      <c r="I1469" s="1" t="s">
        <v>3144</v>
      </c>
      <c r="J1469" s="1" t="s">
        <v>4942</v>
      </c>
    </row>
    <row r="1470">
      <c r="B1470" s="1" t="s">
        <v>1178</v>
      </c>
      <c r="C1470" s="1" t="s">
        <v>5329</v>
      </c>
      <c r="D1470" s="1" t="s">
        <v>2887</v>
      </c>
      <c r="E1470" s="1" t="s">
        <v>6499</v>
      </c>
      <c r="F1470" s="1" t="s">
        <v>718</v>
      </c>
      <c r="I1470" s="1" t="s">
        <v>834</v>
      </c>
      <c r="J1470" s="1" t="s">
        <v>4886</v>
      </c>
    </row>
    <row r="1471">
      <c r="B1471" s="1" t="s">
        <v>1899</v>
      </c>
      <c r="C1471" s="1" t="s">
        <v>5290</v>
      </c>
      <c r="D1471" s="1" t="s">
        <v>3472</v>
      </c>
      <c r="E1471" s="1" t="s">
        <v>6393</v>
      </c>
      <c r="F1471" s="1" t="s">
        <v>4544</v>
      </c>
      <c r="I1471" s="1">
        <v>96.0</v>
      </c>
      <c r="J1471" s="1" t="s">
        <v>4639</v>
      </c>
    </row>
    <row r="1472">
      <c r="B1472" s="1" t="s">
        <v>3486</v>
      </c>
      <c r="C1472" s="1" t="s">
        <v>5230</v>
      </c>
      <c r="D1472" s="1" t="s">
        <v>4572</v>
      </c>
      <c r="E1472" s="1" t="s">
        <v>4311</v>
      </c>
      <c r="F1472" s="1" t="s">
        <v>1980</v>
      </c>
      <c r="I1472" s="1" t="s">
        <v>3757</v>
      </c>
      <c r="J1472" s="1" t="s">
        <v>3204</v>
      </c>
    </row>
    <row r="1473">
      <c r="B1473" s="1" t="s">
        <v>4573</v>
      </c>
      <c r="C1473" s="1" t="s">
        <v>2584</v>
      </c>
      <c r="D1473" s="1" t="s">
        <v>811</v>
      </c>
      <c r="E1473" s="1" t="s">
        <v>4146</v>
      </c>
      <c r="F1473" s="1" t="s">
        <v>4400</v>
      </c>
      <c r="I1473" s="1" t="s">
        <v>5568</v>
      </c>
      <c r="J1473" s="1" t="s">
        <v>5428</v>
      </c>
    </row>
    <row r="1474">
      <c r="B1474" s="1" t="s">
        <v>1185</v>
      </c>
      <c r="C1474" s="1" t="s">
        <v>5336</v>
      </c>
      <c r="D1474" s="1" t="s">
        <v>951</v>
      </c>
      <c r="E1474" s="1" t="s">
        <v>2493</v>
      </c>
      <c r="F1474" s="1" t="s">
        <v>3207</v>
      </c>
      <c r="I1474" s="1" t="s">
        <v>4758</v>
      </c>
      <c r="J1474" s="1" t="s">
        <v>3878</v>
      </c>
    </row>
    <row r="1475">
      <c r="B1475" s="1" t="s">
        <v>4575</v>
      </c>
      <c r="C1475" s="1" t="s">
        <v>4219</v>
      </c>
      <c r="D1475" s="1" t="s">
        <v>94</v>
      </c>
      <c r="E1475" s="1" t="s">
        <v>3649</v>
      </c>
      <c r="F1475" s="1" t="s">
        <v>4399</v>
      </c>
      <c r="I1475" s="1" t="s">
        <v>4444</v>
      </c>
      <c r="J1475" s="1" t="s">
        <v>4809</v>
      </c>
    </row>
    <row r="1476">
      <c r="B1476" s="1" t="s">
        <v>1338</v>
      </c>
      <c r="C1476" s="1" t="s">
        <v>5340</v>
      </c>
      <c r="D1476" s="1" t="s">
        <v>2896</v>
      </c>
      <c r="E1476" s="1" t="s">
        <v>1643</v>
      </c>
      <c r="F1476" s="1" t="s">
        <v>2500</v>
      </c>
      <c r="I1476" s="1" t="s">
        <v>3768</v>
      </c>
      <c r="J1476" s="1" t="s">
        <v>399</v>
      </c>
    </row>
    <row r="1477">
      <c r="B1477" s="1" t="s">
        <v>4576</v>
      </c>
      <c r="C1477" s="1" t="s">
        <v>410</v>
      </c>
      <c r="D1477" s="1" t="s">
        <v>2898</v>
      </c>
      <c r="E1477" s="1" t="s">
        <v>4150</v>
      </c>
      <c r="F1477" s="1" t="s">
        <v>4402</v>
      </c>
      <c r="I1477" s="1" t="s">
        <v>3764</v>
      </c>
      <c r="J1477" s="1" t="s">
        <v>4461</v>
      </c>
    </row>
    <row r="1478">
      <c r="B1478" s="1" t="s">
        <v>4578</v>
      </c>
      <c r="C1478" s="1" t="s">
        <v>1793</v>
      </c>
      <c r="D1478" s="1" t="s">
        <v>2747</v>
      </c>
      <c r="E1478" s="1" t="s">
        <v>3760</v>
      </c>
      <c r="F1478" s="1" t="s">
        <v>727</v>
      </c>
      <c r="I1478" s="1" t="s">
        <v>2554</v>
      </c>
      <c r="J1478" s="1" t="s">
        <v>5786</v>
      </c>
    </row>
    <row r="1479">
      <c r="B1479" s="1" t="s">
        <v>1903</v>
      </c>
      <c r="C1479" s="1" t="s">
        <v>4471</v>
      </c>
      <c r="D1479" s="1" t="s">
        <v>4088</v>
      </c>
      <c r="E1479" s="1" t="s">
        <v>2524</v>
      </c>
      <c r="F1479" s="1" t="s">
        <v>3911</v>
      </c>
      <c r="I1479" s="1" t="s">
        <v>660</v>
      </c>
      <c r="J1479" s="1" t="s">
        <v>6090</v>
      </c>
    </row>
    <row r="1480">
      <c r="B1480" s="1" t="s">
        <v>4581</v>
      </c>
      <c r="C1480" s="1" t="s">
        <v>5343</v>
      </c>
      <c r="D1480" s="1" t="s">
        <v>616</v>
      </c>
      <c r="E1480" s="1" t="s">
        <v>4315</v>
      </c>
      <c r="F1480" s="1" t="s">
        <v>1258</v>
      </c>
      <c r="I1480" s="1" t="s">
        <v>3775</v>
      </c>
      <c r="J1480" s="1" t="s">
        <v>6110</v>
      </c>
    </row>
    <row r="1481">
      <c r="B1481" s="1" t="s">
        <v>4583</v>
      </c>
      <c r="C1481" s="1" t="s">
        <v>5345</v>
      </c>
      <c r="D1481" s="1" t="s">
        <v>242</v>
      </c>
      <c r="E1481" s="1" t="s">
        <v>4153</v>
      </c>
      <c r="F1481" s="1" t="s">
        <v>2648</v>
      </c>
      <c r="I1481" s="1" t="s">
        <v>2614</v>
      </c>
      <c r="J1481" s="1" t="s">
        <v>5126</v>
      </c>
    </row>
    <row r="1482">
      <c r="B1482" s="1" t="s">
        <v>3497</v>
      </c>
      <c r="C1482" s="1" t="s">
        <v>2075</v>
      </c>
      <c r="D1482" s="1" t="s">
        <v>1486</v>
      </c>
      <c r="E1482" s="1" t="s">
        <v>4163</v>
      </c>
      <c r="F1482" s="1" t="s">
        <v>4408</v>
      </c>
      <c r="I1482" s="1" t="s">
        <v>4884</v>
      </c>
      <c r="J1482" s="1" t="s">
        <v>2822</v>
      </c>
    </row>
    <row r="1483">
      <c r="B1483" s="1" t="s">
        <v>3495</v>
      </c>
      <c r="C1483" s="1" t="s">
        <v>4165</v>
      </c>
      <c r="D1483" s="1" t="s">
        <v>4588</v>
      </c>
      <c r="E1483" s="1" t="s">
        <v>4178</v>
      </c>
      <c r="F1483" s="1" t="s">
        <v>1409</v>
      </c>
      <c r="I1483" s="1" t="s">
        <v>1478</v>
      </c>
      <c r="J1483" s="1" t="s">
        <v>5857</v>
      </c>
    </row>
    <row r="1484">
      <c r="B1484" s="1" t="s">
        <v>4589</v>
      </c>
      <c r="C1484" s="1" t="s">
        <v>5226</v>
      </c>
      <c r="D1484" s="1" t="s">
        <v>2907</v>
      </c>
      <c r="E1484" s="1" t="s">
        <v>4407</v>
      </c>
      <c r="F1484" s="1" t="s">
        <v>1781</v>
      </c>
      <c r="I1484" s="1" t="s">
        <v>3781</v>
      </c>
    </row>
    <row r="1485">
      <c r="B1485" s="1" t="s">
        <v>3502</v>
      </c>
      <c r="C1485" s="1" t="s">
        <v>2684</v>
      </c>
      <c r="D1485" s="1" t="s">
        <v>4590</v>
      </c>
      <c r="E1485" s="1" t="s">
        <v>2538</v>
      </c>
      <c r="F1485" s="1" t="s">
        <v>6516</v>
      </c>
      <c r="I1485" s="1" t="s">
        <v>4464</v>
      </c>
    </row>
    <row r="1486">
      <c r="B1486" s="1" t="s">
        <v>2952</v>
      </c>
      <c r="C1486" s="1" t="s">
        <v>2384</v>
      </c>
      <c r="D1486" s="1" t="s">
        <v>2761</v>
      </c>
      <c r="E1486" s="1" t="s">
        <v>2537</v>
      </c>
      <c r="F1486" s="1" t="s">
        <v>3920</v>
      </c>
      <c r="I1486" s="1" t="s">
        <v>4064</v>
      </c>
    </row>
    <row r="1487">
      <c r="B1487" s="1" t="s">
        <v>1906</v>
      </c>
      <c r="C1487" s="1" t="s">
        <v>5350</v>
      </c>
      <c r="D1487" s="1" t="s">
        <v>817</v>
      </c>
      <c r="E1487" s="1" t="s">
        <v>4165</v>
      </c>
      <c r="F1487" s="1" t="s">
        <v>2652</v>
      </c>
      <c r="I1487" s="1" t="s">
        <v>5116</v>
      </c>
    </row>
    <row r="1488">
      <c r="B1488" s="1" t="s">
        <v>4592</v>
      </c>
      <c r="C1488" s="1" t="s">
        <v>5091</v>
      </c>
      <c r="D1488" s="1" t="s">
        <v>4098</v>
      </c>
      <c r="E1488" s="1" t="s">
        <v>4168</v>
      </c>
      <c r="F1488" s="1" t="s">
        <v>1189</v>
      </c>
      <c r="I1488" s="1" t="s">
        <v>2289</v>
      </c>
    </row>
    <row r="1489">
      <c r="B1489" s="1" t="s">
        <v>1912</v>
      </c>
      <c r="C1489" s="1" t="s">
        <v>49</v>
      </c>
      <c r="D1489" s="1" t="s">
        <v>3941</v>
      </c>
      <c r="E1489" s="1" t="s">
        <v>4172</v>
      </c>
      <c r="F1489" s="1" t="s">
        <v>2150</v>
      </c>
      <c r="I1489" s="1" t="s">
        <v>2716</v>
      </c>
    </row>
    <row r="1490">
      <c r="B1490" s="1" t="s">
        <v>304</v>
      </c>
      <c r="C1490" s="1" t="s">
        <v>4186</v>
      </c>
      <c r="D1490" s="1" t="s">
        <v>1494</v>
      </c>
      <c r="E1490" s="1" t="s">
        <v>5252</v>
      </c>
      <c r="F1490" s="1" t="s">
        <v>2751</v>
      </c>
      <c r="I1490" s="1" t="s">
        <v>6497</v>
      </c>
    </row>
    <row r="1491">
      <c r="B1491" s="1" t="s">
        <v>3104</v>
      </c>
      <c r="C1491" s="1" t="s">
        <v>5352</v>
      </c>
      <c r="D1491" s="1" t="s">
        <v>2766</v>
      </c>
      <c r="E1491" s="1" t="s">
        <v>6502</v>
      </c>
      <c r="F1491" s="1" t="s">
        <v>2753</v>
      </c>
      <c r="I1491" s="1" t="s">
        <v>6517</v>
      </c>
    </row>
    <row r="1492">
      <c r="B1492" s="1" t="s">
        <v>2400</v>
      </c>
      <c r="C1492" s="1" t="s">
        <v>5353</v>
      </c>
      <c r="D1492" s="1" t="s">
        <v>2919</v>
      </c>
      <c r="E1492" s="1" t="s">
        <v>6394</v>
      </c>
      <c r="F1492" s="1" t="s">
        <v>3929</v>
      </c>
      <c r="I1492" s="1" t="s">
        <v>3402</v>
      </c>
    </row>
    <row r="1493">
      <c r="B1493" s="1" t="s">
        <v>3515</v>
      </c>
      <c r="C1493" s="1" t="s">
        <v>5354</v>
      </c>
      <c r="D1493" s="1" t="s">
        <v>1501</v>
      </c>
      <c r="E1493" s="1" t="s">
        <v>4335</v>
      </c>
      <c r="F1493" s="1" t="s">
        <v>4428</v>
      </c>
      <c r="I1493" s="1" t="s">
        <v>2435</v>
      </c>
    </row>
    <row r="1494">
      <c r="B1494" s="1" t="s">
        <v>970</v>
      </c>
      <c r="C1494" s="1" t="s">
        <v>902</v>
      </c>
      <c r="D1494" s="1" t="s">
        <v>2927</v>
      </c>
      <c r="E1494" s="1" t="s">
        <v>4651</v>
      </c>
      <c r="F1494" s="1" t="s">
        <v>4432</v>
      </c>
      <c r="I1494" s="1" t="s">
        <v>6518</v>
      </c>
    </row>
    <row r="1495">
      <c r="B1495" s="1" t="s">
        <v>3112</v>
      </c>
      <c r="C1495" s="1" t="s">
        <v>117</v>
      </c>
      <c r="D1495" s="1" t="s">
        <v>2930</v>
      </c>
      <c r="E1495" s="1" t="s">
        <v>2259</v>
      </c>
      <c r="F1495" s="1" t="s">
        <v>2759</v>
      </c>
      <c r="I1495" s="1" t="s">
        <v>3805</v>
      </c>
    </row>
    <row r="1496">
      <c r="B1496" s="1" t="s">
        <v>3520</v>
      </c>
      <c r="C1496" s="1" t="s">
        <v>3558</v>
      </c>
      <c r="D1496" s="1" t="s">
        <v>2934</v>
      </c>
      <c r="E1496" s="1" t="s">
        <v>6504</v>
      </c>
      <c r="F1496" s="1" t="s">
        <v>2764</v>
      </c>
      <c r="I1496" s="1" t="s">
        <v>4279</v>
      </c>
    </row>
    <row r="1497">
      <c r="B1497" s="1" t="s">
        <v>4602</v>
      </c>
      <c r="C1497" s="1" t="s">
        <v>3263</v>
      </c>
      <c r="D1497" s="1" t="s">
        <v>4605</v>
      </c>
      <c r="E1497" s="1" t="s">
        <v>1289</v>
      </c>
      <c r="F1497" s="1" t="s">
        <v>6519</v>
      </c>
      <c r="I1497" s="1" t="s">
        <v>3814</v>
      </c>
    </row>
    <row r="1498">
      <c r="B1498" s="1" t="s">
        <v>3523</v>
      </c>
      <c r="C1498" s="1" t="s">
        <v>5360</v>
      </c>
      <c r="D1498" s="1" t="s">
        <v>4607</v>
      </c>
      <c r="E1498" s="1" t="s">
        <v>3669</v>
      </c>
      <c r="F1498" s="1" t="s">
        <v>734</v>
      </c>
      <c r="I1498" s="1" t="s">
        <v>6520</v>
      </c>
    </row>
    <row r="1499">
      <c r="B1499" s="1" t="s">
        <v>3526</v>
      </c>
      <c r="C1499" s="1" t="s">
        <v>4482</v>
      </c>
      <c r="D1499" s="1" t="s">
        <v>1508</v>
      </c>
      <c r="E1499" s="1" t="s">
        <v>2506</v>
      </c>
      <c r="F1499" s="1" t="s">
        <v>4614</v>
      </c>
      <c r="I1499" s="1" t="s">
        <v>873</v>
      </c>
    </row>
    <row r="1500">
      <c r="B1500" s="1" t="s">
        <v>4609</v>
      </c>
      <c r="C1500" s="1" t="s">
        <v>5361</v>
      </c>
      <c r="D1500" s="1" t="s">
        <v>2939</v>
      </c>
      <c r="E1500" s="1" t="s">
        <v>4190</v>
      </c>
      <c r="F1500" s="1" t="s">
        <v>4437</v>
      </c>
      <c r="I1500" s="1" t="s">
        <v>4488</v>
      </c>
    </row>
    <row r="1501">
      <c r="B1501" s="1" t="s">
        <v>4611</v>
      </c>
      <c r="C1501" s="1" t="s">
        <v>5363</v>
      </c>
      <c r="D1501" s="1" t="s">
        <v>2945</v>
      </c>
      <c r="E1501" s="1" t="s">
        <v>3682</v>
      </c>
      <c r="F1501" s="1" t="s">
        <v>2769</v>
      </c>
      <c r="I1501" s="1">
        <v>99.0</v>
      </c>
    </row>
    <row r="1502">
      <c r="B1502" s="1" t="s">
        <v>3530</v>
      </c>
      <c r="C1502" s="1" t="s">
        <v>5364</v>
      </c>
      <c r="D1502" s="1" t="s">
        <v>2949</v>
      </c>
      <c r="E1502" s="1" t="s">
        <v>4355</v>
      </c>
      <c r="F1502" s="1" t="s">
        <v>2654</v>
      </c>
      <c r="I1502" s="1" t="s">
        <v>2579</v>
      </c>
    </row>
    <row r="1503">
      <c r="B1503" s="1" t="s">
        <v>1196</v>
      </c>
      <c r="C1503" s="1" t="s">
        <v>4737</v>
      </c>
      <c r="D1503" s="1" t="s">
        <v>2953</v>
      </c>
      <c r="E1503" s="1" t="s">
        <v>2513</v>
      </c>
      <c r="F1503" s="1" t="s">
        <v>2772</v>
      </c>
      <c r="I1503" s="1" t="s">
        <v>2584</v>
      </c>
    </row>
    <row r="1504">
      <c r="B1504" s="1" t="s">
        <v>4615</v>
      </c>
      <c r="C1504" s="1" t="s">
        <v>5368</v>
      </c>
      <c r="D1504" s="1" t="b">
        <v>0</v>
      </c>
      <c r="E1504" s="1" t="s">
        <v>6506</v>
      </c>
      <c r="F1504" s="1" t="s">
        <v>2775</v>
      </c>
      <c r="I1504" s="1" t="s">
        <v>2581</v>
      </c>
    </row>
    <row r="1505">
      <c r="B1505" s="1" t="s">
        <v>4616</v>
      </c>
      <c r="C1505" s="1" t="s">
        <v>1159</v>
      </c>
      <c r="D1505" s="1" t="s">
        <v>1515</v>
      </c>
      <c r="E1505" s="1" t="s">
        <v>6521</v>
      </c>
      <c r="F1505" s="1" t="s">
        <v>3436</v>
      </c>
      <c r="I1505" s="1" t="s">
        <v>6500</v>
      </c>
    </row>
    <row r="1506">
      <c r="B1506" s="1" t="s">
        <v>491</v>
      </c>
      <c r="C1506" s="1" t="s">
        <v>5370</v>
      </c>
      <c r="D1506" s="1" t="s">
        <v>4113</v>
      </c>
      <c r="E1506" s="1" t="s">
        <v>3687</v>
      </c>
      <c r="F1506" s="1" t="s">
        <v>2662</v>
      </c>
      <c r="I1506" s="1" t="s">
        <v>2587</v>
      </c>
    </row>
    <row r="1507">
      <c r="B1507" s="1" t="s">
        <v>1923</v>
      </c>
      <c r="C1507" s="1" t="s">
        <v>5183</v>
      </c>
      <c r="D1507" s="1" t="s">
        <v>2958</v>
      </c>
      <c r="E1507" s="1" t="s">
        <v>6093</v>
      </c>
      <c r="F1507" s="1" t="s">
        <v>4213</v>
      </c>
      <c r="I1507" s="1" t="s">
        <v>6503</v>
      </c>
    </row>
    <row r="1508">
      <c r="B1508" s="1" t="s">
        <v>4623</v>
      </c>
      <c r="C1508" s="1" t="s">
        <v>2881</v>
      </c>
      <c r="D1508" s="1" t="s">
        <v>4119</v>
      </c>
      <c r="E1508" s="1" t="s">
        <v>3697</v>
      </c>
      <c r="F1508" s="1" t="s">
        <v>6522</v>
      </c>
      <c r="I1508" s="1" t="s">
        <v>4506</v>
      </c>
    </row>
    <row r="1509">
      <c r="B1509" s="1" t="s">
        <v>3424</v>
      </c>
      <c r="C1509" s="1" t="s">
        <v>1783</v>
      </c>
      <c r="D1509" s="1" t="s">
        <v>4626</v>
      </c>
      <c r="E1509" s="1" t="s">
        <v>4813</v>
      </c>
      <c r="F1509" s="1" t="s">
        <v>906</v>
      </c>
      <c r="I1509" s="1" t="s">
        <v>4503</v>
      </c>
    </row>
    <row r="1510">
      <c r="B1510" s="1" t="s">
        <v>3537</v>
      </c>
      <c r="C1510" s="1" t="s">
        <v>3605</v>
      </c>
      <c r="D1510" s="1" t="s">
        <v>2962</v>
      </c>
      <c r="E1510" s="1" t="s">
        <v>4371</v>
      </c>
      <c r="F1510" s="1" t="s">
        <v>1357</v>
      </c>
      <c r="I1510" s="1" t="s">
        <v>6523</v>
      </c>
    </row>
    <row r="1511">
      <c r="B1511" s="1" t="s">
        <v>1202</v>
      </c>
      <c r="C1511" s="1" t="s">
        <v>5374</v>
      </c>
      <c r="D1511" s="1" t="s">
        <v>4015</v>
      </c>
      <c r="E1511" s="1" t="s">
        <v>3699</v>
      </c>
      <c r="F1511" s="1" t="s">
        <v>744</v>
      </c>
      <c r="I1511" s="1" t="s">
        <v>6501</v>
      </c>
    </row>
    <row r="1512">
      <c r="B1512" s="1" t="s">
        <v>4628</v>
      </c>
      <c r="C1512" s="1" t="s">
        <v>5376</v>
      </c>
      <c r="D1512" s="1" t="s">
        <v>4120</v>
      </c>
      <c r="E1512" s="1" t="s">
        <v>1637</v>
      </c>
      <c r="F1512" s="1" t="s">
        <v>4272</v>
      </c>
      <c r="I1512" s="1" t="s">
        <v>4501</v>
      </c>
    </row>
    <row r="1513">
      <c r="B1513" s="1" t="s">
        <v>3119</v>
      </c>
      <c r="C1513" s="1" t="s">
        <v>2019</v>
      </c>
      <c r="D1513" s="1" t="s">
        <v>4631</v>
      </c>
      <c r="E1513" s="1" t="s">
        <v>3702</v>
      </c>
      <c r="F1513" s="1" t="s">
        <v>3165</v>
      </c>
      <c r="I1513" s="1" t="s">
        <v>4509</v>
      </c>
    </row>
    <row r="1514">
      <c r="B1514" s="1" t="s">
        <v>1935</v>
      </c>
      <c r="C1514" s="1" t="s">
        <v>5378</v>
      </c>
      <c r="D1514" s="1" t="s">
        <v>2966</v>
      </c>
      <c r="E1514" s="1" t="s">
        <v>6508</v>
      </c>
      <c r="F1514" s="1" t="s">
        <v>914</v>
      </c>
      <c r="I1514" s="1" t="s">
        <v>730</v>
      </c>
    </row>
    <row r="1515">
      <c r="B1515" s="1" t="s">
        <v>4473</v>
      </c>
      <c r="C1515" s="1" t="s">
        <v>5278</v>
      </c>
      <c r="D1515" s="1" t="s">
        <v>2969</v>
      </c>
      <c r="E1515" s="1" t="s">
        <v>2320</v>
      </c>
      <c r="F1515" s="1" t="s">
        <v>929</v>
      </c>
      <c r="I1515" s="1" t="s">
        <v>4305</v>
      </c>
    </row>
    <row r="1516">
      <c r="B1516" s="1" t="s">
        <v>3123</v>
      </c>
      <c r="C1516" s="1" t="s">
        <v>5379</v>
      </c>
      <c r="D1516" s="1" t="s">
        <v>2972</v>
      </c>
      <c r="E1516" s="1" t="s">
        <v>6485</v>
      </c>
      <c r="F1516" s="1" t="s">
        <v>3951</v>
      </c>
      <c r="I1516" s="1" t="s">
        <v>2027</v>
      </c>
    </row>
    <row r="1517">
      <c r="B1517" s="1" t="s">
        <v>1208</v>
      </c>
      <c r="C1517" s="1" t="s">
        <v>4610</v>
      </c>
      <c r="D1517" s="1" t="s">
        <v>1522</v>
      </c>
      <c r="E1517" s="1" t="s">
        <v>1252</v>
      </c>
      <c r="F1517" s="1" t="s">
        <v>3955</v>
      </c>
      <c r="I1517" s="1" t="s">
        <v>995</v>
      </c>
    </row>
    <row r="1518">
      <c r="B1518" s="1" t="s">
        <v>4637</v>
      </c>
      <c r="C1518" s="1" t="s">
        <v>2761</v>
      </c>
      <c r="D1518" s="1" t="s">
        <v>4640</v>
      </c>
      <c r="E1518" s="1" t="s">
        <v>3716</v>
      </c>
      <c r="F1518" s="1" t="s">
        <v>753</v>
      </c>
      <c r="I1518" s="1" t="s">
        <v>2594</v>
      </c>
    </row>
    <row r="1519">
      <c r="B1519" s="1" t="s">
        <v>1933</v>
      </c>
      <c r="C1519" s="1" t="s">
        <v>5389</v>
      </c>
      <c r="D1519" s="1" t="s">
        <v>2979</v>
      </c>
      <c r="E1519" s="1" t="s">
        <v>2540</v>
      </c>
      <c r="F1519" s="1" t="s">
        <v>2783</v>
      </c>
      <c r="I1519" s="1" t="s">
        <v>4321</v>
      </c>
    </row>
    <row r="1520">
      <c r="B1520" s="1" t="s">
        <v>3851</v>
      </c>
      <c r="C1520" s="1" t="s">
        <v>1429</v>
      </c>
      <c r="D1520" s="1" t="s">
        <v>2735</v>
      </c>
      <c r="E1520" s="1" t="s">
        <v>6509</v>
      </c>
      <c r="F1520" s="1" t="s">
        <v>2787</v>
      </c>
      <c r="I1520" s="1" t="s">
        <v>2600</v>
      </c>
    </row>
    <row r="1521">
      <c r="B1521" s="1" t="s">
        <v>1212</v>
      </c>
      <c r="C1521" s="1" t="s">
        <v>2191</v>
      </c>
      <c r="D1521" s="1" t="s">
        <v>1484</v>
      </c>
      <c r="E1521" s="1" t="s">
        <v>6489</v>
      </c>
      <c r="F1521" s="1" t="s">
        <v>762</v>
      </c>
      <c r="I1521" s="1" t="s">
        <v>4317</v>
      </c>
    </row>
    <row r="1522">
      <c r="B1522" s="1" t="s">
        <v>597</v>
      </c>
      <c r="C1522" s="1" t="s">
        <v>5393</v>
      </c>
      <c r="D1522" s="1" t="s">
        <v>2778</v>
      </c>
      <c r="E1522" s="1" t="s">
        <v>4219</v>
      </c>
      <c r="F1522" s="1" t="s">
        <v>771</v>
      </c>
      <c r="I1522" s="1" t="s">
        <v>2604</v>
      </c>
    </row>
    <row r="1523">
      <c r="B1523" s="1" t="s">
        <v>475</v>
      </c>
      <c r="C1523" s="1" t="s">
        <v>5395</v>
      </c>
      <c r="D1523" s="1" t="s">
        <v>4646</v>
      </c>
      <c r="E1523" s="1" t="s">
        <v>6510</v>
      </c>
      <c r="F1523" s="1" t="s">
        <v>1150</v>
      </c>
      <c r="I1523" s="1" t="s">
        <v>6524</v>
      </c>
    </row>
    <row r="1524">
      <c r="B1524" s="1" t="s">
        <v>3558</v>
      </c>
      <c r="C1524" s="1" t="s">
        <v>1207</v>
      </c>
      <c r="D1524" s="1" t="s">
        <v>2985</v>
      </c>
      <c r="E1524" s="1" t="s">
        <v>6511</v>
      </c>
      <c r="F1524" s="1" t="s">
        <v>778</v>
      </c>
      <c r="I1524" s="1" t="s">
        <v>2679</v>
      </c>
    </row>
    <row r="1525">
      <c r="B1525" s="1" t="s">
        <v>977</v>
      </c>
      <c r="C1525" s="1" t="s">
        <v>1714</v>
      </c>
      <c r="D1525" s="1" t="s">
        <v>1528</v>
      </c>
      <c r="E1525" s="1" t="s">
        <v>6525</v>
      </c>
      <c r="F1525" s="1" t="s">
        <v>2676</v>
      </c>
      <c r="I1525" s="1" t="s">
        <v>618</v>
      </c>
    </row>
    <row r="1526">
      <c r="B1526" s="1" t="s">
        <v>3137</v>
      </c>
      <c r="C1526" s="1" t="s">
        <v>5057</v>
      </c>
      <c r="D1526" s="1" t="s">
        <v>2990</v>
      </c>
      <c r="E1526" s="1" t="s">
        <v>4221</v>
      </c>
      <c r="F1526" s="1" t="s">
        <v>2801</v>
      </c>
      <c r="I1526" s="1" t="s">
        <v>3599</v>
      </c>
    </row>
    <row r="1527">
      <c r="B1527" s="1" t="s">
        <v>4340</v>
      </c>
      <c r="C1527" s="1" t="s">
        <v>5400</v>
      </c>
      <c r="D1527" s="1" t="s">
        <v>824</v>
      </c>
      <c r="E1527" s="1" t="s">
        <v>4224</v>
      </c>
      <c r="F1527" s="1" t="s">
        <v>3980</v>
      </c>
      <c r="I1527" s="1" t="s">
        <v>5561</v>
      </c>
    </row>
    <row r="1528">
      <c r="B1528" s="1" t="s">
        <v>3140</v>
      </c>
      <c r="C1528" s="1" t="s">
        <v>2203</v>
      </c>
      <c r="D1528" s="1" t="s">
        <v>2785</v>
      </c>
      <c r="E1528" s="1" t="s">
        <v>578</v>
      </c>
      <c r="F1528" s="1" t="s">
        <v>2804</v>
      </c>
      <c r="I1528" s="1" t="s">
        <v>1372</v>
      </c>
    </row>
    <row r="1529">
      <c r="B1529" s="1" t="s">
        <v>3815</v>
      </c>
      <c r="C1529" s="1" t="s">
        <v>3774</v>
      </c>
      <c r="D1529" s="1" t="s">
        <v>2998</v>
      </c>
      <c r="E1529" s="1" t="s">
        <v>2112</v>
      </c>
      <c r="F1529" s="1" t="s">
        <v>2807</v>
      </c>
      <c r="I1529" s="1" t="s">
        <v>4338</v>
      </c>
    </row>
    <row r="1530">
      <c r="B1530" s="1" t="s">
        <v>1225</v>
      </c>
      <c r="C1530" s="1" t="s">
        <v>5402</v>
      </c>
      <c r="D1530" s="1" t="s">
        <v>832</v>
      </c>
      <c r="E1530" s="1" t="s">
        <v>6512</v>
      </c>
      <c r="F1530" s="1" t="s">
        <v>3987</v>
      </c>
      <c r="I1530" s="1" t="s">
        <v>4527</v>
      </c>
    </row>
    <row r="1531">
      <c r="B1531" s="1" t="s">
        <v>1948</v>
      </c>
      <c r="C1531" s="1" t="s">
        <v>1853</v>
      </c>
      <c r="D1531" s="1" t="s">
        <v>838</v>
      </c>
      <c r="E1531" s="1" t="s">
        <v>3728</v>
      </c>
      <c r="F1531" s="1" t="s">
        <v>2680</v>
      </c>
      <c r="I1531" s="1" t="s">
        <v>3850</v>
      </c>
    </row>
    <row r="1532">
      <c r="B1532" s="1" t="s">
        <v>3149</v>
      </c>
      <c r="C1532" s="1" t="s">
        <v>5100</v>
      </c>
      <c r="D1532" s="1" t="s">
        <v>2792</v>
      </c>
      <c r="E1532" s="1" t="s">
        <v>4228</v>
      </c>
      <c r="F1532" s="1" t="s">
        <v>3990</v>
      </c>
      <c r="I1532" s="1" t="s">
        <v>2687</v>
      </c>
    </row>
    <row r="1533">
      <c r="B1533" s="1" t="s">
        <v>4654</v>
      </c>
      <c r="C1533" s="1" t="s">
        <v>1773</v>
      </c>
      <c r="D1533" s="1" t="s">
        <v>1557</v>
      </c>
      <c r="E1533" s="1" t="s">
        <v>826</v>
      </c>
      <c r="F1533" s="1" t="s">
        <v>3826</v>
      </c>
      <c r="I1533" s="1" t="s">
        <v>5948</v>
      </c>
    </row>
    <row r="1534">
      <c r="B1534" s="1" t="s">
        <v>4656</v>
      </c>
      <c r="C1534" s="1" t="s">
        <v>5405</v>
      </c>
      <c r="D1534" s="1" t="s">
        <v>632</v>
      </c>
      <c r="E1534" s="1" t="s">
        <v>1059</v>
      </c>
      <c r="F1534" s="1" t="s">
        <v>4661</v>
      </c>
      <c r="I1534" s="1" t="s">
        <v>4346</v>
      </c>
    </row>
    <row r="1535">
      <c r="B1535" s="1" t="s">
        <v>4658</v>
      </c>
      <c r="C1535" s="1" t="s">
        <v>522</v>
      </c>
      <c r="D1535" s="1" t="s">
        <v>3009</v>
      </c>
      <c r="E1535" s="1" t="s">
        <v>3736</v>
      </c>
      <c r="F1535" s="1" t="s">
        <v>1591</v>
      </c>
      <c r="I1535" s="1" t="s">
        <v>3858</v>
      </c>
    </row>
    <row r="1536">
      <c r="B1536" s="1" t="s">
        <v>1959</v>
      </c>
      <c r="C1536" s="1" t="s">
        <v>218</v>
      </c>
      <c r="D1536" s="1" t="s">
        <v>4145</v>
      </c>
      <c r="E1536" s="1" t="s">
        <v>2586</v>
      </c>
      <c r="F1536" s="1" t="s">
        <v>4477</v>
      </c>
      <c r="I1536" s="1" t="s">
        <v>2615</v>
      </c>
    </row>
    <row r="1537">
      <c r="B1537" s="1" t="s">
        <v>1231</v>
      </c>
      <c r="C1537" s="1" t="s">
        <v>197</v>
      </c>
      <c r="D1537" s="1" t="s">
        <v>3013</v>
      </c>
      <c r="E1537" s="1" t="s">
        <v>4247</v>
      </c>
      <c r="F1537" s="1" t="s">
        <v>5733</v>
      </c>
      <c r="I1537" s="1" t="s">
        <v>2714</v>
      </c>
    </row>
    <row r="1538">
      <c r="B1538" s="1" t="s">
        <v>3153</v>
      </c>
      <c r="C1538" s="1" t="s">
        <v>1406</v>
      </c>
      <c r="D1538" s="1" t="s">
        <v>4151</v>
      </c>
      <c r="E1538" s="1" t="s">
        <v>2589</v>
      </c>
      <c r="F1538" s="1" t="s">
        <v>2811</v>
      </c>
      <c r="I1538" s="1" t="s">
        <v>5152</v>
      </c>
    </row>
    <row r="1539">
      <c r="B1539" s="1" t="s">
        <v>656</v>
      </c>
      <c r="C1539" s="1" t="s">
        <v>3090</v>
      </c>
      <c r="D1539" s="1" t="s">
        <v>968</v>
      </c>
      <c r="E1539" s="1" t="s">
        <v>6400</v>
      </c>
      <c r="F1539" s="1" t="s">
        <v>2039</v>
      </c>
      <c r="I1539" s="1" t="s">
        <v>3869</v>
      </c>
    </row>
    <row r="1540">
      <c r="B1540" s="1" t="s">
        <v>3573</v>
      </c>
      <c r="C1540" s="1" t="s">
        <v>5410</v>
      </c>
      <c r="D1540" s="1" t="s">
        <v>2796</v>
      </c>
      <c r="E1540" s="1" t="s">
        <v>2592</v>
      </c>
      <c r="F1540" s="1" t="s">
        <v>4000</v>
      </c>
      <c r="I1540" s="1" t="s">
        <v>6526</v>
      </c>
    </row>
    <row r="1541">
      <c r="B1541" s="1" t="s">
        <v>981</v>
      </c>
      <c r="C1541" s="1" t="s">
        <v>1938</v>
      </c>
      <c r="D1541" s="1" t="s">
        <v>973</v>
      </c>
      <c r="E1541" s="1" t="s">
        <v>1958</v>
      </c>
      <c r="F1541" s="1" t="s">
        <v>6527</v>
      </c>
      <c r="I1541" s="1" t="s">
        <v>4251</v>
      </c>
    </row>
    <row r="1542">
      <c r="B1542" s="1" t="s">
        <v>1105</v>
      </c>
      <c r="C1542" s="1" t="s">
        <v>4022</v>
      </c>
      <c r="D1542" s="1" t="s">
        <v>4665</v>
      </c>
      <c r="E1542" s="1" t="s">
        <v>4406</v>
      </c>
      <c r="F1542" s="1" t="s">
        <v>2816</v>
      </c>
      <c r="I1542" s="1" t="s">
        <v>2349</v>
      </c>
    </row>
    <row r="1543">
      <c r="B1543" s="1" t="s">
        <v>106</v>
      </c>
      <c r="C1543" s="1" t="s">
        <v>5411</v>
      </c>
      <c r="D1543" s="1" t="s">
        <v>4667</v>
      </c>
      <c r="E1543" s="1" t="s">
        <v>2140</v>
      </c>
      <c r="F1543" s="1" t="s">
        <v>2819</v>
      </c>
      <c r="I1543" s="1" t="s">
        <v>2623</v>
      </c>
    </row>
    <row r="1544">
      <c r="B1544" s="1" t="s">
        <v>4668</v>
      </c>
      <c r="C1544" s="1" t="s">
        <v>5412</v>
      </c>
      <c r="D1544" s="1" t="s">
        <v>4158</v>
      </c>
      <c r="E1544" s="1" t="s">
        <v>6515</v>
      </c>
      <c r="F1544" s="1" t="s">
        <v>4485</v>
      </c>
      <c r="I1544" s="1" t="s">
        <v>2628</v>
      </c>
    </row>
    <row r="1545">
      <c r="B1545" s="1" t="s">
        <v>203</v>
      </c>
      <c r="C1545" s="1" t="s">
        <v>4614</v>
      </c>
      <c r="D1545" s="1" t="s">
        <v>844</v>
      </c>
      <c r="E1545" s="1" t="s">
        <v>4429</v>
      </c>
      <c r="F1545" s="1" t="s">
        <v>2705</v>
      </c>
      <c r="I1545" s="1" t="s">
        <v>6513</v>
      </c>
    </row>
    <row r="1546">
      <c r="B1546" s="1" t="s">
        <v>4670</v>
      </c>
      <c r="C1546" s="1" t="s">
        <v>5415</v>
      </c>
      <c r="D1546" s="1" t="s">
        <v>4671</v>
      </c>
      <c r="E1546" s="1" t="s">
        <v>2762</v>
      </c>
      <c r="F1546" s="1" t="s">
        <v>777</v>
      </c>
      <c r="I1546" s="1" t="s">
        <v>3889</v>
      </c>
    </row>
    <row r="1547">
      <c r="B1547" s="1" t="s">
        <v>4672</v>
      </c>
      <c r="C1547" s="1" t="s">
        <v>1790</v>
      </c>
      <c r="D1547" s="1" t="s">
        <v>4674</v>
      </c>
      <c r="E1547" s="1" t="s">
        <v>3144</v>
      </c>
      <c r="F1547" s="1" t="s">
        <v>921</v>
      </c>
      <c r="I1547" s="1" t="s">
        <v>2631</v>
      </c>
    </row>
    <row r="1548">
      <c r="B1548" s="1" t="s">
        <v>3584</v>
      </c>
      <c r="C1548" s="1" t="s">
        <v>982</v>
      </c>
      <c r="D1548" s="1" t="s">
        <v>1765</v>
      </c>
      <c r="E1548" s="1" t="s">
        <v>834</v>
      </c>
      <c r="F1548" s="1" t="s">
        <v>1426</v>
      </c>
      <c r="I1548" s="1" t="s">
        <v>2409</v>
      </c>
    </row>
    <row r="1549">
      <c r="B1549" s="1" t="s">
        <v>4675</v>
      </c>
      <c r="C1549" s="1" t="s">
        <v>1543</v>
      </c>
      <c r="D1549" s="1" t="s">
        <v>1650</v>
      </c>
      <c r="E1549" s="1">
        <v>96.0</v>
      </c>
      <c r="F1549" s="1" t="s">
        <v>4018</v>
      </c>
      <c r="I1549" s="1" t="s">
        <v>4089</v>
      </c>
    </row>
    <row r="1550">
      <c r="B1550" s="1" t="s">
        <v>984</v>
      </c>
      <c r="C1550" s="1" t="s">
        <v>4873</v>
      </c>
      <c r="D1550" s="1" t="s">
        <v>1988</v>
      </c>
      <c r="E1550" s="1" t="s">
        <v>3757</v>
      </c>
      <c r="F1550" s="1" t="s">
        <v>6528</v>
      </c>
      <c r="I1550" s="1" t="s">
        <v>2731</v>
      </c>
    </row>
    <row r="1551">
      <c r="B1551" s="1" t="s">
        <v>3588</v>
      </c>
      <c r="C1551" s="1" t="s">
        <v>5426</v>
      </c>
      <c r="D1551" s="1" t="s">
        <v>849</v>
      </c>
      <c r="E1551" s="1" t="s">
        <v>1846</v>
      </c>
      <c r="F1551" s="1" t="s">
        <v>1111</v>
      </c>
      <c r="I1551" s="1" t="s">
        <v>4384</v>
      </c>
    </row>
    <row r="1552">
      <c r="B1552" s="1" t="s">
        <v>1261</v>
      </c>
      <c r="C1552" s="1" t="s">
        <v>5427</v>
      </c>
      <c r="D1552" s="1" t="s">
        <v>4169</v>
      </c>
      <c r="E1552" s="1" t="s">
        <v>6529</v>
      </c>
      <c r="F1552" s="1" t="s">
        <v>786</v>
      </c>
      <c r="I1552" s="1" t="s">
        <v>6530</v>
      </c>
    </row>
    <row r="1553">
      <c r="B1553" s="1" t="s">
        <v>4682</v>
      </c>
      <c r="C1553" s="1" t="s">
        <v>5428</v>
      </c>
      <c r="D1553" s="1" t="s">
        <v>1573</v>
      </c>
      <c r="E1553" s="1" t="s">
        <v>5568</v>
      </c>
      <c r="F1553" s="1" t="s">
        <v>801</v>
      </c>
      <c r="I1553" s="1" t="s">
        <v>928</v>
      </c>
    </row>
    <row r="1554">
      <c r="B1554" s="1" t="s">
        <v>1983</v>
      </c>
      <c r="C1554" s="1" t="s">
        <v>2081</v>
      </c>
      <c r="D1554" s="1" t="s">
        <v>4684</v>
      </c>
      <c r="E1554" s="1" t="s">
        <v>4758</v>
      </c>
      <c r="F1554" s="1" t="s">
        <v>793</v>
      </c>
      <c r="I1554" s="1" t="s">
        <v>4391</v>
      </c>
    </row>
    <row r="1555">
      <c r="B1555" s="1" t="s">
        <v>1267</v>
      </c>
      <c r="C1555" s="1" t="s">
        <v>5153</v>
      </c>
      <c r="D1555" s="1" t="s">
        <v>666</v>
      </c>
      <c r="E1555" s="1" t="s">
        <v>4444</v>
      </c>
      <c r="F1555" s="1" t="s">
        <v>2503</v>
      </c>
      <c r="I1555" s="1" t="s">
        <v>1929</v>
      </c>
    </row>
    <row r="1556">
      <c r="B1556" s="1" t="s">
        <v>1273</v>
      </c>
      <c r="C1556" s="1" t="s">
        <v>5349</v>
      </c>
      <c r="D1556" s="1" t="s">
        <v>4687</v>
      </c>
      <c r="E1556" s="1" t="s">
        <v>3768</v>
      </c>
      <c r="F1556" s="1" t="s">
        <v>934</v>
      </c>
      <c r="I1556" s="1" t="s">
        <v>902</v>
      </c>
    </row>
    <row r="1557">
      <c r="B1557" s="1" t="s">
        <v>989</v>
      </c>
      <c r="C1557" s="1" t="s">
        <v>2147</v>
      </c>
      <c r="D1557" s="1" t="s">
        <v>3017</v>
      </c>
      <c r="E1557" s="1" t="s">
        <v>3764</v>
      </c>
      <c r="F1557" s="1" t="s">
        <v>4033</v>
      </c>
      <c r="I1557" s="1" t="s">
        <v>213</v>
      </c>
    </row>
    <row r="1558">
      <c r="B1558" s="1" t="s">
        <v>114</v>
      </c>
      <c r="C1558" s="1" t="s">
        <v>5434</v>
      </c>
      <c r="D1558" s="1" t="s">
        <v>2809</v>
      </c>
      <c r="E1558" s="1" t="s">
        <v>2554</v>
      </c>
      <c r="F1558" s="1" t="s">
        <v>2692</v>
      </c>
      <c r="I1558" s="1" t="s">
        <v>2642</v>
      </c>
    </row>
    <row r="1559">
      <c r="B1559" s="1" t="s">
        <v>3600</v>
      </c>
      <c r="C1559" s="1" t="s">
        <v>4682</v>
      </c>
      <c r="D1559" s="1" t="s">
        <v>4691</v>
      </c>
      <c r="E1559" s="1" t="s">
        <v>660</v>
      </c>
      <c r="F1559" s="1" t="s">
        <v>4039</v>
      </c>
      <c r="I1559" s="1" t="s">
        <v>823</v>
      </c>
    </row>
    <row r="1560">
      <c r="B1560" s="1" t="s">
        <v>1696</v>
      </c>
      <c r="C1560" s="1" t="s">
        <v>4908</v>
      </c>
      <c r="D1560" s="1" t="s">
        <v>982</v>
      </c>
      <c r="E1560" s="1" t="s">
        <v>3775</v>
      </c>
      <c r="F1560" s="1" t="s">
        <v>4381</v>
      </c>
      <c r="I1560" s="1" t="s">
        <v>4233</v>
      </c>
    </row>
    <row r="1561">
      <c r="B1561" s="1" t="s">
        <v>4174</v>
      </c>
      <c r="C1561" s="1" t="s">
        <v>5223</v>
      </c>
      <c r="D1561" s="1" t="s">
        <v>4180</v>
      </c>
      <c r="E1561" s="1" t="s">
        <v>2614</v>
      </c>
      <c r="F1561" s="1" t="s">
        <v>2835</v>
      </c>
      <c r="I1561" s="1" t="s">
        <v>4544</v>
      </c>
    </row>
    <row r="1562">
      <c r="B1562" s="1" t="s">
        <v>1994</v>
      </c>
      <c r="C1562" s="1" t="s">
        <v>5369</v>
      </c>
      <c r="D1562" s="1" t="s">
        <v>4182</v>
      </c>
      <c r="E1562" s="1" t="s">
        <v>4884</v>
      </c>
      <c r="F1562" s="1" t="s">
        <v>2696</v>
      </c>
      <c r="I1562" s="1" t="s">
        <v>5090</v>
      </c>
    </row>
    <row r="1563">
      <c r="B1563" s="1" t="s">
        <v>2442</v>
      </c>
      <c r="C1563" s="1" t="s">
        <v>1915</v>
      </c>
      <c r="D1563" s="1" t="s">
        <v>4696</v>
      </c>
      <c r="E1563" s="1" t="s">
        <v>1478</v>
      </c>
      <c r="F1563" s="1" t="s">
        <v>2842</v>
      </c>
      <c r="I1563" s="1" t="s">
        <v>6531</v>
      </c>
    </row>
    <row r="1564">
      <c r="B1564" s="1" t="s">
        <v>4697</v>
      </c>
      <c r="C1564" s="1" t="s">
        <v>4609</v>
      </c>
      <c r="D1564" s="1" t="s">
        <v>1579</v>
      </c>
      <c r="E1564" s="1" t="s">
        <v>3781</v>
      </c>
      <c r="F1564" s="1" t="s">
        <v>6532</v>
      </c>
      <c r="I1564" s="1" t="s">
        <v>5734</v>
      </c>
    </row>
    <row r="1565">
      <c r="B1565" s="1" t="s">
        <v>1998</v>
      </c>
      <c r="C1565" s="1" t="s">
        <v>5440</v>
      </c>
      <c r="D1565" s="1" t="s">
        <v>986</v>
      </c>
      <c r="E1565" s="1" t="s">
        <v>2625</v>
      </c>
      <c r="F1565" s="1" t="s">
        <v>2853</v>
      </c>
      <c r="I1565" s="1" t="s">
        <v>4399</v>
      </c>
    </row>
    <row r="1566">
      <c r="B1566" s="1" t="s">
        <v>623</v>
      </c>
      <c r="C1566" s="1" t="s">
        <v>4527</v>
      </c>
      <c r="D1566" s="1" t="s">
        <v>4186</v>
      </c>
      <c r="E1566" s="1" t="s">
        <v>4464</v>
      </c>
      <c r="F1566" s="1" t="s">
        <v>4708</v>
      </c>
      <c r="I1566" s="1" t="s">
        <v>3207</v>
      </c>
    </row>
    <row r="1567">
      <c r="B1567" s="1" t="s">
        <v>4698</v>
      </c>
      <c r="C1567" s="1">
        <v>2000.0</v>
      </c>
      <c r="D1567" s="1" t="s">
        <v>2813</v>
      </c>
      <c r="E1567" s="1" t="s">
        <v>6494</v>
      </c>
      <c r="F1567" s="1" t="s">
        <v>4710</v>
      </c>
      <c r="I1567" s="1" t="s">
        <v>2500</v>
      </c>
    </row>
    <row r="1568">
      <c r="B1568" s="1" t="s">
        <v>4701</v>
      </c>
      <c r="C1568" s="1" t="s">
        <v>3897</v>
      </c>
      <c r="D1568" s="1" t="s">
        <v>3045</v>
      </c>
      <c r="E1568" s="1" t="s">
        <v>589</v>
      </c>
      <c r="F1568" s="1" t="s">
        <v>6533</v>
      </c>
      <c r="I1568" s="1" t="s">
        <v>2187</v>
      </c>
    </row>
    <row r="1569">
      <c r="B1569" s="1" t="s">
        <v>2000</v>
      </c>
      <c r="C1569" s="1" t="s">
        <v>5444</v>
      </c>
      <c r="D1569" s="1" t="s">
        <v>2544</v>
      </c>
      <c r="E1569" s="1" t="s">
        <v>4064</v>
      </c>
      <c r="F1569" s="1" t="s">
        <v>4053</v>
      </c>
      <c r="I1569" s="1" t="s">
        <v>4402</v>
      </c>
    </row>
    <row r="1570">
      <c r="B1570" s="1" t="s">
        <v>4704</v>
      </c>
      <c r="C1570" s="1" t="s">
        <v>5445</v>
      </c>
      <c r="D1570" s="1" t="s">
        <v>4189</v>
      </c>
      <c r="E1570" s="1" t="s">
        <v>5116</v>
      </c>
      <c r="F1570" s="1" t="s">
        <v>1451</v>
      </c>
      <c r="I1570" s="1" t="s">
        <v>6534</v>
      </c>
    </row>
    <row r="1571">
      <c r="B1571" s="1" t="s">
        <v>4705</v>
      </c>
      <c r="C1571" s="1" t="s">
        <v>4426</v>
      </c>
      <c r="D1571" s="1" t="s">
        <v>92</v>
      </c>
      <c r="E1571" s="1" t="s">
        <v>2289</v>
      </c>
      <c r="F1571" s="1" t="s">
        <v>2858</v>
      </c>
      <c r="I1571" s="1" t="s">
        <v>1258</v>
      </c>
    </row>
    <row r="1572">
      <c r="B1572" s="1" t="s">
        <v>4707</v>
      </c>
      <c r="C1572" s="1" t="s">
        <v>3236</v>
      </c>
      <c r="D1572" s="1" t="s">
        <v>992</v>
      </c>
      <c r="E1572" s="1" t="s">
        <v>2716</v>
      </c>
      <c r="F1572" s="1" t="s">
        <v>2860</v>
      </c>
      <c r="I1572" s="1" t="s">
        <v>1409</v>
      </c>
    </row>
    <row r="1573">
      <c r="B1573" s="1" t="s">
        <v>3616</v>
      </c>
      <c r="C1573" s="1" t="s">
        <v>5447</v>
      </c>
      <c r="D1573" s="1" t="s">
        <v>854</v>
      </c>
      <c r="E1573" s="1" t="s">
        <v>6497</v>
      </c>
      <c r="F1573" s="1" t="s">
        <v>2712</v>
      </c>
      <c r="I1573" s="1" t="s">
        <v>4408</v>
      </c>
    </row>
    <row r="1574">
      <c r="B1574" s="1" t="s">
        <v>4712</v>
      </c>
      <c r="C1574" s="1" t="s">
        <v>5449</v>
      </c>
      <c r="D1574" s="1" t="s">
        <v>2821</v>
      </c>
      <c r="E1574" s="1" t="s">
        <v>3801</v>
      </c>
      <c r="F1574" s="1" t="s">
        <v>1458</v>
      </c>
      <c r="I1574" s="1" t="s">
        <v>3911</v>
      </c>
    </row>
    <row r="1575">
      <c r="B1575" s="1" t="s">
        <v>4714</v>
      </c>
      <c r="C1575" s="1" t="s">
        <v>5367</v>
      </c>
      <c r="D1575" s="1" t="s">
        <v>4494</v>
      </c>
      <c r="E1575" s="1" t="s">
        <v>6517</v>
      </c>
      <c r="F1575" s="1" t="s">
        <v>4109</v>
      </c>
      <c r="I1575" s="1" t="s">
        <v>2648</v>
      </c>
    </row>
    <row r="1576">
      <c r="B1576" s="1" t="s">
        <v>4717</v>
      </c>
      <c r="C1576" s="1" t="s">
        <v>4187</v>
      </c>
      <c r="D1576" s="1" t="s">
        <v>3048</v>
      </c>
      <c r="E1576" s="1" t="s">
        <v>3402</v>
      </c>
      <c r="F1576" s="1" t="s">
        <v>2715</v>
      </c>
      <c r="I1576" s="1" t="s">
        <v>6516</v>
      </c>
    </row>
    <row r="1577">
      <c r="B1577" s="1" t="s">
        <v>1001</v>
      </c>
      <c r="C1577" s="1" t="s">
        <v>5450</v>
      </c>
      <c r="D1577" s="1" t="s">
        <v>3052</v>
      </c>
      <c r="E1577" s="1" t="s">
        <v>2435</v>
      </c>
      <c r="F1577" s="1" t="s">
        <v>1602</v>
      </c>
      <c r="I1577" s="1" t="s">
        <v>4420</v>
      </c>
    </row>
    <row r="1578">
      <c r="B1578" s="1" t="s">
        <v>1006</v>
      </c>
      <c r="C1578" s="1" t="s">
        <v>4225</v>
      </c>
      <c r="D1578" s="1" t="s">
        <v>4720</v>
      </c>
      <c r="E1578" s="1" t="s">
        <v>6518</v>
      </c>
      <c r="F1578" s="1" t="s">
        <v>6420</v>
      </c>
      <c r="I1578" s="1" t="s">
        <v>3923</v>
      </c>
    </row>
    <row r="1579">
      <c r="B1579" s="1" t="s">
        <v>2007</v>
      </c>
      <c r="C1579" s="1" t="s">
        <v>5452</v>
      </c>
      <c r="D1579" s="1" t="s">
        <v>637</v>
      </c>
      <c r="E1579" s="1" t="s">
        <v>2576</v>
      </c>
      <c r="F1579" s="1" t="s">
        <v>3721</v>
      </c>
      <c r="I1579" s="1" t="s">
        <v>3323</v>
      </c>
    </row>
    <row r="1580">
      <c r="B1580" s="1" t="s">
        <v>4722</v>
      </c>
      <c r="C1580" s="1" t="s">
        <v>551</v>
      </c>
      <c r="D1580" s="1" t="s">
        <v>2355</v>
      </c>
      <c r="E1580" s="1" t="s">
        <v>3805</v>
      </c>
      <c r="F1580" s="1" t="s">
        <v>3098</v>
      </c>
      <c r="I1580" s="1" t="s">
        <v>1189</v>
      </c>
    </row>
    <row r="1581">
      <c r="B1581" s="1" t="s">
        <v>4723</v>
      </c>
      <c r="C1581" s="1" t="s">
        <v>2934</v>
      </c>
      <c r="D1581" s="1" t="s">
        <v>2826</v>
      </c>
      <c r="E1581" s="1" t="s">
        <v>4279</v>
      </c>
      <c r="F1581" s="1" t="s">
        <v>4139</v>
      </c>
      <c r="I1581" s="1" t="s">
        <v>2150</v>
      </c>
    </row>
    <row r="1582">
      <c r="B1582" s="1" t="s">
        <v>4727</v>
      </c>
      <c r="C1582" s="1" t="s">
        <v>5460</v>
      </c>
      <c r="D1582" s="1" t="s">
        <v>2829</v>
      </c>
      <c r="E1582" s="1" t="s">
        <v>3814</v>
      </c>
      <c r="F1582" s="1" t="s">
        <v>4278</v>
      </c>
      <c r="I1582" s="1" t="s">
        <v>4428</v>
      </c>
    </row>
    <row r="1583">
      <c r="B1583" s="1" t="s">
        <v>3209</v>
      </c>
      <c r="C1583" s="1" t="s">
        <v>457</v>
      </c>
      <c r="D1583" s="1" t="s">
        <v>1588</v>
      </c>
      <c r="E1583" s="1" t="s">
        <v>6520</v>
      </c>
      <c r="F1583" s="1" t="s">
        <v>4555</v>
      </c>
      <c r="I1583" s="1" t="s">
        <v>4608</v>
      </c>
    </row>
    <row r="1584">
      <c r="B1584" s="1" t="s">
        <v>2011</v>
      </c>
      <c r="C1584" s="1" t="s">
        <v>1145</v>
      </c>
      <c r="D1584" s="1" t="s">
        <v>693</v>
      </c>
      <c r="E1584" s="1" t="s">
        <v>873</v>
      </c>
      <c r="F1584" s="1" t="s">
        <v>2729</v>
      </c>
      <c r="I1584" s="1" t="s">
        <v>6519</v>
      </c>
    </row>
    <row r="1585">
      <c r="B1585" s="1" t="s">
        <v>4729</v>
      </c>
      <c r="C1585" s="1" t="s">
        <v>3198</v>
      </c>
      <c r="D1585" s="1" t="s">
        <v>859</v>
      </c>
      <c r="E1585" s="1" t="s">
        <v>4488</v>
      </c>
      <c r="F1585" s="1" t="s">
        <v>4558</v>
      </c>
      <c r="I1585" s="1" t="s">
        <v>2764</v>
      </c>
    </row>
    <row r="1586">
      <c r="B1586" s="1" t="s">
        <v>2689</v>
      </c>
      <c r="C1586" s="1" t="s">
        <v>5464</v>
      </c>
      <c r="D1586" s="1" t="s">
        <v>4731</v>
      </c>
      <c r="E1586" s="1">
        <v>99.0</v>
      </c>
      <c r="F1586" s="1" t="s">
        <v>4744</v>
      </c>
      <c r="I1586" s="1" t="s">
        <v>4437</v>
      </c>
    </row>
    <row r="1587">
      <c r="B1587" s="1" t="s">
        <v>4070</v>
      </c>
      <c r="C1587" s="1" t="s">
        <v>5467</v>
      </c>
      <c r="D1587" s="1" t="s">
        <v>3065</v>
      </c>
      <c r="E1587" s="1" t="s">
        <v>3816</v>
      </c>
      <c r="F1587" s="1" t="s">
        <v>2738</v>
      </c>
      <c r="I1587" s="1" t="s">
        <v>2769</v>
      </c>
    </row>
    <row r="1588">
      <c r="B1588" s="1" t="s">
        <v>3216</v>
      </c>
      <c r="C1588" s="1" t="s">
        <v>1895</v>
      </c>
      <c r="D1588" s="1" t="s">
        <v>4734</v>
      </c>
      <c r="E1588" s="1" t="s">
        <v>6406</v>
      </c>
      <c r="F1588" s="1" t="s">
        <v>2868</v>
      </c>
      <c r="I1588" s="1" t="s">
        <v>1350</v>
      </c>
    </row>
    <row r="1589">
      <c r="B1589" s="1" t="s">
        <v>4662</v>
      </c>
      <c r="C1589" s="1" t="s">
        <v>2688</v>
      </c>
      <c r="D1589" s="1" t="s">
        <v>4737</v>
      </c>
      <c r="E1589" s="1" t="s">
        <v>2579</v>
      </c>
      <c r="F1589" s="1" t="s">
        <v>2874</v>
      </c>
      <c r="I1589" s="1" t="s">
        <v>3939</v>
      </c>
    </row>
    <row r="1590">
      <c r="B1590" s="1" t="s">
        <v>1013</v>
      </c>
      <c r="C1590" s="1" t="s">
        <v>3136</v>
      </c>
      <c r="D1590" s="1" t="s">
        <v>2839</v>
      </c>
      <c r="E1590" s="1" t="s">
        <v>4284</v>
      </c>
      <c r="F1590" s="1" t="s">
        <v>6535</v>
      </c>
      <c r="I1590" s="1" t="s">
        <v>2772</v>
      </c>
    </row>
    <row r="1591">
      <c r="B1591" s="1" t="s">
        <v>3219</v>
      </c>
      <c r="C1591" s="1" t="s">
        <v>5470</v>
      </c>
      <c r="D1591" s="1" t="s">
        <v>4205</v>
      </c>
      <c r="E1591" s="1" t="s">
        <v>4288</v>
      </c>
      <c r="F1591" s="1" t="s">
        <v>1466</v>
      </c>
      <c r="I1591" s="1" t="s">
        <v>4620</v>
      </c>
    </row>
    <row r="1592">
      <c r="B1592" s="1" t="s">
        <v>3636</v>
      </c>
      <c r="C1592" s="1" t="s">
        <v>5471</v>
      </c>
      <c r="D1592" s="1" t="s">
        <v>4741</v>
      </c>
      <c r="E1592" s="1" t="s">
        <v>2584</v>
      </c>
      <c r="F1592" s="1" t="s">
        <v>6536</v>
      </c>
      <c r="I1592" s="1" t="s">
        <v>4227</v>
      </c>
    </row>
    <row r="1593">
      <c r="B1593" s="1" t="s">
        <v>2017</v>
      </c>
      <c r="C1593" s="1" t="s">
        <v>562</v>
      </c>
      <c r="D1593" s="1" t="s">
        <v>3548</v>
      </c>
      <c r="E1593" s="1" t="s">
        <v>2581</v>
      </c>
      <c r="F1593" s="1" t="s">
        <v>4856</v>
      </c>
      <c r="I1593" s="1" t="s">
        <v>3436</v>
      </c>
    </row>
    <row r="1594">
      <c r="B1594" s="1" t="s">
        <v>1302</v>
      </c>
      <c r="C1594" s="1" t="s">
        <v>2888</v>
      </c>
      <c r="D1594" s="1" t="s">
        <v>1597</v>
      </c>
      <c r="E1594" s="1" t="s">
        <v>6500</v>
      </c>
      <c r="F1594" s="1" t="s">
        <v>497</v>
      </c>
      <c r="I1594" s="1" t="s">
        <v>3943</v>
      </c>
    </row>
    <row r="1595">
      <c r="B1595" s="1" t="s">
        <v>4430</v>
      </c>
      <c r="C1595" s="1" t="s">
        <v>4404</v>
      </c>
      <c r="D1595" s="1" t="s">
        <v>2849</v>
      </c>
      <c r="E1595" s="1" t="s">
        <v>2587</v>
      </c>
      <c r="F1595" s="1" t="s">
        <v>2887</v>
      </c>
      <c r="I1595" s="1" t="s">
        <v>2662</v>
      </c>
    </row>
    <row r="1596">
      <c r="B1596" s="1" t="s">
        <v>1927</v>
      </c>
      <c r="C1596" s="1" t="s">
        <v>4623</v>
      </c>
      <c r="D1596" s="1" t="s">
        <v>4209</v>
      </c>
      <c r="E1596" s="1" t="s">
        <v>5184</v>
      </c>
      <c r="F1596" s="1" t="s">
        <v>811</v>
      </c>
      <c r="I1596" s="1" t="s">
        <v>4213</v>
      </c>
    </row>
    <row r="1597">
      <c r="B1597" s="1" t="s">
        <v>3223</v>
      </c>
      <c r="C1597" s="1" t="s">
        <v>5476</v>
      </c>
      <c r="D1597" s="1" t="s">
        <v>1666</v>
      </c>
      <c r="E1597" s="1" t="s">
        <v>4506</v>
      </c>
      <c r="F1597" s="1" t="s">
        <v>2042</v>
      </c>
      <c r="I1597" s="1" t="s">
        <v>6522</v>
      </c>
    </row>
    <row r="1598">
      <c r="B1598" s="1" t="s">
        <v>2021</v>
      </c>
      <c r="C1598" s="1" t="s">
        <v>2846</v>
      </c>
      <c r="D1598" s="1" t="s">
        <v>4161</v>
      </c>
      <c r="E1598" s="1" t="s">
        <v>4503</v>
      </c>
      <c r="F1598" s="1" t="s">
        <v>94</v>
      </c>
      <c r="I1598" s="1" t="s">
        <v>906</v>
      </c>
    </row>
    <row r="1599">
      <c r="B1599" s="1" t="s">
        <v>3666</v>
      </c>
      <c r="C1599" s="1" t="s">
        <v>5478</v>
      </c>
      <c r="D1599" s="1" t="s">
        <v>3078</v>
      </c>
      <c r="E1599" s="1" t="s">
        <v>6523</v>
      </c>
      <c r="F1599" s="1" t="s">
        <v>2348</v>
      </c>
      <c r="I1599" s="1" t="s">
        <v>3366</v>
      </c>
    </row>
    <row r="1600">
      <c r="B1600" s="1" t="s">
        <v>2025</v>
      </c>
      <c r="C1600" s="1" t="s">
        <v>5479</v>
      </c>
      <c r="D1600" s="1" t="s">
        <v>864</v>
      </c>
      <c r="E1600" s="1" t="s">
        <v>6501</v>
      </c>
      <c r="F1600" s="1" t="s">
        <v>2898</v>
      </c>
      <c r="I1600" s="1" t="s">
        <v>1357</v>
      </c>
    </row>
    <row r="1601">
      <c r="B1601" s="1" t="s">
        <v>3227</v>
      </c>
      <c r="C1601" s="1" t="s">
        <v>5481</v>
      </c>
      <c r="D1601" s="1" t="s">
        <v>1611</v>
      </c>
      <c r="E1601" s="1" t="s">
        <v>4501</v>
      </c>
      <c r="F1601" s="1" t="s">
        <v>2747</v>
      </c>
      <c r="I1601" s="1" t="s">
        <v>4272</v>
      </c>
    </row>
    <row r="1602">
      <c r="B1602" s="1" t="s">
        <v>3229</v>
      </c>
      <c r="C1602" s="1" t="s">
        <v>3916</v>
      </c>
      <c r="D1602" s="1" t="s">
        <v>286</v>
      </c>
      <c r="E1602" s="1" t="s">
        <v>4509</v>
      </c>
      <c r="F1602" s="1" t="s">
        <v>3475</v>
      </c>
      <c r="I1602" s="1" t="s">
        <v>3165</v>
      </c>
    </row>
    <row r="1603">
      <c r="B1603" s="1" t="s">
        <v>4749</v>
      </c>
      <c r="C1603" s="1" t="s">
        <v>5050</v>
      </c>
      <c r="D1603" s="1" t="s">
        <v>1855</v>
      </c>
      <c r="E1603" s="1" t="s">
        <v>2656</v>
      </c>
      <c r="F1603" s="1" t="s">
        <v>4088</v>
      </c>
      <c r="I1603" s="1" t="s">
        <v>929</v>
      </c>
    </row>
    <row r="1604">
      <c r="B1604" s="1" t="s">
        <v>2028</v>
      </c>
      <c r="C1604" s="1" t="s">
        <v>5482</v>
      </c>
      <c r="D1604" s="1" t="s">
        <v>1621</v>
      </c>
      <c r="E1604" s="1" t="s">
        <v>730</v>
      </c>
      <c r="F1604" s="1" t="s">
        <v>616</v>
      </c>
      <c r="I1604" s="1" t="s">
        <v>4821</v>
      </c>
    </row>
    <row r="1605">
      <c r="B1605" s="1" t="s">
        <v>4358</v>
      </c>
      <c r="C1605" s="1" t="s">
        <v>1381</v>
      </c>
      <c r="D1605" s="1" t="s">
        <v>3095</v>
      </c>
      <c r="E1605" s="1" t="s">
        <v>4305</v>
      </c>
      <c r="F1605" s="1" t="s">
        <v>1039</v>
      </c>
      <c r="I1605" s="1" t="s">
        <v>6039</v>
      </c>
    </row>
    <row r="1606">
      <c r="B1606" s="1" t="s">
        <v>4752</v>
      </c>
      <c r="C1606" s="1" t="s">
        <v>5483</v>
      </c>
      <c r="D1606" s="1" t="s">
        <v>980</v>
      </c>
      <c r="E1606" s="1" t="s">
        <v>4362</v>
      </c>
      <c r="F1606" s="1" t="s">
        <v>1486</v>
      </c>
      <c r="I1606" s="1" t="s">
        <v>4455</v>
      </c>
    </row>
    <row r="1607">
      <c r="B1607" s="1" t="s">
        <v>3660</v>
      </c>
      <c r="C1607" s="1" t="s">
        <v>5484</v>
      </c>
      <c r="D1607" s="1" t="s">
        <v>3100</v>
      </c>
      <c r="E1607" s="1" t="s">
        <v>995</v>
      </c>
      <c r="F1607" s="1" t="s">
        <v>4764</v>
      </c>
      <c r="I1607" s="1" t="s">
        <v>3966</v>
      </c>
    </row>
    <row r="1608">
      <c r="B1608" s="1" t="s">
        <v>3662</v>
      </c>
      <c r="C1608" s="1" t="s">
        <v>3126</v>
      </c>
      <c r="D1608" s="1" t="s">
        <v>1627</v>
      </c>
      <c r="E1608" s="1" t="s">
        <v>2594</v>
      </c>
      <c r="F1608" s="1" t="s">
        <v>6537</v>
      </c>
      <c r="I1608" s="1" t="s">
        <v>4463</v>
      </c>
    </row>
    <row r="1609">
      <c r="B1609" s="1" t="s">
        <v>1023</v>
      </c>
      <c r="C1609" s="1" t="s">
        <v>3280</v>
      </c>
      <c r="D1609" s="1" t="s">
        <v>3107</v>
      </c>
      <c r="E1609" s="1" t="s">
        <v>4321</v>
      </c>
      <c r="F1609" s="1" t="s">
        <v>896</v>
      </c>
      <c r="I1609" s="1" t="s">
        <v>1150</v>
      </c>
    </row>
    <row r="1610">
      <c r="B1610" s="1">
        <v>1993.0</v>
      </c>
      <c r="C1610" s="1" t="s">
        <v>5490</v>
      </c>
      <c r="D1610" s="1" t="s">
        <v>2862</v>
      </c>
      <c r="E1610" s="1" t="s">
        <v>2600</v>
      </c>
      <c r="F1610" s="1" t="s">
        <v>4588</v>
      </c>
      <c r="I1610" s="1" t="s">
        <v>2673</v>
      </c>
    </row>
    <row r="1611">
      <c r="B1611" s="1" t="s">
        <v>2032</v>
      </c>
      <c r="C1611" s="1" t="s">
        <v>4206</v>
      </c>
      <c r="D1611" s="1" t="s">
        <v>3115</v>
      </c>
      <c r="E1611" s="1" t="s">
        <v>4317</v>
      </c>
      <c r="F1611" s="1" t="s">
        <v>6538</v>
      </c>
      <c r="I1611" s="1" t="s">
        <v>6539</v>
      </c>
    </row>
    <row r="1612">
      <c r="B1612" s="1" t="s">
        <v>2033</v>
      </c>
      <c r="C1612" s="1" t="s">
        <v>5119</v>
      </c>
      <c r="D1612" s="1" t="s">
        <v>4226</v>
      </c>
      <c r="E1612" s="1" t="s">
        <v>2604</v>
      </c>
      <c r="F1612" s="1" t="s">
        <v>2761</v>
      </c>
      <c r="I1612" s="1" t="s">
        <v>6540</v>
      </c>
    </row>
    <row r="1613">
      <c r="B1613" s="1" t="s">
        <v>4760</v>
      </c>
      <c r="C1613" s="1" t="s">
        <v>3628</v>
      </c>
      <c r="D1613" s="1" t="s">
        <v>1389</v>
      </c>
      <c r="E1613" s="1" t="s">
        <v>6524</v>
      </c>
      <c r="F1613" s="1" t="s">
        <v>817</v>
      </c>
      <c r="I1613" s="1" t="s">
        <v>1190</v>
      </c>
    </row>
    <row r="1614">
      <c r="B1614" s="1" t="s">
        <v>1677</v>
      </c>
      <c r="C1614" s="1" t="s">
        <v>1803</v>
      </c>
      <c r="D1614" s="1" t="s">
        <v>1010</v>
      </c>
      <c r="E1614" s="1" t="s">
        <v>2679</v>
      </c>
      <c r="F1614" s="1" t="s">
        <v>4098</v>
      </c>
      <c r="I1614" s="1" t="s">
        <v>2429</v>
      </c>
    </row>
    <row r="1615">
      <c r="B1615" s="1" t="s">
        <v>3672</v>
      </c>
      <c r="C1615" s="1" t="s">
        <v>5494</v>
      </c>
      <c r="D1615" s="1" t="s">
        <v>870</v>
      </c>
      <c r="E1615" s="1" t="s">
        <v>618</v>
      </c>
      <c r="F1615" s="1" t="s">
        <v>3941</v>
      </c>
      <c r="I1615" s="1" t="s">
        <v>3059</v>
      </c>
    </row>
    <row r="1616">
      <c r="B1616" s="1" t="s">
        <v>4763</v>
      </c>
      <c r="C1616" s="1" t="s">
        <v>3634</v>
      </c>
      <c r="D1616" s="1" t="s">
        <v>4240</v>
      </c>
      <c r="E1616" s="1" t="s">
        <v>3599</v>
      </c>
      <c r="F1616" s="1" t="s">
        <v>1494</v>
      </c>
      <c r="I1616" s="1" t="s">
        <v>3980</v>
      </c>
    </row>
    <row r="1617">
      <c r="B1617" s="1" t="s">
        <v>2036</v>
      </c>
      <c r="C1617" s="1" t="s">
        <v>5497</v>
      </c>
      <c r="D1617" s="1" t="s">
        <v>1017</v>
      </c>
      <c r="E1617" s="1" t="s">
        <v>5561</v>
      </c>
      <c r="F1617" s="1" t="s">
        <v>4470</v>
      </c>
      <c r="I1617" s="1" t="s">
        <v>294</v>
      </c>
    </row>
    <row r="1618">
      <c r="B1618" s="1" t="s">
        <v>3676</v>
      </c>
      <c r="C1618" s="1" t="s">
        <v>5433</v>
      </c>
      <c r="D1618" s="1" t="s">
        <v>4770</v>
      </c>
      <c r="E1618" s="1" t="s">
        <v>4329</v>
      </c>
      <c r="F1618" s="1" t="s">
        <v>2919</v>
      </c>
      <c r="I1618" s="1" t="s">
        <v>6541</v>
      </c>
    </row>
    <row r="1619">
      <c r="B1619" s="1" t="s">
        <v>3678</v>
      </c>
      <c r="C1619" s="1" t="s">
        <v>5499</v>
      </c>
      <c r="D1619" s="1" t="s">
        <v>3122</v>
      </c>
      <c r="E1619" s="1" t="s">
        <v>1372</v>
      </c>
      <c r="F1619" s="1" t="s">
        <v>6006</v>
      </c>
      <c r="I1619" s="1" t="s">
        <v>2804</v>
      </c>
    </row>
    <row r="1620">
      <c r="B1620" s="1" t="s">
        <v>3538</v>
      </c>
      <c r="C1620" s="1" t="s">
        <v>5501</v>
      </c>
      <c r="D1620" s="1" t="s">
        <v>4248</v>
      </c>
      <c r="E1620" s="1" t="s">
        <v>4338</v>
      </c>
      <c r="F1620" s="1" t="s">
        <v>1501</v>
      </c>
      <c r="I1620" s="1" t="s">
        <v>2807</v>
      </c>
    </row>
    <row r="1621">
      <c r="B1621" s="1" t="s">
        <v>781</v>
      </c>
      <c r="C1621" s="1" t="s">
        <v>3405</v>
      </c>
      <c r="D1621" s="1" t="s">
        <v>4773</v>
      </c>
      <c r="E1621" s="1" t="s">
        <v>4527</v>
      </c>
      <c r="F1621" s="1" t="s">
        <v>2930</v>
      </c>
      <c r="I1621" s="1" t="s">
        <v>3985</v>
      </c>
    </row>
    <row r="1622">
      <c r="B1622" s="1" t="s">
        <v>2350</v>
      </c>
      <c r="C1622" s="1" t="s">
        <v>4860</v>
      </c>
      <c r="D1622" s="1" t="s">
        <v>67</v>
      </c>
      <c r="E1622" s="1" t="s">
        <v>3850</v>
      </c>
      <c r="F1622" s="1" t="s">
        <v>4607</v>
      </c>
      <c r="I1622" s="1" t="s">
        <v>2680</v>
      </c>
    </row>
    <row r="1623">
      <c r="B1623" s="1" t="s">
        <v>4775</v>
      </c>
      <c r="C1623" s="1" t="s">
        <v>2680</v>
      </c>
      <c r="D1623" s="1" t="s">
        <v>3126</v>
      </c>
      <c r="E1623" s="1" t="s">
        <v>2671</v>
      </c>
      <c r="F1623" s="1" t="s">
        <v>2934</v>
      </c>
      <c r="I1623" s="1" t="s">
        <v>3826</v>
      </c>
    </row>
    <row r="1624">
      <c r="B1624" s="1" t="s">
        <v>2043</v>
      </c>
      <c r="C1624" s="1" t="s">
        <v>4583</v>
      </c>
      <c r="D1624" s="1" t="s">
        <v>1594</v>
      </c>
      <c r="E1624" s="1" t="s">
        <v>2687</v>
      </c>
      <c r="F1624" s="1" t="s">
        <v>5779</v>
      </c>
      <c r="I1624" s="1" t="s">
        <v>1591</v>
      </c>
    </row>
    <row r="1625">
      <c r="B1625" s="1" t="s">
        <v>4779</v>
      </c>
      <c r="C1625" s="1" t="s">
        <v>4774</v>
      </c>
      <c r="D1625" s="1" t="s">
        <v>1030</v>
      </c>
      <c r="E1625" s="1" t="s">
        <v>5679</v>
      </c>
      <c r="F1625" s="1" t="s">
        <v>1508</v>
      </c>
      <c r="I1625" s="1" t="s">
        <v>6542</v>
      </c>
    </row>
    <row r="1626">
      <c r="B1626" s="1" t="s">
        <v>758</v>
      </c>
      <c r="C1626" s="1" t="s">
        <v>5209</v>
      </c>
      <c r="D1626" s="1" t="s">
        <v>886</v>
      </c>
      <c r="E1626" s="1" t="s">
        <v>5948</v>
      </c>
      <c r="F1626" s="1" t="s">
        <v>2939</v>
      </c>
      <c r="I1626" s="1" t="s">
        <v>3413</v>
      </c>
    </row>
    <row r="1627">
      <c r="B1627" s="1" t="s">
        <v>1028</v>
      </c>
      <c r="C1627" s="1" t="s">
        <v>5510</v>
      </c>
      <c r="D1627" s="1" t="s">
        <v>4785</v>
      </c>
      <c r="E1627" s="1" t="s">
        <v>712</v>
      </c>
      <c r="F1627" s="1" t="s">
        <v>2767</v>
      </c>
      <c r="I1627" s="1" t="s">
        <v>2039</v>
      </c>
    </row>
    <row r="1628">
      <c r="B1628" s="1" t="s">
        <v>4786</v>
      </c>
      <c r="C1628" s="1" t="s">
        <v>2636</v>
      </c>
      <c r="D1628" s="1" t="s">
        <v>4685</v>
      </c>
      <c r="E1628" s="1" t="s">
        <v>4346</v>
      </c>
      <c r="F1628" s="1" t="s">
        <v>2953</v>
      </c>
      <c r="I1628" s="1" t="s">
        <v>4000</v>
      </c>
    </row>
    <row r="1629">
      <c r="B1629" s="1" t="s">
        <v>3692</v>
      </c>
      <c r="C1629" s="1" t="s">
        <v>3123</v>
      </c>
      <c r="D1629" s="1" t="s">
        <v>4789</v>
      </c>
      <c r="E1629" s="1" t="s">
        <v>6507</v>
      </c>
      <c r="F1629" s="1" t="s">
        <v>2949</v>
      </c>
      <c r="I1629" s="1" t="s">
        <v>6527</v>
      </c>
    </row>
    <row r="1630">
      <c r="B1630" s="1" t="s">
        <v>1342</v>
      </c>
      <c r="C1630" s="1" t="s">
        <v>5511</v>
      </c>
      <c r="D1630" s="1" t="s">
        <v>1036</v>
      </c>
      <c r="E1630" s="1" t="s">
        <v>2698</v>
      </c>
      <c r="F1630" s="1" t="s">
        <v>6543</v>
      </c>
      <c r="I1630" s="1" t="s">
        <v>572</v>
      </c>
    </row>
    <row r="1631">
      <c r="B1631" s="1" t="s">
        <v>4791</v>
      </c>
      <c r="C1631" s="1" t="s">
        <v>440</v>
      </c>
      <c r="D1631" s="1" t="s">
        <v>1790</v>
      </c>
      <c r="E1631" s="1" t="s">
        <v>3858</v>
      </c>
      <c r="F1631" s="1" t="s">
        <v>2770</v>
      </c>
      <c r="I1631" s="1" t="s">
        <v>6544</v>
      </c>
    </row>
    <row r="1632">
      <c r="B1632" s="1" t="s">
        <v>4793</v>
      </c>
      <c r="C1632" s="1" t="s">
        <v>4004</v>
      </c>
      <c r="D1632" s="1" t="s">
        <v>2872</v>
      </c>
      <c r="E1632" s="1" t="s">
        <v>2615</v>
      </c>
      <c r="F1632" s="1" t="s">
        <v>1515</v>
      </c>
      <c r="I1632" s="1" t="s">
        <v>2819</v>
      </c>
    </row>
    <row r="1633">
      <c r="B1633" s="1" t="s">
        <v>3694</v>
      </c>
      <c r="C1633" s="1" t="s">
        <v>4247</v>
      </c>
      <c r="D1633" s="1" t="s">
        <v>2875</v>
      </c>
      <c r="E1633" s="1" t="s">
        <v>4351</v>
      </c>
      <c r="F1633" s="1" t="s">
        <v>4113</v>
      </c>
      <c r="I1633" s="1" t="s">
        <v>4485</v>
      </c>
    </row>
    <row r="1634">
      <c r="B1634" s="1" t="s">
        <v>1317</v>
      </c>
      <c r="C1634" s="1" t="s">
        <v>1544</v>
      </c>
      <c r="D1634" s="1" t="s">
        <v>1042</v>
      </c>
      <c r="E1634" s="1" t="s">
        <v>2714</v>
      </c>
      <c r="F1634" s="1" t="s">
        <v>4117</v>
      </c>
      <c r="I1634" s="1" t="s">
        <v>6545</v>
      </c>
    </row>
    <row r="1635">
      <c r="B1635" s="1" t="s">
        <v>1323</v>
      </c>
      <c r="C1635" s="1" t="s">
        <v>5502</v>
      </c>
      <c r="D1635" s="1" t="s">
        <v>1940</v>
      </c>
      <c r="E1635" s="1" t="s">
        <v>5152</v>
      </c>
      <c r="F1635" s="1" t="s">
        <v>2958</v>
      </c>
      <c r="I1635" s="1" t="s">
        <v>4044</v>
      </c>
    </row>
    <row r="1636">
      <c r="B1636" s="1" t="s">
        <v>2550</v>
      </c>
      <c r="C1636" s="1" t="s">
        <v>5519</v>
      </c>
      <c r="D1636" s="1" t="s">
        <v>1652</v>
      </c>
      <c r="E1636" s="1" t="s">
        <v>3869</v>
      </c>
      <c r="F1636" s="1" t="s">
        <v>4015</v>
      </c>
      <c r="I1636" s="1" t="s">
        <v>2705</v>
      </c>
    </row>
    <row r="1637">
      <c r="B1637" s="1" t="s">
        <v>3501</v>
      </c>
      <c r="C1637" s="1" t="s">
        <v>4204</v>
      </c>
      <c r="D1637" s="1" t="s">
        <v>3134</v>
      </c>
      <c r="E1637" s="1" t="s">
        <v>6526</v>
      </c>
      <c r="F1637" s="1" t="s">
        <v>4120</v>
      </c>
      <c r="I1637" s="1" t="s">
        <v>777</v>
      </c>
    </row>
    <row r="1638">
      <c r="B1638" s="1" t="s">
        <v>3264</v>
      </c>
      <c r="C1638" s="1" t="s">
        <v>2032</v>
      </c>
      <c r="D1638" s="1" t="s">
        <v>4803</v>
      </c>
      <c r="E1638" s="1" t="s">
        <v>4251</v>
      </c>
      <c r="F1638" s="1" t="s">
        <v>2966</v>
      </c>
      <c r="I1638" s="1" t="s">
        <v>2723</v>
      </c>
    </row>
    <row r="1639">
      <c r="B1639" s="1" t="s">
        <v>3707</v>
      </c>
      <c r="C1639" s="1" t="s">
        <v>5524</v>
      </c>
      <c r="D1639" s="1" t="s">
        <v>1661</v>
      </c>
      <c r="E1639" s="1" t="s">
        <v>2349</v>
      </c>
      <c r="F1639" s="1">
        <v>9.0</v>
      </c>
      <c r="I1639" s="1" t="s">
        <v>6528</v>
      </c>
    </row>
    <row r="1640">
      <c r="B1640" s="1" t="s">
        <v>4806</v>
      </c>
      <c r="C1640" s="1" t="s">
        <v>1680</v>
      </c>
      <c r="D1640" s="1" t="s">
        <v>2890</v>
      </c>
      <c r="E1640" s="1" t="s">
        <v>2623</v>
      </c>
      <c r="F1640" s="1" t="s">
        <v>2972</v>
      </c>
      <c r="I1640" s="1" t="s">
        <v>4680</v>
      </c>
    </row>
    <row r="1641">
      <c r="B1641" s="1" t="s">
        <v>4807</v>
      </c>
      <c r="C1641" s="1" t="s">
        <v>1408</v>
      </c>
      <c r="D1641" s="1" t="s">
        <v>893</v>
      </c>
      <c r="E1641" s="1" t="s">
        <v>4366</v>
      </c>
      <c r="F1641" s="1" t="s">
        <v>1522</v>
      </c>
      <c r="I1641" s="1" t="s">
        <v>1111</v>
      </c>
    </row>
    <row r="1642">
      <c r="B1642" s="1" t="s">
        <v>1328</v>
      </c>
      <c r="C1642" s="1" t="s">
        <v>3767</v>
      </c>
      <c r="D1642" s="1" t="s">
        <v>1674</v>
      </c>
      <c r="E1642" s="1" t="s">
        <v>2628</v>
      </c>
      <c r="F1642" s="1" t="s">
        <v>4127</v>
      </c>
      <c r="I1642" s="1" t="s">
        <v>2089</v>
      </c>
    </row>
    <row r="1643">
      <c r="B1643" s="1" t="s">
        <v>4810</v>
      </c>
      <c r="C1643" s="1" t="s">
        <v>5526</v>
      </c>
      <c r="D1643" s="1" t="s">
        <v>1679</v>
      </c>
      <c r="E1643" s="1" t="s">
        <v>1312</v>
      </c>
      <c r="F1643" s="1" t="s">
        <v>4114</v>
      </c>
      <c r="I1643" s="1" t="s">
        <v>4497</v>
      </c>
    </row>
    <row r="1644">
      <c r="B1644" s="1" t="s">
        <v>3268</v>
      </c>
      <c r="C1644" s="1" t="s">
        <v>3500</v>
      </c>
      <c r="D1644" s="1" t="s">
        <v>1686</v>
      </c>
      <c r="E1644" s="1" t="s">
        <v>1548</v>
      </c>
      <c r="F1644" s="1" t="s">
        <v>2979</v>
      </c>
      <c r="I1644" s="1" t="s">
        <v>2503</v>
      </c>
    </row>
    <row r="1645">
      <c r="B1645" s="1" t="s">
        <v>4812</v>
      </c>
      <c r="C1645" s="1" t="s">
        <v>4283</v>
      </c>
      <c r="D1645" s="1" t="s">
        <v>4267</v>
      </c>
      <c r="E1645" s="1" t="s">
        <v>3884</v>
      </c>
      <c r="F1645" s="1" t="s">
        <v>2735</v>
      </c>
      <c r="I1645" s="1" t="s">
        <v>4039</v>
      </c>
    </row>
    <row r="1646">
      <c r="B1646" s="1" t="s">
        <v>3709</v>
      </c>
      <c r="C1646" s="1" t="s">
        <v>5529</v>
      </c>
      <c r="D1646" s="1" t="s">
        <v>4816</v>
      </c>
      <c r="E1646" s="1" t="s">
        <v>6513</v>
      </c>
      <c r="F1646" s="1" t="s">
        <v>1484</v>
      </c>
      <c r="I1646" s="1" t="s">
        <v>1533</v>
      </c>
    </row>
    <row r="1647">
      <c r="B1647" s="1" t="s">
        <v>3710</v>
      </c>
      <c r="C1647" s="1" t="s">
        <v>1008</v>
      </c>
      <c r="D1647" s="1" t="s">
        <v>347</v>
      </c>
      <c r="E1647" s="1" t="s">
        <v>3889</v>
      </c>
      <c r="F1647" s="1" t="s">
        <v>2778</v>
      </c>
      <c r="I1647" s="1" t="s">
        <v>6546</v>
      </c>
    </row>
    <row r="1648">
      <c r="B1648" s="1" t="s">
        <v>262</v>
      </c>
      <c r="C1648" s="1" t="s">
        <v>5532</v>
      </c>
      <c r="D1648" s="1" t="s">
        <v>3158</v>
      </c>
      <c r="E1648" s="1" t="s">
        <v>2631</v>
      </c>
      <c r="F1648" s="1" t="s">
        <v>1528</v>
      </c>
      <c r="I1648" s="1" t="s">
        <v>2696</v>
      </c>
    </row>
    <row r="1649">
      <c r="B1649" s="1" t="s">
        <v>4820</v>
      </c>
      <c r="C1649" s="1" t="s">
        <v>2541</v>
      </c>
      <c r="D1649" s="1" t="s">
        <v>4823</v>
      </c>
      <c r="E1649" s="1" t="s">
        <v>2409</v>
      </c>
      <c r="F1649" s="1" t="s">
        <v>2990</v>
      </c>
      <c r="I1649" s="1" t="s">
        <v>2838</v>
      </c>
    </row>
    <row r="1650">
      <c r="B1650" s="1" t="s">
        <v>2971</v>
      </c>
      <c r="C1650" s="1" t="s">
        <v>5534</v>
      </c>
      <c r="D1650" s="1" t="s">
        <v>4270</v>
      </c>
      <c r="E1650" s="1" t="s">
        <v>4089</v>
      </c>
      <c r="F1650" s="1" t="s">
        <v>824</v>
      </c>
      <c r="I1650" s="1" t="s">
        <v>6547</v>
      </c>
    </row>
    <row r="1651">
      <c r="B1651" s="1" t="s">
        <v>1341</v>
      </c>
      <c r="C1651" s="1" t="s">
        <v>5537</v>
      </c>
      <c r="D1651" s="1" t="s">
        <v>1058</v>
      </c>
      <c r="E1651" s="1" t="s">
        <v>2731</v>
      </c>
      <c r="F1651" s="1" t="s">
        <v>5354</v>
      </c>
      <c r="I1651" s="1" t="s">
        <v>6532</v>
      </c>
    </row>
    <row r="1652">
      <c r="B1652" s="1" t="s">
        <v>1346</v>
      </c>
      <c r="C1652" s="1" t="s">
        <v>5540</v>
      </c>
      <c r="D1652" s="1" t="s">
        <v>4827</v>
      </c>
      <c r="E1652" s="1" t="s">
        <v>4384</v>
      </c>
      <c r="F1652" s="1" t="s">
        <v>3293</v>
      </c>
      <c r="I1652" s="1" t="s">
        <v>2704</v>
      </c>
    </row>
    <row r="1653">
      <c r="B1653" s="1" t="s">
        <v>1352</v>
      </c>
      <c r="C1653" s="1" t="s">
        <v>327</v>
      </c>
      <c r="D1653" s="1" t="s">
        <v>3163</v>
      </c>
      <c r="E1653" s="1" t="s">
        <v>6530</v>
      </c>
      <c r="F1653" s="1" t="s">
        <v>4841</v>
      </c>
      <c r="I1653" s="1" t="s">
        <v>4530</v>
      </c>
    </row>
    <row r="1654">
      <c r="B1654" s="1" t="s">
        <v>4666</v>
      </c>
      <c r="C1654" s="1" t="s">
        <v>780</v>
      </c>
      <c r="D1654" s="1" t="s">
        <v>897</v>
      </c>
      <c r="E1654" s="1" t="s">
        <v>928</v>
      </c>
      <c r="F1654" s="1" t="s">
        <v>832</v>
      </c>
      <c r="I1654" s="1" t="s">
        <v>3685</v>
      </c>
    </row>
    <row r="1655">
      <c r="B1655" s="1" t="s">
        <v>2057</v>
      </c>
      <c r="C1655" s="1" t="s">
        <v>4864</v>
      </c>
      <c r="D1655" s="1" t="s">
        <v>901</v>
      </c>
      <c r="E1655" s="1" t="s">
        <v>4391</v>
      </c>
      <c r="F1655" s="1" t="s">
        <v>838</v>
      </c>
      <c r="I1655" s="1" t="s">
        <v>4708</v>
      </c>
    </row>
    <row r="1656">
      <c r="B1656" s="1" t="s">
        <v>3283</v>
      </c>
      <c r="C1656" s="1" t="s">
        <v>5545</v>
      </c>
      <c r="D1656" s="1" t="s">
        <v>1531</v>
      </c>
      <c r="E1656" s="1" t="s">
        <v>1929</v>
      </c>
      <c r="F1656" s="1" t="s">
        <v>3965</v>
      </c>
      <c r="I1656" s="1" t="s">
        <v>4710</v>
      </c>
    </row>
    <row r="1657">
      <c r="B1657" s="1" t="s">
        <v>1356</v>
      </c>
      <c r="C1657" s="1" t="s">
        <v>2812</v>
      </c>
      <c r="D1657" s="1" t="s">
        <v>4757</v>
      </c>
      <c r="E1657" s="1" t="s">
        <v>902</v>
      </c>
      <c r="F1657" s="1" t="s">
        <v>632</v>
      </c>
      <c r="I1657" s="1" t="s">
        <v>4049</v>
      </c>
    </row>
    <row r="1658">
      <c r="B1658" s="1" t="s">
        <v>4413</v>
      </c>
      <c r="C1658" s="1">
        <v>1993.0</v>
      </c>
      <c r="D1658" s="1" t="s">
        <v>783</v>
      </c>
      <c r="E1658" s="1" t="s">
        <v>213</v>
      </c>
      <c r="F1658" s="1" t="s">
        <v>1557</v>
      </c>
      <c r="I1658" s="1" t="s">
        <v>6548</v>
      </c>
    </row>
    <row r="1659">
      <c r="B1659" s="1" t="s">
        <v>3288</v>
      </c>
      <c r="C1659" s="1" t="s">
        <v>1290</v>
      </c>
      <c r="D1659" s="1">
        <v>30.0</v>
      </c>
      <c r="E1659" s="1" t="s">
        <v>2642</v>
      </c>
      <c r="F1659" s="1" t="s">
        <v>3009</v>
      </c>
      <c r="I1659" s="1" t="s">
        <v>6533</v>
      </c>
    </row>
    <row r="1660">
      <c r="B1660" s="1" t="s">
        <v>3722</v>
      </c>
      <c r="C1660" s="1" t="s">
        <v>5404</v>
      </c>
      <c r="D1660" s="1" t="s">
        <v>1066</v>
      </c>
      <c r="E1660" s="1" t="s">
        <v>823</v>
      </c>
      <c r="F1660" s="1" t="s">
        <v>4145</v>
      </c>
      <c r="I1660" s="1" t="s">
        <v>1513</v>
      </c>
    </row>
    <row r="1661">
      <c r="B1661" s="1" t="s">
        <v>4836</v>
      </c>
      <c r="C1661" s="1" t="s">
        <v>5551</v>
      </c>
      <c r="D1661" s="1" t="s">
        <v>4838</v>
      </c>
      <c r="E1661" s="1" t="s">
        <v>4233</v>
      </c>
      <c r="F1661" s="1" t="s">
        <v>5231</v>
      </c>
      <c r="I1661" s="1" t="s">
        <v>2858</v>
      </c>
    </row>
    <row r="1662">
      <c r="B1662" s="1" t="s">
        <v>1033</v>
      </c>
      <c r="C1662" s="1" t="s">
        <v>5554</v>
      </c>
      <c r="D1662" s="1" t="s">
        <v>714</v>
      </c>
      <c r="E1662" s="1" t="s">
        <v>4544</v>
      </c>
      <c r="F1662" s="1" t="s">
        <v>6549</v>
      </c>
      <c r="I1662" s="1" t="s">
        <v>4053</v>
      </c>
    </row>
    <row r="1663">
      <c r="B1663" s="1" t="s">
        <v>3295</v>
      </c>
      <c r="C1663" s="1" t="s">
        <v>4530</v>
      </c>
      <c r="D1663" s="1" t="s">
        <v>2964</v>
      </c>
      <c r="E1663" s="1" t="s">
        <v>5090</v>
      </c>
      <c r="F1663" s="1" t="s">
        <v>3013</v>
      </c>
      <c r="I1663" s="1" t="s">
        <v>1451</v>
      </c>
    </row>
    <row r="1664">
      <c r="B1664" s="1" t="s">
        <v>3301</v>
      </c>
      <c r="C1664" s="1" t="s">
        <v>3450</v>
      </c>
      <c r="D1664" s="1" t="s">
        <v>1721</v>
      </c>
      <c r="E1664" s="1" t="s">
        <v>6531</v>
      </c>
      <c r="F1664" s="1" t="s">
        <v>968</v>
      </c>
      <c r="I1664" s="1" t="s">
        <v>6550</v>
      </c>
    </row>
    <row r="1665">
      <c r="B1665" s="1" t="s">
        <v>4840</v>
      </c>
      <c r="C1665" s="1" t="s">
        <v>451</v>
      </c>
      <c r="D1665" s="1" t="s">
        <v>3180</v>
      </c>
      <c r="E1665" s="1" t="s">
        <v>5734</v>
      </c>
      <c r="F1665" s="1" t="s">
        <v>2793</v>
      </c>
      <c r="I1665" s="1" t="s">
        <v>3807</v>
      </c>
    </row>
    <row r="1666">
      <c r="B1666" s="1" t="s">
        <v>4843</v>
      </c>
      <c r="C1666" s="1" t="s">
        <v>5556</v>
      </c>
      <c r="D1666" s="1" t="s">
        <v>2914</v>
      </c>
      <c r="E1666" s="1" t="s">
        <v>4399</v>
      </c>
      <c r="F1666" s="1" t="s">
        <v>2796</v>
      </c>
      <c r="I1666" s="1" t="s">
        <v>4109</v>
      </c>
    </row>
    <row r="1667">
      <c r="B1667" s="1" t="s">
        <v>1040</v>
      </c>
      <c r="C1667" s="1" t="s">
        <v>1589</v>
      </c>
      <c r="D1667" s="1" t="s">
        <v>4845</v>
      </c>
      <c r="E1667" s="1" t="s">
        <v>3207</v>
      </c>
      <c r="F1667" s="1" t="s">
        <v>6551</v>
      </c>
      <c r="I1667" s="1" t="s">
        <v>4724</v>
      </c>
    </row>
    <row r="1668">
      <c r="B1668" s="1" t="s">
        <v>4846</v>
      </c>
      <c r="C1668" s="1" t="s">
        <v>4349</v>
      </c>
      <c r="D1668" s="1" t="s">
        <v>3184</v>
      </c>
      <c r="E1668" s="1" t="s">
        <v>2500</v>
      </c>
      <c r="F1668" s="1" t="s">
        <v>973</v>
      </c>
      <c r="I1668" s="1" t="s">
        <v>1672</v>
      </c>
    </row>
    <row r="1669">
      <c r="B1669" s="1" t="s">
        <v>1047</v>
      </c>
      <c r="C1669" s="1" t="s">
        <v>5558</v>
      </c>
      <c r="D1669" s="1" t="s">
        <v>4285</v>
      </c>
      <c r="E1669" s="1" t="s">
        <v>2187</v>
      </c>
      <c r="F1669" s="1" t="s">
        <v>4157</v>
      </c>
      <c r="I1669" s="1" t="s">
        <v>1602</v>
      </c>
    </row>
    <row r="1670">
      <c r="B1670" s="1" t="s">
        <v>1361</v>
      </c>
      <c r="C1670" s="1" t="s">
        <v>1532</v>
      </c>
      <c r="D1670" s="1" t="s">
        <v>2917</v>
      </c>
      <c r="E1670" s="1" t="s">
        <v>4402</v>
      </c>
      <c r="F1670" s="1" t="s">
        <v>844</v>
      </c>
      <c r="I1670" s="1" t="s">
        <v>6420</v>
      </c>
    </row>
    <row r="1671">
      <c r="B1671" s="1" t="s">
        <v>2067</v>
      </c>
      <c r="C1671" s="1" t="s">
        <v>5560</v>
      </c>
      <c r="D1671" s="1" t="s">
        <v>3192</v>
      </c>
      <c r="E1671" s="1" t="s">
        <v>4569</v>
      </c>
      <c r="F1671" s="1" t="s">
        <v>2262</v>
      </c>
      <c r="I1671" s="1" t="s">
        <v>3098</v>
      </c>
    </row>
    <row r="1672">
      <c r="B1672" s="1" t="s">
        <v>2071</v>
      </c>
      <c r="C1672" s="1" t="s">
        <v>3345</v>
      </c>
      <c r="D1672" s="1" t="s">
        <v>3024</v>
      </c>
      <c r="E1672" s="1" t="s">
        <v>6534</v>
      </c>
      <c r="F1672" s="1" t="s">
        <v>1765</v>
      </c>
      <c r="I1672" s="1" t="s">
        <v>2726</v>
      </c>
    </row>
    <row r="1673">
      <c r="B1673" s="1" t="s">
        <v>1368</v>
      </c>
      <c r="C1673" s="1" t="s">
        <v>5561</v>
      </c>
      <c r="D1673" s="1" t="s">
        <v>1076</v>
      </c>
      <c r="E1673" s="1" t="s">
        <v>1258</v>
      </c>
      <c r="F1673" s="1" t="s">
        <v>1650</v>
      </c>
      <c r="I1673" s="1" t="s">
        <v>4278</v>
      </c>
    </row>
    <row r="1674">
      <c r="B1674" s="1" t="s">
        <v>2077</v>
      </c>
      <c r="C1674" s="1" t="s">
        <v>433</v>
      </c>
      <c r="D1674" s="1" t="s">
        <v>3195</v>
      </c>
      <c r="E1674" s="1" t="s">
        <v>1409</v>
      </c>
      <c r="F1674" s="1" t="s">
        <v>1362</v>
      </c>
      <c r="I1674" s="1" t="s">
        <v>4738</v>
      </c>
    </row>
    <row r="1675">
      <c r="B1675" s="1" t="s">
        <v>1051</v>
      </c>
      <c r="C1675" s="1" t="s">
        <v>5564</v>
      </c>
      <c r="D1675" s="1" t="s">
        <v>3198</v>
      </c>
      <c r="E1675" s="1" t="s">
        <v>4408</v>
      </c>
      <c r="F1675" s="1" t="s">
        <v>4873</v>
      </c>
      <c r="I1675" s="1" t="s">
        <v>4062</v>
      </c>
    </row>
    <row r="1676">
      <c r="B1676" s="1" t="s">
        <v>1000</v>
      </c>
      <c r="C1676" s="1" t="s">
        <v>2421</v>
      </c>
      <c r="D1676" s="1" t="s">
        <v>3202</v>
      </c>
      <c r="E1676" s="1" t="s">
        <v>3911</v>
      </c>
      <c r="F1676" s="1" t="s">
        <v>4166</v>
      </c>
      <c r="I1676" s="1" t="s">
        <v>4555</v>
      </c>
    </row>
    <row r="1677">
      <c r="B1677" s="1" t="s">
        <v>1381</v>
      </c>
      <c r="C1677" s="1" t="s">
        <v>3890</v>
      </c>
      <c r="D1677" s="1" t="s">
        <v>2926</v>
      </c>
      <c r="E1677" s="1" t="s">
        <v>2648</v>
      </c>
      <c r="F1677" s="1" t="s">
        <v>849</v>
      </c>
      <c r="I1677" s="1" t="s">
        <v>2732</v>
      </c>
    </row>
    <row r="1678">
      <c r="B1678" s="1" t="s">
        <v>4859</v>
      </c>
      <c r="C1678" s="1" t="s">
        <v>4734</v>
      </c>
      <c r="D1678" s="1" t="s">
        <v>2921</v>
      </c>
      <c r="E1678" s="1" t="s">
        <v>6516</v>
      </c>
      <c r="F1678" s="1" t="s">
        <v>5364</v>
      </c>
      <c r="I1678" s="1" t="s">
        <v>6552</v>
      </c>
    </row>
    <row r="1679">
      <c r="B1679" s="1" t="s">
        <v>4860</v>
      </c>
      <c r="C1679" s="1" t="s">
        <v>1505</v>
      </c>
      <c r="D1679" s="1" t="s">
        <v>4862</v>
      </c>
      <c r="E1679" s="1" t="s">
        <v>4420</v>
      </c>
      <c r="F1679" s="1" t="s">
        <v>1573</v>
      </c>
      <c r="I1679" s="1" t="s">
        <v>4558</v>
      </c>
    </row>
    <row r="1680">
      <c r="B1680" s="1" t="s">
        <v>3759</v>
      </c>
      <c r="C1680" s="1" t="s">
        <v>2956</v>
      </c>
      <c r="D1680" s="1" t="s">
        <v>1943</v>
      </c>
      <c r="E1680" s="1" t="s">
        <v>3920</v>
      </c>
      <c r="F1680" s="1" t="s">
        <v>4684</v>
      </c>
      <c r="I1680" s="1" t="s">
        <v>4744</v>
      </c>
    </row>
    <row r="1681">
      <c r="B1681" s="1" t="s">
        <v>3761</v>
      </c>
      <c r="C1681" s="1" t="s">
        <v>5333</v>
      </c>
      <c r="D1681" s="1" t="s">
        <v>4301</v>
      </c>
      <c r="E1681" s="1" t="s">
        <v>3923</v>
      </c>
      <c r="F1681" s="1" t="s">
        <v>666</v>
      </c>
      <c r="I1681" s="1" t="s">
        <v>6553</v>
      </c>
    </row>
    <row r="1682">
      <c r="B1682" s="1" t="s">
        <v>4864</v>
      </c>
      <c r="C1682" s="1" t="s">
        <v>5572</v>
      </c>
      <c r="D1682" s="1" t="s">
        <v>4306</v>
      </c>
      <c r="E1682" s="1" t="s">
        <v>3323</v>
      </c>
      <c r="F1682" s="1" t="s">
        <v>6554</v>
      </c>
      <c r="I1682" s="1" t="s">
        <v>4188</v>
      </c>
    </row>
    <row r="1683">
      <c r="B1683" s="1" t="s">
        <v>3767</v>
      </c>
      <c r="C1683" s="1" t="s">
        <v>3122</v>
      </c>
      <c r="D1683" s="1" t="s">
        <v>4312</v>
      </c>
      <c r="E1683" s="1" t="s">
        <v>2150</v>
      </c>
      <c r="F1683" s="1" t="s">
        <v>4474</v>
      </c>
      <c r="I1683" s="1" t="s">
        <v>703</v>
      </c>
    </row>
    <row r="1684">
      <c r="B1684" s="1" t="s">
        <v>2090</v>
      </c>
      <c r="C1684" s="1" t="s">
        <v>4994</v>
      </c>
      <c r="D1684" s="1" t="s">
        <v>2931</v>
      </c>
      <c r="E1684" s="1" t="s">
        <v>6555</v>
      </c>
      <c r="F1684" s="1" t="s">
        <v>4691</v>
      </c>
      <c r="I1684" s="1" t="s">
        <v>6535</v>
      </c>
    </row>
    <row r="1685">
      <c r="B1685" s="1" t="s">
        <v>3772</v>
      </c>
      <c r="C1685" s="1" t="s">
        <v>3069</v>
      </c>
      <c r="D1685" s="1" t="s">
        <v>4871</v>
      </c>
      <c r="E1685" s="1" t="s">
        <v>4428</v>
      </c>
      <c r="F1685" s="1" t="s">
        <v>982</v>
      </c>
      <c r="I1685" s="1" t="s">
        <v>4856</v>
      </c>
    </row>
    <row r="1686">
      <c r="B1686" s="1" t="s">
        <v>4433</v>
      </c>
      <c r="C1686" s="1" t="s">
        <v>4519</v>
      </c>
      <c r="D1686" s="1" t="s">
        <v>4313</v>
      </c>
      <c r="E1686" s="1" t="s">
        <v>4608</v>
      </c>
      <c r="F1686" s="1" t="s">
        <v>4182</v>
      </c>
      <c r="I1686" s="1" t="s">
        <v>6556</v>
      </c>
    </row>
    <row r="1687">
      <c r="B1687" s="1" t="s">
        <v>1057</v>
      </c>
      <c r="C1687" s="1" t="s">
        <v>1388</v>
      </c>
      <c r="D1687" s="1" t="s">
        <v>4318</v>
      </c>
      <c r="E1687" s="1" t="s">
        <v>6519</v>
      </c>
      <c r="F1687" s="1" t="s">
        <v>4180</v>
      </c>
      <c r="I1687" s="1" t="s">
        <v>4421</v>
      </c>
    </row>
    <row r="1688">
      <c r="B1688" s="1" t="s">
        <v>4872</v>
      </c>
      <c r="C1688" s="1" t="s">
        <v>5583</v>
      </c>
      <c r="D1688" s="1" t="s">
        <v>4875</v>
      </c>
      <c r="E1688" s="1" t="s">
        <v>2764</v>
      </c>
      <c r="F1688" s="1" t="s">
        <v>4186</v>
      </c>
      <c r="I1688" s="1" t="s">
        <v>3472</v>
      </c>
    </row>
    <row r="1689">
      <c r="B1689" s="1" t="s">
        <v>1063</v>
      </c>
      <c r="C1689" s="1" t="s">
        <v>5585</v>
      </c>
      <c r="D1689" s="1" t="s">
        <v>2935</v>
      </c>
      <c r="E1689" s="1" t="s">
        <v>734</v>
      </c>
      <c r="F1689" s="1" t="s">
        <v>1579</v>
      </c>
      <c r="I1689" s="1" t="s">
        <v>4572</v>
      </c>
    </row>
    <row r="1690">
      <c r="B1690" s="1" t="s">
        <v>4876</v>
      </c>
      <c r="C1690" s="1" t="s">
        <v>4885</v>
      </c>
      <c r="D1690" s="1" t="s">
        <v>4878</v>
      </c>
      <c r="E1690" s="1" t="s">
        <v>4614</v>
      </c>
      <c r="F1690" s="1" t="s">
        <v>986</v>
      </c>
      <c r="I1690" s="1" t="s">
        <v>94</v>
      </c>
    </row>
    <row r="1691">
      <c r="B1691" s="1" t="s">
        <v>4879</v>
      </c>
      <c r="C1691" s="1" t="s">
        <v>4900</v>
      </c>
      <c r="D1691" s="1" t="s">
        <v>4324</v>
      </c>
      <c r="E1691" s="1" t="s">
        <v>4437</v>
      </c>
      <c r="F1691" s="1" t="s">
        <v>2813</v>
      </c>
      <c r="I1691" s="1" t="s">
        <v>2042</v>
      </c>
    </row>
    <row r="1692">
      <c r="B1692" s="1" t="s">
        <v>4314</v>
      </c>
      <c r="C1692" s="1" t="s">
        <v>2329</v>
      </c>
      <c r="D1692" s="1" t="s">
        <v>3211</v>
      </c>
      <c r="E1692" s="1" t="s">
        <v>2769</v>
      </c>
      <c r="F1692" s="1" t="s">
        <v>3045</v>
      </c>
      <c r="I1692" s="1" t="s">
        <v>2348</v>
      </c>
    </row>
    <row r="1693">
      <c r="B1693" s="1" t="s">
        <v>4882</v>
      </c>
      <c r="C1693" s="1" t="s">
        <v>5590</v>
      </c>
      <c r="D1693" s="1" t="s">
        <v>3214</v>
      </c>
      <c r="E1693" s="1" t="s">
        <v>2654</v>
      </c>
      <c r="F1693" s="1" t="s">
        <v>6557</v>
      </c>
      <c r="I1693" s="1" t="s">
        <v>6558</v>
      </c>
    </row>
    <row r="1694">
      <c r="B1694" s="1" t="s">
        <v>4883</v>
      </c>
      <c r="C1694" s="1" t="s">
        <v>4700</v>
      </c>
      <c r="D1694" s="1" t="s">
        <v>4326</v>
      </c>
      <c r="E1694" s="1" t="s">
        <v>1350</v>
      </c>
      <c r="F1694" s="1" t="s">
        <v>4189</v>
      </c>
      <c r="I1694" s="1" t="s">
        <v>639</v>
      </c>
    </row>
    <row r="1695">
      <c r="B1695" s="1" t="s">
        <v>2097</v>
      </c>
      <c r="C1695" s="1" t="s">
        <v>4392</v>
      </c>
      <c r="D1695" s="1" t="s">
        <v>1727</v>
      </c>
      <c r="E1695" s="1" t="s">
        <v>3939</v>
      </c>
      <c r="F1695" s="1" t="s">
        <v>992</v>
      </c>
      <c r="I1695" s="1" t="s">
        <v>2896</v>
      </c>
    </row>
    <row r="1696">
      <c r="B1696" s="1" t="s">
        <v>3788</v>
      </c>
      <c r="C1696" s="1" t="s">
        <v>5592</v>
      </c>
      <c r="D1696" s="1" t="s">
        <v>4330</v>
      </c>
      <c r="E1696" s="1" t="s">
        <v>2772</v>
      </c>
      <c r="F1696" s="1" t="s">
        <v>998</v>
      </c>
      <c r="I1696" s="1" t="s">
        <v>910</v>
      </c>
    </row>
    <row r="1697">
      <c r="B1697" s="1" t="s">
        <v>988</v>
      </c>
      <c r="C1697" s="1" t="s">
        <v>3660</v>
      </c>
      <c r="D1697" s="1" t="s">
        <v>3220</v>
      </c>
      <c r="E1697" s="1" t="s">
        <v>4620</v>
      </c>
      <c r="F1697" s="1" t="s">
        <v>2542</v>
      </c>
      <c r="I1697" s="1" t="s">
        <v>2747</v>
      </c>
    </row>
    <row r="1698">
      <c r="B1698" s="1" t="s">
        <v>4885</v>
      </c>
      <c r="C1698" s="1" t="s">
        <v>4384</v>
      </c>
      <c r="D1698" s="1" t="s">
        <v>3972</v>
      </c>
      <c r="E1698" s="1" t="s">
        <v>4227</v>
      </c>
      <c r="F1698" s="1" t="s">
        <v>6559</v>
      </c>
      <c r="I1698" s="1" t="s">
        <v>3475</v>
      </c>
    </row>
    <row r="1699">
      <c r="B1699" s="1" t="s">
        <v>3791</v>
      </c>
      <c r="C1699" s="1" t="s">
        <v>5141</v>
      </c>
      <c r="D1699" s="1" t="s">
        <v>3222</v>
      </c>
      <c r="E1699" s="1" t="s">
        <v>3436</v>
      </c>
      <c r="F1699" s="1" t="s">
        <v>854</v>
      </c>
      <c r="I1699" s="1" t="s">
        <v>4088</v>
      </c>
    </row>
    <row r="1700">
      <c r="B1700" s="1" t="s">
        <v>2099</v>
      </c>
      <c r="C1700" s="1" t="s">
        <v>1015</v>
      </c>
      <c r="D1700" s="1" t="s">
        <v>3226</v>
      </c>
      <c r="E1700" s="1" t="s">
        <v>3943</v>
      </c>
      <c r="F1700" s="1" t="s">
        <v>2461</v>
      </c>
      <c r="I1700" s="1" t="s">
        <v>6560</v>
      </c>
    </row>
    <row r="1701">
      <c r="B1701" s="1" t="s">
        <v>3795</v>
      </c>
      <c r="C1701" s="1" t="s">
        <v>5593</v>
      </c>
      <c r="D1701" s="1" t="s">
        <v>4342</v>
      </c>
      <c r="E1701" s="1" t="s">
        <v>2662</v>
      </c>
      <c r="F1701" s="1" t="s">
        <v>6561</v>
      </c>
      <c r="I1701" s="1" t="s">
        <v>1039</v>
      </c>
    </row>
    <row r="1702">
      <c r="B1702" s="1" t="s">
        <v>3800</v>
      </c>
      <c r="C1702" s="1" t="s">
        <v>187</v>
      </c>
      <c r="D1702" s="1" t="s">
        <v>911</v>
      </c>
      <c r="E1702" s="1" t="s">
        <v>4213</v>
      </c>
      <c r="F1702" s="1" t="s">
        <v>3048</v>
      </c>
      <c r="I1702" s="1" t="s">
        <v>4764</v>
      </c>
    </row>
    <row r="1703">
      <c r="B1703" s="1" t="s">
        <v>4891</v>
      </c>
      <c r="C1703" s="1" t="s">
        <v>4690</v>
      </c>
      <c r="D1703" s="1" t="s">
        <v>2943</v>
      </c>
      <c r="E1703" s="1" t="s">
        <v>6522</v>
      </c>
      <c r="F1703" s="1" t="s">
        <v>3052</v>
      </c>
      <c r="I1703" s="1" t="s">
        <v>896</v>
      </c>
    </row>
    <row r="1704">
      <c r="B1704" s="1" t="s">
        <v>4892</v>
      </c>
      <c r="C1704" s="1" t="s">
        <v>4185</v>
      </c>
      <c r="D1704" s="1" t="s">
        <v>4347</v>
      </c>
      <c r="E1704" s="1" t="s">
        <v>906</v>
      </c>
      <c r="F1704" s="1" t="s">
        <v>1448</v>
      </c>
      <c r="I1704" s="1" t="s">
        <v>4588</v>
      </c>
    </row>
    <row r="1705">
      <c r="B1705" s="1" t="s">
        <v>1069</v>
      </c>
      <c r="C1705" s="1" t="s">
        <v>5588</v>
      </c>
      <c r="D1705" s="1" t="s">
        <v>3827</v>
      </c>
      <c r="E1705" s="1" t="s">
        <v>3366</v>
      </c>
      <c r="F1705" s="1" t="s">
        <v>637</v>
      </c>
      <c r="I1705" s="1" t="s">
        <v>2907</v>
      </c>
    </row>
    <row r="1706">
      <c r="B1706" s="1" t="s">
        <v>4896</v>
      </c>
      <c r="C1706" s="1" t="s">
        <v>4107</v>
      </c>
      <c r="D1706" s="1" t="s">
        <v>4897</v>
      </c>
      <c r="E1706" s="1" t="s">
        <v>1357</v>
      </c>
      <c r="F1706" s="1" t="s">
        <v>2355</v>
      </c>
      <c r="I1706" s="1" t="s">
        <v>2756</v>
      </c>
    </row>
    <row r="1707">
      <c r="B1707" s="1" t="s">
        <v>4898</v>
      </c>
      <c r="C1707" s="1" t="s">
        <v>4871</v>
      </c>
      <c r="D1707" s="1" t="s">
        <v>1741</v>
      </c>
      <c r="E1707" s="1" t="s">
        <v>3947</v>
      </c>
      <c r="F1707" s="1" t="s">
        <v>1588</v>
      </c>
      <c r="I1707" s="1" t="s">
        <v>4590</v>
      </c>
    </row>
    <row r="1708">
      <c r="B1708" s="1" t="s">
        <v>904</v>
      </c>
      <c r="C1708" s="1" t="s">
        <v>4695</v>
      </c>
      <c r="D1708" s="1" t="s">
        <v>4900</v>
      </c>
      <c r="E1708" s="1" t="s">
        <v>4272</v>
      </c>
      <c r="F1708" s="1" t="s">
        <v>693</v>
      </c>
      <c r="I1708" s="1" t="s">
        <v>3941</v>
      </c>
    </row>
    <row r="1709">
      <c r="B1709" s="1" t="s">
        <v>2105</v>
      </c>
      <c r="C1709" s="1" t="s">
        <v>5602</v>
      </c>
      <c r="D1709" s="1" t="s">
        <v>2946</v>
      </c>
      <c r="E1709" s="1" t="s">
        <v>3165</v>
      </c>
      <c r="F1709" s="1" t="s">
        <v>859</v>
      </c>
      <c r="I1709" s="1" t="s">
        <v>4470</v>
      </c>
    </row>
    <row r="1710">
      <c r="B1710" s="1" t="s">
        <v>4902</v>
      </c>
      <c r="C1710" s="1" t="s">
        <v>3014</v>
      </c>
      <c r="D1710" s="1" t="s">
        <v>4904</v>
      </c>
      <c r="E1710" s="1" t="s">
        <v>929</v>
      </c>
      <c r="F1710" s="1" t="s">
        <v>6562</v>
      </c>
      <c r="I1710" s="1" t="s">
        <v>6006</v>
      </c>
    </row>
    <row r="1711">
      <c r="B1711" s="1" t="s">
        <v>4905</v>
      </c>
      <c r="C1711" s="1" t="s">
        <v>4179</v>
      </c>
      <c r="D1711" s="1" t="s">
        <v>4906</v>
      </c>
      <c r="E1711" s="1" t="s">
        <v>3951</v>
      </c>
      <c r="F1711" s="1" t="s">
        <v>6563</v>
      </c>
      <c r="I1711" s="1" t="s">
        <v>2919</v>
      </c>
    </row>
    <row r="1712">
      <c r="B1712" s="1" t="s">
        <v>3337</v>
      </c>
      <c r="C1712" s="1" t="s">
        <v>5604</v>
      </c>
      <c r="D1712" s="1" t="s">
        <v>4349</v>
      </c>
      <c r="E1712" s="1" t="s">
        <v>3955</v>
      </c>
      <c r="F1712" s="1" t="s">
        <v>3902</v>
      </c>
      <c r="I1712" s="1" t="s">
        <v>2945</v>
      </c>
    </row>
    <row r="1713">
      <c r="B1713" s="1" t="s">
        <v>2109</v>
      </c>
      <c r="C1713" s="1" t="s">
        <v>3800</v>
      </c>
      <c r="D1713" s="1" t="s">
        <v>3233</v>
      </c>
      <c r="E1713" s="1" t="s">
        <v>4821</v>
      </c>
      <c r="F1713" s="1" t="s">
        <v>3238</v>
      </c>
      <c r="I1713" s="1" t="s">
        <v>2767</v>
      </c>
    </row>
    <row r="1714">
      <c r="B1714" s="1" t="s">
        <v>3817</v>
      </c>
      <c r="C1714" s="1" t="s">
        <v>2924</v>
      </c>
      <c r="D1714" s="1" t="s">
        <v>4354</v>
      </c>
      <c r="E1714" s="1" t="s">
        <v>6039</v>
      </c>
      <c r="F1714" s="1" t="s">
        <v>3065</v>
      </c>
      <c r="I1714" s="1" t="s">
        <v>6543</v>
      </c>
    </row>
    <row r="1715">
      <c r="B1715" s="1" t="s">
        <v>4908</v>
      </c>
      <c r="C1715" s="1" t="s">
        <v>3559</v>
      </c>
      <c r="D1715" s="1" t="s">
        <v>4357</v>
      </c>
      <c r="E1715" s="1" t="s">
        <v>4638</v>
      </c>
      <c r="F1715" s="1" t="s">
        <v>4737</v>
      </c>
      <c r="I1715" s="1" t="b">
        <v>0</v>
      </c>
    </row>
    <row r="1716">
      <c r="B1716" s="1" t="s">
        <v>3820</v>
      </c>
      <c r="C1716" s="1" t="s">
        <v>3394</v>
      </c>
      <c r="D1716" s="1" t="s">
        <v>2957</v>
      </c>
      <c r="E1716" s="1" t="s">
        <v>4455</v>
      </c>
      <c r="F1716" s="1" t="s">
        <v>6169</v>
      </c>
      <c r="I1716" s="1" t="s">
        <v>2770</v>
      </c>
    </row>
    <row r="1717">
      <c r="B1717" s="1" t="s">
        <v>3823</v>
      </c>
      <c r="C1717" s="1" t="s">
        <v>889</v>
      </c>
      <c r="D1717" s="1" t="s">
        <v>1090</v>
      </c>
      <c r="E1717" s="1" t="s">
        <v>3966</v>
      </c>
      <c r="F1717" s="1" t="s">
        <v>2836</v>
      </c>
      <c r="I1717" s="1" t="s">
        <v>4113</v>
      </c>
    </row>
    <row r="1718">
      <c r="B1718" s="1" t="s">
        <v>3825</v>
      </c>
      <c r="C1718" s="1" t="s">
        <v>5613</v>
      </c>
      <c r="D1718" s="1" t="s">
        <v>4915</v>
      </c>
      <c r="E1718" s="1" t="s">
        <v>4463</v>
      </c>
      <c r="F1718" s="1" t="s">
        <v>4238</v>
      </c>
      <c r="I1718" s="1" t="s">
        <v>4119</v>
      </c>
    </row>
    <row r="1719">
      <c r="B1719" s="1" t="s">
        <v>2113</v>
      </c>
      <c r="C1719" s="1" t="s">
        <v>175</v>
      </c>
      <c r="D1719" s="1" t="s">
        <v>3236</v>
      </c>
      <c r="E1719" s="1" t="s">
        <v>762</v>
      </c>
      <c r="F1719" s="1" t="s">
        <v>6564</v>
      </c>
      <c r="I1719" s="1" t="s">
        <v>4015</v>
      </c>
    </row>
    <row r="1720">
      <c r="B1720" s="1" t="s">
        <v>3828</v>
      </c>
      <c r="C1720" s="1" t="s">
        <v>1863</v>
      </c>
      <c r="D1720" s="1" t="s">
        <v>3485</v>
      </c>
      <c r="E1720" s="1" t="s">
        <v>1150</v>
      </c>
      <c r="F1720" s="1" t="s">
        <v>4205</v>
      </c>
      <c r="I1720" s="1" t="s">
        <v>4120</v>
      </c>
    </row>
    <row r="1721">
      <c r="B1721" s="1" t="s">
        <v>126</v>
      </c>
      <c r="C1721" s="1" t="s">
        <v>5618</v>
      </c>
      <c r="D1721" s="1" t="s">
        <v>4920</v>
      </c>
      <c r="E1721" s="1" t="s">
        <v>2673</v>
      </c>
      <c r="F1721" s="1" t="s">
        <v>4741</v>
      </c>
      <c r="I1721" s="1" t="s">
        <v>4121</v>
      </c>
    </row>
    <row r="1722">
      <c r="B1722" s="1" t="s">
        <v>3837</v>
      </c>
      <c r="C1722" s="1" t="s">
        <v>5619</v>
      </c>
      <c r="D1722" s="1" t="s">
        <v>1671</v>
      </c>
      <c r="E1722" s="1" t="s">
        <v>6539</v>
      </c>
      <c r="F1722" s="1" t="s">
        <v>3548</v>
      </c>
      <c r="I1722" s="1" t="s">
        <v>4631</v>
      </c>
    </row>
    <row r="1723">
      <c r="B1723" s="1" t="s">
        <v>2117</v>
      </c>
      <c r="C1723" s="1" t="s">
        <v>5061</v>
      </c>
      <c r="D1723" s="1" t="s">
        <v>3240</v>
      </c>
      <c r="E1723" s="1" t="s">
        <v>6540</v>
      </c>
      <c r="F1723" s="1" t="s">
        <v>1597</v>
      </c>
      <c r="I1723" s="1">
        <v>9.0</v>
      </c>
    </row>
    <row r="1724">
      <c r="B1724" s="1" t="s">
        <v>2121</v>
      </c>
      <c r="C1724" s="1" t="s">
        <v>914</v>
      </c>
      <c r="D1724" s="1" t="s">
        <v>1746</v>
      </c>
      <c r="E1724" s="1" t="s">
        <v>1190</v>
      </c>
      <c r="F1724" s="1" t="s">
        <v>4161</v>
      </c>
      <c r="I1724" s="1" t="s">
        <v>2972</v>
      </c>
    </row>
    <row r="1725">
      <c r="B1725" s="1" t="s">
        <v>3846</v>
      </c>
      <c r="C1725" s="1" t="s">
        <v>496</v>
      </c>
      <c r="D1725" s="1" t="s">
        <v>4375</v>
      </c>
      <c r="E1725" s="1" t="s">
        <v>2429</v>
      </c>
      <c r="F1725" s="1" t="s">
        <v>4209</v>
      </c>
      <c r="I1725" s="1" t="s">
        <v>4484</v>
      </c>
    </row>
    <row r="1726">
      <c r="B1726" s="1" t="s">
        <v>1386</v>
      </c>
      <c r="C1726" s="1" t="s">
        <v>1412</v>
      </c>
      <c r="D1726" s="1" t="s">
        <v>4925</v>
      </c>
      <c r="E1726" s="1" t="s">
        <v>2801</v>
      </c>
      <c r="F1726" s="1" t="s">
        <v>3078</v>
      </c>
      <c r="I1726" s="1" t="s">
        <v>2960</v>
      </c>
    </row>
    <row r="1727">
      <c r="B1727" s="1" t="s">
        <v>1392</v>
      </c>
      <c r="C1727" s="1" t="s">
        <v>5623</v>
      </c>
      <c r="D1727" s="1" t="s">
        <v>2963</v>
      </c>
      <c r="E1727" s="1" t="s">
        <v>3059</v>
      </c>
      <c r="F1727" s="1" t="s">
        <v>864</v>
      </c>
      <c r="I1727" s="1" t="s">
        <v>4640</v>
      </c>
    </row>
    <row r="1728">
      <c r="B1728" s="1" t="s">
        <v>484</v>
      </c>
      <c r="C1728" s="1" t="s">
        <v>5625</v>
      </c>
      <c r="D1728" s="1" t="s">
        <v>4926</v>
      </c>
      <c r="E1728" s="1" t="s">
        <v>3980</v>
      </c>
      <c r="F1728" s="1" t="s">
        <v>286</v>
      </c>
      <c r="I1728" s="1" t="s">
        <v>4114</v>
      </c>
    </row>
    <row r="1729">
      <c r="B1729" s="1" t="s">
        <v>3852</v>
      </c>
      <c r="C1729" s="1" t="s">
        <v>5627</v>
      </c>
      <c r="D1729" s="1" t="s">
        <v>4928</v>
      </c>
      <c r="E1729" s="1" t="s">
        <v>294</v>
      </c>
      <c r="F1729" s="1" t="s">
        <v>1611</v>
      </c>
      <c r="I1729" s="1" t="s">
        <v>271</v>
      </c>
    </row>
    <row r="1730">
      <c r="B1730" s="1" t="s">
        <v>3855</v>
      </c>
      <c r="C1730" s="1" t="s">
        <v>4736</v>
      </c>
      <c r="D1730" s="1" t="s">
        <v>3246</v>
      </c>
      <c r="E1730" s="1" t="s">
        <v>6541</v>
      </c>
      <c r="F1730" s="1" t="s">
        <v>1855</v>
      </c>
      <c r="I1730" s="1" t="s">
        <v>2979</v>
      </c>
    </row>
    <row r="1731">
      <c r="B1731" s="1" t="s">
        <v>4929</v>
      </c>
      <c r="C1731" s="1" t="s">
        <v>5461</v>
      </c>
      <c r="D1731" s="1" t="s">
        <v>2967</v>
      </c>
      <c r="E1731" s="1" t="s">
        <v>2804</v>
      </c>
      <c r="F1731" s="1" t="s">
        <v>6565</v>
      </c>
      <c r="I1731" s="1" t="s">
        <v>2735</v>
      </c>
    </row>
    <row r="1732">
      <c r="B1732" s="1" t="s">
        <v>3691</v>
      </c>
      <c r="C1732" s="1" t="s">
        <v>905</v>
      </c>
      <c r="D1732" s="1" t="s">
        <v>4932</v>
      </c>
      <c r="E1732" s="1" t="s">
        <v>2807</v>
      </c>
      <c r="F1732" s="1" t="s">
        <v>3055</v>
      </c>
      <c r="I1732" s="1" t="s">
        <v>1484</v>
      </c>
    </row>
    <row r="1733">
      <c r="B1733" s="1" t="s">
        <v>1399</v>
      </c>
      <c r="C1733" s="1" t="s">
        <v>3358</v>
      </c>
      <c r="D1733" s="1" t="s">
        <v>3730</v>
      </c>
      <c r="E1733" s="1" t="s">
        <v>3985</v>
      </c>
      <c r="F1733" s="1" t="s">
        <v>1621</v>
      </c>
      <c r="I1733" s="1" t="s">
        <v>2985</v>
      </c>
    </row>
    <row r="1734">
      <c r="B1734" s="1" t="s">
        <v>1080</v>
      </c>
      <c r="C1734" s="1" t="s">
        <v>1963</v>
      </c>
      <c r="D1734" s="1" t="s">
        <v>4933</v>
      </c>
      <c r="E1734" s="1" t="s">
        <v>2680</v>
      </c>
      <c r="F1734" s="1" t="s">
        <v>5257</v>
      </c>
      <c r="I1734" s="1" t="s">
        <v>5434</v>
      </c>
    </row>
    <row r="1735">
      <c r="B1735" s="1" t="s">
        <v>4934</v>
      </c>
      <c r="C1735" s="1" t="s">
        <v>5637</v>
      </c>
      <c r="D1735" s="1" t="s">
        <v>2970</v>
      </c>
      <c r="E1735" s="1" t="s">
        <v>3826</v>
      </c>
      <c r="F1735" s="1" t="s">
        <v>6566</v>
      </c>
      <c r="I1735" s="1" t="s">
        <v>1528</v>
      </c>
    </row>
    <row r="1736">
      <c r="B1736" s="1" t="s">
        <v>4936</v>
      </c>
      <c r="C1736" s="1" t="s">
        <v>4062</v>
      </c>
      <c r="D1736" s="1" t="s">
        <v>4937</v>
      </c>
      <c r="E1736" s="1" t="s">
        <v>3990</v>
      </c>
      <c r="F1736" s="1" t="s">
        <v>900</v>
      </c>
      <c r="I1736" s="1" t="s">
        <v>2990</v>
      </c>
    </row>
    <row r="1737">
      <c r="B1737" s="1" t="s">
        <v>3864</v>
      </c>
      <c r="C1737" s="1" t="s">
        <v>1682</v>
      </c>
      <c r="D1737" s="1" t="s">
        <v>4390</v>
      </c>
      <c r="E1737" s="1" t="s">
        <v>1591</v>
      </c>
      <c r="F1737" s="1" t="s">
        <v>4057</v>
      </c>
      <c r="I1737" s="1" t="s">
        <v>5354</v>
      </c>
    </row>
    <row r="1738">
      <c r="B1738" s="1" t="s">
        <v>4938</v>
      </c>
      <c r="C1738" s="1" t="s">
        <v>5642</v>
      </c>
      <c r="D1738" s="1" t="s">
        <v>3250</v>
      </c>
      <c r="E1738" s="1" t="s">
        <v>6542</v>
      </c>
      <c r="F1738" s="1" t="s">
        <v>2314</v>
      </c>
      <c r="I1738" s="1" t="s">
        <v>2788</v>
      </c>
    </row>
    <row r="1739">
      <c r="B1739" s="1" t="s">
        <v>4939</v>
      </c>
      <c r="C1739" s="1" t="s">
        <v>5644</v>
      </c>
      <c r="D1739" s="1" t="s">
        <v>1098</v>
      </c>
      <c r="E1739" s="1" t="s">
        <v>4477</v>
      </c>
      <c r="F1739" s="1" t="s">
        <v>4217</v>
      </c>
      <c r="I1739" s="1" t="s">
        <v>3293</v>
      </c>
    </row>
    <row r="1740">
      <c r="B1740" s="1" t="s">
        <v>2133</v>
      </c>
      <c r="C1740" s="1" t="s">
        <v>2851</v>
      </c>
      <c r="D1740" s="1" t="s">
        <v>4584</v>
      </c>
      <c r="E1740" s="1" t="s">
        <v>3413</v>
      </c>
      <c r="F1740" s="1" t="s">
        <v>980</v>
      </c>
      <c r="I1740" s="1" t="s">
        <v>832</v>
      </c>
    </row>
    <row r="1741">
      <c r="B1741" s="1" t="s">
        <v>3875</v>
      </c>
      <c r="C1741" s="1" t="s">
        <v>4391</v>
      </c>
      <c r="D1741" s="1" t="s">
        <v>919</v>
      </c>
      <c r="E1741" s="1" t="s">
        <v>2039</v>
      </c>
      <c r="F1741" s="1" t="s">
        <v>4218</v>
      </c>
      <c r="I1741" s="1" t="s">
        <v>6567</v>
      </c>
    </row>
    <row r="1742">
      <c r="B1742" s="1" t="s">
        <v>4944</v>
      </c>
      <c r="C1742" s="1" t="s">
        <v>4591</v>
      </c>
      <c r="D1742" s="1" t="s">
        <v>1520</v>
      </c>
      <c r="E1742" s="1" t="s">
        <v>4000</v>
      </c>
      <c r="F1742" s="1" t="s">
        <v>3100</v>
      </c>
      <c r="I1742" s="1" t="s">
        <v>4847</v>
      </c>
    </row>
    <row r="1743">
      <c r="B1743" s="1" t="s">
        <v>1087</v>
      </c>
      <c r="C1743" s="1" t="s">
        <v>3149</v>
      </c>
      <c r="D1743" s="1" t="s">
        <v>925</v>
      </c>
      <c r="E1743" s="1" t="s">
        <v>6527</v>
      </c>
      <c r="F1743" s="1" t="s">
        <v>4954</v>
      </c>
      <c r="I1743" s="1" t="s">
        <v>3965</v>
      </c>
    </row>
    <row r="1744">
      <c r="B1744" s="1" t="s">
        <v>4946</v>
      </c>
      <c r="C1744" s="1" t="s">
        <v>4991</v>
      </c>
      <c r="D1744" s="1" t="s">
        <v>3263</v>
      </c>
      <c r="E1744" s="1" t="s">
        <v>572</v>
      </c>
      <c r="F1744" s="1" t="s">
        <v>1627</v>
      </c>
      <c r="I1744" s="1" t="s">
        <v>273</v>
      </c>
    </row>
    <row r="1745">
      <c r="B1745" s="1" t="s">
        <v>4947</v>
      </c>
      <c r="C1745" s="1" t="s">
        <v>941</v>
      </c>
      <c r="D1745" s="1" t="s">
        <v>3267</v>
      </c>
      <c r="E1745" s="1" t="s">
        <v>6544</v>
      </c>
      <c r="F1745" s="1" t="s">
        <v>3107</v>
      </c>
      <c r="I1745" s="1" t="s">
        <v>632</v>
      </c>
    </row>
    <row r="1746">
      <c r="B1746" s="1" t="s">
        <v>2141</v>
      </c>
      <c r="C1746" s="1" t="s">
        <v>5648</v>
      </c>
      <c r="D1746" s="1" t="s">
        <v>1758</v>
      </c>
      <c r="E1746" s="1" t="s">
        <v>2819</v>
      </c>
      <c r="F1746" s="1" t="s">
        <v>5370</v>
      </c>
      <c r="I1746" s="1" t="s">
        <v>5231</v>
      </c>
    </row>
    <row r="1747">
      <c r="B1747" s="1" t="s">
        <v>4949</v>
      </c>
      <c r="C1747" s="1" t="s">
        <v>2375</v>
      </c>
      <c r="D1747" s="1" t="s">
        <v>4952</v>
      </c>
      <c r="E1747" s="1" t="s">
        <v>4485</v>
      </c>
      <c r="F1747" s="1" t="s">
        <v>4226</v>
      </c>
      <c r="I1747" s="1" t="s">
        <v>4145</v>
      </c>
    </row>
    <row r="1748">
      <c r="B1748" s="1" t="s">
        <v>4953</v>
      </c>
      <c r="C1748" s="1" t="s">
        <v>5652</v>
      </c>
      <c r="D1748" s="1" t="s">
        <v>4957</v>
      </c>
      <c r="E1748" s="1" t="s">
        <v>6545</v>
      </c>
      <c r="F1748" s="1" t="s">
        <v>1389</v>
      </c>
      <c r="I1748" s="1" t="s">
        <v>4142</v>
      </c>
    </row>
    <row r="1749">
      <c r="B1749" s="1" t="s">
        <v>4958</v>
      </c>
      <c r="C1749" s="1" t="s">
        <v>5654</v>
      </c>
      <c r="D1749" s="1" t="s">
        <v>2983</v>
      </c>
      <c r="E1749" s="1" t="s">
        <v>4044</v>
      </c>
      <c r="F1749" s="1" t="s">
        <v>1010</v>
      </c>
      <c r="I1749" s="1" t="s">
        <v>6549</v>
      </c>
    </row>
    <row r="1750">
      <c r="B1750" s="1" t="s">
        <v>3883</v>
      </c>
      <c r="C1750" s="1" t="s">
        <v>5656</v>
      </c>
      <c r="D1750" s="1" t="s">
        <v>535</v>
      </c>
      <c r="E1750" s="1" t="s">
        <v>777</v>
      </c>
      <c r="F1750" s="1" t="s">
        <v>870</v>
      </c>
      <c r="I1750" s="1" t="s">
        <v>4148</v>
      </c>
    </row>
    <row r="1751">
      <c r="B1751" s="1" t="s">
        <v>3886</v>
      </c>
      <c r="C1751" s="1" t="s">
        <v>5657</v>
      </c>
      <c r="D1751" s="1" t="s">
        <v>1107</v>
      </c>
      <c r="E1751" s="1" t="s">
        <v>921</v>
      </c>
      <c r="F1751" s="1" t="s">
        <v>1017</v>
      </c>
      <c r="I1751" s="1" t="s">
        <v>1977</v>
      </c>
    </row>
    <row r="1752">
      <c r="B1752" s="1" t="s">
        <v>4369</v>
      </c>
      <c r="C1752" s="1" t="s">
        <v>5245</v>
      </c>
      <c r="D1752" s="1" t="s">
        <v>4962</v>
      </c>
      <c r="E1752" s="1" t="s">
        <v>2723</v>
      </c>
      <c r="F1752" s="1" t="s">
        <v>4242</v>
      </c>
      <c r="I1752" s="1" t="s">
        <v>2793</v>
      </c>
    </row>
    <row r="1753">
      <c r="B1753" s="1" t="s">
        <v>277</v>
      </c>
      <c r="C1753" s="1" t="s">
        <v>4341</v>
      </c>
      <c r="D1753" s="1" t="s">
        <v>3279</v>
      </c>
      <c r="E1753" s="1" t="s">
        <v>6528</v>
      </c>
      <c r="F1753" s="1" t="s">
        <v>4770</v>
      </c>
      <c r="I1753" s="1" t="s">
        <v>3432</v>
      </c>
    </row>
    <row r="1754">
      <c r="B1754" s="1" t="s">
        <v>3891</v>
      </c>
      <c r="C1754" s="1" t="s">
        <v>4389</v>
      </c>
      <c r="D1754" s="1" t="s">
        <v>4405</v>
      </c>
      <c r="E1754" s="1" t="s">
        <v>4680</v>
      </c>
      <c r="F1754" s="1" t="s">
        <v>3122</v>
      </c>
      <c r="I1754" s="1" t="s">
        <v>4665</v>
      </c>
    </row>
    <row r="1755">
      <c r="B1755" s="1" t="s">
        <v>4965</v>
      </c>
      <c r="C1755" s="1" t="s">
        <v>2549</v>
      </c>
      <c r="D1755" s="1" t="s">
        <v>1132</v>
      </c>
      <c r="E1755" s="1" t="s">
        <v>1111</v>
      </c>
      <c r="F1755" s="1" t="s">
        <v>4773</v>
      </c>
      <c r="I1755" s="1" t="s">
        <v>4667</v>
      </c>
    </row>
    <row r="1756">
      <c r="B1756" s="1" t="s">
        <v>1407</v>
      </c>
      <c r="C1756" s="1" t="s">
        <v>5275</v>
      </c>
      <c r="D1756" s="1" t="s">
        <v>3168</v>
      </c>
      <c r="E1756" s="1" t="s">
        <v>2089</v>
      </c>
      <c r="F1756" s="1" t="s">
        <v>1026</v>
      </c>
      <c r="I1756" s="1" t="s">
        <v>4158</v>
      </c>
    </row>
    <row r="1757">
      <c r="B1757" s="1" t="s">
        <v>4968</v>
      </c>
      <c r="C1757" s="1" t="s">
        <v>5049</v>
      </c>
      <c r="D1757" s="1" t="s">
        <v>930</v>
      </c>
      <c r="E1757" s="1" t="s">
        <v>4497</v>
      </c>
      <c r="F1757" s="1" t="s">
        <v>67</v>
      </c>
      <c r="I1757" s="1" t="s">
        <v>4155</v>
      </c>
    </row>
    <row r="1758">
      <c r="B1758" s="1" t="s">
        <v>922</v>
      </c>
      <c r="C1758" s="1" t="s">
        <v>3917</v>
      </c>
      <c r="D1758" s="1" t="s">
        <v>707</v>
      </c>
      <c r="E1758" s="1" t="s">
        <v>4500</v>
      </c>
      <c r="F1758" s="1" t="s">
        <v>3126</v>
      </c>
      <c r="I1758" s="1" t="s">
        <v>6568</v>
      </c>
    </row>
    <row r="1759">
      <c r="B1759" s="1" t="s">
        <v>3900</v>
      </c>
      <c r="C1759" s="1" t="s">
        <v>2509</v>
      </c>
      <c r="D1759" s="1" t="s">
        <v>2996</v>
      </c>
      <c r="E1759" s="1" t="s">
        <v>2503</v>
      </c>
      <c r="F1759" s="1" t="s">
        <v>3862</v>
      </c>
      <c r="I1759" s="1" t="s">
        <v>4671</v>
      </c>
    </row>
    <row r="1760">
      <c r="B1760" s="1" t="s">
        <v>4972</v>
      </c>
      <c r="C1760" s="1" t="s">
        <v>3329</v>
      </c>
      <c r="D1760" s="1" t="s">
        <v>3294</v>
      </c>
      <c r="E1760" s="1" t="s">
        <v>4039</v>
      </c>
      <c r="F1760" s="1" t="s">
        <v>886</v>
      </c>
      <c r="I1760" s="1" t="s">
        <v>4869</v>
      </c>
    </row>
    <row r="1761">
      <c r="B1761" s="1" t="s">
        <v>3903</v>
      </c>
      <c r="C1761" s="1" t="s">
        <v>3658</v>
      </c>
      <c r="D1761" s="1" t="s">
        <v>3298</v>
      </c>
      <c r="E1761" s="1" t="s">
        <v>4035</v>
      </c>
      <c r="F1761" s="1" t="s">
        <v>4987</v>
      </c>
      <c r="I1761" s="1" t="s">
        <v>1650</v>
      </c>
    </row>
    <row r="1762">
      <c r="B1762" s="1" t="s">
        <v>4975</v>
      </c>
      <c r="C1762" s="1" t="s">
        <v>5037</v>
      </c>
      <c r="D1762" s="1" t="s">
        <v>1772</v>
      </c>
      <c r="E1762" s="1" t="s">
        <v>1533</v>
      </c>
      <c r="F1762" s="1" t="s">
        <v>4255</v>
      </c>
      <c r="I1762" s="1" t="s">
        <v>4599</v>
      </c>
    </row>
    <row r="1763">
      <c r="B1763" s="1" t="s">
        <v>1417</v>
      </c>
      <c r="C1763" s="1" t="s">
        <v>5667</v>
      </c>
      <c r="D1763" s="1" t="s">
        <v>4422</v>
      </c>
      <c r="E1763" s="1" t="s">
        <v>6546</v>
      </c>
      <c r="F1763" s="1" t="s">
        <v>4785</v>
      </c>
      <c r="I1763" s="1" t="s">
        <v>1988</v>
      </c>
    </row>
    <row r="1764">
      <c r="B1764" s="1" t="s">
        <v>3906</v>
      </c>
      <c r="C1764" s="1" t="s">
        <v>1509</v>
      </c>
      <c r="D1764" s="1" t="s">
        <v>3307</v>
      </c>
      <c r="E1764" s="1" t="s">
        <v>2696</v>
      </c>
      <c r="F1764" s="1" t="s">
        <v>4991</v>
      </c>
      <c r="I1764" s="1" t="s">
        <v>4873</v>
      </c>
    </row>
    <row r="1765">
      <c r="B1765" s="1" t="s">
        <v>2143</v>
      </c>
      <c r="C1765" s="1" t="s">
        <v>5668</v>
      </c>
      <c r="D1765" s="1" t="s">
        <v>940</v>
      </c>
      <c r="E1765" s="1" t="s">
        <v>2838</v>
      </c>
      <c r="F1765" s="1" t="s">
        <v>4789</v>
      </c>
      <c r="I1765" s="1" t="s">
        <v>4166</v>
      </c>
    </row>
    <row r="1766">
      <c r="B1766" s="1" t="s">
        <v>1095</v>
      </c>
      <c r="C1766" s="1" t="s">
        <v>3078</v>
      </c>
      <c r="D1766" s="1" t="s">
        <v>1784</v>
      </c>
      <c r="E1766" s="1" t="s">
        <v>6547</v>
      </c>
      <c r="F1766" s="1" t="s">
        <v>1036</v>
      </c>
      <c r="I1766" s="1" t="s">
        <v>5364</v>
      </c>
    </row>
    <row r="1767">
      <c r="B1767" s="1" t="s">
        <v>4979</v>
      </c>
      <c r="C1767" s="1" t="s">
        <v>5671</v>
      </c>
      <c r="D1767" s="1" t="s">
        <v>4426</v>
      </c>
      <c r="E1767" s="1" t="s">
        <v>6532</v>
      </c>
      <c r="F1767" s="1" t="s">
        <v>3507</v>
      </c>
      <c r="I1767" s="1" t="s">
        <v>6569</v>
      </c>
    </row>
    <row r="1768">
      <c r="B1768" s="1" t="s">
        <v>134</v>
      </c>
      <c r="C1768" s="1" t="s">
        <v>1317</v>
      </c>
      <c r="D1768" s="1" t="s">
        <v>2340</v>
      </c>
      <c r="E1768" s="1" t="s">
        <v>2704</v>
      </c>
      <c r="F1768" s="1" t="s">
        <v>1790</v>
      </c>
      <c r="I1768" s="1" t="s">
        <v>1444</v>
      </c>
    </row>
    <row r="1769">
      <c r="B1769" s="1" t="s">
        <v>1441</v>
      </c>
      <c r="C1769" s="1" t="s">
        <v>4220</v>
      </c>
      <c r="D1769" s="1" t="s">
        <v>948</v>
      </c>
      <c r="E1769" s="1" t="s">
        <v>4530</v>
      </c>
      <c r="F1769" s="1" t="s">
        <v>2872</v>
      </c>
      <c r="I1769" s="1" t="s">
        <v>4687</v>
      </c>
    </row>
    <row r="1770">
      <c r="B1770" s="1" t="s">
        <v>4983</v>
      </c>
      <c r="C1770" s="1" t="s">
        <v>5674</v>
      </c>
      <c r="D1770" s="1" t="s">
        <v>3319</v>
      </c>
      <c r="E1770" s="1" t="s">
        <v>4046</v>
      </c>
      <c r="F1770" s="1" t="s">
        <v>4709</v>
      </c>
      <c r="I1770" s="1" t="s">
        <v>3017</v>
      </c>
    </row>
    <row r="1771">
      <c r="B1771" s="1" t="s">
        <v>4985</v>
      </c>
      <c r="C1771" s="1" t="s">
        <v>2199</v>
      </c>
      <c r="D1771" s="1" t="s">
        <v>1798</v>
      </c>
      <c r="E1771" s="1" t="s">
        <v>3685</v>
      </c>
      <c r="F1771" s="1" t="s">
        <v>5374</v>
      </c>
      <c r="I1771" s="1" t="s">
        <v>4474</v>
      </c>
    </row>
    <row r="1772">
      <c r="B1772" s="1" t="s">
        <v>3919</v>
      </c>
      <c r="C1772" s="1" t="s">
        <v>2849</v>
      </c>
      <c r="D1772" s="1" t="s">
        <v>1804</v>
      </c>
      <c r="E1772" s="1" t="s">
        <v>4708</v>
      </c>
      <c r="F1772" s="1" t="s">
        <v>2875</v>
      </c>
      <c r="I1772" s="1" t="s">
        <v>1050</v>
      </c>
    </row>
    <row r="1773">
      <c r="B1773" s="1" t="s">
        <v>2154</v>
      </c>
      <c r="C1773" s="1" t="s">
        <v>3848</v>
      </c>
      <c r="D1773" s="1" t="s">
        <v>3328</v>
      </c>
      <c r="E1773" s="1" t="s">
        <v>4710</v>
      </c>
      <c r="F1773" s="1" t="s">
        <v>1042</v>
      </c>
      <c r="I1773" s="1" t="s">
        <v>4403</v>
      </c>
    </row>
    <row r="1774">
      <c r="B1774" s="1" t="s">
        <v>1106</v>
      </c>
      <c r="C1774" s="1" t="s">
        <v>4279</v>
      </c>
      <c r="D1774" s="1" t="s">
        <v>4436</v>
      </c>
      <c r="E1774" s="1" t="s">
        <v>4049</v>
      </c>
      <c r="F1774" s="1" t="s">
        <v>2879</v>
      </c>
      <c r="I1774" s="1" t="s">
        <v>4176</v>
      </c>
    </row>
    <row r="1775">
      <c r="B1775" s="1" t="s">
        <v>4989</v>
      </c>
      <c r="C1775" s="1" t="s">
        <v>5677</v>
      </c>
      <c r="D1775" s="1" t="s">
        <v>4438</v>
      </c>
      <c r="E1775" s="1" t="s">
        <v>6548</v>
      </c>
      <c r="F1775" s="1" t="s">
        <v>3134</v>
      </c>
      <c r="I1775" s="1" t="s">
        <v>4182</v>
      </c>
    </row>
    <row r="1776">
      <c r="B1776" s="1" t="s">
        <v>2157</v>
      </c>
      <c r="C1776" s="1" t="s">
        <v>5678</v>
      </c>
      <c r="D1776" s="1" t="s">
        <v>536</v>
      </c>
      <c r="E1776" s="1" t="s">
        <v>6533</v>
      </c>
      <c r="F1776" s="1" t="s">
        <v>1652</v>
      </c>
      <c r="I1776" s="1" t="s">
        <v>4180</v>
      </c>
    </row>
    <row r="1777">
      <c r="B1777" s="1" t="s">
        <v>2161</v>
      </c>
      <c r="C1777" s="1" t="s">
        <v>5679</v>
      </c>
      <c r="D1777" s="1" t="s">
        <v>4995</v>
      </c>
      <c r="E1777" s="1" t="s">
        <v>1513</v>
      </c>
      <c r="F1777" s="1" t="s">
        <v>4456</v>
      </c>
      <c r="I1777" s="1" t="s">
        <v>4696</v>
      </c>
    </row>
    <row r="1778">
      <c r="B1778" s="1" t="s">
        <v>1113</v>
      </c>
      <c r="C1778" s="1" t="s">
        <v>2470</v>
      </c>
      <c r="D1778" s="1" t="s">
        <v>3335</v>
      </c>
      <c r="E1778" s="1" t="s">
        <v>2858</v>
      </c>
      <c r="F1778" s="1" t="s">
        <v>1661</v>
      </c>
      <c r="I1778" s="1" t="s">
        <v>2813</v>
      </c>
    </row>
    <row r="1779">
      <c r="B1779" s="1" t="s">
        <v>2169</v>
      </c>
      <c r="C1779" s="1" t="s">
        <v>5680</v>
      </c>
      <c r="D1779" s="1" t="s">
        <v>4441</v>
      </c>
      <c r="E1779" s="1" t="s">
        <v>4053</v>
      </c>
      <c r="F1779" s="1" t="s">
        <v>2890</v>
      </c>
      <c r="I1779" s="1" t="s">
        <v>6570</v>
      </c>
    </row>
    <row r="1780">
      <c r="B1780" s="1" t="s">
        <v>4715</v>
      </c>
      <c r="C1780" s="1" t="s">
        <v>4568</v>
      </c>
      <c r="D1780" s="1" t="s">
        <v>1810</v>
      </c>
      <c r="E1780" s="1" t="s">
        <v>1451</v>
      </c>
      <c r="F1780" s="1" t="s">
        <v>893</v>
      </c>
      <c r="I1780" s="1" t="s">
        <v>1571</v>
      </c>
    </row>
    <row r="1781">
      <c r="B1781" s="1" t="s">
        <v>3641</v>
      </c>
      <c r="C1781" s="1" t="s">
        <v>5682</v>
      </c>
      <c r="D1781" s="1" t="s">
        <v>4997</v>
      </c>
      <c r="E1781" s="1" t="s">
        <v>6550</v>
      </c>
      <c r="F1781" s="1" t="s">
        <v>1674</v>
      </c>
      <c r="I1781" s="1" t="s">
        <v>4445</v>
      </c>
    </row>
    <row r="1782">
      <c r="B1782" s="1" t="s">
        <v>4998</v>
      </c>
      <c r="C1782" s="1" t="s">
        <v>5687</v>
      </c>
      <c r="D1782" s="1" t="s">
        <v>3016</v>
      </c>
      <c r="E1782" s="1" t="s">
        <v>3807</v>
      </c>
      <c r="F1782" s="1" t="s">
        <v>1686</v>
      </c>
      <c r="I1782" s="1" t="s">
        <v>2544</v>
      </c>
    </row>
    <row r="1783">
      <c r="B1783" s="1" t="s">
        <v>3935</v>
      </c>
      <c r="C1783" s="1" t="s">
        <v>2487</v>
      </c>
      <c r="D1783" s="1" t="s">
        <v>4447</v>
      </c>
      <c r="E1783" s="1" t="s">
        <v>4724</v>
      </c>
      <c r="F1783" s="1" t="s">
        <v>1679</v>
      </c>
      <c r="I1783" s="1" t="s">
        <v>2818</v>
      </c>
    </row>
    <row r="1784">
      <c r="B1784" s="1" t="s">
        <v>3938</v>
      </c>
      <c r="C1784" s="1" t="s">
        <v>2581</v>
      </c>
      <c r="D1784" s="1" t="s">
        <v>3342</v>
      </c>
      <c r="E1784" s="1" t="s">
        <v>1672</v>
      </c>
      <c r="F1784" s="1" t="s">
        <v>4267</v>
      </c>
      <c r="I1784" s="1" t="s">
        <v>6571</v>
      </c>
    </row>
    <row r="1785">
      <c r="B1785" s="1" t="s">
        <v>5000</v>
      </c>
      <c r="C1785" s="1" t="s">
        <v>5283</v>
      </c>
      <c r="D1785" s="1" t="s">
        <v>3345</v>
      </c>
      <c r="E1785" s="1" t="s">
        <v>1602</v>
      </c>
      <c r="F1785" s="1" t="s">
        <v>4816</v>
      </c>
      <c r="I1785" s="1" t="s">
        <v>4189</v>
      </c>
    </row>
    <row r="1786">
      <c r="B1786" s="1" t="s">
        <v>1122</v>
      </c>
      <c r="C1786" s="1" t="s">
        <v>4687</v>
      </c>
      <c r="D1786" s="1" t="s">
        <v>3351</v>
      </c>
      <c r="E1786" s="1" t="s">
        <v>6420</v>
      </c>
      <c r="F1786" s="1" t="s">
        <v>347</v>
      </c>
      <c r="I1786" s="1" t="s">
        <v>6557</v>
      </c>
    </row>
    <row r="1787">
      <c r="B1787" s="1" t="s">
        <v>5003</v>
      </c>
      <c r="C1787" s="1" t="s">
        <v>5690</v>
      </c>
      <c r="D1787" s="1" t="s">
        <v>1814</v>
      </c>
      <c r="E1787" s="1" t="s">
        <v>3098</v>
      </c>
      <c r="F1787" s="1" t="s">
        <v>4823</v>
      </c>
      <c r="I1787" s="1" t="s">
        <v>92</v>
      </c>
    </row>
    <row r="1788">
      <c r="B1788" s="1" t="s">
        <v>1128</v>
      </c>
      <c r="C1788" s="1" t="s">
        <v>3608</v>
      </c>
      <c r="D1788" s="1" t="s">
        <v>766</v>
      </c>
      <c r="E1788" s="1" t="s">
        <v>4139</v>
      </c>
      <c r="F1788" s="1" t="s">
        <v>4270</v>
      </c>
      <c r="I1788" s="1" t="s">
        <v>6572</v>
      </c>
    </row>
    <row r="1789">
      <c r="B1789" s="1" t="s">
        <v>4184</v>
      </c>
      <c r="C1789" s="1" t="s">
        <v>931</v>
      </c>
      <c r="D1789" s="1" t="s">
        <v>279</v>
      </c>
      <c r="E1789" s="1" t="s">
        <v>2726</v>
      </c>
      <c r="F1789" s="1" t="s">
        <v>2981</v>
      </c>
      <c r="I1789" s="1" t="s">
        <v>3320</v>
      </c>
    </row>
    <row r="1790">
      <c r="B1790" s="1" t="s">
        <v>3954</v>
      </c>
      <c r="C1790" s="1" t="s">
        <v>3158</v>
      </c>
      <c r="D1790" s="1" t="s">
        <v>5006</v>
      </c>
      <c r="E1790" s="1" t="s">
        <v>4278</v>
      </c>
      <c r="F1790" s="1" t="s">
        <v>3819</v>
      </c>
      <c r="I1790" s="1" t="s">
        <v>2542</v>
      </c>
    </row>
    <row r="1791">
      <c r="B1791" s="1" t="s">
        <v>3957</v>
      </c>
      <c r="C1791" s="1" t="s">
        <v>2202</v>
      </c>
      <c r="D1791" s="1" t="s">
        <v>4458</v>
      </c>
      <c r="E1791" s="1" t="s">
        <v>4738</v>
      </c>
      <c r="F1791" s="1" t="s">
        <v>3163</v>
      </c>
      <c r="I1791" s="1" t="s">
        <v>6559</v>
      </c>
    </row>
    <row r="1792">
      <c r="B1792" s="1" t="s">
        <v>3399</v>
      </c>
      <c r="C1792" s="1" t="s">
        <v>4416</v>
      </c>
      <c r="D1792" s="1" t="s">
        <v>3355</v>
      </c>
      <c r="E1792" s="1" t="s">
        <v>4062</v>
      </c>
      <c r="F1792" s="1" t="s">
        <v>897</v>
      </c>
      <c r="I1792" s="1" t="s">
        <v>4655</v>
      </c>
    </row>
    <row r="1793">
      <c r="B1793" s="1" t="s">
        <v>2181</v>
      </c>
      <c r="C1793" s="1" t="s">
        <v>5697</v>
      </c>
      <c r="D1793" s="1" t="s">
        <v>3358</v>
      </c>
      <c r="E1793" s="1" t="s">
        <v>4555</v>
      </c>
      <c r="F1793" s="1" t="s">
        <v>4587</v>
      </c>
      <c r="I1793" s="1" t="s">
        <v>891</v>
      </c>
    </row>
    <row r="1794">
      <c r="B1794" s="1" t="s">
        <v>5011</v>
      </c>
      <c r="C1794" s="1" t="s">
        <v>5698</v>
      </c>
      <c r="D1794" s="1" t="s">
        <v>4394</v>
      </c>
      <c r="E1794" s="1" t="s">
        <v>2732</v>
      </c>
      <c r="F1794" s="1" t="s">
        <v>901</v>
      </c>
      <c r="I1794" s="1" t="s">
        <v>2821</v>
      </c>
    </row>
    <row r="1795">
      <c r="B1795" s="1" t="s">
        <v>3967</v>
      </c>
      <c r="C1795" s="1" t="s">
        <v>1563</v>
      </c>
      <c r="D1795" s="1" t="s">
        <v>1822</v>
      </c>
      <c r="E1795" s="1" t="s">
        <v>6552</v>
      </c>
      <c r="F1795" s="1" t="s">
        <v>4757</v>
      </c>
      <c r="I1795" s="1" t="s">
        <v>2461</v>
      </c>
    </row>
    <row r="1796">
      <c r="B1796" s="1" t="s">
        <v>1454</v>
      </c>
      <c r="C1796" s="1" t="s">
        <v>4141</v>
      </c>
      <c r="D1796" s="1" t="s">
        <v>5014</v>
      </c>
      <c r="E1796" s="1" t="s">
        <v>4558</v>
      </c>
      <c r="F1796" s="1" t="s">
        <v>783</v>
      </c>
      <c r="I1796" s="1" t="s">
        <v>3770</v>
      </c>
    </row>
    <row r="1797">
      <c r="B1797" s="1" t="s">
        <v>1336</v>
      </c>
      <c r="C1797" s="1" t="s">
        <v>5207</v>
      </c>
      <c r="D1797" s="1" t="s">
        <v>3363</v>
      </c>
      <c r="E1797" s="1" t="s">
        <v>4744</v>
      </c>
      <c r="F1797" s="1">
        <v>30.0</v>
      </c>
      <c r="I1797" s="1" t="s">
        <v>4494</v>
      </c>
    </row>
    <row r="1798">
      <c r="B1798" s="1" t="s">
        <v>3407</v>
      </c>
      <c r="C1798" s="1" t="s">
        <v>2772</v>
      </c>
      <c r="D1798" s="1" t="s">
        <v>5016</v>
      </c>
      <c r="E1798" s="1" t="s">
        <v>4750</v>
      </c>
      <c r="F1798" s="1" t="s">
        <v>1066</v>
      </c>
      <c r="I1798" s="1" t="s">
        <v>1448</v>
      </c>
    </row>
    <row r="1799">
      <c r="B1799" s="1" t="s">
        <v>3969</v>
      </c>
      <c r="C1799" s="1" t="s">
        <v>5701</v>
      </c>
      <c r="D1799" s="1" t="s">
        <v>686</v>
      </c>
      <c r="E1799" s="1" t="s">
        <v>6553</v>
      </c>
      <c r="F1799" s="1" t="s">
        <v>4838</v>
      </c>
      <c r="I1799" s="1" t="s">
        <v>2826</v>
      </c>
    </row>
    <row r="1800">
      <c r="B1800" s="1" t="s">
        <v>1459</v>
      </c>
      <c r="C1800" s="1" t="s">
        <v>5704</v>
      </c>
      <c r="D1800" s="1" t="s">
        <v>4466</v>
      </c>
      <c r="E1800" s="1" t="s">
        <v>4563</v>
      </c>
      <c r="F1800" s="1" t="s">
        <v>714</v>
      </c>
      <c r="I1800" s="1" t="s">
        <v>2355</v>
      </c>
    </row>
    <row r="1801">
      <c r="B1801" s="1" t="s">
        <v>1468</v>
      </c>
      <c r="C1801" s="1" t="s">
        <v>5707</v>
      </c>
      <c r="D1801" s="1" t="s">
        <v>3031</v>
      </c>
      <c r="E1801" s="1" t="s">
        <v>4188</v>
      </c>
      <c r="F1801" s="1" t="s">
        <v>1721</v>
      </c>
      <c r="I1801" s="1" t="s">
        <v>2829</v>
      </c>
    </row>
    <row r="1802">
      <c r="B1802" s="1" t="s">
        <v>3973</v>
      </c>
      <c r="C1802" s="1" t="s">
        <v>1490</v>
      </c>
      <c r="D1802" s="1" t="s">
        <v>1130</v>
      </c>
      <c r="E1802" s="1" t="s">
        <v>703</v>
      </c>
      <c r="F1802" s="1" t="s">
        <v>3180</v>
      </c>
      <c r="I1802" s="1" t="s">
        <v>6562</v>
      </c>
    </row>
    <row r="1803">
      <c r="B1803" s="1" t="s">
        <v>3975</v>
      </c>
      <c r="C1803" s="1" t="s">
        <v>4726</v>
      </c>
      <c r="D1803" s="1" t="s">
        <v>3035</v>
      </c>
      <c r="E1803" s="1" t="s">
        <v>2868</v>
      </c>
      <c r="F1803" s="1" t="s">
        <v>4285</v>
      </c>
      <c r="I1803" s="1" t="s">
        <v>3238</v>
      </c>
    </row>
    <row r="1804">
      <c r="B1804" s="1" t="s">
        <v>2185</v>
      </c>
      <c r="C1804" s="1" t="s">
        <v>637</v>
      </c>
      <c r="D1804" s="1" t="s">
        <v>3372</v>
      </c>
      <c r="E1804" s="1" t="s">
        <v>6535</v>
      </c>
      <c r="F1804" s="1" t="s">
        <v>3184</v>
      </c>
      <c r="I1804" s="1" t="s">
        <v>6573</v>
      </c>
    </row>
    <row r="1805">
      <c r="B1805" s="1" t="s">
        <v>3411</v>
      </c>
      <c r="C1805" s="1" t="s">
        <v>3781</v>
      </c>
      <c r="D1805" s="1" t="s">
        <v>1826</v>
      </c>
      <c r="E1805" s="1" t="s">
        <v>4075</v>
      </c>
      <c r="F1805" s="1" t="s">
        <v>2917</v>
      </c>
      <c r="I1805" s="1" t="s">
        <v>3065</v>
      </c>
    </row>
    <row r="1806">
      <c r="B1806" s="1" t="s">
        <v>5026</v>
      </c>
      <c r="C1806" s="1" t="s">
        <v>3907</v>
      </c>
      <c r="D1806" s="1" t="s">
        <v>3380</v>
      </c>
      <c r="E1806" s="1" t="s">
        <v>4856</v>
      </c>
      <c r="F1806" s="1" t="s">
        <v>3192</v>
      </c>
      <c r="I1806" s="1" t="s">
        <v>4734</v>
      </c>
    </row>
    <row r="1807">
      <c r="B1807" s="1" t="s">
        <v>629</v>
      </c>
      <c r="C1807" s="1" t="s">
        <v>40</v>
      </c>
      <c r="D1807" s="1" t="s">
        <v>1262</v>
      </c>
      <c r="E1807" s="1" t="s">
        <v>6556</v>
      </c>
      <c r="F1807" s="1" t="s">
        <v>1076</v>
      </c>
      <c r="I1807" s="1" t="s">
        <v>2836</v>
      </c>
    </row>
    <row r="1808">
      <c r="B1808" s="1" t="s">
        <v>2190</v>
      </c>
      <c r="C1808" s="1" t="s">
        <v>5242</v>
      </c>
      <c r="D1808" s="1" t="s">
        <v>3385</v>
      </c>
      <c r="E1808" s="1" t="s">
        <v>4421</v>
      </c>
      <c r="F1808" s="1" t="s">
        <v>3195</v>
      </c>
      <c r="I1808" s="1" t="s">
        <v>4238</v>
      </c>
    </row>
    <row r="1809">
      <c r="B1809" s="1" t="s">
        <v>336</v>
      </c>
      <c r="C1809" s="1" t="s">
        <v>5719</v>
      </c>
      <c r="D1809" s="1" t="s">
        <v>4472</v>
      </c>
      <c r="E1809" s="1" t="s">
        <v>3472</v>
      </c>
      <c r="F1809" s="1" t="s">
        <v>2926</v>
      </c>
      <c r="I1809" s="1" t="s">
        <v>6564</v>
      </c>
    </row>
    <row r="1810">
      <c r="B1810" s="1" t="s">
        <v>1134</v>
      </c>
      <c r="C1810" s="1" t="s">
        <v>3670</v>
      </c>
      <c r="D1810" s="1" t="s">
        <v>3387</v>
      </c>
      <c r="E1810" s="1" t="s">
        <v>944</v>
      </c>
      <c r="F1810" s="1" t="s">
        <v>4862</v>
      </c>
      <c r="I1810" s="1" t="s">
        <v>6574</v>
      </c>
    </row>
    <row r="1811">
      <c r="B1811" s="1" t="s">
        <v>1140</v>
      </c>
      <c r="C1811" s="1" t="s">
        <v>5721</v>
      </c>
      <c r="D1811" s="1" t="s">
        <v>964</v>
      </c>
      <c r="E1811" s="1" t="s">
        <v>4572</v>
      </c>
      <c r="F1811" s="1" t="s">
        <v>4298</v>
      </c>
      <c r="I1811" s="1" t="s">
        <v>2844</v>
      </c>
    </row>
    <row r="1812">
      <c r="B1812" s="1" t="s">
        <v>5031</v>
      </c>
      <c r="C1812" s="1" t="s">
        <v>5724</v>
      </c>
      <c r="D1812" s="1" t="s">
        <v>3391</v>
      </c>
      <c r="E1812" s="1" t="s">
        <v>94</v>
      </c>
      <c r="F1812" s="1" t="s">
        <v>4301</v>
      </c>
      <c r="I1812" s="1" t="s">
        <v>2477</v>
      </c>
    </row>
    <row r="1813">
      <c r="B1813" s="1" t="s">
        <v>4077</v>
      </c>
      <c r="C1813" s="1" t="s">
        <v>1454</v>
      </c>
      <c r="D1813" s="1" t="s">
        <v>3393</v>
      </c>
      <c r="E1813" s="1" t="s">
        <v>2042</v>
      </c>
      <c r="F1813" s="1" t="s">
        <v>6575</v>
      </c>
      <c r="I1813" s="1" t="s">
        <v>4741</v>
      </c>
    </row>
    <row r="1814">
      <c r="B1814" s="1">
        <v>89.0</v>
      </c>
      <c r="C1814" s="1" t="s">
        <v>3966</v>
      </c>
      <c r="D1814" s="1" t="s">
        <v>3039</v>
      </c>
      <c r="E1814" s="1" t="s">
        <v>2348</v>
      </c>
      <c r="F1814" s="1" t="s">
        <v>2931</v>
      </c>
      <c r="I1814" s="1" t="s">
        <v>1666</v>
      </c>
    </row>
    <row r="1815">
      <c r="B1815" s="1" t="s">
        <v>2204</v>
      </c>
      <c r="C1815" s="1" t="s">
        <v>951</v>
      </c>
      <c r="D1815" s="1" t="s">
        <v>1658</v>
      </c>
      <c r="E1815" s="1" t="s">
        <v>6558</v>
      </c>
      <c r="F1815" s="1" t="s">
        <v>4313</v>
      </c>
      <c r="I1815" s="1" t="s">
        <v>4209</v>
      </c>
    </row>
    <row r="1816">
      <c r="B1816" s="1" t="s">
        <v>5034</v>
      </c>
      <c r="C1816" s="1" t="s">
        <v>2177</v>
      </c>
      <c r="D1816" s="1" t="s">
        <v>1835</v>
      </c>
      <c r="E1816" s="1" t="s">
        <v>639</v>
      </c>
      <c r="F1816" s="1" t="s">
        <v>4318</v>
      </c>
      <c r="I1816" s="1" t="s">
        <v>4161</v>
      </c>
    </row>
    <row r="1817">
      <c r="B1817" s="1" t="s">
        <v>5036</v>
      </c>
      <c r="C1817" s="1" t="s">
        <v>1996</v>
      </c>
      <c r="D1817" s="1" t="s">
        <v>1841</v>
      </c>
      <c r="E1817" s="1" t="s">
        <v>2896</v>
      </c>
      <c r="F1817" s="1" t="s">
        <v>3317</v>
      </c>
      <c r="I1817" s="1" t="s">
        <v>2849</v>
      </c>
    </row>
    <row r="1818">
      <c r="B1818" s="1" t="s">
        <v>5037</v>
      </c>
      <c r="C1818" s="1" t="s">
        <v>5728</v>
      </c>
      <c r="D1818" s="1" t="s">
        <v>4776</v>
      </c>
      <c r="E1818" s="1" t="s">
        <v>910</v>
      </c>
      <c r="F1818" s="1" t="s">
        <v>4878</v>
      </c>
      <c r="I1818" s="1" t="s">
        <v>6576</v>
      </c>
    </row>
    <row r="1819">
      <c r="B1819" s="1" t="s">
        <v>5039</v>
      </c>
      <c r="C1819" s="1" t="s">
        <v>1873</v>
      </c>
      <c r="D1819" s="1" t="s">
        <v>5042</v>
      </c>
      <c r="E1819" s="1" t="s">
        <v>2747</v>
      </c>
      <c r="F1819" s="1" t="s">
        <v>4324</v>
      </c>
      <c r="I1819" s="1" t="s">
        <v>5175</v>
      </c>
    </row>
    <row r="1820">
      <c r="B1820" s="1" t="s">
        <v>5043</v>
      </c>
      <c r="C1820" s="1" t="s">
        <v>2200</v>
      </c>
      <c r="D1820" s="1" t="s">
        <v>3403</v>
      </c>
      <c r="E1820" s="1" t="s">
        <v>3475</v>
      </c>
      <c r="F1820" s="1" t="s">
        <v>3211</v>
      </c>
      <c r="I1820" s="1" t="s">
        <v>6565</v>
      </c>
    </row>
    <row r="1821">
      <c r="B1821" s="1" t="s">
        <v>5046</v>
      </c>
      <c r="C1821" s="1" t="s">
        <v>3143</v>
      </c>
      <c r="D1821" s="1" t="s">
        <v>4480</v>
      </c>
      <c r="E1821" s="1" t="s">
        <v>4088</v>
      </c>
      <c r="F1821" s="1" t="s">
        <v>4326</v>
      </c>
      <c r="I1821" s="1" t="s">
        <v>3055</v>
      </c>
    </row>
    <row r="1822">
      <c r="B1822" s="1" t="s">
        <v>2206</v>
      </c>
      <c r="C1822" s="1" t="s">
        <v>2040</v>
      </c>
      <c r="D1822" s="1" t="s">
        <v>3406</v>
      </c>
      <c r="E1822" s="1" t="s">
        <v>6560</v>
      </c>
      <c r="F1822" s="1" t="s">
        <v>3244</v>
      </c>
      <c r="I1822" s="1" t="s">
        <v>4502</v>
      </c>
    </row>
    <row r="1823">
      <c r="B1823" s="1" t="s">
        <v>3999</v>
      </c>
      <c r="C1823" s="1" t="s">
        <v>5730</v>
      </c>
      <c r="D1823" s="1" t="s">
        <v>3408</v>
      </c>
      <c r="E1823" s="1" t="s">
        <v>1039</v>
      </c>
      <c r="F1823" s="1" t="s">
        <v>1727</v>
      </c>
      <c r="I1823" s="1" t="s">
        <v>5257</v>
      </c>
    </row>
    <row r="1824">
      <c r="B1824" s="1" t="s">
        <v>3416</v>
      </c>
      <c r="C1824" s="1" t="s">
        <v>5731</v>
      </c>
      <c r="D1824" s="1" t="s">
        <v>608</v>
      </c>
      <c r="E1824" s="1" t="s">
        <v>4764</v>
      </c>
      <c r="F1824" s="1" t="s">
        <v>3972</v>
      </c>
      <c r="I1824" s="1" t="s">
        <v>6566</v>
      </c>
    </row>
    <row r="1825">
      <c r="B1825" s="1" t="s">
        <v>5051</v>
      </c>
      <c r="C1825" s="1" t="s">
        <v>4564</v>
      </c>
      <c r="D1825" s="1" t="s">
        <v>521</v>
      </c>
      <c r="E1825" s="1" t="s">
        <v>896</v>
      </c>
      <c r="F1825" s="1" t="s">
        <v>3222</v>
      </c>
      <c r="I1825" s="1" t="s">
        <v>900</v>
      </c>
    </row>
    <row r="1826">
      <c r="B1826" s="1" t="s">
        <v>4003</v>
      </c>
      <c r="C1826" s="1" t="s">
        <v>3831</v>
      </c>
      <c r="D1826" s="1" t="s">
        <v>3047</v>
      </c>
      <c r="E1826" s="1" t="s">
        <v>4588</v>
      </c>
      <c r="F1826" s="1" t="s">
        <v>4337</v>
      </c>
      <c r="I1826" s="1" t="s">
        <v>6577</v>
      </c>
    </row>
    <row r="1827">
      <c r="B1827" s="1" t="s">
        <v>4010</v>
      </c>
      <c r="C1827" s="1" t="s">
        <v>5733</v>
      </c>
      <c r="D1827" s="1" t="s">
        <v>3414</v>
      </c>
      <c r="E1827" s="1" t="s">
        <v>2907</v>
      </c>
      <c r="F1827" s="1" t="s">
        <v>3226</v>
      </c>
      <c r="I1827" s="1" t="s">
        <v>4057</v>
      </c>
    </row>
    <row r="1828">
      <c r="B1828" s="1" t="s">
        <v>2208</v>
      </c>
      <c r="C1828" s="1" t="s">
        <v>5714</v>
      </c>
      <c r="D1828" s="1" t="s">
        <v>3581</v>
      </c>
      <c r="E1828" s="1" t="s">
        <v>2756</v>
      </c>
      <c r="F1828" s="1" t="s">
        <v>911</v>
      </c>
      <c r="I1828" s="1" t="s">
        <v>2314</v>
      </c>
    </row>
    <row r="1829">
      <c r="B1829" s="1" t="s">
        <v>4013</v>
      </c>
      <c r="C1829" s="1" t="s">
        <v>5734</v>
      </c>
      <c r="D1829" s="1" t="s">
        <v>3105</v>
      </c>
      <c r="E1829" s="1" t="s">
        <v>4590</v>
      </c>
      <c r="F1829" s="1" t="s">
        <v>3827</v>
      </c>
      <c r="I1829" s="1" t="s">
        <v>980</v>
      </c>
    </row>
    <row r="1830">
      <c r="B1830" s="1" t="s">
        <v>1318</v>
      </c>
      <c r="C1830" s="1" t="s">
        <v>2130</v>
      </c>
      <c r="D1830" s="1" t="s">
        <v>956</v>
      </c>
      <c r="E1830" s="1" t="s">
        <v>3941</v>
      </c>
      <c r="F1830" s="1" t="s">
        <v>6578</v>
      </c>
      <c r="I1830" s="1" t="s">
        <v>6579</v>
      </c>
    </row>
    <row r="1831">
      <c r="B1831" s="1" t="s">
        <v>5057</v>
      </c>
      <c r="C1831" s="1" t="s">
        <v>4215</v>
      </c>
      <c r="D1831" s="1" t="s">
        <v>3050</v>
      </c>
      <c r="E1831" s="1" t="s">
        <v>4470</v>
      </c>
      <c r="F1831" s="1">
        <v>80.0</v>
      </c>
      <c r="I1831" s="1" t="s">
        <v>4954</v>
      </c>
    </row>
    <row r="1832">
      <c r="B1832" s="1" t="s">
        <v>2210</v>
      </c>
      <c r="C1832" s="1" t="s">
        <v>4287</v>
      </c>
      <c r="D1832" s="1" t="s">
        <v>1852</v>
      </c>
      <c r="E1832" s="1" t="s">
        <v>6006</v>
      </c>
      <c r="F1832" s="1" t="s">
        <v>6580</v>
      </c>
      <c r="I1832" s="1" t="s">
        <v>3115</v>
      </c>
    </row>
    <row r="1833">
      <c r="B1833" s="1" t="s">
        <v>4017</v>
      </c>
      <c r="C1833" s="1" t="s">
        <v>5466</v>
      </c>
      <c r="D1833" s="1" t="s">
        <v>1159</v>
      </c>
      <c r="E1833" s="1" t="s">
        <v>2919</v>
      </c>
      <c r="F1833" s="1" t="s">
        <v>6581</v>
      </c>
      <c r="I1833" s="1" t="s">
        <v>4231</v>
      </c>
    </row>
    <row r="1834">
      <c r="B1834" s="1" t="s">
        <v>5060</v>
      </c>
      <c r="C1834" s="1" t="s">
        <v>2186</v>
      </c>
      <c r="D1834" s="1" t="s">
        <v>2498</v>
      </c>
      <c r="E1834" s="1" t="s">
        <v>1501</v>
      </c>
      <c r="F1834" s="1" t="s">
        <v>1741</v>
      </c>
      <c r="I1834" s="1" t="s">
        <v>4237</v>
      </c>
    </row>
    <row r="1835">
      <c r="B1835" s="1" t="s">
        <v>4021</v>
      </c>
      <c r="C1835" s="1" t="s">
        <v>4313</v>
      </c>
      <c r="D1835" s="1" t="s">
        <v>3422</v>
      </c>
      <c r="E1835" s="1" t="s">
        <v>4607</v>
      </c>
      <c r="F1835" s="1" t="s">
        <v>5094</v>
      </c>
      <c r="I1835" s="1" t="s">
        <v>5370</v>
      </c>
    </row>
    <row r="1836">
      <c r="B1836" s="1" t="s">
        <v>5061</v>
      </c>
      <c r="C1836" s="1" t="s">
        <v>3716</v>
      </c>
      <c r="D1836" s="1" t="s">
        <v>2006</v>
      </c>
      <c r="E1836" s="1" t="s">
        <v>5779</v>
      </c>
      <c r="F1836" s="1" t="s">
        <v>2591</v>
      </c>
      <c r="I1836" s="1" t="s">
        <v>1389</v>
      </c>
    </row>
    <row r="1837">
      <c r="B1837" s="1" t="s">
        <v>4025</v>
      </c>
      <c r="C1837" s="1" t="s">
        <v>468</v>
      </c>
      <c r="D1837" s="1" t="s">
        <v>5063</v>
      </c>
      <c r="E1837" s="1" t="s">
        <v>2945</v>
      </c>
      <c r="F1837" s="1" t="s">
        <v>2946</v>
      </c>
      <c r="I1837" s="1" t="s">
        <v>6582</v>
      </c>
    </row>
    <row r="1838">
      <c r="B1838" s="1" t="s">
        <v>1147</v>
      </c>
      <c r="C1838" s="1" t="s">
        <v>937</v>
      </c>
      <c r="D1838" s="1" t="s">
        <v>2213</v>
      </c>
      <c r="E1838" s="1" t="s">
        <v>2767</v>
      </c>
      <c r="F1838" s="1" t="s">
        <v>4906</v>
      </c>
      <c r="I1838" s="1" t="s">
        <v>6583</v>
      </c>
    </row>
    <row r="1839">
      <c r="B1839" s="1" t="s">
        <v>1152</v>
      </c>
      <c r="C1839" s="1" t="s">
        <v>5149</v>
      </c>
      <c r="D1839" s="1" t="s">
        <v>961</v>
      </c>
      <c r="E1839" s="1" t="s">
        <v>6543</v>
      </c>
      <c r="F1839" s="1" t="s">
        <v>6584</v>
      </c>
      <c r="I1839" s="1" t="s">
        <v>5426</v>
      </c>
    </row>
    <row r="1840">
      <c r="B1840" s="1" t="s">
        <v>1496</v>
      </c>
      <c r="C1840" s="1" t="s">
        <v>3832</v>
      </c>
      <c r="D1840" s="1" t="s">
        <v>966</v>
      </c>
      <c r="E1840" s="1" t="b">
        <v>0</v>
      </c>
      <c r="F1840" s="1" t="s">
        <v>4941</v>
      </c>
      <c r="I1840" s="1" t="s">
        <v>4248</v>
      </c>
    </row>
    <row r="1841">
      <c r="B1841" s="1" t="s">
        <v>5067</v>
      </c>
      <c r="C1841" s="1" t="s">
        <v>1663</v>
      </c>
      <c r="D1841" s="1" t="s">
        <v>1868</v>
      </c>
      <c r="E1841" s="1" t="s">
        <v>2770</v>
      </c>
      <c r="F1841" s="1" t="s">
        <v>4349</v>
      </c>
      <c r="I1841" s="1" t="s">
        <v>415</v>
      </c>
    </row>
    <row r="1842">
      <c r="B1842" s="1" t="s">
        <v>3109</v>
      </c>
      <c r="C1842" s="1" t="s">
        <v>3527</v>
      </c>
      <c r="D1842" s="1" t="s">
        <v>5069</v>
      </c>
      <c r="E1842" s="1" t="s">
        <v>4113</v>
      </c>
      <c r="F1842" s="1" t="s">
        <v>1083</v>
      </c>
      <c r="I1842" s="1" t="s">
        <v>6585</v>
      </c>
    </row>
    <row r="1843">
      <c r="B1843" s="1" t="s">
        <v>5070</v>
      </c>
      <c r="C1843" s="1" t="s">
        <v>4506</v>
      </c>
      <c r="D1843" s="1" t="s">
        <v>3128</v>
      </c>
      <c r="E1843" s="1" t="s">
        <v>6066</v>
      </c>
      <c r="F1843" s="1" t="s">
        <v>6586</v>
      </c>
      <c r="I1843" s="1" t="s">
        <v>3862</v>
      </c>
    </row>
    <row r="1844">
      <c r="B1844" s="1" t="s">
        <v>1510</v>
      </c>
      <c r="C1844" s="1">
        <v>1999.0</v>
      </c>
      <c r="D1844" s="1" t="s">
        <v>5072</v>
      </c>
      <c r="E1844" s="1" t="s">
        <v>4801</v>
      </c>
      <c r="F1844" s="1" t="s">
        <v>3233</v>
      </c>
      <c r="I1844" s="1" t="s">
        <v>3126</v>
      </c>
    </row>
    <row r="1845">
      <c r="B1845" s="1" t="s">
        <v>4644</v>
      </c>
      <c r="C1845" s="1" t="s">
        <v>3052</v>
      </c>
      <c r="D1845" s="1" t="s">
        <v>5075</v>
      </c>
      <c r="E1845" s="1" t="s">
        <v>4119</v>
      </c>
      <c r="F1845" s="1" t="s">
        <v>2957</v>
      </c>
      <c r="I1845" s="1" t="s">
        <v>4991</v>
      </c>
    </row>
    <row r="1846">
      <c r="B1846" s="1" t="s">
        <v>1158</v>
      </c>
      <c r="C1846" s="1" t="s">
        <v>5748</v>
      </c>
      <c r="D1846" s="1" t="s">
        <v>1872</v>
      </c>
      <c r="E1846" s="1" t="s">
        <v>4015</v>
      </c>
      <c r="F1846" s="1" t="s">
        <v>1090</v>
      </c>
      <c r="I1846" s="1" t="s">
        <v>4685</v>
      </c>
    </row>
    <row r="1847">
      <c r="B1847" s="1" t="s">
        <v>4034</v>
      </c>
      <c r="C1847" s="1" t="s">
        <v>1733</v>
      </c>
      <c r="D1847" s="1" t="s">
        <v>4533</v>
      </c>
      <c r="E1847" s="1" t="s">
        <v>4120</v>
      </c>
      <c r="F1847" s="1" t="s">
        <v>4915</v>
      </c>
      <c r="I1847" s="1" t="s">
        <v>6587</v>
      </c>
    </row>
    <row r="1848">
      <c r="B1848" s="1" t="s">
        <v>4037</v>
      </c>
      <c r="C1848" s="1" t="s">
        <v>5753</v>
      </c>
      <c r="D1848" s="1" t="s">
        <v>5079</v>
      </c>
      <c r="E1848" s="1" t="s">
        <v>4121</v>
      </c>
      <c r="F1848" s="1" t="s">
        <v>3485</v>
      </c>
      <c r="I1848" s="1" t="s">
        <v>4996</v>
      </c>
    </row>
    <row r="1849">
      <c r="B1849" s="1" t="s">
        <v>4648</v>
      </c>
      <c r="C1849" s="1" t="s">
        <v>3622</v>
      </c>
      <c r="D1849" s="1" t="s">
        <v>4534</v>
      </c>
      <c r="E1849" s="1" t="s">
        <v>4631</v>
      </c>
      <c r="F1849" s="1" t="s">
        <v>4363</v>
      </c>
      <c r="I1849" s="1" t="s">
        <v>1790</v>
      </c>
    </row>
    <row r="1850">
      <c r="B1850" s="1" t="s">
        <v>3433</v>
      </c>
      <c r="C1850" s="1" t="s">
        <v>5757</v>
      </c>
      <c r="D1850" s="1" t="s">
        <v>4154</v>
      </c>
      <c r="E1850" s="1" t="s">
        <v>2972</v>
      </c>
      <c r="F1850" s="1" t="s">
        <v>4920</v>
      </c>
      <c r="I1850" s="1" t="s">
        <v>3507</v>
      </c>
    </row>
    <row r="1851">
      <c r="B1851" s="1" t="s">
        <v>1711</v>
      </c>
      <c r="C1851" s="1" t="s">
        <v>4087</v>
      </c>
      <c r="D1851" s="1" t="s">
        <v>1877</v>
      </c>
      <c r="E1851" s="1" t="s">
        <v>4484</v>
      </c>
      <c r="F1851" s="1" t="s">
        <v>6588</v>
      </c>
      <c r="I1851" s="1" t="s">
        <v>5374</v>
      </c>
    </row>
    <row r="1852">
      <c r="B1852" s="1" t="s">
        <v>5082</v>
      </c>
      <c r="C1852" s="1" t="s">
        <v>3533</v>
      </c>
      <c r="D1852" s="1" t="s">
        <v>1882</v>
      </c>
      <c r="E1852" s="1" t="s">
        <v>2960</v>
      </c>
      <c r="F1852" s="1" t="s">
        <v>1671</v>
      </c>
      <c r="I1852" s="1" t="s">
        <v>4709</v>
      </c>
    </row>
    <row r="1853">
      <c r="B1853" s="1" t="s">
        <v>5083</v>
      </c>
      <c r="C1853" s="1" t="s">
        <v>4048</v>
      </c>
      <c r="D1853" s="1" t="s">
        <v>3439</v>
      </c>
      <c r="E1853" s="1" t="s">
        <v>4640</v>
      </c>
      <c r="F1853" s="1" t="s">
        <v>3742</v>
      </c>
      <c r="I1853" s="1" t="s">
        <v>2875</v>
      </c>
    </row>
    <row r="1854">
      <c r="B1854" s="1" t="s">
        <v>4042</v>
      </c>
      <c r="C1854" s="1" t="s">
        <v>5077</v>
      </c>
      <c r="D1854" s="1" t="s">
        <v>5086</v>
      </c>
      <c r="E1854" s="1" t="s">
        <v>4127</v>
      </c>
      <c r="F1854" s="1" t="s">
        <v>3240</v>
      </c>
      <c r="I1854" s="1" t="s">
        <v>6589</v>
      </c>
    </row>
    <row r="1855">
      <c r="B1855" s="1" t="s">
        <v>4047</v>
      </c>
      <c r="C1855" s="1" t="s">
        <v>5759</v>
      </c>
      <c r="D1855" s="1" t="s">
        <v>3441</v>
      </c>
      <c r="E1855" s="1" t="s">
        <v>4114</v>
      </c>
      <c r="F1855" s="1" t="s">
        <v>1746</v>
      </c>
      <c r="I1855" s="1" t="s">
        <v>4978</v>
      </c>
    </row>
    <row r="1856">
      <c r="B1856" s="1">
        <v>83.0</v>
      </c>
      <c r="C1856" s="1" t="s">
        <v>5761</v>
      </c>
      <c r="D1856" s="1" t="s">
        <v>1917</v>
      </c>
      <c r="E1856" s="1" t="s">
        <v>271</v>
      </c>
      <c r="F1856" s="1" t="s">
        <v>6590</v>
      </c>
      <c r="I1856" s="1" t="s">
        <v>1940</v>
      </c>
    </row>
    <row r="1857">
      <c r="B1857" s="1" t="s">
        <v>1163</v>
      </c>
      <c r="C1857" s="1" t="s">
        <v>1486</v>
      </c>
      <c r="D1857" s="1" t="s">
        <v>5088</v>
      </c>
      <c r="E1857" s="1" t="s">
        <v>2979</v>
      </c>
      <c r="F1857" s="1" t="s">
        <v>6591</v>
      </c>
      <c r="I1857" s="1" t="s">
        <v>2879</v>
      </c>
    </row>
    <row r="1858">
      <c r="B1858" s="1" t="s">
        <v>5089</v>
      </c>
      <c r="C1858" s="1" t="s">
        <v>3928</v>
      </c>
      <c r="D1858" s="1" t="s">
        <v>79</v>
      </c>
      <c r="E1858" s="1" t="s">
        <v>2735</v>
      </c>
      <c r="F1858" s="1" t="s">
        <v>4375</v>
      </c>
      <c r="I1858" s="1" t="s">
        <v>4456</v>
      </c>
    </row>
    <row r="1859">
      <c r="B1859" s="1" t="s">
        <v>3437</v>
      </c>
      <c r="C1859" s="1" t="s">
        <v>5765</v>
      </c>
      <c r="D1859" s="1" t="s">
        <v>5091</v>
      </c>
      <c r="E1859" s="1" t="s">
        <v>6592</v>
      </c>
      <c r="F1859" s="1" t="s">
        <v>2963</v>
      </c>
      <c r="I1859" s="1" t="s">
        <v>4803</v>
      </c>
    </row>
    <row r="1860">
      <c r="B1860" s="1" t="s">
        <v>78</v>
      </c>
      <c r="C1860" s="1" t="s">
        <v>4628</v>
      </c>
      <c r="D1860" s="1" t="s">
        <v>5093</v>
      </c>
      <c r="E1860" s="1" t="s">
        <v>2773</v>
      </c>
      <c r="F1860" s="1" t="s">
        <v>4379</v>
      </c>
      <c r="I1860" s="1" t="s">
        <v>1820</v>
      </c>
    </row>
    <row r="1861">
      <c r="B1861" s="1" t="s">
        <v>2232</v>
      </c>
      <c r="C1861" s="1" t="s">
        <v>5768</v>
      </c>
      <c r="D1861" s="1" t="s">
        <v>3639</v>
      </c>
      <c r="E1861" s="1" t="s">
        <v>1484</v>
      </c>
      <c r="F1861" s="1" t="s">
        <v>1541</v>
      </c>
      <c r="I1861" s="1" t="s">
        <v>6447</v>
      </c>
    </row>
    <row r="1862">
      <c r="B1862" s="1" t="s">
        <v>97</v>
      </c>
      <c r="C1862" s="1" t="s">
        <v>2587</v>
      </c>
      <c r="D1862" s="1" t="s">
        <v>1889</v>
      </c>
      <c r="E1862" s="1" t="s">
        <v>4646</v>
      </c>
      <c r="F1862" s="1" t="s">
        <v>4382</v>
      </c>
      <c r="I1862" s="1" t="s">
        <v>1661</v>
      </c>
    </row>
    <row r="1863">
      <c r="B1863" s="1" t="s">
        <v>1656</v>
      </c>
      <c r="C1863" s="1" t="s">
        <v>1992</v>
      </c>
      <c r="D1863" s="1" t="s">
        <v>5096</v>
      </c>
      <c r="E1863" s="1" t="s">
        <v>2985</v>
      </c>
      <c r="F1863" s="1" t="s">
        <v>6451</v>
      </c>
      <c r="I1863" s="1" t="s">
        <v>602</v>
      </c>
    </row>
    <row r="1864">
      <c r="B1864" s="1" t="s">
        <v>5097</v>
      </c>
      <c r="C1864" s="1" t="s">
        <v>2342</v>
      </c>
      <c r="D1864" s="1" t="s">
        <v>3446</v>
      </c>
      <c r="E1864" s="1" t="s">
        <v>5434</v>
      </c>
      <c r="F1864" s="1" t="s">
        <v>2967</v>
      </c>
      <c r="I1864" s="1" t="s">
        <v>4267</v>
      </c>
    </row>
    <row r="1865">
      <c r="B1865" s="1" t="s">
        <v>4984</v>
      </c>
      <c r="C1865" s="1" t="s">
        <v>736</v>
      </c>
      <c r="D1865" s="1" t="s">
        <v>3449</v>
      </c>
      <c r="E1865" s="1" t="s">
        <v>1528</v>
      </c>
      <c r="F1865" s="1" t="s">
        <v>5124</v>
      </c>
      <c r="I1865" s="1" t="s">
        <v>5009</v>
      </c>
    </row>
    <row r="1866">
      <c r="B1866" s="1" t="s">
        <v>3450</v>
      </c>
      <c r="C1866" s="1" t="s">
        <v>5771</v>
      </c>
      <c r="D1866" s="1" t="s">
        <v>1893</v>
      </c>
      <c r="E1866" s="1" t="s">
        <v>2990</v>
      </c>
      <c r="F1866" s="1" t="s">
        <v>2922</v>
      </c>
      <c r="I1866" s="1" t="s">
        <v>6593</v>
      </c>
    </row>
    <row r="1867">
      <c r="B1867" s="1" t="s">
        <v>5100</v>
      </c>
      <c r="C1867" s="1" t="s">
        <v>868</v>
      </c>
      <c r="D1867" s="1" t="s">
        <v>4725</v>
      </c>
      <c r="E1867" s="1" t="s">
        <v>5354</v>
      </c>
      <c r="F1867" s="1" t="s">
        <v>4933</v>
      </c>
      <c r="I1867" s="1" t="s">
        <v>1674</v>
      </c>
    </row>
    <row r="1868">
      <c r="B1868" s="1" t="s">
        <v>5101</v>
      </c>
      <c r="C1868" s="1" t="s">
        <v>3935</v>
      </c>
      <c r="D1868" s="1" t="s">
        <v>1172</v>
      </c>
      <c r="E1868" s="1" t="s">
        <v>2788</v>
      </c>
      <c r="F1868" s="1" t="s">
        <v>6594</v>
      </c>
      <c r="I1868" s="1" t="s">
        <v>6595</v>
      </c>
    </row>
    <row r="1869">
      <c r="B1869" s="1" t="s">
        <v>3452</v>
      </c>
      <c r="C1869" s="1" t="s">
        <v>5775</v>
      </c>
      <c r="D1869" s="1" t="s">
        <v>3456</v>
      </c>
      <c r="E1869" s="1" t="s">
        <v>6429</v>
      </c>
      <c r="F1869" s="1" t="s">
        <v>2970</v>
      </c>
      <c r="I1869" s="1" t="s">
        <v>3706</v>
      </c>
    </row>
    <row r="1870">
      <c r="B1870" s="1" t="s">
        <v>2235</v>
      </c>
      <c r="C1870" s="1" t="s">
        <v>1195</v>
      </c>
      <c r="D1870" s="1" t="s">
        <v>3085</v>
      </c>
      <c r="E1870" s="1" t="s">
        <v>3293</v>
      </c>
      <c r="F1870" s="1" t="s">
        <v>4937</v>
      </c>
      <c r="I1870" s="1" t="s">
        <v>4270</v>
      </c>
    </row>
    <row r="1871">
      <c r="B1871" s="1" t="s">
        <v>5103</v>
      </c>
      <c r="C1871" s="1" t="s">
        <v>5777</v>
      </c>
      <c r="D1871" s="1" t="s">
        <v>3081</v>
      </c>
      <c r="E1871" s="1" t="s">
        <v>832</v>
      </c>
      <c r="F1871" s="1" t="s">
        <v>4273</v>
      </c>
      <c r="I1871" s="1" t="s">
        <v>6596</v>
      </c>
    </row>
    <row r="1872">
      <c r="B1872" s="1" t="s">
        <v>4061</v>
      </c>
      <c r="C1872" s="1" t="s">
        <v>4127</v>
      </c>
      <c r="D1872" s="1" t="s">
        <v>5106</v>
      </c>
      <c r="E1872" s="1" t="s">
        <v>6567</v>
      </c>
      <c r="F1872" s="1" t="s">
        <v>3250</v>
      </c>
      <c r="I1872" s="1" t="s">
        <v>2981</v>
      </c>
    </row>
    <row r="1873">
      <c r="B1873" s="1" t="s">
        <v>5107</v>
      </c>
      <c r="C1873" s="1" t="s">
        <v>1161</v>
      </c>
      <c r="D1873" s="1" t="s">
        <v>3088</v>
      </c>
      <c r="E1873" s="1" t="s">
        <v>4847</v>
      </c>
      <c r="F1873" s="1" t="s">
        <v>1098</v>
      </c>
      <c r="I1873" s="1" t="s">
        <v>3819</v>
      </c>
    </row>
    <row r="1874">
      <c r="B1874" s="1" t="s">
        <v>4065</v>
      </c>
      <c r="C1874" s="1" t="s">
        <v>1009</v>
      </c>
      <c r="D1874" s="1" t="s">
        <v>4562</v>
      </c>
      <c r="E1874" s="1" t="s">
        <v>3965</v>
      </c>
      <c r="F1874" s="1" t="s">
        <v>4584</v>
      </c>
      <c r="I1874" s="1" t="s">
        <v>5796</v>
      </c>
    </row>
    <row r="1875">
      <c r="B1875" s="1" t="s">
        <v>2245</v>
      </c>
      <c r="C1875" s="1" t="s">
        <v>3717</v>
      </c>
      <c r="D1875" s="1" t="s">
        <v>2555</v>
      </c>
      <c r="E1875" s="1" t="s">
        <v>2792</v>
      </c>
      <c r="F1875" s="1" t="s">
        <v>919</v>
      </c>
      <c r="I1875" s="1" t="s">
        <v>897</v>
      </c>
    </row>
    <row r="1876">
      <c r="B1876" s="1" t="s">
        <v>5110</v>
      </c>
      <c r="C1876" s="1" t="s">
        <v>3309</v>
      </c>
      <c r="D1876" s="1" t="s">
        <v>4565</v>
      </c>
      <c r="E1876" s="1" t="s">
        <v>273</v>
      </c>
      <c r="F1876" s="1" t="s">
        <v>925</v>
      </c>
      <c r="I1876" s="1" t="s">
        <v>4587</v>
      </c>
    </row>
    <row r="1877">
      <c r="B1877" s="1" t="s">
        <v>5111</v>
      </c>
      <c r="C1877" s="1" t="s">
        <v>133</v>
      </c>
      <c r="D1877" s="1" t="s">
        <v>3459</v>
      </c>
      <c r="E1877" s="1" t="s">
        <v>632</v>
      </c>
      <c r="F1877" s="1" t="s">
        <v>3263</v>
      </c>
      <c r="I1877" s="1">
        <v>30.0</v>
      </c>
    </row>
    <row r="1878">
      <c r="B1878" s="1" t="s">
        <v>4074</v>
      </c>
      <c r="C1878" s="1" t="s">
        <v>5781</v>
      </c>
      <c r="D1878" s="1" t="s">
        <v>3091</v>
      </c>
      <c r="E1878" s="1" t="s">
        <v>5231</v>
      </c>
      <c r="F1878" s="1" t="s">
        <v>5133</v>
      </c>
      <c r="I1878" s="1" t="s">
        <v>3438</v>
      </c>
    </row>
    <row r="1879">
      <c r="B1879" s="1" t="s">
        <v>4071</v>
      </c>
      <c r="C1879" s="1" t="s">
        <v>5420</v>
      </c>
      <c r="D1879" s="1" t="s">
        <v>3462</v>
      </c>
      <c r="E1879" s="1" t="s">
        <v>4145</v>
      </c>
      <c r="F1879" s="1" t="s">
        <v>6597</v>
      </c>
      <c r="I1879" s="1" t="s">
        <v>6598</v>
      </c>
    </row>
    <row r="1880">
      <c r="B1880" s="1" t="s">
        <v>2248</v>
      </c>
      <c r="C1880" s="1" t="s">
        <v>4167</v>
      </c>
      <c r="D1880" s="1" t="s">
        <v>3093</v>
      </c>
      <c r="E1880" s="1" t="s">
        <v>4142</v>
      </c>
      <c r="F1880" s="1" t="s">
        <v>4435</v>
      </c>
      <c r="I1880" s="1" t="s">
        <v>4838</v>
      </c>
    </row>
    <row r="1881">
      <c r="B1881" s="1" t="s">
        <v>4072</v>
      </c>
      <c r="C1881" s="1" t="s">
        <v>5783</v>
      </c>
      <c r="D1881" s="1" t="s">
        <v>4568</v>
      </c>
      <c r="E1881" s="1" t="s">
        <v>3009</v>
      </c>
      <c r="F1881" s="1" t="s">
        <v>4395</v>
      </c>
      <c r="I1881" s="1" t="s">
        <v>1631</v>
      </c>
    </row>
    <row r="1882">
      <c r="B1882" s="1" t="s">
        <v>176</v>
      </c>
      <c r="C1882" s="1" t="s">
        <v>4118</v>
      </c>
      <c r="D1882" s="1" t="s">
        <v>5114</v>
      </c>
      <c r="E1882" s="1" t="s">
        <v>6549</v>
      </c>
      <c r="F1882" s="1" t="s">
        <v>1576</v>
      </c>
      <c r="I1882" s="1" t="s">
        <v>2964</v>
      </c>
    </row>
    <row r="1883">
      <c r="B1883" s="1" t="s">
        <v>2256</v>
      </c>
      <c r="C1883" s="1" t="s">
        <v>5094</v>
      </c>
      <c r="D1883" s="1" t="s">
        <v>3483</v>
      </c>
      <c r="E1883" s="1" t="s">
        <v>6599</v>
      </c>
      <c r="F1883" s="1" t="s">
        <v>1758</v>
      </c>
      <c r="I1883" s="1" t="s">
        <v>6600</v>
      </c>
    </row>
    <row r="1884">
      <c r="B1884" s="1" t="s">
        <v>1176</v>
      </c>
      <c r="C1884" s="1" t="s">
        <v>4145</v>
      </c>
      <c r="D1884" s="1" t="s">
        <v>3465</v>
      </c>
      <c r="E1884" s="1" t="s">
        <v>4148</v>
      </c>
      <c r="F1884" s="1" t="s">
        <v>5139</v>
      </c>
      <c r="H1884" s="10"/>
      <c r="I1884" s="1" t="s">
        <v>2914</v>
      </c>
    </row>
    <row r="1885">
      <c r="B1885" s="1" t="s">
        <v>4344</v>
      </c>
      <c r="C1885" s="1" t="s">
        <v>1462</v>
      </c>
      <c r="D1885" s="1" t="s">
        <v>1716</v>
      </c>
      <c r="E1885" s="1" t="s">
        <v>1977</v>
      </c>
      <c r="F1885" s="1" t="s">
        <v>4957</v>
      </c>
      <c r="I1885" s="1" t="s">
        <v>6601</v>
      </c>
    </row>
    <row r="1886">
      <c r="B1886" s="1" t="s">
        <v>3467</v>
      </c>
      <c r="C1886" s="1" t="s">
        <v>963</v>
      </c>
      <c r="D1886" s="1" t="s">
        <v>5118</v>
      </c>
      <c r="E1886" s="1" t="s">
        <v>2793</v>
      </c>
      <c r="F1886" s="1" t="s">
        <v>947</v>
      </c>
      <c r="I1886" s="1" t="s">
        <v>1383</v>
      </c>
    </row>
    <row r="1887">
      <c r="B1887" s="1" t="s">
        <v>4082</v>
      </c>
      <c r="C1887" s="1" t="s">
        <v>2366</v>
      </c>
      <c r="D1887" s="1" t="s">
        <v>3469</v>
      </c>
      <c r="E1887" s="1" t="s">
        <v>3432</v>
      </c>
      <c r="F1887" s="1" t="s">
        <v>2983</v>
      </c>
      <c r="I1887" s="1" t="s">
        <v>4285</v>
      </c>
    </row>
    <row r="1888">
      <c r="B1888" s="1" t="s">
        <v>3471</v>
      </c>
      <c r="C1888" s="1" t="s">
        <v>5603</v>
      </c>
      <c r="D1888" s="1" t="s">
        <v>3473</v>
      </c>
      <c r="E1888" s="1" t="s">
        <v>4665</v>
      </c>
      <c r="F1888" s="1" t="s">
        <v>5142</v>
      </c>
      <c r="I1888" s="1" t="s">
        <v>3024</v>
      </c>
    </row>
    <row r="1889">
      <c r="B1889" s="1" t="s">
        <v>390</v>
      </c>
      <c r="C1889" s="1" t="s">
        <v>5789</v>
      </c>
      <c r="D1889" s="1" t="s">
        <v>3476</v>
      </c>
      <c r="E1889" s="1" t="s">
        <v>4667</v>
      </c>
      <c r="F1889" s="1" t="s">
        <v>535</v>
      </c>
      <c r="I1889" s="1" t="s">
        <v>3192</v>
      </c>
    </row>
    <row r="1890">
      <c r="B1890" s="1" t="s">
        <v>3478</v>
      </c>
      <c r="C1890" s="1" t="s">
        <v>3351</v>
      </c>
      <c r="D1890" s="1" t="s">
        <v>1178</v>
      </c>
      <c r="E1890" s="1" t="s">
        <v>4158</v>
      </c>
      <c r="F1890" s="1" t="s">
        <v>1107</v>
      </c>
      <c r="I1890" s="1" t="s">
        <v>5050</v>
      </c>
    </row>
    <row r="1891">
      <c r="B1891" s="1" t="s">
        <v>5119</v>
      </c>
      <c r="C1891" s="1" t="s">
        <v>5792</v>
      </c>
      <c r="D1891" s="1" t="s">
        <v>3482</v>
      </c>
      <c r="E1891" s="1" t="s">
        <v>4155</v>
      </c>
      <c r="F1891" s="1" t="s">
        <v>4962</v>
      </c>
      <c r="I1891" s="1" t="s">
        <v>2101</v>
      </c>
    </row>
    <row r="1892">
      <c r="B1892" s="1" t="s">
        <v>5121</v>
      </c>
      <c r="C1892" s="1" t="s">
        <v>3883</v>
      </c>
      <c r="D1892" s="1" t="s">
        <v>1899</v>
      </c>
      <c r="E1892" s="1" t="s">
        <v>6568</v>
      </c>
      <c r="F1892" s="1" t="s">
        <v>3279</v>
      </c>
      <c r="I1892" s="1" t="s">
        <v>3195</v>
      </c>
    </row>
    <row r="1893">
      <c r="B1893" s="1" t="s">
        <v>4087</v>
      </c>
      <c r="C1893" s="1" t="s">
        <v>5796</v>
      </c>
      <c r="D1893" s="1" t="s">
        <v>3486</v>
      </c>
      <c r="E1893" s="1" t="s">
        <v>4671</v>
      </c>
      <c r="F1893" s="1" t="s">
        <v>1132</v>
      </c>
      <c r="I1893" s="1" t="s">
        <v>2921</v>
      </c>
    </row>
    <row r="1894">
      <c r="B1894" s="1" t="s">
        <v>5123</v>
      </c>
      <c r="C1894" s="1" t="s">
        <v>1361</v>
      </c>
      <c r="D1894" s="1" t="s">
        <v>1185</v>
      </c>
      <c r="E1894" s="1" t="s">
        <v>4869</v>
      </c>
      <c r="F1894" s="1" t="s">
        <v>3168</v>
      </c>
      <c r="I1894" s="1" t="s">
        <v>4862</v>
      </c>
    </row>
    <row r="1895">
      <c r="B1895" s="1" t="s">
        <v>1191</v>
      </c>
      <c r="C1895" s="1" t="s">
        <v>3435</v>
      </c>
      <c r="D1895" s="1" t="s">
        <v>5001</v>
      </c>
      <c r="E1895" s="1" t="s">
        <v>1650</v>
      </c>
      <c r="F1895" s="1" t="s">
        <v>1699</v>
      </c>
      <c r="I1895" s="1" t="s">
        <v>1943</v>
      </c>
    </row>
    <row r="1896">
      <c r="B1896" s="1" t="s">
        <v>4092</v>
      </c>
      <c r="C1896" s="1" t="s">
        <v>1292</v>
      </c>
      <c r="D1896" s="1" t="s">
        <v>4479</v>
      </c>
      <c r="E1896" s="1" t="s">
        <v>4599</v>
      </c>
      <c r="F1896" s="1" t="s">
        <v>930</v>
      </c>
      <c r="I1896" s="1" t="s">
        <v>4298</v>
      </c>
    </row>
    <row r="1897">
      <c r="B1897" s="1" t="s">
        <v>1523</v>
      </c>
      <c r="C1897" s="1" t="s">
        <v>1760</v>
      </c>
      <c r="D1897" s="1" t="s">
        <v>4575</v>
      </c>
      <c r="E1897" s="1" t="s">
        <v>1988</v>
      </c>
      <c r="F1897" s="1" t="s">
        <v>707</v>
      </c>
      <c r="I1897" s="1" t="s">
        <v>4312</v>
      </c>
    </row>
    <row r="1898">
      <c r="B1898" s="1" t="s">
        <v>3921</v>
      </c>
      <c r="C1898" s="1" t="s">
        <v>5383</v>
      </c>
      <c r="D1898" s="1" t="s">
        <v>4578</v>
      </c>
      <c r="E1898" s="1" t="s">
        <v>4873</v>
      </c>
      <c r="F1898" s="1" t="s">
        <v>3294</v>
      </c>
      <c r="I1898" s="1" t="s">
        <v>4313</v>
      </c>
    </row>
    <row r="1899">
      <c r="B1899" s="1" t="s">
        <v>4100</v>
      </c>
      <c r="C1899" s="1" t="s">
        <v>2860</v>
      </c>
      <c r="D1899" s="1" t="s">
        <v>1903</v>
      </c>
      <c r="E1899" s="1" t="s">
        <v>4166</v>
      </c>
      <c r="F1899" s="1" t="s">
        <v>3298</v>
      </c>
      <c r="I1899" s="1" t="s">
        <v>2565</v>
      </c>
    </row>
    <row r="1900">
      <c r="B1900" s="1" t="s">
        <v>5128</v>
      </c>
      <c r="C1900" s="1" t="s">
        <v>2009</v>
      </c>
      <c r="D1900" s="1" t="s">
        <v>3495</v>
      </c>
      <c r="E1900" s="1" t="s">
        <v>5364</v>
      </c>
      <c r="F1900" s="1" t="s">
        <v>3000</v>
      </c>
      <c r="I1900" s="1" t="s">
        <v>3317</v>
      </c>
    </row>
    <row r="1901">
      <c r="B1901" s="1" t="s">
        <v>4101</v>
      </c>
      <c r="C1901" s="1" t="s">
        <v>3081</v>
      </c>
      <c r="D1901" s="1" t="s">
        <v>3497</v>
      </c>
      <c r="E1901" s="1" t="s">
        <v>849</v>
      </c>
      <c r="F1901" s="1" t="s">
        <v>4418</v>
      </c>
      <c r="I1901" s="1" t="s">
        <v>4875</v>
      </c>
    </row>
    <row r="1902">
      <c r="B1902" s="1" t="s">
        <v>1194</v>
      </c>
      <c r="C1902" s="1" t="s">
        <v>4500</v>
      </c>
      <c r="D1902" s="1" t="s">
        <v>3502</v>
      </c>
      <c r="E1902" s="1" t="s">
        <v>6569</v>
      </c>
      <c r="F1902" s="1" t="s">
        <v>3755</v>
      </c>
      <c r="I1902" s="1" t="s">
        <v>4318</v>
      </c>
    </row>
    <row r="1903">
      <c r="B1903" s="1" t="s">
        <v>2270</v>
      </c>
      <c r="C1903" s="1" t="s">
        <v>5221</v>
      </c>
      <c r="D1903" s="1" t="s">
        <v>5132</v>
      </c>
      <c r="E1903" s="1" t="s">
        <v>1444</v>
      </c>
      <c r="F1903" s="1" t="s">
        <v>1772</v>
      </c>
      <c r="I1903" s="1" t="s">
        <v>3220</v>
      </c>
    </row>
    <row r="1904">
      <c r="B1904" s="1" t="s">
        <v>4104</v>
      </c>
      <c r="C1904" s="1" t="s">
        <v>4575</v>
      </c>
      <c r="D1904" s="1" t="s">
        <v>4478</v>
      </c>
      <c r="E1904" s="1" t="s">
        <v>4684</v>
      </c>
      <c r="F1904" s="1" t="s">
        <v>6602</v>
      </c>
      <c r="I1904" s="1" t="s">
        <v>3972</v>
      </c>
    </row>
    <row r="1905">
      <c r="B1905" s="1" t="s">
        <v>5134</v>
      </c>
      <c r="C1905" s="1" t="s">
        <v>5806</v>
      </c>
      <c r="D1905" s="1" t="s">
        <v>3505</v>
      </c>
      <c r="E1905" s="1" t="s">
        <v>4687</v>
      </c>
      <c r="F1905" s="1" t="s">
        <v>4422</v>
      </c>
      <c r="I1905" s="1" t="s">
        <v>4333</v>
      </c>
    </row>
    <row r="1906">
      <c r="B1906" s="1" t="s">
        <v>2275</v>
      </c>
      <c r="C1906" s="1" t="s">
        <v>3464</v>
      </c>
      <c r="D1906" s="1" t="s">
        <v>5136</v>
      </c>
      <c r="E1906" s="1" t="s">
        <v>6554</v>
      </c>
      <c r="F1906" s="1" t="s">
        <v>3307</v>
      </c>
      <c r="I1906" s="1" t="s">
        <v>4337</v>
      </c>
    </row>
    <row r="1907">
      <c r="B1907" s="1" t="s">
        <v>4107</v>
      </c>
      <c r="C1907" s="1" t="s">
        <v>5807</v>
      </c>
      <c r="D1907" s="1" t="s">
        <v>5138</v>
      </c>
      <c r="E1907" s="1" t="s">
        <v>3017</v>
      </c>
      <c r="F1907" s="1" t="s">
        <v>1784</v>
      </c>
      <c r="I1907" s="1" t="s">
        <v>6603</v>
      </c>
    </row>
    <row r="1908">
      <c r="B1908" s="1" t="s">
        <v>409</v>
      </c>
      <c r="C1908" s="1" t="s">
        <v>5608</v>
      </c>
      <c r="D1908" s="1" t="s">
        <v>1906</v>
      </c>
      <c r="E1908" s="1" t="s">
        <v>4474</v>
      </c>
      <c r="F1908" s="1" t="s">
        <v>940</v>
      </c>
      <c r="I1908" s="1" t="s">
        <v>3827</v>
      </c>
    </row>
    <row r="1909">
      <c r="B1909" s="1" t="s">
        <v>2280</v>
      </c>
      <c r="C1909" s="1" t="s">
        <v>3247</v>
      </c>
      <c r="D1909" s="1" t="s">
        <v>4592</v>
      </c>
      <c r="E1909" s="1" t="s">
        <v>2809</v>
      </c>
      <c r="F1909" s="1" t="s">
        <v>6604</v>
      </c>
      <c r="I1909" s="1" t="s">
        <v>6578</v>
      </c>
    </row>
    <row r="1910">
      <c r="B1910" s="1" t="s">
        <v>4110</v>
      </c>
      <c r="C1910" s="1" t="s">
        <v>665</v>
      </c>
      <c r="D1910" s="1" t="s">
        <v>3508</v>
      </c>
      <c r="E1910" s="1" t="s">
        <v>1050</v>
      </c>
      <c r="F1910" s="1" t="s">
        <v>717</v>
      </c>
      <c r="I1910" s="1">
        <v>80.0</v>
      </c>
    </row>
    <row r="1911">
      <c r="B1911" s="1" t="s">
        <v>5141</v>
      </c>
      <c r="C1911" s="1" t="s">
        <v>926</v>
      </c>
      <c r="D1911" s="1" t="s">
        <v>1912</v>
      </c>
      <c r="E1911" s="1" t="s">
        <v>4403</v>
      </c>
      <c r="F1911" s="1" t="s">
        <v>5344</v>
      </c>
      <c r="I1911" s="1" t="s">
        <v>6580</v>
      </c>
    </row>
    <row r="1912">
      <c r="B1912" s="1" t="s">
        <v>3494</v>
      </c>
      <c r="C1912" s="1" t="s">
        <v>5164</v>
      </c>
      <c r="D1912" s="1" t="s">
        <v>3879</v>
      </c>
      <c r="E1912" s="1" t="s">
        <v>4176</v>
      </c>
      <c r="F1912" s="1" t="s">
        <v>948</v>
      </c>
      <c r="I1912" s="1" t="s">
        <v>6581</v>
      </c>
    </row>
    <row r="1913">
      <c r="B1913" s="1" t="s">
        <v>4111</v>
      </c>
      <c r="C1913" s="1" t="s">
        <v>4905</v>
      </c>
      <c r="D1913" s="1" t="s">
        <v>3154</v>
      </c>
      <c r="E1913" s="1" t="s">
        <v>4182</v>
      </c>
      <c r="F1913" s="1" t="s">
        <v>3319</v>
      </c>
      <c r="I1913" s="1" t="s">
        <v>4897</v>
      </c>
    </row>
    <row r="1914">
      <c r="B1914" s="1" t="s">
        <v>2284</v>
      </c>
      <c r="C1914" s="1" t="s">
        <v>2738</v>
      </c>
      <c r="D1914" s="1" t="s">
        <v>304</v>
      </c>
      <c r="E1914" s="1" t="s">
        <v>4180</v>
      </c>
      <c r="F1914" s="1" t="s">
        <v>1798</v>
      </c>
      <c r="I1914" s="1" t="s">
        <v>2591</v>
      </c>
    </row>
    <row r="1915">
      <c r="B1915" s="1" t="s">
        <v>1952</v>
      </c>
      <c r="C1915" s="1" t="s">
        <v>3112</v>
      </c>
      <c r="D1915" s="1" t="s">
        <v>3041</v>
      </c>
      <c r="E1915" s="1" t="s">
        <v>4696</v>
      </c>
      <c r="F1915" s="1" t="s">
        <v>1804</v>
      </c>
      <c r="I1915" s="1" t="s">
        <v>4900</v>
      </c>
    </row>
    <row r="1916">
      <c r="B1916" s="1" t="s">
        <v>5144</v>
      </c>
      <c r="C1916" s="1" t="s">
        <v>5814</v>
      </c>
      <c r="D1916" s="1" t="s">
        <v>3104</v>
      </c>
      <c r="E1916" s="1" t="s">
        <v>2813</v>
      </c>
      <c r="F1916" s="1" t="s">
        <v>4436</v>
      </c>
      <c r="I1916" s="1">
        <v>101.0</v>
      </c>
    </row>
    <row r="1917">
      <c r="B1917" s="1" t="s">
        <v>4115</v>
      </c>
      <c r="C1917" s="1" t="s">
        <v>5569</v>
      </c>
      <c r="D1917" s="1" t="s">
        <v>5145</v>
      </c>
      <c r="E1917" s="1" t="s">
        <v>6570</v>
      </c>
      <c r="F1917" s="1" t="s">
        <v>4438</v>
      </c>
      <c r="I1917" s="1" t="s">
        <v>2951</v>
      </c>
    </row>
    <row r="1918">
      <c r="B1918" s="1" t="s">
        <v>1530</v>
      </c>
      <c r="C1918" s="1" t="s">
        <v>4743</v>
      </c>
      <c r="D1918" s="1" t="s">
        <v>3515</v>
      </c>
      <c r="E1918" s="1" t="s">
        <v>1571</v>
      </c>
      <c r="F1918" s="1" t="s">
        <v>4995</v>
      </c>
      <c r="I1918" s="1" t="s">
        <v>4095</v>
      </c>
    </row>
    <row r="1919">
      <c r="B1919" s="1" t="s">
        <v>3503</v>
      </c>
      <c r="C1919" s="1" t="s">
        <v>3761</v>
      </c>
      <c r="D1919" s="1" t="s">
        <v>970</v>
      </c>
      <c r="E1919" s="1" t="s">
        <v>4445</v>
      </c>
      <c r="F1919" s="1" t="s">
        <v>536</v>
      </c>
      <c r="I1919" s="1" t="s">
        <v>3481</v>
      </c>
    </row>
    <row r="1920">
      <c r="B1920" s="1" t="s">
        <v>2301</v>
      </c>
      <c r="C1920" s="1" t="s">
        <v>5817</v>
      </c>
      <c r="D1920" s="1" t="s">
        <v>5149</v>
      </c>
      <c r="E1920" s="1" t="s">
        <v>2544</v>
      </c>
      <c r="F1920" s="1" t="s">
        <v>1810</v>
      </c>
      <c r="I1920" s="1" t="s">
        <v>2954</v>
      </c>
    </row>
    <row r="1921">
      <c r="B1921" s="1" t="s">
        <v>4123</v>
      </c>
      <c r="C1921" s="1" t="s">
        <v>144</v>
      </c>
      <c r="D1921" s="1" t="s">
        <v>3519</v>
      </c>
      <c r="E1921" s="1" t="s">
        <v>2818</v>
      </c>
      <c r="F1921" s="1" t="s">
        <v>4997</v>
      </c>
      <c r="I1921" s="1" t="s">
        <v>6586</v>
      </c>
    </row>
    <row r="1922">
      <c r="B1922" s="1" t="s">
        <v>4383</v>
      </c>
      <c r="C1922" s="1" t="s">
        <v>3555</v>
      </c>
      <c r="D1922" s="1" t="s">
        <v>4567</v>
      </c>
      <c r="E1922" s="1" t="s">
        <v>6571</v>
      </c>
      <c r="F1922" s="1" t="s">
        <v>3019</v>
      </c>
      <c r="I1922" s="1" t="s">
        <v>4354</v>
      </c>
    </row>
    <row r="1923">
      <c r="B1923" s="1" t="s">
        <v>3506</v>
      </c>
      <c r="C1923" s="1" t="s">
        <v>2440</v>
      </c>
      <c r="D1923" s="1" t="s">
        <v>3520</v>
      </c>
      <c r="E1923" s="1" t="s">
        <v>4189</v>
      </c>
      <c r="F1923" s="1" t="s">
        <v>3342</v>
      </c>
      <c r="I1923" s="1" t="s">
        <v>4915</v>
      </c>
    </row>
    <row r="1924">
      <c r="B1924" s="1" t="s">
        <v>1537</v>
      </c>
      <c r="C1924" s="1" t="s">
        <v>2226</v>
      </c>
      <c r="D1924" s="1" t="s">
        <v>2906</v>
      </c>
      <c r="E1924" s="1" t="s">
        <v>6557</v>
      </c>
      <c r="F1924" s="1" t="s">
        <v>5922</v>
      </c>
      <c r="I1924" s="1" t="s">
        <v>2469</v>
      </c>
    </row>
    <row r="1925">
      <c r="B1925" s="1" t="s">
        <v>1206</v>
      </c>
      <c r="C1925" s="1" t="s">
        <v>4301</v>
      </c>
      <c r="D1925" s="1" t="s">
        <v>3523</v>
      </c>
      <c r="E1925" s="1" t="s">
        <v>92</v>
      </c>
      <c r="F1925" s="1" t="s">
        <v>3351</v>
      </c>
      <c r="I1925" s="1" t="s">
        <v>3236</v>
      </c>
    </row>
    <row r="1926">
      <c r="B1926" s="1" t="s">
        <v>1544</v>
      </c>
      <c r="C1926" s="1" t="s">
        <v>4535</v>
      </c>
      <c r="D1926" s="1" t="s">
        <v>3526</v>
      </c>
      <c r="E1926" s="1" t="s">
        <v>6572</v>
      </c>
      <c r="F1926" s="1" t="s">
        <v>1814</v>
      </c>
      <c r="I1926" s="1" t="s">
        <v>3485</v>
      </c>
    </row>
    <row r="1927">
      <c r="B1927" s="1" t="s">
        <v>4129</v>
      </c>
      <c r="C1927" s="1" t="s">
        <v>5051</v>
      </c>
      <c r="D1927" s="1" t="s">
        <v>4609</v>
      </c>
      <c r="E1927" s="1" t="s">
        <v>3320</v>
      </c>
      <c r="F1927" s="1" t="s">
        <v>279</v>
      </c>
      <c r="I1927" s="1" t="s">
        <v>4920</v>
      </c>
    </row>
    <row r="1928">
      <c r="B1928" s="1" t="s">
        <v>4130</v>
      </c>
      <c r="C1928" s="1" t="s">
        <v>1761</v>
      </c>
      <c r="D1928" s="1" t="s">
        <v>3648</v>
      </c>
      <c r="E1928" s="1" t="s">
        <v>2542</v>
      </c>
      <c r="F1928" s="1" t="s">
        <v>3022</v>
      </c>
      <c r="I1928" s="1" t="s">
        <v>6605</v>
      </c>
    </row>
    <row r="1929">
      <c r="B1929" s="1" t="s">
        <v>2548</v>
      </c>
      <c r="C1929" s="1" t="s">
        <v>3104</v>
      </c>
      <c r="D1929" s="1" t="s">
        <v>3530</v>
      </c>
      <c r="E1929" s="1" t="s">
        <v>6559</v>
      </c>
      <c r="F1929" s="1" t="s">
        <v>5006</v>
      </c>
      <c r="I1929" s="1" t="s">
        <v>6588</v>
      </c>
    </row>
    <row r="1930">
      <c r="B1930" s="1" t="s">
        <v>5151</v>
      </c>
      <c r="C1930" s="1" t="s">
        <v>5778</v>
      </c>
      <c r="D1930" s="1" t="s">
        <v>5153</v>
      </c>
      <c r="E1930" s="1" t="s">
        <v>4655</v>
      </c>
      <c r="F1930" s="1" t="s">
        <v>3358</v>
      </c>
      <c r="I1930" s="1" t="s">
        <v>1671</v>
      </c>
    </row>
    <row r="1931">
      <c r="B1931" s="1" t="s">
        <v>1552</v>
      </c>
      <c r="C1931" s="1" t="s">
        <v>5573</v>
      </c>
      <c r="D1931" s="1" t="s">
        <v>1196</v>
      </c>
      <c r="E1931" s="1" t="s">
        <v>891</v>
      </c>
      <c r="F1931" s="1" t="s">
        <v>1822</v>
      </c>
      <c r="I1931" s="1" t="s">
        <v>4125</v>
      </c>
    </row>
    <row r="1932">
      <c r="B1932" s="1" t="s">
        <v>3518</v>
      </c>
      <c r="C1932" s="1" t="s">
        <v>5828</v>
      </c>
      <c r="D1932" s="1" t="s">
        <v>4615</v>
      </c>
      <c r="E1932" s="1" t="s">
        <v>6606</v>
      </c>
      <c r="F1932" s="1" t="s">
        <v>5135</v>
      </c>
      <c r="I1932" s="1" t="s">
        <v>3284</v>
      </c>
    </row>
    <row r="1933">
      <c r="B1933" s="1" t="s">
        <v>4041</v>
      </c>
      <c r="C1933" s="1" t="s">
        <v>5533</v>
      </c>
      <c r="D1933" s="1" t="s">
        <v>5155</v>
      </c>
      <c r="E1933" s="1" t="s">
        <v>2821</v>
      </c>
      <c r="F1933" s="1" t="s">
        <v>5016</v>
      </c>
      <c r="I1933" s="1" t="s">
        <v>6607</v>
      </c>
    </row>
    <row r="1934">
      <c r="B1934" s="1" t="s">
        <v>5156</v>
      </c>
      <c r="C1934" s="1" t="s">
        <v>151</v>
      </c>
      <c r="D1934" s="1" t="s">
        <v>1923</v>
      </c>
      <c r="E1934" s="1" t="s">
        <v>2461</v>
      </c>
      <c r="F1934" s="1" t="s">
        <v>686</v>
      </c>
      <c r="I1934" s="1" t="s">
        <v>3615</v>
      </c>
    </row>
    <row r="1935">
      <c r="B1935" s="1" t="s">
        <v>1210</v>
      </c>
      <c r="C1935" s="1" t="s">
        <v>5829</v>
      </c>
      <c r="D1935" s="1" t="s">
        <v>491</v>
      </c>
      <c r="E1935" s="1" t="s">
        <v>3770</v>
      </c>
      <c r="F1935" s="1" t="s">
        <v>4466</v>
      </c>
      <c r="I1935" s="1" t="s">
        <v>3742</v>
      </c>
    </row>
    <row r="1936">
      <c r="B1936" s="1" t="s">
        <v>2311</v>
      </c>
      <c r="C1936" s="1" t="s">
        <v>851</v>
      </c>
      <c r="D1936" s="1" t="s">
        <v>3537</v>
      </c>
      <c r="E1936" s="1" t="s">
        <v>4494</v>
      </c>
      <c r="F1936" s="1" t="s">
        <v>3031</v>
      </c>
      <c r="I1936" s="1" t="s">
        <v>1541</v>
      </c>
    </row>
    <row r="1937">
      <c r="B1937" s="1" t="s">
        <v>2315</v>
      </c>
      <c r="C1937" s="1" t="s">
        <v>32</v>
      </c>
      <c r="D1937" s="1" t="s">
        <v>3539</v>
      </c>
      <c r="E1937" s="1" t="s">
        <v>1448</v>
      </c>
      <c r="F1937" s="1" t="s">
        <v>1130</v>
      </c>
      <c r="I1937" s="1" t="s">
        <v>6451</v>
      </c>
    </row>
    <row r="1938">
      <c r="B1938" s="1" t="s">
        <v>1217</v>
      </c>
      <c r="C1938" s="1" t="s">
        <v>5834</v>
      </c>
      <c r="D1938" s="1" t="s">
        <v>1202</v>
      </c>
      <c r="E1938" s="1" t="s">
        <v>3052</v>
      </c>
      <c r="F1938" s="1" t="s">
        <v>3035</v>
      </c>
      <c r="I1938" s="1" t="s">
        <v>4385</v>
      </c>
    </row>
    <row r="1939">
      <c r="B1939" s="1" t="s">
        <v>5158</v>
      </c>
      <c r="C1939" s="1" t="s">
        <v>4412</v>
      </c>
      <c r="D1939" s="1" t="s">
        <v>1930</v>
      </c>
      <c r="E1939" s="1" t="s">
        <v>2826</v>
      </c>
      <c r="F1939" s="1" t="s">
        <v>3372</v>
      </c>
      <c r="I1939" s="1" t="s">
        <v>5124</v>
      </c>
    </row>
    <row r="1940">
      <c r="B1940" s="1" t="s">
        <v>1224</v>
      </c>
      <c r="C1940" s="1" t="s">
        <v>4039</v>
      </c>
      <c r="D1940" s="1" t="s">
        <v>5161</v>
      </c>
      <c r="E1940" s="1" t="s">
        <v>2355</v>
      </c>
      <c r="F1940" s="1" t="s">
        <v>1200</v>
      </c>
      <c r="I1940" s="1" t="s">
        <v>2922</v>
      </c>
    </row>
    <row r="1941">
      <c r="B1941" s="1" t="s">
        <v>4137</v>
      </c>
      <c r="C1941" s="1" t="s">
        <v>942</v>
      </c>
      <c r="D1941" s="1" t="s">
        <v>3119</v>
      </c>
      <c r="E1941" s="1" t="s">
        <v>2829</v>
      </c>
      <c r="F1941" s="1" t="s">
        <v>5187</v>
      </c>
      <c r="I1941" s="1" t="s">
        <v>4933</v>
      </c>
    </row>
    <row r="1942">
      <c r="B1942" s="1" t="s">
        <v>5162</v>
      </c>
      <c r="C1942" s="1" t="s">
        <v>756</v>
      </c>
      <c r="D1942" s="1" t="s">
        <v>1935</v>
      </c>
      <c r="E1942" s="1" t="s">
        <v>6562</v>
      </c>
      <c r="F1942" s="1" t="s">
        <v>1826</v>
      </c>
      <c r="I1942" s="1" t="s">
        <v>4273</v>
      </c>
    </row>
    <row r="1943">
      <c r="B1943" s="1" t="s">
        <v>2324</v>
      </c>
      <c r="C1943" s="1" t="s">
        <v>4731</v>
      </c>
      <c r="D1943" s="1" t="s">
        <v>4473</v>
      </c>
      <c r="E1943" s="1" t="s">
        <v>6608</v>
      </c>
      <c r="F1943" s="1" t="s">
        <v>3380</v>
      </c>
      <c r="I1943" s="1" t="s">
        <v>3250</v>
      </c>
    </row>
    <row r="1944">
      <c r="B1944" s="1" t="s">
        <v>5164</v>
      </c>
      <c r="C1944" s="1" t="s">
        <v>3707</v>
      </c>
      <c r="D1944" s="1" t="s">
        <v>3123</v>
      </c>
      <c r="E1944" s="1" t="s">
        <v>859</v>
      </c>
      <c r="F1944" s="1" t="s">
        <v>1262</v>
      </c>
      <c r="I1944" s="1" t="s">
        <v>1098</v>
      </c>
    </row>
    <row r="1945">
      <c r="B1945" s="1" t="s">
        <v>4713</v>
      </c>
      <c r="C1945" s="1" t="s">
        <v>5843</v>
      </c>
      <c r="D1945" s="1" t="s">
        <v>1208</v>
      </c>
      <c r="E1945" s="1" t="s">
        <v>3238</v>
      </c>
      <c r="F1945" s="1" t="s">
        <v>4472</v>
      </c>
      <c r="I1945" s="1" t="s">
        <v>4584</v>
      </c>
    </row>
    <row r="1946">
      <c r="B1946" s="1" t="s">
        <v>1228</v>
      </c>
      <c r="C1946" s="1" t="s">
        <v>5421</v>
      </c>
      <c r="D1946" s="1" t="s">
        <v>1933</v>
      </c>
      <c r="E1946" s="1" t="s">
        <v>6573</v>
      </c>
      <c r="F1946" s="1" t="s">
        <v>3385</v>
      </c>
      <c r="I1946" s="1" t="s">
        <v>1520</v>
      </c>
    </row>
    <row r="1947">
      <c r="B1947" s="1" t="s">
        <v>5168</v>
      </c>
      <c r="C1947" s="1" t="s">
        <v>3911</v>
      </c>
      <c r="D1947" s="1" t="s">
        <v>3851</v>
      </c>
      <c r="E1947" s="1" t="s">
        <v>4328</v>
      </c>
      <c r="F1947" s="1" t="s">
        <v>3082</v>
      </c>
      <c r="I1947" s="1" t="s">
        <v>1175</v>
      </c>
    </row>
    <row r="1948">
      <c r="B1948" s="1" t="s">
        <v>5169</v>
      </c>
      <c r="C1948" s="1" t="s">
        <v>5505</v>
      </c>
      <c r="D1948" s="1" t="s">
        <v>1212</v>
      </c>
      <c r="E1948" s="1" t="s">
        <v>3065</v>
      </c>
      <c r="F1948" s="1" t="s">
        <v>3387</v>
      </c>
      <c r="I1948" s="1" t="s">
        <v>6597</v>
      </c>
    </row>
    <row r="1949">
      <c r="B1949" s="1" t="s">
        <v>1234</v>
      </c>
      <c r="C1949" s="1" t="s">
        <v>2940</v>
      </c>
      <c r="D1949" s="1" t="s">
        <v>597</v>
      </c>
      <c r="E1949" s="1" t="s">
        <v>6609</v>
      </c>
      <c r="F1949" s="1" t="s">
        <v>3391</v>
      </c>
      <c r="I1949" s="1" t="s">
        <v>1576</v>
      </c>
    </row>
    <row r="1950">
      <c r="B1950" s="1" t="s">
        <v>5171</v>
      </c>
      <c r="C1950" s="1" t="s">
        <v>2237</v>
      </c>
      <c r="D1950" s="1" t="s">
        <v>5172</v>
      </c>
      <c r="E1950" s="1" t="s">
        <v>4734</v>
      </c>
      <c r="F1950" s="1" t="s">
        <v>3393</v>
      </c>
      <c r="I1950" s="1" t="s">
        <v>5139</v>
      </c>
    </row>
    <row r="1951">
      <c r="B1951" s="1" t="s">
        <v>1240</v>
      </c>
      <c r="C1951" s="1" t="s">
        <v>4902</v>
      </c>
      <c r="D1951" s="1" t="s">
        <v>475</v>
      </c>
      <c r="E1951" s="1" t="s">
        <v>2836</v>
      </c>
      <c r="F1951" s="1" t="s">
        <v>2238</v>
      </c>
      <c r="I1951" s="1" t="s">
        <v>947</v>
      </c>
    </row>
    <row r="1952">
      <c r="B1952" s="1" t="s">
        <v>3528</v>
      </c>
      <c r="C1952" s="1" t="s">
        <v>2720</v>
      </c>
      <c r="D1952" s="1" t="s">
        <v>3555</v>
      </c>
      <c r="E1952" s="1" t="s">
        <v>4238</v>
      </c>
      <c r="F1952" s="1" t="s">
        <v>3039</v>
      </c>
      <c r="I1952" s="1" t="s">
        <v>2983</v>
      </c>
    </row>
    <row r="1953">
      <c r="B1953" s="1" t="s">
        <v>4411</v>
      </c>
      <c r="C1953" s="1" t="s">
        <v>1066</v>
      </c>
      <c r="D1953" s="1" t="s">
        <v>5176</v>
      </c>
      <c r="E1953" s="1" t="s">
        <v>6564</v>
      </c>
      <c r="F1953" s="1" t="s">
        <v>1658</v>
      </c>
      <c r="I1953" s="1" t="s">
        <v>3397</v>
      </c>
    </row>
    <row r="1954">
      <c r="B1954" s="1" t="s">
        <v>5177</v>
      </c>
      <c r="C1954" s="1" t="s">
        <v>5500</v>
      </c>
      <c r="D1954" s="1" t="s">
        <v>3558</v>
      </c>
      <c r="E1954" s="1" t="s">
        <v>4205</v>
      </c>
      <c r="F1954" s="1" t="s">
        <v>5248</v>
      </c>
      <c r="I1954" s="1" t="s">
        <v>6610</v>
      </c>
    </row>
    <row r="1955">
      <c r="B1955" s="1" t="s">
        <v>4149</v>
      </c>
      <c r="C1955" s="1" t="s">
        <v>1271</v>
      </c>
      <c r="D1955" s="1" t="s">
        <v>977</v>
      </c>
      <c r="E1955" s="1" t="s">
        <v>6574</v>
      </c>
      <c r="F1955" s="1" t="s">
        <v>1835</v>
      </c>
      <c r="I1955" s="1" t="s">
        <v>6611</v>
      </c>
    </row>
    <row r="1956">
      <c r="B1956" s="1" t="s">
        <v>5179</v>
      </c>
      <c r="C1956" s="1" t="s">
        <v>5853</v>
      </c>
      <c r="D1956" s="1" t="s">
        <v>3137</v>
      </c>
      <c r="E1956" s="1" t="s">
        <v>2844</v>
      </c>
      <c r="F1956" s="1" t="s">
        <v>1841</v>
      </c>
      <c r="I1956" s="1" t="s">
        <v>3830</v>
      </c>
    </row>
    <row r="1957">
      <c r="B1957" s="1" t="s">
        <v>3359</v>
      </c>
      <c r="C1957" s="1" t="s">
        <v>4053</v>
      </c>
      <c r="D1957" s="1" t="s">
        <v>3841</v>
      </c>
      <c r="E1957" s="1" t="s">
        <v>2477</v>
      </c>
      <c r="F1957" s="1" t="s">
        <v>6612</v>
      </c>
      <c r="I1957" s="1" t="s">
        <v>3168</v>
      </c>
    </row>
    <row r="1958">
      <c r="B1958" s="1" t="s">
        <v>2334</v>
      </c>
      <c r="C1958" s="1" t="s">
        <v>5815</v>
      </c>
      <c r="D1958" s="1" t="s">
        <v>4606</v>
      </c>
      <c r="E1958" s="1" t="s">
        <v>4741</v>
      </c>
      <c r="F1958" s="1" t="s">
        <v>6613</v>
      </c>
      <c r="I1958" s="1" t="s">
        <v>1699</v>
      </c>
    </row>
    <row r="1959">
      <c r="B1959" s="1" t="s">
        <v>1251</v>
      </c>
      <c r="C1959" s="1" t="s">
        <v>2253</v>
      </c>
      <c r="D1959" s="1" t="s">
        <v>1225</v>
      </c>
      <c r="E1959" s="1" t="s">
        <v>1597</v>
      </c>
      <c r="F1959" s="1" t="s">
        <v>3403</v>
      </c>
      <c r="I1959" s="1" t="s">
        <v>6614</v>
      </c>
    </row>
    <row r="1960">
      <c r="B1960" s="1" t="s">
        <v>5181</v>
      </c>
      <c r="C1960" s="1" t="s">
        <v>4929</v>
      </c>
      <c r="D1960" s="1" t="s">
        <v>3564</v>
      </c>
      <c r="E1960" s="1" t="s">
        <v>1666</v>
      </c>
      <c r="F1960" s="1" t="s">
        <v>3406</v>
      </c>
      <c r="I1960" s="1" t="s">
        <v>3298</v>
      </c>
    </row>
    <row r="1961">
      <c r="B1961" s="1" t="s">
        <v>1563</v>
      </c>
      <c r="C1961" s="1" t="s">
        <v>353</v>
      </c>
      <c r="D1961" s="1" t="s">
        <v>3566</v>
      </c>
      <c r="E1961" s="1" t="s">
        <v>4209</v>
      </c>
      <c r="F1961" s="1" t="s">
        <v>3408</v>
      </c>
      <c r="I1961" s="1" t="s">
        <v>4418</v>
      </c>
    </row>
    <row r="1962">
      <c r="B1962" s="1" t="s">
        <v>1259</v>
      </c>
      <c r="C1962" s="1" t="s">
        <v>5203</v>
      </c>
      <c r="D1962" s="1" t="s">
        <v>5183</v>
      </c>
      <c r="E1962" s="1" t="s">
        <v>4161</v>
      </c>
      <c r="F1962" s="1" t="s">
        <v>608</v>
      </c>
      <c r="I1962" s="1" t="s">
        <v>6602</v>
      </c>
    </row>
    <row r="1963">
      <c r="B1963" s="1" t="s">
        <v>1945</v>
      </c>
      <c r="C1963" s="1" t="s">
        <v>474</v>
      </c>
      <c r="D1963" s="1" t="s">
        <v>5033</v>
      </c>
      <c r="E1963" s="1" t="s">
        <v>2849</v>
      </c>
      <c r="F1963" s="1" t="s">
        <v>4490</v>
      </c>
      <c r="I1963" s="1" t="s">
        <v>6615</v>
      </c>
    </row>
    <row r="1964">
      <c r="B1964" s="1" t="s">
        <v>5185</v>
      </c>
      <c r="C1964" s="1" t="s">
        <v>846</v>
      </c>
      <c r="D1964" s="1" t="s">
        <v>3143</v>
      </c>
      <c r="E1964" s="1" t="s">
        <v>6576</v>
      </c>
      <c r="F1964" s="1" t="s">
        <v>521</v>
      </c>
      <c r="I1964" s="1" t="s">
        <v>6604</v>
      </c>
    </row>
    <row r="1965">
      <c r="B1965" s="1" t="s">
        <v>5186</v>
      </c>
      <c r="C1965" s="1" t="s">
        <v>5866</v>
      </c>
      <c r="D1965" s="1" t="s">
        <v>1948</v>
      </c>
      <c r="E1965" s="1" t="s">
        <v>5175</v>
      </c>
      <c r="F1965" s="1" t="s">
        <v>3047</v>
      </c>
      <c r="I1965" s="1" t="s">
        <v>1784</v>
      </c>
    </row>
    <row r="1966">
      <c r="B1966" s="1" t="s">
        <v>4160</v>
      </c>
      <c r="C1966" s="1" t="s">
        <v>635</v>
      </c>
      <c r="D1966" s="1" t="s">
        <v>1953</v>
      </c>
      <c r="E1966" s="1" t="s">
        <v>6565</v>
      </c>
      <c r="F1966" s="1" t="s">
        <v>1148</v>
      </c>
      <c r="I1966" s="1" t="s">
        <v>717</v>
      </c>
    </row>
    <row r="1967">
      <c r="B1967" s="1" t="s">
        <v>3544</v>
      </c>
      <c r="C1967" s="1" t="s">
        <v>5186</v>
      </c>
      <c r="D1967" s="1" t="s">
        <v>3149</v>
      </c>
      <c r="E1967" s="1" t="s">
        <v>3055</v>
      </c>
      <c r="F1967" s="1" t="s">
        <v>3414</v>
      </c>
      <c r="I1967" s="1" t="s">
        <v>2340</v>
      </c>
    </row>
    <row r="1968">
      <c r="B1968" s="1" t="s">
        <v>4162</v>
      </c>
      <c r="C1968" s="1" t="s">
        <v>2990</v>
      </c>
      <c r="D1968" s="1" t="s">
        <v>1959</v>
      </c>
      <c r="E1968" s="1" t="s">
        <v>4502</v>
      </c>
      <c r="F1968" s="1" t="s">
        <v>4495</v>
      </c>
      <c r="I1968" s="1" t="s">
        <v>4434</v>
      </c>
    </row>
    <row r="1969">
      <c r="B1969" s="1" t="s">
        <v>3547</v>
      </c>
      <c r="C1969" s="1" t="s">
        <v>677</v>
      </c>
      <c r="D1969" s="1" t="s">
        <v>1231</v>
      </c>
      <c r="E1969" s="1" t="s">
        <v>5257</v>
      </c>
      <c r="F1969" s="1" t="s">
        <v>4498</v>
      </c>
      <c r="I1969" s="1" t="s">
        <v>3319</v>
      </c>
    </row>
    <row r="1970">
      <c r="B1970" s="1" t="s">
        <v>4164</v>
      </c>
      <c r="C1970" s="1" t="s">
        <v>4915</v>
      </c>
      <c r="D1970" s="1" t="s">
        <v>5190</v>
      </c>
      <c r="E1970" s="1" t="s">
        <v>3095</v>
      </c>
      <c r="F1970" s="1" t="s">
        <v>3105</v>
      </c>
      <c r="I1970" s="1" t="s">
        <v>4436</v>
      </c>
    </row>
    <row r="1971">
      <c r="B1971" s="1" t="s">
        <v>251</v>
      </c>
      <c r="C1971" s="1" t="s">
        <v>4244</v>
      </c>
      <c r="D1971" s="1" t="s">
        <v>2663</v>
      </c>
      <c r="E1971" s="1" t="s">
        <v>900</v>
      </c>
      <c r="F1971" s="1" t="s">
        <v>956</v>
      </c>
      <c r="I1971" s="1" t="s">
        <v>3328</v>
      </c>
    </row>
    <row r="1972">
      <c r="B1972" s="1" t="s">
        <v>1277</v>
      </c>
      <c r="C1972" s="1" t="s">
        <v>5871</v>
      </c>
      <c r="D1972" s="1" t="s">
        <v>3153</v>
      </c>
      <c r="E1972" s="1" t="s">
        <v>6577</v>
      </c>
      <c r="F1972" s="1" t="s">
        <v>3050</v>
      </c>
      <c r="I1972" s="1" t="s">
        <v>4995</v>
      </c>
    </row>
    <row r="1973">
      <c r="B1973" s="1" t="s">
        <v>1270</v>
      </c>
      <c r="C1973" s="1" t="s">
        <v>2513</v>
      </c>
      <c r="D1973" s="1" t="s">
        <v>656</v>
      </c>
      <c r="E1973" s="1" t="s">
        <v>4057</v>
      </c>
      <c r="F1973" s="1" t="s">
        <v>1852</v>
      </c>
      <c r="I1973" s="1" t="s">
        <v>536</v>
      </c>
    </row>
    <row r="1974">
      <c r="B1974" s="1" t="s">
        <v>1284</v>
      </c>
      <c r="C1974" s="1" t="s">
        <v>812</v>
      </c>
      <c r="D1974" s="1" t="s">
        <v>3573</v>
      </c>
      <c r="E1974" s="1" t="s">
        <v>2314</v>
      </c>
      <c r="F1974" s="1" t="s">
        <v>4508</v>
      </c>
      <c r="I1974" s="1" t="s">
        <v>3335</v>
      </c>
    </row>
    <row r="1975">
      <c r="B1975" s="1" t="s">
        <v>4179</v>
      </c>
      <c r="C1975" s="1" t="s">
        <v>5197</v>
      </c>
      <c r="D1975" s="1" t="s">
        <v>981</v>
      </c>
      <c r="E1975" s="1" t="s">
        <v>980</v>
      </c>
      <c r="F1975" s="1" t="s">
        <v>6616</v>
      </c>
      <c r="I1975" s="1" t="s">
        <v>4441</v>
      </c>
    </row>
    <row r="1976">
      <c r="B1976" s="1" t="s">
        <v>5195</v>
      </c>
      <c r="C1976" s="1" t="s">
        <v>4786</v>
      </c>
      <c r="D1976" s="1" t="s">
        <v>1105</v>
      </c>
      <c r="E1976" s="1" t="s">
        <v>6579</v>
      </c>
      <c r="F1976" s="1" t="s">
        <v>5230</v>
      </c>
      <c r="I1976" s="1" t="s">
        <v>5122</v>
      </c>
    </row>
    <row r="1977">
      <c r="B1977" s="1" t="s">
        <v>5197</v>
      </c>
      <c r="C1977" s="1" t="s">
        <v>2257</v>
      </c>
      <c r="D1977" s="1" t="s">
        <v>106</v>
      </c>
      <c r="E1977" s="1" t="s">
        <v>4218</v>
      </c>
      <c r="F1977" s="1" t="s">
        <v>1159</v>
      </c>
      <c r="I1977" s="1" t="s">
        <v>4447</v>
      </c>
    </row>
    <row r="1978">
      <c r="B1978" s="1" t="s">
        <v>675</v>
      </c>
      <c r="C1978" s="1" t="s">
        <v>5833</v>
      </c>
      <c r="D1978" s="1" t="s">
        <v>5199</v>
      </c>
      <c r="E1978" s="1" t="s">
        <v>4954</v>
      </c>
      <c r="F1978" s="1" t="s">
        <v>2498</v>
      </c>
      <c r="I1978" s="1" t="s">
        <v>1123</v>
      </c>
    </row>
    <row r="1979">
      <c r="B1979" s="1" t="s">
        <v>983</v>
      </c>
      <c r="C1979" s="1" t="s">
        <v>1273</v>
      </c>
      <c r="D1979" s="1" t="s">
        <v>5200</v>
      </c>
      <c r="E1979" s="1" t="s">
        <v>3115</v>
      </c>
      <c r="F1979" s="1" t="s">
        <v>3422</v>
      </c>
      <c r="I1979" s="1" t="s">
        <v>5167</v>
      </c>
    </row>
    <row r="1980">
      <c r="B1980" s="1" t="s">
        <v>4290</v>
      </c>
      <c r="C1980" s="1" t="s">
        <v>5647</v>
      </c>
      <c r="D1980" s="1" t="s">
        <v>4668</v>
      </c>
      <c r="E1980" s="1" t="s">
        <v>4231</v>
      </c>
      <c r="F1980" s="1" t="s">
        <v>2108</v>
      </c>
      <c r="I1980" s="1" t="s">
        <v>6453</v>
      </c>
    </row>
    <row r="1981">
      <c r="B1981" s="1" t="s">
        <v>4612</v>
      </c>
      <c r="C1981" s="1" t="s">
        <v>2853</v>
      </c>
      <c r="D1981" s="1" t="s">
        <v>203</v>
      </c>
      <c r="E1981" s="1" t="s">
        <v>4237</v>
      </c>
      <c r="F1981" s="1" t="s">
        <v>2006</v>
      </c>
      <c r="I1981" s="1">
        <v>15.0</v>
      </c>
    </row>
    <row r="1982">
      <c r="B1982" s="1" t="s">
        <v>5202</v>
      </c>
      <c r="C1982" s="1" t="s">
        <v>2331</v>
      </c>
      <c r="D1982" s="1" t="s">
        <v>5203</v>
      </c>
      <c r="E1982" s="1" t="s">
        <v>5370</v>
      </c>
      <c r="F1982" s="1" t="s">
        <v>6617</v>
      </c>
      <c r="I1982" s="1" t="s">
        <v>2201</v>
      </c>
    </row>
    <row r="1983">
      <c r="B1983" s="1" t="s">
        <v>5204</v>
      </c>
      <c r="C1983" s="1" t="s">
        <v>3093</v>
      </c>
      <c r="D1983" s="1" t="s">
        <v>1254</v>
      </c>
      <c r="E1983" s="1" t="s">
        <v>4226</v>
      </c>
      <c r="F1983" s="1" t="s">
        <v>4280</v>
      </c>
      <c r="I1983" s="1" t="s">
        <v>3022</v>
      </c>
    </row>
    <row r="1984">
      <c r="B1984" s="1" t="s">
        <v>4185</v>
      </c>
      <c r="C1984" s="1" t="s">
        <v>866</v>
      </c>
      <c r="D1984" s="1" t="s">
        <v>2031</v>
      </c>
      <c r="E1984" s="1" t="s">
        <v>1389</v>
      </c>
      <c r="F1984" s="1" t="s">
        <v>6167</v>
      </c>
      <c r="I1984" s="1" t="s">
        <v>5174</v>
      </c>
    </row>
    <row r="1985">
      <c r="B1985" s="1" t="s">
        <v>5207</v>
      </c>
      <c r="C1985" s="1" t="s">
        <v>4115</v>
      </c>
      <c r="D1985" s="1" t="s">
        <v>4670</v>
      </c>
      <c r="E1985" s="1" t="s">
        <v>6582</v>
      </c>
      <c r="F1985" s="1" t="s">
        <v>2213</v>
      </c>
      <c r="I1985" s="1" t="s">
        <v>5006</v>
      </c>
    </row>
    <row r="1986">
      <c r="B1986" s="1" t="s">
        <v>5209</v>
      </c>
      <c r="C1986" s="1" t="s">
        <v>5883</v>
      </c>
      <c r="D1986" s="1" t="s">
        <v>5211</v>
      </c>
      <c r="E1986" s="1" t="s">
        <v>6583</v>
      </c>
      <c r="F1986" s="1" t="s">
        <v>1165</v>
      </c>
      <c r="I1986" s="1" t="s">
        <v>3355</v>
      </c>
    </row>
    <row r="1987">
      <c r="B1987" s="1" t="s">
        <v>4187</v>
      </c>
      <c r="C1987" s="1" t="s">
        <v>3079</v>
      </c>
      <c r="D1987" s="1" t="s">
        <v>2883</v>
      </c>
      <c r="E1987" s="1" t="s">
        <v>5426</v>
      </c>
      <c r="F1987" s="1" t="s">
        <v>966</v>
      </c>
      <c r="I1987" s="1" t="s">
        <v>5135</v>
      </c>
    </row>
    <row r="1988">
      <c r="B1988" s="1" t="s">
        <v>5212</v>
      </c>
      <c r="C1988" s="1" t="s">
        <v>553</v>
      </c>
      <c r="D1988" s="1" t="s">
        <v>4672</v>
      </c>
      <c r="E1988" s="1" t="s">
        <v>4248</v>
      </c>
      <c r="F1988" s="1" t="s">
        <v>961</v>
      </c>
      <c r="I1988" s="1" t="s">
        <v>3363</v>
      </c>
    </row>
    <row r="1989">
      <c r="B1989" s="1" t="s">
        <v>1581</v>
      </c>
      <c r="C1989" s="1" t="s">
        <v>4072</v>
      </c>
      <c r="D1989" s="1" t="s">
        <v>3584</v>
      </c>
      <c r="E1989" s="1" t="s">
        <v>415</v>
      </c>
      <c r="F1989" s="1" t="s">
        <v>1868</v>
      </c>
      <c r="I1989" s="1" t="s">
        <v>5016</v>
      </c>
    </row>
    <row r="1990">
      <c r="B1990" s="1" t="s">
        <v>994</v>
      </c>
      <c r="C1990" s="1" t="s">
        <v>5089</v>
      </c>
      <c r="D1990" s="1" t="s">
        <v>5213</v>
      </c>
      <c r="E1990" s="1" t="s">
        <v>6585</v>
      </c>
      <c r="F1990" s="1" t="s">
        <v>5069</v>
      </c>
      <c r="I1990" s="1" t="s">
        <v>3031</v>
      </c>
    </row>
    <row r="1991">
      <c r="B1991" s="1" t="s">
        <v>5214</v>
      </c>
      <c r="C1991" s="1" t="s">
        <v>5889</v>
      </c>
      <c r="D1991" s="1" t="s">
        <v>5215</v>
      </c>
      <c r="E1991" s="1" t="s">
        <v>3862</v>
      </c>
      <c r="F1991" s="1" t="s">
        <v>5953</v>
      </c>
      <c r="I1991" s="1" t="s">
        <v>6618</v>
      </c>
    </row>
    <row r="1992">
      <c r="B1992" s="1" t="s">
        <v>5216</v>
      </c>
      <c r="C1992" s="1" t="s">
        <v>5338</v>
      </c>
      <c r="D1992" s="1" t="s">
        <v>984</v>
      </c>
      <c r="E1992" s="1" t="s">
        <v>3126</v>
      </c>
      <c r="F1992" s="1" t="s">
        <v>4520</v>
      </c>
      <c r="I1992" s="1" t="s">
        <v>1200</v>
      </c>
    </row>
    <row r="1993">
      <c r="B1993" s="1" t="s">
        <v>1295</v>
      </c>
      <c r="C1993" s="1" t="s">
        <v>5892</v>
      </c>
      <c r="D1993" s="1" t="s">
        <v>3588</v>
      </c>
      <c r="E1993" s="1" t="s">
        <v>67</v>
      </c>
      <c r="F1993" s="1" t="s">
        <v>3128</v>
      </c>
      <c r="I1993" s="1" t="s">
        <v>6619</v>
      </c>
    </row>
    <row r="1994">
      <c r="B1994" s="1" t="s">
        <v>4194</v>
      </c>
      <c r="C1994" s="1" t="s">
        <v>3996</v>
      </c>
      <c r="D1994" s="1" t="s">
        <v>1261</v>
      </c>
      <c r="E1994" s="1" t="s">
        <v>4991</v>
      </c>
      <c r="F1994" s="1" t="s">
        <v>3994</v>
      </c>
      <c r="I1994" s="1" t="s">
        <v>4472</v>
      </c>
    </row>
    <row r="1995">
      <c r="B1995" s="1" t="s">
        <v>2367</v>
      </c>
      <c r="C1995" s="1" t="s">
        <v>185</v>
      </c>
      <c r="D1995" s="1" t="s">
        <v>5221</v>
      </c>
      <c r="E1995" s="1" t="s">
        <v>4685</v>
      </c>
      <c r="F1995" s="1" t="s">
        <v>5072</v>
      </c>
      <c r="I1995" s="1" t="s">
        <v>3082</v>
      </c>
    </row>
    <row r="1996">
      <c r="B1996" s="1" t="s">
        <v>5222</v>
      </c>
      <c r="C1996" s="1" t="s">
        <v>1488</v>
      </c>
      <c r="D1996" s="1" t="s">
        <v>1983</v>
      </c>
      <c r="E1996" s="1" t="s">
        <v>4789</v>
      </c>
      <c r="F1996" s="1" t="s">
        <v>1872</v>
      </c>
      <c r="I1996" s="1" t="s">
        <v>5192</v>
      </c>
    </row>
    <row r="1997">
      <c r="B1997" s="1" t="s">
        <v>5223</v>
      </c>
      <c r="C1997" s="1" t="s">
        <v>5897</v>
      </c>
      <c r="D1997" s="1" t="s">
        <v>2020</v>
      </c>
      <c r="E1997" s="1" t="s">
        <v>6587</v>
      </c>
      <c r="F1997" s="1" t="s">
        <v>5079</v>
      </c>
      <c r="I1997" s="1" t="s">
        <v>964</v>
      </c>
    </row>
    <row r="1998">
      <c r="B1998" s="1" t="s">
        <v>1073</v>
      </c>
      <c r="C1998" s="1" t="s">
        <v>459</v>
      </c>
      <c r="D1998" s="1" t="s">
        <v>5225</v>
      </c>
      <c r="E1998" s="1" t="s">
        <v>4996</v>
      </c>
      <c r="F1998" s="1" t="s">
        <v>4154</v>
      </c>
      <c r="I1998" s="1" t="s">
        <v>3391</v>
      </c>
    </row>
    <row r="1999">
      <c r="B1999" s="1" t="s">
        <v>5226</v>
      </c>
      <c r="C1999" s="1" t="s">
        <v>3494</v>
      </c>
      <c r="D1999" s="1" t="s">
        <v>1267</v>
      </c>
      <c r="E1999" s="1" t="s">
        <v>1790</v>
      </c>
      <c r="F1999" s="1" t="s">
        <v>1877</v>
      </c>
      <c r="I1999" s="1" t="s">
        <v>2238</v>
      </c>
    </row>
    <row r="2000">
      <c r="B2000" s="1" t="s">
        <v>1300</v>
      </c>
      <c r="C2000" s="1" t="s">
        <v>398</v>
      </c>
      <c r="D2000" s="1" t="s">
        <v>1273</v>
      </c>
      <c r="E2000" s="1" t="s">
        <v>3507</v>
      </c>
      <c r="F2000" s="1" t="s">
        <v>1882</v>
      </c>
      <c r="I2000" s="1" t="s">
        <v>6455</v>
      </c>
    </row>
    <row r="2001">
      <c r="B2001" s="1" t="s">
        <v>5229</v>
      </c>
      <c r="C2001" s="1" t="s">
        <v>1165</v>
      </c>
      <c r="D2001" s="1" t="s">
        <v>5232</v>
      </c>
      <c r="E2001" s="1" t="s">
        <v>5374</v>
      </c>
      <c r="F2001" s="1" t="s">
        <v>5086</v>
      </c>
      <c r="I2001" s="1" t="s">
        <v>4776</v>
      </c>
    </row>
    <row r="2002">
      <c r="B2002" s="1" t="s">
        <v>4199</v>
      </c>
      <c r="C2002" s="1" t="s">
        <v>2351</v>
      </c>
      <c r="D2002" s="1" t="s">
        <v>989</v>
      </c>
      <c r="E2002" s="1" t="s">
        <v>4709</v>
      </c>
      <c r="F2002" s="1" t="s">
        <v>4200</v>
      </c>
      <c r="I2002" s="1" t="s">
        <v>6613</v>
      </c>
    </row>
    <row r="2003">
      <c r="B2003" s="1" t="s">
        <v>4201</v>
      </c>
      <c r="C2003" s="1" t="s">
        <v>4106</v>
      </c>
      <c r="D2003" s="1" t="s">
        <v>114</v>
      </c>
      <c r="E2003" s="1" t="s">
        <v>2872</v>
      </c>
      <c r="F2003" s="1" t="s">
        <v>4543</v>
      </c>
      <c r="I2003" s="1" t="s">
        <v>3403</v>
      </c>
    </row>
    <row r="2004">
      <c r="B2004" s="1" t="s">
        <v>5233</v>
      </c>
      <c r="C2004" s="1" t="s">
        <v>5083</v>
      </c>
      <c r="D2004" s="1" t="s">
        <v>3600</v>
      </c>
      <c r="E2004" s="1" t="s">
        <v>2875</v>
      </c>
      <c r="F2004" s="1" t="s">
        <v>5088</v>
      </c>
      <c r="I2004" s="1" t="s">
        <v>4480</v>
      </c>
    </row>
    <row r="2005">
      <c r="B2005" s="1" t="s">
        <v>1589</v>
      </c>
      <c r="C2005" s="1" t="s">
        <v>2065</v>
      </c>
      <c r="D2005" s="1" t="s">
        <v>1696</v>
      </c>
      <c r="E2005" s="1" t="s">
        <v>6589</v>
      </c>
      <c r="F2005" s="1" t="s">
        <v>1917</v>
      </c>
      <c r="I2005" s="1" t="s">
        <v>6612</v>
      </c>
    </row>
    <row r="2006">
      <c r="B2006" s="1" t="s">
        <v>5236</v>
      </c>
      <c r="C2006" s="1" t="s">
        <v>5859</v>
      </c>
      <c r="D2006" s="1" t="s">
        <v>5237</v>
      </c>
      <c r="E2006" s="1" t="s">
        <v>4978</v>
      </c>
      <c r="F2006" s="1" t="s">
        <v>3441</v>
      </c>
      <c r="I2006" s="1" t="s">
        <v>6620</v>
      </c>
    </row>
    <row r="2007">
      <c r="B2007" s="1" t="s">
        <v>1173</v>
      </c>
      <c r="C2007" s="1" t="s">
        <v>2079</v>
      </c>
      <c r="D2007" s="1" t="s">
        <v>4174</v>
      </c>
      <c r="E2007" s="1" t="s">
        <v>1042</v>
      </c>
      <c r="F2007" s="1" t="s">
        <v>79</v>
      </c>
      <c r="I2007" s="1" t="s">
        <v>187</v>
      </c>
    </row>
    <row r="2008">
      <c r="B2008" s="1" t="s">
        <v>5239</v>
      </c>
      <c r="C2008" s="1" t="s">
        <v>4526</v>
      </c>
      <c r="D2008" s="1" t="s">
        <v>1994</v>
      </c>
      <c r="E2008" s="1" t="s">
        <v>1940</v>
      </c>
      <c r="F2008" s="1" t="s">
        <v>5093</v>
      </c>
      <c r="I2008" s="1" t="s">
        <v>5974</v>
      </c>
    </row>
    <row r="2009">
      <c r="B2009" s="1" t="s">
        <v>3572</v>
      </c>
      <c r="C2009" s="1" t="s">
        <v>5787</v>
      </c>
      <c r="D2009" s="1" t="s">
        <v>5241</v>
      </c>
      <c r="E2009" s="1" t="s">
        <v>2879</v>
      </c>
      <c r="F2009" s="1" t="s">
        <v>3639</v>
      </c>
      <c r="I2009" s="1" t="s">
        <v>3043</v>
      </c>
    </row>
    <row r="2010">
      <c r="B2010" s="1" t="s">
        <v>2387</v>
      </c>
      <c r="C2010" s="1" t="s">
        <v>2157</v>
      </c>
      <c r="D2010" s="1" t="s">
        <v>4063</v>
      </c>
      <c r="E2010" s="1" t="s">
        <v>4456</v>
      </c>
      <c r="F2010" s="1" t="s">
        <v>1889</v>
      </c>
      <c r="I2010" s="1" t="s">
        <v>6621</v>
      </c>
    </row>
    <row r="2011">
      <c r="B2011" s="1" t="s">
        <v>5242</v>
      </c>
      <c r="C2011" s="1" t="s">
        <v>5430</v>
      </c>
      <c r="D2011" s="1" t="s">
        <v>4697</v>
      </c>
      <c r="E2011" s="1" t="s">
        <v>4803</v>
      </c>
      <c r="F2011" s="1" t="s">
        <v>3449</v>
      </c>
      <c r="I2011" s="1" t="s">
        <v>3408</v>
      </c>
    </row>
    <row r="2012">
      <c r="B2012" s="1" t="s">
        <v>3574</v>
      </c>
      <c r="C2012" s="1">
        <v>2002.0</v>
      </c>
      <c r="D2012" s="1" t="s">
        <v>1998</v>
      </c>
      <c r="E2012" s="1" t="s">
        <v>1820</v>
      </c>
      <c r="F2012" s="1" t="s">
        <v>1893</v>
      </c>
      <c r="I2012" s="1" t="s">
        <v>1136</v>
      </c>
    </row>
    <row r="2013">
      <c r="B2013" s="1" t="s">
        <v>4999</v>
      </c>
      <c r="C2013" s="1" t="s">
        <v>5286</v>
      </c>
      <c r="D2013" s="1" t="s">
        <v>5113</v>
      </c>
      <c r="E2013" s="1" t="s">
        <v>6447</v>
      </c>
      <c r="F2013" s="1" t="s">
        <v>1911</v>
      </c>
      <c r="I2013" s="1" t="s">
        <v>6622</v>
      </c>
    </row>
    <row r="2014">
      <c r="B2014" s="1" t="s">
        <v>5243</v>
      </c>
      <c r="C2014" s="1" t="s">
        <v>47</v>
      </c>
      <c r="D2014" s="1" t="s">
        <v>3608</v>
      </c>
      <c r="E2014" s="1" t="s">
        <v>1661</v>
      </c>
      <c r="F2014" s="1" t="s">
        <v>4725</v>
      </c>
      <c r="I2014" s="1" t="s">
        <v>4498</v>
      </c>
    </row>
    <row r="2015">
      <c r="B2015" s="1" t="s">
        <v>4523</v>
      </c>
      <c r="C2015" s="1" t="s">
        <v>5909</v>
      </c>
      <c r="D2015" s="1" t="s">
        <v>5244</v>
      </c>
      <c r="E2015" s="1" t="s">
        <v>602</v>
      </c>
      <c r="F2015" s="1" t="s">
        <v>1172</v>
      </c>
      <c r="I2015" s="1" t="s">
        <v>3105</v>
      </c>
    </row>
    <row r="2016">
      <c r="B2016" s="1" t="s">
        <v>4208</v>
      </c>
      <c r="C2016" s="1" t="s">
        <v>5910</v>
      </c>
      <c r="D2016" s="1" t="s">
        <v>5245</v>
      </c>
      <c r="E2016" s="1" t="s">
        <v>4267</v>
      </c>
      <c r="F2016" s="1" t="s">
        <v>3456</v>
      </c>
      <c r="I2016" s="1" t="s">
        <v>6623</v>
      </c>
    </row>
    <row r="2017">
      <c r="B2017" s="1" t="s">
        <v>3577</v>
      </c>
      <c r="C2017" s="1" t="s">
        <v>991</v>
      </c>
      <c r="D2017" s="1" t="s">
        <v>4676</v>
      </c>
      <c r="E2017" s="1" t="s">
        <v>5009</v>
      </c>
      <c r="F2017" s="1" t="s">
        <v>3085</v>
      </c>
      <c r="I2017" s="1" t="s">
        <v>3050</v>
      </c>
    </row>
    <row r="2018">
      <c r="B2018" s="1" t="s">
        <v>5246</v>
      </c>
      <c r="C2018" s="1" t="s">
        <v>5912</v>
      </c>
      <c r="D2018" s="1" t="s">
        <v>623</v>
      </c>
      <c r="E2018" s="1" t="s">
        <v>6593</v>
      </c>
      <c r="F2018" s="1" t="s">
        <v>3081</v>
      </c>
      <c r="I2018" s="1" t="s">
        <v>3418</v>
      </c>
    </row>
    <row r="2019">
      <c r="B2019" s="1" t="s">
        <v>1593</v>
      </c>
      <c r="C2019" s="1" t="s">
        <v>4151</v>
      </c>
      <c r="D2019" s="1" t="s">
        <v>3611</v>
      </c>
      <c r="E2019" s="1" t="s">
        <v>1674</v>
      </c>
      <c r="F2019" s="1" t="s">
        <v>6624</v>
      </c>
      <c r="I2019" s="1" t="s">
        <v>4132</v>
      </c>
    </row>
    <row r="2020">
      <c r="B2020" s="1" t="s">
        <v>2397</v>
      </c>
      <c r="C2020" s="1" t="s">
        <v>788</v>
      </c>
      <c r="D2020" s="1" t="s">
        <v>4698</v>
      </c>
      <c r="E2020" s="1" t="s">
        <v>6595</v>
      </c>
      <c r="F2020" s="1" t="s">
        <v>5106</v>
      </c>
      <c r="I2020" s="1" t="s">
        <v>6616</v>
      </c>
    </row>
    <row r="2021">
      <c r="B2021" s="1" t="s">
        <v>5249</v>
      </c>
      <c r="C2021" s="1" t="s">
        <v>5914</v>
      </c>
      <c r="D2021" s="1" t="s">
        <v>4701</v>
      </c>
      <c r="E2021" s="1" t="s">
        <v>347</v>
      </c>
      <c r="F2021" s="1" t="s">
        <v>876</v>
      </c>
      <c r="I2021" s="1" t="s">
        <v>4505</v>
      </c>
    </row>
    <row r="2022">
      <c r="B2022" s="1" t="s">
        <v>4215</v>
      </c>
      <c r="C2022" s="1" t="s">
        <v>5915</v>
      </c>
      <c r="D2022" s="1" t="s">
        <v>2000</v>
      </c>
      <c r="E2022" s="1" t="s">
        <v>3706</v>
      </c>
      <c r="F2022" s="1" t="s">
        <v>4562</v>
      </c>
      <c r="I2022" s="1" t="s">
        <v>5230</v>
      </c>
    </row>
    <row r="2023">
      <c r="B2023" s="1" t="s">
        <v>5251</v>
      </c>
      <c r="C2023" s="1" t="s">
        <v>5916</v>
      </c>
      <c r="D2023" s="1" t="s">
        <v>4704</v>
      </c>
      <c r="E2023" s="1" t="s">
        <v>4270</v>
      </c>
      <c r="F2023" s="1" t="s">
        <v>3088</v>
      </c>
      <c r="I2023" s="1" t="s">
        <v>4950</v>
      </c>
    </row>
    <row r="2024">
      <c r="B2024" s="1" t="s">
        <v>969</v>
      </c>
      <c r="C2024" s="1" t="s">
        <v>4163</v>
      </c>
      <c r="D2024" s="1" t="s">
        <v>1292</v>
      </c>
      <c r="E2024" s="1" t="s">
        <v>1054</v>
      </c>
      <c r="F2024" s="1" t="s">
        <v>2555</v>
      </c>
      <c r="I2024" s="1" t="s">
        <v>3053</v>
      </c>
    </row>
    <row r="2025">
      <c r="B2025" s="1" t="s">
        <v>3585</v>
      </c>
      <c r="C2025" s="1" t="s">
        <v>3868</v>
      </c>
      <c r="D2025" s="1" t="s">
        <v>1463</v>
      </c>
      <c r="E2025" s="1" t="s">
        <v>6596</v>
      </c>
      <c r="F2025" s="1" t="s">
        <v>3459</v>
      </c>
      <c r="I2025" s="1" t="s">
        <v>2108</v>
      </c>
    </row>
    <row r="2026">
      <c r="B2026" s="1" t="s">
        <v>1315</v>
      </c>
      <c r="C2026" s="1" t="s">
        <v>2447</v>
      </c>
      <c r="D2026" s="1" t="s">
        <v>3616</v>
      </c>
      <c r="E2026" s="1" t="s">
        <v>2981</v>
      </c>
      <c r="F2026" s="1" t="s">
        <v>3091</v>
      </c>
      <c r="I2026" s="1" t="s">
        <v>2006</v>
      </c>
    </row>
    <row r="2027">
      <c r="B2027" s="1" t="s">
        <v>607</v>
      </c>
      <c r="C2027" s="1" t="s">
        <v>2879</v>
      </c>
      <c r="D2027" s="1" t="s">
        <v>4707</v>
      </c>
      <c r="E2027" s="1" t="s">
        <v>3819</v>
      </c>
      <c r="F2027" s="1" t="s">
        <v>3462</v>
      </c>
      <c r="I2027" s="1" t="s">
        <v>4280</v>
      </c>
    </row>
    <row r="2028">
      <c r="B2028" s="1" t="s">
        <v>3589</v>
      </c>
      <c r="C2028" s="1" t="s">
        <v>5919</v>
      </c>
      <c r="D2028" s="1" t="s">
        <v>3617</v>
      </c>
      <c r="E2028" s="1" t="s">
        <v>5796</v>
      </c>
      <c r="F2028" s="1" t="s">
        <v>3093</v>
      </c>
      <c r="I2028" s="1" t="s">
        <v>6625</v>
      </c>
    </row>
    <row r="2029">
      <c r="B2029" s="1" t="s">
        <v>1326</v>
      </c>
      <c r="C2029" s="1" t="s">
        <v>1202</v>
      </c>
      <c r="D2029" s="1" t="s">
        <v>3620</v>
      </c>
      <c r="E2029" s="1" t="s">
        <v>897</v>
      </c>
      <c r="F2029" s="1">
        <v>7.0</v>
      </c>
      <c r="I2029" s="1" t="s">
        <v>2213</v>
      </c>
    </row>
    <row r="2030">
      <c r="B2030" s="1" t="s">
        <v>1605</v>
      </c>
      <c r="C2030" s="1" t="s">
        <v>5920</v>
      </c>
      <c r="D2030" s="1" t="s">
        <v>5254</v>
      </c>
      <c r="E2030" s="1" t="s">
        <v>4587</v>
      </c>
      <c r="F2030" s="1" t="s">
        <v>6626</v>
      </c>
      <c r="I2030" s="1" t="s">
        <v>1165</v>
      </c>
    </row>
    <row r="2031">
      <c r="B2031" s="1" t="s">
        <v>2410</v>
      </c>
      <c r="C2031" s="1" t="s">
        <v>5922</v>
      </c>
      <c r="D2031" s="1" t="s">
        <v>1250</v>
      </c>
      <c r="E2031" s="1">
        <v>30.0</v>
      </c>
      <c r="F2031" s="1" t="s">
        <v>761</v>
      </c>
      <c r="I2031" s="1" t="s">
        <v>1483</v>
      </c>
    </row>
    <row r="2032">
      <c r="B2032" s="1" t="s">
        <v>3591</v>
      </c>
      <c r="C2032" s="1" t="s">
        <v>5923</v>
      </c>
      <c r="D2032" s="1" t="s">
        <v>5255</v>
      </c>
      <c r="E2032" s="1" t="s">
        <v>3438</v>
      </c>
      <c r="F2032" s="1" t="s">
        <v>3483</v>
      </c>
      <c r="I2032" s="1" t="s">
        <v>6627</v>
      </c>
    </row>
    <row r="2033">
      <c r="B2033" s="1" t="s">
        <v>3593</v>
      </c>
      <c r="C2033" s="1" t="s">
        <v>2209</v>
      </c>
      <c r="D2033" s="1" t="s">
        <v>3621</v>
      </c>
      <c r="E2033" s="1" t="s">
        <v>6598</v>
      </c>
      <c r="F2033" s="1" t="s">
        <v>3465</v>
      </c>
      <c r="I2033" s="1" t="s">
        <v>3128</v>
      </c>
    </row>
    <row r="2034">
      <c r="B2034" s="1" t="s">
        <v>5256</v>
      </c>
      <c r="C2034" s="1" t="s">
        <v>376</v>
      </c>
      <c r="D2034" s="1" t="s">
        <v>1001</v>
      </c>
      <c r="E2034" s="1" t="s">
        <v>4838</v>
      </c>
      <c r="F2034" s="1" t="s">
        <v>1716</v>
      </c>
      <c r="I2034" s="1" t="s">
        <v>4521</v>
      </c>
    </row>
    <row r="2035">
      <c r="B2035" s="1" t="s">
        <v>5258</v>
      </c>
      <c r="C2035" s="1" t="s">
        <v>5527</v>
      </c>
      <c r="D2035" s="1" t="s">
        <v>1006</v>
      </c>
      <c r="E2035" s="1" t="s">
        <v>1631</v>
      </c>
      <c r="F2035" s="1" t="s">
        <v>5118</v>
      </c>
      <c r="I2035" s="1" t="s">
        <v>6628</v>
      </c>
    </row>
    <row r="2036">
      <c r="B2036" s="1" t="s">
        <v>5259</v>
      </c>
      <c r="C2036" s="1" t="s">
        <v>5633</v>
      </c>
      <c r="D2036" s="1" t="s">
        <v>2007</v>
      </c>
      <c r="E2036" s="1" t="s">
        <v>2964</v>
      </c>
      <c r="F2036" s="1" t="s">
        <v>3469</v>
      </c>
      <c r="I2036" s="1">
        <v>86.0</v>
      </c>
    </row>
    <row r="2037">
      <c r="B2037" s="1" t="s">
        <v>4220</v>
      </c>
      <c r="C2037" s="1" t="s">
        <v>1817</v>
      </c>
      <c r="D2037" s="1" t="s">
        <v>1297</v>
      </c>
      <c r="E2037" s="1" t="s">
        <v>6600</v>
      </c>
      <c r="F2037" s="1" t="s">
        <v>5270</v>
      </c>
      <c r="I2037" s="1" t="s">
        <v>5075</v>
      </c>
    </row>
    <row r="2038">
      <c r="B2038" s="1" t="s">
        <v>2413</v>
      </c>
      <c r="C2038" s="1" t="s">
        <v>125</v>
      </c>
      <c r="D2038" s="1" t="s">
        <v>4722</v>
      </c>
      <c r="E2038" s="1" t="s">
        <v>2914</v>
      </c>
      <c r="F2038" s="1" t="s">
        <v>3473</v>
      </c>
      <c r="I2038" s="1" t="s">
        <v>4533</v>
      </c>
    </row>
    <row r="2039">
      <c r="B2039" s="1" t="s">
        <v>3595</v>
      </c>
      <c r="C2039" s="1" t="s">
        <v>5144</v>
      </c>
      <c r="D2039" s="1" t="s">
        <v>1276</v>
      </c>
      <c r="E2039" s="1" t="s">
        <v>6601</v>
      </c>
      <c r="F2039" s="1" t="s">
        <v>1178</v>
      </c>
      <c r="I2039" s="1" t="s">
        <v>5079</v>
      </c>
    </row>
    <row r="2040">
      <c r="B2040" s="1" t="s">
        <v>2416</v>
      </c>
      <c r="C2040" s="1" t="s">
        <v>4162</v>
      </c>
      <c r="D2040" s="1" t="s">
        <v>3206</v>
      </c>
      <c r="E2040" s="1" t="s">
        <v>1383</v>
      </c>
      <c r="F2040" s="1" t="s">
        <v>3482</v>
      </c>
      <c r="I2040" s="1" t="s">
        <v>4289</v>
      </c>
    </row>
    <row r="2041">
      <c r="B2041" s="1" t="s">
        <v>4229</v>
      </c>
      <c r="C2041" s="1" t="s">
        <v>5926</v>
      </c>
      <c r="D2041" s="1" t="s">
        <v>3209</v>
      </c>
      <c r="E2041" s="1" t="s">
        <v>4078</v>
      </c>
      <c r="F2041" s="1" t="s">
        <v>1899</v>
      </c>
      <c r="I2041" s="1" t="s">
        <v>4200</v>
      </c>
    </row>
    <row r="2042">
      <c r="B2042" s="1" t="s">
        <v>4235</v>
      </c>
      <c r="C2042" s="1" t="s">
        <v>3934</v>
      </c>
      <c r="D2042" s="1" t="s">
        <v>2011</v>
      </c>
      <c r="E2042" s="1" t="s">
        <v>4285</v>
      </c>
      <c r="F2042" s="1" t="s">
        <v>3486</v>
      </c>
      <c r="I2042" s="1" t="s">
        <v>4543</v>
      </c>
    </row>
    <row r="2043">
      <c r="B2043" s="1" t="s">
        <v>5263</v>
      </c>
      <c r="C2043" s="1" t="s">
        <v>4081</v>
      </c>
      <c r="D2043" s="1" t="s">
        <v>4729</v>
      </c>
      <c r="E2043" s="1" t="s">
        <v>3024</v>
      </c>
      <c r="F2043" s="1" t="s">
        <v>1185</v>
      </c>
      <c r="I2043" s="1" t="s">
        <v>5088</v>
      </c>
    </row>
    <row r="2044">
      <c r="B2044" s="1" t="s">
        <v>1332</v>
      </c>
      <c r="C2044" s="1" t="s">
        <v>997</v>
      </c>
      <c r="D2044" s="1" t="s">
        <v>1013</v>
      </c>
      <c r="E2044" s="1" t="s">
        <v>3192</v>
      </c>
      <c r="F2044" s="1" t="s">
        <v>6629</v>
      </c>
      <c r="I2044" s="1" t="s">
        <v>6459</v>
      </c>
    </row>
    <row r="2045">
      <c r="B2045" s="1" t="s">
        <v>3598</v>
      </c>
      <c r="C2045" s="1" t="s">
        <v>4547</v>
      </c>
      <c r="D2045" s="1" t="s">
        <v>3219</v>
      </c>
      <c r="E2045" s="1" t="s">
        <v>5050</v>
      </c>
      <c r="F2045" s="1" t="s">
        <v>5001</v>
      </c>
      <c r="I2045" s="1" t="s">
        <v>5091</v>
      </c>
    </row>
    <row r="2046">
      <c r="B2046" s="1" t="s">
        <v>5264</v>
      </c>
      <c r="C2046" s="1" t="s">
        <v>2388</v>
      </c>
      <c r="D2046" s="1" t="s">
        <v>3636</v>
      </c>
      <c r="E2046" s="1" t="s">
        <v>3195</v>
      </c>
      <c r="F2046" s="1" t="s">
        <v>6630</v>
      </c>
      <c r="I2046" s="1" t="s">
        <v>5093</v>
      </c>
    </row>
    <row r="2047">
      <c r="B2047" s="1" t="s">
        <v>2428</v>
      </c>
      <c r="C2047" s="1" t="s">
        <v>5933</v>
      </c>
      <c r="D2047" s="1" t="s">
        <v>3640</v>
      </c>
      <c r="E2047" s="1" t="s">
        <v>2921</v>
      </c>
      <c r="F2047" s="1" t="s">
        <v>1338</v>
      </c>
      <c r="I2047" s="1" t="s">
        <v>4546</v>
      </c>
    </row>
    <row r="2048">
      <c r="B2048" s="1" t="s">
        <v>362</v>
      </c>
      <c r="C2048" s="1" t="s">
        <v>1978</v>
      </c>
      <c r="D2048" s="1" t="s">
        <v>2017</v>
      </c>
      <c r="E2048" s="1" t="s">
        <v>4862</v>
      </c>
      <c r="F2048" s="1" t="s">
        <v>4578</v>
      </c>
      <c r="I2048" s="1" t="s">
        <v>4551</v>
      </c>
    </row>
    <row r="2049">
      <c r="B2049" s="1" t="s">
        <v>4241</v>
      </c>
      <c r="C2049" s="1" t="s">
        <v>3640</v>
      </c>
      <c r="D2049" s="1" t="s">
        <v>1302</v>
      </c>
      <c r="E2049" s="1" t="s">
        <v>1943</v>
      </c>
      <c r="F2049" s="1" t="s">
        <v>1903</v>
      </c>
      <c r="I2049" s="1">
        <v>22.0</v>
      </c>
    </row>
    <row r="2050">
      <c r="B2050" s="1" t="s">
        <v>4976</v>
      </c>
      <c r="C2050" s="1" t="s">
        <v>5935</v>
      </c>
      <c r="D2050" s="1" t="s">
        <v>1927</v>
      </c>
      <c r="E2050" s="1" t="s">
        <v>4298</v>
      </c>
      <c r="F2050" s="1" t="s">
        <v>3495</v>
      </c>
      <c r="I2050" s="1" t="s">
        <v>1889</v>
      </c>
    </row>
    <row r="2051">
      <c r="B2051" s="1" t="s">
        <v>4266</v>
      </c>
      <c r="C2051" s="1" t="s">
        <v>2357</v>
      </c>
      <c r="D2051" s="1" t="s">
        <v>3223</v>
      </c>
      <c r="E2051" s="1" t="s">
        <v>4312</v>
      </c>
      <c r="F2051" s="1" t="s">
        <v>4478</v>
      </c>
      <c r="I2051" s="1" t="s">
        <v>3070</v>
      </c>
    </row>
    <row r="2052">
      <c r="B2052" s="1" t="s">
        <v>4244</v>
      </c>
      <c r="C2052" s="1" t="s">
        <v>2449</v>
      </c>
      <c r="D2052" s="1" t="s">
        <v>2021</v>
      </c>
      <c r="E2052" s="1" t="s">
        <v>4313</v>
      </c>
      <c r="F2052" s="1" t="s">
        <v>3497</v>
      </c>
      <c r="I2052" s="1" t="s">
        <v>6631</v>
      </c>
    </row>
    <row r="2053">
      <c r="B2053" s="1" t="s">
        <v>4246</v>
      </c>
      <c r="C2053" s="1" t="s">
        <v>3169</v>
      </c>
      <c r="D2053" s="1" t="s">
        <v>3882</v>
      </c>
      <c r="E2053" s="1" t="s">
        <v>2565</v>
      </c>
      <c r="F2053" s="1" t="s">
        <v>3502</v>
      </c>
      <c r="I2053" s="1" t="s">
        <v>1911</v>
      </c>
    </row>
    <row r="2054">
      <c r="B2054" s="1" t="s">
        <v>5267</v>
      </c>
      <c r="C2054" s="1" t="s">
        <v>4000</v>
      </c>
      <c r="D2054" s="1" t="s">
        <v>5268</v>
      </c>
      <c r="E2054" s="1" t="s">
        <v>3317</v>
      </c>
      <c r="F2054" s="1" t="s">
        <v>4589</v>
      </c>
      <c r="I2054" s="1" t="s">
        <v>6632</v>
      </c>
    </row>
    <row r="2055">
      <c r="B2055" s="1" t="s">
        <v>4250</v>
      </c>
      <c r="C2055" s="1" t="s">
        <v>3153</v>
      </c>
      <c r="D2055" s="1" t="s">
        <v>3666</v>
      </c>
      <c r="E2055" s="1" t="s">
        <v>4875</v>
      </c>
      <c r="F2055" s="1" t="s">
        <v>4581</v>
      </c>
      <c r="I2055" s="1" t="s">
        <v>4725</v>
      </c>
    </row>
    <row r="2056">
      <c r="B2056" s="1" t="s">
        <v>3601</v>
      </c>
      <c r="C2056" s="1" t="s">
        <v>4117</v>
      </c>
      <c r="D2056" s="1" t="s">
        <v>2025</v>
      </c>
      <c r="E2056" s="1" t="s">
        <v>4318</v>
      </c>
      <c r="F2056" s="1" t="s">
        <v>5138</v>
      </c>
      <c r="I2056" s="1" t="s">
        <v>3085</v>
      </c>
    </row>
    <row r="2057">
      <c r="B2057" s="1" t="s">
        <v>1339</v>
      </c>
      <c r="C2057" s="1" t="s">
        <v>5575</v>
      </c>
      <c r="D2057" s="1" t="s">
        <v>3227</v>
      </c>
      <c r="E2057" s="1" t="s">
        <v>1727</v>
      </c>
      <c r="F2057" s="1" t="s">
        <v>5136</v>
      </c>
      <c r="I2057" s="1" t="s">
        <v>5106</v>
      </c>
    </row>
    <row r="2058">
      <c r="B2058" s="1" t="s">
        <v>1344</v>
      </c>
      <c r="C2058" s="1" t="s">
        <v>1054</v>
      </c>
      <c r="D2058" s="1" t="s">
        <v>3231</v>
      </c>
      <c r="E2058" s="1" t="s">
        <v>3220</v>
      </c>
      <c r="F2058" s="1" t="s">
        <v>3444</v>
      </c>
      <c r="I2058" s="1" t="s">
        <v>6633</v>
      </c>
    </row>
    <row r="2059">
      <c r="B2059" s="1" t="s">
        <v>1269</v>
      </c>
      <c r="C2059" s="1" t="s">
        <v>2502</v>
      </c>
      <c r="D2059" s="1" t="s">
        <v>3545</v>
      </c>
      <c r="E2059" s="1" t="s">
        <v>3972</v>
      </c>
      <c r="F2059" s="1" t="s">
        <v>1906</v>
      </c>
      <c r="I2059" s="1" t="s">
        <v>876</v>
      </c>
    </row>
    <row r="2060">
      <c r="B2060" s="1" t="s">
        <v>4202</v>
      </c>
      <c r="C2060" s="1" t="s">
        <v>4360</v>
      </c>
      <c r="D2060" s="1" t="s">
        <v>2010</v>
      </c>
      <c r="E2060" s="1" t="s">
        <v>4333</v>
      </c>
      <c r="F2060" s="1" t="s">
        <v>4592</v>
      </c>
      <c r="I2060" s="1" t="s">
        <v>6634</v>
      </c>
    </row>
    <row r="2061">
      <c r="B2061" s="1" t="s">
        <v>3607</v>
      </c>
      <c r="C2061" s="1" t="s">
        <v>5939</v>
      </c>
      <c r="D2061" s="1" t="s">
        <v>5273</v>
      </c>
      <c r="E2061" s="1" t="s">
        <v>4337</v>
      </c>
      <c r="F2061" s="1" t="s">
        <v>1912</v>
      </c>
      <c r="I2061" s="1" t="s">
        <v>3088</v>
      </c>
    </row>
    <row r="2062">
      <c r="B2062" s="1" t="s">
        <v>3992</v>
      </c>
      <c r="C2062" s="1" t="s">
        <v>2255</v>
      </c>
      <c r="D2062" s="1" t="s">
        <v>2028</v>
      </c>
      <c r="E2062" s="1" t="s">
        <v>6603</v>
      </c>
      <c r="F2062" s="1" t="s">
        <v>3879</v>
      </c>
      <c r="I2062" s="1" t="s">
        <v>6635</v>
      </c>
    </row>
    <row r="2063">
      <c r="B2063" s="1" t="s">
        <v>1187</v>
      </c>
      <c r="C2063" s="1" t="s">
        <v>4985</v>
      </c>
      <c r="D2063" s="1" t="s">
        <v>1732</v>
      </c>
      <c r="E2063" s="1" t="s">
        <v>3827</v>
      </c>
      <c r="F2063" s="1" t="s">
        <v>1676</v>
      </c>
      <c r="I2063" s="1" t="s">
        <v>6636</v>
      </c>
    </row>
    <row r="2064">
      <c r="B2064" s="1" t="s">
        <v>3949</v>
      </c>
      <c r="C2064" s="1" t="s">
        <v>1416</v>
      </c>
      <c r="D2064" s="1" t="s">
        <v>3660</v>
      </c>
      <c r="E2064" s="1" t="s">
        <v>6578</v>
      </c>
      <c r="F2064" s="1" t="s">
        <v>304</v>
      </c>
      <c r="I2064" s="1" t="s">
        <v>4562</v>
      </c>
    </row>
    <row r="2065">
      <c r="B2065" s="1" t="s">
        <v>5275</v>
      </c>
      <c r="C2065" s="1" t="s">
        <v>2301</v>
      </c>
      <c r="D2065" s="1" t="s">
        <v>3662</v>
      </c>
      <c r="E2065" s="1">
        <v>80.0</v>
      </c>
      <c r="F2065" s="1" t="s">
        <v>3104</v>
      </c>
      <c r="I2065" s="1" t="s">
        <v>2555</v>
      </c>
    </row>
    <row r="2066">
      <c r="B2066" s="1" t="s">
        <v>5277</v>
      </c>
      <c r="C2066" s="1" t="s">
        <v>3769</v>
      </c>
      <c r="D2066" s="1" t="s">
        <v>1023</v>
      </c>
      <c r="E2066" s="1" t="s">
        <v>6580</v>
      </c>
      <c r="F2066" s="1" t="s">
        <v>6637</v>
      </c>
      <c r="I2066" s="1" t="s">
        <v>4564</v>
      </c>
    </row>
    <row r="2067">
      <c r="B2067" s="1" t="s">
        <v>1351</v>
      </c>
      <c r="C2067" s="1" t="s">
        <v>1995</v>
      </c>
      <c r="D2067" s="1" t="s">
        <v>3237</v>
      </c>
      <c r="E2067" s="1" t="s">
        <v>6581</v>
      </c>
      <c r="F2067" s="1" t="s">
        <v>3515</v>
      </c>
      <c r="I2067" s="1" t="s">
        <v>4565</v>
      </c>
    </row>
    <row r="2068">
      <c r="B2068" s="1" t="s">
        <v>5278</v>
      </c>
      <c r="C2068" s="1" t="s">
        <v>4050</v>
      </c>
      <c r="D2068" s="1">
        <v>1993.0</v>
      </c>
      <c r="E2068" s="1" t="s">
        <v>4897</v>
      </c>
      <c r="F2068" s="1" t="s">
        <v>3654</v>
      </c>
      <c r="I2068" s="1" t="s">
        <v>3091</v>
      </c>
    </row>
    <row r="2069">
      <c r="B2069" s="1" t="s">
        <v>1354</v>
      </c>
      <c r="C2069" s="1" t="s">
        <v>5422</v>
      </c>
      <c r="D2069" s="1" t="s">
        <v>2032</v>
      </c>
      <c r="E2069" s="1" t="s">
        <v>2591</v>
      </c>
      <c r="F2069" s="1" t="s">
        <v>970</v>
      </c>
      <c r="I2069" s="1" t="s">
        <v>6626</v>
      </c>
    </row>
    <row r="2070">
      <c r="B2070" s="1" t="s">
        <v>4257</v>
      </c>
      <c r="C2070" s="1" t="s">
        <v>5512</v>
      </c>
      <c r="D2070" s="1" t="s">
        <v>2033</v>
      </c>
      <c r="E2070" s="1" t="s">
        <v>4900</v>
      </c>
      <c r="F2070" s="1" t="s">
        <v>5149</v>
      </c>
      <c r="I2070" s="1">
        <v>7.0</v>
      </c>
    </row>
    <row r="2071">
      <c r="B2071" s="1" t="s">
        <v>5280</v>
      </c>
      <c r="C2071" s="1" t="s">
        <v>5943</v>
      </c>
      <c r="D2071" s="1" t="s">
        <v>5282</v>
      </c>
      <c r="E2071" s="1" t="s">
        <v>3719</v>
      </c>
      <c r="F2071" s="1" t="s">
        <v>3112</v>
      </c>
      <c r="I2071" s="1" t="s">
        <v>761</v>
      </c>
    </row>
    <row r="2072">
      <c r="B2072" s="1" t="s">
        <v>1358</v>
      </c>
      <c r="C2072" s="1" t="s">
        <v>5921</v>
      </c>
      <c r="D2072" s="1" t="s">
        <v>3672</v>
      </c>
      <c r="E2072" s="1" t="s">
        <v>5099</v>
      </c>
      <c r="F2072" s="1" t="s">
        <v>5013</v>
      </c>
      <c r="I2072" s="1">
        <v>24.0</v>
      </c>
    </row>
    <row r="2073">
      <c r="B2073" s="1" t="s">
        <v>2445</v>
      </c>
      <c r="C2073" s="1" t="s">
        <v>195</v>
      </c>
      <c r="D2073" s="1" t="s">
        <v>2036</v>
      </c>
      <c r="E2073" s="1">
        <v>101.0</v>
      </c>
      <c r="F2073" s="1" t="s">
        <v>6638</v>
      </c>
      <c r="I2073" s="1" t="s">
        <v>2135</v>
      </c>
    </row>
    <row r="2074">
      <c r="B2074" s="1" t="s">
        <v>2448</v>
      </c>
      <c r="C2074" s="1" t="s">
        <v>2418</v>
      </c>
      <c r="D2074" s="1" t="s">
        <v>5283</v>
      </c>
      <c r="E2074" s="1" t="s">
        <v>2951</v>
      </c>
      <c r="F2074" s="1" t="s">
        <v>4602</v>
      </c>
      <c r="I2074" s="1" t="s">
        <v>5114</v>
      </c>
    </row>
    <row r="2075">
      <c r="B2075" s="1" t="s">
        <v>1624</v>
      </c>
      <c r="C2075" s="1" t="s">
        <v>5063</v>
      </c>
      <c r="D2075" s="1" t="s">
        <v>3676</v>
      </c>
      <c r="E2075" s="1" t="s">
        <v>4095</v>
      </c>
      <c r="F2075" s="1" t="s">
        <v>3523</v>
      </c>
      <c r="I2075" s="1" t="s">
        <v>4568</v>
      </c>
    </row>
    <row r="2076">
      <c r="B2076" s="1">
        <v>1938.0</v>
      </c>
      <c r="C2076" s="1" t="s">
        <v>3530</v>
      </c>
      <c r="D2076" s="1" t="s">
        <v>3678</v>
      </c>
      <c r="E2076" s="1" t="s">
        <v>4906</v>
      </c>
      <c r="F2076" s="1" t="s">
        <v>3526</v>
      </c>
      <c r="I2076" s="1" t="s">
        <v>5228</v>
      </c>
    </row>
    <row r="2077">
      <c r="B2077" s="1" t="s">
        <v>135</v>
      </c>
      <c r="C2077" s="1" t="s">
        <v>5945</v>
      </c>
      <c r="D2077" s="1" t="s">
        <v>3538</v>
      </c>
      <c r="E2077" s="1" t="s">
        <v>4941</v>
      </c>
      <c r="F2077" s="1" t="s">
        <v>6639</v>
      </c>
      <c r="I2077" s="1" t="s">
        <v>1716</v>
      </c>
    </row>
    <row r="2078">
      <c r="B2078" s="1" t="s">
        <v>2459</v>
      </c>
      <c r="C2078" s="1" t="s">
        <v>4923</v>
      </c>
      <c r="D2078" s="1" t="s">
        <v>781</v>
      </c>
      <c r="E2078" s="1" t="s">
        <v>6584</v>
      </c>
      <c r="F2078" s="1" t="s">
        <v>4611</v>
      </c>
      <c r="I2078" s="1" t="s">
        <v>5118</v>
      </c>
    </row>
    <row r="2079">
      <c r="B2079" s="1" t="s">
        <v>5286</v>
      </c>
      <c r="C2079" s="1" t="s">
        <v>1327</v>
      </c>
      <c r="D2079" s="1" t="s">
        <v>5288</v>
      </c>
      <c r="E2079" s="1" t="s">
        <v>3481</v>
      </c>
      <c r="F2079" s="1" t="s">
        <v>3648</v>
      </c>
      <c r="I2079" s="1" t="s">
        <v>3469</v>
      </c>
    </row>
    <row r="2080">
      <c r="B2080" s="1" t="s">
        <v>529</v>
      </c>
      <c r="C2080" s="1" t="s">
        <v>3920</v>
      </c>
      <c r="D2080" s="1" t="s">
        <v>4775</v>
      </c>
      <c r="E2080" s="1" t="s">
        <v>2954</v>
      </c>
      <c r="F2080" s="1" t="s">
        <v>3530</v>
      </c>
      <c r="I2080" s="1" t="s">
        <v>5001</v>
      </c>
    </row>
    <row r="2081">
      <c r="B2081" s="1" t="s">
        <v>2462</v>
      </c>
      <c r="C2081" s="1" t="s">
        <v>5948</v>
      </c>
      <c r="D2081" s="1" t="s">
        <v>3247</v>
      </c>
      <c r="E2081" s="1" t="s">
        <v>6586</v>
      </c>
      <c r="F2081" s="1" t="s">
        <v>5153</v>
      </c>
      <c r="I2081" s="1" t="s">
        <v>4479</v>
      </c>
    </row>
    <row r="2082">
      <c r="B2082" s="1" t="s">
        <v>5290</v>
      </c>
      <c r="C2082" s="1" t="s">
        <v>3503</v>
      </c>
      <c r="D2082" s="1" t="s">
        <v>2043</v>
      </c>
      <c r="E2082" s="1" t="s">
        <v>5196</v>
      </c>
      <c r="F2082" s="1" t="s">
        <v>1196</v>
      </c>
      <c r="I2082" s="1" t="s">
        <v>1338</v>
      </c>
    </row>
    <row r="2083">
      <c r="B2083" s="1" t="s">
        <v>5292</v>
      </c>
      <c r="C2083" s="1" t="s">
        <v>2972</v>
      </c>
      <c r="D2083" s="1" t="s">
        <v>5293</v>
      </c>
      <c r="E2083" s="1" t="s">
        <v>3233</v>
      </c>
      <c r="F2083" s="1" t="s">
        <v>6640</v>
      </c>
      <c r="I2083" s="1" t="s">
        <v>4578</v>
      </c>
    </row>
    <row r="2084">
      <c r="B2084" s="1" t="s">
        <v>2470</v>
      </c>
      <c r="C2084" s="1" t="s">
        <v>2365</v>
      </c>
      <c r="D2084" s="1" t="s">
        <v>1028</v>
      </c>
      <c r="E2084" s="1" t="s">
        <v>4354</v>
      </c>
      <c r="F2084" s="1" t="s">
        <v>4616</v>
      </c>
      <c r="I2084" s="1" t="s">
        <v>4478</v>
      </c>
    </row>
    <row r="2085">
      <c r="B2085" s="1" t="s">
        <v>2466</v>
      </c>
      <c r="C2085" s="1" t="s">
        <v>3401</v>
      </c>
      <c r="D2085" s="1" t="s">
        <v>758</v>
      </c>
      <c r="E2085" s="1" t="s">
        <v>6641</v>
      </c>
      <c r="F2085" s="1" t="s">
        <v>5155</v>
      </c>
      <c r="I2085" s="1" t="s">
        <v>4581</v>
      </c>
    </row>
    <row r="2086">
      <c r="B2086" s="1" t="s">
        <v>1629</v>
      </c>
      <c r="C2086" s="1" t="s">
        <v>5877</v>
      </c>
      <c r="D2086" s="1" t="s">
        <v>1565</v>
      </c>
      <c r="E2086" s="1" t="s">
        <v>4915</v>
      </c>
      <c r="F2086" s="1" t="s">
        <v>1923</v>
      </c>
      <c r="I2086" s="1" t="s">
        <v>6642</v>
      </c>
    </row>
    <row r="2087">
      <c r="B2087" s="1" t="s">
        <v>1461</v>
      </c>
      <c r="C2087" s="1" t="s">
        <v>5951</v>
      </c>
      <c r="D2087" s="1" t="s">
        <v>4786</v>
      </c>
      <c r="E2087" s="1" t="s">
        <v>2469</v>
      </c>
      <c r="F2087" s="1" t="s">
        <v>491</v>
      </c>
      <c r="I2087" s="1" t="s">
        <v>2952</v>
      </c>
    </row>
    <row r="2088">
      <c r="B2088" s="1" t="s">
        <v>3622</v>
      </c>
      <c r="C2088" s="1" t="s">
        <v>5953</v>
      </c>
      <c r="D2088" s="1" t="s">
        <v>3651</v>
      </c>
      <c r="E2088" s="1" t="s">
        <v>3236</v>
      </c>
      <c r="F2088" s="1" t="s">
        <v>3537</v>
      </c>
      <c r="I2088" s="1" t="s">
        <v>4589</v>
      </c>
    </row>
    <row r="2089">
      <c r="B2089" s="1" t="s">
        <v>1366</v>
      </c>
      <c r="C2089" s="1" t="s">
        <v>5955</v>
      </c>
      <c r="D2089" s="1" t="s">
        <v>1342</v>
      </c>
      <c r="E2089" s="1" t="s">
        <v>3485</v>
      </c>
      <c r="F2089" s="1" t="s">
        <v>3539</v>
      </c>
      <c r="I2089" s="1" t="s">
        <v>4583</v>
      </c>
    </row>
    <row r="2090">
      <c r="B2090" s="1" t="s">
        <v>5299</v>
      </c>
      <c r="C2090" s="1" t="s">
        <v>558</v>
      </c>
      <c r="D2090" s="1" t="s">
        <v>3692</v>
      </c>
      <c r="E2090" s="1" t="s">
        <v>4920</v>
      </c>
      <c r="F2090" s="1" t="s">
        <v>1930</v>
      </c>
      <c r="I2090" s="1" t="s">
        <v>3502</v>
      </c>
    </row>
    <row r="2091">
      <c r="B2091" s="1" t="s">
        <v>3624</v>
      </c>
      <c r="C2091" s="1" t="s">
        <v>389</v>
      </c>
      <c r="D2091" s="1" t="s">
        <v>5300</v>
      </c>
      <c r="E2091" s="1" t="s">
        <v>6605</v>
      </c>
      <c r="F2091" s="1" t="s">
        <v>3119</v>
      </c>
      <c r="I2091" s="1" t="s">
        <v>3505</v>
      </c>
    </row>
    <row r="2092">
      <c r="B2092" s="1" t="s">
        <v>5301</v>
      </c>
      <c r="C2092" s="1" t="s">
        <v>5956</v>
      </c>
      <c r="D2092" s="1" t="s">
        <v>3694</v>
      </c>
      <c r="E2092" s="1" t="s">
        <v>6588</v>
      </c>
      <c r="F2092" s="1" t="s">
        <v>1935</v>
      </c>
      <c r="I2092" s="1" t="s">
        <v>5136</v>
      </c>
    </row>
    <row r="2093">
      <c r="B2093" s="1" t="s">
        <v>4274</v>
      </c>
      <c r="C2093" s="1" t="s">
        <v>2538</v>
      </c>
      <c r="D2093" s="1" t="s">
        <v>1317</v>
      </c>
      <c r="E2093" s="1" t="s">
        <v>1671</v>
      </c>
      <c r="F2093" s="1" t="s">
        <v>6643</v>
      </c>
      <c r="I2093" s="1" t="s">
        <v>5138</v>
      </c>
    </row>
    <row r="2094">
      <c r="B2094" s="1" t="s">
        <v>1374</v>
      </c>
      <c r="C2094" s="1" t="s">
        <v>1045</v>
      </c>
      <c r="D2094" s="1" t="s">
        <v>3696</v>
      </c>
      <c r="E2094" s="1" t="s">
        <v>4125</v>
      </c>
      <c r="F2094" s="1" t="s">
        <v>6644</v>
      </c>
      <c r="I2094" s="1" t="s">
        <v>3444</v>
      </c>
    </row>
    <row r="2095">
      <c r="B2095" s="1" t="s">
        <v>1160</v>
      </c>
      <c r="C2095" s="1" t="s">
        <v>3825</v>
      </c>
      <c r="D2095" s="1" t="s">
        <v>1323</v>
      </c>
      <c r="E2095" s="1" t="s">
        <v>3284</v>
      </c>
      <c r="F2095" s="1" t="s">
        <v>3123</v>
      </c>
      <c r="I2095" s="1" t="s">
        <v>4592</v>
      </c>
    </row>
    <row r="2096">
      <c r="B2096" s="1" t="s">
        <v>5303</v>
      </c>
      <c r="C2096" s="1" t="s">
        <v>5957</v>
      </c>
      <c r="D2096" s="1" t="s">
        <v>5284</v>
      </c>
      <c r="E2096" s="1" t="s">
        <v>5490</v>
      </c>
      <c r="F2096" s="1" t="s">
        <v>1208</v>
      </c>
      <c r="I2096" s="1" t="s">
        <v>6645</v>
      </c>
    </row>
    <row r="2097">
      <c r="B2097" s="1" t="s">
        <v>3631</v>
      </c>
      <c r="C2097" s="1" t="s">
        <v>399</v>
      </c>
      <c r="D2097" s="1" t="s">
        <v>5306</v>
      </c>
      <c r="E2097" s="1" t="s">
        <v>6607</v>
      </c>
      <c r="F2097" s="1" t="s">
        <v>4637</v>
      </c>
      <c r="I2097" s="1" t="s">
        <v>4536</v>
      </c>
    </row>
    <row r="2098">
      <c r="B2098" s="1" t="s">
        <v>4277</v>
      </c>
      <c r="C2098" s="1" t="s">
        <v>5958</v>
      </c>
      <c r="D2098" s="1" t="s">
        <v>5307</v>
      </c>
      <c r="E2098" s="1" t="s">
        <v>2626</v>
      </c>
      <c r="F2098" s="1" t="s">
        <v>1933</v>
      </c>
      <c r="I2098" s="1" t="s">
        <v>1683</v>
      </c>
    </row>
    <row r="2099">
      <c r="B2099" s="1" t="s">
        <v>5308</v>
      </c>
      <c r="C2099" s="1" t="s">
        <v>3155</v>
      </c>
      <c r="D2099" s="1" t="s">
        <v>3701</v>
      </c>
      <c r="E2099" s="1" t="s">
        <v>3615</v>
      </c>
      <c r="F2099" s="1" t="s">
        <v>1212</v>
      </c>
      <c r="I2099" s="1" t="s">
        <v>1676</v>
      </c>
    </row>
    <row r="2100">
      <c r="B2100" s="1" t="s">
        <v>1379</v>
      </c>
      <c r="C2100" s="1" t="s">
        <v>5543</v>
      </c>
      <c r="D2100" s="1" t="s">
        <v>3264</v>
      </c>
      <c r="E2100" s="1" t="s">
        <v>3742</v>
      </c>
      <c r="F2100" s="1" t="s">
        <v>2701</v>
      </c>
      <c r="I2100" s="1" t="s">
        <v>3154</v>
      </c>
    </row>
    <row r="2101">
      <c r="B2101" s="1" t="s">
        <v>5311</v>
      </c>
      <c r="C2101" s="1" t="s">
        <v>4906</v>
      </c>
      <c r="D2101" s="1" t="s">
        <v>3707</v>
      </c>
      <c r="E2101" s="1" t="s">
        <v>6590</v>
      </c>
      <c r="F2101" s="1" t="s">
        <v>597</v>
      </c>
      <c r="I2101" s="1" t="s">
        <v>5668</v>
      </c>
    </row>
    <row r="2102">
      <c r="B2102" s="1" t="s">
        <v>3635</v>
      </c>
      <c r="C2102" s="1" t="s">
        <v>2280</v>
      </c>
      <c r="D2102" s="1" t="s">
        <v>5312</v>
      </c>
      <c r="E2102" s="1" t="s">
        <v>1541</v>
      </c>
      <c r="F2102" s="1" t="s">
        <v>475</v>
      </c>
      <c r="I2102" s="1" t="s">
        <v>3041</v>
      </c>
    </row>
    <row r="2103">
      <c r="B2103" s="1" t="s">
        <v>3638</v>
      </c>
      <c r="C2103" s="1" t="s">
        <v>5453</v>
      </c>
      <c r="D2103" s="1" t="s">
        <v>1328</v>
      </c>
      <c r="E2103" s="1" t="s">
        <v>4926</v>
      </c>
      <c r="F2103" s="1" t="s">
        <v>977</v>
      </c>
      <c r="I2103" s="1" t="s">
        <v>2400</v>
      </c>
    </row>
    <row r="2104">
      <c r="B2104" s="1" t="s">
        <v>1731</v>
      </c>
      <c r="C2104" s="1" t="s">
        <v>5390</v>
      </c>
      <c r="D2104" s="1" t="s">
        <v>4810</v>
      </c>
      <c r="E2104" s="1" t="s">
        <v>6451</v>
      </c>
      <c r="F2104" s="1" t="s">
        <v>1062</v>
      </c>
      <c r="I2104" s="1" t="s">
        <v>6637</v>
      </c>
    </row>
    <row r="2105">
      <c r="B2105" s="1" t="s">
        <v>2482</v>
      </c>
      <c r="C2105" s="1" t="s">
        <v>5876</v>
      </c>
      <c r="D2105" s="1" t="s">
        <v>5315</v>
      </c>
      <c r="E2105" s="1" t="s">
        <v>4385</v>
      </c>
      <c r="F2105" s="1" t="s">
        <v>3137</v>
      </c>
      <c r="I2105" s="1" t="s">
        <v>6646</v>
      </c>
    </row>
    <row r="2106">
      <c r="B2106" s="1" t="s">
        <v>4287</v>
      </c>
      <c r="C2106" s="1" t="s">
        <v>2268</v>
      </c>
      <c r="D2106" s="1" t="s">
        <v>4812</v>
      </c>
      <c r="E2106" s="1" t="s">
        <v>3730</v>
      </c>
      <c r="F2106" s="1" t="s">
        <v>3841</v>
      </c>
      <c r="I2106" s="1" t="s">
        <v>5294</v>
      </c>
    </row>
    <row r="2107">
      <c r="B2107" s="1" t="s">
        <v>2485</v>
      </c>
      <c r="C2107" s="1" t="s">
        <v>209</v>
      </c>
      <c r="D2107" s="1" t="s">
        <v>3272</v>
      </c>
      <c r="E2107" s="1" t="s">
        <v>5124</v>
      </c>
      <c r="F2107" s="1" t="s">
        <v>4340</v>
      </c>
      <c r="I2107" s="1" t="s">
        <v>5149</v>
      </c>
    </row>
    <row r="2108">
      <c r="B2108" s="1" t="s">
        <v>1425</v>
      </c>
      <c r="C2108" s="1" t="s">
        <v>5963</v>
      </c>
      <c r="D2108" s="1" t="s">
        <v>1334</v>
      </c>
      <c r="E2108" s="1" t="s">
        <v>2922</v>
      </c>
      <c r="F2108" s="1" t="s">
        <v>3140</v>
      </c>
      <c r="I2108" s="1" t="s">
        <v>5013</v>
      </c>
    </row>
    <row r="2109">
      <c r="B2109" s="1" t="s">
        <v>4291</v>
      </c>
      <c r="C2109" s="1" t="s">
        <v>647</v>
      </c>
      <c r="D2109" s="1" t="s">
        <v>3709</v>
      </c>
      <c r="E2109" s="1" t="s">
        <v>4933</v>
      </c>
      <c r="F2109" s="1" t="s">
        <v>3815</v>
      </c>
      <c r="I2109" s="1" t="s">
        <v>4567</v>
      </c>
    </row>
    <row r="2110">
      <c r="B2110" s="1" t="s">
        <v>3289</v>
      </c>
      <c r="C2110" s="1" t="s">
        <v>5752</v>
      </c>
      <c r="D2110" s="1" t="s">
        <v>3710</v>
      </c>
      <c r="E2110" s="1" t="s">
        <v>4273</v>
      </c>
      <c r="F2110" s="1" t="s">
        <v>6647</v>
      </c>
      <c r="I2110" s="1" t="s">
        <v>3519</v>
      </c>
    </row>
    <row r="2111">
      <c r="B2111" s="1" t="s">
        <v>5321</v>
      </c>
      <c r="C2111" s="1" t="s">
        <v>5803</v>
      </c>
      <c r="D2111" s="1" t="s">
        <v>262</v>
      </c>
      <c r="E2111" s="1" t="s">
        <v>3250</v>
      </c>
      <c r="F2111" s="1" t="s">
        <v>3564</v>
      </c>
      <c r="I2111" s="1" t="s">
        <v>6638</v>
      </c>
    </row>
    <row r="2112">
      <c r="B2112" s="1" t="s">
        <v>2486</v>
      </c>
      <c r="C2112" s="1" t="s">
        <v>543</v>
      </c>
      <c r="D2112" s="1" t="s">
        <v>4820</v>
      </c>
      <c r="E2112" s="1" t="s">
        <v>1098</v>
      </c>
      <c r="F2112" s="1" t="s">
        <v>1225</v>
      </c>
      <c r="I2112" s="1" t="s">
        <v>6648</v>
      </c>
    </row>
    <row r="2113">
      <c r="B2113" s="1" t="s">
        <v>5324</v>
      </c>
      <c r="C2113" s="1" t="s">
        <v>4310</v>
      </c>
      <c r="D2113" s="1" t="s">
        <v>2971</v>
      </c>
      <c r="E2113" s="1" t="s">
        <v>4584</v>
      </c>
      <c r="F2113" s="1" t="s">
        <v>5183</v>
      </c>
      <c r="I2113" s="1" t="s">
        <v>2906</v>
      </c>
    </row>
    <row r="2114">
      <c r="B2114" s="1" t="s">
        <v>5325</v>
      </c>
      <c r="C2114" s="1" t="s">
        <v>5565</v>
      </c>
      <c r="D2114" s="1">
        <v>1899.0</v>
      </c>
      <c r="E2114" s="1" t="s">
        <v>1520</v>
      </c>
      <c r="F2114" s="1" t="s">
        <v>3143</v>
      </c>
      <c r="I2114" s="1">
        <v>110.0</v>
      </c>
    </row>
    <row r="2115">
      <c r="B2115" s="1" t="s">
        <v>1641</v>
      </c>
      <c r="C2115" s="1" t="s">
        <v>4035</v>
      </c>
      <c r="D2115" s="1" t="s">
        <v>1341</v>
      </c>
      <c r="E2115" s="1" t="s">
        <v>3263</v>
      </c>
      <c r="F2115" s="1" t="s">
        <v>1948</v>
      </c>
      <c r="I2115" s="1" t="s">
        <v>4609</v>
      </c>
    </row>
    <row r="2116">
      <c r="B2116" s="1" t="s">
        <v>5328</v>
      </c>
      <c r="C2116" s="1" t="s">
        <v>4836</v>
      </c>
      <c r="D2116" s="1" t="s">
        <v>1346</v>
      </c>
      <c r="E2116" s="1" t="s">
        <v>1175</v>
      </c>
      <c r="F2116" s="1" t="s">
        <v>1953</v>
      </c>
      <c r="I2116" s="1" t="s">
        <v>3648</v>
      </c>
    </row>
    <row r="2117">
      <c r="B2117" s="1" t="s">
        <v>1647</v>
      </c>
      <c r="C2117" s="1" t="s">
        <v>1302</v>
      </c>
      <c r="D2117" s="1" t="s">
        <v>3715</v>
      </c>
      <c r="E2117" s="1" t="s">
        <v>6597</v>
      </c>
      <c r="F2117" s="1" t="s">
        <v>4528</v>
      </c>
      <c r="I2117" s="1" t="s">
        <v>6640</v>
      </c>
    </row>
    <row r="2118">
      <c r="B2118" s="1" t="s">
        <v>2491</v>
      </c>
      <c r="C2118" s="1" t="s">
        <v>2796</v>
      </c>
      <c r="D2118" s="1" t="s">
        <v>1352</v>
      </c>
      <c r="E2118" s="1" t="s">
        <v>4435</v>
      </c>
      <c r="F2118" s="1" t="s">
        <v>1959</v>
      </c>
      <c r="I2118" s="1" t="s">
        <v>5153</v>
      </c>
    </row>
    <row r="2119">
      <c r="B2119" s="1" t="s">
        <v>2495</v>
      </c>
      <c r="C2119" s="1" t="s">
        <v>4231</v>
      </c>
      <c r="D2119" s="1" t="s">
        <v>5331</v>
      </c>
      <c r="E2119" s="1" t="s">
        <v>1576</v>
      </c>
      <c r="F2119" s="1" t="s">
        <v>1231</v>
      </c>
      <c r="I2119" s="1" t="s">
        <v>5155</v>
      </c>
    </row>
    <row r="2120">
      <c r="B2120" s="1" t="s">
        <v>5332</v>
      </c>
      <c r="C2120" s="1" t="s">
        <v>3330</v>
      </c>
      <c r="D2120" s="1" t="s">
        <v>5334</v>
      </c>
      <c r="E2120" s="1" t="s">
        <v>5139</v>
      </c>
      <c r="F2120" s="1" t="s">
        <v>5190</v>
      </c>
      <c r="I2120" s="1" t="s">
        <v>4623</v>
      </c>
    </row>
    <row r="2121">
      <c r="B2121" s="1" t="s">
        <v>4296</v>
      </c>
      <c r="C2121" s="1" t="s">
        <v>5969</v>
      </c>
      <c r="D2121" s="1" t="s">
        <v>3280</v>
      </c>
      <c r="E2121" s="1" t="s">
        <v>5137</v>
      </c>
      <c r="F2121" s="1" t="s">
        <v>3153</v>
      </c>
      <c r="I2121" s="1" t="s">
        <v>3539</v>
      </c>
    </row>
    <row r="2122">
      <c r="B2122" s="1" t="s">
        <v>1384</v>
      </c>
      <c r="C2122" s="1" t="s">
        <v>5970</v>
      </c>
      <c r="D2122" s="1" t="s">
        <v>4666</v>
      </c>
      <c r="E2122" s="1" t="s">
        <v>947</v>
      </c>
      <c r="F2122" s="1" t="s">
        <v>1236</v>
      </c>
      <c r="I2122" s="1" t="s">
        <v>6649</v>
      </c>
    </row>
    <row r="2123">
      <c r="B2123" s="1" t="s">
        <v>2499</v>
      </c>
      <c r="C2123" s="1" t="s">
        <v>1322</v>
      </c>
      <c r="D2123" s="1" t="s">
        <v>2057</v>
      </c>
      <c r="E2123" s="1" t="s">
        <v>2983</v>
      </c>
      <c r="F2123" s="1" t="s">
        <v>2396</v>
      </c>
      <c r="I2123" s="1" t="s">
        <v>5554</v>
      </c>
    </row>
    <row r="2124">
      <c r="B2124" s="1" t="s">
        <v>2501</v>
      </c>
      <c r="C2124" s="1" t="s">
        <v>5158</v>
      </c>
      <c r="D2124" s="1" t="s">
        <v>1356</v>
      </c>
      <c r="E2124" s="1" t="s">
        <v>3397</v>
      </c>
      <c r="F2124" s="1" t="s">
        <v>656</v>
      </c>
      <c r="I2124" s="1" t="s">
        <v>1930</v>
      </c>
    </row>
    <row r="2125">
      <c r="B2125" s="1" t="s">
        <v>4304</v>
      </c>
      <c r="C2125" s="1" t="s">
        <v>2743</v>
      </c>
      <c r="D2125" s="1" t="s">
        <v>3288</v>
      </c>
      <c r="E2125" s="1" t="s">
        <v>6610</v>
      </c>
      <c r="F2125" s="1" t="s">
        <v>3573</v>
      </c>
      <c r="I2125" s="1" t="s">
        <v>4069</v>
      </c>
    </row>
    <row r="2126">
      <c r="B2126" s="1" t="s">
        <v>1390</v>
      </c>
      <c r="C2126" s="1" t="s">
        <v>5946</v>
      </c>
      <c r="D2126" s="1" t="s">
        <v>3722</v>
      </c>
      <c r="E2126" s="1" t="s">
        <v>6611</v>
      </c>
      <c r="F2126" s="1" t="s">
        <v>981</v>
      </c>
      <c r="I2126" s="1" t="s">
        <v>5163</v>
      </c>
    </row>
    <row r="2127">
      <c r="B2127" s="1" t="s">
        <v>4618</v>
      </c>
      <c r="C2127" s="1" t="s">
        <v>2996</v>
      </c>
      <c r="D2127" s="1" t="s">
        <v>4931</v>
      </c>
      <c r="E2127" s="1" t="s">
        <v>6650</v>
      </c>
      <c r="F2127" s="1" t="s">
        <v>106</v>
      </c>
      <c r="I2127" s="1" t="s">
        <v>6643</v>
      </c>
    </row>
    <row r="2128">
      <c r="B2128" s="1" t="s">
        <v>5338</v>
      </c>
      <c r="C2128" s="1" t="s">
        <v>3549</v>
      </c>
      <c r="D2128" s="1" t="s">
        <v>3177</v>
      </c>
      <c r="E2128" s="1" t="s">
        <v>3830</v>
      </c>
      <c r="F2128" s="1" t="s">
        <v>4668</v>
      </c>
      <c r="I2128" s="1" t="s">
        <v>4295</v>
      </c>
    </row>
    <row r="2129">
      <c r="B2129" s="1" t="s">
        <v>5339</v>
      </c>
      <c r="C2129" s="1" t="s">
        <v>4664</v>
      </c>
      <c r="D2129" s="1" t="s">
        <v>3724</v>
      </c>
      <c r="E2129" s="1" t="s">
        <v>3168</v>
      </c>
      <c r="F2129" s="1" t="s">
        <v>5200</v>
      </c>
      <c r="I2129" s="1" t="s">
        <v>6644</v>
      </c>
    </row>
    <row r="2130">
      <c r="B2130" s="1" t="s">
        <v>1662</v>
      </c>
      <c r="C2130" s="1" t="s">
        <v>3991</v>
      </c>
      <c r="D2130" s="1" t="s">
        <v>3725</v>
      </c>
      <c r="E2130" s="1" t="s">
        <v>1699</v>
      </c>
      <c r="F2130" s="1" t="s">
        <v>5203</v>
      </c>
      <c r="I2130" s="1" t="s">
        <v>4473</v>
      </c>
    </row>
    <row r="2131">
      <c r="B2131" s="1" t="s">
        <v>695</v>
      </c>
      <c r="C2131" s="1" t="s">
        <v>5301</v>
      </c>
      <c r="D2131" s="1" t="s">
        <v>3874</v>
      </c>
      <c r="E2131" s="1" t="s">
        <v>6614</v>
      </c>
      <c r="F2131" s="1" t="s">
        <v>203</v>
      </c>
      <c r="I2131" s="1" t="s">
        <v>3123</v>
      </c>
    </row>
    <row r="2132">
      <c r="B2132" s="1" t="s">
        <v>4316</v>
      </c>
      <c r="C2132" s="1" t="s">
        <v>5972</v>
      </c>
      <c r="D2132" s="1" t="s">
        <v>1033</v>
      </c>
      <c r="E2132" s="1" t="s">
        <v>2996</v>
      </c>
      <c r="F2132" s="1" t="s">
        <v>2031</v>
      </c>
      <c r="I2132" s="1" t="s">
        <v>6651</v>
      </c>
    </row>
    <row r="2133">
      <c r="B2133" s="1" t="s">
        <v>5341</v>
      </c>
      <c r="C2133" s="1" t="s">
        <v>2114</v>
      </c>
      <c r="D2133" s="1" t="s">
        <v>3727</v>
      </c>
      <c r="E2133" s="1" t="s">
        <v>6652</v>
      </c>
      <c r="F2133" s="1" t="s">
        <v>4670</v>
      </c>
      <c r="I2133" s="1" t="s">
        <v>3125</v>
      </c>
    </row>
    <row r="2134">
      <c r="B2134" s="1" t="s">
        <v>5342</v>
      </c>
      <c r="C2134" s="1" t="s">
        <v>4693</v>
      </c>
      <c r="D2134" s="1" t="s">
        <v>3700</v>
      </c>
      <c r="E2134" s="1" t="s">
        <v>3298</v>
      </c>
      <c r="F2134" s="1" t="s">
        <v>3172</v>
      </c>
      <c r="I2134" s="1" t="s">
        <v>5330</v>
      </c>
    </row>
    <row r="2135">
      <c r="B2135" s="1" t="s">
        <v>4320</v>
      </c>
      <c r="C2135" s="1" t="s">
        <v>5973</v>
      </c>
      <c r="D2135" s="1" t="s">
        <v>3731</v>
      </c>
      <c r="E2135" s="1" t="s">
        <v>3000</v>
      </c>
      <c r="F2135" s="1" t="s">
        <v>6653</v>
      </c>
      <c r="I2135" s="1" t="s">
        <v>5335</v>
      </c>
    </row>
    <row r="2136">
      <c r="B2136" s="1" t="s">
        <v>4824</v>
      </c>
      <c r="C2136" s="1" t="s">
        <v>3793</v>
      </c>
      <c r="D2136" s="1" t="s">
        <v>3295</v>
      </c>
      <c r="E2136" s="1" t="s">
        <v>4418</v>
      </c>
      <c r="F2136" s="1" t="s">
        <v>4672</v>
      </c>
      <c r="I2136" s="1" t="s">
        <v>6654</v>
      </c>
    </row>
    <row r="2137">
      <c r="B2137" s="1" t="s">
        <v>2511</v>
      </c>
      <c r="C2137" s="1" t="s">
        <v>80</v>
      </c>
      <c r="D2137" s="1" t="s">
        <v>3735</v>
      </c>
      <c r="E2137" s="1" t="s">
        <v>3755</v>
      </c>
      <c r="F2137" s="1" t="s">
        <v>5215</v>
      </c>
      <c r="I2137" s="1" t="s">
        <v>3555</v>
      </c>
    </row>
    <row r="2138">
      <c r="B2138" s="1" t="s">
        <v>2508</v>
      </c>
      <c r="C2138" s="1" t="s">
        <v>5974</v>
      </c>
      <c r="D2138" s="1" t="s">
        <v>3301</v>
      </c>
      <c r="E2138" s="1" t="s">
        <v>6602</v>
      </c>
      <c r="F2138" s="1" t="s">
        <v>984</v>
      </c>
      <c r="I2138" s="1" t="s">
        <v>6655</v>
      </c>
    </row>
    <row r="2139">
      <c r="B2139" s="1" t="s">
        <v>1668</v>
      </c>
      <c r="C2139" s="1" t="s">
        <v>3095</v>
      </c>
      <c r="D2139" s="1" t="s">
        <v>3740</v>
      </c>
      <c r="E2139" s="1" t="s">
        <v>6615</v>
      </c>
      <c r="F2139" s="1" t="s">
        <v>3588</v>
      </c>
      <c r="I2139" s="1" t="s">
        <v>1062</v>
      </c>
    </row>
    <row r="2140">
      <c r="B2140" s="1" t="s">
        <v>2515</v>
      </c>
      <c r="C2140" s="1" t="s">
        <v>1058</v>
      </c>
      <c r="D2140" s="1" t="s">
        <v>3743</v>
      </c>
      <c r="E2140" s="1" t="s">
        <v>3307</v>
      </c>
      <c r="F2140" s="1" t="s">
        <v>5362</v>
      </c>
      <c r="I2140" s="1" t="s">
        <v>6656</v>
      </c>
    </row>
    <row r="2141">
      <c r="B2141" s="1" t="s">
        <v>1675</v>
      </c>
      <c r="C2141" s="1" t="s">
        <v>4363</v>
      </c>
      <c r="D2141" s="1" t="s">
        <v>4843</v>
      </c>
      <c r="E2141" s="1" t="s">
        <v>6604</v>
      </c>
      <c r="F2141" s="1" t="s">
        <v>1261</v>
      </c>
      <c r="I2141" s="1" t="s">
        <v>3841</v>
      </c>
    </row>
    <row r="2142">
      <c r="B2142" s="1" t="s">
        <v>4332</v>
      </c>
      <c r="C2142" s="1" t="s">
        <v>2423</v>
      </c>
      <c r="D2142" s="1" t="s">
        <v>1040</v>
      </c>
      <c r="E2142" s="1" t="s">
        <v>1784</v>
      </c>
      <c r="F2142" s="1" t="s">
        <v>5221</v>
      </c>
      <c r="I2142" s="1" t="s">
        <v>5789</v>
      </c>
    </row>
    <row r="2143">
      <c r="B2143" s="1" t="s">
        <v>2520</v>
      </c>
      <c r="C2143" s="1" t="s">
        <v>5786</v>
      </c>
      <c r="D2143" s="1" t="s">
        <v>4372</v>
      </c>
      <c r="E2143" s="1" t="s">
        <v>4426</v>
      </c>
      <c r="F2143" s="1" t="s">
        <v>4682</v>
      </c>
      <c r="I2143" s="1" t="s">
        <v>4340</v>
      </c>
    </row>
    <row r="2144">
      <c r="B2144" s="1" t="s">
        <v>5348</v>
      </c>
      <c r="C2144" s="1" t="s">
        <v>510</v>
      </c>
      <c r="D2144" s="1" t="s">
        <v>4846</v>
      </c>
      <c r="E2144" s="1" t="s">
        <v>717</v>
      </c>
      <c r="F2144" s="1" t="s">
        <v>1983</v>
      </c>
      <c r="I2144" s="1" t="s">
        <v>3815</v>
      </c>
    </row>
    <row r="2145">
      <c r="B2145" s="1" t="s">
        <v>1397</v>
      </c>
      <c r="C2145" s="1" t="s">
        <v>5624</v>
      </c>
      <c r="D2145" s="1" t="s">
        <v>1047</v>
      </c>
      <c r="E2145" s="1" t="s">
        <v>2340</v>
      </c>
      <c r="F2145" s="1" t="s">
        <v>2020</v>
      </c>
      <c r="I2145" s="1" t="s">
        <v>6657</v>
      </c>
    </row>
    <row r="2146">
      <c r="B2146" s="1" t="s">
        <v>5349</v>
      </c>
      <c r="C2146" s="1" t="s">
        <v>5977</v>
      </c>
      <c r="D2146" s="1" t="s">
        <v>1609</v>
      </c>
      <c r="E2146" s="1" t="s">
        <v>5344</v>
      </c>
      <c r="F2146" s="1" t="s">
        <v>2900</v>
      </c>
      <c r="I2146" s="1" t="s">
        <v>6658</v>
      </c>
    </row>
    <row r="2147">
      <c r="B2147" s="1" t="s">
        <v>4336</v>
      </c>
      <c r="C2147" s="1" t="s">
        <v>4843</v>
      </c>
      <c r="D2147" s="1" t="s">
        <v>2067</v>
      </c>
      <c r="E2147" s="1" t="s">
        <v>4434</v>
      </c>
      <c r="F2147" s="1" t="s">
        <v>5225</v>
      </c>
      <c r="I2147" s="1" t="s">
        <v>3566</v>
      </c>
    </row>
    <row r="2148">
      <c r="B2148" s="1" t="s">
        <v>5351</v>
      </c>
      <c r="C2148" s="1" t="s">
        <v>5763</v>
      </c>
      <c r="D2148" s="1" t="s">
        <v>3750</v>
      </c>
      <c r="E2148" s="1" t="s">
        <v>3319</v>
      </c>
      <c r="F2148" s="1" t="s">
        <v>6659</v>
      </c>
      <c r="I2148" s="1" t="s">
        <v>3564</v>
      </c>
    </row>
    <row r="2149">
      <c r="B2149" s="1" t="s">
        <v>3670</v>
      </c>
      <c r="C2149" s="1" t="s">
        <v>5256</v>
      </c>
      <c r="D2149" s="1" t="s">
        <v>2071</v>
      </c>
      <c r="E2149" s="1" t="s">
        <v>4436</v>
      </c>
      <c r="F2149" s="1" t="s">
        <v>1267</v>
      </c>
      <c r="I2149" s="1" t="s">
        <v>5033</v>
      </c>
    </row>
    <row r="2150">
      <c r="B2150" s="1">
        <v>66.0</v>
      </c>
      <c r="C2150" s="1" t="s">
        <v>3593</v>
      </c>
      <c r="D2150" s="1" t="s">
        <v>2077</v>
      </c>
      <c r="E2150" s="1" t="s">
        <v>3328</v>
      </c>
      <c r="F2150" s="1" t="s">
        <v>1273</v>
      </c>
      <c r="I2150" s="1" t="s">
        <v>3143</v>
      </c>
    </row>
    <row r="2151">
      <c r="B2151" s="1" t="s">
        <v>3234</v>
      </c>
      <c r="C2151" s="1" t="s">
        <v>3352</v>
      </c>
      <c r="D2151" s="1" t="s">
        <v>1051</v>
      </c>
      <c r="E2151" s="1" t="s">
        <v>4995</v>
      </c>
      <c r="F2151" s="1" t="s">
        <v>5232</v>
      </c>
      <c r="I2151" s="1" t="s">
        <v>3147</v>
      </c>
    </row>
    <row r="2152">
      <c r="B2152" s="1" t="s">
        <v>4345</v>
      </c>
      <c r="C2152" s="1" t="s">
        <v>5979</v>
      </c>
      <c r="D2152" s="1" t="s">
        <v>5355</v>
      </c>
      <c r="E2152" s="1" t="s">
        <v>536</v>
      </c>
      <c r="F2152" s="1" t="s">
        <v>989</v>
      </c>
      <c r="I2152" s="1" t="s">
        <v>4528</v>
      </c>
    </row>
    <row r="2153">
      <c r="B2153" s="1" t="s">
        <v>1755</v>
      </c>
      <c r="C2153" s="1" t="s">
        <v>2792</v>
      </c>
      <c r="D2153" s="1" t="s">
        <v>1381</v>
      </c>
      <c r="E2153" s="1" t="s">
        <v>3335</v>
      </c>
      <c r="F2153" s="1" t="s">
        <v>114</v>
      </c>
      <c r="I2153" s="1" t="s">
        <v>4656</v>
      </c>
    </row>
    <row r="2154">
      <c r="B2154" s="1" t="s">
        <v>2530</v>
      </c>
      <c r="C2154" s="1" t="s">
        <v>2560</v>
      </c>
      <c r="D2154" s="1" t="s">
        <v>4859</v>
      </c>
      <c r="E2154" s="1" t="s">
        <v>4441</v>
      </c>
      <c r="F2154" s="1" t="s">
        <v>5377</v>
      </c>
      <c r="I2154" s="1" t="s">
        <v>5066</v>
      </c>
    </row>
    <row r="2155">
      <c r="B2155" s="1" t="s">
        <v>2533</v>
      </c>
      <c r="C2155" s="1" t="s">
        <v>1611</v>
      </c>
      <c r="D2155" s="1" t="s">
        <v>3161</v>
      </c>
      <c r="E2155" s="1" t="s">
        <v>5122</v>
      </c>
      <c r="F2155" s="1" t="s">
        <v>6086</v>
      </c>
      <c r="I2155" s="1" t="s">
        <v>2663</v>
      </c>
    </row>
    <row r="2156">
      <c r="B2156" s="1" t="s">
        <v>5358</v>
      </c>
      <c r="C2156" s="1" t="s">
        <v>5342</v>
      </c>
      <c r="D2156" s="1" t="s">
        <v>3759</v>
      </c>
      <c r="E2156" s="1" t="s">
        <v>4447</v>
      </c>
      <c r="F2156" s="1" t="s">
        <v>5237</v>
      </c>
      <c r="I2156" s="1" t="s">
        <v>3153</v>
      </c>
    </row>
    <row r="2157">
      <c r="B2157" s="1" t="s">
        <v>3673</v>
      </c>
      <c r="C2157" s="1" t="s">
        <v>3686</v>
      </c>
      <c r="D2157" s="1" t="s">
        <v>3761</v>
      </c>
      <c r="E2157" s="1" t="s">
        <v>1123</v>
      </c>
      <c r="F2157" s="1" t="s">
        <v>6660</v>
      </c>
      <c r="I2157" s="1" t="s">
        <v>6661</v>
      </c>
    </row>
    <row r="2158">
      <c r="B2158" s="1" t="s">
        <v>2536</v>
      </c>
      <c r="C2158" s="1" t="s">
        <v>2282</v>
      </c>
      <c r="D2158" s="1" t="s">
        <v>5359</v>
      </c>
      <c r="E2158" s="1" t="s">
        <v>5167</v>
      </c>
      <c r="F2158" s="1" t="s">
        <v>6662</v>
      </c>
      <c r="I2158" s="1" t="s">
        <v>1236</v>
      </c>
    </row>
    <row r="2159">
      <c r="B2159" s="1" t="s">
        <v>4597</v>
      </c>
      <c r="C2159" s="1" t="s">
        <v>4508</v>
      </c>
      <c r="D2159" s="1" t="s">
        <v>1757</v>
      </c>
      <c r="E2159" s="1" t="s">
        <v>6453</v>
      </c>
      <c r="F2159" s="1" t="s">
        <v>6663</v>
      </c>
      <c r="I2159" s="1" t="s">
        <v>2396</v>
      </c>
    </row>
    <row r="2160">
      <c r="B2160" s="1" t="s">
        <v>1410</v>
      </c>
      <c r="C2160" s="1" t="s">
        <v>4058</v>
      </c>
      <c r="D2160" s="1" t="s">
        <v>2084</v>
      </c>
      <c r="E2160" s="1" t="s">
        <v>5922</v>
      </c>
      <c r="F2160" s="1" t="s">
        <v>1994</v>
      </c>
      <c r="I2160" s="1" t="s">
        <v>106</v>
      </c>
    </row>
    <row r="2161">
      <c r="B2161" s="1" t="s">
        <v>1415</v>
      </c>
      <c r="C2161" s="1" t="s">
        <v>1480</v>
      </c>
      <c r="D2161" s="1" t="s">
        <v>2086</v>
      </c>
      <c r="E2161" s="1">
        <v>15.0</v>
      </c>
      <c r="F2161" s="1" t="s">
        <v>2442</v>
      </c>
      <c r="I2161" s="1" t="s">
        <v>5200</v>
      </c>
    </row>
    <row r="2162">
      <c r="B2162" s="1" t="s">
        <v>1680</v>
      </c>
      <c r="C2162" s="1" t="s">
        <v>2811</v>
      </c>
      <c r="D2162" s="1" t="s">
        <v>3767</v>
      </c>
      <c r="E2162" s="1" t="s">
        <v>2201</v>
      </c>
      <c r="F2162" s="1" t="s">
        <v>4063</v>
      </c>
      <c r="I2162" s="1" t="s">
        <v>6664</v>
      </c>
    </row>
    <row r="2163">
      <c r="B2163" s="1" t="s">
        <v>4356</v>
      </c>
      <c r="C2163" s="1" t="s">
        <v>5791</v>
      </c>
      <c r="D2163" s="1" t="s">
        <v>2090</v>
      </c>
      <c r="E2163" s="1" t="s">
        <v>3022</v>
      </c>
      <c r="F2163" s="1" t="s">
        <v>4697</v>
      </c>
      <c r="I2163" s="1">
        <v>5.0</v>
      </c>
    </row>
    <row r="2164">
      <c r="B2164" s="1" t="s">
        <v>346</v>
      </c>
      <c r="C2164" s="1" t="s">
        <v>1826</v>
      </c>
      <c r="D2164" s="1" t="s">
        <v>3772</v>
      </c>
      <c r="E2164" s="1" t="s">
        <v>5174</v>
      </c>
      <c r="F2164" s="1" t="s">
        <v>1998</v>
      </c>
      <c r="I2164" s="1" t="s">
        <v>3172</v>
      </c>
    </row>
    <row r="2165">
      <c r="B2165" s="1" t="s">
        <v>2543</v>
      </c>
      <c r="C2165" s="1" t="s">
        <v>5984</v>
      </c>
      <c r="D2165" s="1" t="s">
        <v>1782</v>
      </c>
      <c r="E2165" s="1" t="s">
        <v>5006</v>
      </c>
      <c r="F2165" s="1" t="s">
        <v>5113</v>
      </c>
      <c r="I2165" s="1" t="s">
        <v>2883</v>
      </c>
    </row>
    <row r="2166">
      <c r="B2166" s="1" t="s">
        <v>5365</v>
      </c>
      <c r="C2166" s="1" t="s">
        <v>4933</v>
      </c>
      <c r="D2166" s="1" t="s">
        <v>4433</v>
      </c>
      <c r="E2166" s="1" t="s">
        <v>3355</v>
      </c>
      <c r="F2166" s="1" t="s">
        <v>3189</v>
      </c>
      <c r="I2166" s="1" t="s">
        <v>6653</v>
      </c>
    </row>
    <row r="2167">
      <c r="B2167" s="1" t="s">
        <v>4360</v>
      </c>
      <c r="C2167" s="1" t="s">
        <v>3875</v>
      </c>
      <c r="D2167" s="1" t="s">
        <v>2076</v>
      </c>
      <c r="E2167" s="1" t="s">
        <v>5135</v>
      </c>
      <c r="F2167" s="1" t="s">
        <v>3281</v>
      </c>
      <c r="I2167" s="1" t="s">
        <v>4672</v>
      </c>
    </row>
    <row r="2168">
      <c r="B2168" s="1" t="s">
        <v>5367</v>
      </c>
      <c r="C2168" s="1" t="s">
        <v>4837</v>
      </c>
      <c r="D2168" s="1" t="s">
        <v>1057</v>
      </c>
      <c r="E2168" s="1" t="s">
        <v>3363</v>
      </c>
      <c r="F2168" s="1" t="s">
        <v>4676</v>
      </c>
      <c r="I2168" s="1" t="s">
        <v>5213</v>
      </c>
    </row>
    <row r="2169">
      <c r="B2169" s="1" t="s">
        <v>5140</v>
      </c>
      <c r="C2169" s="1" t="s">
        <v>5985</v>
      </c>
      <c r="D2169" s="1" t="s">
        <v>1063</v>
      </c>
      <c r="E2169" s="1" t="s">
        <v>5016</v>
      </c>
      <c r="F2169" s="1" t="s">
        <v>3611</v>
      </c>
      <c r="I2169" s="1" t="s">
        <v>5215</v>
      </c>
    </row>
    <row r="2170">
      <c r="B2170" s="1" t="s">
        <v>5369</v>
      </c>
      <c r="C2170" s="1" t="s">
        <v>5987</v>
      </c>
      <c r="D2170" s="1" t="s">
        <v>1596</v>
      </c>
      <c r="E2170" s="1" t="s">
        <v>3031</v>
      </c>
      <c r="F2170" s="1" t="s">
        <v>4701</v>
      </c>
      <c r="I2170" s="1" t="s">
        <v>5362</v>
      </c>
    </row>
    <row r="2171">
      <c r="B2171" s="1" t="s">
        <v>2545</v>
      </c>
      <c r="C2171" s="1" t="s">
        <v>613</v>
      </c>
      <c r="D2171" s="1" t="s">
        <v>4879</v>
      </c>
      <c r="E2171" s="1" t="s">
        <v>6618</v>
      </c>
      <c r="F2171" s="1" t="s">
        <v>2000</v>
      </c>
      <c r="I2171" s="1" t="s">
        <v>3175</v>
      </c>
    </row>
    <row r="2172">
      <c r="B2172" s="1" t="s">
        <v>338</v>
      </c>
      <c r="C2172" s="1" t="s">
        <v>3379</v>
      </c>
      <c r="D2172" s="1" t="s">
        <v>4419</v>
      </c>
      <c r="E2172" s="1" t="s">
        <v>5692</v>
      </c>
      <c r="F2172" s="1" t="s">
        <v>1292</v>
      </c>
      <c r="I2172" s="1" t="s">
        <v>4682</v>
      </c>
    </row>
    <row r="2173">
      <c r="B2173" s="1" t="s">
        <v>5372</v>
      </c>
      <c r="C2173" s="1" t="s">
        <v>5655</v>
      </c>
      <c r="D2173" s="1" t="s">
        <v>3316</v>
      </c>
      <c r="E2173" s="1" t="s">
        <v>1200</v>
      </c>
      <c r="F2173" s="1" t="s">
        <v>6468</v>
      </c>
      <c r="I2173" s="1" t="s">
        <v>2020</v>
      </c>
    </row>
    <row r="2174">
      <c r="B2174" s="1" t="s">
        <v>4368</v>
      </c>
      <c r="C2174" s="1" t="s">
        <v>1710</v>
      </c>
      <c r="D2174" s="1" t="s">
        <v>4882</v>
      </c>
      <c r="E2174" s="1" t="s">
        <v>6619</v>
      </c>
      <c r="F2174" s="1" t="s">
        <v>3616</v>
      </c>
      <c r="I2174" s="1" t="s">
        <v>5225</v>
      </c>
    </row>
    <row r="2175">
      <c r="B2175" s="1" t="s">
        <v>5373</v>
      </c>
      <c r="C2175" s="1" t="s">
        <v>3547</v>
      </c>
      <c r="D2175" s="1" t="s">
        <v>4883</v>
      </c>
      <c r="E2175" s="1" t="s">
        <v>5187</v>
      </c>
      <c r="F2175" s="1" t="s">
        <v>3302</v>
      </c>
      <c r="I2175" s="1" t="s">
        <v>6659</v>
      </c>
    </row>
    <row r="2176">
      <c r="B2176" s="1" t="s">
        <v>5375</v>
      </c>
      <c r="C2176" s="1" t="s">
        <v>714</v>
      </c>
      <c r="D2176" s="1" t="s">
        <v>2097</v>
      </c>
      <c r="E2176" s="1" t="s">
        <v>4472</v>
      </c>
      <c r="F2176" s="1" t="s">
        <v>5254</v>
      </c>
      <c r="I2176" s="1" t="s">
        <v>5447</v>
      </c>
    </row>
    <row r="2177">
      <c r="B2177" s="1" t="s">
        <v>4370</v>
      </c>
      <c r="C2177" s="1" t="s">
        <v>475</v>
      </c>
      <c r="D2177" s="1" t="s">
        <v>3785</v>
      </c>
      <c r="E2177" s="1" t="s">
        <v>3385</v>
      </c>
      <c r="F2177" s="1" t="s">
        <v>1250</v>
      </c>
      <c r="I2177" s="1" t="s">
        <v>1273</v>
      </c>
    </row>
    <row r="2178">
      <c r="B2178" s="1" t="s">
        <v>3683</v>
      </c>
      <c r="C2178" s="1" t="s">
        <v>114</v>
      </c>
      <c r="D2178" s="1" t="s">
        <v>3788</v>
      </c>
      <c r="E2178" s="1" t="s">
        <v>3082</v>
      </c>
      <c r="F2178" s="1" t="s">
        <v>4714</v>
      </c>
      <c r="I2178" s="1" t="s">
        <v>6665</v>
      </c>
    </row>
    <row r="2179">
      <c r="B2179" s="1" t="s">
        <v>4377</v>
      </c>
      <c r="C2179" s="1" t="s">
        <v>5991</v>
      </c>
      <c r="D2179" s="1" t="s">
        <v>988</v>
      </c>
      <c r="E2179" s="1" t="s">
        <v>5192</v>
      </c>
      <c r="F2179" s="1" t="s">
        <v>1001</v>
      </c>
      <c r="I2179" s="1" t="s">
        <v>5377</v>
      </c>
    </row>
    <row r="2180">
      <c r="B2180" s="1" t="s">
        <v>3684</v>
      </c>
      <c r="C2180" s="1" t="s">
        <v>2749</v>
      </c>
      <c r="D2180" s="1" t="s">
        <v>3791</v>
      </c>
      <c r="E2180" s="1" t="s">
        <v>964</v>
      </c>
      <c r="F2180" s="1" t="s">
        <v>1006</v>
      </c>
      <c r="I2180" s="1" t="s">
        <v>3600</v>
      </c>
    </row>
    <row r="2181">
      <c r="B2181" s="1" t="s">
        <v>1695</v>
      </c>
      <c r="C2181" s="1" t="s">
        <v>4570</v>
      </c>
      <c r="D2181" s="1" t="s">
        <v>5381</v>
      </c>
      <c r="E2181" s="1" t="s">
        <v>6666</v>
      </c>
      <c r="F2181" s="1" t="s">
        <v>6472</v>
      </c>
      <c r="I2181" s="1" t="s">
        <v>6667</v>
      </c>
    </row>
    <row r="2182">
      <c r="B2182" s="1" t="s">
        <v>5382</v>
      </c>
      <c r="C2182" s="1" t="s">
        <v>685</v>
      </c>
      <c r="D2182" s="1" t="s">
        <v>2099</v>
      </c>
      <c r="E2182" s="1" t="s">
        <v>3391</v>
      </c>
      <c r="F2182" s="1" t="s">
        <v>2007</v>
      </c>
      <c r="I2182" s="1" t="s">
        <v>6660</v>
      </c>
    </row>
    <row r="2183">
      <c r="B2183" s="1" t="s">
        <v>5383</v>
      </c>
      <c r="C2183" s="1" t="s">
        <v>241</v>
      </c>
      <c r="D2183" s="1" t="s">
        <v>3795</v>
      </c>
      <c r="E2183" s="1" t="s">
        <v>2238</v>
      </c>
      <c r="F2183" s="1" t="s">
        <v>1297</v>
      </c>
      <c r="I2183" s="1" t="s">
        <v>6662</v>
      </c>
    </row>
    <row r="2184">
      <c r="B2184" s="1" t="s">
        <v>3686</v>
      </c>
      <c r="C2184" s="1" t="s">
        <v>2071</v>
      </c>
      <c r="D2184" s="1" t="s">
        <v>3609</v>
      </c>
      <c r="E2184" s="1" t="s">
        <v>6455</v>
      </c>
      <c r="F2184" s="1" t="s">
        <v>6668</v>
      </c>
      <c r="I2184" s="1" t="s">
        <v>6663</v>
      </c>
    </row>
    <row r="2185">
      <c r="B2185" s="1" t="s">
        <v>5385</v>
      </c>
      <c r="C2185" s="1" t="s">
        <v>4326</v>
      </c>
      <c r="D2185" s="1" t="s">
        <v>3800</v>
      </c>
      <c r="E2185" s="1" t="s">
        <v>5248</v>
      </c>
      <c r="F2185" s="1" t="s">
        <v>6669</v>
      </c>
      <c r="I2185" s="1" t="s">
        <v>6670</v>
      </c>
    </row>
    <row r="2186">
      <c r="B2186" s="1" t="s">
        <v>5387</v>
      </c>
      <c r="C2186" s="1" t="s">
        <v>765</v>
      </c>
      <c r="D2186" s="1" t="s">
        <v>1069</v>
      </c>
      <c r="E2186" s="1" t="s">
        <v>1658</v>
      </c>
      <c r="F2186" s="1" t="s">
        <v>3206</v>
      </c>
      <c r="I2186" s="1" t="s">
        <v>4063</v>
      </c>
    </row>
    <row r="2187">
      <c r="B2187" s="1" t="s">
        <v>268</v>
      </c>
      <c r="C2187" s="1" t="s">
        <v>1130</v>
      </c>
      <c r="D2187" s="1" t="s">
        <v>3802</v>
      </c>
      <c r="E2187" s="1" t="s">
        <v>4776</v>
      </c>
      <c r="F2187" s="1" t="s">
        <v>3209</v>
      </c>
      <c r="I2187" s="1" t="s">
        <v>2442</v>
      </c>
    </row>
    <row r="2188">
      <c r="B2188" s="1" t="s">
        <v>5390</v>
      </c>
      <c r="C2188" s="1" t="s">
        <v>5998</v>
      </c>
      <c r="D2188" s="1" t="s">
        <v>3982</v>
      </c>
      <c r="E2188" s="1" t="s">
        <v>6613</v>
      </c>
      <c r="F2188" s="1" t="s">
        <v>2011</v>
      </c>
      <c r="I2188" s="1" t="s">
        <v>6671</v>
      </c>
    </row>
    <row r="2189">
      <c r="B2189" s="1" t="s">
        <v>5391</v>
      </c>
      <c r="C2189" s="1" t="s">
        <v>1450</v>
      </c>
      <c r="D2189" s="1" t="s">
        <v>2104</v>
      </c>
      <c r="E2189" s="1" t="s">
        <v>3403</v>
      </c>
      <c r="F2189" s="1" t="s">
        <v>4729</v>
      </c>
      <c r="I2189" s="1" t="s">
        <v>4697</v>
      </c>
    </row>
    <row r="2190">
      <c r="B2190" s="1" t="s">
        <v>4387</v>
      </c>
      <c r="C2190" s="1" t="s">
        <v>4395</v>
      </c>
      <c r="D2190" s="1" t="s">
        <v>904</v>
      </c>
      <c r="E2190" s="1" t="s">
        <v>4480</v>
      </c>
      <c r="F2190" s="1" t="s">
        <v>2689</v>
      </c>
      <c r="I2190" s="1" t="s">
        <v>3186</v>
      </c>
    </row>
    <row r="2191">
      <c r="B2191" s="1" t="s">
        <v>4389</v>
      </c>
      <c r="C2191" s="1" t="s">
        <v>4503</v>
      </c>
      <c r="D2191" s="1" t="s">
        <v>2105</v>
      </c>
      <c r="E2191" s="1" t="s">
        <v>6612</v>
      </c>
      <c r="F2191" s="1" t="s">
        <v>4070</v>
      </c>
      <c r="I2191" s="1" t="s">
        <v>3189</v>
      </c>
    </row>
    <row r="2192">
      <c r="B2192" s="1" t="s">
        <v>574</v>
      </c>
      <c r="C2192" s="1" t="s">
        <v>4889</v>
      </c>
      <c r="D2192" s="1" t="s">
        <v>3330</v>
      </c>
      <c r="E2192" s="1" t="s">
        <v>6620</v>
      </c>
      <c r="F2192" s="1" t="s">
        <v>4662</v>
      </c>
      <c r="I2192" s="1" t="s">
        <v>3281</v>
      </c>
    </row>
    <row r="2193">
      <c r="B2193" s="1" t="s">
        <v>5394</v>
      </c>
      <c r="C2193" s="1" t="s">
        <v>4408</v>
      </c>
      <c r="D2193" s="1" t="s">
        <v>4373</v>
      </c>
      <c r="E2193" s="1" t="s">
        <v>187</v>
      </c>
      <c r="F2193" s="1" t="s">
        <v>1013</v>
      </c>
      <c r="I2193" s="1" t="s">
        <v>623</v>
      </c>
    </row>
    <row r="2194">
      <c r="B2194" s="1" t="s">
        <v>1433</v>
      </c>
      <c r="C2194" s="1" t="s">
        <v>5168</v>
      </c>
      <c r="D2194" s="1" t="s">
        <v>5396</v>
      </c>
      <c r="E2194" s="1" t="s">
        <v>5974</v>
      </c>
      <c r="F2194" s="1" t="s">
        <v>3219</v>
      </c>
      <c r="I2194" s="1" t="s">
        <v>6672</v>
      </c>
    </row>
    <row r="2195">
      <c r="B2195" s="1" t="s">
        <v>1630</v>
      </c>
      <c r="C2195" s="1" t="s">
        <v>2379</v>
      </c>
      <c r="D2195" s="1" t="s">
        <v>3812</v>
      </c>
      <c r="E2195" s="1" t="s">
        <v>6673</v>
      </c>
      <c r="F2195" s="1" t="s">
        <v>2017</v>
      </c>
      <c r="I2195" s="1" t="s">
        <v>4701</v>
      </c>
    </row>
    <row r="2196">
      <c r="B2196" s="1" t="s">
        <v>2562</v>
      </c>
      <c r="C2196" s="1" t="s">
        <v>2074</v>
      </c>
      <c r="D2196" s="1" t="s">
        <v>5318</v>
      </c>
      <c r="E2196" s="1" t="s">
        <v>3043</v>
      </c>
      <c r="F2196" s="1" t="s">
        <v>1302</v>
      </c>
      <c r="I2196" s="1" t="s">
        <v>4705</v>
      </c>
    </row>
    <row r="2197">
      <c r="B2197" s="1" t="s">
        <v>2566</v>
      </c>
      <c r="C2197" s="1" t="s">
        <v>4708</v>
      </c>
      <c r="D2197" s="1" t="s">
        <v>2109</v>
      </c>
      <c r="E2197" s="1" t="s">
        <v>6621</v>
      </c>
      <c r="F2197" s="1" t="s">
        <v>4430</v>
      </c>
      <c r="I2197" s="1" t="s">
        <v>6468</v>
      </c>
    </row>
    <row r="2198">
      <c r="B2198" s="1" t="s">
        <v>2568</v>
      </c>
      <c r="C2198" s="1" t="s">
        <v>481</v>
      </c>
      <c r="D2198" s="1" t="s">
        <v>5398</v>
      </c>
      <c r="E2198" s="1" t="s">
        <v>3408</v>
      </c>
      <c r="F2198" s="1" t="s">
        <v>1927</v>
      </c>
      <c r="I2198" s="1" t="s">
        <v>5253</v>
      </c>
    </row>
    <row r="2199">
      <c r="B2199" s="1" t="s">
        <v>5047</v>
      </c>
      <c r="C2199" s="1" t="s">
        <v>4354</v>
      </c>
      <c r="D2199" s="1" t="s">
        <v>5401</v>
      </c>
      <c r="E2199" s="1" t="s">
        <v>1136</v>
      </c>
      <c r="F2199" s="1" t="s">
        <v>2021</v>
      </c>
      <c r="I2199" s="1" t="s">
        <v>3617</v>
      </c>
    </row>
    <row r="2200">
      <c r="B2200" s="1" t="s">
        <v>4396</v>
      </c>
      <c r="C2200" s="1" t="s">
        <v>1436</v>
      </c>
      <c r="D2200" s="1" t="s">
        <v>3817</v>
      </c>
      <c r="E2200" s="1" t="s">
        <v>4490</v>
      </c>
      <c r="F2200" s="1" t="s">
        <v>3666</v>
      </c>
      <c r="I2200" s="1" t="s">
        <v>5180</v>
      </c>
    </row>
    <row r="2201">
      <c r="B2201" s="1" t="s">
        <v>4398</v>
      </c>
      <c r="C2201" s="1" t="s">
        <v>2521</v>
      </c>
      <c r="D2201" s="1" t="s">
        <v>4908</v>
      </c>
      <c r="E2201" s="1" t="s">
        <v>6622</v>
      </c>
      <c r="F2201" s="1" t="s">
        <v>3227</v>
      </c>
      <c r="I2201" s="1" t="s">
        <v>3620</v>
      </c>
    </row>
    <row r="2202">
      <c r="B2202" s="1" t="s">
        <v>4401</v>
      </c>
      <c r="C2202" s="1" t="s">
        <v>1515</v>
      </c>
      <c r="D2202" s="1" t="s">
        <v>3820</v>
      </c>
      <c r="E2202" s="1" t="s">
        <v>1148</v>
      </c>
      <c r="F2202" s="1" t="s">
        <v>3229</v>
      </c>
      <c r="I2202" s="1" t="s">
        <v>6674</v>
      </c>
    </row>
    <row r="2203">
      <c r="B2203" s="1" t="s">
        <v>1439</v>
      </c>
      <c r="C2203" s="1" t="s">
        <v>3086</v>
      </c>
      <c r="D2203" s="1" t="s">
        <v>3823</v>
      </c>
      <c r="E2203" s="1" t="s">
        <v>6675</v>
      </c>
      <c r="F2203" s="1" t="s">
        <v>2025</v>
      </c>
      <c r="I2203" s="1" t="s">
        <v>3302</v>
      </c>
    </row>
    <row r="2204">
      <c r="B2204" s="1" t="s">
        <v>1445</v>
      </c>
      <c r="C2204" s="1" t="s">
        <v>4399</v>
      </c>
      <c r="D2204" s="1" t="s">
        <v>3825</v>
      </c>
      <c r="E2204" s="1" t="s">
        <v>4498</v>
      </c>
      <c r="F2204" s="1" t="s">
        <v>3231</v>
      </c>
      <c r="I2204" s="1" t="s">
        <v>6676</v>
      </c>
    </row>
    <row r="2205">
      <c r="B2205" s="1" t="s">
        <v>4412</v>
      </c>
      <c r="C2205" s="1" t="s">
        <v>2111</v>
      </c>
      <c r="D2205" s="1" t="s">
        <v>2113</v>
      </c>
      <c r="E2205" s="1" t="s">
        <v>3581</v>
      </c>
      <c r="F2205" s="1" t="s">
        <v>4749</v>
      </c>
      <c r="I2205" s="1" t="s">
        <v>3199</v>
      </c>
    </row>
    <row r="2206">
      <c r="B2206" s="1" t="s">
        <v>5403</v>
      </c>
      <c r="C2206" s="1" t="s">
        <v>4921</v>
      </c>
      <c r="D2206" s="1" t="s">
        <v>3828</v>
      </c>
      <c r="E2206" s="1" t="s">
        <v>3105</v>
      </c>
      <c r="F2206" s="1" t="s">
        <v>1343</v>
      </c>
      <c r="I2206" s="1" t="s">
        <v>5254</v>
      </c>
    </row>
    <row r="2207">
      <c r="B2207" s="1" t="s">
        <v>5404</v>
      </c>
      <c r="C2207" s="1" t="s">
        <v>310</v>
      </c>
      <c r="D2207" s="1" t="s">
        <v>5327</v>
      </c>
      <c r="E2207" s="1" t="s">
        <v>6623</v>
      </c>
      <c r="F2207" s="1" t="s">
        <v>6677</v>
      </c>
      <c r="I2207" s="1" t="s">
        <v>1250</v>
      </c>
    </row>
    <row r="2208">
      <c r="B2208" s="1" t="s">
        <v>4414</v>
      </c>
      <c r="C2208" s="1" t="s">
        <v>6008</v>
      </c>
      <c r="D2208" s="1" t="s">
        <v>3831</v>
      </c>
      <c r="E2208" s="1" t="s">
        <v>3050</v>
      </c>
      <c r="F2208" s="1" t="s">
        <v>2028</v>
      </c>
      <c r="I2208" s="1" t="s">
        <v>3621</v>
      </c>
    </row>
    <row r="2209">
      <c r="B2209" s="1" t="s">
        <v>3708</v>
      </c>
      <c r="C2209" s="1" t="s">
        <v>5233</v>
      </c>
      <c r="D2209" s="1" t="s">
        <v>126</v>
      </c>
      <c r="E2209" s="1" t="s">
        <v>3418</v>
      </c>
      <c r="F2209" s="1" t="s">
        <v>4752</v>
      </c>
      <c r="I2209" s="1" t="s">
        <v>4717</v>
      </c>
    </row>
    <row r="2210">
      <c r="B2210" s="1" t="s">
        <v>1491</v>
      </c>
      <c r="C2210" s="1" t="s">
        <v>5848</v>
      </c>
      <c r="D2210" s="1" t="s">
        <v>3835</v>
      </c>
      <c r="E2210" s="1" t="s">
        <v>4132</v>
      </c>
      <c r="F2210" s="1" t="s">
        <v>3660</v>
      </c>
      <c r="I2210" s="1" t="s">
        <v>6678</v>
      </c>
    </row>
    <row r="2211">
      <c r="B2211" s="1" t="s">
        <v>4416</v>
      </c>
      <c r="C2211" s="1" t="s">
        <v>3049</v>
      </c>
      <c r="D2211" s="1" t="s">
        <v>3837</v>
      </c>
      <c r="E2211" s="1" t="s">
        <v>6616</v>
      </c>
      <c r="F2211" s="1" t="s">
        <v>6679</v>
      </c>
      <c r="I2211" s="1" t="s">
        <v>6668</v>
      </c>
    </row>
    <row r="2212">
      <c r="B2212" s="1" t="s">
        <v>1450</v>
      </c>
      <c r="C2212" s="1" t="s">
        <v>5818</v>
      </c>
      <c r="D2212" s="1" t="s">
        <v>5407</v>
      </c>
      <c r="E2212" s="1" t="s">
        <v>4505</v>
      </c>
      <c r="F2212" s="1" t="s">
        <v>3662</v>
      </c>
      <c r="I2212" s="1" t="s">
        <v>6669</v>
      </c>
    </row>
    <row r="2213">
      <c r="B2213" s="1" t="s">
        <v>5360</v>
      </c>
      <c r="C2213" s="1" t="s">
        <v>1358</v>
      </c>
      <c r="D2213" s="1" t="s">
        <v>2117</v>
      </c>
      <c r="E2213" s="1" t="s">
        <v>6680</v>
      </c>
      <c r="F2213" s="1" t="s">
        <v>1023</v>
      </c>
      <c r="I2213" s="1" t="s">
        <v>3206</v>
      </c>
    </row>
    <row r="2214">
      <c r="B2214" s="1" t="s">
        <v>5409</v>
      </c>
      <c r="C2214" s="1" t="s">
        <v>2204</v>
      </c>
      <c r="D2214" s="1" t="s">
        <v>3587</v>
      </c>
      <c r="E2214" s="1" t="s">
        <v>5230</v>
      </c>
      <c r="F2214" s="1" t="s">
        <v>3237</v>
      </c>
      <c r="I2214" s="1" t="s">
        <v>4729</v>
      </c>
    </row>
    <row r="2215">
      <c r="B2215" s="1" t="s">
        <v>2582</v>
      </c>
      <c r="C2215" s="1" t="s">
        <v>483</v>
      </c>
      <c r="D2215" s="1" t="s">
        <v>2121</v>
      </c>
      <c r="E2215" s="1" t="s">
        <v>4950</v>
      </c>
      <c r="F2215" s="1">
        <v>1993.0</v>
      </c>
      <c r="I2215" s="1" t="s">
        <v>2689</v>
      </c>
    </row>
    <row r="2216">
      <c r="B2216" s="1" t="s">
        <v>2588</v>
      </c>
      <c r="C2216" s="1" t="s">
        <v>420</v>
      </c>
      <c r="D2216" s="1" t="s">
        <v>3348</v>
      </c>
      <c r="E2216" s="1" t="s">
        <v>2498</v>
      </c>
      <c r="F2216" s="1" t="s">
        <v>2032</v>
      </c>
      <c r="I2216" s="1" t="s">
        <v>5981</v>
      </c>
    </row>
    <row r="2217">
      <c r="B2217" s="1" t="s">
        <v>1457</v>
      </c>
      <c r="C2217" s="1" t="s">
        <v>488</v>
      </c>
      <c r="D2217" s="1" t="s">
        <v>3846</v>
      </c>
      <c r="E2217" s="1" t="s">
        <v>3053</v>
      </c>
      <c r="F2217" s="1" t="s">
        <v>2033</v>
      </c>
      <c r="I2217" s="1" t="s">
        <v>6681</v>
      </c>
    </row>
    <row r="2218">
      <c r="B2218" s="1" t="s">
        <v>4425</v>
      </c>
      <c r="C2218" s="1" t="s">
        <v>835</v>
      </c>
      <c r="D2218" s="1" t="s">
        <v>484</v>
      </c>
      <c r="E2218" s="1" t="s">
        <v>2108</v>
      </c>
      <c r="F2218" s="1" t="s">
        <v>4386</v>
      </c>
      <c r="I2218" s="1" t="s">
        <v>3216</v>
      </c>
    </row>
    <row r="2219">
      <c r="B2219" s="1" t="s">
        <v>2595</v>
      </c>
      <c r="C2219" s="1" t="s">
        <v>6010</v>
      </c>
      <c r="D2219" s="1" t="s">
        <v>1392</v>
      </c>
      <c r="E2219" s="1" t="s">
        <v>2006</v>
      </c>
      <c r="F2219" s="1" t="s">
        <v>2036</v>
      </c>
      <c r="I2219" s="1" t="s">
        <v>5414</v>
      </c>
    </row>
    <row r="2220">
      <c r="B2220" s="1" t="s">
        <v>2601</v>
      </c>
      <c r="C2220" s="1" t="s">
        <v>6014</v>
      </c>
      <c r="D2220" s="1" t="s">
        <v>3554</v>
      </c>
      <c r="E2220" s="1" t="s">
        <v>4280</v>
      </c>
      <c r="F2220" s="1" t="s">
        <v>3676</v>
      </c>
      <c r="I2220" s="1" t="s">
        <v>6682</v>
      </c>
    </row>
    <row r="2221">
      <c r="B2221" s="1" t="s">
        <v>5413</v>
      </c>
      <c r="C2221" s="1" t="s">
        <v>1798</v>
      </c>
      <c r="D2221" s="1" t="s">
        <v>3852</v>
      </c>
      <c r="E2221" s="1" t="s">
        <v>6625</v>
      </c>
      <c r="F2221" s="1" t="s">
        <v>781</v>
      </c>
      <c r="I2221" s="1" t="s">
        <v>3636</v>
      </c>
    </row>
    <row r="2222">
      <c r="B2222" s="1" t="s">
        <v>1465</v>
      </c>
      <c r="C2222" s="1" t="s">
        <v>3414</v>
      </c>
      <c r="D2222" s="1" t="s">
        <v>3855</v>
      </c>
      <c r="E2222" s="1" t="s">
        <v>2213</v>
      </c>
      <c r="F2222" s="1" t="s">
        <v>3698</v>
      </c>
      <c r="I2222" s="1" t="s">
        <v>4430</v>
      </c>
    </row>
    <row r="2223">
      <c r="B2223" s="1" t="s">
        <v>2607</v>
      </c>
      <c r="C2223" s="1" t="s">
        <v>1949</v>
      </c>
      <c r="D2223" s="1" t="s">
        <v>4929</v>
      </c>
      <c r="E2223" s="1" t="s">
        <v>1165</v>
      </c>
      <c r="F2223" s="1" t="s">
        <v>5288</v>
      </c>
      <c r="I2223" s="1" t="s">
        <v>5056</v>
      </c>
    </row>
    <row r="2224">
      <c r="B2224" s="1" t="s">
        <v>5416</v>
      </c>
      <c r="C2224" s="1" t="s">
        <v>67</v>
      </c>
      <c r="D2224" s="1" t="s">
        <v>5417</v>
      </c>
      <c r="E2224" s="1" t="s">
        <v>1483</v>
      </c>
      <c r="F2224" s="1" t="s">
        <v>3247</v>
      </c>
      <c r="I2224" s="1" t="s">
        <v>3882</v>
      </c>
    </row>
    <row r="2225">
      <c r="B2225" s="1" t="s">
        <v>1472</v>
      </c>
      <c r="C2225" s="1" t="s">
        <v>5870</v>
      </c>
      <c r="D2225" s="1" t="s">
        <v>1399</v>
      </c>
      <c r="E2225" s="1" t="s">
        <v>961</v>
      </c>
      <c r="F2225" s="1" t="s">
        <v>2043</v>
      </c>
      <c r="I2225" s="1" t="s">
        <v>3666</v>
      </c>
    </row>
    <row r="2226">
      <c r="B2226" s="1" t="s">
        <v>3712</v>
      </c>
      <c r="C2226" s="1" t="s">
        <v>5669</v>
      </c>
      <c r="D2226" s="1" t="s">
        <v>5419</v>
      </c>
      <c r="E2226" s="1" t="s">
        <v>5069</v>
      </c>
      <c r="F2226" s="1" t="s">
        <v>4621</v>
      </c>
      <c r="I2226" s="1" t="s">
        <v>5276</v>
      </c>
    </row>
    <row r="2227">
      <c r="B2227" s="1" t="s">
        <v>1707</v>
      </c>
      <c r="C2227" s="1" t="s">
        <v>1735</v>
      </c>
      <c r="D2227" s="1" t="s">
        <v>3859</v>
      </c>
      <c r="E2227" s="1" t="s">
        <v>5953</v>
      </c>
      <c r="F2227" s="1" t="s">
        <v>5293</v>
      </c>
      <c r="I2227" s="1" t="s">
        <v>2902</v>
      </c>
    </row>
    <row r="2228">
      <c r="B2228" s="1" t="s">
        <v>4440</v>
      </c>
      <c r="C2228" s="1" t="s">
        <v>6018</v>
      </c>
      <c r="D2228" s="1" t="s">
        <v>5420</v>
      </c>
      <c r="E2228" s="1" t="s">
        <v>6627</v>
      </c>
      <c r="F2228" s="1" t="s">
        <v>1028</v>
      </c>
      <c r="I2228" s="1" t="s">
        <v>3545</v>
      </c>
    </row>
    <row r="2229">
      <c r="B2229" s="1" t="s">
        <v>5421</v>
      </c>
      <c r="C2229" s="1" t="s">
        <v>511</v>
      </c>
      <c r="D2229" s="1" t="s">
        <v>1080</v>
      </c>
      <c r="E2229" s="1" t="s">
        <v>3128</v>
      </c>
      <c r="F2229" s="1" t="s">
        <v>758</v>
      </c>
      <c r="I2229" s="1" t="s">
        <v>6683</v>
      </c>
    </row>
    <row r="2230">
      <c r="B2230" s="1" t="s">
        <v>4443</v>
      </c>
      <c r="C2230" s="1" t="s">
        <v>1399</v>
      </c>
      <c r="D2230" s="1" t="s">
        <v>4934</v>
      </c>
      <c r="E2230" s="1" t="s">
        <v>4521</v>
      </c>
      <c r="F2230" s="1" t="s">
        <v>1565</v>
      </c>
      <c r="I2230" s="1" t="s">
        <v>2010</v>
      </c>
    </row>
    <row r="2231">
      <c r="B2231" s="1" t="s">
        <v>4446</v>
      </c>
      <c r="C2231" s="1" t="s">
        <v>1562</v>
      </c>
      <c r="D2231" s="1" t="s">
        <v>5422</v>
      </c>
      <c r="E2231" s="1" t="s">
        <v>6628</v>
      </c>
      <c r="F2231" s="1" t="s">
        <v>4786</v>
      </c>
      <c r="I2231" s="1" t="s">
        <v>1343</v>
      </c>
    </row>
    <row r="2232">
      <c r="B2232" s="1" t="s">
        <v>5235</v>
      </c>
      <c r="C2232" s="1" t="s">
        <v>1336</v>
      </c>
      <c r="D2232" s="1" t="s">
        <v>3863</v>
      </c>
      <c r="E2232" s="1">
        <v>86.0</v>
      </c>
      <c r="F2232" s="1" t="s">
        <v>1342</v>
      </c>
      <c r="I2232" s="1" t="s">
        <v>6684</v>
      </c>
    </row>
    <row r="2233">
      <c r="B2233" s="1" t="s">
        <v>2293</v>
      </c>
      <c r="C2233" s="1" t="s">
        <v>2270</v>
      </c>
      <c r="D2233" s="1" t="s">
        <v>5424</v>
      </c>
      <c r="E2233" s="1" t="s">
        <v>3994</v>
      </c>
      <c r="F2233" s="1" t="s">
        <v>3692</v>
      </c>
      <c r="I2233" s="1" t="s">
        <v>6685</v>
      </c>
    </row>
    <row r="2234">
      <c r="B2234" s="1" t="s">
        <v>2619</v>
      </c>
      <c r="C2234" s="1" t="s">
        <v>3495</v>
      </c>
      <c r="D2234" s="1" t="s">
        <v>4936</v>
      </c>
      <c r="E2234" s="1" t="s">
        <v>5075</v>
      </c>
      <c r="F2234" s="1" t="s">
        <v>3694</v>
      </c>
      <c r="I2234" s="1" t="s">
        <v>6677</v>
      </c>
    </row>
    <row r="2235">
      <c r="B2235" s="1" t="s">
        <v>5425</v>
      </c>
      <c r="C2235" s="1" t="s">
        <v>2110</v>
      </c>
      <c r="D2235" s="1" t="s">
        <v>3864</v>
      </c>
      <c r="E2235" s="1" t="s">
        <v>4533</v>
      </c>
      <c r="F2235" s="1" t="s">
        <v>1317</v>
      </c>
      <c r="I2235" s="1" t="s">
        <v>2028</v>
      </c>
    </row>
    <row r="2236">
      <c r="B2236" s="1" t="s">
        <v>1479</v>
      </c>
      <c r="C2236" s="1" t="s">
        <v>5601</v>
      </c>
      <c r="D2236" s="1" t="s">
        <v>3866</v>
      </c>
      <c r="E2236" s="1" t="s">
        <v>5079</v>
      </c>
      <c r="F2236" s="1" t="s">
        <v>3696</v>
      </c>
      <c r="I2236" s="1" t="s">
        <v>1732</v>
      </c>
    </row>
    <row r="2237">
      <c r="B2237" s="1" t="s">
        <v>1713</v>
      </c>
      <c r="C2237" s="1" t="s">
        <v>4353</v>
      </c>
      <c r="D2237" s="1" t="s">
        <v>4938</v>
      </c>
      <c r="E2237" s="1" t="s">
        <v>4154</v>
      </c>
      <c r="F2237" s="1" t="s">
        <v>1323</v>
      </c>
      <c r="I2237" s="1" t="s">
        <v>2433</v>
      </c>
    </row>
    <row r="2238">
      <c r="B2238" s="1" t="s">
        <v>3717</v>
      </c>
      <c r="C2238" s="1" t="s">
        <v>3039</v>
      </c>
      <c r="D2238" s="1" t="s">
        <v>3868</v>
      </c>
      <c r="E2238" s="1" t="s">
        <v>4289</v>
      </c>
      <c r="F2238" s="1" t="s">
        <v>3173</v>
      </c>
      <c r="I2238" s="1" t="s">
        <v>1851</v>
      </c>
    </row>
    <row r="2239">
      <c r="B2239" s="1" t="s">
        <v>2627</v>
      </c>
      <c r="C2239" s="1" t="s">
        <v>5162</v>
      </c>
      <c r="D2239" s="1" t="s">
        <v>3870</v>
      </c>
      <c r="E2239" s="1" t="s">
        <v>4200</v>
      </c>
      <c r="F2239" s="1" t="s">
        <v>3260</v>
      </c>
      <c r="I2239" s="1" t="s">
        <v>1419</v>
      </c>
    </row>
    <row r="2240">
      <c r="B2240" s="1" t="s">
        <v>5429</v>
      </c>
      <c r="C2240" s="1" t="s">
        <v>6025</v>
      </c>
      <c r="D2240" s="1" t="s">
        <v>2133</v>
      </c>
      <c r="E2240" s="1" t="s">
        <v>4543</v>
      </c>
      <c r="F2240" s="1" t="s">
        <v>3501</v>
      </c>
      <c r="I2240" s="1" t="s">
        <v>6679</v>
      </c>
    </row>
    <row r="2241">
      <c r="B2241" s="1" t="s">
        <v>5430</v>
      </c>
      <c r="C2241" s="1" t="s">
        <v>4749</v>
      </c>
      <c r="D2241" s="1" t="s">
        <v>2136</v>
      </c>
      <c r="E2241" s="1" t="s">
        <v>5088</v>
      </c>
      <c r="F2241" s="1" t="s">
        <v>5307</v>
      </c>
      <c r="I2241" s="1">
        <v>1993.0</v>
      </c>
    </row>
    <row r="2242">
      <c r="B2242" s="1" t="s">
        <v>5431</v>
      </c>
      <c r="C2242" s="1" t="s">
        <v>713</v>
      </c>
      <c r="D2242" s="1" t="s">
        <v>3875</v>
      </c>
      <c r="E2242" s="1" t="s">
        <v>6459</v>
      </c>
      <c r="F2242" s="1" t="s">
        <v>3264</v>
      </c>
      <c r="I2242" s="1" t="s">
        <v>3241</v>
      </c>
    </row>
    <row r="2243">
      <c r="B2243" s="1" t="s">
        <v>5433</v>
      </c>
      <c r="C2243" s="1" t="s">
        <v>1971</v>
      </c>
      <c r="D2243" s="1" t="s">
        <v>1087</v>
      </c>
      <c r="E2243" s="1" t="s">
        <v>5091</v>
      </c>
      <c r="F2243" s="1" t="s">
        <v>6199</v>
      </c>
      <c r="I2243" s="1" t="s">
        <v>2494</v>
      </c>
    </row>
    <row r="2244">
      <c r="B2244" s="1" t="s">
        <v>4457</v>
      </c>
      <c r="C2244" s="1" t="s">
        <v>5069</v>
      </c>
      <c r="D2244" s="1" t="s">
        <v>4946</v>
      </c>
      <c r="E2244" s="1" t="s">
        <v>5093</v>
      </c>
      <c r="F2244" s="1" t="s">
        <v>3707</v>
      </c>
      <c r="I2244" s="1" t="s">
        <v>1677</v>
      </c>
    </row>
    <row r="2245">
      <c r="B2245" s="1" t="s">
        <v>2632</v>
      </c>
      <c r="C2245" s="1" t="s">
        <v>5855</v>
      </c>
      <c r="D2245" s="1" t="s">
        <v>2141</v>
      </c>
      <c r="E2245" s="1" t="s">
        <v>4546</v>
      </c>
      <c r="F2245" s="1" t="s">
        <v>4806</v>
      </c>
      <c r="I2245" s="1" t="s">
        <v>6686</v>
      </c>
    </row>
    <row r="2246">
      <c r="B2246" s="1" t="s">
        <v>2629</v>
      </c>
      <c r="C2246" s="1" t="s">
        <v>678</v>
      </c>
      <c r="D2246" s="1" t="s">
        <v>5435</v>
      </c>
      <c r="E2246" s="1" t="s">
        <v>3639</v>
      </c>
      <c r="F2246" s="1" t="s">
        <v>4807</v>
      </c>
      <c r="I2246" s="1" t="s">
        <v>4449</v>
      </c>
    </row>
    <row r="2247">
      <c r="B2247" s="1" t="s">
        <v>5436</v>
      </c>
      <c r="C2247" s="1" t="s">
        <v>3942</v>
      </c>
      <c r="D2247" s="1" t="s">
        <v>3799</v>
      </c>
      <c r="E2247" s="1" t="s">
        <v>4549</v>
      </c>
      <c r="F2247" s="1" t="s">
        <v>4073</v>
      </c>
      <c r="I2247" s="1" t="s">
        <v>6687</v>
      </c>
    </row>
    <row r="2248">
      <c r="B2248" s="1" t="s">
        <v>5437</v>
      </c>
      <c r="C2248" s="1" t="s">
        <v>461</v>
      </c>
      <c r="D2248" s="1" t="s">
        <v>4958</v>
      </c>
      <c r="E2248" s="1" t="s">
        <v>4551</v>
      </c>
      <c r="F2248" s="1" t="s">
        <v>6688</v>
      </c>
      <c r="I2248" s="1" t="s">
        <v>3698</v>
      </c>
    </row>
    <row r="2249">
      <c r="B2249" s="1" t="s">
        <v>2635</v>
      </c>
      <c r="C2249" s="1" t="s">
        <v>426</v>
      </c>
      <c r="D2249" s="1" t="s">
        <v>128</v>
      </c>
      <c r="E2249" s="1">
        <v>22.0</v>
      </c>
      <c r="F2249" s="1" t="s">
        <v>5312</v>
      </c>
      <c r="I2249" s="1" t="s">
        <v>5288</v>
      </c>
    </row>
    <row r="2250">
      <c r="B2250" s="1" t="s">
        <v>5438</v>
      </c>
      <c r="C2250" s="1" t="s">
        <v>567</v>
      </c>
      <c r="D2250" s="1" t="s">
        <v>3883</v>
      </c>
      <c r="E2250" s="1" t="s">
        <v>1889</v>
      </c>
      <c r="F2250" s="1" t="s">
        <v>1328</v>
      </c>
      <c r="I2250" s="1" t="s">
        <v>4621</v>
      </c>
    </row>
    <row r="2251">
      <c r="B2251" s="1" t="s">
        <v>2637</v>
      </c>
      <c r="C2251" s="1" t="s">
        <v>64</v>
      </c>
      <c r="D2251" s="1" t="s">
        <v>3886</v>
      </c>
      <c r="E2251" s="1" t="s">
        <v>3070</v>
      </c>
      <c r="F2251" s="1" t="s">
        <v>6689</v>
      </c>
      <c r="I2251" s="1" t="s">
        <v>5293</v>
      </c>
    </row>
    <row r="2252">
      <c r="B2252" s="1" t="s">
        <v>5439</v>
      </c>
      <c r="C2252" s="1" t="s">
        <v>4913</v>
      </c>
      <c r="D2252" s="1" t="s">
        <v>277</v>
      </c>
      <c r="E2252" s="1" t="s">
        <v>6631</v>
      </c>
      <c r="F2252" s="1" t="s">
        <v>6690</v>
      </c>
      <c r="I2252" s="1" t="s">
        <v>1565</v>
      </c>
    </row>
    <row r="2253">
      <c r="B2253" s="1" t="s">
        <v>5441</v>
      </c>
      <c r="C2253" s="1" t="s">
        <v>4269</v>
      </c>
      <c r="D2253" s="1" t="s">
        <v>3891</v>
      </c>
      <c r="E2253" s="1" t="s">
        <v>1911</v>
      </c>
      <c r="F2253" s="1" t="s">
        <v>1334</v>
      </c>
      <c r="I2253" s="1" t="s">
        <v>4786</v>
      </c>
    </row>
    <row r="2254">
      <c r="B2254" s="1" t="s">
        <v>1485</v>
      </c>
      <c r="C2254" s="1" t="s">
        <v>2216</v>
      </c>
      <c r="D2254" s="1" t="s">
        <v>4965</v>
      </c>
      <c r="E2254" s="1" t="s">
        <v>6632</v>
      </c>
      <c r="F2254" s="1" t="s">
        <v>3709</v>
      </c>
      <c r="I2254" s="1" t="s">
        <v>3651</v>
      </c>
    </row>
    <row r="2255">
      <c r="B2255" s="1" t="s">
        <v>5443</v>
      </c>
      <c r="C2255" s="1" t="s">
        <v>552</v>
      </c>
      <c r="D2255" s="1" t="s">
        <v>1407</v>
      </c>
      <c r="E2255" s="1" t="s">
        <v>4725</v>
      </c>
      <c r="F2255" s="1" t="s">
        <v>3710</v>
      </c>
      <c r="I2255" s="1" t="s">
        <v>6691</v>
      </c>
    </row>
    <row r="2256">
      <c r="B2256" s="1" t="s">
        <v>4468</v>
      </c>
      <c r="C2256" s="1" t="s">
        <v>4065</v>
      </c>
      <c r="D2256" s="1" t="s">
        <v>1412</v>
      </c>
      <c r="E2256" s="1" t="s">
        <v>3085</v>
      </c>
      <c r="F2256" s="1" t="s">
        <v>262</v>
      </c>
      <c r="I2256" s="1" t="s">
        <v>6692</v>
      </c>
    </row>
    <row r="2257">
      <c r="B2257" s="1">
        <v>295.0</v>
      </c>
      <c r="C2257" s="1" t="s">
        <v>1312</v>
      </c>
      <c r="D2257" s="1" t="s">
        <v>922</v>
      </c>
      <c r="E2257" s="1" t="s">
        <v>3081</v>
      </c>
      <c r="F2257" s="1" t="s">
        <v>4820</v>
      </c>
      <c r="I2257" s="1" t="s">
        <v>3694</v>
      </c>
    </row>
    <row r="2258">
      <c r="B2258" s="1" t="s">
        <v>4927</v>
      </c>
      <c r="C2258" s="1" t="s">
        <v>2944</v>
      </c>
      <c r="D2258" s="1">
        <v>51.0</v>
      </c>
      <c r="E2258" s="1" t="s">
        <v>6693</v>
      </c>
      <c r="F2258" s="1" t="s">
        <v>3275</v>
      </c>
      <c r="I2258" s="1" t="s">
        <v>6694</v>
      </c>
    </row>
    <row r="2259">
      <c r="B2259" s="1">
        <v>1958.0</v>
      </c>
      <c r="C2259" s="1" t="s">
        <v>3288</v>
      </c>
      <c r="D2259" s="1" t="s">
        <v>3900</v>
      </c>
      <c r="E2259" s="1" t="s">
        <v>5106</v>
      </c>
      <c r="F2259" s="1" t="s">
        <v>2971</v>
      </c>
      <c r="I2259" s="1" t="s">
        <v>2550</v>
      </c>
    </row>
    <row r="2260">
      <c r="B2260" s="1" t="s">
        <v>504</v>
      </c>
      <c r="C2260" s="1" t="s">
        <v>5012</v>
      </c>
      <c r="D2260" s="1" t="s">
        <v>3903</v>
      </c>
      <c r="E2260" s="1" t="s">
        <v>6633</v>
      </c>
      <c r="F2260" s="1">
        <v>1899.0</v>
      </c>
      <c r="I2260" s="1" t="s">
        <v>3173</v>
      </c>
    </row>
    <row r="2261">
      <c r="B2261" s="1" t="s">
        <v>2651</v>
      </c>
      <c r="C2261" s="1" t="s">
        <v>1943</v>
      </c>
      <c r="D2261" s="1" t="s">
        <v>4972</v>
      </c>
      <c r="E2261" s="1" t="s">
        <v>876</v>
      </c>
      <c r="F2261" s="1" t="s">
        <v>6695</v>
      </c>
      <c r="I2261" s="1">
        <v>500.0</v>
      </c>
    </row>
    <row r="2262">
      <c r="B2262" s="1" t="s">
        <v>2655</v>
      </c>
      <c r="C2262" s="1" t="s">
        <v>3407</v>
      </c>
      <c r="D2262" s="1" t="s">
        <v>4940</v>
      </c>
      <c r="E2262" s="1" t="s">
        <v>6634</v>
      </c>
      <c r="F2262" s="1" t="s">
        <v>5477</v>
      </c>
      <c r="I2262" s="1" t="s">
        <v>3260</v>
      </c>
    </row>
    <row r="2263">
      <c r="B2263" s="1" t="s">
        <v>4476</v>
      </c>
      <c r="C2263" s="1" t="s">
        <v>4254</v>
      </c>
      <c r="D2263" s="1" t="s">
        <v>3906</v>
      </c>
      <c r="E2263" s="1" t="s">
        <v>3088</v>
      </c>
      <c r="F2263" s="1" t="s">
        <v>1346</v>
      </c>
      <c r="I2263" s="1" t="s">
        <v>5307</v>
      </c>
    </row>
    <row r="2264">
      <c r="B2264" s="1" t="s">
        <v>4475</v>
      </c>
      <c r="C2264" s="1" t="s">
        <v>737</v>
      </c>
      <c r="D2264" s="1" t="s">
        <v>5448</v>
      </c>
      <c r="E2264" s="1" t="s">
        <v>6635</v>
      </c>
      <c r="F2264" s="1" t="s">
        <v>3715</v>
      </c>
      <c r="I2264" s="1" t="s">
        <v>3701</v>
      </c>
    </row>
    <row r="2265">
      <c r="B2265" s="1" t="s">
        <v>2659</v>
      </c>
      <c r="C2265" s="1" t="s">
        <v>4092</v>
      </c>
      <c r="D2265" s="1" t="s">
        <v>2143</v>
      </c>
      <c r="E2265" s="1" t="s">
        <v>6636</v>
      </c>
      <c r="F2265" s="1" t="s">
        <v>5334</v>
      </c>
      <c r="I2265" s="1" t="s">
        <v>2885</v>
      </c>
    </row>
    <row r="2266">
      <c r="B2266" s="1" t="s">
        <v>2664</v>
      </c>
      <c r="C2266" s="1" t="s">
        <v>256</v>
      </c>
      <c r="D2266" s="1" t="s">
        <v>3261</v>
      </c>
      <c r="E2266" s="1" t="s">
        <v>4562</v>
      </c>
      <c r="F2266" s="1" t="s">
        <v>2057</v>
      </c>
      <c r="I2266" s="1" t="s">
        <v>6696</v>
      </c>
    </row>
    <row r="2267">
      <c r="B2267" s="1" t="s">
        <v>4808</v>
      </c>
      <c r="C2267" s="1" t="s">
        <v>5710</v>
      </c>
      <c r="D2267" s="1" t="s">
        <v>3032</v>
      </c>
      <c r="E2267" s="1" t="s">
        <v>2555</v>
      </c>
      <c r="F2267" s="1" t="s">
        <v>1356</v>
      </c>
      <c r="I2267" s="1" t="s">
        <v>4807</v>
      </c>
    </row>
    <row r="2268">
      <c r="B2268" s="1" t="s">
        <v>2669</v>
      </c>
      <c r="C2268" s="1" t="s">
        <v>718</v>
      </c>
      <c r="D2268" s="1" t="s">
        <v>1422</v>
      </c>
      <c r="E2268" s="1" t="s">
        <v>4564</v>
      </c>
      <c r="F2268" s="1" t="s">
        <v>4413</v>
      </c>
      <c r="I2268" s="1" t="s">
        <v>4073</v>
      </c>
    </row>
    <row r="2269">
      <c r="B2269" s="1" t="s">
        <v>1854</v>
      </c>
      <c r="C2269" s="1" t="s">
        <v>4345</v>
      </c>
      <c r="D2269" s="1" t="s">
        <v>1429</v>
      </c>
      <c r="E2269" s="1" t="s">
        <v>5265</v>
      </c>
      <c r="F2269" s="1" t="s">
        <v>3283</v>
      </c>
      <c r="I2269" s="1" t="s">
        <v>6688</v>
      </c>
    </row>
    <row r="2270">
      <c r="B2270" s="1" t="s">
        <v>2675</v>
      </c>
      <c r="C2270" s="1" t="s">
        <v>3050</v>
      </c>
      <c r="D2270" s="1" t="s">
        <v>1095</v>
      </c>
      <c r="E2270" s="1" t="s">
        <v>4565</v>
      </c>
      <c r="F2270" s="1" t="s">
        <v>3288</v>
      </c>
      <c r="I2270" s="1" t="s">
        <v>6697</v>
      </c>
    </row>
    <row r="2271">
      <c r="B2271" s="1" t="s">
        <v>5451</v>
      </c>
      <c r="C2271" s="1" t="s">
        <v>1270</v>
      </c>
      <c r="D2271" s="1" t="s">
        <v>2151</v>
      </c>
      <c r="E2271" s="1" t="s">
        <v>761</v>
      </c>
      <c r="F2271" s="1" t="s">
        <v>3722</v>
      </c>
      <c r="I2271" s="1" t="s">
        <v>5315</v>
      </c>
    </row>
    <row r="2272">
      <c r="B2272" s="1" t="s">
        <v>1735</v>
      </c>
      <c r="C2272" s="1" t="s">
        <v>6031</v>
      </c>
      <c r="D2272" s="1" t="s">
        <v>3076</v>
      </c>
      <c r="E2272" s="1">
        <v>24.0</v>
      </c>
      <c r="F2272" s="1" t="s">
        <v>4931</v>
      </c>
      <c r="I2272" s="1" t="s">
        <v>4812</v>
      </c>
    </row>
    <row r="2273">
      <c r="B2273" s="1" t="s">
        <v>5453</v>
      </c>
      <c r="C2273" s="1" t="s">
        <v>1936</v>
      </c>
      <c r="D2273" s="1" t="s">
        <v>1101</v>
      </c>
      <c r="E2273" s="1" t="s">
        <v>2135</v>
      </c>
      <c r="F2273" s="1" t="s">
        <v>6698</v>
      </c>
      <c r="I2273" s="1" t="s">
        <v>3272</v>
      </c>
    </row>
    <row r="2274">
      <c r="B2274" s="1" t="s">
        <v>4487</v>
      </c>
      <c r="C2274" s="1" t="s">
        <v>28</v>
      </c>
      <c r="D2274" s="1" t="s">
        <v>1435</v>
      </c>
      <c r="E2274" s="1" t="s">
        <v>5114</v>
      </c>
      <c r="F2274" s="1" t="s">
        <v>4836</v>
      </c>
      <c r="I2274" s="1" t="s">
        <v>1334</v>
      </c>
    </row>
    <row r="2275">
      <c r="B2275" s="1" t="s">
        <v>5455</v>
      </c>
      <c r="C2275" s="1" t="s">
        <v>369</v>
      </c>
      <c r="D2275" s="1" t="s">
        <v>134</v>
      </c>
      <c r="E2275" s="1" t="s">
        <v>4568</v>
      </c>
      <c r="F2275" s="1" t="s">
        <v>3918</v>
      </c>
      <c r="I2275" s="1" t="s">
        <v>3710</v>
      </c>
    </row>
    <row r="2276">
      <c r="B2276" s="1" t="s">
        <v>5104</v>
      </c>
      <c r="C2276" s="1" t="s">
        <v>820</v>
      </c>
      <c r="D2276" s="1" t="s">
        <v>1441</v>
      </c>
      <c r="E2276" s="1" t="s">
        <v>5228</v>
      </c>
      <c r="F2276" s="1" t="s">
        <v>3725</v>
      </c>
      <c r="I2276" s="1" t="s">
        <v>262</v>
      </c>
    </row>
    <row r="2277">
      <c r="B2277" s="1" t="s">
        <v>5457</v>
      </c>
      <c r="C2277" s="1" t="s">
        <v>5794</v>
      </c>
      <c r="D2277" s="1">
        <v>50.0</v>
      </c>
      <c r="E2277" s="1" t="s">
        <v>3465</v>
      </c>
      <c r="F2277" s="1" t="s">
        <v>3874</v>
      </c>
      <c r="I2277" s="1" t="s">
        <v>6699</v>
      </c>
    </row>
    <row r="2278">
      <c r="B2278" s="1" t="s">
        <v>5459</v>
      </c>
      <c r="C2278" s="1" t="s">
        <v>4654</v>
      </c>
      <c r="D2278" s="1" t="s">
        <v>3396</v>
      </c>
      <c r="E2278" s="1" t="s">
        <v>1716</v>
      </c>
      <c r="F2278" s="1" t="s">
        <v>1033</v>
      </c>
      <c r="I2278" s="1" t="s">
        <v>5314</v>
      </c>
    </row>
    <row r="2279">
      <c r="B2279" s="1" t="s">
        <v>5461</v>
      </c>
      <c r="C2279" s="1" t="s">
        <v>666</v>
      </c>
      <c r="D2279" s="1" t="s">
        <v>3919</v>
      </c>
      <c r="E2279" s="1" t="s">
        <v>5118</v>
      </c>
      <c r="F2279" s="1" t="s">
        <v>3727</v>
      </c>
      <c r="I2279" s="1" t="s">
        <v>2971</v>
      </c>
    </row>
    <row r="2280">
      <c r="B2280" s="1" t="s">
        <v>5462</v>
      </c>
      <c r="C2280" s="1" t="s">
        <v>3987</v>
      </c>
      <c r="D2280" s="1" t="s">
        <v>4907</v>
      </c>
      <c r="E2280" s="1" t="s">
        <v>3469</v>
      </c>
      <c r="F2280" s="1" t="s">
        <v>3700</v>
      </c>
      <c r="I2280" s="1" t="s">
        <v>2647</v>
      </c>
    </row>
    <row r="2281">
      <c r="B2281" s="1" t="s">
        <v>4492</v>
      </c>
      <c r="C2281" s="1" t="s">
        <v>1281</v>
      </c>
      <c r="D2281" s="1" t="s">
        <v>2154</v>
      </c>
      <c r="E2281" s="1" t="s">
        <v>5001</v>
      </c>
      <c r="F2281" s="1" t="s">
        <v>3295</v>
      </c>
      <c r="I2281" s="1">
        <v>1899.0</v>
      </c>
    </row>
    <row r="2282">
      <c r="B2282" s="1" t="s">
        <v>4286</v>
      </c>
      <c r="C2282" s="1" t="s">
        <v>5774</v>
      </c>
      <c r="D2282" s="1" t="s">
        <v>1106</v>
      </c>
      <c r="E2282" s="1" t="s">
        <v>4479</v>
      </c>
      <c r="F2282" s="1" t="s">
        <v>1499</v>
      </c>
      <c r="I2282" s="1" t="s">
        <v>5969</v>
      </c>
    </row>
    <row r="2283">
      <c r="B2283" s="1" t="s">
        <v>5463</v>
      </c>
      <c r="C2283" s="1" t="s">
        <v>5026</v>
      </c>
      <c r="D2283" s="1" t="s">
        <v>5465</v>
      </c>
      <c r="E2283" s="1" t="s">
        <v>3097</v>
      </c>
      <c r="F2283" s="1" t="s">
        <v>3735</v>
      </c>
      <c r="I2283" s="1" t="s">
        <v>6695</v>
      </c>
    </row>
    <row r="2284">
      <c r="B2284" s="1" t="s">
        <v>5466</v>
      </c>
      <c r="C2284" s="1" t="s">
        <v>1019</v>
      </c>
      <c r="D2284" s="1" t="s">
        <v>4989</v>
      </c>
      <c r="E2284" s="1" t="s">
        <v>1338</v>
      </c>
      <c r="F2284" s="1" t="s">
        <v>4840</v>
      </c>
      <c r="I2284" s="1" t="s">
        <v>2668</v>
      </c>
    </row>
    <row r="2285">
      <c r="B2285" s="1" t="s">
        <v>1387</v>
      </c>
      <c r="C2285" s="1" t="s">
        <v>31</v>
      </c>
      <c r="D2285" s="1" t="s">
        <v>2157</v>
      </c>
      <c r="E2285" s="1" t="s">
        <v>4578</v>
      </c>
      <c r="F2285" s="1" t="s">
        <v>5829</v>
      </c>
      <c r="I2285" s="1" t="s">
        <v>6700</v>
      </c>
    </row>
    <row r="2286">
      <c r="B2286" s="1" t="s">
        <v>1507</v>
      </c>
      <c r="C2286" s="1" t="s">
        <v>719</v>
      </c>
      <c r="D2286" s="1" t="s">
        <v>2161</v>
      </c>
      <c r="E2286" s="1" t="s">
        <v>5309</v>
      </c>
      <c r="F2286" s="1" t="s">
        <v>1040</v>
      </c>
      <c r="I2286" s="1" t="s">
        <v>4666</v>
      </c>
    </row>
    <row r="2287">
      <c r="B2287" s="1" t="s">
        <v>5469</v>
      </c>
      <c r="C2287" s="1" t="s">
        <v>2430</v>
      </c>
      <c r="D2287" s="1" t="s">
        <v>1113</v>
      </c>
      <c r="E2287" s="1" t="s">
        <v>4478</v>
      </c>
      <c r="F2287" s="1" t="s">
        <v>1047</v>
      </c>
      <c r="I2287" s="1" t="s">
        <v>4413</v>
      </c>
    </row>
    <row r="2288">
      <c r="B2288" s="1" t="s">
        <v>1514</v>
      </c>
      <c r="C2288" s="1" t="s">
        <v>74</v>
      </c>
      <c r="D2288" s="1" t="s">
        <v>2169</v>
      </c>
      <c r="E2288" s="1" t="s">
        <v>4581</v>
      </c>
      <c r="F2288" s="1" t="s">
        <v>1361</v>
      </c>
      <c r="I2288" s="1" t="s">
        <v>3217</v>
      </c>
    </row>
    <row r="2289">
      <c r="B2289" s="1" t="s">
        <v>4496</v>
      </c>
      <c r="C2289" s="1" t="s">
        <v>116</v>
      </c>
      <c r="D2289" s="1" t="s">
        <v>4715</v>
      </c>
      <c r="E2289" s="1" t="s">
        <v>6642</v>
      </c>
      <c r="F2289" s="1" t="s">
        <v>2067</v>
      </c>
      <c r="I2289" s="1" t="s">
        <v>4836</v>
      </c>
    </row>
    <row r="2290">
      <c r="B2290" s="1" t="s">
        <v>2686</v>
      </c>
      <c r="C2290" s="1" t="s">
        <v>5799</v>
      </c>
      <c r="D2290" s="1" t="s">
        <v>4998</v>
      </c>
      <c r="E2290" s="1" t="s">
        <v>2952</v>
      </c>
      <c r="F2290" s="1" t="s">
        <v>3750</v>
      </c>
      <c r="I2290" s="1" t="s">
        <v>3177</v>
      </c>
    </row>
    <row r="2291">
      <c r="B2291" s="1" t="s">
        <v>5472</v>
      </c>
      <c r="C2291" s="1" t="s">
        <v>5908</v>
      </c>
      <c r="D2291" s="1" t="s">
        <v>3935</v>
      </c>
      <c r="E2291" s="1" t="s">
        <v>4589</v>
      </c>
      <c r="F2291" s="1" t="s">
        <v>2071</v>
      </c>
      <c r="I2291" s="1" t="s">
        <v>3918</v>
      </c>
    </row>
    <row r="2292">
      <c r="B2292" s="1" t="s">
        <v>2690</v>
      </c>
      <c r="C2292" s="1" t="s">
        <v>4880</v>
      </c>
      <c r="D2292" s="9">
        <v>3.0</v>
      </c>
      <c r="E2292" s="1" t="s">
        <v>4583</v>
      </c>
      <c r="F2292" s="1" t="s">
        <v>1368</v>
      </c>
      <c r="I2292" s="1" t="s">
        <v>4275</v>
      </c>
    </row>
    <row r="2293">
      <c r="B2293" s="1" t="s">
        <v>2915</v>
      </c>
      <c r="C2293" s="1" t="s">
        <v>4189</v>
      </c>
      <c r="D2293" s="1" t="s">
        <v>3938</v>
      </c>
      <c r="E2293" s="1" t="s">
        <v>3502</v>
      </c>
      <c r="F2293" s="1" t="s">
        <v>2077</v>
      </c>
      <c r="I2293" s="1" t="s">
        <v>4103</v>
      </c>
    </row>
    <row r="2294">
      <c r="B2294" s="1" t="s">
        <v>4006</v>
      </c>
      <c r="C2294" s="1" t="s">
        <v>2739</v>
      </c>
      <c r="D2294" s="1" t="s">
        <v>3942</v>
      </c>
      <c r="E2294" s="1" t="s">
        <v>3505</v>
      </c>
      <c r="F2294" s="1" t="s">
        <v>1051</v>
      </c>
      <c r="I2294" s="1" t="s">
        <v>1499</v>
      </c>
    </row>
    <row r="2295">
      <c r="B2295" s="1" t="s">
        <v>5473</v>
      </c>
      <c r="C2295" s="1" t="s">
        <v>2483</v>
      </c>
      <c r="D2295" s="1" t="s">
        <v>5474</v>
      </c>
      <c r="E2295" s="1" t="s">
        <v>5136</v>
      </c>
      <c r="F2295" s="1" t="s">
        <v>1000</v>
      </c>
      <c r="I2295" s="1" t="s">
        <v>3301</v>
      </c>
    </row>
    <row r="2296">
      <c r="B2296" s="1" t="s">
        <v>2702</v>
      </c>
      <c r="C2296" s="1" t="s">
        <v>574</v>
      </c>
      <c r="D2296" s="1" t="s">
        <v>5287</v>
      </c>
      <c r="E2296" s="1" t="s">
        <v>5138</v>
      </c>
      <c r="F2296" s="1" t="s">
        <v>1381</v>
      </c>
      <c r="I2296" s="1" t="s">
        <v>4843</v>
      </c>
    </row>
    <row r="2297">
      <c r="B2297" s="1" t="s">
        <v>1521</v>
      </c>
      <c r="C2297" s="1" t="s">
        <v>1418</v>
      </c>
      <c r="D2297" s="1" t="s">
        <v>1122</v>
      </c>
      <c r="E2297" s="1" t="s">
        <v>3444</v>
      </c>
      <c r="F2297" s="1" t="s">
        <v>4859</v>
      </c>
      <c r="I2297" s="1" t="s">
        <v>3743</v>
      </c>
    </row>
    <row r="2298">
      <c r="B2298" s="1" t="s">
        <v>4511</v>
      </c>
      <c r="C2298" s="1" t="s">
        <v>5723</v>
      </c>
      <c r="D2298" s="1" t="s">
        <v>3946</v>
      </c>
      <c r="E2298" s="1" t="s">
        <v>4592</v>
      </c>
      <c r="F2298" s="1" t="s">
        <v>4860</v>
      </c>
      <c r="I2298" s="1" t="s">
        <v>5829</v>
      </c>
    </row>
    <row r="2299">
      <c r="B2299" s="1" t="s">
        <v>4513</v>
      </c>
      <c r="C2299" s="1" t="s">
        <v>4380</v>
      </c>
      <c r="D2299" s="1" t="s">
        <v>1128</v>
      </c>
      <c r="E2299" s="1" t="s">
        <v>6645</v>
      </c>
      <c r="F2299" s="1" t="s">
        <v>3759</v>
      </c>
      <c r="I2299" s="1" t="s">
        <v>1609</v>
      </c>
    </row>
    <row r="2300">
      <c r="B2300" s="1" t="s">
        <v>1534</v>
      </c>
      <c r="C2300" s="1" t="s">
        <v>930</v>
      </c>
      <c r="D2300" s="1" t="s">
        <v>3950</v>
      </c>
      <c r="E2300" s="1" t="s">
        <v>4536</v>
      </c>
      <c r="F2300" s="1" t="s">
        <v>3761</v>
      </c>
      <c r="I2300" s="1" t="s">
        <v>6701</v>
      </c>
    </row>
    <row r="2301">
      <c r="B2301" s="1" t="s">
        <v>5480</v>
      </c>
      <c r="C2301" s="1" t="s">
        <v>6036</v>
      </c>
      <c r="D2301" s="1" t="s">
        <v>4184</v>
      </c>
      <c r="E2301" s="1" t="s">
        <v>1683</v>
      </c>
      <c r="F2301" s="1" t="s">
        <v>5359</v>
      </c>
      <c r="I2301" s="1" t="s">
        <v>1368</v>
      </c>
    </row>
    <row r="2302">
      <c r="B2302" s="1" t="s">
        <v>4516</v>
      </c>
      <c r="C2302" s="1" t="s">
        <v>6037</v>
      </c>
      <c r="D2302" s="1" t="s">
        <v>3954</v>
      </c>
      <c r="E2302" s="1" t="s">
        <v>3879</v>
      </c>
      <c r="F2302" s="1" t="s">
        <v>6702</v>
      </c>
      <c r="I2302" s="1" t="s">
        <v>3161</v>
      </c>
    </row>
    <row r="2303">
      <c r="B2303" s="1" t="s">
        <v>4517</v>
      </c>
      <c r="C2303" s="1" t="s">
        <v>44</v>
      </c>
      <c r="D2303" s="1" t="s">
        <v>3957</v>
      </c>
      <c r="E2303" s="1" t="s">
        <v>1676</v>
      </c>
      <c r="F2303" s="1" t="s">
        <v>1757</v>
      </c>
      <c r="I2303" s="1" t="s">
        <v>3759</v>
      </c>
    </row>
    <row r="2304">
      <c r="B2304" s="1" t="s">
        <v>750</v>
      </c>
      <c r="C2304" s="1" t="s">
        <v>5640</v>
      </c>
      <c r="D2304" s="1" t="s">
        <v>3399</v>
      </c>
      <c r="E2304" s="1" t="s">
        <v>3154</v>
      </c>
      <c r="F2304" s="1" t="s">
        <v>2084</v>
      </c>
      <c r="I2304" s="1" t="s">
        <v>3761</v>
      </c>
    </row>
    <row r="2305">
      <c r="B2305" s="1" t="s">
        <v>2718</v>
      </c>
      <c r="C2305" s="1" t="s">
        <v>3633</v>
      </c>
      <c r="D2305" s="1" t="s">
        <v>3401</v>
      </c>
      <c r="E2305" s="1" t="s">
        <v>5668</v>
      </c>
      <c r="F2305" s="1" t="s">
        <v>2086</v>
      </c>
      <c r="I2305" s="1" t="s">
        <v>1867</v>
      </c>
    </row>
    <row r="2306">
      <c r="B2306" s="1" t="s">
        <v>2124</v>
      </c>
      <c r="C2306" s="1" t="s">
        <v>6009</v>
      </c>
      <c r="D2306" s="1" t="s">
        <v>3962</v>
      </c>
      <c r="E2306" s="1" t="s">
        <v>3041</v>
      </c>
      <c r="F2306" s="1" t="s">
        <v>3767</v>
      </c>
      <c r="I2306" s="1" t="s">
        <v>6703</v>
      </c>
    </row>
    <row r="2307">
      <c r="B2307" s="1" t="s">
        <v>1751</v>
      </c>
      <c r="C2307" s="1" t="s">
        <v>6039</v>
      </c>
      <c r="D2307" s="1" t="s">
        <v>2181</v>
      </c>
      <c r="E2307" s="1" t="s">
        <v>3104</v>
      </c>
      <c r="F2307" s="1" t="s">
        <v>2090</v>
      </c>
      <c r="I2307" s="1" t="s">
        <v>6702</v>
      </c>
    </row>
    <row r="2308">
      <c r="B2308" s="1" t="s">
        <v>2724</v>
      </c>
      <c r="C2308" s="1" t="s">
        <v>5681</v>
      </c>
      <c r="D2308" s="1" t="s">
        <v>5011</v>
      </c>
      <c r="E2308" s="1" t="s">
        <v>2400</v>
      </c>
      <c r="F2308" s="1" t="s">
        <v>4433</v>
      </c>
      <c r="I2308" s="1" t="s">
        <v>1757</v>
      </c>
    </row>
    <row r="2309">
      <c r="B2309" s="1" t="s">
        <v>5485</v>
      </c>
      <c r="C2309" s="1" t="s">
        <v>6040</v>
      </c>
      <c r="D2309" s="1" t="s">
        <v>3967</v>
      </c>
      <c r="E2309" s="1" t="s">
        <v>6637</v>
      </c>
      <c r="F2309" s="1" t="s">
        <v>5514</v>
      </c>
      <c r="I2309" s="1" t="s">
        <v>6704</v>
      </c>
    </row>
    <row r="2310">
      <c r="B2310" s="1" t="s">
        <v>5487</v>
      </c>
      <c r="C2310" s="1" t="s">
        <v>3054</v>
      </c>
      <c r="D2310" s="1" t="s">
        <v>1336</v>
      </c>
      <c r="E2310" s="1" t="s">
        <v>2286</v>
      </c>
      <c r="F2310" s="1" t="s">
        <v>2076</v>
      </c>
      <c r="I2310" s="1" t="s">
        <v>2609</v>
      </c>
    </row>
    <row r="2311">
      <c r="B2311" s="1" t="s">
        <v>4526</v>
      </c>
      <c r="C2311" s="1" t="s">
        <v>3683</v>
      </c>
      <c r="D2311" s="1" t="s">
        <v>3407</v>
      </c>
      <c r="E2311" s="1" t="s">
        <v>6646</v>
      </c>
      <c r="F2311" s="1" t="s">
        <v>1057</v>
      </c>
      <c r="I2311" s="1" t="s">
        <v>1782</v>
      </c>
    </row>
    <row r="2312">
      <c r="B2312" s="1" t="s">
        <v>4529</v>
      </c>
      <c r="C2312" s="1" t="s">
        <v>5241</v>
      </c>
      <c r="D2312" s="1" t="s">
        <v>3969</v>
      </c>
      <c r="E2312" s="1" t="s">
        <v>5294</v>
      </c>
      <c r="F2312" s="1" t="s">
        <v>1063</v>
      </c>
      <c r="I2312" s="1" t="s">
        <v>2076</v>
      </c>
    </row>
    <row r="2313">
      <c r="B2313" s="1" t="s">
        <v>2730</v>
      </c>
      <c r="C2313" s="1" t="s">
        <v>3614</v>
      </c>
      <c r="D2313" s="1" t="s">
        <v>3973</v>
      </c>
      <c r="E2313" s="1" t="s">
        <v>3108</v>
      </c>
      <c r="F2313" s="1" t="s">
        <v>1596</v>
      </c>
      <c r="I2313" s="1" t="s">
        <v>1596</v>
      </c>
    </row>
    <row r="2314">
      <c r="B2314" s="1" t="s">
        <v>5489</v>
      </c>
      <c r="C2314" s="1" t="s">
        <v>1185</v>
      </c>
      <c r="D2314" s="1" t="s">
        <v>4748</v>
      </c>
      <c r="E2314" s="1" t="s">
        <v>5149</v>
      </c>
      <c r="F2314" s="1" t="s">
        <v>5523</v>
      </c>
      <c r="I2314" s="1" t="s">
        <v>5523</v>
      </c>
    </row>
    <row r="2315">
      <c r="B2315" s="1" t="s">
        <v>5491</v>
      </c>
      <c r="C2315" s="1" t="s">
        <v>1594</v>
      </c>
      <c r="D2315" s="1" t="s">
        <v>3975</v>
      </c>
      <c r="E2315" s="1" t="s">
        <v>5013</v>
      </c>
      <c r="F2315" s="1" t="s">
        <v>4364</v>
      </c>
      <c r="I2315" s="1" t="s">
        <v>3310</v>
      </c>
    </row>
    <row r="2316">
      <c r="B2316" s="1" t="s">
        <v>1550</v>
      </c>
      <c r="C2316" s="1" t="s">
        <v>5845</v>
      </c>
      <c r="D2316" s="1" t="s">
        <v>2185</v>
      </c>
      <c r="E2316" s="1" t="s">
        <v>4567</v>
      </c>
      <c r="F2316" s="1" t="s">
        <v>3310</v>
      </c>
      <c r="I2316" s="1" t="s">
        <v>4364</v>
      </c>
    </row>
    <row r="2317">
      <c r="B2317" s="1" t="s">
        <v>4537</v>
      </c>
      <c r="C2317" s="1" t="s">
        <v>6046</v>
      </c>
      <c r="D2317" s="1" t="s">
        <v>3411</v>
      </c>
      <c r="E2317" s="1" t="s">
        <v>3519</v>
      </c>
      <c r="F2317" s="1" t="s">
        <v>6705</v>
      </c>
      <c r="I2317" s="1" t="s">
        <v>6705</v>
      </c>
    </row>
    <row r="2318">
      <c r="B2318" s="1" t="s">
        <v>5493</v>
      </c>
      <c r="C2318" s="1" t="s">
        <v>5396</v>
      </c>
      <c r="D2318" s="1" t="s">
        <v>3738</v>
      </c>
      <c r="E2318" s="1" t="s">
        <v>6638</v>
      </c>
      <c r="F2318" s="1" t="s">
        <v>4879</v>
      </c>
      <c r="I2318" s="1" t="s">
        <v>4879</v>
      </c>
    </row>
    <row r="2319">
      <c r="B2319" s="1" t="s">
        <v>4539</v>
      </c>
      <c r="C2319" s="1" t="s">
        <v>648</v>
      </c>
      <c r="D2319" s="1" t="s">
        <v>5026</v>
      </c>
      <c r="E2319" s="1" t="s">
        <v>6648</v>
      </c>
      <c r="F2319" s="1" t="s">
        <v>3316</v>
      </c>
      <c r="I2319" s="1" t="s">
        <v>3316</v>
      </c>
    </row>
    <row r="2320">
      <c r="B2320" s="1" t="s">
        <v>4540</v>
      </c>
      <c r="C2320" s="1" t="s">
        <v>1225</v>
      </c>
      <c r="D2320" s="1" t="s">
        <v>629</v>
      </c>
      <c r="E2320" s="1">
        <v>110.0</v>
      </c>
      <c r="F2320" s="1" t="s">
        <v>4882</v>
      </c>
      <c r="I2320" s="1" t="s">
        <v>4314</v>
      </c>
    </row>
    <row r="2321">
      <c r="B2321" s="1" t="s">
        <v>2739</v>
      </c>
      <c r="C2321" s="1" t="s">
        <v>734</v>
      </c>
      <c r="D2321" s="1" t="s">
        <v>1831</v>
      </c>
      <c r="E2321" s="1" t="s">
        <v>4609</v>
      </c>
      <c r="F2321" s="1" t="s">
        <v>2781</v>
      </c>
      <c r="I2321" s="1" t="s">
        <v>6706</v>
      </c>
    </row>
    <row r="2322">
      <c r="B2322" s="1" t="s">
        <v>4888</v>
      </c>
      <c r="C2322" s="1" t="s">
        <v>3563</v>
      </c>
      <c r="D2322" s="1" t="s">
        <v>2190</v>
      </c>
      <c r="E2322" s="1" t="s">
        <v>3648</v>
      </c>
      <c r="F2322" s="1" t="s">
        <v>2097</v>
      </c>
      <c r="I2322" s="1" t="s">
        <v>5527</v>
      </c>
    </row>
    <row r="2323">
      <c r="B2323" s="1" t="s">
        <v>5495</v>
      </c>
      <c r="C2323" s="1" t="s">
        <v>2617</v>
      </c>
      <c r="D2323" s="1" t="s">
        <v>336</v>
      </c>
      <c r="E2323" s="1" t="s">
        <v>6707</v>
      </c>
      <c r="F2323" s="1" t="s">
        <v>988</v>
      </c>
      <c r="I2323" s="1" t="s">
        <v>3788</v>
      </c>
    </row>
    <row r="2324">
      <c r="B2324" s="1" t="s">
        <v>5496</v>
      </c>
      <c r="C2324" s="1" t="s">
        <v>3380</v>
      </c>
      <c r="D2324" s="1" t="s">
        <v>2197</v>
      </c>
      <c r="E2324" s="1" t="s">
        <v>6640</v>
      </c>
      <c r="F2324" s="1" t="s">
        <v>4885</v>
      </c>
      <c r="I2324" s="1" t="s">
        <v>988</v>
      </c>
    </row>
    <row r="2325">
      <c r="B2325" s="1" t="s">
        <v>5498</v>
      </c>
      <c r="C2325" s="1" t="s">
        <v>882</v>
      </c>
      <c r="D2325" s="1" t="s">
        <v>2744</v>
      </c>
      <c r="E2325" s="1" t="s">
        <v>5153</v>
      </c>
      <c r="F2325" s="1" t="s">
        <v>3791</v>
      </c>
      <c r="I2325" s="1" t="s">
        <v>3695</v>
      </c>
    </row>
    <row r="2326">
      <c r="B2326" s="1" t="s">
        <v>3749</v>
      </c>
      <c r="C2326" s="1" t="s">
        <v>6048</v>
      </c>
      <c r="D2326" s="1" t="s">
        <v>1134</v>
      </c>
      <c r="E2326" s="1" t="s">
        <v>5155</v>
      </c>
      <c r="F2326" s="1" t="s">
        <v>5381</v>
      </c>
      <c r="I2326" s="1" t="s">
        <v>5381</v>
      </c>
    </row>
    <row r="2327">
      <c r="B2327" s="1" t="s">
        <v>5500</v>
      </c>
      <c r="C2327" s="1" t="s">
        <v>2551</v>
      </c>
      <c r="D2327" s="1" t="s">
        <v>1140</v>
      </c>
      <c r="E2327" s="1" t="s">
        <v>4623</v>
      </c>
      <c r="F2327" s="1" t="s">
        <v>2099</v>
      </c>
      <c r="I2327" s="1" t="s">
        <v>3609</v>
      </c>
    </row>
    <row r="2328">
      <c r="B2328" s="1" t="s">
        <v>4547</v>
      </c>
      <c r="C2328" s="1" t="s">
        <v>3795</v>
      </c>
      <c r="D2328" s="1" t="s">
        <v>3415</v>
      </c>
      <c r="E2328" s="1" t="s">
        <v>3424</v>
      </c>
      <c r="F2328" s="1" t="s">
        <v>3795</v>
      </c>
      <c r="I2328" s="1" t="s">
        <v>5535</v>
      </c>
    </row>
    <row r="2329">
      <c r="B2329" s="1" t="s">
        <v>5502</v>
      </c>
      <c r="C2329" s="1" t="s">
        <v>2092</v>
      </c>
      <c r="D2329" s="1" t="s">
        <v>5503</v>
      </c>
      <c r="E2329" s="1" t="s">
        <v>3539</v>
      </c>
      <c r="F2329" s="1" t="s">
        <v>3800</v>
      </c>
      <c r="I2329" s="1" t="s">
        <v>3322</v>
      </c>
    </row>
    <row r="2330">
      <c r="B2330" s="1" t="s">
        <v>5504</v>
      </c>
      <c r="C2330" s="1" t="s">
        <v>2865</v>
      </c>
      <c r="D2330" s="1" t="s">
        <v>2204</v>
      </c>
      <c r="E2330" s="1" t="s">
        <v>6649</v>
      </c>
      <c r="F2330" s="1" t="s">
        <v>4891</v>
      </c>
      <c r="I2330" s="1" t="s">
        <v>4896</v>
      </c>
    </row>
    <row r="2331">
      <c r="B2331" s="1" t="s">
        <v>5505</v>
      </c>
      <c r="C2331" s="1" t="s">
        <v>2385</v>
      </c>
      <c r="D2331" s="1" t="s">
        <v>5507</v>
      </c>
      <c r="E2331" s="1" t="s">
        <v>5554</v>
      </c>
      <c r="F2331" s="1" t="s">
        <v>4892</v>
      </c>
      <c r="I2331" s="1" t="s">
        <v>2360</v>
      </c>
    </row>
    <row r="2332">
      <c r="B2332" s="1" t="s">
        <v>5508</v>
      </c>
      <c r="C2332" s="1" t="s">
        <v>907</v>
      </c>
      <c r="D2332" s="1" t="s">
        <v>1481</v>
      </c>
      <c r="E2332" s="1" t="s">
        <v>1930</v>
      </c>
      <c r="F2332" s="1" t="s">
        <v>1069</v>
      </c>
      <c r="I2332" s="1" t="s">
        <v>954</v>
      </c>
    </row>
    <row r="2333">
      <c r="B2333" s="1" t="s">
        <v>5509</v>
      </c>
      <c r="C2333" s="1" t="s">
        <v>3197</v>
      </c>
      <c r="D2333" s="1" t="s">
        <v>1488</v>
      </c>
      <c r="E2333" s="1" t="s">
        <v>4628</v>
      </c>
      <c r="F2333" s="1" t="s">
        <v>4896</v>
      </c>
      <c r="I2333" s="1" t="s">
        <v>6708</v>
      </c>
    </row>
    <row r="2334">
      <c r="B2334" s="1" t="s">
        <v>4553</v>
      </c>
      <c r="C2334" s="1" t="s">
        <v>3386</v>
      </c>
      <c r="D2334" s="1" t="s">
        <v>5039</v>
      </c>
      <c r="E2334" s="1" t="s">
        <v>4069</v>
      </c>
      <c r="F2334" s="1" t="s">
        <v>3982</v>
      </c>
      <c r="I2334" s="1" t="s">
        <v>3845</v>
      </c>
    </row>
    <row r="2335">
      <c r="B2335" s="1" t="s">
        <v>2745</v>
      </c>
      <c r="C2335" s="1" t="s">
        <v>2321</v>
      </c>
      <c r="D2335" s="1" t="s">
        <v>1182</v>
      </c>
      <c r="E2335" s="1" t="s">
        <v>5163</v>
      </c>
      <c r="F2335" s="1" t="s">
        <v>2104</v>
      </c>
      <c r="I2335" s="1" t="s">
        <v>3982</v>
      </c>
    </row>
    <row r="2336">
      <c r="B2336" s="1" t="s">
        <v>5131</v>
      </c>
      <c r="C2336" s="1" t="s">
        <v>5495</v>
      </c>
      <c r="D2336" s="1" t="s">
        <v>2206</v>
      </c>
      <c r="E2336" s="1" t="s">
        <v>6643</v>
      </c>
      <c r="F2336" s="1" t="s">
        <v>904</v>
      </c>
      <c r="I2336" s="1" t="s">
        <v>6709</v>
      </c>
    </row>
    <row r="2337">
      <c r="B2337" s="1" t="s">
        <v>1475</v>
      </c>
      <c r="C2337" s="1" t="s">
        <v>3406</v>
      </c>
      <c r="D2337" s="1" t="s">
        <v>3999</v>
      </c>
      <c r="E2337" s="1" t="s">
        <v>4295</v>
      </c>
      <c r="F2337" s="1" t="s">
        <v>5828</v>
      </c>
      <c r="I2337" s="1" t="s">
        <v>5544</v>
      </c>
    </row>
    <row r="2338">
      <c r="B2338" s="1" t="s">
        <v>2746</v>
      </c>
      <c r="C2338" s="1" t="s">
        <v>178</v>
      </c>
      <c r="D2338" s="1" t="s">
        <v>3416</v>
      </c>
      <c r="E2338" s="1" t="s">
        <v>6644</v>
      </c>
      <c r="F2338" s="1" t="s">
        <v>2105</v>
      </c>
      <c r="I2338" s="1" t="s">
        <v>904</v>
      </c>
    </row>
    <row r="2339">
      <c r="B2339" s="1" t="s">
        <v>5189</v>
      </c>
      <c r="C2339" s="1" t="s">
        <v>5321</v>
      </c>
      <c r="D2339" s="1" t="s">
        <v>5051</v>
      </c>
      <c r="E2339" s="1" t="s">
        <v>4473</v>
      </c>
      <c r="F2339" s="1" t="s">
        <v>3330</v>
      </c>
      <c r="I2339" s="1" t="s">
        <v>5828</v>
      </c>
    </row>
    <row r="2340">
      <c r="B2340" s="1" t="s">
        <v>4556</v>
      </c>
      <c r="C2340" s="1" t="s">
        <v>6054</v>
      </c>
      <c r="D2340" s="1" t="s">
        <v>5512</v>
      </c>
      <c r="E2340" s="1" t="s">
        <v>3123</v>
      </c>
      <c r="F2340" s="1" t="s">
        <v>4373</v>
      </c>
      <c r="I2340" s="1" t="s">
        <v>3330</v>
      </c>
    </row>
    <row r="2341">
      <c r="B2341" s="1" t="s">
        <v>2750</v>
      </c>
      <c r="C2341" s="1" t="s">
        <v>612</v>
      </c>
      <c r="D2341" s="1" t="s">
        <v>4003</v>
      </c>
      <c r="E2341" s="1" t="s">
        <v>6651</v>
      </c>
      <c r="F2341" s="1" t="s">
        <v>3812</v>
      </c>
      <c r="I2341" s="1" t="s">
        <v>3812</v>
      </c>
    </row>
    <row r="2342">
      <c r="B2342" s="1" t="s">
        <v>2748</v>
      </c>
      <c r="C2342" s="1" t="s">
        <v>940</v>
      </c>
      <c r="D2342" s="1" t="s">
        <v>2208</v>
      </c>
      <c r="E2342" s="1" t="s">
        <v>3125</v>
      </c>
      <c r="F2342" s="1" t="s">
        <v>5318</v>
      </c>
      <c r="I2342" s="1" t="s">
        <v>3337</v>
      </c>
    </row>
    <row r="2343">
      <c r="B2343" s="1" t="s">
        <v>4560</v>
      </c>
      <c r="C2343" s="1" t="s">
        <v>122</v>
      </c>
      <c r="D2343" s="1" t="s">
        <v>4007</v>
      </c>
      <c r="E2343" s="1" t="s">
        <v>1208</v>
      </c>
      <c r="F2343" s="1" t="s">
        <v>3337</v>
      </c>
      <c r="I2343" s="1" t="s">
        <v>5398</v>
      </c>
    </row>
    <row r="2344">
      <c r="B2344" s="1" t="s">
        <v>1556</v>
      </c>
      <c r="C2344" s="1" t="s">
        <v>293</v>
      </c>
      <c r="D2344" s="1" t="s">
        <v>4010</v>
      </c>
      <c r="E2344" s="1" t="s">
        <v>3851</v>
      </c>
      <c r="F2344" s="1" t="s">
        <v>2109</v>
      </c>
      <c r="I2344" s="1" t="s">
        <v>5401</v>
      </c>
    </row>
    <row r="2345">
      <c r="B2345" s="1" t="s">
        <v>5513</v>
      </c>
      <c r="C2345" s="1" t="s">
        <v>2097</v>
      </c>
      <c r="D2345" s="1" t="s">
        <v>4013</v>
      </c>
      <c r="E2345" s="1" t="s">
        <v>5330</v>
      </c>
      <c r="F2345" s="1" t="s">
        <v>5398</v>
      </c>
      <c r="I2345" s="1" t="s">
        <v>6710</v>
      </c>
    </row>
    <row r="2346">
      <c r="B2346" s="1" t="s">
        <v>2758</v>
      </c>
      <c r="C2346" s="1" t="s">
        <v>4475</v>
      </c>
      <c r="D2346" s="1" t="s">
        <v>1318</v>
      </c>
      <c r="E2346" s="1" t="s">
        <v>5335</v>
      </c>
      <c r="F2346" s="1" t="s">
        <v>5401</v>
      </c>
      <c r="I2346" s="1" t="s">
        <v>3820</v>
      </c>
    </row>
    <row r="2347">
      <c r="B2347" s="1" t="s">
        <v>2763</v>
      </c>
      <c r="C2347" s="1" t="s">
        <v>1326</v>
      </c>
      <c r="D2347" s="1" t="s">
        <v>2797</v>
      </c>
      <c r="E2347" s="1" t="s">
        <v>6654</v>
      </c>
      <c r="F2347" s="1" t="s">
        <v>3817</v>
      </c>
      <c r="I2347" s="1" t="s">
        <v>6711</v>
      </c>
    </row>
    <row r="2348">
      <c r="B2348" s="1" t="s">
        <v>4566</v>
      </c>
      <c r="C2348" s="1" t="s">
        <v>4928</v>
      </c>
      <c r="D2348" s="1" t="s">
        <v>5516</v>
      </c>
      <c r="E2348" s="1" t="s">
        <v>5172</v>
      </c>
      <c r="F2348" s="1" t="s">
        <v>4908</v>
      </c>
      <c r="I2348" s="1" t="s">
        <v>3828</v>
      </c>
    </row>
    <row r="2349">
      <c r="B2349" s="1" t="s">
        <v>5517</v>
      </c>
      <c r="C2349" s="1" t="s">
        <v>237</v>
      </c>
      <c r="D2349" s="1" t="s">
        <v>2210</v>
      </c>
      <c r="E2349" s="1" t="s">
        <v>3555</v>
      </c>
      <c r="F2349" s="1" t="s">
        <v>3823</v>
      </c>
      <c r="I2349" s="1" t="s">
        <v>5327</v>
      </c>
    </row>
    <row r="2350">
      <c r="B2350" s="1" t="s">
        <v>1884</v>
      </c>
      <c r="C2350" s="1" t="s">
        <v>4356</v>
      </c>
      <c r="D2350" s="1" t="s">
        <v>4017</v>
      </c>
      <c r="E2350" s="1" t="s">
        <v>6655</v>
      </c>
      <c r="F2350" s="1" t="s">
        <v>3825</v>
      </c>
      <c r="I2350" s="1" t="s">
        <v>3831</v>
      </c>
    </row>
    <row r="2351">
      <c r="B2351" s="1" t="s">
        <v>1286</v>
      </c>
      <c r="C2351" s="1" t="s">
        <v>981</v>
      </c>
      <c r="D2351" s="1" t="s">
        <v>5521</v>
      </c>
      <c r="E2351" s="1" t="s">
        <v>1062</v>
      </c>
      <c r="F2351" s="1" t="s">
        <v>2113</v>
      </c>
      <c r="I2351" s="1" t="s">
        <v>3835</v>
      </c>
    </row>
    <row r="2352">
      <c r="B2352" s="1" t="s">
        <v>5522</v>
      </c>
      <c r="C2352" s="1" t="s">
        <v>1460</v>
      </c>
      <c r="D2352" s="1" t="s">
        <v>4021</v>
      </c>
      <c r="E2352" s="1" t="s">
        <v>6656</v>
      </c>
      <c r="F2352" s="1" t="s">
        <v>5327</v>
      </c>
      <c r="I2352" s="1" t="s">
        <v>6712</v>
      </c>
    </row>
    <row r="2353">
      <c r="B2353" s="1" t="s">
        <v>1760</v>
      </c>
      <c r="C2353" s="1" t="s">
        <v>1285</v>
      </c>
      <c r="D2353" s="1" t="s">
        <v>5061</v>
      </c>
      <c r="E2353" s="1" t="s">
        <v>3841</v>
      </c>
      <c r="F2353" s="1" t="s">
        <v>126</v>
      </c>
      <c r="I2353" s="1" t="s">
        <v>5407</v>
      </c>
    </row>
    <row r="2354">
      <c r="B2354" s="1" t="s">
        <v>2768</v>
      </c>
      <c r="C2354" s="1" t="s">
        <v>1646</v>
      </c>
      <c r="D2354" s="1" t="s">
        <v>4025</v>
      </c>
      <c r="E2354" s="1" t="s">
        <v>5789</v>
      </c>
      <c r="F2354" s="1" t="s">
        <v>6712</v>
      </c>
      <c r="I2354" s="1" t="s">
        <v>5078</v>
      </c>
    </row>
    <row r="2355">
      <c r="B2355" s="1" t="s">
        <v>1401</v>
      </c>
      <c r="C2355" s="1" t="s">
        <v>4863</v>
      </c>
      <c r="D2355" s="1" t="s">
        <v>5024</v>
      </c>
      <c r="E2355" s="1" t="s">
        <v>4340</v>
      </c>
      <c r="F2355" s="1" t="s">
        <v>2117</v>
      </c>
      <c r="I2355" s="1" t="s">
        <v>6713</v>
      </c>
    </row>
    <row r="2356">
      <c r="B2356" s="1" t="s">
        <v>2780</v>
      </c>
      <c r="C2356" s="1" t="s">
        <v>656</v>
      </c>
      <c r="D2356" s="1" t="s">
        <v>1147</v>
      </c>
      <c r="E2356" s="1" t="s">
        <v>3815</v>
      </c>
      <c r="F2356" s="1" t="s">
        <v>3587</v>
      </c>
      <c r="I2356" s="1" t="s">
        <v>3348</v>
      </c>
    </row>
    <row r="2357">
      <c r="B2357" s="1" t="s">
        <v>5525</v>
      </c>
      <c r="C2357" s="1" t="s">
        <v>1639</v>
      </c>
      <c r="D2357" s="1" t="s">
        <v>1152</v>
      </c>
      <c r="E2357" s="1" t="s">
        <v>2450</v>
      </c>
      <c r="F2357" s="1" t="s">
        <v>1934</v>
      </c>
      <c r="I2357" s="1" t="s">
        <v>6714</v>
      </c>
    </row>
    <row r="2358">
      <c r="B2358" s="1" t="s">
        <v>3769</v>
      </c>
      <c r="C2358" s="1" t="s">
        <v>6056</v>
      </c>
      <c r="D2358" s="1" t="s">
        <v>3425</v>
      </c>
      <c r="E2358" s="1" t="s">
        <v>6657</v>
      </c>
      <c r="F2358" s="1" t="s">
        <v>6713</v>
      </c>
      <c r="I2358" s="1" t="s">
        <v>6715</v>
      </c>
    </row>
    <row r="2359">
      <c r="B2359" s="1" t="s">
        <v>4804</v>
      </c>
      <c r="C2359" s="1" t="s">
        <v>3264</v>
      </c>
      <c r="D2359" s="1" t="s">
        <v>1496</v>
      </c>
      <c r="E2359" s="1" t="s">
        <v>6658</v>
      </c>
      <c r="F2359" s="1" t="s">
        <v>2121</v>
      </c>
      <c r="I2359" s="1" t="s">
        <v>3554</v>
      </c>
    </row>
    <row r="2360">
      <c r="B2360" s="1" t="s">
        <v>1566</v>
      </c>
      <c r="C2360" s="1" t="s">
        <v>4562</v>
      </c>
      <c r="D2360" s="1" t="s">
        <v>5528</v>
      </c>
      <c r="E2360" s="1" t="s">
        <v>3566</v>
      </c>
      <c r="F2360" s="1" t="s">
        <v>6714</v>
      </c>
      <c r="I2360" s="1" t="s">
        <v>4678</v>
      </c>
    </row>
    <row r="2361">
      <c r="B2361" s="1" t="s">
        <v>4574</v>
      </c>
      <c r="C2361" s="1" t="s">
        <v>3047</v>
      </c>
      <c r="D2361" s="1" t="s">
        <v>5530</v>
      </c>
      <c r="E2361" s="1" t="s">
        <v>3564</v>
      </c>
      <c r="F2361" s="1" t="s">
        <v>3846</v>
      </c>
      <c r="I2361" s="1" t="s">
        <v>1719</v>
      </c>
    </row>
    <row r="2362">
      <c r="B2362" s="1" t="s">
        <v>1572</v>
      </c>
      <c r="C2362" s="1" t="s">
        <v>106</v>
      </c>
      <c r="D2362" s="1" t="s">
        <v>4030</v>
      </c>
      <c r="E2362" s="1" t="s">
        <v>5033</v>
      </c>
      <c r="F2362" s="1" t="s">
        <v>1386</v>
      </c>
      <c r="I2362" s="1" t="s">
        <v>4929</v>
      </c>
    </row>
    <row r="2363">
      <c r="B2363" s="1" t="s">
        <v>3688</v>
      </c>
      <c r="C2363" s="1" t="s">
        <v>1272</v>
      </c>
      <c r="D2363" s="1" t="s">
        <v>5070</v>
      </c>
      <c r="E2363" s="1" t="s">
        <v>3143</v>
      </c>
      <c r="F2363" s="1" t="s">
        <v>484</v>
      </c>
      <c r="I2363" s="1" t="s">
        <v>5417</v>
      </c>
    </row>
    <row r="2364">
      <c r="B2364" s="1">
        <v>1952.0</v>
      </c>
      <c r="C2364" s="1" t="s">
        <v>599</v>
      </c>
      <c r="D2364" s="1" t="s">
        <v>5313</v>
      </c>
      <c r="E2364" s="1" t="s">
        <v>3147</v>
      </c>
      <c r="F2364" s="1" t="s">
        <v>1392</v>
      </c>
      <c r="I2364" s="1" t="s">
        <v>3365</v>
      </c>
    </row>
    <row r="2365">
      <c r="B2365" s="1" t="s">
        <v>5531</v>
      </c>
      <c r="C2365" s="1" t="s">
        <v>1742</v>
      </c>
      <c r="D2365" s="1" t="s">
        <v>4032</v>
      </c>
      <c r="E2365" s="1" t="s">
        <v>3149</v>
      </c>
      <c r="F2365" s="1" t="s">
        <v>3852</v>
      </c>
      <c r="I2365" s="1" t="s">
        <v>6716</v>
      </c>
    </row>
    <row r="2366">
      <c r="B2366" s="1" t="s">
        <v>4579</v>
      </c>
      <c r="C2366" s="1" t="s">
        <v>5780</v>
      </c>
      <c r="D2366" s="1" t="s">
        <v>1510</v>
      </c>
      <c r="E2366" s="1" t="s">
        <v>4528</v>
      </c>
      <c r="F2366" s="1" t="s">
        <v>4929</v>
      </c>
      <c r="I2366" s="1" t="s">
        <v>5059</v>
      </c>
    </row>
    <row r="2367">
      <c r="B2367" s="1" t="s">
        <v>5533</v>
      </c>
      <c r="C2367" s="1" t="s">
        <v>4511</v>
      </c>
      <c r="D2367" s="1" t="s">
        <v>1158</v>
      </c>
      <c r="E2367" s="1" t="s">
        <v>4656</v>
      </c>
      <c r="F2367" s="1" t="s">
        <v>1399</v>
      </c>
      <c r="I2367" s="1" t="s">
        <v>5271</v>
      </c>
    </row>
    <row r="2368">
      <c r="B2368" s="1" t="s">
        <v>2786</v>
      </c>
      <c r="C2368" s="1" t="s">
        <v>2486</v>
      </c>
      <c r="D2368" s="1" t="s">
        <v>4034</v>
      </c>
      <c r="E2368" s="1" t="s">
        <v>5066</v>
      </c>
      <c r="F2368" s="1" t="s">
        <v>5419</v>
      </c>
      <c r="I2368" s="1" t="s">
        <v>3592</v>
      </c>
    </row>
    <row r="2369">
      <c r="B2369" s="1" t="s">
        <v>5536</v>
      </c>
      <c r="C2369" s="1" t="s">
        <v>6058</v>
      </c>
      <c r="D2369" s="1" t="s">
        <v>4037</v>
      </c>
      <c r="E2369" s="1" t="s">
        <v>2663</v>
      </c>
      <c r="F2369" s="1" t="s">
        <v>3365</v>
      </c>
      <c r="I2369" s="1" t="s">
        <v>3369</v>
      </c>
    </row>
    <row r="2370">
      <c r="B2370" s="1" t="s">
        <v>2790</v>
      </c>
      <c r="C2370" s="1" t="s">
        <v>4123</v>
      </c>
      <c r="D2370" s="1" t="s">
        <v>3433</v>
      </c>
      <c r="E2370" s="1" t="s">
        <v>3153</v>
      </c>
      <c r="F2370" s="1" t="s">
        <v>6717</v>
      </c>
      <c r="I2370" s="1" t="s">
        <v>6718</v>
      </c>
    </row>
    <row r="2371">
      <c r="B2371" s="1" t="s">
        <v>5538</v>
      </c>
      <c r="C2371" s="1" t="s">
        <v>1884</v>
      </c>
      <c r="D2371" s="1" t="s">
        <v>5082</v>
      </c>
      <c r="E2371" s="1" t="s">
        <v>6661</v>
      </c>
      <c r="F2371" s="1" t="s">
        <v>1080</v>
      </c>
      <c r="I2371" s="1" t="s">
        <v>6719</v>
      </c>
    </row>
    <row r="2372">
      <c r="B2372" s="1" t="s">
        <v>4585</v>
      </c>
      <c r="C2372" s="1" t="s">
        <v>3163</v>
      </c>
      <c r="D2372" s="1" t="s">
        <v>5083</v>
      </c>
      <c r="E2372" s="1" t="s">
        <v>1236</v>
      </c>
      <c r="F2372" s="1" t="s">
        <v>5422</v>
      </c>
      <c r="I2372" s="1" t="s">
        <v>6717</v>
      </c>
    </row>
    <row r="2373">
      <c r="B2373" s="1" t="s">
        <v>974</v>
      </c>
      <c r="C2373" s="1" t="s">
        <v>1500</v>
      </c>
      <c r="D2373" s="1" t="s">
        <v>4042</v>
      </c>
      <c r="E2373" s="1" t="s">
        <v>2396</v>
      </c>
      <c r="F2373" s="1" t="s">
        <v>3389</v>
      </c>
      <c r="I2373" s="1" t="s">
        <v>6720</v>
      </c>
    </row>
    <row r="2374">
      <c r="B2374" s="1" t="s">
        <v>5541</v>
      </c>
      <c r="C2374" s="1" t="s">
        <v>3344</v>
      </c>
      <c r="D2374" s="1" t="s">
        <v>1180</v>
      </c>
      <c r="E2374" s="1" t="s">
        <v>4133</v>
      </c>
      <c r="F2374" s="1" t="s">
        <v>3445</v>
      </c>
      <c r="I2374" s="1" t="s">
        <v>3389</v>
      </c>
    </row>
    <row r="2375">
      <c r="B2375" s="1" t="s">
        <v>2794</v>
      </c>
      <c r="C2375" s="1" t="s">
        <v>6060</v>
      </c>
      <c r="D2375" s="1" t="s">
        <v>4047</v>
      </c>
      <c r="E2375" s="1" t="s">
        <v>106</v>
      </c>
      <c r="F2375" s="1" t="s">
        <v>3863</v>
      </c>
      <c r="I2375" s="1" t="s">
        <v>3445</v>
      </c>
    </row>
    <row r="2376">
      <c r="B2376" s="1" t="s">
        <v>5542</v>
      </c>
      <c r="C2376" s="1" t="s">
        <v>4561</v>
      </c>
      <c r="D2376" s="1" t="s">
        <v>5543</v>
      </c>
      <c r="E2376" s="1" t="s">
        <v>5200</v>
      </c>
      <c r="F2376" s="1" t="s">
        <v>6721</v>
      </c>
      <c r="I2376" s="1" t="s">
        <v>6722</v>
      </c>
    </row>
    <row r="2377">
      <c r="B2377" s="1" t="s">
        <v>1578</v>
      </c>
      <c r="C2377" s="1" t="s">
        <v>2467</v>
      </c>
      <c r="D2377" s="1" t="s">
        <v>4048</v>
      </c>
      <c r="E2377" s="1" t="s">
        <v>5203</v>
      </c>
      <c r="F2377" s="1" t="s">
        <v>4936</v>
      </c>
      <c r="I2377" s="1" t="s">
        <v>6723</v>
      </c>
    </row>
    <row r="2378">
      <c r="B2378" s="1" t="s">
        <v>5546</v>
      </c>
      <c r="C2378" s="1" t="s">
        <v>4868</v>
      </c>
      <c r="D2378" s="1">
        <v>83.0</v>
      </c>
      <c r="E2378" s="1" t="s">
        <v>6664</v>
      </c>
      <c r="F2378" s="1" t="s">
        <v>3864</v>
      </c>
      <c r="I2378" s="1" t="s">
        <v>6724</v>
      </c>
    </row>
    <row r="2379">
      <c r="B2379" s="1" t="s">
        <v>3776</v>
      </c>
      <c r="C2379" s="1" t="s">
        <v>1643</v>
      </c>
      <c r="D2379" s="1" t="s">
        <v>1163</v>
      </c>
      <c r="E2379" s="1" t="s">
        <v>2031</v>
      </c>
      <c r="F2379" s="1" t="s">
        <v>3866</v>
      </c>
      <c r="I2379" s="1" t="s">
        <v>5424</v>
      </c>
    </row>
    <row r="2380">
      <c r="B2380" s="1" t="s">
        <v>2800</v>
      </c>
      <c r="C2380" s="1" t="s">
        <v>4696</v>
      </c>
      <c r="D2380" s="1" t="s">
        <v>3437</v>
      </c>
      <c r="E2380" s="1" t="s">
        <v>3172</v>
      </c>
      <c r="F2380" s="1" t="s">
        <v>3868</v>
      </c>
      <c r="I2380" s="1" t="s">
        <v>6721</v>
      </c>
    </row>
    <row r="2381">
      <c r="B2381" s="1" t="s">
        <v>5548</v>
      </c>
      <c r="C2381" s="1">
        <v>1937.0</v>
      </c>
      <c r="D2381" s="1" t="s">
        <v>4050</v>
      </c>
      <c r="E2381" s="1" t="s">
        <v>5211</v>
      </c>
      <c r="F2381" s="1" t="s">
        <v>4080</v>
      </c>
      <c r="I2381" s="1" t="s">
        <v>6725</v>
      </c>
    </row>
    <row r="2382">
      <c r="B2382" s="1" t="s">
        <v>1583</v>
      </c>
      <c r="C2382" s="1" t="s">
        <v>6064</v>
      </c>
      <c r="D2382" s="1" t="s">
        <v>78</v>
      </c>
      <c r="E2382" s="1" t="s">
        <v>2883</v>
      </c>
      <c r="F2382" s="1" t="s">
        <v>5579</v>
      </c>
      <c r="I2382" s="1" t="s">
        <v>3868</v>
      </c>
    </row>
    <row r="2383">
      <c r="B2383" s="1" t="s">
        <v>5549</v>
      </c>
      <c r="C2383" s="1" t="s">
        <v>5485</v>
      </c>
      <c r="D2383" s="1" t="s">
        <v>2232</v>
      </c>
      <c r="E2383" s="1" t="s">
        <v>6653</v>
      </c>
      <c r="F2383" s="1" t="s">
        <v>3870</v>
      </c>
      <c r="I2383" s="1" t="s">
        <v>4939</v>
      </c>
    </row>
    <row r="2384">
      <c r="B2384" s="1" t="s">
        <v>5550</v>
      </c>
      <c r="C2384" s="1" t="s">
        <v>5881</v>
      </c>
      <c r="D2384" s="1" t="s">
        <v>5552</v>
      </c>
      <c r="E2384" s="1" t="s">
        <v>4672</v>
      </c>
      <c r="F2384" s="1" t="s">
        <v>2133</v>
      </c>
      <c r="I2384" s="1" t="s">
        <v>4080</v>
      </c>
    </row>
    <row r="2385">
      <c r="B2385" s="1" t="s">
        <v>5553</v>
      </c>
      <c r="C2385" s="1" t="s">
        <v>1696</v>
      </c>
      <c r="D2385" s="1" t="s">
        <v>97</v>
      </c>
      <c r="E2385" s="1" t="s">
        <v>5213</v>
      </c>
      <c r="F2385" s="1" t="s">
        <v>2136</v>
      </c>
      <c r="I2385" s="1" t="s">
        <v>3870</v>
      </c>
    </row>
    <row r="2386">
      <c r="B2386" s="1" t="s">
        <v>2806</v>
      </c>
      <c r="C2386" s="1" t="s">
        <v>1986</v>
      </c>
      <c r="D2386" s="1" t="s">
        <v>5040</v>
      </c>
      <c r="E2386" s="1" t="s">
        <v>5215</v>
      </c>
      <c r="F2386" s="1" t="s">
        <v>3875</v>
      </c>
      <c r="I2386" s="1" t="s">
        <v>6726</v>
      </c>
    </row>
    <row r="2387">
      <c r="B2387" s="1">
        <v>146.0</v>
      </c>
      <c r="C2387" s="1" t="s">
        <v>6066</v>
      </c>
      <c r="D2387" s="1" t="s">
        <v>4102</v>
      </c>
      <c r="E2387" s="1" t="s">
        <v>5362</v>
      </c>
      <c r="F2387" s="1" t="s">
        <v>1087</v>
      </c>
      <c r="I2387" s="1" t="s">
        <v>2133</v>
      </c>
    </row>
    <row r="2388">
      <c r="B2388" s="1" t="s">
        <v>4718</v>
      </c>
      <c r="C2388" s="1" t="s">
        <v>5740</v>
      </c>
      <c r="D2388" s="1" t="s">
        <v>3443</v>
      </c>
      <c r="E2388" s="1" t="s">
        <v>3175</v>
      </c>
      <c r="F2388" s="1" t="s">
        <v>2141</v>
      </c>
      <c r="I2388" s="1" t="s">
        <v>4944</v>
      </c>
    </row>
    <row r="2389">
      <c r="B2389" s="1" t="s">
        <v>5555</v>
      </c>
      <c r="C2389" s="1" t="s">
        <v>3209</v>
      </c>
      <c r="D2389" s="1" t="s">
        <v>1656</v>
      </c>
      <c r="E2389" s="1" t="s">
        <v>6727</v>
      </c>
      <c r="F2389" s="1" t="s">
        <v>6728</v>
      </c>
      <c r="I2389" s="1" t="s">
        <v>3875</v>
      </c>
    </row>
    <row r="2390">
      <c r="B2390" s="1" t="s">
        <v>1965</v>
      </c>
      <c r="C2390" s="1" t="s">
        <v>279</v>
      </c>
      <c r="D2390" s="1" t="s">
        <v>5557</v>
      </c>
      <c r="E2390" s="1" t="s">
        <v>4682</v>
      </c>
      <c r="F2390" s="1" t="s">
        <v>5435</v>
      </c>
      <c r="I2390" s="1" t="s">
        <v>5588</v>
      </c>
    </row>
    <row r="2391">
      <c r="B2391" s="1" t="s">
        <v>2810</v>
      </c>
      <c r="C2391" s="1" t="s">
        <v>1033</v>
      </c>
      <c r="D2391" s="1" t="s">
        <v>4984</v>
      </c>
      <c r="E2391" s="1" t="s">
        <v>2020</v>
      </c>
      <c r="F2391" s="1" t="s">
        <v>3763</v>
      </c>
      <c r="I2391" s="1">
        <v>11.0</v>
      </c>
    </row>
    <row r="2392">
      <c r="B2392" s="1" t="s">
        <v>2815</v>
      </c>
      <c r="C2392" s="1" t="s">
        <v>855</v>
      </c>
      <c r="D2392" s="1" t="s">
        <v>4460</v>
      </c>
      <c r="E2392" s="1" t="s">
        <v>5225</v>
      </c>
      <c r="F2392" s="1">
        <v>11.0</v>
      </c>
      <c r="I2392" s="1" t="s">
        <v>3763</v>
      </c>
    </row>
    <row r="2393">
      <c r="B2393" s="1" t="s">
        <v>4600</v>
      </c>
      <c r="C2393" s="1" t="s">
        <v>165</v>
      </c>
      <c r="D2393" s="1" t="s">
        <v>3450</v>
      </c>
      <c r="E2393" s="1" t="s">
        <v>2900</v>
      </c>
      <c r="F2393" s="1" t="s">
        <v>6729</v>
      </c>
      <c r="I2393" s="1" t="s">
        <v>3799</v>
      </c>
    </row>
    <row r="2394">
      <c r="B2394" s="1" t="s">
        <v>1587</v>
      </c>
      <c r="C2394" s="1" t="s">
        <v>5673</v>
      </c>
      <c r="D2394" s="1" t="s">
        <v>5559</v>
      </c>
      <c r="E2394" s="1" t="s">
        <v>6659</v>
      </c>
      <c r="F2394" s="1" t="s">
        <v>128</v>
      </c>
      <c r="I2394" s="1" t="s">
        <v>4953</v>
      </c>
    </row>
    <row r="2395">
      <c r="B2395" s="1" t="s">
        <v>1592</v>
      </c>
      <c r="C2395" s="1" t="s">
        <v>1113</v>
      </c>
      <c r="D2395" s="1" t="s">
        <v>5210</v>
      </c>
      <c r="E2395" s="1" t="s">
        <v>5447</v>
      </c>
      <c r="F2395" s="1" t="s">
        <v>3883</v>
      </c>
      <c r="I2395" s="1" t="s">
        <v>4958</v>
      </c>
    </row>
    <row r="2396">
      <c r="B2396" s="1" t="s">
        <v>4613</v>
      </c>
      <c r="C2396" s="1" t="s">
        <v>4622</v>
      </c>
      <c r="D2396" s="1" t="s">
        <v>5100</v>
      </c>
      <c r="E2396" s="1" t="s">
        <v>1273</v>
      </c>
      <c r="F2396" s="1" t="s">
        <v>277</v>
      </c>
      <c r="I2396" s="1" t="s">
        <v>6729</v>
      </c>
    </row>
    <row r="2397">
      <c r="B2397" s="1" t="s">
        <v>3790</v>
      </c>
      <c r="C2397" s="1" t="s">
        <v>5493</v>
      </c>
      <c r="D2397" s="1" t="s">
        <v>3899</v>
      </c>
      <c r="E2397" s="1" t="s">
        <v>5232</v>
      </c>
      <c r="F2397" s="1" t="s">
        <v>1898</v>
      </c>
      <c r="I2397" s="1" t="s">
        <v>3883</v>
      </c>
    </row>
    <row r="2398">
      <c r="B2398" s="1" t="s">
        <v>722</v>
      </c>
      <c r="C2398" s="1" t="s">
        <v>2143</v>
      </c>
      <c r="D2398" s="1" t="s">
        <v>5486</v>
      </c>
      <c r="E2398" s="1" t="s">
        <v>6665</v>
      </c>
      <c r="F2398" s="1" t="s">
        <v>3891</v>
      </c>
      <c r="I2398" s="1" t="s">
        <v>4369</v>
      </c>
    </row>
    <row r="2399">
      <c r="B2399" s="1" t="s">
        <v>4942</v>
      </c>
      <c r="C2399" s="1" t="s">
        <v>6019</v>
      </c>
      <c r="D2399" s="1" t="s">
        <v>4055</v>
      </c>
      <c r="E2399" s="1" t="s">
        <v>5377</v>
      </c>
      <c r="F2399" s="1" t="s">
        <v>4968</v>
      </c>
      <c r="I2399" s="1" t="s">
        <v>277</v>
      </c>
    </row>
    <row r="2400">
      <c r="B2400" s="1" t="s">
        <v>519</v>
      </c>
      <c r="C2400" s="1" t="s">
        <v>3600</v>
      </c>
      <c r="D2400" s="1" t="s">
        <v>5562</v>
      </c>
      <c r="E2400" s="1" t="s">
        <v>3600</v>
      </c>
      <c r="F2400" s="1" t="s">
        <v>1412</v>
      </c>
      <c r="I2400" s="1" t="s">
        <v>1898</v>
      </c>
    </row>
    <row r="2401">
      <c r="B2401" s="1" t="s">
        <v>5563</v>
      </c>
      <c r="C2401" s="1" t="s">
        <v>3727</v>
      </c>
      <c r="D2401" s="1" t="s">
        <v>3668</v>
      </c>
      <c r="E2401" s="1" t="s">
        <v>5237</v>
      </c>
      <c r="F2401" s="1" t="s">
        <v>922</v>
      </c>
      <c r="H2401" s="11"/>
      <c r="I2401" s="1" t="s">
        <v>4968</v>
      </c>
    </row>
    <row r="2402">
      <c r="B2402" s="1" t="s">
        <v>2827</v>
      </c>
      <c r="C2402" s="1" t="s">
        <v>2219</v>
      </c>
      <c r="D2402" s="1" t="s">
        <v>2235</v>
      </c>
      <c r="E2402" s="1" t="s">
        <v>6667</v>
      </c>
      <c r="F2402" s="1" t="s">
        <v>3956</v>
      </c>
      <c r="I2402" s="1" t="s">
        <v>3956</v>
      </c>
    </row>
    <row r="2403">
      <c r="B2403" s="1" t="s">
        <v>4619</v>
      </c>
      <c r="C2403" s="1" t="s">
        <v>842</v>
      </c>
      <c r="D2403" s="1" t="s">
        <v>4198</v>
      </c>
      <c r="E2403" s="1" t="s">
        <v>6660</v>
      </c>
      <c r="F2403" s="1" t="s">
        <v>3900</v>
      </c>
      <c r="I2403" s="1">
        <v>51.0</v>
      </c>
    </row>
    <row r="2404">
      <c r="B2404" s="1" t="s">
        <v>5565</v>
      </c>
      <c r="C2404" s="1" t="s">
        <v>1180</v>
      </c>
      <c r="D2404" s="1" t="s">
        <v>2239</v>
      </c>
      <c r="E2404" s="1" t="s">
        <v>6662</v>
      </c>
      <c r="F2404" s="1" t="s">
        <v>3903</v>
      </c>
      <c r="I2404" s="1" t="s">
        <v>6730</v>
      </c>
    </row>
    <row r="2405">
      <c r="B2405" s="1" t="s">
        <v>5566</v>
      </c>
      <c r="C2405" s="1" t="s">
        <v>2182</v>
      </c>
      <c r="D2405" s="1" t="s">
        <v>4058</v>
      </c>
      <c r="E2405" s="1" t="s">
        <v>6663</v>
      </c>
      <c r="F2405" s="1" t="s">
        <v>4972</v>
      </c>
      <c r="I2405" s="1" t="s">
        <v>4940</v>
      </c>
    </row>
    <row r="2406">
      <c r="B2406" s="1" t="s">
        <v>5567</v>
      </c>
      <c r="C2406" s="1" t="s">
        <v>6068</v>
      </c>
      <c r="D2406" s="1" t="s">
        <v>2472</v>
      </c>
      <c r="E2406" s="1" t="s">
        <v>4174</v>
      </c>
      <c r="F2406" s="1" t="s">
        <v>1417</v>
      </c>
      <c r="I2406" s="1" t="s">
        <v>6731</v>
      </c>
    </row>
    <row r="2407">
      <c r="B2407" s="1" t="s">
        <v>4622</v>
      </c>
      <c r="C2407" s="1" t="s">
        <v>2315</v>
      </c>
      <c r="D2407" s="1" t="s">
        <v>5103</v>
      </c>
      <c r="E2407" s="1" t="s">
        <v>6670</v>
      </c>
      <c r="F2407" s="1" t="s">
        <v>3906</v>
      </c>
      <c r="I2407" s="1" t="s">
        <v>3388</v>
      </c>
    </row>
    <row r="2408">
      <c r="B2408" s="1" t="s">
        <v>5205</v>
      </c>
      <c r="C2408" s="1" t="s">
        <v>1503</v>
      </c>
      <c r="D2408" s="1" t="s">
        <v>4061</v>
      </c>
      <c r="E2408" s="1" t="s">
        <v>4063</v>
      </c>
      <c r="F2408" s="1" t="s">
        <v>6732</v>
      </c>
      <c r="I2408" s="1" t="s">
        <v>5529</v>
      </c>
    </row>
    <row r="2409">
      <c r="B2409" s="1" t="s">
        <v>5570</v>
      </c>
      <c r="C2409" s="1" t="s">
        <v>409</v>
      </c>
      <c r="D2409" s="1" t="s">
        <v>2242</v>
      </c>
      <c r="E2409" s="1" t="s">
        <v>2442</v>
      </c>
      <c r="F2409" s="1" t="s">
        <v>5448</v>
      </c>
      <c r="I2409" s="1" t="s">
        <v>3906</v>
      </c>
    </row>
    <row r="2410">
      <c r="B2410" s="1" t="s">
        <v>4624</v>
      </c>
      <c r="C2410" s="1" t="s">
        <v>6073</v>
      </c>
      <c r="D2410" s="1" t="s">
        <v>4065</v>
      </c>
      <c r="E2410" s="1" t="s">
        <v>6671</v>
      </c>
      <c r="F2410" s="1" t="s">
        <v>2143</v>
      </c>
      <c r="I2410" s="1" t="s">
        <v>3261</v>
      </c>
    </row>
    <row r="2411">
      <c r="B2411" s="1" t="s">
        <v>4625</v>
      </c>
      <c r="C2411" s="1" t="s">
        <v>2895</v>
      </c>
      <c r="D2411" s="1" t="s">
        <v>2244</v>
      </c>
      <c r="E2411" s="1" t="s">
        <v>4697</v>
      </c>
      <c r="F2411" s="1" t="s">
        <v>3032</v>
      </c>
      <c r="I2411" s="1" t="s">
        <v>6733</v>
      </c>
    </row>
    <row r="2412">
      <c r="B2412" s="1" t="s">
        <v>5573</v>
      </c>
      <c r="C2412" s="1" t="s">
        <v>2077</v>
      </c>
      <c r="D2412" s="1" t="s">
        <v>2245</v>
      </c>
      <c r="E2412" s="1" t="s">
        <v>3186</v>
      </c>
      <c r="F2412" s="1" t="s">
        <v>6733</v>
      </c>
      <c r="I2412" s="1" t="s">
        <v>6734</v>
      </c>
    </row>
    <row r="2413">
      <c r="B2413" s="1" t="s">
        <v>2830</v>
      </c>
      <c r="C2413" s="1" t="s">
        <v>1152</v>
      </c>
      <c r="D2413" s="1" t="s">
        <v>5574</v>
      </c>
      <c r="E2413" s="1" t="s">
        <v>5113</v>
      </c>
      <c r="F2413" s="1" t="s">
        <v>3261</v>
      </c>
      <c r="I2413" s="1" t="s">
        <v>5609</v>
      </c>
    </row>
    <row r="2414">
      <c r="B2414" s="1" t="s">
        <v>5575</v>
      </c>
      <c r="C2414" s="1" t="s">
        <v>3975</v>
      </c>
      <c r="D2414" s="1" t="s">
        <v>2248</v>
      </c>
      <c r="E2414" s="1" t="s">
        <v>3189</v>
      </c>
      <c r="F2414" s="1" t="s">
        <v>1429</v>
      </c>
      <c r="I2414" s="1" t="s">
        <v>5262</v>
      </c>
    </row>
    <row r="2415">
      <c r="B2415" s="1" t="s">
        <v>5576</v>
      </c>
      <c r="C2415" s="1" t="s">
        <v>4759</v>
      </c>
      <c r="D2415" s="1" t="s">
        <v>4071</v>
      </c>
      <c r="E2415" s="1" t="s">
        <v>3281</v>
      </c>
      <c r="F2415" s="1" t="s">
        <v>1422</v>
      </c>
      <c r="I2415" s="1" t="s">
        <v>3076</v>
      </c>
    </row>
    <row r="2416">
      <c r="B2416" s="1" t="s">
        <v>4627</v>
      </c>
      <c r="C2416" s="1" t="s">
        <v>131</v>
      </c>
      <c r="D2416" s="1" t="s">
        <v>4072</v>
      </c>
      <c r="E2416" s="1" t="s">
        <v>623</v>
      </c>
      <c r="F2416" s="1" t="s">
        <v>1095</v>
      </c>
      <c r="I2416" s="1" t="s">
        <v>6735</v>
      </c>
    </row>
    <row r="2417">
      <c r="B2417" s="1" t="s">
        <v>5577</v>
      </c>
      <c r="C2417" s="1" t="s">
        <v>465</v>
      </c>
      <c r="D2417" s="1" t="s">
        <v>4074</v>
      </c>
      <c r="E2417" s="1" t="s">
        <v>4698</v>
      </c>
      <c r="F2417" s="1" t="s">
        <v>5262</v>
      </c>
      <c r="I2417" s="1" t="s">
        <v>5612</v>
      </c>
    </row>
    <row r="2418">
      <c r="B2418" s="1" t="s">
        <v>2832</v>
      </c>
      <c r="C2418" s="1" t="s">
        <v>2408</v>
      </c>
      <c r="D2418" s="1" t="s">
        <v>176</v>
      </c>
      <c r="E2418" s="1" t="s">
        <v>6672</v>
      </c>
      <c r="F2418" s="1" t="s">
        <v>2151</v>
      </c>
      <c r="I2418" s="1">
        <v>50.0</v>
      </c>
    </row>
    <row r="2419">
      <c r="B2419" s="1" t="s">
        <v>4630</v>
      </c>
      <c r="C2419" s="1" t="s">
        <v>5555</v>
      </c>
      <c r="D2419" s="1" t="s">
        <v>1176</v>
      </c>
      <c r="E2419" s="1" t="s">
        <v>4701</v>
      </c>
      <c r="F2419" s="1" t="s">
        <v>3076</v>
      </c>
      <c r="I2419" s="1" t="s">
        <v>3378</v>
      </c>
    </row>
    <row r="2420">
      <c r="B2420" s="1" t="s">
        <v>5582</v>
      </c>
      <c r="C2420" s="1" t="s">
        <v>970</v>
      </c>
      <c r="D2420" s="1" t="s">
        <v>2256</v>
      </c>
      <c r="E2420" s="1" t="s">
        <v>4704</v>
      </c>
      <c r="F2420" s="1" t="s">
        <v>1101</v>
      </c>
      <c r="I2420" s="1" t="s">
        <v>6736</v>
      </c>
    </row>
    <row r="2421">
      <c r="B2421" s="1" t="s">
        <v>4632</v>
      </c>
      <c r="C2421" s="1" t="s">
        <v>745</v>
      </c>
      <c r="D2421" s="1" t="s">
        <v>5584</v>
      </c>
      <c r="E2421" s="1" t="s">
        <v>1463</v>
      </c>
      <c r="F2421" s="1" t="s">
        <v>1435</v>
      </c>
      <c r="I2421" s="1" t="s">
        <v>4983</v>
      </c>
    </row>
    <row r="2422">
      <c r="B2422" s="1" t="s">
        <v>2834</v>
      </c>
      <c r="C2422" s="1" t="s">
        <v>4732</v>
      </c>
      <c r="D2422" s="1" t="s">
        <v>4079</v>
      </c>
      <c r="E2422" s="1" t="s">
        <v>4705</v>
      </c>
      <c r="F2422" s="1" t="s">
        <v>134</v>
      </c>
      <c r="I2422" s="1" t="s">
        <v>6737</v>
      </c>
    </row>
    <row r="2423">
      <c r="B2423" s="1">
        <v>163.0</v>
      </c>
      <c r="C2423" s="1" t="s">
        <v>4537</v>
      </c>
      <c r="D2423" s="1" t="s">
        <v>4081</v>
      </c>
      <c r="E2423" s="1" t="s">
        <v>6468</v>
      </c>
      <c r="F2423" s="1" t="s">
        <v>3378</v>
      </c>
      <c r="I2423" s="1" t="s">
        <v>6738</v>
      </c>
    </row>
    <row r="2424">
      <c r="B2424" s="1" t="s">
        <v>5587</v>
      </c>
      <c r="C2424" s="1" t="s">
        <v>5727</v>
      </c>
      <c r="D2424" s="1" t="s">
        <v>4082</v>
      </c>
      <c r="E2424" s="1" t="s">
        <v>5253</v>
      </c>
      <c r="F2424" s="1" t="s">
        <v>6737</v>
      </c>
      <c r="I2424" s="1" t="s">
        <v>5130</v>
      </c>
    </row>
    <row r="2425">
      <c r="B2425" s="1" t="s">
        <v>5589</v>
      </c>
      <c r="C2425" s="1" t="s">
        <v>4205</v>
      </c>
      <c r="D2425" s="1" t="s">
        <v>390</v>
      </c>
      <c r="E2425" s="1" t="s">
        <v>3617</v>
      </c>
      <c r="F2425" s="1" t="s">
        <v>3919</v>
      </c>
      <c r="I2425" s="1" t="s">
        <v>3953</v>
      </c>
    </row>
    <row r="2426">
      <c r="B2426" s="1" t="s">
        <v>5261</v>
      </c>
      <c r="C2426" s="1" t="s">
        <v>3191</v>
      </c>
      <c r="D2426" s="1" t="s">
        <v>3478</v>
      </c>
      <c r="E2426" s="1" t="s">
        <v>5180</v>
      </c>
      <c r="F2426" s="1" t="s">
        <v>2154</v>
      </c>
      <c r="I2426" s="1" t="s">
        <v>5629</v>
      </c>
    </row>
    <row r="2427">
      <c r="B2427" s="1" t="s">
        <v>4639</v>
      </c>
      <c r="C2427" s="1" t="s">
        <v>1087</v>
      </c>
      <c r="D2427" s="1" t="s">
        <v>5121</v>
      </c>
      <c r="E2427" s="1" t="s">
        <v>3620</v>
      </c>
      <c r="F2427" s="1" t="s">
        <v>1106</v>
      </c>
      <c r="I2427" s="1" t="s">
        <v>3398</v>
      </c>
    </row>
    <row r="2428">
      <c r="B2428" s="1" t="s">
        <v>1702</v>
      </c>
      <c r="C2428" s="1" t="s">
        <v>6077</v>
      </c>
      <c r="D2428" s="1" t="s">
        <v>1183</v>
      </c>
      <c r="E2428" s="1" t="s">
        <v>6674</v>
      </c>
      <c r="F2428" s="1" t="s">
        <v>2161</v>
      </c>
      <c r="I2428" s="1" t="s">
        <v>5154</v>
      </c>
    </row>
    <row r="2429">
      <c r="B2429" s="1" t="s">
        <v>5591</v>
      </c>
      <c r="C2429" s="1" t="s">
        <v>506</v>
      </c>
      <c r="D2429" s="1" t="s">
        <v>4087</v>
      </c>
      <c r="E2429" s="1" t="s">
        <v>3302</v>
      </c>
      <c r="F2429" s="1" t="s">
        <v>2157</v>
      </c>
      <c r="I2429" s="1" t="s">
        <v>6739</v>
      </c>
    </row>
    <row r="2430">
      <c r="B2430" s="1" t="s">
        <v>2841</v>
      </c>
      <c r="C2430" s="1" t="s">
        <v>3676</v>
      </c>
      <c r="D2430" s="1" t="s">
        <v>2677</v>
      </c>
      <c r="E2430" s="1" t="s">
        <v>6676</v>
      </c>
      <c r="F2430" s="1" t="s">
        <v>3398</v>
      </c>
      <c r="I2430" s="1" t="s">
        <v>3641</v>
      </c>
    </row>
    <row r="2431">
      <c r="B2431" s="1" t="s">
        <v>4643</v>
      </c>
      <c r="C2431" s="1" t="s">
        <v>1122</v>
      </c>
      <c r="D2431" s="1" t="s">
        <v>2261</v>
      </c>
      <c r="E2431" s="1" t="s">
        <v>3199</v>
      </c>
      <c r="F2431" s="1" t="s">
        <v>1113</v>
      </c>
      <c r="I2431" s="1" t="s">
        <v>4998</v>
      </c>
    </row>
    <row r="2432">
      <c r="B2432" s="1" t="s">
        <v>1743</v>
      </c>
      <c r="C2432" s="1" t="s">
        <v>2154</v>
      </c>
      <c r="D2432" s="1" t="s">
        <v>5030</v>
      </c>
      <c r="E2432" s="1" t="s">
        <v>5254</v>
      </c>
      <c r="F2432" s="1" t="s">
        <v>2169</v>
      </c>
      <c r="I2432" s="9">
        <v>3.0</v>
      </c>
    </row>
    <row r="2433">
      <c r="B2433" s="1" t="s">
        <v>5515</v>
      </c>
      <c r="C2433" s="1" t="s">
        <v>4669</v>
      </c>
      <c r="D2433" s="1" t="s">
        <v>5123</v>
      </c>
      <c r="E2433" s="1" t="s">
        <v>1250</v>
      </c>
      <c r="F2433" s="1" t="s">
        <v>5154</v>
      </c>
      <c r="I2433" s="1" t="s">
        <v>5474</v>
      </c>
    </row>
    <row r="2434">
      <c r="B2434" s="1" t="s">
        <v>2848</v>
      </c>
      <c r="C2434" s="1" t="s">
        <v>1242</v>
      </c>
      <c r="D2434" s="1" t="s">
        <v>1191</v>
      </c>
      <c r="E2434" s="1" t="s">
        <v>3621</v>
      </c>
      <c r="F2434" s="1" t="s">
        <v>4715</v>
      </c>
      <c r="I2434" s="1" t="s">
        <v>5000</v>
      </c>
    </row>
    <row r="2435">
      <c r="B2435" s="1" t="s">
        <v>329</v>
      </c>
      <c r="C2435" s="1" t="s">
        <v>4962</v>
      </c>
      <c r="D2435" s="1" t="s">
        <v>4092</v>
      </c>
      <c r="E2435" s="1" t="s">
        <v>4717</v>
      </c>
      <c r="F2435" s="1" t="s">
        <v>3935</v>
      </c>
      <c r="I2435" s="1" t="s">
        <v>6740</v>
      </c>
    </row>
    <row r="2436">
      <c r="B2436" s="1" t="s">
        <v>5594</v>
      </c>
      <c r="C2436" s="1" t="s">
        <v>2927</v>
      </c>
      <c r="D2436" s="1" t="s">
        <v>4096</v>
      </c>
      <c r="E2436" s="1" t="s">
        <v>4714</v>
      </c>
      <c r="F2436" s="1" t="s">
        <v>3938</v>
      </c>
      <c r="I2436" s="1" t="s">
        <v>6741</v>
      </c>
    </row>
    <row r="2437">
      <c r="B2437" s="1" t="s">
        <v>1504</v>
      </c>
      <c r="C2437" s="1" t="s">
        <v>5491</v>
      </c>
      <c r="D2437" s="1" t="s">
        <v>4097</v>
      </c>
      <c r="E2437" s="1" t="s">
        <v>6678</v>
      </c>
      <c r="F2437" s="1" t="s">
        <v>3942</v>
      </c>
      <c r="I2437" s="1" t="s">
        <v>5558</v>
      </c>
    </row>
    <row r="2438">
      <c r="B2438" s="1" t="s">
        <v>4650</v>
      </c>
      <c r="C2438" s="1" t="s">
        <v>5658</v>
      </c>
      <c r="D2438" s="1" t="s">
        <v>5597</v>
      </c>
      <c r="E2438" s="1" t="s">
        <v>1001</v>
      </c>
      <c r="F2438" s="1" t="s">
        <v>6742</v>
      </c>
      <c r="I2438" s="1" t="s">
        <v>6743</v>
      </c>
    </row>
    <row r="2439">
      <c r="B2439" s="1" t="s">
        <v>2850</v>
      </c>
      <c r="C2439" s="1" t="s">
        <v>5448</v>
      </c>
      <c r="D2439" s="1" t="s">
        <v>5055</v>
      </c>
      <c r="E2439" s="1" t="s">
        <v>6472</v>
      </c>
      <c r="F2439" s="1" t="s">
        <v>1122</v>
      </c>
      <c r="I2439" s="1" t="s">
        <v>3950</v>
      </c>
    </row>
    <row r="2440">
      <c r="B2440" s="1" t="s">
        <v>5598</v>
      </c>
      <c r="C2440" s="1" t="s">
        <v>1747</v>
      </c>
      <c r="D2440" s="1" t="s">
        <v>4100</v>
      </c>
      <c r="E2440" s="1" t="s">
        <v>5657</v>
      </c>
      <c r="F2440" s="1" t="s">
        <v>3946</v>
      </c>
      <c r="I2440" s="1" t="s">
        <v>2523</v>
      </c>
    </row>
    <row r="2441">
      <c r="B2441" s="1" t="s">
        <v>1849</v>
      </c>
      <c r="C2441" s="1" t="s">
        <v>596</v>
      </c>
      <c r="D2441" s="1" t="s">
        <v>4101</v>
      </c>
      <c r="E2441" s="1" t="s">
        <v>6668</v>
      </c>
      <c r="F2441" s="1" t="s">
        <v>5558</v>
      </c>
      <c r="I2441" s="1" t="s">
        <v>4184</v>
      </c>
    </row>
    <row r="2442">
      <c r="B2442" s="1" t="s">
        <v>2857</v>
      </c>
      <c r="C2442" s="1" t="s">
        <v>3776</v>
      </c>
      <c r="D2442" s="1" t="s">
        <v>1194</v>
      </c>
      <c r="E2442" s="1" t="s">
        <v>5406</v>
      </c>
      <c r="F2442" s="1" t="s">
        <v>1128</v>
      </c>
      <c r="I2442" s="1" t="s">
        <v>6012</v>
      </c>
    </row>
    <row r="2443">
      <c r="B2443" s="1" t="s">
        <v>2859</v>
      </c>
      <c r="C2443" s="1" t="s">
        <v>5890</v>
      </c>
      <c r="D2443" s="1" t="s">
        <v>2270</v>
      </c>
      <c r="E2443" s="1" t="s">
        <v>1276</v>
      </c>
      <c r="F2443" s="1" t="s">
        <v>5639</v>
      </c>
      <c r="I2443" s="1" t="s">
        <v>3954</v>
      </c>
    </row>
    <row r="2444">
      <c r="B2444" s="1" t="s">
        <v>5600</v>
      </c>
      <c r="C2444" s="1" t="s">
        <v>2410</v>
      </c>
      <c r="D2444" s="1" t="s">
        <v>3659</v>
      </c>
      <c r="E2444" s="1" t="s">
        <v>4723</v>
      </c>
      <c r="F2444" s="1" t="s">
        <v>2523</v>
      </c>
      <c r="I2444" s="1" t="s">
        <v>4694</v>
      </c>
    </row>
    <row r="2445">
      <c r="B2445" s="1" t="s">
        <v>5601</v>
      </c>
      <c r="C2445" s="1" t="s">
        <v>6084</v>
      </c>
      <c r="D2445" s="1" t="s">
        <v>2527</v>
      </c>
      <c r="E2445" s="1" t="s">
        <v>6669</v>
      </c>
      <c r="F2445" s="1" t="s">
        <v>4184</v>
      </c>
      <c r="I2445" s="1" t="s">
        <v>5646</v>
      </c>
    </row>
    <row r="2446">
      <c r="B2446" s="1" t="s">
        <v>5603</v>
      </c>
      <c r="C2446" s="1" t="s">
        <v>1435</v>
      </c>
      <c r="D2446" s="1" t="s">
        <v>4104</v>
      </c>
      <c r="E2446" s="1" t="s">
        <v>3206</v>
      </c>
      <c r="F2446" s="1" t="s">
        <v>3954</v>
      </c>
      <c r="I2446" s="1" t="s">
        <v>1454</v>
      </c>
    </row>
    <row r="2447">
      <c r="B2447" s="1" t="s">
        <v>4657</v>
      </c>
      <c r="C2447" s="1" t="s">
        <v>3387</v>
      </c>
      <c r="D2447" s="1" t="s">
        <v>5134</v>
      </c>
      <c r="E2447" s="1" t="s">
        <v>5305</v>
      </c>
      <c r="F2447" s="1" t="s">
        <v>3957</v>
      </c>
      <c r="I2447" s="1" t="s">
        <v>3407</v>
      </c>
    </row>
    <row r="2448">
      <c r="B2448" s="1" t="s">
        <v>2863</v>
      </c>
      <c r="C2448" s="1" t="s">
        <v>1913</v>
      </c>
      <c r="D2448" s="1" t="s">
        <v>2273</v>
      </c>
      <c r="E2448" s="1" t="s">
        <v>4729</v>
      </c>
      <c r="F2448" s="1" t="s">
        <v>3401</v>
      </c>
      <c r="I2448" s="1" t="s">
        <v>1468</v>
      </c>
    </row>
    <row r="2449">
      <c r="B2449" s="1" t="s">
        <v>1968</v>
      </c>
      <c r="C2449" s="1" t="s">
        <v>2026</v>
      </c>
      <c r="D2449" s="1" t="s">
        <v>2275</v>
      </c>
      <c r="E2449" s="1" t="s">
        <v>2689</v>
      </c>
      <c r="F2449" s="1" t="s">
        <v>3962</v>
      </c>
      <c r="I2449" s="1" t="s">
        <v>4748</v>
      </c>
    </row>
    <row r="2450">
      <c r="B2450" s="1" t="s">
        <v>3829</v>
      </c>
      <c r="C2450" s="1" t="s">
        <v>6085</v>
      </c>
      <c r="D2450" s="1" t="s">
        <v>4107</v>
      </c>
      <c r="E2450" s="1" t="s">
        <v>5981</v>
      </c>
      <c r="F2450" s="1" t="s">
        <v>2181</v>
      </c>
      <c r="I2450" s="1" t="s">
        <v>4196</v>
      </c>
    </row>
    <row r="2451">
      <c r="B2451" s="1" t="s">
        <v>3832</v>
      </c>
      <c r="C2451" s="1" t="s">
        <v>3564</v>
      </c>
      <c r="D2451" s="1" t="s">
        <v>409</v>
      </c>
      <c r="E2451" s="1" t="s">
        <v>4070</v>
      </c>
      <c r="F2451" s="1" t="s">
        <v>5011</v>
      </c>
      <c r="I2451" s="1" t="s">
        <v>5007</v>
      </c>
    </row>
    <row r="2452">
      <c r="B2452" s="1" t="s">
        <v>2612</v>
      </c>
      <c r="C2452" s="1" t="s">
        <v>3884</v>
      </c>
      <c r="D2452" s="1" t="s">
        <v>2280</v>
      </c>
      <c r="E2452" s="1" t="s">
        <v>6681</v>
      </c>
      <c r="F2452" s="1" t="s">
        <v>3967</v>
      </c>
      <c r="I2452" s="1" t="s">
        <v>5026</v>
      </c>
    </row>
    <row r="2453">
      <c r="B2453" s="1" t="s">
        <v>5608</v>
      </c>
      <c r="C2453" s="1" t="s">
        <v>6086</v>
      </c>
      <c r="D2453" s="1" t="s">
        <v>4110</v>
      </c>
      <c r="E2453" s="1" t="s">
        <v>3216</v>
      </c>
      <c r="F2453" s="1" t="s">
        <v>3969</v>
      </c>
      <c r="I2453" s="1" t="s">
        <v>1831</v>
      </c>
    </row>
    <row r="2454">
      <c r="B2454" s="1" t="s">
        <v>3833</v>
      </c>
      <c r="C2454" s="1" t="s">
        <v>4998</v>
      </c>
      <c r="D2454" s="1" t="s">
        <v>3494</v>
      </c>
      <c r="E2454" s="1" t="s">
        <v>4662</v>
      </c>
      <c r="F2454" s="1" t="s">
        <v>3973</v>
      </c>
      <c r="I2454" s="1" t="s">
        <v>2744</v>
      </c>
    </row>
    <row r="2455">
      <c r="B2455" s="1" t="s">
        <v>5610</v>
      </c>
      <c r="C2455" s="1" t="s">
        <v>3598</v>
      </c>
      <c r="D2455" s="1" t="s">
        <v>4111</v>
      </c>
      <c r="E2455" s="1" t="s">
        <v>5414</v>
      </c>
      <c r="F2455" s="1" t="s">
        <v>3975</v>
      </c>
      <c r="I2455" s="1" t="s">
        <v>3415</v>
      </c>
    </row>
    <row r="2456">
      <c r="B2456" s="1" t="s">
        <v>2867</v>
      </c>
      <c r="C2456" s="1" t="s">
        <v>2730</v>
      </c>
      <c r="D2456" s="1" t="s">
        <v>3468</v>
      </c>
      <c r="E2456" s="1" t="s">
        <v>1013</v>
      </c>
      <c r="F2456" s="1" t="s">
        <v>2185</v>
      </c>
      <c r="I2456" s="1" t="s">
        <v>1140</v>
      </c>
    </row>
    <row r="2457">
      <c r="B2457" s="1" t="s">
        <v>5611</v>
      </c>
      <c r="C2457" s="1" t="s">
        <v>4630</v>
      </c>
      <c r="D2457" s="1" t="s">
        <v>2284</v>
      </c>
      <c r="E2457" s="1" t="s">
        <v>6682</v>
      </c>
      <c r="F2457" s="1" t="s">
        <v>3411</v>
      </c>
      <c r="I2457" s="1" t="s">
        <v>4077</v>
      </c>
    </row>
    <row r="2458">
      <c r="B2458" s="1" t="s">
        <v>1689</v>
      </c>
      <c r="C2458" s="1" t="s">
        <v>5709</v>
      </c>
      <c r="D2458" s="1" t="s">
        <v>1952</v>
      </c>
      <c r="E2458" s="1" t="s">
        <v>3636</v>
      </c>
      <c r="F2458" s="1" t="s">
        <v>5026</v>
      </c>
      <c r="I2458" s="1">
        <v>89.0</v>
      </c>
    </row>
    <row r="2459">
      <c r="B2459" s="1" t="s">
        <v>4559</v>
      </c>
      <c r="C2459" s="1" t="s">
        <v>3980</v>
      </c>
      <c r="D2459" s="1" t="s">
        <v>4115</v>
      </c>
      <c r="E2459" s="1" t="s">
        <v>6744</v>
      </c>
      <c r="F2459" s="1" t="s">
        <v>629</v>
      </c>
      <c r="I2459" s="1" t="s">
        <v>6745</v>
      </c>
    </row>
    <row r="2460">
      <c r="B2460" s="1" t="s">
        <v>5614</v>
      </c>
      <c r="C2460" s="1" t="s">
        <v>6087</v>
      </c>
      <c r="D2460" s="1" t="s">
        <v>2287</v>
      </c>
      <c r="E2460" s="1" t="s">
        <v>4430</v>
      </c>
      <c r="F2460" s="1" t="s">
        <v>1831</v>
      </c>
      <c r="I2460" s="1" t="s">
        <v>5670</v>
      </c>
    </row>
    <row r="2461">
      <c r="B2461" s="1" t="s">
        <v>5615</v>
      </c>
      <c r="C2461" s="1" t="s">
        <v>6088</v>
      </c>
      <c r="D2461" s="1" t="s">
        <v>5617</v>
      </c>
      <c r="E2461" s="1" t="s">
        <v>5056</v>
      </c>
      <c r="F2461" s="1" t="s">
        <v>2190</v>
      </c>
      <c r="I2461" s="1" t="s">
        <v>5698</v>
      </c>
    </row>
    <row r="2462">
      <c r="B2462" s="1" t="s">
        <v>1604</v>
      </c>
      <c r="C2462" s="1" t="s">
        <v>6032</v>
      </c>
      <c r="D2462" s="1" t="s">
        <v>3503</v>
      </c>
      <c r="E2462" s="1" t="s">
        <v>3882</v>
      </c>
      <c r="F2462" s="1" t="s">
        <v>336</v>
      </c>
      <c r="I2462" s="1" t="s">
        <v>4297</v>
      </c>
    </row>
    <row r="2463">
      <c r="B2463" s="1" t="s">
        <v>2870</v>
      </c>
      <c r="C2463" s="1" t="s">
        <v>6089</v>
      </c>
      <c r="D2463" s="1" t="s">
        <v>2290</v>
      </c>
      <c r="E2463" s="1" t="s">
        <v>3666</v>
      </c>
      <c r="F2463" s="1" t="s">
        <v>2197</v>
      </c>
      <c r="I2463" s="1" t="s">
        <v>5036</v>
      </c>
    </row>
    <row r="2464">
      <c r="B2464" s="1" t="s">
        <v>3204</v>
      </c>
      <c r="C2464" s="1" t="s">
        <v>5099</v>
      </c>
      <c r="D2464" s="1" t="s">
        <v>2291</v>
      </c>
      <c r="E2464" s="1" t="s">
        <v>5276</v>
      </c>
      <c r="F2464" s="1" t="s">
        <v>2744</v>
      </c>
      <c r="I2464" s="1" t="s">
        <v>6746</v>
      </c>
    </row>
    <row r="2465">
      <c r="B2465" s="1" t="s">
        <v>3840</v>
      </c>
      <c r="C2465" s="1" t="s">
        <v>2700</v>
      </c>
      <c r="D2465" s="1" t="s">
        <v>2294</v>
      </c>
      <c r="E2465" s="1" t="s">
        <v>2902</v>
      </c>
      <c r="F2465" s="1" t="s">
        <v>1134</v>
      </c>
      <c r="I2465" s="1" t="s">
        <v>3170</v>
      </c>
    </row>
    <row r="2466">
      <c r="B2466" s="1" t="s">
        <v>5620</v>
      </c>
      <c r="C2466" s="1" t="s">
        <v>2787</v>
      </c>
      <c r="D2466" s="1" t="s">
        <v>2297</v>
      </c>
      <c r="E2466" s="1" t="s">
        <v>3545</v>
      </c>
      <c r="F2466" s="1" t="s">
        <v>1140</v>
      </c>
      <c r="I2466" s="1" t="s">
        <v>1182</v>
      </c>
    </row>
    <row r="2467">
      <c r="B2467" s="1" t="s">
        <v>5621</v>
      </c>
      <c r="C2467" s="1" t="s">
        <v>2751</v>
      </c>
      <c r="D2467" s="1" t="s">
        <v>2301</v>
      </c>
      <c r="E2467" s="1" t="s">
        <v>6683</v>
      </c>
      <c r="F2467" s="1" t="s">
        <v>3415</v>
      </c>
      <c r="I2467" s="1" t="s">
        <v>6747</v>
      </c>
    </row>
    <row r="2468">
      <c r="B2468" s="1" t="s">
        <v>1610</v>
      </c>
      <c r="C2468" s="1" t="s">
        <v>5259</v>
      </c>
      <c r="D2468" s="1" t="s">
        <v>4123</v>
      </c>
      <c r="E2468" s="1" t="s">
        <v>2010</v>
      </c>
      <c r="F2468" s="1" t="s">
        <v>5031</v>
      </c>
      <c r="I2468" s="1" t="s">
        <v>5051</v>
      </c>
    </row>
    <row r="2469">
      <c r="B2469" s="1" t="s">
        <v>2877</v>
      </c>
      <c r="C2469" s="1" t="s">
        <v>3497</v>
      </c>
      <c r="D2469" s="1" t="s">
        <v>1860</v>
      </c>
      <c r="E2469" s="1" t="s">
        <v>1343</v>
      </c>
      <c r="F2469" s="1" t="s">
        <v>3610</v>
      </c>
      <c r="I2469" s="1" t="s">
        <v>3416</v>
      </c>
    </row>
    <row r="2470">
      <c r="B2470" s="1" t="s">
        <v>4669</v>
      </c>
      <c r="C2470" s="1" t="s">
        <v>169</v>
      </c>
      <c r="D2470" s="1" t="s">
        <v>3506</v>
      </c>
      <c r="E2470" s="1" t="s">
        <v>6684</v>
      </c>
      <c r="F2470" s="1" t="s">
        <v>2204</v>
      </c>
      <c r="I2470" s="1" t="s">
        <v>6748</v>
      </c>
    </row>
    <row r="2471">
      <c r="B2471" s="1" t="s">
        <v>1615</v>
      </c>
      <c r="C2471" s="1" t="s">
        <v>5068</v>
      </c>
      <c r="D2471" s="1" t="s">
        <v>2674</v>
      </c>
      <c r="E2471" s="1" t="s">
        <v>6685</v>
      </c>
      <c r="F2471" s="1" t="s">
        <v>5034</v>
      </c>
      <c r="I2471" s="1" t="s">
        <v>4003</v>
      </c>
    </row>
    <row r="2472">
      <c r="B2472" s="1" t="s">
        <v>5624</v>
      </c>
      <c r="C2472" s="1" t="s">
        <v>490</v>
      </c>
      <c r="D2472" s="1" t="s">
        <v>2305</v>
      </c>
      <c r="E2472" s="1" t="s">
        <v>6677</v>
      </c>
      <c r="F2472" s="1" t="s">
        <v>5670</v>
      </c>
      <c r="I2472" s="1" t="s">
        <v>4007</v>
      </c>
    </row>
    <row r="2473">
      <c r="B2473" s="1" t="s">
        <v>5626</v>
      </c>
      <c r="C2473" s="1" t="s">
        <v>3749</v>
      </c>
      <c r="D2473" s="1" t="s">
        <v>1206</v>
      </c>
      <c r="E2473" s="1" t="s">
        <v>2028</v>
      </c>
      <c r="F2473" s="1" t="s">
        <v>4297</v>
      </c>
      <c r="I2473" s="1" t="s">
        <v>2797</v>
      </c>
    </row>
    <row r="2474">
      <c r="B2474" s="1" t="s">
        <v>5628</v>
      </c>
      <c r="C2474" s="1" t="s">
        <v>6093</v>
      </c>
      <c r="D2474" s="1" t="s">
        <v>4024</v>
      </c>
      <c r="E2474" s="1" t="s">
        <v>1732</v>
      </c>
      <c r="F2474" s="1" t="s">
        <v>6749</v>
      </c>
      <c r="I2474" s="1" t="s">
        <v>5516</v>
      </c>
    </row>
    <row r="2475">
      <c r="B2475" s="1" t="s">
        <v>4795</v>
      </c>
      <c r="C2475" s="1" t="s">
        <v>3694</v>
      </c>
      <c r="D2475" s="1" t="s">
        <v>1544</v>
      </c>
      <c r="E2475" s="1" t="s">
        <v>2433</v>
      </c>
      <c r="F2475" s="1" t="s">
        <v>4259</v>
      </c>
      <c r="I2475" s="1" t="s">
        <v>6750</v>
      </c>
    </row>
    <row r="2476">
      <c r="B2476" s="1" t="s">
        <v>5630</v>
      </c>
      <c r="C2476" s="1" t="s">
        <v>4476</v>
      </c>
      <c r="D2476" s="1" t="s">
        <v>4129</v>
      </c>
      <c r="E2476" s="1" t="s">
        <v>1851</v>
      </c>
      <c r="F2476" s="1" t="s">
        <v>1488</v>
      </c>
      <c r="I2476" s="1" t="s">
        <v>5681</v>
      </c>
    </row>
    <row r="2477">
      <c r="B2477" s="1" t="s">
        <v>5632</v>
      </c>
      <c r="C2477" s="1" t="s">
        <v>5825</v>
      </c>
      <c r="D2477" s="1" t="s">
        <v>4130</v>
      </c>
      <c r="E2477" s="1" t="s">
        <v>1419</v>
      </c>
      <c r="F2477" s="1" t="s">
        <v>5039</v>
      </c>
      <c r="I2477" s="1" t="s">
        <v>6751</v>
      </c>
    </row>
    <row r="2478">
      <c r="B2478" s="1" t="s">
        <v>5633</v>
      </c>
      <c r="C2478" s="1" t="s">
        <v>4605</v>
      </c>
      <c r="D2478" s="1" t="s">
        <v>1552</v>
      </c>
      <c r="E2478" s="1" t="s">
        <v>6679</v>
      </c>
      <c r="F2478" s="1" t="s">
        <v>3170</v>
      </c>
      <c r="I2478" s="1" t="s">
        <v>4021</v>
      </c>
    </row>
    <row r="2479">
      <c r="B2479" s="1" t="s">
        <v>2886</v>
      </c>
      <c r="C2479" s="1" t="s">
        <v>4010</v>
      </c>
      <c r="D2479" s="1" t="s">
        <v>4131</v>
      </c>
      <c r="E2479" s="1" t="s">
        <v>3237</v>
      </c>
      <c r="F2479" s="1" t="s">
        <v>1182</v>
      </c>
      <c r="I2479" s="1" t="s">
        <v>5897</v>
      </c>
    </row>
    <row r="2480">
      <c r="B2480" s="1" t="s">
        <v>4577</v>
      </c>
      <c r="C2480" s="1" t="s">
        <v>4805</v>
      </c>
      <c r="D2480" s="1" t="s">
        <v>3518</v>
      </c>
      <c r="E2480" s="1">
        <v>1993.0</v>
      </c>
      <c r="F2480" s="1" t="s">
        <v>6747</v>
      </c>
      <c r="I2480" s="1" t="s">
        <v>6752</v>
      </c>
    </row>
    <row r="2481">
      <c r="B2481" s="1" t="s">
        <v>2892</v>
      </c>
      <c r="C2481" s="1" t="s">
        <v>5015</v>
      </c>
      <c r="D2481" s="1" t="s">
        <v>1210</v>
      </c>
      <c r="E2481" s="1" t="s">
        <v>3241</v>
      </c>
      <c r="F2481" s="1" t="s">
        <v>2206</v>
      </c>
      <c r="I2481" s="1" t="s">
        <v>1503</v>
      </c>
    </row>
    <row r="2482">
      <c r="B2482" s="1" t="s">
        <v>5634</v>
      </c>
      <c r="C2482" s="1" t="s">
        <v>894</v>
      </c>
      <c r="D2482" s="1" t="s">
        <v>2311</v>
      </c>
      <c r="E2482" s="1" t="s">
        <v>2494</v>
      </c>
      <c r="F2482" s="1" t="s">
        <v>3999</v>
      </c>
      <c r="I2482" s="1" t="s">
        <v>6753</v>
      </c>
    </row>
    <row r="2483">
      <c r="B2483" s="1" t="s">
        <v>2895</v>
      </c>
      <c r="C2483" s="1" t="s">
        <v>973</v>
      </c>
      <c r="D2483" s="1" t="s">
        <v>4135</v>
      </c>
      <c r="E2483" s="1" t="s">
        <v>1310</v>
      </c>
      <c r="F2483" s="1" t="s">
        <v>5051</v>
      </c>
      <c r="I2483" s="1" t="s">
        <v>5530</v>
      </c>
    </row>
    <row r="2484">
      <c r="B2484" s="1" t="s">
        <v>5636</v>
      </c>
      <c r="C2484" s="1" t="s">
        <v>6097</v>
      </c>
      <c r="D2484" s="1" t="s">
        <v>4659</v>
      </c>
      <c r="E2484" s="1" t="s">
        <v>6754</v>
      </c>
      <c r="F2484" s="1" t="s">
        <v>2208</v>
      </c>
      <c r="I2484" s="1" t="s">
        <v>3109</v>
      </c>
    </row>
    <row r="2485">
      <c r="B2485" s="1" t="s">
        <v>1019</v>
      </c>
      <c r="C2485" s="1" t="s">
        <v>3292</v>
      </c>
      <c r="D2485" s="1" t="s">
        <v>2315</v>
      </c>
      <c r="E2485" s="1" t="s">
        <v>1677</v>
      </c>
      <c r="F2485" s="1" t="s">
        <v>4010</v>
      </c>
      <c r="I2485" s="1" t="s">
        <v>6755</v>
      </c>
    </row>
    <row r="2486">
      <c r="B2486" s="1" t="s">
        <v>4268</v>
      </c>
      <c r="C2486" s="1" t="s">
        <v>3411</v>
      </c>
      <c r="D2486" s="1" t="s">
        <v>1217</v>
      </c>
      <c r="E2486" s="1" t="s">
        <v>5282</v>
      </c>
      <c r="F2486" s="1" t="s">
        <v>4007</v>
      </c>
      <c r="I2486" s="1" t="s">
        <v>4032</v>
      </c>
    </row>
    <row r="2487">
      <c r="B2487" s="1">
        <v>18.0</v>
      </c>
      <c r="C2487" s="1" t="s">
        <v>5082</v>
      </c>
      <c r="D2487" s="1" t="s">
        <v>5640</v>
      </c>
      <c r="E2487" s="1" t="s">
        <v>6686</v>
      </c>
      <c r="F2487" s="1" t="s">
        <v>1318</v>
      </c>
      <c r="I2487" s="1" t="s">
        <v>4644</v>
      </c>
    </row>
    <row r="2488">
      <c r="B2488" s="1" t="s">
        <v>5641</v>
      </c>
      <c r="C2488" s="1" t="s">
        <v>6098</v>
      </c>
      <c r="D2488" s="1" t="s">
        <v>5158</v>
      </c>
      <c r="E2488" s="1" t="s">
        <v>6017</v>
      </c>
      <c r="F2488" s="1" t="s">
        <v>2797</v>
      </c>
      <c r="I2488" s="1" t="s">
        <v>5866</v>
      </c>
    </row>
    <row r="2489">
      <c r="B2489" s="1" t="s">
        <v>1620</v>
      </c>
      <c r="C2489" s="1" t="s">
        <v>3342</v>
      </c>
      <c r="D2489" s="1" t="s">
        <v>1224</v>
      </c>
      <c r="E2489" s="1" t="s">
        <v>5283</v>
      </c>
      <c r="F2489" s="1" t="s">
        <v>5516</v>
      </c>
      <c r="I2489" s="1" t="s">
        <v>6756</v>
      </c>
    </row>
    <row r="2490">
      <c r="B2490" s="1" t="s">
        <v>2903</v>
      </c>
      <c r="C2490" s="1" t="s">
        <v>4643</v>
      </c>
      <c r="D2490" s="1" t="s">
        <v>4137</v>
      </c>
      <c r="E2490" s="1" t="s">
        <v>4449</v>
      </c>
      <c r="F2490" s="1" t="s">
        <v>2210</v>
      </c>
      <c r="I2490" s="1" t="s">
        <v>1711</v>
      </c>
    </row>
    <row r="2491">
      <c r="B2491" s="1" t="s">
        <v>1626</v>
      </c>
      <c r="C2491" s="1" t="s">
        <v>5992</v>
      </c>
      <c r="D2491" s="1" t="s">
        <v>5162</v>
      </c>
      <c r="E2491" s="1" t="s">
        <v>6687</v>
      </c>
      <c r="F2491" s="1" t="s">
        <v>4017</v>
      </c>
      <c r="I2491" s="1" t="s">
        <v>3613</v>
      </c>
    </row>
    <row r="2492">
      <c r="B2492" s="1" t="s">
        <v>2910</v>
      </c>
      <c r="C2492" s="1" t="s">
        <v>4964</v>
      </c>
      <c r="D2492" s="1" t="s">
        <v>2324</v>
      </c>
      <c r="E2492" s="1" t="s">
        <v>3698</v>
      </c>
      <c r="F2492" s="1" t="s">
        <v>5681</v>
      </c>
      <c r="I2492" s="1" t="s">
        <v>2840</v>
      </c>
    </row>
    <row r="2493">
      <c r="B2493" s="1" t="s">
        <v>5645</v>
      </c>
      <c r="C2493" s="1" t="s">
        <v>6100</v>
      </c>
      <c r="D2493" s="1" t="s">
        <v>3521</v>
      </c>
      <c r="E2493" s="1" t="s">
        <v>5288</v>
      </c>
      <c r="F2493" s="1" t="s">
        <v>4021</v>
      </c>
      <c r="I2493" s="1" t="s">
        <v>1180</v>
      </c>
    </row>
    <row r="2494">
      <c r="B2494" s="1" t="s">
        <v>5445</v>
      </c>
      <c r="C2494" s="1" t="s">
        <v>4796</v>
      </c>
      <c r="D2494" s="1" t="s">
        <v>5164</v>
      </c>
      <c r="E2494" s="1" t="s">
        <v>2350</v>
      </c>
      <c r="F2494" s="1" t="s">
        <v>6751</v>
      </c>
      <c r="I2494" s="1" t="s">
        <v>6757</v>
      </c>
    </row>
    <row r="2495">
      <c r="B2495" s="1" t="s">
        <v>4690</v>
      </c>
      <c r="C2495" s="1" t="s">
        <v>6103</v>
      </c>
      <c r="D2495" s="1" t="s">
        <v>1228</v>
      </c>
      <c r="E2495" s="1" t="s">
        <v>4621</v>
      </c>
      <c r="F2495" s="1" t="s">
        <v>4025</v>
      </c>
      <c r="I2495" s="1" t="s">
        <v>6758</v>
      </c>
    </row>
    <row r="2496">
      <c r="B2496" s="1" t="s">
        <v>1720</v>
      </c>
      <c r="C2496" s="1" t="s">
        <v>5850</v>
      </c>
      <c r="D2496" s="1" t="s">
        <v>5168</v>
      </c>
      <c r="E2496" s="1" t="s">
        <v>5293</v>
      </c>
      <c r="F2496" s="1" t="s">
        <v>5897</v>
      </c>
      <c r="I2496" s="1" t="s">
        <v>5198</v>
      </c>
    </row>
    <row r="2497">
      <c r="B2497" s="1" t="s">
        <v>4695</v>
      </c>
      <c r="C2497" s="1" t="s">
        <v>5365</v>
      </c>
      <c r="D2497" s="1" t="s">
        <v>5607</v>
      </c>
      <c r="E2497" s="1" t="s">
        <v>1565</v>
      </c>
      <c r="F2497" s="1" t="s">
        <v>5024</v>
      </c>
      <c r="I2497" s="1" t="s">
        <v>5543</v>
      </c>
    </row>
    <row r="2498">
      <c r="B2498" s="1" t="s">
        <v>2916</v>
      </c>
      <c r="C2498" s="1" t="s">
        <v>687</v>
      </c>
      <c r="D2498" s="1" t="s">
        <v>3525</v>
      </c>
      <c r="E2498" s="1" t="s">
        <v>4786</v>
      </c>
      <c r="F2498" s="1" t="s">
        <v>1147</v>
      </c>
      <c r="I2498" s="1" t="s">
        <v>4048</v>
      </c>
    </row>
    <row r="2499">
      <c r="B2499" s="1" t="s">
        <v>2923</v>
      </c>
      <c r="C2499" s="1" t="s">
        <v>5653</v>
      </c>
      <c r="D2499" s="1" t="s">
        <v>5169</v>
      </c>
      <c r="E2499" s="1" t="s">
        <v>3651</v>
      </c>
      <c r="F2499" s="1" t="s">
        <v>1152</v>
      </c>
      <c r="I2499" s="1" t="s">
        <v>5708</v>
      </c>
    </row>
    <row r="2500">
      <c r="B2500" s="1" t="s">
        <v>1904</v>
      </c>
      <c r="C2500" s="1" t="s">
        <v>4556</v>
      </c>
      <c r="D2500" s="1" t="s">
        <v>1558</v>
      </c>
      <c r="E2500" s="1" t="s">
        <v>6691</v>
      </c>
      <c r="F2500" s="1" t="s">
        <v>1496</v>
      </c>
      <c r="I2500" s="1">
        <v>83.0</v>
      </c>
    </row>
    <row r="2501">
      <c r="B2501" s="1" t="s">
        <v>5647</v>
      </c>
      <c r="C2501" s="1" t="s">
        <v>6105</v>
      </c>
      <c r="D2501" s="1" t="s">
        <v>4144</v>
      </c>
      <c r="E2501" s="1" t="s">
        <v>6692</v>
      </c>
      <c r="F2501" s="1" t="s">
        <v>3109</v>
      </c>
      <c r="I2501" s="1" t="s">
        <v>4424</v>
      </c>
    </row>
    <row r="2502">
      <c r="B2502" s="1" t="s">
        <v>5649</v>
      </c>
      <c r="C2502" s="1" t="s">
        <v>1011</v>
      </c>
      <c r="D2502" s="1" t="s">
        <v>1234</v>
      </c>
      <c r="E2502" s="1" t="s">
        <v>5300</v>
      </c>
      <c r="F2502" s="1" t="s">
        <v>5530</v>
      </c>
      <c r="I2502" s="1" t="s">
        <v>78</v>
      </c>
    </row>
    <row r="2503">
      <c r="B2503" s="1" t="s">
        <v>5651</v>
      </c>
      <c r="C2503" s="1" t="s">
        <v>6107</v>
      </c>
      <c r="D2503" s="1" t="s">
        <v>5171</v>
      </c>
      <c r="E2503" s="1" t="s">
        <v>5456</v>
      </c>
      <c r="F2503" s="1" t="s">
        <v>4030</v>
      </c>
      <c r="I2503" s="1" t="s">
        <v>5716</v>
      </c>
    </row>
    <row r="2504">
      <c r="B2504" s="1" t="s">
        <v>5653</v>
      </c>
      <c r="C2504" s="1" t="s">
        <v>720</v>
      </c>
      <c r="D2504" s="1" t="s">
        <v>1240</v>
      </c>
      <c r="E2504" s="1" t="s">
        <v>3694</v>
      </c>
      <c r="F2504" s="1" t="s">
        <v>5070</v>
      </c>
      <c r="I2504" s="1" t="s">
        <v>4102</v>
      </c>
    </row>
    <row r="2505">
      <c r="B2505" s="1" t="s">
        <v>5655</v>
      </c>
      <c r="C2505" s="1" t="s">
        <v>5591</v>
      </c>
      <c r="D2505" s="1" t="s">
        <v>3528</v>
      </c>
      <c r="E2505" s="1" t="s">
        <v>6694</v>
      </c>
      <c r="F2505" s="1" t="s">
        <v>1510</v>
      </c>
      <c r="I2505" s="1" t="s">
        <v>4689</v>
      </c>
    </row>
    <row r="2506">
      <c r="B2506" s="1" t="s">
        <v>4703</v>
      </c>
      <c r="C2506" s="1" t="s">
        <v>4242</v>
      </c>
      <c r="D2506" s="1" t="s">
        <v>5098</v>
      </c>
      <c r="E2506" s="1" t="s">
        <v>2550</v>
      </c>
      <c r="F2506" s="1" t="s">
        <v>4644</v>
      </c>
      <c r="I2506" s="1" t="s">
        <v>3443</v>
      </c>
    </row>
    <row r="2507">
      <c r="B2507" s="1" t="s">
        <v>2929</v>
      </c>
      <c r="C2507" s="1" t="s">
        <v>5808</v>
      </c>
      <c r="D2507" s="1" t="s">
        <v>2693</v>
      </c>
      <c r="E2507" s="1" t="s">
        <v>3173</v>
      </c>
      <c r="F2507" s="1" t="s">
        <v>1158</v>
      </c>
      <c r="I2507" s="1" t="s">
        <v>6113</v>
      </c>
    </row>
    <row r="2508">
      <c r="B2508" s="1" t="s">
        <v>3865</v>
      </c>
      <c r="C2508" s="1" t="s">
        <v>4865</v>
      </c>
      <c r="D2508" s="1" t="s">
        <v>4411</v>
      </c>
      <c r="E2508" s="1" t="s">
        <v>6759</v>
      </c>
      <c r="F2508" s="1" t="s">
        <v>4034</v>
      </c>
      <c r="I2508" s="1" t="s">
        <v>5097</v>
      </c>
    </row>
    <row r="2509">
      <c r="B2509" s="1" t="s">
        <v>5658</v>
      </c>
      <c r="C2509" s="1" t="s">
        <v>5123</v>
      </c>
      <c r="D2509" s="1" t="s">
        <v>4149</v>
      </c>
      <c r="E2509" s="1" t="s">
        <v>6760</v>
      </c>
      <c r="F2509" s="1" t="s">
        <v>5866</v>
      </c>
      <c r="I2509" s="1" t="s">
        <v>4984</v>
      </c>
    </row>
    <row r="2510">
      <c r="B2510" s="1" t="s">
        <v>5659</v>
      </c>
      <c r="C2510" s="1" t="s">
        <v>5563</v>
      </c>
      <c r="D2510" s="1" t="s">
        <v>3359</v>
      </c>
      <c r="E2510" s="1">
        <v>500.0</v>
      </c>
      <c r="F2510" s="1" t="s">
        <v>4037</v>
      </c>
      <c r="I2510" s="1" t="s">
        <v>4460</v>
      </c>
    </row>
    <row r="2511">
      <c r="B2511" s="1" t="s">
        <v>4706</v>
      </c>
      <c r="C2511" s="1" t="s">
        <v>6109</v>
      </c>
      <c r="D2511" s="1" t="s">
        <v>3924</v>
      </c>
      <c r="E2511" s="1" t="s">
        <v>3260</v>
      </c>
      <c r="F2511" s="1" t="s">
        <v>3433</v>
      </c>
      <c r="I2511" s="1" t="s">
        <v>5726</v>
      </c>
    </row>
    <row r="2512">
      <c r="B2512" s="1" t="s">
        <v>1681</v>
      </c>
      <c r="C2512" s="1" t="s">
        <v>5372</v>
      </c>
      <c r="D2512" s="1" t="s">
        <v>1347</v>
      </c>
      <c r="E2512" s="1" t="s">
        <v>5307</v>
      </c>
      <c r="F2512" s="1" t="s">
        <v>4042</v>
      </c>
      <c r="I2512" s="1" t="s">
        <v>2481</v>
      </c>
    </row>
    <row r="2513">
      <c r="B2513" s="1" t="s">
        <v>5661</v>
      </c>
      <c r="C2513" s="1" t="s">
        <v>6110</v>
      </c>
      <c r="D2513" s="1" t="s">
        <v>2334</v>
      </c>
      <c r="E2513" s="1" t="s">
        <v>3701</v>
      </c>
      <c r="F2513" s="1" t="s">
        <v>1180</v>
      </c>
      <c r="I2513" s="1" t="s">
        <v>3450</v>
      </c>
    </row>
    <row r="2514">
      <c r="B2514" s="1" t="s">
        <v>5662</v>
      </c>
      <c r="C2514" s="1" t="s">
        <v>3486</v>
      </c>
      <c r="D2514" s="1" t="s">
        <v>3779</v>
      </c>
      <c r="E2514" s="1" t="s">
        <v>2885</v>
      </c>
      <c r="F2514" s="1" t="s">
        <v>6761</v>
      </c>
      <c r="I2514" s="1" t="s">
        <v>5100</v>
      </c>
    </row>
    <row r="2515">
      <c r="B2515" s="1" t="s">
        <v>4711</v>
      </c>
      <c r="C2515" s="1" t="s">
        <v>5663</v>
      </c>
      <c r="D2515" s="1" t="s">
        <v>1244</v>
      </c>
      <c r="E2515" s="1" t="s">
        <v>6696</v>
      </c>
      <c r="F2515" s="1" t="s">
        <v>6757</v>
      </c>
      <c r="I2515" s="1" t="s">
        <v>6762</v>
      </c>
    </row>
    <row r="2516">
      <c r="B2516" s="1" t="s">
        <v>5663</v>
      </c>
      <c r="C2516" s="1" t="s">
        <v>390</v>
      </c>
      <c r="D2516" s="1" t="s">
        <v>1251</v>
      </c>
      <c r="E2516" s="1" t="s">
        <v>4807</v>
      </c>
      <c r="F2516" s="1" t="s">
        <v>4047</v>
      </c>
      <c r="I2516" s="1" t="s">
        <v>6763</v>
      </c>
    </row>
    <row r="2517">
      <c r="B2517" s="1" t="s">
        <v>4683</v>
      </c>
      <c r="C2517" s="1" t="s">
        <v>693</v>
      </c>
      <c r="D2517" s="1" t="s">
        <v>4262</v>
      </c>
      <c r="E2517" s="1" t="s">
        <v>4806</v>
      </c>
      <c r="F2517" s="1" t="s">
        <v>4048</v>
      </c>
      <c r="I2517" s="1" t="s">
        <v>3899</v>
      </c>
    </row>
    <row r="2518">
      <c r="B2518" s="1" t="s">
        <v>2948</v>
      </c>
      <c r="C2518" s="1" t="s">
        <v>6112</v>
      </c>
      <c r="D2518" s="1" t="s">
        <v>5665</v>
      </c>
      <c r="E2518" s="1" t="s">
        <v>4073</v>
      </c>
      <c r="F2518" s="1" t="s">
        <v>5706</v>
      </c>
      <c r="I2518" s="1" t="s">
        <v>5238</v>
      </c>
    </row>
    <row r="2519">
      <c r="B2519" s="1" t="s">
        <v>5666</v>
      </c>
      <c r="C2519" s="1" t="s">
        <v>1523</v>
      </c>
      <c r="D2519" s="1" t="s">
        <v>1563</v>
      </c>
      <c r="E2519" s="1" t="s">
        <v>6688</v>
      </c>
      <c r="F2519" s="1">
        <v>83.0</v>
      </c>
      <c r="I2519" s="1" t="s">
        <v>3668</v>
      </c>
    </row>
    <row r="2520">
      <c r="B2520" s="1" t="s">
        <v>1639</v>
      </c>
      <c r="C2520" s="1" t="s">
        <v>6113</v>
      </c>
      <c r="D2520" s="1" t="s">
        <v>2341</v>
      </c>
      <c r="E2520" s="1" t="s">
        <v>6764</v>
      </c>
      <c r="F2520" s="1" t="s">
        <v>1163</v>
      </c>
      <c r="I2520" s="1" t="s">
        <v>3454</v>
      </c>
    </row>
    <row r="2521">
      <c r="B2521" s="1" t="s">
        <v>1645</v>
      </c>
      <c r="C2521" s="1" t="s">
        <v>1098</v>
      </c>
      <c r="D2521" s="1" t="s">
        <v>1259</v>
      </c>
      <c r="E2521" s="1" t="s">
        <v>6697</v>
      </c>
      <c r="F2521" s="1" t="s">
        <v>5756</v>
      </c>
      <c r="I2521" s="1" t="s">
        <v>6765</v>
      </c>
    </row>
    <row r="2522">
      <c r="B2522" s="1" t="s">
        <v>4726</v>
      </c>
      <c r="C2522" s="1" t="s">
        <v>4436</v>
      </c>
      <c r="D2522" s="1" t="s">
        <v>1945</v>
      </c>
      <c r="E2522" s="1" t="s">
        <v>4810</v>
      </c>
      <c r="F2522" s="1" t="s">
        <v>4050</v>
      </c>
      <c r="I2522" s="1" t="s">
        <v>3457</v>
      </c>
    </row>
    <row r="2523">
      <c r="B2523" s="1" t="s">
        <v>5669</v>
      </c>
      <c r="C2523" s="1" t="s">
        <v>3709</v>
      </c>
      <c r="D2523" s="1" t="s">
        <v>4160</v>
      </c>
      <c r="E2523" s="1" t="s">
        <v>6690</v>
      </c>
      <c r="F2523" s="1" t="s">
        <v>4424</v>
      </c>
      <c r="I2523" s="1" t="s">
        <v>2472</v>
      </c>
    </row>
    <row r="2524">
      <c r="B2524" s="1" t="s">
        <v>757</v>
      </c>
      <c r="C2524" s="1" t="s">
        <v>1132</v>
      </c>
      <c r="D2524" s="1" t="s">
        <v>5405</v>
      </c>
      <c r="E2524" s="1" t="s">
        <v>5315</v>
      </c>
      <c r="F2524" s="1" t="s">
        <v>78</v>
      </c>
      <c r="I2524" s="1" t="s">
        <v>5103</v>
      </c>
    </row>
    <row r="2525">
      <c r="B2525" s="1" t="s">
        <v>2961</v>
      </c>
      <c r="C2525" s="1" t="s">
        <v>5744</v>
      </c>
      <c r="D2525" s="1" t="s">
        <v>3542</v>
      </c>
      <c r="E2525" s="1" t="s">
        <v>4812</v>
      </c>
      <c r="F2525" s="1" t="s">
        <v>6766</v>
      </c>
      <c r="I2525" s="1" t="s">
        <v>1585</v>
      </c>
    </row>
    <row r="2526">
      <c r="B2526" s="1" t="s">
        <v>2965</v>
      </c>
      <c r="C2526" s="1" t="s">
        <v>2373</v>
      </c>
      <c r="D2526" s="1" t="s">
        <v>4162</v>
      </c>
      <c r="E2526" s="1" t="s">
        <v>3272</v>
      </c>
      <c r="F2526" s="1" t="s">
        <v>2232</v>
      </c>
      <c r="I2526" s="1" t="s">
        <v>6767</v>
      </c>
    </row>
    <row r="2527">
      <c r="B2527" s="1" t="s">
        <v>5672</v>
      </c>
      <c r="C2527" s="1" t="s">
        <v>6117</v>
      </c>
      <c r="D2527" s="1" t="s">
        <v>3547</v>
      </c>
      <c r="E2527" s="1" t="s">
        <v>1334</v>
      </c>
      <c r="F2527" s="1" t="s">
        <v>5716</v>
      </c>
      <c r="I2527" s="1" t="s">
        <v>6768</v>
      </c>
    </row>
    <row r="2528">
      <c r="B2528" s="1" t="s">
        <v>441</v>
      </c>
      <c r="C2528" s="1" t="s">
        <v>382</v>
      </c>
      <c r="D2528" s="1" t="s">
        <v>4164</v>
      </c>
      <c r="E2528" s="1" t="s">
        <v>3710</v>
      </c>
      <c r="F2528" s="1" t="s">
        <v>4102</v>
      </c>
      <c r="I2528" s="1" t="s">
        <v>6769</v>
      </c>
    </row>
    <row r="2529">
      <c r="B2529" s="1" t="s">
        <v>5673</v>
      </c>
      <c r="C2529" s="1" t="s">
        <v>3785</v>
      </c>
      <c r="D2529" s="1" t="s">
        <v>251</v>
      </c>
      <c r="E2529" s="1" t="s">
        <v>262</v>
      </c>
      <c r="F2529" s="1" t="s">
        <v>4689</v>
      </c>
      <c r="I2529" s="1">
        <v>1980.0</v>
      </c>
    </row>
    <row r="2530">
      <c r="B2530" s="1" t="s">
        <v>5675</v>
      </c>
      <c r="C2530" s="1" t="s">
        <v>766</v>
      </c>
      <c r="D2530" s="1" t="s">
        <v>1270</v>
      </c>
      <c r="E2530" s="1" t="s">
        <v>6699</v>
      </c>
      <c r="F2530" s="1" t="s">
        <v>3443</v>
      </c>
      <c r="I2530" s="1" t="s">
        <v>5111</v>
      </c>
    </row>
    <row r="2531">
      <c r="B2531" s="1" t="s">
        <v>1651</v>
      </c>
      <c r="C2531" s="1" t="s">
        <v>1896</v>
      </c>
      <c r="D2531" s="1" t="s">
        <v>1277</v>
      </c>
      <c r="E2531" s="1" t="s">
        <v>5314</v>
      </c>
      <c r="F2531" s="1" t="s">
        <v>1656</v>
      </c>
      <c r="I2531" s="1" t="s">
        <v>6770</v>
      </c>
    </row>
    <row r="2532">
      <c r="B2532" s="1" t="s">
        <v>4739</v>
      </c>
      <c r="C2532" s="1" t="s">
        <v>4789</v>
      </c>
      <c r="D2532" s="1" t="s">
        <v>2353</v>
      </c>
      <c r="E2532" s="1" t="s">
        <v>2971</v>
      </c>
      <c r="F2532" s="1" t="s">
        <v>2481</v>
      </c>
      <c r="I2532" s="1" t="s">
        <v>4074</v>
      </c>
    </row>
    <row r="2533">
      <c r="B2533" s="1" t="s">
        <v>4743</v>
      </c>
      <c r="C2533" s="1" t="s">
        <v>691</v>
      </c>
      <c r="D2533" s="1" t="s">
        <v>2356</v>
      </c>
      <c r="E2533" s="1" t="s">
        <v>2647</v>
      </c>
      <c r="F2533" s="1" t="s">
        <v>5559</v>
      </c>
      <c r="I2533" s="1" t="s">
        <v>3464</v>
      </c>
    </row>
    <row r="2534">
      <c r="B2534" s="1" t="s">
        <v>5676</v>
      </c>
      <c r="C2534" s="1" t="s">
        <v>6119</v>
      </c>
      <c r="D2534" s="1" t="s">
        <v>1284</v>
      </c>
      <c r="E2534" s="1">
        <v>1899.0</v>
      </c>
      <c r="F2534" s="1" t="s">
        <v>2873</v>
      </c>
      <c r="I2534" s="1" t="s">
        <v>4344</v>
      </c>
    </row>
    <row r="2535">
      <c r="B2535" s="1" t="s">
        <v>2975</v>
      </c>
      <c r="C2535" s="1" t="s">
        <v>6120</v>
      </c>
      <c r="D2535" s="1" t="s">
        <v>2234</v>
      </c>
      <c r="E2535" s="1" t="s">
        <v>5969</v>
      </c>
      <c r="F2535" s="1" t="s">
        <v>5562</v>
      </c>
      <c r="I2535" s="1" t="s">
        <v>3471</v>
      </c>
    </row>
    <row r="2536">
      <c r="B2536" s="1" t="s">
        <v>5408</v>
      </c>
      <c r="C2536" s="1" t="s">
        <v>6121</v>
      </c>
      <c r="D2536" s="1" t="s">
        <v>4179</v>
      </c>
      <c r="E2536" s="1" t="s">
        <v>6695</v>
      </c>
      <c r="F2536" s="1" t="s">
        <v>3668</v>
      </c>
      <c r="I2536" s="1" t="s">
        <v>390</v>
      </c>
    </row>
    <row r="2537">
      <c r="B2537" s="1" t="s">
        <v>4746</v>
      </c>
      <c r="C2537" s="1" t="s">
        <v>6122</v>
      </c>
      <c r="D2537" s="1" t="s">
        <v>5197</v>
      </c>
      <c r="E2537" s="1" t="s">
        <v>5477</v>
      </c>
      <c r="F2537" s="1" t="s">
        <v>2235</v>
      </c>
      <c r="I2537" s="1" t="s">
        <v>5326</v>
      </c>
    </row>
    <row r="2538">
      <c r="B2538" s="1" t="s">
        <v>1785</v>
      </c>
      <c r="C2538" s="1" t="s">
        <v>3967</v>
      </c>
      <c r="D2538" s="1" t="s">
        <v>675</v>
      </c>
      <c r="E2538" s="1" t="s">
        <v>2668</v>
      </c>
      <c r="F2538" s="1" t="s">
        <v>4198</v>
      </c>
      <c r="I2538" s="1" t="s">
        <v>5030</v>
      </c>
    </row>
    <row r="2539">
      <c r="B2539" s="1" t="s">
        <v>4747</v>
      </c>
      <c r="C2539" s="1" t="s">
        <v>1652</v>
      </c>
      <c r="D2539" s="1" t="s">
        <v>4181</v>
      </c>
      <c r="E2539" s="1" t="s">
        <v>6700</v>
      </c>
      <c r="F2539" s="1" t="s">
        <v>3454</v>
      </c>
      <c r="I2539" s="1" t="s">
        <v>1523</v>
      </c>
    </row>
    <row r="2540">
      <c r="B2540" s="1">
        <v>451.0</v>
      </c>
      <c r="C2540" s="1" t="s">
        <v>3861</v>
      </c>
      <c r="D2540" s="1" t="s">
        <v>983</v>
      </c>
      <c r="E2540" s="1" t="s">
        <v>5331</v>
      </c>
      <c r="F2540" s="1" t="s">
        <v>2239</v>
      </c>
      <c r="I2540" s="1" t="s">
        <v>4096</v>
      </c>
    </row>
    <row r="2541">
      <c r="B2541" s="1" t="s">
        <v>1946</v>
      </c>
      <c r="C2541" s="1" t="s">
        <v>1035</v>
      </c>
      <c r="D2541" s="1" t="s">
        <v>4290</v>
      </c>
      <c r="E2541" s="1" t="s">
        <v>4666</v>
      </c>
      <c r="F2541" s="1" t="s">
        <v>4058</v>
      </c>
      <c r="I2541" s="1" t="s">
        <v>4097</v>
      </c>
    </row>
    <row r="2542">
      <c r="B2542" s="1" t="s">
        <v>1873</v>
      </c>
      <c r="C2542" s="1" t="s">
        <v>1584</v>
      </c>
      <c r="D2542" s="1" t="s">
        <v>5499</v>
      </c>
      <c r="E2542" s="1" t="s">
        <v>4413</v>
      </c>
      <c r="F2542" s="1" t="s">
        <v>5103</v>
      </c>
      <c r="I2542" s="1" t="s">
        <v>5055</v>
      </c>
    </row>
    <row r="2543">
      <c r="B2543" s="1">
        <v>1957.0</v>
      </c>
      <c r="C2543" s="1" t="s">
        <v>1738</v>
      </c>
      <c r="D2543" s="1" t="s">
        <v>3563</v>
      </c>
      <c r="E2543" s="1" t="s">
        <v>3217</v>
      </c>
      <c r="F2543" s="1" t="s">
        <v>2472</v>
      </c>
      <c r="I2543" s="1" t="s">
        <v>4100</v>
      </c>
    </row>
    <row r="2544">
      <c r="B2544" s="1" t="s">
        <v>644</v>
      </c>
      <c r="C2544" s="1" t="s">
        <v>5865</v>
      </c>
      <c r="D2544" s="1" t="s">
        <v>3565</v>
      </c>
      <c r="E2544" s="1" t="s">
        <v>6698</v>
      </c>
      <c r="F2544" s="1" t="s">
        <v>1516</v>
      </c>
      <c r="I2544" s="1" t="s">
        <v>2947</v>
      </c>
    </row>
    <row r="2545">
      <c r="B2545" s="1" t="s">
        <v>3878</v>
      </c>
      <c r="C2545" s="1" t="s">
        <v>5566</v>
      </c>
      <c r="D2545" s="1" t="s">
        <v>5683</v>
      </c>
      <c r="E2545" s="1" t="s">
        <v>4931</v>
      </c>
      <c r="F2545" s="1" t="s">
        <v>6767</v>
      </c>
      <c r="I2545" s="1" t="s">
        <v>6771</v>
      </c>
    </row>
    <row r="2546">
      <c r="B2546" s="1" t="s">
        <v>2984</v>
      </c>
      <c r="C2546" s="1" t="s">
        <v>6123</v>
      </c>
      <c r="D2546" s="1" t="s">
        <v>4185</v>
      </c>
      <c r="E2546" s="1" t="s">
        <v>4836</v>
      </c>
      <c r="F2546" s="1" t="s">
        <v>2242</v>
      </c>
      <c r="I2546" s="1" t="s">
        <v>3659</v>
      </c>
    </row>
    <row r="2547">
      <c r="B2547" s="1" t="s">
        <v>5685</v>
      </c>
      <c r="C2547" s="1" t="s">
        <v>1984</v>
      </c>
      <c r="D2547" s="1" t="s">
        <v>5207</v>
      </c>
      <c r="E2547" s="1" t="s">
        <v>3177</v>
      </c>
      <c r="F2547" s="1" t="s">
        <v>4065</v>
      </c>
      <c r="I2547" s="1" t="s">
        <v>2727</v>
      </c>
    </row>
    <row r="2548">
      <c r="B2548" s="1" t="s">
        <v>227</v>
      </c>
      <c r="C2548" s="1" t="s">
        <v>2777</v>
      </c>
      <c r="D2548" s="1" t="s">
        <v>5688</v>
      </c>
      <c r="E2548" s="1" t="s">
        <v>3918</v>
      </c>
      <c r="F2548" s="1" t="s">
        <v>2244</v>
      </c>
      <c r="I2548" s="1" t="s">
        <v>6772</v>
      </c>
    </row>
    <row r="2549">
      <c r="B2549" s="1" t="s">
        <v>4754</v>
      </c>
      <c r="C2549" s="1" t="s">
        <v>4855</v>
      </c>
      <c r="D2549" s="1" t="s">
        <v>4187</v>
      </c>
      <c r="E2549" s="1" t="s">
        <v>6773</v>
      </c>
      <c r="F2549" s="1" t="s">
        <v>2245</v>
      </c>
      <c r="I2549" s="1" t="s">
        <v>6774</v>
      </c>
    </row>
    <row r="2550">
      <c r="B2550" s="1" t="s">
        <v>5689</v>
      </c>
      <c r="C2550" s="1" t="s">
        <v>992</v>
      </c>
      <c r="D2550" s="1" t="s">
        <v>5212</v>
      </c>
      <c r="E2550" s="1" t="s">
        <v>3700</v>
      </c>
      <c r="F2550" s="1" t="s">
        <v>5110</v>
      </c>
      <c r="I2550" s="1">
        <v>13.0</v>
      </c>
    </row>
    <row r="2551">
      <c r="B2551" s="1" t="s">
        <v>2993</v>
      </c>
      <c r="C2551" s="1" t="s">
        <v>3828</v>
      </c>
      <c r="D2551" s="1" t="s">
        <v>1581</v>
      </c>
      <c r="E2551" s="1" t="s">
        <v>4275</v>
      </c>
      <c r="F2551" s="1" t="s">
        <v>5111</v>
      </c>
      <c r="I2551" s="1" t="s">
        <v>4410</v>
      </c>
    </row>
    <row r="2552">
      <c r="B2552" s="1" t="s">
        <v>2989</v>
      </c>
      <c r="C2552" s="1" t="s">
        <v>4797</v>
      </c>
      <c r="D2552" s="1" t="s">
        <v>994</v>
      </c>
      <c r="E2552" s="1" t="s">
        <v>4103</v>
      </c>
      <c r="F2552" s="1" t="s">
        <v>2248</v>
      </c>
      <c r="I2552" s="1" t="s">
        <v>6775</v>
      </c>
    </row>
    <row r="2553">
      <c r="B2553" s="1" t="s">
        <v>4756</v>
      </c>
      <c r="C2553" s="1" t="s">
        <v>224</v>
      </c>
      <c r="D2553" s="1" t="s">
        <v>4367</v>
      </c>
      <c r="E2553" s="1" t="s">
        <v>3731</v>
      </c>
      <c r="F2553" s="1" t="s">
        <v>4071</v>
      </c>
      <c r="I2553" s="1" t="s">
        <v>5144</v>
      </c>
    </row>
    <row r="2554">
      <c r="B2554" s="1" t="s">
        <v>4294</v>
      </c>
      <c r="C2554" s="1" t="s">
        <v>952</v>
      </c>
      <c r="D2554" s="1" t="s">
        <v>1295</v>
      </c>
      <c r="E2554" s="1" t="s">
        <v>1499</v>
      </c>
      <c r="F2554" s="1" t="s">
        <v>4072</v>
      </c>
      <c r="I2554" s="1">
        <v>300.0</v>
      </c>
    </row>
    <row r="2555">
      <c r="B2555" s="1" t="s">
        <v>5479</v>
      </c>
      <c r="C2555" s="1" t="s">
        <v>1010</v>
      </c>
      <c r="D2555" s="1" t="s">
        <v>2367</v>
      </c>
      <c r="E2555" s="1" t="s">
        <v>3301</v>
      </c>
      <c r="F2555" s="1" t="s">
        <v>4074</v>
      </c>
      <c r="I2555" s="1" t="s">
        <v>5460</v>
      </c>
    </row>
    <row r="2556">
      <c r="B2556" s="1" t="s">
        <v>2997</v>
      </c>
      <c r="C2556" s="1" t="s">
        <v>4627</v>
      </c>
      <c r="D2556" s="1" t="s">
        <v>4194</v>
      </c>
      <c r="E2556" s="1" t="s">
        <v>4840</v>
      </c>
      <c r="F2556" s="1" t="s">
        <v>3464</v>
      </c>
      <c r="I2556" s="1" t="s">
        <v>4844</v>
      </c>
    </row>
    <row r="2557">
      <c r="B2557" s="1" t="s">
        <v>4759</v>
      </c>
      <c r="C2557" s="1" t="s">
        <v>5437</v>
      </c>
      <c r="D2557" s="1" t="s">
        <v>2370</v>
      </c>
      <c r="E2557" s="1" t="s">
        <v>4843</v>
      </c>
      <c r="F2557" s="1" t="s">
        <v>176</v>
      </c>
      <c r="I2557" s="1" t="s">
        <v>6776</v>
      </c>
    </row>
    <row r="2558">
      <c r="B2558" s="1" t="s">
        <v>1729</v>
      </c>
      <c r="C2558" s="1" t="s">
        <v>4440</v>
      </c>
      <c r="D2558" s="1">
        <v>1986.0</v>
      </c>
      <c r="E2558" s="1" t="s">
        <v>3743</v>
      </c>
      <c r="F2558" s="1" t="s">
        <v>2256</v>
      </c>
      <c r="I2558" s="1" t="s">
        <v>1530</v>
      </c>
    </row>
    <row r="2559">
      <c r="B2559" s="1" t="s">
        <v>4762</v>
      </c>
      <c r="C2559" s="1" t="s">
        <v>763</v>
      </c>
      <c r="D2559" s="1" t="s">
        <v>5693</v>
      </c>
      <c r="E2559" s="1" t="s">
        <v>5829</v>
      </c>
      <c r="F2559" s="1" t="s">
        <v>1176</v>
      </c>
      <c r="I2559" s="1" t="s">
        <v>3500</v>
      </c>
    </row>
    <row r="2560">
      <c r="B2560" s="1" t="s">
        <v>4766</v>
      </c>
      <c r="C2560" s="1" t="s">
        <v>1473</v>
      </c>
      <c r="D2560" s="1" t="s">
        <v>5222</v>
      </c>
      <c r="E2560" s="1" t="s">
        <v>4372</v>
      </c>
      <c r="F2560" s="1" t="s">
        <v>4079</v>
      </c>
      <c r="I2560" s="1" t="s">
        <v>5617</v>
      </c>
    </row>
    <row r="2561">
      <c r="B2561" s="1" t="s">
        <v>5694</v>
      </c>
      <c r="C2561" s="1" t="s">
        <v>444</v>
      </c>
      <c r="D2561" s="1" t="s">
        <v>1073</v>
      </c>
      <c r="E2561" s="1" t="s">
        <v>1609</v>
      </c>
      <c r="F2561" s="1" t="s">
        <v>4344</v>
      </c>
      <c r="I2561" s="1" t="s">
        <v>6777</v>
      </c>
    </row>
    <row r="2562">
      <c r="B2562" s="1" t="s">
        <v>5695</v>
      </c>
      <c r="C2562" s="1" t="s">
        <v>5785</v>
      </c>
      <c r="D2562" s="1" t="s">
        <v>5226</v>
      </c>
      <c r="E2562" s="1" t="s">
        <v>6701</v>
      </c>
      <c r="F2562" s="1" t="s">
        <v>4081</v>
      </c>
      <c r="I2562" s="1" t="s">
        <v>6778</v>
      </c>
    </row>
    <row r="2563">
      <c r="B2563" s="1" t="s">
        <v>4769</v>
      </c>
      <c r="C2563" s="1" t="s">
        <v>304</v>
      </c>
      <c r="D2563" s="1" t="s">
        <v>1300</v>
      </c>
      <c r="E2563" s="1" t="s">
        <v>1368</v>
      </c>
      <c r="F2563" s="1" t="s">
        <v>3467</v>
      </c>
      <c r="I2563" s="1" t="s">
        <v>1860</v>
      </c>
    </row>
    <row r="2564">
      <c r="B2564" s="1" t="s">
        <v>3004</v>
      </c>
      <c r="C2564" s="1" t="s">
        <v>715</v>
      </c>
      <c r="D2564" s="1" t="s">
        <v>5229</v>
      </c>
      <c r="E2564" s="1" t="s">
        <v>3309</v>
      </c>
      <c r="F2564" s="1" t="s">
        <v>4082</v>
      </c>
      <c r="I2564" s="1" t="s">
        <v>3506</v>
      </c>
    </row>
    <row r="2565">
      <c r="B2565" s="1" t="s">
        <v>1900</v>
      </c>
      <c r="C2565" s="1" t="s">
        <v>6131</v>
      </c>
      <c r="D2565" s="1" t="s">
        <v>2379</v>
      </c>
      <c r="E2565" s="1" t="s">
        <v>4459</v>
      </c>
      <c r="F2565" s="1" t="s">
        <v>3471</v>
      </c>
      <c r="I2565" s="1" t="s">
        <v>5956</v>
      </c>
    </row>
    <row r="2566">
      <c r="B2566" s="1" t="s">
        <v>4774</v>
      </c>
      <c r="C2566" s="1" t="s">
        <v>2939</v>
      </c>
      <c r="D2566" s="1" t="s">
        <v>4199</v>
      </c>
      <c r="E2566" s="1" t="s">
        <v>3161</v>
      </c>
      <c r="F2566" s="1" t="s">
        <v>390</v>
      </c>
      <c r="I2566" s="1" t="s">
        <v>2674</v>
      </c>
    </row>
    <row r="2567">
      <c r="B2567" s="1" t="s">
        <v>4673</v>
      </c>
      <c r="C2567" s="1" t="s">
        <v>5906</v>
      </c>
      <c r="D2567" s="1" t="s">
        <v>4201</v>
      </c>
      <c r="E2567" s="1" t="s">
        <v>3759</v>
      </c>
      <c r="F2567" s="1" t="s">
        <v>3478</v>
      </c>
      <c r="I2567" s="1" t="s">
        <v>3510</v>
      </c>
    </row>
    <row r="2568">
      <c r="B2568" s="1" t="s">
        <v>4781</v>
      </c>
      <c r="C2568" s="1" t="s">
        <v>641</v>
      </c>
      <c r="D2568" s="1" t="s">
        <v>5699</v>
      </c>
      <c r="E2568" s="1" t="s">
        <v>3761</v>
      </c>
      <c r="F2568" s="1" t="s">
        <v>1183</v>
      </c>
      <c r="I2568" s="1" t="s">
        <v>6779</v>
      </c>
    </row>
    <row r="2569">
      <c r="B2569" s="1" t="s">
        <v>4783</v>
      </c>
      <c r="C2569" s="1" t="s">
        <v>5222</v>
      </c>
      <c r="D2569" s="1" t="s">
        <v>5233</v>
      </c>
      <c r="E2569" s="1" t="s">
        <v>1867</v>
      </c>
      <c r="F2569" s="1" t="s">
        <v>4087</v>
      </c>
      <c r="I2569" s="1" t="s">
        <v>6780</v>
      </c>
    </row>
    <row r="2570">
      <c r="B2570" s="1" t="s">
        <v>5700</v>
      </c>
      <c r="C2570" s="1" t="s">
        <v>644</v>
      </c>
      <c r="D2570" s="1" t="s">
        <v>2381</v>
      </c>
      <c r="E2570" s="1" t="s">
        <v>6703</v>
      </c>
      <c r="F2570" s="1" t="s">
        <v>2677</v>
      </c>
      <c r="I2570" s="1" t="s">
        <v>4024</v>
      </c>
    </row>
    <row r="2571">
      <c r="B2571" s="1" t="s">
        <v>5702</v>
      </c>
      <c r="C2571" s="1" t="s">
        <v>3731</v>
      </c>
      <c r="D2571" s="1" t="s">
        <v>1589</v>
      </c>
      <c r="E2571" s="1" t="s">
        <v>4864</v>
      </c>
      <c r="F2571" s="1" t="s">
        <v>2261</v>
      </c>
      <c r="I2571" s="1" t="s">
        <v>3758</v>
      </c>
    </row>
    <row r="2572">
      <c r="B2572" s="1" t="s">
        <v>1932</v>
      </c>
      <c r="C2572" s="1" t="s">
        <v>498</v>
      </c>
      <c r="D2572" s="1" t="s">
        <v>5705</v>
      </c>
      <c r="E2572" s="1" t="s">
        <v>6702</v>
      </c>
      <c r="F2572" s="1" t="s">
        <v>5123</v>
      </c>
      <c r="I2572" s="1" t="s">
        <v>3854</v>
      </c>
    </row>
    <row r="2573">
      <c r="B2573" s="1" t="s">
        <v>4792</v>
      </c>
      <c r="C2573" s="1" t="s">
        <v>3708</v>
      </c>
      <c r="D2573" s="1" t="s">
        <v>5236</v>
      </c>
      <c r="E2573" s="1" t="s">
        <v>1757</v>
      </c>
      <c r="F2573" s="1" t="s">
        <v>5030</v>
      </c>
      <c r="I2573" s="1" t="s">
        <v>6781</v>
      </c>
    </row>
    <row r="2574">
      <c r="B2574" s="1" t="s">
        <v>3021</v>
      </c>
      <c r="C2574" s="1" t="s">
        <v>6133</v>
      </c>
      <c r="D2574" s="1" t="s">
        <v>1173</v>
      </c>
      <c r="E2574" s="1" t="s">
        <v>6704</v>
      </c>
      <c r="F2574" s="1" t="s">
        <v>1191</v>
      </c>
      <c r="I2574" s="1" t="s">
        <v>1552</v>
      </c>
    </row>
    <row r="2575">
      <c r="B2575" s="1" t="s">
        <v>5709</v>
      </c>
      <c r="C2575" s="1" t="s">
        <v>2206</v>
      </c>
      <c r="D2575" s="1" t="s">
        <v>5239</v>
      </c>
      <c r="E2575" s="1" t="s">
        <v>2609</v>
      </c>
      <c r="F2575" s="1" t="s">
        <v>4092</v>
      </c>
      <c r="I2575" s="1" t="s">
        <v>4131</v>
      </c>
    </row>
    <row r="2576">
      <c r="B2576" s="1" t="s">
        <v>4796</v>
      </c>
      <c r="C2576" s="1" t="s">
        <v>6134</v>
      </c>
      <c r="D2576" s="1" t="s">
        <v>2387</v>
      </c>
      <c r="E2576" s="1" t="s">
        <v>1782</v>
      </c>
      <c r="F2576" s="1" t="s">
        <v>1523</v>
      </c>
      <c r="I2576" s="1" t="s">
        <v>3517</v>
      </c>
    </row>
    <row r="2577">
      <c r="B2577" s="1" t="s">
        <v>4799</v>
      </c>
      <c r="C2577" s="1" t="s">
        <v>5888</v>
      </c>
      <c r="D2577" s="1" t="s">
        <v>3572</v>
      </c>
      <c r="E2577" s="1" t="s">
        <v>2076</v>
      </c>
      <c r="F2577" s="1" t="s">
        <v>4096</v>
      </c>
      <c r="I2577" s="1" t="s">
        <v>4041</v>
      </c>
    </row>
    <row r="2578">
      <c r="B2578" s="1" t="s">
        <v>5710</v>
      </c>
      <c r="C2578" s="1" t="s">
        <v>5036</v>
      </c>
      <c r="D2578" s="1" t="s">
        <v>4204</v>
      </c>
      <c r="E2578" s="1" t="s">
        <v>5518</v>
      </c>
      <c r="F2578" s="1" t="s">
        <v>5055</v>
      </c>
      <c r="I2578" s="1" t="s">
        <v>6782</v>
      </c>
    </row>
    <row r="2579">
      <c r="B2579" s="1" t="s">
        <v>3681</v>
      </c>
      <c r="C2579" s="1" t="s">
        <v>6137</v>
      </c>
      <c r="D2579" s="1" t="s">
        <v>2390</v>
      </c>
      <c r="E2579" s="1" t="s">
        <v>1063</v>
      </c>
      <c r="F2579" s="1" t="s">
        <v>5597</v>
      </c>
      <c r="I2579" s="1" t="s">
        <v>4659</v>
      </c>
    </row>
    <row r="2580">
      <c r="B2580" s="1" t="s">
        <v>4805</v>
      </c>
      <c r="C2580" s="1" t="s">
        <v>1346</v>
      </c>
      <c r="D2580" s="1" t="s">
        <v>5714</v>
      </c>
      <c r="E2580" s="1" t="s">
        <v>1596</v>
      </c>
      <c r="F2580" s="1" t="s">
        <v>4100</v>
      </c>
      <c r="I2580" s="1" t="s">
        <v>6783</v>
      </c>
    </row>
    <row r="2581">
      <c r="B2581" s="1" t="s">
        <v>5715</v>
      </c>
      <c r="C2581" s="1" t="s">
        <v>818</v>
      </c>
      <c r="D2581" s="1" t="s">
        <v>4523</v>
      </c>
      <c r="E2581" s="1" t="s">
        <v>5523</v>
      </c>
      <c r="F2581" s="1" t="s">
        <v>4101</v>
      </c>
      <c r="I2581" s="1" t="s">
        <v>5164</v>
      </c>
    </row>
    <row r="2582">
      <c r="B2582" s="1" t="s">
        <v>3028</v>
      </c>
      <c r="C2582" s="1" t="s">
        <v>1160</v>
      </c>
      <c r="D2582" s="1" t="s">
        <v>3577</v>
      </c>
      <c r="E2582" s="1" t="s">
        <v>3310</v>
      </c>
      <c r="F2582" s="1" t="s">
        <v>1194</v>
      </c>
      <c r="I2582" s="1" t="s">
        <v>2324</v>
      </c>
    </row>
    <row r="2583">
      <c r="B2583" s="1" t="s">
        <v>5717</v>
      </c>
      <c r="C2583" s="1" t="s">
        <v>4799</v>
      </c>
      <c r="D2583" s="1" t="s">
        <v>4208</v>
      </c>
      <c r="E2583" s="1" t="s">
        <v>4364</v>
      </c>
      <c r="F2583" s="1" t="s">
        <v>2270</v>
      </c>
      <c r="I2583" s="1" t="s">
        <v>4713</v>
      </c>
    </row>
    <row r="2584">
      <c r="B2584" s="1" t="s">
        <v>4809</v>
      </c>
      <c r="C2584" s="1" t="s">
        <v>4285</v>
      </c>
      <c r="D2584" s="1" t="s">
        <v>1593</v>
      </c>
      <c r="E2584" s="1" t="s">
        <v>6705</v>
      </c>
      <c r="F2584" s="1" t="s">
        <v>2727</v>
      </c>
      <c r="I2584" s="1" t="s">
        <v>5690</v>
      </c>
    </row>
    <row r="2585">
      <c r="B2585" s="1" t="s">
        <v>5718</v>
      </c>
      <c r="C2585" s="1" t="s">
        <v>1455</v>
      </c>
      <c r="D2585" s="1" t="s">
        <v>5246</v>
      </c>
      <c r="E2585" s="1" t="s">
        <v>4879</v>
      </c>
      <c r="F2585" s="1" t="s">
        <v>3489</v>
      </c>
      <c r="I2585" s="1" t="s">
        <v>5607</v>
      </c>
    </row>
    <row r="2586">
      <c r="B2586" s="1" t="s">
        <v>1858</v>
      </c>
      <c r="C2586" s="1" t="s">
        <v>2021</v>
      </c>
      <c r="D2586" s="1" t="s">
        <v>5720</v>
      </c>
      <c r="E2586" s="1" t="s">
        <v>4419</v>
      </c>
      <c r="F2586" s="1" t="s">
        <v>4104</v>
      </c>
      <c r="I2586" s="1" t="s">
        <v>6496</v>
      </c>
    </row>
    <row r="2587">
      <c r="B2587" s="1" t="s">
        <v>4811</v>
      </c>
      <c r="C2587" s="1" t="s">
        <v>6144</v>
      </c>
      <c r="D2587" s="1" t="s">
        <v>5722</v>
      </c>
      <c r="E2587" s="1" t="s">
        <v>3316</v>
      </c>
      <c r="F2587" s="1" t="s">
        <v>2273</v>
      </c>
      <c r="I2587" s="1" t="s">
        <v>3338</v>
      </c>
    </row>
    <row r="2588">
      <c r="B2588" s="1" t="s">
        <v>5723</v>
      </c>
      <c r="C2588" s="1" t="s">
        <v>597</v>
      </c>
      <c r="D2588" s="1" t="s">
        <v>2394</v>
      </c>
      <c r="E2588" s="1" t="s">
        <v>4314</v>
      </c>
      <c r="F2588" s="1" t="s">
        <v>2275</v>
      </c>
      <c r="I2588" s="1" t="s">
        <v>1265</v>
      </c>
    </row>
    <row r="2589">
      <c r="B2589" s="1" t="s">
        <v>5201</v>
      </c>
      <c r="C2589" s="1" t="s">
        <v>4711</v>
      </c>
      <c r="D2589" s="1" t="s">
        <v>1834</v>
      </c>
      <c r="E2589" s="1" t="s">
        <v>6706</v>
      </c>
      <c r="F2589" s="1" t="s">
        <v>5988</v>
      </c>
      <c r="I2589" s="1" t="s">
        <v>6784</v>
      </c>
    </row>
    <row r="2590">
      <c r="B2590" s="1" t="s">
        <v>5725</v>
      </c>
      <c r="C2590" s="1" t="s">
        <v>6146</v>
      </c>
      <c r="D2590" s="1" t="s">
        <v>2397</v>
      </c>
      <c r="E2590" s="1" t="s">
        <v>4883</v>
      </c>
      <c r="F2590" s="1" t="s">
        <v>409</v>
      </c>
      <c r="I2590" s="1" t="s">
        <v>3531</v>
      </c>
    </row>
    <row r="2591">
      <c r="B2591" s="1" t="s">
        <v>4195</v>
      </c>
      <c r="C2591" s="1" t="s">
        <v>5854</v>
      </c>
      <c r="D2591" s="1" t="s">
        <v>4215</v>
      </c>
      <c r="E2591" s="1" t="s">
        <v>5527</v>
      </c>
      <c r="F2591" s="1" t="s">
        <v>2280</v>
      </c>
      <c r="I2591" s="1" t="s">
        <v>4411</v>
      </c>
    </row>
    <row r="2592">
      <c r="B2592" s="1" t="s">
        <v>3036</v>
      </c>
      <c r="C2592" s="1" t="s">
        <v>4265</v>
      </c>
      <c r="D2592" s="1" t="s">
        <v>5251</v>
      </c>
      <c r="E2592" s="1" t="s">
        <v>3788</v>
      </c>
      <c r="F2592" s="1" t="s">
        <v>4110</v>
      </c>
      <c r="I2592" s="1" t="s">
        <v>3359</v>
      </c>
    </row>
    <row r="2593">
      <c r="B2593" s="1" t="s">
        <v>3038</v>
      </c>
      <c r="C2593" s="1" t="s">
        <v>2109</v>
      </c>
      <c r="D2593" s="1" t="s">
        <v>969</v>
      </c>
      <c r="E2593" s="1" t="s">
        <v>988</v>
      </c>
      <c r="F2593" s="1">
        <v>13.0</v>
      </c>
      <c r="I2593" s="1">
        <v>1999.0</v>
      </c>
    </row>
    <row r="2594">
      <c r="B2594" s="1" t="s">
        <v>5727</v>
      </c>
      <c r="C2594" s="1" t="s">
        <v>3294</v>
      </c>
      <c r="D2594" s="1" t="s">
        <v>3585</v>
      </c>
      <c r="E2594" s="1" t="s">
        <v>3695</v>
      </c>
      <c r="F2594" s="1" t="s">
        <v>3494</v>
      </c>
      <c r="I2594" s="1" t="s">
        <v>6785</v>
      </c>
    </row>
    <row r="2595">
      <c r="B2595" s="1" t="s">
        <v>4817</v>
      </c>
      <c r="C2595" s="1" t="s">
        <v>4832</v>
      </c>
      <c r="D2595" s="1" t="s">
        <v>1315</v>
      </c>
      <c r="E2595" s="1" t="s">
        <v>4885</v>
      </c>
      <c r="F2595" s="1" t="s">
        <v>4111</v>
      </c>
      <c r="I2595" s="1" t="s">
        <v>6786</v>
      </c>
    </row>
    <row r="2596">
      <c r="B2596" s="1" t="s">
        <v>5729</v>
      </c>
      <c r="C2596" s="1" t="s">
        <v>4592</v>
      </c>
      <c r="D2596" s="1" t="s">
        <v>607</v>
      </c>
      <c r="E2596" s="1" t="s">
        <v>3254</v>
      </c>
      <c r="F2596" s="1" t="s">
        <v>4410</v>
      </c>
      <c r="I2596" s="1" t="s">
        <v>3924</v>
      </c>
    </row>
    <row r="2597">
      <c r="B2597" s="1" t="s">
        <v>4822</v>
      </c>
      <c r="C2597" s="1" t="s">
        <v>6148</v>
      </c>
      <c r="D2597" s="1" t="s">
        <v>3589</v>
      </c>
      <c r="E2597" s="1" t="s">
        <v>5381</v>
      </c>
      <c r="F2597" s="1" t="s">
        <v>5764</v>
      </c>
      <c r="I2597" s="1" t="s">
        <v>858</v>
      </c>
    </row>
    <row r="2598">
      <c r="B2598" s="1" t="s">
        <v>1667</v>
      </c>
      <c r="C2598" s="1" t="s">
        <v>590</v>
      </c>
      <c r="D2598" s="1" t="s">
        <v>1326</v>
      </c>
      <c r="E2598" s="1" t="s">
        <v>3609</v>
      </c>
      <c r="F2598" s="1" t="s">
        <v>2284</v>
      </c>
      <c r="I2598" s="1" t="s">
        <v>6787</v>
      </c>
    </row>
    <row r="2599">
      <c r="B2599" s="1" t="s">
        <v>3042</v>
      </c>
      <c r="C2599" s="1" t="s">
        <v>3045</v>
      </c>
      <c r="D2599" s="1" t="s">
        <v>2410</v>
      </c>
      <c r="E2599" s="1" t="s">
        <v>5535</v>
      </c>
      <c r="F2599" s="1" t="s">
        <v>1952</v>
      </c>
      <c r="I2599" s="1" t="s">
        <v>2156</v>
      </c>
    </row>
    <row r="2600">
      <c r="B2600" s="1" t="s">
        <v>4826</v>
      </c>
      <c r="C2600" s="1" t="s">
        <v>6149</v>
      </c>
      <c r="D2600" s="1" t="s">
        <v>5732</v>
      </c>
      <c r="E2600" s="1" t="s">
        <v>3322</v>
      </c>
      <c r="F2600" s="1" t="s">
        <v>6788</v>
      </c>
      <c r="I2600" s="1" t="s">
        <v>5691</v>
      </c>
    </row>
    <row r="2601">
      <c r="B2601" s="1" t="s">
        <v>1670</v>
      </c>
      <c r="C2601" s="1" t="s">
        <v>4051</v>
      </c>
      <c r="D2601" s="1" t="s">
        <v>3591</v>
      </c>
      <c r="E2601" s="1" t="s">
        <v>1069</v>
      </c>
      <c r="F2601" s="1" t="s">
        <v>2876</v>
      </c>
      <c r="I2601" s="1" t="s">
        <v>3533</v>
      </c>
    </row>
    <row r="2602">
      <c r="B2602" s="1" t="s">
        <v>3909</v>
      </c>
      <c r="C2602" s="1" t="s">
        <v>217</v>
      </c>
      <c r="D2602" s="1" t="s">
        <v>4467</v>
      </c>
      <c r="E2602" s="1" t="s">
        <v>4896</v>
      </c>
      <c r="F2602" s="1" t="s">
        <v>5460</v>
      </c>
      <c r="I2602" s="1" t="s">
        <v>4262</v>
      </c>
    </row>
    <row r="2603">
      <c r="B2603" s="1" t="s">
        <v>3044</v>
      </c>
      <c r="C2603" s="1" t="s">
        <v>1831</v>
      </c>
      <c r="D2603" s="1" t="s">
        <v>5258</v>
      </c>
      <c r="E2603" s="1" t="s">
        <v>2360</v>
      </c>
      <c r="F2603" s="1" t="s">
        <v>4115</v>
      </c>
      <c r="I2603" s="1" t="s">
        <v>6789</v>
      </c>
    </row>
    <row r="2604">
      <c r="B2604" s="1" t="s">
        <v>1673</v>
      </c>
      <c r="C2604" s="1" t="s">
        <v>5929</v>
      </c>
      <c r="D2604" s="1" t="s">
        <v>4220</v>
      </c>
      <c r="E2604" s="1" t="s">
        <v>954</v>
      </c>
      <c r="F2604" s="1" t="s">
        <v>4844</v>
      </c>
      <c r="I2604" s="1" t="s">
        <v>1945</v>
      </c>
    </row>
    <row r="2605">
      <c r="B2605" s="1" t="s">
        <v>3046</v>
      </c>
      <c r="C2605" s="1" t="s">
        <v>4101</v>
      </c>
      <c r="D2605" s="1" t="s">
        <v>2413</v>
      </c>
      <c r="E2605" s="1" t="s">
        <v>6708</v>
      </c>
      <c r="F2605" s="1" t="s">
        <v>2287</v>
      </c>
      <c r="I2605" s="1" t="s">
        <v>6790</v>
      </c>
    </row>
    <row r="2606">
      <c r="B2606" s="1" t="s">
        <v>4831</v>
      </c>
      <c r="C2606" s="1" t="s">
        <v>210</v>
      </c>
      <c r="D2606" s="1" t="s">
        <v>2416</v>
      </c>
      <c r="E2606" s="1" t="s">
        <v>3845</v>
      </c>
      <c r="F2606" s="1" t="s">
        <v>1530</v>
      </c>
      <c r="I2606" s="1" t="s">
        <v>5405</v>
      </c>
    </row>
    <row r="2607">
      <c r="B2607" s="1" t="s">
        <v>4832</v>
      </c>
      <c r="C2607" s="1" t="s">
        <v>1340</v>
      </c>
      <c r="D2607" s="1" t="s">
        <v>2420</v>
      </c>
      <c r="E2607" s="1" t="s">
        <v>3982</v>
      </c>
      <c r="F2607" s="1" t="s">
        <v>3500</v>
      </c>
      <c r="I2607" s="1" t="s">
        <v>6791</v>
      </c>
    </row>
    <row r="2608">
      <c r="B2608" s="1" t="s">
        <v>5735</v>
      </c>
      <c r="C2608" s="1" t="s">
        <v>3718</v>
      </c>
      <c r="D2608" s="1" t="s">
        <v>2422</v>
      </c>
      <c r="E2608" s="1" t="s">
        <v>6709</v>
      </c>
      <c r="F2608" s="1" t="s">
        <v>3503</v>
      </c>
      <c r="I2608" s="1" t="s">
        <v>3544</v>
      </c>
    </row>
    <row r="2609">
      <c r="B2609" s="1" t="s">
        <v>1778</v>
      </c>
      <c r="C2609" s="1" t="s">
        <v>3829</v>
      </c>
      <c r="D2609" s="1" t="s">
        <v>4229</v>
      </c>
      <c r="E2609" s="1" t="s">
        <v>6092</v>
      </c>
      <c r="F2609" s="1" t="s">
        <v>2291</v>
      </c>
      <c r="I2609" s="1" t="s">
        <v>3547</v>
      </c>
    </row>
    <row r="2610">
      <c r="B2610" s="1" t="s">
        <v>5738</v>
      </c>
      <c r="C2610" s="1" t="s">
        <v>362</v>
      </c>
      <c r="D2610" s="1" t="s">
        <v>4234</v>
      </c>
      <c r="E2610" s="1" t="s">
        <v>5544</v>
      </c>
      <c r="F2610" s="1" t="s">
        <v>2290</v>
      </c>
      <c r="I2610" s="1" t="s">
        <v>6792</v>
      </c>
    </row>
    <row r="2611">
      <c r="B2611" s="1" t="s">
        <v>4837</v>
      </c>
      <c r="C2611" s="1" t="s">
        <v>179</v>
      </c>
      <c r="D2611" s="1" t="s">
        <v>5739</v>
      </c>
      <c r="E2611" s="1" t="s">
        <v>904</v>
      </c>
      <c r="F2611" s="1" t="s">
        <v>2294</v>
      </c>
      <c r="I2611" s="1" t="s">
        <v>2234</v>
      </c>
    </row>
    <row r="2612">
      <c r="B2612" s="1" t="s">
        <v>3051</v>
      </c>
      <c r="C2612" s="1" t="s">
        <v>3712</v>
      </c>
      <c r="D2612" s="1" t="s">
        <v>4235</v>
      </c>
      <c r="E2612" s="1" t="s">
        <v>5828</v>
      </c>
      <c r="F2612" s="1" t="s">
        <v>2297</v>
      </c>
      <c r="I2612" s="1" t="s">
        <v>3550</v>
      </c>
    </row>
    <row r="2613">
      <c r="B2613" s="1" t="s">
        <v>1800</v>
      </c>
      <c r="C2613" s="1" t="s">
        <v>1309</v>
      </c>
      <c r="D2613" s="1" t="s">
        <v>1332</v>
      </c>
      <c r="E2613" s="1" t="s">
        <v>3330</v>
      </c>
      <c r="F2613" s="1" t="s">
        <v>2301</v>
      </c>
      <c r="I2613" s="1" t="s">
        <v>5811</v>
      </c>
    </row>
    <row r="2614">
      <c r="B2614" s="1" t="s">
        <v>5740</v>
      </c>
      <c r="C2614" s="1" t="s">
        <v>1990</v>
      </c>
      <c r="D2614" s="1" t="s">
        <v>3598</v>
      </c>
      <c r="E2614" s="1" t="s">
        <v>4905</v>
      </c>
      <c r="F2614" s="1" t="s">
        <v>4123</v>
      </c>
      <c r="I2614" s="1" t="s">
        <v>5195</v>
      </c>
    </row>
    <row r="2615">
      <c r="B2615" s="1" t="s">
        <v>1805</v>
      </c>
      <c r="C2615" s="1" t="s">
        <v>6129</v>
      </c>
      <c r="D2615" s="1" t="s">
        <v>5264</v>
      </c>
      <c r="E2615" s="1" t="s">
        <v>3812</v>
      </c>
      <c r="F2615" s="1" t="s">
        <v>4383</v>
      </c>
      <c r="I2615" s="1" t="s">
        <v>3553</v>
      </c>
    </row>
    <row r="2616">
      <c r="B2616" s="1" t="s">
        <v>4839</v>
      </c>
      <c r="C2616" s="1" t="s">
        <v>4516</v>
      </c>
      <c r="D2616" s="1" t="s">
        <v>2428</v>
      </c>
      <c r="E2616" s="1" t="s">
        <v>3337</v>
      </c>
      <c r="F2616" s="1" t="s">
        <v>6793</v>
      </c>
      <c r="I2616" s="1" t="s">
        <v>4216</v>
      </c>
    </row>
    <row r="2617">
      <c r="B2617" s="1" t="s">
        <v>3056</v>
      </c>
      <c r="C2617" s="1" t="s">
        <v>406</v>
      </c>
      <c r="D2617" s="1" t="s">
        <v>362</v>
      </c>
      <c r="E2617" s="1" t="s">
        <v>5318</v>
      </c>
      <c r="F2617" s="1" t="s">
        <v>3506</v>
      </c>
      <c r="I2617" s="1" t="s">
        <v>5197</v>
      </c>
    </row>
    <row r="2618">
      <c r="B2618" s="1" t="s">
        <v>5741</v>
      </c>
      <c r="C2618" s="1" t="s">
        <v>4241</v>
      </c>
      <c r="D2618" s="1" t="s">
        <v>5742</v>
      </c>
      <c r="E2618" s="1" t="s">
        <v>5398</v>
      </c>
      <c r="F2618" s="1" t="s">
        <v>2674</v>
      </c>
      <c r="I2618" s="1" t="s">
        <v>3559</v>
      </c>
    </row>
    <row r="2619">
      <c r="B2619" s="1" t="s">
        <v>1878</v>
      </c>
      <c r="C2619" s="1" t="s">
        <v>6151</v>
      </c>
      <c r="D2619" s="1" t="s">
        <v>4439</v>
      </c>
      <c r="E2619" s="1" t="s">
        <v>5401</v>
      </c>
      <c r="F2619" s="1" t="s">
        <v>2305</v>
      </c>
      <c r="I2619" s="1" t="s">
        <v>4181</v>
      </c>
    </row>
    <row r="2620">
      <c r="B2620" s="1" t="s">
        <v>1869</v>
      </c>
      <c r="C2620" s="1" t="s">
        <v>3441</v>
      </c>
      <c r="D2620" s="1" t="s">
        <v>4241</v>
      </c>
      <c r="E2620" s="1" t="s">
        <v>6710</v>
      </c>
      <c r="F2620" s="1" t="s">
        <v>1206</v>
      </c>
      <c r="I2620" s="1" t="s">
        <v>983</v>
      </c>
    </row>
    <row r="2621">
      <c r="B2621" s="1" t="s">
        <v>5744</v>
      </c>
      <c r="C2621" s="1" t="s">
        <v>5455</v>
      </c>
      <c r="D2621" s="1" t="s">
        <v>4266</v>
      </c>
      <c r="E2621" s="1" t="s">
        <v>3820</v>
      </c>
      <c r="F2621" s="1" t="s">
        <v>1544</v>
      </c>
      <c r="I2621" s="1" t="s">
        <v>5044</v>
      </c>
    </row>
    <row r="2622">
      <c r="B2622" s="1" t="s">
        <v>5745</v>
      </c>
      <c r="C2622" s="1" t="s">
        <v>4811</v>
      </c>
      <c r="D2622" s="1" t="s">
        <v>4244</v>
      </c>
      <c r="E2622" s="1" t="s">
        <v>6711</v>
      </c>
      <c r="F2622" s="1" t="s">
        <v>6794</v>
      </c>
      <c r="I2622" s="1" t="s">
        <v>2891</v>
      </c>
    </row>
    <row r="2623">
      <c r="B2623" s="1" t="s">
        <v>5747</v>
      </c>
      <c r="C2623" s="1" t="s">
        <v>2397</v>
      </c>
      <c r="D2623" s="1" t="s">
        <v>4246</v>
      </c>
      <c r="E2623" s="1" t="s">
        <v>3828</v>
      </c>
      <c r="F2623" s="1" t="s">
        <v>6795</v>
      </c>
      <c r="I2623" s="1" t="s">
        <v>6796</v>
      </c>
    </row>
    <row r="2624">
      <c r="B2624" s="1" t="s">
        <v>4849</v>
      </c>
      <c r="C2624" s="1" t="s">
        <v>5830</v>
      </c>
      <c r="D2624" s="1" t="s">
        <v>4250</v>
      </c>
      <c r="E2624" s="1" t="s">
        <v>5327</v>
      </c>
      <c r="F2624" s="1" t="s">
        <v>3854</v>
      </c>
      <c r="I2624" s="1" t="s">
        <v>5644</v>
      </c>
    </row>
    <row r="2625">
      <c r="B2625" s="1" t="s">
        <v>4850</v>
      </c>
      <c r="C2625" s="1" t="s">
        <v>4948</v>
      </c>
      <c r="D2625" s="1" t="s">
        <v>3601</v>
      </c>
      <c r="E2625" s="1" t="s">
        <v>3831</v>
      </c>
      <c r="F2625" s="1" t="s">
        <v>4130</v>
      </c>
      <c r="I2625" s="1" t="s">
        <v>6797</v>
      </c>
    </row>
    <row r="2626">
      <c r="B2626" s="1" t="s">
        <v>4851</v>
      </c>
      <c r="C2626" s="1" t="s">
        <v>99</v>
      </c>
      <c r="D2626" s="1" t="s">
        <v>1339</v>
      </c>
      <c r="E2626" s="1" t="s">
        <v>3835</v>
      </c>
      <c r="F2626" s="1" t="s">
        <v>6781</v>
      </c>
      <c r="I2626" s="1" t="s">
        <v>3565</v>
      </c>
    </row>
    <row r="2627">
      <c r="B2627" s="1" t="s">
        <v>4853</v>
      </c>
      <c r="C2627" s="1" t="s">
        <v>5860</v>
      </c>
      <c r="D2627" s="1" t="s">
        <v>1344</v>
      </c>
      <c r="E2627" s="1" t="s">
        <v>6712</v>
      </c>
      <c r="F2627" s="1" t="s">
        <v>2548</v>
      </c>
      <c r="I2627" s="1" t="s">
        <v>6798</v>
      </c>
    </row>
    <row r="2628">
      <c r="B2628" s="1" t="s">
        <v>4855</v>
      </c>
      <c r="C2628" s="1" t="s">
        <v>1274</v>
      </c>
      <c r="D2628" s="1" t="s">
        <v>1269</v>
      </c>
      <c r="E2628" s="1" t="s">
        <v>5407</v>
      </c>
      <c r="F2628" s="1" t="s">
        <v>5151</v>
      </c>
      <c r="I2628" s="1" t="s">
        <v>6799</v>
      </c>
    </row>
    <row r="2629">
      <c r="B2629" s="1">
        <v>1975.0</v>
      </c>
      <c r="C2629" s="1" t="s">
        <v>2580</v>
      </c>
      <c r="D2629" s="1" t="s">
        <v>5749</v>
      </c>
      <c r="E2629" s="1" t="s">
        <v>5220</v>
      </c>
      <c r="F2629" s="1" t="s">
        <v>6800</v>
      </c>
      <c r="I2629" s="1" t="s">
        <v>6801</v>
      </c>
    </row>
    <row r="2630">
      <c r="B2630" s="1" t="s">
        <v>5750</v>
      </c>
      <c r="C2630" s="1" t="s">
        <v>4639</v>
      </c>
      <c r="D2630" s="1" t="s">
        <v>4254</v>
      </c>
      <c r="E2630" s="1" t="s">
        <v>5078</v>
      </c>
      <c r="F2630" s="1" t="s">
        <v>4131</v>
      </c>
      <c r="I2630" s="1" t="s">
        <v>5826</v>
      </c>
    </row>
    <row r="2631">
      <c r="B2631" s="1" t="s">
        <v>5752</v>
      </c>
      <c r="C2631" s="1" t="s">
        <v>347</v>
      </c>
      <c r="D2631" s="1" t="s">
        <v>3992</v>
      </c>
      <c r="E2631" s="1" t="s">
        <v>3587</v>
      </c>
      <c r="F2631" s="1" t="s">
        <v>6802</v>
      </c>
      <c r="I2631" s="1" t="s">
        <v>6803</v>
      </c>
    </row>
    <row r="2632">
      <c r="B2632" s="1" t="s">
        <v>5754</v>
      </c>
      <c r="C2632" s="1" t="s">
        <v>2061</v>
      </c>
      <c r="D2632" s="1" t="s">
        <v>1187</v>
      </c>
      <c r="E2632" s="1" t="s">
        <v>6713</v>
      </c>
      <c r="F2632" s="1" t="s">
        <v>4041</v>
      </c>
      <c r="I2632" s="1" t="s">
        <v>6804</v>
      </c>
    </row>
    <row r="2633">
      <c r="B2633" s="1" t="s">
        <v>3836</v>
      </c>
      <c r="C2633" s="1" t="s">
        <v>5832</v>
      </c>
      <c r="D2633" s="1" t="s">
        <v>5275</v>
      </c>
      <c r="E2633" s="1" t="s">
        <v>3348</v>
      </c>
      <c r="F2633" s="1" t="s">
        <v>1210</v>
      </c>
      <c r="I2633" s="1" t="s">
        <v>5688</v>
      </c>
    </row>
    <row r="2634">
      <c r="B2634" s="1" t="s">
        <v>4863</v>
      </c>
      <c r="C2634" s="1" t="s">
        <v>3250</v>
      </c>
      <c r="D2634" s="1" t="s">
        <v>1351</v>
      </c>
      <c r="E2634" s="1" t="s">
        <v>6714</v>
      </c>
      <c r="F2634" s="1" t="s">
        <v>5156</v>
      </c>
      <c r="I2634" s="1" t="s">
        <v>6805</v>
      </c>
    </row>
    <row r="2635">
      <c r="B2635" s="1" t="s">
        <v>3077</v>
      </c>
      <c r="C2635" s="1" t="s">
        <v>5944</v>
      </c>
      <c r="D2635" s="1" t="s">
        <v>5346</v>
      </c>
      <c r="E2635" s="1" t="s">
        <v>6715</v>
      </c>
      <c r="F2635" s="1" t="s">
        <v>2311</v>
      </c>
      <c r="I2635" s="1" t="s">
        <v>5247</v>
      </c>
    </row>
    <row r="2636">
      <c r="B2636" s="1" t="s">
        <v>4865</v>
      </c>
      <c r="C2636" s="1" t="s">
        <v>2174</v>
      </c>
      <c r="D2636" s="1" t="s">
        <v>1354</v>
      </c>
      <c r="E2636" s="1" t="s">
        <v>3846</v>
      </c>
      <c r="F2636" s="1" t="s">
        <v>6782</v>
      </c>
      <c r="I2636" s="1" t="s">
        <v>5212</v>
      </c>
    </row>
    <row r="2637">
      <c r="B2637" s="1" t="s">
        <v>4866</v>
      </c>
      <c r="C2637" s="1" t="s">
        <v>96</v>
      </c>
      <c r="D2637" s="1" t="s">
        <v>2439</v>
      </c>
      <c r="E2637" s="1" t="s">
        <v>3554</v>
      </c>
      <c r="F2637" s="1" t="s">
        <v>2315</v>
      </c>
      <c r="I2637" s="1" t="s">
        <v>6806</v>
      </c>
    </row>
    <row r="2638">
      <c r="B2638" s="1" t="s">
        <v>4868</v>
      </c>
      <c r="C2638" s="1" t="s">
        <v>242</v>
      </c>
      <c r="D2638" s="1" t="s">
        <v>4257</v>
      </c>
      <c r="E2638" s="1" t="s">
        <v>4678</v>
      </c>
      <c r="F2638" s="1" t="s">
        <v>6783</v>
      </c>
      <c r="I2638" s="1" t="s">
        <v>4367</v>
      </c>
    </row>
    <row r="2639">
      <c r="B2639" s="1" t="s">
        <v>4870</v>
      </c>
      <c r="C2639" s="1" t="s">
        <v>5516</v>
      </c>
      <c r="D2639" s="1" t="s">
        <v>4258</v>
      </c>
      <c r="E2639" s="1" t="s">
        <v>1719</v>
      </c>
      <c r="F2639" s="1" t="s">
        <v>1217</v>
      </c>
      <c r="I2639" s="1" t="s">
        <v>5216</v>
      </c>
    </row>
    <row r="2640">
      <c r="B2640" s="1" t="s">
        <v>3083</v>
      </c>
      <c r="C2640" s="1" t="s">
        <v>834</v>
      </c>
      <c r="D2640" s="1" t="s">
        <v>1358</v>
      </c>
      <c r="E2640" s="1" t="s">
        <v>4929</v>
      </c>
      <c r="F2640" s="1" t="s">
        <v>5640</v>
      </c>
      <c r="I2640" s="1" t="s">
        <v>4415</v>
      </c>
    </row>
    <row r="2641">
      <c r="B2641" s="1" t="s">
        <v>3086</v>
      </c>
      <c r="C2641" s="1" t="s">
        <v>945</v>
      </c>
      <c r="D2641" s="1" t="s">
        <v>2445</v>
      </c>
      <c r="E2641" s="1" t="s">
        <v>5417</v>
      </c>
      <c r="F2641" s="1" t="s">
        <v>5158</v>
      </c>
      <c r="I2641" s="1" t="s">
        <v>3568</v>
      </c>
    </row>
    <row r="2642">
      <c r="B2642" s="1" t="s">
        <v>5760</v>
      </c>
      <c r="C2642" s="1" t="s">
        <v>1107</v>
      </c>
      <c r="D2642" s="1" t="s">
        <v>2448</v>
      </c>
      <c r="E2642" s="1" t="s">
        <v>3365</v>
      </c>
      <c r="F2642" s="1" t="s">
        <v>1224</v>
      </c>
      <c r="I2642" s="1" t="s">
        <v>5837</v>
      </c>
    </row>
    <row r="2643">
      <c r="B2643" s="1" t="s">
        <v>5762</v>
      </c>
      <c r="C2643" s="1" t="s">
        <v>439</v>
      </c>
      <c r="D2643" s="1" t="s">
        <v>1624</v>
      </c>
      <c r="E2643" s="1" t="s">
        <v>6716</v>
      </c>
      <c r="F2643" s="1" t="s">
        <v>4800</v>
      </c>
      <c r="I2643" s="1" t="s">
        <v>3569</v>
      </c>
    </row>
    <row r="2644">
      <c r="B2644" s="1" t="s">
        <v>3089</v>
      </c>
      <c r="C2644" s="1" t="s">
        <v>4417</v>
      </c>
      <c r="D2644" s="1" t="s">
        <v>4263</v>
      </c>
      <c r="E2644" s="1" t="s">
        <v>5059</v>
      </c>
      <c r="F2644" s="1" t="s">
        <v>4137</v>
      </c>
      <c r="I2644" s="1">
        <v>1986.0</v>
      </c>
    </row>
    <row r="2645">
      <c r="B2645" s="1" t="s">
        <v>5763</v>
      </c>
      <c r="C2645" s="1" t="s">
        <v>1722</v>
      </c>
      <c r="D2645" s="1" t="s">
        <v>4265</v>
      </c>
      <c r="E2645" s="1" t="s">
        <v>5271</v>
      </c>
      <c r="F2645" s="1" t="s">
        <v>2324</v>
      </c>
      <c r="I2645" s="1" t="s">
        <v>5693</v>
      </c>
    </row>
    <row r="2646">
      <c r="B2646" s="1" t="s">
        <v>3934</v>
      </c>
      <c r="C2646" s="1" t="s">
        <v>3220</v>
      </c>
      <c r="D2646" s="1" t="s">
        <v>5766</v>
      </c>
      <c r="E2646" s="1" t="s">
        <v>3592</v>
      </c>
      <c r="F2646" s="1" t="s">
        <v>1228</v>
      </c>
      <c r="I2646" s="1" t="s">
        <v>1073</v>
      </c>
    </row>
    <row r="2647">
      <c r="B2647" s="1" t="s">
        <v>1678</v>
      </c>
      <c r="C2647" s="1" t="s">
        <v>3816</v>
      </c>
      <c r="D2647" s="1">
        <v>1938.0</v>
      </c>
      <c r="E2647" s="1" t="s">
        <v>3369</v>
      </c>
      <c r="F2647" s="1" t="s">
        <v>5607</v>
      </c>
      <c r="I2647" s="1" t="s">
        <v>6807</v>
      </c>
    </row>
    <row r="2648">
      <c r="B2648" s="1" t="s">
        <v>4790</v>
      </c>
      <c r="C2648" s="1" t="s">
        <v>6155</v>
      </c>
      <c r="D2648" s="1" t="s">
        <v>135</v>
      </c>
      <c r="E2648" s="1" t="s">
        <v>6718</v>
      </c>
      <c r="F2648" s="1" t="s">
        <v>1558</v>
      </c>
      <c r="I2648" s="1">
        <v>8.0</v>
      </c>
    </row>
    <row r="2649">
      <c r="B2649" s="1" t="s">
        <v>1685</v>
      </c>
      <c r="C2649" s="1" t="s">
        <v>2310</v>
      </c>
      <c r="D2649" s="1" t="s">
        <v>2455</v>
      </c>
      <c r="E2649" s="1" t="s">
        <v>6719</v>
      </c>
      <c r="F2649" s="1" t="s">
        <v>6496</v>
      </c>
      <c r="I2649" s="1" t="s">
        <v>6808</v>
      </c>
    </row>
    <row r="2650">
      <c r="B2650" s="1" t="s">
        <v>3096</v>
      </c>
      <c r="C2650" s="1" t="s">
        <v>1917</v>
      </c>
      <c r="D2650" s="1" t="s">
        <v>2459</v>
      </c>
      <c r="E2650" s="1" t="s">
        <v>6717</v>
      </c>
      <c r="F2650" s="1" t="s">
        <v>1234</v>
      </c>
      <c r="I2650" s="1" t="s">
        <v>4899</v>
      </c>
    </row>
    <row r="2651">
      <c r="B2651" s="1" t="s">
        <v>3099</v>
      </c>
      <c r="C2651" s="1" t="s">
        <v>904</v>
      </c>
      <c r="D2651" s="1" t="s">
        <v>5286</v>
      </c>
      <c r="E2651" s="1" t="s">
        <v>6720</v>
      </c>
      <c r="F2651" s="1" t="s">
        <v>5171</v>
      </c>
      <c r="I2651" s="1" t="s">
        <v>3570</v>
      </c>
    </row>
    <row r="2652">
      <c r="B2652" s="1" t="s">
        <v>1723</v>
      </c>
      <c r="C2652" s="1" t="s">
        <v>6063</v>
      </c>
      <c r="D2652" s="1" t="s">
        <v>5769</v>
      </c>
      <c r="E2652" s="1" t="s">
        <v>5420</v>
      </c>
      <c r="F2652" s="1" t="s">
        <v>1265</v>
      </c>
      <c r="I2652" s="1" t="s">
        <v>1771</v>
      </c>
    </row>
    <row r="2653">
      <c r="B2653" s="1" t="s">
        <v>1747</v>
      </c>
      <c r="C2653" s="1" t="s">
        <v>384</v>
      </c>
      <c r="D2653" s="1" t="s">
        <v>529</v>
      </c>
      <c r="E2653" s="1" t="s">
        <v>3389</v>
      </c>
      <c r="F2653" s="1" t="s">
        <v>1240</v>
      </c>
      <c r="I2653" s="1" t="s">
        <v>5233</v>
      </c>
    </row>
    <row r="2654">
      <c r="B2654" s="1" t="s">
        <v>4887</v>
      </c>
      <c r="C2654" s="1" t="s">
        <v>460</v>
      </c>
      <c r="D2654" s="1" t="s">
        <v>2462</v>
      </c>
      <c r="E2654" s="1" t="s">
        <v>4934</v>
      </c>
      <c r="F2654" s="1" t="s">
        <v>6784</v>
      </c>
      <c r="I2654" s="1" t="s">
        <v>5236</v>
      </c>
    </row>
    <row r="2655">
      <c r="B2655" s="1" t="s">
        <v>5770</v>
      </c>
      <c r="C2655" s="1" t="s">
        <v>4826</v>
      </c>
      <c r="D2655" s="1" t="s">
        <v>5290</v>
      </c>
      <c r="E2655" s="1" t="s">
        <v>5422</v>
      </c>
      <c r="F2655" s="1" t="s">
        <v>3528</v>
      </c>
      <c r="I2655" s="1" t="s">
        <v>6809</v>
      </c>
    </row>
    <row r="2656">
      <c r="B2656" s="1" t="s">
        <v>3103</v>
      </c>
      <c r="C2656" s="1" t="s">
        <v>3903</v>
      </c>
      <c r="D2656" s="1" t="s">
        <v>2466</v>
      </c>
      <c r="E2656" s="1" t="s">
        <v>3445</v>
      </c>
      <c r="F2656" s="1" t="s">
        <v>3531</v>
      </c>
      <c r="I2656" s="1" t="s">
        <v>5239</v>
      </c>
    </row>
    <row r="2657">
      <c r="B2657" s="1" t="s">
        <v>4889</v>
      </c>
      <c r="C2657" s="1" t="s">
        <v>5303</v>
      </c>
      <c r="D2657" s="1" t="s">
        <v>2470</v>
      </c>
      <c r="E2657" s="1" t="s">
        <v>6722</v>
      </c>
      <c r="F2657" s="1" t="s">
        <v>5098</v>
      </c>
      <c r="I2657" s="1" t="s">
        <v>4780</v>
      </c>
    </row>
    <row r="2658">
      <c r="B2658" s="1" t="s">
        <v>5773</v>
      </c>
      <c r="C2658" s="1" t="s">
        <v>2953</v>
      </c>
      <c r="D2658" s="1" t="s">
        <v>1629</v>
      </c>
      <c r="E2658" s="1" t="s">
        <v>6723</v>
      </c>
      <c r="F2658" s="1" t="s">
        <v>4411</v>
      </c>
      <c r="I2658" s="1" t="s">
        <v>6810</v>
      </c>
    </row>
    <row r="2659">
      <c r="B2659" s="1" t="s">
        <v>5774</v>
      </c>
      <c r="C2659" s="1" t="s">
        <v>3840</v>
      </c>
      <c r="D2659" s="1" t="s">
        <v>1461</v>
      </c>
      <c r="E2659" s="1" t="s">
        <v>6724</v>
      </c>
      <c r="F2659" s="1" t="s">
        <v>2693</v>
      </c>
      <c r="I2659" s="1" t="s">
        <v>5242</v>
      </c>
    </row>
    <row r="2660">
      <c r="B2660" s="1" t="s">
        <v>3952</v>
      </c>
      <c r="C2660" s="1" t="s">
        <v>2453</v>
      </c>
      <c r="D2660" s="1" t="s">
        <v>1366</v>
      </c>
      <c r="E2660" s="1" t="s">
        <v>5424</v>
      </c>
      <c r="F2660" s="1" t="s">
        <v>6811</v>
      </c>
      <c r="I2660" s="1" t="s">
        <v>4204</v>
      </c>
    </row>
    <row r="2661">
      <c r="B2661" s="1" t="s">
        <v>3110</v>
      </c>
      <c r="C2661" s="1" t="s">
        <v>2134</v>
      </c>
      <c r="D2661" s="1" t="s">
        <v>5301</v>
      </c>
      <c r="E2661" s="1" t="s">
        <v>6721</v>
      </c>
      <c r="F2661" s="1" t="s">
        <v>4149</v>
      </c>
      <c r="I2661" s="1" t="s">
        <v>4999</v>
      </c>
    </row>
    <row r="2662">
      <c r="B2662" s="1" t="s">
        <v>5776</v>
      </c>
      <c r="C2662" s="1" t="s">
        <v>1731</v>
      </c>
      <c r="D2662" s="1" t="s">
        <v>4274</v>
      </c>
      <c r="E2662" s="1" t="s">
        <v>4936</v>
      </c>
      <c r="F2662" s="1" t="s">
        <v>3359</v>
      </c>
      <c r="I2662" s="1" t="s">
        <v>5243</v>
      </c>
    </row>
    <row r="2663">
      <c r="B2663" s="1" t="s">
        <v>5778</v>
      </c>
      <c r="C2663" s="1" t="s">
        <v>3391</v>
      </c>
      <c r="D2663" s="1" t="s">
        <v>1374</v>
      </c>
      <c r="E2663" s="1" t="s">
        <v>6725</v>
      </c>
      <c r="F2663" s="1" t="s">
        <v>5476</v>
      </c>
      <c r="I2663" s="1" t="s">
        <v>6812</v>
      </c>
    </row>
    <row r="2664">
      <c r="B2664" s="1" t="s">
        <v>3114</v>
      </c>
      <c r="C2664" s="1" t="s">
        <v>826</v>
      </c>
      <c r="D2664" s="1" t="s">
        <v>4276</v>
      </c>
      <c r="E2664" s="1" t="s">
        <v>6484</v>
      </c>
      <c r="F2664" s="1" t="s">
        <v>858</v>
      </c>
      <c r="I2664" s="1" t="s">
        <v>5246</v>
      </c>
    </row>
    <row r="2665">
      <c r="B2665" s="1" t="s">
        <v>4901</v>
      </c>
      <c r="C2665" s="1" t="s">
        <v>4540</v>
      </c>
      <c r="D2665" s="1" t="s">
        <v>1160</v>
      </c>
      <c r="E2665" s="1" t="s">
        <v>3868</v>
      </c>
      <c r="F2665" s="1" t="s">
        <v>1251</v>
      </c>
      <c r="I2665" s="1" t="s">
        <v>5720</v>
      </c>
    </row>
    <row r="2666">
      <c r="B2666" s="1" t="s">
        <v>3117</v>
      </c>
      <c r="C2666" s="1" t="s">
        <v>5134</v>
      </c>
      <c r="D2666" s="1" t="s">
        <v>3629</v>
      </c>
      <c r="E2666" s="1" t="s">
        <v>4939</v>
      </c>
      <c r="F2666" s="1" t="s">
        <v>1244</v>
      </c>
      <c r="I2666" s="1" t="s">
        <v>6813</v>
      </c>
    </row>
    <row r="2667">
      <c r="B2667" s="1" t="s">
        <v>3116</v>
      </c>
      <c r="C2667" s="1" t="s">
        <v>4656</v>
      </c>
      <c r="D2667" s="1" t="s">
        <v>5780</v>
      </c>
      <c r="E2667" s="1" t="s">
        <v>4080</v>
      </c>
      <c r="F2667" s="1" t="s">
        <v>4262</v>
      </c>
      <c r="I2667" s="1" t="s">
        <v>6814</v>
      </c>
    </row>
    <row r="2668">
      <c r="B2668" s="1" t="s">
        <v>3121</v>
      </c>
      <c r="C2668" s="1" t="s">
        <v>3226</v>
      </c>
      <c r="D2668" s="1" t="s">
        <v>4277</v>
      </c>
      <c r="E2668" s="1" t="s">
        <v>5579</v>
      </c>
      <c r="F2668" s="1" t="s">
        <v>1563</v>
      </c>
      <c r="I2668" s="1" t="s">
        <v>5722</v>
      </c>
    </row>
    <row r="2669">
      <c r="B2669" s="1" t="s">
        <v>399</v>
      </c>
      <c r="C2669" s="1" t="s">
        <v>1781</v>
      </c>
      <c r="D2669" s="1" t="s">
        <v>3132</v>
      </c>
      <c r="E2669" s="1" t="s">
        <v>3870</v>
      </c>
      <c r="F2669" s="1" t="s">
        <v>2341</v>
      </c>
      <c r="I2669" s="1" t="s">
        <v>1834</v>
      </c>
    </row>
    <row r="2670">
      <c r="B2670" s="1" t="s">
        <v>3124</v>
      </c>
      <c r="C2670" s="1" t="s">
        <v>5096</v>
      </c>
      <c r="D2670" s="1" t="s">
        <v>5308</v>
      </c>
      <c r="E2670" s="1" t="s">
        <v>6726</v>
      </c>
      <c r="F2670" s="1" t="s">
        <v>1259</v>
      </c>
      <c r="I2670" s="1" t="s">
        <v>6815</v>
      </c>
    </row>
    <row r="2671">
      <c r="B2671" s="1" t="s">
        <v>3129</v>
      </c>
      <c r="C2671" s="1" t="s">
        <v>808</v>
      </c>
      <c r="D2671" s="1" t="s">
        <v>2475</v>
      </c>
      <c r="E2671" s="1" t="s">
        <v>2133</v>
      </c>
      <c r="F2671" s="1" t="s">
        <v>1945</v>
      </c>
      <c r="I2671" s="1" t="s">
        <v>5251</v>
      </c>
    </row>
    <row r="2672">
      <c r="B2672" s="1" t="s">
        <v>5572</v>
      </c>
      <c r="C2672" s="1" t="s">
        <v>3107</v>
      </c>
      <c r="D2672" s="1" t="s">
        <v>1379</v>
      </c>
      <c r="E2672" s="1" t="s">
        <v>4944</v>
      </c>
      <c r="F2672" s="1" t="s">
        <v>6789</v>
      </c>
      <c r="I2672" s="1" t="s">
        <v>969</v>
      </c>
    </row>
    <row r="2673">
      <c r="B2673" s="1" t="s">
        <v>2535</v>
      </c>
      <c r="C2673" s="1" t="s">
        <v>2148</v>
      </c>
      <c r="D2673" s="1" t="s">
        <v>2480</v>
      </c>
      <c r="E2673" s="1" t="s">
        <v>3875</v>
      </c>
      <c r="F2673" s="1" t="s">
        <v>5186</v>
      </c>
      <c r="I2673" s="1" t="s">
        <v>3589</v>
      </c>
    </row>
    <row r="2674">
      <c r="B2674" s="1" t="s">
        <v>5782</v>
      </c>
      <c r="C2674" s="1" t="s">
        <v>6159</v>
      </c>
      <c r="D2674" s="1" t="s">
        <v>4283</v>
      </c>
      <c r="E2674" s="1" t="s">
        <v>5588</v>
      </c>
      <c r="F2674" s="1" t="s">
        <v>4160</v>
      </c>
      <c r="I2674" s="1" t="s">
        <v>402</v>
      </c>
    </row>
    <row r="2675">
      <c r="B2675" s="1" t="s">
        <v>3131</v>
      </c>
      <c r="C2675" s="1" t="s">
        <v>5110</v>
      </c>
      <c r="D2675" s="1" t="s">
        <v>3635</v>
      </c>
      <c r="E2675" s="1" t="s">
        <v>1087</v>
      </c>
      <c r="F2675" s="1" t="s">
        <v>3542</v>
      </c>
      <c r="I2675" s="1" t="s">
        <v>5732</v>
      </c>
    </row>
    <row r="2676">
      <c r="B2676" s="1" t="s">
        <v>4319</v>
      </c>
      <c r="C2676" s="1" t="s">
        <v>4716</v>
      </c>
      <c r="D2676" s="1" t="s">
        <v>5475</v>
      </c>
      <c r="E2676" s="1" t="s">
        <v>4946</v>
      </c>
      <c r="F2676" s="1" t="s">
        <v>4162</v>
      </c>
      <c r="I2676" s="1" t="s">
        <v>4467</v>
      </c>
    </row>
    <row r="2677">
      <c r="B2677" s="1" t="s">
        <v>1925</v>
      </c>
      <c r="C2677" s="1" t="s">
        <v>6160</v>
      </c>
      <c r="D2677" s="1" t="s">
        <v>2482</v>
      </c>
      <c r="E2677" s="1" t="s">
        <v>6728</v>
      </c>
      <c r="F2677" s="1" t="s">
        <v>3547</v>
      </c>
      <c r="I2677" s="1" t="s">
        <v>5256</v>
      </c>
    </row>
    <row r="2678">
      <c r="B2678" s="1" t="s">
        <v>4913</v>
      </c>
      <c r="C2678" s="1" t="s">
        <v>2245</v>
      </c>
      <c r="D2678" s="1" t="s">
        <v>4287</v>
      </c>
      <c r="E2678" s="1" t="s">
        <v>5435</v>
      </c>
      <c r="F2678" s="1" t="s">
        <v>4164</v>
      </c>
      <c r="I2678" s="1" t="s">
        <v>5872</v>
      </c>
    </row>
    <row r="2679">
      <c r="B2679" s="1" t="s">
        <v>5785</v>
      </c>
      <c r="C2679" s="1" t="s">
        <v>1172</v>
      </c>
      <c r="D2679" s="1" t="s">
        <v>2485</v>
      </c>
      <c r="E2679" s="1" t="s">
        <v>6816</v>
      </c>
      <c r="F2679" s="1" t="s">
        <v>251</v>
      </c>
      <c r="I2679" s="1" t="s">
        <v>5876</v>
      </c>
    </row>
    <row r="2680">
      <c r="B2680" s="1" t="s">
        <v>4917</v>
      </c>
      <c r="C2680" s="1" t="s">
        <v>6161</v>
      </c>
      <c r="D2680" s="1" t="s">
        <v>4291</v>
      </c>
      <c r="E2680" s="1">
        <v>11.0</v>
      </c>
      <c r="F2680" s="1" t="s">
        <v>1277</v>
      </c>
      <c r="I2680" s="1" t="s">
        <v>4784</v>
      </c>
    </row>
    <row r="2681">
      <c r="B2681" s="1" t="s">
        <v>5786</v>
      </c>
      <c r="C2681" s="1" t="s">
        <v>6162</v>
      </c>
      <c r="D2681" s="1" t="s">
        <v>3289</v>
      </c>
      <c r="E2681" s="1" t="s">
        <v>3763</v>
      </c>
      <c r="F2681" s="1" t="s">
        <v>1270</v>
      </c>
      <c r="I2681" s="1" t="s">
        <v>5853</v>
      </c>
    </row>
    <row r="2682">
      <c r="B2682" s="1" t="s">
        <v>4919</v>
      </c>
      <c r="C2682" s="1" t="s">
        <v>6164</v>
      </c>
      <c r="D2682" s="1" t="s">
        <v>5787</v>
      </c>
      <c r="E2682" s="1" t="s">
        <v>3799</v>
      </c>
      <c r="F2682" s="1" t="s">
        <v>2356</v>
      </c>
      <c r="I2682" s="1">
        <v>93.0</v>
      </c>
    </row>
    <row r="2683">
      <c r="B2683" s="1" t="s">
        <v>453</v>
      </c>
      <c r="C2683" s="1" t="s">
        <v>6165</v>
      </c>
      <c r="D2683" s="1" t="s">
        <v>2486</v>
      </c>
      <c r="E2683" s="1" t="s">
        <v>4953</v>
      </c>
      <c r="F2683" s="1" t="s">
        <v>2353</v>
      </c>
      <c r="I2683" s="1" t="s">
        <v>6817</v>
      </c>
    </row>
    <row r="2684">
      <c r="B2684" s="1" t="s">
        <v>5788</v>
      </c>
      <c r="C2684" s="1" t="s">
        <v>6166</v>
      </c>
      <c r="D2684" s="1" t="s">
        <v>5325</v>
      </c>
      <c r="E2684" s="1" t="s">
        <v>4958</v>
      </c>
      <c r="F2684" s="1" t="s">
        <v>1284</v>
      </c>
      <c r="I2684" s="1" t="s">
        <v>5264</v>
      </c>
    </row>
    <row r="2685">
      <c r="B2685" s="1" t="s">
        <v>1954</v>
      </c>
      <c r="C2685" s="1" t="s">
        <v>6167</v>
      </c>
      <c r="D2685" s="1" t="s">
        <v>1641</v>
      </c>
      <c r="E2685" s="1" t="s">
        <v>3883</v>
      </c>
      <c r="F2685" s="1" t="s">
        <v>5811</v>
      </c>
      <c r="I2685" s="1" t="s">
        <v>2428</v>
      </c>
    </row>
    <row r="2686">
      <c r="B2686" s="1" t="s">
        <v>5790</v>
      </c>
      <c r="C2686" s="1">
        <v>83.0</v>
      </c>
      <c r="D2686" s="1" t="s">
        <v>1647</v>
      </c>
      <c r="E2686" s="1" t="s">
        <v>4369</v>
      </c>
      <c r="F2686" s="1" t="s">
        <v>4179</v>
      </c>
      <c r="I2686" s="1" t="s">
        <v>4086</v>
      </c>
    </row>
    <row r="2687">
      <c r="B2687" s="1" t="s">
        <v>4923</v>
      </c>
      <c r="C2687" s="1" t="s">
        <v>87</v>
      </c>
      <c r="D2687" s="1" t="s">
        <v>2491</v>
      </c>
      <c r="E2687" s="1" t="s">
        <v>277</v>
      </c>
      <c r="F2687" s="1" t="s">
        <v>5195</v>
      </c>
      <c r="I2687" s="1" t="s">
        <v>362</v>
      </c>
    </row>
    <row r="2688">
      <c r="B2688" s="1" t="s">
        <v>5791</v>
      </c>
      <c r="C2688" s="1" t="s">
        <v>6169</v>
      </c>
      <c r="D2688" s="1" t="s">
        <v>5793</v>
      </c>
      <c r="E2688" s="1" t="s">
        <v>1898</v>
      </c>
      <c r="F2688" s="1" t="s">
        <v>3559</v>
      </c>
      <c r="I2688" s="1" t="s">
        <v>5742</v>
      </c>
    </row>
    <row r="2689">
      <c r="B2689" s="1" t="s">
        <v>5794</v>
      </c>
      <c r="C2689" s="1" t="s">
        <v>123</v>
      </c>
      <c r="D2689" s="1" t="s">
        <v>2495</v>
      </c>
      <c r="E2689" s="1" t="s">
        <v>4968</v>
      </c>
      <c r="F2689" s="1" t="s">
        <v>983</v>
      </c>
      <c r="I2689" s="1" t="s">
        <v>4348</v>
      </c>
    </row>
    <row r="2690">
      <c r="B2690" s="1" t="s">
        <v>5795</v>
      </c>
      <c r="C2690" s="1" t="s">
        <v>1262</v>
      </c>
      <c r="D2690" s="1" t="s">
        <v>4296</v>
      </c>
      <c r="E2690" s="1" t="s">
        <v>3956</v>
      </c>
      <c r="F2690" s="1" t="s">
        <v>4290</v>
      </c>
      <c r="I2690" s="1" t="s">
        <v>2880</v>
      </c>
    </row>
    <row r="2691">
      <c r="B2691" s="1" t="s">
        <v>3148</v>
      </c>
      <c r="C2691" s="1" t="s">
        <v>1842</v>
      </c>
      <c r="D2691" s="1" t="s">
        <v>5767</v>
      </c>
      <c r="E2691" s="1">
        <v>51.0</v>
      </c>
      <c r="F2691" s="1" t="s">
        <v>5499</v>
      </c>
      <c r="I2691" s="1" t="s">
        <v>6818</v>
      </c>
    </row>
    <row r="2692">
      <c r="B2692" s="1" t="s">
        <v>1824</v>
      </c>
      <c r="C2692" s="1" t="s">
        <v>1764</v>
      </c>
      <c r="D2692" s="1" t="s">
        <v>1384</v>
      </c>
      <c r="E2692" s="1" t="s">
        <v>6730</v>
      </c>
      <c r="F2692" s="1" t="s">
        <v>3563</v>
      </c>
      <c r="I2692" s="1" t="s">
        <v>4246</v>
      </c>
    </row>
    <row r="2693">
      <c r="B2693" s="1" t="s">
        <v>3151</v>
      </c>
      <c r="C2693" s="1" t="s">
        <v>3591</v>
      </c>
      <c r="D2693" s="1" t="s">
        <v>2499</v>
      </c>
      <c r="E2693" s="1" t="s">
        <v>4940</v>
      </c>
      <c r="F2693" s="1" t="s">
        <v>6819</v>
      </c>
      <c r="I2693" s="1" t="s">
        <v>5267</v>
      </c>
    </row>
    <row r="2694">
      <c r="B2694" s="1" t="s">
        <v>3155</v>
      </c>
      <c r="C2694" s="1" t="s">
        <v>1741</v>
      </c>
      <c r="D2694" s="1" t="s">
        <v>4091</v>
      </c>
      <c r="E2694" s="1" t="s">
        <v>6731</v>
      </c>
      <c r="F2694" s="1" t="s">
        <v>5683</v>
      </c>
      <c r="I2694" s="1" t="s">
        <v>5157</v>
      </c>
    </row>
    <row r="2695">
      <c r="B2695" s="1" t="s">
        <v>3157</v>
      </c>
      <c r="C2695" s="1" t="s">
        <v>4400</v>
      </c>
      <c r="D2695" s="1" t="s">
        <v>5798</v>
      </c>
      <c r="E2695" s="1" t="s">
        <v>3388</v>
      </c>
      <c r="F2695" s="1" t="s">
        <v>4185</v>
      </c>
      <c r="I2695" s="1" t="s">
        <v>6820</v>
      </c>
    </row>
    <row r="2696">
      <c r="B2696" s="1" t="s">
        <v>5799</v>
      </c>
      <c r="C2696" s="1" t="s">
        <v>6170</v>
      </c>
      <c r="D2696" s="1" t="s">
        <v>2501</v>
      </c>
      <c r="E2696" s="1" t="s">
        <v>5529</v>
      </c>
      <c r="F2696" s="1" t="s">
        <v>5207</v>
      </c>
      <c r="I2696" s="1" t="s">
        <v>6821</v>
      </c>
    </row>
    <row r="2697">
      <c r="B2697" s="1" t="s">
        <v>3160</v>
      </c>
      <c r="C2697" s="1" t="s">
        <v>6171</v>
      </c>
      <c r="D2697" s="1" t="s">
        <v>5534</v>
      </c>
      <c r="E2697" s="1" t="s">
        <v>3906</v>
      </c>
      <c r="F2697" s="1" t="s">
        <v>6799</v>
      </c>
      <c r="I2697" s="1" t="s">
        <v>1269</v>
      </c>
    </row>
    <row r="2698">
      <c r="B2698" s="1" t="s">
        <v>3162</v>
      </c>
      <c r="C2698" s="1" t="s">
        <v>5265</v>
      </c>
      <c r="D2698" s="1" t="s">
        <v>4304</v>
      </c>
      <c r="E2698" s="1" t="s">
        <v>6732</v>
      </c>
      <c r="F2698" s="1" t="s">
        <v>5688</v>
      </c>
      <c r="I2698" s="1" t="s">
        <v>4202</v>
      </c>
    </row>
    <row r="2699">
      <c r="B2699" s="1" t="s">
        <v>5801</v>
      </c>
      <c r="C2699" s="1" t="s">
        <v>4922</v>
      </c>
      <c r="D2699" s="1" t="s">
        <v>4309</v>
      </c>
      <c r="E2699" s="1" t="s">
        <v>3261</v>
      </c>
      <c r="F2699" s="1" t="s">
        <v>6801</v>
      </c>
      <c r="I2699" s="1" t="s">
        <v>3273</v>
      </c>
    </row>
    <row r="2700">
      <c r="B2700" s="1" t="s">
        <v>5802</v>
      </c>
      <c r="C2700" s="1" t="s">
        <v>4274</v>
      </c>
      <c r="D2700" s="1" t="s">
        <v>4481</v>
      </c>
      <c r="E2700" s="1" t="s">
        <v>6733</v>
      </c>
      <c r="F2700" s="1" t="s">
        <v>5247</v>
      </c>
      <c r="I2700" s="1" t="s">
        <v>6822</v>
      </c>
    </row>
    <row r="2701">
      <c r="B2701" s="1" t="s">
        <v>1863</v>
      </c>
      <c r="C2701" s="1" t="s">
        <v>2078</v>
      </c>
      <c r="D2701" s="1" t="s">
        <v>1390</v>
      </c>
      <c r="E2701" s="1" t="s">
        <v>6734</v>
      </c>
      <c r="F2701" s="1" t="s">
        <v>5212</v>
      </c>
      <c r="I2701" s="1" t="s">
        <v>4254</v>
      </c>
    </row>
    <row r="2702">
      <c r="B2702" s="1" t="s">
        <v>3169</v>
      </c>
      <c r="C2702" s="1" t="s">
        <v>4330</v>
      </c>
      <c r="D2702" s="1" t="s">
        <v>4618</v>
      </c>
      <c r="E2702" s="1" t="s">
        <v>5609</v>
      </c>
      <c r="F2702" s="1" t="s">
        <v>1581</v>
      </c>
      <c r="I2702" s="1" t="s">
        <v>1187</v>
      </c>
    </row>
    <row r="2703">
      <c r="B2703" s="1" t="s">
        <v>1913</v>
      </c>
      <c r="C2703" s="1" t="s">
        <v>642</v>
      </c>
      <c r="D2703" s="1" t="s">
        <v>1654</v>
      </c>
      <c r="E2703" s="1" t="s">
        <v>5262</v>
      </c>
      <c r="F2703" s="1" t="s">
        <v>994</v>
      </c>
      <c r="I2703" s="1" t="s">
        <v>3949</v>
      </c>
    </row>
    <row r="2704">
      <c r="B2704" s="1" t="s">
        <v>5803</v>
      </c>
      <c r="C2704" s="1" t="s">
        <v>5128</v>
      </c>
      <c r="D2704" s="1">
        <v>60.0</v>
      </c>
      <c r="E2704" s="1" t="s">
        <v>3076</v>
      </c>
      <c r="F2704" s="1" t="s">
        <v>4367</v>
      </c>
      <c r="I2704" s="1" t="s">
        <v>5275</v>
      </c>
    </row>
    <row r="2705">
      <c r="B2705" s="1" t="s">
        <v>3171</v>
      </c>
      <c r="C2705" s="1" t="s">
        <v>227</v>
      </c>
      <c r="D2705" s="1" t="s">
        <v>5338</v>
      </c>
      <c r="E2705" s="1" t="s">
        <v>6735</v>
      </c>
      <c r="F2705" s="1" t="s">
        <v>1295</v>
      </c>
      <c r="I2705" s="1" t="s">
        <v>5278</v>
      </c>
    </row>
    <row r="2706">
      <c r="B2706" s="1" t="s">
        <v>5804</v>
      </c>
      <c r="C2706" s="1" t="s">
        <v>5339</v>
      </c>
      <c r="D2706" s="1" t="s">
        <v>5339</v>
      </c>
      <c r="E2706" s="1" t="s">
        <v>5612</v>
      </c>
      <c r="F2706" s="1" t="s">
        <v>2367</v>
      </c>
      <c r="I2706" s="1" t="s">
        <v>5346</v>
      </c>
    </row>
    <row r="2707">
      <c r="B2707" s="1" t="s">
        <v>5805</v>
      </c>
      <c r="C2707" s="1" t="s">
        <v>989</v>
      </c>
      <c r="D2707" s="1" t="s">
        <v>3658</v>
      </c>
      <c r="E2707" s="1" t="s">
        <v>1435</v>
      </c>
      <c r="F2707" s="1" t="s">
        <v>4194</v>
      </c>
      <c r="I2707" s="1" t="s">
        <v>4742</v>
      </c>
    </row>
    <row r="2708">
      <c r="B2708" s="1" t="s">
        <v>4951</v>
      </c>
      <c r="C2708" s="1" t="s">
        <v>2381</v>
      </c>
      <c r="D2708" s="1" t="s">
        <v>695</v>
      </c>
      <c r="E2708" s="1">
        <v>50.0</v>
      </c>
      <c r="F2708" s="1" t="s">
        <v>2370</v>
      </c>
      <c r="I2708" s="1" t="s">
        <v>4257</v>
      </c>
    </row>
    <row r="2709">
      <c r="B2709" s="1" t="s">
        <v>4956</v>
      </c>
      <c r="C2709" s="1" t="s">
        <v>6174</v>
      </c>
      <c r="D2709" s="1" t="s">
        <v>51</v>
      </c>
      <c r="E2709" s="1" t="s">
        <v>3378</v>
      </c>
      <c r="F2709" s="1" t="s">
        <v>5223</v>
      </c>
      <c r="I2709" s="1" t="s">
        <v>6823</v>
      </c>
    </row>
    <row r="2710">
      <c r="B2710" s="1" t="s">
        <v>5808</v>
      </c>
      <c r="C2710" s="1" t="s">
        <v>4722</v>
      </c>
      <c r="D2710" s="1" t="s">
        <v>4316</v>
      </c>
      <c r="E2710" s="1" t="s">
        <v>6736</v>
      </c>
      <c r="F2710" s="1" t="s">
        <v>1300</v>
      </c>
      <c r="I2710" s="1" t="s">
        <v>6824</v>
      </c>
    </row>
    <row r="2711">
      <c r="B2711" s="1" t="s">
        <v>3191</v>
      </c>
      <c r="C2711" s="1" t="s">
        <v>134</v>
      </c>
      <c r="D2711" s="1" t="s">
        <v>5539</v>
      </c>
      <c r="E2711" s="1" t="s">
        <v>4983</v>
      </c>
      <c r="F2711" s="1">
        <v>8.0</v>
      </c>
      <c r="I2711" s="1" t="s">
        <v>6825</v>
      </c>
    </row>
    <row r="2712">
      <c r="B2712" s="1" t="s">
        <v>1519</v>
      </c>
      <c r="C2712" s="1" t="s">
        <v>1348</v>
      </c>
      <c r="D2712" s="1" t="s">
        <v>4320</v>
      </c>
      <c r="E2712" s="1" t="s">
        <v>3396</v>
      </c>
      <c r="F2712" s="1" t="s">
        <v>4899</v>
      </c>
      <c r="I2712" s="1">
        <v>1938.0</v>
      </c>
    </row>
    <row r="2713">
      <c r="B2713" s="1" t="s">
        <v>1764</v>
      </c>
      <c r="C2713" s="1" t="s">
        <v>2718</v>
      </c>
      <c r="D2713" s="1" t="s">
        <v>5809</v>
      </c>
      <c r="E2713" s="1" t="s">
        <v>6737</v>
      </c>
      <c r="F2713" s="1" t="s">
        <v>2379</v>
      </c>
      <c r="I2713" s="1" t="s">
        <v>6826</v>
      </c>
    </row>
    <row r="2714">
      <c r="B2714" s="1" t="s">
        <v>3197</v>
      </c>
      <c r="C2714" s="1" t="s">
        <v>6175</v>
      </c>
      <c r="D2714" s="1" t="s">
        <v>4323</v>
      </c>
      <c r="E2714" s="1" t="s">
        <v>6738</v>
      </c>
      <c r="F2714" s="1" t="s">
        <v>1771</v>
      </c>
      <c r="I2714" s="1" t="s">
        <v>6827</v>
      </c>
    </row>
    <row r="2715">
      <c r="B2715" s="1" t="s">
        <v>3194</v>
      </c>
      <c r="C2715" s="1" t="s">
        <v>4071</v>
      </c>
      <c r="D2715" s="1" t="s">
        <v>5317</v>
      </c>
      <c r="E2715" s="1" t="s">
        <v>5130</v>
      </c>
      <c r="F2715" s="1" t="s">
        <v>4199</v>
      </c>
      <c r="I2715" s="1" t="s">
        <v>5292</v>
      </c>
    </row>
    <row r="2716">
      <c r="B2716" s="1" t="s">
        <v>3201</v>
      </c>
      <c r="C2716" s="1" t="s">
        <v>969</v>
      </c>
      <c r="D2716" s="1" t="s">
        <v>5484</v>
      </c>
      <c r="E2716" s="1" t="s">
        <v>3953</v>
      </c>
      <c r="F2716" s="1" t="s">
        <v>4201</v>
      </c>
      <c r="I2716" s="1" t="s">
        <v>5917</v>
      </c>
    </row>
    <row r="2717">
      <c r="B2717" s="1" t="s">
        <v>5810</v>
      </c>
      <c r="C2717" s="1" t="s">
        <v>78</v>
      </c>
      <c r="D2717" s="1" t="s">
        <v>2508</v>
      </c>
      <c r="E2717" s="1" t="s">
        <v>5465</v>
      </c>
      <c r="F2717" s="1" t="s">
        <v>5699</v>
      </c>
      <c r="I2717" s="1" t="s">
        <v>3622</v>
      </c>
    </row>
    <row r="2718">
      <c r="B2718" s="1" t="s">
        <v>4970</v>
      </c>
      <c r="C2718" s="1" t="s">
        <v>5468</v>
      </c>
      <c r="D2718" s="1" t="s">
        <v>2511</v>
      </c>
      <c r="E2718" s="1" t="s">
        <v>5629</v>
      </c>
      <c r="F2718" s="1" t="s">
        <v>2381</v>
      </c>
      <c r="I2718" s="1" t="s">
        <v>3623</v>
      </c>
    </row>
    <row r="2719">
      <c r="B2719" s="1" t="s">
        <v>4126</v>
      </c>
      <c r="C2719" s="1" t="s">
        <v>1501</v>
      </c>
      <c r="D2719" s="1" t="s">
        <v>5532</v>
      </c>
      <c r="E2719" s="1" t="s">
        <v>3398</v>
      </c>
      <c r="F2719" s="1" t="s">
        <v>1589</v>
      </c>
      <c r="I2719" s="1" t="s">
        <v>3960</v>
      </c>
    </row>
    <row r="2720">
      <c r="B2720" s="1" t="s">
        <v>4971</v>
      </c>
      <c r="C2720" s="1" t="s">
        <v>5725</v>
      </c>
      <c r="D2720" s="1" t="s">
        <v>2515</v>
      </c>
      <c r="E2720" s="1" t="s">
        <v>5154</v>
      </c>
      <c r="F2720" s="1" t="s">
        <v>5705</v>
      </c>
      <c r="I2720" s="1" t="s">
        <v>5918</v>
      </c>
    </row>
    <row r="2721">
      <c r="B2721" s="1" t="s">
        <v>3208</v>
      </c>
      <c r="C2721" s="1" t="s">
        <v>3833</v>
      </c>
      <c r="D2721" s="1" t="s">
        <v>1675</v>
      </c>
      <c r="E2721" s="1" t="s">
        <v>6739</v>
      </c>
      <c r="F2721" s="1" t="s">
        <v>5236</v>
      </c>
      <c r="I2721" s="1" t="s">
        <v>6828</v>
      </c>
    </row>
    <row r="2722">
      <c r="B2722" s="1" t="s">
        <v>5813</v>
      </c>
      <c r="C2722" s="1" t="s">
        <v>3339</v>
      </c>
      <c r="D2722" s="1" t="s">
        <v>5815</v>
      </c>
      <c r="E2722" s="1" t="s">
        <v>3641</v>
      </c>
      <c r="F2722" s="1" t="s">
        <v>1173</v>
      </c>
      <c r="I2722" s="1" t="s">
        <v>806</v>
      </c>
    </row>
    <row r="2723">
      <c r="B2723" s="1" t="s">
        <v>3213</v>
      </c>
      <c r="C2723" s="1" t="s">
        <v>880</v>
      </c>
      <c r="D2723" s="1" t="s">
        <v>5816</v>
      </c>
      <c r="E2723" s="1" t="s">
        <v>4998</v>
      </c>
      <c r="F2723" s="1" t="s">
        <v>4780</v>
      </c>
      <c r="I2723" s="1" t="s">
        <v>3132</v>
      </c>
    </row>
    <row r="2724">
      <c r="B2724" s="1" t="s">
        <v>444</v>
      </c>
      <c r="C2724" s="1" t="s">
        <v>2141</v>
      </c>
      <c r="D2724" s="1" t="s">
        <v>2520</v>
      </c>
      <c r="E2724" s="1" t="s">
        <v>3935</v>
      </c>
      <c r="F2724" s="1" t="s">
        <v>5239</v>
      </c>
      <c r="I2724" s="1" t="s">
        <v>5311</v>
      </c>
    </row>
    <row r="2725">
      <c r="B2725" s="1" t="s">
        <v>1692</v>
      </c>
      <c r="C2725" s="1" t="s">
        <v>3692</v>
      </c>
      <c r="D2725" s="1" t="s">
        <v>4332</v>
      </c>
      <c r="E2725" s="1" t="s">
        <v>5474</v>
      </c>
      <c r="F2725" s="1" t="s">
        <v>2387</v>
      </c>
      <c r="I2725" s="1" t="s">
        <v>4283</v>
      </c>
    </row>
    <row r="2726">
      <c r="B2726" s="1" t="s">
        <v>790</v>
      </c>
      <c r="C2726" s="1" t="s">
        <v>626</v>
      </c>
      <c r="D2726" s="1" t="s">
        <v>5348</v>
      </c>
      <c r="E2726" s="1" t="s">
        <v>5000</v>
      </c>
      <c r="F2726" s="1" t="s">
        <v>3572</v>
      </c>
      <c r="I2726" s="1" t="s">
        <v>3638</v>
      </c>
    </row>
    <row r="2727">
      <c r="B2727" s="1" t="s">
        <v>5076</v>
      </c>
      <c r="C2727" s="1" t="s">
        <v>2863</v>
      </c>
      <c r="D2727" s="1" t="s">
        <v>1397</v>
      </c>
      <c r="E2727" s="1" t="s">
        <v>5287</v>
      </c>
      <c r="F2727" s="1" t="s">
        <v>4204</v>
      </c>
      <c r="I2727" s="1" t="s">
        <v>5475</v>
      </c>
    </row>
    <row r="2728">
      <c r="B2728" s="1" t="s">
        <v>5818</v>
      </c>
      <c r="C2728" s="1" t="s">
        <v>1208</v>
      </c>
      <c r="D2728" s="1" t="s">
        <v>5349</v>
      </c>
      <c r="E2728" s="1" t="s">
        <v>6740</v>
      </c>
      <c r="F2728" s="1" t="s">
        <v>2390</v>
      </c>
      <c r="I2728" s="1" t="s">
        <v>1425</v>
      </c>
    </row>
    <row r="2729">
      <c r="B2729" s="1" t="s">
        <v>1700</v>
      </c>
      <c r="C2729" s="1" t="s">
        <v>1998</v>
      </c>
      <c r="D2729" s="1" t="s">
        <v>4334</v>
      </c>
      <c r="E2729" s="1" t="s">
        <v>6741</v>
      </c>
      <c r="F2729" s="1" t="s">
        <v>5714</v>
      </c>
      <c r="I2729" s="1" t="s">
        <v>6829</v>
      </c>
    </row>
    <row r="2730">
      <c r="B2730" s="1" t="s">
        <v>5819</v>
      </c>
      <c r="C2730" s="1" t="s">
        <v>5735</v>
      </c>
      <c r="D2730" s="1" t="s">
        <v>4336</v>
      </c>
      <c r="E2730" s="1" t="s">
        <v>5003</v>
      </c>
      <c r="F2730" s="1" t="s">
        <v>4523</v>
      </c>
      <c r="I2730" s="1" t="s">
        <v>3289</v>
      </c>
    </row>
    <row r="2731">
      <c r="B2731" s="1" t="s">
        <v>5820</v>
      </c>
      <c r="C2731" s="1" t="s">
        <v>2566</v>
      </c>
      <c r="D2731" s="1" t="s">
        <v>3670</v>
      </c>
      <c r="E2731" s="1" t="s">
        <v>5558</v>
      </c>
      <c r="F2731" s="1" t="s">
        <v>1593</v>
      </c>
      <c r="I2731" s="1" t="s">
        <v>5787</v>
      </c>
    </row>
    <row r="2732">
      <c r="B2732" s="1" t="s">
        <v>5821</v>
      </c>
      <c r="C2732" s="1" t="s">
        <v>1051</v>
      </c>
      <c r="D2732" s="1" t="s">
        <v>3234</v>
      </c>
      <c r="E2732" s="1" t="s">
        <v>6743</v>
      </c>
      <c r="F2732" s="1" t="s">
        <v>4208</v>
      </c>
      <c r="I2732" s="1" t="s">
        <v>5321</v>
      </c>
    </row>
    <row r="2733">
      <c r="B2733" s="1" t="s">
        <v>4867</v>
      </c>
      <c r="C2733" s="1" t="s">
        <v>3228</v>
      </c>
      <c r="D2733" s="1">
        <v>66.0</v>
      </c>
      <c r="E2733" s="1" t="s">
        <v>3950</v>
      </c>
      <c r="F2733" s="1" t="s">
        <v>5722</v>
      </c>
      <c r="I2733" s="1" t="s">
        <v>3642</v>
      </c>
    </row>
    <row r="2734">
      <c r="B2734" s="1" t="s">
        <v>3230</v>
      </c>
      <c r="C2734" s="1" t="s">
        <v>1075</v>
      </c>
      <c r="D2734" s="1" t="s">
        <v>4341</v>
      </c>
      <c r="E2734" s="1" t="s">
        <v>4184</v>
      </c>
      <c r="F2734" s="1" t="s">
        <v>2394</v>
      </c>
      <c r="I2734" s="1" t="s">
        <v>4733</v>
      </c>
    </row>
    <row r="2735">
      <c r="B2735" s="1" t="s">
        <v>5724</v>
      </c>
      <c r="C2735" s="1" t="s">
        <v>750</v>
      </c>
      <c r="D2735" s="1" t="s">
        <v>5823</v>
      </c>
      <c r="E2735" s="1" t="s">
        <v>6012</v>
      </c>
      <c r="F2735" s="1" t="s">
        <v>1834</v>
      </c>
      <c r="I2735" s="1" t="s">
        <v>3645</v>
      </c>
    </row>
    <row r="2736">
      <c r="B2736" s="1" t="s">
        <v>4988</v>
      </c>
      <c r="C2736" s="1" t="s">
        <v>456</v>
      </c>
      <c r="D2736" s="1" t="s">
        <v>5728</v>
      </c>
      <c r="E2736" s="1" t="s">
        <v>3954</v>
      </c>
      <c r="F2736" s="1" t="s">
        <v>2397</v>
      </c>
      <c r="I2736" s="1" t="s">
        <v>6830</v>
      </c>
    </row>
    <row r="2737">
      <c r="B2737" s="1" t="s">
        <v>4990</v>
      </c>
      <c r="C2737" s="1" t="s">
        <v>1259</v>
      </c>
      <c r="D2737" s="1" t="s">
        <v>1405</v>
      </c>
      <c r="E2737" s="1" t="s">
        <v>4694</v>
      </c>
      <c r="F2737" s="1" t="s">
        <v>6831</v>
      </c>
      <c r="I2737" s="1" t="s">
        <v>3766</v>
      </c>
    </row>
    <row r="2738">
      <c r="B2738" s="1" t="s">
        <v>5824</v>
      </c>
      <c r="C2738" s="1" t="s">
        <v>5085</v>
      </c>
      <c r="D2738" s="1" t="s">
        <v>5347</v>
      </c>
      <c r="E2738" s="1" t="s">
        <v>5646</v>
      </c>
      <c r="F2738" s="1" t="s">
        <v>6832</v>
      </c>
      <c r="I2738" s="1" t="s">
        <v>4128</v>
      </c>
    </row>
    <row r="2739">
      <c r="B2739" s="1" t="s">
        <v>5825</v>
      </c>
      <c r="C2739" s="1" t="s">
        <v>606</v>
      </c>
      <c r="D2739" s="1" t="s">
        <v>4345</v>
      </c>
      <c r="E2739" s="1" t="s">
        <v>6833</v>
      </c>
      <c r="F2739" s="1" t="s">
        <v>4215</v>
      </c>
      <c r="I2739" s="1" t="s">
        <v>5269</v>
      </c>
    </row>
    <row r="2740">
      <c r="B2740" s="1" t="s">
        <v>5827</v>
      </c>
      <c r="C2740" s="1" t="s">
        <v>4773</v>
      </c>
      <c r="D2740" s="1" t="s">
        <v>1755</v>
      </c>
      <c r="E2740" s="1" t="s">
        <v>1454</v>
      </c>
      <c r="F2740" s="1" t="s">
        <v>5251</v>
      </c>
      <c r="I2740" s="1" t="s">
        <v>5793</v>
      </c>
    </row>
    <row r="2741">
      <c r="B2741" s="1" t="s">
        <v>4994</v>
      </c>
      <c r="C2741" s="1" t="s">
        <v>603</v>
      </c>
      <c r="D2741" s="1" t="s">
        <v>2530</v>
      </c>
      <c r="E2741" s="1" t="s">
        <v>3407</v>
      </c>
      <c r="F2741" s="1" t="s">
        <v>969</v>
      </c>
      <c r="I2741" s="1" t="s">
        <v>5332</v>
      </c>
    </row>
    <row r="2742">
      <c r="B2742" s="1" t="s">
        <v>3242</v>
      </c>
      <c r="C2742" s="1" t="s">
        <v>6005</v>
      </c>
      <c r="D2742" s="1" t="s">
        <v>2533</v>
      </c>
      <c r="E2742" s="1" t="s">
        <v>1468</v>
      </c>
      <c r="F2742" s="1" t="s">
        <v>1315</v>
      </c>
      <c r="I2742" s="1" t="s">
        <v>548</v>
      </c>
    </row>
    <row r="2743">
      <c r="B2743" s="1" t="s">
        <v>1837</v>
      </c>
      <c r="C2743" s="1" t="s">
        <v>5867</v>
      </c>
      <c r="D2743" s="1" t="s">
        <v>5830</v>
      </c>
      <c r="E2743" s="1" t="s">
        <v>4748</v>
      </c>
      <c r="F2743" s="1" t="s">
        <v>607</v>
      </c>
      <c r="I2743" s="1" t="s">
        <v>6834</v>
      </c>
    </row>
    <row r="2744">
      <c r="B2744" s="1" t="s">
        <v>3983</v>
      </c>
      <c r="C2744" s="1" t="s">
        <v>3817</v>
      </c>
      <c r="D2744" s="1" t="s">
        <v>3673</v>
      </c>
      <c r="E2744" s="1" t="s">
        <v>3975</v>
      </c>
      <c r="F2744" s="1" t="s">
        <v>3589</v>
      </c>
      <c r="I2744" s="1" t="s">
        <v>5767</v>
      </c>
    </row>
    <row r="2745">
      <c r="B2745" s="1" t="s">
        <v>4877</v>
      </c>
      <c r="C2745" s="1" t="s">
        <v>5443</v>
      </c>
      <c r="D2745" s="1" t="s">
        <v>2536</v>
      </c>
      <c r="E2745" s="1" t="s">
        <v>4196</v>
      </c>
      <c r="F2745" s="1" t="s">
        <v>1326</v>
      </c>
      <c r="I2745" s="1" t="s">
        <v>4091</v>
      </c>
    </row>
    <row r="2746">
      <c r="B2746" s="1" t="s">
        <v>3245</v>
      </c>
      <c r="C2746" s="1" t="s">
        <v>2151</v>
      </c>
      <c r="D2746" s="1" t="s">
        <v>1410</v>
      </c>
      <c r="E2746" s="1" t="s">
        <v>3411</v>
      </c>
      <c r="F2746" s="1" t="s">
        <v>1605</v>
      </c>
      <c r="I2746" s="1" t="s">
        <v>3653</v>
      </c>
    </row>
    <row r="2747">
      <c r="B2747" s="1" t="s">
        <v>5832</v>
      </c>
      <c r="C2747" s="1" t="s">
        <v>1805</v>
      </c>
      <c r="D2747" s="1" t="s">
        <v>4271</v>
      </c>
      <c r="E2747" s="1" t="s">
        <v>5007</v>
      </c>
      <c r="F2747" s="1" t="s">
        <v>2410</v>
      </c>
      <c r="I2747" s="1" t="s">
        <v>5638</v>
      </c>
    </row>
    <row r="2748">
      <c r="B2748" s="1" t="s">
        <v>1895</v>
      </c>
      <c r="C2748" s="1" t="s">
        <v>753</v>
      </c>
      <c r="D2748" s="1" t="s">
        <v>1415</v>
      </c>
      <c r="E2748" s="1" t="s">
        <v>3738</v>
      </c>
      <c r="F2748" s="1" t="s">
        <v>3591</v>
      </c>
      <c r="I2748" s="1" t="s">
        <v>1390</v>
      </c>
    </row>
    <row r="2749">
      <c r="B2749" s="1" t="s">
        <v>5833</v>
      </c>
      <c r="C2749" s="1" t="s">
        <v>3878</v>
      </c>
      <c r="D2749" s="1" t="s">
        <v>5206</v>
      </c>
      <c r="E2749" s="1" t="s">
        <v>5026</v>
      </c>
      <c r="F2749" s="1" t="s">
        <v>4467</v>
      </c>
      <c r="I2749" s="1" t="s">
        <v>1654</v>
      </c>
    </row>
    <row r="2750">
      <c r="B2750" s="1" t="s">
        <v>5835</v>
      </c>
      <c r="C2750" s="1" t="s">
        <v>608</v>
      </c>
      <c r="D2750" s="1" t="s">
        <v>1680</v>
      </c>
      <c r="E2750" s="1" t="s">
        <v>1831</v>
      </c>
      <c r="F2750" s="1" t="s">
        <v>3593</v>
      </c>
      <c r="I2750" s="1">
        <v>60.0</v>
      </c>
    </row>
    <row r="2751">
      <c r="B2751" s="1" t="s">
        <v>3258</v>
      </c>
      <c r="C2751" s="1" t="s">
        <v>4626</v>
      </c>
      <c r="D2751" s="1" t="s">
        <v>4356</v>
      </c>
      <c r="E2751" s="1" t="s">
        <v>2744</v>
      </c>
      <c r="F2751" s="1" t="s">
        <v>4220</v>
      </c>
      <c r="I2751" s="1" t="s">
        <v>3658</v>
      </c>
    </row>
    <row r="2752">
      <c r="B2752" s="1" t="s">
        <v>5836</v>
      </c>
      <c r="C2752" s="1" t="s">
        <v>1057</v>
      </c>
      <c r="D2752" s="1" t="s">
        <v>346</v>
      </c>
      <c r="E2752" s="1" t="s">
        <v>3415</v>
      </c>
      <c r="F2752" s="1" t="s">
        <v>2413</v>
      </c>
      <c r="I2752" s="1" t="s">
        <v>6000</v>
      </c>
    </row>
    <row r="2753">
      <c r="B2753" s="1" t="s">
        <v>5008</v>
      </c>
      <c r="C2753" s="1" t="s">
        <v>4762</v>
      </c>
      <c r="D2753" s="1" t="s">
        <v>2543</v>
      </c>
      <c r="E2753" s="1" t="s">
        <v>1140</v>
      </c>
      <c r="F2753" s="1" t="s">
        <v>2420</v>
      </c>
      <c r="I2753" s="1" t="s">
        <v>682</v>
      </c>
    </row>
    <row r="2754">
      <c r="B2754" s="1" t="s">
        <v>3266</v>
      </c>
      <c r="C2754" s="1" t="s">
        <v>6180</v>
      </c>
      <c r="D2754" s="1" t="s">
        <v>5839</v>
      </c>
      <c r="E2754" s="1" t="s">
        <v>4077</v>
      </c>
      <c r="F2754" s="1" t="s">
        <v>2422</v>
      </c>
      <c r="I2754" s="1" t="s">
        <v>6835</v>
      </c>
    </row>
    <row r="2755">
      <c r="B2755" s="1" t="s">
        <v>5012</v>
      </c>
      <c r="C2755" s="1" t="s">
        <v>2656</v>
      </c>
      <c r="D2755" s="1" t="s">
        <v>5840</v>
      </c>
      <c r="E2755" s="1" t="s">
        <v>3610</v>
      </c>
      <c r="F2755" s="1" t="s">
        <v>4229</v>
      </c>
      <c r="I2755" s="1" t="s">
        <v>3664</v>
      </c>
    </row>
    <row r="2756">
      <c r="B2756" s="1" t="s">
        <v>5841</v>
      </c>
      <c r="C2756" s="1" t="s">
        <v>2691</v>
      </c>
      <c r="D2756" s="1" t="s">
        <v>2013</v>
      </c>
      <c r="E2756" s="1">
        <v>89.0</v>
      </c>
      <c r="F2756" s="1" t="s">
        <v>1332</v>
      </c>
      <c r="I2756" s="1" t="s">
        <v>1813</v>
      </c>
    </row>
    <row r="2757">
      <c r="B2757" s="1" t="s">
        <v>2822</v>
      </c>
      <c r="C2757" s="1" t="s">
        <v>4952</v>
      </c>
      <c r="D2757" s="1" t="s">
        <v>5365</v>
      </c>
      <c r="E2757" s="1" t="s">
        <v>6745</v>
      </c>
      <c r="F2757" s="1" t="s">
        <v>3598</v>
      </c>
      <c r="I2757" s="1" t="s">
        <v>6836</v>
      </c>
    </row>
    <row r="2758">
      <c r="B2758" s="1" t="s">
        <v>1915</v>
      </c>
      <c r="C2758" s="1" t="s">
        <v>6181</v>
      </c>
      <c r="D2758" s="1" t="s">
        <v>4360</v>
      </c>
      <c r="E2758" s="1" t="s">
        <v>5670</v>
      </c>
      <c r="F2758" s="1" t="s">
        <v>2428</v>
      </c>
      <c r="I2758" s="1" t="s">
        <v>4824</v>
      </c>
    </row>
    <row r="2759">
      <c r="B2759" s="1" t="s">
        <v>5015</v>
      </c>
      <c r="C2759" s="1">
        <v>93.0</v>
      </c>
      <c r="D2759" s="1" t="s">
        <v>5140</v>
      </c>
      <c r="E2759" s="1" t="s">
        <v>1481</v>
      </c>
      <c r="F2759" s="1" t="s">
        <v>362</v>
      </c>
      <c r="I2759" s="1" t="s">
        <v>6837</v>
      </c>
    </row>
    <row r="2760">
      <c r="B2760" s="1" t="s">
        <v>3276</v>
      </c>
      <c r="C2760" s="1" t="s">
        <v>232</v>
      </c>
      <c r="D2760" s="1" t="s">
        <v>5369</v>
      </c>
      <c r="E2760" s="1" t="s">
        <v>5698</v>
      </c>
      <c r="F2760" s="1" t="s">
        <v>4439</v>
      </c>
      <c r="I2760" s="1" t="s">
        <v>5317</v>
      </c>
    </row>
    <row r="2761">
      <c r="B2761" s="1" t="s">
        <v>3274</v>
      </c>
      <c r="C2761" s="1" t="s">
        <v>223</v>
      </c>
      <c r="D2761" s="1" t="s">
        <v>2545</v>
      </c>
      <c r="E2761" s="1" t="s">
        <v>4297</v>
      </c>
      <c r="F2761" s="1" t="s">
        <v>5742</v>
      </c>
      <c r="I2761" s="1" t="s">
        <v>5484</v>
      </c>
    </row>
    <row r="2762">
      <c r="B2762" s="1" t="s">
        <v>5020</v>
      </c>
      <c r="C2762" s="1" t="s">
        <v>589</v>
      </c>
      <c r="D2762" s="1" t="s">
        <v>338</v>
      </c>
      <c r="E2762" s="1" t="s">
        <v>6749</v>
      </c>
      <c r="F2762" s="1" t="s">
        <v>4241</v>
      </c>
      <c r="I2762" s="1" t="s">
        <v>5532</v>
      </c>
    </row>
    <row r="2763">
      <c r="B2763" s="1" t="s">
        <v>5844</v>
      </c>
      <c r="C2763" s="1" t="s">
        <v>4332</v>
      </c>
      <c r="D2763" s="1" t="s">
        <v>4365</v>
      </c>
      <c r="E2763" s="1" t="s">
        <v>5036</v>
      </c>
      <c r="F2763" s="1" t="s">
        <v>4244</v>
      </c>
      <c r="I2763" s="1" t="s">
        <v>4798</v>
      </c>
    </row>
    <row r="2764">
      <c r="B2764" s="1" t="s">
        <v>5845</v>
      </c>
      <c r="C2764" s="1" t="s">
        <v>1994</v>
      </c>
      <c r="D2764" s="1" t="s">
        <v>1421</v>
      </c>
      <c r="E2764" s="1" t="s">
        <v>5043</v>
      </c>
      <c r="F2764" s="1" t="s">
        <v>4246</v>
      </c>
      <c r="I2764" s="1" t="s">
        <v>5947</v>
      </c>
    </row>
    <row r="2765">
      <c r="B2765" s="1" t="s">
        <v>3278</v>
      </c>
      <c r="C2765" s="1" t="s">
        <v>2664</v>
      </c>
      <c r="D2765" s="1" t="s">
        <v>4368</v>
      </c>
      <c r="E2765" s="1" t="s">
        <v>6746</v>
      </c>
      <c r="F2765" s="1" t="s">
        <v>4250</v>
      </c>
      <c r="I2765" s="1" t="s">
        <v>5599</v>
      </c>
    </row>
    <row r="2766">
      <c r="B2766" s="1" t="s">
        <v>5846</v>
      </c>
      <c r="C2766" s="1" t="s">
        <v>202</v>
      </c>
      <c r="D2766" s="1" t="s">
        <v>5847</v>
      </c>
      <c r="E2766" s="1" t="s">
        <v>3170</v>
      </c>
      <c r="F2766" s="1" t="s">
        <v>5157</v>
      </c>
      <c r="I2766" s="1" t="s">
        <v>1703</v>
      </c>
    </row>
    <row r="2767">
      <c r="B2767" s="1" t="s">
        <v>5848</v>
      </c>
      <c r="C2767" s="1" t="s">
        <v>2018</v>
      </c>
      <c r="D2767" s="1" t="s">
        <v>5375</v>
      </c>
      <c r="E2767" s="1" t="s">
        <v>1182</v>
      </c>
      <c r="F2767" s="1" t="s">
        <v>6838</v>
      </c>
      <c r="I2767" s="1" t="s">
        <v>6839</v>
      </c>
    </row>
    <row r="2768">
      <c r="B2768" s="1" t="s">
        <v>3383</v>
      </c>
      <c r="C2768" s="1" t="s">
        <v>257</v>
      </c>
      <c r="D2768" s="1" t="s">
        <v>4370</v>
      </c>
      <c r="E2768" s="1" t="s">
        <v>6747</v>
      </c>
      <c r="F2768" s="1" t="s">
        <v>3601</v>
      </c>
      <c r="I2768" s="1" t="s">
        <v>5954</v>
      </c>
    </row>
    <row r="2769">
      <c r="B2769" s="1" t="s">
        <v>5023</v>
      </c>
      <c r="C2769" s="1" t="s">
        <v>1673</v>
      </c>
      <c r="D2769" s="1" t="s">
        <v>3683</v>
      </c>
      <c r="E2769" s="1" t="s">
        <v>5051</v>
      </c>
      <c r="F2769" s="1" t="s">
        <v>1339</v>
      </c>
      <c r="I2769" s="1" t="s">
        <v>3234</v>
      </c>
    </row>
    <row r="2770">
      <c r="B2770" s="1" t="s">
        <v>5025</v>
      </c>
      <c r="C2770" s="1" t="s">
        <v>4691</v>
      </c>
      <c r="D2770" s="1" t="s">
        <v>4374</v>
      </c>
      <c r="E2770" s="1" t="s">
        <v>3416</v>
      </c>
      <c r="F2770" s="1" t="s">
        <v>1344</v>
      </c>
      <c r="I2770" s="1">
        <v>66.0</v>
      </c>
    </row>
    <row r="2771">
      <c r="B2771" s="1" t="s">
        <v>3285</v>
      </c>
      <c r="C2771" s="1">
        <v>1975.0</v>
      </c>
      <c r="D2771" s="1" t="s">
        <v>5849</v>
      </c>
      <c r="E2771" s="1" t="s">
        <v>6748</v>
      </c>
      <c r="F2771" s="1" t="s">
        <v>4202</v>
      </c>
      <c r="I2771" s="1" t="s">
        <v>5494</v>
      </c>
    </row>
    <row r="2772">
      <c r="B2772" s="1" t="s">
        <v>5850</v>
      </c>
      <c r="C2772" s="1" t="s">
        <v>6186</v>
      </c>
      <c r="D2772" s="1" t="s">
        <v>5851</v>
      </c>
      <c r="E2772" s="1" t="s">
        <v>4003</v>
      </c>
      <c r="F2772" s="1" t="s">
        <v>3607</v>
      </c>
      <c r="I2772" s="1" t="s">
        <v>4772</v>
      </c>
    </row>
    <row r="2773">
      <c r="B2773" s="1" t="s">
        <v>5807</v>
      </c>
      <c r="C2773" s="1" t="s">
        <v>163</v>
      </c>
      <c r="D2773" s="1" t="s">
        <v>4377</v>
      </c>
      <c r="E2773" s="1" t="s">
        <v>4007</v>
      </c>
      <c r="F2773" s="1" t="s">
        <v>5361</v>
      </c>
      <c r="I2773" s="1" t="s">
        <v>5347</v>
      </c>
    </row>
    <row r="2774">
      <c r="B2774" s="1" t="s">
        <v>1705</v>
      </c>
      <c r="C2774" s="1" t="s">
        <v>2091</v>
      </c>
      <c r="D2774" s="1" t="s">
        <v>1695</v>
      </c>
      <c r="E2774" s="1" t="s">
        <v>6840</v>
      </c>
      <c r="F2774" s="1" t="s">
        <v>4254</v>
      </c>
      <c r="I2774" s="1" t="s">
        <v>6841</v>
      </c>
    </row>
    <row r="2775">
      <c r="B2775" s="1" t="s">
        <v>3297</v>
      </c>
      <c r="C2775" s="1" t="s">
        <v>183</v>
      </c>
      <c r="D2775" s="1" t="s">
        <v>1726</v>
      </c>
      <c r="E2775" s="1" t="s">
        <v>4013</v>
      </c>
      <c r="F2775" s="1" t="s">
        <v>1187</v>
      </c>
      <c r="I2775" s="1" t="s">
        <v>4397</v>
      </c>
    </row>
    <row r="2776">
      <c r="B2776" s="1" t="s">
        <v>3303</v>
      </c>
      <c r="C2776" s="1" t="s">
        <v>251</v>
      </c>
      <c r="D2776" s="1" t="s">
        <v>5852</v>
      </c>
      <c r="E2776" s="1" t="s">
        <v>5057</v>
      </c>
      <c r="F2776" s="1" t="s">
        <v>1351</v>
      </c>
      <c r="I2776" s="1" t="s">
        <v>5027</v>
      </c>
    </row>
    <row r="2777">
      <c r="B2777" s="1" t="s">
        <v>3306</v>
      </c>
      <c r="C2777" s="1" t="s">
        <v>427</v>
      </c>
      <c r="D2777" s="1" t="s">
        <v>5383</v>
      </c>
      <c r="E2777" s="1" t="s">
        <v>2797</v>
      </c>
      <c r="F2777" s="1" t="s">
        <v>5346</v>
      </c>
      <c r="I2777" s="1">
        <v>1998.0</v>
      </c>
    </row>
    <row r="2778">
      <c r="B2778" s="1" t="s">
        <v>3312</v>
      </c>
      <c r="C2778" s="1" t="s">
        <v>3096</v>
      </c>
      <c r="D2778" s="1" t="s">
        <v>5387</v>
      </c>
      <c r="E2778" s="1" t="s">
        <v>5516</v>
      </c>
      <c r="F2778" s="1" t="s">
        <v>1354</v>
      </c>
      <c r="I2778" s="1" t="s">
        <v>5830</v>
      </c>
    </row>
    <row r="2779">
      <c r="B2779" s="1" t="s">
        <v>5854</v>
      </c>
      <c r="C2779" s="1" t="s">
        <v>4492</v>
      </c>
      <c r="D2779" s="1" t="s">
        <v>268</v>
      </c>
      <c r="E2779" s="1" t="s">
        <v>2279</v>
      </c>
      <c r="F2779" s="1" t="s">
        <v>2439</v>
      </c>
      <c r="I2779" s="1" t="s">
        <v>2533</v>
      </c>
    </row>
    <row r="2780">
      <c r="B2780" s="1" t="s">
        <v>5855</v>
      </c>
      <c r="C2780" s="1" t="s">
        <v>2106</v>
      </c>
      <c r="D2780" s="1" t="s">
        <v>3690</v>
      </c>
      <c r="E2780" s="1" t="s">
        <v>4852</v>
      </c>
      <c r="F2780" s="1" t="s">
        <v>4257</v>
      </c>
      <c r="I2780" s="1" t="s">
        <v>5358</v>
      </c>
    </row>
    <row r="2781">
      <c r="B2781" s="1" t="s">
        <v>5045</v>
      </c>
      <c r="C2781" s="1" t="s">
        <v>3759</v>
      </c>
      <c r="D2781" s="1" t="s">
        <v>5345</v>
      </c>
      <c r="E2781" s="1" t="s">
        <v>5060</v>
      </c>
      <c r="F2781" s="1" t="s">
        <v>4258</v>
      </c>
      <c r="I2781" s="1" t="s">
        <v>5389</v>
      </c>
    </row>
    <row r="2782">
      <c r="B2782" s="1" t="s">
        <v>5857</v>
      </c>
      <c r="C2782" s="1" t="s">
        <v>196</v>
      </c>
      <c r="D2782" s="1" t="s">
        <v>2116</v>
      </c>
      <c r="E2782" s="1" t="s">
        <v>6750</v>
      </c>
      <c r="F2782" s="1" t="s">
        <v>1358</v>
      </c>
      <c r="I2782" s="1" t="s">
        <v>3673</v>
      </c>
    </row>
    <row r="2783">
      <c r="B2783" s="1" t="s">
        <v>5858</v>
      </c>
      <c r="C2783" s="1" t="s">
        <v>2522</v>
      </c>
      <c r="D2783" s="1" t="s">
        <v>5859</v>
      </c>
      <c r="E2783" s="1" t="s">
        <v>5681</v>
      </c>
      <c r="F2783" s="1" t="s">
        <v>2445</v>
      </c>
      <c r="I2783" s="1" t="s">
        <v>1549</v>
      </c>
    </row>
    <row r="2784">
      <c r="B2784" s="1" t="s">
        <v>5860</v>
      </c>
      <c r="C2784" s="1" t="s">
        <v>2872</v>
      </c>
      <c r="D2784" s="1" t="s">
        <v>4387</v>
      </c>
      <c r="E2784" s="1" t="s">
        <v>6751</v>
      </c>
      <c r="F2784" s="1" t="s">
        <v>2448</v>
      </c>
      <c r="I2784" s="1" t="s">
        <v>3998</v>
      </c>
    </row>
    <row r="2785">
      <c r="B2785" s="1" t="s">
        <v>5861</v>
      </c>
      <c r="C2785" s="1" t="s">
        <v>1983</v>
      </c>
      <c r="D2785" s="1" t="s">
        <v>4389</v>
      </c>
      <c r="E2785" s="1" t="s">
        <v>4021</v>
      </c>
      <c r="F2785" s="1" t="s">
        <v>1624</v>
      </c>
      <c r="I2785" s="1" t="s">
        <v>4271</v>
      </c>
    </row>
    <row r="2786">
      <c r="B2786" s="1" t="s">
        <v>5862</v>
      </c>
      <c r="C2786" s="1" t="s">
        <v>512</v>
      </c>
      <c r="D2786" s="1" t="s">
        <v>574</v>
      </c>
      <c r="E2786" s="1" t="s">
        <v>5686</v>
      </c>
      <c r="F2786" s="1" t="s">
        <v>4263</v>
      </c>
      <c r="I2786" s="1" t="s">
        <v>1415</v>
      </c>
    </row>
    <row r="2787">
      <c r="B2787" s="1" t="s">
        <v>5618</v>
      </c>
      <c r="C2787" s="1" t="s">
        <v>1411</v>
      </c>
      <c r="D2787" s="1" t="s">
        <v>5678</v>
      </c>
      <c r="E2787" s="1" t="s">
        <v>4603</v>
      </c>
      <c r="F2787" s="1" t="s">
        <v>5907</v>
      </c>
      <c r="I2787" s="1" t="s">
        <v>3646</v>
      </c>
    </row>
    <row r="2788">
      <c r="B2788" s="1" t="s">
        <v>3327</v>
      </c>
      <c r="C2788" s="1" t="s">
        <v>193</v>
      </c>
      <c r="D2788" s="1" t="s">
        <v>2552</v>
      </c>
      <c r="E2788" s="1" t="s">
        <v>5897</v>
      </c>
      <c r="F2788" s="1" t="s">
        <v>4265</v>
      </c>
      <c r="I2788" s="1" t="s">
        <v>2013</v>
      </c>
    </row>
    <row r="2789">
      <c r="B2789" s="1" t="s">
        <v>5865</v>
      </c>
      <c r="C2789" s="1" t="s">
        <v>2601</v>
      </c>
      <c r="D2789" s="1" t="s">
        <v>2556</v>
      </c>
      <c r="E2789" s="1" t="s">
        <v>6752</v>
      </c>
      <c r="F2789" s="1">
        <v>1938.0</v>
      </c>
      <c r="I2789" s="1" t="s">
        <v>5140</v>
      </c>
    </row>
    <row r="2790">
      <c r="B2790" s="1" t="s">
        <v>3339</v>
      </c>
      <c r="C2790" s="1" t="s">
        <v>5137</v>
      </c>
      <c r="D2790" s="1" t="s">
        <v>5336</v>
      </c>
      <c r="E2790" s="1" t="s">
        <v>1503</v>
      </c>
      <c r="F2790" s="1" t="s">
        <v>135</v>
      </c>
      <c r="I2790" s="1" t="s">
        <v>6842</v>
      </c>
    </row>
    <row r="2791">
      <c r="B2791" s="1" t="s">
        <v>3341</v>
      </c>
      <c r="C2791" s="1" t="s">
        <v>4723</v>
      </c>
      <c r="D2791" s="1" t="s">
        <v>4393</v>
      </c>
      <c r="E2791" s="1" t="s">
        <v>6753</v>
      </c>
      <c r="F2791" s="1" t="s">
        <v>2455</v>
      </c>
      <c r="I2791" s="1" t="s">
        <v>5369</v>
      </c>
    </row>
    <row r="2792">
      <c r="B2792" s="1" t="s">
        <v>5867</v>
      </c>
      <c r="C2792" s="1" t="s">
        <v>5662</v>
      </c>
      <c r="D2792" s="1" t="s">
        <v>1433</v>
      </c>
      <c r="E2792" s="1" t="s">
        <v>5530</v>
      </c>
      <c r="F2792" s="1" t="s">
        <v>2459</v>
      </c>
      <c r="I2792" s="1" t="s">
        <v>5748</v>
      </c>
    </row>
    <row r="2793">
      <c r="B2793" s="1" t="s">
        <v>3344</v>
      </c>
      <c r="C2793" s="1" t="s">
        <v>738</v>
      </c>
      <c r="D2793" s="1" t="s">
        <v>1630</v>
      </c>
      <c r="E2793" s="1" t="s">
        <v>3109</v>
      </c>
      <c r="F2793" s="1" t="s">
        <v>6826</v>
      </c>
      <c r="I2793" s="1" t="s">
        <v>4264</v>
      </c>
    </row>
    <row r="2794">
      <c r="B2794" s="1" t="s">
        <v>5868</v>
      </c>
      <c r="C2794" s="1" t="s">
        <v>6188</v>
      </c>
      <c r="D2794" s="1" t="s">
        <v>2562</v>
      </c>
      <c r="E2794" s="1" t="s">
        <v>6755</v>
      </c>
      <c r="F2794" s="1" t="s">
        <v>5769</v>
      </c>
      <c r="I2794" s="1" t="s">
        <v>5923</v>
      </c>
    </row>
    <row r="2795">
      <c r="B2795" s="1" t="s">
        <v>5869</v>
      </c>
      <c r="C2795" s="1" t="s">
        <v>5766</v>
      </c>
      <c r="D2795" s="1" t="s">
        <v>2566</v>
      </c>
      <c r="E2795" s="1" t="s">
        <v>6843</v>
      </c>
      <c r="F2795" s="1" t="s">
        <v>2462</v>
      </c>
      <c r="I2795" s="1" t="s">
        <v>4719</v>
      </c>
    </row>
    <row r="2796">
      <c r="B2796" s="1" t="s">
        <v>3353</v>
      </c>
      <c r="C2796" s="1" t="s">
        <v>3477</v>
      </c>
      <c r="D2796" s="1" t="s">
        <v>2568</v>
      </c>
      <c r="E2796" s="1" t="s">
        <v>4032</v>
      </c>
      <c r="F2796" s="1" t="s">
        <v>6844</v>
      </c>
      <c r="I2796" s="1" t="s">
        <v>6845</v>
      </c>
    </row>
    <row r="2797">
      <c r="B2797" s="1" t="s">
        <v>5870</v>
      </c>
      <c r="C2797" s="1" t="s">
        <v>1439</v>
      </c>
      <c r="D2797" s="1" t="s">
        <v>5047</v>
      </c>
      <c r="E2797" s="1" t="s">
        <v>4644</v>
      </c>
      <c r="F2797" s="1" t="s">
        <v>2466</v>
      </c>
      <c r="I2797" s="1" t="s">
        <v>5375</v>
      </c>
    </row>
    <row r="2798">
      <c r="B2798" s="1" t="s">
        <v>5822</v>
      </c>
      <c r="C2798" s="1" t="s">
        <v>3270</v>
      </c>
      <c r="D2798" s="1" t="s">
        <v>4396</v>
      </c>
      <c r="E2798" s="1" t="s">
        <v>5866</v>
      </c>
      <c r="F2798" s="1" t="s">
        <v>2470</v>
      </c>
      <c r="I2798" s="1" t="s">
        <v>6846</v>
      </c>
    </row>
    <row r="2799">
      <c r="B2799" s="1" t="s">
        <v>3354</v>
      </c>
      <c r="C2799" s="1" t="s">
        <v>3791</v>
      </c>
      <c r="D2799" s="1" t="s">
        <v>3703</v>
      </c>
      <c r="E2799" s="1" t="s">
        <v>6756</v>
      </c>
      <c r="F2799" s="1" t="s">
        <v>1629</v>
      </c>
      <c r="I2799" s="1" t="s">
        <v>6847</v>
      </c>
    </row>
    <row r="2800">
      <c r="B2800" s="1" t="s">
        <v>5873</v>
      </c>
      <c r="C2800" s="1" t="s">
        <v>4250</v>
      </c>
      <c r="D2800" s="1" t="s">
        <v>4398</v>
      </c>
      <c r="E2800" s="1" t="s">
        <v>1711</v>
      </c>
      <c r="F2800" s="1" t="s">
        <v>5917</v>
      </c>
      <c r="I2800" s="1" t="s">
        <v>3684</v>
      </c>
    </row>
    <row r="2801">
      <c r="B2801" s="1" t="s">
        <v>5585</v>
      </c>
      <c r="C2801" s="1" t="s">
        <v>4194</v>
      </c>
      <c r="D2801" s="1" t="s">
        <v>2573</v>
      </c>
      <c r="E2801" s="1" t="s">
        <v>3613</v>
      </c>
      <c r="F2801" s="1" t="s">
        <v>1461</v>
      </c>
      <c r="I2801" s="1" t="s">
        <v>6848</v>
      </c>
    </row>
    <row r="2802">
      <c r="B2802" s="1" t="s">
        <v>5874</v>
      </c>
      <c r="C2802" s="1" t="s">
        <v>1953</v>
      </c>
      <c r="D2802" s="1" t="s">
        <v>4401</v>
      </c>
      <c r="E2802" s="1" t="s">
        <v>2840</v>
      </c>
      <c r="F2802" s="1" t="s">
        <v>3622</v>
      </c>
      <c r="I2802" s="1" t="s">
        <v>6849</v>
      </c>
    </row>
    <row r="2803">
      <c r="B2803" s="1" t="s">
        <v>5814</v>
      </c>
      <c r="C2803" s="1" t="s">
        <v>1390</v>
      </c>
      <c r="D2803" s="1" t="s">
        <v>4404</v>
      </c>
      <c r="E2803" s="1" t="s">
        <v>1180</v>
      </c>
      <c r="F2803" s="1" t="s">
        <v>1366</v>
      </c>
      <c r="I2803" s="1" t="s">
        <v>1726</v>
      </c>
    </row>
    <row r="2804">
      <c r="B2804" s="1" t="s">
        <v>3357</v>
      </c>
      <c r="C2804" s="1" t="s">
        <v>1083</v>
      </c>
      <c r="D2804" s="1" t="s">
        <v>1439</v>
      </c>
      <c r="E2804" s="1" t="s">
        <v>6761</v>
      </c>
      <c r="F2804" s="1" t="s">
        <v>5299</v>
      </c>
      <c r="I2804" s="1" t="s">
        <v>5852</v>
      </c>
    </row>
    <row r="2805">
      <c r="B2805" s="1" t="s">
        <v>5877</v>
      </c>
      <c r="C2805" s="1" t="s">
        <v>5672</v>
      </c>
      <c r="D2805" s="1" t="s">
        <v>1445</v>
      </c>
      <c r="E2805" s="1" t="s">
        <v>6757</v>
      </c>
      <c r="F2805" s="1" t="s">
        <v>3624</v>
      </c>
      <c r="I2805" s="1" t="s">
        <v>3686</v>
      </c>
    </row>
    <row r="2806">
      <c r="B2806" s="1" t="s">
        <v>4635</v>
      </c>
      <c r="C2806" s="1" t="s">
        <v>6189</v>
      </c>
      <c r="D2806" s="1" t="s">
        <v>2577</v>
      </c>
      <c r="E2806" s="1" t="s">
        <v>6758</v>
      </c>
      <c r="F2806" s="1" t="s">
        <v>4274</v>
      </c>
      <c r="I2806" s="1" t="s">
        <v>5488</v>
      </c>
    </row>
    <row r="2807">
      <c r="B2807" s="1" t="s">
        <v>3434</v>
      </c>
      <c r="C2807" s="1" t="s">
        <v>1721</v>
      </c>
      <c r="D2807" s="1" t="s">
        <v>5878</v>
      </c>
      <c r="E2807" s="1" t="s">
        <v>5198</v>
      </c>
      <c r="F2807" s="1" t="s">
        <v>1374</v>
      </c>
      <c r="I2807" s="1" t="s">
        <v>6850</v>
      </c>
    </row>
    <row r="2808">
      <c r="B2808" s="1" t="s">
        <v>3360</v>
      </c>
      <c r="C2808" s="1" t="s">
        <v>4129</v>
      </c>
      <c r="D2808" s="1" t="s">
        <v>4412</v>
      </c>
      <c r="E2808" s="1" t="s">
        <v>5543</v>
      </c>
      <c r="F2808" s="1" t="s">
        <v>4276</v>
      </c>
      <c r="I2808" s="1" t="s">
        <v>6851</v>
      </c>
    </row>
    <row r="2809">
      <c r="B2809" s="1" t="s">
        <v>4023</v>
      </c>
      <c r="C2809" s="1" t="s">
        <v>3278</v>
      </c>
      <c r="D2809" s="1" t="s">
        <v>3797</v>
      </c>
      <c r="E2809" s="1" t="s">
        <v>4048</v>
      </c>
      <c r="F2809" s="1" t="s">
        <v>1160</v>
      </c>
      <c r="I2809" s="1" t="s">
        <v>3690</v>
      </c>
    </row>
    <row r="2810">
      <c r="B2810" s="1" t="s">
        <v>1712</v>
      </c>
      <c r="C2810" s="1" t="s">
        <v>411</v>
      </c>
      <c r="D2810" s="1" t="s">
        <v>5404</v>
      </c>
      <c r="E2810" s="1" t="s">
        <v>5706</v>
      </c>
      <c r="F2810" s="1" t="s">
        <v>5780</v>
      </c>
      <c r="I2810" s="1" t="s">
        <v>5345</v>
      </c>
    </row>
    <row r="2811">
      <c r="B2811" s="1" t="s">
        <v>5879</v>
      </c>
      <c r="C2811" s="1" t="s">
        <v>2000</v>
      </c>
      <c r="D2811" s="1" t="s">
        <v>4414</v>
      </c>
      <c r="E2811" s="1">
        <v>83.0</v>
      </c>
      <c r="F2811" s="1" t="s">
        <v>3631</v>
      </c>
      <c r="I2811" s="1" t="s">
        <v>2116</v>
      </c>
    </row>
    <row r="2812">
      <c r="B2812" s="1" t="s">
        <v>5880</v>
      </c>
      <c r="C2812" s="1" t="s">
        <v>1194</v>
      </c>
      <c r="D2812" s="1" t="s">
        <v>1491</v>
      </c>
      <c r="E2812" s="1" t="s">
        <v>4424</v>
      </c>
      <c r="F2812" s="1" t="s">
        <v>3132</v>
      </c>
      <c r="I2812" s="1" t="s">
        <v>3063</v>
      </c>
    </row>
    <row r="2813">
      <c r="B2813" s="1" t="s">
        <v>5077</v>
      </c>
      <c r="C2813" s="1" t="s">
        <v>6191</v>
      </c>
      <c r="D2813" s="1" t="s">
        <v>3708</v>
      </c>
      <c r="E2813" s="1" t="s">
        <v>78</v>
      </c>
      <c r="F2813" s="1" t="s">
        <v>5308</v>
      </c>
      <c r="I2813" s="1" t="s">
        <v>6852</v>
      </c>
    </row>
    <row r="2814">
      <c r="B2814" s="1" t="s">
        <v>3371</v>
      </c>
      <c r="C2814" s="1" t="s">
        <v>4466</v>
      </c>
      <c r="D2814" s="1" t="s">
        <v>4416</v>
      </c>
      <c r="E2814" s="1" t="s">
        <v>5716</v>
      </c>
      <c r="F2814" s="1" t="s">
        <v>806</v>
      </c>
      <c r="I2814" s="1" t="s">
        <v>5394</v>
      </c>
    </row>
    <row r="2815">
      <c r="B2815" s="1" t="s">
        <v>5881</v>
      </c>
      <c r="C2815" s="1" t="s">
        <v>1329</v>
      </c>
      <c r="D2815" s="1" t="s">
        <v>1450</v>
      </c>
      <c r="E2815" s="1" t="s">
        <v>5552</v>
      </c>
      <c r="F2815" s="1" t="s">
        <v>4277</v>
      </c>
      <c r="I2815" s="1" t="s">
        <v>5336</v>
      </c>
    </row>
    <row r="2816">
      <c r="B2816" s="1" t="s">
        <v>3375</v>
      </c>
      <c r="C2816" s="1" t="s">
        <v>6194</v>
      </c>
      <c r="D2816" s="1" t="s">
        <v>5322</v>
      </c>
      <c r="E2816" s="1" t="s">
        <v>4102</v>
      </c>
      <c r="F2816" s="1" t="s">
        <v>2475</v>
      </c>
      <c r="I2816" s="1" t="s">
        <v>2562</v>
      </c>
    </row>
    <row r="2817">
      <c r="B2817" s="1" t="s">
        <v>5884</v>
      </c>
      <c r="C2817" s="1" t="s">
        <v>2563</v>
      </c>
      <c r="D2817" s="1" t="s">
        <v>5360</v>
      </c>
      <c r="E2817" s="1" t="s">
        <v>4689</v>
      </c>
      <c r="F2817" s="1" t="s">
        <v>5924</v>
      </c>
      <c r="I2817" s="1" t="s">
        <v>6853</v>
      </c>
    </row>
    <row r="2818">
      <c r="B2818" s="1" t="s">
        <v>1960</v>
      </c>
      <c r="C2818" s="1" t="s">
        <v>145</v>
      </c>
      <c r="D2818" s="1" t="s">
        <v>2582</v>
      </c>
      <c r="E2818" s="1" t="s">
        <v>5040</v>
      </c>
      <c r="F2818" s="1" t="s">
        <v>1379</v>
      </c>
      <c r="I2818" s="1" t="s">
        <v>6854</v>
      </c>
    </row>
    <row r="2819">
      <c r="B2819" s="1" t="s">
        <v>5885</v>
      </c>
      <c r="C2819" s="1" t="s">
        <v>1510</v>
      </c>
      <c r="D2819" s="1" t="s">
        <v>2585</v>
      </c>
      <c r="E2819" s="1" t="s">
        <v>3443</v>
      </c>
      <c r="F2819" s="1" t="s">
        <v>5311</v>
      </c>
      <c r="I2819" s="1" t="s">
        <v>3705</v>
      </c>
    </row>
    <row r="2820">
      <c r="B2820" s="1" t="s">
        <v>5886</v>
      </c>
      <c r="C2820" s="1" t="s">
        <v>1755</v>
      </c>
      <c r="D2820" s="1" t="s">
        <v>2588</v>
      </c>
      <c r="E2820" s="1" t="s">
        <v>6113</v>
      </c>
      <c r="F2820" s="1" t="s">
        <v>2480</v>
      </c>
      <c r="I2820" s="1" t="s">
        <v>6855</v>
      </c>
    </row>
    <row r="2821">
      <c r="B2821" s="1" t="s">
        <v>5887</v>
      </c>
      <c r="C2821" s="1" t="s">
        <v>2169</v>
      </c>
      <c r="D2821" s="1" t="s">
        <v>1457</v>
      </c>
      <c r="E2821" s="1" t="s">
        <v>5097</v>
      </c>
      <c r="F2821" s="1" t="s">
        <v>4283</v>
      </c>
      <c r="I2821" s="1" t="s">
        <v>5403</v>
      </c>
    </row>
    <row r="2822">
      <c r="B2822" s="1" t="s">
        <v>5888</v>
      </c>
      <c r="C2822" s="1" t="s">
        <v>2390</v>
      </c>
      <c r="D2822" s="1" t="s">
        <v>4425</v>
      </c>
      <c r="E2822" s="1" t="s">
        <v>4984</v>
      </c>
      <c r="F2822" s="1" t="s">
        <v>3635</v>
      </c>
      <c r="I2822" s="1" t="s">
        <v>3797</v>
      </c>
    </row>
    <row r="2823">
      <c r="B2823" s="1" t="s">
        <v>5556</v>
      </c>
      <c r="C2823" s="1" t="s">
        <v>4545</v>
      </c>
      <c r="D2823" s="1" t="s">
        <v>5890</v>
      </c>
      <c r="E2823" s="1" t="s">
        <v>4460</v>
      </c>
      <c r="F2823" s="1" t="s">
        <v>1731</v>
      </c>
      <c r="I2823" s="1" t="s">
        <v>6856</v>
      </c>
    </row>
    <row r="2824">
      <c r="B2824" s="1" t="s">
        <v>5891</v>
      </c>
      <c r="C2824" s="1" t="s">
        <v>2827</v>
      </c>
      <c r="D2824" s="1" t="s">
        <v>2595</v>
      </c>
      <c r="E2824" s="1" t="s">
        <v>5726</v>
      </c>
      <c r="F2824" s="1" t="s">
        <v>2482</v>
      </c>
      <c r="I2824" s="1" t="s">
        <v>1319</v>
      </c>
    </row>
    <row r="2825">
      <c r="B2825" s="1" t="s">
        <v>5893</v>
      </c>
      <c r="C2825" s="1" t="s">
        <v>1707</v>
      </c>
      <c r="D2825" s="1" t="s">
        <v>2598</v>
      </c>
      <c r="E2825" s="1" t="s">
        <v>2481</v>
      </c>
      <c r="F2825" s="1" t="s">
        <v>4287</v>
      </c>
      <c r="I2825" s="1" t="s">
        <v>1491</v>
      </c>
    </row>
    <row r="2826">
      <c r="B2826" s="1" t="s">
        <v>3379</v>
      </c>
      <c r="C2826" s="1" t="s">
        <v>1656</v>
      </c>
      <c r="D2826" s="1" t="s">
        <v>4431</v>
      </c>
      <c r="E2826" s="1" t="s">
        <v>3447</v>
      </c>
      <c r="F2826" s="1" t="s">
        <v>2485</v>
      </c>
      <c r="I2826" s="1" t="s">
        <v>3708</v>
      </c>
    </row>
    <row r="2827">
      <c r="B2827" s="1" t="s">
        <v>5894</v>
      </c>
      <c r="C2827" s="1" t="s">
        <v>4560</v>
      </c>
      <c r="D2827" s="1" t="s">
        <v>5895</v>
      </c>
      <c r="E2827" s="1" t="s">
        <v>3450</v>
      </c>
      <c r="F2827" s="1" t="s">
        <v>1425</v>
      </c>
      <c r="I2827" s="1" t="s">
        <v>1821</v>
      </c>
    </row>
    <row r="2828">
      <c r="B2828" s="1" t="s">
        <v>5896</v>
      </c>
      <c r="C2828" s="1" t="s">
        <v>935</v>
      </c>
      <c r="D2828" s="1" t="s">
        <v>2601</v>
      </c>
      <c r="E2828" s="1" t="s">
        <v>5100</v>
      </c>
      <c r="F2828" s="1" t="s">
        <v>4291</v>
      </c>
      <c r="I2828" s="1" t="s">
        <v>5322</v>
      </c>
    </row>
    <row r="2829">
      <c r="B2829" s="1" t="s">
        <v>3381</v>
      </c>
      <c r="C2829" s="1" t="s">
        <v>527</v>
      </c>
      <c r="D2829" s="1" t="s">
        <v>1465</v>
      </c>
      <c r="E2829" s="1" t="s">
        <v>6762</v>
      </c>
      <c r="F2829" s="1" t="s">
        <v>6829</v>
      </c>
      <c r="I2829" s="1" t="s">
        <v>5281</v>
      </c>
    </row>
    <row r="2830">
      <c r="B2830" s="1" t="s">
        <v>5898</v>
      </c>
      <c r="C2830" s="1" t="s">
        <v>6197</v>
      </c>
      <c r="D2830" s="1" t="s">
        <v>2607</v>
      </c>
      <c r="E2830" s="1" t="s">
        <v>6763</v>
      </c>
      <c r="F2830" s="1" t="s">
        <v>5787</v>
      </c>
      <c r="I2830" s="1" t="s">
        <v>2588</v>
      </c>
    </row>
    <row r="2831">
      <c r="B2831" s="1" t="s">
        <v>5899</v>
      </c>
      <c r="C2831" s="1" t="s">
        <v>6198</v>
      </c>
      <c r="D2831" s="1" t="s">
        <v>1472</v>
      </c>
      <c r="E2831" s="1" t="s">
        <v>3899</v>
      </c>
      <c r="F2831" s="1" t="s">
        <v>2486</v>
      </c>
      <c r="I2831" s="1" t="s">
        <v>6857</v>
      </c>
    </row>
    <row r="2832">
      <c r="B2832" s="1" t="s">
        <v>5900</v>
      </c>
      <c r="C2832" s="1" t="s">
        <v>495</v>
      </c>
      <c r="D2832" s="1" t="s">
        <v>3712</v>
      </c>
      <c r="E2832" s="1" t="s">
        <v>6858</v>
      </c>
      <c r="F2832" s="1" t="s">
        <v>3642</v>
      </c>
      <c r="I2832" s="1" t="s">
        <v>6859</v>
      </c>
    </row>
    <row r="2833">
      <c r="B2833" s="1" t="s">
        <v>3386</v>
      </c>
      <c r="C2833" s="1" t="s">
        <v>2857</v>
      </c>
      <c r="D2833" s="1" t="s">
        <v>4440</v>
      </c>
      <c r="E2833" s="1" t="s">
        <v>5238</v>
      </c>
      <c r="F2833" s="1" t="s">
        <v>1641</v>
      </c>
      <c r="I2833" s="1" t="s">
        <v>6860</v>
      </c>
    </row>
    <row r="2834">
      <c r="B2834" s="1" t="s">
        <v>5085</v>
      </c>
      <c r="C2834" s="1" t="s">
        <v>3012</v>
      </c>
      <c r="D2834" s="1" t="s">
        <v>4442</v>
      </c>
      <c r="E2834" s="1" t="s">
        <v>3668</v>
      </c>
      <c r="F2834" s="1" t="s">
        <v>3650</v>
      </c>
      <c r="I2834" s="1" t="s">
        <v>4431</v>
      </c>
    </row>
    <row r="2835">
      <c r="B2835" s="1" t="s">
        <v>5901</v>
      </c>
      <c r="C2835" s="1" t="s">
        <v>925</v>
      </c>
      <c r="D2835" s="1" t="s">
        <v>3714</v>
      </c>
      <c r="E2835" s="1" t="s">
        <v>3454</v>
      </c>
      <c r="F2835" s="1" t="s">
        <v>5937</v>
      </c>
      <c r="I2835" s="1" t="s">
        <v>5895</v>
      </c>
    </row>
    <row r="2836">
      <c r="C2836" s="1" t="s">
        <v>744</v>
      </c>
      <c r="D2836" s="1" t="s">
        <v>4443</v>
      </c>
      <c r="E2836" s="1" t="s">
        <v>6765</v>
      </c>
      <c r="F2836" s="1" t="s">
        <v>1647</v>
      </c>
      <c r="I2836" s="1" t="s">
        <v>725</v>
      </c>
    </row>
    <row r="2837">
      <c r="C2837" s="1" t="s">
        <v>1573</v>
      </c>
      <c r="D2837" s="1" t="s">
        <v>4446</v>
      </c>
      <c r="E2837" s="1" t="s">
        <v>2239</v>
      </c>
      <c r="F2837" s="1" t="s">
        <v>2491</v>
      </c>
      <c r="I2837" s="1" t="s">
        <v>5413</v>
      </c>
    </row>
    <row r="2838">
      <c r="C2838" s="1" t="s">
        <v>1965</v>
      </c>
      <c r="D2838" s="1" t="s">
        <v>5235</v>
      </c>
      <c r="E2838" s="1" t="s">
        <v>3457</v>
      </c>
      <c r="F2838" s="1" t="s">
        <v>2495</v>
      </c>
      <c r="I2838" s="1" t="s">
        <v>6861</v>
      </c>
    </row>
    <row r="2839">
      <c r="C2839" s="1" t="s">
        <v>2305</v>
      </c>
      <c r="D2839" s="1" t="s">
        <v>2613</v>
      </c>
      <c r="E2839" s="1" t="s">
        <v>2472</v>
      </c>
      <c r="F2839" s="1" t="s">
        <v>4296</v>
      </c>
      <c r="I2839" s="1" t="s">
        <v>4961</v>
      </c>
    </row>
    <row r="2840">
      <c r="C2840" s="1" t="s">
        <v>6199</v>
      </c>
      <c r="D2840" s="1" t="s">
        <v>2293</v>
      </c>
      <c r="E2840" s="1" t="s">
        <v>5103</v>
      </c>
      <c r="F2840" s="1" t="s">
        <v>1384</v>
      </c>
      <c r="I2840" s="1" t="s">
        <v>6862</v>
      </c>
    </row>
    <row r="2841">
      <c r="C2841" s="1" t="s">
        <v>2697</v>
      </c>
      <c r="D2841" s="1" t="s">
        <v>2617</v>
      </c>
      <c r="E2841" s="1" t="s">
        <v>1585</v>
      </c>
      <c r="F2841" s="1" t="s">
        <v>2499</v>
      </c>
      <c r="I2841" s="1" t="s">
        <v>6863</v>
      </c>
    </row>
    <row r="2842">
      <c r="C2842" s="1" t="s">
        <v>4160</v>
      </c>
      <c r="D2842" s="1" t="s">
        <v>2619</v>
      </c>
      <c r="E2842" s="1" t="s">
        <v>6767</v>
      </c>
      <c r="F2842" s="1" t="s">
        <v>2501</v>
      </c>
      <c r="I2842" s="1" t="s">
        <v>6864</v>
      </c>
    </row>
    <row r="2843">
      <c r="C2843" s="1" t="s">
        <v>2306</v>
      </c>
      <c r="D2843" s="1" t="s">
        <v>5903</v>
      </c>
      <c r="E2843" s="1" t="s">
        <v>6768</v>
      </c>
      <c r="F2843" s="1" t="s">
        <v>5534</v>
      </c>
      <c r="I2843" s="9">
        <v>2.0</v>
      </c>
    </row>
    <row r="2844">
      <c r="C2844" s="1" t="s">
        <v>2137</v>
      </c>
      <c r="D2844" s="1" t="s">
        <v>5425</v>
      </c>
      <c r="E2844" s="1" t="s">
        <v>6769</v>
      </c>
      <c r="F2844" s="1" t="s">
        <v>6865</v>
      </c>
      <c r="I2844" s="1" t="s">
        <v>6866</v>
      </c>
    </row>
    <row r="2845">
      <c r="C2845" s="1" t="s">
        <v>615</v>
      </c>
      <c r="D2845" s="1" t="s">
        <v>4452</v>
      </c>
      <c r="E2845" s="1">
        <v>1980.0</v>
      </c>
      <c r="F2845" s="1" t="s">
        <v>1390</v>
      </c>
      <c r="I2845" s="1" t="s">
        <v>4443</v>
      </c>
    </row>
    <row r="2846">
      <c r="C2846" s="1" t="s">
        <v>2824</v>
      </c>
      <c r="D2846" s="1" t="s">
        <v>5905</v>
      </c>
      <c r="E2846" s="1" t="s">
        <v>5111</v>
      </c>
      <c r="F2846" s="1" t="s">
        <v>5338</v>
      </c>
      <c r="I2846" s="1" t="s">
        <v>6166</v>
      </c>
    </row>
    <row r="2847">
      <c r="C2847" s="1" t="s">
        <v>6200</v>
      </c>
      <c r="D2847" s="1" t="s">
        <v>1479</v>
      </c>
      <c r="E2847" s="1" t="s">
        <v>6770</v>
      </c>
      <c r="F2847" s="1" t="s">
        <v>5339</v>
      </c>
      <c r="I2847" s="1" t="s">
        <v>2293</v>
      </c>
    </row>
    <row r="2848">
      <c r="C2848" s="1" t="s">
        <v>4061</v>
      </c>
      <c r="D2848" s="1" t="s">
        <v>3717</v>
      </c>
      <c r="E2848" s="1" t="s">
        <v>4074</v>
      </c>
      <c r="F2848" s="1" t="s">
        <v>3658</v>
      </c>
      <c r="I2848" s="1" t="s">
        <v>5425</v>
      </c>
    </row>
    <row r="2849">
      <c r="C2849" s="1" t="s">
        <v>4977</v>
      </c>
      <c r="D2849" s="1" t="s">
        <v>2627</v>
      </c>
      <c r="E2849" s="1" t="s">
        <v>6867</v>
      </c>
      <c r="F2849" s="1" t="s">
        <v>1662</v>
      </c>
      <c r="I2849" s="1" t="s">
        <v>5903</v>
      </c>
    </row>
    <row r="2850">
      <c r="C2850" s="1" t="s">
        <v>6201</v>
      </c>
      <c r="D2850" s="1" t="s">
        <v>5908</v>
      </c>
      <c r="E2850" s="1" t="s">
        <v>3464</v>
      </c>
      <c r="F2850" s="1" t="s">
        <v>695</v>
      </c>
      <c r="I2850" s="1" t="s">
        <v>2619</v>
      </c>
    </row>
    <row r="2851">
      <c r="C2851" s="1" t="s">
        <v>4951</v>
      </c>
      <c r="D2851" s="1" t="s">
        <v>5429</v>
      </c>
      <c r="E2851" s="1" t="s">
        <v>4344</v>
      </c>
      <c r="F2851" s="1" t="s">
        <v>6868</v>
      </c>
      <c r="I2851" s="1" t="s">
        <v>6869</v>
      </c>
    </row>
    <row r="2852">
      <c r="C2852" s="1" t="s">
        <v>1392</v>
      </c>
      <c r="D2852" s="1" t="s">
        <v>5642</v>
      </c>
      <c r="E2852" s="1" t="s">
        <v>3471</v>
      </c>
      <c r="F2852" s="1" t="s">
        <v>4320</v>
      </c>
      <c r="I2852" s="1" t="s">
        <v>4452</v>
      </c>
    </row>
    <row r="2853">
      <c r="C2853" s="1" t="s">
        <v>3852</v>
      </c>
      <c r="D2853" s="1" t="s">
        <v>5430</v>
      </c>
      <c r="E2853" s="1" t="s">
        <v>390</v>
      </c>
      <c r="F2853" s="1" t="s">
        <v>682</v>
      </c>
      <c r="I2853" s="1" t="s">
        <v>5883</v>
      </c>
    </row>
    <row r="2854">
      <c r="C2854" s="1" t="s">
        <v>6203</v>
      </c>
      <c r="D2854" s="1" t="s">
        <v>5911</v>
      </c>
      <c r="E2854" s="1" t="s">
        <v>4087</v>
      </c>
      <c r="F2854" s="1" t="s">
        <v>5484</v>
      </c>
      <c r="I2854" s="1" t="s">
        <v>1713</v>
      </c>
    </row>
    <row r="2855">
      <c r="C2855" s="1" t="s">
        <v>3585</v>
      </c>
      <c r="D2855" s="1" t="s">
        <v>5913</v>
      </c>
      <c r="E2855" s="1" t="s">
        <v>6870</v>
      </c>
      <c r="F2855" s="1" t="s">
        <v>4323</v>
      </c>
      <c r="I2855" s="1" t="s">
        <v>5986</v>
      </c>
    </row>
    <row r="2856">
      <c r="C2856" s="1" t="s">
        <v>561</v>
      </c>
      <c r="D2856" s="1" t="s">
        <v>5431</v>
      </c>
      <c r="E2856" s="1" t="s">
        <v>5326</v>
      </c>
      <c r="F2856" s="1" t="s">
        <v>2508</v>
      </c>
      <c r="I2856" s="1" t="s">
        <v>5911</v>
      </c>
    </row>
    <row r="2857">
      <c r="C2857" s="1" t="s">
        <v>4034</v>
      </c>
      <c r="D2857" s="1" t="s">
        <v>5433</v>
      </c>
      <c r="E2857" s="1" t="s">
        <v>2261</v>
      </c>
      <c r="F2857" s="1" t="s">
        <v>2511</v>
      </c>
      <c r="I2857" s="1" t="s">
        <v>6871</v>
      </c>
    </row>
    <row r="2858">
      <c r="C2858" s="1" t="s">
        <v>4306</v>
      </c>
      <c r="D2858" s="1" t="s">
        <v>4457</v>
      </c>
      <c r="E2858" s="1" t="s">
        <v>5030</v>
      </c>
      <c r="F2858" s="1" t="s">
        <v>3667</v>
      </c>
      <c r="I2858" s="1" t="s">
        <v>5933</v>
      </c>
    </row>
    <row r="2859">
      <c r="C2859" s="1" t="s">
        <v>5893</v>
      </c>
      <c r="D2859" s="1" t="s">
        <v>2629</v>
      </c>
      <c r="E2859" s="1" t="s">
        <v>1523</v>
      </c>
      <c r="F2859" s="1" t="s">
        <v>2515</v>
      </c>
      <c r="I2859" s="1" t="s">
        <v>5433</v>
      </c>
    </row>
    <row r="2860">
      <c r="C2860" s="1" t="s">
        <v>674</v>
      </c>
      <c r="D2860" s="1" t="s">
        <v>2632</v>
      </c>
      <c r="E2860" s="1" t="s">
        <v>4096</v>
      </c>
      <c r="F2860" s="1" t="s">
        <v>5815</v>
      </c>
      <c r="I2860" s="1" t="s">
        <v>4462</v>
      </c>
    </row>
    <row r="2861">
      <c r="C2861" s="1" t="s">
        <v>4110</v>
      </c>
      <c r="D2861" s="1" t="s">
        <v>4462</v>
      </c>
      <c r="E2861" s="1" t="s">
        <v>4097</v>
      </c>
      <c r="F2861" s="1" t="s">
        <v>1675</v>
      </c>
      <c r="I2861" s="1" t="s">
        <v>852</v>
      </c>
    </row>
    <row r="2862">
      <c r="C2862" s="1" t="s">
        <v>5762</v>
      </c>
      <c r="D2862" s="1" t="s">
        <v>5436</v>
      </c>
      <c r="E2862" s="1" t="s">
        <v>5055</v>
      </c>
      <c r="F2862" s="1" t="s">
        <v>5816</v>
      </c>
      <c r="I2862" s="1" t="s">
        <v>6872</v>
      </c>
    </row>
    <row r="2863">
      <c r="C2863" s="1" t="s">
        <v>419</v>
      </c>
      <c r="D2863" s="1" t="s">
        <v>5437</v>
      </c>
      <c r="E2863" s="1" t="s">
        <v>4100</v>
      </c>
      <c r="F2863" s="1" t="s">
        <v>2520</v>
      </c>
      <c r="I2863" s="1" t="s">
        <v>6873</v>
      </c>
    </row>
    <row r="2864">
      <c r="C2864" s="1" t="s">
        <v>4257</v>
      </c>
      <c r="D2864" s="1" t="s">
        <v>4303</v>
      </c>
      <c r="E2864" s="1" t="s">
        <v>5128</v>
      </c>
      <c r="F2864" s="1" t="s">
        <v>4332</v>
      </c>
      <c r="I2864" s="1" t="s">
        <v>6874</v>
      </c>
    </row>
    <row r="2865">
      <c r="C2865" s="1" t="s">
        <v>6204</v>
      </c>
      <c r="D2865" s="1" t="s">
        <v>2635</v>
      </c>
      <c r="E2865" s="1" t="s">
        <v>2947</v>
      </c>
      <c r="F2865" s="1" t="s">
        <v>1397</v>
      </c>
      <c r="I2865" s="1" t="s">
        <v>4303</v>
      </c>
    </row>
    <row r="2866">
      <c r="C2866" s="1" t="s">
        <v>5694</v>
      </c>
      <c r="D2866" s="1" t="s">
        <v>2637</v>
      </c>
      <c r="E2866" s="1" t="s">
        <v>3480</v>
      </c>
      <c r="F2866" s="1" t="s">
        <v>4336</v>
      </c>
      <c r="I2866" s="1" t="s">
        <v>6875</v>
      </c>
    </row>
    <row r="2867">
      <c r="C2867" s="1" t="s">
        <v>4393</v>
      </c>
      <c r="D2867" s="1" t="s">
        <v>4894</v>
      </c>
      <c r="E2867" s="1" t="s">
        <v>6771</v>
      </c>
      <c r="F2867" s="1" t="s">
        <v>4334</v>
      </c>
      <c r="I2867" s="1" t="s">
        <v>6876</v>
      </c>
    </row>
    <row r="2868">
      <c r="C2868" s="1" t="s">
        <v>5891</v>
      </c>
      <c r="D2868" s="1" t="s">
        <v>1485</v>
      </c>
      <c r="E2868" s="1" t="s">
        <v>3659</v>
      </c>
      <c r="F2868" s="1" t="s">
        <v>5351</v>
      </c>
      <c r="I2868" s="1" t="s">
        <v>5441</v>
      </c>
    </row>
    <row r="2869">
      <c r="C2869" s="1" t="s">
        <v>999</v>
      </c>
      <c r="D2869" s="1" t="s">
        <v>4468</v>
      </c>
      <c r="E2869" s="1" t="s">
        <v>2527</v>
      </c>
      <c r="F2869" s="1" t="s">
        <v>3234</v>
      </c>
      <c r="I2869" s="1" t="s">
        <v>4894</v>
      </c>
    </row>
    <row r="2870">
      <c r="C2870" s="1" t="s">
        <v>6205</v>
      </c>
      <c r="D2870" s="1">
        <v>295.0</v>
      </c>
      <c r="E2870" s="1" t="s">
        <v>2727</v>
      </c>
      <c r="F2870" s="1" t="s">
        <v>4341</v>
      </c>
      <c r="I2870" s="1" t="s">
        <v>5997</v>
      </c>
    </row>
    <row r="2871">
      <c r="C2871" s="1" t="s">
        <v>4982</v>
      </c>
      <c r="D2871" s="1">
        <v>1958.0</v>
      </c>
      <c r="E2871" s="1" t="s">
        <v>6772</v>
      </c>
      <c r="F2871" s="1" t="s">
        <v>5823</v>
      </c>
      <c r="I2871" s="1" t="s">
        <v>1012</v>
      </c>
    </row>
    <row r="2872">
      <c r="C2872" s="1" t="s">
        <v>6206</v>
      </c>
      <c r="D2872" s="1" t="s">
        <v>5921</v>
      </c>
      <c r="E2872" s="1" t="s">
        <v>6774</v>
      </c>
      <c r="F2872" s="1" t="s">
        <v>1405</v>
      </c>
      <c r="I2872" s="1" t="s">
        <v>4890</v>
      </c>
    </row>
    <row r="2873">
      <c r="C2873" s="1" t="s">
        <v>3999</v>
      </c>
      <c r="D2873" s="1" t="s">
        <v>504</v>
      </c>
      <c r="E2873" s="1" t="s">
        <v>2280</v>
      </c>
      <c r="F2873" s="1" t="s">
        <v>4345</v>
      </c>
      <c r="I2873" s="1" t="s">
        <v>6877</v>
      </c>
    </row>
    <row r="2874">
      <c r="C2874" s="1" t="s">
        <v>3315</v>
      </c>
      <c r="D2874" s="1" t="s">
        <v>4471</v>
      </c>
      <c r="E2874" s="1">
        <v>13.0</v>
      </c>
      <c r="F2874" s="1" t="s">
        <v>1755</v>
      </c>
      <c r="I2874" s="1">
        <v>1958.0</v>
      </c>
    </row>
    <row r="2875">
      <c r="C2875" s="1" t="s">
        <v>6207</v>
      </c>
      <c r="D2875" s="1" t="s">
        <v>2649</v>
      </c>
      <c r="E2875" s="1" t="s">
        <v>5141</v>
      </c>
      <c r="F2875" s="1" t="s">
        <v>2530</v>
      </c>
      <c r="I2875" s="1" t="s">
        <v>4471</v>
      </c>
    </row>
    <row r="2876">
      <c r="C2876" s="1" t="s">
        <v>758</v>
      </c>
      <c r="D2876" s="1" t="s">
        <v>2651</v>
      </c>
      <c r="E2876" s="1" t="s">
        <v>3494</v>
      </c>
      <c r="F2876" s="1" t="s">
        <v>2533</v>
      </c>
      <c r="I2876" s="1" t="s">
        <v>6120</v>
      </c>
    </row>
    <row r="2877">
      <c r="C2877" s="1" t="s">
        <v>4781</v>
      </c>
      <c r="D2877" s="1" t="s">
        <v>2653</v>
      </c>
      <c r="E2877" s="1" t="s">
        <v>4410</v>
      </c>
      <c r="F2877" s="1" t="s">
        <v>5358</v>
      </c>
      <c r="I2877" s="1" t="s">
        <v>6002</v>
      </c>
    </row>
    <row r="2878">
      <c r="C2878" s="1" t="s">
        <v>3180</v>
      </c>
      <c r="D2878" s="1" t="s">
        <v>2655</v>
      </c>
      <c r="E2878" s="1" t="s">
        <v>6775</v>
      </c>
      <c r="F2878" s="1" t="s">
        <v>5389</v>
      </c>
      <c r="I2878" s="1" t="s">
        <v>5004</v>
      </c>
    </row>
    <row r="2879">
      <c r="C2879" s="1" t="s">
        <v>2251</v>
      </c>
      <c r="D2879" s="1" t="s">
        <v>4475</v>
      </c>
      <c r="E2879" s="1" t="s">
        <v>5144</v>
      </c>
      <c r="F2879" s="1" t="s">
        <v>2536</v>
      </c>
      <c r="I2879" s="1" t="s">
        <v>6003</v>
      </c>
    </row>
    <row r="2880">
      <c r="C2880" s="1" t="s">
        <v>4585</v>
      </c>
      <c r="D2880" s="1" t="s">
        <v>4476</v>
      </c>
      <c r="E2880" s="1">
        <v>300.0</v>
      </c>
      <c r="F2880" s="1" t="s">
        <v>1410</v>
      </c>
      <c r="I2880" s="1" t="s">
        <v>5925</v>
      </c>
    </row>
    <row r="2881">
      <c r="C2881" s="1" t="s">
        <v>105</v>
      </c>
      <c r="D2881" s="1" t="s">
        <v>2659</v>
      </c>
      <c r="E2881" s="1" t="s">
        <v>4844</v>
      </c>
      <c r="F2881" s="1" t="s">
        <v>4271</v>
      </c>
      <c r="I2881" s="1" t="s">
        <v>2221</v>
      </c>
    </row>
    <row r="2882">
      <c r="C2882" s="1" t="s">
        <v>294</v>
      </c>
      <c r="D2882" s="1" t="s">
        <v>2664</v>
      </c>
      <c r="E2882" s="1" t="s">
        <v>6776</v>
      </c>
      <c r="F2882" s="1" t="s">
        <v>1415</v>
      </c>
      <c r="I2882" s="1" t="s">
        <v>2869</v>
      </c>
    </row>
    <row r="2883">
      <c r="C2883" s="1" t="s">
        <v>5745</v>
      </c>
      <c r="D2883" s="1" t="s">
        <v>5925</v>
      </c>
      <c r="E2883" s="1" t="s">
        <v>1530</v>
      </c>
      <c r="F2883" s="1" t="s">
        <v>5206</v>
      </c>
      <c r="I2883" s="1" t="s">
        <v>2713</v>
      </c>
    </row>
    <row r="2884">
      <c r="C2884" s="1" t="s">
        <v>159</v>
      </c>
      <c r="D2884" s="1" t="s">
        <v>2669</v>
      </c>
      <c r="E2884" s="1" t="s">
        <v>3500</v>
      </c>
      <c r="F2884" s="1" t="s">
        <v>1680</v>
      </c>
      <c r="I2884" s="1" t="s">
        <v>6007</v>
      </c>
    </row>
    <row r="2885">
      <c r="C2885" s="1" t="s">
        <v>4458</v>
      </c>
      <c r="D2885" s="1" t="s">
        <v>1854</v>
      </c>
      <c r="E2885" s="1" t="s">
        <v>5617</v>
      </c>
      <c r="F2885" s="1" t="s">
        <v>4356</v>
      </c>
      <c r="I2885" s="1" t="s">
        <v>6878</v>
      </c>
    </row>
    <row r="2886">
      <c r="C2886" s="1" t="s">
        <v>2871</v>
      </c>
      <c r="D2886" s="1" t="s">
        <v>2675</v>
      </c>
      <c r="E2886" s="1" t="s">
        <v>6777</v>
      </c>
      <c r="F2886" s="1" t="s">
        <v>346</v>
      </c>
      <c r="I2886" s="1" t="s">
        <v>3729</v>
      </c>
    </row>
    <row r="2887">
      <c r="C2887" s="1" t="s">
        <v>1305</v>
      </c>
      <c r="D2887" s="1" t="s">
        <v>5289</v>
      </c>
      <c r="E2887" s="1" t="s">
        <v>2294</v>
      </c>
      <c r="F2887" s="1" t="s">
        <v>2543</v>
      </c>
      <c r="I2887" s="1" t="s">
        <v>6879</v>
      </c>
    </row>
    <row r="2888">
      <c r="C2888" s="1" t="s">
        <v>4144</v>
      </c>
      <c r="D2888" s="1" t="s">
        <v>5224</v>
      </c>
      <c r="E2888" s="1" t="s">
        <v>6778</v>
      </c>
      <c r="F2888" s="1" t="s">
        <v>5840</v>
      </c>
      <c r="I2888" s="1" t="s">
        <v>5224</v>
      </c>
    </row>
    <row r="2889">
      <c r="C2889" s="1" t="s">
        <v>1605</v>
      </c>
      <c r="D2889" s="1" t="s">
        <v>5451</v>
      </c>
      <c r="E2889" s="1" t="s">
        <v>1860</v>
      </c>
      <c r="F2889" s="1" t="s">
        <v>4360</v>
      </c>
      <c r="I2889" s="1" t="s">
        <v>5451</v>
      </c>
    </row>
    <row r="2890">
      <c r="C2890" s="1" t="s">
        <v>5014</v>
      </c>
      <c r="D2890" s="1" t="s">
        <v>5929</v>
      </c>
      <c r="E2890" s="1" t="s">
        <v>3506</v>
      </c>
      <c r="F2890" s="1" t="s">
        <v>2545</v>
      </c>
      <c r="I2890" s="1">
        <v>25.0</v>
      </c>
    </row>
    <row r="2891">
      <c r="C2891" s="1" t="s">
        <v>5373</v>
      </c>
      <c r="D2891" s="1" t="s">
        <v>1735</v>
      </c>
      <c r="E2891" s="1" t="s">
        <v>5956</v>
      </c>
      <c r="F2891" s="1" t="s">
        <v>338</v>
      </c>
      <c r="I2891" s="1" t="s">
        <v>1404</v>
      </c>
    </row>
    <row r="2892">
      <c r="C2892" s="1" t="s">
        <v>3673</v>
      </c>
      <c r="D2892" s="1" t="s">
        <v>5930</v>
      </c>
      <c r="E2892" s="1" t="s">
        <v>2674</v>
      </c>
      <c r="F2892" s="1" t="s">
        <v>4719</v>
      </c>
      <c r="I2892" s="1" t="s">
        <v>5929</v>
      </c>
    </row>
    <row r="2893">
      <c r="C2893" s="1" t="s">
        <v>4760</v>
      </c>
      <c r="D2893" s="1" t="s">
        <v>5931</v>
      </c>
      <c r="E2893" s="1" t="s">
        <v>6880</v>
      </c>
      <c r="F2893" s="1" t="s">
        <v>1421</v>
      </c>
      <c r="I2893" s="1" t="s">
        <v>1735</v>
      </c>
    </row>
    <row r="2894">
      <c r="C2894" s="1" t="s">
        <v>1037</v>
      </c>
      <c r="D2894" s="1" t="s">
        <v>4487</v>
      </c>
      <c r="E2894" s="1" t="s">
        <v>3510</v>
      </c>
      <c r="F2894" s="1" t="s">
        <v>5375</v>
      </c>
      <c r="I2894" s="1" t="s">
        <v>5930</v>
      </c>
    </row>
    <row r="2895">
      <c r="C2895" s="1" t="s">
        <v>3584</v>
      </c>
      <c r="D2895" s="1" t="s">
        <v>5932</v>
      </c>
      <c r="E2895" s="1" t="s">
        <v>6779</v>
      </c>
      <c r="F2895" s="1" t="s">
        <v>5730</v>
      </c>
      <c r="I2895" s="1" t="s">
        <v>6881</v>
      </c>
    </row>
    <row r="2896">
      <c r="C2896" s="1" t="s">
        <v>3385</v>
      </c>
      <c r="D2896" s="1" t="s">
        <v>5104</v>
      </c>
      <c r="E2896" s="1" t="s">
        <v>6780</v>
      </c>
      <c r="F2896" s="1" t="s">
        <v>4370</v>
      </c>
      <c r="I2896" s="1" t="s">
        <v>5931</v>
      </c>
    </row>
    <row r="2897">
      <c r="C2897" s="1" t="s">
        <v>5632</v>
      </c>
      <c r="D2897" s="1" t="s">
        <v>5461</v>
      </c>
      <c r="E2897" s="1" t="s">
        <v>4024</v>
      </c>
      <c r="F2897" s="1" t="s">
        <v>3683</v>
      </c>
      <c r="I2897" s="1" t="s">
        <v>5932</v>
      </c>
    </row>
    <row r="2898">
      <c r="C2898" s="1" t="s">
        <v>1647</v>
      </c>
      <c r="D2898" s="1" t="s">
        <v>1500</v>
      </c>
      <c r="E2898" s="1" t="s">
        <v>3758</v>
      </c>
      <c r="F2898" s="1" t="s">
        <v>4374</v>
      </c>
      <c r="I2898" s="1" t="s">
        <v>5455</v>
      </c>
    </row>
    <row r="2899">
      <c r="C2899" s="1" t="s">
        <v>2339</v>
      </c>
      <c r="D2899" s="1" t="s">
        <v>5934</v>
      </c>
      <c r="E2899" s="1" t="s">
        <v>3854</v>
      </c>
      <c r="F2899" s="1" t="s">
        <v>5851</v>
      </c>
      <c r="I2899" s="1" t="s">
        <v>6882</v>
      </c>
    </row>
    <row r="2900">
      <c r="C2900" s="1" t="s">
        <v>3871</v>
      </c>
      <c r="D2900" s="1" t="s">
        <v>4492</v>
      </c>
      <c r="E2900" s="1" t="s">
        <v>3512</v>
      </c>
      <c r="F2900" s="1" t="s">
        <v>4377</v>
      </c>
      <c r="I2900" s="1" t="s">
        <v>5461</v>
      </c>
    </row>
    <row r="2901">
      <c r="C2901" s="1" t="s">
        <v>6209</v>
      </c>
      <c r="D2901" s="1" t="s">
        <v>5936</v>
      </c>
      <c r="E2901" s="1" t="s">
        <v>6781</v>
      </c>
      <c r="F2901" s="1" t="s">
        <v>5967</v>
      </c>
      <c r="I2901" s="1" t="s">
        <v>5462</v>
      </c>
    </row>
    <row r="2902">
      <c r="C2902" s="1" t="s">
        <v>3757</v>
      </c>
      <c r="D2902" s="1" t="s">
        <v>1876</v>
      </c>
      <c r="E2902" s="1" t="s">
        <v>2548</v>
      </c>
      <c r="F2902" s="1" t="s">
        <v>1695</v>
      </c>
      <c r="I2902" s="1" t="s">
        <v>1500</v>
      </c>
    </row>
    <row r="2903">
      <c r="C2903" s="1" t="s">
        <v>5080</v>
      </c>
      <c r="D2903" s="1" t="s">
        <v>1387</v>
      </c>
      <c r="E2903" s="1" t="s">
        <v>1552</v>
      </c>
      <c r="F2903" s="1" t="s">
        <v>1726</v>
      </c>
      <c r="I2903" s="1" t="s">
        <v>5934</v>
      </c>
    </row>
    <row r="2904">
      <c r="C2904" s="1" t="s">
        <v>2690</v>
      </c>
      <c r="D2904" s="1" t="s">
        <v>1507</v>
      </c>
      <c r="E2904" s="1" t="s">
        <v>6883</v>
      </c>
      <c r="F2904" s="1" t="s">
        <v>268</v>
      </c>
      <c r="I2904" s="1" t="s">
        <v>4512</v>
      </c>
    </row>
    <row r="2905">
      <c r="C2905" s="1">
        <v>1973.0</v>
      </c>
      <c r="D2905" s="1">
        <v>94.0</v>
      </c>
      <c r="E2905" s="1" t="s">
        <v>4131</v>
      </c>
      <c r="F2905" s="1" t="s">
        <v>5345</v>
      </c>
      <c r="I2905" s="1" t="s">
        <v>6884</v>
      </c>
    </row>
    <row r="2906">
      <c r="C2906" s="1" t="s">
        <v>4850</v>
      </c>
      <c r="D2906" s="1" t="s">
        <v>5469</v>
      </c>
      <c r="E2906" s="1" t="s">
        <v>3517</v>
      </c>
      <c r="F2906" s="1" t="s">
        <v>5390</v>
      </c>
      <c r="I2906" s="1" t="s">
        <v>4286</v>
      </c>
    </row>
    <row r="2907">
      <c r="C2907" s="1" t="s">
        <v>2022</v>
      </c>
      <c r="D2907" s="1" t="s">
        <v>1514</v>
      </c>
      <c r="E2907" s="1" t="s">
        <v>4041</v>
      </c>
      <c r="F2907" s="1" t="s">
        <v>574</v>
      </c>
      <c r="I2907" s="1" t="s">
        <v>6885</v>
      </c>
    </row>
    <row r="2908">
      <c r="C2908" s="1" t="s">
        <v>6210</v>
      </c>
      <c r="D2908" s="1" t="s">
        <v>3737</v>
      </c>
      <c r="E2908" s="1" t="s">
        <v>6782</v>
      </c>
      <c r="F2908" s="1" t="s">
        <v>5394</v>
      </c>
      <c r="I2908" s="1">
        <v>94.0</v>
      </c>
    </row>
    <row r="2909">
      <c r="C2909" s="1" t="s">
        <v>418</v>
      </c>
      <c r="D2909" s="1" t="s">
        <v>4496</v>
      </c>
      <c r="E2909" s="1" t="s">
        <v>4135</v>
      </c>
      <c r="F2909" s="1" t="s">
        <v>5678</v>
      </c>
      <c r="I2909" s="1" t="s">
        <v>6886</v>
      </c>
    </row>
    <row r="2910">
      <c r="C2910" s="1" t="s">
        <v>3449</v>
      </c>
      <c r="D2910" s="1" t="s">
        <v>2686</v>
      </c>
      <c r="E2910" s="1" t="s">
        <v>4659</v>
      </c>
      <c r="F2910" s="1" t="s">
        <v>2556</v>
      </c>
      <c r="I2910" s="1" t="s">
        <v>6887</v>
      </c>
    </row>
    <row r="2911">
      <c r="C2911" s="1" t="s">
        <v>2734</v>
      </c>
      <c r="D2911" s="1" t="s">
        <v>2690</v>
      </c>
      <c r="E2911" s="1" t="s">
        <v>6783</v>
      </c>
      <c r="F2911" s="1" t="s">
        <v>2552</v>
      </c>
      <c r="I2911" s="1" t="s">
        <v>3632</v>
      </c>
    </row>
    <row r="2912">
      <c r="C2912" s="1" t="s">
        <v>3403</v>
      </c>
      <c r="D2912" s="1" t="s">
        <v>5473</v>
      </c>
      <c r="E2912" s="1" t="s">
        <v>4800</v>
      </c>
      <c r="F2912" s="1" t="s">
        <v>5336</v>
      </c>
      <c r="I2912" s="1" t="s">
        <v>2915</v>
      </c>
    </row>
    <row r="2913">
      <c r="C2913" s="1" t="s">
        <v>2288</v>
      </c>
      <c r="D2913" s="1" t="s">
        <v>2694</v>
      </c>
      <c r="E2913" s="1" t="s">
        <v>5164</v>
      </c>
      <c r="F2913" s="1" t="s">
        <v>4393</v>
      </c>
      <c r="I2913" s="1" t="s">
        <v>4006</v>
      </c>
    </row>
    <row r="2914">
      <c r="C2914" s="1" t="s">
        <v>4935</v>
      </c>
      <c r="D2914" s="1" t="s">
        <v>2697</v>
      </c>
      <c r="E2914" s="1" t="s">
        <v>2324</v>
      </c>
      <c r="F2914" s="1" t="s">
        <v>1433</v>
      </c>
      <c r="I2914" s="1" t="s">
        <v>5506</v>
      </c>
    </row>
    <row r="2915">
      <c r="C2915" s="1" t="s">
        <v>1407</v>
      </c>
      <c r="D2915" s="1" t="s">
        <v>5506</v>
      </c>
      <c r="E2915" s="1" t="s">
        <v>4713</v>
      </c>
      <c r="F2915" s="1" t="s">
        <v>2562</v>
      </c>
      <c r="I2915" s="1" t="s">
        <v>4450</v>
      </c>
    </row>
    <row r="2916">
      <c r="C2916" s="1" t="s">
        <v>203</v>
      </c>
      <c r="D2916" s="1" t="s">
        <v>4450</v>
      </c>
      <c r="E2916" s="1" t="s">
        <v>5690</v>
      </c>
      <c r="F2916" s="1" t="s">
        <v>1630</v>
      </c>
      <c r="I2916" s="1" t="s">
        <v>835</v>
      </c>
    </row>
    <row r="2917">
      <c r="C2917" s="1" t="s">
        <v>482</v>
      </c>
      <c r="D2917" s="1" t="s">
        <v>835</v>
      </c>
      <c r="E2917" s="1" t="s">
        <v>5607</v>
      </c>
      <c r="F2917" s="1" t="s">
        <v>2566</v>
      </c>
      <c r="I2917" s="1" t="s">
        <v>4930</v>
      </c>
    </row>
    <row r="2918">
      <c r="C2918" s="1" t="s">
        <v>5046</v>
      </c>
      <c r="D2918" s="1" t="s">
        <v>5940</v>
      </c>
      <c r="E2918" s="1" t="s">
        <v>3525</v>
      </c>
      <c r="F2918" s="1" t="s">
        <v>2568</v>
      </c>
      <c r="I2918" s="1" t="s">
        <v>5940</v>
      </c>
    </row>
    <row r="2919">
      <c r="C2919" s="1" t="s">
        <v>6211</v>
      </c>
      <c r="D2919" s="1" t="s">
        <v>2702</v>
      </c>
      <c r="E2919" s="1" t="s">
        <v>5169</v>
      </c>
      <c r="F2919" s="1" t="s">
        <v>5047</v>
      </c>
      <c r="I2919" s="1" t="s">
        <v>3741</v>
      </c>
    </row>
    <row r="2920">
      <c r="C2920" s="1" t="s">
        <v>3864</v>
      </c>
      <c r="D2920" s="1" t="s">
        <v>1521</v>
      </c>
      <c r="E2920" s="1" t="s">
        <v>6496</v>
      </c>
      <c r="F2920" s="1" t="s">
        <v>4396</v>
      </c>
      <c r="I2920" s="1" t="s">
        <v>4513</v>
      </c>
    </row>
    <row r="2921">
      <c r="C2921" s="1" t="s">
        <v>3526</v>
      </c>
      <c r="D2921" s="1" t="s">
        <v>5941</v>
      </c>
      <c r="E2921" s="1" t="s">
        <v>3338</v>
      </c>
      <c r="F2921" s="1" t="s">
        <v>2573</v>
      </c>
      <c r="I2921" s="1" t="s">
        <v>5946</v>
      </c>
    </row>
    <row r="2922">
      <c r="C2922" s="1" t="s">
        <v>649</v>
      </c>
      <c r="D2922" s="1" t="s">
        <v>4511</v>
      </c>
      <c r="E2922" s="1" t="s">
        <v>1265</v>
      </c>
      <c r="F2922" s="1" t="s">
        <v>4401</v>
      </c>
      <c r="I2922" s="1" t="s">
        <v>750</v>
      </c>
    </row>
    <row r="2923">
      <c r="C2923" s="1" t="s">
        <v>4047</v>
      </c>
      <c r="D2923" s="1" t="s">
        <v>3744</v>
      </c>
      <c r="E2923" s="1" t="s">
        <v>6784</v>
      </c>
      <c r="F2923" s="1" t="s">
        <v>1439</v>
      </c>
      <c r="I2923" s="1" t="s">
        <v>4526</v>
      </c>
    </row>
    <row r="2924">
      <c r="C2924" s="1" t="s">
        <v>368</v>
      </c>
      <c r="D2924" s="1" t="s">
        <v>1527</v>
      </c>
      <c r="E2924" s="1" t="s">
        <v>3531</v>
      </c>
      <c r="F2924" s="1" t="s">
        <v>3705</v>
      </c>
      <c r="I2924" s="1" t="s">
        <v>6888</v>
      </c>
    </row>
    <row r="2925">
      <c r="C2925" s="1" t="s">
        <v>338</v>
      </c>
      <c r="D2925" s="1" t="s">
        <v>4513</v>
      </c>
      <c r="E2925" s="1" t="s">
        <v>4411</v>
      </c>
      <c r="F2925" s="1" t="s">
        <v>1445</v>
      </c>
      <c r="I2925" s="1" t="s">
        <v>6889</v>
      </c>
    </row>
    <row r="2926">
      <c r="C2926" s="1" t="s">
        <v>1169</v>
      </c>
      <c r="D2926" s="1" t="s">
        <v>1534</v>
      </c>
      <c r="E2926" s="1" t="s">
        <v>6811</v>
      </c>
      <c r="F2926" s="1" t="s">
        <v>2577</v>
      </c>
      <c r="I2926" s="1" t="s">
        <v>3003</v>
      </c>
    </row>
    <row r="2927">
      <c r="C2927" s="1" t="s">
        <v>4632</v>
      </c>
      <c r="D2927" s="1" t="s">
        <v>5480</v>
      </c>
      <c r="E2927" s="1" t="s">
        <v>3359</v>
      </c>
      <c r="F2927" s="1" t="s">
        <v>4412</v>
      </c>
      <c r="I2927" s="1" t="s">
        <v>4105</v>
      </c>
    </row>
    <row r="2928">
      <c r="C2928" s="1" t="s">
        <v>3919</v>
      </c>
      <c r="D2928" s="1" t="s">
        <v>1542</v>
      </c>
      <c r="E2928" s="1">
        <v>1999.0</v>
      </c>
      <c r="F2928" s="1" t="s">
        <v>5403</v>
      </c>
      <c r="I2928" s="1" t="s">
        <v>5481</v>
      </c>
    </row>
    <row r="2929">
      <c r="C2929" s="1" t="s">
        <v>3933</v>
      </c>
      <c r="D2929" s="1" t="s">
        <v>4516</v>
      </c>
      <c r="E2929" s="1" t="s">
        <v>6785</v>
      </c>
      <c r="F2929" s="1" t="s">
        <v>3797</v>
      </c>
      <c r="I2929" s="1" t="s">
        <v>4243</v>
      </c>
    </row>
    <row r="2930">
      <c r="C2930" s="1" t="s">
        <v>5498</v>
      </c>
      <c r="D2930" s="1" t="s">
        <v>5944</v>
      </c>
      <c r="E2930" s="1" t="s">
        <v>6786</v>
      </c>
      <c r="F2930" s="1" t="s">
        <v>4414</v>
      </c>
      <c r="I2930" s="1" t="s">
        <v>6890</v>
      </c>
    </row>
    <row r="2931">
      <c r="C2931" s="1" t="s">
        <v>6212</v>
      </c>
      <c r="D2931" s="1" t="s">
        <v>4517</v>
      </c>
      <c r="E2931" s="1" t="s">
        <v>3924</v>
      </c>
      <c r="F2931" s="1" t="s">
        <v>1450</v>
      </c>
      <c r="I2931" s="1" t="s">
        <v>5178</v>
      </c>
    </row>
    <row r="2932">
      <c r="C2932" s="1" t="s">
        <v>1261</v>
      </c>
      <c r="D2932" s="1" t="s">
        <v>5946</v>
      </c>
      <c r="E2932" s="1" t="s">
        <v>858</v>
      </c>
      <c r="F2932" s="1" t="s">
        <v>2582</v>
      </c>
      <c r="I2932" s="1" t="s">
        <v>6891</v>
      </c>
    </row>
    <row r="2933">
      <c r="C2933" s="1" t="s">
        <v>6213</v>
      </c>
      <c r="D2933" s="1" t="s">
        <v>750</v>
      </c>
      <c r="E2933" s="1" t="s">
        <v>6787</v>
      </c>
      <c r="F2933" s="1" t="s">
        <v>2585</v>
      </c>
      <c r="I2933" s="1" t="s">
        <v>4751</v>
      </c>
    </row>
    <row r="2934">
      <c r="C2934" s="1" t="s">
        <v>6147</v>
      </c>
      <c r="D2934" s="1" t="s">
        <v>2718</v>
      </c>
      <c r="E2934" s="1" t="s">
        <v>2156</v>
      </c>
      <c r="F2934" s="1" t="s">
        <v>6859</v>
      </c>
      <c r="I2934" s="1" t="s">
        <v>6892</v>
      </c>
    </row>
    <row r="2935">
      <c r="C2935" s="1" t="s">
        <v>3211</v>
      </c>
      <c r="D2935" s="1" t="s">
        <v>2721</v>
      </c>
      <c r="E2935" s="1" t="s">
        <v>5691</v>
      </c>
      <c r="F2935" s="1" t="s">
        <v>1457</v>
      </c>
      <c r="I2935" s="1" t="s">
        <v>6514</v>
      </c>
    </row>
    <row r="2936">
      <c r="C2936" s="1" t="s">
        <v>757</v>
      </c>
      <c r="D2936" s="1" t="s">
        <v>2124</v>
      </c>
      <c r="E2936" s="1" t="s">
        <v>3533</v>
      </c>
      <c r="F2936" s="1" t="s">
        <v>4425</v>
      </c>
      <c r="I2936" s="1" t="s">
        <v>5962</v>
      </c>
    </row>
    <row r="2937">
      <c r="C2937" s="1" t="s">
        <v>1889</v>
      </c>
      <c r="D2937" s="1" t="s">
        <v>5949</v>
      </c>
      <c r="E2937" s="1" t="s">
        <v>4262</v>
      </c>
      <c r="F2937" s="1" t="s">
        <v>2595</v>
      </c>
      <c r="I2937" s="1" t="s">
        <v>4553</v>
      </c>
    </row>
    <row r="2938">
      <c r="C2938" s="1" t="s">
        <v>4304</v>
      </c>
      <c r="D2938" s="1" t="s">
        <v>5950</v>
      </c>
      <c r="E2938" s="1" t="s">
        <v>5665</v>
      </c>
      <c r="F2938" s="1" t="s">
        <v>2598</v>
      </c>
      <c r="I2938" s="1" t="s">
        <v>2260</v>
      </c>
    </row>
    <row r="2939">
      <c r="C2939" s="1" t="s">
        <v>5496</v>
      </c>
      <c r="D2939" s="1" t="s">
        <v>2724</v>
      </c>
      <c r="E2939" s="1" t="s">
        <v>1945</v>
      </c>
      <c r="F2939" s="1" t="s">
        <v>5895</v>
      </c>
      <c r="I2939" s="1" t="s">
        <v>5131</v>
      </c>
    </row>
    <row r="2940">
      <c r="C2940" s="1" t="s">
        <v>5819</v>
      </c>
      <c r="D2940" s="1" t="s">
        <v>4524</v>
      </c>
      <c r="E2940" s="1" t="s">
        <v>6790</v>
      </c>
      <c r="F2940" s="1" t="s">
        <v>2601</v>
      </c>
      <c r="I2940" s="1" t="s">
        <v>5581</v>
      </c>
    </row>
    <row r="2941">
      <c r="C2941" s="1" t="s">
        <v>4277</v>
      </c>
      <c r="D2941" s="1" t="s">
        <v>4526</v>
      </c>
      <c r="E2941" s="1" t="s">
        <v>5405</v>
      </c>
      <c r="F2941" s="1" t="s">
        <v>1465</v>
      </c>
      <c r="I2941" s="1" t="s">
        <v>6893</v>
      </c>
    </row>
    <row r="2942">
      <c r="C2942" s="1" t="s">
        <v>3893</v>
      </c>
      <c r="D2942" s="1" t="s">
        <v>2728</v>
      </c>
      <c r="E2942" s="1" t="s">
        <v>4160</v>
      </c>
      <c r="F2942" s="1" t="s">
        <v>4961</v>
      </c>
      <c r="I2942" s="1" t="s">
        <v>5964</v>
      </c>
    </row>
    <row r="2943">
      <c r="C2943" s="1" t="s">
        <v>4698</v>
      </c>
      <c r="D2943" s="1" t="s">
        <v>4529</v>
      </c>
      <c r="E2943" s="1" t="s">
        <v>6791</v>
      </c>
      <c r="F2943" s="1" t="s">
        <v>2607</v>
      </c>
      <c r="I2943" s="1" t="s">
        <v>1803</v>
      </c>
    </row>
    <row r="2944">
      <c r="C2944" s="1" t="s">
        <v>2325</v>
      </c>
      <c r="D2944" s="1" t="s">
        <v>4532</v>
      </c>
      <c r="E2944" s="1" t="s">
        <v>3544</v>
      </c>
      <c r="F2944" s="1" t="s">
        <v>5416</v>
      </c>
      <c r="I2944" s="1" t="s">
        <v>1027</v>
      </c>
    </row>
    <row r="2945">
      <c r="C2945" s="1" t="s">
        <v>3446</v>
      </c>
      <c r="D2945" s="1" t="s">
        <v>2730</v>
      </c>
      <c r="E2945" s="1" t="s">
        <v>3547</v>
      </c>
      <c r="F2945" s="1" t="s">
        <v>1472</v>
      </c>
      <c r="I2945" s="1">
        <v>2001.0</v>
      </c>
    </row>
    <row r="2946">
      <c r="C2946" s="1" t="s">
        <v>672</v>
      </c>
      <c r="D2946" s="1" t="s">
        <v>5489</v>
      </c>
      <c r="E2946" s="1" t="s">
        <v>6792</v>
      </c>
      <c r="F2946" s="1" t="s">
        <v>6863</v>
      </c>
      <c r="I2946" s="1" t="s">
        <v>6894</v>
      </c>
    </row>
    <row r="2947">
      <c r="C2947" s="1" t="s">
        <v>5907</v>
      </c>
      <c r="D2947" s="1" t="s">
        <v>1550</v>
      </c>
      <c r="E2947" s="1" t="s">
        <v>2234</v>
      </c>
      <c r="F2947" s="1" t="s">
        <v>3712</v>
      </c>
      <c r="I2947" s="1" t="s">
        <v>4560</v>
      </c>
    </row>
    <row r="2948">
      <c r="C2948" s="1" t="s">
        <v>535</v>
      </c>
      <c r="D2948" s="1" t="s">
        <v>2736</v>
      </c>
      <c r="E2948" s="1" t="s">
        <v>3550</v>
      </c>
      <c r="F2948" s="9">
        <v>2.0</v>
      </c>
      <c r="I2948" s="1" t="s">
        <v>4451</v>
      </c>
    </row>
    <row r="2949">
      <c r="C2949" s="1" t="s">
        <v>2618</v>
      </c>
      <c r="D2949" s="1" t="s">
        <v>4537</v>
      </c>
      <c r="E2949" s="1" t="s">
        <v>5811</v>
      </c>
      <c r="F2949" s="1" t="s">
        <v>5380</v>
      </c>
      <c r="I2949" s="1" t="s">
        <v>5038</v>
      </c>
    </row>
    <row r="2950">
      <c r="C2950" s="1" t="s">
        <v>3528</v>
      </c>
      <c r="D2950" s="1" t="s">
        <v>4539</v>
      </c>
      <c r="E2950" s="1" t="s">
        <v>5195</v>
      </c>
      <c r="F2950" s="1" t="s">
        <v>4440</v>
      </c>
      <c r="I2950" s="1" t="s">
        <v>1556</v>
      </c>
    </row>
    <row r="2951">
      <c r="C2951" s="1" t="s">
        <v>2983</v>
      </c>
      <c r="D2951" s="1" t="s">
        <v>4540</v>
      </c>
      <c r="E2951" s="1" t="s">
        <v>3553</v>
      </c>
      <c r="F2951" s="1" t="s">
        <v>4442</v>
      </c>
      <c r="I2951" s="1" t="s">
        <v>3704</v>
      </c>
    </row>
    <row r="2952">
      <c r="C2952" s="1" t="s">
        <v>2533</v>
      </c>
      <c r="D2952" s="1" t="s">
        <v>4542</v>
      </c>
      <c r="E2952" s="1" t="s">
        <v>3557</v>
      </c>
      <c r="F2952" s="1" t="s">
        <v>3714</v>
      </c>
      <c r="I2952" s="1" t="s">
        <v>4580</v>
      </c>
    </row>
    <row r="2953">
      <c r="C2953" s="1" t="s">
        <v>1931</v>
      </c>
      <c r="D2953" s="1" t="s">
        <v>2739</v>
      </c>
      <c r="E2953" s="1" t="s">
        <v>4216</v>
      </c>
      <c r="F2953" s="1" t="s">
        <v>6895</v>
      </c>
      <c r="I2953" s="1" t="s">
        <v>3756</v>
      </c>
    </row>
    <row r="2954">
      <c r="C2954" s="1" t="s">
        <v>2874</v>
      </c>
      <c r="D2954" s="1" t="s">
        <v>4105</v>
      </c>
      <c r="E2954" s="1" t="s">
        <v>5197</v>
      </c>
      <c r="F2954" s="1" t="s">
        <v>4443</v>
      </c>
      <c r="I2954" s="1" t="s">
        <v>5517</v>
      </c>
    </row>
    <row r="2955">
      <c r="C2955" s="1" t="s">
        <v>4100</v>
      </c>
      <c r="D2955" s="1" t="s">
        <v>5495</v>
      </c>
      <c r="E2955" s="1" t="s">
        <v>3559</v>
      </c>
      <c r="F2955" s="1" t="s">
        <v>4446</v>
      </c>
      <c r="I2955" s="1" t="s">
        <v>6896</v>
      </c>
    </row>
    <row r="2956">
      <c r="C2956" s="1" t="s">
        <v>3951</v>
      </c>
      <c r="D2956" s="1" t="s">
        <v>2742</v>
      </c>
      <c r="E2956" s="1" t="s">
        <v>4181</v>
      </c>
      <c r="F2956" s="1" t="s">
        <v>2613</v>
      </c>
      <c r="I2956" s="1" t="s">
        <v>5522</v>
      </c>
    </row>
    <row r="2957">
      <c r="C2957" s="1" t="s">
        <v>3253</v>
      </c>
      <c r="D2957" s="1" t="s">
        <v>5496</v>
      </c>
      <c r="E2957" s="1" t="s">
        <v>983</v>
      </c>
      <c r="F2957" s="1" t="s">
        <v>2293</v>
      </c>
      <c r="I2957" s="1" t="s">
        <v>3945</v>
      </c>
    </row>
    <row r="2958">
      <c r="C2958" s="1" t="s">
        <v>3355</v>
      </c>
      <c r="D2958" s="1" t="s">
        <v>4545</v>
      </c>
      <c r="E2958" s="1" t="s">
        <v>5044</v>
      </c>
      <c r="F2958" s="1" t="s">
        <v>2617</v>
      </c>
      <c r="I2958" s="1" t="s">
        <v>5482</v>
      </c>
    </row>
    <row r="2959">
      <c r="C2959" s="1" t="s">
        <v>1841</v>
      </c>
      <c r="D2959" s="1" t="s">
        <v>5002</v>
      </c>
      <c r="E2959" s="1" t="s">
        <v>6796</v>
      </c>
      <c r="F2959" s="1" t="s">
        <v>5903</v>
      </c>
      <c r="I2959" s="1" t="s">
        <v>1365</v>
      </c>
    </row>
    <row r="2960">
      <c r="C2960" s="1" t="s">
        <v>1053</v>
      </c>
      <c r="D2960" s="1" t="s">
        <v>5960</v>
      </c>
      <c r="E2960" s="1" t="s">
        <v>5202</v>
      </c>
      <c r="F2960" s="1" t="s">
        <v>2619</v>
      </c>
      <c r="I2960" s="1" t="s">
        <v>3872</v>
      </c>
    </row>
    <row r="2961">
      <c r="C2961" s="1" t="s">
        <v>2602</v>
      </c>
      <c r="D2961" s="1" t="s">
        <v>5961</v>
      </c>
      <c r="E2961" s="1" t="s">
        <v>5644</v>
      </c>
      <c r="F2961" s="1" t="s">
        <v>4452</v>
      </c>
      <c r="I2961" s="1" t="s">
        <v>3286</v>
      </c>
    </row>
    <row r="2962">
      <c r="C2962" s="1" t="s">
        <v>2632</v>
      </c>
      <c r="D2962" s="1" t="s">
        <v>5500</v>
      </c>
      <c r="E2962" s="1" t="s">
        <v>6797</v>
      </c>
      <c r="F2962" s="1" t="s">
        <v>1479</v>
      </c>
      <c r="I2962" s="1" t="s">
        <v>5291</v>
      </c>
    </row>
    <row r="2963">
      <c r="C2963" s="1" t="s">
        <v>1855</v>
      </c>
      <c r="D2963" s="1" t="s">
        <v>4547</v>
      </c>
      <c r="E2963" s="1" t="s">
        <v>6819</v>
      </c>
      <c r="F2963" s="1" t="s">
        <v>3717</v>
      </c>
      <c r="I2963" s="1" t="s">
        <v>3771</v>
      </c>
    </row>
    <row r="2964">
      <c r="C2964" s="1" t="s">
        <v>1467</v>
      </c>
      <c r="D2964" s="1" t="s">
        <v>4548</v>
      </c>
      <c r="E2964" s="1" t="s">
        <v>3565</v>
      </c>
      <c r="F2964" s="1" t="s">
        <v>2627</v>
      </c>
      <c r="I2964" s="1" t="s">
        <v>6897</v>
      </c>
    </row>
    <row r="2965">
      <c r="C2965" s="1" t="s">
        <v>5043</v>
      </c>
      <c r="D2965" s="1" t="s">
        <v>5962</v>
      </c>
      <c r="E2965" s="1" t="s">
        <v>6798</v>
      </c>
      <c r="F2965" s="1" t="s">
        <v>5908</v>
      </c>
      <c r="I2965" s="1" t="s">
        <v>1373</v>
      </c>
    </row>
    <row r="2966">
      <c r="C2966" s="1" t="s">
        <v>4578</v>
      </c>
      <c r="D2966" s="1" t="s">
        <v>4550</v>
      </c>
      <c r="E2966" s="1" t="s">
        <v>5683</v>
      </c>
      <c r="F2966" s="1" t="s">
        <v>5642</v>
      </c>
      <c r="I2966" s="1" t="s">
        <v>1449</v>
      </c>
    </row>
    <row r="2967">
      <c r="C2967" s="1" t="s">
        <v>1531</v>
      </c>
      <c r="D2967" s="1" t="s">
        <v>4553</v>
      </c>
      <c r="E2967" s="1" t="s">
        <v>5204</v>
      </c>
      <c r="F2967" s="1" t="s">
        <v>5430</v>
      </c>
      <c r="I2967" s="1" t="s">
        <v>4804</v>
      </c>
    </row>
    <row r="2968">
      <c r="C2968" s="1" t="s">
        <v>4539</v>
      </c>
      <c r="D2968" s="1" t="s">
        <v>2745</v>
      </c>
      <c r="E2968" s="1" t="s">
        <v>6799</v>
      </c>
      <c r="F2968" s="1" t="s">
        <v>4457</v>
      </c>
      <c r="I2968" s="1" t="s">
        <v>5892</v>
      </c>
    </row>
    <row r="2969">
      <c r="C2969" s="1" t="s">
        <v>141</v>
      </c>
      <c r="D2969" s="1" t="s">
        <v>5131</v>
      </c>
      <c r="E2969" s="1" t="s">
        <v>6801</v>
      </c>
      <c r="F2969" s="1" t="s">
        <v>3720</v>
      </c>
      <c r="I2969" s="1" t="s">
        <v>1566</v>
      </c>
    </row>
    <row r="2970">
      <c r="C2970" s="1" t="s">
        <v>1156</v>
      </c>
      <c r="D2970" s="1" t="s">
        <v>2746</v>
      </c>
      <c r="E2970" s="1" t="s">
        <v>5826</v>
      </c>
      <c r="F2970" s="1" t="s">
        <v>2629</v>
      </c>
      <c r="I2970" s="1">
        <v>1952.0</v>
      </c>
    </row>
    <row r="2971">
      <c r="C2971" s="1" t="s">
        <v>4443</v>
      </c>
      <c r="D2971" s="1" t="s">
        <v>3753</v>
      </c>
      <c r="E2971" s="1" t="s">
        <v>6803</v>
      </c>
      <c r="F2971" s="1" t="s">
        <v>2632</v>
      </c>
      <c r="I2971" s="1" t="s">
        <v>6038</v>
      </c>
    </row>
    <row r="2972">
      <c r="C2972" s="1" t="s">
        <v>3301</v>
      </c>
      <c r="D2972" s="1" t="s">
        <v>4556</v>
      </c>
      <c r="E2972" s="1" t="s">
        <v>6804</v>
      </c>
      <c r="F2972" s="1" t="s">
        <v>6898</v>
      </c>
      <c r="I2972" s="1" t="s">
        <v>6899</v>
      </c>
    </row>
    <row r="2973">
      <c r="C2973" s="1" t="s">
        <v>6214</v>
      </c>
      <c r="D2973" s="1" t="s">
        <v>5964</v>
      </c>
      <c r="E2973" s="1" t="s">
        <v>5688</v>
      </c>
      <c r="F2973" s="1" t="s">
        <v>5437</v>
      </c>
      <c r="I2973" s="1" t="s">
        <v>5975</v>
      </c>
    </row>
    <row r="2974">
      <c r="C2974" s="1" t="s">
        <v>6215</v>
      </c>
      <c r="D2974" s="1" t="s">
        <v>2748</v>
      </c>
      <c r="E2974" s="1" t="s">
        <v>6805</v>
      </c>
      <c r="F2974" s="1" t="s">
        <v>6875</v>
      </c>
      <c r="I2974" s="1" t="s">
        <v>6044</v>
      </c>
    </row>
    <row r="2975">
      <c r="C2975" s="1" t="s">
        <v>1906</v>
      </c>
      <c r="D2975" s="1" t="s">
        <v>2750</v>
      </c>
      <c r="E2975" s="1" t="s">
        <v>5247</v>
      </c>
      <c r="F2975" s="1" t="s">
        <v>2635</v>
      </c>
      <c r="I2975" s="1" t="s">
        <v>5538</v>
      </c>
    </row>
    <row r="2976">
      <c r="C2976" s="1" t="s">
        <v>3962</v>
      </c>
      <c r="D2976" s="1">
        <v>2001.0</v>
      </c>
      <c r="E2976" s="1" t="s">
        <v>5212</v>
      </c>
      <c r="F2976" s="1" t="s">
        <v>2637</v>
      </c>
      <c r="I2976" s="1" t="s">
        <v>4585</v>
      </c>
    </row>
    <row r="2977">
      <c r="C2977" s="1" t="s">
        <v>2917</v>
      </c>
      <c r="D2977" s="1" t="s">
        <v>4560</v>
      </c>
      <c r="E2977" s="1" t="s">
        <v>6806</v>
      </c>
      <c r="F2977" s="1" t="s">
        <v>1485</v>
      </c>
      <c r="I2977" s="1" t="s">
        <v>5652</v>
      </c>
    </row>
    <row r="2978">
      <c r="C2978" s="1" t="s">
        <v>5857</v>
      </c>
      <c r="D2978" s="1" t="s">
        <v>4561</v>
      </c>
      <c r="E2978" s="1" t="s">
        <v>4367</v>
      </c>
      <c r="F2978" s="1">
        <v>295.0</v>
      </c>
      <c r="I2978" s="1" t="s">
        <v>6045</v>
      </c>
    </row>
    <row r="2979">
      <c r="C2979" s="1" t="s">
        <v>4255</v>
      </c>
      <c r="D2979" s="1" t="s">
        <v>1556</v>
      </c>
      <c r="E2979" s="1" t="s">
        <v>5214</v>
      </c>
      <c r="F2979" s="1">
        <v>1958.0</v>
      </c>
      <c r="I2979" s="1" t="s">
        <v>5542</v>
      </c>
    </row>
    <row r="2980">
      <c r="C2980" s="1" t="s">
        <v>3948</v>
      </c>
      <c r="D2980" s="1" t="s">
        <v>5513</v>
      </c>
      <c r="E2980" s="1" t="s">
        <v>5216</v>
      </c>
      <c r="F2980" s="1" t="s">
        <v>5921</v>
      </c>
      <c r="I2980" s="1" t="s">
        <v>5546</v>
      </c>
    </row>
    <row r="2981">
      <c r="C2981" s="1" t="s">
        <v>6216</v>
      </c>
      <c r="D2981" s="1" t="s">
        <v>2758</v>
      </c>
      <c r="E2981" s="1" t="s">
        <v>4194</v>
      </c>
      <c r="F2981" s="1" t="s">
        <v>504</v>
      </c>
      <c r="I2981" s="1" t="s">
        <v>3630</v>
      </c>
    </row>
    <row r="2982">
      <c r="C2982" s="1" t="s">
        <v>425</v>
      </c>
      <c r="D2982" s="1" t="s">
        <v>2763</v>
      </c>
      <c r="E2982" s="1" t="s">
        <v>4415</v>
      </c>
      <c r="F2982" s="1" t="s">
        <v>4471</v>
      </c>
      <c r="I2982" s="1" t="s">
        <v>5492</v>
      </c>
    </row>
    <row r="2983">
      <c r="C2983" s="1" t="s">
        <v>4872</v>
      </c>
      <c r="D2983" s="1" t="s">
        <v>4566</v>
      </c>
      <c r="E2983" s="1" t="s">
        <v>3568</v>
      </c>
      <c r="F2983" s="1" t="s">
        <v>6001</v>
      </c>
      <c r="I2983" s="1" t="s">
        <v>6051</v>
      </c>
    </row>
    <row r="2984">
      <c r="C2984" s="1" t="s">
        <v>4971</v>
      </c>
      <c r="D2984" s="1" t="s">
        <v>4580</v>
      </c>
      <c r="E2984" s="1" t="s">
        <v>5837</v>
      </c>
      <c r="F2984" s="1" t="s">
        <v>2649</v>
      </c>
      <c r="I2984" s="1" t="s">
        <v>6900</v>
      </c>
    </row>
    <row r="2985">
      <c r="C2985" s="1" t="s">
        <v>3855</v>
      </c>
      <c r="D2985" s="1" t="s">
        <v>5517</v>
      </c>
      <c r="E2985" s="1" t="s">
        <v>3569</v>
      </c>
      <c r="F2985" s="1" t="s">
        <v>2651</v>
      </c>
      <c r="I2985" s="1" t="s">
        <v>2810</v>
      </c>
    </row>
    <row r="2986">
      <c r="C2986" s="1" t="s">
        <v>1504</v>
      </c>
      <c r="D2986" s="1" t="s">
        <v>5703</v>
      </c>
      <c r="E2986" s="1">
        <v>1986.0</v>
      </c>
      <c r="F2986" s="1" t="s">
        <v>2653</v>
      </c>
      <c r="I2986" s="1" t="s">
        <v>5032</v>
      </c>
    </row>
    <row r="2987">
      <c r="C2987" s="1" t="s">
        <v>3184</v>
      </c>
      <c r="D2987" s="1" t="s">
        <v>1884</v>
      </c>
      <c r="E2987" s="1" t="s">
        <v>5693</v>
      </c>
      <c r="F2987" s="1" t="s">
        <v>6901</v>
      </c>
      <c r="I2987" s="1" t="s">
        <v>4610</v>
      </c>
    </row>
    <row r="2988">
      <c r="C2988" s="1" t="s">
        <v>1118</v>
      </c>
      <c r="D2988" s="1" t="s">
        <v>1286</v>
      </c>
      <c r="E2988" s="1" t="s">
        <v>5223</v>
      </c>
      <c r="F2988" s="1" t="s">
        <v>2655</v>
      </c>
      <c r="I2988" s="1" t="s">
        <v>1049</v>
      </c>
    </row>
    <row r="2989">
      <c r="C2989" s="1" t="s">
        <v>1452</v>
      </c>
      <c r="D2989" s="1" t="s">
        <v>1760</v>
      </c>
      <c r="E2989" s="1" t="s">
        <v>1073</v>
      </c>
      <c r="F2989" s="1" t="s">
        <v>6003</v>
      </c>
      <c r="I2989" s="1" t="s">
        <v>5563</v>
      </c>
    </row>
    <row r="2990">
      <c r="C2990" s="1" t="s">
        <v>5899</v>
      </c>
      <c r="D2990" s="1" t="s">
        <v>2768</v>
      </c>
      <c r="E2990" s="1" t="s">
        <v>6807</v>
      </c>
      <c r="F2990" s="1" t="s">
        <v>4475</v>
      </c>
      <c r="I2990" s="1" t="s">
        <v>4499</v>
      </c>
    </row>
    <row r="2991">
      <c r="C2991" s="1" t="s">
        <v>4377</v>
      </c>
      <c r="D2991" s="1" t="s">
        <v>5291</v>
      </c>
      <c r="E2991" s="1" t="s">
        <v>5842</v>
      </c>
      <c r="F2991" s="1" t="s">
        <v>2659</v>
      </c>
      <c r="I2991" s="1">
        <v>6.0</v>
      </c>
    </row>
    <row r="2992">
      <c r="C2992" s="1" t="s">
        <v>4375</v>
      </c>
      <c r="D2992" s="1" t="s">
        <v>2771</v>
      </c>
      <c r="E2992" s="1" t="s">
        <v>5226</v>
      </c>
      <c r="F2992" s="1" t="s">
        <v>2664</v>
      </c>
      <c r="I2992" s="1" t="s">
        <v>4359</v>
      </c>
    </row>
    <row r="2993">
      <c r="C2993" s="1" t="s">
        <v>667</v>
      </c>
      <c r="D2993" s="1" t="s">
        <v>1401</v>
      </c>
      <c r="E2993" s="1" t="s">
        <v>6808</v>
      </c>
      <c r="F2993" s="1" t="s">
        <v>5925</v>
      </c>
      <c r="I2993" s="1" t="s">
        <v>5565</v>
      </c>
    </row>
    <row r="2994">
      <c r="C2994" s="1" t="s">
        <v>2036</v>
      </c>
      <c r="D2994" s="1" t="s">
        <v>2780</v>
      </c>
      <c r="E2994" s="1" t="s">
        <v>4899</v>
      </c>
      <c r="F2994" s="1" t="s">
        <v>2669</v>
      </c>
      <c r="I2994" s="1" t="s">
        <v>5205</v>
      </c>
    </row>
    <row r="2995">
      <c r="C2995" s="1" t="s">
        <v>934</v>
      </c>
      <c r="D2995" s="1" t="s">
        <v>3769</v>
      </c>
      <c r="E2995" s="1" t="s">
        <v>3570</v>
      </c>
      <c r="F2995" s="1" t="s">
        <v>1854</v>
      </c>
      <c r="I2995" s="1" t="s">
        <v>6902</v>
      </c>
    </row>
    <row r="2996">
      <c r="C2996" s="1" t="s">
        <v>4199</v>
      </c>
      <c r="D2996" s="1" t="s">
        <v>1566</v>
      </c>
      <c r="E2996" s="1" t="s">
        <v>1771</v>
      </c>
      <c r="F2996" s="1" t="s">
        <v>2675</v>
      </c>
      <c r="I2996" s="1" t="s">
        <v>5411</v>
      </c>
    </row>
    <row r="2997">
      <c r="C2997" s="1" t="s">
        <v>5079</v>
      </c>
      <c r="D2997" s="1" t="s">
        <v>4574</v>
      </c>
      <c r="E2997" s="1" t="s">
        <v>5233</v>
      </c>
      <c r="F2997" s="1" t="s">
        <v>5289</v>
      </c>
      <c r="I2997" s="1" t="s">
        <v>6903</v>
      </c>
    </row>
    <row r="2998">
      <c r="C2998" s="1" t="s">
        <v>5239</v>
      </c>
      <c r="D2998" s="1" t="s">
        <v>1572</v>
      </c>
      <c r="E2998" s="1" t="s">
        <v>2381</v>
      </c>
      <c r="F2998" s="1" t="s">
        <v>6904</v>
      </c>
      <c r="I2998" s="1" t="s">
        <v>6905</v>
      </c>
    </row>
    <row r="2999">
      <c r="C2999" s="1" t="s">
        <v>4817</v>
      </c>
      <c r="D2999" s="1">
        <v>1952.0</v>
      </c>
      <c r="E2999" s="1" t="s">
        <v>5236</v>
      </c>
      <c r="F2999" s="1" t="s">
        <v>5224</v>
      </c>
      <c r="I2999" s="1" t="s">
        <v>5575</v>
      </c>
    </row>
    <row r="3000">
      <c r="C3000" s="1" t="s">
        <v>1007</v>
      </c>
      <c r="D3000" s="1" t="s">
        <v>3688</v>
      </c>
      <c r="E3000" s="1" t="s">
        <v>6809</v>
      </c>
      <c r="F3000" s="1">
        <v>25.0</v>
      </c>
      <c r="I3000" s="1" t="s">
        <v>6906</v>
      </c>
    </row>
    <row r="3001">
      <c r="C3001" s="1" t="s">
        <v>3938</v>
      </c>
      <c r="D3001" s="1" t="s">
        <v>5531</v>
      </c>
      <c r="E3001" s="1" t="s">
        <v>5239</v>
      </c>
      <c r="F3001" s="1" t="s">
        <v>6907</v>
      </c>
      <c r="I3001" s="1" t="s">
        <v>5577</v>
      </c>
    </row>
    <row r="3002">
      <c r="C3002" s="1" t="s">
        <v>2962</v>
      </c>
      <c r="D3002" s="1" t="s">
        <v>4579</v>
      </c>
      <c r="E3002" s="1" t="s">
        <v>4780</v>
      </c>
      <c r="F3002" s="1" t="s">
        <v>1735</v>
      </c>
      <c r="I3002" s="1" t="s">
        <v>6908</v>
      </c>
    </row>
    <row r="3003">
      <c r="C3003" s="1" t="s">
        <v>3466</v>
      </c>
      <c r="D3003" s="1" t="s">
        <v>5533</v>
      </c>
      <c r="E3003" s="1" t="s">
        <v>6810</v>
      </c>
      <c r="F3003" s="1" t="s">
        <v>5931</v>
      </c>
      <c r="I3003" s="1" t="s">
        <v>6909</v>
      </c>
    </row>
    <row r="3004">
      <c r="C3004" s="1" t="s">
        <v>5328</v>
      </c>
      <c r="D3004" s="1" t="s">
        <v>2786</v>
      </c>
      <c r="E3004" s="1" t="s">
        <v>5242</v>
      </c>
      <c r="F3004" s="1" t="s">
        <v>4487</v>
      </c>
      <c r="I3004" s="1" t="s">
        <v>6057</v>
      </c>
    </row>
    <row r="3005">
      <c r="C3005" s="1" t="s">
        <v>5273</v>
      </c>
      <c r="D3005" s="1" t="s">
        <v>5536</v>
      </c>
      <c r="E3005" s="1" t="s">
        <v>4204</v>
      </c>
      <c r="F3005" s="1" t="s">
        <v>6910</v>
      </c>
      <c r="I3005" s="1" t="s">
        <v>4886</v>
      </c>
    </row>
    <row r="3006">
      <c r="C3006" s="1">
        <v>1984.0</v>
      </c>
      <c r="D3006" s="1" t="s">
        <v>2790</v>
      </c>
      <c r="E3006" s="1" t="s">
        <v>4999</v>
      </c>
      <c r="F3006" s="1" t="s">
        <v>4924</v>
      </c>
      <c r="I3006" s="1" t="s">
        <v>6911</v>
      </c>
    </row>
    <row r="3007">
      <c r="C3007" s="1" t="s">
        <v>1772</v>
      </c>
      <c r="D3007" s="1" t="s">
        <v>5975</v>
      </c>
      <c r="E3007" s="1" t="s">
        <v>5243</v>
      </c>
      <c r="F3007" s="1" t="s">
        <v>5459</v>
      </c>
      <c r="I3007" s="1" t="s">
        <v>5589</v>
      </c>
    </row>
    <row r="3008">
      <c r="C3008" s="1" t="s">
        <v>5570</v>
      </c>
      <c r="D3008" s="1" t="s">
        <v>1890</v>
      </c>
      <c r="E3008" s="1" t="s">
        <v>5304</v>
      </c>
      <c r="F3008" s="1" t="s">
        <v>4767</v>
      </c>
      <c r="I3008" s="1" t="s">
        <v>5587</v>
      </c>
    </row>
    <row r="3009">
      <c r="C3009" s="1" t="s">
        <v>5821</v>
      </c>
      <c r="D3009" s="1" t="s">
        <v>4585</v>
      </c>
      <c r="E3009" s="1" t="s">
        <v>6812</v>
      </c>
      <c r="F3009" s="1" t="s">
        <v>1500</v>
      </c>
      <c r="I3009" s="1" t="s">
        <v>5261</v>
      </c>
    </row>
    <row r="3010">
      <c r="C3010" s="1" t="s">
        <v>5717</v>
      </c>
      <c r="D3010" s="1" t="s">
        <v>974</v>
      </c>
      <c r="E3010" s="1" t="s">
        <v>5246</v>
      </c>
      <c r="F3010" s="1" t="s">
        <v>5934</v>
      </c>
      <c r="I3010" s="1" t="s">
        <v>4914</v>
      </c>
    </row>
    <row r="3011">
      <c r="C3011" s="1" t="s">
        <v>1013</v>
      </c>
      <c r="D3011" s="1" t="s">
        <v>2794</v>
      </c>
      <c r="E3011" s="1" t="s">
        <v>5720</v>
      </c>
      <c r="F3011" s="1" t="s">
        <v>4512</v>
      </c>
      <c r="I3011" s="1" t="s">
        <v>5019</v>
      </c>
    </row>
    <row r="3012">
      <c r="C3012" s="1" t="s">
        <v>5480</v>
      </c>
      <c r="D3012" s="1" t="s">
        <v>5541</v>
      </c>
      <c r="E3012" s="1" t="s">
        <v>6813</v>
      </c>
      <c r="F3012" s="1" t="s">
        <v>6912</v>
      </c>
      <c r="I3012" s="1" t="s">
        <v>4992</v>
      </c>
    </row>
    <row r="3013">
      <c r="C3013" s="1" t="s">
        <v>994</v>
      </c>
      <c r="D3013" s="1" t="s">
        <v>5542</v>
      </c>
      <c r="E3013" s="1" t="s">
        <v>6814</v>
      </c>
      <c r="F3013" s="1" t="s">
        <v>6913</v>
      </c>
      <c r="I3013" s="1" t="s">
        <v>5592</v>
      </c>
    </row>
    <row r="3014">
      <c r="C3014" s="1" t="s">
        <v>774</v>
      </c>
      <c r="D3014" s="1" t="s">
        <v>1578</v>
      </c>
      <c r="E3014" s="1" t="s">
        <v>5722</v>
      </c>
      <c r="F3014" s="1" t="s">
        <v>5463</v>
      </c>
      <c r="I3014" s="1" t="s">
        <v>1644</v>
      </c>
    </row>
    <row r="3015">
      <c r="C3015" s="1" t="s">
        <v>2794</v>
      </c>
      <c r="D3015" s="1" t="s">
        <v>2798</v>
      </c>
      <c r="E3015" s="1" t="s">
        <v>1834</v>
      </c>
      <c r="F3015" s="1" t="s">
        <v>1387</v>
      </c>
      <c r="I3015" s="1" t="s">
        <v>3455</v>
      </c>
    </row>
    <row r="3016">
      <c r="C3016" s="1" t="s">
        <v>1959</v>
      </c>
      <c r="D3016" s="1" t="s">
        <v>3776</v>
      </c>
      <c r="E3016" s="1" t="s">
        <v>6815</v>
      </c>
      <c r="F3016" s="1" t="s">
        <v>1507</v>
      </c>
      <c r="I3016" s="1" t="s">
        <v>732</v>
      </c>
    </row>
    <row r="3017">
      <c r="C3017" s="1" t="s">
        <v>1912</v>
      </c>
      <c r="D3017" s="1" t="s">
        <v>5415</v>
      </c>
      <c r="E3017" s="1" t="s">
        <v>6831</v>
      </c>
      <c r="F3017" s="1">
        <v>94.0</v>
      </c>
      <c r="I3017" s="1" t="s">
        <v>6914</v>
      </c>
    </row>
    <row r="3018">
      <c r="C3018" s="1" t="s">
        <v>1415</v>
      </c>
      <c r="D3018" s="1" t="s">
        <v>2800</v>
      </c>
      <c r="E3018" s="1" t="s">
        <v>4215</v>
      </c>
      <c r="F3018" s="1" t="s">
        <v>6886</v>
      </c>
      <c r="I3018" s="1" t="s">
        <v>6915</v>
      </c>
    </row>
    <row r="3019">
      <c r="C3019" s="1" t="s">
        <v>3822</v>
      </c>
      <c r="D3019" s="1" t="s">
        <v>3630</v>
      </c>
      <c r="E3019" s="1" t="s">
        <v>5251</v>
      </c>
      <c r="F3019" s="1" t="s">
        <v>1514</v>
      </c>
      <c r="I3019" s="1" t="s">
        <v>6916</v>
      </c>
    </row>
    <row r="3020">
      <c r="C3020" s="1" t="s">
        <v>3134</v>
      </c>
      <c r="D3020" s="1" t="s">
        <v>3784</v>
      </c>
      <c r="E3020" s="1" t="s">
        <v>969</v>
      </c>
      <c r="F3020" s="1" t="s">
        <v>6917</v>
      </c>
      <c r="I3020" s="1" t="s">
        <v>3806</v>
      </c>
    </row>
    <row r="3021">
      <c r="C3021" s="1" t="s">
        <v>6217</v>
      </c>
      <c r="D3021" s="1" t="s">
        <v>1583</v>
      </c>
      <c r="E3021" s="1" t="s">
        <v>2837</v>
      </c>
      <c r="F3021" s="1" t="s">
        <v>3632</v>
      </c>
      <c r="I3021" s="1" t="s">
        <v>6918</v>
      </c>
    </row>
    <row r="3022">
      <c r="C3022" s="1" t="s">
        <v>317</v>
      </c>
      <c r="D3022" s="1" t="s">
        <v>4591</v>
      </c>
      <c r="E3022" s="1" t="s">
        <v>3589</v>
      </c>
      <c r="F3022" s="1" t="s">
        <v>3737</v>
      </c>
      <c r="I3022" s="1" t="s">
        <v>3810</v>
      </c>
    </row>
    <row r="3023">
      <c r="C3023" s="1" t="s">
        <v>192</v>
      </c>
      <c r="D3023" s="1" t="s">
        <v>2803</v>
      </c>
      <c r="E3023" s="1" t="s">
        <v>402</v>
      </c>
      <c r="F3023" s="1" t="s">
        <v>4496</v>
      </c>
      <c r="I3023" s="1" t="s">
        <v>6065</v>
      </c>
    </row>
    <row r="3024">
      <c r="C3024" s="1" t="s">
        <v>2391</v>
      </c>
      <c r="D3024" s="1" t="s">
        <v>5550</v>
      </c>
      <c r="E3024" s="1" t="s">
        <v>5732</v>
      </c>
      <c r="F3024" s="1" t="s">
        <v>2686</v>
      </c>
      <c r="I3024" s="1" t="s">
        <v>6919</v>
      </c>
    </row>
    <row r="3025">
      <c r="C3025" s="1" t="s">
        <v>55</v>
      </c>
      <c r="D3025" s="1" t="s">
        <v>5553</v>
      </c>
      <c r="E3025" s="1" t="s">
        <v>4467</v>
      </c>
      <c r="F3025" s="1" t="s">
        <v>2690</v>
      </c>
      <c r="I3025" s="1" t="s">
        <v>5594</v>
      </c>
    </row>
    <row r="3026">
      <c r="C3026" s="1" t="s">
        <v>309</v>
      </c>
      <c r="D3026" s="1" t="s">
        <v>2806</v>
      </c>
      <c r="E3026" s="1" t="s">
        <v>6920</v>
      </c>
      <c r="F3026" s="1" t="s">
        <v>2915</v>
      </c>
      <c r="I3026" s="1" t="s">
        <v>4143</v>
      </c>
    </row>
    <row r="3027">
      <c r="C3027" s="1" t="s">
        <v>2371</v>
      </c>
      <c r="D3027" s="1" t="s">
        <v>4465</v>
      </c>
      <c r="E3027" s="1" t="s">
        <v>5256</v>
      </c>
      <c r="F3027" s="1" t="s">
        <v>2694</v>
      </c>
      <c r="I3027" s="1" t="s">
        <v>4650</v>
      </c>
    </row>
    <row r="3028">
      <c r="C3028" s="1" t="s">
        <v>5849</v>
      </c>
      <c r="D3028" s="1">
        <v>146.0</v>
      </c>
      <c r="E3028" s="1" t="s">
        <v>5872</v>
      </c>
      <c r="F3028" s="1" t="s">
        <v>835</v>
      </c>
      <c r="I3028" s="1" t="s">
        <v>3822</v>
      </c>
    </row>
    <row r="3029">
      <c r="C3029" s="1" t="s">
        <v>4566</v>
      </c>
      <c r="D3029" s="1" t="s">
        <v>3787</v>
      </c>
      <c r="E3029" s="1" t="s">
        <v>5258</v>
      </c>
      <c r="F3029" s="1" t="s">
        <v>2702</v>
      </c>
      <c r="I3029" s="1" t="s">
        <v>5600</v>
      </c>
    </row>
    <row r="3030">
      <c r="C3030" s="1" t="s">
        <v>1315</v>
      </c>
      <c r="D3030" s="1" t="s">
        <v>5687</v>
      </c>
      <c r="E3030" s="1" t="s">
        <v>5876</v>
      </c>
      <c r="F3030" s="1" t="s">
        <v>1521</v>
      </c>
      <c r="I3030" s="1" t="s">
        <v>2859</v>
      </c>
    </row>
    <row r="3031">
      <c r="C3031" s="1" t="s">
        <v>6218</v>
      </c>
      <c r="D3031" s="1" t="s">
        <v>5555</v>
      </c>
      <c r="E3031" s="1" t="s">
        <v>4220</v>
      </c>
      <c r="F3031" s="1" t="s">
        <v>4511</v>
      </c>
      <c r="I3031" s="1" t="s">
        <v>6067</v>
      </c>
    </row>
    <row r="3032">
      <c r="C3032" s="1" t="s">
        <v>4550</v>
      </c>
      <c r="D3032" s="1" t="s">
        <v>1965</v>
      </c>
      <c r="E3032" s="1" t="s">
        <v>6921</v>
      </c>
      <c r="F3032" s="1" t="s">
        <v>3744</v>
      </c>
      <c r="I3032" s="1" t="s">
        <v>3832</v>
      </c>
    </row>
    <row r="3033">
      <c r="C3033" s="1" t="s">
        <v>1410</v>
      </c>
      <c r="D3033" s="1" t="s">
        <v>2810</v>
      </c>
      <c r="E3033" s="1" t="s">
        <v>3595</v>
      </c>
      <c r="F3033" s="1" t="s">
        <v>1527</v>
      </c>
      <c r="I3033" s="1" t="s">
        <v>6922</v>
      </c>
    </row>
    <row r="3034">
      <c r="C3034" s="1" t="s">
        <v>1134</v>
      </c>
      <c r="D3034" s="1" t="s">
        <v>2815</v>
      </c>
      <c r="E3034" s="1" t="s">
        <v>4784</v>
      </c>
      <c r="F3034" s="1" t="s">
        <v>4513</v>
      </c>
      <c r="I3034" s="1" t="s">
        <v>6923</v>
      </c>
    </row>
    <row r="3035">
      <c r="C3035" s="1" t="s">
        <v>6219</v>
      </c>
      <c r="D3035" s="1" t="s">
        <v>5982</v>
      </c>
      <c r="E3035" s="1" t="s">
        <v>4229</v>
      </c>
      <c r="F3035" s="1" t="s">
        <v>6024</v>
      </c>
      <c r="I3035" s="1" t="s">
        <v>5442</v>
      </c>
    </row>
    <row r="3036">
      <c r="C3036" s="1" t="s">
        <v>1604</v>
      </c>
      <c r="D3036" s="1" t="s">
        <v>5983</v>
      </c>
      <c r="E3036" s="1" t="s">
        <v>5853</v>
      </c>
      <c r="F3036" s="1" t="s">
        <v>1534</v>
      </c>
      <c r="I3036" s="1" t="s">
        <v>4559</v>
      </c>
    </row>
    <row r="3037">
      <c r="C3037" s="1" t="s">
        <v>2562</v>
      </c>
      <c r="D3037" s="1" t="s">
        <v>4600</v>
      </c>
      <c r="E3037" s="1">
        <v>93.0</v>
      </c>
      <c r="F3037" s="1" t="s">
        <v>1542</v>
      </c>
      <c r="I3037" s="1" t="s">
        <v>6924</v>
      </c>
    </row>
    <row r="3038">
      <c r="C3038" s="1" t="s">
        <v>3312</v>
      </c>
      <c r="D3038" s="1" t="s">
        <v>4601</v>
      </c>
      <c r="E3038" s="1" t="s">
        <v>6817</v>
      </c>
      <c r="F3038" s="1" t="s">
        <v>4516</v>
      </c>
      <c r="I3038" s="1" t="s">
        <v>6925</v>
      </c>
    </row>
    <row r="3039">
      <c r="C3039" s="1" t="s">
        <v>268</v>
      </c>
      <c r="D3039" s="1" t="s">
        <v>4604</v>
      </c>
      <c r="E3039" s="1" t="s">
        <v>5264</v>
      </c>
      <c r="F3039" s="1" t="s">
        <v>5944</v>
      </c>
      <c r="I3039" s="1" t="s">
        <v>6011</v>
      </c>
    </row>
    <row r="3040">
      <c r="C3040" s="1" t="s">
        <v>3013</v>
      </c>
      <c r="D3040" s="1" t="s">
        <v>1587</v>
      </c>
      <c r="E3040" s="1" t="s">
        <v>2428</v>
      </c>
      <c r="F3040" s="1" t="s">
        <v>750</v>
      </c>
      <c r="I3040" s="1">
        <v>120.0</v>
      </c>
    </row>
    <row r="3041">
      <c r="C3041" s="1" t="s">
        <v>344</v>
      </c>
      <c r="D3041" s="1" t="s">
        <v>1592</v>
      </c>
      <c r="E3041" s="1" t="s">
        <v>4086</v>
      </c>
      <c r="F3041" s="1" t="s">
        <v>2718</v>
      </c>
      <c r="I3041" s="1" t="s">
        <v>6013</v>
      </c>
    </row>
    <row r="3042">
      <c r="C3042" s="1" t="s">
        <v>6220</v>
      </c>
      <c r="D3042" s="1" t="s">
        <v>4610</v>
      </c>
      <c r="E3042" s="1" t="s">
        <v>362</v>
      </c>
      <c r="F3042" s="1" t="s">
        <v>2721</v>
      </c>
      <c r="I3042" s="1" t="s">
        <v>1604</v>
      </c>
    </row>
    <row r="3043">
      <c r="C3043" s="1" t="s">
        <v>886</v>
      </c>
      <c r="D3043" s="1" t="s">
        <v>4613</v>
      </c>
      <c r="E3043" s="1" t="s">
        <v>5742</v>
      </c>
      <c r="F3043" s="1" t="s">
        <v>5949</v>
      </c>
      <c r="I3043" s="1" t="s">
        <v>3204</v>
      </c>
    </row>
    <row r="3044">
      <c r="C3044" s="1" t="s">
        <v>1140</v>
      </c>
      <c r="D3044" s="1" t="s">
        <v>2823</v>
      </c>
      <c r="E3044" s="1" t="s">
        <v>4348</v>
      </c>
      <c r="F3044" s="1" t="s">
        <v>5950</v>
      </c>
      <c r="I3044" s="1" t="s">
        <v>6926</v>
      </c>
    </row>
    <row r="3045">
      <c r="C3045" s="1" t="s">
        <v>2775</v>
      </c>
      <c r="D3045" s="1" t="s">
        <v>722</v>
      </c>
      <c r="E3045" s="1" t="s">
        <v>2880</v>
      </c>
      <c r="F3045" s="1" t="s">
        <v>2724</v>
      </c>
      <c r="I3045" s="1" t="s">
        <v>3843</v>
      </c>
    </row>
    <row r="3046">
      <c r="C3046" s="1" t="s">
        <v>4327</v>
      </c>
      <c r="D3046" s="1" t="s">
        <v>4942</v>
      </c>
      <c r="E3046" s="1" t="s">
        <v>6818</v>
      </c>
      <c r="F3046" s="1" t="s">
        <v>4526</v>
      </c>
      <c r="I3046" s="1" t="s">
        <v>6020</v>
      </c>
    </row>
    <row r="3047">
      <c r="C3047" s="1" t="s">
        <v>4705</v>
      </c>
      <c r="D3047" s="1" t="s">
        <v>519</v>
      </c>
      <c r="E3047" s="1" t="s">
        <v>4246</v>
      </c>
      <c r="F3047" s="1" t="s">
        <v>3190</v>
      </c>
      <c r="I3047" s="1" t="s">
        <v>6927</v>
      </c>
    </row>
    <row r="3048">
      <c r="C3048" s="1" t="s">
        <v>1581</v>
      </c>
      <c r="D3048" s="1" t="s">
        <v>5563</v>
      </c>
      <c r="E3048" s="1" t="s">
        <v>5267</v>
      </c>
      <c r="F3048" s="1" t="s">
        <v>2728</v>
      </c>
      <c r="I3048" s="1" t="s">
        <v>6928</v>
      </c>
    </row>
    <row r="3049">
      <c r="C3049" s="1" t="s">
        <v>1028</v>
      </c>
      <c r="D3049" s="1" t="s">
        <v>2827</v>
      </c>
      <c r="E3049" s="1" t="s">
        <v>5157</v>
      </c>
      <c r="F3049" s="1" t="s">
        <v>4532</v>
      </c>
      <c r="I3049" s="1" t="s">
        <v>4795</v>
      </c>
    </row>
    <row r="3050">
      <c r="C3050" s="1" t="s">
        <v>6221</v>
      </c>
      <c r="D3050" s="1" t="s">
        <v>4486</v>
      </c>
      <c r="E3050" s="1" t="s">
        <v>6820</v>
      </c>
      <c r="F3050" s="1" t="s">
        <v>2730</v>
      </c>
      <c r="I3050" s="1" t="s">
        <v>5630</v>
      </c>
    </row>
    <row r="3051">
      <c r="C3051" s="1" t="s">
        <v>2850</v>
      </c>
      <c r="D3051" s="1" t="s">
        <v>4619</v>
      </c>
      <c r="E3051" s="1" t="s">
        <v>3601</v>
      </c>
      <c r="F3051" s="1" t="s">
        <v>5489</v>
      </c>
      <c r="I3051" s="1" t="s">
        <v>6929</v>
      </c>
    </row>
    <row r="3052">
      <c r="C3052" s="1" t="s">
        <v>1069</v>
      </c>
      <c r="D3052" s="1" t="s">
        <v>5565</v>
      </c>
      <c r="E3052" s="1" t="s">
        <v>6930</v>
      </c>
      <c r="F3052" s="1" t="s">
        <v>5491</v>
      </c>
      <c r="I3052" s="1" t="s">
        <v>4916</v>
      </c>
    </row>
    <row r="3053">
      <c r="C3053" s="1" t="s">
        <v>6222</v>
      </c>
      <c r="D3053" s="1" t="s">
        <v>5566</v>
      </c>
      <c r="E3053" s="1" t="s">
        <v>6821</v>
      </c>
      <c r="F3053" s="1" t="s">
        <v>1550</v>
      </c>
      <c r="I3053" s="1" t="s">
        <v>6931</v>
      </c>
    </row>
    <row r="3054">
      <c r="C3054" s="1" t="s">
        <v>5576</v>
      </c>
      <c r="D3054" s="1" t="s">
        <v>5567</v>
      </c>
      <c r="E3054" s="1" t="s">
        <v>1269</v>
      </c>
      <c r="F3054" s="1" t="s">
        <v>2736</v>
      </c>
      <c r="I3054" s="1" t="s">
        <v>413</v>
      </c>
    </row>
    <row r="3055">
      <c r="C3055" s="1" t="s">
        <v>1231</v>
      </c>
      <c r="D3055" s="1" t="s">
        <v>4622</v>
      </c>
      <c r="E3055" s="1" t="s">
        <v>4202</v>
      </c>
      <c r="F3055" s="1" t="s">
        <v>4537</v>
      </c>
      <c r="I3055" s="1" t="s">
        <v>6932</v>
      </c>
    </row>
    <row r="3056">
      <c r="C3056" s="1" t="s">
        <v>3974</v>
      </c>
      <c r="D3056" s="1" t="s">
        <v>5570</v>
      </c>
      <c r="E3056" s="1" t="s">
        <v>3273</v>
      </c>
      <c r="F3056" s="1" t="s">
        <v>4539</v>
      </c>
      <c r="I3056" s="1" t="s">
        <v>6078</v>
      </c>
    </row>
    <row r="3057">
      <c r="C3057" s="1" t="s">
        <v>2834</v>
      </c>
      <c r="D3057" s="1" t="s">
        <v>4624</v>
      </c>
      <c r="E3057" s="1" t="s">
        <v>6822</v>
      </c>
      <c r="F3057" s="1" t="s">
        <v>4540</v>
      </c>
      <c r="I3057" s="1" t="s">
        <v>4577</v>
      </c>
    </row>
    <row r="3058">
      <c r="C3058" s="1" t="s">
        <v>607</v>
      </c>
      <c r="D3058" s="1" t="s">
        <v>4625</v>
      </c>
      <c r="E3058" s="1" t="s">
        <v>4254</v>
      </c>
      <c r="F3058" s="1" t="s">
        <v>2739</v>
      </c>
      <c r="I3058" s="1" t="s">
        <v>1691</v>
      </c>
    </row>
    <row r="3059">
      <c r="C3059" s="1" t="s">
        <v>3141</v>
      </c>
      <c r="D3059" s="1" t="s">
        <v>5775</v>
      </c>
      <c r="E3059" s="1" t="s">
        <v>1187</v>
      </c>
      <c r="F3059" s="1" t="s">
        <v>4888</v>
      </c>
      <c r="I3059" s="1" t="s">
        <v>6933</v>
      </c>
    </row>
    <row r="3060">
      <c r="C3060" s="1" t="s">
        <v>1877</v>
      </c>
      <c r="D3060" s="1" t="s">
        <v>2830</v>
      </c>
      <c r="E3060" s="1" t="s">
        <v>3949</v>
      </c>
      <c r="F3060" s="1" t="s">
        <v>2742</v>
      </c>
      <c r="I3060" s="1">
        <v>18.0</v>
      </c>
    </row>
    <row r="3061">
      <c r="C3061" s="1" t="s">
        <v>6225</v>
      </c>
      <c r="D3061" s="1" t="s">
        <v>5575</v>
      </c>
      <c r="E3061" s="1" t="s">
        <v>5275</v>
      </c>
      <c r="F3061" s="1" t="s">
        <v>5496</v>
      </c>
      <c r="I3061" s="1" t="s">
        <v>4249</v>
      </c>
    </row>
    <row r="3062">
      <c r="C3062" s="1" t="s">
        <v>248</v>
      </c>
      <c r="D3062" s="1" t="s">
        <v>4627</v>
      </c>
      <c r="E3062" s="1" t="s">
        <v>5278</v>
      </c>
      <c r="F3062" s="1" t="s">
        <v>5498</v>
      </c>
      <c r="I3062" s="1" t="s">
        <v>6934</v>
      </c>
    </row>
    <row r="3063">
      <c r="C3063" s="1" t="s">
        <v>208</v>
      </c>
      <c r="D3063" s="1" t="s">
        <v>5576</v>
      </c>
      <c r="E3063" s="1" t="s">
        <v>5346</v>
      </c>
      <c r="F3063" s="1" t="s">
        <v>4243</v>
      </c>
      <c r="I3063" s="1" t="s">
        <v>3981</v>
      </c>
    </row>
    <row r="3064">
      <c r="C3064" s="1" t="s">
        <v>6226</v>
      </c>
      <c r="D3064" s="1" t="s">
        <v>2832</v>
      </c>
      <c r="E3064" s="1" t="s">
        <v>4742</v>
      </c>
      <c r="F3064" s="1" t="s">
        <v>4545</v>
      </c>
      <c r="I3064" s="1" t="s">
        <v>3857</v>
      </c>
    </row>
    <row r="3065">
      <c r="C3065" s="1" t="s">
        <v>6227</v>
      </c>
      <c r="D3065" s="1" t="s">
        <v>5992</v>
      </c>
      <c r="E3065" s="1" t="s">
        <v>4257</v>
      </c>
      <c r="F3065" s="1" t="s">
        <v>6935</v>
      </c>
      <c r="I3065" s="1" t="s">
        <v>6936</v>
      </c>
    </row>
    <row r="3066">
      <c r="C3066" s="1" t="s">
        <v>6228</v>
      </c>
      <c r="D3066" s="1" t="s">
        <v>4630</v>
      </c>
      <c r="E3066" s="1" t="s">
        <v>6823</v>
      </c>
      <c r="F3066" s="1" t="s">
        <v>6937</v>
      </c>
      <c r="I3066" s="1" t="s">
        <v>5613</v>
      </c>
    </row>
    <row r="3067">
      <c r="C3067" s="1" t="s">
        <v>2298</v>
      </c>
      <c r="D3067" s="1" t="s">
        <v>5582</v>
      </c>
      <c r="E3067" s="1" t="s">
        <v>6824</v>
      </c>
      <c r="F3067" s="1" t="s">
        <v>5002</v>
      </c>
      <c r="I3067" s="1" t="s">
        <v>6938</v>
      </c>
    </row>
    <row r="3068">
      <c r="C3068" s="1" t="s">
        <v>534</v>
      </c>
      <c r="D3068" s="1" t="s">
        <v>4632</v>
      </c>
      <c r="E3068" s="1" t="s">
        <v>6939</v>
      </c>
      <c r="F3068" s="1" t="s">
        <v>5178</v>
      </c>
      <c r="I3068" s="1" t="s">
        <v>5423</v>
      </c>
    </row>
    <row r="3069">
      <c r="C3069" s="1" t="s">
        <v>4390</v>
      </c>
      <c r="D3069" s="1" t="s">
        <v>4634</v>
      </c>
      <c r="E3069" s="1" t="s">
        <v>6825</v>
      </c>
      <c r="F3069" s="1" t="s">
        <v>6891</v>
      </c>
      <c r="I3069" s="1">
        <v>2000.0</v>
      </c>
    </row>
    <row r="3070">
      <c r="C3070" s="1" t="s">
        <v>3772</v>
      </c>
      <c r="D3070" s="1" t="s">
        <v>2834</v>
      </c>
      <c r="E3070" s="1">
        <v>1938.0</v>
      </c>
      <c r="F3070" s="1" t="s">
        <v>5961</v>
      </c>
      <c r="I3070" s="1" t="s">
        <v>3968</v>
      </c>
    </row>
    <row r="3071">
      <c r="C3071" s="1" t="s">
        <v>2491</v>
      </c>
      <c r="D3071" s="1">
        <v>163.0</v>
      </c>
      <c r="E3071" s="1" t="s">
        <v>6826</v>
      </c>
      <c r="F3071" s="1" t="s">
        <v>5500</v>
      </c>
      <c r="I3071" s="1" t="s">
        <v>6940</v>
      </c>
    </row>
    <row r="3072">
      <c r="C3072" s="1" t="s">
        <v>5469</v>
      </c>
      <c r="D3072" s="1" t="s">
        <v>4914</v>
      </c>
      <c r="E3072" s="1" t="s">
        <v>6827</v>
      </c>
      <c r="F3072" s="1" t="s">
        <v>4547</v>
      </c>
      <c r="I3072" s="1" t="s">
        <v>6941</v>
      </c>
    </row>
    <row r="3073">
      <c r="C3073" s="1" t="s">
        <v>1295</v>
      </c>
      <c r="D3073" s="1" t="s">
        <v>5019</v>
      </c>
      <c r="E3073" s="1" t="s">
        <v>5290</v>
      </c>
      <c r="F3073" s="1" t="s">
        <v>4751</v>
      </c>
      <c r="I3073" s="1" t="s">
        <v>4693</v>
      </c>
    </row>
    <row r="3074">
      <c r="C3074" s="1" t="s">
        <v>1502</v>
      </c>
      <c r="D3074" s="1" t="s">
        <v>5831</v>
      </c>
      <c r="E3074" s="1" t="s">
        <v>2462</v>
      </c>
      <c r="F3074" s="1" t="s">
        <v>4548</v>
      </c>
      <c r="I3074" s="1" t="s">
        <v>5520</v>
      </c>
    </row>
    <row r="3075">
      <c r="C3075" s="1" t="s">
        <v>6229</v>
      </c>
      <c r="D3075" s="1" t="s">
        <v>4639</v>
      </c>
      <c r="E3075" s="1" t="s">
        <v>5292</v>
      </c>
      <c r="F3075" s="1" t="s">
        <v>5962</v>
      </c>
      <c r="I3075" s="1" t="s">
        <v>1720</v>
      </c>
    </row>
    <row r="3076">
      <c r="C3076" s="1" t="s">
        <v>2033</v>
      </c>
      <c r="D3076" s="1" t="s">
        <v>732</v>
      </c>
      <c r="E3076" s="1" t="s">
        <v>1629</v>
      </c>
      <c r="F3076" s="1" t="s">
        <v>4550</v>
      </c>
      <c r="I3076" s="1" t="s">
        <v>6942</v>
      </c>
    </row>
    <row r="3077">
      <c r="C3077" s="1" t="s">
        <v>2984</v>
      </c>
      <c r="D3077" s="1" t="s">
        <v>1702</v>
      </c>
      <c r="E3077" s="1" t="s">
        <v>5917</v>
      </c>
      <c r="F3077" s="1" t="s">
        <v>4553</v>
      </c>
      <c r="I3077" s="1" t="s">
        <v>5758</v>
      </c>
    </row>
    <row r="3078">
      <c r="C3078" s="1" t="s">
        <v>2979</v>
      </c>
      <c r="D3078" s="1" t="s">
        <v>5999</v>
      </c>
      <c r="E3078" s="1" t="s">
        <v>3622</v>
      </c>
      <c r="F3078" s="1" t="s">
        <v>2745</v>
      </c>
      <c r="I3078" s="1" t="s">
        <v>4721</v>
      </c>
    </row>
    <row r="3079">
      <c r="D3079" s="1" t="s">
        <v>2841</v>
      </c>
      <c r="E3079" s="1" t="s">
        <v>3623</v>
      </c>
      <c r="F3079" s="1" t="s">
        <v>5131</v>
      </c>
      <c r="I3079" s="1" t="s">
        <v>6943</v>
      </c>
    </row>
    <row r="3080">
      <c r="D3080" s="1" t="s">
        <v>5591</v>
      </c>
      <c r="E3080" s="1" t="s">
        <v>3960</v>
      </c>
      <c r="F3080" s="1" t="s">
        <v>2746</v>
      </c>
      <c r="I3080" s="1" t="s">
        <v>6944</v>
      </c>
    </row>
    <row r="3081">
      <c r="D3081" s="1" t="s">
        <v>4643</v>
      </c>
      <c r="E3081" s="1" t="s">
        <v>1366</v>
      </c>
      <c r="F3081" s="1" t="s">
        <v>5581</v>
      </c>
      <c r="I3081" s="1" t="s">
        <v>6945</v>
      </c>
    </row>
    <row r="3082">
      <c r="D3082" s="1" t="s">
        <v>3806</v>
      </c>
      <c r="E3082" s="1" t="s">
        <v>5918</v>
      </c>
      <c r="F3082" s="1" t="s">
        <v>6946</v>
      </c>
      <c r="I3082" s="1" t="s">
        <v>3504</v>
      </c>
    </row>
    <row r="3083">
      <c r="D3083" s="1" t="s">
        <v>4645</v>
      </c>
      <c r="E3083" s="1" t="s">
        <v>6828</v>
      </c>
      <c r="F3083" s="1" t="s">
        <v>6893</v>
      </c>
      <c r="I3083" s="1" t="s">
        <v>6947</v>
      </c>
    </row>
    <row r="3084">
      <c r="D3084" s="1" t="s">
        <v>3810</v>
      </c>
      <c r="E3084" s="1" t="s">
        <v>806</v>
      </c>
      <c r="F3084" s="1" t="s">
        <v>2748</v>
      </c>
      <c r="I3084" s="1" t="s">
        <v>5843</v>
      </c>
    </row>
    <row r="3085">
      <c r="D3085" s="1" t="s">
        <v>5515</v>
      </c>
      <c r="E3085" s="1" t="s">
        <v>3132</v>
      </c>
      <c r="F3085" s="1" t="s">
        <v>2750</v>
      </c>
      <c r="I3085" s="1" t="s">
        <v>4955</v>
      </c>
    </row>
    <row r="3086">
      <c r="D3086" s="1" t="s">
        <v>4647</v>
      </c>
      <c r="E3086" s="1" t="s">
        <v>5311</v>
      </c>
      <c r="F3086" s="1" t="s">
        <v>4560</v>
      </c>
      <c r="I3086" s="1" t="s">
        <v>3265</v>
      </c>
    </row>
    <row r="3087">
      <c r="D3087" s="1" t="s">
        <v>2845</v>
      </c>
      <c r="E3087" s="1" t="s">
        <v>4283</v>
      </c>
      <c r="F3087" s="1" t="s">
        <v>5038</v>
      </c>
      <c r="I3087" s="1" t="s">
        <v>5649</v>
      </c>
    </row>
    <row r="3088">
      <c r="D3088" s="1" t="s">
        <v>2848</v>
      </c>
      <c r="E3088" s="1" t="s">
        <v>2480</v>
      </c>
      <c r="F3088" s="1" t="s">
        <v>4561</v>
      </c>
      <c r="I3088" s="1" t="s">
        <v>5655</v>
      </c>
    </row>
    <row r="3089">
      <c r="D3089" s="1" t="s">
        <v>329</v>
      </c>
      <c r="E3089" s="1" t="s">
        <v>3638</v>
      </c>
      <c r="F3089" s="1" t="s">
        <v>1556</v>
      </c>
      <c r="I3089" s="1" t="s">
        <v>6948</v>
      </c>
    </row>
    <row r="3090">
      <c r="D3090" s="1" t="s">
        <v>5671</v>
      </c>
      <c r="E3090" s="1" t="s">
        <v>5475</v>
      </c>
      <c r="F3090" s="1" t="s">
        <v>5513</v>
      </c>
      <c r="I3090" s="1" t="s">
        <v>6091</v>
      </c>
    </row>
    <row r="3091">
      <c r="D3091" s="1" t="s">
        <v>4650</v>
      </c>
      <c r="E3091" s="1" t="s">
        <v>4287</v>
      </c>
      <c r="F3091" s="1" t="s">
        <v>2758</v>
      </c>
      <c r="I3091" s="1" t="s">
        <v>6949</v>
      </c>
    </row>
    <row r="3092">
      <c r="D3092" s="1" t="s">
        <v>3822</v>
      </c>
      <c r="E3092" s="1" t="s">
        <v>1425</v>
      </c>
      <c r="F3092" s="1" t="s">
        <v>2763</v>
      </c>
      <c r="I3092" s="1">
        <v>1960.0</v>
      </c>
    </row>
    <row r="3093">
      <c r="D3093" s="1" t="s">
        <v>2850</v>
      </c>
      <c r="E3093" s="1" t="s">
        <v>6829</v>
      </c>
      <c r="F3093" s="1" t="s">
        <v>4566</v>
      </c>
      <c r="I3093" s="1" t="s">
        <v>6950</v>
      </c>
    </row>
    <row r="3094">
      <c r="D3094" s="1" t="s">
        <v>1125</v>
      </c>
      <c r="E3094" s="1" t="s">
        <v>3289</v>
      </c>
      <c r="F3094" s="1" t="s">
        <v>4580</v>
      </c>
      <c r="I3094" s="1" t="s">
        <v>6094</v>
      </c>
    </row>
    <row r="3095">
      <c r="D3095" s="1" t="s">
        <v>5598</v>
      </c>
      <c r="E3095" s="1" t="s">
        <v>5787</v>
      </c>
      <c r="F3095" s="1" t="s">
        <v>3756</v>
      </c>
      <c r="I3095" s="1" t="s">
        <v>1645</v>
      </c>
    </row>
    <row r="3096">
      <c r="D3096" s="1" t="s">
        <v>1849</v>
      </c>
      <c r="E3096" s="1" t="s">
        <v>5321</v>
      </c>
      <c r="F3096" s="1" t="s">
        <v>5517</v>
      </c>
      <c r="I3096" s="1" t="s">
        <v>757</v>
      </c>
    </row>
    <row r="3097">
      <c r="D3097" s="1" t="s">
        <v>2857</v>
      </c>
      <c r="E3097" s="1" t="s">
        <v>3642</v>
      </c>
      <c r="F3097" s="1" t="s">
        <v>1884</v>
      </c>
      <c r="I3097" s="1" t="s">
        <v>5673</v>
      </c>
    </row>
    <row r="3098">
      <c r="D3098" s="1" t="s">
        <v>2859</v>
      </c>
      <c r="E3098" s="1" t="s">
        <v>4733</v>
      </c>
      <c r="F3098" s="1" t="s">
        <v>1286</v>
      </c>
      <c r="I3098" s="1" t="s">
        <v>5675</v>
      </c>
    </row>
    <row r="3099">
      <c r="D3099" s="1" t="s">
        <v>5601</v>
      </c>
      <c r="E3099" s="1" t="s">
        <v>3645</v>
      </c>
      <c r="F3099" s="1" t="s">
        <v>1760</v>
      </c>
      <c r="I3099" s="1" t="s">
        <v>4541</v>
      </c>
    </row>
    <row r="3100">
      <c r="D3100" s="1" t="s">
        <v>4657</v>
      </c>
      <c r="E3100" s="1" t="s">
        <v>6830</v>
      </c>
      <c r="F3100" s="1" t="s">
        <v>2768</v>
      </c>
      <c r="I3100" s="1" t="s">
        <v>6951</v>
      </c>
    </row>
    <row r="3101">
      <c r="D3101" s="1" t="s">
        <v>5603</v>
      </c>
      <c r="E3101" s="1" t="s">
        <v>3766</v>
      </c>
      <c r="F3101" s="1" t="s">
        <v>5291</v>
      </c>
      <c r="I3101" s="1" t="s">
        <v>6102</v>
      </c>
    </row>
    <row r="3102">
      <c r="D3102" s="1" t="s">
        <v>2863</v>
      </c>
      <c r="E3102" s="1" t="s">
        <v>4128</v>
      </c>
      <c r="F3102" s="1" t="s">
        <v>1371</v>
      </c>
      <c r="I3102" s="1" t="s">
        <v>6952</v>
      </c>
    </row>
    <row r="3103">
      <c r="D3103" s="1" t="s">
        <v>6009</v>
      </c>
      <c r="E3103" s="1" t="s">
        <v>5269</v>
      </c>
      <c r="F3103" s="1" t="s">
        <v>2771</v>
      </c>
      <c r="I3103" s="1" t="s">
        <v>6953</v>
      </c>
    </row>
    <row r="3104">
      <c r="D3104" s="1" t="s">
        <v>4660</v>
      </c>
      <c r="E3104" s="1" t="s">
        <v>5937</v>
      </c>
      <c r="F3104" s="1" t="s">
        <v>1401</v>
      </c>
      <c r="I3104" s="1" t="s">
        <v>6954</v>
      </c>
    </row>
    <row r="3105">
      <c r="D3105" s="1" t="s">
        <v>5102</v>
      </c>
      <c r="E3105" s="1" t="s">
        <v>5793</v>
      </c>
      <c r="F3105" s="1" t="s">
        <v>2780</v>
      </c>
      <c r="I3105" s="1" t="s">
        <v>6955</v>
      </c>
    </row>
    <row r="3106">
      <c r="D3106" s="1" t="s">
        <v>3829</v>
      </c>
      <c r="E3106" s="1" t="s">
        <v>2495</v>
      </c>
      <c r="F3106" s="1" t="s">
        <v>3771</v>
      </c>
      <c r="I3106" s="1" t="s">
        <v>1808</v>
      </c>
    </row>
    <row r="3107">
      <c r="D3107" s="1" t="s">
        <v>2867</v>
      </c>
      <c r="E3107" s="1" t="s">
        <v>5332</v>
      </c>
      <c r="F3107" s="1" t="s">
        <v>3769</v>
      </c>
      <c r="I3107" s="1" t="s">
        <v>4052</v>
      </c>
    </row>
    <row r="3108">
      <c r="D3108" s="1" t="s">
        <v>5611</v>
      </c>
      <c r="E3108" s="1" t="s">
        <v>548</v>
      </c>
      <c r="F3108" s="1" t="s">
        <v>1373</v>
      </c>
      <c r="I3108" s="1" t="s">
        <v>6041</v>
      </c>
    </row>
    <row r="3109">
      <c r="D3109" s="1" t="s">
        <v>1689</v>
      </c>
      <c r="E3109" s="1" t="s">
        <v>6834</v>
      </c>
      <c r="F3109" s="1" t="s">
        <v>4804</v>
      </c>
      <c r="I3109" s="1" t="s">
        <v>6956</v>
      </c>
    </row>
    <row r="3110">
      <c r="D3110" s="1" t="s">
        <v>4559</v>
      </c>
      <c r="E3110" s="1" t="s">
        <v>5767</v>
      </c>
      <c r="F3110" s="1" t="s">
        <v>1566</v>
      </c>
      <c r="I3110" s="1">
        <v>1957.0</v>
      </c>
    </row>
    <row r="3111">
      <c r="D3111" s="1" t="s">
        <v>5614</v>
      </c>
      <c r="E3111" s="1" t="s">
        <v>6957</v>
      </c>
      <c r="F3111" s="1" t="s">
        <v>1572</v>
      </c>
      <c r="I3111" s="1" t="s">
        <v>6958</v>
      </c>
    </row>
    <row r="3112">
      <c r="D3112" s="1" t="s">
        <v>1907</v>
      </c>
      <c r="E3112" s="1" t="s">
        <v>4091</v>
      </c>
      <c r="F3112" s="1" t="s">
        <v>3688</v>
      </c>
      <c r="I3112" s="1">
        <v>72.0</v>
      </c>
    </row>
    <row r="3113">
      <c r="D3113" s="1" t="s">
        <v>6011</v>
      </c>
      <c r="E3113" s="1" t="s">
        <v>3653</v>
      </c>
      <c r="F3113" s="1">
        <v>1952.0</v>
      </c>
      <c r="I3113" s="1" t="s">
        <v>6108</v>
      </c>
    </row>
    <row r="3114">
      <c r="D3114" s="1" t="s">
        <v>6013</v>
      </c>
      <c r="E3114" s="1" t="s">
        <v>5534</v>
      </c>
      <c r="F3114" s="1" t="s">
        <v>5531</v>
      </c>
      <c r="I3114" s="1" t="s">
        <v>6959</v>
      </c>
    </row>
    <row r="3115">
      <c r="D3115" s="1" t="s">
        <v>1604</v>
      </c>
      <c r="E3115" s="1" t="s">
        <v>5638</v>
      </c>
      <c r="F3115" s="1" t="s">
        <v>6038</v>
      </c>
      <c r="I3115" s="1" t="s">
        <v>4910</v>
      </c>
    </row>
    <row r="3116">
      <c r="D3116" s="1" t="s">
        <v>2870</v>
      </c>
      <c r="E3116" s="1" t="s">
        <v>1390</v>
      </c>
      <c r="F3116" s="1" t="s">
        <v>2786</v>
      </c>
      <c r="I3116" s="1" t="s">
        <v>5689</v>
      </c>
    </row>
    <row r="3117">
      <c r="D3117" s="1" t="s">
        <v>3204</v>
      </c>
      <c r="E3117" s="1" t="s">
        <v>1654</v>
      </c>
      <c r="F3117" s="1" t="s">
        <v>5159</v>
      </c>
      <c r="I3117" s="1" t="s">
        <v>5510</v>
      </c>
    </row>
    <row r="3118">
      <c r="D3118" s="1" t="s">
        <v>6016</v>
      </c>
      <c r="E3118" s="1">
        <v>60.0</v>
      </c>
      <c r="F3118" s="1" t="s">
        <v>5536</v>
      </c>
      <c r="I3118" s="1" t="s">
        <v>4152</v>
      </c>
    </row>
    <row r="3119">
      <c r="D3119" s="1" t="s">
        <v>4664</v>
      </c>
      <c r="E3119" s="1" t="s">
        <v>3658</v>
      </c>
      <c r="F3119" s="1" t="s">
        <v>2790</v>
      </c>
      <c r="I3119" s="1" t="s">
        <v>5073</v>
      </c>
    </row>
    <row r="3120">
      <c r="D3120" s="1" t="s">
        <v>3843</v>
      </c>
      <c r="E3120" s="1" t="s">
        <v>6000</v>
      </c>
      <c r="F3120" s="1" t="s">
        <v>1890</v>
      </c>
      <c r="I3120" s="1" t="s">
        <v>2345</v>
      </c>
    </row>
    <row r="3121">
      <c r="D3121" s="1" t="s">
        <v>1610</v>
      </c>
      <c r="E3121" s="1" t="s">
        <v>6960</v>
      </c>
      <c r="F3121" s="1" t="s">
        <v>5538</v>
      </c>
      <c r="I3121" s="1" t="s">
        <v>6961</v>
      </c>
    </row>
    <row r="3122">
      <c r="D3122" s="1" t="s">
        <v>2877</v>
      </c>
      <c r="E3122" s="1" t="s">
        <v>682</v>
      </c>
      <c r="F3122" s="1" t="s">
        <v>4585</v>
      </c>
      <c r="I3122" s="1" t="s">
        <v>6962</v>
      </c>
    </row>
    <row r="3123">
      <c r="D3123" s="1" t="s">
        <v>4669</v>
      </c>
      <c r="E3123" s="1" t="s">
        <v>6835</v>
      </c>
      <c r="F3123" s="1" t="s">
        <v>974</v>
      </c>
      <c r="I3123" s="1" t="s">
        <v>5479</v>
      </c>
    </row>
    <row r="3124">
      <c r="D3124" s="1" t="s">
        <v>1615</v>
      </c>
      <c r="E3124" s="1" t="s">
        <v>3664</v>
      </c>
      <c r="F3124" s="1" t="s">
        <v>2794</v>
      </c>
      <c r="I3124" s="1" t="s">
        <v>3890</v>
      </c>
    </row>
    <row r="3125">
      <c r="D3125" s="1" t="s">
        <v>5624</v>
      </c>
      <c r="E3125" s="1" t="s">
        <v>1813</v>
      </c>
      <c r="F3125" s="1" t="s">
        <v>5541</v>
      </c>
      <c r="I3125" s="1" t="s">
        <v>6963</v>
      </c>
    </row>
    <row r="3126">
      <c r="D3126" s="1" t="s">
        <v>1937</v>
      </c>
      <c r="E3126" s="1" t="s">
        <v>6836</v>
      </c>
      <c r="F3126" s="1" t="s">
        <v>5542</v>
      </c>
      <c r="I3126" s="1" t="s">
        <v>6964</v>
      </c>
    </row>
    <row r="3127">
      <c r="D3127" s="1" t="s">
        <v>5628</v>
      </c>
      <c r="E3127" s="1" t="s">
        <v>4824</v>
      </c>
      <c r="F3127" s="1" t="s">
        <v>1578</v>
      </c>
      <c r="I3127" s="1" t="s">
        <v>6965</v>
      </c>
    </row>
    <row r="3128">
      <c r="D3128" s="1" t="s">
        <v>6019</v>
      </c>
      <c r="E3128" s="1" t="s">
        <v>6837</v>
      </c>
      <c r="F3128" s="1" t="s">
        <v>2798</v>
      </c>
      <c r="I3128" s="1" t="s">
        <v>6050</v>
      </c>
    </row>
    <row r="3129">
      <c r="D3129" s="1" t="s">
        <v>6020</v>
      </c>
      <c r="E3129" s="1" t="s">
        <v>5317</v>
      </c>
      <c r="F3129" s="1" t="s">
        <v>3776</v>
      </c>
      <c r="I3129" s="1" t="s">
        <v>3732</v>
      </c>
    </row>
    <row r="3130">
      <c r="D3130" s="1" t="s">
        <v>5630</v>
      </c>
      <c r="E3130" s="1" t="s">
        <v>5484</v>
      </c>
      <c r="F3130" s="1" t="s">
        <v>5415</v>
      </c>
      <c r="I3130" s="1" t="s">
        <v>1729</v>
      </c>
    </row>
    <row r="3131">
      <c r="D3131" s="1" t="s">
        <v>6021</v>
      </c>
      <c r="E3131" s="1" t="s">
        <v>4323</v>
      </c>
      <c r="F3131" s="1" t="s">
        <v>2800</v>
      </c>
      <c r="I3131" s="1" t="s">
        <v>6966</v>
      </c>
    </row>
    <row r="3132">
      <c r="D3132" s="1" t="s">
        <v>6023</v>
      </c>
      <c r="E3132" s="1" t="s">
        <v>1668</v>
      </c>
      <c r="F3132" s="1" t="s">
        <v>5548</v>
      </c>
      <c r="I3132" s="1" t="s">
        <v>3895</v>
      </c>
    </row>
    <row r="3133">
      <c r="D3133" s="1" t="s">
        <v>5632</v>
      </c>
      <c r="E3133" s="1" t="s">
        <v>5532</v>
      </c>
      <c r="F3133" s="1" t="s">
        <v>3783</v>
      </c>
      <c r="I3133" s="1" t="s">
        <v>2640</v>
      </c>
    </row>
    <row r="3134">
      <c r="D3134" s="1" t="s">
        <v>2884</v>
      </c>
      <c r="E3134" s="1" t="s">
        <v>4798</v>
      </c>
      <c r="F3134" s="1" t="s">
        <v>3784</v>
      </c>
      <c r="I3134" s="1" t="s">
        <v>6967</v>
      </c>
    </row>
    <row r="3135">
      <c r="D3135" s="1" t="s">
        <v>5633</v>
      </c>
      <c r="E3135" s="1" t="s">
        <v>5947</v>
      </c>
      <c r="F3135" s="1" t="s">
        <v>1583</v>
      </c>
      <c r="I3135" s="1" t="s">
        <v>5783</v>
      </c>
    </row>
    <row r="3136">
      <c r="D3136" s="1" t="s">
        <v>2886</v>
      </c>
      <c r="E3136" s="1" t="s">
        <v>5599</v>
      </c>
      <c r="F3136" s="1" t="s">
        <v>4591</v>
      </c>
      <c r="I3136" s="1" t="s">
        <v>6968</v>
      </c>
    </row>
    <row r="3137">
      <c r="D3137" s="1" t="s">
        <v>5806</v>
      </c>
      <c r="E3137" s="1" t="s">
        <v>1703</v>
      </c>
      <c r="F3137" s="1" t="s">
        <v>2803</v>
      </c>
      <c r="I3137" s="1" t="s">
        <v>1306</v>
      </c>
    </row>
    <row r="3138">
      <c r="D3138" s="1" t="s">
        <v>4679</v>
      </c>
      <c r="E3138" s="1" t="s">
        <v>6839</v>
      </c>
      <c r="F3138" s="1" t="s">
        <v>5550</v>
      </c>
      <c r="I3138" s="1" t="s">
        <v>5148</v>
      </c>
    </row>
    <row r="3139">
      <c r="D3139" s="1" t="s">
        <v>2892</v>
      </c>
      <c r="E3139" s="1" t="s">
        <v>5954</v>
      </c>
      <c r="F3139" s="1" t="s">
        <v>6051</v>
      </c>
      <c r="I3139" s="1" t="s">
        <v>3897</v>
      </c>
    </row>
    <row r="3140">
      <c r="D3140" s="1" t="s">
        <v>2895</v>
      </c>
      <c r="E3140" s="1" t="s">
        <v>5351</v>
      </c>
      <c r="F3140" s="1" t="s">
        <v>2806</v>
      </c>
      <c r="I3140" s="1" t="s">
        <v>1932</v>
      </c>
    </row>
    <row r="3141">
      <c r="D3141" s="1" t="s">
        <v>1019</v>
      </c>
      <c r="E3141" s="1" t="s">
        <v>3670</v>
      </c>
      <c r="F3141" s="1" t="s">
        <v>6969</v>
      </c>
      <c r="I3141" s="1" t="s">
        <v>4792</v>
      </c>
    </row>
    <row r="3142">
      <c r="D3142" s="1" t="s">
        <v>6026</v>
      </c>
      <c r="E3142" s="1" t="s">
        <v>3234</v>
      </c>
      <c r="F3142" s="1">
        <v>146.0</v>
      </c>
      <c r="I3142" s="1" t="s">
        <v>6970</v>
      </c>
    </row>
    <row r="3143">
      <c r="D3143" s="1" t="s">
        <v>2897</v>
      </c>
      <c r="E3143" s="1">
        <v>66.0</v>
      </c>
      <c r="F3143" s="1" t="s">
        <v>3787</v>
      </c>
      <c r="I3143" s="1" t="s">
        <v>6971</v>
      </c>
    </row>
    <row r="3144">
      <c r="D3144" s="1" t="s">
        <v>1620</v>
      </c>
      <c r="E3144" s="1" t="s">
        <v>5494</v>
      </c>
      <c r="F3144" s="1" t="s">
        <v>2810</v>
      </c>
      <c r="I3144" s="1" t="s">
        <v>5709</v>
      </c>
    </row>
    <row r="3145">
      <c r="D3145" s="1" t="s">
        <v>5641</v>
      </c>
      <c r="E3145" s="1" t="s">
        <v>4772</v>
      </c>
      <c r="F3145" s="1" t="s">
        <v>2815</v>
      </c>
      <c r="I3145" s="1" t="s">
        <v>5838</v>
      </c>
    </row>
    <row r="3146">
      <c r="D3146" s="1" t="s">
        <v>2903</v>
      </c>
      <c r="E3146" s="1" t="s">
        <v>5347</v>
      </c>
      <c r="F3146" s="1" t="s">
        <v>6972</v>
      </c>
      <c r="I3146" s="1" t="s">
        <v>3904</v>
      </c>
    </row>
    <row r="3147">
      <c r="D3147" s="1" t="s">
        <v>1626</v>
      </c>
      <c r="E3147" s="1" t="s">
        <v>6841</v>
      </c>
      <c r="F3147" s="1" t="s">
        <v>6973</v>
      </c>
      <c r="I3147" s="1" t="s">
        <v>6974</v>
      </c>
    </row>
    <row r="3148">
      <c r="D3148" s="1" t="s">
        <v>4308</v>
      </c>
      <c r="E3148" s="1" t="s">
        <v>4397</v>
      </c>
      <c r="F3148" s="1" t="s">
        <v>4600</v>
      </c>
      <c r="I3148" s="1" t="s">
        <v>6975</v>
      </c>
    </row>
    <row r="3149">
      <c r="D3149" s="1" t="s">
        <v>2910</v>
      </c>
      <c r="E3149" s="1" t="s">
        <v>5027</v>
      </c>
      <c r="F3149" s="1" t="s">
        <v>4604</v>
      </c>
      <c r="I3149" s="1" t="s">
        <v>6976</v>
      </c>
    </row>
    <row r="3150">
      <c r="D3150" s="1" t="s">
        <v>5645</v>
      </c>
      <c r="E3150" s="1">
        <v>1998.0</v>
      </c>
      <c r="F3150" s="1" t="s">
        <v>1587</v>
      </c>
      <c r="I3150" s="1" t="s">
        <v>5959</v>
      </c>
    </row>
    <row r="3151">
      <c r="D3151" s="1" t="s">
        <v>6028</v>
      </c>
      <c r="E3151" s="1" t="s">
        <v>5830</v>
      </c>
      <c r="F3151" s="1" t="s">
        <v>1592</v>
      </c>
      <c r="I3151" s="1" t="s">
        <v>3907</v>
      </c>
    </row>
    <row r="3152">
      <c r="D3152" s="1" t="s">
        <v>4688</v>
      </c>
      <c r="E3152" s="1" t="s">
        <v>2533</v>
      </c>
      <c r="F3152" s="1" t="s">
        <v>4610</v>
      </c>
      <c r="I3152" s="1" t="s">
        <v>1625</v>
      </c>
    </row>
    <row r="3153">
      <c r="D3153" s="1" t="s">
        <v>5356</v>
      </c>
      <c r="E3153" s="1" t="s">
        <v>5358</v>
      </c>
      <c r="F3153" s="1" t="s">
        <v>4613</v>
      </c>
      <c r="I3153" s="1" t="s">
        <v>5201</v>
      </c>
    </row>
    <row r="3154">
      <c r="D3154" s="1" t="s">
        <v>4690</v>
      </c>
      <c r="E3154" s="1" t="s">
        <v>5389</v>
      </c>
      <c r="F3154" s="1" t="s">
        <v>3790</v>
      </c>
      <c r="I3154" s="1" t="s">
        <v>3908</v>
      </c>
    </row>
    <row r="3155">
      <c r="D3155" s="1" t="s">
        <v>4693</v>
      </c>
      <c r="E3155" s="1" t="s">
        <v>3673</v>
      </c>
      <c r="F3155" s="1" t="s">
        <v>2823</v>
      </c>
      <c r="I3155" s="1" t="s">
        <v>4195</v>
      </c>
    </row>
    <row r="3156">
      <c r="D3156" s="1" t="s">
        <v>2913</v>
      </c>
      <c r="E3156" s="1" t="s">
        <v>1549</v>
      </c>
      <c r="F3156" s="1" t="s">
        <v>722</v>
      </c>
      <c r="I3156" s="1" t="s">
        <v>5727</v>
      </c>
    </row>
    <row r="3157">
      <c r="D3157" s="1" t="s">
        <v>4695</v>
      </c>
      <c r="E3157" s="1" t="s">
        <v>3998</v>
      </c>
      <c r="F3157" s="1" t="s">
        <v>4942</v>
      </c>
      <c r="I3157" s="1" t="s">
        <v>6977</v>
      </c>
    </row>
    <row r="3158">
      <c r="D3158" s="1" t="s">
        <v>5939</v>
      </c>
      <c r="E3158" s="1" t="s">
        <v>4271</v>
      </c>
      <c r="F3158" s="1" t="s">
        <v>519</v>
      </c>
      <c r="I3158" s="1" t="s">
        <v>1809</v>
      </c>
    </row>
    <row r="3159">
      <c r="D3159" s="1" t="s">
        <v>5643</v>
      </c>
      <c r="E3159" s="1" t="s">
        <v>1415</v>
      </c>
      <c r="F3159" s="1" t="s">
        <v>4499</v>
      </c>
      <c r="I3159" s="1" t="s">
        <v>3042</v>
      </c>
    </row>
    <row r="3160">
      <c r="D3160" s="1" t="s">
        <v>3504</v>
      </c>
      <c r="E3160" s="1" t="s">
        <v>5840</v>
      </c>
      <c r="F3160" s="1" t="s">
        <v>2827</v>
      </c>
      <c r="I3160" s="1" t="s">
        <v>6978</v>
      </c>
    </row>
    <row r="3161">
      <c r="D3161" s="1" t="s">
        <v>2916</v>
      </c>
      <c r="E3161" s="1" t="s">
        <v>2013</v>
      </c>
      <c r="F3161" s="1" t="s">
        <v>6979</v>
      </c>
      <c r="I3161" s="1" t="s">
        <v>4826</v>
      </c>
    </row>
    <row r="3162">
      <c r="D3162" s="1" t="s">
        <v>2918</v>
      </c>
      <c r="E3162" s="1" t="s">
        <v>1687</v>
      </c>
      <c r="F3162" s="1" t="s">
        <v>4619</v>
      </c>
      <c r="I3162" s="1" t="s">
        <v>4969</v>
      </c>
    </row>
    <row r="3163">
      <c r="D3163" s="1" t="s">
        <v>2923</v>
      </c>
      <c r="E3163" s="1" t="s">
        <v>6980</v>
      </c>
      <c r="F3163" s="1" t="s">
        <v>6214</v>
      </c>
      <c r="I3163" s="1" t="s">
        <v>6981</v>
      </c>
    </row>
    <row r="3164">
      <c r="D3164" s="1" t="s">
        <v>1904</v>
      </c>
      <c r="E3164" s="1" t="s">
        <v>5140</v>
      </c>
      <c r="F3164" s="1" t="s">
        <v>5566</v>
      </c>
      <c r="I3164" s="1" t="s">
        <v>5735</v>
      </c>
    </row>
    <row r="3165">
      <c r="D3165" s="1" t="s">
        <v>5817</v>
      </c>
      <c r="E3165" s="1" t="s">
        <v>6842</v>
      </c>
      <c r="F3165" s="1" t="s">
        <v>5567</v>
      </c>
      <c r="I3165" s="1" t="s">
        <v>6982</v>
      </c>
    </row>
    <row r="3166">
      <c r="D3166" s="1" t="s">
        <v>5647</v>
      </c>
      <c r="E3166" s="1" t="s">
        <v>5369</v>
      </c>
      <c r="F3166" s="1" t="s">
        <v>4622</v>
      </c>
      <c r="I3166" s="1" t="s">
        <v>6983</v>
      </c>
    </row>
    <row r="3167">
      <c r="D3167" s="1" t="s">
        <v>1633</v>
      </c>
      <c r="E3167" s="1" t="s">
        <v>5748</v>
      </c>
      <c r="F3167" s="1" t="s">
        <v>4624</v>
      </c>
      <c r="I3167" s="1" t="s">
        <v>5738</v>
      </c>
    </row>
    <row r="3168">
      <c r="D3168" s="1" t="s">
        <v>5649</v>
      </c>
      <c r="E3168" s="1" t="s">
        <v>4264</v>
      </c>
      <c r="F3168" s="1" t="s">
        <v>2855</v>
      </c>
      <c r="I3168" s="1" t="s">
        <v>6984</v>
      </c>
    </row>
    <row r="3169">
      <c r="D3169" s="1" t="s">
        <v>6030</v>
      </c>
      <c r="E3169" s="1" t="s">
        <v>5923</v>
      </c>
      <c r="F3169" s="1" t="s">
        <v>6985</v>
      </c>
      <c r="I3169" s="1" t="s">
        <v>6986</v>
      </c>
    </row>
    <row r="3170">
      <c r="D3170" s="1" t="s">
        <v>5653</v>
      </c>
      <c r="E3170" s="1" t="s">
        <v>4719</v>
      </c>
      <c r="F3170" s="1" t="s">
        <v>4625</v>
      </c>
      <c r="I3170" s="1" t="s">
        <v>4538</v>
      </c>
    </row>
    <row r="3171">
      <c r="D3171" s="1" t="s">
        <v>5655</v>
      </c>
      <c r="E3171" s="1" t="s">
        <v>6845</v>
      </c>
      <c r="F3171" s="1" t="s">
        <v>5573</v>
      </c>
      <c r="I3171" s="1" t="s">
        <v>895</v>
      </c>
    </row>
    <row r="3172">
      <c r="D3172" s="1" t="s">
        <v>5777</v>
      </c>
      <c r="E3172" s="1" t="s">
        <v>4368</v>
      </c>
      <c r="F3172" s="1" t="s">
        <v>6055</v>
      </c>
      <c r="I3172" s="1" t="s">
        <v>6142</v>
      </c>
    </row>
    <row r="3173">
      <c r="D3173" s="1" t="s">
        <v>4700</v>
      </c>
      <c r="E3173" s="1" t="s">
        <v>6987</v>
      </c>
      <c r="F3173" s="1" t="s">
        <v>5775</v>
      </c>
      <c r="I3173" s="1" t="s">
        <v>6988</v>
      </c>
    </row>
    <row r="3174">
      <c r="D3174" s="1" t="s">
        <v>4703</v>
      </c>
      <c r="E3174" s="1" t="s">
        <v>5375</v>
      </c>
      <c r="F3174" s="1" t="s">
        <v>2830</v>
      </c>
      <c r="I3174" s="1" t="s">
        <v>6989</v>
      </c>
    </row>
    <row r="3175">
      <c r="D3175" s="1" t="s">
        <v>2929</v>
      </c>
      <c r="E3175" s="1" t="s">
        <v>6846</v>
      </c>
      <c r="F3175" s="1" t="s">
        <v>5575</v>
      </c>
      <c r="I3175" s="1" t="s">
        <v>2779</v>
      </c>
    </row>
    <row r="3176">
      <c r="D3176" s="1" t="s">
        <v>3865</v>
      </c>
      <c r="E3176" s="1" t="s">
        <v>6847</v>
      </c>
      <c r="F3176" s="1" t="s">
        <v>4627</v>
      </c>
      <c r="I3176" s="1" t="s">
        <v>5117</v>
      </c>
    </row>
    <row r="3177">
      <c r="D3177" s="1" t="s">
        <v>4706</v>
      </c>
      <c r="E3177" s="1" t="s">
        <v>6990</v>
      </c>
      <c r="F3177" s="1" t="s">
        <v>2832</v>
      </c>
      <c r="I3177" s="1" t="s">
        <v>3773</v>
      </c>
    </row>
    <row r="3178">
      <c r="D3178" s="1" t="s">
        <v>5659</v>
      </c>
      <c r="E3178" s="1" t="s">
        <v>5851</v>
      </c>
      <c r="F3178" s="1" t="s">
        <v>6909</v>
      </c>
      <c r="I3178" s="1" t="s">
        <v>3746</v>
      </c>
    </row>
    <row r="3179">
      <c r="D3179" s="1" t="s">
        <v>1681</v>
      </c>
      <c r="E3179" s="1" t="s">
        <v>5966</v>
      </c>
      <c r="F3179" s="1" t="s">
        <v>5582</v>
      </c>
      <c r="I3179" s="1" t="s">
        <v>4849</v>
      </c>
    </row>
    <row r="3180">
      <c r="D3180" s="1" t="s">
        <v>2933</v>
      </c>
      <c r="E3180" s="1" t="s">
        <v>3684</v>
      </c>
      <c r="F3180" s="1" t="s">
        <v>4632</v>
      </c>
      <c r="I3180" s="1" t="s">
        <v>5797</v>
      </c>
    </row>
    <row r="3181">
      <c r="D3181" s="1" t="s">
        <v>4711</v>
      </c>
      <c r="E3181" s="1" t="s">
        <v>6848</v>
      </c>
      <c r="F3181" s="1" t="s">
        <v>4634</v>
      </c>
      <c r="I3181" s="1" t="s">
        <v>6991</v>
      </c>
    </row>
    <row r="3182">
      <c r="D3182" s="1" t="s">
        <v>5663</v>
      </c>
      <c r="E3182" s="1" t="s">
        <v>6849</v>
      </c>
      <c r="F3182" s="1" t="s">
        <v>2834</v>
      </c>
      <c r="I3182" s="1" t="s">
        <v>3596</v>
      </c>
    </row>
    <row r="3183">
      <c r="D3183" s="1" t="s">
        <v>2937</v>
      </c>
      <c r="E3183" s="1" t="s">
        <v>5382</v>
      </c>
      <c r="F3183" s="1">
        <v>163.0</v>
      </c>
      <c r="I3183" s="1" t="s">
        <v>3930</v>
      </c>
    </row>
    <row r="3184">
      <c r="D3184" s="1">
        <v>1960.0</v>
      </c>
      <c r="E3184" s="1" t="s">
        <v>1726</v>
      </c>
      <c r="F3184" s="1" t="s">
        <v>5587</v>
      </c>
      <c r="I3184" s="1">
        <v>1975.0</v>
      </c>
    </row>
    <row r="3185">
      <c r="D3185" s="1" t="s">
        <v>4716</v>
      </c>
      <c r="E3185" s="1" t="s">
        <v>5852</v>
      </c>
      <c r="F3185" s="1" t="s">
        <v>5261</v>
      </c>
      <c r="I3185" s="1" t="s">
        <v>5750</v>
      </c>
    </row>
    <row r="3186">
      <c r="D3186" s="1" t="s">
        <v>2938</v>
      </c>
      <c r="E3186" s="1" t="s">
        <v>3686</v>
      </c>
      <c r="F3186" s="1" t="s">
        <v>5019</v>
      </c>
      <c r="I3186" s="1" t="s">
        <v>3836</v>
      </c>
    </row>
    <row r="3187">
      <c r="D3187" s="1" t="s">
        <v>2944</v>
      </c>
      <c r="E3187" s="1" t="s">
        <v>5383</v>
      </c>
      <c r="F3187" s="1" t="s">
        <v>1644</v>
      </c>
      <c r="I3187" s="1" t="s">
        <v>6992</v>
      </c>
    </row>
    <row r="3188">
      <c r="D3188" s="1" t="s">
        <v>2948</v>
      </c>
      <c r="E3188" s="1" t="s">
        <v>5488</v>
      </c>
      <c r="F3188" s="1" t="s">
        <v>4639</v>
      </c>
      <c r="I3188" s="1" t="s">
        <v>6993</v>
      </c>
    </row>
    <row r="3189">
      <c r="D3189" s="1" t="s">
        <v>5666</v>
      </c>
      <c r="E3189" s="1" t="s">
        <v>3251</v>
      </c>
      <c r="F3189" s="1" t="s">
        <v>1702</v>
      </c>
      <c r="I3189" s="1" t="s">
        <v>4863</v>
      </c>
    </row>
    <row r="3190">
      <c r="D3190" s="1" t="s">
        <v>6032</v>
      </c>
      <c r="E3190" s="1" t="s">
        <v>6850</v>
      </c>
      <c r="F3190" s="1" t="s">
        <v>5999</v>
      </c>
      <c r="I3190" s="1" t="s">
        <v>6994</v>
      </c>
    </row>
    <row r="3191">
      <c r="D3191" s="1" t="s">
        <v>1639</v>
      </c>
      <c r="E3191" s="1" t="s">
        <v>6851</v>
      </c>
      <c r="F3191" s="1" t="s">
        <v>2841</v>
      </c>
      <c r="I3191" s="1" t="s">
        <v>6071</v>
      </c>
    </row>
    <row r="3192">
      <c r="D3192" s="1" t="s">
        <v>1645</v>
      </c>
      <c r="E3192" s="1" t="s">
        <v>3690</v>
      </c>
      <c r="F3192" s="1" t="s">
        <v>5591</v>
      </c>
      <c r="I3192" s="1" t="s">
        <v>6075</v>
      </c>
    </row>
    <row r="3193">
      <c r="D3193" s="1" t="s">
        <v>4726</v>
      </c>
      <c r="E3193" s="1" t="s">
        <v>5345</v>
      </c>
      <c r="F3193" s="1" t="s">
        <v>4643</v>
      </c>
      <c r="I3193" s="1" t="s">
        <v>6995</v>
      </c>
    </row>
    <row r="3194">
      <c r="D3194" s="1" t="s">
        <v>5669</v>
      </c>
      <c r="E3194" s="1" t="s">
        <v>2116</v>
      </c>
      <c r="F3194" s="1" t="s">
        <v>3806</v>
      </c>
      <c r="I3194" s="1" t="s">
        <v>5763</v>
      </c>
    </row>
    <row r="3195">
      <c r="D3195" s="1" t="s">
        <v>6033</v>
      </c>
      <c r="E3195" s="1" t="s">
        <v>5390</v>
      </c>
      <c r="F3195" s="1" t="s">
        <v>4645</v>
      </c>
      <c r="I3195" s="1" t="s">
        <v>3934</v>
      </c>
    </row>
    <row r="3196">
      <c r="D3196" s="1" t="s">
        <v>4728</v>
      </c>
      <c r="E3196" s="1" t="s">
        <v>3063</v>
      </c>
      <c r="F3196" s="1" t="s">
        <v>6063</v>
      </c>
      <c r="I3196" s="1" t="s">
        <v>4880</v>
      </c>
    </row>
    <row r="3197">
      <c r="D3197" s="1" t="s">
        <v>757</v>
      </c>
      <c r="E3197" s="1" t="s">
        <v>6852</v>
      </c>
      <c r="F3197" s="1" t="s">
        <v>2845</v>
      </c>
      <c r="I3197" s="1" t="s">
        <v>4790</v>
      </c>
    </row>
    <row r="3198">
      <c r="D3198" s="1" t="s">
        <v>5654</v>
      </c>
      <c r="E3198" s="1" t="s">
        <v>6996</v>
      </c>
      <c r="F3198" s="1" t="s">
        <v>2848</v>
      </c>
      <c r="I3198" s="1" t="s">
        <v>3937</v>
      </c>
    </row>
    <row r="3199">
      <c r="D3199" s="1" t="s">
        <v>2961</v>
      </c>
      <c r="E3199" s="1" t="s">
        <v>5394</v>
      </c>
      <c r="F3199" s="1" t="s">
        <v>329</v>
      </c>
      <c r="I3199" s="1" t="s">
        <v>3940</v>
      </c>
    </row>
    <row r="3200">
      <c r="D3200" s="1" t="s">
        <v>6034</v>
      </c>
      <c r="E3200" s="1" t="s">
        <v>2552</v>
      </c>
      <c r="F3200" s="1" t="s">
        <v>4143</v>
      </c>
      <c r="I3200" s="1" t="s">
        <v>6997</v>
      </c>
    </row>
    <row r="3201">
      <c r="D3201" s="1" t="s">
        <v>2965</v>
      </c>
      <c r="E3201" s="1" t="s">
        <v>5336</v>
      </c>
      <c r="F3201" s="1" t="s">
        <v>2850</v>
      </c>
      <c r="I3201" s="1" t="s">
        <v>6998</v>
      </c>
    </row>
    <row r="3202">
      <c r="D3202" s="1" t="s">
        <v>4730</v>
      </c>
      <c r="E3202" s="1" t="s">
        <v>2562</v>
      </c>
      <c r="F3202" s="1" t="s">
        <v>1125</v>
      </c>
      <c r="I3202" s="1" t="s">
        <v>6999</v>
      </c>
    </row>
    <row r="3203">
      <c r="D3203" s="1" t="s">
        <v>4732</v>
      </c>
      <c r="E3203" s="1" t="s">
        <v>6853</v>
      </c>
      <c r="F3203" s="1" t="s">
        <v>5598</v>
      </c>
      <c r="I3203" s="1" t="s">
        <v>7000</v>
      </c>
    </row>
    <row r="3204">
      <c r="D3204" s="1" t="s">
        <v>441</v>
      </c>
      <c r="E3204" s="1" t="s">
        <v>6854</v>
      </c>
      <c r="F3204" s="1" t="s">
        <v>1849</v>
      </c>
      <c r="I3204" s="1" t="s">
        <v>7001</v>
      </c>
    </row>
    <row r="3205">
      <c r="D3205" s="1" t="s">
        <v>5673</v>
      </c>
      <c r="E3205" s="1" t="s">
        <v>7002</v>
      </c>
      <c r="F3205" s="1" t="s">
        <v>6162</v>
      </c>
      <c r="I3205" s="1" t="s">
        <v>7003</v>
      </c>
    </row>
    <row r="3206">
      <c r="D3206" s="1" t="s">
        <v>5675</v>
      </c>
      <c r="E3206" s="1" t="s">
        <v>3705</v>
      </c>
      <c r="F3206" s="1" t="s">
        <v>2857</v>
      </c>
      <c r="I3206" s="1" t="s">
        <v>6015</v>
      </c>
    </row>
    <row r="3207">
      <c r="D3207" s="1" t="s">
        <v>4736</v>
      </c>
      <c r="E3207" s="1" t="s">
        <v>6855</v>
      </c>
      <c r="F3207" s="1" t="s">
        <v>2859</v>
      </c>
      <c r="I3207" s="1" t="s">
        <v>6152</v>
      </c>
    </row>
    <row r="3208">
      <c r="D3208" s="1" t="s">
        <v>1651</v>
      </c>
      <c r="E3208" s="1" t="s">
        <v>5403</v>
      </c>
      <c r="F3208" s="1" t="s">
        <v>4657</v>
      </c>
      <c r="I3208" s="1" t="s">
        <v>3578</v>
      </c>
    </row>
    <row r="3209">
      <c r="D3209" s="1" t="s">
        <v>4739</v>
      </c>
      <c r="E3209" s="1" t="s">
        <v>3797</v>
      </c>
      <c r="F3209" s="1" t="s">
        <v>2863</v>
      </c>
      <c r="I3209" s="1" t="s">
        <v>5778</v>
      </c>
    </row>
    <row r="3210">
      <c r="D3210" s="1" t="s">
        <v>4740</v>
      </c>
      <c r="E3210" s="1" t="s">
        <v>6856</v>
      </c>
      <c r="F3210" s="1" t="s">
        <v>743</v>
      </c>
      <c r="I3210" s="1" t="s">
        <v>5973</v>
      </c>
    </row>
    <row r="3211">
      <c r="D3211" s="1" t="s">
        <v>6035</v>
      </c>
      <c r="E3211" s="1" t="s">
        <v>1319</v>
      </c>
      <c r="F3211" s="1" t="s">
        <v>2867</v>
      </c>
      <c r="I3211" s="1" t="s">
        <v>399</v>
      </c>
    </row>
    <row r="3212">
      <c r="D3212" s="1" t="s">
        <v>4743</v>
      </c>
      <c r="E3212" s="1" t="s">
        <v>1491</v>
      </c>
      <c r="F3212" s="1" t="s">
        <v>5611</v>
      </c>
      <c r="I3212" s="1" t="s">
        <v>3961</v>
      </c>
    </row>
    <row r="3213">
      <c r="D3213" s="1" t="s">
        <v>4745</v>
      </c>
      <c r="E3213" s="1" t="s">
        <v>3708</v>
      </c>
      <c r="F3213" s="1" t="s">
        <v>1947</v>
      </c>
      <c r="I3213" s="1" t="s">
        <v>5572</v>
      </c>
    </row>
    <row r="3214">
      <c r="D3214" s="1" t="s">
        <v>4261</v>
      </c>
      <c r="E3214" s="1" t="s">
        <v>1821</v>
      </c>
      <c r="F3214" s="1" t="s">
        <v>1689</v>
      </c>
      <c r="I3214" s="1" t="s">
        <v>2535</v>
      </c>
    </row>
    <row r="3215">
      <c r="D3215" s="1" t="s">
        <v>2975</v>
      </c>
      <c r="E3215" s="1" t="s">
        <v>5322</v>
      </c>
      <c r="F3215" s="1" t="s">
        <v>5614</v>
      </c>
      <c r="I3215" s="1" t="s">
        <v>6154</v>
      </c>
    </row>
    <row r="3216">
      <c r="D3216" s="1" t="s">
        <v>4746</v>
      </c>
      <c r="E3216" s="1" t="s">
        <v>5281</v>
      </c>
      <c r="F3216" s="1" t="s">
        <v>6070</v>
      </c>
      <c r="I3216" s="1" t="s">
        <v>5782</v>
      </c>
    </row>
    <row r="3217">
      <c r="D3217" s="1" t="s">
        <v>2978</v>
      </c>
      <c r="E3217" s="1" t="s">
        <v>5409</v>
      </c>
      <c r="F3217" s="1" t="s">
        <v>6011</v>
      </c>
      <c r="I3217" s="1" t="s">
        <v>6197</v>
      </c>
    </row>
    <row r="3218">
      <c r="D3218" s="1" t="s">
        <v>1785</v>
      </c>
      <c r="E3218" s="1" t="s">
        <v>2582</v>
      </c>
      <c r="F3218" s="1" t="s">
        <v>5560</v>
      </c>
      <c r="I3218" s="1" t="s">
        <v>4909</v>
      </c>
    </row>
    <row r="3219">
      <c r="D3219" s="1" t="s">
        <v>4747</v>
      </c>
      <c r="E3219" s="1" t="s">
        <v>4192</v>
      </c>
      <c r="F3219" s="1" t="s">
        <v>6013</v>
      </c>
      <c r="I3219" s="1" t="s">
        <v>4461</v>
      </c>
    </row>
    <row r="3220">
      <c r="D3220" s="1">
        <v>451.0</v>
      </c>
      <c r="E3220" s="1" t="s">
        <v>2588</v>
      </c>
      <c r="F3220" s="1" t="s">
        <v>1604</v>
      </c>
      <c r="I3220" s="1" t="s">
        <v>6156</v>
      </c>
    </row>
    <row r="3221">
      <c r="D3221" s="1" t="s">
        <v>6041</v>
      </c>
      <c r="E3221" s="1" t="s">
        <v>6857</v>
      </c>
      <c r="F3221" s="1" t="s">
        <v>2870</v>
      </c>
      <c r="I3221" s="1" t="s">
        <v>5115</v>
      </c>
    </row>
    <row r="3222">
      <c r="D3222" s="1" t="s">
        <v>1946</v>
      </c>
      <c r="E3222" s="1" t="s">
        <v>6859</v>
      </c>
      <c r="F3222" s="1" t="s">
        <v>3204</v>
      </c>
      <c r="I3222" s="1" t="s">
        <v>4319</v>
      </c>
    </row>
    <row r="3223">
      <c r="D3223" s="1" t="s">
        <v>6043</v>
      </c>
      <c r="E3223" s="1" t="s">
        <v>6860</v>
      </c>
      <c r="F3223" s="1" t="s">
        <v>6016</v>
      </c>
      <c r="I3223" s="1" t="s">
        <v>7004</v>
      </c>
    </row>
    <row r="3224">
      <c r="D3224" s="1">
        <v>1957.0</v>
      </c>
      <c r="E3224" s="1" t="s">
        <v>5890</v>
      </c>
      <c r="F3224" s="1" t="s">
        <v>6926</v>
      </c>
      <c r="I3224" s="1" t="s">
        <v>4913</v>
      </c>
    </row>
    <row r="3225">
      <c r="D3225" s="1" t="s">
        <v>1526</v>
      </c>
      <c r="E3225" s="1" t="s">
        <v>4431</v>
      </c>
      <c r="F3225" s="1" t="s">
        <v>1610</v>
      </c>
      <c r="I3225" s="1" t="s">
        <v>7005</v>
      </c>
    </row>
    <row r="3226">
      <c r="D3226" s="1" t="s">
        <v>644</v>
      </c>
      <c r="E3226" s="1" t="s">
        <v>5895</v>
      </c>
      <c r="F3226" s="1" t="s">
        <v>2877</v>
      </c>
      <c r="I3226" s="1" t="s">
        <v>7006</v>
      </c>
    </row>
    <row r="3227">
      <c r="D3227" s="1" t="s">
        <v>3878</v>
      </c>
      <c r="E3227" s="1" t="s">
        <v>725</v>
      </c>
      <c r="F3227" s="1" t="s">
        <v>1615</v>
      </c>
      <c r="I3227" s="1" t="s">
        <v>5812</v>
      </c>
    </row>
    <row r="3228">
      <c r="D3228" s="1" t="s">
        <v>2984</v>
      </c>
      <c r="E3228" s="1" t="s">
        <v>5413</v>
      </c>
      <c r="F3228" s="1" t="s">
        <v>5628</v>
      </c>
      <c r="I3228" s="1" t="s">
        <v>4921</v>
      </c>
    </row>
    <row r="3229">
      <c r="D3229" s="1" t="s">
        <v>2987</v>
      </c>
      <c r="E3229" s="1" t="s">
        <v>6861</v>
      </c>
      <c r="F3229" s="1" t="s">
        <v>6020</v>
      </c>
      <c r="I3229" s="1" t="s">
        <v>4922</v>
      </c>
    </row>
    <row r="3230">
      <c r="D3230" s="1" t="s">
        <v>4910</v>
      </c>
      <c r="E3230" s="1" t="s">
        <v>4961</v>
      </c>
      <c r="F3230" s="1" t="s">
        <v>6021</v>
      </c>
      <c r="I3230" s="1" t="s">
        <v>1954</v>
      </c>
    </row>
    <row r="3231">
      <c r="D3231" s="1" t="s">
        <v>4754</v>
      </c>
      <c r="E3231" s="1" t="s">
        <v>5416</v>
      </c>
      <c r="F3231" s="1" t="s">
        <v>4916</v>
      </c>
      <c r="I3231" s="1" t="s">
        <v>7007</v>
      </c>
    </row>
    <row r="3232">
      <c r="D3232" s="1">
        <v>87.0</v>
      </c>
      <c r="E3232" s="1" t="s">
        <v>6862</v>
      </c>
      <c r="F3232" s="1" t="s">
        <v>7008</v>
      </c>
      <c r="I3232" s="1" t="s">
        <v>7009</v>
      </c>
    </row>
    <row r="3233">
      <c r="D3233" s="1" t="s">
        <v>2989</v>
      </c>
      <c r="E3233" s="1" t="s">
        <v>6863</v>
      </c>
      <c r="F3233" s="1" t="s">
        <v>2884</v>
      </c>
      <c r="I3233" s="1" t="s">
        <v>5795</v>
      </c>
    </row>
    <row r="3234">
      <c r="D3234" s="1" t="s">
        <v>2993</v>
      </c>
      <c r="E3234" s="1" t="s">
        <v>6864</v>
      </c>
      <c r="F3234" s="1" t="s">
        <v>6078</v>
      </c>
      <c r="I3234" s="1" t="s">
        <v>5801</v>
      </c>
    </row>
    <row r="3235">
      <c r="D3235" s="1" t="s">
        <v>4756</v>
      </c>
      <c r="E3235" s="1" t="s">
        <v>6866</v>
      </c>
      <c r="F3235" s="1" t="s">
        <v>7010</v>
      </c>
      <c r="I3235" s="1" t="s">
        <v>5802</v>
      </c>
    </row>
    <row r="3236">
      <c r="D3236" s="1" t="s">
        <v>6047</v>
      </c>
      <c r="E3236" s="1" t="s">
        <v>4443</v>
      </c>
      <c r="F3236" s="1" t="s">
        <v>2886</v>
      </c>
      <c r="I3236" s="1" t="s">
        <v>7011</v>
      </c>
    </row>
    <row r="3237">
      <c r="D3237" s="1" t="s">
        <v>4294</v>
      </c>
      <c r="E3237" s="1" t="s">
        <v>6166</v>
      </c>
      <c r="F3237" s="1" t="s">
        <v>4679</v>
      </c>
      <c r="I3237" s="1" t="s">
        <v>5397</v>
      </c>
    </row>
    <row r="3238">
      <c r="D3238" s="1" t="s">
        <v>2997</v>
      </c>
      <c r="E3238" s="1" t="s">
        <v>2293</v>
      </c>
      <c r="F3238" s="1" t="s">
        <v>4577</v>
      </c>
      <c r="I3238" s="1">
        <v>75.0</v>
      </c>
    </row>
    <row r="3239">
      <c r="D3239" s="1" t="s">
        <v>5479</v>
      </c>
      <c r="E3239" s="1" t="s">
        <v>5425</v>
      </c>
      <c r="F3239" s="1" t="s">
        <v>2892</v>
      </c>
      <c r="I3239" s="1" t="s">
        <v>6095</v>
      </c>
    </row>
    <row r="3240">
      <c r="D3240" s="1" t="s">
        <v>4759</v>
      </c>
      <c r="E3240" s="1" t="s">
        <v>5903</v>
      </c>
      <c r="F3240" s="1" t="s">
        <v>2895</v>
      </c>
      <c r="I3240" s="1" t="s">
        <v>2932</v>
      </c>
    </row>
    <row r="3241">
      <c r="D3241" s="1" t="s">
        <v>3002</v>
      </c>
      <c r="E3241" s="1" t="s">
        <v>2619</v>
      </c>
      <c r="F3241" s="1">
        <v>18.0</v>
      </c>
      <c r="I3241" s="1" t="s">
        <v>4951</v>
      </c>
    </row>
    <row r="3242">
      <c r="D3242" s="1" t="s">
        <v>6050</v>
      </c>
      <c r="E3242" s="1" t="s">
        <v>6869</v>
      </c>
      <c r="F3242" s="1" t="s">
        <v>4249</v>
      </c>
      <c r="I3242" s="1" t="s">
        <v>6168</v>
      </c>
    </row>
    <row r="3243">
      <c r="D3243" s="1" t="s">
        <v>3732</v>
      </c>
      <c r="E3243" s="1" t="s">
        <v>4452</v>
      </c>
      <c r="F3243" s="1" t="s">
        <v>7012</v>
      </c>
      <c r="I3243" s="1">
        <v>88.0</v>
      </c>
    </row>
    <row r="3244">
      <c r="D3244" s="1" t="s">
        <v>1729</v>
      </c>
      <c r="E3244" s="1" t="s">
        <v>5883</v>
      </c>
      <c r="F3244" s="1" t="s">
        <v>2897</v>
      </c>
      <c r="I3244" s="1" t="s">
        <v>6096</v>
      </c>
    </row>
    <row r="3245">
      <c r="D3245" s="1" t="s">
        <v>4762</v>
      </c>
      <c r="E3245" s="1" t="s">
        <v>1713</v>
      </c>
      <c r="F3245" s="1" t="s">
        <v>1620</v>
      </c>
      <c r="I3245" s="1" t="s">
        <v>3194</v>
      </c>
    </row>
    <row r="3246">
      <c r="D3246" s="1" t="s">
        <v>4766</v>
      </c>
      <c r="E3246" s="1" t="s">
        <v>5986</v>
      </c>
      <c r="F3246" s="1" t="s">
        <v>5641</v>
      </c>
      <c r="I3246" s="1" t="s">
        <v>7013</v>
      </c>
    </row>
    <row r="3247">
      <c r="D3247" s="1" t="s">
        <v>3895</v>
      </c>
      <c r="E3247" s="1" t="s">
        <v>5911</v>
      </c>
      <c r="F3247" s="1" t="s">
        <v>2903</v>
      </c>
      <c r="I3247" s="1" t="s">
        <v>5343</v>
      </c>
    </row>
    <row r="3248">
      <c r="D3248" s="1" t="s">
        <v>4768</v>
      </c>
      <c r="E3248" s="1" t="s">
        <v>6871</v>
      </c>
      <c r="F3248" s="1" t="s">
        <v>1626</v>
      </c>
      <c r="I3248" s="1" t="s">
        <v>4126</v>
      </c>
    </row>
    <row r="3249">
      <c r="D3249" s="1" t="s">
        <v>5695</v>
      </c>
      <c r="E3249" s="1" t="s">
        <v>5933</v>
      </c>
      <c r="F3249" s="1" t="s">
        <v>2910</v>
      </c>
      <c r="I3249" s="1" t="s">
        <v>7014</v>
      </c>
    </row>
    <row r="3250">
      <c r="D3250" s="1" t="s">
        <v>6053</v>
      </c>
      <c r="E3250" s="1" t="s">
        <v>5433</v>
      </c>
      <c r="F3250" s="1" t="s">
        <v>5160</v>
      </c>
      <c r="I3250" s="1" t="s">
        <v>7015</v>
      </c>
    </row>
    <row r="3251">
      <c r="D3251" s="1" t="s">
        <v>4769</v>
      </c>
      <c r="E3251" s="1" t="s">
        <v>4462</v>
      </c>
      <c r="F3251" s="1" t="s">
        <v>6028</v>
      </c>
      <c r="I3251" s="1" t="s">
        <v>5813</v>
      </c>
    </row>
    <row r="3252">
      <c r="D3252" s="1" t="s">
        <v>3004</v>
      </c>
      <c r="E3252" s="1" t="s">
        <v>6898</v>
      </c>
      <c r="F3252" s="1" t="s">
        <v>4300</v>
      </c>
      <c r="I3252" s="1" t="s">
        <v>7016</v>
      </c>
    </row>
    <row r="3253">
      <c r="D3253" s="1">
        <v>1933.0</v>
      </c>
      <c r="E3253" s="1" t="s">
        <v>852</v>
      </c>
      <c r="F3253" s="1" t="s">
        <v>5423</v>
      </c>
      <c r="I3253" s="1" t="s">
        <v>7017</v>
      </c>
    </row>
    <row r="3254">
      <c r="D3254" s="1" t="s">
        <v>4771</v>
      </c>
      <c r="E3254" s="1" t="s">
        <v>6872</v>
      </c>
      <c r="F3254" s="1" t="s">
        <v>4688</v>
      </c>
      <c r="I3254" s="1" t="s">
        <v>7018</v>
      </c>
    </row>
    <row r="3255">
      <c r="D3255" s="1" t="s">
        <v>3007</v>
      </c>
      <c r="E3255" s="1" t="s">
        <v>6873</v>
      </c>
      <c r="F3255" s="1" t="s">
        <v>4690</v>
      </c>
      <c r="I3255" s="1" t="s">
        <v>7019</v>
      </c>
    </row>
    <row r="3256">
      <c r="D3256" s="1" t="s">
        <v>4774</v>
      </c>
      <c r="E3256" s="1" t="s">
        <v>6874</v>
      </c>
      <c r="F3256" s="1" t="s">
        <v>7020</v>
      </c>
      <c r="I3256" s="1" t="s">
        <v>5819</v>
      </c>
    </row>
    <row r="3257">
      <c r="D3257" s="1" t="s">
        <v>4673</v>
      </c>
      <c r="E3257" s="1" t="s">
        <v>4303</v>
      </c>
      <c r="F3257" s="1" t="s">
        <v>4693</v>
      </c>
      <c r="I3257" s="1" t="s">
        <v>7021</v>
      </c>
    </row>
    <row r="3258">
      <c r="D3258" s="1" t="s">
        <v>4778</v>
      </c>
      <c r="E3258" s="1" t="s">
        <v>6875</v>
      </c>
      <c r="F3258" s="1" t="s">
        <v>2913</v>
      </c>
      <c r="I3258" s="1" t="s">
        <v>4245</v>
      </c>
    </row>
    <row r="3259">
      <c r="D3259" s="1" t="s">
        <v>4781</v>
      </c>
      <c r="E3259" s="1" t="s">
        <v>4084</v>
      </c>
      <c r="F3259" s="1" t="s">
        <v>4695</v>
      </c>
      <c r="I3259" s="1" t="s">
        <v>7022</v>
      </c>
    </row>
    <row r="3260">
      <c r="D3260" s="1" t="s">
        <v>4783</v>
      </c>
      <c r="E3260" s="1" t="s">
        <v>6876</v>
      </c>
      <c r="F3260" s="1" t="s">
        <v>5939</v>
      </c>
      <c r="I3260" s="1" t="s">
        <v>5824</v>
      </c>
    </row>
    <row r="3261">
      <c r="D3261" s="1" t="s">
        <v>3008</v>
      </c>
      <c r="E3261" s="1" t="s">
        <v>5439</v>
      </c>
      <c r="F3261" s="1" t="s">
        <v>6945</v>
      </c>
      <c r="I3261" s="1" t="s">
        <v>7023</v>
      </c>
    </row>
    <row r="3262">
      <c r="D3262" s="1" t="s">
        <v>3898</v>
      </c>
      <c r="E3262" s="1" t="s">
        <v>5441</v>
      </c>
      <c r="F3262" s="1" t="s">
        <v>5643</v>
      </c>
      <c r="I3262" s="1" t="s">
        <v>4994</v>
      </c>
    </row>
    <row r="3263">
      <c r="D3263" s="1" t="s">
        <v>3012</v>
      </c>
      <c r="E3263" s="1" t="s">
        <v>4894</v>
      </c>
      <c r="F3263" s="1" t="s">
        <v>2916</v>
      </c>
      <c r="I3263" s="1" t="s">
        <v>6110</v>
      </c>
    </row>
    <row r="3264">
      <c r="D3264" s="1" t="s">
        <v>3018</v>
      </c>
      <c r="E3264" s="1" t="s">
        <v>5997</v>
      </c>
      <c r="F3264" s="1" t="s">
        <v>2918</v>
      </c>
      <c r="I3264" s="1" t="s">
        <v>3242</v>
      </c>
    </row>
    <row r="3265">
      <c r="D3265" s="1" t="s">
        <v>1932</v>
      </c>
      <c r="E3265" s="1" t="s">
        <v>1012</v>
      </c>
      <c r="F3265" s="1" t="s">
        <v>2923</v>
      </c>
      <c r="I3265" s="1" t="s">
        <v>3983</v>
      </c>
    </row>
    <row r="3266">
      <c r="D3266" s="1" t="s">
        <v>4792</v>
      </c>
      <c r="E3266" s="1" t="s">
        <v>4890</v>
      </c>
      <c r="F3266" s="1" t="s">
        <v>1633</v>
      </c>
      <c r="I3266" s="1" t="s">
        <v>5743</v>
      </c>
    </row>
    <row r="3267">
      <c r="D3267" s="1" t="s">
        <v>3021</v>
      </c>
      <c r="E3267" s="1" t="s">
        <v>6877</v>
      </c>
      <c r="F3267" s="1" t="s">
        <v>5649</v>
      </c>
      <c r="I3267" s="1" t="s">
        <v>5010</v>
      </c>
    </row>
    <row r="3268">
      <c r="D3268" s="1" t="s">
        <v>3023</v>
      </c>
      <c r="E3268" s="1">
        <v>1958.0</v>
      </c>
      <c r="F3268" s="1" t="s">
        <v>5651</v>
      </c>
      <c r="I3268" s="1" t="s">
        <v>3986</v>
      </c>
    </row>
    <row r="3269">
      <c r="D3269" s="1" t="s">
        <v>5838</v>
      </c>
      <c r="E3269" s="1" t="s">
        <v>4471</v>
      </c>
      <c r="F3269" s="1" t="s">
        <v>6030</v>
      </c>
      <c r="I3269" s="1" t="s">
        <v>3988</v>
      </c>
    </row>
    <row r="3270">
      <c r="D3270" s="1" t="s">
        <v>4796</v>
      </c>
      <c r="E3270" s="1" t="s">
        <v>6001</v>
      </c>
      <c r="F3270" s="1" t="s">
        <v>5653</v>
      </c>
      <c r="I3270" s="1" t="s">
        <v>5832</v>
      </c>
    </row>
    <row r="3271">
      <c r="D3271" s="1" t="s">
        <v>4797</v>
      </c>
      <c r="E3271" s="1" t="s">
        <v>6120</v>
      </c>
      <c r="F3271" s="1" t="s">
        <v>5655</v>
      </c>
      <c r="I3271" s="1" t="s">
        <v>7024</v>
      </c>
    </row>
    <row r="3272">
      <c r="D3272" s="1" t="s">
        <v>4799</v>
      </c>
      <c r="E3272" s="1" t="s">
        <v>6002</v>
      </c>
      <c r="F3272" s="1" t="s">
        <v>4703</v>
      </c>
      <c r="I3272" s="1" t="s">
        <v>1895</v>
      </c>
    </row>
    <row r="3273">
      <c r="D3273" s="1" t="s">
        <v>5710</v>
      </c>
      <c r="E3273" s="1" t="s">
        <v>5004</v>
      </c>
      <c r="F3273" s="1" t="s">
        <v>2929</v>
      </c>
      <c r="I3273" s="1" t="s">
        <v>7025</v>
      </c>
    </row>
    <row r="3274">
      <c r="D3274" s="1" t="s">
        <v>3025</v>
      </c>
      <c r="E3274" s="1" t="s">
        <v>2653</v>
      </c>
      <c r="F3274" s="1" t="s">
        <v>3865</v>
      </c>
      <c r="I3274" s="1" t="s">
        <v>5126</v>
      </c>
    </row>
    <row r="3275">
      <c r="D3275" s="1" t="s">
        <v>3681</v>
      </c>
      <c r="E3275" s="1" t="s">
        <v>6003</v>
      </c>
      <c r="F3275" s="1" t="s">
        <v>7026</v>
      </c>
      <c r="I3275" s="1" t="s">
        <v>4633</v>
      </c>
    </row>
    <row r="3276">
      <c r="D3276" s="1" t="s">
        <v>4805</v>
      </c>
      <c r="E3276" s="1" t="s">
        <v>2659</v>
      </c>
      <c r="F3276" s="1" t="s">
        <v>4706</v>
      </c>
      <c r="I3276" s="1" t="s">
        <v>4825</v>
      </c>
    </row>
    <row r="3277">
      <c r="D3277" s="1" t="s">
        <v>5285</v>
      </c>
      <c r="E3277" s="1" t="s">
        <v>5925</v>
      </c>
      <c r="F3277" s="1" t="s">
        <v>1681</v>
      </c>
      <c r="I3277" s="1" t="s">
        <v>7027</v>
      </c>
    </row>
    <row r="3278">
      <c r="D3278" s="1" t="s">
        <v>3028</v>
      </c>
      <c r="E3278" s="1" t="s">
        <v>2221</v>
      </c>
      <c r="F3278" s="1" t="s">
        <v>6091</v>
      </c>
      <c r="I3278" s="1" t="s">
        <v>7028</v>
      </c>
    </row>
    <row r="3279">
      <c r="D3279" s="1" t="s">
        <v>1660</v>
      </c>
      <c r="E3279" s="1" t="s">
        <v>2869</v>
      </c>
      <c r="F3279" s="1" t="s">
        <v>2933</v>
      </c>
      <c r="I3279" s="1" t="s">
        <v>7029</v>
      </c>
    </row>
    <row r="3280">
      <c r="D3280" s="1" t="s">
        <v>4809</v>
      </c>
      <c r="E3280" s="1" t="s">
        <v>2713</v>
      </c>
      <c r="F3280" s="1" t="s">
        <v>5663</v>
      </c>
      <c r="I3280" s="1" t="s">
        <v>7030</v>
      </c>
    </row>
    <row r="3281">
      <c r="D3281" s="1" t="s">
        <v>1858</v>
      </c>
      <c r="E3281" s="1" t="s">
        <v>6007</v>
      </c>
      <c r="F3281" s="1" t="s">
        <v>4711</v>
      </c>
      <c r="I3281" s="1" t="s">
        <v>4489</v>
      </c>
    </row>
    <row r="3282">
      <c r="D3282" s="1" t="s">
        <v>4811</v>
      </c>
      <c r="E3282" s="1" t="s">
        <v>6878</v>
      </c>
      <c r="F3282" s="1" t="s">
        <v>2937</v>
      </c>
      <c r="I3282" s="1" t="s">
        <v>3266</v>
      </c>
    </row>
    <row r="3283">
      <c r="D3283" s="1" t="s">
        <v>3036</v>
      </c>
      <c r="E3283" s="1" t="s">
        <v>5289</v>
      </c>
      <c r="F3283" s="1" t="s">
        <v>4683</v>
      </c>
      <c r="I3283" s="1" t="s">
        <v>7031</v>
      </c>
    </row>
    <row r="3284">
      <c r="D3284" s="1" t="s">
        <v>3038</v>
      </c>
      <c r="E3284" s="1" t="s">
        <v>3726</v>
      </c>
      <c r="F3284" s="1" t="s">
        <v>2938</v>
      </c>
      <c r="I3284" s="1" t="s">
        <v>7032</v>
      </c>
    </row>
    <row r="3285">
      <c r="D3285" s="1" t="s">
        <v>4815</v>
      </c>
      <c r="E3285" s="1" t="s">
        <v>3729</v>
      </c>
      <c r="F3285" s="1" t="s">
        <v>2944</v>
      </c>
      <c r="I3285" s="1" t="s">
        <v>2822</v>
      </c>
    </row>
    <row r="3286">
      <c r="D3286" s="1" t="s">
        <v>4817</v>
      </c>
      <c r="E3286" s="1" t="s">
        <v>6879</v>
      </c>
      <c r="F3286" s="1" t="s">
        <v>2948</v>
      </c>
      <c r="I3286" s="1" t="s">
        <v>7033</v>
      </c>
    </row>
    <row r="3287">
      <c r="D3287" s="1" t="s">
        <v>4819</v>
      </c>
      <c r="E3287" s="1" t="s">
        <v>6904</v>
      </c>
      <c r="F3287" s="1" t="s">
        <v>6032</v>
      </c>
      <c r="I3287" s="1" t="s">
        <v>7034</v>
      </c>
    </row>
    <row r="3288">
      <c r="D3288" s="1" t="s">
        <v>6059</v>
      </c>
      <c r="E3288" s="1" t="s">
        <v>5224</v>
      </c>
      <c r="F3288" s="1" t="s">
        <v>1639</v>
      </c>
      <c r="I3288" s="1" t="s">
        <v>3996</v>
      </c>
    </row>
    <row r="3289">
      <c r="D3289" s="1" t="s">
        <v>4822</v>
      </c>
      <c r="E3289" s="1" t="s">
        <v>5451</v>
      </c>
      <c r="F3289" s="1" t="s">
        <v>1645</v>
      </c>
      <c r="I3289" s="1" t="s">
        <v>7035</v>
      </c>
    </row>
    <row r="3290">
      <c r="D3290" s="1" t="s">
        <v>1667</v>
      </c>
      <c r="E3290" s="1">
        <v>25.0</v>
      </c>
      <c r="F3290" s="1" t="s">
        <v>7036</v>
      </c>
      <c r="I3290" s="1" t="s">
        <v>5704</v>
      </c>
    </row>
    <row r="3291">
      <c r="D3291" s="1" t="s">
        <v>3042</v>
      </c>
      <c r="E3291" s="1" t="s">
        <v>1404</v>
      </c>
      <c r="F3291" s="1" t="s">
        <v>5669</v>
      </c>
      <c r="I3291" s="1" t="s">
        <v>3383</v>
      </c>
    </row>
    <row r="3292">
      <c r="D3292" s="1" t="s">
        <v>4826</v>
      </c>
      <c r="E3292" s="1" t="s">
        <v>5929</v>
      </c>
      <c r="F3292" s="1" t="s">
        <v>4728</v>
      </c>
      <c r="I3292" s="1" t="s">
        <v>7037</v>
      </c>
    </row>
    <row r="3293">
      <c r="D3293" s="1" t="s">
        <v>1670</v>
      </c>
      <c r="E3293" s="1" t="s">
        <v>1735</v>
      </c>
      <c r="F3293" s="1" t="s">
        <v>757</v>
      </c>
      <c r="I3293" s="1" t="s">
        <v>5850</v>
      </c>
    </row>
    <row r="3294">
      <c r="D3294" s="1" t="s">
        <v>3044</v>
      </c>
      <c r="E3294" s="1" t="s">
        <v>5930</v>
      </c>
      <c r="F3294" s="1" t="s">
        <v>5654</v>
      </c>
      <c r="I3294" s="1" t="s">
        <v>7038</v>
      </c>
    </row>
    <row r="3295">
      <c r="D3295" s="1" t="s">
        <v>4969</v>
      </c>
      <c r="E3295" s="1" t="s">
        <v>6881</v>
      </c>
      <c r="F3295" s="1" t="s">
        <v>2961</v>
      </c>
      <c r="I3295" s="1" t="s">
        <v>5807</v>
      </c>
    </row>
    <row r="3296">
      <c r="D3296" s="1" t="s">
        <v>6061</v>
      </c>
      <c r="E3296" s="1" t="s">
        <v>5931</v>
      </c>
      <c r="F3296" s="1" t="s">
        <v>6034</v>
      </c>
      <c r="I3296" s="1" t="s">
        <v>7039</v>
      </c>
    </row>
    <row r="3297">
      <c r="D3297" s="1" t="s">
        <v>1673</v>
      </c>
      <c r="E3297" s="1" t="s">
        <v>4487</v>
      </c>
      <c r="F3297" s="1" t="s">
        <v>2965</v>
      </c>
      <c r="I3297" s="1" t="s">
        <v>4002</v>
      </c>
    </row>
    <row r="3298">
      <c r="D3298" s="1" t="s">
        <v>3046</v>
      </c>
      <c r="E3298" s="1" t="s">
        <v>5932</v>
      </c>
      <c r="F3298" s="1" t="s">
        <v>4732</v>
      </c>
      <c r="I3298" s="1" t="s">
        <v>3303</v>
      </c>
    </row>
    <row r="3299">
      <c r="D3299" s="1" t="s">
        <v>4831</v>
      </c>
      <c r="E3299" s="1" t="s">
        <v>4924</v>
      </c>
      <c r="F3299" s="1" t="s">
        <v>5320</v>
      </c>
      <c r="I3299" s="1" t="s">
        <v>7040</v>
      </c>
    </row>
    <row r="3300">
      <c r="D3300" s="1" t="s">
        <v>5105</v>
      </c>
      <c r="E3300" s="1" t="s">
        <v>5455</v>
      </c>
      <c r="F3300" s="1" t="s">
        <v>441</v>
      </c>
      <c r="I3300" s="1">
        <v>1962.0</v>
      </c>
    </row>
    <row r="3301">
      <c r="D3301" s="1" t="s">
        <v>4832</v>
      </c>
      <c r="E3301" s="1" t="s">
        <v>5104</v>
      </c>
      <c r="F3301" s="1" t="s">
        <v>7041</v>
      </c>
      <c r="I3301" s="1" t="s">
        <v>5854</v>
      </c>
    </row>
    <row r="3302">
      <c r="D3302" s="1" t="s">
        <v>1778</v>
      </c>
      <c r="E3302" s="1" t="s">
        <v>6882</v>
      </c>
      <c r="F3302" s="1" t="s">
        <v>5673</v>
      </c>
      <c r="I3302" s="1" t="s">
        <v>7042</v>
      </c>
    </row>
    <row r="3303">
      <c r="D3303" s="1" t="s">
        <v>4835</v>
      </c>
      <c r="E3303" s="1" t="s">
        <v>4767</v>
      </c>
      <c r="F3303" s="1" t="s">
        <v>4736</v>
      </c>
      <c r="I3303" s="1" t="s">
        <v>4005</v>
      </c>
    </row>
    <row r="3304">
      <c r="D3304" s="1" t="s">
        <v>4837</v>
      </c>
      <c r="E3304" s="1" t="s">
        <v>5461</v>
      </c>
      <c r="F3304" s="1" t="s">
        <v>1651</v>
      </c>
      <c r="I3304" s="1" t="s">
        <v>7043</v>
      </c>
    </row>
    <row r="3305">
      <c r="D3305" s="1" t="s">
        <v>3051</v>
      </c>
      <c r="E3305" s="1" t="s">
        <v>5462</v>
      </c>
      <c r="F3305" s="1" t="s">
        <v>4739</v>
      </c>
      <c r="I3305" s="1" t="s">
        <v>5858</v>
      </c>
    </row>
    <row r="3306">
      <c r="D3306" s="1" t="s">
        <v>1800</v>
      </c>
      <c r="E3306" s="1" t="s">
        <v>1500</v>
      </c>
      <c r="F3306" s="1" t="s">
        <v>5583</v>
      </c>
      <c r="I3306" s="1" t="s">
        <v>7044</v>
      </c>
    </row>
    <row r="3307">
      <c r="D3307" s="1" t="s">
        <v>1805</v>
      </c>
      <c r="E3307" s="1" t="s">
        <v>5934</v>
      </c>
      <c r="F3307" s="1" t="s">
        <v>4743</v>
      </c>
      <c r="I3307" s="1" t="s">
        <v>7045</v>
      </c>
    </row>
    <row r="3308">
      <c r="D3308" s="1" t="s">
        <v>4839</v>
      </c>
      <c r="E3308" s="1" t="s">
        <v>4512</v>
      </c>
      <c r="F3308" s="1" t="s">
        <v>5676</v>
      </c>
      <c r="I3308" s="1" t="s">
        <v>4012</v>
      </c>
    </row>
    <row r="3309">
      <c r="D3309" s="1" t="s">
        <v>3056</v>
      </c>
      <c r="E3309" s="1" t="s">
        <v>6884</v>
      </c>
      <c r="F3309" s="1" t="s">
        <v>4745</v>
      </c>
      <c r="I3309" s="1" t="s">
        <v>7046</v>
      </c>
    </row>
    <row r="3310">
      <c r="D3310" s="1" t="s">
        <v>1878</v>
      </c>
      <c r="E3310" s="1" t="s">
        <v>6912</v>
      </c>
      <c r="F3310" s="1" t="s">
        <v>2975</v>
      </c>
      <c r="I3310" s="1" t="s">
        <v>5400</v>
      </c>
    </row>
    <row r="3311">
      <c r="D3311" s="1" t="s">
        <v>1048</v>
      </c>
      <c r="E3311" s="1" t="s">
        <v>4286</v>
      </c>
      <c r="F3311" s="1" t="s">
        <v>2978</v>
      </c>
      <c r="I3311" s="1" t="s">
        <v>7047</v>
      </c>
    </row>
    <row r="3312">
      <c r="D3312" s="1" t="s">
        <v>3060</v>
      </c>
      <c r="E3312" s="1" t="s">
        <v>1876</v>
      </c>
      <c r="F3312" s="1" t="s">
        <v>7048</v>
      </c>
      <c r="I3312" s="1" t="s">
        <v>7049</v>
      </c>
    </row>
    <row r="3313">
      <c r="D3313" s="1" t="s">
        <v>1869</v>
      </c>
      <c r="E3313" s="1" t="s">
        <v>6913</v>
      </c>
      <c r="F3313" s="1" t="s">
        <v>7050</v>
      </c>
      <c r="I3313" s="1" t="s">
        <v>6185</v>
      </c>
    </row>
    <row r="3314">
      <c r="D3314" s="1" t="s">
        <v>3773</v>
      </c>
      <c r="E3314" s="1" t="s">
        <v>5466</v>
      </c>
      <c r="F3314" s="1" t="s">
        <v>5915</v>
      </c>
      <c r="I3314" s="1" t="s">
        <v>5862</v>
      </c>
    </row>
    <row r="3315">
      <c r="D3315" s="1" t="s">
        <v>4849</v>
      </c>
      <c r="E3315" s="1" t="s">
        <v>6885</v>
      </c>
      <c r="F3315" s="1" t="s">
        <v>4747</v>
      </c>
      <c r="I3315" s="1" t="s">
        <v>6014</v>
      </c>
    </row>
    <row r="3316">
      <c r="D3316" s="1" t="s">
        <v>3064</v>
      </c>
      <c r="E3316" s="1" t="s">
        <v>1507</v>
      </c>
      <c r="F3316" s="1">
        <v>451.0</v>
      </c>
      <c r="I3316" s="1" t="s">
        <v>7051</v>
      </c>
    </row>
    <row r="3317">
      <c r="D3317" s="1" t="s">
        <v>4850</v>
      </c>
      <c r="E3317" s="1">
        <v>94.0</v>
      </c>
      <c r="F3317" s="1" t="s">
        <v>5765</v>
      </c>
      <c r="I3317" s="1" t="s">
        <v>7052</v>
      </c>
    </row>
    <row r="3318">
      <c r="D3318" s="1" t="s">
        <v>4851</v>
      </c>
      <c r="E3318" s="1" t="s">
        <v>7053</v>
      </c>
      <c r="F3318" s="1" t="s">
        <v>6043</v>
      </c>
      <c r="I3318" s="1" t="s">
        <v>2505</v>
      </c>
    </row>
    <row r="3319">
      <c r="D3319" s="1" t="s">
        <v>4853</v>
      </c>
      <c r="E3319" s="1" t="s">
        <v>6886</v>
      </c>
      <c r="F3319" s="1" t="s">
        <v>1873</v>
      </c>
      <c r="I3319" s="1">
        <v>1997.0</v>
      </c>
    </row>
    <row r="3320">
      <c r="D3320" s="1" t="s">
        <v>4855</v>
      </c>
      <c r="E3320" s="1" t="s">
        <v>6887</v>
      </c>
      <c r="F3320" s="1">
        <v>1957.0</v>
      </c>
      <c r="I3320" s="1" t="s">
        <v>7054</v>
      </c>
    </row>
    <row r="3321">
      <c r="D3321" s="1" t="s">
        <v>3068</v>
      </c>
      <c r="E3321" s="1" t="s">
        <v>7055</v>
      </c>
      <c r="F3321" s="1" t="s">
        <v>1526</v>
      </c>
      <c r="I3321" s="1" t="s">
        <v>7056</v>
      </c>
    </row>
    <row r="3322">
      <c r="D3322" s="1" t="s">
        <v>4858</v>
      </c>
      <c r="E3322" s="1" t="s">
        <v>2915</v>
      </c>
      <c r="F3322" s="1" t="s">
        <v>6064</v>
      </c>
      <c r="I3322" s="1" t="s">
        <v>4124</v>
      </c>
    </row>
    <row r="3323">
      <c r="D3323" s="1">
        <v>1975.0</v>
      </c>
      <c r="E3323" s="1" t="s">
        <v>4006</v>
      </c>
      <c r="F3323" s="1" t="s">
        <v>7057</v>
      </c>
      <c r="I3323" s="1" t="s">
        <v>4019</v>
      </c>
    </row>
    <row r="3324">
      <c r="D3324" s="1" t="s">
        <v>5750</v>
      </c>
      <c r="E3324" s="1" t="s">
        <v>5506</v>
      </c>
      <c r="F3324" s="1" t="s">
        <v>3878</v>
      </c>
      <c r="I3324" s="1" t="s">
        <v>2789</v>
      </c>
    </row>
    <row r="3325">
      <c r="D3325" s="1" t="s">
        <v>3072</v>
      </c>
      <c r="E3325" s="1" t="s">
        <v>4450</v>
      </c>
      <c r="F3325" s="1" t="s">
        <v>2984</v>
      </c>
      <c r="I3325" s="1" t="s">
        <v>7058</v>
      </c>
    </row>
    <row r="3326">
      <c r="D3326" s="1" t="s">
        <v>4863</v>
      </c>
      <c r="E3326" s="1" t="s">
        <v>6048</v>
      </c>
      <c r="F3326" s="1" t="s">
        <v>3881</v>
      </c>
      <c r="I3326" s="1" t="s">
        <v>7059</v>
      </c>
    </row>
    <row r="3327">
      <c r="D3327" s="1" t="s">
        <v>3077</v>
      </c>
      <c r="E3327" s="1">
        <v>95.0</v>
      </c>
      <c r="F3327" s="1" t="s">
        <v>2987</v>
      </c>
      <c r="I3327" s="1" t="s">
        <v>6140</v>
      </c>
    </row>
    <row r="3328">
      <c r="D3328" s="1" t="s">
        <v>4865</v>
      </c>
      <c r="E3328" s="1" t="s">
        <v>835</v>
      </c>
      <c r="F3328" s="1" t="s">
        <v>6959</v>
      </c>
      <c r="I3328" s="1" t="s">
        <v>6160</v>
      </c>
    </row>
    <row r="3329">
      <c r="D3329" s="1" t="s">
        <v>4866</v>
      </c>
      <c r="E3329" s="1" t="s">
        <v>4930</v>
      </c>
      <c r="F3329" s="1" t="s">
        <v>5685</v>
      </c>
      <c r="I3329" s="1" t="s">
        <v>7060</v>
      </c>
    </row>
    <row r="3330">
      <c r="D3330" s="1" t="s">
        <v>4868</v>
      </c>
      <c r="E3330" s="1" t="s">
        <v>5940</v>
      </c>
      <c r="F3330" s="1" t="s">
        <v>4910</v>
      </c>
      <c r="I3330" s="1" t="s">
        <v>7061</v>
      </c>
    </row>
    <row r="3331">
      <c r="D3331" s="1" t="s">
        <v>4870</v>
      </c>
      <c r="E3331" s="1" t="s">
        <v>3741</v>
      </c>
      <c r="F3331" s="1" t="s">
        <v>227</v>
      </c>
      <c r="I3331" s="1" t="s">
        <v>5877</v>
      </c>
    </row>
    <row r="3332">
      <c r="D3332" s="1" t="s">
        <v>3083</v>
      </c>
      <c r="E3332" s="1" t="s">
        <v>4513</v>
      </c>
      <c r="F3332" s="1" t="s">
        <v>4754</v>
      </c>
      <c r="I3332" s="1" t="s">
        <v>6187</v>
      </c>
    </row>
    <row r="3333">
      <c r="D3333" s="1" t="s">
        <v>3086</v>
      </c>
      <c r="E3333" s="1" t="s">
        <v>6027</v>
      </c>
      <c r="F3333" s="1" t="s">
        <v>7062</v>
      </c>
      <c r="I3333" s="1">
        <v>21.0</v>
      </c>
    </row>
    <row r="3334">
      <c r="D3334" s="1" t="s">
        <v>1268</v>
      </c>
      <c r="E3334" s="1" t="s">
        <v>5946</v>
      </c>
      <c r="F3334" s="1" t="s">
        <v>7063</v>
      </c>
      <c r="I3334" s="1" t="s">
        <v>7064</v>
      </c>
    </row>
    <row r="3335">
      <c r="D3335" s="1" t="s">
        <v>6071</v>
      </c>
      <c r="E3335" s="1" t="s">
        <v>750</v>
      </c>
      <c r="F3335" s="1" t="s">
        <v>7065</v>
      </c>
      <c r="I3335" s="1" t="s">
        <v>4023</v>
      </c>
    </row>
    <row r="3336">
      <c r="D3336" s="1" t="s">
        <v>4874</v>
      </c>
      <c r="E3336" s="1" t="s">
        <v>2718</v>
      </c>
      <c r="F3336" s="1" t="s">
        <v>2989</v>
      </c>
      <c r="I3336" s="1" t="s">
        <v>7066</v>
      </c>
    </row>
    <row r="3337">
      <c r="D3337" s="1">
        <v>1973.0</v>
      </c>
      <c r="E3337" s="1" t="s">
        <v>2124</v>
      </c>
      <c r="F3337" s="1" t="s">
        <v>2993</v>
      </c>
      <c r="I3337" s="1" t="s">
        <v>3331</v>
      </c>
    </row>
    <row r="3338">
      <c r="D3338" s="1" t="s">
        <v>3089</v>
      </c>
      <c r="E3338" s="1" t="s">
        <v>7067</v>
      </c>
      <c r="F3338" s="1" t="s">
        <v>4756</v>
      </c>
      <c r="I3338" s="1" t="s">
        <v>3803</v>
      </c>
    </row>
    <row r="3339">
      <c r="D3339" s="1" t="s">
        <v>6075</v>
      </c>
      <c r="E3339" s="1" t="s">
        <v>6025</v>
      </c>
      <c r="F3339" s="1" t="s">
        <v>4294</v>
      </c>
      <c r="I3339" s="1" t="s">
        <v>7068</v>
      </c>
    </row>
    <row r="3340">
      <c r="D3340" s="1" t="s">
        <v>3934</v>
      </c>
      <c r="E3340" s="1" t="s">
        <v>5950</v>
      </c>
      <c r="F3340" s="1" t="s">
        <v>2997</v>
      </c>
      <c r="I3340" s="1" t="s">
        <v>7069</v>
      </c>
    </row>
    <row r="3341">
      <c r="D3341" s="1" t="s">
        <v>4880</v>
      </c>
      <c r="E3341" s="1" t="s">
        <v>1751</v>
      </c>
      <c r="F3341" s="1" t="s">
        <v>4759</v>
      </c>
      <c r="I3341" s="1" t="s">
        <v>7070</v>
      </c>
    </row>
    <row r="3342">
      <c r="D3342" s="1" t="s">
        <v>1678</v>
      </c>
      <c r="E3342" s="1" t="s">
        <v>4524</v>
      </c>
      <c r="F3342" s="1" t="s">
        <v>3002</v>
      </c>
      <c r="I3342" s="1" t="s">
        <v>4653</v>
      </c>
    </row>
    <row r="3343">
      <c r="D3343" s="1" t="s">
        <v>3937</v>
      </c>
      <c r="E3343" s="1" t="s">
        <v>4526</v>
      </c>
      <c r="F3343" s="1" t="s">
        <v>3732</v>
      </c>
      <c r="I3343" s="1" t="s">
        <v>5884</v>
      </c>
    </row>
    <row r="3344">
      <c r="D3344" s="1" t="s">
        <v>6076</v>
      </c>
      <c r="E3344" s="1" t="s">
        <v>6888</v>
      </c>
      <c r="F3344" s="1" t="s">
        <v>7071</v>
      </c>
      <c r="I3344" s="1" t="s">
        <v>7072</v>
      </c>
    </row>
    <row r="3345">
      <c r="D3345" s="1" t="s">
        <v>1685</v>
      </c>
      <c r="E3345" s="1" t="s">
        <v>6889</v>
      </c>
      <c r="F3345" s="1" t="s">
        <v>4766</v>
      </c>
      <c r="I3345" s="1" t="s">
        <v>5888</v>
      </c>
    </row>
    <row r="3346">
      <c r="D3346" s="1" t="s">
        <v>3096</v>
      </c>
      <c r="E3346" s="1" t="s">
        <v>2730</v>
      </c>
      <c r="F3346" s="1" t="s">
        <v>3895</v>
      </c>
      <c r="I3346" s="1" t="s">
        <v>5893</v>
      </c>
    </row>
    <row r="3347">
      <c r="D3347" s="1" t="s">
        <v>3099</v>
      </c>
      <c r="E3347" s="1" t="s">
        <v>5491</v>
      </c>
      <c r="F3347" s="1" t="s">
        <v>4768</v>
      </c>
      <c r="I3347" s="1" t="s">
        <v>6193</v>
      </c>
    </row>
    <row r="3348">
      <c r="D3348" s="1" t="s">
        <v>3948</v>
      </c>
      <c r="E3348" s="1" t="s">
        <v>2736</v>
      </c>
      <c r="F3348" s="1" t="s">
        <v>5695</v>
      </c>
      <c r="I3348" s="1" t="s">
        <v>5896</v>
      </c>
    </row>
    <row r="3349">
      <c r="D3349" s="1" t="s">
        <v>1723</v>
      </c>
      <c r="E3349" s="1" t="s">
        <v>4629</v>
      </c>
      <c r="F3349" s="1" t="s">
        <v>4769</v>
      </c>
      <c r="I3349" s="1" t="s">
        <v>5834</v>
      </c>
    </row>
    <row r="3350">
      <c r="D3350" s="1" t="s">
        <v>1747</v>
      </c>
      <c r="E3350" s="1" t="s">
        <v>6204</v>
      </c>
      <c r="F3350" s="1" t="s">
        <v>6968</v>
      </c>
      <c r="I3350" s="1" t="s">
        <v>7073</v>
      </c>
    </row>
    <row r="3351">
      <c r="D3351" s="1" t="s">
        <v>4887</v>
      </c>
      <c r="E3351" s="1" t="s">
        <v>3003</v>
      </c>
      <c r="F3351" s="1" t="s">
        <v>3004</v>
      </c>
      <c r="I3351" s="1" t="s">
        <v>3386</v>
      </c>
    </row>
    <row r="3352">
      <c r="D3352" s="1" t="s">
        <v>5770</v>
      </c>
      <c r="E3352" s="1" t="s">
        <v>2739</v>
      </c>
      <c r="F3352" s="1" t="s">
        <v>3007</v>
      </c>
      <c r="I3352" s="1" t="s">
        <v>4197</v>
      </c>
    </row>
    <row r="3353">
      <c r="D3353" s="1" t="s">
        <v>3103</v>
      </c>
      <c r="E3353" s="1" t="s">
        <v>4888</v>
      </c>
      <c r="F3353" s="1" t="s">
        <v>4673</v>
      </c>
      <c r="I3353" s="1" t="s">
        <v>5901</v>
      </c>
    </row>
    <row r="3354">
      <c r="D3354" s="1" t="s">
        <v>4889</v>
      </c>
      <c r="E3354" s="1" t="s">
        <v>4105</v>
      </c>
      <c r="F3354" s="1" t="s">
        <v>4778</v>
      </c>
      <c r="I3354" s="1" t="s">
        <v>4028</v>
      </c>
    </row>
    <row r="3355">
      <c r="D3355" s="1" t="s">
        <v>3106</v>
      </c>
      <c r="E3355" s="1" t="s">
        <v>5481</v>
      </c>
      <c r="F3355" s="1" t="s">
        <v>5148</v>
      </c>
    </row>
    <row r="3356">
      <c r="D3356" s="1" t="s">
        <v>3952</v>
      </c>
      <c r="E3356" s="1" t="s">
        <v>4243</v>
      </c>
      <c r="F3356" s="1" t="s">
        <v>3008</v>
      </c>
    </row>
    <row r="3357">
      <c r="D3357" s="1" t="s">
        <v>3110</v>
      </c>
      <c r="E3357" s="1" t="s">
        <v>5960</v>
      </c>
      <c r="F3357" s="1" t="s">
        <v>3012</v>
      </c>
    </row>
    <row r="3358">
      <c r="D3358" s="1" t="s">
        <v>5909</v>
      </c>
      <c r="E3358" s="1" t="s">
        <v>6890</v>
      </c>
      <c r="F3358" s="1" t="s">
        <v>3018</v>
      </c>
    </row>
    <row r="3359">
      <c r="D3359" s="1" t="s">
        <v>6079</v>
      </c>
      <c r="E3359" s="1" t="s">
        <v>5178</v>
      </c>
      <c r="F3359" s="1" t="s">
        <v>1932</v>
      </c>
    </row>
    <row r="3360">
      <c r="D3360" s="1" t="s">
        <v>4895</v>
      </c>
      <c r="E3360" s="1" t="s">
        <v>5961</v>
      </c>
      <c r="F3360" s="1" t="s">
        <v>3021</v>
      </c>
    </row>
    <row r="3361">
      <c r="D3361" s="1" t="s">
        <v>6080</v>
      </c>
      <c r="E3361" s="1" t="s">
        <v>6891</v>
      </c>
      <c r="F3361" s="1" t="s">
        <v>3023</v>
      </c>
    </row>
    <row r="3362">
      <c r="D3362" s="1" t="s">
        <v>6081</v>
      </c>
      <c r="E3362" s="1" t="s">
        <v>4751</v>
      </c>
      <c r="F3362" s="1" t="s">
        <v>4799</v>
      </c>
    </row>
    <row r="3363">
      <c r="D3363" s="1" t="s">
        <v>3114</v>
      </c>
      <c r="E3363" s="1" t="s">
        <v>6892</v>
      </c>
      <c r="F3363" s="1" t="s">
        <v>5710</v>
      </c>
    </row>
    <row r="3364">
      <c r="D3364" s="1" t="s">
        <v>3116</v>
      </c>
      <c r="E3364" s="1" t="s">
        <v>7074</v>
      </c>
      <c r="F3364" s="1" t="s">
        <v>3025</v>
      </c>
    </row>
    <row r="3365">
      <c r="D3365" s="1" t="s">
        <v>3117</v>
      </c>
      <c r="E3365" s="1" t="s">
        <v>6514</v>
      </c>
      <c r="F3365" s="1" t="s">
        <v>3681</v>
      </c>
    </row>
    <row r="3366">
      <c r="D3366" s="1" t="s">
        <v>4901</v>
      </c>
      <c r="E3366" s="1" t="s">
        <v>5962</v>
      </c>
      <c r="F3366" s="1" t="s">
        <v>4805</v>
      </c>
    </row>
    <row r="3367">
      <c r="D3367" s="1" t="s">
        <v>3121</v>
      </c>
      <c r="E3367" s="1" t="s">
        <v>4553</v>
      </c>
      <c r="F3367" s="1" t="s">
        <v>3028</v>
      </c>
    </row>
    <row r="3368">
      <c r="D3368" s="1" t="s">
        <v>6082</v>
      </c>
      <c r="E3368" s="1" t="s">
        <v>2260</v>
      </c>
      <c r="F3368" s="1" t="s">
        <v>1660</v>
      </c>
    </row>
    <row r="3369">
      <c r="D3369" s="1" t="s">
        <v>3124</v>
      </c>
      <c r="E3369" s="1" t="s">
        <v>5131</v>
      </c>
      <c r="F3369" s="1" t="s">
        <v>4809</v>
      </c>
    </row>
    <row r="3370">
      <c r="D3370" s="1" t="s">
        <v>399</v>
      </c>
      <c r="E3370" s="1" t="s">
        <v>5581</v>
      </c>
      <c r="F3370" s="1" t="s">
        <v>4811</v>
      </c>
    </row>
    <row r="3371">
      <c r="D3371" s="1" t="s">
        <v>3129</v>
      </c>
      <c r="E3371" s="1" t="s">
        <v>6893</v>
      </c>
      <c r="F3371" s="1" t="s">
        <v>3036</v>
      </c>
    </row>
    <row r="3372">
      <c r="D3372" s="1" t="s">
        <v>3131</v>
      </c>
      <c r="E3372" s="1" t="s">
        <v>5964</v>
      </c>
      <c r="F3372" s="1" t="s">
        <v>3038</v>
      </c>
    </row>
    <row r="3373">
      <c r="D3373" s="1" t="s">
        <v>4909</v>
      </c>
      <c r="E3373" s="1" t="s">
        <v>1803</v>
      </c>
      <c r="F3373" s="1" t="s">
        <v>6977</v>
      </c>
    </row>
    <row r="3374">
      <c r="D3374" s="1" t="s">
        <v>4911</v>
      </c>
      <c r="E3374" s="1" t="s">
        <v>1027</v>
      </c>
      <c r="F3374" s="1" t="s">
        <v>4819</v>
      </c>
    </row>
    <row r="3375">
      <c r="D3375" s="1" t="s">
        <v>4913</v>
      </c>
      <c r="E3375" s="1">
        <v>2001.0</v>
      </c>
      <c r="F3375" s="1" t="s">
        <v>6059</v>
      </c>
    </row>
    <row r="3376">
      <c r="D3376" s="1" t="s">
        <v>5785</v>
      </c>
      <c r="E3376" s="1" t="s">
        <v>6894</v>
      </c>
      <c r="F3376" s="1" t="s">
        <v>1667</v>
      </c>
    </row>
    <row r="3377">
      <c r="D3377" s="1" t="s">
        <v>3964</v>
      </c>
      <c r="E3377" s="1" t="s">
        <v>3754</v>
      </c>
      <c r="F3377" s="1" t="s">
        <v>3042</v>
      </c>
    </row>
    <row r="3378">
      <c r="D3378" s="1" t="s">
        <v>4917</v>
      </c>
      <c r="E3378" s="1" t="s">
        <v>4560</v>
      </c>
      <c r="F3378" s="1" t="s">
        <v>5337</v>
      </c>
    </row>
    <row r="3379">
      <c r="D3379" s="1" t="s">
        <v>5786</v>
      </c>
      <c r="E3379" s="1" t="s">
        <v>4451</v>
      </c>
      <c r="F3379" s="1" t="s">
        <v>4826</v>
      </c>
    </row>
    <row r="3380">
      <c r="D3380" s="1" t="s">
        <v>4919</v>
      </c>
      <c r="E3380" s="1" t="s">
        <v>5038</v>
      </c>
      <c r="F3380" s="1" t="s">
        <v>1670</v>
      </c>
    </row>
    <row r="3381">
      <c r="D3381" s="1" t="s">
        <v>5788</v>
      </c>
      <c r="E3381" s="1" t="s">
        <v>5513</v>
      </c>
      <c r="F3381" s="1" t="s">
        <v>3044</v>
      </c>
    </row>
    <row r="3382">
      <c r="D3382" s="1" t="s">
        <v>3133</v>
      </c>
      <c r="E3382" s="1" t="s">
        <v>1556</v>
      </c>
      <c r="F3382" s="1" t="s">
        <v>4969</v>
      </c>
    </row>
    <row r="3383">
      <c r="D3383" s="1" t="s">
        <v>3139</v>
      </c>
      <c r="E3383" s="1" t="s">
        <v>3704</v>
      </c>
      <c r="F3383" s="1" t="s">
        <v>6061</v>
      </c>
    </row>
    <row r="3384">
      <c r="D3384" s="1" t="s">
        <v>4921</v>
      </c>
      <c r="E3384" s="1" t="s">
        <v>4580</v>
      </c>
      <c r="F3384" s="1" t="s">
        <v>1673</v>
      </c>
    </row>
    <row r="3385">
      <c r="D3385" s="1" t="s">
        <v>4922</v>
      </c>
      <c r="E3385" s="1" t="s">
        <v>3756</v>
      </c>
      <c r="F3385" s="1" t="s">
        <v>3046</v>
      </c>
    </row>
    <row r="3386">
      <c r="D3386" s="1" t="s">
        <v>5350</v>
      </c>
      <c r="E3386" s="1" t="s">
        <v>5517</v>
      </c>
      <c r="F3386" s="1" t="s">
        <v>4831</v>
      </c>
    </row>
    <row r="3387">
      <c r="D3387" s="1" t="s">
        <v>4923</v>
      </c>
      <c r="E3387" s="1" t="s">
        <v>6896</v>
      </c>
      <c r="F3387" s="1" t="s">
        <v>7075</v>
      </c>
    </row>
    <row r="3388">
      <c r="D3388" s="1" t="s">
        <v>3141</v>
      </c>
      <c r="E3388" s="1" t="s">
        <v>1286</v>
      </c>
      <c r="F3388" s="1" t="s">
        <v>4832</v>
      </c>
    </row>
    <row r="3389">
      <c r="D3389" s="1" t="s">
        <v>3145</v>
      </c>
      <c r="E3389" s="1" t="s">
        <v>5522</v>
      </c>
      <c r="F3389" s="1" t="s">
        <v>1778</v>
      </c>
    </row>
    <row r="3390">
      <c r="D3390" s="1" t="s">
        <v>3148</v>
      </c>
      <c r="E3390" s="1" t="s">
        <v>3945</v>
      </c>
      <c r="F3390" s="1" t="s">
        <v>7076</v>
      </c>
    </row>
    <row r="3391">
      <c r="D3391" s="1" t="s">
        <v>1824</v>
      </c>
      <c r="E3391" s="1" t="s">
        <v>5482</v>
      </c>
      <c r="F3391" s="1" t="s">
        <v>4835</v>
      </c>
    </row>
    <row r="3392">
      <c r="D3392" s="1" t="s">
        <v>3151</v>
      </c>
      <c r="E3392" s="1" t="s">
        <v>1365</v>
      </c>
      <c r="F3392" s="1" t="s">
        <v>4837</v>
      </c>
    </row>
    <row r="3393">
      <c r="D3393" s="1" t="s">
        <v>3155</v>
      </c>
      <c r="E3393" s="1" t="s">
        <v>3872</v>
      </c>
      <c r="F3393" s="1" t="s">
        <v>3051</v>
      </c>
    </row>
    <row r="3394">
      <c r="D3394" s="1" t="s">
        <v>3157</v>
      </c>
      <c r="E3394" s="1" t="s">
        <v>3286</v>
      </c>
      <c r="F3394" s="1" t="s">
        <v>1800</v>
      </c>
    </row>
    <row r="3395">
      <c r="D3395" s="1" t="s">
        <v>5799</v>
      </c>
      <c r="E3395" s="1" t="s">
        <v>5291</v>
      </c>
      <c r="F3395" s="1" t="s">
        <v>1805</v>
      </c>
    </row>
    <row r="3396">
      <c r="D3396" s="1" t="s">
        <v>3160</v>
      </c>
      <c r="E3396" s="1" t="s">
        <v>7077</v>
      </c>
      <c r="F3396" s="1" t="s">
        <v>4839</v>
      </c>
    </row>
    <row r="3397">
      <c r="D3397" s="1" t="s">
        <v>6090</v>
      </c>
      <c r="E3397" s="1" t="s">
        <v>1371</v>
      </c>
      <c r="F3397" s="1" t="s">
        <v>3056</v>
      </c>
    </row>
    <row r="3398">
      <c r="D3398" s="1" t="s">
        <v>3162</v>
      </c>
      <c r="E3398" s="1" t="s">
        <v>7078</v>
      </c>
      <c r="F3398" s="1" t="s">
        <v>895</v>
      </c>
    </row>
    <row r="3399">
      <c r="D3399" s="1" t="s">
        <v>4552</v>
      </c>
      <c r="E3399" s="1" t="s">
        <v>3765</v>
      </c>
      <c r="F3399" s="1" t="s">
        <v>1878</v>
      </c>
    </row>
    <row r="3400">
      <c r="D3400" s="1" t="s">
        <v>4935</v>
      </c>
      <c r="E3400" s="1" t="s">
        <v>3771</v>
      </c>
      <c r="F3400" s="1" t="s">
        <v>1048</v>
      </c>
    </row>
    <row r="3401">
      <c r="D3401" s="1" t="s">
        <v>3166</v>
      </c>
      <c r="E3401" s="1" t="s">
        <v>6897</v>
      </c>
      <c r="F3401" s="1" t="s">
        <v>2779</v>
      </c>
    </row>
    <row r="3402">
      <c r="D3402" s="1" t="s">
        <v>3169</v>
      </c>
      <c r="E3402" s="1" t="s">
        <v>3769</v>
      </c>
      <c r="F3402" s="1" t="s">
        <v>3060</v>
      </c>
    </row>
    <row r="3403">
      <c r="D3403" s="1" t="s">
        <v>1913</v>
      </c>
      <c r="E3403" s="1" t="s">
        <v>1373</v>
      </c>
      <c r="F3403" s="1" t="s">
        <v>3773</v>
      </c>
    </row>
    <row r="3404">
      <c r="D3404" s="1" t="s">
        <v>3171</v>
      </c>
      <c r="E3404" s="1" t="s">
        <v>1449</v>
      </c>
      <c r="F3404" s="1" t="s">
        <v>5745</v>
      </c>
    </row>
    <row r="3405">
      <c r="D3405" s="1" t="s">
        <v>1518</v>
      </c>
      <c r="E3405" s="1" t="s">
        <v>4804</v>
      </c>
      <c r="F3405" s="1" t="s">
        <v>4849</v>
      </c>
    </row>
    <row r="3406">
      <c r="D3406" s="1" t="s">
        <v>4943</v>
      </c>
      <c r="E3406" s="1" t="s">
        <v>5892</v>
      </c>
      <c r="F3406" s="1" t="s">
        <v>3064</v>
      </c>
    </row>
    <row r="3407">
      <c r="D3407" s="1" t="s">
        <v>5397</v>
      </c>
      <c r="E3407" s="1" t="s">
        <v>1566</v>
      </c>
      <c r="F3407" s="1" t="s">
        <v>4850</v>
      </c>
    </row>
    <row r="3408">
      <c r="D3408" s="1" t="s">
        <v>3176</v>
      </c>
      <c r="E3408" s="1">
        <v>1952.0</v>
      </c>
      <c r="F3408" s="1" t="s">
        <v>6226</v>
      </c>
    </row>
    <row r="3409">
      <c r="D3409" s="1" t="s">
        <v>6095</v>
      </c>
      <c r="E3409" s="1" t="s">
        <v>7079</v>
      </c>
      <c r="F3409" s="1" t="s">
        <v>5143</v>
      </c>
    </row>
    <row r="3410">
      <c r="D3410" s="1" t="s">
        <v>3178</v>
      </c>
      <c r="E3410" s="1" t="s">
        <v>7080</v>
      </c>
      <c r="F3410" s="1" t="s">
        <v>4853</v>
      </c>
    </row>
    <row r="3411">
      <c r="D3411" s="1" t="s">
        <v>3179</v>
      </c>
      <c r="E3411" s="1" t="s">
        <v>6038</v>
      </c>
      <c r="F3411" s="1" t="s">
        <v>3068</v>
      </c>
    </row>
    <row r="3412">
      <c r="D3412" s="1" t="s">
        <v>3183</v>
      </c>
      <c r="E3412" s="1" t="s">
        <v>7081</v>
      </c>
      <c r="F3412" s="1" t="s">
        <v>5752</v>
      </c>
    </row>
    <row r="3413">
      <c r="D3413" s="1" t="s">
        <v>4948</v>
      </c>
      <c r="E3413" s="1" t="s">
        <v>6899</v>
      </c>
      <c r="F3413" s="1" t="s">
        <v>3072</v>
      </c>
    </row>
    <row r="3414">
      <c r="D3414" s="1" t="s">
        <v>4951</v>
      </c>
      <c r="E3414" s="1" t="s">
        <v>5975</v>
      </c>
      <c r="F3414" s="1" t="s">
        <v>3077</v>
      </c>
    </row>
    <row r="3415">
      <c r="D3415" s="1" t="s">
        <v>4956</v>
      </c>
      <c r="E3415" s="1" t="s">
        <v>7082</v>
      </c>
      <c r="F3415" s="1" t="s">
        <v>4865</v>
      </c>
    </row>
    <row r="3416">
      <c r="D3416" s="1" t="s">
        <v>3187</v>
      </c>
      <c r="E3416" s="1" t="s">
        <v>6044</v>
      </c>
      <c r="F3416" s="1" t="s">
        <v>4870</v>
      </c>
    </row>
    <row r="3417">
      <c r="D3417" s="1" t="s">
        <v>4959</v>
      </c>
      <c r="E3417" s="1" t="s">
        <v>5538</v>
      </c>
      <c r="F3417" s="1" t="s">
        <v>3083</v>
      </c>
    </row>
    <row r="3418">
      <c r="D3418" s="1" t="s">
        <v>6096</v>
      </c>
      <c r="E3418" s="1" t="s">
        <v>4585</v>
      </c>
      <c r="F3418" s="1" t="s">
        <v>3086</v>
      </c>
    </row>
    <row r="3419">
      <c r="D3419" s="1" t="s">
        <v>3191</v>
      </c>
      <c r="E3419" s="1" t="s">
        <v>5652</v>
      </c>
      <c r="F3419" s="1" t="s">
        <v>1268</v>
      </c>
    </row>
    <row r="3420">
      <c r="D3420" s="1" t="s">
        <v>1764</v>
      </c>
      <c r="E3420" s="1" t="s">
        <v>974</v>
      </c>
      <c r="F3420" s="1">
        <v>1973.0</v>
      </c>
    </row>
    <row r="3421">
      <c r="D3421" s="1" t="s">
        <v>4964</v>
      </c>
      <c r="E3421" s="1" t="s">
        <v>6045</v>
      </c>
      <c r="F3421" s="1" t="s">
        <v>7083</v>
      </c>
    </row>
    <row r="3422">
      <c r="D3422" s="1" t="s">
        <v>3194</v>
      </c>
      <c r="E3422" s="1" t="s">
        <v>5541</v>
      </c>
      <c r="F3422" s="1" t="s">
        <v>3089</v>
      </c>
    </row>
    <row r="3423">
      <c r="D3423" s="1" t="s">
        <v>3197</v>
      </c>
      <c r="E3423" s="1" t="s">
        <v>5542</v>
      </c>
      <c r="F3423" s="1" t="s">
        <v>3934</v>
      </c>
    </row>
    <row r="3424">
      <c r="D3424" s="1" t="s">
        <v>3201</v>
      </c>
      <c r="E3424" s="1" t="s">
        <v>7084</v>
      </c>
      <c r="F3424" s="1" t="s">
        <v>4880</v>
      </c>
    </row>
    <row r="3425">
      <c r="D3425" s="1" t="s">
        <v>3205</v>
      </c>
      <c r="E3425" s="1" t="s">
        <v>5546</v>
      </c>
      <c r="F3425" s="1" t="s">
        <v>1678</v>
      </c>
    </row>
    <row r="3426">
      <c r="D3426" s="1" t="s">
        <v>4970</v>
      </c>
      <c r="E3426" s="1" t="s">
        <v>3778</v>
      </c>
      <c r="F3426" s="1" t="s">
        <v>3937</v>
      </c>
    </row>
    <row r="3427">
      <c r="D3427" s="1" t="s">
        <v>4971</v>
      </c>
      <c r="E3427" s="1" t="s">
        <v>3630</v>
      </c>
      <c r="F3427" s="1" t="s">
        <v>4790</v>
      </c>
    </row>
    <row r="3428">
      <c r="D3428" s="1" t="s">
        <v>3208</v>
      </c>
      <c r="E3428" s="1" t="s">
        <v>5492</v>
      </c>
      <c r="F3428" s="1" t="s">
        <v>1685</v>
      </c>
    </row>
    <row r="3429">
      <c r="D3429" s="1" t="s">
        <v>6101</v>
      </c>
      <c r="E3429" s="1" t="s">
        <v>3783</v>
      </c>
      <c r="F3429" s="1" t="s">
        <v>2558</v>
      </c>
    </row>
    <row r="3430">
      <c r="D3430" s="1" t="s">
        <v>3210</v>
      </c>
      <c r="E3430" s="1" t="s">
        <v>7085</v>
      </c>
      <c r="F3430" s="1" t="s">
        <v>3096</v>
      </c>
    </row>
    <row r="3431">
      <c r="D3431" s="1" t="s">
        <v>4977</v>
      </c>
      <c r="E3431" s="1" t="s">
        <v>7086</v>
      </c>
      <c r="F3431" s="1" t="s">
        <v>3099</v>
      </c>
    </row>
    <row r="3432">
      <c r="D3432" s="1" t="s">
        <v>3213</v>
      </c>
      <c r="E3432" s="1" t="s">
        <v>2597</v>
      </c>
      <c r="F3432" s="1" t="s">
        <v>3948</v>
      </c>
    </row>
    <row r="3433">
      <c r="D3433" s="1" t="s">
        <v>1692</v>
      </c>
      <c r="E3433" s="1" t="s">
        <v>6051</v>
      </c>
      <c r="F3433" s="1" t="s">
        <v>1723</v>
      </c>
    </row>
    <row r="3434">
      <c r="D3434" s="1" t="s">
        <v>444</v>
      </c>
      <c r="E3434" s="1" t="s">
        <v>6900</v>
      </c>
      <c r="F3434" s="1" t="s">
        <v>4887</v>
      </c>
    </row>
    <row r="3435">
      <c r="D3435" s="1" t="s">
        <v>790</v>
      </c>
      <c r="E3435" s="1" t="s">
        <v>6973</v>
      </c>
      <c r="F3435" s="1" t="s">
        <v>5770</v>
      </c>
    </row>
    <row r="3436">
      <c r="D3436" s="1" t="s">
        <v>1700</v>
      </c>
      <c r="E3436" s="1" t="s">
        <v>5982</v>
      </c>
      <c r="F3436" s="1" t="s">
        <v>7003</v>
      </c>
    </row>
    <row r="3437">
      <c r="D3437" s="1" t="s">
        <v>3225</v>
      </c>
      <c r="E3437" s="1" t="s">
        <v>2810</v>
      </c>
      <c r="F3437" s="1" t="s">
        <v>3103</v>
      </c>
    </row>
    <row r="3438">
      <c r="D3438" s="1" t="s">
        <v>4982</v>
      </c>
      <c r="E3438" s="1" t="s">
        <v>5032</v>
      </c>
      <c r="F3438" s="1" t="s">
        <v>4889</v>
      </c>
    </row>
    <row r="3439">
      <c r="D3439" s="1" t="s">
        <v>6106</v>
      </c>
      <c r="E3439" s="1" t="s">
        <v>1587</v>
      </c>
      <c r="F3439" s="1" t="s">
        <v>5773</v>
      </c>
    </row>
    <row r="3440">
      <c r="D3440" s="1" t="s">
        <v>1455</v>
      </c>
      <c r="E3440" s="1" t="s">
        <v>4610</v>
      </c>
      <c r="F3440" s="1" t="s">
        <v>3106</v>
      </c>
    </row>
    <row r="3441">
      <c r="D3441" s="1" t="s">
        <v>5821</v>
      </c>
      <c r="E3441" s="1" t="s">
        <v>1049</v>
      </c>
      <c r="F3441" s="1" t="s">
        <v>3952</v>
      </c>
    </row>
    <row r="3442">
      <c r="D3442" s="1" t="s">
        <v>4867</v>
      </c>
      <c r="E3442" s="1" t="s">
        <v>5563</v>
      </c>
      <c r="F3442" s="1" t="s">
        <v>3110</v>
      </c>
    </row>
    <row r="3443">
      <c r="D3443" s="1" t="s">
        <v>3228</v>
      </c>
      <c r="E3443" s="1" t="s">
        <v>4499</v>
      </c>
      <c r="F3443" s="1" t="s">
        <v>4848</v>
      </c>
    </row>
    <row r="3444">
      <c r="D3444" s="1" t="s">
        <v>3230</v>
      </c>
      <c r="E3444" s="1" t="s">
        <v>4359</v>
      </c>
      <c r="F3444" s="1" t="s">
        <v>7087</v>
      </c>
    </row>
    <row r="3445">
      <c r="D3445" s="1" t="s">
        <v>4988</v>
      </c>
      <c r="E3445" s="1" t="s">
        <v>5565</v>
      </c>
      <c r="F3445" s="1" t="s">
        <v>4895</v>
      </c>
    </row>
    <row r="3446">
      <c r="D3446" s="1" t="s">
        <v>4990</v>
      </c>
      <c r="E3446" s="1" t="s">
        <v>7088</v>
      </c>
      <c r="F3446" s="1" t="s">
        <v>3117</v>
      </c>
    </row>
    <row r="3447">
      <c r="D3447" s="1" t="s">
        <v>3232</v>
      </c>
      <c r="E3447" s="1" t="s">
        <v>5205</v>
      </c>
      <c r="F3447" s="1" t="s">
        <v>3114</v>
      </c>
    </row>
    <row r="3448">
      <c r="D3448" s="1" t="s">
        <v>4994</v>
      </c>
      <c r="E3448" s="1" t="s">
        <v>6985</v>
      </c>
      <c r="F3448" s="1" t="s">
        <v>4901</v>
      </c>
    </row>
    <row r="3449">
      <c r="D3449" s="1" t="s">
        <v>3235</v>
      </c>
      <c r="E3449" s="1" t="s">
        <v>6902</v>
      </c>
      <c r="F3449" s="1" t="s">
        <v>3116</v>
      </c>
    </row>
    <row r="3450">
      <c r="D3450" s="1" t="s">
        <v>3239</v>
      </c>
      <c r="E3450" s="1" t="s">
        <v>5411</v>
      </c>
      <c r="F3450" s="1" t="s">
        <v>6153</v>
      </c>
    </row>
    <row r="3451">
      <c r="D3451" s="1" t="s">
        <v>3242</v>
      </c>
      <c r="E3451" s="1" t="s">
        <v>6903</v>
      </c>
      <c r="F3451" s="1" t="s">
        <v>3121</v>
      </c>
    </row>
    <row r="3452">
      <c r="D3452" s="1" t="s">
        <v>1837</v>
      </c>
      <c r="E3452" s="1" t="s">
        <v>6905</v>
      </c>
      <c r="F3452" s="1" t="s">
        <v>3124</v>
      </c>
    </row>
    <row r="3453">
      <c r="D3453" s="1" t="s">
        <v>3983</v>
      </c>
      <c r="E3453" s="1" t="s">
        <v>5575</v>
      </c>
      <c r="F3453" s="1" t="s">
        <v>399</v>
      </c>
    </row>
    <row r="3454">
      <c r="D3454" s="1" t="s">
        <v>3245</v>
      </c>
      <c r="E3454" s="1" t="s">
        <v>6906</v>
      </c>
      <c r="F3454" s="1" t="s">
        <v>3129</v>
      </c>
    </row>
    <row r="3455">
      <c r="D3455" s="1" t="s">
        <v>3248</v>
      </c>
      <c r="E3455" s="1" t="s">
        <v>5577</v>
      </c>
      <c r="F3455" s="1" t="s">
        <v>3131</v>
      </c>
    </row>
    <row r="3456">
      <c r="D3456" s="1" t="s">
        <v>1895</v>
      </c>
      <c r="E3456" s="1" t="s">
        <v>5576</v>
      </c>
      <c r="F3456" s="1" t="s">
        <v>6197</v>
      </c>
    </row>
    <row r="3457">
      <c r="D3457" s="1" t="s">
        <v>3249</v>
      </c>
      <c r="E3457" s="1" t="s">
        <v>5871</v>
      </c>
      <c r="F3457" s="1" t="s">
        <v>4911</v>
      </c>
    </row>
    <row r="3458">
      <c r="D3458" s="1" t="s">
        <v>3252</v>
      </c>
      <c r="E3458" s="1" t="s">
        <v>6908</v>
      </c>
      <c r="F3458" s="1" t="s">
        <v>4461</v>
      </c>
    </row>
    <row r="3459">
      <c r="D3459" s="1" t="s">
        <v>5126</v>
      </c>
      <c r="E3459" s="1" t="s">
        <v>6909</v>
      </c>
      <c r="F3459" s="1" t="s">
        <v>6157</v>
      </c>
    </row>
    <row r="3460">
      <c r="D3460" s="1" t="s">
        <v>4633</v>
      </c>
      <c r="E3460" s="1" t="s">
        <v>6057</v>
      </c>
      <c r="F3460" s="1" t="s">
        <v>4919</v>
      </c>
    </row>
    <row r="3461">
      <c r="D3461" s="1" t="s">
        <v>3255</v>
      </c>
      <c r="E3461" s="1" t="s">
        <v>7089</v>
      </c>
      <c r="F3461" s="1" t="s">
        <v>5788</v>
      </c>
    </row>
    <row r="3462">
      <c r="D3462" s="1" t="s">
        <v>3258</v>
      </c>
      <c r="E3462" s="1" t="s">
        <v>4886</v>
      </c>
      <c r="F3462" s="1" t="s">
        <v>3133</v>
      </c>
    </row>
    <row r="3463">
      <c r="D3463" s="1" t="s">
        <v>6115</v>
      </c>
      <c r="E3463" s="1" t="s">
        <v>3798</v>
      </c>
      <c r="F3463" s="1" t="s">
        <v>3139</v>
      </c>
    </row>
    <row r="3464">
      <c r="D3464" s="1" t="s">
        <v>3262</v>
      </c>
      <c r="E3464" s="1" t="s">
        <v>6911</v>
      </c>
      <c r="F3464" s="1" t="s">
        <v>4921</v>
      </c>
    </row>
    <row r="3465">
      <c r="D3465" s="1" t="s">
        <v>5008</v>
      </c>
      <c r="E3465" s="1" t="s">
        <v>5589</v>
      </c>
      <c r="F3465" s="1" t="s">
        <v>5350</v>
      </c>
    </row>
    <row r="3466">
      <c r="D3466" s="1" t="s">
        <v>3266</v>
      </c>
      <c r="E3466" s="1" t="s">
        <v>5587</v>
      </c>
      <c r="F3466" s="1" t="s">
        <v>7090</v>
      </c>
    </row>
    <row r="3467">
      <c r="D3467" s="1" t="s">
        <v>5012</v>
      </c>
      <c r="E3467" s="1" t="s">
        <v>5261</v>
      </c>
      <c r="F3467" s="1" t="s">
        <v>5790</v>
      </c>
    </row>
    <row r="3468">
      <c r="D3468" s="1" t="s">
        <v>3270</v>
      </c>
      <c r="E3468" s="1" t="s">
        <v>4914</v>
      </c>
      <c r="F3468" s="1" t="s">
        <v>4923</v>
      </c>
    </row>
    <row r="3469">
      <c r="D3469" s="1" t="s">
        <v>1915</v>
      </c>
      <c r="E3469" s="1" t="s">
        <v>5019</v>
      </c>
      <c r="F3469" s="1" t="s">
        <v>3141</v>
      </c>
    </row>
    <row r="3470">
      <c r="D3470" s="1" t="s">
        <v>5015</v>
      </c>
      <c r="E3470" s="1" t="s">
        <v>4992</v>
      </c>
      <c r="F3470" s="1" t="s">
        <v>3145</v>
      </c>
    </row>
    <row r="3471">
      <c r="D3471" s="1" t="s">
        <v>3274</v>
      </c>
      <c r="E3471" s="1" t="s">
        <v>5592</v>
      </c>
      <c r="F3471" s="1" t="s">
        <v>3148</v>
      </c>
    </row>
    <row r="3472">
      <c r="D3472" s="1" t="s">
        <v>3276</v>
      </c>
      <c r="E3472" s="1" t="s">
        <v>1644</v>
      </c>
      <c r="F3472" s="1" t="s">
        <v>3151</v>
      </c>
    </row>
    <row r="3473">
      <c r="D3473" s="1" t="s">
        <v>5020</v>
      </c>
      <c r="E3473" s="1" t="s">
        <v>3455</v>
      </c>
      <c r="F3473" s="1" t="s">
        <v>3155</v>
      </c>
    </row>
    <row r="3474">
      <c r="D3474" s="1" t="s">
        <v>5845</v>
      </c>
      <c r="E3474" s="1" t="s">
        <v>732</v>
      </c>
      <c r="F3474" s="1" t="s">
        <v>3157</v>
      </c>
    </row>
    <row r="3475">
      <c r="D3475" s="1" t="s">
        <v>3278</v>
      </c>
      <c r="E3475" s="1" t="s">
        <v>6914</v>
      </c>
      <c r="F3475" s="1" t="s">
        <v>5799</v>
      </c>
    </row>
    <row r="3476">
      <c r="D3476" s="1" t="s">
        <v>3282</v>
      </c>
      <c r="E3476" s="1" t="s">
        <v>4639</v>
      </c>
      <c r="F3476" s="1" t="s">
        <v>3160</v>
      </c>
    </row>
    <row r="3477">
      <c r="D3477" s="1" t="s">
        <v>6118</v>
      </c>
      <c r="E3477" s="1" t="s">
        <v>6915</v>
      </c>
      <c r="F3477" s="1" t="s">
        <v>6090</v>
      </c>
    </row>
    <row r="3478">
      <c r="D3478" s="1" t="s">
        <v>3997</v>
      </c>
      <c r="E3478" s="1" t="s">
        <v>6916</v>
      </c>
      <c r="F3478" s="1" t="s">
        <v>3162</v>
      </c>
    </row>
    <row r="3479">
      <c r="D3479" s="1" t="s">
        <v>5846</v>
      </c>
      <c r="E3479" s="1" t="s">
        <v>5591</v>
      </c>
      <c r="F3479" s="1" t="s">
        <v>5801</v>
      </c>
    </row>
    <row r="3480">
      <c r="D3480" s="1" t="s">
        <v>5023</v>
      </c>
      <c r="E3480" s="1" t="s">
        <v>3806</v>
      </c>
      <c r="F3480" s="1" t="s">
        <v>7091</v>
      </c>
    </row>
    <row r="3481">
      <c r="D3481" s="1" t="s">
        <v>5025</v>
      </c>
      <c r="E3481" s="1" t="s">
        <v>6918</v>
      </c>
      <c r="F3481" s="1" t="s">
        <v>4552</v>
      </c>
    </row>
    <row r="3482">
      <c r="D3482" s="1" t="s">
        <v>3285</v>
      </c>
      <c r="E3482" s="1" t="s">
        <v>3810</v>
      </c>
      <c r="F3482" s="1" t="s">
        <v>4935</v>
      </c>
    </row>
    <row r="3483">
      <c r="D3483" s="1" t="s">
        <v>3287</v>
      </c>
      <c r="E3483" s="1" t="s">
        <v>7092</v>
      </c>
      <c r="F3483" s="1" t="s">
        <v>3166</v>
      </c>
    </row>
    <row r="3484">
      <c r="D3484" s="1" t="s">
        <v>5902</v>
      </c>
      <c r="E3484" s="1" t="s">
        <v>5631</v>
      </c>
      <c r="F3484" s="1" t="s">
        <v>3169</v>
      </c>
    </row>
    <row r="3485">
      <c r="D3485" s="1" t="s">
        <v>3290</v>
      </c>
      <c r="E3485" s="1" t="s">
        <v>6062</v>
      </c>
      <c r="F3485" s="1" t="s">
        <v>3171</v>
      </c>
    </row>
    <row r="3486">
      <c r="D3486" s="1" t="s">
        <v>5029</v>
      </c>
      <c r="E3486" s="1" t="s">
        <v>6065</v>
      </c>
      <c r="F3486" s="1" t="s">
        <v>1518</v>
      </c>
    </row>
    <row r="3487">
      <c r="D3487" s="1" t="s">
        <v>1705</v>
      </c>
      <c r="E3487" s="1" t="s">
        <v>6919</v>
      </c>
      <c r="F3487" s="1" t="s">
        <v>4943</v>
      </c>
    </row>
    <row r="3488">
      <c r="D3488" s="1" t="s">
        <v>3297</v>
      </c>
      <c r="E3488" s="1" t="s">
        <v>5594</v>
      </c>
      <c r="F3488" s="1" t="s">
        <v>3176</v>
      </c>
    </row>
    <row r="3489">
      <c r="D3489" s="1" t="s">
        <v>3303</v>
      </c>
      <c r="E3489" s="1" t="s">
        <v>4143</v>
      </c>
      <c r="F3489" s="1" t="s">
        <v>6095</v>
      </c>
    </row>
    <row r="3490">
      <c r="D3490" s="1" t="s">
        <v>3306</v>
      </c>
      <c r="E3490" s="1" t="s">
        <v>4650</v>
      </c>
      <c r="F3490" s="1" t="s">
        <v>3178</v>
      </c>
    </row>
    <row r="3491">
      <c r="D3491" s="1" t="s">
        <v>6124</v>
      </c>
      <c r="E3491" s="1" t="s">
        <v>3818</v>
      </c>
      <c r="F3491" s="1" t="s">
        <v>7093</v>
      </c>
    </row>
    <row r="3492">
      <c r="D3492" s="1">
        <v>1962.0</v>
      </c>
      <c r="E3492" s="1" t="s">
        <v>3822</v>
      </c>
      <c r="F3492" s="1" t="s">
        <v>3179</v>
      </c>
    </row>
    <row r="3493">
      <c r="D3493" s="1" t="s">
        <v>3312</v>
      </c>
      <c r="E3493" s="1" t="s">
        <v>1125</v>
      </c>
      <c r="F3493" s="1" t="s">
        <v>3183</v>
      </c>
    </row>
    <row r="3494">
      <c r="D3494" s="1" t="s">
        <v>6125</v>
      </c>
      <c r="E3494" s="1" t="s">
        <v>7094</v>
      </c>
      <c r="F3494" s="1" t="s">
        <v>4948</v>
      </c>
    </row>
    <row r="3495">
      <c r="D3495" s="1" t="s">
        <v>6126</v>
      </c>
      <c r="E3495" s="1" t="s">
        <v>7095</v>
      </c>
      <c r="F3495" s="1" t="s">
        <v>4951</v>
      </c>
    </row>
    <row r="3496">
      <c r="D3496" s="1" t="s">
        <v>3314</v>
      </c>
      <c r="E3496" s="1" t="s">
        <v>5600</v>
      </c>
      <c r="F3496" s="1" t="s">
        <v>4956</v>
      </c>
    </row>
    <row r="3497">
      <c r="D3497" s="1" t="s">
        <v>3318</v>
      </c>
      <c r="E3497" s="1" t="s">
        <v>2859</v>
      </c>
      <c r="F3497" s="1">
        <v>88.0</v>
      </c>
    </row>
    <row r="3498">
      <c r="D3498" s="1" t="s">
        <v>5855</v>
      </c>
      <c r="E3498" s="1" t="s">
        <v>5601</v>
      </c>
      <c r="F3498" s="1" t="s">
        <v>3187</v>
      </c>
    </row>
    <row r="3499">
      <c r="D3499" s="1">
        <v>1987.0</v>
      </c>
      <c r="E3499" s="1" t="s">
        <v>4657</v>
      </c>
      <c r="F3499" s="1" t="s">
        <v>3191</v>
      </c>
    </row>
    <row r="3500">
      <c r="D3500" s="1" t="s">
        <v>5041</v>
      </c>
      <c r="E3500" s="1" t="s">
        <v>6040</v>
      </c>
      <c r="F3500" s="1" t="s">
        <v>7096</v>
      </c>
    </row>
    <row r="3501">
      <c r="D3501" s="1" t="s">
        <v>5045</v>
      </c>
      <c r="E3501" s="1" t="s">
        <v>7097</v>
      </c>
      <c r="F3501" s="1" t="s">
        <v>4964</v>
      </c>
    </row>
    <row r="3502">
      <c r="D3502" s="1" t="s">
        <v>3321</v>
      </c>
      <c r="E3502" s="1" t="s">
        <v>6067</v>
      </c>
      <c r="F3502" s="1" t="s">
        <v>3194</v>
      </c>
    </row>
    <row r="3503">
      <c r="D3503" s="1" t="s">
        <v>5049</v>
      </c>
      <c r="E3503" s="1" t="s">
        <v>1968</v>
      </c>
      <c r="F3503" s="1" t="s">
        <v>3197</v>
      </c>
    </row>
    <row r="3504">
      <c r="D3504" s="1" t="s">
        <v>6127</v>
      </c>
      <c r="E3504" s="1" t="s">
        <v>3832</v>
      </c>
      <c r="F3504" s="1" t="s">
        <v>3201</v>
      </c>
    </row>
    <row r="3505">
      <c r="D3505" s="1" t="s">
        <v>5857</v>
      </c>
      <c r="E3505" s="1" t="s">
        <v>2612</v>
      </c>
      <c r="F3505" s="1" t="s">
        <v>3205</v>
      </c>
    </row>
    <row r="3506">
      <c r="D3506" s="1" t="s">
        <v>6128</v>
      </c>
      <c r="E3506" s="1" t="s">
        <v>6922</v>
      </c>
      <c r="F3506" s="1" t="s">
        <v>5810</v>
      </c>
    </row>
    <row r="3507">
      <c r="D3507" s="1" t="s">
        <v>5860</v>
      </c>
      <c r="E3507" s="1" t="s">
        <v>6923</v>
      </c>
      <c r="F3507" s="1" t="s">
        <v>4970</v>
      </c>
    </row>
    <row r="3508">
      <c r="D3508" s="1" t="s">
        <v>3324</v>
      </c>
      <c r="E3508" s="1" t="s">
        <v>743</v>
      </c>
      <c r="F3508" s="1" t="s">
        <v>4971</v>
      </c>
    </row>
    <row r="3509">
      <c r="D3509" s="1" t="s">
        <v>6129</v>
      </c>
      <c r="E3509" s="1" t="s">
        <v>3833</v>
      </c>
      <c r="F3509" s="1" t="s">
        <v>3208</v>
      </c>
    </row>
    <row r="3510">
      <c r="D3510" s="1" t="s">
        <v>6130</v>
      </c>
      <c r="E3510" s="1" t="s">
        <v>5442</v>
      </c>
      <c r="F3510" s="1" t="s">
        <v>6173</v>
      </c>
    </row>
    <row r="3511">
      <c r="D3511" s="1" t="s">
        <v>3327</v>
      </c>
      <c r="E3511" s="1" t="s">
        <v>4559</v>
      </c>
      <c r="F3511" s="1" t="s">
        <v>3210</v>
      </c>
    </row>
    <row r="3512">
      <c r="D3512" s="1" t="s">
        <v>5052</v>
      </c>
      <c r="E3512" s="1" t="s">
        <v>7098</v>
      </c>
      <c r="F3512" s="1" t="s">
        <v>3213</v>
      </c>
    </row>
    <row r="3513">
      <c r="D3513" s="1" t="s">
        <v>3332</v>
      </c>
      <c r="E3513" s="1" t="s">
        <v>1907</v>
      </c>
      <c r="F3513" s="1" t="s">
        <v>7016</v>
      </c>
    </row>
    <row r="3514">
      <c r="D3514" s="1" t="s">
        <v>5054</v>
      </c>
      <c r="E3514" s="1" t="s">
        <v>6924</v>
      </c>
      <c r="F3514" s="1" t="s">
        <v>7099</v>
      </c>
    </row>
    <row r="3515">
      <c r="D3515" s="1" t="s">
        <v>3334</v>
      </c>
      <c r="E3515" s="1" t="s">
        <v>6925</v>
      </c>
      <c r="F3515" s="1" t="s">
        <v>1692</v>
      </c>
    </row>
    <row r="3516">
      <c r="D3516" s="1" t="s">
        <v>3339</v>
      </c>
      <c r="E3516" s="1" t="s">
        <v>6011</v>
      </c>
      <c r="F3516" s="1" t="s">
        <v>444</v>
      </c>
    </row>
    <row r="3517">
      <c r="D3517" s="1" t="s">
        <v>3341</v>
      </c>
      <c r="E3517" s="1">
        <v>120.0</v>
      </c>
      <c r="F3517" s="1" t="s">
        <v>7100</v>
      </c>
    </row>
    <row r="3518">
      <c r="D3518" s="1" t="s">
        <v>3344</v>
      </c>
      <c r="E3518" s="1" t="s">
        <v>5560</v>
      </c>
      <c r="F3518" s="1" t="s">
        <v>790</v>
      </c>
    </row>
    <row r="3519">
      <c r="D3519" s="1" t="s">
        <v>5058</v>
      </c>
      <c r="E3519" s="1" t="s">
        <v>5615</v>
      </c>
      <c r="F3519" s="1" t="s">
        <v>1700</v>
      </c>
    </row>
    <row r="3520">
      <c r="D3520" s="1" t="s">
        <v>6132</v>
      </c>
      <c r="E3520" s="1" t="s">
        <v>6013</v>
      </c>
      <c r="F3520" s="1" t="s">
        <v>3225</v>
      </c>
    </row>
    <row r="3521">
      <c r="D3521" s="1" t="s">
        <v>3350</v>
      </c>
      <c r="E3521" s="1" t="s">
        <v>6074</v>
      </c>
      <c r="F3521" s="1" t="s">
        <v>7101</v>
      </c>
    </row>
    <row r="3522">
      <c r="D3522" s="1" t="s">
        <v>3353</v>
      </c>
      <c r="E3522" s="1" t="s">
        <v>1604</v>
      </c>
      <c r="F3522" s="1" t="s">
        <v>7021</v>
      </c>
    </row>
    <row r="3523">
      <c r="D3523" s="1" t="s">
        <v>3354</v>
      </c>
      <c r="E3523" s="1" t="s">
        <v>3204</v>
      </c>
      <c r="F3523" s="1" t="s">
        <v>5821</v>
      </c>
    </row>
    <row r="3524">
      <c r="D3524" s="1" t="s">
        <v>6135</v>
      </c>
      <c r="E3524" s="1" t="s">
        <v>6926</v>
      </c>
      <c r="F3524" s="1" t="s">
        <v>4867</v>
      </c>
    </row>
    <row r="3525">
      <c r="D3525" s="1" t="s">
        <v>6136</v>
      </c>
      <c r="E3525" s="1" t="s">
        <v>5621</v>
      </c>
      <c r="F3525" s="1" t="s">
        <v>3228</v>
      </c>
    </row>
    <row r="3526">
      <c r="D3526" s="1" t="s">
        <v>6138</v>
      </c>
      <c r="E3526" s="1" t="s">
        <v>3843</v>
      </c>
      <c r="F3526" s="1" t="s">
        <v>3230</v>
      </c>
    </row>
    <row r="3527">
      <c r="D3527" s="1" t="s">
        <v>6139</v>
      </c>
      <c r="E3527" s="1" t="s">
        <v>6020</v>
      </c>
      <c r="F3527" s="1" t="s">
        <v>6176</v>
      </c>
    </row>
    <row r="3528">
      <c r="D3528" s="1" t="s">
        <v>6140</v>
      </c>
      <c r="E3528" s="1" t="s">
        <v>6927</v>
      </c>
      <c r="F3528" s="1" t="s">
        <v>4990</v>
      </c>
    </row>
    <row r="3529">
      <c r="D3529" s="1" t="s">
        <v>5274</v>
      </c>
      <c r="E3529" s="1" t="s">
        <v>6928</v>
      </c>
      <c r="F3529" s="1" t="s">
        <v>3232</v>
      </c>
    </row>
    <row r="3530">
      <c r="D3530" s="1" t="s">
        <v>3357</v>
      </c>
      <c r="E3530" s="1" t="s">
        <v>4795</v>
      </c>
      <c r="F3530" s="1" t="s">
        <v>3235</v>
      </c>
    </row>
    <row r="3531">
      <c r="D3531" s="1" t="s">
        <v>5062</v>
      </c>
      <c r="E3531" s="1" t="s">
        <v>5630</v>
      </c>
      <c r="F3531" s="1" t="s">
        <v>3239</v>
      </c>
    </row>
    <row r="3532">
      <c r="D3532" s="1" t="s">
        <v>3360</v>
      </c>
      <c r="E3532" s="1" t="s">
        <v>6929</v>
      </c>
      <c r="F3532" s="1" t="s">
        <v>3242</v>
      </c>
    </row>
    <row r="3533">
      <c r="D3533" s="1" t="s">
        <v>5065</v>
      </c>
      <c r="E3533" s="1" t="s">
        <v>7102</v>
      </c>
      <c r="F3533" s="1" t="s">
        <v>1837</v>
      </c>
    </row>
    <row r="3534">
      <c r="D3534" s="1" t="s">
        <v>6103</v>
      </c>
      <c r="E3534" s="1" t="s">
        <v>6021</v>
      </c>
      <c r="F3534" s="1" t="s">
        <v>3245</v>
      </c>
    </row>
    <row r="3535">
      <c r="D3535" s="1" t="s">
        <v>1712</v>
      </c>
      <c r="E3535" s="1" t="s">
        <v>7103</v>
      </c>
      <c r="F3535" s="1" t="s">
        <v>3986</v>
      </c>
    </row>
    <row r="3536">
      <c r="D3536" s="1" t="s">
        <v>3367</v>
      </c>
      <c r="E3536" s="1" t="s">
        <v>7104</v>
      </c>
      <c r="F3536" s="1" t="s">
        <v>3248</v>
      </c>
    </row>
    <row r="3537">
      <c r="D3537" s="1" t="s">
        <v>6145</v>
      </c>
      <c r="E3537" s="1" t="s">
        <v>4916</v>
      </c>
      <c r="F3537" s="1" t="s">
        <v>1895</v>
      </c>
    </row>
    <row r="3538">
      <c r="D3538" s="1" t="s">
        <v>4598</v>
      </c>
      <c r="E3538" s="1" t="s">
        <v>6023</v>
      </c>
      <c r="F3538" s="1" t="s">
        <v>3249</v>
      </c>
    </row>
    <row r="3539">
      <c r="D3539" s="1" t="s">
        <v>5879</v>
      </c>
      <c r="E3539" s="1" t="s">
        <v>6931</v>
      </c>
      <c r="F3539" s="1" t="s">
        <v>3252</v>
      </c>
    </row>
    <row r="3540">
      <c r="D3540" s="1" t="s">
        <v>5068</v>
      </c>
      <c r="E3540" s="1" t="s">
        <v>413</v>
      </c>
      <c r="F3540" s="1" t="s">
        <v>3255</v>
      </c>
    </row>
    <row r="3541">
      <c r="D3541" s="1" t="s">
        <v>5071</v>
      </c>
      <c r="E3541" s="1" t="s">
        <v>6932</v>
      </c>
      <c r="F3541" s="1" t="s">
        <v>3258</v>
      </c>
    </row>
    <row r="3542">
      <c r="D3542" s="1" t="s">
        <v>3331</v>
      </c>
      <c r="E3542" s="1" t="s">
        <v>5633</v>
      </c>
      <c r="F3542" s="1" t="s">
        <v>3262</v>
      </c>
    </row>
    <row r="3543">
      <c r="D3543" s="1" t="s">
        <v>6147</v>
      </c>
      <c r="E3543" s="1" t="s">
        <v>6078</v>
      </c>
      <c r="F3543" s="1" t="s">
        <v>5836</v>
      </c>
    </row>
    <row r="3544">
      <c r="D3544" s="1" t="s">
        <v>5074</v>
      </c>
      <c r="E3544" s="1" t="s">
        <v>7010</v>
      </c>
      <c r="F3544" s="1" t="s">
        <v>7105</v>
      </c>
    </row>
    <row r="3545">
      <c r="D3545" s="1" t="s">
        <v>5077</v>
      </c>
      <c r="E3545" s="1" t="s">
        <v>4577</v>
      </c>
      <c r="F3545" s="1" t="s">
        <v>5008</v>
      </c>
    </row>
    <row r="3546">
      <c r="D3546" s="1" t="s">
        <v>3371</v>
      </c>
      <c r="E3546" s="1" t="s">
        <v>1691</v>
      </c>
      <c r="F3546" s="1" t="s">
        <v>3266</v>
      </c>
    </row>
    <row r="3547">
      <c r="D3547" s="1" t="s">
        <v>5881</v>
      </c>
      <c r="E3547" s="1" t="s">
        <v>5634</v>
      </c>
      <c r="F3547" s="1" t="s">
        <v>5012</v>
      </c>
    </row>
    <row r="3548">
      <c r="D3548" s="1" t="s">
        <v>3375</v>
      </c>
      <c r="E3548" s="1" t="s">
        <v>5636</v>
      </c>
      <c r="F3548" s="1" t="s">
        <v>3270</v>
      </c>
    </row>
    <row r="3549">
      <c r="D3549" s="1" t="s">
        <v>5080</v>
      </c>
      <c r="E3549" s="1" t="s">
        <v>6933</v>
      </c>
      <c r="F3549" s="1" t="s">
        <v>7033</v>
      </c>
    </row>
    <row r="3550">
      <c r="D3550" s="1" t="s">
        <v>5885</v>
      </c>
      <c r="E3550" s="1" t="s">
        <v>1019</v>
      </c>
      <c r="F3550" s="1" t="s">
        <v>1915</v>
      </c>
    </row>
    <row r="3551">
      <c r="D3551" s="1" t="s">
        <v>5035</v>
      </c>
      <c r="E3551" s="1" t="s">
        <v>7106</v>
      </c>
      <c r="F3551" s="1" t="s">
        <v>3274</v>
      </c>
    </row>
    <row r="3552">
      <c r="D3552" s="1" t="s">
        <v>5887</v>
      </c>
      <c r="E3552" s="1">
        <v>18.0</v>
      </c>
      <c r="F3552" s="1" t="s">
        <v>3276</v>
      </c>
    </row>
    <row r="3553">
      <c r="D3553" s="1" t="s">
        <v>3379</v>
      </c>
      <c r="E3553" s="1" t="s">
        <v>4249</v>
      </c>
      <c r="F3553" s="1" t="s">
        <v>5020</v>
      </c>
    </row>
    <row r="3554">
      <c r="D3554" s="1" t="s">
        <v>5894</v>
      </c>
      <c r="E3554" s="1" t="s">
        <v>6934</v>
      </c>
      <c r="F3554" s="1" t="s">
        <v>5844</v>
      </c>
    </row>
    <row r="3555">
      <c r="D3555" s="1" t="s">
        <v>3381</v>
      </c>
      <c r="E3555" s="1" t="s">
        <v>3981</v>
      </c>
      <c r="F3555" s="1" t="s">
        <v>3278</v>
      </c>
    </row>
    <row r="3556">
      <c r="D3556" s="1" t="s">
        <v>6150</v>
      </c>
      <c r="E3556" s="1" t="s">
        <v>7107</v>
      </c>
      <c r="F3556" s="1" t="s">
        <v>3282</v>
      </c>
    </row>
    <row r="3557">
      <c r="D3557" s="1" t="s">
        <v>5898</v>
      </c>
      <c r="E3557" s="1" t="s">
        <v>4308</v>
      </c>
      <c r="F3557" s="1" t="s">
        <v>5846</v>
      </c>
    </row>
    <row r="3558">
      <c r="D3558" s="1" t="s">
        <v>3384</v>
      </c>
      <c r="E3558" s="1" t="s">
        <v>3857</v>
      </c>
      <c r="F3558" s="1" t="s">
        <v>7108</v>
      </c>
    </row>
    <row r="3559">
      <c r="D3559" s="1" t="s">
        <v>3386</v>
      </c>
      <c r="E3559" s="1" t="s">
        <v>6936</v>
      </c>
      <c r="F3559" s="1" t="s">
        <v>3383</v>
      </c>
    </row>
    <row r="3560">
      <c r="D3560" s="1" t="s">
        <v>5899</v>
      </c>
      <c r="E3560" s="1" t="s">
        <v>7109</v>
      </c>
      <c r="F3560" s="1" t="s">
        <v>5025</v>
      </c>
    </row>
    <row r="3561">
      <c r="D3561" s="1" t="s">
        <v>5085</v>
      </c>
      <c r="E3561" s="1" t="s">
        <v>5613</v>
      </c>
      <c r="F3561" s="1" t="s">
        <v>3285</v>
      </c>
    </row>
    <row r="3562">
      <c r="D3562" s="1" t="s">
        <v>5901</v>
      </c>
      <c r="E3562" s="1" t="s">
        <v>6938</v>
      </c>
      <c r="F3562" s="1" t="s">
        <v>3287</v>
      </c>
    </row>
    <row r="3563">
      <c r="D3563" s="1" t="s">
        <v>3390</v>
      </c>
      <c r="E3563" s="1" t="s">
        <v>4300</v>
      </c>
      <c r="F3563" s="1" t="s">
        <v>5902</v>
      </c>
    </row>
    <row r="3564">
      <c r="D3564" s="1"/>
      <c r="E3564" s="1" t="s">
        <v>5423</v>
      </c>
      <c r="F3564" s="1" t="s">
        <v>5850</v>
      </c>
    </row>
    <row r="3565">
      <c r="D3565" s="1"/>
      <c r="E3565" s="1" t="s">
        <v>1684</v>
      </c>
      <c r="F3565" s="1" t="s">
        <v>3290</v>
      </c>
    </row>
    <row r="3566">
      <c r="D3566" s="1"/>
      <c r="E3566" s="1">
        <v>2000.0</v>
      </c>
      <c r="F3566" s="1" t="s">
        <v>5029</v>
      </c>
    </row>
    <row r="3567">
      <c r="D3567" s="1"/>
      <c r="E3567" s="1" t="s">
        <v>3968</v>
      </c>
      <c r="F3567" s="1" t="s">
        <v>1705</v>
      </c>
    </row>
    <row r="3568">
      <c r="D3568" s="1"/>
      <c r="E3568" s="1" t="s">
        <v>6940</v>
      </c>
      <c r="F3568" s="1" t="s">
        <v>3297</v>
      </c>
    </row>
    <row r="3569">
      <c r="D3569" s="1"/>
      <c r="E3569" s="1" t="s">
        <v>6941</v>
      </c>
      <c r="F3569" s="1" t="s">
        <v>3303</v>
      </c>
    </row>
    <row r="3570">
      <c r="D3570" s="1"/>
      <c r="E3570" s="1" t="s">
        <v>7020</v>
      </c>
      <c r="F3570" s="1" t="s">
        <v>3306</v>
      </c>
    </row>
    <row r="3571">
      <c r="D3571" s="1"/>
      <c r="E3571" s="1" t="s">
        <v>4693</v>
      </c>
      <c r="F3571" s="1">
        <v>1962.0</v>
      </c>
    </row>
    <row r="3572">
      <c r="D3572" s="1"/>
      <c r="E3572" s="1" t="s">
        <v>5520</v>
      </c>
      <c r="F3572" s="1" t="s">
        <v>3312</v>
      </c>
    </row>
    <row r="3573">
      <c r="D3573" s="1"/>
      <c r="E3573" s="1" t="s">
        <v>1720</v>
      </c>
      <c r="F3573" s="1" t="s">
        <v>6125</v>
      </c>
    </row>
    <row r="3574">
      <c r="D3574" s="1"/>
      <c r="E3574" s="1" t="s">
        <v>6942</v>
      </c>
      <c r="F3574" s="1" t="s">
        <v>5854</v>
      </c>
    </row>
    <row r="3575">
      <c r="D3575" s="1"/>
      <c r="E3575" s="1" t="s">
        <v>4695</v>
      </c>
      <c r="F3575" s="1" t="s">
        <v>3314</v>
      </c>
    </row>
    <row r="3576">
      <c r="D3576" s="1"/>
      <c r="E3576" s="1" t="s">
        <v>5939</v>
      </c>
      <c r="F3576" s="1" t="s">
        <v>3318</v>
      </c>
    </row>
    <row r="3577">
      <c r="D3577" s="1"/>
      <c r="E3577" s="1" t="s">
        <v>7110</v>
      </c>
      <c r="F3577" s="1" t="s">
        <v>7111</v>
      </c>
    </row>
    <row r="3578">
      <c r="D3578" s="1"/>
      <c r="E3578" s="1" t="s">
        <v>5758</v>
      </c>
      <c r="F3578" s="1" t="s">
        <v>5041</v>
      </c>
    </row>
    <row r="3579">
      <c r="D3579" s="1"/>
      <c r="E3579" s="1" t="s">
        <v>4721</v>
      </c>
      <c r="F3579" s="1" t="s">
        <v>5045</v>
      </c>
    </row>
    <row r="3580">
      <c r="D3580" s="1"/>
      <c r="E3580" s="1" t="s">
        <v>6943</v>
      </c>
      <c r="F3580" s="1" t="s">
        <v>3321</v>
      </c>
    </row>
    <row r="3581">
      <c r="D3581" s="1"/>
      <c r="E3581" s="1" t="s">
        <v>6944</v>
      </c>
      <c r="F3581" s="1" t="s">
        <v>5049</v>
      </c>
    </row>
    <row r="3582">
      <c r="D3582" s="1"/>
      <c r="E3582" s="1" t="s">
        <v>6945</v>
      </c>
      <c r="F3582" s="1" t="s">
        <v>5857</v>
      </c>
    </row>
    <row r="3583">
      <c r="D3583" s="1"/>
      <c r="E3583" s="1" t="s">
        <v>4735</v>
      </c>
      <c r="F3583" s="1" t="s">
        <v>6128</v>
      </c>
    </row>
    <row r="3584">
      <c r="D3584" s="1"/>
      <c r="E3584" s="1" t="s">
        <v>3504</v>
      </c>
      <c r="F3584" s="1" t="s">
        <v>7045</v>
      </c>
    </row>
    <row r="3585">
      <c r="D3585" s="1"/>
      <c r="E3585" s="1" t="s">
        <v>6947</v>
      </c>
      <c r="F3585" s="1" t="s">
        <v>3324</v>
      </c>
    </row>
    <row r="3586">
      <c r="D3586" s="1"/>
      <c r="E3586" s="1" t="s">
        <v>5843</v>
      </c>
      <c r="F3586" s="1" t="s">
        <v>6130</v>
      </c>
    </row>
    <row r="3587">
      <c r="D3587" s="1"/>
      <c r="E3587" s="1" t="s">
        <v>4955</v>
      </c>
      <c r="F3587" s="1" t="s">
        <v>3327</v>
      </c>
    </row>
    <row r="3588">
      <c r="D3588" s="1"/>
      <c r="E3588" s="1" t="s">
        <v>3265</v>
      </c>
      <c r="F3588" s="1" t="s">
        <v>3332</v>
      </c>
    </row>
    <row r="3589">
      <c r="D3589" s="1"/>
      <c r="E3589" s="1" t="s">
        <v>5649</v>
      </c>
      <c r="F3589" s="1" t="s">
        <v>5865</v>
      </c>
    </row>
    <row r="3590">
      <c r="D3590" s="1"/>
      <c r="E3590" s="1" t="s">
        <v>3861</v>
      </c>
      <c r="F3590" s="1" t="s">
        <v>3334</v>
      </c>
    </row>
    <row r="3591">
      <c r="D3591" s="1"/>
      <c r="E3591" s="1" t="s">
        <v>5655</v>
      </c>
      <c r="F3591" s="1" t="s">
        <v>3339</v>
      </c>
    </row>
    <row r="3592">
      <c r="D3592" s="1"/>
      <c r="E3592" s="1" t="s">
        <v>5777</v>
      </c>
      <c r="F3592" s="1" t="s">
        <v>3341</v>
      </c>
    </row>
    <row r="3593">
      <c r="D3593" s="1"/>
      <c r="E3593" s="1" t="s">
        <v>7112</v>
      </c>
      <c r="F3593" s="1" t="s">
        <v>3344</v>
      </c>
    </row>
    <row r="3594">
      <c r="D3594" s="1"/>
      <c r="E3594" s="1" t="s">
        <v>6948</v>
      </c>
      <c r="F3594" s="1" t="s">
        <v>7113</v>
      </c>
    </row>
    <row r="3595">
      <c r="D3595" s="1"/>
      <c r="E3595" s="1" t="s">
        <v>1681</v>
      </c>
      <c r="F3595" s="1" t="s">
        <v>5058</v>
      </c>
    </row>
    <row r="3596">
      <c r="D3596" s="1"/>
      <c r="E3596" s="1" t="s">
        <v>6091</v>
      </c>
      <c r="F3596" s="1" t="s">
        <v>3350</v>
      </c>
    </row>
    <row r="3597">
      <c r="D3597" s="1"/>
      <c r="E3597" s="1" t="s">
        <v>5661</v>
      </c>
      <c r="F3597" s="1" t="s">
        <v>3353</v>
      </c>
    </row>
    <row r="3598">
      <c r="D3598" s="1"/>
      <c r="E3598" s="1" t="s">
        <v>4711</v>
      </c>
      <c r="F3598" s="1" t="s">
        <v>3354</v>
      </c>
    </row>
    <row r="3599">
      <c r="D3599" s="1"/>
      <c r="E3599" s="1" t="s">
        <v>2933</v>
      </c>
      <c r="F3599" s="1" t="s">
        <v>7058</v>
      </c>
    </row>
    <row r="3600">
      <c r="D3600" s="1"/>
      <c r="E3600" s="1" t="s">
        <v>6949</v>
      </c>
      <c r="F3600" s="1" t="s">
        <v>7114</v>
      </c>
    </row>
    <row r="3601">
      <c r="D3601" s="1"/>
      <c r="E3601" s="1">
        <v>1960.0</v>
      </c>
      <c r="F3601" s="1" t="s">
        <v>5874</v>
      </c>
    </row>
    <row r="3602">
      <c r="D3602" s="1"/>
      <c r="E3602" s="1" t="s">
        <v>6950</v>
      </c>
      <c r="F3602" s="1" t="s">
        <v>6140</v>
      </c>
    </row>
    <row r="3603">
      <c r="D3603" s="1"/>
      <c r="E3603" s="1" t="s">
        <v>6094</v>
      </c>
      <c r="F3603" s="1" t="s">
        <v>5274</v>
      </c>
    </row>
    <row r="3604">
      <c r="D3604" s="1"/>
      <c r="E3604" s="1" t="s">
        <v>2938</v>
      </c>
      <c r="F3604" s="1" t="s">
        <v>3357</v>
      </c>
    </row>
    <row r="3605">
      <c r="D3605" s="1"/>
      <c r="E3605" s="1" t="s">
        <v>7115</v>
      </c>
      <c r="F3605" s="1" t="s">
        <v>5062</v>
      </c>
    </row>
    <row r="3606">
      <c r="D3606" s="1"/>
      <c r="E3606" s="1" t="s">
        <v>6032</v>
      </c>
      <c r="F3606" s="1" t="s">
        <v>6187</v>
      </c>
    </row>
    <row r="3607">
      <c r="D3607" s="1"/>
      <c r="E3607" s="1" t="s">
        <v>1645</v>
      </c>
      <c r="F3607" s="1" t="s">
        <v>3360</v>
      </c>
    </row>
    <row r="3608">
      <c r="D3608" s="1"/>
      <c r="E3608" s="1" t="s">
        <v>5428</v>
      </c>
      <c r="F3608" s="1" t="s">
        <v>6103</v>
      </c>
    </row>
    <row r="3609">
      <c r="D3609" s="1"/>
      <c r="E3609" s="1" t="s">
        <v>4726</v>
      </c>
      <c r="F3609" s="1" t="s">
        <v>1712</v>
      </c>
    </row>
    <row r="3610">
      <c r="D3610" s="1"/>
      <c r="E3610" s="1" t="s">
        <v>4728</v>
      </c>
      <c r="F3610" s="1" t="s">
        <v>3367</v>
      </c>
    </row>
    <row r="3611">
      <c r="D3611" s="1"/>
      <c r="E3611" s="1" t="s">
        <v>757</v>
      </c>
      <c r="F3611" s="1" t="s">
        <v>6145</v>
      </c>
    </row>
    <row r="3612">
      <c r="D3612" s="1"/>
      <c r="E3612" s="1" t="s">
        <v>5654</v>
      </c>
      <c r="F3612" s="1" t="s">
        <v>5879</v>
      </c>
    </row>
    <row r="3613">
      <c r="D3613" s="1"/>
      <c r="E3613" s="1" t="s">
        <v>6034</v>
      </c>
      <c r="F3613" s="1" t="s">
        <v>5071</v>
      </c>
    </row>
    <row r="3614">
      <c r="D3614" s="1"/>
      <c r="E3614" s="1" t="s">
        <v>5320</v>
      </c>
      <c r="F3614" s="1" t="s">
        <v>3331</v>
      </c>
    </row>
    <row r="3615">
      <c r="D3615" s="1"/>
      <c r="E3615" s="1" t="s">
        <v>5673</v>
      </c>
      <c r="F3615" s="1" t="s">
        <v>7069</v>
      </c>
    </row>
    <row r="3616">
      <c r="D3616" s="1"/>
      <c r="E3616" s="1" t="s">
        <v>6207</v>
      </c>
      <c r="F3616" s="1" t="s">
        <v>3371</v>
      </c>
    </row>
    <row r="3617">
      <c r="D3617" s="1"/>
      <c r="E3617" s="1" t="s">
        <v>5675</v>
      </c>
      <c r="F3617" s="1" t="s">
        <v>7116</v>
      </c>
    </row>
    <row r="3618">
      <c r="D3618" s="1"/>
      <c r="E3618" s="1" t="s">
        <v>4541</v>
      </c>
      <c r="F3618" s="1" t="s">
        <v>3375</v>
      </c>
    </row>
    <row r="3619">
      <c r="D3619" s="1"/>
      <c r="E3619" s="1" t="s">
        <v>6951</v>
      </c>
      <c r="F3619" s="1" t="s">
        <v>5885</v>
      </c>
    </row>
    <row r="3620">
      <c r="D3620" s="1"/>
      <c r="E3620" s="1" t="s">
        <v>6102</v>
      </c>
      <c r="F3620" s="1" t="s">
        <v>5887</v>
      </c>
    </row>
    <row r="3621">
      <c r="D3621" s="1"/>
      <c r="E3621" s="1" t="s">
        <v>6952</v>
      </c>
      <c r="F3621" s="1" t="s">
        <v>3379</v>
      </c>
    </row>
    <row r="3622">
      <c r="D3622" s="1"/>
      <c r="E3622" s="1" t="s">
        <v>5676</v>
      </c>
      <c r="F3622" s="1" t="s">
        <v>3381</v>
      </c>
    </row>
    <row r="3623">
      <c r="D3623" s="1"/>
      <c r="E3623" s="1" t="s">
        <v>6953</v>
      </c>
      <c r="F3623" s="1" t="s">
        <v>5898</v>
      </c>
    </row>
    <row r="3624">
      <c r="D3624" s="1"/>
      <c r="E3624" s="1" t="s">
        <v>6954</v>
      </c>
      <c r="F3624" s="1" t="s">
        <v>3384</v>
      </c>
    </row>
    <row r="3625">
      <c r="D3625" s="1"/>
      <c r="E3625" s="1" t="s">
        <v>5260</v>
      </c>
      <c r="F3625" s="1" t="s">
        <v>3386</v>
      </c>
    </row>
    <row r="3626">
      <c r="D3626" s="1"/>
      <c r="E3626" s="1" t="s">
        <v>7050</v>
      </c>
      <c r="F3626" s="1" t="s">
        <v>5085</v>
      </c>
    </row>
    <row r="3627">
      <c r="D3627" s="1"/>
      <c r="E3627" s="1" t="s">
        <v>5915</v>
      </c>
      <c r="F3627" s="1" t="s">
        <v>3390</v>
      </c>
    </row>
    <row r="3628">
      <c r="D3628" s="1"/>
      <c r="E3628" s="1" t="s">
        <v>6955</v>
      </c>
    </row>
    <row r="3629">
      <c r="D3629" s="1"/>
      <c r="E3629" s="1" t="s">
        <v>4686</v>
      </c>
    </row>
    <row r="3630">
      <c r="D3630" s="1"/>
      <c r="E3630" s="1" t="s">
        <v>7117</v>
      </c>
    </row>
    <row r="3631">
      <c r="D3631" s="1"/>
      <c r="E3631" s="1" t="s">
        <v>1808</v>
      </c>
    </row>
    <row r="3632">
      <c r="D3632" s="1"/>
      <c r="E3632" s="1" t="s">
        <v>4052</v>
      </c>
    </row>
    <row r="3633">
      <c r="D3633" s="1"/>
      <c r="E3633" s="1" t="s">
        <v>6041</v>
      </c>
    </row>
    <row r="3634">
      <c r="D3634" s="1"/>
      <c r="E3634" s="1" t="s">
        <v>6956</v>
      </c>
    </row>
    <row r="3635">
      <c r="D3635" s="1"/>
      <c r="E3635" s="1" t="s">
        <v>6043</v>
      </c>
    </row>
    <row r="3636">
      <c r="D3636" s="1"/>
      <c r="E3636" s="1">
        <v>1957.0</v>
      </c>
    </row>
    <row r="3637">
      <c r="D3637" s="1"/>
      <c r="E3637" s="1" t="s">
        <v>6958</v>
      </c>
    </row>
    <row r="3638">
      <c r="D3638" s="1"/>
      <c r="E3638" s="1">
        <v>72.0</v>
      </c>
    </row>
    <row r="3639">
      <c r="D3639" s="1"/>
      <c r="E3639" s="1" t="s">
        <v>6108</v>
      </c>
    </row>
    <row r="3640">
      <c r="D3640" s="1"/>
      <c r="E3640" s="1" t="s">
        <v>4910</v>
      </c>
    </row>
    <row r="3641">
      <c r="D3641" s="1"/>
      <c r="E3641" s="1" t="s">
        <v>4754</v>
      </c>
    </row>
    <row r="3642">
      <c r="D3642" s="1"/>
      <c r="E3642" s="1" t="s">
        <v>7118</v>
      </c>
    </row>
    <row r="3643">
      <c r="D3643" s="1"/>
      <c r="E3643" s="1" t="s">
        <v>5689</v>
      </c>
    </row>
    <row r="3644">
      <c r="D3644" s="1"/>
      <c r="E3644" s="1" t="s">
        <v>5510</v>
      </c>
    </row>
    <row r="3645">
      <c r="D3645" s="1"/>
      <c r="E3645" s="1" t="s">
        <v>7119</v>
      </c>
    </row>
    <row r="3646">
      <c r="D3646" s="1"/>
      <c r="E3646" s="1">
        <v>87.0</v>
      </c>
    </row>
    <row r="3647">
      <c r="D3647" s="1"/>
      <c r="E3647" s="1" t="s">
        <v>4152</v>
      </c>
    </row>
    <row r="3648">
      <c r="D3648" s="1"/>
      <c r="E3648" s="1" t="s">
        <v>5073</v>
      </c>
    </row>
    <row r="3649">
      <c r="D3649" s="1"/>
      <c r="E3649" s="1" t="s">
        <v>2345</v>
      </c>
    </row>
    <row r="3650">
      <c r="D3650" s="1"/>
      <c r="E3650" s="1" t="s">
        <v>7120</v>
      </c>
    </row>
    <row r="3651">
      <c r="D3651" s="1"/>
      <c r="E3651" s="1" t="s">
        <v>6961</v>
      </c>
    </row>
    <row r="3652">
      <c r="D3652" s="1"/>
      <c r="E3652" s="1" t="s">
        <v>7121</v>
      </c>
    </row>
    <row r="3653">
      <c r="D3653" s="1"/>
      <c r="E3653" s="1" t="s">
        <v>7122</v>
      </c>
    </row>
    <row r="3654">
      <c r="D3654" s="1"/>
      <c r="E3654" s="1" t="s">
        <v>5479</v>
      </c>
    </row>
    <row r="3655">
      <c r="D3655" s="1"/>
      <c r="E3655" s="1" t="s">
        <v>3890</v>
      </c>
    </row>
    <row r="3656">
      <c r="D3656" s="1"/>
      <c r="E3656" s="1" t="s">
        <v>6963</v>
      </c>
    </row>
    <row r="3657">
      <c r="D3657" s="1"/>
      <c r="E3657" s="1" t="s">
        <v>6964</v>
      </c>
    </row>
    <row r="3658">
      <c r="D3658" s="1"/>
      <c r="E3658" s="1" t="s">
        <v>6965</v>
      </c>
    </row>
    <row r="3659">
      <c r="D3659" s="1"/>
      <c r="E3659" s="1" t="s">
        <v>3732</v>
      </c>
    </row>
    <row r="3660">
      <c r="D3660" s="1"/>
      <c r="E3660" s="1" t="s">
        <v>7123</v>
      </c>
    </row>
    <row r="3661">
      <c r="D3661" s="1"/>
      <c r="E3661" s="1" t="s">
        <v>1729</v>
      </c>
    </row>
    <row r="3662">
      <c r="D3662" s="1"/>
      <c r="E3662" s="1" t="s">
        <v>6966</v>
      </c>
    </row>
    <row r="3663">
      <c r="D3663" s="1"/>
      <c r="E3663" s="1" t="s">
        <v>3895</v>
      </c>
    </row>
    <row r="3664">
      <c r="D3664" s="1"/>
      <c r="E3664" s="1" t="s">
        <v>4768</v>
      </c>
    </row>
    <row r="3665">
      <c r="D3665" s="1"/>
      <c r="E3665" s="1" t="s">
        <v>2640</v>
      </c>
    </row>
    <row r="3666">
      <c r="D3666" s="1"/>
      <c r="E3666" s="1" t="s">
        <v>7124</v>
      </c>
    </row>
    <row r="3667">
      <c r="D3667" s="1"/>
      <c r="E3667" s="1" t="s">
        <v>7125</v>
      </c>
    </row>
    <row r="3668">
      <c r="D3668" s="1"/>
      <c r="E3668" s="1" t="s">
        <v>5783</v>
      </c>
    </row>
    <row r="3669">
      <c r="D3669" s="1"/>
      <c r="E3669" s="1">
        <v>52.0</v>
      </c>
    </row>
    <row r="3670">
      <c r="D3670" s="1"/>
      <c r="E3670" s="1" t="s">
        <v>6968</v>
      </c>
    </row>
    <row r="3671">
      <c r="D3671" s="1"/>
      <c r="E3671" s="1">
        <v>1933.0</v>
      </c>
    </row>
    <row r="3672">
      <c r="D3672" s="1"/>
      <c r="E3672" s="1" t="s">
        <v>3004</v>
      </c>
    </row>
    <row r="3673">
      <c r="D3673" s="1"/>
      <c r="E3673" s="1" t="s">
        <v>1306</v>
      </c>
    </row>
    <row r="3674">
      <c r="D3674" s="1"/>
      <c r="E3674" s="1" t="s">
        <v>5148</v>
      </c>
    </row>
    <row r="3675">
      <c r="D3675" s="1"/>
      <c r="E3675" s="1" t="s">
        <v>3897</v>
      </c>
    </row>
    <row r="3676">
      <c r="D3676" s="1"/>
      <c r="E3676" s="1" t="s">
        <v>7126</v>
      </c>
    </row>
    <row r="3677">
      <c r="D3677" s="1"/>
      <c r="E3677" s="1" t="s">
        <v>1932</v>
      </c>
    </row>
    <row r="3678">
      <c r="D3678" s="1"/>
      <c r="E3678" s="1" t="s">
        <v>4792</v>
      </c>
    </row>
    <row r="3679">
      <c r="D3679" s="1"/>
      <c r="E3679" s="1" t="s">
        <v>6970</v>
      </c>
    </row>
    <row r="3680">
      <c r="D3680" s="1"/>
      <c r="E3680" s="1" t="s">
        <v>6971</v>
      </c>
    </row>
    <row r="3681">
      <c r="D3681" s="1"/>
      <c r="E3681" s="1" t="s">
        <v>5709</v>
      </c>
    </row>
    <row r="3682">
      <c r="D3682" s="1"/>
      <c r="E3682" s="1" t="s">
        <v>5838</v>
      </c>
    </row>
    <row r="3683">
      <c r="D3683" s="1"/>
      <c r="E3683" s="1" t="s">
        <v>4796</v>
      </c>
    </row>
    <row r="3684">
      <c r="D3684" s="1"/>
      <c r="E3684" s="1" t="s">
        <v>3904</v>
      </c>
    </row>
    <row r="3685">
      <c r="D3685" s="1"/>
      <c r="E3685" s="1" t="s">
        <v>6974</v>
      </c>
    </row>
    <row r="3686">
      <c r="D3686" s="1"/>
      <c r="E3686" s="1" t="s">
        <v>6975</v>
      </c>
    </row>
    <row r="3687">
      <c r="D3687" s="1"/>
      <c r="E3687" s="1" t="s">
        <v>3025</v>
      </c>
    </row>
    <row r="3688">
      <c r="D3688" s="1"/>
      <c r="E3688" s="1" t="s">
        <v>5285</v>
      </c>
    </row>
    <row r="3689">
      <c r="D3689" s="1"/>
      <c r="E3689" s="1" t="s">
        <v>3028</v>
      </c>
    </row>
    <row r="3690">
      <c r="D3690" s="1"/>
      <c r="E3690" s="1" t="s">
        <v>4809</v>
      </c>
    </row>
    <row r="3691">
      <c r="D3691" s="1"/>
      <c r="E3691" s="1" t="s">
        <v>6976</v>
      </c>
    </row>
    <row r="3692">
      <c r="D3692" s="1"/>
      <c r="E3692" s="1" t="s">
        <v>5619</v>
      </c>
    </row>
    <row r="3693">
      <c r="D3693" s="1"/>
      <c r="E3693" s="1" t="s">
        <v>5959</v>
      </c>
    </row>
    <row r="3694">
      <c r="D3694" s="1"/>
      <c r="E3694" s="1" t="s">
        <v>3907</v>
      </c>
    </row>
    <row r="3695">
      <c r="D3695" s="1"/>
      <c r="E3695" s="1" t="s">
        <v>1625</v>
      </c>
    </row>
    <row r="3696">
      <c r="D3696" s="1"/>
      <c r="E3696" s="1" t="s">
        <v>5201</v>
      </c>
    </row>
    <row r="3697">
      <c r="D3697" s="1"/>
      <c r="E3697" s="1" t="s">
        <v>5725</v>
      </c>
    </row>
    <row r="3698">
      <c r="D3698" s="1"/>
      <c r="E3698" s="1" t="s">
        <v>3908</v>
      </c>
    </row>
    <row r="3699">
      <c r="D3699" s="1"/>
      <c r="E3699" s="1" t="s">
        <v>4195</v>
      </c>
    </row>
    <row r="3700">
      <c r="D3700" s="1"/>
      <c r="E3700" s="1" t="s">
        <v>3036</v>
      </c>
    </row>
    <row r="3701">
      <c r="D3701" s="1"/>
      <c r="E3701" s="1" t="s">
        <v>5727</v>
      </c>
    </row>
    <row r="3702">
      <c r="D3702" s="1"/>
      <c r="E3702" s="1" t="s">
        <v>6977</v>
      </c>
    </row>
    <row r="3703">
      <c r="D3703" s="1"/>
      <c r="E3703" s="1" t="s">
        <v>1740</v>
      </c>
    </row>
    <row r="3704">
      <c r="D3704" s="1"/>
      <c r="E3704" s="1" t="s">
        <v>6059</v>
      </c>
    </row>
    <row r="3705">
      <c r="D3705" s="1"/>
      <c r="E3705" s="1" t="s">
        <v>4819</v>
      </c>
    </row>
    <row r="3706">
      <c r="D3706" s="1"/>
      <c r="E3706" s="1" t="s">
        <v>1809</v>
      </c>
    </row>
    <row r="3707">
      <c r="D3707" s="1"/>
      <c r="E3707" s="1" t="s">
        <v>3042</v>
      </c>
    </row>
    <row r="3708">
      <c r="D3708" s="1"/>
      <c r="E3708" s="1" t="s">
        <v>5337</v>
      </c>
    </row>
    <row r="3709">
      <c r="D3709" s="1"/>
      <c r="E3709" s="1" t="s">
        <v>6978</v>
      </c>
    </row>
    <row r="3710">
      <c r="D3710" s="1"/>
      <c r="E3710" s="1" t="s">
        <v>4826</v>
      </c>
    </row>
    <row r="3711">
      <c r="D3711" s="1"/>
      <c r="E3711" s="1" t="s">
        <v>4969</v>
      </c>
    </row>
    <row r="3712">
      <c r="D3712" s="1"/>
      <c r="E3712" s="1" t="s">
        <v>6061</v>
      </c>
    </row>
    <row r="3713">
      <c r="D3713" s="1"/>
      <c r="E3713" s="1" t="s">
        <v>6981</v>
      </c>
    </row>
    <row r="3714">
      <c r="D3714" s="1"/>
      <c r="E3714" s="1" t="s">
        <v>5735</v>
      </c>
    </row>
    <row r="3715">
      <c r="D3715" s="1"/>
      <c r="E3715" s="1" t="s">
        <v>7076</v>
      </c>
    </row>
    <row r="3716">
      <c r="D3716" s="1"/>
      <c r="E3716" s="1" t="s">
        <v>6982</v>
      </c>
    </row>
    <row r="3717">
      <c r="D3717" s="1"/>
      <c r="E3717" s="1" t="s">
        <v>6983</v>
      </c>
    </row>
    <row r="3718">
      <c r="D3718" s="1"/>
      <c r="E3718" s="1" t="s">
        <v>5738</v>
      </c>
    </row>
    <row r="3719">
      <c r="D3719" s="1"/>
      <c r="E3719" s="1" t="s">
        <v>6984</v>
      </c>
    </row>
    <row r="3720">
      <c r="D3720" s="1"/>
      <c r="E3720" s="1" t="s">
        <v>3912</v>
      </c>
    </row>
    <row r="3721">
      <c r="D3721" s="1"/>
      <c r="E3721" s="1" t="s">
        <v>6986</v>
      </c>
    </row>
    <row r="3722">
      <c r="D3722" s="1"/>
      <c r="E3722" s="1" t="s">
        <v>4538</v>
      </c>
    </row>
    <row r="3723">
      <c r="D3723" s="1"/>
      <c r="E3723" s="1" t="s">
        <v>895</v>
      </c>
    </row>
    <row r="3724">
      <c r="D3724" s="1"/>
      <c r="E3724" s="1" t="s">
        <v>6142</v>
      </c>
    </row>
    <row r="3725">
      <c r="D3725" s="1"/>
      <c r="E3725" s="1" t="s">
        <v>6988</v>
      </c>
    </row>
    <row r="3726">
      <c r="D3726" s="1"/>
      <c r="E3726" s="1" t="s">
        <v>6989</v>
      </c>
    </row>
    <row r="3727">
      <c r="D3727" s="1"/>
      <c r="E3727" s="1" t="s">
        <v>1922</v>
      </c>
    </row>
    <row r="3728">
      <c r="D3728" s="1"/>
      <c r="E3728" s="1" t="s">
        <v>6143</v>
      </c>
    </row>
    <row r="3729">
      <c r="D3729" s="1"/>
      <c r="E3729" s="1" t="s">
        <v>2779</v>
      </c>
    </row>
    <row r="3730">
      <c r="D3730" s="1"/>
      <c r="E3730" s="1" t="s">
        <v>5117</v>
      </c>
    </row>
    <row r="3731">
      <c r="D3731" s="1"/>
      <c r="E3731" s="1" t="s">
        <v>7127</v>
      </c>
    </row>
    <row r="3732">
      <c r="D3732" s="1"/>
      <c r="E3732" s="1" t="s">
        <v>3773</v>
      </c>
    </row>
    <row r="3733">
      <c r="D3733" s="1"/>
      <c r="E3733" s="1" t="s">
        <v>3746</v>
      </c>
    </row>
    <row r="3734">
      <c r="D3734" s="1"/>
      <c r="E3734" s="1" t="s">
        <v>4849</v>
      </c>
    </row>
    <row r="3735">
      <c r="D3735" s="1"/>
      <c r="E3735" s="1" t="s">
        <v>5797</v>
      </c>
    </row>
    <row r="3736">
      <c r="D3736" s="1"/>
      <c r="E3736" s="1" t="s">
        <v>7128</v>
      </c>
    </row>
    <row r="3737">
      <c r="D3737" s="1"/>
      <c r="E3737" s="1" t="s">
        <v>6991</v>
      </c>
    </row>
    <row r="3738">
      <c r="D3738" s="1"/>
      <c r="E3738" s="1" t="s">
        <v>3596</v>
      </c>
    </row>
    <row r="3739">
      <c r="D3739" s="1"/>
      <c r="E3739" s="1" t="s">
        <v>4858</v>
      </c>
    </row>
    <row r="3740">
      <c r="D3740" s="1"/>
      <c r="E3740" s="1" t="s">
        <v>3930</v>
      </c>
    </row>
    <row r="3741">
      <c r="D3741" s="1"/>
      <c r="E3741" s="1">
        <v>1975.0</v>
      </c>
    </row>
    <row r="3742">
      <c r="D3742" s="1"/>
      <c r="E3742" s="1" t="s">
        <v>5750</v>
      </c>
    </row>
    <row r="3743">
      <c r="D3743" s="1"/>
      <c r="E3743" s="1" t="s">
        <v>5684</v>
      </c>
    </row>
    <row r="3744">
      <c r="D3744" s="1"/>
      <c r="E3744" s="1" t="s">
        <v>3836</v>
      </c>
    </row>
    <row r="3745">
      <c r="D3745" s="1"/>
      <c r="E3745" s="1" t="s">
        <v>6992</v>
      </c>
    </row>
    <row r="3746">
      <c r="D3746" s="1"/>
      <c r="E3746" s="1" t="s">
        <v>6993</v>
      </c>
    </row>
    <row r="3747">
      <c r="D3747" s="1"/>
      <c r="E3747" s="1" t="s">
        <v>4863</v>
      </c>
    </row>
    <row r="3748">
      <c r="D3748" s="1"/>
      <c r="E3748" s="1" t="s">
        <v>7129</v>
      </c>
    </row>
    <row r="3749">
      <c r="D3749" s="1"/>
      <c r="E3749" s="1" t="s">
        <v>4448</v>
      </c>
    </row>
    <row r="3750">
      <c r="D3750" s="1"/>
      <c r="E3750" s="1" t="s">
        <v>1844</v>
      </c>
    </row>
    <row r="3751">
      <c r="D3751" s="1"/>
      <c r="E3751" s="1" t="s">
        <v>6994</v>
      </c>
    </row>
    <row r="3752">
      <c r="D3752" s="1"/>
      <c r="E3752" s="1" t="s">
        <v>6071</v>
      </c>
    </row>
    <row r="3753">
      <c r="D3753" s="1"/>
      <c r="E3753" s="1">
        <v>1973.0</v>
      </c>
    </row>
    <row r="3754">
      <c r="D3754" s="1"/>
      <c r="E3754" s="1" t="s">
        <v>7083</v>
      </c>
    </row>
    <row r="3755">
      <c r="D3755" s="1"/>
      <c r="E3755" s="1" t="s">
        <v>6075</v>
      </c>
    </row>
    <row r="3756">
      <c r="D3756" s="1"/>
      <c r="E3756" s="1" t="s">
        <v>6995</v>
      </c>
    </row>
    <row r="3757">
      <c r="D3757" s="1"/>
      <c r="E3757" s="1" t="s">
        <v>6087</v>
      </c>
    </row>
    <row r="3758">
      <c r="D3758" s="1"/>
      <c r="E3758" s="1" t="s">
        <v>7130</v>
      </c>
    </row>
    <row r="3759">
      <c r="D3759" s="1"/>
      <c r="E3759" s="1" t="s">
        <v>5763</v>
      </c>
    </row>
    <row r="3760">
      <c r="D3760" s="1"/>
      <c r="E3760" s="1" t="s">
        <v>7131</v>
      </c>
    </row>
    <row r="3761">
      <c r="D3761" s="1"/>
      <c r="E3761" s="1" t="s">
        <v>3977</v>
      </c>
    </row>
    <row r="3762">
      <c r="D3762" s="1"/>
      <c r="E3762" s="1" t="s">
        <v>3934</v>
      </c>
    </row>
    <row r="3763">
      <c r="D3763" s="1"/>
      <c r="E3763" s="1" t="s">
        <v>4880</v>
      </c>
    </row>
    <row r="3764">
      <c r="D3764" s="1"/>
      <c r="E3764" s="1" t="s">
        <v>4790</v>
      </c>
    </row>
    <row r="3765">
      <c r="D3765" s="1"/>
      <c r="E3765" s="1" t="s">
        <v>3937</v>
      </c>
    </row>
    <row r="3766">
      <c r="D3766" s="1"/>
      <c r="E3766" s="1" t="s">
        <v>3940</v>
      </c>
    </row>
    <row r="3767">
      <c r="D3767" s="1"/>
      <c r="E3767" s="1" t="s">
        <v>6997</v>
      </c>
    </row>
    <row r="3768">
      <c r="D3768" s="1"/>
      <c r="E3768" s="1" t="s">
        <v>6076</v>
      </c>
    </row>
    <row r="3769">
      <c r="D3769" s="1"/>
      <c r="E3769" s="1" t="s">
        <v>6998</v>
      </c>
    </row>
    <row r="3770">
      <c r="D3770" s="1"/>
      <c r="E3770" s="1" t="s">
        <v>3944</v>
      </c>
    </row>
    <row r="3771">
      <c r="D3771" s="1"/>
      <c r="E3771" s="1" t="s">
        <v>6999</v>
      </c>
    </row>
    <row r="3772">
      <c r="D3772" s="1"/>
      <c r="E3772" s="1" t="s">
        <v>7000</v>
      </c>
    </row>
    <row r="3773">
      <c r="D3773" s="1"/>
      <c r="E3773" s="1" t="s">
        <v>7132</v>
      </c>
    </row>
    <row r="3774">
      <c r="D3774" s="1"/>
      <c r="E3774" s="1" t="s">
        <v>7001</v>
      </c>
    </row>
    <row r="3775">
      <c r="D3775" s="1"/>
      <c r="E3775" s="1" t="s">
        <v>7133</v>
      </c>
    </row>
    <row r="3776">
      <c r="D3776" s="1"/>
      <c r="E3776" s="1" t="s">
        <v>7134</v>
      </c>
    </row>
    <row r="3777">
      <c r="D3777" s="1"/>
      <c r="E3777" s="1" t="s">
        <v>4887</v>
      </c>
    </row>
    <row r="3778">
      <c r="D3778" s="1"/>
      <c r="E3778" s="1" t="s">
        <v>7003</v>
      </c>
    </row>
    <row r="3779">
      <c r="D3779" s="1"/>
      <c r="E3779" s="1" t="s">
        <v>6015</v>
      </c>
    </row>
    <row r="3780">
      <c r="D3780" s="1"/>
      <c r="E3780" s="1" t="s">
        <v>6152</v>
      </c>
    </row>
    <row r="3781">
      <c r="D3781" s="1"/>
      <c r="E3781" s="1" t="s">
        <v>7135</v>
      </c>
    </row>
    <row r="3782">
      <c r="D3782" s="1"/>
      <c r="E3782" s="1" t="s">
        <v>3578</v>
      </c>
    </row>
    <row r="3783">
      <c r="D3783" s="1"/>
      <c r="E3783" s="1" t="s">
        <v>7136</v>
      </c>
    </row>
    <row r="3784">
      <c r="D3784" s="1"/>
      <c r="E3784" s="1" t="s">
        <v>5753</v>
      </c>
    </row>
    <row r="3785">
      <c r="D3785" s="1"/>
      <c r="E3785" s="1" t="s">
        <v>4848</v>
      </c>
    </row>
    <row r="3786">
      <c r="D3786" s="1"/>
      <c r="E3786" s="1" t="s">
        <v>5778</v>
      </c>
    </row>
    <row r="3787">
      <c r="D3787" s="1"/>
      <c r="E3787" s="1" t="s">
        <v>5973</v>
      </c>
    </row>
    <row r="3788">
      <c r="D3788" s="1"/>
      <c r="E3788" s="1" t="s">
        <v>7137</v>
      </c>
    </row>
    <row r="3789">
      <c r="D3789" s="1"/>
      <c r="E3789" s="1" t="s">
        <v>6081</v>
      </c>
    </row>
    <row r="3790">
      <c r="D3790" s="1"/>
      <c r="E3790" s="1" t="s">
        <v>6082</v>
      </c>
    </row>
    <row r="3791">
      <c r="D3791" s="1"/>
      <c r="E3791" s="1" t="s">
        <v>399</v>
      </c>
    </row>
    <row r="3792">
      <c r="D3792" s="1"/>
      <c r="E3792" s="1" t="s">
        <v>3961</v>
      </c>
    </row>
    <row r="3793">
      <c r="D3793" s="1"/>
      <c r="E3793" s="1" t="s">
        <v>5572</v>
      </c>
    </row>
    <row r="3794">
      <c r="D3794" s="1"/>
      <c r="E3794" s="1" t="s">
        <v>2535</v>
      </c>
    </row>
    <row r="3795">
      <c r="D3795" s="1"/>
      <c r="E3795" s="1" t="s">
        <v>6154</v>
      </c>
    </row>
    <row r="3796">
      <c r="D3796" s="1"/>
      <c r="E3796" s="1" t="s">
        <v>5782</v>
      </c>
    </row>
    <row r="3797">
      <c r="D3797" s="1"/>
      <c r="E3797" s="1" t="s">
        <v>7138</v>
      </c>
    </row>
    <row r="3798">
      <c r="E3798" s="1" t="s">
        <v>7139</v>
      </c>
    </row>
    <row r="3799">
      <c r="E3799" s="1" t="s">
        <v>6197</v>
      </c>
    </row>
    <row r="3800">
      <c r="E3800" s="1" t="s">
        <v>4909</v>
      </c>
    </row>
    <row r="3801">
      <c r="E3801" s="1" t="s">
        <v>4911</v>
      </c>
    </row>
    <row r="3802">
      <c r="E3802" s="1" t="s">
        <v>4461</v>
      </c>
    </row>
    <row r="3803">
      <c r="E3803" s="1" t="s">
        <v>6156</v>
      </c>
    </row>
    <row r="3804">
      <c r="E3804" s="1" t="s">
        <v>5115</v>
      </c>
    </row>
    <row r="3805">
      <c r="E3805" s="1" t="s">
        <v>7140</v>
      </c>
    </row>
    <row r="3806">
      <c r="E3806" s="1" t="s">
        <v>4319</v>
      </c>
    </row>
    <row r="3807">
      <c r="E3807" s="1" t="s">
        <v>7141</v>
      </c>
    </row>
    <row r="3808">
      <c r="E3808" s="1" t="s">
        <v>7004</v>
      </c>
    </row>
    <row r="3809">
      <c r="E3809" s="1" t="s">
        <v>7142</v>
      </c>
    </row>
    <row r="3810">
      <c r="E3810" s="1" t="s">
        <v>4913</v>
      </c>
    </row>
    <row r="3811">
      <c r="E3811" s="1" t="s">
        <v>7005</v>
      </c>
    </row>
    <row r="3812">
      <c r="E3812" s="1" t="s">
        <v>5786</v>
      </c>
    </row>
    <row r="3813">
      <c r="E3813" s="1" t="s">
        <v>4919</v>
      </c>
    </row>
    <row r="3814">
      <c r="E3814" s="1" t="s">
        <v>7006</v>
      </c>
    </row>
    <row r="3815">
      <c r="E3815" s="1" t="s">
        <v>5812</v>
      </c>
    </row>
    <row r="3816">
      <c r="E3816" s="1" t="s">
        <v>7143</v>
      </c>
    </row>
    <row r="3817">
      <c r="E3817" s="1" t="s">
        <v>3133</v>
      </c>
    </row>
    <row r="3818">
      <c r="E3818" s="1" t="s">
        <v>4921</v>
      </c>
    </row>
    <row r="3819">
      <c r="E3819" s="1" t="s">
        <v>4922</v>
      </c>
    </row>
    <row r="3820">
      <c r="E3820" s="1" t="s">
        <v>5005</v>
      </c>
    </row>
    <row r="3821">
      <c r="E3821" s="1" t="s">
        <v>7144</v>
      </c>
    </row>
    <row r="3822">
      <c r="E3822" s="1" t="s">
        <v>1954</v>
      </c>
    </row>
    <row r="3823">
      <c r="E3823" s="1" t="s">
        <v>7007</v>
      </c>
    </row>
    <row r="3824">
      <c r="E3824" s="1" t="s">
        <v>7090</v>
      </c>
    </row>
    <row r="3825">
      <c r="E3825" s="1" t="s">
        <v>7009</v>
      </c>
    </row>
    <row r="3826">
      <c r="E3826" s="1" t="s">
        <v>1828</v>
      </c>
    </row>
    <row r="3827">
      <c r="E3827" s="1" t="s">
        <v>5790</v>
      </c>
    </row>
    <row r="3828">
      <c r="E3828" s="1" t="s">
        <v>5792</v>
      </c>
    </row>
    <row r="3829">
      <c r="E3829" s="1" t="s">
        <v>3971</v>
      </c>
    </row>
    <row r="3830">
      <c r="E3830" s="1" t="s">
        <v>5795</v>
      </c>
    </row>
    <row r="3831">
      <c r="E3831" s="1" t="s">
        <v>7145</v>
      </c>
    </row>
    <row r="3832">
      <c r="E3832" s="1" t="s">
        <v>6090</v>
      </c>
    </row>
    <row r="3833">
      <c r="E3833" s="1" t="s">
        <v>5801</v>
      </c>
    </row>
    <row r="3834">
      <c r="E3834" s="1" t="s">
        <v>4552</v>
      </c>
    </row>
    <row r="3835">
      <c r="E3835" s="1" t="s">
        <v>4935</v>
      </c>
    </row>
    <row r="3836">
      <c r="E3836" s="1" t="s">
        <v>5802</v>
      </c>
    </row>
    <row r="3837">
      <c r="E3837" s="1" t="s">
        <v>1603</v>
      </c>
    </row>
    <row r="3838">
      <c r="E3838" s="1" t="s">
        <v>7011</v>
      </c>
    </row>
    <row r="3839">
      <c r="E3839" s="1" t="s">
        <v>5397</v>
      </c>
    </row>
    <row r="3840">
      <c r="E3840" s="1">
        <v>75.0</v>
      </c>
    </row>
    <row r="3841">
      <c r="E3841" s="1" t="s">
        <v>6095</v>
      </c>
    </row>
    <row r="3842">
      <c r="E3842" s="1" t="s">
        <v>7146</v>
      </c>
    </row>
    <row r="3843">
      <c r="E3843" s="1" t="s">
        <v>2932</v>
      </c>
    </row>
    <row r="3844">
      <c r="E3844" s="1" t="s">
        <v>6198</v>
      </c>
    </row>
    <row r="3845">
      <c r="E3845" s="1" t="s">
        <v>7147</v>
      </c>
    </row>
    <row r="3846">
      <c r="E3846" s="1" t="s">
        <v>7148</v>
      </c>
    </row>
    <row r="3847">
      <c r="E3847" s="1" t="s">
        <v>4948</v>
      </c>
    </row>
    <row r="3848">
      <c r="E3848" s="1" t="s">
        <v>4951</v>
      </c>
    </row>
    <row r="3849">
      <c r="E3849" s="1" t="s">
        <v>6168</v>
      </c>
    </row>
    <row r="3850">
      <c r="E3850" s="1">
        <v>88.0</v>
      </c>
    </row>
    <row r="3851">
      <c r="E3851" s="1" t="s">
        <v>6096</v>
      </c>
    </row>
    <row r="3852">
      <c r="E3852" s="1" t="s">
        <v>1519</v>
      </c>
    </row>
    <row r="3853">
      <c r="E3853" s="1" t="s">
        <v>7096</v>
      </c>
    </row>
    <row r="3854">
      <c r="E3854" s="1" t="s">
        <v>7149</v>
      </c>
    </row>
    <row r="3855">
      <c r="E3855" s="1" t="s">
        <v>3194</v>
      </c>
    </row>
    <row r="3856">
      <c r="E3856" s="1" t="s">
        <v>7013</v>
      </c>
    </row>
    <row r="3857">
      <c r="E3857" s="1" t="s">
        <v>5343</v>
      </c>
    </row>
    <row r="3858">
      <c r="E3858" s="1">
        <v>71.0</v>
      </c>
    </row>
    <row r="3859">
      <c r="E3859" s="1" t="s">
        <v>4126</v>
      </c>
    </row>
    <row r="3860">
      <c r="E3860" s="1" t="s">
        <v>7014</v>
      </c>
    </row>
    <row r="3861">
      <c r="E3861" s="1" t="s">
        <v>6173</v>
      </c>
    </row>
    <row r="3862">
      <c r="E3862" s="1" t="s">
        <v>4027</v>
      </c>
    </row>
    <row r="3863">
      <c r="E3863" s="1" t="s">
        <v>7015</v>
      </c>
    </row>
    <row r="3864">
      <c r="E3864" s="1" t="s">
        <v>6101</v>
      </c>
    </row>
    <row r="3865">
      <c r="E3865" s="1" t="s">
        <v>3210</v>
      </c>
    </row>
    <row r="3866">
      <c r="E3866" s="1" t="s">
        <v>5813</v>
      </c>
    </row>
    <row r="3867">
      <c r="E3867" s="1" t="s">
        <v>7016</v>
      </c>
    </row>
    <row r="3868">
      <c r="E3868" s="1" t="s">
        <v>7017</v>
      </c>
    </row>
    <row r="3869">
      <c r="E3869" s="1" t="s">
        <v>7100</v>
      </c>
    </row>
    <row r="3870">
      <c r="E3870" s="1" t="s">
        <v>7150</v>
      </c>
    </row>
    <row r="3871">
      <c r="E3871" s="1" t="s">
        <v>5818</v>
      </c>
    </row>
    <row r="3872">
      <c r="E3872" s="1" t="s">
        <v>7018</v>
      </c>
    </row>
    <row r="3873">
      <c r="E3873" s="1" t="s">
        <v>7019</v>
      </c>
    </row>
    <row r="3874">
      <c r="E3874" s="1" t="s">
        <v>5819</v>
      </c>
    </row>
    <row r="3875">
      <c r="E3875" s="1" t="s">
        <v>6106</v>
      </c>
    </row>
    <row r="3876">
      <c r="E3876" s="1" t="s">
        <v>7021</v>
      </c>
    </row>
    <row r="3877">
      <c r="E3877" s="1" t="s">
        <v>723</v>
      </c>
    </row>
    <row r="3878">
      <c r="E3878" s="1" t="s">
        <v>4245</v>
      </c>
    </row>
    <row r="3879">
      <c r="E3879" s="1">
        <v>1970.0</v>
      </c>
    </row>
    <row r="3880">
      <c r="E3880" s="1" t="s">
        <v>7022</v>
      </c>
    </row>
    <row r="3881">
      <c r="E3881" s="1" t="s">
        <v>6010</v>
      </c>
    </row>
    <row r="3882">
      <c r="E3882" s="1" t="s">
        <v>5824</v>
      </c>
    </row>
    <row r="3883">
      <c r="E3883" s="1" t="s">
        <v>7023</v>
      </c>
    </row>
    <row r="3884">
      <c r="E3884" s="1" t="s">
        <v>4994</v>
      </c>
    </row>
    <row r="3885">
      <c r="E3885" s="1" t="s">
        <v>7151</v>
      </c>
    </row>
    <row r="3886">
      <c r="E3886" s="1" t="s">
        <v>7152</v>
      </c>
    </row>
    <row r="3887">
      <c r="E3887" s="1" t="s">
        <v>6110</v>
      </c>
    </row>
    <row r="3888">
      <c r="E3888" s="1" t="s">
        <v>7153</v>
      </c>
    </row>
    <row r="3889">
      <c r="E3889" s="1" t="s">
        <v>3242</v>
      </c>
    </row>
    <row r="3890">
      <c r="E3890" s="1" t="s">
        <v>3983</v>
      </c>
    </row>
    <row r="3891">
      <c r="E3891" s="1" t="s">
        <v>5743</v>
      </c>
    </row>
    <row r="3892">
      <c r="E3892" s="1" t="s">
        <v>4877</v>
      </c>
    </row>
    <row r="3893">
      <c r="E3893" s="1" t="s">
        <v>7154</v>
      </c>
    </row>
    <row r="3894">
      <c r="E3894" s="1" t="s">
        <v>5010</v>
      </c>
    </row>
    <row r="3895">
      <c r="E3895" s="1" t="s">
        <v>3986</v>
      </c>
    </row>
    <row r="3896">
      <c r="E3896" s="1" t="s">
        <v>7155</v>
      </c>
    </row>
    <row r="3897">
      <c r="E3897" s="1" t="s">
        <v>3988</v>
      </c>
    </row>
    <row r="3898">
      <c r="E3898" s="1" t="s">
        <v>7156</v>
      </c>
    </row>
    <row r="3899">
      <c r="E3899" s="1" t="s">
        <v>3991</v>
      </c>
    </row>
    <row r="3900">
      <c r="E3900" s="1" t="s">
        <v>5832</v>
      </c>
    </row>
    <row r="3901">
      <c r="E3901" s="1" t="s">
        <v>7157</v>
      </c>
    </row>
    <row r="3902">
      <c r="E3902" s="1" t="s">
        <v>7024</v>
      </c>
    </row>
    <row r="3903">
      <c r="E3903" s="1" t="s">
        <v>5772</v>
      </c>
    </row>
    <row r="3904">
      <c r="E3904" s="1" t="s">
        <v>1895</v>
      </c>
    </row>
    <row r="3905">
      <c r="E3905" s="1" t="s">
        <v>5833</v>
      </c>
    </row>
    <row r="3906">
      <c r="E3906" s="1" t="s">
        <v>7025</v>
      </c>
    </row>
    <row r="3907">
      <c r="E3907" s="1" t="s">
        <v>5126</v>
      </c>
    </row>
    <row r="3908">
      <c r="E3908" s="1" t="s">
        <v>4633</v>
      </c>
    </row>
    <row r="3909">
      <c r="E3909" s="1" t="s">
        <v>4825</v>
      </c>
    </row>
    <row r="3910">
      <c r="E3910" s="1" t="s">
        <v>6115</v>
      </c>
    </row>
    <row r="3911">
      <c r="E3911" s="1" t="s">
        <v>7027</v>
      </c>
    </row>
    <row r="3912">
      <c r="E3912" s="1" t="s">
        <v>7158</v>
      </c>
    </row>
    <row r="3913">
      <c r="E3913" s="1" t="s">
        <v>7105</v>
      </c>
    </row>
    <row r="3914">
      <c r="E3914" s="1" t="s">
        <v>7028</v>
      </c>
    </row>
    <row r="3915">
      <c r="E3915" s="1" t="s">
        <v>7029</v>
      </c>
    </row>
    <row r="3916">
      <c r="E3916" s="1" t="s">
        <v>7030</v>
      </c>
    </row>
    <row r="3917">
      <c r="E3917" s="1" t="s">
        <v>4489</v>
      </c>
    </row>
    <row r="3918">
      <c r="E3918" s="1" t="s">
        <v>3266</v>
      </c>
    </row>
    <row r="3919">
      <c r="E3919" s="1" t="s">
        <v>7031</v>
      </c>
    </row>
    <row r="3920">
      <c r="E3920" s="1" t="s">
        <v>7032</v>
      </c>
    </row>
    <row r="3921">
      <c r="E3921" s="1" t="s">
        <v>2822</v>
      </c>
    </row>
    <row r="3922">
      <c r="E3922" s="1" t="s">
        <v>7033</v>
      </c>
    </row>
    <row r="3923">
      <c r="E3923" s="1" t="s">
        <v>5015</v>
      </c>
    </row>
    <row r="3924">
      <c r="E3924" s="1" t="s">
        <v>7034</v>
      </c>
    </row>
    <row r="3925">
      <c r="E3925" s="1" t="s">
        <v>3996</v>
      </c>
    </row>
    <row r="3926">
      <c r="E3926" s="1" t="s">
        <v>7035</v>
      </c>
    </row>
    <row r="3927">
      <c r="E3927" s="1" t="s">
        <v>5845</v>
      </c>
    </row>
    <row r="3928">
      <c r="E3928" s="1" t="s">
        <v>5704</v>
      </c>
    </row>
    <row r="3929">
      <c r="E3929" s="1" t="s">
        <v>3383</v>
      </c>
    </row>
    <row r="3930">
      <c r="E3930" s="1" t="s">
        <v>7037</v>
      </c>
    </row>
    <row r="3931">
      <c r="E3931" s="1" t="s">
        <v>7159</v>
      </c>
    </row>
    <row r="3932">
      <c r="E3932" s="1" t="s">
        <v>3287</v>
      </c>
    </row>
    <row r="3933">
      <c r="E3933" s="1" t="s">
        <v>5850</v>
      </c>
    </row>
    <row r="3934">
      <c r="E3934" s="1" t="s">
        <v>3290</v>
      </c>
    </row>
    <row r="3935">
      <c r="E3935" s="1" t="s">
        <v>7038</v>
      </c>
    </row>
    <row r="3936">
      <c r="E3936" s="1" t="s">
        <v>5807</v>
      </c>
    </row>
    <row r="3937">
      <c r="E3937" s="1" t="s">
        <v>1705</v>
      </c>
    </row>
    <row r="3938">
      <c r="E3938" s="1" t="s">
        <v>7039</v>
      </c>
    </row>
    <row r="3939">
      <c r="E3939" s="1" t="s">
        <v>4002</v>
      </c>
    </row>
    <row r="3940">
      <c r="E3940" s="1" t="s">
        <v>3303</v>
      </c>
    </row>
    <row r="3941">
      <c r="E3941" s="1" t="s">
        <v>7040</v>
      </c>
    </row>
    <row r="3942">
      <c r="E3942" s="1" t="s">
        <v>6124</v>
      </c>
    </row>
    <row r="3943">
      <c r="E3943" s="1">
        <v>1962.0</v>
      </c>
    </row>
    <row r="3944">
      <c r="E3944" s="1" t="s">
        <v>7160</v>
      </c>
    </row>
    <row r="3945">
      <c r="E3945" s="1" t="s">
        <v>5854</v>
      </c>
    </row>
    <row r="3946">
      <c r="E3946" s="1" t="s">
        <v>7161</v>
      </c>
    </row>
    <row r="3947">
      <c r="E3947" s="1" t="s">
        <v>7111</v>
      </c>
    </row>
    <row r="3948">
      <c r="E3948" s="1">
        <v>1987.0</v>
      </c>
    </row>
    <row r="3949">
      <c r="E3949" s="1" t="s">
        <v>3479</v>
      </c>
    </row>
    <row r="3950">
      <c r="E3950" s="1" t="s">
        <v>7042</v>
      </c>
    </row>
    <row r="3951">
      <c r="E3951" s="1" t="s">
        <v>4005</v>
      </c>
    </row>
    <row r="3952">
      <c r="E3952" s="1" t="s">
        <v>6127</v>
      </c>
    </row>
    <row r="3953">
      <c r="E3953" s="1" t="s">
        <v>4596</v>
      </c>
    </row>
    <row r="3954">
      <c r="E3954" s="1" t="s">
        <v>7043</v>
      </c>
    </row>
    <row r="3955">
      <c r="E3955" s="1">
        <v>1959.0</v>
      </c>
    </row>
    <row r="3956">
      <c r="E3956" s="1" t="s">
        <v>5858</v>
      </c>
    </row>
    <row r="3957">
      <c r="E3957" s="1" t="s">
        <v>7162</v>
      </c>
    </row>
    <row r="3958">
      <c r="E3958" s="1" t="s">
        <v>7044</v>
      </c>
    </row>
    <row r="3959">
      <c r="E3959" s="1" t="s">
        <v>7045</v>
      </c>
    </row>
    <row r="3960">
      <c r="E3960" s="1" t="s">
        <v>4012</v>
      </c>
    </row>
    <row r="3961">
      <c r="E3961" s="1" t="s">
        <v>3324</v>
      </c>
    </row>
    <row r="3962">
      <c r="E3962" s="1" t="s">
        <v>7046</v>
      </c>
    </row>
    <row r="3963">
      <c r="E3963" s="1" t="s">
        <v>7163</v>
      </c>
    </row>
    <row r="3964">
      <c r="E3964" s="1" t="s">
        <v>5400</v>
      </c>
    </row>
    <row r="3965">
      <c r="E3965" s="1" t="s">
        <v>7164</v>
      </c>
    </row>
    <row r="3966">
      <c r="E3966" s="1" t="s">
        <v>7165</v>
      </c>
    </row>
    <row r="3967">
      <c r="E3967" s="1" t="s">
        <v>7166</v>
      </c>
    </row>
    <row r="3968">
      <c r="E3968" s="1" t="s">
        <v>7167</v>
      </c>
    </row>
    <row r="3969">
      <c r="E3969" s="1" t="s">
        <v>7047</v>
      </c>
    </row>
    <row r="3970">
      <c r="E3970" s="1" t="s">
        <v>7168</v>
      </c>
    </row>
    <row r="3971">
      <c r="E3971" s="1" t="s">
        <v>6130</v>
      </c>
    </row>
    <row r="3972">
      <c r="E3972" s="1" t="s">
        <v>4014</v>
      </c>
    </row>
    <row r="3973">
      <c r="E3973" s="1" t="s">
        <v>7049</v>
      </c>
    </row>
    <row r="3974">
      <c r="E3974" s="1" t="s">
        <v>5861</v>
      </c>
    </row>
    <row r="3975">
      <c r="E3975" s="1" t="s">
        <v>6185</v>
      </c>
    </row>
    <row r="3976">
      <c r="E3976" s="1" t="s">
        <v>5862</v>
      </c>
    </row>
    <row r="3977">
      <c r="E3977" s="1" t="s">
        <v>5618</v>
      </c>
    </row>
    <row r="3978">
      <c r="E3978" s="1" t="s">
        <v>6014</v>
      </c>
    </row>
    <row r="3979">
      <c r="E3979" s="1" t="s">
        <v>7169</v>
      </c>
    </row>
    <row r="3980">
      <c r="E3980" s="1" t="s">
        <v>7170</v>
      </c>
    </row>
    <row r="3981">
      <c r="E3981" s="1" t="s">
        <v>7051</v>
      </c>
    </row>
    <row r="3982">
      <c r="E3982" s="1" t="s">
        <v>7052</v>
      </c>
    </row>
    <row r="3983">
      <c r="E3983" s="1" t="s">
        <v>2505</v>
      </c>
    </row>
    <row r="3984">
      <c r="E3984" s="1" t="s">
        <v>7171</v>
      </c>
    </row>
    <row r="3985">
      <c r="E3985" s="1">
        <v>1997.0</v>
      </c>
    </row>
    <row r="3986">
      <c r="E3986" s="1" t="s">
        <v>7172</v>
      </c>
    </row>
    <row r="3987">
      <c r="E3987" s="1" t="s">
        <v>7054</v>
      </c>
    </row>
    <row r="3988">
      <c r="E3988" s="1" t="s">
        <v>7056</v>
      </c>
    </row>
    <row r="3989">
      <c r="E3989" s="1" t="s">
        <v>1839</v>
      </c>
    </row>
    <row r="3990">
      <c r="E3990" s="1" t="s">
        <v>7173</v>
      </c>
    </row>
    <row r="3991">
      <c r="E3991" s="1" t="s">
        <v>6223</v>
      </c>
    </row>
    <row r="3992">
      <c r="E3992" s="1" t="s">
        <v>4124</v>
      </c>
    </row>
    <row r="3993">
      <c r="E3993" s="1" t="s">
        <v>7174</v>
      </c>
    </row>
    <row r="3994">
      <c r="E3994" s="1" t="s">
        <v>7175</v>
      </c>
    </row>
    <row r="3995">
      <c r="E3995" s="1" t="s">
        <v>7176</v>
      </c>
    </row>
    <row r="3996">
      <c r="E3996" s="1" t="s">
        <v>7177</v>
      </c>
    </row>
    <row r="3997">
      <c r="E3997" s="1" t="s">
        <v>4019</v>
      </c>
    </row>
    <row r="3998">
      <c r="E3998" s="1" t="s">
        <v>7178</v>
      </c>
    </row>
    <row r="3999">
      <c r="E3999" s="1" t="s">
        <v>7179</v>
      </c>
    </row>
    <row r="4000">
      <c r="E4000" s="1" t="s">
        <v>3350</v>
      </c>
    </row>
    <row r="4001">
      <c r="E4001" s="1" t="s">
        <v>5822</v>
      </c>
    </row>
    <row r="4002">
      <c r="E4002" s="1" t="s">
        <v>7180</v>
      </c>
    </row>
    <row r="4003">
      <c r="E4003" s="1" t="s">
        <v>7181</v>
      </c>
    </row>
    <row r="4004">
      <c r="E4004" s="1" t="s">
        <v>2789</v>
      </c>
    </row>
    <row r="4005">
      <c r="E4005" s="1" t="s">
        <v>7182</v>
      </c>
    </row>
    <row r="4006">
      <c r="E4006" s="1" t="s">
        <v>7058</v>
      </c>
    </row>
    <row r="4007">
      <c r="E4007" s="1" t="s">
        <v>7059</v>
      </c>
    </row>
    <row r="4008">
      <c r="E4008" s="1" t="s">
        <v>6140</v>
      </c>
    </row>
    <row r="4009">
      <c r="E4009" s="1" t="s">
        <v>6160</v>
      </c>
    </row>
    <row r="4010">
      <c r="E4010" s="1" t="s">
        <v>7060</v>
      </c>
    </row>
    <row r="4011">
      <c r="E4011" s="1" t="s">
        <v>7183</v>
      </c>
    </row>
    <row r="4012">
      <c r="E4012" s="1" t="s">
        <v>7061</v>
      </c>
    </row>
    <row r="4013">
      <c r="E4013" s="1" t="s">
        <v>5877</v>
      </c>
    </row>
    <row r="4014">
      <c r="E4014" s="1" t="s">
        <v>5062</v>
      </c>
    </row>
    <row r="4015">
      <c r="E4015" s="1" t="s">
        <v>3434</v>
      </c>
    </row>
    <row r="4016">
      <c r="E4016" s="1" t="s">
        <v>6187</v>
      </c>
    </row>
    <row r="4017">
      <c r="E4017" s="1">
        <v>78.0</v>
      </c>
    </row>
    <row r="4018">
      <c r="E4018" s="1">
        <v>21.0</v>
      </c>
    </row>
    <row r="4019">
      <c r="E4019" s="1" t="s">
        <v>7184</v>
      </c>
    </row>
    <row r="4020">
      <c r="E4020" s="1" t="s">
        <v>7185</v>
      </c>
    </row>
    <row r="4021">
      <c r="E4021" s="1" t="s">
        <v>7064</v>
      </c>
    </row>
    <row r="4022">
      <c r="E4022" s="1" t="s">
        <v>4023</v>
      </c>
    </row>
    <row r="4023">
      <c r="E4023" s="1" t="s">
        <v>7186</v>
      </c>
    </row>
    <row r="4024">
      <c r="E4024" s="1" t="s">
        <v>7066</v>
      </c>
    </row>
    <row r="4025">
      <c r="E4025" s="1" t="s">
        <v>3331</v>
      </c>
    </row>
    <row r="4026">
      <c r="E4026" s="1" t="s">
        <v>3803</v>
      </c>
    </row>
    <row r="4027">
      <c r="E4027" s="1" t="s">
        <v>3429</v>
      </c>
    </row>
    <row r="4028">
      <c r="E4028" s="1" t="s">
        <v>7068</v>
      </c>
    </row>
    <row r="4029">
      <c r="E4029" s="1" t="s">
        <v>7069</v>
      </c>
    </row>
    <row r="4030">
      <c r="E4030" s="1" t="s">
        <v>7070</v>
      </c>
    </row>
    <row r="4031">
      <c r="E4031" s="1" t="s">
        <v>4653</v>
      </c>
    </row>
    <row r="4032">
      <c r="E4032" s="1" t="s">
        <v>7187</v>
      </c>
    </row>
    <row r="4033">
      <c r="E4033" s="1" t="s">
        <v>5884</v>
      </c>
    </row>
    <row r="4034">
      <c r="E4034" s="1" t="s">
        <v>7072</v>
      </c>
    </row>
    <row r="4035">
      <c r="E4035" s="1">
        <v>1972.0</v>
      </c>
    </row>
    <row r="4036">
      <c r="E4036" s="1" t="s">
        <v>5885</v>
      </c>
    </row>
    <row r="4037">
      <c r="E4037" s="1" t="s">
        <v>6190</v>
      </c>
    </row>
    <row r="4038">
      <c r="E4038" s="1" t="s">
        <v>5888</v>
      </c>
    </row>
    <row r="4039">
      <c r="E4039" s="1" t="s">
        <v>7188</v>
      </c>
    </row>
    <row r="4040">
      <c r="E4040" s="1" t="s">
        <v>5893</v>
      </c>
    </row>
    <row r="4041">
      <c r="E4041" s="1" t="s">
        <v>6193</v>
      </c>
    </row>
    <row r="4042">
      <c r="E4042" s="1" t="s">
        <v>5896</v>
      </c>
    </row>
    <row r="4043">
      <c r="E4043" s="1" t="s">
        <v>7189</v>
      </c>
    </row>
    <row r="4044">
      <c r="E4044" s="1" t="s">
        <v>5834</v>
      </c>
    </row>
    <row r="4045">
      <c r="E4045" s="1" t="s">
        <v>7073</v>
      </c>
    </row>
    <row r="4046">
      <c r="E4046" s="1" t="s">
        <v>3386</v>
      </c>
    </row>
    <row r="4047">
      <c r="E4047" s="1" t="s">
        <v>4197</v>
      </c>
    </row>
    <row r="4048">
      <c r="E4048" s="1" t="s">
        <v>5432</v>
      </c>
    </row>
    <row r="4049">
      <c r="E4049" s="1" t="s">
        <v>5901</v>
      </c>
    </row>
    <row r="4050">
      <c r="E4050" s="1" t="s">
        <v>4028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7190</v>
      </c>
      <c r="B1" s="1" t="s">
        <v>7191</v>
      </c>
      <c r="C1" s="1" t="s">
        <v>7192</v>
      </c>
      <c r="D1" s="1" t="s">
        <v>7193</v>
      </c>
      <c r="E1" s="19" t="s">
        <v>7194</v>
      </c>
      <c r="G1" s="1" t="s">
        <v>7195</v>
      </c>
      <c r="H1" s="1" t="s">
        <v>7196</v>
      </c>
      <c r="I1" s="1" t="s">
        <v>6234</v>
      </c>
      <c r="J1" s="1" t="s">
        <v>7197</v>
      </c>
      <c r="K1" s="19"/>
      <c r="L1" s="1" t="s">
        <v>7198</v>
      </c>
      <c r="M1" s="1" t="s">
        <v>7199</v>
      </c>
      <c r="N1" s="1" t="s">
        <v>7200</v>
      </c>
      <c r="P1" s="1" t="s">
        <v>20</v>
      </c>
      <c r="Q1" s="1" t="s">
        <v>7201</v>
      </c>
      <c r="S1" s="1" t="s">
        <v>7202</v>
      </c>
    </row>
    <row r="2">
      <c r="A2" s="4" t="str">
        <f>IFERROR(__xludf.DUMMYFUNCTION("filter(Ofc!A:A, MATCH(Ofc!A:A,Ofc!B:B , false))"),"superficial")</f>
        <v>superficial</v>
      </c>
      <c r="B2" s="4" t="str">
        <f>IFERROR(__xludf.DUMMYFUNCTION("filter(Ofc!A:A, MATCH(Ofc!A:A,Ofc!H:H , false))"),"redundant")</f>
        <v>redundant</v>
      </c>
      <c r="C2" s="4" t="str">
        <f>IFERROR(__xludf.DUMMYFUNCTION("filter(Ofc!A:A, MATCH(Ofc!A:A,Ofc!D:D , false))"),"superficial")</f>
        <v>superficial</v>
      </c>
      <c r="D2" s="4" t="str">
        <f>IFERROR(__xludf.DUMMYFUNCTION("filter(Ofc!A:A, MATCH(Ofc!A:A,Ofc!E:E , false))"),"sharply")</f>
        <v>sharply</v>
      </c>
      <c r="E2" s="4" t="str">
        <f>IFERROR(__xludf.DUMMYFUNCTION("filter(Ofc!A:A, MATCH(Ofc!A:A,Ofc!F:F , false))"),"superficial")</f>
        <v>superficial</v>
      </c>
      <c r="G2" s="4" t="str">
        <f>IFERROR(__xludf.DUMMYFUNCTION("filter(Ofc!B:B, MATCH(Ofc!B:B,Ofc!H:H , false))"),"wit")</f>
        <v>wit</v>
      </c>
      <c r="H2" s="4" t="str">
        <f>IFERROR(__xludf.DUMMYFUNCTION("filter(Ofc!B:B, MATCH(Ofc!B:B,Ofc!D:D , false))"),"parental")</f>
        <v>parental</v>
      </c>
      <c r="I2" s="4" t="str">
        <f>IFERROR(__xludf.DUMMYFUNCTION("filter(Ofc!B:B, MATCH(Ofc!B:B,Ofc!E:E , false))"),"characters")</f>
        <v>characters</v>
      </c>
      <c r="J2" s="4" t="str">
        <f>IFERROR(__xludf.DUMMYFUNCTION("filter(Ofc!B:B, MATCH(Ofc!B:B,Ofc!F:F , false))"),"parental")</f>
        <v>parental</v>
      </c>
      <c r="K2" s="4"/>
      <c r="L2" s="4" t="str">
        <f>IFERROR(__xludf.DUMMYFUNCTION("filter(Ofc!H:H, MATCH(Ofc!H:H,Ofc!D:D , false))"),"wit")</f>
        <v>wit</v>
      </c>
      <c r="M2" s="4" t="str">
        <f>IFERROR(__xludf.DUMMYFUNCTION("filter(Ofc!H:H, MATCH(Ofc!H:H,Ofc!E:E , false))"),"human")</f>
        <v>human</v>
      </c>
      <c r="N2" s="4" t="str">
        <f>IFERROR(__xludf.DUMMYFUNCTION("filter(Ofc!H:H, MATCH(Ofc!H:H,Ofc!F:F , false))"),"filmmakers")</f>
        <v>filmmakers</v>
      </c>
      <c r="P2" s="4" t="str">
        <f>IFERROR(__xludf.DUMMYFUNCTION("filter(Ofc!D:D, MATCH(Ofc!D:D,Ofc!E:E , false))"),"new")</f>
        <v>new</v>
      </c>
      <c r="Q2" s="4" t="str">
        <f>IFERROR(__xludf.DUMMYFUNCTION("filter(Ofc!D:D, MATCH(Ofc!D:D,Ofc!F:F , false))"),"parental")</f>
        <v>parental</v>
      </c>
      <c r="S2" s="4" t="str">
        <f>IFERROR(__xludf.DUMMYFUNCTION("filter(Ofc!E:E, MATCH(Ofc!E:E,Ofc!F:F , false))"),"new")</f>
        <v>new</v>
      </c>
    </row>
    <row r="3">
      <c r="A3" s="6" t="str">
        <f>IFERROR(__xludf.DUMMYFUNCTION("""COMPUTED_VALUE"""),"depressed")</f>
        <v>depressed</v>
      </c>
      <c r="B3" s="6" t="str">
        <f>IFERROR(__xludf.DUMMYFUNCTION("""COMPUTED_VALUE"""),"succeeds")</f>
        <v>succeeds</v>
      </c>
      <c r="C3" s="6" t="str">
        <f>IFERROR(__xludf.DUMMYFUNCTION("""COMPUTED_VALUE"""),"depressed")</f>
        <v>depressed</v>
      </c>
      <c r="D3" s="6" t="str">
        <f>IFERROR(__xludf.DUMMYFUNCTION("""COMPUTED_VALUE"""),"touching")</f>
        <v>touching</v>
      </c>
      <c r="E3" s="20" t="str">
        <f>IFERROR(__xludf.DUMMYFUNCTION("""COMPUTED_VALUE"""),"redundant")</f>
        <v>redundant</v>
      </c>
      <c r="G3" s="6" t="str">
        <f>IFERROR(__xludf.DUMMYFUNCTION("""COMPUTED_VALUE"""),"human")</f>
        <v>human</v>
      </c>
      <c r="H3" s="6" t="str">
        <f>IFERROR(__xludf.DUMMYFUNCTION("""COMPUTED_VALUE"""),"wit")</f>
        <v>wit</v>
      </c>
      <c r="I3" s="6" t="str">
        <f>IFERROR(__xludf.DUMMYFUNCTION("""COMPUTED_VALUE"""),"something")</f>
        <v>something</v>
      </c>
      <c r="J3" s="6" t="str">
        <f>IFERROR(__xludf.DUMMYFUNCTION("""COMPUTED_VALUE"""),"only")</f>
        <v>only</v>
      </c>
      <c r="K3" s="20"/>
      <c r="L3" s="6" t="str">
        <f>IFERROR(__xludf.DUMMYFUNCTION("""COMPUTED_VALUE"""),"filmmakers")</f>
        <v>filmmakers</v>
      </c>
      <c r="M3" s="6" t="str">
        <f>IFERROR(__xludf.DUMMYFUNCTION("""COMPUTED_VALUE"""),"emotional")</f>
        <v>emotional</v>
      </c>
      <c r="N3" s="6" t="str">
        <f>IFERROR(__xludf.DUMMYFUNCTION("""COMPUTED_VALUE"""),"too")</f>
        <v>too</v>
      </c>
      <c r="P3" s="6" t="str">
        <f>IFERROR(__xludf.DUMMYFUNCTION("""COMPUTED_VALUE"""),"contains")</f>
        <v>contains</v>
      </c>
      <c r="Q3" s="6" t="str">
        <f>IFERROR(__xludf.DUMMYFUNCTION("""COMPUTED_VALUE"""),"new")</f>
        <v>new</v>
      </c>
      <c r="S3" s="6" t="str">
        <f>IFERROR(__xludf.DUMMYFUNCTION("""COMPUTED_VALUE"""),"something")</f>
        <v>something</v>
      </c>
    </row>
    <row r="4">
      <c r="A4" s="6" t="str">
        <f>IFERROR(__xludf.DUMMYFUNCTION("""COMPUTED_VALUE"""),"redundant")</f>
        <v>redundant</v>
      </c>
      <c r="B4" s="6" t="str">
        <f>IFERROR(__xludf.DUMMYFUNCTION("""COMPUTED_VALUE"""),"crude")</f>
        <v>crude</v>
      </c>
      <c r="C4" s="6" t="str">
        <f>IFERROR(__xludf.DUMMYFUNCTION("""COMPUTED_VALUE"""),"redundant")</f>
        <v>redundant</v>
      </c>
      <c r="D4" s="6" t="str">
        <f>IFERROR(__xludf.DUMMYFUNCTION("""COMPUTED_VALUE"""),"historically")</f>
        <v>historically</v>
      </c>
      <c r="E4" s="20" t="str">
        <f>IFERROR(__xludf.DUMMYFUNCTION("""COMPUTED_VALUE"""),"succeeds")</f>
        <v>succeeds</v>
      </c>
      <c r="G4" s="6" t="str">
        <f>IFERROR(__xludf.DUMMYFUNCTION("""COMPUTED_VALUE"""),"filmmakers")</f>
        <v>filmmakers</v>
      </c>
      <c r="H4" s="6" t="str">
        <f>IFERROR(__xludf.DUMMYFUNCTION("""COMPUTED_VALUE"""),"and")</f>
        <v>and</v>
      </c>
      <c r="I4" s="6" t="str">
        <f>IFERROR(__xludf.DUMMYFUNCTION("""COMPUTED_VALUE"""),"beautiful")</f>
        <v>beautiful</v>
      </c>
      <c r="J4" s="6" t="str">
        <f>IFERROR(__xludf.DUMMYFUNCTION("""COMPUTED_VALUE"""),"and")</f>
        <v>and</v>
      </c>
      <c r="K4" s="20"/>
      <c r="L4" s="6" t="str">
        <f>IFERROR(__xludf.DUMMYFUNCTION("""COMPUTED_VALUE"""),"too")</f>
        <v>too</v>
      </c>
      <c r="M4" s="6" t="str">
        <f>IFERROR(__xludf.DUMMYFUNCTION("""COMPUTED_VALUE"""),"poetry")</f>
        <v>poetry</v>
      </c>
      <c r="N4" s="6" t="str">
        <f>IFERROR(__xludf.DUMMYFUNCTION("""COMPUTED_VALUE"""),"demonstrates")</f>
        <v>demonstrates</v>
      </c>
      <c r="P4" s="6" t="str">
        <f>IFERROR(__xludf.DUMMYFUNCTION("""COMPUTED_VALUE"""),"characters")</f>
        <v>characters</v>
      </c>
      <c r="Q4" s="6" t="str">
        <f>IFERROR(__xludf.DUMMYFUNCTION("""COMPUTED_VALUE"""),"characters")</f>
        <v>characters</v>
      </c>
      <c r="S4" s="6" t="str">
        <f>IFERROR(__xludf.DUMMYFUNCTION("""COMPUTED_VALUE"""),"nature")</f>
        <v>nature</v>
      </c>
    </row>
    <row r="5">
      <c r="A5" s="6" t="str">
        <f>IFERROR(__xludf.DUMMYFUNCTION("""COMPUTED_VALUE"""),"succeeds")</f>
        <v>succeeds</v>
      </c>
      <c r="B5" s="6" t="str">
        <f>IFERROR(__xludf.DUMMYFUNCTION("""COMPUTED_VALUE"""),"proves")</f>
        <v>proves</v>
      </c>
      <c r="C5" s="6" t="str">
        <f>IFERROR(__xludf.DUMMYFUNCTION("""COMPUTED_VALUE"""),"succeeds")</f>
        <v>succeeds</v>
      </c>
      <c r="D5" s="6" t="str">
        <f>IFERROR(__xludf.DUMMYFUNCTION("""COMPUTED_VALUE"""),"wisdom")</f>
        <v>wisdom</v>
      </c>
      <c r="E5" s="20" t="str">
        <f>IFERROR(__xludf.DUMMYFUNCTION("""COMPUTED_VALUE"""),"crude")</f>
        <v>crude</v>
      </c>
      <c r="G5" s="6" t="str">
        <f>IFERROR(__xludf.DUMMYFUNCTION("""COMPUTED_VALUE"""),"too")</f>
        <v>too</v>
      </c>
      <c r="H5" s="6" t="str">
        <f>IFERROR(__xludf.DUMMYFUNCTION("""COMPUTED_VALUE"""),"characters")</f>
        <v>characters</v>
      </c>
      <c r="I5" s="6" t="str">
        <f>IFERROR(__xludf.DUMMYFUNCTION("""COMPUTED_VALUE"""),"human")</f>
        <v>human</v>
      </c>
      <c r="J5" s="6" t="str">
        <f>IFERROR(__xludf.DUMMYFUNCTION("""COMPUTED_VALUE"""),"characters")</f>
        <v>characters</v>
      </c>
      <c r="K5" s="20"/>
      <c r="L5" s="6" t="str">
        <f>IFERROR(__xludf.DUMMYFUNCTION("""COMPUTED_VALUE"""),"demonstrates")</f>
        <v>demonstrates</v>
      </c>
      <c r="M5" s="6" t="str">
        <f>IFERROR(__xludf.DUMMYFUNCTION("""COMPUTED_VALUE"""),"deeply")</f>
        <v>deeply</v>
      </c>
      <c r="N5" s="6" t="str">
        <f>IFERROR(__xludf.DUMMYFUNCTION("""COMPUTED_VALUE"""),"of")</f>
        <v>of</v>
      </c>
      <c r="P5" s="6" t="str">
        <f>IFERROR(__xludf.DUMMYFUNCTION("""COMPUTED_VALUE"""),"nature")</f>
        <v>nature</v>
      </c>
      <c r="Q5" s="6" t="str">
        <f>IFERROR(__xludf.DUMMYFUNCTION("""COMPUTED_VALUE"""),"nature")</f>
        <v>nature</v>
      </c>
      <c r="S5" s="6" t="str">
        <f>IFERROR(__xludf.DUMMYFUNCTION("""COMPUTED_VALUE"""),"beautiful")</f>
        <v>beautiful</v>
      </c>
    </row>
    <row r="6">
      <c r="A6" s="6" t="str">
        <f>IFERROR(__xludf.DUMMYFUNCTION("""COMPUTED_VALUE"""),"crude")</f>
        <v>crude</v>
      </c>
      <c r="B6" s="6" t="str">
        <f>IFERROR(__xludf.DUMMYFUNCTION("""COMPUTED_VALUE"""),"vivid")</f>
        <v>vivid</v>
      </c>
      <c r="C6" s="6" t="str">
        <f>IFERROR(__xludf.DUMMYFUNCTION("""COMPUTED_VALUE"""),"crude")</f>
        <v>crude</v>
      </c>
      <c r="D6" s="6" t="str">
        <f>IFERROR(__xludf.DUMMYFUNCTION("""COMPUTED_VALUE"""),"fluid")</f>
        <v>fluid</v>
      </c>
      <c r="E6" s="20" t="str">
        <f>IFERROR(__xludf.DUMMYFUNCTION("""COMPUTED_VALUE"""),"sharply")</f>
        <v>sharply</v>
      </c>
      <c r="G6" s="6" t="str">
        <f>IFERROR(__xludf.DUMMYFUNCTION("""COMPUTED_VALUE"""),"demonstrates")</f>
        <v>demonstrates</v>
      </c>
      <c r="H6" s="6" t="str">
        <f>IFERROR(__xludf.DUMMYFUNCTION("""COMPUTED_VALUE"""),"beautiful")</f>
        <v>beautiful</v>
      </c>
      <c r="I6" s="6" t="str">
        <f>IFERROR(__xludf.DUMMYFUNCTION("""COMPUTED_VALUE"""),"remain")</f>
        <v>remain</v>
      </c>
      <c r="J6" s="6" t="str">
        <f>IFERROR(__xludf.DUMMYFUNCTION("""COMPUTED_VALUE"""),"something")</f>
        <v>something</v>
      </c>
      <c r="K6" s="20"/>
      <c r="L6" s="6" t="str">
        <f>IFERROR(__xludf.DUMMYFUNCTION("""COMPUTED_VALUE"""),"emotional")</f>
        <v>emotional</v>
      </c>
      <c r="M6" s="6" t="str">
        <f>IFERROR(__xludf.DUMMYFUNCTION("""COMPUTED_VALUE"""),"goes")</f>
        <v>goes</v>
      </c>
      <c r="N6" s="6" t="str">
        <f>IFERROR(__xludf.DUMMYFUNCTION("""COMPUTED_VALUE"""),"poetry")</f>
        <v>poetry</v>
      </c>
      <c r="P6" s="6" t="str">
        <f>IFERROR(__xludf.DUMMYFUNCTION("""COMPUTED_VALUE"""),"beautiful")</f>
        <v>beautiful</v>
      </c>
      <c r="Q6" s="6" t="str">
        <f>IFERROR(__xludf.DUMMYFUNCTION("""COMPUTED_VALUE"""),"and")</f>
        <v>and</v>
      </c>
      <c r="S6" s="6" t="str">
        <f>IFERROR(__xludf.DUMMYFUNCTION("""COMPUTED_VALUE"""),"characters")</f>
        <v>characters</v>
      </c>
    </row>
    <row r="7">
      <c r="A7" s="6" t="str">
        <f>IFERROR(__xludf.DUMMYFUNCTION("""COMPUTED_VALUE"""),"oblivious")</f>
        <v>oblivious</v>
      </c>
      <c r="B7" s="6" t="str">
        <f>IFERROR(__xludf.DUMMYFUNCTION("""COMPUTED_VALUE"""),"pointless")</f>
        <v>pointless</v>
      </c>
      <c r="C7" s="6" t="str">
        <f>IFERROR(__xludf.DUMMYFUNCTION("""COMPUTED_VALUE"""),"sharply")</f>
        <v>sharply</v>
      </c>
      <c r="D7" s="6" t="str">
        <f>IFERROR(__xludf.DUMMYFUNCTION("""COMPUTED_VALUE"""),"seal")</f>
        <v>seal</v>
      </c>
      <c r="E7" s="20" t="str">
        <f>IFERROR(__xludf.DUMMYFUNCTION("""COMPUTED_VALUE"""),"recycled")</f>
        <v>recycled</v>
      </c>
      <c r="G7" s="6" t="str">
        <f>IFERROR(__xludf.DUMMYFUNCTION("""COMPUTED_VALUE"""),"of")</f>
        <v>of</v>
      </c>
      <c r="H7" s="6" t="str">
        <f>IFERROR(__xludf.DUMMYFUNCTION("""COMPUTED_VALUE"""),"utterly")</f>
        <v>utterly</v>
      </c>
      <c r="I7" s="6" t="str">
        <f>IFERROR(__xludf.DUMMYFUNCTION("""COMPUTED_VALUE"""),"could")</f>
        <v>could</v>
      </c>
      <c r="J7" s="6" t="str">
        <f>IFERROR(__xludf.DUMMYFUNCTION("""COMPUTED_VALUE"""),"beautiful")</f>
        <v>beautiful</v>
      </c>
      <c r="K7" s="20"/>
      <c r="L7" s="6" t="str">
        <f>IFERROR(__xludf.DUMMYFUNCTION("""COMPUTED_VALUE"""),"most")</f>
        <v>most</v>
      </c>
      <c r="M7" s="6" t="str">
        <f>IFERROR(__xludf.DUMMYFUNCTION("""COMPUTED_VALUE"""),"intelligence")</f>
        <v>intelligence</v>
      </c>
      <c r="N7" s="6" t="str">
        <f>IFERROR(__xludf.DUMMYFUNCTION("""COMPUTED_VALUE"""),"most")</f>
        <v>most</v>
      </c>
      <c r="P7" s="6" t="str">
        <f>IFERROR(__xludf.DUMMYFUNCTION("""COMPUTED_VALUE"""),"rather")</f>
        <v>rather</v>
      </c>
      <c r="Q7" s="6" t="str">
        <f>IFERROR(__xludf.DUMMYFUNCTION("""COMPUTED_VALUE"""),"beautiful")</f>
        <v>beautiful</v>
      </c>
      <c r="S7" s="6" t="str">
        <f>IFERROR(__xludf.DUMMYFUNCTION("""COMPUTED_VALUE"""),"remain")</f>
        <v>remain</v>
      </c>
    </row>
    <row r="8">
      <c r="A8" s="6" t="str">
        <f>IFERROR(__xludf.DUMMYFUNCTION("""COMPUTED_VALUE"""),"sharply")</f>
        <v>sharply</v>
      </c>
      <c r="B8" s="6" t="str">
        <f>IFERROR(__xludf.DUMMYFUNCTION("""COMPUTED_VALUE"""),"touching")</f>
        <v>touching</v>
      </c>
      <c r="C8" s="6" t="str">
        <f>IFERROR(__xludf.DUMMYFUNCTION("""COMPUTED_VALUE"""),"recycled")</f>
        <v>recycled</v>
      </c>
      <c r="D8" s="6" t="str">
        <f>IFERROR(__xludf.DUMMYFUNCTION("""COMPUTED_VALUE"""),"reveals")</f>
        <v>reveals</v>
      </c>
      <c r="E8" s="20" t="str">
        <f>IFERROR(__xludf.DUMMYFUNCTION("""COMPUTED_VALUE"""),"proves")</f>
        <v>proves</v>
      </c>
      <c r="G8" s="6" t="str">
        <f>IFERROR(__xludf.DUMMYFUNCTION("""COMPUTED_VALUE"""),"intelligence")</f>
        <v>intelligence</v>
      </c>
      <c r="H8" s="6" t="str">
        <f>IFERROR(__xludf.DUMMYFUNCTION("""COMPUTED_VALUE"""),"remain")</f>
        <v>remain</v>
      </c>
      <c r="I8" s="6" t="str">
        <f>IFERROR(__xludf.DUMMYFUNCTION("""COMPUTED_VALUE"""),"merit")</f>
        <v>merit</v>
      </c>
      <c r="J8" s="6" t="str">
        <f>IFERROR(__xludf.DUMMYFUNCTION("""COMPUTED_VALUE"""),"remain")</f>
        <v>remain</v>
      </c>
      <c r="K8" s="20"/>
      <c r="L8" s="6" t="str">
        <f>IFERROR(__xludf.DUMMYFUNCTION("""COMPUTED_VALUE"""),"deeply")</f>
        <v>deeply</v>
      </c>
      <c r="M8" s="6" t="str">
        <f>IFERROR(__xludf.DUMMYFUNCTION("""COMPUTED_VALUE"""),"casting")</f>
        <v>casting</v>
      </c>
      <c r="N8" s="6" t="str">
        <f>IFERROR(__xludf.DUMMYFUNCTION("""COMPUTED_VALUE"""),"deeply")</f>
        <v>deeply</v>
      </c>
      <c r="P8" s="6" t="str">
        <f>IFERROR(__xludf.DUMMYFUNCTION("""COMPUTED_VALUE"""),"throughout")</f>
        <v>throughout</v>
      </c>
      <c r="Q8" s="6" t="str">
        <f>IFERROR(__xludf.DUMMYFUNCTION("""COMPUTED_VALUE"""),"remain")</f>
        <v>remain</v>
      </c>
      <c r="S8" s="6" t="str">
        <f>IFERROR(__xludf.DUMMYFUNCTION("""COMPUTED_VALUE"""),"could")</f>
        <v>could</v>
      </c>
    </row>
    <row r="9">
      <c r="A9" s="6" t="str">
        <f>IFERROR(__xludf.DUMMYFUNCTION("""COMPUTED_VALUE"""),"recycled")</f>
        <v>recycled</v>
      </c>
      <c r="B9" s="6" t="str">
        <f>IFERROR(__xludf.DUMMYFUNCTION("""COMPUTED_VALUE"""),"emptiness")</f>
        <v>emptiness</v>
      </c>
      <c r="C9" s="6" t="str">
        <f>IFERROR(__xludf.DUMMYFUNCTION("""COMPUTED_VALUE"""),"proves")</f>
        <v>proves</v>
      </c>
      <c r="D9" s="6" t="str">
        <f>IFERROR(__xludf.DUMMYFUNCTION("""COMPUTED_VALUE"""),"epic")</f>
        <v>epic</v>
      </c>
      <c r="E9" s="20" t="str">
        <f>IFERROR(__xludf.DUMMYFUNCTION("""COMPUTED_VALUE"""),"vivid")</f>
        <v>vivid</v>
      </c>
      <c r="G9" s="6" t="str">
        <f>IFERROR(__xludf.DUMMYFUNCTION("""COMPUTED_VALUE"""),"redundant")</f>
        <v>redundant</v>
      </c>
      <c r="H9" s="6" t="str">
        <f>IFERROR(__xludf.DUMMYFUNCTION("""COMPUTED_VALUE"""),"filmmakers")</f>
        <v>filmmakers</v>
      </c>
      <c r="I9" s="6" t="str">
        <f>IFERROR(__xludf.DUMMYFUNCTION("""COMPUTED_VALUE"""),"director")</f>
        <v>director</v>
      </c>
      <c r="J9" s="6" t="str">
        <f>IFERROR(__xludf.DUMMYFUNCTION("""COMPUTED_VALUE"""),"filmmakers")</f>
        <v>filmmakers</v>
      </c>
      <c r="K9" s="20"/>
      <c r="L9" s="6" t="str">
        <f>IFERROR(__xludf.DUMMYFUNCTION("""COMPUTED_VALUE"""),"goes")</f>
        <v>goes</v>
      </c>
      <c r="M9" s="6" t="str">
        <f>IFERROR(__xludf.DUMMYFUNCTION("""COMPUTED_VALUE"""),"actress")</f>
        <v>actress</v>
      </c>
      <c r="N9" s="6" t="str">
        <f>IFERROR(__xludf.DUMMYFUNCTION("""COMPUTED_VALUE"""),"more")</f>
        <v>more</v>
      </c>
      <c r="P9" s="6" t="str">
        <f>IFERROR(__xludf.DUMMYFUNCTION("""COMPUTED_VALUE"""),"remain")</f>
        <v>remain</v>
      </c>
      <c r="Q9" s="6" t="str">
        <f>IFERROR(__xludf.DUMMYFUNCTION("""COMPUTED_VALUE"""),"filmmakers")</f>
        <v>filmmakers</v>
      </c>
      <c r="S9" s="6" t="str">
        <f>IFERROR(__xludf.DUMMYFUNCTION("""COMPUTED_VALUE"""),"worst")</f>
        <v>worst</v>
      </c>
    </row>
    <row r="10">
      <c r="A10" s="6" t="str">
        <f>IFERROR(__xludf.DUMMYFUNCTION("""COMPUTED_VALUE"""),"proves")</f>
        <v>proves</v>
      </c>
      <c r="B10" s="6" t="str">
        <f>IFERROR(__xludf.DUMMYFUNCTION("""COMPUTED_VALUE"""),"wisdom")</f>
        <v>wisdom</v>
      </c>
      <c r="C10" s="6" t="str">
        <f>IFERROR(__xludf.DUMMYFUNCTION("""COMPUTED_VALUE"""),"vivid")</f>
        <v>vivid</v>
      </c>
      <c r="D10" s="6" t="str">
        <f>IFERROR(__xludf.DUMMYFUNCTION("""COMPUTED_VALUE"""),"considerable")</f>
        <v>considerable</v>
      </c>
      <c r="E10" s="20" t="str">
        <f>IFERROR(__xludf.DUMMYFUNCTION("""COMPUTED_VALUE"""),"touching")</f>
        <v>touching</v>
      </c>
      <c r="G10" s="6" t="str">
        <f>IFERROR(__xludf.DUMMYFUNCTION("""COMPUTED_VALUE"""),"succeeds")</f>
        <v>succeeds</v>
      </c>
      <c r="H10" s="6" t="str">
        <f>IFERROR(__xludf.DUMMYFUNCTION("""COMPUTED_VALUE"""),"up")</f>
        <v>up</v>
      </c>
      <c r="I10" s="6" t="str">
        <f>IFERROR(__xludf.DUMMYFUNCTION("""COMPUTED_VALUE"""),"games")</f>
        <v>games</v>
      </c>
      <c r="J10" s="6" t="str">
        <f>IFERROR(__xludf.DUMMYFUNCTION("""COMPUTED_VALUE"""),"up")</f>
        <v>up</v>
      </c>
      <c r="K10" s="20"/>
      <c r="L10" s="6" t="str">
        <f>IFERROR(__xludf.DUMMYFUNCTION("""COMPUTED_VALUE"""),"intelligence")</f>
        <v>intelligence</v>
      </c>
      <c r="M10" s="6" t="str">
        <f>IFERROR(__xludf.DUMMYFUNCTION("""COMPUTED_VALUE"""),"performances")</f>
        <v>performances</v>
      </c>
      <c r="N10" s="6" t="str">
        <f>IFERROR(__xludf.DUMMYFUNCTION("""COMPUTED_VALUE"""),"goes")</f>
        <v>goes</v>
      </c>
      <c r="P10" s="6" t="str">
        <f>IFERROR(__xludf.DUMMYFUNCTION("""COMPUTED_VALUE"""),"worst")</f>
        <v>worst</v>
      </c>
      <c r="Q10" s="6" t="str">
        <f>IFERROR(__xludf.DUMMYFUNCTION("""COMPUTED_VALUE"""),"up")</f>
        <v>up</v>
      </c>
      <c r="S10" s="6" t="str">
        <f>IFERROR(__xludf.DUMMYFUNCTION("""COMPUTED_VALUE"""),"treatment")</f>
        <v>treatment</v>
      </c>
    </row>
    <row r="11">
      <c r="A11" s="6" t="str">
        <f>IFERROR(__xludf.DUMMYFUNCTION("""COMPUTED_VALUE"""),"vivid")</f>
        <v>vivid</v>
      </c>
      <c r="B11" s="6" t="str">
        <f>IFERROR(__xludf.DUMMYFUNCTION("""COMPUTED_VALUE"""),"masterpiece")</f>
        <v>masterpiece</v>
      </c>
      <c r="C11" s="6" t="str">
        <f>IFERROR(__xludf.DUMMYFUNCTION("""COMPUTED_VALUE"""),"pointless")</f>
        <v>pointless</v>
      </c>
      <c r="D11" s="6" t="str">
        <f>IFERROR(__xludf.DUMMYFUNCTION("""COMPUTED_VALUE"""),"essentially")</f>
        <v>essentially</v>
      </c>
      <c r="E11" s="20" t="str">
        <f>IFERROR(__xludf.DUMMYFUNCTION("""COMPUTED_VALUE"""),"emptiness")</f>
        <v>emptiness</v>
      </c>
      <c r="G11" s="6" t="str">
        <f>IFERROR(__xludf.DUMMYFUNCTION("""COMPUTED_VALUE"""),"casting")</f>
        <v>casting</v>
      </c>
      <c r="H11" s="6" t="str">
        <f>IFERROR(__xludf.DUMMYFUNCTION("""COMPUTED_VALUE"""),"superficial")</f>
        <v>superficial</v>
      </c>
      <c r="I11" s="6" t="str">
        <f>IFERROR(__xludf.DUMMYFUNCTION("""COMPUTED_VALUE"""),"thought")</f>
        <v>thought</v>
      </c>
      <c r="J11" s="6" t="str">
        <f>IFERROR(__xludf.DUMMYFUNCTION("""COMPUTED_VALUE"""),"could")</f>
        <v>could</v>
      </c>
      <c r="K11" s="20"/>
      <c r="L11" s="6" t="str">
        <f>IFERROR(__xludf.DUMMYFUNCTION("""COMPUTED_VALUE"""),"redundant")</f>
        <v>redundant</v>
      </c>
      <c r="M11" s="6" t="str">
        <f>IFERROR(__xludf.DUMMYFUNCTION("""COMPUTED_VALUE"""),"comes")</f>
        <v>comes</v>
      </c>
      <c r="N11" s="6" t="str">
        <f>IFERROR(__xludf.DUMMYFUNCTION("""COMPUTED_VALUE"""),"intelligence")</f>
        <v>intelligence</v>
      </c>
      <c r="P11" s="6" t="str">
        <f>IFERROR(__xludf.DUMMYFUNCTION("""COMPUTED_VALUE"""),"emotional")</f>
        <v>emotional</v>
      </c>
      <c r="Q11" s="6" t="str">
        <f>IFERROR(__xludf.DUMMYFUNCTION("""COMPUTED_VALUE"""),"worst")</f>
        <v>worst</v>
      </c>
      <c r="S11" s="6" t="str">
        <f>IFERROR(__xludf.DUMMYFUNCTION("""COMPUTED_VALUE"""),"film")</f>
        <v>film</v>
      </c>
    </row>
    <row r="12">
      <c r="A12" s="6" t="str">
        <f>IFERROR(__xludf.DUMMYFUNCTION("""COMPUTED_VALUE"""),"pointless")</f>
        <v>pointless</v>
      </c>
      <c r="B12" s="6" t="str">
        <f>IFERROR(__xludf.DUMMYFUNCTION("""COMPUTED_VALUE"""),"hopeless")</f>
        <v>hopeless</v>
      </c>
      <c r="C12" s="6" t="str">
        <f>IFERROR(__xludf.DUMMYFUNCTION("""COMPUTED_VALUE"""),"touching")</f>
        <v>touching</v>
      </c>
      <c r="D12" s="6" t="str">
        <f>IFERROR(__xludf.DUMMYFUNCTION("""COMPUTED_VALUE"""),"pale")</f>
        <v>pale</v>
      </c>
      <c r="E12" s="20" t="str">
        <f>IFERROR(__xludf.DUMMYFUNCTION("""COMPUTED_VALUE"""),"woven")</f>
        <v>woven</v>
      </c>
      <c r="G12" s="6" t="str">
        <f>IFERROR(__xludf.DUMMYFUNCTION("""COMPUTED_VALUE"""),"actress")</f>
        <v>actress</v>
      </c>
      <c r="H12" s="6" t="str">
        <f>IFERROR(__xludf.DUMMYFUNCTION("""COMPUTED_VALUE"""),"too")</f>
        <v>too</v>
      </c>
      <c r="I12" s="6" t="str">
        <f>IFERROR(__xludf.DUMMYFUNCTION("""COMPUTED_VALUE"""),"bad")</f>
        <v>bad</v>
      </c>
      <c r="J12" s="6" t="str">
        <f>IFERROR(__xludf.DUMMYFUNCTION("""COMPUTED_VALUE"""),"superficial")</f>
        <v>superficial</v>
      </c>
      <c r="K12" s="20"/>
      <c r="L12" s="6" t="str">
        <f>IFERROR(__xludf.DUMMYFUNCTION("""COMPUTED_VALUE"""),"succeeds")</f>
        <v>succeeds</v>
      </c>
      <c r="M12" s="6" t="str">
        <f>IFERROR(__xludf.DUMMYFUNCTION("""COMPUTED_VALUE"""),"cast")</f>
        <v>cast</v>
      </c>
      <c r="N12" s="6" t="str">
        <f>IFERROR(__xludf.DUMMYFUNCTION("""COMPUTED_VALUE"""),"redundant")</f>
        <v>redundant</v>
      </c>
      <c r="P12" s="6" t="str">
        <f>IFERROR(__xludf.DUMMYFUNCTION("""COMPUTED_VALUE"""),"film")</f>
        <v>film</v>
      </c>
      <c r="Q12" s="6" t="str">
        <f>IFERROR(__xludf.DUMMYFUNCTION("""COMPUTED_VALUE"""),"superficial")</f>
        <v>superficial</v>
      </c>
      <c r="S12" s="6" t="str">
        <f>IFERROR(__xludf.DUMMYFUNCTION("""COMPUTED_VALUE"""),"still")</f>
        <v>still</v>
      </c>
    </row>
    <row r="13">
      <c r="A13" s="6" t="str">
        <f>IFERROR(__xludf.DUMMYFUNCTION("""COMPUTED_VALUE"""),"touching")</f>
        <v>touching</v>
      </c>
      <c r="B13" s="6" t="str">
        <f>IFERROR(__xludf.DUMMYFUNCTION("""COMPUTED_VALUE"""),"clumsy")</f>
        <v>clumsy</v>
      </c>
      <c r="C13" s="6" t="str">
        <f>IFERROR(__xludf.DUMMYFUNCTION("""COMPUTED_VALUE"""),"emptiness")</f>
        <v>emptiness</v>
      </c>
      <c r="D13" s="6" t="str">
        <f>IFERROR(__xludf.DUMMYFUNCTION("""COMPUTED_VALUE"""),"intelligent")</f>
        <v>intelligent</v>
      </c>
      <c r="E13" s="20" t="str">
        <f>IFERROR(__xludf.DUMMYFUNCTION("""COMPUTED_VALUE"""),"cruel")</f>
        <v>cruel</v>
      </c>
      <c r="G13" s="6" t="str">
        <f>IFERROR(__xludf.DUMMYFUNCTION("""COMPUTED_VALUE"""),"performances")</f>
        <v>performances</v>
      </c>
      <c r="H13" s="6" t="str">
        <f>IFERROR(__xludf.DUMMYFUNCTION("""COMPUTED_VALUE"""),"patriot")</f>
        <v>patriot</v>
      </c>
      <c r="I13" s="6" t="str">
        <f>IFERROR(__xludf.DUMMYFUNCTION("""COMPUTED_VALUE"""),"greatest")</f>
        <v>greatest</v>
      </c>
      <c r="J13" s="6" t="str">
        <f>IFERROR(__xludf.DUMMYFUNCTION("""COMPUTED_VALUE"""),"too")</f>
        <v>too</v>
      </c>
      <c r="K13" s="20"/>
      <c r="L13" s="6" t="str">
        <f>IFERROR(__xludf.DUMMYFUNCTION("""COMPUTED_VALUE"""),"casting")</f>
        <v>casting</v>
      </c>
      <c r="M13" s="6" t="str">
        <f>IFERROR(__xludf.DUMMYFUNCTION("""COMPUTED_VALUE"""),"cinema")</f>
        <v>cinema</v>
      </c>
      <c r="N13" s="6" t="str">
        <f>IFERROR(__xludf.DUMMYFUNCTION("""COMPUTED_VALUE"""),"succeeds")</f>
        <v>succeeds</v>
      </c>
      <c r="P13" s="6" t="str">
        <f>IFERROR(__xludf.DUMMYFUNCTION("""COMPUTED_VALUE"""),"small")</f>
        <v>small</v>
      </c>
      <c r="Q13" s="6" t="str">
        <f>IFERROR(__xludf.DUMMYFUNCTION("""COMPUTED_VALUE"""),"tragic")</f>
        <v>tragic</v>
      </c>
      <c r="S13" s="6" t="str">
        <f>IFERROR(__xludf.DUMMYFUNCTION("""COMPUTED_VALUE"""),"small")</f>
        <v>small</v>
      </c>
    </row>
    <row r="14">
      <c r="A14" s="6" t="str">
        <f>IFERROR(__xludf.DUMMYFUNCTION("""COMPUTED_VALUE"""),"emptiness")</f>
        <v>emptiness</v>
      </c>
      <c r="B14" s="6" t="str">
        <f>IFERROR(__xludf.DUMMYFUNCTION("""COMPUTED_VALUE"""),"conviction")</f>
        <v>conviction</v>
      </c>
      <c r="C14" s="6" t="str">
        <f>IFERROR(__xludf.DUMMYFUNCTION("""COMPUTED_VALUE"""),"woven")</f>
        <v>woven</v>
      </c>
      <c r="D14" s="6" t="str">
        <f>IFERROR(__xludf.DUMMYFUNCTION("""COMPUTED_VALUE"""),"backward")</f>
        <v>backward</v>
      </c>
      <c r="E14" s="20" t="str">
        <f>IFERROR(__xludf.DUMMYFUNCTION("""COMPUTED_VALUE"""),"historically")</f>
        <v>historically</v>
      </c>
      <c r="G14" s="6" t="str">
        <f>IFERROR(__xludf.DUMMYFUNCTION("""COMPUTED_VALUE"""),"enriched")</f>
        <v>enriched</v>
      </c>
      <c r="H14" s="6" t="str">
        <f>IFERROR(__xludf.DUMMYFUNCTION("""COMPUTED_VALUE"""),"director")</f>
        <v>director</v>
      </c>
      <c r="I14" s="6" t="str">
        <f>IFERROR(__xludf.DUMMYFUNCTION("""COMPUTED_VALUE"""),"intelligence")</f>
        <v>intelligence</v>
      </c>
      <c r="J14" s="6" t="str">
        <f>IFERROR(__xludf.DUMMYFUNCTION("""COMPUTED_VALUE"""),"patriot")</f>
        <v>patriot</v>
      </c>
      <c r="K14" s="20"/>
      <c r="L14" s="6" t="str">
        <f>IFERROR(__xludf.DUMMYFUNCTION("""COMPUTED_VALUE"""),"performances")</f>
        <v>performances</v>
      </c>
      <c r="M14" s="6" t="str">
        <f>IFERROR(__xludf.DUMMYFUNCTION("""COMPUTED_VALUE"""),"plot")</f>
        <v>plot</v>
      </c>
      <c r="N14" s="6" t="str">
        <f>IFERROR(__xludf.DUMMYFUNCTION("""COMPUTED_VALUE"""),"actress")</f>
        <v>actress</v>
      </c>
      <c r="P14" s="6" t="str">
        <f>IFERROR(__xludf.DUMMYFUNCTION("""COMPUTED_VALUE"""),"director")</f>
        <v>director</v>
      </c>
      <c r="Q14" s="6" t="str">
        <f>IFERROR(__xludf.DUMMYFUNCTION("""COMPUTED_VALUE"""),"too")</f>
        <v>too</v>
      </c>
      <c r="S14" s="6" t="str">
        <f>IFERROR(__xludf.DUMMYFUNCTION("""COMPUTED_VALUE"""),"games")</f>
        <v>games</v>
      </c>
    </row>
    <row r="15">
      <c r="A15" s="6" t="str">
        <f>IFERROR(__xludf.DUMMYFUNCTION("""COMPUTED_VALUE"""),"woven")</f>
        <v>woven</v>
      </c>
      <c r="B15" s="6" t="str">
        <f>IFERROR(__xludf.DUMMYFUNCTION("""COMPUTED_VALUE"""),"realistic")</f>
        <v>realistic</v>
      </c>
      <c r="C15" s="6" t="str">
        <f>IFERROR(__xludf.DUMMYFUNCTION("""COMPUTED_VALUE"""),"cruel")</f>
        <v>cruel</v>
      </c>
      <c r="D15" s="6" t="str">
        <f>IFERROR(__xludf.DUMMYFUNCTION("""COMPUTED_VALUE"""),"powerful")</f>
        <v>powerful</v>
      </c>
      <c r="E15" s="20" t="str">
        <f>IFERROR(__xludf.DUMMYFUNCTION("""COMPUTED_VALUE"""),"wisdom")</f>
        <v>wisdom</v>
      </c>
      <c r="G15" s="6" t="str">
        <f>IFERROR(__xludf.DUMMYFUNCTION("""COMPUTED_VALUE"""),"cinema")</f>
        <v>cinema</v>
      </c>
      <c r="H15" s="6" t="str">
        <f>IFERROR(__xludf.DUMMYFUNCTION("""COMPUTED_VALUE"""),"demonstrates")</f>
        <v>demonstrates</v>
      </c>
      <c r="I15" s="6" t="str">
        <f>IFERROR(__xludf.DUMMYFUNCTION("""COMPUTED_VALUE"""),"casting")</f>
        <v>casting</v>
      </c>
      <c r="J15" s="6" t="str">
        <f>IFERROR(__xludf.DUMMYFUNCTION("""COMPUTED_VALUE"""),"director")</f>
        <v>director</v>
      </c>
      <c r="K15" s="20"/>
      <c r="L15" s="6" t="str">
        <f>IFERROR(__xludf.DUMMYFUNCTION("""COMPUTED_VALUE"""),"enriched")</f>
        <v>enriched</v>
      </c>
      <c r="M15" s="6" t="str">
        <f>IFERROR(__xludf.DUMMYFUNCTION("""COMPUTED_VALUE"""),"finish")</f>
        <v>finish</v>
      </c>
      <c r="N15" s="6" t="str">
        <f>IFERROR(__xludf.DUMMYFUNCTION("""COMPUTED_VALUE"""),"comes")</f>
        <v>comes</v>
      </c>
      <c r="P15" s="6" t="str">
        <f>IFERROR(__xludf.DUMMYFUNCTION("""COMPUTED_VALUE"""),"personal")</f>
        <v>personal</v>
      </c>
      <c r="Q15" s="6" t="str">
        <f>IFERROR(__xludf.DUMMYFUNCTION("""COMPUTED_VALUE"""),"patriot")</f>
        <v>patriot</v>
      </c>
      <c r="S15" s="6" t="str">
        <f>IFERROR(__xludf.DUMMYFUNCTION("""COMPUTED_VALUE"""),"director")</f>
        <v>director</v>
      </c>
    </row>
    <row r="16">
      <c r="A16" s="6" t="str">
        <f>IFERROR(__xludf.DUMMYFUNCTION("""COMPUTED_VALUE"""),"cruel")</f>
        <v>cruel</v>
      </c>
      <c r="B16" s="6" t="str">
        <f>IFERROR(__xludf.DUMMYFUNCTION("""COMPUTED_VALUE"""),"reveals")</f>
        <v>reveals</v>
      </c>
      <c r="C16" s="6" t="str">
        <f>IFERROR(__xludf.DUMMYFUNCTION("""COMPUTED_VALUE"""),"historically")</f>
        <v>historically</v>
      </c>
      <c r="D16" s="6" t="str">
        <f>IFERROR(__xludf.DUMMYFUNCTION("""COMPUTED_VALUE"""),"torture")</f>
        <v>torture</v>
      </c>
      <c r="E16" s="20" t="str">
        <f>IFERROR(__xludf.DUMMYFUNCTION("""COMPUTED_VALUE"""),"fluid")</f>
        <v>fluid</v>
      </c>
      <c r="G16" s="6" t="str">
        <f>IFERROR(__xludf.DUMMYFUNCTION("""COMPUTED_VALUE"""),"plot")</f>
        <v>plot</v>
      </c>
      <c r="H16" s="6" t="str">
        <f>IFERROR(__xludf.DUMMYFUNCTION("""COMPUTED_VALUE"""),"suicidal")</f>
        <v>suicidal</v>
      </c>
      <c r="I16" s="6" t="str">
        <f>IFERROR(__xludf.DUMMYFUNCTION("""COMPUTED_VALUE"""),"actress")</f>
        <v>actress</v>
      </c>
      <c r="J16" s="6" t="str">
        <f>IFERROR(__xludf.DUMMYFUNCTION("""COMPUTED_VALUE"""),"demonstrates")</f>
        <v>demonstrates</v>
      </c>
      <c r="K16" s="20"/>
      <c r="L16" s="6" t="str">
        <f>IFERROR(__xludf.DUMMYFUNCTION("""COMPUTED_VALUE"""),"cast")</f>
        <v>cast</v>
      </c>
      <c r="M16" s="6" t="str">
        <f>IFERROR(__xludf.DUMMYFUNCTION("""COMPUTED_VALUE"""),"interest")</f>
        <v>interest</v>
      </c>
      <c r="N16" s="6" t="str">
        <f>IFERROR(__xludf.DUMMYFUNCTION("""COMPUTED_VALUE"""),"enriched")</f>
        <v>enriched</v>
      </c>
      <c r="P16" s="6" t="str">
        <f>IFERROR(__xludf.DUMMYFUNCTION("""COMPUTED_VALUE"""),"deeply")</f>
        <v>deeply</v>
      </c>
      <c r="Q16" s="6" t="str">
        <f>IFERROR(__xludf.DUMMYFUNCTION("""COMPUTED_VALUE"""),"demonstrates")</f>
        <v>demonstrates</v>
      </c>
      <c r="S16" s="6" t="str">
        <f>IFERROR(__xludf.DUMMYFUNCTION("""COMPUTED_VALUE"""),"personal")</f>
        <v>personal</v>
      </c>
    </row>
    <row r="17">
      <c r="A17" s="6" t="str">
        <f>IFERROR(__xludf.DUMMYFUNCTION("""COMPUTED_VALUE"""),"historically")</f>
        <v>historically</v>
      </c>
      <c r="B17" s="6" t="str">
        <f>IFERROR(__xludf.DUMMYFUNCTION("""COMPUTED_VALUE"""),"uneven")</f>
        <v>uneven</v>
      </c>
      <c r="C17" s="6" t="str">
        <f>IFERROR(__xludf.DUMMYFUNCTION("""COMPUTED_VALUE"""),"wisdom")</f>
        <v>wisdom</v>
      </c>
      <c r="D17" s="6" t="str">
        <f>IFERROR(__xludf.DUMMYFUNCTION("""COMPUTED_VALUE"""),"offensive")</f>
        <v>offensive</v>
      </c>
      <c r="E17" s="20" t="str">
        <f>IFERROR(__xludf.DUMMYFUNCTION("""COMPUTED_VALUE"""),"casts")</f>
        <v>casts</v>
      </c>
      <c r="G17" s="6" t="str">
        <f>IFERROR(__xludf.DUMMYFUNCTION("""COMPUTED_VALUE"""),"storyline")</f>
        <v>storyline</v>
      </c>
      <c r="H17" s="6" t="str">
        <f>IFERROR(__xludf.DUMMYFUNCTION("""COMPUTED_VALUE"""),"depressed")</f>
        <v>depressed</v>
      </c>
      <c r="I17" s="6" t="str">
        <f>IFERROR(__xludf.DUMMYFUNCTION("""COMPUTED_VALUE"""),"face")</f>
        <v>face</v>
      </c>
      <c r="J17" s="6" t="str">
        <f>IFERROR(__xludf.DUMMYFUNCTION("""COMPUTED_VALUE"""),"of")</f>
        <v>of</v>
      </c>
      <c r="K17" s="20"/>
      <c r="L17" s="6" t="str">
        <f>IFERROR(__xludf.DUMMYFUNCTION("""COMPUTED_VALUE"""),"cinema")</f>
        <v>cinema</v>
      </c>
      <c r="M17" s="6" t="str">
        <f>IFERROR(__xludf.DUMMYFUNCTION("""COMPUTED_VALUE"""),"sit")</f>
        <v>sit</v>
      </c>
      <c r="N17" s="6" t="str">
        <f>IFERROR(__xludf.DUMMYFUNCTION("""COMPUTED_VALUE"""),"cast")</f>
        <v>cast</v>
      </c>
      <c r="P17" s="6" t="str">
        <f>IFERROR(__xludf.DUMMYFUNCTION("""COMPUTED_VALUE"""),"goes")</f>
        <v>goes</v>
      </c>
      <c r="Q17" s="6" t="str">
        <f>IFERROR(__xludf.DUMMYFUNCTION("""COMPUTED_VALUE"""),"film")</f>
        <v>film</v>
      </c>
      <c r="S17" s="6" t="str">
        <f>IFERROR(__xludf.DUMMYFUNCTION("""COMPUTED_VALUE"""),"poetry")</f>
        <v>poetry</v>
      </c>
    </row>
    <row r="18">
      <c r="A18" s="6" t="str">
        <f>IFERROR(__xludf.DUMMYFUNCTION("""COMPUTED_VALUE"""),"fluid")</f>
        <v>fluid</v>
      </c>
      <c r="B18" s="6" t="str">
        <f>IFERROR(__xludf.DUMMYFUNCTION("""COMPUTED_VALUE"""),"considerable")</f>
        <v>considerable</v>
      </c>
      <c r="C18" s="6" t="str">
        <f>IFERROR(__xludf.DUMMYFUNCTION("""COMPUTED_VALUE"""),"fluid")</f>
        <v>fluid</v>
      </c>
      <c r="D18" s="6" t="str">
        <f>IFERROR(__xludf.DUMMYFUNCTION("""COMPUTED_VALUE"""),"tale")</f>
        <v>tale</v>
      </c>
      <c r="E18" s="20" t="str">
        <f>IFERROR(__xludf.DUMMYFUNCTION("""COMPUTED_VALUE"""),"masterpiece")</f>
        <v>masterpiece</v>
      </c>
      <c r="G18" s="6" t="str">
        <f>IFERROR(__xludf.DUMMYFUNCTION("""COMPUTED_VALUE"""),"crude")</f>
        <v>crude</v>
      </c>
      <c r="H18" s="6" t="str">
        <f>IFERROR(__xludf.DUMMYFUNCTION("""COMPUTED_VALUE"""),"absurd")</f>
        <v>absurd</v>
      </c>
      <c r="I18" s="6" t="str">
        <f>IFERROR(__xludf.DUMMYFUNCTION("""COMPUTED_VALUE"""),"ways")</f>
        <v>ways</v>
      </c>
      <c r="J18" s="6" t="str">
        <f>IFERROR(__xludf.DUMMYFUNCTION("""COMPUTED_VALUE"""),"games")</f>
        <v>games</v>
      </c>
      <c r="K18" s="20"/>
      <c r="L18" s="6" t="str">
        <f>IFERROR(__xludf.DUMMYFUNCTION("""COMPUTED_VALUE"""),"viewing")</f>
        <v>viewing</v>
      </c>
      <c r="M18" s="6" t="str">
        <f>IFERROR(__xludf.DUMMYFUNCTION("""COMPUTED_VALUE"""),"storyline")</f>
        <v>storyline</v>
      </c>
      <c r="N18" s="6" t="str">
        <f>IFERROR(__xludf.DUMMYFUNCTION("""COMPUTED_VALUE"""),"cinema")</f>
        <v>cinema</v>
      </c>
      <c r="P18" s="6" t="str">
        <f>IFERROR(__xludf.DUMMYFUNCTION("""COMPUTED_VALUE"""),"happening")</f>
        <v>happening</v>
      </c>
      <c r="Q18" s="6" t="str">
        <f>IFERROR(__xludf.DUMMYFUNCTION("""COMPUTED_VALUE"""),"small")</f>
        <v>small</v>
      </c>
      <c r="S18" s="6" t="str">
        <f>IFERROR(__xludf.DUMMYFUNCTION("""COMPUTED_VALUE"""),"thought")</f>
        <v>thought</v>
      </c>
    </row>
    <row r="19">
      <c r="A19" s="6" t="str">
        <f>IFERROR(__xludf.DUMMYFUNCTION("""COMPUTED_VALUE"""),"casts")</f>
        <v>casts</v>
      </c>
      <c r="B19" s="6" t="str">
        <f>IFERROR(__xludf.DUMMYFUNCTION("""COMPUTED_VALUE"""),"flashes")</f>
        <v>flashes</v>
      </c>
      <c r="C19" s="6" t="str">
        <f>IFERROR(__xludf.DUMMYFUNCTION("""COMPUTED_VALUE"""),"casts")</f>
        <v>casts</v>
      </c>
      <c r="D19" s="6" t="str">
        <f>IFERROR(__xludf.DUMMYFUNCTION("""COMPUTED_VALUE"""),"abuse")</f>
        <v>abuse</v>
      </c>
      <c r="E19" s="20" t="str">
        <f>IFERROR(__xludf.DUMMYFUNCTION("""COMPUTED_VALUE"""),"hopeless")</f>
        <v>hopeless</v>
      </c>
      <c r="G19" s="6" t="str">
        <f>IFERROR(__xludf.DUMMYFUNCTION("""COMPUTED_VALUE"""),"nowhere")</f>
        <v>nowhere</v>
      </c>
      <c r="H19" s="6" t="str">
        <f>IFERROR(__xludf.DUMMYFUNCTION("""COMPUTED_VALUE"""),"bad")</f>
        <v>bad</v>
      </c>
      <c r="I19" s="6" t="str">
        <f>IFERROR(__xludf.DUMMYFUNCTION("""COMPUTED_VALUE"""),"conspiracy")</f>
        <v>conspiracy</v>
      </c>
      <c r="J19" s="6" t="str">
        <f>IFERROR(__xludf.DUMMYFUNCTION("""COMPUTED_VALUE"""),"as")</f>
        <v>as</v>
      </c>
      <c r="K19" s="20"/>
      <c r="L19" s="6" t="str">
        <f>IFERROR(__xludf.DUMMYFUNCTION("""COMPUTED_VALUE"""),"plot")</f>
        <v>plot</v>
      </c>
      <c r="M19" s="6" t="str">
        <f>IFERROR(__xludf.DUMMYFUNCTION("""COMPUTED_VALUE"""),"entire")</f>
        <v>entire</v>
      </c>
      <c r="N19" s="6" t="str">
        <f>IFERROR(__xludf.DUMMYFUNCTION("""COMPUTED_VALUE"""),"viewing")</f>
        <v>viewing</v>
      </c>
      <c r="P19" s="6" t="str">
        <f>IFERROR(__xludf.DUMMYFUNCTION("""COMPUTED_VALUE"""),"bad")</f>
        <v>bad</v>
      </c>
      <c r="Q19" s="6" t="str">
        <f>IFERROR(__xludf.DUMMYFUNCTION("""COMPUTED_VALUE"""),"director")</f>
        <v>director</v>
      </c>
      <c r="S19" s="6" t="str">
        <f>IFERROR(__xludf.DUMMYFUNCTION("""COMPUTED_VALUE"""),"films")</f>
        <v>films</v>
      </c>
    </row>
    <row r="20">
      <c r="A20" s="6" t="str">
        <f>IFERROR(__xludf.DUMMYFUNCTION("""COMPUTED_VALUE"""),"masterpiece")</f>
        <v>masterpiece</v>
      </c>
      <c r="B20" s="6" t="str">
        <f>IFERROR(__xludf.DUMMYFUNCTION("""COMPUTED_VALUE"""),"slick")</f>
        <v>slick</v>
      </c>
      <c r="C20" s="6" t="str">
        <f>IFERROR(__xludf.DUMMYFUNCTION("""COMPUTED_VALUE"""),"masterpiece")</f>
        <v>masterpiece</v>
      </c>
      <c r="D20" s="6" t="str">
        <f>IFERROR(__xludf.DUMMYFUNCTION("""COMPUTED_VALUE"""),"acid")</f>
        <v>acid</v>
      </c>
      <c r="E20" s="20" t="str">
        <f>IFERROR(__xludf.DUMMYFUNCTION("""COMPUTED_VALUE"""),"clumsy")</f>
        <v>clumsy</v>
      </c>
      <c r="G20" s="6" t="str">
        <f>IFERROR(__xludf.DUMMYFUNCTION("""COMPUTED_VALUE"""),"already")</f>
        <v>already</v>
      </c>
      <c r="H20" s="6" t="str">
        <f>IFERROR(__xludf.DUMMYFUNCTION("""COMPUTED_VALUE"""),"greatest")</f>
        <v>greatest</v>
      </c>
      <c r="I20" s="6" t="str">
        <f>IFERROR(__xludf.DUMMYFUNCTION("""COMPUTED_VALUE"""),"anything")</f>
        <v>anything</v>
      </c>
      <c r="J20" s="6" t="str">
        <f>IFERROR(__xludf.DUMMYFUNCTION("""COMPUTED_VALUE"""),"suicidal")</f>
        <v>suicidal</v>
      </c>
      <c r="K20" s="20"/>
      <c r="L20" s="6" t="str">
        <f>IFERROR(__xludf.DUMMYFUNCTION("""COMPUTED_VALUE"""),"sit")</f>
        <v>sit</v>
      </c>
      <c r="M20" s="6" t="str">
        <f>IFERROR(__xludf.DUMMYFUNCTION("""COMPUTED_VALUE"""),"nowhere")</f>
        <v>nowhere</v>
      </c>
      <c r="N20" s="6" t="str">
        <f>IFERROR(__xludf.DUMMYFUNCTION("""COMPUTED_VALUE"""),"plot")</f>
        <v>plot</v>
      </c>
      <c r="P20" s="6" t="str">
        <f>IFERROR(__xludf.DUMMYFUNCTION("""COMPUTED_VALUE"""),"story")</f>
        <v>story</v>
      </c>
      <c r="Q20" s="6" t="str">
        <f>IFERROR(__xludf.DUMMYFUNCTION("""COMPUTED_VALUE"""),"personal")</f>
        <v>personal</v>
      </c>
      <c r="S20" s="6" t="str">
        <f>IFERROR(__xludf.DUMMYFUNCTION("""COMPUTED_VALUE"""),"deeply")</f>
        <v>deeply</v>
      </c>
    </row>
    <row r="21">
      <c r="A21" s="6" t="str">
        <f>IFERROR(__xludf.DUMMYFUNCTION("""COMPUTED_VALUE"""),"hopeless")</f>
        <v>hopeless</v>
      </c>
      <c r="B21" s="6" t="str">
        <f>IFERROR(__xludf.DUMMYFUNCTION("""COMPUTED_VALUE"""),"haunting")</f>
        <v>haunting</v>
      </c>
      <c r="C21" s="6" t="str">
        <f>IFERROR(__xludf.DUMMYFUNCTION("""COMPUTED_VALUE"""),"hopeless")</f>
        <v>hopeless</v>
      </c>
      <c r="D21" s="6" t="str">
        <f>IFERROR(__xludf.DUMMYFUNCTION("""COMPUTED_VALUE"""),"portrait")</f>
        <v>portrait</v>
      </c>
      <c r="E21" s="20" t="str">
        <f>IFERROR(__xludf.DUMMYFUNCTION("""COMPUTED_VALUE"""),"conviction")</f>
        <v>conviction</v>
      </c>
      <c r="G21" s="6" t="str">
        <f>IFERROR(__xludf.DUMMYFUNCTION("""COMPUTED_VALUE"""),"proves")</f>
        <v>proves</v>
      </c>
      <c r="H21" s="6" t="str">
        <f>IFERROR(__xludf.DUMMYFUNCTION("""COMPUTED_VALUE"""),"intelligence")</f>
        <v>intelligence</v>
      </c>
      <c r="I21" s="6" t="str">
        <f>IFERROR(__xludf.DUMMYFUNCTION("""COMPUTED_VALUE"""),"black")</f>
        <v>black</v>
      </c>
      <c r="J21" s="6" t="str">
        <f>IFERROR(__xludf.DUMMYFUNCTION("""COMPUTED_VALUE"""),"thought")</f>
        <v>thought</v>
      </c>
      <c r="K21" s="20"/>
      <c r="L21" s="6" t="str">
        <f>IFERROR(__xludf.DUMMYFUNCTION("""COMPUTED_VALUE"""),"storyline")</f>
        <v>storyline</v>
      </c>
      <c r="M21" s="6" t="str">
        <f>IFERROR(__xludf.DUMMYFUNCTION("""COMPUTED_VALUE"""),"course")</f>
        <v>course</v>
      </c>
      <c r="N21" s="6" t="str">
        <f>IFERROR(__xludf.DUMMYFUNCTION("""COMPUTED_VALUE"""),"finish")</f>
        <v>finish</v>
      </c>
      <c r="P21" s="6" t="str">
        <f>IFERROR(__xludf.DUMMYFUNCTION("""COMPUTED_VALUE"""),"greatest")</f>
        <v>greatest</v>
      </c>
      <c r="Q21" s="6" t="str">
        <f>IFERROR(__xludf.DUMMYFUNCTION("""COMPUTED_VALUE"""),"with")</f>
        <v>with</v>
      </c>
      <c r="S21" s="6" t="str">
        <f>IFERROR(__xludf.DUMMYFUNCTION("""COMPUTED_VALUE"""),"goes")</f>
        <v>goes</v>
      </c>
    </row>
    <row r="22">
      <c r="A22" s="6" t="str">
        <f>IFERROR(__xludf.DUMMYFUNCTION("""COMPUTED_VALUE"""),"clumsy")</f>
        <v>clumsy</v>
      </c>
      <c r="B22" s="6" t="str">
        <f>IFERROR(__xludf.DUMMYFUNCTION("""COMPUTED_VALUE"""),"affecting")</f>
        <v>affecting</v>
      </c>
      <c r="C22" s="6" t="str">
        <f>IFERROR(__xludf.DUMMYFUNCTION("""COMPUTED_VALUE"""),"clumsy")</f>
        <v>clumsy</v>
      </c>
      <c r="D22" s="6" t="str">
        <f>IFERROR(__xludf.DUMMYFUNCTION("""COMPUTED_VALUE"""),"kills")</f>
        <v>kills</v>
      </c>
      <c r="E22" s="20" t="str">
        <f>IFERROR(__xludf.DUMMYFUNCTION("""COMPUTED_VALUE"""),"realistic")</f>
        <v>realistic</v>
      </c>
      <c r="G22" s="6" t="str">
        <f>IFERROR(__xludf.DUMMYFUNCTION("""COMPUTED_VALUE"""),"has")</f>
        <v>has</v>
      </c>
      <c r="H22" s="6" t="str">
        <f>IFERROR(__xludf.DUMMYFUNCTION("""COMPUTED_VALUE"""),"redundant")</f>
        <v>redundant</v>
      </c>
      <c r="I22" s="6" t="str">
        <f>IFERROR(__xludf.DUMMYFUNCTION("""COMPUTED_VALUE"""),"performances")</f>
        <v>performances</v>
      </c>
      <c r="J22" s="6" t="str">
        <f>IFERROR(__xludf.DUMMYFUNCTION("""COMPUTED_VALUE"""),"are")</f>
        <v>are</v>
      </c>
      <c r="K22" s="20"/>
      <c r="L22" s="6" t="str">
        <f>IFERROR(__xludf.DUMMYFUNCTION("""COMPUTED_VALUE"""),"crude")</f>
        <v>crude</v>
      </c>
      <c r="M22" s="6" t="str">
        <f>IFERROR(__xludf.DUMMYFUNCTION("""COMPUTED_VALUE"""),"already")</f>
        <v>already</v>
      </c>
      <c r="N22" s="6" t="str">
        <f>IFERROR(__xludf.DUMMYFUNCTION("""COMPUTED_VALUE"""),"interest")</f>
        <v>interest</v>
      </c>
      <c r="P22" s="6" t="str">
        <f>IFERROR(__xludf.DUMMYFUNCTION("""COMPUTED_VALUE"""),"intelligence")</f>
        <v>intelligence</v>
      </c>
      <c r="Q22" s="6" t="str">
        <f>IFERROR(__xludf.DUMMYFUNCTION("""COMPUTED_VALUE"""),"out")</f>
        <v>out</v>
      </c>
      <c r="S22" s="6" t="str">
        <f>IFERROR(__xludf.DUMMYFUNCTION("""COMPUTED_VALUE"""),"make")</f>
        <v>make</v>
      </c>
    </row>
    <row r="23">
      <c r="A23" s="6" t="str">
        <f>IFERROR(__xludf.DUMMYFUNCTION("""COMPUTED_VALUE"""),"conviction")</f>
        <v>conviction</v>
      </c>
      <c r="B23" s="6" t="str">
        <f>IFERROR(__xludf.DUMMYFUNCTION("""COMPUTED_VALUE"""),"intelligent")</f>
        <v>intelligent</v>
      </c>
      <c r="C23" s="6" t="str">
        <f>IFERROR(__xludf.DUMMYFUNCTION("""COMPUTED_VALUE"""),"conviction")</f>
        <v>conviction</v>
      </c>
      <c r="D23" s="6" t="str">
        <f>IFERROR(__xludf.DUMMYFUNCTION("""COMPUTED_VALUE"""),"courage")</f>
        <v>courage</v>
      </c>
      <c r="E23" s="20" t="str">
        <f>IFERROR(__xludf.DUMMYFUNCTION("""COMPUTED_VALUE"""),"portrayal")</f>
        <v>portrayal</v>
      </c>
      <c r="G23" s="6" t="str">
        <f>IFERROR(__xludf.DUMMYFUNCTION("""COMPUTED_VALUE"""),"vivid")</f>
        <v>vivid</v>
      </c>
      <c r="H23" s="6" t="str">
        <f>IFERROR(__xludf.DUMMYFUNCTION("""COMPUTED_VALUE"""),"succeeds")</f>
        <v>succeeds</v>
      </c>
      <c r="I23" s="6" t="str">
        <f>IFERROR(__xludf.DUMMYFUNCTION("""COMPUTED_VALUE"""),"brave")</f>
        <v>brave</v>
      </c>
      <c r="J23" s="6" t="str">
        <f>IFERROR(__xludf.DUMMYFUNCTION("""COMPUTED_VALUE"""),"in")</f>
        <v>in</v>
      </c>
      <c r="K23" s="20"/>
      <c r="L23" s="6" t="str">
        <f>IFERROR(__xludf.DUMMYFUNCTION("""COMPUTED_VALUE"""),"entire")</f>
        <v>entire</v>
      </c>
      <c r="M23" s="6" t="str">
        <f>IFERROR(__xludf.DUMMYFUNCTION("""COMPUTED_VALUE"""),"version")</f>
        <v>version</v>
      </c>
      <c r="N23" s="6" t="str">
        <f>IFERROR(__xludf.DUMMYFUNCTION("""COMPUTED_VALUE"""),"storyline")</f>
        <v>storyline</v>
      </c>
      <c r="P23" s="6" t="str">
        <f>IFERROR(__xludf.DUMMYFUNCTION("""COMPUTED_VALUE"""),"usual")</f>
        <v>usual</v>
      </c>
      <c r="Q23" s="6" t="str">
        <f>IFERROR(__xludf.DUMMYFUNCTION("""COMPUTED_VALUE"""),"suicidal")</f>
        <v>suicidal</v>
      </c>
      <c r="S23" s="6" t="str">
        <f>IFERROR(__xludf.DUMMYFUNCTION("""COMPUTED_VALUE"""),"part")</f>
        <v>part</v>
      </c>
    </row>
    <row r="24">
      <c r="A24" s="6" t="str">
        <f>IFERROR(__xludf.DUMMYFUNCTION("""COMPUTED_VALUE"""),"realistic")</f>
        <v>realistic</v>
      </c>
      <c r="B24" s="6" t="str">
        <f>IFERROR(__xludf.DUMMYFUNCTION("""COMPUTED_VALUE"""),"powerful")</f>
        <v>powerful</v>
      </c>
      <c r="C24" s="6" t="str">
        <f>IFERROR(__xludf.DUMMYFUNCTION("""COMPUTED_VALUE"""),"realistic")</f>
        <v>realistic</v>
      </c>
      <c r="D24" s="6" t="str">
        <f>IFERROR(__xludf.DUMMYFUNCTION("""COMPUTED_VALUE"""),"universal")</f>
        <v>universal</v>
      </c>
      <c r="E24" s="20" t="str">
        <f>IFERROR(__xludf.DUMMYFUNCTION("""COMPUTED_VALUE"""),"reveals")</f>
        <v>reveals</v>
      </c>
      <c r="G24" s="6" t="str">
        <f>IFERROR(__xludf.DUMMYFUNCTION("""COMPUTED_VALUE"""),"pointless")</f>
        <v>pointless</v>
      </c>
      <c r="H24" s="6" t="str">
        <f>IFERROR(__xludf.DUMMYFUNCTION("""COMPUTED_VALUE"""),"casting")</f>
        <v>casting</v>
      </c>
      <c r="I24" s="6" t="str">
        <f>IFERROR(__xludf.DUMMYFUNCTION("""COMPUTED_VALUE"""),"spirits")</f>
        <v>spirits</v>
      </c>
      <c r="J24" s="6" t="str">
        <f>IFERROR(__xludf.DUMMYFUNCTION("""COMPUTED_VALUE"""),"through")</f>
        <v>through</v>
      </c>
      <c r="K24" s="20"/>
      <c r="L24" s="6" t="str">
        <f>IFERROR(__xludf.DUMMYFUNCTION("""COMPUTED_VALUE"""),"nowhere")</f>
        <v>nowhere</v>
      </c>
      <c r="M24" s="6" t="str">
        <f>IFERROR(__xludf.DUMMYFUNCTION("""COMPUTED_VALUE"""),"bringing")</f>
        <v>bringing</v>
      </c>
      <c r="N24" s="6" t="str">
        <f>IFERROR(__xludf.DUMMYFUNCTION("""COMPUTED_VALUE"""),"crude")</f>
        <v>crude</v>
      </c>
      <c r="P24" s="6" t="str">
        <f>IFERROR(__xludf.DUMMYFUNCTION("""COMPUTED_VALUE"""),"concept")</f>
        <v>concept</v>
      </c>
      <c r="Q24" s="6" t="str">
        <f>IFERROR(__xludf.DUMMYFUNCTION("""COMPUTED_VALUE"""),"deeply")</f>
        <v>deeply</v>
      </c>
      <c r="S24" s="6" t="str">
        <f>IFERROR(__xludf.DUMMYFUNCTION("""COMPUTED_VALUE"""),"movie")</f>
        <v>movie</v>
      </c>
    </row>
    <row r="25">
      <c r="A25" s="6" t="str">
        <f>IFERROR(__xludf.DUMMYFUNCTION("""COMPUTED_VALUE"""),"portrayal")</f>
        <v>portrayal</v>
      </c>
      <c r="B25" s="6" t="str">
        <f>IFERROR(__xludf.DUMMYFUNCTION("""COMPUTED_VALUE"""),"captures")</f>
        <v>captures</v>
      </c>
      <c r="C25" s="6" t="str">
        <f>IFERROR(__xludf.DUMMYFUNCTION("""COMPUTED_VALUE"""),"portrayal")</f>
        <v>portrayal</v>
      </c>
      <c r="D25" s="6" t="str">
        <f>IFERROR(__xludf.DUMMYFUNCTION("""COMPUTED_VALUE"""),"capable")</f>
        <v>capable</v>
      </c>
      <c r="E25" s="20" t="str">
        <f>IFERROR(__xludf.DUMMYFUNCTION("""COMPUTED_VALUE"""),"uneven")</f>
        <v>uneven</v>
      </c>
      <c r="G25" s="6" t="str">
        <f>IFERROR(__xludf.DUMMYFUNCTION("""COMPUTED_VALUE"""),"touching")</f>
        <v>touching</v>
      </c>
      <c r="H25" s="6" t="str">
        <f>IFERROR(__xludf.DUMMYFUNCTION("""COMPUTED_VALUE"""),"face")</f>
        <v>face</v>
      </c>
      <c r="I25" s="6" t="str">
        <f>IFERROR(__xludf.DUMMYFUNCTION("""COMPUTED_VALUE"""),"cinema")</f>
        <v>cinema</v>
      </c>
      <c r="J25" s="6" t="str">
        <f>IFERROR(__xludf.DUMMYFUNCTION("""COMPUTED_VALUE"""),"absurd")</f>
        <v>absurd</v>
      </c>
      <c r="K25" s="20"/>
      <c r="L25" s="6" t="str">
        <f>IFERROR(__xludf.DUMMYFUNCTION("""COMPUTED_VALUE"""),"course")</f>
        <v>course</v>
      </c>
      <c r="M25" s="6" t="str">
        <f>IFERROR(__xludf.DUMMYFUNCTION("""COMPUTED_VALUE"""),"performance")</f>
        <v>performance</v>
      </c>
      <c r="N25" s="6" t="str">
        <f>IFERROR(__xludf.DUMMYFUNCTION("""COMPUTED_VALUE"""),"have")</f>
        <v>have</v>
      </c>
      <c r="P25" s="6" t="str">
        <f>IFERROR(__xludf.DUMMYFUNCTION("""COMPUTED_VALUE"""),"casting")</f>
        <v>casting</v>
      </c>
      <c r="Q25" s="6" t="str">
        <f>IFERROR(__xludf.DUMMYFUNCTION("""COMPUTED_VALUE"""),"most")</f>
        <v>most</v>
      </c>
      <c r="S25" s="6" t="str">
        <f>IFERROR(__xludf.DUMMYFUNCTION("""COMPUTED_VALUE"""),"story")</f>
        <v>story</v>
      </c>
    </row>
    <row r="26">
      <c r="A26" s="6" t="str">
        <f>IFERROR(__xludf.DUMMYFUNCTION("""COMPUTED_VALUE"""),"reveals")</f>
        <v>reveals</v>
      </c>
      <c r="B26" s="6" t="str">
        <f>IFERROR(__xludf.DUMMYFUNCTION("""COMPUTED_VALUE"""),"offensive")</f>
        <v>offensive</v>
      </c>
      <c r="C26" s="6" t="str">
        <f>IFERROR(__xludf.DUMMYFUNCTION("""COMPUTED_VALUE"""),"reveals")</f>
        <v>reveals</v>
      </c>
      <c r="D26" s="6" t="str">
        <f>IFERROR(__xludf.DUMMYFUNCTION("""COMPUTED_VALUE"""),"deadly")</f>
        <v>deadly</v>
      </c>
      <c r="E26" s="20" t="str">
        <f>IFERROR(__xludf.DUMMYFUNCTION("""COMPUTED_VALUE"""),"unpredictable")</f>
        <v>unpredictable</v>
      </c>
      <c r="G26" s="6" t="str">
        <f>IFERROR(__xludf.DUMMYFUNCTION("""COMPUTED_VALUE"""),"veins")</f>
        <v>veins</v>
      </c>
      <c r="H26" s="6" t="str">
        <f>IFERROR(__xludf.DUMMYFUNCTION("""COMPUTED_VALUE"""),"ways")</f>
        <v>ways</v>
      </c>
      <c r="I26" s="6" t="str">
        <f>IFERROR(__xludf.DUMMYFUNCTION("""COMPUTED_VALUE"""),"plot")</f>
        <v>plot</v>
      </c>
      <c r="J26" s="6" t="str">
        <f>IFERROR(__xludf.DUMMYFUNCTION("""COMPUTED_VALUE"""),"do")</f>
        <v>do</v>
      </c>
      <c r="K26" s="20"/>
      <c r="L26" s="6" t="str">
        <f>IFERROR(__xludf.DUMMYFUNCTION("""COMPUTED_VALUE"""),"version")</f>
        <v>version</v>
      </c>
      <c r="M26" s="6" t="str">
        <f>IFERROR(__xludf.DUMMYFUNCTION("""COMPUTED_VALUE"""),"touching")</f>
        <v>touching</v>
      </c>
      <c r="N26" s="6" t="str">
        <f>IFERROR(__xludf.DUMMYFUNCTION("""COMPUTED_VALUE"""),"entire")</f>
        <v>entire</v>
      </c>
      <c r="P26" s="6" t="str">
        <f>IFERROR(__xludf.DUMMYFUNCTION("""COMPUTED_VALUE"""),"face")</f>
        <v>face</v>
      </c>
      <c r="Q26" s="6" t="str">
        <f>IFERROR(__xludf.DUMMYFUNCTION("""COMPUTED_VALUE"""),"absurd")</f>
        <v>absurd</v>
      </c>
      <c r="S26" s="6" t="str">
        <f>IFERROR(__xludf.DUMMYFUNCTION("""COMPUTED_VALUE"""),"greatest")</f>
        <v>greatest</v>
      </c>
    </row>
    <row r="27">
      <c r="A27" s="6" t="str">
        <f>IFERROR(__xludf.DUMMYFUNCTION("""COMPUTED_VALUE"""),"unpredictable")</f>
        <v>unpredictable</v>
      </c>
      <c r="B27" s="6" t="str">
        <f>IFERROR(__xludf.DUMMYFUNCTION("""COMPUTED_VALUE"""),"tale")</f>
        <v>tale</v>
      </c>
      <c r="C27" s="6" t="str">
        <f>IFERROR(__xludf.DUMMYFUNCTION("""COMPUTED_VALUE"""),"uneven")</f>
        <v>uneven</v>
      </c>
      <c r="D27" s="6" t="str">
        <f>IFERROR(__xludf.DUMMYFUNCTION("""COMPUTED_VALUE"""),"striking")</f>
        <v>striking</v>
      </c>
      <c r="E27" s="20" t="str">
        <f>IFERROR(__xludf.DUMMYFUNCTION("""COMPUTED_VALUE"""),"epic")</f>
        <v>epic</v>
      </c>
      <c r="G27" s="6" t="str">
        <f>IFERROR(__xludf.DUMMYFUNCTION("""COMPUTED_VALUE"""),"emptiness")</f>
        <v>emptiness</v>
      </c>
      <c r="H27" s="6" t="str">
        <f>IFERROR(__xludf.DUMMYFUNCTION("""COMPUTED_VALUE"""),"feminist")</f>
        <v>feminist</v>
      </c>
      <c r="I27" s="6" t="str">
        <f>IFERROR(__xludf.DUMMYFUNCTION("""COMPUTED_VALUE"""),"find")</f>
        <v>find</v>
      </c>
      <c r="J27" s="6" t="str">
        <f>IFERROR(__xludf.DUMMYFUNCTION("""COMPUTED_VALUE"""),"greatest")</f>
        <v>greatest</v>
      </c>
      <c r="K27" s="20"/>
      <c r="L27" s="6" t="str">
        <f>IFERROR(__xludf.DUMMYFUNCTION("""COMPUTED_VALUE"""),"proves")</f>
        <v>proves</v>
      </c>
      <c r="M27" s="6" t="str">
        <f>IFERROR(__xludf.DUMMYFUNCTION("""COMPUTED_VALUE"""),"veins")</f>
        <v>veins</v>
      </c>
      <c r="N27" s="6" t="str">
        <f>IFERROR(__xludf.DUMMYFUNCTION("""COMPUTED_VALUE"""),"course")</f>
        <v>course</v>
      </c>
      <c r="P27" s="6" t="str">
        <f>IFERROR(__xludf.DUMMYFUNCTION("""COMPUTED_VALUE"""),"projects")</f>
        <v>projects</v>
      </c>
      <c r="Q27" s="6" t="str">
        <f>IFERROR(__xludf.DUMMYFUNCTION("""COMPUTED_VALUE"""),"goes")</f>
        <v>goes</v>
      </c>
      <c r="S27" s="6" t="str">
        <f>IFERROR(__xludf.DUMMYFUNCTION("""COMPUTED_VALUE"""),"musicians")</f>
        <v>musicians</v>
      </c>
    </row>
    <row r="28">
      <c r="A28" s="6" t="str">
        <f>IFERROR(__xludf.DUMMYFUNCTION("""COMPUTED_VALUE"""),"considerable")</f>
        <v>considerable</v>
      </c>
      <c r="B28" s="6" t="str">
        <f>IFERROR(__xludf.DUMMYFUNCTION("""COMPUTED_VALUE"""),"sitcom")</f>
        <v>sitcom</v>
      </c>
      <c r="C28" s="6" t="str">
        <f>IFERROR(__xludf.DUMMYFUNCTION("""COMPUTED_VALUE"""),"unpredictable")</f>
        <v>unpredictable</v>
      </c>
      <c r="D28" s="6" t="str">
        <f>IFERROR(__xludf.DUMMYFUNCTION("""COMPUTED_VALUE"""),"longest")</f>
        <v>longest</v>
      </c>
      <c r="E28" s="20" t="str">
        <f>IFERROR(__xludf.DUMMYFUNCTION("""COMPUTED_VALUE"""),"considerable")</f>
        <v>considerable</v>
      </c>
      <c r="G28" s="6" t="str">
        <f>IFERROR(__xludf.DUMMYFUNCTION("""COMPUTED_VALUE"""),"relentless")</f>
        <v>relentless</v>
      </c>
      <c r="H28" s="6" t="str">
        <f>IFERROR(__xludf.DUMMYFUNCTION("""COMPUTED_VALUE"""),"conspiracy")</f>
        <v>conspiracy</v>
      </c>
      <c r="I28" s="6" t="str">
        <f>IFERROR(__xludf.DUMMYFUNCTION("""COMPUTED_VALUE"""),"funny")</f>
        <v>funny</v>
      </c>
      <c r="J28" s="6" t="str">
        <f>IFERROR(__xludf.DUMMYFUNCTION("""COMPUTED_VALUE"""),"intelligence")</f>
        <v>intelligence</v>
      </c>
      <c r="K28" s="20"/>
      <c r="L28" s="6" t="str">
        <f>IFERROR(__xludf.DUMMYFUNCTION("""COMPUTED_VALUE"""),"performance")</f>
        <v>performance</v>
      </c>
      <c r="M28" s="6" t="str">
        <f>IFERROR(__xludf.DUMMYFUNCTION("""COMPUTED_VALUE"""),"exploration")</f>
        <v>exploration</v>
      </c>
      <c r="N28" s="6" t="str">
        <f>IFERROR(__xludf.DUMMYFUNCTION("""COMPUTED_VALUE"""),"version")</f>
        <v>version</v>
      </c>
      <c r="P28" s="6" t="str">
        <f>IFERROR(__xludf.DUMMYFUNCTION("""COMPUTED_VALUE"""),"young")</f>
        <v>young</v>
      </c>
      <c r="Q28" s="6" t="str">
        <f>IFERROR(__xludf.DUMMYFUNCTION("""COMPUTED_VALUE"""),"t")</f>
        <v>t</v>
      </c>
      <c r="S28" s="6" t="str">
        <f>IFERROR(__xludf.DUMMYFUNCTION("""COMPUTED_VALUE"""),"cold")</f>
        <v>cold</v>
      </c>
    </row>
    <row r="29">
      <c r="A29" s="6" t="str">
        <f>IFERROR(__xludf.DUMMYFUNCTION("""COMPUTED_VALUE"""),"enables")</f>
        <v>enables</v>
      </c>
      <c r="B29" s="6" t="str">
        <f>IFERROR(__xludf.DUMMYFUNCTION("""COMPUTED_VALUE"""),"suffers")</f>
        <v>suffers</v>
      </c>
      <c r="C29" s="6" t="str">
        <f>IFERROR(__xludf.DUMMYFUNCTION("""COMPUTED_VALUE"""),"epic")</f>
        <v>epic</v>
      </c>
      <c r="D29" s="6" t="str">
        <f>IFERROR(__xludf.DUMMYFUNCTION("""COMPUTED_VALUE"""),"skill")</f>
        <v>skill</v>
      </c>
      <c r="E29" s="20" t="str">
        <f>IFERROR(__xludf.DUMMYFUNCTION("""COMPUTED_VALUE"""),"flashes")</f>
        <v>flashes</v>
      </c>
      <c r="G29" s="6" t="str">
        <f>IFERROR(__xludf.DUMMYFUNCTION("""COMPUTED_VALUE"""),"exploration")</f>
        <v>exploration</v>
      </c>
      <c r="H29" s="6" t="str">
        <f>IFERROR(__xludf.DUMMYFUNCTION("""COMPUTED_VALUE"""),"performances")</f>
        <v>performances</v>
      </c>
      <c r="I29" s="6" t="str">
        <f>IFERROR(__xludf.DUMMYFUNCTION("""COMPUTED_VALUE"""),"storyline")</f>
        <v>storyline</v>
      </c>
      <c r="J29" s="6" t="str">
        <f>IFERROR(__xludf.DUMMYFUNCTION("""COMPUTED_VALUE"""),"redundant")</f>
        <v>redundant</v>
      </c>
      <c r="K29" s="20"/>
      <c r="L29" s="6" t="str">
        <f>IFERROR(__xludf.DUMMYFUNCTION("""COMPUTED_VALUE"""),"vivid")</f>
        <v>vivid</v>
      </c>
      <c r="M29" s="6" t="str">
        <f>IFERROR(__xludf.DUMMYFUNCTION("""COMPUTED_VALUE"""),"feel")</f>
        <v>feel</v>
      </c>
      <c r="N29" s="6" t="str">
        <f>IFERROR(__xludf.DUMMYFUNCTION("""COMPUTED_VALUE"""),"proves")</f>
        <v>proves</v>
      </c>
      <c r="P29" s="6" t="str">
        <f>IFERROR(__xludf.DUMMYFUNCTION("""COMPUTED_VALUE"""),"original")</f>
        <v>original</v>
      </c>
      <c r="Q29" s="6" t="str">
        <f>IFERROR(__xludf.DUMMYFUNCTION("""COMPUTED_VALUE"""),"story")</f>
        <v>story</v>
      </c>
      <c r="S29" s="6" t="str">
        <f>IFERROR(__xludf.DUMMYFUNCTION("""COMPUTED_VALUE"""),"intelligence")</f>
        <v>intelligence</v>
      </c>
    </row>
    <row r="30">
      <c r="A30" s="6" t="str">
        <f>IFERROR(__xludf.DUMMYFUNCTION("""COMPUTED_VALUE"""),"flashes")</f>
        <v>flashes</v>
      </c>
      <c r="B30" s="6" t="str">
        <f>IFERROR(__xludf.DUMMYFUNCTION("""COMPUTED_VALUE"""),"acid")</f>
        <v>acid</v>
      </c>
      <c r="C30" s="6" t="str">
        <f>IFERROR(__xludf.DUMMYFUNCTION("""COMPUTED_VALUE"""),"considerable")</f>
        <v>considerable</v>
      </c>
      <c r="D30" s="6" t="str">
        <f>IFERROR(__xludf.DUMMYFUNCTION("""COMPUTED_VALUE"""),"fierce")</f>
        <v>fierce</v>
      </c>
      <c r="E30" s="20" t="str">
        <f>IFERROR(__xludf.DUMMYFUNCTION("""COMPUTED_VALUE"""),"jagged")</f>
        <v>jagged</v>
      </c>
      <c r="G30" s="6" t="str">
        <f>IFERROR(__xludf.DUMMYFUNCTION("""COMPUTED_VALUE"""),"eastwood")</f>
        <v>eastwood</v>
      </c>
      <c r="H30" s="6" t="str">
        <f>IFERROR(__xludf.DUMMYFUNCTION("""COMPUTED_VALUE"""),"brave")</f>
        <v>brave</v>
      </c>
      <c r="I30" s="6" t="str">
        <f>IFERROR(__xludf.DUMMYFUNCTION("""COMPUTED_VALUE"""),"real")</f>
        <v>real</v>
      </c>
      <c r="J30" s="6" t="str">
        <f>IFERROR(__xludf.DUMMYFUNCTION("""COMPUTED_VALUE"""),"succeeds")</f>
        <v>succeeds</v>
      </c>
      <c r="K30" s="20"/>
      <c r="L30" s="6" t="str">
        <f>IFERROR(__xludf.DUMMYFUNCTION("""COMPUTED_VALUE"""),"pointless")</f>
        <v>pointless</v>
      </c>
      <c r="M30" s="6" t="str">
        <f>IFERROR(__xludf.DUMMYFUNCTION("""COMPUTED_VALUE"""),"together")</f>
        <v>together</v>
      </c>
      <c r="N30" s="6" t="str">
        <f>IFERROR(__xludf.DUMMYFUNCTION("""COMPUTED_VALUE"""),"bringing")</f>
        <v>bringing</v>
      </c>
      <c r="P30" s="6" t="str">
        <f>IFERROR(__xludf.DUMMYFUNCTION("""COMPUTED_VALUE"""),"ways")</f>
        <v>ways</v>
      </c>
      <c r="Q30" s="6" t="str">
        <f>IFERROR(__xludf.DUMMYFUNCTION("""COMPUTED_VALUE"""),"greatest")</f>
        <v>greatest</v>
      </c>
      <c r="S30" s="6" t="str">
        <f>IFERROR(__xludf.DUMMYFUNCTION("""COMPUTED_VALUE"""),"usual")</f>
        <v>usual</v>
      </c>
    </row>
    <row r="31">
      <c r="A31" s="6" t="str">
        <f>IFERROR(__xludf.DUMMYFUNCTION("""COMPUTED_VALUE"""),"vicious")</f>
        <v>vicious</v>
      </c>
      <c r="B31" s="6" t="str">
        <f>IFERROR(__xludf.DUMMYFUNCTION("""COMPUTED_VALUE"""),"meaningful")</f>
        <v>meaningful</v>
      </c>
      <c r="C31" s="6" t="str">
        <f>IFERROR(__xludf.DUMMYFUNCTION("""COMPUTED_VALUE"""),"enables")</f>
        <v>enables</v>
      </c>
      <c r="D31" s="6" t="str">
        <f>IFERROR(__xludf.DUMMYFUNCTION("""COMPUTED_VALUE"""),"fallen")</f>
        <v>fallen</v>
      </c>
      <c r="E31" s="20" t="str">
        <f>IFERROR(__xludf.DUMMYFUNCTION("""COMPUTED_VALUE"""),"slick")</f>
        <v>slick</v>
      </c>
      <c r="G31" s="6" t="str">
        <f>IFERROR(__xludf.DUMMYFUNCTION("""COMPUTED_VALUE"""),"earnest")</f>
        <v>earnest</v>
      </c>
      <c r="H31" s="6" t="str">
        <f>IFERROR(__xludf.DUMMYFUNCTION("""COMPUTED_VALUE"""),"enriched")</f>
        <v>enriched</v>
      </c>
      <c r="I31" s="6" t="str">
        <f>IFERROR(__xludf.DUMMYFUNCTION("""COMPUTED_VALUE"""),"silly")</f>
        <v>silly</v>
      </c>
      <c r="J31" s="6" t="str">
        <f>IFERROR(__xludf.DUMMYFUNCTION("""COMPUTED_VALUE"""),"actress")</f>
        <v>actress</v>
      </c>
      <c r="K31" s="20"/>
      <c r="L31" s="6" t="str">
        <f>IFERROR(__xludf.DUMMYFUNCTION("""COMPUTED_VALUE"""),"subtle")</f>
        <v>subtle</v>
      </c>
      <c r="M31" s="6" t="str">
        <f>IFERROR(__xludf.DUMMYFUNCTION("""COMPUTED_VALUE"""),"power")</f>
        <v>power</v>
      </c>
      <c r="N31" s="6" t="str">
        <f>IFERROR(__xludf.DUMMYFUNCTION("""COMPUTED_VALUE"""),"performance")</f>
        <v>performance</v>
      </c>
      <c r="P31" s="6" t="str">
        <f>IFERROR(__xludf.DUMMYFUNCTION("""COMPUTED_VALUE"""),"conspiracy")</f>
        <v>conspiracy</v>
      </c>
      <c r="Q31" s="6" t="str">
        <f>IFERROR(__xludf.DUMMYFUNCTION("""COMPUTED_VALUE"""),"intelligence")</f>
        <v>intelligence</v>
      </c>
      <c r="S31" s="6" t="str">
        <f>IFERROR(__xludf.DUMMYFUNCTION("""COMPUTED_VALUE"""),"face")</f>
        <v>face</v>
      </c>
    </row>
    <row r="32">
      <c r="A32" s="6" t="str">
        <f>IFERROR(__xludf.DUMMYFUNCTION("""COMPUTED_VALUE"""),"jagged")</f>
        <v>jagged</v>
      </c>
      <c r="B32" s="6" t="str">
        <f>IFERROR(__xludf.DUMMYFUNCTION("""COMPUTED_VALUE"""),"juvenile")</f>
        <v>juvenile</v>
      </c>
      <c r="C32" s="6" t="str">
        <f>IFERROR(__xludf.DUMMYFUNCTION("""COMPUTED_VALUE"""),"flashes")</f>
        <v>flashes</v>
      </c>
      <c r="D32" s="6" t="str">
        <f>IFERROR(__xludf.DUMMYFUNCTION("""COMPUTED_VALUE"""),"rises")</f>
        <v>rises</v>
      </c>
      <c r="E32" s="20" t="str">
        <f>IFERROR(__xludf.DUMMYFUNCTION("""COMPUTED_VALUE"""),"haunting")</f>
        <v>haunting</v>
      </c>
      <c r="G32" s="6" t="str">
        <f>IFERROR(__xludf.DUMMYFUNCTION("""COMPUTED_VALUE"""),"few")</f>
        <v>few</v>
      </c>
      <c r="H32" s="6" t="str">
        <f>IFERROR(__xludf.DUMMYFUNCTION("""COMPUTED_VALUE"""),"spirits")</f>
        <v>spirits</v>
      </c>
      <c r="I32" s="6" t="str">
        <f>IFERROR(__xludf.DUMMYFUNCTION("""COMPUTED_VALUE"""),"heroes")</f>
        <v>heroes</v>
      </c>
      <c r="J32" s="6" t="str">
        <f>IFERROR(__xludf.DUMMYFUNCTION("""COMPUTED_VALUE"""),"face")</f>
        <v>face</v>
      </c>
      <c r="K32" s="20"/>
      <c r="L32" s="6" t="str">
        <f>IFERROR(__xludf.DUMMYFUNCTION("""COMPUTED_VALUE"""),"touching")</f>
        <v>touching</v>
      </c>
      <c r="M32" s="6" t="str">
        <f>IFERROR(__xludf.DUMMYFUNCTION("""COMPUTED_VALUE"""),"significant")</f>
        <v>significant</v>
      </c>
      <c r="N32" s="6" t="str">
        <f>IFERROR(__xludf.DUMMYFUNCTION("""COMPUTED_VALUE"""),"once")</f>
        <v>once</v>
      </c>
      <c r="P32" s="6" t="str">
        <f>IFERROR(__xludf.DUMMYFUNCTION("""COMPUTED_VALUE"""),"smile")</f>
        <v>smile</v>
      </c>
      <c r="Q32" s="6" t="str">
        <f>IFERROR(__xludf.DUMMYFUNCTION("""COMPUTED_VALUE"""),"his")</f>
        <v>his</v>
      </c>
      <c r="S32" s="6" t="str">
        <f>IFERROR(__xludf.DUMMYFUNCTION("""COMPUTED_VALUE"""),"young")</f>
        <v>young</v>
      </c>
    </row>
    <row r="33">
      <c r="A33" s="6" t="str">
        <f>IFERROR(__xludf.DUMMYFUNCTION("""COMPUTED_VALUE"""),"slick")</f>
        <v>slick</v>
      </c>
      <c r="B33" s="6" t="str">
        <f>IFERROR(__xludf.DUMMYFUNCTION("""COMPUTED_VALUE"""),"portrait")</f>
        <v>portrait</v>
      </c>
      <c r="C33" s="6" t="str">
        <f>IFERROR(__xludf.DUMMYFUNCTION("""COMPUTED_VALUE"""),"essentially")</f>
        <v>essentially</v>
      </c>
      <c r="D33" s="6" t="str">
        <f>IFERROR(__xludf.DUMMYFUNCTION("""COMPUTED_VALUE"""),"achievement")</f>
        <v>achievement</v>
      </c>
      <c r="E33" s="20" t="str">
        <f>IFERROR(__xludf.DUMMYFUNCTION("""COMPUTED_VALUE"""),"affecting")</f>
        <v>affecting</v>
      </c>
      <c r="G33" s="6" t="str">
        <f>IFERROR(__xludf.DUMMYFUNCTION("""COMPUTED_VALUE"""),"power")</f>
        <v>power</v>
      </c>
      <c r="H33" s="6" t="str">
        <f>IFERROR(__xludf.DUMMYFUNCTION("""COMPUTED_VALUE"""),"cinema")</f>
        <v>cinema</v>
      </c>
      <c r="I33" s="6" t="str">
        <f>IFERROR(__xludf.DUMMYFUNCTION("""COMPUTED_VALUE"""),"existence")</f>
        <v>existence</v>
      </c>
      <c r="J33" s="6" t="str">
        <f>IFERROR(__xludf.DUMMYFUNCTION("""COMPUTED_VALUE"""),"by")</f>
        <v>by</v>
      </c>
      <c r="K33" s="20"/>
      <c r="L33" s="6" t="str">
        <f>IFERROR(__xludf.DUMMYFUNCTION("""COMPUTED_VALUE"""),"veins")</f>
        <v>veins</v>
      </c>
      <c r="M33" s="6" t="str">
        <f>IFERROR(__xludf.DUMMYFUNCTION("""COMPUTED_VALUE"""),"actors")</f>
        <v>actors</v>
      </c>
      <c r="N33" s="6" t="str">
        <f>IFERROR(__xludf.DUMMYFUNCTION("""COMPUTED_VALUE"""),"again")</f>
        <v>again</v>
      </c>
      <c r="P33" s="6" t="str">
        <f>IFERROR(__xludf.DUMMYFUNCTION("""COMPUTED_VALUE"""),"brave")</f>
        <v>brave</v>
      </c>
      <c r="Q33" s="6" t="str">
        <f>IFERROR(__xludf.DUMMYFUNCTION("""COMPUTED_VALUE"""),"usual")</f>
        <v>usual</v>
      </c>
      <c r="S33" s="6" t="str">
        <f>IFERROR(__xludf.DUMMYFUNCTION("""COMPUTED_VALUE"""),"whose")</f>
        <v>whose</v>
      </c>
    </row>
    <row r="34">
      <c r="A34" s="6" t="str">
        <f>IFERROR(__xludf.DUMMYFUNCTION("""COMPUTED_VALUE"""),"haunting")</f>
        <v>haunting</v>
      </c>
      <c r="B34" s="6" t="str">
        <f>IFERROR(__xludf.DUMMYFUNCTION("""COMPUTED_VALUE"""),"bleak")</f>
        <v>bleak</v>
      </c>
      <c r="C34" s="6" t="str">
        <f>IFERROR(__xludf.DUMMYFUNCTION("""COMPUTED_VALUE"""),"haunting")</f>
        <v>haunting</v>
      </c>
      <c r="D34" s="6" t="str">
        <f>IFERROR(__xludf.DUMMYFUNCTION("""COMPUTED_VALUE"""),"touched")</f>
        <v>touched</v>
      </c>
      <c r="E34" s="20" t="str">
        <f>IFERROR(__xludf.DUMMYFUNCTION("""COMPUTED_VALUE"""),"backward")</f>
        <v>backward</v>
      </c>
      <c r="G34" s="6" t="str">
        <f>IFERROR(__xludf.DUMMYFUNCTION("""COMPUTED_VALUE"""),"significant")</f>
        <v>significant</v>
      </c>
      <c r="H34" s="6" t="str">
        <f>IFERROR(__xludf.DUMMYFUNCTION("""COMPUTED_VALUE"""),"plot")</f>
        <v>plot</v>
      </c>
      <c r="I34" s="6" t="str">
        <f>IFERROR(__xludf.DUMMYFUNCTION("""COMPUTED_VALUE"""),"sharply")</f>
        <v>sharply</v>
      </c>
      <c r="J34" s="6" t="str">
        <f>IFERROR(__xludf.DUMMYFUNCTION("""COMPUTED_VALUE"""),"ways")</f>
        <v>ways</v>
      </c>
      <c r="K34" s="20"/>
      <c r="L34" s="6" t="str">
        <f>IFERROR(__xludf.DUMMYFUNCTION("""COMPUTED_VALUE"""),"emptiness")</f>
        <v>emptiness</v>
      </c>
      <c r="M34" s="6" t="str">
        <f>IFERROR(__xludf.DUMMYFUNCTION("""COMPUTED_VALUE"""),"reaction")</f>
        <v>reaction</v>
      </c>
      <c r="N34" s="6" t="str">
        <f>IFERROR(__xludf.DUMMYFUNCTION("""COMPUTED_VALUE"""),"has")</f>
        <v>has</v>
      </c>
      <c r="P34" s="6" t="str">
        <f>IFERROR(__xludf.DUMMYFUNCTION("""COMPUTED_VALUE"""),"performances")</f>
        <v>performances</v>
      </c>
      <c r="Q34" s="6" t="str">
        <f>IFERROR(__xludf.DUMMYFUNCTION("""COMPUTED_VALUE"""),"redundant")</f>
        <v>redundant</v>
      </c>
      <c r="S34" s="6" t="str">
        <f>IFERROR(__xludf.DUMMYFUNCTION("""COMPUTED_VALUE"""),"actress")</f>
        <v>actress</v>
      </c>
    </row>
    <row r="35">
      <c r="A35" s="6" t="str">
        <f>IFERROR(__xludf.DUMMYFUNCTION("""COMPUTED_VALUE"""),"pale")</f>
        <v>pale</v>
      </c>
      <c r="B35" s="6" t="str">
        <f>IFERROR(__xludf.DUMMYFUNCTION("""COMPUTED_VALUE"""),"convincing")</f>
        <v>convincing</v>
      </c>
      <c r="C35" s="6" t="str">
        <f>IFERROR(__xludf.DUMMYFUNCTION("""COMPUTED_VALUE"""),"affecting")</f>
        <v>affecting</v>
      </c>
      <c r="D35" s="6" t="str">
        <f>IFERROR(__xludf.DUMMYFUNCTION("""COMPUTED_VALUE"""),"magnetic")</f>
        <v>magnetic</v>
      </c>
      <c r="E35" s="20" t="str">
        <f>IFERROR(__xludf.DUMMYFUNCTION("""COMPUTED_VALUE"""),"thrill")</f>
        <v>thrill</v>
      </c>
      <c r="G35" s="6" t="str">
        <f>IFERROR(__xludf.DUMMYFUNCTION("""COMPUTED_VALUE"""),"actors")</f>
        <v>actors</v>
      </c>
      <c r="H35" s="6" t="str">
        <f>IFERROR(__xludf.DUMMYFUNCTION("""COMPUTED_VALUE"""),"find")</f>
        <v>find</v>
      </c>
      <c r="I35" s="6" t="str">
        <f>IFERROR(__xludf.DUMMYFUNCTION("""COMPUTED_VALUE"""),"point")</f>
        <v>point</v>
      </c>
      <c r="J35" s="6" t="str">
        <f>IFERROR(__xludf.DUMMYFUNCTION("""COMPUTED_VALUE"""),"feminist")</f>
        <v>feminist</v>
      </c>
      <c r="K35" s="20"/>
      <c r="L35" s="6" t="str">
        <f>IFERROR(__xludf.DUMMYFUNCTION("""COMPUTED_VALUE"""),"exploration")</f>
        <v>exploration</v>
      </c>
      <c r="M35" s="6" t="str">
        <f>IFERROR(__xludf.DUMMYFUNCTION("""COMPUTED_VALUE"""),"generate")</f>
        <v>generate</v>
      </c>
      <c r="N35" s="6" t="str">
        <f>IFERROR(__xludf.DUMMYFUNCTION("""COMPUTED_VALUE"""),"vivid")</f>
        <v>vivid</v>
      </c>
      <c r="P35" s="6" t="str">
        <f>IFERROR(__xludf.DUMMYFUNCTION("""COMPUTED_VALUE"""),"spirits")</f>
        <v>spirits</v>
      </c>
      <c r="Q35" s="6" t="str">
        <f>IFERROR(__xludf.DUMMYFUNCTION("""COMPUTED_VALUE"""),"succeeds")</f>
        <v>succeeds</v>
      </c>
      <c r="S35" s="6" t="str">
        <f>IFERROR(__xludf.DUMMYFUNCTION("""COMPUTED_VALUE"""),"even")</f>
        <v>even</v>
      </c>
    </row>
    <row r="36">
      <c r="A36" s="6" t="str">
        <f>IFERROR(__xludf.DUMMYFUNCTION("""COMPUTED_VALUE"""),"affecting")</f>
        <v>affecting</v>
      </c>
      <c r="B36" s="6" t="str">
        <f>IFERROR(__xludf.DUMMYFUNCTION("""COMPUTED_VALUE"""),"affection")</f>
        <v>affection</v>
      </c>
      <c r="C36" s="6" t="str">
        <f>IFERROR(__xludf.DUMMYFUNCTION("""COMPUTED_VALUE"""),"intelligent")</f>
        <v>intelligent</v>
      </c>
      <c r="D36" s="6" t="str">
        <f>IFERROR(__xludf.DUMMYFUNCTION("""COMPUTED_VALUE"""),"breathe")</f>
        <v>breathe</v>
      </c>
      <c r="E36" s="6" t="str">
        <f>IFERROR(__xludf.DUMMYFUNCTION("""COMPUTED_VALUE"""),"powerful")</f>
        <v>powerful</v>
      </c>
      <c r="G36" s="6" t="str">
        <f>IFERROR(__xludf.DUMMYFUNCTION("""COMPUTED_VALUE"""),"generate")</f>
        <v>generate</v>
      </c>
      <c r="H36" s="6" t="str">
        <f>IFERROR(__xludf.DUMMYFUNCTION("""COMPUTED_VALUE"""),"weaving")</f>
        <v>weaving</v>
      </c>
      <c r="I36" s="6" t="str">
        <f>IFERROR(__xludf.DUMMYFUNCTION("""COMPUTED_VALUE"""),"nowhere")</f>
        <v>nowhere</v>
      </c>
      <c r="J36" s="6" t="str">
        <f>IFERROR(__xludf.DUMMYFUNCTION("""COMPUTED_VALUE"""),"conspiracy")</f>
        <v>conspiracy</v>
      </c>
      <c r="L36" s="6" t="str">
        <f>IFERROR(__xludf.DUMMYFUNCTION("""COMPUTED_VALUE"""),"relentless")</f>
        <v>relentless</v>
      </c>
      <c r="M36" s="6" t="str">
        <f>IFERROR(__xludf.DUMMYFUNCTION("""COMPUTED_VALUE"""),"first")</f>
        <v>first</v>
      </c>
      <c r="N36" s="6" t="str">
        <f>IFERROR(__xludf.DUMMYFUNCTION("""COMPUTED_VALUE"""),"subtle")</f>
        <v>subtle</v>
      </c>
      <c r="P36" s="6" t="str">
        <f>IFERROR(__xludf.DUMMYFUNCTION("""COMPUTED_VALUE"""),"cast")</f>
        <v>cast</v>
      </c>
      <c r="Q36" s="6" t="str">
        <f>IFERROR(__xludf.DUMMYFUNCTION("""COMPUTED_VALUE"""),"face")</f>
        <v>face</v>
      </c>
      <c r="S36" s="6" t="str">
        <f>IFERROR(__xludf.DUMMYFUNCTION("""COMPUTED_VALUE"""),"original")</f>
        <v>original</v>
      </c>
    </row>
    <row r="37">
      <c r="A37" s="6" t="str">
        <f>IFERROR(__xludf.DUMMYFUNCTION("""COMPUTED_VALUE"""),"intelligent")</f>
        <v>intelligent</v>
      </c>
      <c r="B37" s="6" t="str">
        <f>IFERROR(__xludf.DUMMYFUNCTION("""COMPUTED_VALUE"""),"kills")</f>
        <v>kills</v>
      </c>
      <c r="C37" s="6" t="str">
        <f>IFERROR(__xludf.DUMMYFUNCTION("""COMPUTED_VALUE"""),"backward")</f>
        <v>backward</v>
      </c>
      <c r="D37" s="6" t="str">
        <f>IFERROR(__xludf.DUMMYFUNCTION("""COMPUTED_VALUE"""),"asleep")</f>
        <v>asleep</v>
      </c>
      <c r="E37" s="6" t="str">
        <f>IFERROR(__xludf.DUMMYFUNCTION("""COMPUTED_VALUE"""),"celebrates")</f>
        <v>celebrates</v>
      </c>
      <c r="G37" s="6" t="str">
        <f>IFERROR(__xludf.DUMMYFUNCTION("""COMPUTED_VALUE"""),"robert")</f>
        <v>robert</v>
      </c>
      <c r="H37" s="6" t="str">
        <f>IFERROR(__xludf.DUMMYFUNCTION("""COMPUTED_VALUE"""),"clone")</f>
        <v>clone</v>
      </c>
      <c r="I37" s="6" t="str">
        <f>IFERROR(__xludf.DUMMYFUNCTION("""COMPUTED_VALUE"""),"already")</f>
        <v>already</v>
      </c>
      <c r="J37" s="6" t="str">
        <f>IFERROR(__xludf.DUMMYFUNCTION("""COMPUTED_VALUE"""),"anything")</f>
        <v>anything</v>
      </c>
      <c r="L37" s="6" t="str">
        <f>IFERROR(__xludf.DUMMYFUNCTION("""COMPUTED_VALUE"""),"thrilling")</f>
        <v>thrilling</v>
      </c>
      <c r="M37" s="6" t="str">
        <f>IFERROR(__xludf.DUMMYFUNCTION("""COMPUTED_VALUE"""),"robert")</f>
        <v>robert</v>
      </c>
      <c r="N37" s="6" t="str">
        <f>IFERROR(__xludf.DUMMYFUNCTION("""COMPUTED_VALUE"""),"touching")</f>
        <v>touching</v>
      </c>
      <c r="P37" s="6" t="str">
        <f>IFERROR(__xludf.DUMMYFUNCTION("""COMPUTED_VALUE"""),"worse")</f>
        <v>worse</v>
      </c>
      <c r="Q37" s="6" t="str">
        <f>IFERROR(__xludf.DUMMYFUNCTION("""COMPUTED_VALUE"""),"above")</f>
        <v>above</v>
      </c>
      <c r="S37" s="6" t="str">
        <f>IFERROR(__xludf.DUMMYFUNCTION("""COMPUTED_VALUE"""),"ways")</f>
        <v>ways</v>
      </c>
    </row>
    <row r="38">
      <c r="A38" s="6" t="str">
        <f>IFERROR(__xludf.DUMMYFUNCTION("""COMPUTED_VALUE"""),"backward")</f>
        <v>backward</v>
      </c>
      <c r="B38" s="6" t="str">
        <f>IFERROR(__xludf.DUMMYFUNCTION("""COMPUTED_VALUE"""),"courage")</f>
        <v>courage</v>
      </c>
      <c r="C38" s="6" t="str">
        <f>IFERROR(__xludf.DUMMYFUNCTION("""COMPUTED_VALUE"""),"thrill")</f>
        <v>thrill</v>
      </c>
      <c r="D38" s="6" t="str">
        <f>IFERROR(__xludf.DUMMYFUNCTION("""COMPUTED_VALUE"""),"creates")</f>
        <v>creates</v>
      </c>
      <c r="E38" s="6" t="str">
        <f>IFERROR(__xludf.DUMMYFUNCTION("""COMPUTED_VALUE"""),"irrelevant")</f>
        <v>irrelevant</v>
      </c>
      <c r="G38" s="6" t="str">
        <f>IFERROR(__xludf.DUMMYFUNCTION("""COMPUTED_VALUE"""),"intensity")</f>
        <v>intensity</v>
      </c>
      <c r="H38" s="6" t="str">
        <f>IFERROR(__xludf.DUMMYFUNCTION("""COMPUTED_VALUE"""),"funny")</f>
        <v>funny</v>
      </c>
      <c r="I38" s="6" t="str">
        <f>IFERROR(__xludf.DUMMYFUNCTION("""COMPUTED_VALUE"""),"fourth")</f>
        <v>fourth</v>
      </c>
      <c r="J38" s="6" t="str">
        <f>IFERROR(__xludf.DUMMYFUNCTION("""COMPUTED_VALUE"""),"black")</f>
        <v>black</v>
      </c>
      <c r="L38" s="6" t="str">
        <f>IFERROR(__xludf.DUMMYFUNCTION("""COMPUTED_VALUE"""),"together")</f>
        <v>together</v>
      </c>
      <c r="M38" s="6" t="str">
        <f>IFERROR(__xludf.DUMMYFUNCTION("""COMPUTED_VALUE"""),"intensity")</f>
        <v>intensity</v>
      </c>
      <c r="N38" s="6" t="str">
        <f>IFERROR(__xludf.DUMMYFUNCTION("""COMPUTED_VALUE"""),"veins")</f>
        <v>veins</v>
      </c>
      <c r="P38" s="6" t="str">
        <f>IFERROR(__xludf.DUMMYFUNCTION("""COMPUTED_VALUE"""),"world")</f>
        <v>world</v>
      </c>
      <c r="Q38" s="6" t="str">
        <f>IFERROR(__xludf.DUMMYFUNCTION("""COMPUTED_VALUE"""),"young")</f>
        <v>young</v>
      </c>
      <c r="S38" s="6" t="str">
        <f>IFERROR(__xludf.DUMMYFUNCTION("""COMPUTED_VALUE"""),"black")</f>
        <v>black</v>
      </c>
    </row>
    <row r="39">
      <c r="A39" s="6" t="str">
        <f>IFERROR(__xludf.DUMMYFUNCTION("""COMPUTED_VALUE"""),"thrill")</f>
        <v>thrill</v>
      </c>
      <c r="B39" s="6" t="str">
        <f>IFERROR(__xludf.DUMMYFUNCTION("""COMPUTED_VALUE"""),"meditation")</f>
        <v>meditation</v>
      </c>
      <c r="C39" s="6" t="str">
        <f>IFERROR(__xludf.DUMMYFUNCTION("""COMPUTED_VALUE"""),"powerful")</f>
        <v>powerful</v>
      </c>
      <c r="D39" s="6" t="str">
        <f>IFERROR(__xludf.DUMMYFUNCTION("""COMPUTED_VALUE"""),"feast")</f>
        <v>feast</v>
      </c>
      <c r="E39" s="6" t="str">
        <f>IFERROR(__xludf.DUMMYFUNCTION("""COMPUTED_VALUE"""),"canvas")</f>
        <v>canvas</v>
      </c>
      <c r="G39" s="6" t="str">
        <f>IFERROR(__xludf.DUMMYFUNCTION("""COMPUTED_VALUE"""),"flair")</f>
        <v>flair</v>
      </c>
      <c r="H39" s="6" t="str">
        <f>IFERROR(__xludf.DUMMYFUNCTION("""COMPUTED_VALUE"""),"storyline")</f>
        <v>storyline</v>
      </c>
      <c r="I39" s="6" t="str">
        <f>IFERROR(__xludf.DUMMYFUNCTION("""COMPUTED_VALUE"""),"situations")</f>
        <v>situations</v>
      </c>
      <c r="J39" s="6" t="str">
        <f>IFERROR(__xludf.DUMMYFUNCTION("""COMPUTED_VALUE"""),"brave")</f>
        <v>brave</v>
      </c>
      <c r="L39" s="6" t="str">
        <f>IFERROR(__xludf.DUMMYFUNCTION("""COMPUTED_VALUE"""),"empathy")</f>
        <v>empathy</v>
      </c>
      <c r="M39" s="6" t="str">
        <f>IFERROR(__xludf.DUMMYFUNCTION("""COMPUTED_VALUE"""),"animated")</f>
        <v>animated</v>
      </c>
      <c r="N39" s="6" t="str">
        <f>IFERROR(__xludf.DUMMYFUNCTION("""COMPUTED_VALUE"""),"emptiness")</f>
        <v>emptiness</v>
      </c>
      <c r="P39" s="6" t="str">
        <f>IFERROR(__xludf.DUMMYFUNCTION("""COMPUTED_VALUE"""),"cinema")</f>
        <v>cinema</v>
      </c>
      <c r="Q39" s="6" t="str">
        <f>IFERROR(__xludf.DUMMYFUNCTION("""COMPUTED_VALUE"""),"original")</f>
        <v>original</v>
      </c>
      <c r="S39" s="6" t="str">
        <f>IFERROR(__xludf.DUMMYFUNCTION("""COMPUTED_VALUE"""),"named")</f>
        <v>named</v>
      </c>
    </row>
    <row r="40">
      <c r="A40" s="6" t="str">
        <f>IFERROR(__xludf.DUMMYFUNCTION("""COMPUTED_VALUE"""),"powerful")</f>
        <v>powerful</v>
      </c>
      <c r="B40" s="6" t="str">
        <f>IFERROR(__xludf.DUMMYFUNCTION("""COMPUTED_VALUE"""),"clever")</f>
        <v>clever</v>
      </c>
      <c r="C40" s="6" t="str">
        <f>IFERROR(__xludf.DUMMYFUNCTION("""COMPUTED_VALUE"""),"torture")</f>
        <v>torture</v>
      </c>
      <c r="D40" s="6" t="str">
        <f>IFERROR(__xludf.DUMMYFUNCTION("""COMPUTED_VALUE"""),"commanding")</f>
        <v>commanding</v>
      </c>
      <c r="E40" s="6" t="str">
        <f>IFERROR(__xludf.DUMMYFUNCTION("""COMPUTED_VALUE"""),"smug")</f>
        <v>smug</v>
      </c>
      <c r="G40" s="6" t="str">
        <f>IFERROR(__xludf.DUMMYFUNCTION("""COMPUTED_VALUE"""),"animated")</f>
        <v>animated</v>
      </c>
      <c r="H40" s="6" t="str">
        <f>IFERROR(__xludf.DUMMYFUNCTION("""COMPUTED_VALUE"""),"real")</f>
        <v>real</v>
      </c>
      <c r="I40" s="6" t="str">
        <f>IFERROR(__xludf.DUMMYFUNCTION("""COMPUTED_VALUE"""),"room")</f>
        <v>room</v>
      </c>
      <c r="J40" s="6" t="str">
        <f>IFERROR(__xludf.DUMMYFUNCTION("""COMPUTED_VALUE"""),"enriched")</f>
        <v>enriched</v>
      </c>
      <c r="L40" s="6" t="str">
        <f>IFERROR(__xludf.DUMMYFUNCTION("""COMPUTED_VALUE"""),"eastwood")</f>
        <v>eastwood</v>
      </c>
      <c r="M40" s="6" t="str">
        <f>IFERROR(__xludf.DUMMYFUNCTION("""COMPUTED_VALUE"""),"creation")</f>
        <v>creation</v>
      </c>
      <c r="N40" s="6" t="str">
        <f>IFERROR(__xludf.DUMMYFUNCTION("""COMPUTED_VALUE"""),"exploration")</f>
        <v>exploration</v>
      </c>
      <c r="P40" s="6" t="str">
        <f>IFERROR(__xludf.DUMMYFUNCTION("""COMPUTED_VALUE"""),"alternative")</f>
        <v>alternative</v>
      </c>
      <c r="Q40" s="6" t="str">
        <f>IFERROR(__xludf.DUMMYFUNCTION("""COMPUTED_VALUE"""),"ways")</f>
        <v>ways</v>
      </c>
      <c r="S40" s="6" t="str">
        <f>IFERROR(__xludf.DUMMYFUNCTION("""COMPUTED_VALUE"""),"anything")</f>
        <v>anything</v>
      </c>
    </row>
    <row r="41">
      <c r="A41" s="6" t="str">
        <f>IFERROR(__xludf.DUMMYFUNCTION("""COMPUTED_VALUE"""),"torture")</f>
        <v>torture</v>
      </c>
      <c r="B41" s="6" t="str">
        <f>IFERROR(__xludf.DUMMYFUNCTION("""COMPUTED_VALUE"""),"faithful")</f>
        <v>faithful</v>
      </c>
      <c r="C41" s="6" t="str">
        <f>IFERROR(__xludf.DUMMYFUNCTION("""COMPUTED_VALUE"""),"celebrates")</f>
        <v>celebrates</v>
      </c>
      <c r="D41" s="6" t="str">
        <f>IFERROR(__xludf.DUMMYFUNCTION("""COMPUTED_VALUE"""),"confident")</f>
        <v>confident</v>
      </c>
      <c r="E41" s="6" t="str">
        <f>IFERROR(__xludf.DUMMYFUNCTION("""COMPUTED_VALUE"""),"captures")</f>
        <v>captures</v>
      </c>
      <c r="G41" s="6" t="str">
        <f>IFERROR(__xludf.DUMMYFUNCTION("""COMPUTED_VALUE"""),"parody")</f>
        <v>parody</v>
      </c>
      <c r="H41" s="6" t="str">
        <f>IFERROR(__xludf.DUMMYFUNCTION("""COMPUTED_VALUE"""),"crude")</f>
        <v>crude</v>
      </c>
      <c r="I41" s="6" t="str">
        <f>IFERROR(__xludf.DUMMYFUNCTION("""COMPUTED_VALUE"""),"touching")</f>
        <v>touching</v>
      </c>
      <c r="J41" s="6" t="str">
        <f>IFERROR(__xludf.DUMMYFUNCTION("""COMPUTED_VALUE"""),"spirits")</f>
        <v>spirits</v>
      </c>
      <c r="L41" s="6" t="str">
        <f>IFERROR(__xludf.DUMMYFUNCTION("""COMPUTED_VALUE"""),"earnest")</f>
        <v>earnest</v>
      </c>
      <c r="M41" s="6" t="str">
        <f>IFERROR(__xludf.DUMMYFUNCTION("""COMPUTED_VALUE"""),"moments")</f>
        <v>moments</v>
      </c>
      <c r="N41" s="6" t="str">
        <f>IFERROR(__xludf.DUMMYFUNCTION("""COMPUTED_VALUE"""),"relentless")</f>
        <v>relentless</v>
      </c>
      <c r="P41" s="6" t="str">
        <f>IFERROR(__xludf.DUMMYFUNCTION("""COMPUTED_VALUE"""),"plot")</f>
        <v>plot</v>
      </c>
      <c r="Q41" s="6" t="str">
        <f>IFERROR(__xludf.DUMMYFUNCTION("""COMPUTED_VALUE"""),"feminist")</f>
        <v>feminist</v>
      </c>
      <c r="S41" s="6" t="str">
        <f>IFERROR(__xludf.DUMMYFUNCTION("""COMPUTED_VALUE"""),"dirty")</f>
        <v>dirty</v>
      </c>
    </row>
    <row r="42">
      <c r="A42" s="6" t="str">
        <f>IFERROR(__xludf.DUMMYFUNCTION("""COMPUTED_VALUE"""),"celebrates")</f>
        <v>celebrates</v>
      </c>
      <c r="B42" s="6" t="str">
        <f>IFERROR(__xludf.DUMMYFUNCTION("""COMPUTED_VALUE"""),"capable")</f>
        <v>capable</v>
      </c>
      <c r="C42" s="6" t="str">
        <f>IFERROR(__xludf.DUMMYFUNCTION("""COMPUTED_VALUE"""),"strongest")</f>
        <v>strongest</v>
      </c>
      <c r="D42" s="6" t="str">
        <f>IFERROR(__xludf.DUMMYFUNCTION("""COMPUTED_VALUE"""),"hollow")</f>
        <v>hollow</v>
      </c>
      <c r="E42" s="6" t="str">
        <f>IFERROR(__xludf.DUMMYFUNCTION("""COMPUTED_VALUE"""),"offensive")</f>
        <v>offensive</v>
      </c>
      <c r="G42" s="6" t="str">
        <f>IFERROR(__xludf.DUMMYFUNCTION("""COMPUTED_VALUE"""),"intriguing")</f>
        <v>intriguing</v>
      </c>
      <c r="H42" s="6" t="str">
        <f>IFERROR(__xludf.DUMMYFUNCTION("""COMPUTED_VALUE"""),"heroes")</f>
        <v>heroes</v>
      </c>
      <c r="I42" s="6" t="str">
        <f>IFERROR(__xludf.DUMMYFUNCTION("""COMPUTED_VALUE"""),"legend")</f>
        <v>legend</v>
      </c>
      <c r="J42" s="6" t="str">
        <f>IFERROR(__xludf.DUMMYFUNCTION("""COMPUTED_VALUE"""),"or")</f>
        <v>or</v>
      </c>
      <c r="L42" s="6" t="str">
        <f>IFERROR(__xludf.DUMMYFUNCTION("""COMPUTED_VALUE"""),"few")</f>
        <v>few</v>
      </c>
      <c r="M42" s="6" t="str">
        <f>IFERROR(__xludf.DUMMYFUNCTION("""COMPUTED_VALUE"""),"standard")</f>
        <v>standard</v>
      </c>
      <c r="N42" s="6" t="str">
        <f>IFERROR(__xludf.DUMMYFUNCTION("""COMPUTED_VALUE"""),"feel")</f>
        <v>feel</v>
      </c>
      <c r="P42" s="6" t="str">
        <f>IFERROR(__xludf.DUMMYFUNCTION("""COMPUTED_VALUE"""),"poorly")</f>
        <v>poorly</v>
      </c>
      <c r="Q42" s="6" t="str">
        <f>IFERROR(__xludf.DUMMYFUNCTION("""COMPUTED_VALUE"""),"conspiracy")</f>
        <v>conspiracy</v>
      </c>
      <c r="S42" s="6" t="str">
        <f>IFERROR(__xludf.DUMMYFUNCTION("""COMPUTED_VALUE"""),"conspiracy")</f>
        <v>conspiracy</v>
      </c>
    </row>
    <row r="43">
      <c r="A43" s="6" t="str">
        <f>IFERROR(__xludf.DUMMYFUNCTION("""COMPUTED_VALUE"""),"strongest")</f>
        <v>strongest</v>
      </c>
      <c r="B43" s="6" t="str">
        <f>IFERROR(__xludf.DUMMYFUNCTION("""COMPUTED_VALUE"""),"daring")</f>
        <v>daring</v>
      </c>
      <c r="C43" s="6" t="str">
        <f>IFERROR(__xludf.DUMMYFUNCTION("""COMPUTED_VALUE"""),"irrelevant")</f>
        <v>irrelevant</v>
      </c>
      <c r="D43" s="6" t="str">
        <f>IFERROR(__xludf.DUMMYFUNCTION("""COMPUTED_VALUE"""),"sensation")</f>
        <v>sensation</v>
      </c>
      <c r="E43" s="6" t="str">
        <f>IFERROR(__xludf.DUMMYFUNCTION("""COMPUTED_VALUE"""),"tale")</f>
        <v>tale</v>
      </c>
      <c r="G43" s="6" t="str">
        <f>IFERROR(__xludf.DUMMYFUNCTION("""COMPUTED_VALUE"""),"images")</f>
        <v>images</v>
      </c>
      <c r="H43" s="6" t="str">
        <f>IFERROR(__xludf.DUMMYFUNCTION("""COMPUTED_VALUE"""),"existence")</f>
        <v>existence</v>
      </c>
      <c r="I43" s="6" t="str">
        <f>IFERROR(__xludf.DUMMYFUNCTION("""COMPUTED_VALUE"""),"less")</f>
        <v>less</v>
      </c>
      <c r="J43" s="6" t="str">
        <f>IFERROR(__xludf.DUMMYFUNCTION("""COMPUTED_VALUE"""),"cinema")</f>
        <v>cinema</v>
      </c>
      <c r="L43" s="6" t="str">
        <f>IFERROR(__xludf.DUMMYFUNCTION("""COMPUTED_VALUE"""),"power")</f>
        <v>power</v>
      </c>
      <c r="M43" s="6" t="str">
        <f>IFERROR(__xludf.DUMMYFUNCTION("""COMPUTED_VALUE"""),"follow")</f>
        <v>follow</v>
      </c>
      <c r="N43" s="6" t="str">
        <f>IFERROR(__xludf.DUMMYFUNCTION("""COMPUTED_VALUE"""),"magnificent")</f>
        <v>magnificent</v>
      </c>
      <c r="P43" s="6" t="str">
        <f>IFERROR(__xludf.DUMMYFUNCTION("""COMPUTED_VALUE"""),"find")</f>
        <v>find</v>
      </c>
      <c r="Q43" s="6" t="str">
        <f>IFERROR(__xludf.DUMMYFUNCTION("""COMPUTED_VALUE"""),"theorist")</f>
        <v>theorist</v>
      </c>
      <c r="S43" s="6" t="str">
        <f>IFERROR(__xludf.DUMMYFUNCTION("""COMPUTED_VALUE"""),"smile")</f>
        <v>smile</v>
      </c>
    </row>
    <row r="44">
      <c r="A44" s="6" t="str">
        <f>IFERROR(__xludf.DUMMYFUNCTION("""COMPUTED_VALUE"""),"canvas")</f>
        <v>canvas</v>
      </c>
      <c r="B44" s="6" t="str">
        <f>IFERROR(__xludf.DUMMYFUNCTION("""COMPUTED_VALUE"""),"emerge")</f>
        <v>emerge</v>
      </c>
      <c r="C44" s="6" t="str">
        <f>IFERROR(__xludf.DUMMYFUNCTION("""COMPUTED_VALUE"""),"canvas")</f>
        <v>canvas</v>
      </c>
      <c r="D44" s="6" t="str">
        <f>IFERROR(__xludf.DUMMYFUNCTION("""COMPUTED_VALUE"""),"viewed")</f>
        <v>viewed</v>
      </c>
      <c r="E44" s="6" t="str">
        <f>IFERROR(__xludf.DUMMYFUNCTION("""COMPUTED_VALUE"""),"sitcom")</f>
        <v>sitcom</v>
      </c>
      <c r="G44" s="6" t="str">
        <f>IFERROR(__xludf.DUMMYFUNCTION("""COMPUTED_VALUE"""),"eyes")</f>
        <v>eyes</v>
      </c>
      <c r="H44" s="6" t="str">
        <f>IFERROR(__xludf.DUMMYFUNCTION("""COMPUTED_VALUE"""),"sharply")</f>
        <v>sharply</v>
      </c>
      <c r="I44" s="6" t="str">
        <f>IFERROR(__xludf.DUMMYFUNCTION("""COMPUTED_VALUE"""),"veins")</f>
        <v>veins</v>
      </c>
      <c r="J44" s="6" t="str">
        <f>IFERROR(__xludf.DUMMYFUNCTION("""COMPUTED_VALUE"""),"plot")</f>
        <v>plot</v>
      </c>
      <c r="L44" s="6" t="str">
        <f>IFERROR(__xludf.DUMMYFUNCTION("""COMPUTED_VALUE"""),"significant")</f>
        <v>significant</v>
      </c>
      <c r="M44" s="6" t="str">
        <f>IFERROR(__xludf.DUMMYFUNCTION("""COMPUTED_VALUE"""),"become")</f>
        <v>become</v>
      </c>
      <c r="N44" s="6" t="str">
        <f>IFERROR(__xludf.DUMMYFUNCTION("""COMPUTED_VALUE"""),"empathy")</f>
        <v>empathy</v>
      </c>
      <c r="P44" s="6" t="str">
        <f>IFERROR(__xludf.DUMMYFUNCTION("""COMPUTED_VALUE"""),"year")</f>
        <v>year</v>
      </c>
      <c r="Q44" s="6" t="str">
        <f>IFERROR(__xludf.DUMMYFUNCTION("""COMPUTED_VALUE"""),"smile")</f>
        <v>smile</v>
      </c>
      <c r="S44" s="6" t="str">
        <f>IFERROR(__xludf.DUMMYFUNCTION("""COMPUTED_VALUE"""),"comes")</f>
        <v>comes</v>
      </c>
    </row>
    <row r="45">
      <c r="A45" s="6" t="str">
        <f>IFERROR(__xludf.DUMMYFUNCTION("""COMPUTED_VALUE"""),"smug")</f>
        <v>smug</v>
      </c>
      <c r="B45" s="6" t="str">
        <f>IFERROR(__xludf.DUMMYFUNCTION("""COMPUTED_VALUE"""),"striking")</f>
        <v>striking</v>
      </c>
      <c r="C45" s="6" t="str">
        <f>IFERROR(__xludf.DUMMYFUNCTION("""COMPUTED_VALUE"""),"smug")</f>
        <v>smug</v>
      </c>
      <c r="D45" s="6" t="str">
        <f>IFERROR(__xludf.DUMMYFUNCTION("""COMPUTED_VALUE"""),"wins")</f>
        <v>wins</v>
      </c>
      <c r="E45" s="6" t="str">
        <f>IFERROR(__xludf.DUMMYFUNCTION("""COMPUTED_VALUE"""),"abuse")</f>
        <v>abuse</v>
      </c>
      <c r="G45" s="6" t="str">
        <f>IFERROR(__xludf.DUMMYFUNCTION("""COMPUTED_VALUE"""),"tear")</f>
        <v>tear</v>
      </c>
      <c r="H45" s="6" t="str">
        <f>IFERROR(__xludf.DUMMYFUNCTION("""COMPUTED_VALUE"""),"point")</f>
        <v>point</v>
      </c>
      <c r="I45" s="6" t="str">
        <f>IFERROR(__xludf.DUMMYFUNCTION("""COMPUTED_VALUE"""),"rich")</f>
        <v>rich</v>
      </c>
      <c r="J45" s="6" t="str">
        <f>IFERROR(__xludf.DUMMYFUNCTION("""COMPUTED_VALUE"""),"find")</f>
        <v>find</v>
      </c>
      <c r="L45" s="6" t="str">
        <f>IFERROR(__xludf.DUMMYFUNCTION("""COMPUTED_VALUE"""),"first")</f>
        <v>first</v>
      </c>
      <c r="M45" s="6" t="str">
        <f>IFERROR(__xludf.DUMMYFUNCTION("""COMPUTED_VALUE"""),"wisdom")</f>
        <v>wisdom</v>
      </c>
      <c r="N45" s="6" t="str">
        <f>IFERROR(__xludf.DUMMYFUNCTION("""COMPUTED_VALUE"""),"earnest")</f>
        <v>earnest</v>
      </c>
      <c r="P45" s="6" t="str">
        <f>IFERROR(__xludf.DUMMYFUNCTION("""COMPUTED_VALUE"""),"sit")</f>
        <v>sit</v>
      </c>
      <c r="Q45" s="6" t="str">
        <f>IFERROR(__xludf.DUMMYFUNCTION("""COMPUTED_VALUE"""),"brave")</f>
        <v>brave</v>
      </c>
      <c r="S45" s="6" t="str">
        <f>IFERROR(__xludf.DUMMYFUNCTION("""COMPUTED_VALUE"""),"brave")</f>
        <v>brave</v>
      </c>
    </row>
    <row r="46">
      <c r="A46" s="6" t="str">
        <f>IFERROR(__xludf.DUMMYFUNCTION("""COMPUTED_VALUE"""),"captures")</f>
        <v>captures</v>
      </c>
      <c r="B46" s="6" t="str">
        <f>IFERROR(__xludf.DUMMYFUNCTION("""COMPUTED_VALUE"""),"dramatically")</f>
        <v>dramatically</v>
      </c>
      <c r="C46" s="6" t="str">
        <f>IFERROR(__xludf.DUMMYFUNCTION("""COMPUTED_VALUE"""),"captures")</f>
        <v>captures</v>
      </c>
      <c r="D46" s="6" t="str">
        <f>IFERROR(__xludf.DUMMYFUNCTION("""COMPUTED_VALUE"""),"shorter")</f>
        <v>shorter</v>
      </c>
      <c r="E46" s="6" t="str">
        <f>IFERROR(__xludf.DUMMYFUNCTION("""COMPUTED_VALUE"""),"drown")</f>
        <v>drown</v>
      </c>
      <c r="G46" s="6" t="str">
        <f>IFERROR(__xludf.DUMMYFUNCTION("""COMPUTED_VALUE"""),"cinematic")</f>
        <v>cinematic</v>
      </c>
      <c r="H46" s="6" t="str">
        <f>IFERROR(__xludf.DUMMYFUNCTION("""COMPUTED_VALUE"""),"nowhere")</f>
        <v>nowhere</v>
      </c>
      <c r="I46" s="6" t="str">
        <f>IFERROR(__xludf.DUMMYFUNCTION("""COMPUTED_VALUE"""),"apparent")</f>
        <v>apparent</v>
      </c>
      <c r="J46" s="6" t="str">
        <f>IFERROR(__xludf.DUMMYFUNCTION("""COMPUTED_VALUE"""),"weaving")</f>
        <v>weaving</v>
      </c>
      <c r="L46" s="6" t="str">
        <f>IFERROR(__xludf.DUMMYFUNCTION("""COMPUTED_VALUE"""),"robert")</f>
        <v>robert</v>
      </c>
      <c r="M46" s="6" t="str">
        <f>IFERROR(__xludf.DUMMYFUNCTION("""COMPUTED_VALUE"""),"tear")</f>
        <v>tear</v>
      </c>
      <c r="N46" s="6" t="str">
        <f>IFERROR(__xludf.DUMMYFUNCTION("""COMPUTED_VALUE"""),"skip")</f>
        <v>skip</v>
      </c>
      <c r="P46" s="6" t="str">
        <f>IFERROR(__xludf.DUMMYFUNCTION("""COMPUTED_VALUE"""),"funny")</f>
        <v>funny</v>
      </c>
      <c r="Q46" s="6" t="str">
        <f>IFERROR(__xludf.DUMMYFUNCTION("""COMPUTED_VALUE"""),"enriched")</f>
        <v>enriched</v>
      </c>
      <c r="S46" s="6" t="str">
        <f>IFERROR(__xludf.DUMMYFUNCTION("""COMPUTED_VALUE"""),"cast")</f>
        <v>cast</v>
      </c>
    </row>
    <row r="47">
      <c r="A47" s="6" t="str">
        <f>IFERROR(__xludf.DUMMYFUNCTION("""COMPUTED_VALUE"""),"offensive")</f>
        <v>offensive</v>
      </c>
      <c r="B47" s="6" t="str">
        <f>IFERROR(__xludf.DUMMYFUNCTION("""COMPUTED_VALUE"""),"skill")</f>
        <v>skill</v>
      </c>
      <c r="C47" s="6" t="str">
        <f>IFERROR(__xludf.DUMMYFUNCTION("""COMPUTED_VALUE"""),"offensive")</f>
        <v>offensive</v>
      </c>
      <c r="D47" s="6" t="str">
        <f>IFERROR(__xludf.DUMMYFUNCTION("""COMPUTED_VALUE"""),"elaborate")</f>
        <v>elaborate</v>
      </c>
      <c r="E47" s="6" t="str">
        <f>IFERROR(__xludf.DUMMYFUNCTION("""COMPUTED_VALUE"""),"enduring")</f>
        <v>enduring</v>
      </c>
      <c r="G47" s="6" t="str">
        <f>IFERROR(__xludf.DUMMYFUNCTION("""COMPUTED_VALUE"""),"storytelling")</f>
        <v>storytelling</v>
      </c>
      <c r="H47" s="6" t="str">
        <f>IFERROR(__xludf.DUMMYFUNCTION("""COMPUTED_VALUE"""),"recycled")</f>
        <v>recycled</v>
      </c>
      <c r="I47" s="6" t="str">
        <f>IFERROR(__xludf.DUMMYFUNCTION("""COMPUTED_VALUE"""),"joy")</f>
        <v>joy</v>
      </c>
      <c r="J47" s="6" t="str">
        <f>IFERROR(__xludf.DUMMYFUNCTION("""COMPUTED_VALUE"""),"clone")</f>
        <v>clone</v>
      </c>
      <c r="L47" s="6" t="str">
        <f>IFERROR(__xludf.DUMMYFUNCTION("""COMPUTED_VALUE"""),"intensity")</f>
        <v>intensity</v>
      </c>
      <c r="M47" s="6" t="str">
        <f>IFERROR(__xludf.DUMMYFUNCTION("""COMPUTED_VALUE"""),"images")</f>
        <v>images</v>
      </c>
      <c r="N47" s="6" t="str">
        <f>IFERROR(__xludf.DUMMYFUNCTION("""COMPUTED_VALUE"""),"surprises")</f>
        <v>surprises</v>
      </c>
      <c r="P47" s="6" t="str">
        <f>IFERROR(__xludf.DUMMYFUNCTION("""COMPUTED_VALUE"""),"theme")</f>
        <v>theme</v>
      </c>
      <c r="Q47" s="6" t="str">
        <f>IFERROR(__xludf.DUMMYFUNCTION("""COMPUTED_VALUE"""),"spirits")</f>
        <v>spirits</v>
      </c>
      <c r="S47" s="6" t="str">
        <f>IFERROR(__xludf.DUMMYFUNCTION("""COMPUTED_VALUE"""),"mixed")</f>
        <v>mixed</v>
      </c>
    </row>
    <row r="48">
      <c r="A48" s="6" t="str">
        <f>IFERROR(__xludf.DUMMYFUNCTION("""COMPUTED_VALUE"""),"tale")</f>
        <v>tale</v>
      </c>
      <c r="B48" s="6" t="str">
        <f>IFERROR(__xludf.DUMMYFUNCTION("""COMPUTED_VALUE"""),"remarkably")</f>
        <v>remarkably</v>
      </c>
      <c r="C48" s="6" t="str">
        <f>IFERROR(__xludf.DUMMYFUNCTION("""COMPUTED_VALUE"""),"tale")</f>
        <v>tale</v>
      </c>
      <c r="D48" s="6" t="str">
        <f>IFERROR(__xludf.DUMMYFUNCTION("""COMPUTED_VALUE"""),"quietly")</f>
        <v>quietly</v>
      </c>
      <c r="E48" s="6" t="str">
        <f>IFERROR(__xludf.DUMMYFUNCTION("""COMPUTED_VALUE"""),"portrait")</f>
        <v>portrait</v>
      </c>
      <c r="G48" s="6" t="str">
        <f>IFERROR(__xludf.DUMMYFUNCTION("""COMPUTED_VALUE"""),"uses")</f>
        <v>uses</v>
      </c>
      <c r="H48" s="6" t="str">
        <f>IFERROR(__xludf.DUMMYFUNCTION("""COMPUTED_VALUE"""),"been")</f>
        <v>been</v>
      </c>
      <c r="I48" s="6" t="str">
        <f>IFERROR(__xludf.DUMMYFUNCTION("""COMPUTED_VALUE"""),"ugly")</f>
        <v>ugly</v>
      </c>
      <c r="J48" s="6" t="str">
        <f>IFERROR(__xludf.DUMMYFUNCTION("""COMPUTED_VALUE"""),"funny")</f>
        <v>funny</v>
      </c>
      <c r="L48" s="6" t="str">
        <f>IFERROR(__xludf.DUMMYFUNCTION("""COMPUTED_VALUE"""),"flair")</f>
        <v>flair</v>
      </c>
      <c r="M48" s="6" t="str">
        <f>IFERROR(__xludf.DUMMYFUNCTION("""COMPUTED_VALUE"""),"eyes")</f>
        <v>eyes</v>
      </c>
      <c r="N48" s="6" t="str">
        <f>IFERROR(__xludf.DUMMYFUNCTION("""COMPUTED_VALUE"""),"few")</f>
        <v>few</v>
      </c>
      <c r="P48" s="6" t="str">
        <f>IFERROR(__xludf.DUMMYFUNCTION("""COMPUTED_VALUE"""),"another")</f>
        <v>another</v>
      </c>
      <c r="Q48" s="6" t="str">
        <f>IFERROR(__xludf.DUMMYFUNCTION("""COMPUTED_VALUE"""),"cast")</f>
        <v>cast</v>
      </c>
      <c r="S48" s="6" t="str">
        <f>IFERROR(__xludf.DUMMYFUNCTION("""COMPUTED_VALUE"""),"spirits")</f>
        <v>spirits</v>
      </c>
    </row>
    <row r="49">
      <c r="A49" s="6" t="str">
        <f>IFERROR(__xludf.DUMMYFUNCTION("""COMPUTED_VALUE"""),"sitcom")</f>
        <v>sitcom</v>
      </c>
      <c r="B49" s="6" t="str">
        <f>IFERROR(__xludf.DUMMYFUNCTION("""COMPUTED_VALUE"""),"tremendous")</f>
        <v>tremendous</v>
      </c>
      <c r="C49" s="6" t="str">
        <f>IFERROR(__xludf.DUMMYFUNCTION("""COMPUTED_VALUE"""),"sitcom")</f>
        <v>sitcom</v>
      </c>
      <c r="D49" s="6" t="str">
        <f>IFERROR(__xludf.DUMMYFUNCTION("""COMPUTED_VALUE"""),"vital")</f>
        <v>vital</v>
      </c>
      <c r="E49" s="6" t="str">
        <f>IFERROR(__xludf.DUMMYFUNCTION("""COMPUTED_VALUE"""),"compassion")</f>
        <v>compassion</v>
      </c>
      <c r="G49" s="6" t="str">
        <f>IFERROR(__xludf.DUMMYFUNCTION("""COMPUTED_VALUE"""),"pleasures")</f>
        <v>pleasures</v>
      </c>
      <c r="H49" s="6" t="str">
        <f>IFERROR(__xludf.DUMMYFUNCTION("""COMPUTED_VALUE"""),"fourth")</f>
        <v>fourth</v>
      </c>
      <c r="I49" s="6" t="str">
        <f>IFERROR(__xludf.DUMMYFUNCTION("""COMPUTED_VALUE"""),"video")</f>
        <v>video</v>
      </c>
      <c r="J49" s="6" t="str">
        <f>IFERROR(__xludf.DUMMYFUNCTION("""COMPUTED_VALUE"""),"storyline")</f>
        <v>storyline</v>
      </c>
      <c r="L49" s="6" t="str">
        <f>IFERROR(__xludf.DUMMYFUNCTION("""COMPUTED_VALUE"""),"animated")</f>
        <v>animated</v>
      </c>
      <c r="M49" s="6" t="str">
        <f>IFERROR(__xludf.DUMMYFUNCTION("""COMPUTED_VALUE"""),"sporting")</f>
        <v>sporting</v>
      </c>
      <c r="N49" s="6" t="str">
        <f>IFERROR(__xludf.DUMMYFUNCTION("""COMPUTED_VALUE"""),"actors")</f>
        <v>actors</v>
      </c>
      <c r="P49" s="6" t="str">
        <f>IFERROR(__xludf.DUMMYFUNCTION("""COMPUTED_VALUE"""),"storyline")</f>
        <v>storyline</v>
      </c>
      <c r="Q49" s="6" t="str">
        <f>IFERROR(__xludf.DUMMYFUNCTION("""COMPUTED_VALUE"""),"worse")</f>
        <v>worse</v>
      </c>
      <c r="S49" s="6" t="str">
        <f>IFERROR(__xludf.DUMMYFUNCTION("""COMPUTED_VALUE"""),"half")</f>
        <v>half</v>
      </c>
    </row>
    <row r="50">
      <c r="A50" s="6" t="str">
        <f>IFERROR(__xludf.DUMMYFUNCTION("""COMPUTED_VALUE"""),"suffers")</f>
        <v>suffers</v>
      </c>
      <c r="B50" s="6" t="str">
        <f>IFERROR(__xludf.DUMMYFUNCTION("""COMPUTED_VALUE"""),"absorbing")</f>
        <v>absorbing</v>
      </c>
      <c r="C50" s="6" t="str">
        <f>IFERROR(__xludf.DUMMYFUNCTION("""COMPUTED_VALUE"""),"abuse")</f>
        <v>abuse</v>
      </c>
      <c r="D50" s="6" t="str">
        <f>IFERROR(__xludf.DUMMYFUNCTION("""COMPUTED_VALUE"""),"represents")</f>
        <v>represents</v>
      </c>
      <c r="E50" s="6" t="str">
        <f>IFERROR(__xludf.DUMMYFUNCTION("""COMPUTED_VALUE"""),"imitation")</f>
        <v>imitation</v>
      </c>
      <c r="G50" s="6" t="str">
        <f>IFERROR(__xludf.DUMMYFUNCTION("""COMPUTED_VALUE"""),"masterpiece")</f>
        <v>masterpiece</v>
      </c>
      <c r="H50" s="6" t="str">
        <f>IFERROR(__xludf.DUMMYFUNCTION("""COMPUTED_VALUE"""),"swords")</f>
        <v>swords</v>
      </c>
      <c r="I50" s="6" t="str">
        <f>IFERROR(__xludf.DUMMYFUNCTION("""COMPUTED_VALUE"""),"exploration")</f>
        <v>exploration</v>
      </c>
      <c r="J50" s="6" t="str">
        <f>IFERROR(__xludf.DUMMYFUNCTION("""COMPUTED_VALUE"""),"real")</f>
        <v>real</v>
      </c>
      <c r="L50" s="6" t="str">
        <f>IFERROR(__xludf.DUMMYFUNCTION("""COMPUTED_VALUE"""),"parody")</f>
        <v>parody</v>
      </c>
      <c r="M50" s="6" t="str">
        <f>IFERROR(__xludf.DUMMYFUNCTION("""COMPUTED_VALUE"""),"going")</f>
        <v>going</v>
      </c>
      <c r="N50" s="6" t="str">
        <f>IFERROR(__xludf.DUMMYFUNCTION("""COMPUTED_VALUE"""),"reaction")</f>
        <v>reaction</v>
      </c>
      <c r="P50" s="6" t="str">
        <f>IFERROR(__xludf.DUMMYFUNCTION("""COMPUTED_VALUE"""),"real")</f>
        <v>real</v>
      </c>
      <c r="Q50" s="6" t="str">
        <f>IFERROR(__xludf.DUMMYFUNCTION("""COMPUTED_VALUE"""),"world")</f>
        <v>world</v>
      </c>
      <c r="S50" s="6" t="str">
        <f>IFERROR(__xludf.DUMMYFUNCTION("""COMPUTED_VALUE"""),"worse")</f>
        <v>worse</v>
      </c>
    </row>
    <row r="51">
      <c r="A51" s="6" t="str">
        <f>IFERROR(__xludf.DUMMYFUNCTION("""COMPUTED_VALUE"""),"enduring")</f>
        <v>enduring</v>
      </c>
      <c r="B51" s="6" t="str">
        <f>IFERROR(__xludf.DUMMYFUNCTION("""COMPUTED_VALUE"""),"qualities")</f>
        <v>qualities</v>
      </c>
      <c r="C51" s="6" t="str">
        <f>IFERROR(__xludf.DUMMYFUNCTION("""COMPUTED_VALUE"""),"suffers")</f>
        <v>suffers</v>
      </c>
      <c r="D51" s="6" t="str">
        <f>IFERROR(__xludf.DUMMYFUNCTION("""COMPUTED_VALUE"""),"capture")</f>
        <v>capture</v>
      </c>
      <c r="E51" s="6" t="str">
        <f>IFERROR(__xludf.DUMMYFUNCTION("""COMPUTED_VALUE"""),"bleak")</f>
        <v>bleak</v>
      </c>
      <c r="G51" s="6" t="str">
        <f>IFERROR(__xludf.DUMMYFUNCTION("""COMPUTED_VALUE"""),"called")</f>
        <v>called</v>
      </c>
      <c r="H51" s="6" t="str">
        <f>IFERROR(__xludf.DUMMYFUNCTION("""COMPUTED_VALUE"""),"proves")</f>
        <v>proves</v>
      </c>
      <c r="I51" s="6" t="str">
        <f>IFERROR(__xludf.DUMMYFUNCTION("""COMPUTED_VALUE"""),"pretty")</f>
        <v>pretty</v>
      </c>
      <c r="J51" s="6" t="str">
        <f>IFERROR(__xludf.DUMMYFUNCTION("""COMPUTED_VALUE"""),"crude")</f>
        <v>crude</v>
      </c>
      <c r="L51" s="6" t="str">
        <f>IFERROR(__xludf.DUMMYFUNCTION("""COMPUTED_VALUE"""),"intriguing")</f>
        <v>intriguing</v>
      </c>
      <c r="M51" s="6" t="str">
        <f>IFERROR(__xludf.DUMMYFUNCTION("""COMPUTED_VALUE"""),"go")</f>
        <v>go</v>
      </c>
      <c r="N51" s="6" t="str">
        <f>IFERROR(__xludf.DUMMYFUNCTION("""COMPUTED_VALUE"""),"first")</f>
        <v>first</v>
      </c>
      <c r="P51" s="6" t="str">
        <f>IFERROR(__xludf.DUMMYFUNCTION("""COMPUTED_VALUE"""),"issues")</f>
        <v>issues</v>
      </c>
      <c r="Q51" s="6" t="str">
        <f>IFERROR(__xludf.DUMMYFUNCTION("""COMPUTED_VALUE"""),"cinema")</f>
        <v>cinema</v>
      </c>
      <c r="S51" s="6" t="str">
        <f>IFERROR(__xludf.DUMMYFUNCTION("""COMPUTED_VALUE"""),"world")</f>
        <v>world</v>
      </c>
    </row>
    <row r="52">
      <c r="A52" s="6" t="str">
        <f>IFERROR(__xludf.DUMMYFUNCTION("""COMPUTED_VALUE"""),"acid")</f>
        <v>acid</v>
      </c>
      <c r="B52" s="6" t="str">
        <f>IFERROR(__xludf.DUMMYFUNCTION("""COMPUTED_VALUE"""),"gripping")</f>
        <v>gripping</v>
      </c>
      <c r="C52" s="6" t="str">
        <f>IFERROR(__xludf.DUMMYFUNCTION("""COMPUTED_VALUE"""),"drown")</f>
        <v>drown</v>
      </c>
      <c r="D52" s="6" t="str">
        <f>IFERROR(__xludf.DUMMYFUNCTION("""COMPUTED_VALUE"""),"displays")</f>
        <v>displays</v>
      </c>
      <c r="E52" s="6" t="str">
        <f>IFERROR(__xludf.DUMMYFUNCTION("""COMPUTED_VALUE"""),"convincing")</f>
        <v>convincing</v>
      </c>
      <c r="G52" s="6" t="str">
        <f>IFERROR(__xludf.DUMMYFUNCTION("""COMPUTED_VALUE"""),"hopeless")</f>
        <v>hopeless</v>
      </c>
      <c r="H52" s="6" t="str">
        <f>IFERROR(__xludf.DUMMYFUNCTION("""COMPUTED_VALUE"""),"horrors")</f>
        <v>horrors</v>
      </c>
      <c r="I52" s="6" t="str">
        <f>IFERROR(__xludf.DUMMYFUNCTION("""COMPUTED_VALUE"""),"aerial")</f>
        <v>aerial</v>
      </c>
      <c r="J52" s="6" t="str">
        <f>IFERROR(__xludf.DUMMYFUNCTION("""COMPUTED_VALUE"""),"silly")</f>
        <v>silly</v>
      </c>
      <c r="L52" s="6" t="str">
        <f>IFERROR(__xludf.DUMMYFUNCTION("""COMPUTED_VALUE"""),"moments")</f>
        <v>moments</v>
      </c>
      <c r="M52" s="6" t="str">
        <f>IFERROR(__xludf.DUMMYFUNCTION("""COMPUTED_VALUE"""),"direction")</f>
        <v>direction</v>
      </c>
      <c r="N52" s="6" t="str">
        <f>IFERROR(__xludf.DUMMYFUNCTION("""COMPUTED_VALUE"""),"so")</f>
        <v>so</v>
      </c>
      <c r="P52" s="6" t="str">
        <f>IFERROR(__xludf.DUMMYFUNCTION("""COMPUTED_VALUE"""),"heroes")</f>
        <v>heroes</v>
      </c>
      <c r="Q52" s="6" t="str">
        <f>IFERROR(__xludf.DUMMYFUNCTION("""COMPUTED_VALUE"""),"alternative")</f>
        <v>alternative</v>
      </c>
      <c r="S52" s="6" t="str">
        <f>IFERROR(__xludf.DUMMYFUNCTION("""COMPUTED_VALUE"""),"cinema")</f>
        <v>cinema</v>
      </c>
    </row>
    <row r="53">
      <c r="A53" s="6" t="str">
        <f>IFERROR(__xludf.DUMMYFUNCTION("""COMPUTED_VALUE"""),"meaningful")</f>
        <v>meaningful</v>
      </c>
      <c r="B53" s="6" t="str">
        <f>IFERROR(__xludf.DUMMYFUNCTION("""COMPUTED_VALUE"""),"startling")</f>
        <v>startling</v>
      </c>
      <c r="C53" s="6" t="str">
        <f>IFERROR(__xludf.DUMMYFUNCTION("""COMPUTED_VALUE"""),"enduring")</f>
        <v>enduring</v>
      </c>
      <c r="D53" s="6" t="str">
        <f>IFERROR(__xludf.DUMMYFUNCTION("""COMPUTED_VALUE"""),"repeated")</f>
        <v>repeated</v>
      </c>
      <c r="E53" s="6" t="str">
        <f>IFERROR(__xludf.DUMMYFUNCTION("""COMPUTED_VALUE"""),"courage")</f>
        <v>courage</v>
      </c>
      <c r="G53" s="6" t="str">
        <f>IFERROR(__xludf.DUMMYFUNCTION("""COMPUTED_VALUE"""),"dialogue")</f>
        <v>dialogue</v>
      </c>
      <c r="H53" s="6" t="str">
        <f>IFERROR(__xludf.DUMMYFUNCTION("""COMPUTED_VALUE"""),"vivid")</f>
        <v>vivid</v>
      </c>
      <c r="I53" s="6" t="str">
        <f>IFERROR(__xludf.DUMMYFUNCTION("""COMPUTED_VALUE"""),"experience")</f>
        <v>experience</v>
      </c>
      <c r="J53" s="6" t="str">
        <f>IFERROR(__xludf.DUMMYFUNCTION("""COMPUTED_VALUE"""),"heroes")</f>
        <v>heroes</v>
      </c>
      <c r="L53" s="6" t="str">
        <f>IFERROR(__xludf.DUMMYFUNCTION("""COMPUTED_VALUE"""),"wisdom")</f>
        <v>wisdom</v>
      </c>
      <c r="M53" s="6" t="str">
        <f>IFERROR(__xludf.DUMMYFUNCTION("""COMPUTED_VALUE"""),"step")</f>
        <v>step</v>
      </c>
      <c r="N53" s="6" t="str">
        <f>IFERROR(__xludf.DUMMYFUNCTION("""COMPUTED_VALUE"""),"intensity")</f>
        <v>intensity</v>
      </c>
      <c r="P53" s="6" t="str">
        <f>IFERROR(__xludf.DUMMYFUNCTION("""COMPUTED_VALUE"""),"existence")</f>
        <v>existence</v>
      </c>
      <c r="Q53" s="6" t="str">
        <f>IFERROR(__xludf.DUMMYFUNCTION("""COMPUTED_VALUE"""),"viewing")</f>
        <v>viewing</v>
      </c>
      <c r="S53" s="6" t="str">
        <f>IFERROR(__xludf.DUMMYFUNCTION("""COMPUTED_VALUE"""),"good")</f>
        <v>good</v>
      </c>
    </row>
    <row r="54">
      <c r="A54" s="6" t="str">
        <f>IFERROR(__xludf.DUMMYFUNCTION("""COMPUTED_VALUE"""),"juvenile")</f>
        <v>juvenile</v>
      </c>
      <c r="B54" s="6" t="str">
        <f>IFERROR(__xludf.DUMMYFUNCTION("""COMPUTED_VALUE"""),"fatal")</f>
        <v>fatal</v>
      </c>
      <c r="C54" s="6" t="str">
        <f>IFERROR(__xludf.DUMMYFUNCTION("""COMPUTED_VALUE"""),"meaningful")</f>
        <v>meaningful</v>
      </c>
      <c r="D54" s="6" t="str">
        <f>IFERROR(__xludf.DUMMYFUNCTION("""COMPUTED_VALUE"""),"impact")</f>
        <v>impact</v>
      </c>
      <c r="E54" s="6" t="str">
        <f>IFERROR(__xludf.DUMMYFUNCTION("""COMPUTED_VALUE"""),"meditation")</f>
        <v>meditation</v>
      </c>
      <c r="G54" s="6" t="str">
        <f>IFERROR(__xludf.DUMMYFUNCTION("""COMPUTED_VALUE"""),"clumsy")</f>
        <v>clumsy</v>
      </c>
      <c r="H54" s="6" t="str">
        <f>IFERROR(__xludf.DUMMYFUNCTION("""COMPUTED_VALUE"""),"any")</f>
        <v>any</v>
      </c>
      <c r="I54" s="6" t="str">
        <f>IFERROR(__xludf.DUMMYFUNCTION("""COMPUTED_VALUE"""),"women")</f>
        <v>women</v>
      </c>
      <c r="J54" s="6" t="str">
        <f>IFERROR(__xludf.DUMMYFUNCTION("""COMPUTED_VALUE"""),"existence")</f>
        <v>existence</v>
      </c>
      <c r="L54" s="6" t="str">
        <f>IFERROR(__xludf.DUMMYFUNCTION("""COMPUTED_VALUE"""),"tear")</f>
        <v>tear</v>
      </c>
      <c r="M54" s="6" t="str">
        <f>IFERROR(__xludf.DUMMYFUNCTION("""COMPUTED_VALUE"""),"landscape")</f>
        <v>landscape</v>
      </c>
      <c r="N54" s="6" t="str">
        <f>IFERROR(__xludf.DUMMYFUNCTION("""COMPUTED_VALUE"""),"flair")</f>
        <v>flair</v>
      </c>
      <c r="P54" s="6" t="str">
        <f>IFERROR(__xludf.DUMMYFUNCTION("""COMPUTED_VALUE"""),"sharply")</f>
        <v>sharply</v>
      </c>
      <c r="Q54" s="6" t="str">
        <f>IFERROR(__xludf.DUMMYFUNCTION("""COMPUTED_VALUE"""),"plot")</f>
        <v>plot</v>
      </c>
      <c r="S54" s="6" t="str">
        <f>IFERROR(__xludf.DUMMYFUNCTION("""COMPUTED_VALUE"""),"alternative")</f>
        <v>alternative</v>
      </c>
    </row>
    <row r="55">
      <c r="A55" s="6" t="str">
        <f>IFERROR(__xludf.DUMMYFUNCTION("""COMPUTED_VALUE"""),"portrait")</f>
        <v>portrait</v>
      </c>
      <c r="B55" s="6" t="str">
        <f>IFERROR(__xludf.DUMMYFUNCTION("""COMPUTED_VALUE"""),"rises")</f>
        <v>rises</v>
      </c>
      <c r="C55" s="6" t="str">
        <f>IFERROR(__xludf.DUMMYFUNCTION("""COMPUTED_VALUE"""),"juvenile")</f>
        <v>juvenile</v>
      </c>
      <c r="D55" s="6" t="str">
        <f>IFERROR(__xludf.DUMMYFUNCTION("""COMPUTED_VALUE"""),"approaches")</f>
        <v>approaches</v>
      </c>
      <c r="E55" s="6" t="str">
        <f>IFERROR(__xludf.DUMMYFUNCTION("""COMPUTED_VALUE"""),"awkwardly")</f>
        <v>awkwardly</v>
      </c>
      <c r="G55" s="6" t="str">
        <f>IFERROR(__xludf.DUMMYFUNCTION("""COMPUTED_VALUE"""),"bourne")</f>
        <v>bourne</v>
      </c>
      <c r="H55" s="6" t="str">
        <f>IFERROR(__xludf.DUMMYFUNCTION("""COMPUTED_VALUE"""),"pointless")</f>
        <v>pointless</v>
      </c>
      <c r="I55" s="6" t="str">
        <f>IFERROR(__xludf.DUMMYFUNCTION("""COMPUTED_VALUE"""),"help")</f>
        <v>help</v>
      </c>
      <c r="J55" s="6" t="str">
        <f>IFERROR(__xludf.DUMMYFUNCTION("""COMPUTED_VALUE"""),"sharply")</f>
        <v>sharply</v>
      </c>
      <c r="L55" s="6" t="str">
        <f>IFERROR(__xludf.DUMMYFUNCTION("""COMPUTED_VALUE"""),"images")</f>
        <v>images</v>
      </c>
      <c r="M55" s="6" t="str">
        <f>IFERROR(__xludf.DUMMYFUNCTION("""COMPUTED_VALUE"""),"uses")</f>
        <v>uses</v>
      </c>
      <c r="N55" s="6" t="str">
        <f>IFERROR(__xludf.DUMMYFUNCTION("""COMPUTED_VALUE"""),"animated")</f>
        <v>animated</v>
      </c>
      <c r="P55" s="6" t="str">
        <f>IFERROR(__xludf.DUMMYFUNCTION("""COMPUTED_VALUE"""),"nowhere")</f>
        <v>nowhere</v>
      </c>
      <c r="Q55" s="6" t="str">
        <f>IFERROR(__xludf.DUMMYFUNCTION("""COMPUTED_VALUE"""),"cylinders")</f>
        <v>cylinders</v>
      </c>
      <c r="S55" s="6" t="str">
        <f>IFERROR(__xludf.DUMMYFUNCTION("""COMPUTED_VALUE"""),"start")</f>
        <v>start</v>
      </c>
    </row>
    <row r="56">
      <c r="A56" s="6" t="str">
        <f>IFERROR(__xludf.DUMMYFUNCTION("""COMPUTED_VALUE"""),"compassion")</f>
        <v>compassion</v>
      </c>
      <c r="B56" s="6" t="str">
        <f>IFERROR(__xludf.DUMMYFUNCTION("""COMPUTED_VALUE"""),"frantic")</f>
        <v>frantic</v>
      </c>
      <c r="C56" s="6" t="str">
        <f>IFERROR(__xludf.DUMMYFUNCTION("""COMPUTED_VALUE"""),"portrait")</f>
        <v>portrait</v>
      </c>
      <c r="D56" s="6" t="str">
        <f>IFERROR(__xludf.DUMMYFUNCTION("""COMPUTED_VALUE"""),"lowered")</f>
        <v>lowered</v>
      </c>
      <c r="E56" s="6" t="str">
        <f>IFERROR(__xludf.DUMMYFUNCTION("""COMPUTED_VALUE"""),"detached")</f>
        <v>detached</v>
      </c>
      <c r="G56" s="6" t="str">
        <f>IFERROR(__xludf.DUMMYFUNCTION("""COMPUTED_VALUE"""),"conviction")</f>
        <v>conviction</v>
      </c>
      <c r="H56" s="6" t="str">
        <f>IFERROR(__xludf.DUMMYFUNCTION("""COMPUTED_VALUE"""),"beautifully")</f>
        <v>beautifully</v>
      </c>
      <c r="I56" s="6" t="str">
        <f>IFERROR(__xludf.DUMMYFUNCTION("""COMPUTED_VALUE"""),"power")</f>
        <v>power</v>
      </c>
      <c r="J56" s="6" t="str">
        <f>IFERROR(__xludf.DUMMYFUNCTION("""COMPUTED_VALUE"""),"point")</f>
        <v>point</v>
      </c>
      <c r="L56" s="6" t="str">
        <f>IFERROR(__xludf.DUMMYFUNCTION("""COMPUTED_VALUE"""),"eyes")</f>
        <v>eyes</v>
      </c>
      <c r="M56" s="6" t="str">
        <f>IFERROR(__xludf.DUMMYFUNCTION("""COMPUTED_VALUE"""),"provide")</f>
        <v>provide</v>
      </c>
      <c r="N56" s="6" t="str">
        <f>IFERROR(__xludf.DUMMYFUNCTION("""COMPUTED_VALUE"""),"parody")</f>
        <v>parody</v>
      </c>
      <c r="P56" s="6" t="str">
        <f>IFERROR(__xludf.DUMMYFUNCTION("""COMPUTED_VALUE"""),"point")</f>
        <v>point</v>
      </c>
      <c r="Q56" s="6" t="str">
        <f>IFERROR(__xludf.DUMMYFUNCTION("""COMPUTED_VALUE"""),"find")</f>
        <v>find</v>
      </c>
      <c r="S56" s="6" t="str">
        <f>IFERROR(__xludf.DUMMYFUNCTION("""COMPUTED_VALUE"""),"finish")</f>
        <v>finish</v>
      </c>
    </row>
    <row r="57">
      <c r="A57" s="6" t="str">
        <f>IFERROR(__xludf.DUMMYFUNCTION("""COMPUTED_VALUE"""),"bleak")</f>
        <v>bleak</v>
      </c>
      <c r="B57" s="6" t="str">
        <f>IFERROR(__xludf.DUMMYFUNCTION("""COMPUTED_VALUE"""),"amusing")</f>
        <v>amusing</v>
      </c>
      <c r="C57" s="6" t="str">
        <f>IFERROR(__xludf.DUMMYFUNCTION("""COMPUTED_VALUE"""),"compassion")</f>
        <v>compassion</v>
      </c>
      <c r="D57" s="6" t="str">
        <f>IFERROR(__xludf.DUMMYFUNCTION("""COMPUTED_VALUE"""),"slip")</f>
        <v>slip</v>
      </c>
      <c r="E57" s="6" t="str">
        <f>IFERROR(__xludf.DUMMYFUNCTION("""COMPUTED_VALUE"""),"clever")</f>
        <v>clever</v>
      </c>
      <c r="G57" s="6" t="str">
        <f>IFERROR(__xludf.DUMMYFUNCTION("""COMPUTED_VALUE"""),"impressions")</f>
        <v>impressions</v>
      </c>
      <c r="H57" s="6" t="str">
        <f>IFERROR(__xludf.DUMMYFUNCTION("""COMPUTED_VALUE"""),"situations")</f>
        <v>situations</v>
      </c>
      <c r="I57" s="6" t="str">
        <f>IFERROR(__xludf.DUMMYFUNCTION("""COMPUTED_VALUE"""),"without")</f>
        <v>without</v>
      </c>
      <c r="J57" s="6" t="str">
        <f>IFERROR(__xludf.DUMMYFUNCTION("""COMPUTED_VALUE"""),"recycled")</f>
        <v>recycled</v>
      </c>
      <c r="L57" s="6" t="str">
        <f>IFERROR(__xludf.DUMMYFUNCTION("""COMPUTED_VALUE"""),"cinematic")</f>
        <v>cinematic</v>
      </c>
      <c r="M57" s="6" t="str">
        <f>IFERROR(__xludf.DUMMYFUNCTION("""COMPUTED_VALUE"""),"slight")</f>
        <v>slight</v>
      </c>
      <c r="N57" s="6" t="str">
        <f>IFERROR(__xludf.DUMMYFUNCTION("""COMPUTED_VALUE"""),"moments")</f>
        <v>moments</v>
      </c>
      <c r="P57" s="6" t="str">
        <f>IFERROR(__xludf.DUMMYFUNCTION("""COMPUTED_VALUE"""),"course")</f>
        <v>course</v>
      </c>
      <c r="Q57" s="6" t="str">
        <f>IFERROR(__xludf.DUMMYFUNCTION("""COMPUTED_VALUE"""),"year")</f>
        <v>year</v>
      </c>
      <c r="S57" s="6" t="str">
        <f>IFERROR(__xludf.DUMMYFUNCTION("""COMPUTED_VALUE"""),"plot")</f>
        <v>plot</v>
      </c>
    </row>
    <row r="58">
      <c r="A58" s="6" t="str">
        <f>IFERROR(__xludf.DUMMYFUNCTION("""COMPUTED_VALUE"""),"convincing")</f>
        <v>convincing</v>
      </c>
      <c r="B58" s="6" t="str">
        <f>IFERROR(__xludf.DUMMYFUNCTION("""COMPUTED_VALUE"""),"stirring")</f>
        <v>stirring</v>
      </c>
      <c r="C58" s="6" t="str">
        <f>IFERROR(__xludf.DUMMYFUNCTION("""COMPUTED_VALUE"""),"imitation")</f>
        <v>imitation</v>
      </c>
      <c r="D58" s="6" t="str">
        <f>IFERROR(__xludf.DUMMYFUNCTION("""COMPUTED_VALUE"""),"fires")</f>
        <v>fires</v>
      </c>
      <c r="E58" s="6" t="str">
        <f>IFERROR(__xludf.DUMMYFUNCTION("""COMPUTED_VALUE"""),"faithful")</f>
        <v>faithful</v>
      </c>
      <c r="G58" s="6" t="str">
        <f>IFERROR(__xludf.DUMMYFUNCTION("""COMPUTED_VALUE"""),"engaging")</f>
        <v>engaging</v>
      </c>
      <c r="H58" s="6" t="str">
        <f>IFERROR(__xludf.DUMMYFUNCTION("""COMPUTED_VALUE"""),"room")</f>
        <v>room</v>
      </c>
      <c r="I58" s="6" t="str">
        <f>IFERROR(__xludf.DUMMYFUNCTION("""COMPUTED_VALUE"""),"historically")</f>
        <v>historically</v>
      </c>
      <c r="J58" s="6" t="str">
        <f>IFERROR(__xludf.DUMMYFUNCTION("""COMPUTED_VALUE"""),"swords")</f>
        <v>swords</v>
      </c>
      <c r="L58" s="6" t="str">
        <f>IFERROR(__xludf.DUMMYFUNCTION("""COMPUTED_VALUE"""),"go")</f>
        <v>go</v>
      </c>
      <c r="M58" s="6" t="str">
        <f>IFERROR(__xludf.DUMMYFUNCTION("""COMPUTED_VALUE"""),"called")</f>
        <v>called</v>
      </c>
      <c r="N58" s="6" t="str">
        <f>IFERROR(__xludf.DUMMYFUNCTION("""COMPUTED_VALUE"""),"standard")</f>
        <v>standard</v>
      </c>
      <c r="P58" s="6" t="str">
        <f>IFERROR(__xludf.DUMMYFUNCTION("""COMPUTED_VALUE"""),"entire")</f>
        <v>entire</v>
      </c>
      <c r="Q58" s="6" t="str">
        <f>IFERROR(__xludf.DUMMYFUNCTION("""COMPUTED_VALUE"""),"weaving")</f>
        <v>weaving</v>
      </c>
      <c r="S58" s="6" t="str">
        <f>IFERROR(__xludf.DUMMYFUNCTION("""COMPUTED_VALUE"""),"little")</f>
        <v>little</v>
      </c>
    </row>
    <row r="59">
      <c r="A59" s="6" t="str">
        <f>IFERROR(__xludf.DUMMYFUNCTION("""COMPUTED_VALUE"""),"affection")</f>
        <v>affection</v>
      </c>
      <c r="B59" s="6" t="str">
        <f>IFERROR(__xludf.DUMMYFUNCTION("""COMPUTED_VALUE"""),"builds")</f>
        <v>builds</v>
      </c>
      <c r="C59" s="6" t="str">
        <f>IFERROR(__xludf.DUMMYFUNCTION("""COMPUTED_VALUE"""),"bleak")</f>
        <v>bleak</v>
      </c>
      <c r="D59" s="6" t="str">
        <f>IFERROR(__xludf.DUMMYFUNCTION("""COMPUTED_VALUE"""),"profile")</f>
        <v>profile</v>
      </c>
      <c r="E59" s="6" t="str">
        <f>IFERROR(__xludf.DUMMYFUNCTION("""COMPUTED_VALUE"""),"exaggerated")</f>
        <v>exaggerated</v>
      </c>
      <c r="G59" s="6" t="str">
        <f>IFERROR(__xludf.DUMMYFUNCTION("""COMPUTED_VALUE"""),"effective")</f>
        <v>effective</v>
      </c>
      <c r="H59" s="6" t="str">
        <f>IFERROR(__xludf.DUMMYFUNCTION("""COMPUTED_VALUE"""),"touching")</f>
        <v>touching</v>
      </c>
      <c r="I59" s="6" t="str">
        <f>IFERROR(__xludf.DUMMYFUNCTION("""COMPUTED_VALUE"""),"significant")</f>
        <v>significant</v>
      </c>
      <c r="J59" s="6" t="str">
        <f>IFERROR(__xludf.DUMMYFUNCTION("""COMPUTED_VALUE"""),"proves")</f>
        <v>proves</v>
      </c>
      <c r="L59" s="6" t="str">
        <f>IFERROR(__xludf.DUMMYFUNCTION("""COMPUTED_VALUE"""),"direction")</f>
        <v>direction</v>
      </c>
      <c r="M59" s="6" t="str">
        <f>IFERROR(__xludf.DUMMYFUNCTION("""COMPUTED_VALUE"""),"dialogue")</f>
        <v>dialogue</v>
      </c>
      <c r="N59" s="6" t="str">
        <f>IFERROR(__xludf.DUMMYFUNCTION("""COMPUTED_VALUE"""),"become")</f>
        <v>become</v>
      </c>
      <c r="P59" s="6" t="str">
        <f>IFERROR(__xludf.DUMMYFUNCTION("""COMPUTED_VALUE"""),"dog")</f>
        <v>dog</v>
      </c>
      <c r="Q59" s="6" t="str">
        <f>IFERROR(__xludf.DUMMYFUNCTION("""COMPUTED_VALUE"""),"funny")</f>
        <v>funny</v>
      </c>
      <c r="S59" s="6" t="str">
        <f>IFERROR(__xludf.DUMMYFUNCTION("""COMPUTED_VALUE"""),"often")</f>
        <v>often</v>
      </c>
    </row>
    <row r="60">
      <c r="A60" s="6" t="str">
        <f>IFERROR(__xludf.DUMMYFUNCTION("""COMPUTED_VALUE"""),"kills")</f>
        <v>kills</v>
      </c>
      <c r="B60" s="6" t="str">
        <f>IFERROR(__xludf.DUMMYFUNCTION("""COMPUTED_VALUE"""),"magnetic")</f>
        <v>magnetic</v>
      </c>
      <c r="C60" s="6" t="str">
        <f>IFERROR(__xludf.DUMMYFUNCTION("""COMPUTED_VALUE"""),"convincing")</f>
        <v>convincing</v>
      </c>
      <c r="D60" s="6" t="str">
        <f>IFERROR(__xludf.DUMMYFUNCTION("""COMPUTED_VALUE"""),"gently")</f>
        <v>gently</v>
      </c>
      <c r="E60" s="6" t="str">
        <f>IFERROR(__xludf.DUMMYFUNCTION("""COMPUTED_VALUE"""),"capable")</f>
        <v>capable</v>
      </c>
      <c r="G60" s="6" t="str">
        <f>IFERROR(__xludf.DUMMYFUNCTION("""COMPUTED_VALUE"""),"suspense")</f>
        <v>suspense</v>
      </c>
      <c r="H60" s="6" t="str">
        <f>IFERROR(__xludf.DUMMYFUNCTION("""COMPUTED_VALUE"""),"less")</f>
        <v>less</v>
      </c>
      <c r="I60" s="6" t="str">
        <f>IFERROR(__xludf.DUMMYFUNCTION("""COMPUTED_VALUE"""),"tribute")</f>
        <v>tribute</v>
      </c>
      <c r="J60" s="6" t="str">
        <f>IFERROR(__xludf.DUMMYFUNCTION("""COMPUTED_VALUE"""),"off")</f>
        <v>off</v>
      </c>
      <c r="L60" s="6" t="str">
        <f>IFERROR(__xludf.DUMMYFUNCTION("""COMPUTED_VALUE"""),"storytelling")</f>
        <v>storytelling</v>
      </c>
      <c r="M60" s="6" t="str">
        <f>IFERROR(__xludf.DUMMYFUNCTION("""COMPUTED_VALUE"""),"bring")</f>
        <v>bring</v>
      </c>
      <c r="N60" s="6" t="str">
        <f>IFERROR(__xludf.DUMMYFUNCTION("""COMPUTED_VALUE"""),"wisdom")</f>
        <v>wisdom</v>
      </c>
      <c r="P60" s="6" t="str">
        <f>IFERROR(__xludf.DUMMYFUNCTION("""COMPUTED_VALUE"""),"count")</f>
        <v>count</v>
      </c>
      <c r="Q60" s="6" t="str">
        <f>IFERROR(__xludf.DUMMYFUNCTION("""COMPUTED_VALUE"""),"another")</f>
        <v>another</v>
      </c>
      <c r="S60" s="6" t="str">
        <f>IFERROR(__xludf.DUMMYFUNCTION("""COMPUTED_VALUE"""),"find")</f>
        <v>find</v>
      </c>
    </row>
    <row r="61">
      <c r="A61" s="6" t="str">
        <f>IFERROR(__xludf.DUMMYFUNCTION("""COMPUTED_VALUE"""),"courage")</f>
        <v>courage</v>
      </c>
      <c r="B61" s="6" t="str">
        <f>IFERROR(__xludf.DUMMYFUNCTION("""COMPUTED_VALUE"""),"creates")</f>
        <v>creates</v>
      </c>
      <c r="C61" s="6" t="str">
        <f>IFERROR(__xludf.DUMMYFUNCTION("""COMPUTED_VALUE"""),"affection")</f>
        <v>affection</v>
      </c>
      <c r="D61" s="6" t="str">
        <f>IFERROR(__xludf.DUMMYFUNCTION("""COMPUTED_VALUE"""),"stretched")</f>
        <v>stretched</v>
      </c>
      <c r="E61" s="6" t="str">
        <f>IFERROR(__xludf.DUMMYFUNCTION("""COMPUTED_VALUE"""),"daring")</f>
        <v>daring</v>
      </c>
      <c r="G61" s="6" t="str">
        <f>IFERROR(__xludf.DUMMYFUNCTION("""COMPUTED_VALUE"""),"realistic")</f>
        <v>realistic</v>
      </c>
      <c r="H61" s="6" t="str">
        <f>IFERROR(__xludf.DUMMYFUNCTION("""COMPUTED_VALUE"""),"veins")</f>
        <v>veins</v>
      </c>
      <c r="I61" s="6" t="str">
        <f>IFERROR(__xludf.DUMMYFUNCTION("""COMPUTED_VALUE"""),"actors")</f>
        <v>actors</v>
      </c>
      <c r="J61" s="6" t="str">
        <f>IFERROR(__xludf.DUMMYFUNCTION("""COMPUTED_VALUE"""),"has")</f>
        <v>has</v>
      </c>
      <c r="L61" s="6" t="str">
        <f>IFERROR(__xludf.DUMMYFUNCTION("""COMPUTED_VALUE"""),"landscape")</f>
        <v>landscape</v>
      </c>
      <c r="M61" s="6" t="str">
        <f>IFERROR(__xludf.DUMMYFUNCTION("""COMPUTED_VALUE"""),"effort")</f>
        <v>effort</v>
      </c>
      <c r="N61" s="6" t="str">
        <f>IFERROR(__xludf.DUMMYFUNCTION("""COMPUTED_VALUE"""),"tear")</f>
        <v>tear</v>
      </c>
      <c r="P61" s="6" t="str">
        <f>IFERROR(__xludf.DUMMYFUNCTION("""COMPUTED_VALUE"""),"care")</f>
        <v>care</v>
      </c>
      <c r="Q61" s="6" t="str">
        <f>IFERROR(__xludf.DUMMYFUNCTION("""COMPUTED_VALUE"""),"clone")</f>
        <v>clone</v>
      </c>
      <c r="S61" s="6" t="str">
        <f>IFERROR(__xludf.DUMMYFUNCTION("""COMPUTED_VALUE"""),"interest")</f>
        <v>interest</v>
      </c>
    </row>
    <row r="62">
      <c r="A62" s="6" t="str">
        <f>IFERROR(__xludf.DUMMYFUNCTION("""COMPUTED_VALUE"""),"meditation")</f>
        <v>meditation</v>
      </c>
      <c r="B62" s="6" t="str">
        <f>IFERROR(__xludf.DUMMYFUNCTION("""COMPUTED_VALUE"""),"establishes")</f>
        <v>establishes</v>
      </c>
      <c r="C62" s="6" t="str">
        <f>IFERROR(__xludf.DUMMYFUNCTION("""COMPUTED_VALUE"""),"courage")</f>
        <v>courage</v>
      </c>
      <c r="D62" s="6" t="str">
        <f>IFERROR(__xludf.DUMMYFUNCTION("""COMPUTED_VALUE"""),"freedom")</f>
        <v>freedom</v>
      </c>
      <c r="E62" s="6" t="str">
        <f>IFERROR(__xludf.DUMMYFUNCTION("""COMPUTED_VALUE"""),"emerge")</f>
        <v>emerge</v>
      </c>
      <c r="G62" s="6" t="str">
        <f>IFERROR(__xludf.DUMMYFUNCTION("""COMPUTED_VALUE"""),"stunts")</f>
        <v>stunts</v>
      </c>
      <c r="H62" s="6" t="str">
        <f>IFERROR(__xludf.DUMMYFUNCTION("""COMPUTED_VALUE"""),"rich")</f>
        <v>rich</v>
      </c>
      <c r="I62" s="6" t="str">
        <f>IFERROR(__xludf.DUMMYFUNCTION("""COMPUTED_VALUE"""),"generate")</f>
        <v>generate</v>
      </c>
      <c r="J62" s="6" t="str">
        <f>IFERROR(__xludf.DUMMYFUNCTION("""COMPUTED_VALUE"""),"horrors")</f>
        <v>horrors</v>
      </c>
      <c r="L62" s="6" t="str">
        <f>IFERROR(__xludf.DUMMYFUNCTION("""COMPUTED_VALUE"""),"pleasures")</f>
        <v>pleasures</v>
      </c>
      <c r="M62" s="6" t="str">
        <f>IFERROR(__xludf.DUMMYFUNCTION("""COMPUTED_VALUE"""),"taking")</f>
        <v>taking</v>
      </c>
      <c r="N62" s="6" t="str">
        <f>IFERROR(__xludf.DUMMYFUNCTION("""COMPUTED_VALUE"""),"images")</f>
        <v>images</v>
      </c>
      <c r="P62" s="6" t="str">
        <f>IFERROR(__xludf.DUMMYFUNCTION("""COMPUTED_VALUE"""),"feature")</f>
        <v>feature</v>
      </c>
      <c r="Q62" s="6" t="str">
        <f>IFERROR(__xludf.DUMMYFUNCTION("""COMPUTED_VALUE"""),"storyline")</f>
        <v>storyline</v>
      </c>
      <c r="S62" s="6" t="str">
        <f>IFERROR(__xludf.DUMMYFUNCTION("""COMPUTED_VALUE"""),"acted")</f>
        <v>acted</v>
      </c>
    </row>
    <row r="63">
      <c r="A63" s="6" t="str">
        <f>IFERROR(__xludf.DUMMYFUNCTION("""COMPUTED_VALUE"""),"universal")</f>
        <v>universal</v>
      </c>
      <c r="B63" s="6" t="str">
        <f>IFERROR(__xludf.DUMMYFUNCTION("""COMPUTED_VALUE"""),"reduces")</f>
        <v>reduces</v>
      </c>
      <c r="C63" s="6" t="str">
        <f>IFERROR(__xludf.DUMMYFUNCTION("""COMPUTED_VALUE"""),"meditation")</f>
        <v>meditation</v>
      </c>
      <c r="D63" s="6" t="str">
        <f>IFERROR(__xludf.DUMMYFUNCTION("""COMPUTED_VALUE"""),"rejected")</f>
        <v>rejected</v>
      </c>
      <c r="E63" s="6" t="str">
        <f>IFERROR(__xludf.DUMMYFUNCTION("""COMPUTED_VALUE"""),"deadly")</f>
        <v>deadly</v>
      </c>
      <c r="G63" s="6" t="str">
        <f>IFERROR(__xludf.DUMMYFUNCTION("""COMPUTED_VALUE"""),"reveals")</f>
        <v>reveals</v>
      </c>
      <c r="H63" s="6" t="str">
        <f>IFERROR(__xludf.DUMMYFUNCTION("""COMPUTED_VALUE"""),"joy")</f>
        <v>joy</v>
      </c>
      <c r="I63" s="6" t="str">
        <f>IFERROR(__xludf.DUMMYFUNCTION("""COMPUTED_VALUE"""),"comedy")</f>
        <v>comedy</v>
      </c>
      <c r="J63" s="6" t="str">
        <f>IFERROR(__xludf.DUMMYFUNCTION("""COMPUTED_VALUE"""),"vivid")</f>
        <v>vivid</v>
      </c>
      <c r="L63" s="6" t="str">
        <f>IFERROR(__xludf.DUMMYFUNCTION("""COMPUTED_VALUE"""),"masterpiece")</f>
        <v>masterpiece</v>
      </c>
      <c r="M63" s="6" t="str">
        <f>IFERROR(__xludf.DUMMYFUNCTION("""COMPUTED_VALUE"""),"examination")</f>
        <v>examination</v>
      </c>
      <c r="N63" s="6" t="str">
        <f>IFERROR(__xludf.DUMMYFUNCTION("""COMPUTED_VALUE"""),"eyes")</f>
        <v>eyes</v>
      </c>
      <c r="P63" s="6" t="str">
        <f>IFERROR(__xludf.DUMMYFUNCTION("""COMPUTED_VALUE"""),"fourth")</f>
        <v>fourth</v>
      </c>
      <c r="Q63" s="6" t="str">
        <f>IFERROR(__xludf.DUMMYFUNCTION("""COMPUTED_VALUE"""),"crude")</f>
        <v>crude</v>
      </c>
      <c r="S63" s="6" t="str">
        <f>IFERROR(__xludf.DUMMYFUNCTION("""COMPUTED_VALUE"""),"year")</f>
        <v>year</v>
      </c>
    </row>
    <row r="64">
      <c r="A64" s="6" t="str">
        <f>IFERROR(__xludf.DUMMYFUNCTION("""COMPUTED_VALUE"""),"detached")</f>
        <v>detached</v>
      </c>
      <c r="B64" s="6" t="str">
        <f>IFERROR(__xludf.DUMMYFUNCTION("""COMPUTED_VALUE"""),"chuckle")</f>
        <v>chuckle</v>
      </c>
      <c r="C64" s="6" t="str">
        <f>IFERROR(__xludf.DUMMYFUNCTION("""COMPUTED_VALUE"""),"universal")</f>
        <v>universal</v>
      </c>
      <c r="D64" s="6" t="str">
        <f>IFERROR(__xludf.DUMMYFUNCTION("""COMPUTED_VALUE"""),"phenomenon")</f>
        <v>phenomenon</v>
      </c>
      <c r="E64" s="6" t="str">
        <f>IFERROR(__xludf.DUMMYFUNCTION("""COMPUTED_VALUE"""),"dramatically")</f>
        <v>dramatically</v>
      </c>
      <c r="G64" s="6" t="str">
        <f>IFERROR(__xludf.DUMMYFUNCTION("""COMPUTED_VALUE"""),"talents")</f>
        <v>talents</v>
      </c>
      <c r="H64" s="6" t="str">
        <f>IFERROR(__xludf.DUMMYFUNCTION("""COMPUTED_VALUE"""),"ugly")</f>
        <v>ugly</v>
      </c>
      <c r="I64" s="6" t="str">
        <f>IFERROR(__xludf.DUMMYFUNCTION("""COMPUTED_VALUE"""),"heat")</f>
        <v>heat</v>
      </c>
      <c r="J64" s="6" t="str">
        <f>IFERROR(__xludf.DUMMYFUNCTION("""COMPUTED_VALUE"""),"any")</f>
        <v>any</v>
      </c>
      <c r="L64" s="6" t="str">
        <f>IFERROR(__xludf.DUMMYFUNCTION("""COMPUTED_VALUE"""),"hopeless")</f>
        <v>hopeless</v>
      </c>
      <c r="M64" s="6" t="str">
        <f>IFERROR(__xludf.DUMMYFUNCTION("""COMPUTED_VALUE"""),"effective")</f>
        <v>effective</v>
      </c>
      <c r="N64" s="6" t="str">
        <f>IFERROR(__xludf.DUMMYFUNCTION("""COMPUTED_VALUE"""),"cinematic")</f>
        <v>cinematic</v>
      </c>
      <c r="P64" s="6" t="str">
        <f>IFERROR(__xludf.DUMMYFUNCTION("""COMPUTED_VALUE"""),"covers")</f>
        <v>covers</v>
      </c>
      <c r="Q64" s="6" t="str">
        <f>IFERROR(__xludf.DUMMYFUNCTION("""COMPUTED_VALUE"""),"real")</f>
        <v>real</v>
      </c>
      <c r="S64" s="6" t="str">
        <f>IFERROR(__xludf.DUMMYFUNCTION("""COMPUTED_VALUE"""),"another")</f>
        <v>another</v>
      </c>
    </row>
    <row r="65">
      <c r="A65" s="6" t="str">
        <f>IFERROR(__xludf.DUMMYFUNCTION("""COMPUTED_VALUE"""),"clever")</f>
        <v>clever</v>
      </c>
      <c r="B65" s="6" t="str">
        <f>IFERROR(__xludf.DUMMYFUNCTION("""COMPUTED_VALUE"""),"jerking")</f>
        <v>jerking</v>
      </c>
      <c r="C65" s="6" t="str">
        <f>IFERROR(__xludf.DUMMYFUNCTION("""COMPUTED_VALUE"""),"awkwardly")</f>
        <v>awkwardly</v>
      </c>
      <c r="D65" s="6" t="str">
        <f>IFERROR(__xludf.DUMMYFUNCTION("""COMPUTED_VALUE"""),"successfully")</f>
        <v>successfully</v>
      </c>
      <c r="E65" s="6" t="str">
        <f>IFERROR(__xludf.DUMMYFUNCTION("""COMPUTED_VALUE"""),"longest")</f>
        <v>longest</v>
      </c>
      <c r="G65" s="6" t="str">
        <f>IFERROR(__xludf.DUMMYFUNCTION("""COMPUTED_VALUE"""),"filmmaking")</f>
        <v>filmmaking</v>
      </c>
      <c r="H65" s="6" t="str">
        <f>IFERROR(__xludf.DUMMYFUNCTION("""COMPUTED_VALUE"""),"emptiness")</f>
        <v>emptiness</v>
      </c>
      <c r="I65" s="6" t="str">
        <f>IFERROR(__xludf.DUMMYFUNCTION("""COMPUTED_VALUE"""),"robert")</f>
        <v>robert</v>
      </c>
      <c r="J65" s="6" t="str">
        <f>IFERROR(__xludf.DUMMYFUNCTION("""COMPUTED_VALUE"""),"beautifully")</f>
        <v>beautifully</v>
      </c>
      <c r="L65" s="6" t="str">
        <f>IFERROR(__xludf.DUMMYFUNCTION("""COMPUTED_VALUE"""),"clumsy")</f>
        <v>clumsy</v>
      </c>
      <c r="M65" s="6" t="str">
        <f>IFERROR(__xludf.DUMMYFUNCTION("""COMPUTED_VALUE"""),"look")</f>
        <v>look</v>
      </c>
      <c r="N65" s="6" t="str">
        <f>IFERROR(__xludf.DUMMYFUNCTION("""COMPUTED_VALUE"""),"going")</f>
        <v>going</v>
      </c>
      <c r="P65" s="6" t="str">
        <f>IFERROR(__xludf.DUMMYFUNCTION("""COMPUTED_VALUE"""),"territory")</f>
        <v>territory</v>
      </c>
      <c r="Q65" s="6" t="str">
        <f>IFERROR(__xludf.DUMMYFUNCTION("""COMPUTED_VALUE"""),"heroes")</f>
        <v>heroes</v>
      </c>
      <c r="S65" s="6" t="str">
        <f>IFERROR(__xludf.DUMMYFUNCTION("""COMPUTED_VALUE"""),"best")</f>
        <v>best</v>
      </c>
    </row>
    <row r="66">
      <c r="A66" s="6" t="str">
        <f>IFERROR(__xludf.DUMMYFUNCTION("""COMPUTED_VALUE"""),"faithful")</f>
        <v>faithful</v>
      </c>
      <c r="B66" s="6" t="str">
        <f>IFERROR(__xludf.DUMMYFUNCTION("""COMPUTED_VALUE"""),"harmless")</f>
        <v>harmless</v>
      </c>
      <c r="C66" s="6" t="str">
        <f>IFERROR(__xludf.DUMMYFUNCTION("""COMPUTED_VALUE"""),"detached")</f>
        <v>detached</v>
      </c>
      <c r="D66" s="6" t="str">
        <f>IFERROR(__xludf.DUMMYFUNCTION("""COMPUTED_VALUE"""),"transformed")</f>
        <v>transformed</v>
      </c>
      <c r="E66" s="6" t="str">
        <f>IFERROR(__xludf.DUMMYFUNCTION("""COMPUTED_VALUE"""),"skill")</f>
        <v>skill</v>
      </c>
      <c r="G66" s="6" t="str">
        <f>IFERROR(__xludf.DUMMYFUNCTION("""COMPUTED_VALUE"""),"auschwitz")</f>
        <v>auschwitz</v>
      </c>
      <c r="H66" s="6" t="str">
        <f>IFERROR(__xludf.DUMMYFUNCTION("""COMPUTED_VALUE"""),"relentless")</f>
        <v>relentless</v>
      </c>
      <c r="I66" s="6" t="str">
        <f>IFERROR(__xludf.DUMMYFUNCTION("""COMPUTED_VALUE"""),"manages")</f>
        <v>manages</v>
      </c>
      <c r="J66" s="6" t="str">
        <f>IFERROR(__xludf.DUMMYFUNCTION("""COMPUTED_VALUE"""),"touching")</f>
        <v>touching</v>
      </c>
      <c r="L66" s="6" t="str">
        <f>IFERROR(__xludf.DUMMYFUNCTION("""COMPUTED_VALUE"""),"dialogue")</f>
        <v>dialogue</v>
      </c>
      <c r="M66" s="6" t="str">
        <f>IFERROR(__xludf.DUMMYFUNCTION("""COMPUTED_VALUE"""),"grab")</f>
        <v>grab</v>
      </c>
      <c r="N66" s="6" t="str">
        <f>IFERROR(__xludf.DUMMYFUNCTION("""COMPUTED_VALUE"""),"go")</f>
        <v>go</v>
      </c>
      <c r="P66" s="6" t="str">
        <f>IFERROR(__xludf.DUMMYFUNCTION("""COMPUTED_VALUE"""),"version")</f>
        <v>version</v>
      </c>
      <c r="Q66" s="6" t="str">
        <f>IFERROR(__xludf.DUMMYFUNCTION("""COMPUTED_VALUE"""),"existence")</f>
        <v>existence</v>
      </c>
      <c r="S66" s="6" t="str">
        <f>IFERROR(__xludf.DUMMYFUNCTION("""COMPUTED_VALUE"""),"funny")</f>
        <v>funny</v>
      </c>
    </row>
    <row r="67">
      <c r="A67" s="6" t="str">
        <f>IFERROR(__xludf.DUMMYFUNCTION("""COMPUTED_VALUE"""),"exaggerated")</f>
        <v>exaggerated</v>
      </c>
      <c r="B67" s="6" t="str">
        <f>IFERROR(__xludf.DUMMYFUNCTION("""COMPUTED_VALUE"""),"hollow")</f>
        <v>hollow</v>
      </c>
      <c r="C67" s="6" t="str">
        <f>IFERROR(__xludf.DUMMYFUNCTION("""COMPUTED_VALUE"""),"clever")</f>
        <v>clever</v>
      </c>
      <c r="D67" s="6" t="str">
        <f>IFERROR(__xludf.DUMMYFUNCTION("""COMPUTED_VALUE"""),"dies")</f>
        <v>dies</v>
      </c>
      <c r="E67" s="6" t="str">
        <f>IFERROR(__xludf.DUMMYFUNCTION("""COMPUTED_VALUE"""),"fierce")</f>
        <v>fierce</v>
      </c>
      <c r="G67" s="6" t="str">
        <f>IFERROR(__xludf.DUMMYFUNCTION("""COMPUTED_VALUE"""),"theatrical")</f>
        <v>theatrical</v>
      </c>
      <c r="H67" s="6" t="str">
        <f>IFERROR(__xludf.DUMMYFUNCTION("""COMPUTED_VALUE"""),"exploration")</f>
        <v>exploration</v>
      </c>
      <c r="I67" s="6" t="str">
        <f>IFERROR(__xludf.DUMMYFUNCTION("""COMPUTED_VALUE"""),"intensity")</f>
        <v>intensity</v>
      </c>
      <c r="J67" s="6" t="str">
        <f>IFERROR(__xludf.DUMMYFUNCTION("""COMPUTED_VALUE"""),"legend")</f>
        <v>legend</v>
      </c>
      <c r="L67" s="6" t="str">
        <f>IFERROR(__xludf.DUMMYFUNCTION("""COMPUTED_VALUE"""),"bring")</f>
        <v>bring</v>
      </c>
      <c r="M67" s="6" t="str">
        <f>IFERROR(__xludf.DUMMYFUNCTION("""COMPUTED_VALUE"""),"reveals")</f>
        <v>reveals</v>
      </c>
      <c r="N67" s="6" t="str">
        <f>IFERROR(__xludf.DUMMYFUNCTION("""COMPUTED_VALUE"""),"direction")</f>
        <v>direction</v>
      </c>
      <c r="P67" s="6" t="str">
        <f>IFERROR(__xludf.DUMMYFUNCTION("""COMPUTED_VALUE"""),"million")</f>
        <v>million</v>
      </c>
      <c r="Q67" s="6" t="str">
        <f>IFERROR(__xludf.DUMMYFUNCTION("""COMPUTED_VALUE"""),"sharply")</f>
        <v>sharply</v>
      </c>
      <c r="S67" s="6" t="str">
        <f>IFERROR(__xludf.DUMMYFUNCTION("""COMPUTED_VALUE"""),"think")</f>
        <v>think</v>
      </c>
    </row>
    <row r="68">
      <c r="A68" s="6" t="str">
        <f>IFERROR(__xludf.DUMMYFUNCTION("""COMPUTED_VALUE"""),"capable")</f>
        <v>capable</v>
      </c>
      <c r="B68" s="6" t="str">
        <f>IFERROR(__xludf.DUMMYFUNCTION("""COMPUTED_VALUE"""),"cerebral")</f>
        <v>cerebral</v>
      </c>
      <c r="C68" s="6" t="str">
        <f>IFERROR(__xludf.DUMMYFUNCTION("""COMPUTED_VALUE"""),"faithful")</f>
        <v>faithful</v>
      </c>
      <c r="D68" s="6" t="str">
        <f>IFERROR(__xludf.DUMMYFUNCTION("""COMPUTED_VALUE"""),"formed")</f>
        <v>formed</v>
      </c>
      <c r="E68" s="6" t="str">
        <f>IFERROR(__xludf.DUMMYFUNCTION("""COMPUTED_VALUE"""),"fallen")</f>
        <v>fallen</v>
      </c>
      <c r="G68" s="6" t="str">
        <f>IFERROR(__xludf.DUMMYFUNCTION("""COMPUTED_VALUE"""),"adaptation")</f>
        <v>adaptation</v>
      </c>
      <c r="H68" s="6" t="str">
        <f>IFERROR(__xludf.DUMMYFUNCTION("""COMPUTED_VALUE"""),"mergers")</f>
        <v>mergers</v>
      </c>
      <c r="I68" s="6" t="str">
        <f>IFERROR(__xludf.DUMMYFUNCTION("""COMPUTED_VALUE"""),"family")</f>
        <v>family</v>
      </c>
      <c r="J68" s="6" t="str">
        <f>IFERROR(__xludf.DUMMYFUNCTION("""COMPUTED_VALUE"""),"veins")</f>
        <v>veins</v>
      </c>
      <c r="L68" s="6" t="str">
        <f>IFERROR(__xludf.DUMMYFUNCTION("""COMPUTED_VALUE"""),"conviction")</f>
        <v>conviction</v>
      </c>
      <c r="M68" s="6" t="str">
        <f>IFERROR(__xludf.DUMMYFUNCTION("""COMPUTED_VALUE"""),"easily")</f>
        <v>easily</v>
      </c>
      <c r="N68" s="6" t="str">
        <f>IFERROR(__xludf.DUMMYFUNCTION("""COMPUTED_VALUE"""),"storytelling")</f>
        <v>storytelling</v>
      </c>
      <c r="P68" s="6" t="str">
        <f>IFERROR(__xludf.DUMMYFUNCTION("""COMPUTED_VALUE"""),"gorgeous")</f>
        <v>gorgeous</v>
      </c>
      <c r="Q68" s="6" t="str">
        <f>IFERROR(__xludf.DUMMYFUNCTION("""COMPUTED_VALUE"""),"point")</f>
        <v>point</v>
      </c>
      <c r="S68" s="6" t="str">
        <f>IFERROR(__xludf.DUMMYFUNCTION("""COMPUTED_VALUE"""),"real")</f>
        <v>real</v>
      </c>
    </row>
    <row r="69">
      <c r="A69" s="6" t="str">
        <f>IFERROR(__xludf.DUMMYFUNCTION("""COMPUTED_VALUE"""),"daring")</f>
        <v>daring</v>
      </c>
      <c r="B69" s="6" t="str">
        <f>IFERROR(__xludf.DUMMYFUNCTION("""COMPUTED_VALUE"""),"viewed")</f>
        <v>viewed</v>
      </c>
      <c r="C69" s="6" t="str">
        <f>IFERROR(__xludf.DUMMYFUNCTION("""COMPUTED_VALUE"""),"exaggerated")</f>
        <v>exaggerated</v>
      </c>
      <c r="D69" s="6" t="str">
        <f>IFERROR(__xludf.DUMMYFUNCTION("""COMPUTED_VALUE"""),"reaches")</f>
        <v>reaches</v>
      </c>
      <c r="E69" s="6" t="str">
        <f>IFERROR(__xludf.DUMMYFUNCTION("""COMPUTED_VALUE"""),"drain")</f>
        <v>drain</v>
      </c>
      <c r="G69" s="6" t="str">
        <f>IFERROR(__xludf.DUMMYFUNCTION("""COMPUTED_VALUE"""),"derivative")</f>
        <v>derivative</v>
      </c>
      <c r="H69" s="6" t="str">
        <f>IFERROR(__xludf.DUMMYFUNCTION("""COMPUTED_VALUE"""),"woven")</f>
        <v>woven</v>
      </c>
      <c r="I69" s="6" t="str">
        <f>IFERROR(__xludf.DUMMYFUNCTION("""COMPUTED_VALUE"""),"keep")</f>
        <v>keep</v>
      </c>
      <c r="J69" s="6" t="str">
        <f>IFERROR(__xludf.DUMMYFUNCTION("""COMPUTED_VALUE"""),"rich")</f>
        <v>rich</v>
      </c>
      <c r="L69" s="6" t="str">
        <f>IFERROR(__xludf.DUMMYFUNCTION("""COMPUTED_VALUE"""),"bourne")</f>
        <v>bourne</v>
      </c>
      <c r="M69" s="6" t="str">
        <f>IFERROR(__xludf.DUMMYFUNCTION("""COMPUTED_VALUE"""),"theatrical")</f>
        <v>theatrical</v>
      </c>
      <c r="N69" s="6" t="str">
        <f>IFERROR(__xludf.DUMMYFUNCTION("""COMPUTED_VALUE"""),"landscape")</f>
        <v>landscape</v>
      </c>
      <c r="P69" s="6" t="str">
        <f>IFERROR(__xludf.DUMMYFUNCTION("""COMPUTED_VALUE"""),"performance")</f>
        <v>performance</v>
      </c>
      <c r="Q69" s="6" t="str">
        <f>IFERROR(__xludf.DUMMYFUNCTION("""COMPUTED_VALUE"""),"course")</f>
        <v>course</v>
      </c>
      <c r="S69" s="6" t="str">
        <f>IFERROR(__xludf.DUMMYFUNCTION("""COMPUTED_VALUE"""),"storyline")</f>
        <v>storyline</v>
      </c>
    </row>
    <row r="70">
      <c r="A70" s="6" t="str">
        <f>IFERROR(__xludf.DUMMYFUNCTION("""COMPUTED_VALUE"""),"emerge")</f>
        <v>emerge</v>
      </c>
      <c r="B70" s="6" t="str">
        <f>IFERROR(__xludf.DUMMYFUNCTION("""COMPUTED_VALUE"""),"hampered")</f>
        <v>hampered</v>
      </c>
      <c r="C70" s="6" t="str">
        <f>IFERROR(__xludf.DUMMYFUNCTION("""COMPUTED_VALUE"""),"daring")</f>
        <v>daring</v>
      </c>
      <c r="D70" s="6" t="str">
        <f>IFERROR(__xludf.DUMMYFUNCTION("""COMPUTED_VALUE"""),"effectively")</f>
        <v>effectively</v>
      </c>
      <c r="E70" s="6" t="str">
        <f>IFERROR(__xludf.DUMMYFUNCTION("""COMPUTED_VALUE"""),"remarkably")</f>
        <v>remarkably</v>
      </c>
      <c r="G70" s="6" t="str">
        <f>IFERROR(__xludf.DUMMYFUNCTION("""COMPUTED_VALUE"""),"sequel")</f>
        <v>sequel</v>
      </c>
      <c r="H70" s="6" t="str">
        <f>IFERROR(__xludf.DUMMYFUNCTION("""COMPUTED_VALUE"""),"storylines")</f>
        <v>storylines</v>
      </c>
      <c r="I70" s="6" t="str">
        <f>IFERROR(__xludf.DUMMYFUNCTION("""COMPUTED_VALUE"""),"animated")</f>
        <v>animated</v>
      </c>
      <c r="J70" s="6" t="str">
        <f>IFERROR(__xludf.DUMMYFUNCTION("""COMPUTED_VALUE"""),"joy")</f>
        <v>joy</v>
      </c>
      <c r="L70" s="6" t="str">
        <f>IFERROR(__xludf.DUMMYFUNCTION("""COMPUTED_VALUE"""),"charm")</f>
        <v>charm</v>
      </c>
      <c r="M70" s="6" t="str">
        <f>IFERROR(__xludf.DUMMYFUNCTION("""COMPUTED_VALUE"""),"faith")</f>
        <v>faith</v>
      </c>
      <c r="N70" s="6" t="str">
        <f>IFERROR(__xludf.DUMMYFUNCTION("""COMPUTED_VALUE"""),"uses")</f>
        <v>uses</v>
      </c>
      <c r="P70" s="6" t="str">
        <f>IFERROR(__xludf.DUMMYFUNCTION("""COMPUTED_VALUE"""),"touch")</f>
        <v>touch</v>
      </c>
      <c r="Q70" s="6" t="str">
        <f>IFERROR(__xludf.DUMMYFUNCTION("""COMPUTED_VALUE"""),"entire")</f>
        <v>entire</v>
      </c>
      <c r="S70" s="6" t="str">
        <f>IFERROR(__xludf.DUMMYFUNCTION("""COMPUTED_VALUE"""),"silly")</f>
        <v>silly</v>
      </c>
    </row>
    <row r="71">
      <c r="A71" s="6" t="str">
        <f>IFERROR(__xludf.DUMMYFUNCTION("""COMPUTED_VALUE"""),"deadly")</f>
        <v>deadly</v>
      </c>
      <c r="B71" s="6" t="str">
        <f>IFERROR(__xludf.DUMMYFUNCTION("""COMPUTED_VALUE"""),"infectious")</f>
        <v>infectious</v>
      </c>
      <c r="C71" s="6" t="str">
        <f>IFERROR(__xludf.DUMMYFUNCTION("""COMPUTED_VALUE"""),"emerge")</f>
        <v>emerge</v>
      </c>
      <c r="D71" s="6" t="str">
        <f>IFERROR(__xludf.DUMMYFUNCTION("""COMPUTED_VALUE"""),"bolt")</f>
        <v>bolt</v>
      </c>
      <c r="E71" s="6" t="str">
        <f>IFERROR(__xludf.DUMMYFUNCTION("""COMPUTED_VALUE"""),"acute")</f>
        <v>acute</v>
      </c>
      <c r="G71" s="6" t="str">
        <f>IFERROR(__xludf.DUMMYFUNCTION("""COMPUTED_VALUE"""),"ambitions")</f>
        <v>ambitions</v>
      </c>
      <c r="H71" s="6" t="str">
        <f>IFERROR(__xludf.DUMMYFUNCTION("""COMPUTED_VALUE"""),"experience")</f>
        <v>experience</v>
      </c>
      <c r="I71" s="6" t="str">
        <f>IFERROR(__xludf.DUMMYFUNCTION("""COMPUTED_VALUE"""),"comic")</f>
        <v>comic</v>
      </c>
      <c r="J71" s="6" t="str">
        <f>IFERROR(__xludf.DUMMYFUNCTION("""COMPUTED_VALUE"""),"ugly")</f>
        <v>ugly</v>
      </c>
      <c r="L71" s="6" t="str">
        <f>IFERROR(__xludf.DUMMYFUNCTION("""COMPUTED_VALUE"""),"effort")</f>
        <v>effort</v>
      </c>
      <c r="M71" s="6" t="str">
        <f>IFERROR(__xludf.DUMMYFUNCTION("""COMPUTED_VALUE"""),"adaptation")</f>
        <v>adaptation</v>
      </c>
      <c r="N71" s="6" t="str">
        <f>IFERROR(__xludf.DUMMYFUNCTION("""COMPUTED_VALUE"""),"pleasures")</f>
        <v>pleasures</v>
      </c>
      <c r="P71" s="6" t="str">
        <f>IFERROR(__xludf.DUMMYFUNCTION("""COMPUTED_VALUE"""),"beauty")</f>
        <v>beauty</v>
      </c>
      <c r="Q71" s="6" t="str">
        <f>IFERROR(__xludf.DUMMYFUNCTION("""COMPUTED_VALUE"""),"dog")</f>
        <v>dog</v>
      </c>
      <c r="S71" s="6" t="str">
        <f>IFERROR(__xludf.DUMMYFUNCTION("""COMPUTED_VALUE"""),"heroes")</f>
        <v>heroes</v>
      </c>
    </row>
    <row r="72">
      <c r="A72" s="6" t="str">
        <f>IFERROR(__xludf.DUMMYFUNCTION("""COMPUTED_VALUE"""),"striking")</f>
        <v>striking</v>
      </c>
      <c r="B72" s="6" t="str">
        <f>IFERROR(__xludf.DUMMYFUNCTION("""COMPUTED_VALUE"""),"represents")</f>
        <v>represents</v>
      </c>
      <c r="C72" s="6" t="str">
        <f>IFERROR(__xludf.DUMMYFUNCTION("""COMPUTED_VALUE"""),"deadly")</f>
        <v>deadly</v>
      </c>
      <c r="D72" s="6" t="str">
        <f>IFERROR(__xludf.DUMMYFUNCTION("""COMPUTED_VALUE"""),"stakes")</f>
        <v>stakes</v>
      </c>
      <c r="E72" s="6" t="str">
        <f>IFERROR(__xludf.DUMMYFUNCTION("""COMPUTED_VALUE"""),"absorbing")</f>
        <v>absorbing</v>
      </c>
      <c r="G72" s="6" t="str">
        <f>IFERROR(__xludf.DUMMYFUNCTION("""COMPUTED_VALUE"""),"problem")</f>
        <v>problem</v>
      </c>
      <c r="H72" s="6" t="str">
        <f>IFERROR(__xludf.DUMMYFUNCTION("""COMPUTED_VALUE"""),"cruel")</f>
        <v>cruel</v>
      </c>
      <c r="I72" s="6" t="str">
        <f>IFERROR(__xludf.DUMMYFUNCTION("""COMPUTED_VALUE"""),"difference")</f>
        <v>difference</v>
      </c>
      <c r="J72" s="6" t="str">
        <f>IFERROR(__xludf.DUMMYFUNCTION("""COMPUTED_VALUE"""),"emptiness")</f>
        <v>emptiness</v>
      </c>
      <c r="L72" s="6" t="str">
        <f>IFERROR(__xludf.DUMMYFUNCTION("""COMPUTED_VALUE"""),"engaging")</f>
        <v>engaging</v>
      </c>
      <c r="M72" s="6" t="str">
        <f>IFERROR(__xludf.DUMMYFUNCTION("""COMPUTED_VALUE"""),"sequel")</f>
        <v>sequel</v>
      </c>
      <c r="N72" s="6" t="str">
        <f>IFERROR(__xludf.DUMMYFUNCTION("""COMPUTED_VALUE"""),"masterpiece")</f>
        <v>masterpiece</v>
      </c>
      <c r="P72" s="6" t="str">
        <f>IFERROR(__xludf.DUMMYFUNCTION("""COMPUTED_VALUE"""),"situations")</f>
        <v>situations</v>
      </c>
      <c r="Q72" s="6" t="str">
        <f>IFERROR(__xludf.DUMMYFUNCTION("""COMPUTED_VALUE"""),"recycled")</f>
        <v>recycled</v>
      </c>
      <c r="S72" s="6" t="str">
        <f>IFERROR(__xludf.DUMMYFUNCTION("""COMPUTED_VALUE"""),"existence")</f>
        <v>existence</v>
      </c>
    </row>
    <row r="73">
      <c r="A73" s="6" t="str">
        <f>IFERROR(__xludf.DUMMYFUNCTION("""COMPUTED_VALUE"""),"dramatically")</f>
        <v>dramatically</v>
      </c>
      <c r="B73" s="6" t="str">
        <f>IFERROR(__xludf.DUMMYFUNCTION("""COMPUTED_VALUE"""),"triumph")</f>
        <v>triumph</v>
      </c>
      <c r="C73" s="6" t="str">
        <f>IFERROR(__xludf.DUMMYFUNCTION("""COMPUTED_VALUE"""),"striking")</f>
        <v>striking</v>
      </c>
      <c r="D73" s="6" t="str">
        <f>IFERROR(__xludf.DUMMYFUNCTION("""COMPUTED_VALUE"""),"vacant")</f>
        <v>vacant</v>
      </c>
      <c r="E73" s="6" t="str">
        <f>IFERROR(__xludf.DUMMYFUNCTION("""COMPUTED_VALUE"""),"qualities")</f>
        <v>qualities</v>
      </c>
      <c r="G73" s="6" t="str">
        <f>IFERROR(__xludf.DUMMYFUNCTION("""COMPUTED_VALUE"""),"compelling")</f>
        <v>compelling</v>
      </c>
      <c r="H73" s="6" t="str">
        <f>IFERROR(__xludf.DUMMYFUNCTION("""COMPUTED_VALUE"""),"deception")</f>
        <v>deception</v>
      </c>
      <c r="I73" s="6" t="str">
        <f>IFERROR(__xludf.DUMMYFUNCTION("""COMPUTED_VALUE"""),"explore")</f>
        <v>explore</v>
      </c>
      <c r="J73" s="6" t="str">
        <f>IFERROR(__xludf.DUMMYFUNCTION("""COMPUTED_VALUE"""),"relentless")</f>
        <v>relentless</v>
      </c>
      <c r="L73" s="6" t="str">
        <f>IFERROR(__xludf.DUMMYFUNCTION("""COMPUTED_VALUE"""),"effective")</f>
        <v>effective</v>
      </c>
      <c r="M73" s="6" t="str">
        <f>IFERROR(__xludf.DUMMYFUNCTION("""COMPUTED_VALUE"""),"disney")</f>
        <v>disney</v>
      </c>
      <c r="N73" s="6" t="str">
        <f>IFERROR(__xludf.DUMMYFUNCTION("""COMPUTED_VALUE"""),"hopeless")</f>
        <v>hopeless</v>
      </c>
      <c r="P73" s="6" t="str">
        <f>IFERROR(__xludf.DUMMYFUNCTION("""COMPUTED_VALUE"""),"room")</f>
        <v>room</v>
      </c>
      <c r="Q73" s="6" t="str">
        <f>IFERROR(__xludf.DUMMYFUNCTION("""COMPUTED_VALUE"""),"count")</f>
        <v>count</v>
      </c>
      <c r="S73" s="6" t="str">
        <f>IFERROR(__xludf.DUMMYFUNCTION("""COMPUTED_VALUE"""),"sharply")</f>
        <v>sharply</v>
      </c>
    </row>
    <row r="74">
      <c r="A74" s="6" t="str">
        <f>IFERROR(__xludf.DUMMYFUNCTION("""COMPUTED_VALUE"""),"longest")</f>
        <v>longest</v>
      </c>
      <c r="B74" s="6" t="str">
        <f>IFERROR(__xludf.DUMMYFUNCTION("""COMPUTED_VALUE"""),"spends")</f>
        <v>spends</v>
      </c>
      <c r="C74" s="6" t="str">
        <f>IFERROR(__xludf.DUMMYFUNCTION("""COMPUTED_VALUE"""),"dramatically")</f>
        <v>dramatically</v>
      </c>
      <c r="D74" s="6" t="str">
        <f>IFERROR(__xludf.DUMMYFUNCTION("""COMPUTED_VALUE"""),"scoring")</f>
        <v>scoring</v>
      </c>
      <c r="E74" s="6" t="str">
        <f>IFERROR(__xludf.DUMMYFUNCTION("""COMPUTED_VALUE"""),"gripping")</f>
        <v>gripping</v>
      </c>
      <c r="G74" s="6" t="str">
        <f>IFERROR(__xludf.DUMMYFUNCTION("""COMPUTED_VALUE"""),"wildly")</f>
        <v>wildly</v>
      </c>
      <c r="H74" s="6" t="str">
        <f>IFERROR(__xludf.DUMMYFUNCTION("""COMPUTED_VALUE"""),"eastwood")</f>
        <v>eastwood</v>
      </c>
      <c r="I74" s="6" t="str">
        <f>IFERROR(__xludf.DUMMYFUNCTION("""COMPUTED_VALUE"""),"criminal")</f>
        <v>criminal</v>
      </c>
      <c r="J74" s="6" t="str">
        <f>IFERROR(__xludf.DUMMYFUNCTION("""COMPUTED_VALUE"""),"exploration")</f>
        <v>exploration</v>
      </c>
      <c r="L74" s="6" t="str">
        <f>IFERROR(__xludf.DUMMYFUNCTION("""COMPUTED_VALUE"""),"suspense")</f>
        <v>suspense</v>
      </c>
      <c r="M74" s="6" t="str">
        <f>IFERROR(__xludf.DUMMYFUNCTION("""COMPUTED_VALUE"""),"problem")</f>
        <v>problem</v>
      </c>
      <c r="N74" s="6" t="str">
        <f>IFERROR(__xludf.DUMMYFUNCTION("""COMPUTED_VALUE"""),"clumsy")</f>
        <v>clumsy</v>
      </c>
      <c r="P74" s="6" t="str">
        <f>IFERROR(__xludf.DUMMYFUNCTION("""COMPUTED_VALUE"""),"touching")</f>
        <v>touching</v>
      </c>
      <c r="Q74" s="6" t="str">
        <f>IFERROR(__xludf.DUMMYFUNCTION("""COMPUTED_VALUE"""),"care")</f>
        <v>care</v>
      </c>
      <c r="S74" s="6" t="str">
        <f>IFERROR(__xludf.DUMMYFUNCTION("""COMPUTED_VALUE"""),"point")</f>
        <v>point</v>
      </c>
    </row>
    <row r="75">
      <c r="A75" s="6" t="str">
        <f>IFERROR(__xludf.DUMMYFUNCTION("""COMPUTED_VALUE"""),"skill")</f>
        <v>skill</v>
      </c>
      <c r="B75" s="6" t="str">
        <f>IFERROR(__xludf.DUMMYFUNCTION("""COMPUTED_VALUE"""),"capture")</f>
        <v>capture</v>
      </c>
      <c r="C75" s="6" t="str">
        <f>IFERROR(__xludf.DUMMYFUNCTION("""COMPUTED_VALUE"""),"longest")</f>
        <v>longest</v>
      </c>
      <c r="D75" s="6" t="str">
        <f>IFERROR(__xludf.DUMMYFUNCTION("""COMPUTED_VALUE"""),"stripped")</f>
        <v>stripped</v>
      </c>
      <c r="E75" s="6" t="str">
        <f>IFERROR(__xludf.DUMMYFUNCTION("""COMPUTED_VALUE"""),"startling")</f>
        <v>startling</v>
      </c>
      <c r="G75" s="6" t="str">
        <f>IFERROR(__xludf.DUMMYFUNCTION("""COMPUTED_VALUE"""),"narrative")</f>
        <v>narrative</v>
      </c>
      <c r="H75" s="6" t="str">
        <f>IFERROR(__xludf.DUMMYFUNCTION("""COMPUTED_VALUE"""),"earnest")</f>
        <v>earnest</v>
      </c>
      <c r="I75" s="6" t="str">
        <f>IFERROR(__xludf.DUMMYFUNCTION("""COMPUTED_VALUE"""),"directed")</f>
        <v>directed</v>
      </c>
      <c r="J75" s="6" t="str">
        <f>IFERROR(__xludf.DUMMYFUNCTION("""COMPUTED_VALUE"""),"mergers")</f>
        <v>mergers</v>
      </c>
      <c r="L75" s="6" t="str">
        <f>IFERROR(__xludf.DUMMYFUNCTION("""COMPUTED_VALUE"""),"realistic")</f>
        <v>realistic</v>
      </c>
      <c r="M75" s="6" t="str">
        <f>IFERROR(__xludf.DUMMYFUNCTION("""COMPUTED_VALUE"""),"runs")</f>
        <v>runs</v>
      </c>
      <c r="N75" s="6" t="str">
        <f>IFERROR(__xludf.DUMMYFUNCTION("""COMPUTED_VALUE"""),"dialogue")</f>
        <v>dialogue</v>
      </c>
      <c r="P75" s="6" t="str">
        <f>IFERROR(__xludf.DUMMYFUNCTION("""COMPUTED_VALUE"""),"starts")</f>
        <v>starts</v>
      </c>
      <c r="Q75" s="6" t="str">
        <f>IFERROR(__xludf.DUMMYFUNCTION("""COMPUTED_VALUE"""),"covers")</f>
        <v>covers</v>
      </c>
      <c r="S75" s="6" t="str">
        <f>IFERROR(__xludf.DUMMYFUNCTION("""COMPUTED_VALUE"""),"course")</f>
        <v>course</v>
      </c>
    </row>
    <row r="76">
      <c r="A76" s="6" t="str">
        <f>IFERROR(__xludf.DUMMYFUNCTION("""COMPUTED_VALUE"""),"fierce")</f>
        <v>fierce</v>
      </c>
      <c r="B76" s="6" t="str">
        <f>IFERROR(__xludf.DUMMYFUNCTION("""COMPUTED_VALUE"""),"fascination")</f>
        <v>fascination</v>
      </c>
      <c r="C76" s="6" t="str">
        <f>IFERROR(__xludf.DUMMYFUNCTION("""COMPUTED_VALUE"""),"skill")</f>
        <v>skill</v>
      </c>
      <c r="D76" s="6" t="str">
        <f>IFERROR(__xludf.DUMMYFUNCTION("""COMPUTED_VALUE"""),"error")</f>
        <v>error</v>
      </c>
      <c r="E76" s="6" t="str">
        <f>IFERROR(__xludf.DUMMYFUNCTION("""COMPUTED_VALUE"""),"fatal")</f>
        <v>fatal</v>
      </c>
      <c r="G76" s="6" t="str">
        <f>IFERROR(__xludf.DUMMYFUNCTION("""COMPUTED_VALUE"""),"spectacle")</f>
        <v>spectacle</v>
      </c>
      <c r="H76" s="6" t="str">
        <f>IFERROR(__xludf.DUMMYFUNCTION("""COMPUTED_VALUE"""),"homage")</f>
        <v>homage</v>
      </c>
      <c r="I76" s="6" t="str">
        <f>IFERROR(__xludf.DUMMYFUNCTION("""COMPUTED_VALUE"""),"washington")</f>
        <v>washington</v>
      </c>
      <c r="J76" s="6" t="str">
        <f>IFERROR(__xludf.DUMMYFUNCTION("""COMPUTED_VALUE"""),"woven")</f>
        <v>woven</v>
      </c>
      <c r="L76" s="6" t="str">
        <f>IFERROR(__xludf.DUMMYFUNCTION("""COMPUTED_VALUE"""),"grab")</f>
        <v>grab</v>
      </c>
      <c r="M76" s="6" t="str">
        <f>IFERROR(__xludf.DUMMYFUNCTION("""COMPUTED_VALUE"""),"genre")</f>
        <v>genre</v>
      </c>
      <c r="N76" s="6" t="str">
        <f>IFERROR(__xludf.DUMMYFUNCTION("""COMPUTED_VALUE"""),"conviction")</f>
        <v>conviction</v>
      </c>
      <c r="P76" s="6" t="str">
        <f>IFERROR(__xludf.DUMMYFUNCTION("""COMPUTED_VALUE"""),"less")</f>
        <v>less</v>
      </c>
      <c r="Q76" s="6" t="str">
        <f>IFERROR(__xludf.DUMMYFUNCTION("""COMPUTED_VALUE"""),"territory")</f>
        <v>territory</v>
      </c>
      <c r="S76" s="6" t="str">
        <f>IFERROR(__xludf.DUMMYFUNCTION("""COMPUTED_VALUE"""),"entire")</f>
        <v>entire</v>
      </c>
    </row>
    <row r="77">
      <c r="A77" s="6" t="str">
        <f>IFERROR(__xludf.DUMMYFUNCTION("""COMPUTED_VALUE"""),"fallen")</f>
        <v>fallen</v>
      </c>
      <c r="B77" s="6" t="str">
        <f>IFERROR(__xludf.DUMMYFUNCTION("""COMPUTED_VALUE"""),"economical")</f>
        <v>economical</v>
      </c>
      <c r="C77" s="6" t="str">
        <f>IFERROR(__xludf.DUMMYFUNCTION("""COMPUTED_VALUE"""),"fierce")</f>
        <v>fierce</v>
      </c>
      <c r="D77" s="6" t="str">
        <f>IFERROR(__xludf.DUMMYFUNCTION("""COMPUTED_VALUE"""),"contributions")</f>
        <v>contributions</v>
      </c>
      <c r="E77" s="6" t="str">
        <f>IFERROR(__xludf.DUMMYFUNCTION("""COMPUTED_VALUE"""),"glossy")</f>
        <v>glossy</v>
      </c>
      <c r="G77" s="6" t="str">
        <f>IFERROR(__xludf.DUMMYFUNCTION("""COMPUTED_VALUE"""),"dramas")</f>
        <v>dramas</v>
      </c>
      <c r="H77" s="6" t="str">
        <f>IFERROR(__xludf.DUMMYFUNCTION("""COMPUTED_VALUE"""),"laughs")</f>
        <v>laughs</v>
      </c>
      <c r="I77" s="6" t="str">
        <f>IFERROR(__xludf.DUMMYFUNCTION("""COMPUTED_VALUE"""),"certainly")</f>
        <v>certainly</v>
      </c>
      <c r="J77" s="6" t="str">
        <f>IFERROR(__xludf.DUMMYFUNCTION("""COMPUTED_VALUE"""),"storylines")</f>
        <v>storylines</v>
      </c>
      <c r="L77" s="6" t="str">
        <f>IFERROR(__xludf.DUMMYFUNCTION("""COMPUTED_VALUE"""),"stunts")</f>
        <v>stunts</v>
      </c>
      <c r="M77" s="6" t="str">
        <f>IFERROR(__xludf.DUMMYFUNCTION("""COMPUTED_VALUE"""),"romance")</f>
        <v>romance</v>
      </c>
      <c r="N77" s="6" t="str">
        <f>IFERROR(__xludf.DUMMYFUNCTION("""COMPUTED_VALUE"""),"bourne")</f>
        <v>bourne</v>
      </c>
      <c r="P77" s="6" t="str">
        <f>IFERROR(__xludf.DUMMYFUNCTION("""COMPUTED_VALUE"""),"veins")</f>
        <v>veins</v>
      </c>
      <c r="Q77" s="6" t="str">
        <f>IFERROR(__xludf.DUMMYFUNCTION("""COMPUTED_VALUE"""),"version")</f>
        <v>version</v>
      </c>
      <c r="S77" s="6" t="str">
        <f>IFERROR(__xludf.DUMMYFUNCTION("""COMPUTED_VALUE"""),"dog")</f>
        <v>dog</v>
      </c>
    </row>
    <row r="78">
      <c r="A78" s="6" t="str">
        <f>IFERROR(__xludf.DUMMYFUNCTION("""COMPUTED_VALUE"""),"remarkably")</f>
        <v>remarkably</v>
      </c>
      <c r="B78" s="6" t="str">
        <f>IFERROR(__xludf.DUMMYFUNCTION("""COMPUTED_VALUE"""),"pity")</f>
        <v>pity</v>
      </c>
      <c r="C78" s="6" t="str">
        <f>IFERROR(__xludf.DUMMYFUNCTION("""COMPUTED_VALUE"""),"fallen")</f>
        <v>fallen</v>
      </c>
      <c r="D78" s="6" t="str">
        <f>IFERROR(__xludf.DUMMYFUNCTION("""COMPUTED_VALUE"""),"shaking")</f>
        <v>shaking</v>
      </c>
      <c r="E78" s="6" t="str">
        <f>IFERROR(__xludf.DUMMYFUNCTION("""COMPUTED_VALUE"""),"rises")</f>
        <v>rises</v>
      </c>
      <c r="G78" s="6" t="str">
        <f>IFERROR(__xludf.DUMMYFUNCTION("""COMPUTED_VALUE"""),"satisfying")</f>
        <v>satisfying</v>
      </c>
      <c r="H78" s="6" t="str">
        <f>IFERROR(__xludf.DUMMYFUNCTION("""COMPUTED_VALUE"""),"few")</f>
        <v>few</v>
      </c>
      <c r="I78" s="6" t="str">
        <f>IFERROR(__xludf.DUMMYFUNCTION("""COMPUTED_VALUE"""),"long")</f>
        <v>long</v>
      </c>
      <c r="J78" s="6" t="str">
        <f>IFERROR(__xludf.DUMMYFUNCTION("""COMPUTED_VALUE"""),"experience")</f>
        <v>experience</v>
      </c>
      <c r="L78" s="6" t="str">
        <f>IFERROR(__xludf.DUMMYFUNCTION("""COMPUTED_VALUE"""),"reveals")</f>
        <v>reveals</v>
      </c>
      <c r="M78" s="6" t="str">
        <f>IFERROR(__xludf.DUMMYFUNCTION("""COMPUTED_VALUE"""),"want")</f>
        <v>want</v>
      </c>
      <c r="N78" s="6" t="str">
        <f>IFERROR(__xludf.DUMMYFUNCTION("""COMPUTED_VALUE"""),"taking")</f>
        <v>taking</v>
      </c>
      <c r="P78" s="6" t="str">
        <f>IFERROR(__xludf.DUMMYFUNCTION("""COMPUTED_VALUE"""),"rich")</f>
        <v>rich</v>
      </c>
      <c r="Q78" s="6" t="str">
        <f>IFERROR(__xludf.DUMMYFUNCTION("""COMPUTED_VALUE"""),"million")</f>
        <v>million</v>
      </c>
      <c r="S78" s="6" t="str">
        <f>IFERROR(__xludf.DUMMYFUNCTION("""COMPUTED_VALUE"""),"classic")</f>
        <v>classic</v>
      </c>
    </row>
    <row r="79">
      <c r="A79" s="6" t="str">
        <f>IFERROR(__xludf.DUMMYFUNCTION("""COMPUTED_VALUE"""),"nausea")</f>
        <v>nausea</v>
      </c>
      <c r="B79" s="6" t="str">
        <f>IFERROR(__xludf.DUMMYFUNCTION("""COMPUTED_VALUE"""),"wears")</f>
        <v>wears</v>
      </c>
      <c r="C79" s="6" t="str">
        <f>IFERROR(__xludf.DUMMYFUNCTION("""COMPUTED_VALUE"""),"remarkably")</f>
        <v>remarkably</v>
      </c>
      <c r="D79" s="6"/>
      <c r="E79" s="6" t="str">
        <f>IFERROR(__xludf.DUMMYFUNCTION("""COMPUTED_VALUE"""),"achievement")</f>
        <v>achievement</v>
      </c>
      <c r="G79" s="6" t="str">
        <f>IFERROR(__xludf.DUMMYFUNCTION("""COMPUTED_VALUE"""),"considerable")</f>
        <v>considerable</v>
      </c>
      <c r="H79" s="6" t="str">
        <f>IFERROR(__xludf.DUMMYFUNCTION("""COMPUTED_VALUE"""),"endure")</f>
        <v>endure</v>
      </c>
      <c r="I79" s="6" t="str">
        <f>IFERROR(__xludf.DUMMYFUNCTION("""COMPUTED_VALUE"""),"images")</f>
        <v>images</v>
      </c>
      <c r="J79" s="6" t="str">
        <f>IFERROR(__xludf.DUMMYFUNCTION("""COMPUTED_VALUE"""),"cruel")</f>
        <v>cruel</v>
      </c>
      <c r="L79" s="6" t="str">
        <f>IFERROR(__xludf.DUMMYFUNCTION("""COMPUTED_VALUE"""),"talents")</f>
        <v>talents</v>
      </c>
      <c r="M79" s="6" t="str">
        <f>IFERROR(__xludf.DUMMYFUNCTION("""COMPUTED_VALUE"""),"depth")</f>
        <v>depth</v>
      </c>
      <c r="N79" s="6" t="str">
        <f>IFERROR(__xludf.DUMMYFUNCTION("""COMPUTED_VALUE"""),"examination")</f>
        <v>examination</v>
      </c>
      <c r="P79" s="6" t="str">
        <f>IFERROR(__xludf.DUMMYFUNCTION("""COMPUTED_VALUE"""),"joy")</f>
        <v>joy</v>
      </c>
      <c r="Q79" s="6" t="str">
        <f>IFERROR(__xludf.DUMMYFUNCTION("""COMPUTED_VALUE"""),"gorgeous")</f>
        <v>gorgeous</v>
      </c>
      <c r="S79" s="6" t="str">
        <f>IFERROR(__xludf.DUMMYFUNCTION("""COMPUTED_VALUE"""),"dry")</f>
        <v>dry</v>
      </c>
    </row>
    <row r="80">
      <c r="A80" s="6" t="str">
        <f>IFERROR(__xludf.DUMMYFUNCTION("""COMPUTED_VALUE"""),"brightly")</f>
        <v>brightly</v>
      </c>
      <c r="B80" s="6" t="str">
        <f>IFERROR(__xludf.DUMMYFUNCTION("""COMPUTED_VALUE"""),"impact")</f>
        <v>impact</v>
      </c>
      <c r="C80" s="6" t="str">
        <f>IFERROR(__xludf.DUMMYFUNCTION("""COMPUTED_VALUE"""),"nausea")</f>
        <v>nausea</v>
      </c>
      <c r="D80" s="6"/>
      <c r="E80" s="6" t="str">
        <f>IFERROR(__xludf.DUMMYFUNCTION("""COMPUTED_VALUE"""),"graceful")</f>
        <v>graceful</v>
      </c>
      <c r="G80" s="6" t="str">
        <f>IFERROR(__xludf.DUMMYFUNCTION("""COMPUTED_VALUE"""),"flat")</f>
        <v>flat</v>
      </c>
      <c r="H80" s="6" t="str">
        <f>IFERROR(__xludf.DUMMYFUNCTION("""COMPUTED_VALUE"""),"help")</f>
        <v>help</v>
      </c>
      <c r="I80" s="6" t="str">
        <f>IFERROR(__xludf.DUMMYFUNCTION("""COMPUTED_VALUE"""),"eyes")</f>
        <v>eyes</v>
      </c>
      <c r="J80" s="6" t="str">
        <f>IFERROR(__xludf.DUMMYFUNCTION("""COMPUTED_VALUE"""),"women")</f>
        <v>women</v>
      </c>
      <c r="L80" s="6" t="str">
        <f>IFERROR(__xludf.DUMMYFUNCTION("""COMPUTED_VALUE"""),"filmmaking")</f>
        <v>filmmaking</v>
      </c>
      <c r="M80" s="6" t="str">
        <f>IFERROR(__xludf.DUMMYFUNCTION("""COMPUTED_VALUE"""),"hit")</f>
        <v>hit</v>
      </c>
      <c r="N80" s="6" t="str">
        <f>IFERROR(__xludf.DUMMYFUNCTION("""COMPUTED_VALUE"""),"engaging")</f>
        <v>engaging</v>
      </c>
      <c r="P80" s="6" t="str">
        <f>IFERROR(__xludf.DUMMYFUNCTION("""COMPUTED_VALUE"""),"shot")</f>
        <v>shot</v>
      </c>
      <c r="Q80" s="6" t="str">
        <f>IFERROR(__xludf.DUMMYFUNCTION("""COMPUTED_VALUE"""),"swords")</f>
        <v>swords</v>
      </c>
      <c r="S80" s="6" t="str">
        <f>IFERROR(__xludf.DUMMYFUNCTION("""COMPUTED_VALUE"""),"times")</f>
        <v>times</v>
      </c>
    </row>
    <row r="81">
      <c r="A81" s="6" t="str">
        <f>IFERROR(__xludf.DUMMYFUNCTION("""COMPUTED_VALUE"""),"playful")</f>
        <v>playful</v>
      </c>
      <c r="B81" s="6" t="str">
        <f>IFERROR(__xludf.DUMMYFUNCTION("""COMPUTED_VALUE"""),"static")</f>
        <v>static</v>
      </c>
      <c r="C81" s="6" t="str">
        <f>IFERROR(__xludf.DUMMYFUNCTION("""COMPUTED_VALUE"""),"brightly")</f>
        <v>brightly</v>
      </c>
      <c r="D81" s="6"/>
      <c r="E81" s="6" t="str">
        <f>IFERROR(__xludf.DUMMYFUNCTION("""COMPUTED_VALUE"""),"frantic")</f>
        <v>frantic</v>
      </c>
      <c r="G81" s="6" t="str">
        <f>IFERROR(__xludf.DUMMYFUNCTION("""COMPUTED_VALUE"""),"flashes")</f>
        <v>flashes</v>
      </c>
      <c r="H81" s="6" t="str">
        <f>IFERROR(__xludf.DUMMYFUNCTION("""COMPUTED_VALUE"""),"power")</f>
        <v>power</v>
      </c>
      <c r="I81" s="6" t="str">
        <f>IFERROR(__xludf.DUMMYFUNCTION("""COMPUTED_VALUE"""),"tear")</f>
        <v>tear</v>
      </c>
      <c r="J81" s="6" t="str">
        <f>IFERROR(__xludf.DUMMYFUNCTION("""COMPUTED_VALUE"""),"deception")</f>
        <v>deception</v>
      </c>
      <c r="L81" s="6" t="str">
        <f>IFERROR(__xludf.DUMMYFUNCTION("""COMPUTED_VALUE"""),"auschwitz")</f>
        <v>auschwitz</v>
      </c>
      <c r="M81" s="6" t="str">
        <f>IFERROR(__xludf.DUMMYFUNCTION("""COMPUTED_VALUE"""),"narrative")</f>
        <v>narrative</v>
      </c>
      <c r="N81" s="6" t="str">
        <f>IFERROR(__xludf.DUMMYFUNCTION("""COMPUTED_VALUE"""),"suspense")</f>
        <v>suspense</v>
      </c>
      <c r="P81" s="6" t="str">
        <f>IFERROR(__xludf.DUMMYFUNCTION("""COMPUTED_VALUE"""),"ugly")</f>
        <v>ugly</v>
      </c>
      <c r="Q81" s="6" t="str">
        <f>IFERROR(__xludf.DUMMYFUNCTION("""COMPUTED_VALUE"""),"performance")</f>
        <v>performance</v>
      </c>
      <c r="S81" s="6" t="str">
        <f>IFERROR(__xludf.DUMMYFUNCTION("""COMPUTED_VALUE"""),"care")</f>
        <v>care</v>
      </c>
    </row>
    <row r="82">
      <c r="A82" s="6" t="str">
        <f>IFERROR(__xludf.DUMMYFUNCTION("""COMPUTED_VALUE"""),"tremendous")</f>
        <v>tremendous</v>
      </c>
      <c r="B82" s="6" t="str">
        <f>IFERROR(__xludf.DUMMYFUNCTION("""COMPUTED_VALUE"""),"photographed")</f>
        <v>photographed</v>
      </c>
      <c r="C82" s="6" t="str">
        <f>IFERROR(__xludf.DUMMYFUNCTION("""COMPUTED_VALUE"""),"playful")</f>
        <v>playful</v>
      </c>
      <c r="D82" s="6"/>
      <c r="E82" s="6" t="str">
        <f>IFERROR(__xludf.DUMMYFUNCTION("""COMPUTED_VALUE"""),"stirring")</f>
        <v>stirring</v>
      </c>
      <c r="G82" s="6" t="str">
        <f>IFERROR(__xludf.DUMMYFUNCTION("""COMPUTED_VALUE"""),"script")</f>
        <v>script</v>
      </c>
      <c r="H82" s="6" t="str">
        <f>IFERROR(__xludf.DUMMYFUNCTION("""COMPUTED_VALUE"""),"generates")</f>
        <v>generates</v>
      </c>
      <c r="I82" s="6" t="str">
        <f>IFERROR(__xludf.DUMMYFUNCTION("""COMPUTED_VALUE"""),"addition")</f>
        <v>addition</v>
      </c>
      <c r="J82" s="6" t="str">
        <f>IFERROR(__xludf.DUMMYFUNCTION("""COMPUTED_VALUE"""),"earnest")</f>
        <v>earnest</v>
      </c>
      <c r="L82" s="6" t="str">
        <f>IFERROR(__xludf.DUMMYFUNCTION("""COMPUTED_VALUE"""),"theatrical")</f>
        <v>theatrical</v>
      </c>
      <c r="M82" s="6" t="str">
        <f>IFERROR(__xludf.DUMMYFUNCTION("""COMPUTED_VALUE"""),"amounts")</f>
        <v>amounts</v>
      </c>
      <c r="N82" s="6" t="str">
        <f>IFERROR(__xludf.DUMMYFUNCTION("""COMPUTED_VALUE"""),"realistic")</f>
        <v>realistic</v>
      </c>
      <c r="P82" s="6" t="str">
        <f>IFERROR(__xludf.DUMMYFUNCTION("""COMPUTED_VALUE"""),"exploration")</f>
        <v>exploration</v>
      </c>
      <c r="Q82" s="6" t="str">
        <f>IFERROR(__xludf.DUMMYFUNCTION("""COMPUTED_VALUE"""),"proves")</f>
        <v>proves</v>
      </c>
      <c r="S82" s="6" t="str">
        <f>IFERROR(__xludf.DUMMYFUNCTION("""COMPUTED_VALUE"""),"count")</f>
        <v>count</v>
      </c>
    </row>
    <row r="83">
      <c r="A83" s="6" t="str">
        <f>IFERROR(__xludf.DUMMYFUNCTION("""COMPUTED_VALUE"""),"acute")</f>
        <v>acute</v>
      </c>
      <c r="B83" s="6" t="str">
        <f>IFERROR(__xludf.DUMMYFUNCTION("""COMPUTED_VALUE"""),"disgust")</f>
        <v>disgust</v>
      </c>
      <c r="C83" s="6" t="str">
        <f>IFERROR(__xludf.DUMMYFUNCTION("""COMPUTED_VALUE"""),"acute")</f>
        <v>acute</v>
      </c>
      <c r="D83" s="6"/>
      <c r="E83" s="6" t="str">
        <f>IFERROR(__xludf.DUMMYFUNCTION("""COMPUTED_VALUE"""),"flourish")</f>
        <v>flourish</v>
      </c>
      <c r="G83" s="6" t="str">
        <f>IFERROR(__xludf.DUMMYFUNCTION("""COMPUTED_VALUE"""),"credits")</f>
        <v>credits</v>
      </c>
      <c r="H83" s="6" t="str">
        <f>IFERROR(__xludf.DUMMYFUNCTION("""COMPUTED_VALUE"""),"historically")</f>
        <v>historically</v>
      </c>
      <c r="I83" s="6" t="str">
        <f>IFERROR(__xludf.DUMMYFUNCTION("""COMPUTED_VALUE"""),"titles")</f>
        <v>titles</v>
      </c>
      <c r="J83" s="6" t="str">
        <f>IFERROR(__xludf.DUMMYFUNCTION("""COMPUTED_VALUE"""),"pays")</f>
        <v>pays</v>
      </c>
      <c r="L83" s="6" t="str">
        <f>IFERROR(__xludf.DUMMYFUNCTION("""COMPUTED_VALUE"""),"faith")</f>
        <v>faith</v>
      </c>
      <c r="M83" s="6" t="str">
        <f>IFERROR(__xludf.DUMMYFUNCTION("""COMPUTED_VALUE"""),"fans")</f>
        <v>fans</v>
      </c>
      <c r="N83" s="6" t="str">
        <f>IFERROR(__xludf.DUMMYFUNCTION("""COMPUTED_VALUE"""),"grab")</f>
        <v>grab</v>
      </c>
      <c r="P83" s="6" t="str">
        <f>IFERROR(__xludf.DUMMYFUNCTION("""COMPUTED_VALUE"""),"core")</f>
        <v>core</v>
      </c>
      <c r="Q83" s="6" t="str">
        <f>IFERROR(__xludf.DUMMYFUNCTION("""COMPUTED_VALUE"""),"touch")</f>
        <v>touch</v>
      </c>
      <c r="S83" s="6" t="str">
        <f>IFERROR(__xludf.DUMMYFUNCTION("""COMPUTED_VALUE"""),"territory")</f>
        <v>territory</v>
      </c>
    </row>
    <row r="84">
      <c r="A84" s="6" t="str">
        <f>IFERROR(__xludf.DUMMYFUNCTION("""COMPUTED_VALUE"""),"absorbing")</f>
        <v>absorbing</v>
      </c>
      <c r="B84" s="6" t="str">
        <f>IFERROR(__xludf.DUMMYFUNCTION("""COMPUTED_VALUE"""),"stylized")</f>
        <v>stylized</v>
      </c>
      <c r="C84" s="6" t="str">
        <f>IFERROR(__xludf.DUMMYFUNCTION("""COMPUTED_VALUE"""),"absorbing")</f>
        <v>absorbing</v>
      </c>
      <c r="D84" s="6"/>
      <c r="E84" s="6" t="str">
        <f>IFERROR(__xludf.DUMMYFUNCTION("""COMPUTED_VALUE"""),"touched")</f>
        <v>touched</v>
      </c>
      <c r="G84" s="6" t="str">
        <f>IFERROR(__xludf.DUMMYFUNCTION("""COMPUTED_VALUE"""),"pacing")</f>
        <v>pacing</v>
      </c>
      <c r="H84" s="6" t="str">
        <f>IFERROR(__xludf.DUMMYFUNCTION("""COMPUTED_VALUE"""),"significant")</f>
        <v>significant</v>
      </c>
      <c r="I84" s="6" t="str">
        <f>IFERROR(__xludf.DUMMYFUNCTION("""COMPUTED_VALUE"""),"generally")</f>
        <v>generally</v>
      </c>
      <c r="J84" s="6" t="str">
        <f>IFERROR(__xludf.DUMMYFUNCTION("""COMPUTED_VALUE"""),"homage")</f>
        <v>homage</v>
      </c>
      <c r="L84" s="6" t="str">
        <f>IFERROR(__xludf.DUMMYFUNCTION("""COMPUTED_VALUE"""),"adaptation")</f>
        <v>adaptation</v>
      </c>
      <c r="M84" s="6" t="str">
        <f>IFERROR(__xludf.DUMMYFUNCTION("""COMPUTED_VALUE"""),"translation")</f>
        <v>translation</v>
      </c>
      <c r="N84" s="6" t="str">
        <f>IFERROR(__xludf.DUMMYFUNCTION("""COMPUTED_VALUE"""),"stunts")</f>
        <v>stunts</v>
      </c>
      <c r="P84" s="6" t="str">
        <f>IFERROR(__xludf.DUMMYFUNCTION("""COMPUTED_VALUE"""),"hold")</f>
        <v>hold</v>
      </c>
      <c r="Q84" s="6" t="str">
        <f>IFERROR(__xludf.DUMMYFUNCTION("""COMPUTED_VALUE"""),"superb")</f>
        <v>superb</v>
      </c>
      <c r="S84" s="6" t="str">
        <f>IFERROR(__xludf.DUMMYFUNCTION("""COMPUTED_VALUE"""),"covers")</f>
        <v>covers</v>
      </c>
    </row>
    <row r="85">
      <c r="A85" s="6" t="str">
        <f>IFERROR(__xludf.DUMMYFUNCTION("""COMPUTED_VALUE"""),"gripping")</f>
        <v>gripping</v>
      </c>
      <c r="B85" s="6" t="str">
        <f>IFERROR(__xludf.DUMMYFUNCTION("""COMPUTED_VALUE"""),"loser")</f>
        <v>loser</v>
      </c>
      <c r="C85" s="6" t="str">
        <f>IFERROR(__xludf.DUMMYFUNCTION("""COMPUTED_VALUE"""),"gripping")</f>
        <v>gripping</v>
      </c>
      <c r="D85" s="6"/>
      <c r="E85" s="6" t="str">
        <f>IFERROR(__xludf.DUMMYFUNCTION("""COMPUTED_VALUE"""),"problematic")</f>
        <v>problematic</v>
      </c>
      <c r="G85" s="6" t="str">
        <f>IFERROR(__xludf.DUMMYFUNCTION("""COMPUTED_VALUE"""),"affair")</f>
        <v>affair</v>
      </c>
      <c r="H85" s="6" t="str">
        <f>IFERROR(__xludf.DUMMYFUNCTION("""COMPUTED_VALUE"""),"tribute")</f>
        <v>tribute</v>
      </c>
      <c r="I85" s="6" t="str">
        <f>IFERROR(__xludf.DUMMYFUNCTION("""COMPUTED_VALUE"""),"mystery")</f>
        <v>mystery</v>
      </c>
      <c r="J85" s="6" t="str">
        <f>IFERROR(__xludf.DUMMYFUNCTION("""COMPUTED_VALUE"""),"few")</f>
        <v>few</v>
      </c>
      <c r="L85" s="6" t="str">
        <f>IFERROR(__xludf.DUMMYFUNCTION("""COMPUTED_VALUE"""),"noir")</f>
        <v>noir</v>
      </c>
      <c r="M85" s="6" t="str">
        <f>IFERROR(__xludf.DUMMYFUNCTION("""COMPUTED_VALUE"""),"considerable")</f>
        <v>considerable</v>
      </c>
      <c r="N85" s="6" t="str">
        <f>IFERROR(__xludf.DUMMYFUNCTION("""COMPUTED_VALUE"""),"reveals")</f>
        <v>reveals</v>
      </c>
      <c r="P85" s="6" t="str">
        <f>IFERROR(__xludf.DUMMYFUNCTION("""COMPUTED_VALUE"""),"ford")</f>
        <v>ford</v>
      </c>
      <c r="Q85" s="6" t="str">
        <f>IFERROR(__xludf.DUMMYFUNCTION("""COMPUTED_VALUE"""),"horrors")</f>
        <v>horrors</v>
      </c>
      <c r="S85" s="6" t="str">
        <f>IFERROR(__xludf.DUMMYFUNCTION("""COMPUTED_VALUE"""),"game")</f>
        <v>game</v>
      </c>
    </row>
    <row r="86">
      <c r="A86" s="6" t="str">
        <f>IFERROR(__xludf.DUMMYFUNCTION("""COMPUTED_VALUE"""),"startling")</f>
        <v>startling</v>
      </c>
      <c r="B86" s="6" t="str">
        <f>IFERROR(__xludf.DUMMYFUNCTION("""COMPUTED_VALUE"""),"stretched")</f>
        <v>stretched</v>
      </c>
      <c r="C86" s="6" t="str">
        <f>IFERROR(__xludf.DUMMYFUNCTION("""COMPUTED_VALUE"""),"startling")</f>
        <v>startling</v>
      </c>
      <c r="D86" s="6"/>
      <c r="E86" s="6" t="str">
        <f>IFERROR(__xludf.DUMMYFUNCTION("""COMPUTED_VALUE"""),"drains")</f>
        <v>drains</v>
      </c>
      <c r="G86" s="6" t="str">
        <f>IFERROR(__xludf.DUMMYFUNCTION("""COMPUTED_VALUE"""),"before")</f>
        <v>before</v>
      </c>
      <c r="H86" s="6" t="str">
        <f>IFERROR(__xludf.DUMMYFUNCTION("""COMPUTED_VALUE"""),"robert")</f>
        <v>robert</v>
      </c>
      <c r="I86" s="6" t="str">
        <f>IFERROR(__xludf.DUMMYFUNCTION("""COMPUTED_VALUE"""),"em")</f>
        <v>em</v>
      </c>
      <c r="J86" s="6" t="str">
        <f>IFERROR(__xludf.DUMMYFUNCTION("""COMPUTED_VALUE"""),"endure")</f>
        <v>endure</v>
      </c>
      <c r="L86" s="6" t="str">
        <f>IFERROR(__xludf.DUMMYFUNCTION("""COMPUTED_VALUE"""),"derivative")</f>
        <v>derivative</v>
      </c>
      <c r="M86" s="6" t="str">
        <f>IFERROR(__xludf.DUMMYFUNCTION("""COMPUTED_VALUE"""),"largely")</f>
        <v>largely</v>
      </c>
      <c r="N86" s="6" t="str">
        <f>IFERROR(__xludf.DUMMYFUNCTION("""COMPUTED_VALUE"""),"talents")</f>
        <v>talents</v>
      </c>
      <c r="P86" s="6" t="str">
        <f>IFERROR(__xludf.DUMMYFUNCTION("""COMPUTED_VALUE"""),"damned")</f>
        <v>damned</v>
      </c>
      <c r="Q86" s="6" t="str">
        <f>IFERROR(__xludf.DUMMYFUNCTION("""COMPUTED_VALUE"""),"vivid")</f>
        <v>vivid</v>
      </c>
      <c r="S86" s="6" t="str">
        <f>IFERROR(__xludf.DUMMYFUNCTION("""COMPUTED_VALUE"""),"million")</f>
        <v>million</v>
      </c>
    </row>
    <row r="87">
      <c r="A87" s="6" t="str">
        <f>IFERROR(__xludf.DUMMYFUNCTION("""COMPUTED_VALUE"""),"fatal")</f>
        <v>fatal</v>
      </c>
      <c r="B87" s="6" t="str">
        <f>IFERROR(__xludf.DUMMYFUNCTION("""COMPUTED_VALUE"""),"whale")</f>
        <v>whale</v>
      </c>
      <c r="C87" s="6" t="str">
        <f>IFERROR(__xludf.DUMMYFUNCTION("""COMPUTED_VALUE"""),"fatal")</f>
        <v>fatal</v>
      </c>
      <c r="D87" s="6"/>
      <c r="E87" s="6" t="str">
        <f>IFERROR(__xludf.DUMMYFUNCTION("""COMPUTED_VALUE"""),"magnetic")</f>
        <v>magnetic</v>
      </c>
      <c r="G87" s="6" t="str">
        <f>IFERROR(__xludf.DUMMYFUNCTION("""COMPUTED_VALUE"""),"things")</f>
        <v>things</v>
      </c>
      <c r="H87" s="6" t="str">
        <f>IFERROR(__xludf.DUMMYFUNCTION("""COMPUTED_VALUE"""),"extremes")</f>
        <v>extremes</v>
      </c>
      <c r="I87" s="6" t="str">
        <f>IFERROR(__xludf.DUMMYFUNCTION("""COMPUTED_VALUE"""),"concert")</f>
        <v>concert</v>
      </c>
      <c r="J87" s="6" t="str">
        <f>IFERROR(__xludf.DUMMYFUNCTION("""COMPUTED_VALUE"""),"generates")</f>
        <v>generates</v>
      </c>
      <c r="L87" s="6" t="str">
        <f>IFERROR(__xludf.DUMMYFUNCTION("""COMPUTED_VALUE"""),"sequel")</f>
        <v>sequel</v>
      </c>
      <c r="M87" s="6" t="str">
        <f>IFERROR(__xludf.DUMMYFUNCTION("""COMPUTED_VALUE"""),"flat")</f>
        <v>flat</v>
      </c>
      <c r="N87" s="6" t="str">
        <f>IFERROR(__xludf.DUMMYFUNCTION("""COMPUTED_VALUE"""),"filmmaking")</f>
        <v>filmmaking</v>
      </c>
      <c r="P87" s="6" t="str">
        <f>IFERROR(__xludf.DUMMYFUNCTION("""COMPUTED_VALUE"""),"climate")</f>
        <v>climate</v>
      </c>
      <c r="Q87" s="6" t="str">
        <f>IFERROR(__xludf.DUMMYFUNCTION("""COMPUTED_VALUE"""),"beauty")</f>
        <v>beauty</v>
      </c>
      <c r="S87" s="6" t="str">
        <f>IFERROR(__xludf.DUMMYFUNCTION("""COMPUTED_VALUE"""),"version")</f>
        <v>version</v>
      </c>
    </row>
    <row r="88">
      <c r="A88" s="6" t="str">
        <f>IFERROR(__xludf.DUMMYFUNCTION("""COMPUTED_VALUE"""),"glossy")</f>
        <v>glossy</v>
      </c>
      <c r="B88" s="6" t="str">
        <f>IFERROR(__xludf.DUMMYFUNCTION("""COMPUTED_VALUE"""),"prejudice")</f>
        <v>prejudice</v>
      </c>
      <c r="C88" s="6" t="str">
        <f>IFERROR(__xludf.DUMMYFUNCTION("""COMPUTED_VALUE"""),"glossy")</f>
        <v>glossy</v>
      </c>
      <c r="D88" s="6"/>
      <c r="E88" s="6" t="str">
        <f>IFERROR(__xludf.DUMMYFUNCTION("""COMPUTED_VALUE"""),"monstrous")</f>
        <v>monstrous</v>
      </c>
      <c r="G88" s="6" t="str">
        <f>IFERROR(__xludf.DUMMYFUNCTION("""COMPUTED_VALUE"""),"predictable")</f>
        <v>predictable</v>
      </c>
      <c r="H88" s="6" t="str">
        <f>IFERROR(__xludf.DUMMYFUNCTION("""COMPUTED_VALUE"""),"continuum")</f>
        <v>continuum</v>
      </c>
      <c r="I88" s="6" t="str">
        <f>IFERROR(__xludf.DUMMYFUNCTION("""COMPUTED_VALUE"""),"authority")</f>
        <v>authority</v>
      </c>
      <c r="J88" s="6" t="str">
        <f>IFERROR(__xludf.DUMMYFUNCTION("""COMPUTED_VALUE"""),"historically")</f>
        <v>historically</v>
      </c>
      <c r="L88" s="6" t="str">
        <f>IFERROR(__xludf.DUMMYFUNCTION("""COMPUTED_VALUE"""),"disney")</f>
        <v>disney</v>
      </c>
      <c r="M88" s="6" t="str">
        <f>IFERROR(__xludf.DUMMYFUNCTION("""COMPUTED_VALUE"""),"thing")</f>
        <v>thing</v>
      </c>
      <c r="N88" s="6" t="str">
        <f>IFERROR(__xludf.DUMMYFUNCTION("""COMPUTED_VALUE"""),"auschwitz")</f>
        <v>auschwitz</v>
      </c>
      <c r="P88" s="6" t="str">
        <f>IFERROR(__xludf.DUMMYFUNCTION("""COMPUTED_VALUE"""),"recording")</f>
        <v>recording</v>
      </c>
      <c r="Q88" s="6" t="str">
        <f>IFERROR(__xludf.DUMMYFUNCTION("""COMPUTED_VALUE"""),"any")</f>
        <v>any</v>
      </c>
      <c r="S88" s="6" t="str">
        <f>IFERROR(__xludf.DUMMYFUNCTION("""COMPUTED_VALUE"""),"gorgeous")</f>
        <v>gorgeous</v>
      </c>
    </row>
    <row r="89">
      <c r="A89" s="6" t="str">
        <f>IFERROR(__xludf.DUMMYFUNCTION("""COMPUTED_VALUE"""),"rises")</f>
        <v>rises</v>
      </c>
      <c r="B89" s="6" t="str">
        <f>IFERROR(__xludf.DUMMYFUNCTION("""COMPUTED_VALUE"""),"lifeless")</f>
        <v>lifeless</v>
      </c>
      <c r="C89" s="6" t="str">
        <f>IFERROR(__xludf.DUMMYFUNCTION("""COMPUTED_VALUE"""),"graceful")</f>
        <v>graceful</v>
      </c>
      <c r="D89" s="6"/>
      <c r="E89" s="6" t="str">
        <f>IFERROR(__xludf.DUMMYFUNCTION("""COMPUTED_VALUE"""),"breathe")</f>
        <v>breathe</v>
      </c>
      <c r="G89" s="6" t="str">
        <f>IFERROR(__xludf.DUMMYFUNCTION("""COMPUTED_VALUE"""),"brilliant")</f>
        <v>brilliant</v>
      </c>
      <c r="H89" s="6" t="str">
        <f>IFERROR(__xludf.DUMMYFUNCTION("""COMPUTED_VALUE"""),"manages")</f>
        <v>manages</v>
      </c>
      <c r="I89" s="6" t="str">
        <f>IFERROR(__xludf.DUMMYFUNCTION("""COMPUTED_VALUE"""),"fluid")</f>
        <v>fluid</v>
      </c>
      <c r="J89" s="6" t="str">
        <f>IFERROR(__xludf.DUMMYFUNCTION("""COMPUTED_VALUE"""),"actors")</f>
        <v>actors</v>
      </c>
      <c r="L89" s="6" t="str">
        <f>IFERROR(__xludf.DUMMYFUNCTION("""COMPUTED_VALUE"""),"ambitions")</f>
        <v>ambitions</v>
      </c>
      <c r="M89" s="6" t="str">
        <f>IFERROR(__xludf.DUMMYFUNCTION("""COMPUTED_VALUE"""),"script")</f>
        <v>script</v>
      </c>
      <c r="N89" s="6" t="str">
        <f>IFERROR(__xludf.DUMMYFUNCTION("""COMPUTED_VALUE"""),"theatrical")</f>
        <v>theatrical</v>
      </c>
      <c r="P89" s="6" t="str">
        <f>IFERROR(__xludf.DUMMYFUNCTION("""COMPUTED_VALUE"""),"current")</f>
        <v>current</v>
      </c>
      <c r="Q89" s="6" t="str">
        <f>IFERROR(__xludf.DUMMYFUNCTION("""COMPUTED_VALUE"""),"beautifully")</f>
        <v>beautifully</v>
      </c>
      <c r="S89" s="6" t="str">
        <f>IFERROR(__xludf.DUMMYFUNCTION("""COMPUTED_VALUE"""),"lost")</f>
        <v>lost</v>
      </c>
    </row>
    <row r="90">
      <c r="A90" s="6" t="str">
        <f>IFERROR(__xludf.DUMMYFUNCTION("""COMPUTED_VALUE"""),"achievement")</f>
        <v>achievement</v>
      </c>
      <c r="B90" s="6" t="str">
        <f>IFERROR(__xludf.DUMMYFUNCTION("""COMPUTED_VALUE"""),"rejected")</f>
        <v>rejected</v>
      </c>
      <c r="C90" s="6" t="str">
        <f>IFERROR(__xludf.DUMMYFUNCTION("""COMPUTED_VALUE"""),"amusing")</f>
        <v>amusing</v>
      </c>
      <c r="D90" s="6"/>
      <c r="E90" s="6" t="str">
        <f>IFERROR(__xludf.DUMMYFUNCTION("""COMPUTED_VALUE"""),"asleep")</f>
        <v>asleep</v>
      </c>
      <c r="G90" s="6" t="str">
        <f>IFERROR(__xludf.DUMMYFUNCTION("""COMPUTED_VALUE"""),"emotions")</f>
        <v>emotions</v>
      </c>
      <c r="H90" s="6" t="str">
        <f>IFERROR(__xludf.DUMMYFUNCTION("""COMPUTED_VALUE"""),"intensity")</f>
        <v>intensity</v>
      </c>
      <c r="I90" s="6" t="str">
        <f>IFERROR(__xludf.DUMMYFUNCTION("""COMPUTED_VALUE"""),"uses")</f>
        <v>uses</v>
      </c>
      <c r="J90" s="6" t="str">
        <f>IFERROR(__xludf.DUMMYFUNCTION("""COMPUTED_VALUE"""),"extremes")</f>
        <v>extremes</v>
      </c>
      <c r="L90" s="6" t="str">
        <f>IFERROR(__xludf.DUMMYFUNCTION("""COMPUTED_VALUE"""),"compelling")</f>
        <v>compelling</v>
      </c>
      <c r="M90" s="6" t="str">
        <f>IFERROR(__xludf.DUMMYFUNCTION("""COMPUTED_VALUE"""),"sensitive")</f>
        <v>sensitive</v>
      </c>
      <c r="N90" s="6" t="str">
        <f>IFERROR(__xludf.DUMMYFUNCTION("""COMPUTED_VALUE"""),"faith")</f>
        <v>faith</v>
      </c>
      <c r="P90" s="6" t="str">
        <f>IFERROR(__xludf.DUMMYFUNCTION("""COMPUTED_VALUE"""),"experience")</f>
        <v>experience</v>
      </c>
      <c r="Q90" s="6" t="str">
        <f>IFERROR(__xludf.DUMMYFUNCTION("""COMPUTED_VALUE"""),"touching")</f>
        <v>touching</v>
      </c>
      <c r="S90" s="6" t="str">
        <f>IFERROR(__xludf.DUMMYFUNCTION("""COMPUTED_VALUE"""),"performance")</f>
        <v>performance</v>
      </c>
    </row>
    <row r="91">
      <c r="A91" s="6" t="str">
        <f>IFERROR(__xludf.DUMMYFUNCTION("""COMPUTED_VALUE"""),"graceful")</f>
        <v>graceful</v>
      </c>
      <c r="B91" s="6" t="str">
        <f>IFERROR(__xludf.DUMMYFUNCTION("""COMPUTED_VALUE"""),"phenomenon")</f>
        <v>phenomenon</v>
      </c>
      <c r="C91" s="6" t="str">
        <f>IFERROR(__xludf.DUMMYFUNCTION("""COMPUTED_VALUE"""),"stirring")</f>
        <v>stirring</v>
      </c>
      <c r="D91" s="6"/>
      <c r="E91" s="6" t="str">
        <f>IFERROR(__xludf.DUMMYFUNCTION("""COMPUTED_VALUE"""),"borrowed")</f>
        <v>borrowed</v>
      </c>
      <c r="G91" s="6" t="str">
        <f>IFERROR(__xludf.DUMMYFUNCTION("""COMPUTED_VALUE"""),"title")</f>
        <v>title</v>
      </c>
      <c r="H91" s="6" t="str">
        <f>IFERROR(__xludf.DUMMYFUNCTION("""COMPUTED_VALUE"""),"family")</f>
        <v>family</v>
      </c>
      <c r="I91" s="6" t="str">
        <f>IFERROR(__xludf.DUMMYFUNCTION("""COMPUTED_VALUE"""),"called")</f>
        <v>called</v>
      </c>
      <c r="J91" s="6" t="str">
        <f>IFERROR(__xludf.DUMMYFUNCTION("""COMPUTED_VALUE"""),"continuum")</f>
        <v>continuum</v>
      </c>
      <c r="L91" s="6" t="str">
        <f>IFERROR(__xludf.DUMMYFUNCTION("""COMPUTED_VALUE"""),"runs")</f>
        <v>runs</v>
      </c>
      <c r="M91" s="6" t="str">
        <f>IFERROR(__xludf.DUMMYFUNCTION("""COMPUTED_VALUE"""),"potentially")</f>
        <v>potentially</v>
      </c>
      <c r="N91" s="6" t="str">
        <f>IFERROR(__xludf.DUMMYFUNCTION("""COMPUTED_VALUE"""),"adaptation")</f>
        <v>adaptation</v>
      </c>
      <c r="P91" s="6" t="str">
        <f>IFERROR(__xludf.DUMMYFUNCTION("""COMPUTED_VALUE"""),"together")</f>
        <v>together</v>
      </c>
      <c r="Q91" s="6" t="str">
        <f>IFERROR(__xludf.DUMMYFUNCTION("""COMPUTED_VALUE"""),"subtle")</f>
        <v>subtle</v>
      </c>
      <c r="S91" s="6" t="str">
        <f>IFERROR(__xludf.DUMMYFUNCTION("""COMPUTED_VALUE"""),"touch")</f>
        <v>touch</v>
      </c>
    </row>
    <row r="92">
      <c r="A92" s="6" t="str">
        <f>IFERROR(__xludf.DUMMYFUNCTION("""COMPUTED_VALUE"""),"frantic")</f>
        <v>frantic</v>
      </c>
      <c r="B92" s="6" t="str">
        <f>IFERROR(__xludf.DUMMYFUNCTION("""COMPUTED_VALUE"""),"successfully")</f>
        <v>successfully</v>
      </c>
      <c r="C92" s="6" t="str">
        <f>IFERROR(__xludf.DUMMYFUNCTION("""COMPUTED_VALUE"""),"builds")</f>
        <v>builds</v>
      </c>
      <c r="D92" s="6"/>
      <c r="E92" s="6" t="str">
        <f>IFERROR(__xludf.DUMMYFUNCTION("""COMPUTED_VALUE"""),"creates")</f>
        <v>creates</v>
      </c>
      <c r="G92" s="6" t="str">
        <f>IFERROR(__xludf.DUMMYFUNCTION("""COMPUTED_VALUE"""),"structured")</f>
        <v>structured</v>
      </c>
      <c r="H92" s="6" t="str">
        <f>IFERROR(__xludf.DUMMYFUNCTION("""COMPUTED_VALUE"""),"flair")</f>
        <v>flair</v>
      </c>
      <c r="I92" s="6" t="str">
        <f>IFERROR(__xludf.DUMMYFUNCTION("""COMPUTED_VALUE"""),"lot")</f>
        <v>lot</v>
      </c>
      <c r="J92" s="6" t="str">
        <f>IFERROR(__xludf.DUMMYFUNCTION("""COMPUTED_VALUE"""),"manages")</f>
        <v>manages</v>
      </c>
      <c r="L92" s="6" t="str">
        <f>IFERROR(__xludf.DUMMYFUNCTION("""COMPUTED_VALUE"""),"genre")</f>
        <v>genre</v>
      </c>
      <c r="M92" s="6" t="str">
        <f>IFERROR(__xludf.DUMMYFUNCTION("""COMPUTED_VALUE"""),"expect")</f>
        <v>expect</v>
      </c>
      <c r="N92" s="6" t="str">
        <f>IFERROR(__xludf.DUMMYFUNCTION("""COMPUTED_VALUE"""),"noir")</f>
        <v>noir</v>
      </c>
      <c r="P92" s="6" t="str">
        <f>IFERROR(__xludf.DUMMYFUNCTION("""COMPUTED_VALUE"""),"sounds")</f>
        <v>sounds</v>
      </c>
      <c r="Q92" s="6" t="str">
        <f>IFERROR(__xludf.DUMMYFUNCTION("""COMPUTED_VALUE"""),"starts")</f>
        <v>starts</v>
      </c>
      <c r="S92" s="6" t="str">
        <f>IFERROR(__xludf.DUMMYFUNCTION("""COMPUTED_VALUE"""),"bringing")</f>
        <v>bringing</v>
      </c>
    </row>
    <row r="93">
      <c r="A93" s="6" t="str">
        <f>IFERROR(__xludf.DUMMYFUNCTION("""COMPUTED_VALUE"""),"amusing")</f>
        <v>amusing</v>
      </c>
      <c r="B93" s="6" t="str">
        <f>IFERROR(__xludf.DUMMYFUNCTION("""COMPUTED_VALUE"""),"transformed")</f>
        <v>transformed</v>
      </c>
      <c r="C93" s="6" t="str">
        <f>IFERROR(__xludf.DUMMYFUNCTION("""COMPUTED_VALUE"""),"flourish")</f>
        <v>flourish</v>
      </c>
      <c r="D93" s="6"/>
      <c r="E93" s="6" t="str">
        <f>IFERROR(__xludf.DUMMYFUNCTION("""COMPUTED_VALUE"""),"expresses")</f>
        <v>expresses</v>
      </c>
      <c r="G93" s="6" t="str">
        <f>IFERROR(__xludf.DUMMYFUNCTION("""COMPUTED_VALUE"""),"adventurous")</f>
        <v>adventurous</v>
      </c>
      <c r="H93" s="6" t="str">
        <f>IFERROR(__xludf.DUMMYFUNCTION("""COMPUTED_VALUE"""),"animated")</f>
        <v>animated</v>
      </c>
      <c r="I93" s="6" t="str">
        <f>IFERROR(__xludf.DUMMYFUNCTION("""COMPUTED_VALUE"""),"back")</f>
        <v>back</v>
      </c>
      <c r="J93" s="6" t="str">
        <f>IFERROR(__xludf.DUMMYFUNCTION("""COMPUTED_VALUE"""),"intensity")</f>
        <v>intensity</v>
      </c>
      <c r="L93" s="6" t="str">
        <f>IFERROR(__xludf.DUMMYFUNCTION("""COMPUTED_VALUE"""),"romance")</f>
        <v>romance</v>
      </c>
      <c r="M93" s="6" t="str">
        <f>IFERROR(__xludf.DUMMYFUNCTION("""COMPUTED_VALUE"""),"credits")</f>
        <v>credits</v>
      </c>
      <c r="N93" s="6" t="str">
        <f>IFERROR(__xludf.DUMMYFUNCTION("""COMPUTED_VALUE"""),"derivative")</f>
        <v>derivative</v>
      </c>
      <c r="P93" s="6" t="str">
        <f>IFERROR(__xludf.DUMMYFUNCTION("""COMPUTED_VALUE"""),"lack")</f>
        <v>lack</v>
      </c>
      <c r="Q93" s="6" t="str">
        <f>IFERROR(__xludf.DUMMYFUNCTION("""COMPUTED_VALUE"""),"sophisticated")</f>
        <v>sophisticated</v>
      </c>
      <c r="S93" s="6" t="str">
        <f>IFERROR(__xludf.DUMMYFUNCTION("""COMPUTED_VALUE"""),"us")</f>
        <v>us</v>
      </c>
    </row>
    <row r="94">
      <c r="A94" s="6" t="str">
        <f>IFERROR(__xludf.DUMMYFUNCTION("""COMPUTED_VALUE"""),"stirring")</f>
        <v>stirring</v>
      </c>
      <c r="B94" s="6" t="str">
        <f>IFERROR(__xludf.DUMMYFUNCTION("""COMPUTED_VALUE"""),"effectively")</f>
        <v>effectively</v>
      </c>
      <c r="C94" s="6" t="str">
        <f>IFERROR(__xludf.DUMMYFUNCTION("""COMPUTED_VALUE"""),"problematic")</f>
        <v>problematic</v>
      </c>
      <c r="D94" s="6"/>
      <c r="E94" s="6" t="str">
        <f>IFERROR(__xludf.DUMMYFUNCTION("""COMPUTED_VALUE"""),"inactive")</f>
        <v>inactive</v>
      </c>
      <c r="G94" s="6" t="str">
        <f>IFERROR(__xludf.DUMMYFUNCTION("""COMPUTED_VALUE"""),"blair")</f>
        <v>blair</v>
      </c>
      <c r="H94" s="6" t="str">
        <f>IFERROR(__xludf.DUMMYFUNCTION("""COMPUTED_VALUE"""),"alternating")</f>
        <v>alternating</v>
      </c>
      <c r="I94" s="6" t="str">
        <f>IFERROR(__xludf.DUMMYFUNCTION("""COMPUTED_VALUE"""),"forgotten")</f>
        <v>forgotten</v>
      </c>
      <c r="J94" s="6" t="str">
        <f>IFERROR(__xludf.DUMMYFUNCTION("""COMPUTED_VALUE"""),"family")</f>
        <v>family</v>
      </c>
      <c r="L94" s="6" t="str">
        <f>IFERROR(__xludf.DUMMYFUNCTION("""COMPUTED_VALUE"""),"wildly")</f>
        <v>wildly</v>
      </c>
      <c r="M94" s="6" t="str">
        <f>IFERROR(__xludf.DUMMYFUNCTION("""COMPUTED_VALUE"""),"yes")</f>
        <v>yes</v>
      </c>
      <c r="N94" s="6" t="str">
        <f>IFERROR(__xludf.DUMMYFUNCTION("""COMPUTED_VALUE"""),"sequel")</f>
        <v>sequel</v>
      </c>
      <c r="P94" s="6" t="str">
        <f>IFERROR(__xludf.DUMMYFUNCTION("""COMPUTED_VALUE"""),"carried")</f>
        <v>carried</v>
      </c>
      <c r="Q94" s="6" t="str">
        <f>IFERROR(__xludf.DUMMYFUNCTION("""COMPUTED_VALUE"""),"veins")</f>
        <v>veins</v>
      </c>
      <c r="S94" s="6" t="str">
        <f>IFERROR(__xludf.DUMMYFUNCTION("""COMPUTED_VALUE"""),"beauty")</f>
        <v>beauty</v>
      </c>
    </row>
    <row r="95">
      <c r="A95" s="6" t="str">
        <f>IFERROR(__xludf.DUMMYFUNCTION("""COMPUTED_VALUE"""),"flourish")</f>
        <v>flourish</v>
      </c>
      <c r="B95" s="6" t="str">
        <f>IFERROR(__xludf.DUMMYFUNCTION("""COMPUTED_VALUE"""),"precise")</f>
        <v>precise</v>
      </c>
      <c r="C95" s="6" t="str">
        <f>IFERROR(__xludf.DUMMYFUNCTION("""COMPUTED_VALUE"""),"drains")</f>
        <v>drains</v>
      </c>
      <c r="D95" s="6"/>
      <c r="E95" s="6" t="str">
        <f>IFERROR(__xludf.DUMMYFUNCTION("""COMPUTED_VALUE"""),"establishes")</f>
        <v>establishes</v>
      </c>
      <c r="G95" s="6" t="str">
        <f>IFERROR(__xludf.DUMMYFUNCTION("""COMPUTED_VALUE"""),"offering")</f>
        <v>offering</v>
      </c>
      <c r="H95" s="6" t="str">
        <f>IFERROR(__xludf.DUMMYFUNCTION("""COMPUTED_VALUE"""),"parody")</f>
        <v>parody</v>
      </c>
      <c r="I95" s="6" t="str">
        <f>IFERROR(__xludf.DUMMYFUNCTION("""COMPUTED_VALUE"""),"laugh")</f>
        <v>laugh</v>
      </c>
      <c r="J95" s="6" t="str">
        <f>IFERROR(__xludf.DUMMYFUNCTION("""COMPUTED_VALUE"""),"flair")</f>
        <v>flair</v>
      </c>
      <c r="L95" s="6" t="str">
        <f>IFERROR(__xludf.DUMMYFUNCTION("""COMPUTED_VALUE"""),"uneven")</f>
        <v>uneven</v>
      </c>
      <c r="M95" s="6" t="str">
        <f>IFERROR(__xludf.DUMMYFUNCTION("""COMPUTED_VALUE"""),"affair")</f>
        <v>affair</v>
      </c>
      <c r="N95" s="6" t="str">
        <f>IFERROR(__xludf.DUMMYFUNCTION("""COMPUTED_VALUE"""),"disney")</f>
        <v>disney</v>
      </c>
      <c r="P95" s="6" t="str">
        <f>IFERROR(__xludf.DUMMYFUNCTION("""COMPUTED_VALUE"""),"seem")</f>
        <v>seem</v>
      </c>
      <c r="Q95" s="6" t="str">
        <f>IFERROR(__xludf.DUMMYFUNCTION("""COMPUTED_VALUE"""),"rich")</f>
        <v>rich</v>
      </c>
      <c r="S95" s="6" t="str">
        <f>IFERROR(__xludf.DUMMYFUNCTION("""COMPUTED_VALUE"""),"bloody")</f>
        <v>bloody</v>
      </c>
    </row>
    <row r="96">
      <c r="A96" s="6" t="str">
        <f>IFERROR(__xludf.DUMMYFUNCTION("""COMPUTED_VALUE"""),"problematic")</f>
        <v>problematic</v>
      </c>
      <c r="B96" s="6" t="str">
        <f>IFERROR(__xludf.DUMMYFUNCTION("""COMPUTED_VALUE"""),"strains")</f>
        <v>strains</v>
      </c>
      <c r="C96" s="6" t="str">
        <f>IFERROR(__xludf.DUMMYFUNCTION("""COMPUTED_VALUE"""),"magnetic")</f>
        <v>magnetic</v>
      </c>
      <c r="D96" s="6"/>
      <c r="E96" s="6" t="str">
        <f>IFERROR(__xludf.DUMMYFUNCTION("""COMPUTED_VALUE"""),"clarity")</f>
        <v>clarity</v>
      </c>
      <c r="G96" s="6" t="str">
        <f>IFERROR(__xludf.DUMMYFUNCTION("""COMPUTED_VALUE"""),"exercise")</f>
        <v>exercise</v>
      </c>
      <c r="H96" s="6" t="str">
        <f>IFERROR(__xludf.DUMMYFUNCTION("""COMPUTED_VALUE"""),"android")</f>
        <v>android</v>
      </c>
      <c r="I96" s="6" t="str">
        <f>IFERROR(__xludf.DUMMYFUNCTION("""COMPUTED_VALUE"""),"car")</f>
        <v>car</v>
      </c>
      <c r="J96" s="6" t="str">
        <f>IFERROR(__xludf.DUMMYFUNCTION("""COMPUTED_VALUE"""),"animated")</f>
        <v>animated</v>
      </c>
      <c r="L96" s="6" t="str">
        <f>IFERROR(__xludf.DUMMYFUNCTION("""COMPUTED_VALUE"""),"depth")</f>
        <v>depth</v>
      </c>
      <c r="M96" s="6" t="str">
        <f>IFERROR(__xludf.DUMMYFUNCTION("""COMPUTED_VALUE"""),"feels")</f>
        <v>feels</v>
      </c>
      <c r="N96" s="6" t="str">
        <f>IFERROR(__xludf.DUMMYFUNCTION("""COMPUTED_VALUE"""),"ambitions")</f>
        <v>ambitions</v>
      </c>
      <c r="P96" s="6" t="str">
        <f>IFERROR(__xludf.DUMMYFUNCTION("""COMPUTED_VALUE"""),"history")</f>
        <v>history</v>
      </c>
      <c r="Q96" s="6" t="str">
        <f>IFERROR(__xludf.DUMMYFUNCTION("""COMPUTED_VALUE"""),"joy")</f>
        <v>joy</v>
      </c>
      <c r="S96" s="6" t="str">
        <f>IFERROR(__xludf.DUMMYFUNCTION("""COMPUTED_VALUE"""),"many")</f>
        <v>many</v>
      </c>
    </row>
    <row r="97">
      <c r="A97" s="6" t="str">
        <f>IFERROR(__xludf.DUMMYFUNCTION("""COMPUTED_VALUE"""),"magnetic")</f>
        <v>magnetic</v>
      </c>
      <c r="B97" s="6" t="str">
        <f>IFERROR(__xludf.DUMMYFUNCTION("""COMPUTED_VALUE"""),"fiercely")</f>
        <v>fiercely</v>
      </c>
      <c r="C97" s="6" t="str">
        <f>IFERROR(__xludf.DUMMYFUNCTION("""COMPUTED_VALUE"""),"monstrous")</f>
        <v>monstrous</v>
      </c>
      <c r="D97" s="6"/>
      <c r="E97" s="6" t="str">
        <f>IFERROR(__xludf.DUMMYFUNCTION("""COMPUTED_VALUE"""),"chuckle")</f>
        <v>chuckle</v>
      </c>
      <c r="G97" s="6" t="str">
        <f>IFERROR(__xludf.DUMMYFUNCTION("""COMPUTED_VALUE"""),"fascinating")</f>
        <v>fascinating</v>
      </c>
      <c r="H97" s="6" t="str">
        <f>IFERROR(__xludf.DUMMYFUNCTION("""COMPUTED_VALUE"""),"intriguing")</f>
        <v>intriguing</v>
      </c>
      <c r="I97" s="6" t="str">
        <f>IFERROR(__xludf.DUMMYFUNCTION("""COMPUTED_VALUE"""),"get")</f>
        <v>get</v>
      </c>
      <c r="J97" s="6" t="str">
        <f>IFERROR(__xludf.DUMMYFUNCTION("""COMPUTED_VALUE"""),"alternating")</f>
        <v>alternating</v>
      </c>
      <c r="L97" s="6" t="str">
        <f>IFERROR(__xludf.DUMMYFUNCTION("""COMPUTED_VALUE"""),"narrative")</f>
        <v>narrative</v>
      </c>
      <c r="M97" s="6" t="str">
        <f>IFERROR(__xludf.DUMMYFUNCTION("""COMPUTED_VALUE"""),"things")</f>
        <v>things</v>
      </c>
      <c r="N97" s="6" t="str">
        <f>IFERROR(__xludf.DUMMYFUNCTION("""COMPUTED_VALUE"""),"compelling")</f>
        <v>compelling</v>
      </c>
      <c r="P97" s="6" t="str">
        <f>IFERROR(__xludf.DUMMYFUNCTION("""COMPUTED_VALUE"""),"power")</f>
        <v>power</v>
      </c>
      <c r="Q97" s="6" t="str">
        <f>IFERROR(__xludf.DUMMYFUNCTION("""COMPUTED_VALUE"""),"shot")</f>
        <v>shot</v>
      </c>
      <c r="S97" s="6" t="str">
        <f>IFERROR(__xludf.DUMMYFUNCTION("""COMPUTED_VALUE"""),"poor")</f>
        <v>poor</v>
      </c>
    </row>
    <row r="98">
      <c r="A98" s="6" t="str">
        <f>IFERROR(__xludf.DUMMYFUNCTION("""COMPUTED_VALUE"""),"monstrous")</f>
        <v>monstrous</v>
      </c>
      <c r="B98" s="6" t="str">
        <f>IFERROR(__xludf.DUMMYFUNCTION("""COMPUTED_VALUE"""),"commands")</f>
        <v>commands</v>
      </c>
      <c r="C98" s="6" t="str">
        <f>IFERROR(__xludf.DUMMYFUNCTION("""COMPUTED_VALUE"""),"breathe")</f>
        <v>breathe</v>
      </c>
      <c r="D98" s="6"/>
      <c r="E98" s="6" t="str">
        <f>IFERROR(__xludf.DUMMYFUNCTION("""COMPUTED_VALUE"""),"commanding")</f>
        <v>commanding</v>
      </c>
      <c r="G98" s="6" t="str">
        <f>IFERROR(__xludf.DUMMYFUNCTION("""COMPUTED_VALUE"""),"martial")</f>
        <v>martial</v>
      </c>
      <c r="H98" s="6" t="str">
        <f>IFERROR(__xludf.DUMMYFUNCTION("""COMPUTED_VALUE"""),"comic")</f>
        <v>comic</v>
      </c>
      <c r="I98" s="6" t="str">
        <f>IFERROR(__xludf.DUMMYFUNCTION("""COMPUTED_VALUE"""),"dialogue")</f>
        <v>dialogue</v>
      </c>
      <c r="J98" s="6" t="str">
        <f>IFERROR(__xludf.DUMMYFUNCTION("""COMPUTED_VALUE"""),"parody")</f>
        <v>parody</v>
      </c>
      <c r="L98" s="6" t="str">
        <f>IFERROR(__xludf.DUMMYFUNCTION("""COMPUTED_VALUE"""),"amounts")</f>
        <v>amounts</v>
      </c>
      <c r="M98" s="6" t="str">
        <f>IFERROR(__xludf.DUMMYFUNCTION("""COMPUTED_VALUE"""),"brilliant")</f>
        <v>brilliant</v>
      </c>
      <c r="N98" s="6" t="str">
        <f>IFERROR(__xludf.DUMMYFUNCTION("""COMPUTED_VALUE"""),"runs")</f>
        <v>runs</v>
      </c>
      <c r="P98" s="6" t="str">
        <f>IFERROR(__xludf.DUMMYFUNCTION("""COMPUTED_VALUE"""),"help")</f>
        <v>help</v>
      </c>
      <c r="Q98" s="6" t="str">
        <f>IFERROR(__xludf.DUMMYFUNCTION("""COMPUTED_VALUE"""),"ugly")</f>
        <v>ugly</v>
      </c>
      <c r="S98" s="6" t="str">
        <f>IFERROR(__xludf.DUMMYFUNCTION("""COMPUTED_VALUE"""),"driving")</f>
        <v>driving</v>
      </c>
    </row>
    <row r="99">
      <c r="A99" s="6" t="str">
        <f>IFERROR(__xludf.DUMMYFUNCTION("""COMPUTED_VALUE"""),"borrowed")</f>
        <v>borrowed</v>
      </c>
      <c r="B99" s="6" t="str">
        <f>IFERROR(__xludf.DUMMYFUNCTION("""COMPUTED_VALUE"""),"stripped")</f>
        <v>stripped</v>
      </c>
      <c r="C99" s="6" t="str">
        <f>IFERROR(__xludf.DUMMYFUNCTION("""COMPUTED_VALUE"""),"creates")</f>
        <v>creates</v>
      </c>
      <c r="D99" s="6"/>
      <c r="E99" s="6" t="str">
        <f>IFERROR(__xludf.DUMMYFUNCTION("""COMPUTED_VALUE"""),"fabricated")</f>
        <v>fabricated</v>
      </c>
      <c r="G99" s="6" t="str">
        <f>IFERROR(__xludf.DUMMYFUNCTION("""COMPUTED_VALUE"""),"rhythms")</f>
        <v>rhythms</v>
      </c>
      <c r="H99" s="6" t="str">
        <f>IFERROR(__xludf.DUMMYFUNCTION("""COMPUTED_VALUE"""),"pulp")</f>
        <v>pulp</v>
      </c>
      <c r="I99" s="6" t="str">
        <f>IFERROR(__xludf.DUMMYFUNCTION("""COMPUTED_VALUE"""),"makeup")</f>
        <v>makeup</v>
      </c>
      <c r="J99" s="6" t="str">
        <f>IFERROR(__xludf.DUMMYFUNCTION("""COMPUTED_VALUE"""),"pulp")</f>
        <v>pulp</v>
      </c>
      <c r="L99" s="6" t="str">
        <f>IFERROR(__xludf.DUMMYFUNCTION("""COMPUTED_VALUE"""),"spectacle")</f>
        <v>spectacle</v>
      </c>
      <c r="M99" s="6" t="str">
        <f>IFERROR(__xludf.DUMMYFUNCTION("""COMPUTED_VALUE"""),"change")</f>
        <v>change</v>
      </c>
      <c r="N99" s="6" t="str">
        <f>IFERROR(__xludf.DUMMYFUNCTION("""COMPUTED_VALUE"""),"romance")</f>
        <v>romance</v>
      </c>
      <c r="P99" s="6" t="str">
        <f>IFERROR(__xludf.DUMMYFUNCTION("""COMPUTED_VALUE"""),"horror")</f>
        <v>horror</v>
      </c>
      <c r="Q99" s="6" t="str">
        <f>IFERROR(__xludf.DUMMYFUNCTION("""COMPUTED_VALUE"""),"exploration")</f>
        <v>exploration</v>
      </c>
      <c r="S99" s="6" t="str">
        <f>IFERROR(__xludf.DUMMYFUNCTION("""COMPUTED_VALUE"""),"touching")</f>
        <v>touching</v>
      </c>
    </row>
    <row r="100">
      <c r="A100" s="6" t="str">
        <f>IFERROR(__xludf.DUMMYFUNCTION("""COMPUTED_VALUE"""),"creates")</f>
        <v>creates</v>
      </c>
      <c r="B100" s="6" t="str">
        <f>IFERROR(__xludf.DUMMYFUNCTION("""COMPUTED_VALUE"""),"destructive")</f>
        <v>destructive</v>
      </c>
      <c r="C100" s="6" t="str">
        <f>IFERROR(__xludf.DUMMYFUNCTION("""COMPUTED_VALUE"""),"expresses")</f>
        <v>expresses</v>
      </c>
      <c r="D100" s="6"/>
      <c r="E100" s="6" t="str">
        <f>IFERROR(__xludf.DUMMYFUNCTION("""COMPUTED_VALUE"""),"uneasy")</f>
        <v>uneasy</v>
      </c>
      <c r="G100" s="6" t="str">
        <f>IFERROR(__xludf.DUMMYFUNCTION("""COMPUTED_VALUE"""),"slick")</f>
        <v>slick</v>
      </c>
      <c r="H100" s="6" t="str">
        <f>IFERROR(__xludf.DUMMYFUNCTION("""COMPUTED_VALUE"""),"difference")</f>
        <v>difference</v>
      </c>
      <c r="I100" s="6" t="str">
        <f>IFERROR(__xludf.DUMMYFUNCTION("""COMPUTED_VALUE"""),"brings")</f>
        <v>brings</v>
      </c>
      <c r="J100" s="6" t="str">
        <f>IFERROR(__xludf.DUMMYFUNCTION("""COMPUTED_VALUE"""),"difference")</f>
        <v>difference</v>
      </c>
      <c r="L100" s="6" t="str">
        <f>IFERROR(__xludf.DUMMYFUNCTION("""COMPUTED_VALUE"""),"fans")</f>
        <v>fans</v>
      </c>
      <c r="M100" s="6" t="str">
        <f>IFERROR(__xludf.DUMMYFUNCTION("""COMPUTED_VALUE"""),"length")</f>
        <v>length</v>
      </c>
      <c r="N100" s="6" t="str">
        <f>IFERROR(__xludf.DUMMYFUNCTION("""COMPUTED_VALUE"""),"wildly")</f>
        <v>wildly</v>
      </c>
      <c r="P100" s="6" t="str">
        <f>IFERROR(__xludf.DUMMYFUNCTION("""COMPUTED_VALUE"""),"life")</f>
        <v>life</v>
      </c>
      <c r="Q100" s="6" t="str">
        <f>IFERROR(__xludf.DUMMYFUNCTION("""COMPUTED_VALUE"""),"emptiness")</f>
        <v>emptiness</v>
      </c>
      <c r="S100" s="6" t="str">
        <f>IFERROR(__xludf.DUMMYFUNCTION("""COMPUTED_VALUE"""),"starts")</f>
        <v>starts</v>
      </c>
    </row>
    <row r="101">
      <c r="A101" s="6" t="str">
        <f>IFERROR(__xludf.DUMMYFUNCTION("""COMPUTED_VALUE"""),"expresses")</f>
        <v>expresses</v>
      </c>
      <c r="C101" s="6" t="str">
        <f>IFERROR(__xludf.DUMMYFUNCTION("""COMPUTED_VALUE"""),"inactive")</f>
        <v>inactive</v>
      </c>
      <c r="D101" s="6"/>
      <c r="E101" s="6" t="str">
        <f>IFERROR(__xludf.DUMMYFUNCTION("""COMPUTED_VALUE"""),"precisely")</f>
        <v>precisely</v>
      </c>
      <c r="G101" s="6" t="str">
        <f>IFERROR(__xludf.DUMMYFUNCTION("""COMPUTED_VALUE"""),"actresses")</f>
        <v>actresses</v>
      </c>
      <c r="H101" s="6" t="str">
        <f>IFERROR(__xludf.DUMMYFUNCTION("""COMPUTED_VALUE"""),"artworks")</f>
        <v>artworks</v>
      </c>
      <c r="I101" s="6" t="str">
        <f>IFERROR(__xludf.DUMMYFUNCTION("""COMPUTED_VALUE"""),"proper")</f>
        <v>proper</v>
      </c>
      <c r="J101" s="6" t="str">
        <f>IFERROR(__xludf.DUMMYFUNCTION("""COMPUTED_VALUE"""),"artworks")</f>
        <v>artworks</v>
      </c>
      <c r="L101" s="6" t="str">
        <f>IFERROR(__xludf.DUMMYFUNCTION("""COMPUTED_VALUE"""),"dramas")</f>
        <v>dramas</v>
      </c>
      <c r="M101" s="6" t="str">
        <f>IFERROR(__xludf.DUMMYFUNCTION("""COMPUTED_VALUE"""),"respect")</f>
        <v>respect</v>
      </c>
      <c r="N101" s="6" t="str">
        <f>IFERROR(__xludf.DUMMYFUNCTION("""COMPUTED_VALUE"""),"uneven")</f>
        <v>uneven</v>
      </c>
      <c r="P101" s="6" t="str">
        <f>IFERROR(__xludf.DUMMYFUNCTION("""COMPUTED_VALUE"""),"historically")</f>
        <v>historically</v>
      </c>
      <c r="Q101" s="6" t="str">
        <f>IFERROR(__xludf.DUMMYFUNCTION("""COMPUTED_VALUE"""),"relentless")</f>
        <v>relentless</v>
      </c>
      <c r="S101" s="6" t="str">
        <f>IFERROR(__xludf.DUMMYFUNCTION("""COMPUTED_VALUE"""),"legend")</f>
        <v>legend</v>
      </c>
    </row>
    <row r="102">
      <c r="A102" s="6" t="str">
        <f>IFERROR(__xludf.DUMMYFUNCTION("""COMPUTED_VALUE"""),"inactive")</f>
        <v>inactive</v>
      </c>
      <c r="C102" s="6" t="str">
        <f>IFERROR(__xludf.DUMMYFUNCTION("""COMPUTED_VALUE"""),"establishes")</f>
        <v>establishes</v>
      </c>
      <c r="D102" s="6"/>
      <c r="E102" s="6" t="str">
        <f>IFERROR(__xludf.DUMMYFUNCTION("""COMPUTED_VALUE"""),"stalls")</f>
        <v>stalls</v>
      </c>
      <c r="G102" s="6" t="str">
        <f>IFERROR(__xludf.DUMMYFUNCTION("""COMPUTED_VALUE"""),"hugh")</f>
        <v>hugh</v>
      </c>
      <c r="H102" s="6" t="str">
        <f>IFERROR(__xludf.DUMMYFUNCTION("""COMPUTED_VALUE"""),"washington")</f>
        <v>washington</v>
      </c>
      <c r="I102" s="6" t="str">
        <f>IFERROR(__xludf.DUMMYFUNCTION("""COMPUTED_VALUE"""),"role")</f>
        <v>role</v>
      </c>
      <c r="J102" s="6" t="str">
        <f>IFERROR(__xludf.DUMMYFUNCTION("""COMPUTED_VALUE"""),"explore")</f>
        <v>explore</v>
      </c>
      <c r="L102" s="6" t="str">
        <f>IFERROR(__xludf.DUMMYFUNCTION("""COMPUTED_VALUE"""),"translation")</f>
        <v>translation</v>
      </c>
      <c r="M102" s="6" t="str">
        <f>IFERROR(__xludf.DUMMYFUNCTION("""COMPUTED_VALUE"""),"emotions")</f>
        <v>emotions</v>
      </c>
      <c r="N102" s="6" t="str">
        <f>IFERROR(__xludf.DUMMYFUNCTION("""COMPUTED_VALUE"""),"want")</f>
        <v>want</v>
      </c>
      <c r="P102" s="6" t="str">
        <f>IFERROR(__xludf.DUMMYFUNCTION("""COMPUTED_VALUE"""),"significant")</f>
        <v>significant</v>
      </c>
      <c r="Q102" s="6" t="str">
        <f>IFERROR(__xludf.DUMMYFUNCTION("""COMPUTED_VALUE"""),"hold")</f>
        <v>hold</v>
      </c>
      <c r="S102" s="6" t="str">
        <f>IFERROR(__xludf.DUMMYFUNCTION("""COMPUTED_VALUE"""),"rich")</f>
        <v>rich</v>
      </c>
    </row>
    <row r="103">
      <c r="A103" s="6" t="str">
        <f>IFERROR(__xludf.DUMMYFUNCTION("""COMPUTED_VALUE"""),"establishes")</f>
        <v>establishes</v>
      </c>
      <c r="C103" s="6" t="str">
        <f>IFERROR(__xludf.DUMMYFUNCTION("""COMPUTED_VALUE"""),"lavish")</f>
        <v>lavish</v>
      </c>
      <c r="D103" s="6"/>
      <c r="E103" s="6" t="str">
        <f>IFERROR(__xludf.DUMMYFUNCTION("""COMPUTED_VALUE"""),"jerking")</f>
        <v>jerking</v>
      </c>
      <c r="G103" s="6" t="str">
        <f>IFERROR(__xludf.DUMMYFUNCTION("""COMPUTED_VALUE"""),"grant")</f>
        <v>grant</v>
      </c>
      <c r="H103" s="6" t="str">
        <f>IFERROR(__xludf.DUMMYFUNCTION("""COMPUTED_VALUE"""),"images")</f>
        <v>images</v>
      </c>
      <c r="I103" s="6" t="str">
        <f>IFERROR(__xludf.DUMMYFUNCTION("""COMPUTED_VALUE"""),"artist")</f>
        <v>artist</v>
      </c>
      <c r="J103" s="6" t="str">
        <f>IFERROR(__xludf.DUMMYFUNCTION("""COMPUTED_VALUE"""),"long")</f>
        <v>long</v>
      </c>
      <c r="L103" s="6" t="str">
        <f>IFERROR(__xludf.DUMMYFUNCTION("""COMPUTED_VALUE"""),"considerable")</f>
        <v>considerable</v>
      </c>
      <c r="M103" s="6" t="str">
        <f>IFERROR(__xludf.DUMMYFUNCTION("""COMPUTED_VALUE"""),"title")</f>
        <v>title</v>
      </c>
      <c r="N103" s="6" t="str">
        <f>IFERROR(__xludf.DUMMYFUNCTION("""COMPUTED_VALUE"""),"depth")</f>
        <v>depth</v>
      </c>
      <c r="P103" s="6" t="b">
        <f>IFERROR(__xludf.DUMMYFUNCTION("""COMPUTED_VALUE"""),TRUE)</f>
        <v>1</v>
      </c>
      <c r="Q103" s="6" t="str">
        <f>IFERROR(__xludf.DUMMYFUNCTION("""COMPUTED_VALUE"""),"mergers")</f>
        <v>mergers</v>
      </c>
      <c r="S103" s="6" t="str">
        <f>IFERROR(__xludf.DUMMYFUNCTION("""COMPUTED_VALUE"""),"veins")</f>
        <v>veins</v>
      </c>
    </row>
    <row r="104">
      <c r="A104" s="6" t="str">
        <f>IFERROR(__xludf.DUMMYFUNCTION("""COMPUTED_VALUE"""),"lavish")</f>
        <v>lavish</v>
      </c>
      <c r="C104" s="6" t="str">
        <f>IFERROR(__xludf.DUMMYFUNCTION("""COMPUTED_VALUE"""),"reduces")</f>
        <v>reduces</v>
      </c>
      <c r="D104" s="6"/>
      <c r="E104" s="6" t="str">
        <f>IFERROR(__xludf.DUMMYFUNCTION("""COMPUTED_VALUE"""),"harmless")</f>
        <v>harmless</v>
      </c>
      <c r="G104" s="6" t="str">
        <f>IFERROR(__xludf.DUMMYFUNCTION("""COMPUTED_VALUE"""),"insight")</f>
        <v>insight</v>
      </c>
      <c r="H104" s="6" t="str">
        <f>IFERROR(__xludf.DUMMYFUNCTION("""COMPUTED_VALUE"""),"eyes")</f>
        <v>eyes</v>
      </c>
      <c r="I104" s="6" t="str">
        <f>IFERROR(__xludf.DUMMYFUNCTION("""COMPUTED_VALUE"""),"similar")</f>
        <v>similar</v>
      </c>
      <c r="J104" s="6" t="str">
        <f>IFERROR(__xludf.DUMMYFUNCTION("""COMPUTED_VALUE"""),"images")</f>
        <v>images</v>
      </c>
      <c r="L104" s="6" t="str">
        <f>IFERROR(__xludf.DUMMYFUNCTION("""COMPUTED_VALUE"""),"flashes")</f>
        <v>flashes</v>
      </c>
      <c r="M104" s="6" t="str">
        <f>IFERROR(__xludf.DUMMYFUNCTION("""COMPUTED_VALUE"""),"produced")</f>
        <v>produced</v>
      </c>
      <c r="N104" s="6" t="str">
        <f>IFERROR(__xludf.DUMMYFUNCTION("""COMPUTED_VALUE"""),"hit")</f>
        <v>hit</v>
      </c>
      <c r="P104" s="6" t="str">
        <f>IFERROR(__xludf.DUMMYFUNCTION("""COMPUTED_VALUE"""),"tribute")</f>
        <v>tribute</v>
      </c>
      <c r="Q104" s="6" t="str">
        <f>IFERROR(__xludf.DUMMYFUNCTION("""COMPUTED_VALUE"""),"climate")</f>
        <v>climate</v>
      </c>
      <c r="S104" s="6" t="str">
        <f>IFERROR(__xludf.DUMMYFUNCTION("""COMPUTED_VALUE"""),"joy")</f>
        <v>joy</v>
      </c>
    </row>
    <row r="105">
      <c r="A105" s="6" t="str">
        <f>IFERROR(__xludf.DUMMYFUNCTION("""COMPUTED_VALUE"""),"reduces")</f>
        <v>reduces</v>
      </c>
      <c r="C105" s="6" t="str">
        <f>IFERROR(__xludf.DUMMYFUNCTION("""COMPUTED_VALUE"""),"clarity")</f>
        <v>clarity</v>
      </c>
      <c r="D105" s="6"/>
      <c r="E105" s="6" t="str">
        <f>IFERROR(__xludf.DUMMYFUNCTION("""COMPUTED_VALUE"""),"adequately")</f>
        <v>adequately</v>
      </c>
      <c r="G105" s="6" t="str">
        <f>IFERROR(__xludf.DUMMYFUNCTION("""COMPUTED_VALUE"""),"celebration")</f>
        <v>celebration</v>
      </c>
      <c r="H105" s="6" t="str">
        <f>IFERROR(__xludf.DUMMYFUNCTION("""COMPUTED_VALUE"""),"tear")</f>
        <v>tear</v>
      </c>
      <c r="I105" s="6" t="str">
        <f>IFERROR(__xludf.DUMMYFUNCTION("""COMPUTED_VALUE"""),"collapse")</f>
        <v>collapse</v>
      </c>
      <c r="J105" s="6" t="str">
        <f>IFERROR(__xludf.DUMMYFUNCTION("""COMPUTED_VALUE"""),"eyes")</f>
        <v>eyes</v>
      </c>
      <c r="L105" s="6" t="str">
        <f>IFERROR(__xludf.DUMMYFUNCTION("""COMPUTED_VALUE"""),"script")</f>
        <v>script</v>
      </c>
      <c r="M105" s="6" t="str">
        <f>IFERROR(__xludf.DUMMYFUNCTION("""COMPUTED_VALUE"""),"jerry")</f>
        <v>jerry</v>
      </c>
      <c r="N105" s="6" t="str">
        <f>IFERROR(__xludf.DUMMYFUNCTION("""COMPUTED_VALUE"""),"narrative")</f>
        <v>narrative</v>
      </c>
      <c r="P105" s="6" t="str">
        <f>IFERROR(__xludf.DUMMYFUNCTION("""COMPUTED_VALUE"""),"first")</f>
        <v>first</v>
      </c>
      <c r="Q105" s="6" t="str">
        <f>IFERROR(__xludf.DUMMYFUNCTION("""COMPUTED_VALUE"""),"recording")</f>
        <v>recording</v>
      </c>
      <c r="S105" s="6" t="str">
        <f>IFERROR(__xludf.DUMMYFUNCTION("""COMPUTED_VALUE"""),"shot")</f>
        <v>shot</v>
      </c>
    </row>
    <row r="106">
      <c r="A106" s="6" t="str">
        <f>IFERROR(__xludf.DUMMYFUNCTION("""COMPUTED_VALUE"""),"sympathetic")</f>
        <v>sympathetic</v>
      </c>
      <c r="C106" s="6" t="str">
        <f>IFERROR(__xludf.DUMMYFUNCTION("""COMPUTED_VALUE"""),"chuckle")</f>
        <v>chuckle</v>
      </c>
      <c r="D106" s="6"/>
      <c r="E106" s="6" t="str">
        <f>IFERROR(__xludf.DUMMYFUNCTION("""COMPUTED_VALUE"""),"eerie")</f>
        <v>eerie</v>
      </c>
      <c r="G106" s="6" t="str">
        <f>IFERROR(__xludf.DUMMYFUNCTION("""COMPUTED_VALUE"""),"metaphor")</f>
        <v>metaphor</v>
      </c>
      <c r="H106" s="6" t="str">
        <f>IFERROR(__xludf.DUMMYFUNCTION("""COMPUTED_VALUE"""),"cinematic")</f>
        <v>cinematic</v>
      </c>
      <c r="I106" s="6" t="str">
        <f>IFERROR(__xludf.DUMMYFUNCTION("""COMPUTED_VALUE"""),"tool")</f>
        <v>tool</v>
      </c>
      <c r="J106" s="6" t="str">
        <f>IFERROR(__xludf.DUMMYFUNCTION("""COMPUTED_VALUE"""),"tear")</f>
        <v>tear</v>
      </c>
      <c r="L106" s="6" t="str">
        <f>IFERROR(__xludf.DUMMYFUNCTION("""COMPUTED_VALUE"""),"sensitive")</f>
        <v>sensitive</v>
      </c>
      <c r="M106" s="6" t="str">
        <f>IFERROR(__xludf.DUMMYFUNCTION("""COMPUTED_VALUE"""),"offering")</f>
        <v>offering</v>
      </c>
      <c r="N106" s="6" t="str">
        <f>IFERROR(__xludf.DUMMYFUNCTION("""COMPUTED_VALUE"""),"amounts")</f>
        <v>amounts</v>
      </c>
      <c r="P106" s="6" t="str">
        <f>IFERROR(__xludf.DUMMYFUNCTION("""COMPUTED_VALUE"""),"two")</f>
        <v>two</v>
      </c>
      <c r="Q106" s="6" t="str">
        <f>IFERROR(__xludf.DUMMYFUNCTION("""COMPUTED_VALUE"""),"current")</f>
        <v>current</v>
      </c>
      <c r="S106" s="6" t="str">
        <f>IFERROR(__xludf.DUMMYFUNCTION("""COMPUTED_VALUE"""),"digital")</f>
        <v>digital</v>
      </c>
    </row>
    <row r="107">
      <c r="A107" s="6" t="str">
        <f>IFERROR(__xludf.DUMMYFUNCTION("""COMPUTED_VALUE"""),"clarity")</f>
        <v>clarity</v>
      </c>
      <c r="C107" s="6" t="str">
        <f>IFERROR(__xludf.DUMMYFUNCTION("""COMPUTED_VALUE"""),"commanding")</f>
        <v>commanding</v>
      </c>
      <c r="D107" s="6"/>
      <c r="E107" s="6" t="str">
        <f>IFERROR(__xludf.DUMMYFUNCTION("""COMPUTED_VALUE"""),"racist")</f>
        <v>racist</v>
      </c>
      <c r="G107" s="6" t="str">
        <f>IFERROR(__xludf.DUMMYFUNCTION("""COMPUTED_VALUE"""),"resonance")</f>
        <v>resonance</v>
      </c>
      <c r="H107" s="6" t="str">
        <f>IFERROR(__xludf.DUMMYFUNCTION("""COMPUTED_VALUE"""),"addition")</f>
        <v>addition</v>
      </c>
      <c r="I107" s="6" t="str">
        <f>IFERROR(__xludf.DUMMYFUNCTION("""COMPUTED_VALUE"""),"excuse")</f>
        <v>excuse</v>
      </c>
      <c r="J107" s="6" t="str">
        <f>IFERROR(__xludf.DUMMYFUNCTION("""COMPUTED_VALUE"""),"cinematic")</f>
        <v>cinematic</v>
      </c>
      <c r="L107" s="6" t="str">
        <f>IFERROR(__xludf.DUMMYFUNCTION("""COMPUTED_VALUE"""),"pacing")</f>
        <v>pacing</v>
      </c>
      <c r="M107" s="6" t="str">
        <f>IFERROR(__xludf.DUMMYFUNCTION("""COMPUTED_VALUE"""),"somehow")</f>
        <v>somehow</v>
      </c>
      <c r="N107" s="6" t="str">
        <f>IFERROR(__xludf.DUMMYFUNCTION("""COMPUTED_VALUE"""),"spectacle")</f>
        <v>spectacle</v>
      </c>
      <c r="P107" s="6" t="str">
        <f>IFERROR(__xludf.DUMMYFUNCTION("""COMPUTED_VALUE"""),"enough")</f>
        <v>enough</v>
      </c>
      <c r="Q107" s="6" t="str">
        <f>IFERROR(__xludf.DUMMYFUNCTION("""COMPUTED_VALUE"""),"storylines")</f>
        <v>storylines</v>
      </c>
      <c r="S107" s="6" t="str">
        <f>IFERROR(__xludf.DUMMYFUNCTION("""COMPUTED_VALUE"""),"ugly")</f>
        <v>ugly</v>
      </c>
    </row>
    <row r="108">
      <c r="A108" s="6" t="str">
        <f>IFERROR(__xludf.DUMMYFUNCTION("""COMPUTED_VALUE"""),"chuckle")</f>
        <v>chuckle</v>
      </c>
      <c r="C108" s="6" t="str">
        <f>IFERROR(__xludf.DUMMYFUNCTION("""COMPUTED_VALUE"""),"fabricated")</f>
        <v>fabricated</v>
      </c>
      <c r="D108" s="6"/>
      <c r="E108" s="6" t="str">
        <f>IFERROR(__xludf.DUMMYFUNCTION("""COMPUTED_VALUE"""),"confident")</f>
        <v>confident</v>
      </c>
      <c r="G108" s="6" t="str">
        <f>IFERROR(__xludf.DUMMYFUNCTION("""COMPUTED_VALUE"""),"viewers")</f>
        <v>viewers</v>
      </c>
      <c r="H108" s="6" t="str">
        <f>IFERROR(__xludf.DUMMYFUNCTION("""COMPUTED_VALUE"""),"generally")</f>
        <v>generally</v>
      </c>
      <c r="I108" s="6" t="str">
        <f>IFERROR(__xludf.DUMMYFUNCTION("""COMPUTED_VALUE"""),"effective")</f>
        <v>effective</v>
      </c>
      <c r="J108" s="6" t="str">
        <f>IFERROR(__xludf.DUMMYFUNCTION("""COMPUTED_VALUE"""),"addition")</f>
        <v>addition</v>
      </c>
      <c r="L108" s="6" t="str">
        <f>IFERROR(__xludf.DUMMYFUNCTION("""COMPUTED_VALUE"""),"yes")</f>
        <v>yes</v>
      </c>
      <c r="M108" s="6" t="str">
        <f>IFERROR(__xludf.DUMMYFUNCTION("""COMPUTED_VALUE"""),"exercise")</f>
        <v>exercise</v>
      </c>
      <c r="N108" s="6" t="str">
        <f>IFERROR(__xludf.DUMMYFUNCTION("""COMPUTED_VALUE"""),"dramas")</f>
        <v>dramas</v>
      </c>
      <c r="P108" s="6" t="str">
        <f>IFERROR(__xludf.DUMMYFUNCTION("""COMPUTED_VALUE"""),"throw")</f>
        <v>throw</v>
      </c>
      <c r="Q108" s="6" t="str">
        <f>IFERROR(__xludf.DUMMYFUNCTION("""COMPUTED_VALUE"""),"woven")</f>
        <v>woven</v>
      </c>
      <c r="S108" s="6" t="str">
        <f>IFERROR(__xludf.DUMMYFUNCTION("""COMPUTED_VALUE"""),"ending")</f>
        <v>ending</v>
      </c>
    </row>
    <row r="109">
      <c r="A109" s="6" t="str">
        <f>IFERROR(__xludf.DUMMYFUNCTION("""COMPUTED_VALUE"""),"commanding")</f>
        <v>commanding</v>
      </c>
      <c r="C109" s="6" t="str">
        <f>IFERROR(__xludf.DUMMYFUNCTION("""COMPUTED_VALUE"""),"uneasy")</f>
        <v>uneasy</v>
      </c>
      <c r="D109" s="6"/>
      <c r="E109" s="6" t="str">
        <f>IFERROR(__xludf.DUMMYFUNCTION("""COMPUTED_VALUE"""),"hollow")</f>
        <v>hollow</v>
      </c>
      <c r="G109" s="6" t="str">
        <f>IFERROR(__xludf.DUMMYFUNCTION("""COMPUTED_VALUE"""),"format")</f>
        <v>format</v>
      </c>
      <c r="H109" s="6" t="str">
        <f>IFERROR(__xludf.DUMMYFUNCTION("""COMPUTED_VALUE"""),"mystery")</f>
        <v>mystery</v>
      </c>
      <c r="I109" s="6" t="str">
        <f>IFERROR(__xludf.DUMMYFUNCTION("""COMPUTED_VALUE"""),"community")</f>
        <v>community</v>
      </c>
      <c r="J109" s="6" t="str">
        <f>IFERROR(__xludf.DUMMYFUNCTION("""COMPUTED_VALUE"""),"titles")</f>
        <v>titles</v>
      </c>
      <c r="L109" s="6" t="str">
        <f>IFERROR(__xludf.DUMMYFUNCTION("""COMPUTED_VALUE"""),"affair")</f>
        <v>affair</v>
      </c>
      <c r="M109" s="6" t="str">
        <f>IFERROR(__xludf.DUMMYFUNCTION("""COMPUTED_VALUE"""),"borders")</f>
        <v>borders</v>
      </c>
      <c r="N109" s="6" t="str">
        <f>IFERROR(__xludf.DUMMYFUNCTION("""COMPUTED_VALUE"""),"considerable")</f>
        <v>considerable</v>
      </c>
      <c r="P109" s="6" t="str">
        <f>IFERROR(__xludf.DUMMYFUNCTION("""COMPUTED_VALUE"""),"robert")</f>
        <v>robert</v>
      </c>
      <c r="Q109" s="6" t="str">
        <f>IFERROR(__xludf.DUMMYFUNCTION("""COMPUTED_VALUE"""),"experience")</f>
        <v>experience</v>
      </c>
      <c r="S109" s="6" t="str">
        <f>IFERROR(__xludf.DUMMYFUNCTION("""COMPUTED_VALUE"""),"exploration")</f>
        <v>exploration</v>
      </c>
    </row>
    <row r="110">
      <c r="A110" s="6" t="str">
        <f>IFERROR(__xludf.DUMMYFUNCTION("""COMPUTED_VALUE"""),"fabricated")</f>
        <v>fabricated</v>
      </c>
      <c r="C110" s="6" t="str">
        <f>IFERROR(__xludf.DUMMYFUNCTION("""COMPUTED_VALUE"""),"precisely")</f>
        <v>precisely</v>
      </c>
      <c r="D110" s="6"/>
      <c r="E110" s="6" t="str">
        <f>IFERROR(__xludf.DUMMYFUNCTION("""COMPUTED_VALUE"""),"sensual")</f>
        <v>sensual</v>
      </c>
      <c r="G110" s="6" t="str">
        <f>IFERROR(__xludf.DUMMYFUNCTION("""COMPUTED_VALUE"""),"drama")</f>
        <v>drama</v>
      </c>
      <c r="H110" s="6">
        <f>IFERROR(__xludf.DUMMYFUNCTION("""COMPUTED_VALUE"""),3000.0)</f>
        <v>3000</v>
      </c>
      <c r="I110" s="6" t="str">
        <f>IFERROR(__xludf.DUMMYFUNCTION("""COMPUTED_VALUE"""),"tradition")</f>
        <v>tradition</v>
      </c>
      <c r="J110" s="6" t="str">
        <f>IFERROR(__xludf.DUMMYFUNCTION("""COMPUTED_VALUE"""),"down")</f>
        <v>down</v>
      </c>
      <c r="L110" s="6" t="str">
        <f>IFERROR(__xludf.DUMMYFUNCTION("""COMPUTED_VALUE"""),"predictable")</f>
        <v>predictable</v>
      </c>
      <c r="M110" s="6" t="str">
        <f>IFERROR(__xludf.DUMMYFUNCTION("""COMPUTED_VALUE"""),"martial")</f>
        <v>martial</v>
      </c>
      <c r="N110" s="6" t="str">
        <f>IFERROR(__xludf.DUMMYFUNCTION("""COMPUTED_VALUE"""),"largely")</f>
        <v>largely</v>
      </c>
      <c r="P110" s="6" t="str">
        <f>IFERROR(__xludf.DUMMYFUNCTION("""COMPUTED_VALUE"""),"intensity")</f>
        <v>intensity</v>
      </c>
      <c r="Q110" s="6" t="str">
        <f>IFERROR(__xludf.DUMMYFUNCTION("""COMPUTED_VALUE"""),"empathy")</f>
        <v>empathy</v>
      </c>
      <c r="S110" s="6" t="str">
        <f>IFERROR(__xludf.DUMMYFUNCTION("""COMPUTED_VALUE"""),"though")</f>
        <v>though</v>
      </c>
    </row>
    <row r="111">
      <c r="A111" s="6" t="str">
        <f>IFERROR(__xludf.DUMMYFUNCTION("""COMPUTED_VALUE"""),"uneasy")</f>
        <v>uneasy</v>
      </c>
      <c r="C111" s="6" t="str">
        <f>IFERROR(__xludf.DUMMYFUNCTION("""COMPUTED_VALUE"""),"jerking")</f>
        <v>jerking</v>
      </c>
      <c r="D111" s="6"/>
      <c r="E111" s="6" t="str">
        <f>IFERROR(__xludf.DUMMYFUNCTION("""COMPUTED_VALUE"""),"cerebral")</f>
        <v>cerebral</v>
      </c>
      <c r="G111" s="6" t="str">
        <f>IFERROR(__xludf.DUMMYFUNCTION("""COMPUTED_VALUE"""),"haunting")</f>
        <v>haunting</v>
      </c>
      <c r="H111" s="6" t="str">
        <f>IFERROR(__xludf.DUMMYFUNCTION("""COMPUTED_VALUE"""),"em")</f>
        <v>em</v>
      </c>
      <c r="I111" s="6" t="str">
        <f>IFERROR(__xludf.DUMMYFUNCTION("""COMPUTED_VALUE"""),"set")</f>
        <v>set</v>
      </c>
      <c r="J111" s="6" t="str">
        <f>IFERROR(__xludf.DUMMYFUNCTION("""COMPUTED_VALUE"""),"mystery")</f>
        <v>mystery</v>
      </c>
      <c r="L111" s="6" t="str">
        <f>IFERROR(__xludf.DUMMYFUNCTION("""COMPUTED_VALUE"""),"brilliant")</f>
        <v>brilliant</v>
      </c>
      <c r="M111" s="6" t="str">
        <f>IFERROR(__xludf.DUMMYFUNCTION("""COMPUTED_VALUE"""),"filmed")</f>
        <v>filmed</v>
      </c>
      <c r="N111" s="6" t="str">
        <f>IFERROR(__xludf.DUMMYFUNCTION("""COMPUTED_VALUE"""),"thing")</f>
        <v>thing</v>
      </c>
      <c r="P111" s="6" t="str">
        <f>IFERROR(__xludf.DUMMYFUNCTION("""COMPUTED_VALUE"""),"manages")</f>
        <v>manages</v>
      </c>
      <c r="Q111" s="6" t="str">
        <f>IFERROR(__xludf.DUMMYFUNCTION("""COMPUTED_VALUE"""),"cruel")</f>
        <v>cruel</v>
      </c>
      <c r="S111" s="6" t="str">
        <f>IFERROR(__xludf.DUMMYFUNCTION("""COMPUTED_VALUE"""),"hold")</f>
        <v>hold</v>
      </c>
    </row>
    <row r="112">
      <c r="A112" s="6" t="str">
        <f>IFERROR(__xludf.DUMMYFUNCTION("""COMPUTED_VALUE"""),"precisely")</f>
        <v>precisely</v>
      </c>
      <c r="C112" s="6" t="str">
        <f>IFERROR(__xludf.DUMMYFUNCTION("""COMPUTED_VALUE"""),"harmless")</f>
        <v>harmless</v>
      </c>
      <c r="D112" s="6"/>
      <c r="E112" s="6" t="str">
        <f>IFERROR(__xludf.DUMMYFUNCTION("""COMPUTED_VALUE"""),"glued")</f>
        <v>glued</v>
      </c>
      <c r="G112" s="6" t="str">
        <f>IFERROR(__xludf.DUMMYFUNCTION("""COMPUTED_VALUE"""),"debut")</f>
        <v>debut</v>
      </c>
      <c r="H112" s="6" t="str">
        <f>IFERROR(__xludf.DUMMYFUNCTION("""COMPUTED_VALUE"""),"fluid")</f>
        <v>fluid</v>
      </c>
      <c r="I112" s="6" t="str">
        <f>IFERROR(__xludf.DUMMYFUNCTION("""COMPUTED_VALUE"""),"roll")</f>
        <v>roll</v>
      </c>
      <c r="J112" s="6" t="str">
        <f>IFERROR(__xludf.DUMMYFUNCTION("""COMPUTED_VALUE"""),"em")</f>
        <v>em</v>
      </c>
      <c r="L112" s="6" t="str">
        <f>IFERROR(__xludf.DUMMYFUNCTION("""COMPUTED_VALUE"""),"emotions")</f>
        <v>emotions</v>
      </c>
      <c r="M112" s="6" t="str">
        <f>IFERROR(__xludf.DUMMYFUNCTION("""COMPUTED_VALUE"""),"take")</f>
        <v>take</v>
      </c>
      <c r="N112" s="6" t="str">
        <f>IFERROR(__xludf.DUMMYFUNCTION("""COMPUTED_VALUE"""),"flashes")</f>
        <v>flashes</v>
      </c>
      <c r="P112" s="6" t="str">
        <f>IFERROR(__xludf.DUMMYFUNCTION("""COMPUTED_VALUE"""),"family")</f>
        <v>family</v>
      </c>
      <c r="Q112" s="6" t="str">
        <f>IFERROR(__xludf.DUMMYFUNCTION("""COMPUTED_VALUE"""),"deception")</f>
        <v>deception</v>
      </c>
      <c r="S112" s="6" t="str">
        <f>IFERROR(__xludf.DUMMYFUNCTION("""COMPUTED_VALUE"""),"never")</f>
        <v>never</v>
      </c>
    </row>
    <row r="113">
      <c r="A113" s="6" t="str">
        <f>IFERROR(__xludf.DUMMYFUNCTION("""COMPUTED_VALUE"""),"jerking")</f>
        <v>jerking</v>
      </c>
      <c r="C113" s="6" t="str">
        <f>IFERROR(__xludf.DUMMYFUNCTION("""COMPUTED_VALUE"""),"adequately")</f>
        <v>adequately</v>
      </c>
      <c r="D113" s="6"/>
      <c r="E113" s="6" t="str">
        <f>IFERROR(__xludf.DUMMYFUNCTION("""COMPUTED_VALUE"""),"reflective")</f>
        <v>reflective</v>
      </c>
      <c r="G113" s="6" t="str">
        <f>IFERROR(__xludf.DUMMYFUNCTION("""COMPUTED_VALUE"""),"beings")</f>
        <v>beings</v>
      </c>
      <c r="H113" s="6" t="str">
        <f>IFERROR(__xludf.DUMMYFUNCTION("""COMPUTED_VALUE"""),"storytelling")</f>
        <v>storytelling</v>
      </c>
      <c r="I113" s="6" t="str">
        <f>IFERROR(__xludf.DUMMYFUNCTION("""COMPUTED_VALUE"""),"consistent")</f>
        <v>consistent</v>
      </c>
      <c r="J113" s="6" t="str">
        <f>IFERROR(__xludf.DUMMYFUNCTION("""COMPUTED_VALUE"""),"other")</f>
        <v>other</v>
      </c>
      <c r="L113" s="6" t="str">
        <f>IFERROR(__xludf.DUMMYFUNCTION("""COMPUTED_VALUE"""),"title")</f>
        <v>title</v>
      </c>
      <c r="M113" s="6" t="str">
        <f>IFERROR(__xludf.DUMMYFUNCTION("""COMPUTED_VALUE"""),"grant")</f>
        <v>grant</v>
      </c>
      <c r="N113" s="6" t="str">
        <f>IFERROR(__xludf.DUMMYFUNCTION("""COMPUTED_VALUE"""),"script")</f>
        <v>script</v>
      </c>
      <c r="P113" s="6" t="str">
        <f>IFERROR(__xludf.DUMMYFUNCTION("""COMPUTED_VALUE"""),"entertainment")</f>
        <v>entertainment</v>
      </c>
      <c r="Q113" s="6" t="str">
        <f>IFERROR(__xludf.DUMMYFUNCTION("""COMPUTED_VALUE"""),"carried")</f>
        <v>carried</v>
      </c>
      <c r="S113" s="6" t="str">
        <f>IFERROR(__xludf.DUMMYFUNCTION("""COMPUTED_VALUE"""),"feel")</f>
        <v>feel</v>
      </c>
    </row>
    <row r="114">
      <c r="A114" s="6" t="str">
        <f>IFERROR(__xludf.DUMMYFUNCTION("""COMPUTED_VALUE"""),"harmless")</f>
        <v>harmless</v>
      </c>
      <c r="C114" s="6" t="str">
        <f>IFERROR(__xludf.DUMMYFUNCTION("""COMPUTED_VALUE"""),"insulting")</f>
        <v>insulting</v>
      </c>
      <c r="D114" s="6"/>
      <c r="E114" s="6" t="str">
        <f>IFERROR(__xludf.DUMMYFUNCTION("""COMPUTED_VALUE"""),"snaps")</f>
        <v>snaps</v>
      </c>
      <c r="G114" s="6" t="str">
        <f>IFERROR(__xludf.DUMMYFUNCTION("""COMPUTED_VALUE"""),"affecting")</f>
        <v>affecting</v>
      </c>
      <c r="H114" s="6" t="str">
        <f>IFERROR(__xludf.DUMMYFUNCTION("""COMPUTED_VALUE"""),"casts")</f>
        <v>casts</v>
      </c>
      <c r="I114" s="6" t="str">
        <f>IFERROR(__xludf.DUMMYFUNCTION("""COMPUTED_VALUE"""),"trying")</f>
        <v>trying</v>
      </c>
      <c r="J114" s="6" t="str">
        <f>IFERROR(__xludf.DUMMYFUNCTION("""COMPUTED_VALUE"""),"concert")</f>
        <v>concert</v>
      </c>
      <c r="L114" s="6" t="str">
        <f>IFERROR(__xludf.DUMMYFUNCTION("""COMPUTED_VALUE"""),"structured")</f>
        <v>structured</v>
      </c>
      <c r="M114" s="6" t="str">
        <f>IFERROR(__xludf.DUMMYFUNCTION("""COMPUTED_VALUE"""),"hugh")</f>
        <v>hugh</v>
      </c>
      <c r="N114" s="6" t="str">
        <f>IFERROR(__xludf.DUMMYFUNCTION("""COMPUTED_VALUE"""),"potentially")</f>
        <v>potentially</v>
      </c>
      <c r="P114" s="6" t="str">
        <f>IFERROR(__xludf.DUMMYFUNCTION("""COMPUTED_VALUE"""),"animated")</f>
        <v>animated</v>
      </c>
      <c r="Q114" s="6" t="str">
        <f>IFERROR(__xludf.DUMMYFUNCTION("""COMPUTED_VALUE"""),"history")</f>
        <v>history</v>
      </c>
      <c r="S114" s="6" t="str">
        <f>IFERROR(__xludf.DUMMYFUNCTION("""COMPUTED_VALUE"""),"one")</f>
        <v>one</v>
      </c>
    </row>
    <row r="115">
      <c r="A115" s="6" t="str">
        <f>IFERROR(__xludf.DUMMYFUNCTION("""COMPUTED_VALUE"""),"adequately")</f>
        <v>adequately</v>
      </c>
      <c r="C115" s="6" t="str">
        <f>IFERROR(__xludf.DUMMYFUNCTION("""COMPUTED_VALUE"""),"racist")</f>
        <v>racist</v>
      </c>
      <c r="D115" s="6"/>
      <c r="E115" s="6" t="str">
        <f>IFERROR(__xludf.DUMMYFUNCTION("""COMPUTED_VALUE"""),"viewed")</f>
        <v>viewed</v>
      </c>
      <c r="G115" s="6" t="str">
        <f>IFERROR(__xludf.DUMMYFUNCTION("""COMPUTED_VALUE"""),"successful")</f>
        <v>successful</v>
      </c>
      <c r="H115" s="6" t="str">
        <f>IFERROR(__xludf.DUMMYFUNCTION("""COMPUTED_VALUE"""),"pleasures")</f>
        <v>pleasures</v>
      </c>
      <c r="I115" s="6" t="str">
        <f>IFERROR(__xludf.DUMMYFUNCTION("""COMPUTED_VALUE"""),"tries")</f>
        <v>tries</v>
      </c>
      <c r="J115" s="6" t="str">
        <f>IFERROR(__xludf.DUMMYFUNCTION("""COMPUTED_VALUE"""),"fluid")</f>
        <v>fluid</v>
      </c>
      <c r="L115" s="6" t="str">
        <f>IFERROR(__xludf.DUMMYFUNCTION("""COMPUTED_VALUE"""),"adventurous")</f>
        <v>adventurous</v>
      </c>
      <c r="M115" s="6" t="str">
        <f>IFERROR(__xludf.DUMMYFUNCTION("""COMPUTED_VALUE"""),"stay")</f>
        <v>stay</v>
      </c>
      <c r="N115" s="6" t="str">
        <f>IFERROR(__xludf.DUMMYFUNCTION("""COMPUTED_VALUE"""),"expect")</f>
        <v>expect</v>
      </c>
      <c r="P115" s="6" t="str">
        <f>IFERROR(__xludf.DUMMYFUNCTION("""COMPUTED_VALUE"""),"believe")</f>
        <v>believe</v>
      </c>
      <c r="Q115" s="6" t="str">
        <f>IFERROR(__xludf.DUMMYFUNCTION("""COMPUTED_VALUE"""),"earnest")</f>
        <v>earnest</v>
      </c>
      <c r="S115" s="6" t="str">
        <f>IFERROR(__xludf.DUMMYFUNCTION("""COMPUTED_VALUE"""),"current")</f>
        <v>current</v>
      </c>
    </row>
    <row r="116">
      <c r="A116" s="6" t="str">
        <f>IFERROR(__xludf.DUMMYFUNCTION("""COMPUTED_VALUE"""),"eerie")</f>
        <v>eerie</v>
      </c>
      <c r="C116" s="6" t="str">
        <f>IFERROR(__xludf.DUMMYFUNCTION("""COMPUTED_VALUE"""),"confident")</f>
        <v>confident</v>
      </c>
      <c r="D116" s="6"/>
      <c r="E116" s="6" t="str">
        <f>IFERROR(__xludf.DUMMYFUNCTION("""COMPUTED_VALUE"""),"credible")</f>
        <v>credible</v>
      </c>
      <c r="G116" s="6" t="str">
        <f>IFERROR(__xludf.DUMMYFUNCTION("""COMPUTED_VALUE"""),"moving")</f>
        <v>moving</v>
      </c>
      <c r="H116" s="6" t="str">
        <f>IFERROR(__xludf.DUMMYFUNCTION("""COMPUTED_VALUE"""),"masterpiece")</f>
        <v>masterpiece</v>
      </c>
      <c r="I116" s="6" t="str">
        <f>IFERROR(__xludf.DUMMYFUNCTION("""COMPUTED_VALUE"""),"reveals")</f>
        <v>reveals</v>
      </c>
      <c r="J116" s="6" t="str">
        <f>IFERROR(__xludf.DUMMYFUNCTION("""COMPUTED_VALUE"""),"had")</f>
        <v>had</v>
      </c>
      <c r="L116" s="6" t="str">
        <f>IFERROR(__xludf.DUMMYFUNCTION("""COMPUTED_VALUE"""),"offering")</f>
        <v>offering</v>
      </c>
      <c r="M116" s="6" t="str">
        <f>IFERROR(__xludf.DUMMYFUNCTION("""COMPUTED_VALUE"""),"urban")</f>
        <v>urban</v>
      </c>
      <c r="N116" s="6" t="str">
        <f>IFERROR(__xludf.DUMMYFUNCTION("""COMPUTED_VALUE"""),"resume")</f>
        <v>resume</v>
      </c>
      <c r="P116" s="6" t="str">
        <f>IFERROR(__xludf.DUMMYFUNCTION("""COMPUTED_VALUE"""),"anyone")</f>
        <v>anyone</v>
      </c>
      <c r="Q116" s="6" t="str">
        <f>IFERROR(__xludf.DUMMYFUNCTION("""COMPUTED_VALUE"""),"homage")</f>
        <v>homage</v>
      </c>
      <c r="S116" s="6" t="str">
        <f>IFERROR(__xludf.DUMMYFUNCTION("""COMPUTED_VALUE"""),"industry")</f>
        <v>industry</v>
      </c>
    </row>
    <row r="117">
      <c r="A117" s="6" t="str">
        <f>IFERROR(__xludf.DUMMYFUNCTION("""COMPUTED_VALUE"""),"insulting")</f>
        <v>insulting</v>
      </c>
      <c r="C117" s="6" t="str">
        <f>IFERROR(__xludf.DUMMYFUNCTION("""COMPUTED_VALUE"""),"hollow")</f>
        <v>hollow</v>
      </c>
      <c r="D117" s="6"/>
      <c r="E117" s="6" t="str">
        <f>IFERROR(__xludf.DUMMYFUNCTION("""COMPUTED_VALUE"""),"combines")</f>
        <v>combines</v>
      </c>
      <c r="G117" s="6" t="str">
        <f>IFERROR(__xludf.DUMMYFUNCTION("""COMPUTED_VALUE"""),"intelligent")</f>
        <v>intelligent</v>
      </c>
      <c r="H117" s="6" t="str">
        <f>IFERROR(__xludf.DUMMYFUNCTION("""COMPUTED_VALUE"""),"lot")</f>
        <v>lot</v>
      </c>
      <c r="I117" s="6" t="str">
        <f>IFERROR(__xludf.DUMMYFUNCTION("""COMPUTED_VALUE"""),"important")</f>
        <v>important</v>
      </c>
      <c r="J117" s="6" t="str">
        <f>IFERROR(__xludf.DUMMYFUNCTION("""COMPUTED_VALUE"""),"storytelling")</f>
        <v>storytelling</v>
      </c>
      <c r="L117" s="6" t="str">
        <f>IFERROR(__xludf.DUMMYFUNCTION("""COMPUTED_VALUE"""),"irritating")</f>
        <v>irritating</v>
      </c>
      <c r="M117" s="6" t="str">
        <f>IFERROR(__xludf.DUMMYFUNCTION("""COMPUTED_VALUE"""),"celebration")</f>
        <v>celebration</v>
      </c>
      <c r="N117" s="6" t="str">
        <f>IFERROR(__xludf.DUMMYFUNCTION("""COMPUTED_VALUE"""),"pacing")</f>
        <v>pacing</v>
      </c>
      <c r="P117" s="6" t="str">
        <f>IFERROR(__xludf.DUMMYFUNCTION("""COMPUTED_VALUE"""),"central")</f>
        <v>central</v>
      </c>
      <c r="Q117" s="6" t="str">
        <f>IFERROR(__xludf.DUMMYFUNCTION("""COMPUTED_VALUE"""),"few")</f>
        <v>few</v>
      </c>
      <c r="S117" s="6" t="str">
        <f>IFERROR(__xludf.DUMMYFUNCTION("""COMPUTED_VALUE"""),"recording")</f>
        <v>recording</v>
      </c>
    </row>
    <row r="118">
      <c r="A118" s="6" t="str">
        <f>IFERROR(__xludf.DUMMYFUNCTION("""COMPUTED_VALUE"""),"confident")</f>
        <v>confident</v>
      </c>
      <c r="C118" s="6" t="str">
        <f>IFERROR(__xludf.DUMMYFUNCTION("""COMPUTED_VALUE"""),"sincerity")</f>
        <v>sincerity</v>
      </c>
      <c r="D118" s="6"/>
      <c r="E118" s="6" t="str">
        <f>IFERROR(__xludf.DUMMYFUNCTION("""COMPUTED_VALUE"""),"corpse")</f>
        <v>corpse</v>
      </c>
      <c r="G118" s="6" t="str">
        <f>IFERROR(__xludf.DUMMYFUNCTION("""COMPUTED_VALUE"""),"sequels")</f>
        <v>sequels</v>
      </c>
      <c r="H118" s="6" t="str">
        <f>IFERROR(__xludf.DUMMYFUNCTION("""COMPUTED_VALUE"""),"hopeless")</f>
        <v>hopeless</v>
      </c>
      <c r="I118" s="6" t="str">
        <f>IFERROR(__xludf.DUMMYFUNCTION("""COMPUTED_VALUE"""),"service")</f>
        <v>service</v>
      </c>
      <c r="J118" s="6" t="str">
        <f>IFERROR(__xludf.DUMMYFUNCTION("""COMPUTED_VALUE"""),"casts")</f>
        <v>casts</v>
      </c>
      <c r="L118" s="6" t="str">
        <f>IFERROR(__xludf.DUMMYFUNCTION("""COMPUTED_VALUE"""),"exercise")</f>
        <v>exercise</v>
      </c>
      <c r="M118" s="6" t="str">
        <f>IFERROR(__xludf.DUMMYFUNCTION("""COMPUTED_VALUE"""),"bridge")</f>
        <v>bridge</v>
      </c>
      <c r="N118" s="6" t="str">
        <f>IFERROR(__xludf.DUMMYFUNCTION("""COMPUTED_VALUE"""),"things")</f>
        <v>things</v>
      </c>
      <c r="P118" s="6" t="str">
        <f>IFERROR(__xludf.DUMMYFUNCTION("""COMPUTED_VALUE"""),"comic")</f>
        <v>comic</v>
      </c>
      <c r="Q118" s="6" t="str">
        <f>IFERROR(__xludf.DUMMYFUNCTION("""COMPUTED_VALUE"""),"endure")</f>
        <v>endure</v>
      </c>
      <c r="S118" s="6" t="str">
        <f>IFERROR(__xludf.DUMMYFUNCTION("""COMPUTED_VALUE"""),"climate")</f>
        <v>climate</v>
      </c>
    </row>
    <row r="119">
      <c r="A119" s="6" t="str">
        <f>IFERROR(__xludf.DUMMYFUNCTION("""COMPUTED_VALUE"""),"hollow")</f>
        <v>hollow</v>
      </c>
      <c r="C119" s="6" t="str">
        <f>IFERROR(__xludf.DUMMYFUNCTION("""COMPUTED_VALUE"""),"sensual")</f>
        <v>sensual</v>
      </c>
      <c r="D119" s="6"/>
      <c r="E119" s="6" t="str">
        <f>IFERROR(__xludf.DUMMYFUNCTION("""COMPUTED_VALUE"""),"lifts")</f>
        <v>lifts</v>
      </c>
      <c r="G119" s="6" t="str">
        <f>IFERROR(__xludf.DUMMYFUNCTION("""COMPUTED_VALUE"""),"sustain")</f>
        <v>sustain</v>
      </c>
      <c r="H119" s="6" t="str">
        <f>IFERROR(__xludf.DUMMYFUNCTION("""COMPUTED_VALUE"""),"charming")</f>
        <v>charming</v>
      </c>
      <c r="I119" s="6" t="str">
        <f>IFERROR(__xludf.DUMMYFUNCTION("""COMPUTED_VALUE"""),"da")</f>
        <v>da</v>
      </c>
      <c r="J119" s="6" t="str">
        <f>IFERROR(__xludf.DUMMYFUNCTION("""COMPUTED_VALUE"""),"uses")</f>
        <v>uses</v>
      </c>
      <c r="L119" s="6" t="str">
        <f>IFERROR(__xludf.DUMMYFUNCTION("""COMPUTED_VALUE"""),"fascinating")</f>
        <v>fascinating</v>
      </c>
      <c r="M119" s="6" t="str">
        <f>IFERROR(__xludf.DUMMYFUNCTION("""COMPUTED_VALUE"""),"warm")</f>
        <v>warm</v>
      </c>
      <c r="N119" s="6" t="str">
        <f>IFERROR(__xludf.DUMMYFUNCTION("""COMPUTED_VALUE"""),"predictable")</f>
        <v>predictable</v>
      </c>
      <c r="P119" s="6" t="str">
        <f>IFERROR(__xludf.DUMMYFUNCTION("""COMPUTED_VALUE"""),"difference")</f>
        <v>difference</v>
      </c>
      <c r="Q119" s="6" t="str">
        <f>IFERROR(__xludf.DUMMYFUNCTION("""COMPUTED_VALUE"""),"generates")</f>
        <v>generates</v>
      </c>
      <c r="S119" s="6" t="str">
        <f>IFERROR(__xludf.DUMMYFUNCTION("""COMPUTED_VALUE"""),"experience")</f>
        <v>experience</v>
      </c>
    </row>
    <row r="120">
      <c r="A120" s="6" t="str">
        <f>IFERROR(__xludf.DUMMYFUNCTION("""COMPUTED_VALUE"""),"sensation")</f>
        <v>sensation</v>
      </c>
      <c r="C120" s="6" t="str">
        <f>IFERROR(__xludf.DUMMYFUNCTION("""COMPUTED_VALUE"""),"cerebral")</f>
        <v>cerebral</v>
      </c>
      <c r="D120" s="6"/>
      <c r="E120" s="6" t="str">
        <f>IFERROR(__xludf.DUMMYFUNCTION("""COMPUTED_VALUE"""),"elaborate")</f>
        <v>elaborate</v>
      </c>
      <c r="G120" s="6" t="str">
        <f>IFERROR(__xludf.DUMMYFUNCTION("""COMPUTED_VALUE"""),"filmmaker")</f>
        <v>filmmaker</v>
      </c>
      <c r="H120" s="6" t="str">
        <f>IFERROR(__xludf.DUMMYFUNCTION("""COMPUTED_VALUE"""),"dialogue")</f>
        <v>dialogue</v>
      </c>
      <c r="I120" s="6" t="str">
        <f>IFERROR(__xludf.DUMMYFUNCTION("""COMPUTED_VALUE"""),"relief")</f>
        <v>relief</v>
      </c>
      <c r="J120" s="6" t="str">
        <f>IFERROR(__xludf.DUMMYFUNCTION("""COMPUTED_VALUE"""),"pleasures")</f>
        <v>pleasures</v>
      </c>
      <c r="L120" s="6" t="str">
        <f>IFERROR(__xludf.DUMMYFUNCTION("""COMPUTED_VALUE"""),"martial")</f>
        <v>martial</v>
      </c>
      <c r="M120" s="6" t="str">
        <f>IFERROR(__xludf.DUMMYFUNCTION("""COMPUTED_VALUE"""),"energy")</f>
        <v>energy</v>
      </c>
      <c r="N120" s="6" t="str">
        <f>IFERROR(__xludf.DUMMYFUNCTION("""COMPUTED_VALUE"""),"change")</f>
        <v>change</v>
      </c>
      <c r="P120" s="6" t="str">
        <f>IFERROR(__xludf.DUMMYFUNCTION("""COMPUTED_VALUE"""),"questions")</f>
        <v>questions</v>
      </c>
      <c r="Q120" s="6" t="str">
        <f>IFERROR(__xludf.DUMMYFUNCTION("""COMPUTED_VALUE"""),"life")</f>
        <v>life</v>
      </c>
      <c r="S120" s="6" t="str">
        <f>IFERROR(__xludf.DUMMYFUNCTION("""COMPUTED_VALUE"""),"shots")</f>
        <v>shots</v>
      </c>
    </row>
    <row r="121">
      <c r="A121" s="6" t="str">
        <f>IFERROR(__xludf.DUMMYFUNCTION("""COMPUTED_VALUE"""),"sincerity")</f>
        <v>sincerity</v>
      </c>
      <c r="C121" s="6" t="str">
        <f>IFERROR(__xludf.DUMMYFUNCTION("""COMPUTED_VALUE"""),"glued")</f>
        <v>glued</v>
      </c>
      <c r="D121" s="6"/>
      <c r="E121" s="6" t="str">
        <f>IFERROR(__xludf.DUMMYFUNCTION("""COMPUTED_VALUE"""),"bravery")</f>
        <v>bravery</v>
      </c>
      <c r="G121" s="6" t="str">
        <f>IFERROR(__xludf.DUMMYFUNCTION("""COMPUTED_VALUE"""),"ambitious")</f>
        <v>ambitious</v>
      </c>
      <c r="H121" s="6" t="str">
        <f>IFERROR(__xludf.DUMMYFUNCTION("""COMPUTED_VALUE"""),"clumsy")</f>
        <v>clumsy</v>
      </c>
      <c r="I121" s="6" t="str">
        <f>IFERROR(__xludf.DUMMYFUNCTION("""COMPUTED_VALUE"""),"promise")</f>
        <v>promise</v>
      </c>
      <c r="J121" s="6" t="str">
        <f>IFERROR(__xludf.DUMMYFUNCTION("""COMPUTED_VALUE"""),"masterpiece")</f>
        <v>masterpiece</v>
      </c>
      <c r="L121" s="6" t="str">
        <f>IFERROR(__xludf.DUMMYFUNCTION("""COMPUTED_VALUE"""),"filmed")</f>
        <v>filmed</v>
      </c>
      <c r="M121" s="6" t="str">
        <f>IFERROR(__xludf.DUMMYFUNCTION("""COMPUTED_VALUE"""),"water")</f>
        <v>water</v>
      </c>
      <c r="N121" s="6" t="str">
        <f>IFERROR(__xludf.DUMMYFUNCTION("""COMPUTED_VALUE"""),"respect")</f>
        <v>respect</v>
      </c>
      <c r="P121" s="6" t="str">
        <f>IFERROR(__xludf.DUMMYFUNCTION("""COMPUTED_VALUE"""),"moments")</f>
        <v>moments</v>
      </c>
      <c r="Q121" s="6" t="str">
        <f>IFERROR(__xludf.DUMMYFUNCTION("""COMPUTED_VALUE"""),"historically")</f>
        <v>historically</v>
      </c>
      <c r="S121" s="6" t="str">
        <f>IFERROR(__xludf.DUMMYFUNCTION("""COMPUTED_VALUE"""),"men")</f>
        <v>men</v>
      </c>
    </row>
    <row r="122">
      <c r="A122" s="6" t="str">
        <f>IFERROR(__xludf.DUMMYFUNCTION("""COMPUTED_VALUE"""),"sensual")</f>
        <v>sensual</v>
      </c>
      <c r="C122" s="6" t="str">
        <f>IFERROR(__xludf.DUMMYFUNCTION("""COMPUTED_VALUE"""),"snaps")</f>
        <v>snaps</v>
      </c>
      <c r="D122" s="6"/>
      <c r="E122" s="6" t="str">
        <f>IFERROR(__xludf.DUMMYFUNCTION("""COMPUTED_VALUE"""),"spontaneous")</f>
        <v>spontaneous</v>
      </c>
      <c r="G122" s="6" t="str">
        <f>IFERROR(__xludf.DUMMYFUNCTION("""COMPUTED_VALUE"""),"weaknesses")</f>
        <v>weaknesses</v>
      </c>
      <c r="H122" s="6" t="str">
        <f>IFERROR(__xludf.DUMMYFUNCTION("""COMPUTED_VALUE"""),"sentiment")</f>
        <v>sentiment</v>
      </c>
      <c r="I122" s="6" t="str">
        <f>IFERROR(__xludf.DUMMYFUNCTION("""COMPUTED_VALUE"""),"view")</f>
        <v>view</v>
      </c>
      <c r="J122" s="6" t="str">
        <f>IFERROR(__xludf.DUMMYFUNCTION("""COMPUTED_VALUE"""),"lot")</f>
        <v>lot</v>
      </c>
      <c r="L122" s="6" t="str">
        <f>IFERROR(__xludf.DUMMYFUNCTION("""COMPUTED_VALUE"""),"rhythms")</f>
        <v>rhythms</v>
      </c>
      <c r="M122" s="6" t="str">
        <f>IFERROR(__xludf.DUMMYFUNCTION("""COMPUTED_VALUE"""),"viewers")</f>
        <v>viewers</v>
      </c>
      <c r="N122" s="6" t="str">
        <f>IFERROR(__xludf.DUMMYFUNCTION("""COMPUTED_VALUE"""),"emotions")</f>
        <v>emotions</v>
      </c>
      <c r="P122" s="6" t="str">
        <f>IFERROR(__xludf.DUMMYFUNCTION("""COMPUTED_VALUE"""),"yet")</f>
        <v>yet</v>
      </c>
      <c r="Q122" s="6" t="b">
        <f>IFERROR(__xludf.DUMMYFUNCTION("""COMPUTED_VALUE"""),TRUE)</f>
        <v>1</v>
      </c>
      <c r="S122" s="6" t="str">
        <f>IFERROR(__xludf.DUMMYFUNCTION("""COMPUTED_VALUE"""),"women")</f>
        <v>women</v>
      </c>
    </row>
    <row r="123">
      <c r="A123" s="6" t="str">
        <f>IFERROR(__xludf.DUMMYFUNCTION("""COMPUTED_VALUE"""),"cerebral")</f>
        <v>cerebral</v>
      </c>
      <c r="C123" s="6" t="str">
        <f>IFERROR(__xludf.DUMMYFUNCTION("""COMPUTED_VALUE"""),"viewed")</f>
        <v>viewed</v>
      </c>
      <c r="D123" s="6"/>
      <c r="E123" s="6" t="str">
        <f>IFERROR(__xludf.DUMMYFUNCTION("""COMPUTED_VALUE"""),"quietly")</f>
        <v>quietly</v>
      </c>
      <c r="G123" s="6" t="str">
        <f>IFERROR(__xludf.DUMMYFUNCTION("""COMPUTED_VALUE"""),"carmen")</f>
        <v>carmen</v>
      </c>
      <c r="H123" s="6" t="str">
        <f>IFERROR(__xludf.DUMMYFUNCTION("""COMPUTED_VALUE"""),"tissues")</f>
        <v>tissues</v>
      </c>
      <c r="I123" s="6" t="str">
        <f>IFERROR(__xludf.DUMMYFUNCTION("""COMPUTED_VALUE"""),"wait")</f>
        <v>wait</v>
      </c>
      <c r="J123" s="6" t="str">
        <f>IFERROR(__xludf.DUMMYFUNCTION("""COMPUTED_VALUE"""),"forgotten")</f>
        <v>forgotten</v>
      </c>
      <c r="L123" s="6" t="str">
        <f>IFERROR(__xludf.DUMMYFUNCTION("""COMPUTED_VALUE"""),"actresses")</f>
        <v>actresses</v>
      </c>
      <c r="M123" s="6" t="str">
        <f>IFERROR(__xludf.DUMMYFUNCTION("""COMPUTED_VALUE"""),"format")</f>
        <v>format</v>
      </c>
      <c r="N123" s="6" t="str">
        <f>IFERROR(__xludf.DUMMYFUNCTION("""COMPUTED_VALUE"""),"title")</f>
        <v>title</v>
      </c>
      <c r="P123" s="6" t="str">
        <f>IFERROR(__xludf.DUMMYFUNCTION("""COMPUTED_VALUE"""),"wisdom")</f>
        <v>wisdom</v>
      </c>
      <c r="Q123" s="6" t="str">
        <f>IFERROR(__xludf.DUMMYFUNCTION("""COMPUTED_VALUE"""),"first")</f>
        <v>first</v>
      </c>
      <c r="S123" s="6" t="str">
        <f>IFERROR(__xludf.DUMMYFUNCTION("""COMPUTED_VALUE"""),"total")</f>
        <v>total</v>
      </c>
    </row>
    <row r="124">
      <c r="A124" s="6" t="str">
        <f>IFERROR(__xludf.DUMMYFUNCTION("""COMPUTED_VALUE"""),"glued")</f>
        <v>glued</v>
      </c>
      <c r="C124" s="6" t="str">
        <f>IFERROR(__xludf.DUMMYFUNCTION("""COMPUTED_VALUE"""),"credible")</f>
        <v>credible</v>
      </c>
      <c r="D124" s="6"/>
      <c r="E124" s="6" t="str">
        <f>IFERROR(__xludf.DUMMYFUNCTION("""COMPUTED_VALUE"""),"portrays")</f>
        <v>portrays</v>
      </c>
      <c r="G124" s="6" t="str">
        <f>IFERROR(__xludf.DUMMYFUNCTION("""COMPUTED_VALUE"""),"ode")</f>
        <v>ode</v>
      </c>
      <c r="H124" s="6" t="str">
        <f>IFERROR(__xludf.DUMMYFUNCTION("""COMPUTED_VALUE"""),"betrayed")</f>
        <v>betrayed</v>
      </c>
      <c r="I124" s="6" t="str">
        <f>IFERROR(__xludf.DUMMYFUNCTION("""COMPUTED_VALUE"""),"theatrical")</f>
        <v>theatrical</v>
      </c>
      <c r="J124" s="6" t="str">
        <f>IFERROR(__xludf.DUMMYFUNCTION("""COMPUTED_VALUE"""),"car")</f>
        <v>car</v>
      </c>
      <c r="L124" s="6" t="str">
        <f>IFERROR(__xludf.DUMMYFUNCTION("""COMPUTED_VALUE"""),"take")</f>
        <v>take</v>
      </c>
      <c r="M124" s="6" t="str">
        <f>IFERROR(__xludf.DUMMYFUNCTION("""COMPUTED_VALUE"""),"drama")</f>
        <v>drama</v>
      </c>
      <c r="N124" s="6" t="str">
        <f>IFERROR(__xludf.DUMMYFUNCTION("""COMPUTED_VALUE"""),"structured")</f>
        <v>structured</v>
      </c>
      <c r="P124" s="6" t="str">
        <f>IFERROR(__xludf.DUMMYFUNCTION("""COMPUTED_VALUE"""),"washington")</f>
        <v>washington</v>
      </c>
      <c r="Q124" s="6" t="str">
        <f>IFERROR(__xludf.DUMMYFUNCTION("""COMPUTED_VALUE"""),"two")</f>
        <v>two</v>
      </c>
      <c r="S124" s="6" t="str">
        <f>IFERROR(__xludf.DUMMYFUNCTION("""COMPUTED_VALUE"""),"carried")</f>
        <v>carried</v>
      </c>
    </row>
    <row r="125">
      <c r="A125" s="6" t="str">
        <f>IFERROR(__xludf.DUMMYFUNCTION("""COMPUTED_VALUE"""),"reflective")</f>
        <v>reflective</v>
      </c>
      <c r="C125" s="6" t="str">
        <f>IFERROR(__xludf.DUMMYFUNCTION("""COMPUTED_VALUE"""),"combines")</f>
        <v>combines</v>
      </c>
      <c r="D125" s="6"/>
      <c r="E125" s="6" t="str">
        <f>IFERROR(__xludf.DUMMYFUNCTION("""COMPUTED_VALUE"""),"profound")</f>
        <v>profound</v>
      </c>
      <c r="G125" s="6" t="str">
        <f>IFERROR(__xludf.DUMMYFUNCTION("""COMPUTED_VALUE"""),"luminous")</f>
        <v>luminous</v>
      </c>
      <c r="H125" s="6" t="str">
        <f>IFERROR(__xludf.DUMMYFUNCTION("""COMPUTED_VALUE"""),"bourne")</f>
        <v>bourne</v>
      </c>
      <c r="I125" s="6" t="str">
        <f>IFERROR(__xludf.DUMMYFUNCTION("""COMPUTED_VALUE"""),"camp")</f>
        <v>camp</v>
      </c>
      <c r="J125" s="6" t="str">
        <f>IFERROR(__xludf.DUMMYFUNCTION("""COMPUTED_VALUE"""),"hopeless")</f>
        <v>hopeless</v>
      </c>
      <c r="L125" s="6" t="str">
        <f>IFERROR(__xludf.DUMMYFUNCTION("""COMPUTED_VALUE"""),"lau")</f>
        <v>lau</v>
      </c>
      <c r="M125" s="6" t="str">
        <f>IFERROR(__xludf.DUMMYFUNCTION("""COMPUTED_VALUE"""),"debut")</f>
        <v>debut</v>
      </c>
      <c r="N125" s="6" t="str">
        <f>IFERROR(__xludf.DUMMYFUNCTION("""COMPUTED_VALUE"""),"adventurous")</f>
        <v>adventurous</v>
      </c>
      <c r="P125" s="6" t="str">
        <f>IFERROR(__xludf.DUMMYFUNCTION("""COMPUTED_VALUE"""),"eyes")</f>
        <v>eyes</v>
      </c>
      <c r="Q125" s="6" t="str">
        <f>IFERROR(__xludf.DUMMYFUNCTION("""COMPUTED_VALUE"""),"throw")</f>
        <v>throw</v>
      </c>
      <c r="S125" s="6" t="str">
        <f>IFERROR(__xludf.DUMMYFUNCTION("""COMPUTED_VALUE"""),"fresh")</f>
        <v>fresh</v>
      </c>
    </row>
    <row r="126">
      <c r="A126" s="6" t="str">
        <f>IFERROR(__xludf.DUMMYFUNCTION("""COMPUTED_VALUE"""),"snaps")</f>
        <v>snaps</v>
      </c>
      <c r="C126" s="6" t="str">
        <f>IFERROR(__xludf.DUMMYFUNCTION("""COMPUTED_VALUE"""),"corpse")</f>
        <v>corpse</v>
      </c>
      <c r="D126" s="6"/>
      <c r="E126" s="6" t="str">
        <f>IFERROR(__xludf.DUMMYFUNCTION("""COMPUTED_VALUE"""),"dubious")</f>
        <v>dubious</v>
      </c>
      <c r="G126" s="6" t="str">
        <f>IFERROR(__xludf.DUMMYFUNCTION("""COMPUTED_VALUE"""),"failing")</f>
        <v>failing</v>
      </c>
      <c r="H126" s="6" t="str">
        <f>IFERROR(__xludf.DUMMYFUNCTION("""COMPUTED_VALUE"""),"conviction")</f>
        <v>conviction</v>
      </c>
      <c r="I126" s="6" t="str">
        <f>IFERROR(__xludf.DUMMYFUNCTION("""COMPUTED_VALUE"""),"extraordinary")</f>
        <v>extraordinary</v>
      </c>
      <c r="J126" s="6" t="str">
        <f>IFERROR(__xludf.DUMMYFUNCTION("""COMPUTED_VALUE"""),"charming")</f>
        <v>charming</v>
      </c>
      <c r="L126" s="6" t="str">
        <f>IFERROR(__xludf.DUMMYFUNCTION("""COMPUTED_VALUE"""),"grant")</f>
        <v>grant</v>
      </c>
      <c r="M126" s="6" t="str">
        <f>IFERROR(__xludf.DUMMYFUNCTION("""COMPUTED_VALUE"""),"observation")</f>
        <v>observation</v>
      </c>
      <c r="N126" s="6" t="str">
        <f>IFERROR(__xludf.DUMMYFUNCTION("""COMPUTED_VALUE"""),"produced")</f>
        <v>produced</v>
      </c>
      <c r="P126" s="6" t="str">
        <f>IFERROR(__xludf.DUMMYFUNCTION("""COMPUTED_VALUE"""),"images")</f>
        <v>images</v>
      </c>
      <c r="Q126" s="6" t="str">
        <f>IFERROR(__xludf.DUMMYFUNCTION("""COMPUTED_VALUE"""),"spark")</f>
        <v>spark</v>
      </c>
      <c r="S126" s="6" t="str">
        <f>IFERROR(__xludf.DUMMYFUNCTION("""COMPUTED_VALUE"""),"history")</f>
        <v>history</v>
      </c>
    </row>
    <row r="127">
      <c r="A127" s="6" t="str">
        <f>IFERROR(__xludf.DUMMYFUNCTION("""COMPUTED_VALUE"""),"credible")</f>
        <v>credible</v>
      </c>
      <c r="C127" s="6" t="str">
        <f>IFERROR(__xludf.DUMMYFUNCTION("""COMPUTED_VALUE"""),"lifts")</f>
        <v>lifts</v>
      </c>
      <c r="D127" s="6"/>
      <c r="E127" s="6" t="str">
        <f>IFERROR(__xludf.DUMMYFUNCTION("""COMPUTED_VALUE"""),"hampered")</f>
        <v>hampered</v>
      </c>
      <c r="G127" s="6" t="str">
        <f>IFERROR(__xludf.DUMMYFUNCTION("""COMPUTED_VALUE"""),"soap")</f>
        <v>soap</v>
      </c>
      <c r="H127" s="6" t="str">
        <f>IFERROR(__xludf.DUMMYFUNCTION("""COMPUTED_VALUE"""),"brings")</f>
        <v>brings</v>
      </c>
      <c r="I127" s="6" t="str">
        <f>IFERROR(__xludf.DUMMYFUNCTION("""COMPUTED_VALUE"""),"heart")</f>
        <v>heart</v>
      </c>
      <c r="J127" s="6" t="str">
        <f>IFERROR(__xludf.DUMMYFUNCTION("""COMPUTED_VALUE"""),"dialogue")</f>
        <v>dialogue</v>
      </c>
      <c r="L127" s="6" t="str">
        <f>IFERROR(__xludf.DUMMYFUNCTION("""COMPUTED_VALUE"""),"hugh")</f>
        <v>hugh</v>
      </c>
      <c r="M127" s="6" t="str">
        <f>IFERROR(__xludf.DUMMYFUNCTION("""COMPUTED_VALUE"""),"swim")</f>
        <v>swim</v>
      </c>
      <c r="N127" s="6" t="str">
        <f>IFERROR(__xludf.DUMMYFUNCTION("""COMPUTED_VALUE"""),"blair")</f>
        <v>blair</v>
      </c>
      <c r="P127" s="6" t="str">
        <f>IFERROR(__xludf.DUMMYFUNCTION("""COMPUTED_VALUE"""),"read")</f>
        <v>read</v>
      </c>
      <c r="Q127" s="6" t="str">
        <f>IFERROR(__xludf.DUMMYFUNCTION("""COMPUTED_VALUE"""),"extremes")</f>
        <v>extremes</v>
      </c>
      <c r="S127" s="6" t="str">
        <f>IFERROR(__xludf.DUMMYFUNCTION("""COMPUTED_VALUE"""),"weak")</f>
        <v>weak</v>
      </c>
    </row>
    <row r="128">
      <c r="A128" s="6" t="str">
        <f>IFERROR(__xludf.DUMMYFUNCTION("""COMPUTED_VALUE"""),"corpse")</f>
        <v>corpse</v>
      </c>
      <c r="C128" s="6" t="str">
        <f>IFERROR(__xludf.DUMMYFUNCTION("""COMPUTED_VALUE"""),"bravery")</f>
        <v>bravery</v>
      </c>
      <c r="D128" s="6"/>
      <c r="E128" s="6" t="str">
        <f>IFERROR(__xludf.DUMMYFUNCTION("""COMPUTED_VALUE"""),"niche")</f>
        <v>niche</v>
      </c>
      <c r="G128" s="6" t="str">
        <f>IFERROR(__xludf.DUMMYFUNCTION("""COMPUTED_VALUE"""),"failure")</f>
        <v>failure</v>
      </c>
      <c r="H128" s="6" t="str">
        <f>IFERROR(__xludf.DUMMYFUNCTION("""COMPUTED_VALUE"""),"role")</f>
        <v>role</v>
      </c>
      <c r="I128" s="6" t="str">
        <f>IFERROR(__xludf.DUMMYFUNCTION("""COMPUTED_VALUE"""),"champion")</f>
        <v>champion</v>
      </c>
      <c r="J128" s="6" t="str">
        <f>IFERROR(__xludf.DUMMYFUNCTION("""COMPUTED_VALUE"""),"clumsy")</f>
        <v>clumsy</v>
      </c>
      <c r="L128" s="6" t="str">
        <f>IFERROR(__xludf.DUMMYFUNCTION("""COMPUTED_VALUE"""),"stay")</f>
        <v>stay</v>
      </c>
      <c r="M128" s="6" t="str">
        <f>IFERROR(__xludf.DUMMYFUNCTION("""COMPUTED_VALUE"""),"beings")</f>
        <v>beings</v>
      </c>
      <c r="N128" s="6" t="str">
        <f>IFERROR(__xludf.DUMMYFUNCTION("""COMPUTED_VALUE"""),"offering")</f>
        <v>offering</v>
      </c>
      <c r="P128" s="6" t="str">
        <f>IFERROR(__xludf.DUMMYFUNCTION("""COMPUTED_VALUE"""),"tear")</f>
        <v>tear</v>
      </c>
      <c r="Q128" s="6" t="str">
        <f>IFERROR(__xludf.DUMMYFUNCTION("""COMPUTED_VALUE"""),"continuum")</f>
        <v>continuum</v>
      </c>
      <c r="S128" s="6" t="str">
        <f>IFERROR(__xludf.DUMMYFUNCTION("""COMPUTED_VALUE"""),"people")</f>
        <v>people</v>
      </c>
    </row>
    <row r="129">
      <c r="A129" s="6" t="str">
        <f>IFERROR(__xludf.DUMMYFUNCTION("""COMPUTED_VALUE"""),"lifts")</f>
        <v>lifts</v>
      </c>
      <c r="C129" s="6" t="str">
        <f>IFERROR(__xludf.DUMMYFUNCTION("""COMPUTED_VALUE"""),"spontaneous")</f>
        <v>spontaneous</v>
      </c>
      <c r="D129" s="6"/>
      <c r="E129" s="6" t="str">
        <f>IFERROR(__xludf.DUMMYFUNCTION("""COMPUTED_VALUE"""),"vital")</f>
        <v>vital</v>
      </c>
      <c r="G129" s="6" t="str">
        <f>IFERROR(__xludf.DUMMYFUNCTION("""COMPUTED_VALUE"""),"powerful")</f>
        <v>powerful</v>
      </c>
      <c r="H129" s="6" t="str">
        <f>IFERROR(__xludf.DUMMYFUNCTION("""COMPUTED_VALUE"""),"diplomacy")</f>
        <v>diplomacy</v>
      </c>
      <c r="I129" s="6" t="str">
        <f>IFERROR(__xludf.DUMMYFUNCTION("""COMPUTED_VALUE"""),"adaptation")</f>
        <v>adaptation</v>
      </c>
      <c r="J129" s="6" t="str">
        <f>IFERROR(__xludf.DUMMYFUNCTION("""COMPUTED_VALUE"""),"sentiment")</f>
        <v>sentiment</v>
      </c>
      <c r="L129" s="6" t="str">
        <f>IFERROR(__xludf.DUMMYFUNCTION("""COMPUTED_VALUE"""),"insight")</f>
        <v>insight</v>
      </c>
      <c r="M129" s="6" t="str">
        <f>IFERROR(__xludf.DUMMYFUNCTION("""COMPUTED_VALUE"""),"becomes")</f>
        <v>becomes</v>
      </c>
      <c r="N129" s="6" t="str">
        <f>IFERROR(__xludf.DUMMYFUNCTION("""COMPUTED_VALUE"""),"somehow")</f>
        <v>somehow</v>
      </c>
      <c r="P129" s="6" t="str">
        <f>IFERROR(__xludf.DUMMYFUNCTION("""COMPUTED_VALUE"""),"hate")</f>
        <v>hate</v>
      </c>
      <c r="Q129" s="6" t="str">
        <f>IFERROR(__xludf.DUMMYFUNCTION("""COMPUTED_VALUE"""),"intensity")</f>
        <v>intensity</v>
      </c>
      <c r="S129" s="6" t="str">
        <f>IFERROR(__xludf.DUMMYFUNCTION("""COMPUTED_VALUE"""),"life")</f>
        <v>life</v>
      </c>
    </row>
    <row r="130">
      <c r="A130" s="6" t="str">
        <f>IFERROR(__xludf.DUMMYFUNCTION("""COMPUTED_VALUE"""),"shorter")</f>
        <v>shorter</v>
      </c>
      <c r="C130" s="6" t="str">
        <f>IFERROR(__xludf.DUMMYFUNCTION("""COMPUTED_VALUE"""),"portrays")</f>
        <v>portrays</v>
      </c>
      <c r="D130" s="6"/>
      <c r="E130" s="6" t="str">
        <f>IFERROR(__xludf.DUMMYFUNCTION("""COMPUTED_VALUE"""),"sweetly")</f>
        <v>sweetly</v>
      </c>
      <c r="G130" s="6" t="str">
        <f>IFERROR(__xludf.DUMMYFUNCTION("""COMPUTED_VALUE"""),"cinematography")</f>
        <v>cinematography</v>
      </c>
      <c r="H130" s="6" t="str">
        <f>IFERROR(__xludf.DUMMYFUNCTION("""COMPUTED_VALUE"""),"generosity")</f>
        <v>generosity</v>
      </c>
      <c r="I130" s="6" t="str">
        <f>IFERROR(__xludf.DUMMYFUNCTION("""COMPUTED_VALUE"""),"interesting")</f>
        <v>interesting</v>
      </c>
      <c r="J130" s="6" t="str">
        <f>IFERROR(__xludf.DUMMYFUNCTION("""COMPUTED_VALUE"""),"betrayed")</f>
        <v>betrayed</v>
      </c>
      <c r="L130" s="6" t="str">
        <f>IFERROR(__xludf.DUMMYFUNCTION("""COMPUTED_VALUE"""),"urban")</f>
        <v>urban</v>
      </c>
      <c r="M130" s="6" t="str">
        <f>IFERROR(__xludf.DUMMYFUNCTION("""COMPUTED_VALUE"""),"merely")</f>
        <v>merely</v>
      </c>
      <c r="N130" s="6" t="str">
        <f>IFERROR(__xludf.DUMMYFUNCTION("""COMPUTED_VALUE"""),"irritating")</f>
        <v>irritating</v>
      </c>
      <c r="P130" s="6" t="str">
        <f>IFERROR(__xludf.DUMMYFUNCTION("""COMPUTED_VALUE"""),"recent")</f>
        <v>recent</v>
      </c>
      <c r="Q130" s="6" t="str">
        <f>IFERROR(__xludf.DUMMYFUNCTION("""COMPUTED_VALUE"""),"manages")</f>
        <v>manages</v>
      </c>
      <c r="S130" s="6" t="str">
        <f>IFERROR(__xludf.DUMMYFUNCTION("""COMPUTED_VALUE"""),"fun")</f>
        <v>fun</v>
      </c>
    </row>
    <row r="131">
      <c r="A131" s="6" t="str">
        <f>IFERROR(__xludf.DUMMYFUNCTION("""COMPUTED_VALUE"""),"refuses")</f>
        <v>refuses</v>
      </c>
      <c r="C131" s="6" t="str">
        <f>IFERROR(__xludf.DUMMYFUNCTION("""COMPUTED_VALUE"""),"profound")</f>
        <v>profound</v>
      </c>
      <c r="D131" s="6"/>
      <c r="E131" s="6" t="str">
        <f>IFERROR(__xludf.DUMMYFUNCTION("""COMPUTED_VALUE"""),"infectious")</f>
        <v>infectious</v>
      </c>
      <c r="G131" s="6" t="str">
        <f>IFERROR(__xludf.DUMMYFUNCTION("""COMPUTED_VALUE"""),"chateau")</f>
        <v>chateau</v>
      </c>
      <c r="H131" s="6" t="str">
        <f>IFERROR(__xludf.DUMMYFUNCTION("""COMPUTED_VALUE"""),"engaging")</f>
        <v>engaging</v>
      </c>
      <c r="I131" s="6" t="str">
        <f>IFERROR(__xludf.DUMMYFUNCTION("""COMPUTED_VALUE"""),"works")</f>
        <v>works</v>
      </c>
      <c r="J131" s="6" t="str">
        <f>IFERROR(__xludf.DUMMYFUNCTION("""COMPUTED_VALUE"""),"surprisingly")</f>
        <v>surprisingly</v>
      </c>
      <c r="L131" s="6" t="str">
        <f>IFERROR(__xludf.DUMMYFUNCTION("""COMPUTED_VALUE"""),"celebration")</f>
        <v>celebration</v>
      </c>
      <c r="M131" s="6" t="str">
        <f>IFERROR(__xludf.DUMMYFUNCTION("""COMPUTED_VALUE"""),"scenes")</f>
        <v>scenes</v>
      </c>
      <c r="N131" s="6" t="str">
        <f>IFERROR(__xludf.DUMMYFUNCTION("""COMPUTED_VALUE"""),"fascinating")</f>
        <v>fascinating</v>
      </c>
      <c r="P131" s="6" t="str">
        <f>IFERROR(__xludf.DUMMYFUNCTION("""COMPUTED_VALUE"""),"addition")</f>
        <v>addition</v>
      </c>
      <c r="Q131" s="6" t="str">
        <f>IFERROR(__xludf.DUMMYFUNCTION("""COMPUTED_VALUE"""),"flair")</f>
        <v>flair</v>
      </c>
      <c r="S131" s="6" t="b">
        <f>IFERROR(__xludf.DUMMYFUNCTION("""COMPUTED_VALUE"""),TRUE)</f>
        <v>1</v>
      </c>
    </row>
    <row r="132">
      <c r="A132" s="6" t="str">
        <f>IFERROR(__xludf.DUMMYFUNCTION("""COMPUTED_VALUE"""),"bravery")</f>
        <v>bravery</v>
      </c>
      <c r="C132" s="6" t="str">
        <f>IFERROR(__xludf.DUMMYFUNCTION("""COMPUTED_VALUE"""),"dubious")</f>
        <v>dubious</v>
      </c>
      <c r="D132" s="6"/>
      <c r="E132" s="6" t="str">
        <f>IFERROR(__xludf.DUMMYFUNCTION("""COMPUTED_VALUE"""),"conspicuous")</f>
        <v>conspicuous</v>
      </c>
      <c r="G132" s="6" t="str">
        <f>IFERROR(__xludf.DUMMYFUNCTION("""COMPUTED_VALUE"""),"violence")</f>
        <v>violence</v>
      </c>
      <c r="H132" s="6" t="str">
        <f>IFERROR(__xludf.DUMMYFUNCTION("""COMPUTED_VALUE"""),"collapse")</f>
        <v>collapse</v>
      </c>
      <c r="I132" s="6" t="str">
        <f>IFERROR(__xludf.DUMMYFUNCTION("""COMPUTED_VALUE"""),"keeping")</f>
        <v>keeping</v>
      </c>
      <c r="J132" s="6" t="str">
        <f>IFERROR(__xludf.DUMMYFUNCTION("""COMPUTED_VALUE"""),"bourne")</f>
        <v>bourne</v>
      </c>
      <c r="L132" s="6" t="str">
        <f>IFERROR(__xludf.DUMMYFUNCTION("""COMPUTED_VALUE"""),"bridge")</f>
        <v>bridge</v>
      </c>
      <c r="M132" s="6" t="str">
        <f>IFERROR(__xludf.DUMMYFUNCTION("""COMPUTED_VALUE"""),"successful")</f>
        <v>successful</v>
      </c>
      <c r="N132" s="6" t="str">
        <f>IFERROR(__xludf.DUMMYFUNCTION("""COMPUTED_VALUE"""),"rhythms")</f>
        <v>rhythms</v>
      </c>
      <c r="P132" s="6" t="str">
        <f>IFERROR(__xludf.DUMMYFUNCTION("""COMPUTED_VALUE"""),"generally")</f>
        <v>generally</v>
      </c>
      <c r="Q132" s="6" t="str">
        <f>IFERROR(__xludf.DUMMYFUNCTION("""COMPUTED_VALUE"""),"terrific")</f>
        <v>terrific</v>
      </c>
      <c r="S132" s="6" t="str">
        <f>IFERROR(__xludf.DUMMYFUNCTION("""COMPUTED_VALUE"""),"historically")</f>
        <v>historically</v>
      </c>
    </row>
    <row r="133">
      <c r="A133" s="6" t="str">
        <f>IFERROR(__xludf.DUMMYFUNCTION("""COMPUTED_VALUE"""),"spontaneous")</f>
        <v>spontaneous</v>
      </c>
      <c r="C133" s="6" t="str">
        <f>IFERROR(__xludf.DUMMYFUNCTION("""COMPUTED_VALUE"""),"hampered")</f>
        <v>hampered</v>
      </c>
      <c r="D133" s="6"/>
      <c r="E133" s="6" t="str">
        <f>IFERROR(__xludf.DUMMYFUNCTION("""COMPUTED_VALUE"""),"thud")</f>
        <v>thud</v>
      </c>
      <c r="G133" s="6" t="str">
        <f>IFERROR(__xludf.DUMMYFUNCTION("""COMPUTED_VALUE"""),"use")</f>
        <v>use</v>
      </c>
      <c r="H133" s="6" t="str">
        <f>IFERROR(__xludf.DUMMYFUNCTION("""COMPUTED_VALUE"""),"flaws")</f>
        <v>flaws</v>
      </c>
      <c r="I133" s="6" t="str">
        <f>IFERROR(__xludf.DUMMYFUNCTION("""COMPUTED_VALUE"""),"sequel")</f>
        <v>sequel</v>
      </c>
      <c r="J133" s="6" t="str">
        <f>IFERROR(__xludf.DUMMYFUNCTION("""COMPUTED_VALUE"""),"conviction")</f>
        <v>conviction</v>
      </c>
      <c r="L133" s="6" t="str">
        <f>IFERROR(__xludf.DUMMYFUNCTION("""COMPUTED_VALUE"""),"warm")</f>
        <v>warm</v>
      </c>
      <c r="M133" s="6" t="str">
        <f>IFERROR(__xludf.DUMMYFUNCTION("""COMPUTED_VALUE"""),"levels")</f>
        <v>levels</v>
      </c>
      <c r="N133" s="6" t="str">
        <f>IFERROR(__xludf.DUMMYFUNCTION("""COMPUTED_VALUE"""),"slick")</f>
        <v>slick</v>
      </c>
      <c r="P133" s="6" t="str">
        <f>IFERROR(__xludf.DUMMYFUNCTION("""COMPUTED_VALUE"""),"mystery")</f>
        <v>mystery</v>
      </c>
      <c r="Q133" s="6" t="str">
        <f>IFERROR(__xludf.DUMMYFUNCTION("""COMPUTED_VALUE"""),"family")</f>
        <v>family</v>
      </c>
      <c r="S133" s="6" t="str">
        <f>IFERROR(__xludf.DUMMYFUNCTION("""COMPUTED_VALUE"""),"first")</f>
        <v>first</v>
      </c>
    </row>
    <row r="134">
      <c r="A134" s="6" t="str">
        <f>IFERROR(__xludf.DUMMYFUNCTION("""COMPUTED_VALUE"""),"quietly")</f>
        <v>quietly</v>
      </c>
      <c r="C134" s="6" t="str">
        <f>IFERROR(__xludf.DUMMYFUNCTION("""COMPUTED_VALUE"""),"niche")</f>
        <v>niche</v>
      </c>
      <c r="D134" s="6"/>
      <c r="E134" s="6" t="str">
        <f>IFERROR(__xludf.DUMMYFUNCTION("""COMPUTED_VALUE"""),"represents")</f>
        <v>represents</v>
      </c>
      <c r="G134" s="6" t="str">
        <f>IFERROR(__xludf.DUMMYFUNCTION("""COMPUTED_VALUE"""),"lesser")</f>
        <v>lesser</v>
      </c>
      <c r="H134" s="6" t="str">
        <f>IFERROR(__xludf.DUMMYFUNCTION("""COMPUTED_VALUE"""),"tool")</f>
        <v>tool</v>
      </c>
      <c r="I134" s="6" t="str">
        <f>IFERROR(__xludf.DUMMYFUNCTION("""COMPUTED_VALUE"""),"archives")</f>
        <v>archives</v>
      </c>
      <c r="J134" s="6" t="str">
        <f>IFERROR(__xludf.DUMMYFUNCTION("""COMPUTED_VALUE"""),"brings")</f>
        <v>brings</v>
      </c>
      <c r="L134" s="6" t="str">
        <f>IFERROR(__xludf.DUMMYFUNCTION("""COMPUTED_VALUE"""),"metaphor")</f>
        <v>metaphor</v>
      </c>
      <c r="M134" s="6" t="str">
        <f>IFERROR(__xludf.DUMMYFUNCTION("""COMPUTED_VALUE"""),"intelligent")</f>
        <v>intelligent</v>
      </c>
      <c r="N134" s="6" t="str">
        <f>IFERROR(__xludf.DUMMYFUNCTION("""COMPUTED_VALUE"""),"actresses")</f>
        <v>actresses</v>
      </c>
      <c r="P134" s="6" t="str">
        <f>IFERROR(__xludf.DUMMYFUNCTION("""COMPUTED_VALUE"""),"put")</f>
        <v>put</v>
      </c>
      <c r="Q134" s="6" t="str">
        <f>IFERROR(__xludf.DUMMYFUNCTION("""COMPUTED_VALUE"""),"entertainment")</f>
        <v>entertainment</v>
      </c>
      <c r="S134" s="6" t="str">
        <f>IFERROR(__xludf.DUMMYFUNCTION("""COMPUTED_VALUE"""),"two")</f>
        <v>two</v>
      </c>
    </row>
    <row r="135">
      <c r="A135" s="6" t="str">
        <f>IFERROR(__xludf.DUMMYFUNCTION("""COMPUTED_VALUE"""),"portrays")</f>
        <v>portrays</v>
      </c>
      <c r="C135" s="6" t="str">
        <f>IFERROR(__xludf.DUMMYFUNCTION("""COMPUTED_VALUE"""),"slack")</f>
        <v>slack</v>
      </c>
      <c r="D135" s="6"/>
      <c r="E135" s="6" t="str">
        <f>IFERROR(__xludf.DUMMYFUNCTION("""COMPUTED_VALUE"""),"exploitation")</f>
        <v>exploitation</v>
      </c>
      <c r="G135" s="6" t="str">
        <f>IFERROR(__xludf.DUMMYFUNCTION("""COMPUTED_VALUE"""),"thriller")</f>
        <v>thriller</v>
      </c>
      <c r="H135" s="6" t="str">
        <f>IFERROR(__xludf.DUMMYFUNCTION("""COMPUTED_VALUE"""),"effective")</f>
        <v>effective</v>
      </c>
      <c r="I135" s="6" t="str">
        <f>IFERROR(__xludf.DUMMYFUNCTION("""COMPUTED_VALUE"""),"despite")</f>
        <v>despite</v>
      </c>
      <c r="J135" s="6" t="str">
        <f>IFERROR(__xludf.DUMMYFUNCTION("""COMPUTED_VALUE"""),"diplomacy")</f>
        <v>diplomacy</v>
      </c>
      <c r="L135" s="6" t="str">
        <f>IFERROR(__xludf.DUMMYFUNCTION("""COMPUTED_VALUE"""),"resonance")</f>
        <v>resonance</v>
      </c>
      <c r="M135" s="6" t="str">
        <f>IFERROR(__xludf.DUMMYFUNCTION("""COMPUTED_VALUE"""),"moving")</f>
        <v>moving</v>
      </c>
      <c r="N135" s="6" t="str">
        <f>IFERROR(__xludf.DUMMYFUNCTION("""COMPUTED_VALUE"""),"lau")</f>
        <v>lau</v>
      </c>
      <c r="P135" s="6" t="str">
        <f>IFERROR(__xludf.DUMMYFUNCTION("""COMPUTED_VALUE"""),"em")</f>
        <v>em</v>
      </c>
      <c r="Q135" s="6" t="str">
        <f>IFERROR(__xludf.DUMMYFUNCTION("""COMPUTED_VALUE"""),"animated")</f>
        <v>animated</v>
      </c>
      <c r="S135" s="6" t="str">
        <f>IFERROR(__xludf.DUMMYFUNCTION("""COMPUTED_VALUE"""),"appear")</f>
        <v>appear</v>
      </c>
    </row>
    <row r="136">
      <c r="A136" s="6" t="str">
        <f>IFERROR(__xludf.DUMMYFUNCTION("""COMPUTED_VALUE"""),"profound")</f>
        <v>profound</v>
      </c>
      <c r="C136" s="6" t="str">
        <f>IFERROR(__xludf.DUMMYFUNCTION("""COMPUTED_VALUE"""),"vital")</f>
        <v>vital</v>
      </c>
      <c r="D136" s="6"/>
      <c r="E136" s="6" t="str">
        <f>IFERROR(__xludf.DUMMYFUNCTION("""COMPUTED_VALUE"""),"triumph")</f>
        <v>triumph</v>
      </c>
      <c r="G136" s="6" t="str">
        <f>IFERROR(__xludf.DUMMYFUNCTION("""COMPUTED_VALUE"""),"manner")</f>
        <v>manner</v>
      </c>
      <c r="H136" s="6" t="str">
        <f>IFERROR(__xludf.DUMMYFUNCTION("""COMPUTED_VALUE"""),"community")</f>
        <v>community</v>
      </c>
      <c r="I136" s="6" t="str">
        <f>IFERROR(__xludf.DUMMYFUNCTION("""COMPUTED_VALUE"""),"argues")</f>
        <v>argues</v>
      </c>
      <c r="J136" s="6" t="str">
        <f>IFERROR(__xludf.DUMMYFUNCTION("""COMPUTED_VALUE"""),"generosity")</f>
        <v>generosity</v>
      </c>
      <c r="L136" s="6" t="str">
        <f>IFERROR(__xludf.DUMMYFUNCTION("""COMPUTED_VALUE"""),"viewers")</f>
        <v>viewers</v>
      </c>
      <c r="M136" s="6" t="str">
        <f>IFERROR(__xludf.DUMMYFUNCTION("""COMPUTED_VALUE"""),"grade")</f>
        <v>grade</v>
      </c>
      <c r="N136" s="6" t="str">
        <f>IFERROR(__xludf.DUMMYFUNCTION("""COMPUTED_VALUE"""),"grant")</f>
        <v>grant</v>
      </c>
      <c r="P136" s="6" t="str">
        <f>IFERROR(__xludf.DUMMYFUNCTION("""COMPUTED_VALUE"""),"late")</f>
        <v>late</v>
      </c>
      <c r="Q136" s="6" t="str">
        <f>IFERROR(__xludf.DUMMYFUNCTION("""COMPUTED_VALUE"""),"anyone")</f>
        <v>anyone</v>
      </c>
      <c r="S136" s="6" t="str">
        <f>IFERROR(__xludf.DUMMYFUNCTION("""COMPUTED_VALUE"""),"reaction")</f>
        <v>reaction</v>
      </c>
    </row>
    <row r="137">
      <c r="A137" s="6" t="str">
        <f>IFERROR(__xludf.DUMMYFUNCTION("""COMPUTED_VALUE"""),"dubious")</f>
        <v>dubious</v>
      </c>
      <c r="C137" s="6" t="str">
        <f>IFERROR(__xludf.DUMMYFUNCTION("""COMPUTED_VALUE"""),"sweetly")</f>
        <v>sweetly</v>
      </c>
      <c r="D137" s="6"/>
      <c r="E137" s="6" t="str">
        <f>IFERROR(__xludf.DUMMYFUNCTION("""COMPUTED_VALUE"""),"breakthrough")</f>
        <v>breakthrough</v>
      </c>
      <c r="G137" s="6" t="str">
        <f>IFERROR(__xludf.DUMMYFUNCTION("""COMPUTED_VALUE"""),"potent")</f>
        <v>potent</v>
      </c>
      <c r="H137" s="6" t="str">
        <f>IFERROR(__xludf.DUMMYFUNCTION("""COMPUTED_VALUE"""),"conquer")</f>
        <v>conquer</v>
      </c>
      <c r="I137" s="6" t="str">
        <f>IFERROR(__xludf.DUMMYFUNCTION("""COMPUTED_VALUE"""),"problem")</f>
        <v>problem</v>
      </c>
      <c r="J137" s="6" t="str">
        <f>IFERROR(__xludf.DUMMYFUNCTION("""COMPUTED_VALUE"""),"engaging")</f>
        <v>engaging</v>
      </c>
      <c r="L137" s="6" t="str">
        <f>IFERROR(__xludf.DUMMYFUNCTION("""COMPUTED_VALUE"""),"format")</f>
        <v>format</v>
      </c>
      <c r="M137" s="6" t="str">
        <f>IFERROR(__xludf.DUMMYFUNCTION("""COMPUTED_VALUE"""),"end")</f>
        <v>end</v>
      </c>
      <c r="N137" s="6" t="str">
        <f>IFERROR(__xludf.DUMMYFUNCTION("""COMPUTED_VALUE"""),"hugh")</f>
        <v>hugh</v>
      </c>
      <c r="P137" s="6" t="str">
        <f>IFERROR(__xludf.DUMMYFUNCTION("""COMPUTED_VALUE"""),"go")</f>
        <v>go</v>
      </c>
      <c r="Q137" s="6" t="str">
        <f>IFERROR(__xludf.DUMMYFUNCTION("""COMPUTED_VALUE"""),"central")</f>
        <v>central</v>
      </c>
      <c r="S137" s="6" t="str">
        <f>IFERROR(__xludf.DUMMYFUNCTION("""COMPUTED_VALUE"""),"throw")</f>
        <v>throw</v>
      </c>
    </row>
    <row r="138">
      <c r="A138" s="6" t="str">
        <f>IFERROR(__xludf.DUMMYFUNCTION("""COMPUTED_VALUE"""),"hampered")</f>
        <v>hampered</v>
      </c>
      <c r="C138" s="6" t="str">
        <f>IFERROR(__xludf.DUMMYFUNCTION("""COMPUTED_VALUE"""),"infectious")</f>
        <v>infectious</v>
      </c>
      <c r="D138" s="6"/>
      <c r="E138" s="6" t="str">
        <f>IFERROR(__xludf.DUMMYFUNCTION("""COMPUTED_VALUE"""),"unmistakable")</f>
        <v>unmistakable</v>
      </c>
      <c r="G138" s="6" t="str">
        <f>IFERROR(__xludf.DUMMYFUNCTION("""COMPUTED_VALUE"""),"insult")</f>
        <v>insult</v>
      </c>
      <c r="H138" s="6" t="str">
        <f>IFERROR(__xludf.DUMMYFUNCTION("""COMPUTED_VALUE"""),"delivers")</f>
        <v>delivers</v>
      </c>
      <c r="I138" s="6" t="str">
        <f>IFERROR(__xludf.DUMMYFUNCTION("""COMPUTED_VALUE"""),"mere")</f>
        <v>mere</v>
      </c>
      <c r="J138" s="6" t="str">
        <f>IFERROR(__xludf.DUMMYFUNCTION("""COMPUTED_VALUE"""),"collapse")</f>
        <v>collapse</v>
      </c>
      <c r="L138" s="6" t="str">
        <f>IFERROR(__xludf.DUMMYFUNCTION("""COMPUTED_VALUE"""),"drama")</f>
        <v>drama</v>
      </c>
      <c r="M138" s="6" t="str">
        <f>IFERROR(__xludf.DUMMYFUNCTION("""COMPUTED_VALUE"""),"failing")</f>
        <v>failing</v>
      </c>
      <c r="N138" s="6" t="str">
        <f>IFERROR(__xludf.DUMMYFUNCTION("""COMPUTED_VALUE"""),"stay")</f>
        <v>stay</v>
      </c>
      <c r="P138" s="6" t="str">
        <f>IFERROR(__xludf.DUMMYFUNCTION("""COMPUTED_VALUE"""),"work")</f>
        <v>work</v>
      </c>
      <c r="Q138" s="6" t="str">
        <f>IFERROR(__xludf.DUMMYFUNCTION("""COMPUTED_VALUE"""),"parody")</f>
        <v>parody</v>
      </c>
      <c r="S138" s="6" t="str">
        <f>IFERROR(__xludf.DUMMYFUNCTION("""COMPUTED_VALUE"""),"actors")</f>
        <v>actors</v>
      </c>
    </row>
    <row r="139">
      <c r="A139" s="6" t="str">
        <f>IFERROR(__xludf.DUMMYFUNCTION("""COMPUTED_VALUE"""),"niche")</f>
        <v>niche</v>
      </c>
      <c r="C139" s="6" t="str">
        <f>IFERROR(__xludf.DUMMYFUNCTION("""COMPUTED_VALUE"""),"conspicuous")</f>
        <v>conspicuous</v>
      </c>
      <c r="D139" s="6"/>
      <c r="E139" s="6" t="str">
        <f>IFERROR(__xludf.DUMMYFUNCTION("""COMPUTED_VALUE"""),"capture")</f>
        <v>capture</v>
      </c>
      <c r="G139" s="6" t="str">
        <f>IFERROR(__xludf.DUMMYFUNCTION("""COMPUTED_VALUE"""),"complete")</f>
        <v>complete</v>
      </c>
      <c r="H139" s="6" t="str">
        <f>IFERROR(__xludf.DUMMYFUNCTION("""COMPUTED_VALUE"""),"roll")</f>
        <v>roll</v>
      </c>
      <c r="I139" s="6">
        <f>IFERROR(__xludf.DUMMYFUNCTION("""COMPUTED_VALUE"""),84.0)</f>
        <v>84</v>
      </c>
      <c r="J139" s="6" t="str">
        <f>IFERROR(__xludf.DUMMYFUNCTION("""COMPUTED_VALUE"""),"tool")</f>
        <v>tool</v>
      </c>
      <c r="L139" s="6" t="str">
        <f>IFERROR(__xludf.DUMMYFUNCTION("""COMPUTED_VALUE"""),"debut")</f>
        <v>debut</v>
      </c>
      <c r="M139" s="6" t="str">
        <f>IFERROR(__xludf.DUMMYFUNCTION("""COMPUTED_VALUE"""),"opera")</f>
        <v>opera</v>
      </c>
      <c r="N139" s="6" t="str">
        <f>IFERROR(__xludf.DUMMYFUNCTION("""COMPUTED_VALUE"""),"insight")</f>
        <v>insight</v>
      </c>
      <c r="P139" s="6" t="str">
        <f>IFERROR(__xludf.DUMMYFUNCTION("""COMPUTED_VALUE"""),"fluid")</f>
        <v>fluid</v>
      </c>
      <c r="Q139" s="6" t="str">
        <f>IFERROR(__xludf.DUMMYFUNCTION("""COMPUTED_VALUE"""),"pulp")</f>
        <v>pulp</v>
      </c>
      <c r="S139" s="6" t="str">
        <f>IFERROR(__xludf.DUMMYFUNCTION("""COMPUTED_VALUE"""),"family")</f>
        <v>family</v>
      </c>
    </row>
    <row r="140">
      <c r="A140" s="6" t="str">
        <f>IFERROR(__xludf.DUMMYFUNCTION("""COMPUTED_VALUE"""),"slack")</f>
        <v>slack</v>
      </c>
      <c r="C140" s="6" t="str">
        <f>IFERROR(__xludf.DUMMYFUNCTION("""COMPUTED_VALUE"""),"thud")</f>
        <v>thud</v>
      </c>
      <c r="D140" s="6"/>
      <c r="E140" s="6" t="str">
        <f>IFERROR(__xludf.DUMMYFUNCTION("""COMPUTED_VALUE"""),"penetrating")</f>
        <v>penetrating</v>
      </c>
      <c r="G140" s="6" t="str">
        <f>IFERROR(__xludf.DUMMYFUNCTION("""COMPUTED_VALUE"""),"politics")</f>
        <v>politics</v>
      </c>
      <c r="H140" s="6" t="str">
        <f>IFERROR(__xludf.DUMMYFUNCTION("""COMPUTED_VALUE"""),"suspense")</f>
        <v>suspense</v>
      </c>
      <c r="I140" s="6" t="str">
        <f>IFERROR(__xludf.DUMMYFUNCTION("""COMPUTED_VALUE"""),"remarkable")</f>
        <v>remarkable</v>
      </c>
      <c r="J140" s="6" t="str">
        <f>IFERROR(__xludf.DUMMYFUNCTION("""COMPUTED_VALUE"""),"community")</f>
        <v>community</v>
      </c>
      <c r="L140" s="6" t="str">
        <f>IFERROR(__xludf.DUMMYFUNCTION("""COMPUTED_VALUE"""),"haunting")</f>
        <v>haunting</v>
      </c>
      <c r="M140" s="6" t="str">
        <f>IFERROR(__xludf.DUMMYFUNCTION("""COMPUTED_VALUE"""),"soap")</f>
        <v>soap</v>
      </c>
      <c r="N140" s="6" t="str">
        <f>IFERROR(__xludf.DUMMYFUNCTION("""COMPUTED_VALUE"""),"urban")</f>
        <v>urban</v>
      </c>
      <c r="P140" s="6" t="str">
        <f>IFERROR(__xludf.DUMMYFUNCTION("""COMPUTED_VALUE"""),"direction")</f>
        <v>direction</v>
      </c>
      <c r="Q140" s="6" t="str">
        <f>IFERROR(__xludf.DUMMYFUNCTION("""COMPUTED_VALUE"""),"difference")</f>
        <v>difference</v>
      </c>
      <c r="S140" s="6" t="str">
        <f>IFERROR(__xludf.DUMMYFUNCTION("""COMPUTED_VALUE"""),"intensity")</f>
        <v>intensity</v>
      </c>
    </row>
    <row r="141">
      <c r="A141" s="6" t="str">
        <f>IFERROR(__xludf.DUMMYFUNCTION("""COMPUTED_VALUE"""),"vital")</f>
        <v>vital</v>
      </c>
      <c r="C141" s="6" t="str">
        <f>IFERROR(__xludf.DUMMYFUNCTION("""COMPUTED_VALUE"""),"exploitation")</f>
        <v>exploitation</v>
      </c>
      <c r="D141" s="6"/>
      <c r="E141" s="6" t="str">
        <f>IFERROR(__xludf.DUMMYFUNCTION("""COMPUTED_VALUE"""),"fascination")</f>
        <v>fascination</v>
      </c>
      <c r="G141" s="6" t="str">
        <f>IFERROR(__xludf.DUMMYFUNCTION("""COMPUTED_VALUE"""),"captures")</f>
        <v>captures</v>
      </c>
      <c r="H141" s="6" t="str">
        <f>IFERROR(__xludf.DUMMYFUNCTION("""COMPUTED_VALUE"""),"lacking")</f>
        <v>lacking</v>
      </c>
      <c r="I141" s="6" t="str">
        <f>IFERROR(__xludf.DUMMYFUNCTION("""COMPUTED_VALUE"""),"date")</f>
        <v>date</v>
      </c>
      <c r="J141" s="6" t="str">
        <f>IFERROR(__xludf.DUMMYFUNCTION("""COMPUTED_VALUE"""),"set")</f>
        <v>set</v>
      </c>
      <c r="L141" s="6" t="str">
        <f>IFERROR(__xludf.DUMMYFUNCTION("""COMPUTED_VALUE"""),"observation")</f>
        <v>observation</v>
      </c>
      <c r="M141" s="6" t="str">
        <f>IFERROR(__xludf.DUMMYFUNCTION("""COMPUTED_VALUE"""),"failure")</f>
        <v>failure</v>
      </c>
      <c r="N141" s="6" t="str">
        <f>IFERROR(__xludf.DUMMYFUNCTION("""COMPUTED_VALUE"""),"celebration")</f>
        <v>celebration</v>
      </c>
      <c r="P141" s="6" t="str">
        <f>IFERROR(__xludf.DUMMYFUNCTION("""COMPUTED_VALUE"""),"deal")</f>
        <v>deal</v>
      </c>
      <c r="Q141" s="6" t="str">
        <f>IFERROR(__xludf.DUMMYFUNCTION("""COMPUTED_VALUE"""),"alternating")</f>
        <v>alternating</v>
      </c>
      <c r="S141" s="6" t="str">
        <f>IFERROR(__xludf.DUMMYFUNCTION("""COMPUTED_VALUE"""),"manages")</f>
        <v>manages</v>
      </c>
    </row>
    <row r="142">
      <c r="A142" s="6" t="str">
        <f>IFERROR(__xludf.DUMMYFUNCTION("""COMPUTED_VALUE"""),"sweetly")</f>
        <v>sweetly</v>
      </c>
      <c r="C142" s="6" t="str">
        <f>IFERROR(__xludf.DUMMYFUNCTION("""COMPUTED_VALUE"""),"triumph")</f>
        <v>triumph</v>
      </c>
      <c r="D142" s="6"/>
      <c r="E142" s="6" t="str">
        <f>IFERROR(__xludf.DUMMYFUNCTION("""COMPUTED_VALUE"""),"economical")</f>
        <v>economical</v>
      </c>
      <c r="G142" s="6" t="str">
        <f>IFERROR(__xludf.DUMMYFUNCTION("""COMPUTED_VALUE"""),"sexuality")</f>
        <v>sexuality</v>
      </c>
      <c r="H142" s="6" t="str">
        <f>IFERROR(__xludf.DUMMYFUNCTION("""COMPUTED_VALUE"""),"portrayal")</f>
        <v>portrayal</v>
      </c>
      <c r="I142" s="6" t="str">
        <f>IFERROR(__xludf.DUMMYFUNCTION("""COMPUTED_VALUE"""),"short")</f>
        <v>short</v>
      </c>
      <c r="J142" s="6" t="str">
        <f>IFERROR(__xludf.DUMMYFUNCTION("""COMPUTED_VALUE"""),"phones")</f>
        <v>phones</v>
      </c>
      <c r="L142" s="6" t="str">
        <f>IFERROR(__xludf.DUMMYFUNCTION("""COMPUTED_VALUE"""),"beings")</f>
        <v>beings</v>
      </c>
      <c r="M142" s="6" t="str">
        <f>IFERROR(__xludf.DUMMYFUNCTION("""COMPUTED_VALUE"""),"powerful")</f>
        <v>powerful</v>
      </c>
      <c r="N142" s="6" t="str">
        <f>IFERROR(__xludf.DUMMYFUNCTION("""COMPUTED_VALUE"""),"warm")</f>
        <v>warm</v>
      </c>
      <c r="P142" s="6" t="str">
        <f>IFERROR(__xludf.DUMMYFUNCTION("""COMPUTED_VALUE"""),"ron")</f>
        <v>ron</v>
      </c>
      <c r="Q142" s="6" t="str">
        <f>IFERROR(__xludf.DUMMYFUNCTION("""COMPUTED_VALUE"""),"questions")</f>
        <v>questions</v>
      </c>
      <c r="S142" s="6" t="str">
        <f>IFERROR(__xludf.DUMMYFUNCTION("""COMPUTED_VALUE"""),"entertainment")</f>
        <v>entertainment</v>
      </c>
    </row>
    <row r="143">
      <c r="A143" s="6" t="str">
        <f>IFERROR(__xludf.DUMMYFUNCTION("""COMPUTED_VALUE"""),"infectious")</f>
        <v>infectious</v>
      </c>
      <c r="C143" s="6" t="str">
        <f>IFERROR(__xludf.DUMMYFUNCTION("""COMPUTED_VALUE"""),"spends")</f>
        <v>spends</v>
      </c>
      <c r="D143" s="6"/>
      <c r="E143" s="6" t="str">
        <f>IFERROR(__xludf.DUMMYFUNCTION("""COMPUTED_VALUE"""),"costly")</f>
        <v>costly</v>
      </c>
      <c r="G143" s="6" t="str">
        <f>IFERROR(__xludf.DUMMYFUNCTION("""COMPUTED_VALUE"""),"combining")</f>
        <v>combining</v>
      </c>
      <c r="H143" s="6" t="str">
        <f>IFERROR(__xludf.DUMMYFUNCTION("""COMPUTED_VALUE"""),"realistic")</f>
        <v>realistic</v>
      </c>
      <c r="I143" s="6" t="str">
        <f>IFERROR(__xludf.DUMMYFUNCTION("""COMPUTED_VALUE"""),"pleasant")</f>
        <v>pleasant</v>
      </c>
      <c r="J143" s="6" t="str">
        <f>IFERROR(__xludf.DUMMYFUNCTION("""COMPUTED_VALUE"""),"delivers")</f>
        <v>delivers</v>
      </c>
      <c r="L143" s="6" t="str">
        <f>IFERROR(__xludf.DUMMYFUNCTION("""COMPUTED_VALUE"""),"becomes")</f>
        <v>becomes</v>
      </c>
      <c r="M143" s="6" t="str">
        <f>IFERROR(__xludf.DUMMYFUNCTION("""COMPUTED_VALUE"""),"reason")</f>
        <v>reason</v>
      </c>
      <c r="N143" s="6" t="str">
        <f>IFERROR(__xludf.DUMMYFUNCTION("""COMPUTED_VALUE"""),"energy")</f>
        <v>energy</v>
      </c>
      <c r="P143" s="6" t="str">
        <f>IFERROR(__xludf.DUMMYFUNCTION("""COMPUTED_VALUE"""),"piece")</f>
        <v>piece</v>
      </c>
      <c r="Q143" s="6" t="str">
        <f>IFERROR(__xludf.DUMMYFUNCTION("""COMPUTED_VALUE"""),"moments")</f>
        <v>moments</v>
      </c>
      <c r="S143" s="6" t="str">
        <f>IFERROR(__xludf.DUMMYFUNCTION("""COMPUTED_VALUE"""),"animated")</f>
        <v>animated</v>
      </c>
    </row>
    <row r="144">
      <c r="A144" s="6" t="str">
        <f>IFERROR(__xludf.DUMMYFUNCTION("""COMPUTED_VALUE"""),"conspicuous")</f>
        <v>conspicuous</v>
      </c>
      <c r="C144" s="6" t="str">
        <f>IFERROR(__xludf.DUMMYFUNCTION("""COMPUTED_VALUE"""),"breakthrough")</f>
        <v>breakthrough</v>
      </c>
      <c r="D144" s="6"/>
      <c r="E144" s="6" t="str">
        <f>IFERROR(__xludf.DUMMYFUNCTION("""COMPUTED_VALUE"""),"tuned")</f>
        <v>tuned</v>
      </c>
      <c r="G144" s="6" t="str">
        <f>IFERROR(__xludf.DUMMYFUNCTION("""COMPUTED_VALUE"""),"offensive")</f>
        <v>offensive</v>
      </c>
      <c r="H144" s="6" t="str">
        <f>IFERROR(__xludf.DUMMYFUNCTION("""COMPUTED_VALUE"""),"trying")</f>
        <v>trying</v>
      </c>
      <c r="I144" s="6" t="str">
        <f>IFERROR(__xludf.DUMMYFUNCTION("""COMPUTED_VALUE"""),"videos")</f>
        <v>videos</v>
      </c>
      <c r="J144" s="6" t="str">
        <f>IFERROR(__xludf.DUMMYFUNCTION("""COMPUTED_VALUE"""),"roll")</f>
        <v>roll</v>
      </c>
      <c r="L144" s="6" t="str">
        <f>IFERROR(__xludf.DUMMYFUNCTION("""COMPUTED_VALUE"""),"merely")</f>
        <v>merely</v>
      </c>
      <c r="M144" s="6" t="str">
        <f>IFERROR(__xludf.DUMMYFUNCTION("""COMPUTED_VALUE"""),"distance")</f>
        <v>distance</v>
      </c>
      <c r="N144" s="6" t="str">
        <f>IFERROR(__xludf.DUMMYFUNCTION("""COMPUTED_VALUE"""),"water")</f>
        <v>water</v>
      </c>
      <c r="P144" s="6" t="str">
        <f>IFERROR(__xludf.DUMMYFUNCTION("""COMPUTED_VALUE"""),"landscape")</f>
        <v>landscape</v>
      </c>
      <c r="Q144" s="6" t="str">
        <f>IFERROR(__xludf.DUMMYFUNCTION("""COMPUTED_VALUE"""),"artworks")</f>
        <v>artworks</v>
      </c>
      <c r="S144" s="6" t="str">
        <f>IFERROR(__xludf.DUMMYFUNCTION("""COMPUTED_VALUE"""),"central")</f>
        <v>central</v>
      </c>
    </row>
    <row r="145">
      <c r="A145" s="6" t="str">
        <f>IFERROR(__xludf.DUMMYFUNCTION("""COMPUTED_VALUE"""),"thud")</f>
        <v>thud</v>
      </c>
      <c r="C145" s="6" t="str">
        <f>IFERROR(__xludf.DUMMYFUNCTION("""COMPUTED_VALUE"""),"unmistakable")</f>
        <v>unmistakable</v>
      </c>
      <c r="D145" s="6"/>
      <c r="E145" s="6" t="str">
        <f>IFERROR(__xludf.DUMMYFUNCTION("""COMPUTED_VALUE"""),"padded")</f>
        <v>padded</v>
      </c>
      <c r="G145" s="6" t="str">
        <f>IFERROR(__xludf.DUMMYFUNCTION("""COMPUTED_VALUE"""),"emotionally")</f>
        <v>emotionally</v>
      </c>
      <c r="H145" s="6" t="str">
        <f>IFERROR(__xludf.DUMMYFUNCTION("""COMPUTED_VALUE"""),"stunts")</f>
        <v>stunts</v>
      </c>
      <c r="I145" s="6" t="str">
        <f>IFERROR(__xludf.DUMMYFUNCTION("""COMPUTED_VALUE"""),"music")</f>
        <v>music</v>
      </c>
      <c r="J145" s="6" t="str">
        <f>IFERROR(__xludf.DUMMYFUNCTION("""COMPUTED_VALUE"""),"suspense")</f>
        <v>suspense</v>
      </c>
      <c r="L145" s="6" t="str">
        <f>IFERROR(__xludf.DUMMYFUNCTION("""COMPUTED_VALUE"""),"scenes")</f>
        <v>scenes</v>
      </c>
      <c r="M145" s="6" t="str">
        <f>IFERROR(__xludf.DUMMYFUNCTION("""COMPUTED_VALUE"""),"wrapped")</f>
        <v>wrapped</v>
      </c>
      <c r="N145" s="6" t="str">
        <f>IFERROR(__xludf.DUMMYFUNCTION("""COMPUTED_VALUE"""),"metaphor")</f>
        <v>metaphor</v>
      </c>
      <c r="P145" s="6" t="str">
        <f>IFERROR(__xludf.DUMMYFUNCTION("""COMPUTED_VALUE"""),"attractive")</f>
        <v>attractive</v>
      </c>
      <c r="Q145" s="6" t="str">
        <f>IFERROR(__xludf.DUMMYFUNCTION("""COMPUTED_VALUE"""),"stale")</f>
        <v>stale</v>
      </c>
      <c r="S145" s="6" t="str">
        <f>IFERROR(__xludf.DUMMYFUNCTION("""COMPUTED_VALUE"""),"written")</f>
        <v>written</v>
      </c>
    </row>
    <row r="146">
      <c r="A146" s="6" t="str">
        <f>IFERROR(__xludf.DUMMYFUNCTION("""COMPUTED_VALUE"""),"exploitation")</f>
        <v>exploitation</v>
      </c>
      <c r="C146" s="6" t="str">
        <f>IFERROR(__xludf.DUMMYFUNCTION("""COMPUTED_VALUE"""),"capture")</f>
        <v>capture</v>
      </c>
      <c r="D146" s="6"/>
      <c r="E146" s="6" t="str">
        <f>IFERROR(__xludf.DUMMYFUNCTION("""COMPUTED_VALUE"""),"propaganda")</f>
        <v>propaganda</v>
      </c>
      <c r="G146" s="6" t="str">
        <f>IFERROR(__xludf.DUMMYFUNCTION("""COMPUTED_VALUE"""),"prove")</f>
        <v>prove</v>
      </c>
      <c r="H146" s="6" t="str">
        <f>IFERROR(__xludf.DUMMYFUNCTION("""COMPUTED_VALUE"""),"reveals")</f>
        <v>reveals</v>
      </c>
      <c r="I146" s="6" t="str">
        <f>IFERROR(__xludf.DUMMYFUNCTION("""COMPUTED_VALUE"""),"color")</f>
        <v>color</v>
      </c>
      <c r="J146" s="6" t="str">
        <f>IFERROR(__xludf.DUMMYFUNCTION("""COMPUTED_VALUE"""),"lacking")</f>
        <v>lacking</v>
      </c>
      <c r="L146" s="6" t="str">
        <f>IFERROR(__xludf.DUMMYFUNCTION("""COMPUTED_VALUE"""),"affecting")</f>
        <v>affecting</v>
      </c>
      <c r="M146" s="6" t="str">
        <f>IFERROR(__xludf.DUMMYFUNCTION("""COMPUTED_VALUE"""),"channel")</f>
        <v>channel</v>
      </c>
      <c r="N146" s="6" t="str">
        <f>IFERROR(__xludf.DUMMYFUNCTION("""COMPUTED_VALUE"""),"resonance")</f>
        <v>resonance</v>
      </c>
      <c r="P146" s="6" t="str">
        <f>IFERROR(__xludf.DUMMYFUNCTION("""COMPUTED_VALUE"""),"takes")</f>
        <v>takes</v>
      </c>
      <c r="Q146" s="6" t="str">
        <f>IFERROR(__xludf.DUMMYFUNCTION("""COMPUTED_VALUE"""),"wisdom")</f>
        <v>wisdom</v>
      </c>
      <c r="S146" s="6" t="str">
        <f>IFERROR(__xludf.DUMMYFUNCTION("""COMPUTED_VALUE"""),"anyone")</f>
        <v>anyone</v>
      </c>
    </row>
    <row r="147">
      <c r="A147" s="6" t="str">
        <f>IFERROR(__xludf.DUMMYFUNCTION("""COMPUTED_VALUE"""),"triumph")</f>
        <v>triumph</v>
      </c>
      <c r="C147" s="6" t="str">
        <f>IFERROR(__xludf.DUMMYFUNCTION("""COMPUTED_VALUE"""),"penetrating")</f>
        <v>penetrating</v>
      </c>
      <c r="D147" s="6"/>
      <c r="E147" s="6" t="str">
        <f>IFERROR(__xludf.DUMMYFUNCTION("""COMPUTED_VALUE"""),"directorial")</f>
        <v>directorial</v>
      </c>
      <c r="G147" s="6" t="str">
        <f>IFERROR(__xludf.DUMMYFUNCTION("""COMPUTED_VALUE"""),"revealing")</f>
        <v>revealing</v>
      </c>
      <c r="H147" s="6" t="str">
        <f>IFERROR(__xludf.DUMMYFUNCTION("""COMPUTED_VALUE"""),"talents")</f>
        <v>talents</v>
      </c>
      <c r="I147" s="6" t="str">
        <f>IFERROR(__xludf.DUMMYFUNCTION("""COMPUTED_VALUE"""),"preliminary")</f>
        <v>preliminary</v>
      </c>
      <c r="J147" s="6" t="str">
        <f>IFERROR(__xludf.DUMMYFUNCTION("""COMPUTED_VALUE"""),"portrayal")</f>
        <v>portrayal</v>
      </c>
      <c r="L147" s="6" t="str">
        <f>IFERROR(__xludf.DUMMYFUNCTION("""COMPUTED_VALUE"""),"successful")</f>
        <v>successful</v>
      </c>
      <c r="M147" s="6" t="str">
        <f>IFERROR(__xludf.DUMMYFUNCTION("""COMPUTED_VALUE"""),"violence")</f>
        <v>violence</v>
      </c>
      <c r="N147" s="6" t="str">
        <f>IFERROR(__xludf.DUMMYFUNCTION("""COMPUTED_VALUE"""),"viewers")</f>
        <v>viewers</v>
      </c>
      <c r="P147" s="6" t="str">
        <f>IFERROR(__xludf.DUMMYFUNCTION("""COMPUTED_VALUE"""),"time")</f>
        <v>time</v>
      </c>
      <c r="Q147" s="6" t="str">
        <f>IFERROR(__xludf.DUMMYFUNCTION("""COMPUTED_VALUE"""),"showcase")</f>
        <v>showcase</v>
      </c>
      <c r="S147" s="6" t="str">
        <f>IFERROR(__xludf.DUMMYFUNCTION("""COMPUTED_VALUE"""),"questions")</f>
        <v>questions</v>
      </c>
    </row>
    <row r="148">
      <c r="A148" s="6" t="str">
        <f>IFERROR(__xludf.DUMMYFUNCTION("""COMPUTED_VALUE"""),"breakthrough")</f>
        <v>breakthrough</v>
      </c>
      <c r="C148" s="6" t="str">
        <f>IFERROR(__xludf.DUMMYFUNCTION("""COMPUTED_VALUE"""),"fascination")</f>
        <v>fascination</v>
      </c>
      <c r="D148" s="6"/>
      <c r="E148" s="6" t="str">
        <f>IFERROR(__xludf.DUMMYFUNCTION("""COMPUTED_VALUE"""),"repeated")</f>
        <v>repeated</v>
      </c>
      <c r="G148" s="6" t="str">
        <f>IFERROR(__xludf.DUMMYFUNCTION("""COMPUTED_VALUE"""),"done")</f>
        <v>done</v>
      </c>
      <c r="H148" s="6" t="str">
        <f>IFERROR(__xludf.DUMMYFUNCTION("""COMPUTED_VALUE"""),"relief")</f>
        <v>relief</v>
      </c>
      <c r="I148" s="6" t="str">
        <f>IFERROR(__xludf.DUMMYFUNCTION("""COMPUTED_VALUE"""),"style")</f>
        <v>style</v>
      </c>
      <c r="J148" s="6" t="str">
        <f>IFERROR(__xludf.DUMMYFUNCTION("""COMPUTED_VALUE"""),"realistic")</f>
        <v>realistic</v>
      </c>
      <c r="L148" s="6" t="str">
        <f>IFERROR(__xludf.DUMMYFUNCTION("""COMPUTED_VALUE"""),"intelligent")</f>
        <v>intelligent</v>
      </c>
      <c r="M148" s="6" t="str">
        <f>IFERROR(__xludf.DUMMYFUNCTION("""COMPUTED_VALUE"""),"use")</f>
        <v>use</v>
      </c>
      <c r="N148" s="6" t="str">
        <f>IFERROR(__xludf.DUMMYFUNCTION("""COMPUTED_VALUE"""),"debut")</f>
        <v>debut</v>
      </c>
      <c r="P148" s="6" t="str">
        <f>IFERROR(__xludf.DUMMYFUNCTION("""COMPUTED_VALUE"""),"lot")</f>
        <v>lot</v>
      </c>
      <c r="Q148" s="6" t="str">
        <f>IFERROR(__xludf.DUMMYFUNCTION("""COMPUTED_VALUE"""),"eyes")</f>
        <v>eyes</v>
      </c>
      <c r="S148" s="6" t="str">
        <f>IFERROR(__xludf.DUMMYFUNCTION("""COMPUTED_VALUE"""),"difference")</f>
        <v>difference</v>
      </c>
    </row>
    <row r="149">
      <c r="A149" s="6" t="str">
        <f>IFERROR(__xludf.DUMMYFUNCTION("""COMPUTED_VALUE"""),"unmistakable")</f>
        <v>unmistakable</v>
      </c>
      <c r="C149" s="6" t="str">
        <f>IFERROR(__xludf.DUMMYFUNCTION("""COMPUTED_VALUE"""),"economical")</f>
        <v>economical</v>
      </c>
      <c r="D149" s="6"/>
      <c r="E149" s="6" t="str">
        <f>IFERROR(__xludf.DUMMYFUNCTION("""COMPUTED_VALUE"""),"willingness")</f>
        <v>willingness</v>
      </c>
      <c r="G149" s="6" t="str">
        <f>IFERROR(__xludf.DUMMYFUNCTION("""COMPUTED_VALUE"""),"chilling")</f>
        <v>chilling</v>
      </c>
      <c r="H149" s="6" t="str">
        <f>IFERROR(__xludf.DUMMYFUNCTION("""COMPUTED_VALUE"""),"filmmaking")</f>
        <v>filmmaking</v>
      </c>
      <c r="I149" s="6" t="str">
        <f>IFERROR(__xludf.DUMMYFUNCTION("""COMPUTED_VALUE"""),"narrative")</f>
        <v>narrative</v>
      </c>
      <c r="J149" s="6" t="str">
        <f>IFERROR(__xludf.DUMMYFUNCTION("""COMPUTED_VALUE"""),"trying")</f>
        <v>trying</v>
      </c>
      <c r="L149" s="6" t="str">
        <f>IFERROR(__xludf.DUMMYFUNCTION("""COMPUTED_VALUE"""),"moving")</f>
        <v>moving</v>
      </c>
      <c r="M149" s="6" t="str">
        <f>IFERROR(__xludf.DUMMYFUNCTION("""COMPUTED_VALUE"""),"lesser")</f>
        <v>lesser</v>
      </c>
      <c r="N149" s="6" t="str">
        <f>IFERROR(__xludf.DUMMYFUNCTION("""COMPUTED_VALUE"""),"haunting")</f>
        <v>haunting</v>
      </c>
      <c r="P149" s="6" t="str">
        <f>IFERROR(__xludf.DUMMYFUNCTION("""COMPUTED_VALUE"""),"college")</f>
        <v>college</v>
      </c>
      <c r="Q149" s="6" t="str">
        <f>IFERROR(__xludf.DUMMYFUNCTION("""COMPUTED_VALUE"""),"images")</f>
        <v>images</v>
      </c>
      <c r="S149" s="6" t="str">
        <f>IFERROR(__xludf.DUMMYFUNCTION("""COMPUTED_VALUE"""),"moments")</f>
        <v>moments</v>
      </c>
    </row>
    <row r="150">
      <c r="A150" s="6" t="str">
        <f>IFERROR(__xludf.DUMMYFUNCTION("""COMPUTED_VALUE"""),"capture")</f>
        <v>capture</v>
      </c>
      <c r="C150" s="6" t="str">
        <f>IFERROR(__xludf.DUMMYFUNCTION("""COMPUTED_VALUE"""),"costly")</f>
        <v>costly</v>
      </c>
      <c r="D150" s="6"/>
      <c r="E150" s="6" t="str">
        <f>IFERROR(__xludf.DUMMYFUNCTION("""COMPUTED_VALUE"""),"wears")</f>
        <v>wears</v>
      </c>
      <c r="G150" s="6" t="str">
        <f>IFERROR(__xludf.DUMMYFUNCTION("""COMPUTED_VALUE"""),"submarine")</f>
        <v>submarine</v>
      </c>
      <c r="H150" s="6" t="str">
        <f>IFERROR(__xludf.DUMMYFUNCTION("""COMPUTED_VALUE"""),"promise")</f>
        <v>promise</v>
      </c>
      <c r="I150" s="6" t="str">
        <f>IFERROR(__xludf.DUMMYFUNCTION("""COMPUTED_VALUE"""),"difficult")</f>
        <v>difficult</v>
      </c>
      <c r="J150" s="6" t="str">
        <f>IFERROR(__xludf.DUMMYFUNCTION("""COMPUTED_VALUE"""),"tries")</f>
        <v>tries</v>
      </c>
      <c r="L150" s="6" t="str">
        <f>IFERROR(__xludf.DUMMYFUNCTION("""COMPUTED_VALUE"""),"sequels")</f>
        <v>sequels</v>
      </c>
      <c r="M150" s="6" t="str">
        <f>IFERROR(__xludf.DUMMYFUNCTION("""COMPUTED_VALUE"""),"manner")</f>
        <v>manner</v>
      </c>
      <c r="N150" s="6" t="str">
        <f>IFERROR(__xludf.DUMMYFUNCTION("""COMPUTED_VALUE"""),"swim")</f>
        <v>swim</v>
      </c>
      <c r="P150" s="6" t="str">
        <f>IFERROR(__xludf.DUMMYFUNCTION("""COMPUTED_VALUE"""),"pure")</f>
        <v>pure</v>
      </c>
      <c r="Q150" s="6" t="str">
        <f>IFERROR(__xludf.DUMMYFUNCTION("""COMPUTED_VALUE"""),"tear")</f>
        <v>tear</v>
      </c>
      <c r="S150" s="6" t="str">
        <f>IFERROR(__xludf.DUMMYFUNCTION("""COMPUTED_VALUE"""),"become")</f>
        <v>become</v>
      </c>
    </row>
    <row r="151">
      <c r="A151" s="6" t="str">
        <f>IFERROR(__xludf.DUMMYFUNCTION("""COMPUTED_VALUE"""),"penetrating")</f>
        <v>penetrating</v>
      </c>
      <c r="C151" s="6" t="str">
        <f>IFERROR(__xludf.DUMMYFUNCTION("""COMPUTED_VALUE"""),"tuned")</f>
        <v>tuned</v>
      </c>
      <c r="D151" s="6"/>
      <c r="E151" s="6" t="str">
        <f>IFERROR(__xludf.DUMMYFUNCTION("""COMPUTED_VALUE"""),"assurance")</f>
        <v>assurance</v>
      </c>
      <c r="G151" s="6" t="str">
        <f>IFERROR(__xludf.DUMMYFUNCTION("""COMPUTED_VALUE"""),"supernatural")</f>
        <v>supernatural</v>
      </c>
      <c r="H151" s="6" t="str">
        <f>IFERROR(__xludf.DUMMYFUNCTION("""COMPUTED_VALUE"""),"wait")</f>
        <v>wait</v>
      </c>
      <c r="I151" s="6" t="str">
        <f>IFERROR(__xludf.DUMMYFUNCTION("""COMPUTED_VALUE"""),"running")</f>
        <v>running</v>
      </c>
      <c r="J151" s="6" t="str">
        <f>IFERROR(__xludf.DUMMYFUNCTION("""COMPUTED_VALUE"""),"stunts")</f>
        <v>stunts</v>
      </c>
      <c r="L151" s="6" t="str">
        <f>IFERROR(__xludf.DUMMYFUNCTION("""COMPUTED_VALUE"""),"sustain")</f>
        <v>sustain</v>
      </c>
      <c r="M151" s="6" t="str">
        <f>IFERROR(__xludf.DUMMYFUNCTION("""COMPUTED_VALUE"""),"miss")</f>
        <v>miss</v>
      </c>
      <c r="N151" s="6" t="str">
        <f>IFERROR(__xludf.DUMMYFUNCTION("""COMPUTED_VALUE"""),"beings")</f>
        <v>beings</v>
      </c>
      <c r="P151" s="6" t="str">
        <f>IFERROR(__xludf.DUMMYFUNCTION("""COMPUTED_VALUE"""),"match")</f>
        <v>match</v>
      </c>
      <c r="Q151" s="6" t="str">
        <f>IFERROR(__xludf.DUMMYFUNCTION("""COMPUTED_VALUE"""),"hate")</f>
        <v>hate</v>
      </c>
      <c r="S151" s="6" t="str">
        <f>IFERROR(__xludf.DUMMYFUNCTION("""COMPUTED_VALUE"""),"standard")</f>
        <v>standard</v>
      </c>
    </row>
    <row r="152">
      <c r="A152" s="6" t="str">
        <f>IFERROR(__xludf.DUMMYFUNCTION("""COMPUTED_VALUE"""),"fascination")</f>
        <v>fascination</v>
      </c>
      <c r="C152" s="6" t="str">
        <f>IFERROR(__xludf.DUMMYFUNCTION("""COMPUTED_VALUE"""),"padded")</f>
        <v>padded</v>
      </c>
      <c r="D152" s="6"/>
      <c r="E152" s="6" t="str">
        <f>IFERROR(__xludf.DUMMYFUNCTION("""COMPUTED_VALUE"""),"impact")</f>
        <v>impact</v>
      </c>
      <c r="G152" s="6" t="str">
        <f>IFERROR(__xludf.DUMMYFUNCTION("""COMPUTED_VALUE"""),"idiots")</f>
        <v>idiots</v>
      </c>
      <c r="H152" s="6" t="str">
        <f>IFERROR(__xludf.DUMMYFUNCTION("""COMPUTED_VALUE"""),"auschwitz")</f>
        <v>auschwitz</v>
      </c>
      <c r="I152" s="6" t="str">
        <f>IFERROR(__xludf.DUMMYFUNCTION("""COMPUTED_VALUE"""),"reach")</f>
        <v>reach</v>
      </c>
      <c r="J152" s="6" t="str">
        <f>IFERROR(__xludf.DUMMYFUNCTION("""COMPUTED_VALUE"""),"reveals")</f>
        <v>reveals</v>
      </c>
      <c r="L152" s="6" t="str">
        <f>IFERROR(__xludf.DUMMYFUNCTION("""COMPUTED_VALUE"""),"ambitious")</f>
        <v>ambitious</v>
      </c>
      <c r="M152" s="6" t="str">
        <f>IFERROR(__xludf.DUMMYFUNCTION("""COMPUTED_VALUE"""),"excitement")</f>
        <v>excitement</v>
      </c>
      <c r="N152" s="6" t="str">
        <f>IFERROR(__xludf.DUMMYFUNCTION("""COMPUTED_VALUE"""),"merely")</f>
        <v>merely</v>
      </c>
      <c r="P152" s="6" t="str">
        <f>IFERROR(__xludf.DUMMYFUNCTION("""COMPUTED_VALUE"""),"dialogue")</f>
        <v>dialogue</v>
      </c>
      <c r="Q152" s="6" t="str">
        <f>IFERROR(__xludf.DUMMYFUNCTION("""COMPUTED_VALUE"""),"cinematic")</f>
        <v>cinematic</v>
      </c>
      <c r="S152" s="6" t="str">
        <f>IFERROR(__xludf.DUMMYFUNCTION("""COMPUTED_VALUE"""),"explore")</f>
        <v>explore</v>
      </c>
    </row>
    <row r="153">
      <c r="A153" s="6" t="str">
        <f>IFERROR(__xludf.DUMMYFUNCTION("""COMPUTED_VALUE"""),"tuned")</f>
        <v>tuned</v>
      </c>
      <c r="C153" s="6" t="str">
        <f>IFERROR(__xludf.DUMMYFUNCTION("""COMPUTED_VALUE"""),"propaganda")</f>
        <v>propaganda</v>
      </c>
      <c r="D153" s="6"/>
      <c r="E153" s="6" t="str">
        <f>IFERROR(__xludf.DUMMYFUNCTION("""COMPUTED_VALUE"""),"sly")</f>
        <v>sly</v>
      </c>
      <c r="G153" s="6" t="str">
        <f>IFERROR(__xludf.DUMMYFUNCTION("""COMPUTED_VALUE"""),"blend")</f>
        <v>blend</v>
      </c>
      <c r="H153" s="6" t="str">
        <f>IFERROR(__xludf.DUMMYFUNCTION("""COMPUTED_VALUE"""),"simulation")</f>
        <v>simulation</v>
      </c>
      <c r="I153" s="6" t="str">
        <f>IFERROR(__xludf.DUMMYFUNCTION("""COMPUTED_VALUE"""),"forces")</f>
        <v>forces</v>
      </c>
      <c r="J153" s="6" t="str">
        <f>IFERROR(__xludf.DUMMYFUNCTION("""COMPUTED_VALUE"""),"talents")</f>
        <v>talents</v>
      </c>
      <c r="L153" s="6" t="str">
        <f>IFERROR(__xludf.DUMMYFUNCTION("""COMPUTED_VALUE"""),"filmmaker")</f>
        <v>filmmaker</v>
      </c>
      <c r="M153" s="6" t="str">
        <f>IFERROR(__xludf.DUMMYFUNCTION("""COMPUTED_VALUE"""),"problems")</f>
        <v>problems</v>
      </c>
      <c r="N153" s="6" t="str">
        <f>IFERROR(__xludf.DUMMYFUNCTION("""COMPUTED_VALUE"""),"affecting")</f>
        <v>affecting</v>
      </c>
      <c r="P153" s="6" t="str">
        <f>IFERROR(__xludf.DUMMYFUNCTION("""COMPUTED_VALUE"""),"unfortunately")</f>
        <v>unfortunately</v>
      </c>
      <c r="Q153" s="6" t="str">
        <f>IFERROR(__xludf.DUMMYFUNCTION("""COMPUTED_VALUE"""),"recent")</f>
        <v>recent</v>
      </c>
      <c r="S153" s="6" t="str">
        <f>IFERROR(__xludf.DUMMYFUNCTION("""COMPUTED_VALUE"""),"sudden")</f>
        <v>sudden</v>
      </c>
    </row>
    <row r="154">
      <c r="A154" s="6" t="str">
        <f>IFERROR(__xludf.DUMMYFUNCTION("""COMPUTED_VALUE"""),"padded")</f>
        <v>padded</v>
      </c>
      <c r="C154" s="6" t="str">
        <f>IFERROR(__xludf.DUMMYFUNCTION("""COMPUTED_VALUE"""),"directorial")</f>
        <v>directorial</v>
      </c>
      <c r="D154" s="6"/>
      <c r="E154" s="6" t="str">
        <f>IFERROR(__xludf.DUMMYFUNCTION("""COMPUTED_VALUE"""),"emerges")</f>
        <v>emerges</v>
      </c>
      <c r="G154" s="6" t="str">
        <f>IFERROR(__xludf.DUMMYFUNCTION("""COMPUTED_VALUE"""),"screenplay")</f>
        <v>screenplay</v>
      </c>
      <c r="H154" s="6" t="str">
        <f>IFERROR(__xludf.DUMMYFUNCTION("""COMPUTED_VALUE"""),"theatrical")</f>
        <v>theatrical</v>
      </c>
      <c r="I154" s="6" t="str">
        <f>IFERROR(__xludf.DUMMYFUNCTION("""COMPUTED_VALUE"""),"speak")</f>
        <v>speak</v>
      </c>
      <c r="J154" s="6" t="str">
        <f>IFERROR(__xludf.DUMMYFUNCTION("""COMPUTED_VALUE"""),"important")</f>
        <v>important</v>
      </c>
      <c r="L154" s="6" t="str">
        <f>IFERROR(__xludf.DUMMYFUNCTION("""COMPUTED_VALUE"""),"weaknesses")</f>
        <v>weaknesses</v>
      </c>
      <c r="M154" s="6" t="str">
        <f>IFERROR(__xludf.DUMMYFUNCTION("""COMPUTED_VALUE"""),"fat")</f>
        <v>fat</v>
      </c>
      <c r="N154" s="6" t="str">
        <f>IFERROR(__xludf.DUMMYFUNCTION("""COMPUTED_VALUE"""),"successful")</f>
        <v>successful</v>
      </c>
      <c r="P154" s="6" t="str">
        <f>IFERROR(__xludf.DUMMYFUNCTION("""COMPUTED_VALUE"""),"bring")</f>
        <v>bring</v>
      </c>
      <c r="Q154" s="6" t="str">
        <f>IFERROR(__xludf.DUMMYFUNCTION("""COMPUTED_VALUE"""),"addition")</f>
        <v>addition</v>
      </c>
      <c r="S154" s="6" t="str">
        <f>IFERROR(__xludf.DUMMYFUNCTION("""COMPUTED_VALUE"""),"wisdom")</f>
        <v>wisdom</v>
      </c>
    </row>
    <row r="155">
      <c r="A155" s="6" t="str">
        <f>IFERROR(__xludf.DUMMYFUNCTION("""COMPUTED_VALUE"""),"propaganda")</f>
        <v>propaganda</v>
      </c>
      <c r="C155" s="6" t="str">
        <f>IFERROR(__xludf.DUMMYFUNCTION("""COMPUTED_VALUE"""),"repeated")</f>
        <v>repeated</v>
      </c>
      <c r="D155" s="6"/>
      <c r="E155" s="6" t="str">
        <f>IFERROR(__xludf.DUMMYFUNCTION("""COMPUTED_VALUE"""),"static")</f>
        <v>static</v>
      </c>
      <c r="G155" s="6" t="str">
        <f>IFERROR(__xludf.DUMMYFUNCTION("""COMPUTED_VALUE"""),"bored")</f>
        <v>bored</v>
      </c>
      <c r="H155" s="6" t="str">
        <f>IFERROR(__xludf.DUMMYFUNCTION("""COMPUTED_VALUE"""),"extraordinary")</f>
        <v>extraordinary</v>
      </c>
      <c r="I155" s="6" t="str">
        <f>IFERROR(__xludf.DUMMYFUNCTION("""COMPUTED_VALUE"""),"considerable")</f>
        <v>considerable</v>
      </c>
      <c r="J155" s="6" t="str">
        <f>IFERROR(__xludf.DUMMYFUNCTION("""COMPUTED_VALUE"""),"service")</f>
        <v>service</v>
      </c>
      <c r="L155" s="6" t="str">
        <f>IFERROR(__xludf.DUMMYFUNCTION("""COMPUTED_VALUE"""),"carmen")</f>
        <v>carmen</v>
      </c>
      <c r="M155" s="6" t="str">
        <f>IFERROR(__xludf.DUMMYFUNCTION("""COMPUTED_VALUE"""),"document")</f>
        <v>document</v>
      </c>
      <c r="N155" s="6" t="str">
        <f>IFERROR(__xludf.DUMMYFUNCTION("""COMPUTED_VALUE"""),"moving")</f>
        <v>moving</v>
      </c>
      <c r="P155" s="6" t="str">
        <f>IFERROR(__xludf.DUMMYFUNCTION("""COMPUTED_VALUE"""),"jason")</f>
        <v>jason</v>
      </c>
      <c r="Q155" s="6" t="str">
        <f>IFERROR(__xludf.DUMMYFUNCTION("""COMPUTED_VALUE"""),"mystery")</f>
        <v>mystery</v>
      </c>
      <c r="S155" s="6" t="str">
        <f>IFERROR(__xludf.DUMMYFUNCTION("""COMPUTED_VALUE"""),"ahead")</f>
        <v>ahead</v>
      </c>
    </row>
    <row r="156">
      <c r="A156" s="6" t="str">
        <f>IFERROR(__xludf.DUMMYFUNCTION("""COMPUTED_VALUE"""),"directorial")</f>
        <v>directorial</v>
      </c>
      <c r="C156" s="6" t="str">
        <f>IFERROR(__xludf.DUMMYFUNCTION("""COMPUTED_VALUE"""),"misery")</f>
        <v>misery</v>
      </c>
      <c r="D156" s="6"/>
      <c r="E156" s="6" t="str">
        <f>IFERROR(__xludf.DUMMYFUNCTION("""COMPUTED_VALUE"""),"photographed")</f>
        <v>photographed</v>
      </c>
      <c r="G156" s="6" t="str">
        <f>IFERROR(__xludf.DUMMYFUNCTION("""COMPUTED_VALUE"""),"thoughtful")</f>
        <v>thoughtful</v>
      </c>
      <c r="H156" s="6" t="str">
        <f>IFERROR(__xludf.DUMMYFUNCTION("""COMPUTED_VALUE"""),"heart")</f>
        <v>heart</v>
      </c>
      <c r="I156" s="6" t="str">
        <f>IFERROR(__xludf.DUMMYFUNCTION("""COMPUTED_VALUE"""),"large")</f>
        <v>large</v>
      </c>
      <c r="J156" s="6" t="str">
        <f>IFERROR(__xludf.DUMMYFUNCTION("""COMPUTED_VALUE"""),"filmmaking")</f>
        <v>filmmaking</v>
      </c>
      <c r="L156" s="6" t="str">
        <f>IFERROR(__xludf.DUMMYFUNCTION("""COMPUTED_VALUE"""),"ode")</f>
        <v>ode</v>
      </c>
      <c r="M156" s="6" t="str">
        <f>IFERROR(__xludf.DUMMYFUNCTION("""COMPUTED_VALUE"""),"imagination")</f>
        <v>imagination</v>
      </c>
      <c r="N156" s="6" t="str">
        <f>IFERROR(__xludf.DUMMYFUNCTION("""COMPUTED_VALUE"""),"sequels")</f>
        <v>sequels</v>
      </c>
      <c r="P156" s="6" t="str">
        <f>IFERROR(__xludf.DUMMYFUNCTION("""COMPUTED_VALUE"""),"role")</f>
        <v>role</v>
      </c>
      <c r="Q156" s="6" t="str">
        <f>IFERROR(__xludf.DUMMYFUNCTION("""COMPUTED_VALUE"""),"em")</f>
        <v>em</v>
      </c>
      <c r="S156" s="6" t="str">
        <f>IFERROR(__xludf.DUMMYFUNCTION("""COMPUTED_VALUE"""),"memory")</f>
        <v>memory</v>
      </c>
    </row>
    <row r="157">
      <c r="A157" s="6" t="str">
        <f>IFERROR(__xludf.DUMMYFUNCTION("""COMPUTED_VALUE"""),"misery")</f>
        <v>misery</v>
      </c>
      <c r="C157" s="6" t="str">
        <f>IFERROR(__xludf.DUMMYFUNCTION("""COMPUTED_VALUE"""),"willingness")</f>
        <v>willingness</v>
      </c>
      <c r="D157" s="6"/>
      <c r="E157" s="6" t="str">
        <f>IFERROR(__xludf.DUMMYFUNCTION("""COMPUTED_VALUE"""),"arbitrary")</f>
        <v>arbitrary</v>
      </c>
      <c r="G157" s="6" t="str">
        <f>IFERROR(__xludf.DUMMYFUNCTION("""COMPUTED_VALUE"""),"tale")</f>
        <v>tale</v>
      </c>
      <c r="H157" s="6" t="str">
        <f>IFERROR(__xludf.DUMMYFUNCTION("""COMPUTED_VALUE"""),"champion")</f>
        <v>champion</v>
      </c>
      <c r="I157" s="6" t="str">
        <f>IFERROR(__xludf.DUMMYFUNCTION("""COMPUTED_VALUE"""),"flat")</f>
        <v>flat</v>
      </c>
      <c r="J157" s="6" t="str">
        <f>IFERROR(__xludf.DUMMYFUNCTION("""COMPUTED_VALUE"""),"promise")</f>
        <v>promise</v>
      </c>
      <c r="L157" s="6" t="str">
        <f>IFERROR(__xludf.DUMMYFUNCTION("""COMPUTED_VALUE"""),"luminous")</f>
        <v>luminous</v>
      </c>
      <c r="M157" s="6" t="str">
        <f>IFERROR(__xludf.DUMMYFUNCTION("""COMPUTED_VALUE"""),"turns")</f>
        <v>turns</v>
      </c>
      <c r="N157" s="6" t="str">
        <f>IFERROR(__xludf.DUMMYFUNCTION("""COMPUTED_VALUE"""),"grade")</f>
        <v>grade</v>
      </c>
      <c r="P157" s="6" t="str">
        <f>IFERROR(__xludf.DUMMYFUNCTION("""COMPUTED_VALUE"""),"brings")</f>
        <v>brings</v>
      </c>
      <c r="Q157" s="6" t="str">
        <f>IFERROR(__xludf.DUMMYFUNCTION("""COMPUTED_VALUE"""),"late")</f>
        <v>late</v>
      </c>
      <c r="S157" s="6" t="str">
        <f>IFERROR(__xludf.DUMMYFUNCTION("""COMPUTED_VALUE"""),"long")</f>
        <v>long</v>
      </c>
    </row>
    <row r="158">
      <c r="A158" s="6" t="str">
        <f>IFERROR(__xludf.DUMMYFUNCTION("""COMPUTED_VALUE"""),"willingness")</f>
        <v>willingness</v>
      </c>
      <c r="C158" s="6" t="str">
        <f>IFERROR(__xludf.DUMMYFUNCTION("""COMPUTED_VALUE"""),"pity")</f>
        <v>pity</v>
      </c>
      <c r="D158" s="6"/>
      <c r="E158" s="6" t="str">
        <f>IFERROR(__xludf.DUMMYFUNCTION("""COMPUTED_VALUE"""),"loosely")</f>
        <v>loosely</v>
      </c>
      <c r="G158" s="6" t="str">
        <f>IFERROR(__xludf.DUMMYFUNCTION("""COMPUTED_VALUE"""),"sitcom")</f>
        <v>sitcom</v>
      </c>
      <c r="H158" s="6" t="str">
        <f>IFERROR(__xludf.DUMMYFUNCTION("""COMPUTED_VALUE"""),"adaptation")</f>
        <v>adaptation</v>
      </c>
      <c r="I158" s="6" t="str">
        <f>IFERROR(__xludf.DUMMYFUNCTION("""COMPUTED_VALUE"""),"bold")</f>
        <v>bold</v>
      </c>
      <c r="J158" s="6" t="str">
        <f>IFERROR(__xludf.DUMMYFUNCTION("""COMPUTED_VALUE"""),"wait")</f>
        <v>wait</v>
      </c>
      <c r="L158" s="6" t="str">
        <f>IFERROR(__xludf.DUMMYFUNCTION("""COMPUTED_VALUE"""),"failing")</f>
        <v>failing</v>
      </c>
      <c r="M158" s="6">
        <f>IFERROR(__xludf.DUMMYFUNCTION("""COMPUTED_VALUE"""),2002.0)</f>
        <v>2002</v>
      </c>
      <c r="N158" s="6" t="str">
        <f>IFERROR(__xludf.DUMMYFUNCTION("""COMPUTED_VALUE"""),"trash")</f>
        <v>trash</v>
      </c>
      <c r="P158" s="6" t="str">
        <f>IFERROR(__xludf.DUMMYFUNCTION("""COMPUTED_VALUE"""),"years")</f>
        <v>years</v>
      </c>
      <c r="Q158" s="6" t="str">
        <f>IFERROR(__xludf.DUMMYFUNCTION("""COMPUTED_VALUE"""),"go")</f>
        <v>go</v>
      </c>
      <c r="S158" s="6" t="str">
        <f>IFERROR(__xludf.DUMMYFUNCTION("""COMPUTED_VALUE"""),"eyes")</f>
        <v>eyes</v>
      </c>
    </row>
    <row r="159">
      <c r="A159" s="6" t="str">
        <f>IFERROR(__xludf.DUMMYFUNCTION("""COMPUTED_VALUE"""),"pity")</f>
        <v>pity</v>
      </c>
      <c r="C159" s="6" t="str">
        <f>IFERROR(__xludf.DUMMYFUNCTION("""COMPUTED_VALUE"""),"wears")</f>
        <v>wears</v>
      </c>
      <c r="D159" s="6"/>
      <c r="E159" s="6" t="str">
        <f>IFERROR(__xludf.DUMMYFUNCTION("""COMPUTED_VALUE"""),"honesty")</f>
        <v>honesty</v>
      </c>
      <c r="G159" s="6" t="str">
        <f>IFERROR(__xludf.DUMMYFUNCTION("""COMPUTED_VALUE"""),"suffers")</f>
        <v>suffers</v>
      </c>
      <c r="H159" s="6" t="str">
        <f>IFERROR(__xludf.DUMMYFUNCTION("""COMPUTED_VALUE"""),"descends")</f>
        <v>descends</v>
      </c>
      <c r="I159" s="6" t="str">
        <f>IFERROR(__xludf.DUMMYFUNCTION("""COMPUTED_VALUE"""),"effects")</f>
        <v>effects</v>
      </c>
      <c r="J159" s="6" t="str">
        <f>IFERROR(__xludf.DUMMYFUNCTION("""COMPUTED_VALUE"""),"auschwitz")</f>
        <v>auschwitz</v>
      </c>
      <c r="L159" s="6" t="str">
        <f>IFERROR(__xludf.DUMMYFUNCTION("""COMPUTED_VALUE"""),"opera")</f>
        <v>opera</v>
      </c>
      <c r="M159" s="6" t="str">
        <f>IFERROR(__xludf.DUMMYFUNCTION("""COMPUTED_VALUE"""),"complete")</f>
        <v>complete</v>
      </c>
      <c r="N159" s="6" t="str">
        <f>IFERROR(__xludf.DUMMYFUNCTION("""COMPUTED_VALUE"""),"sustain")</f>
        <v>sustain</v>
      </c>
      <c r="P159" s="6" t="str">
        <f>IFERROR(__xludf.DUMMYFUNCTION("""COMPUTED_VALUE"""),"share")</f>
        <v>share</v>
      </c>
      <c r="Q159" s="6" t="str">
        <f>IFERROR(__xludf.DUMMYFUNCTION("""COMPUTED_VALUE"""),"work")</f>
        <v>work</v>
      </c>
      <c r="S159" s="6" t="str">
        <f>IFERROR(__xludf.DUMMYFUNCTION("""COMPUTED_VALUE"""),"images")</f>
        <v>images</v>
      </c>
    </row>
    <row r="160">
      <c r="A160" s="6" t="str">
        <f>IFERROR(__xludf.DUMMYFUNCTION("""COMPUTED_VALUE"""),"wears")</f>
        <v>wears</v>
      </c>
      <c r="C160" s="6" t="str">
        <f>IFERROR(__xludf.DUMMYFUNCTION("""COMPUTED_VALUE"""),"sly")</f>
        <v>sly</v>
      </c>
      <c r="D160" s="6"/>
      <c r="E160" s="6" t="str">
        <f>IFERROR(__xludf.DUMMYFUNCTION("""COMPUTED_VALUE"""),"dreadful")</f>
        <v>dreadful</v>
      </c>
      <c r="G160" s="6" t="str">
        <f>IFERROR(__xludf.DUMMYFUNCTION("""COMPUTED_VALUE"""),"strong")</f>
        <v>strong</v>
      </c>
      <c r="H160" s="6" t="str">
        <f>IFERROR(__xludf.DUMMYFUNCTION("""COMPUTED_VALUE"""),"works")</f>
        <v>works</v>
      </c>
      <c r="I160" s="6" t="str">
        <f>IFERROR(__xludf.DUMMYFUNCTION("""COMPUTED_VALUE"""),"whole")</f>
        <v>whole</v>
      </c>
      <c r="J160" s="6" t="str">
        <f>IFERROR(__xludf.DUMMYFUNCTION("""COMPUTED_VALUE"""),"theatrical")</f>
        <v>theatrical</v>
      </c>
      <c r="L160" s="6" t="str">
        <f>IFERROR(__xludf.DUMMYFUNCTION("""COMPUTED_VALUE"""),"failure")</f>
        <v>failure</v>
      </c>
      <c r="M160" s="6" t="str">
        <f>IFERROR(__xludf.DUMMYFUNCTION("""COMPUTED_VALUE"""),"politics")</f>
        <v>politics</v>
      </c>
      <c r="N160" s="6" t="str">
        <f>IFERROR(__xludf.DUMMYFUNCTION("""COMPUTED_VALUE"""),"end")</f>
        <v>end</v>
      </c>
      <c r="P160" s="6" t="str">
        <f>IFERROR(__xludf.DUMMYFUNCTION("""COMPUTED_VALUE"""),"effort")</f>
        <v>effort</v>
      </c>
      <c r="Q160" s="6" t="str">
        <f>IFERROR(__xludf.DUMMYFUNCTION("""COMPUTED_VALUE"""),"fluid")</f>
        <v>fluid</v>
      </c>
      <c r="S160" s="6" t="str">
        <f>IFERROR(__xludf.DUMMYFUNCTION("""COMPUTED_VALUE"""),"hate")</f>
        <v>hate</v>
      </c>
    </row>
    <row r="161">
      <c r="A161" s="6" t="str">
        <f>IFERROR(__xludf.DUMMYFUNCTION("""COMPUTED_VALUE"""),"assurance")</f>
        <v>assurance</v>
      </c>
      <c r="C161" s="6" t="str">
        <f>IFERROR(__xludf.DUMMYFUNCTION("""COMPUTED_VALUE"""),"emerges")</f>
        <v>emerges</v>
      </c>
      <c r="D161" s="6"/>
      <c r="E161" s="6" t="str">
        <f>IFERROR(__xludf.DUMMYFUNCTION("""COMPUTED_VALUE"""),"elephant")</f>
        <v>elephant</v>
      </c>
      <c r="G161" s="6" t="str">
        <f>IFERROR(__xludf.DUMMYFUNCTION("""COMPUTED_VALUE"""),"rodriguez")</f>
        <v>rodriguez</v>
      </c>
      <c r="H161" s="6" t="str">
        <f>IFERROR(__xludf.DUMMYFUNCTION("""COMPUTED_VALUE"""),"derivative")</f>
        <v>derivative</v>
      </c>
      <c r="I161" s="6" t="str">
        <f>IFERROR(__xludf.DUMMYFUNCTION("""COMPUTED_VALUE"""),"warmth")</f>
        <v>warmth</v>
      </c>
      <c r="J161" s="6" t="str">
        <f>IFERROR(__xludf.DUMMYFUNCTION("""COMPUTED_VALUE"""),"extraordinary")</f>
        <v>extraordinary</v>
      </c>
      <c r="L161" s="6" t="str">
        <f>IFERROR(__xludf.DUMMYFUNCTION("""COMPUTED_VALUE"""),"powerful")</f>
        <v>powerful</v>
      </c>
      <c r="M161" s="6" t="str">
        <f>IFERROR(__xludf.DUMMYFUNCTION("""COMPUTED_VALUE"""),"offensive")</f>
        <v>offensive</v>
      </c>
      <c r="N161" s="6" t="str">
        <f>IFERROR(__xludf.DUMMYFUNCTION("""COMPUTED_VALUE"""),"ambitious")</f>
        <v>ambitious</v>
      </c>
      <c r="P161" s="6" t="str">
        <f>IFERROR(__xludf.DUMMYFUNCTION("""COMPUTED_VALUE"""),"collapse")</f>
        <v>collapse</v>
      </c>
      <c r="Q161" s="6" t="str">
        <f>IFERROR(__xludf.DUMMYFUNCTION("""COMPUTED_VALUE"""),"direction")</f>
        <v>direction</v>
      </c>
      <c r="S161" s="6" t="str">
        <f>IFERROR(__xludf.DUMMYFUNCTION("""COMPUTED_VALUE"""),"tear")</f>
        <v>tear</v>
      </c>
    </row>
    <row r="162">
      <c r="A162" s="6" t="str">
        <f>IFERROR(__xludf.DUMMYFUNCTION("""COMPUTED_VALUE"""),"impact")</f>
        <v>impact</v>
      </c>
      <c r="C162" s="6" t="str">
        <f>IFERROR(__xludf.DUMMYFUNCTION("""COMPUTED_VALUE"""),"photographed")</f>
        <v>photographed</v>
      </c>
      <c r="D162" s="6"/>
      <c r="E162" s="6" t="str">
        <f>IFERROR(__xludf.DUMMYFUNCTION("""COMPUTED_VALUE"""),"approaches")</f>
        <v>approaches</v>
      </c>
      <c r="G162" s="6" t="str">
        <f>IFERROR(__xludf.DUMMYFUNCTION("""COMPUTED_VALUE"""),"wry")</f>
        <v>wry</v>
      </c>
      <c r="H162" s="6" t="str">
        <f>IFERROR(__xludf.DUMMYFUNCTION("""COMPUTED_VALUE"""),"sequel")</f>
        <v>sequel</v>
      </c>
      <c r="I162" s="6" t="str">
        <f>IFERROR(__xludf.DUMMYFUNCTION("""COMPUTED_VALUE"""),"script")</f>
        <v>script</v>
      </c>
      <c r="J162" s="6" t="str">
        <f>IFERROR(__xludf.DUMMYFUNCTION("""COMPUTED_VALUE"""),"heart")</f>
        <v>heart</v>
      </c>
      <c r="L162" s="6" t="str">
        <f>IFERROR(__xludf.DUMMYFUNCTION("""COMPUTED_VALUE"""),"cinematography")</f>
        <v>cinematography</v>
      </c>
      <c r="M162" s="6" t="str">
        <f>IFERROR(__xludf.DUMMYFUNCTION("""COMPUTED_VALUE"""),"engage")</f>
        <v>engage</v>
      </c>
      <c r="N162" s="6" t="str">
        <f>IFERROR(__xludf.DUMMYFUNCTION("""COMPUTED_VALUE"""),"filmmaker")</f>
        <v>filmmaker</v>
      </c>
      <c r="P162" s="6" t="str">
        <f>IFERROR(__xludf.DUMMYFUNCTION("""COMPUTED_VALUE"""),"forgive")</f>
        <v>forgive</v>
      </c>
      <c r="Q162" s="6" t="str">
        <f>IFERROR(__xludf.DUMMYFUNCTION("""COMPUTED_VALUE"""),"ron")</f>
        <v>ron</v>
      </c>
      <c r="S162" s="6" t="str">
        <f>IFERROR(__xludf.DUMMYFUNCTION("""COMPUTED_VALUE"""),"addition")</f>
        <v>addition</v>
      </c>
    </row>
    <row r="163">
      <c r="A163" s="6" t="str">
        <f>IFERROR(__xludf.DUMMYFUNCTION("""COMPUTED_VALUE"""),"sly")</f>
        <v>sly</v>
      </c>
      <c r="C163" s="6" t="str">
        <f>IFERROR(__xludf.DUMMYFUNCTION("""COMPUTED_VALUE"""),"arbitrary")</f>
        <v>arbitrary</v>
      </c>
      <c r="D163" s="6"/>
      <c r="E163" s="6" t="str">
        <f>IFERROR(__xludf.DUMMYFUNCTION("""COMPUTED_VALUE"""),"stylized")</f>
        <v>stylized</v>
      </c>
      <c r="G163" s="6" t="str">
        <f>IFERROR(__xludf.DUMMYFUNCTION("""COMPUTED_VALUE"""),"reality")</f>
        <v>reality</v>
      </c>
      <c r="H163" s="6" t="str">
        <f>IFERROR(__xludf.DUMMYFUNCTION("""COMPUTED_VALUE"""),"archives")</f>
        <v>archives</v>
      </c>
      <c r="I163" s="6" t="str">
        <f>IFERROR(__xludf.DUMMYFUNCTION("""COMPUTED_VALUE"""),"credits")</f>
        <v>credits</v>
      </c>
      <c r="J163" s="6" t="str">
        <f>IFERROR(__xludf.DUMMYFUNCTION("""COMPUTED_VALUE"""),"champion")</f>
        <v>champion</v>
      </c>
      <c r="L163" s="6" t="str">
        <f>IFERROR(__xludf.DUMMYFUNCTION("""COMPUTED_VALUE"""),"reason")</f>
        <v>reason</v>
      </c>
      <c r="M163" s="6" t="str">
        <f>IFERROR(__xludf.DUMMYFUNCTION("""COMPUTED_VALUE"""),"prove")</f>
        <v>prove</v>
      </c>
      <c r="N163" s="6" t="str">
        <f>IFERROR(__xludf.DUMMYFUNCTION("""COMPUTED_VALUE"""),"weaknesses")</f>
        <v>weaknesses</v>
      </c>
      <c r="P163" s="6" t="str">
        <f>IFERROR(__xludf.DUMMYFUNCTION("""COMPUTED_VALUE"""),"tool")</f>
        <v>tool</v>
      </c>
      <c r="Q163" s="6" t="str">
        <f>IFERROR(__xludf.DUMMYFUNCTION("""COMPUTED_VALUE"""),"storytelling")</f>
        <v>storytelling</v>
      </c>
      <c r="S163" s="6" t="str">
        <f>IFERROR(__xludf.DUMMYFUNCTION("""COMPUTED_VALUE"""),"recent")</f>
        <v>recent</v>
      </c>
    </row>
    <row r="164">
      <c r="A164" s="6" t="str">
        <f>IFERROR(__xludf.DUMMYFUNCTION("""COMPUTED_VALUE"""),"emerges")</f>
        <v>emerges</v>
      </c>
      <c r="C164" s="6" t="str">
        <f>IFERROR(__xludf.DUMMYFUNCTION("""COMPUTED_VALUE"""),"riot")</f>
        <v>riot</v>
      </c>
      <c r="D164" s="6"/>
      <c r="E164" s="6" t="str">
        <f>IFERROR(__xludf.DUMMYFUNCTION("""COMPUTED_VALUE"""),"utilizing")</f>
        <v>utilizing</v>
      </c>
      <c r="G164" s="6" t="str">
        <f>IFERROR(__xludf.DUMMYFUNCTION("""COMPUTED_VALUE"""),"plotted")</f>
        <v>plotted</v>
      </c>
      <c r="H164" s="6" t="str">
        <f>IFERROR(__xludf.DUMMYFUNCTION("""COMPUTED_VALUE"""),"despite")</f>
        <v>despite</v>
      </c>
      <c r="I164" s="6" t="str">
        <f>IFERROR(__xludf.DUMMYFUNCTION("""COMPUTED_VALUE"""),"bar")</f>
        <v>bar</v>
      </c>
      <c r="J164" s="6" t="str">
        <f>IFERROR(__xludf.DUMMYFUNCTION("""COMPUTED_VALUE"""),"adaptation")</f>
        <v>adaptation</v>
      </c>
      <c r="L164" s="6" t="str">
        <f>IFERROR(__xludf.DUMMYFUNCTION("""COMPUTED_VALUE"""),"chateau")</f>
        <v>chateau</v>
      </c>
      <c r="M164" s="6" t="str">
        <f>IFERROR(__xludf.DUMMYFUNCTION("""COMPUTED_VALUE"""),"revealing")</f>
        <v>revealing</v>
      </c>
      <c r="N164" s="6" t="str">
        <f>IFERROR(__xludf.DUMMYFUNCTION("""COMPUTED_VALUE"""),"ode")</f>
        <v>ode</v>
      </c>
      <c r="P164" s="6" t="str">
        <f>IFERROR(__xludf.DUMMYFUNCTION("""COMPUTED_VALUE"""),"serves")</f>
        <v>serves</v>
      </c>
      <c r="Q164" s="6" t="str">
        <f>IFERROR(__xludf.DUMMYFUNCTION("""COMPUTED_VALUE"""),"piece")</f>
        <v>piece</v>
      </c>
      <c r="S164" s="6" t="str">
        <f>IFERROR(__xludf.DUMMYFUNCTION("""COMPUTED_VALUE"""),"titles")</f>
        <v>titles</v>
      </c>
    </row>
    <row r="165">
      <c r="A165" s="6" t="str">
        <f>IFERROR(__xludf.DUMMYFUNCTION("""COMPUTED_VALUE"""),"static")</f>
        <v>static</v>
      </c>
      <c r="C165" s="6" t="str">
        <f>IFERROR(__xludf.DUMMYFUNCTION("""COMPUTED_VALUE"""),"loosely")</f>
        <v>loosely</v>
      </c>
      <c r="D165" s="6"/>
      <c r="E165" s="6" t="str">
        <f>IFERROR(__xludf.DUMMYFUNCTION("""COMPUTED_VALUE"""),"pollution")</f>
        <v>pollution</v>
      </c>
      <c r="G165" s="6" t="str">
        <f>IFERROR(__xludf.DUMMYFUNCTION("""COMPUTED_VALUE"""),"depths")</f>
        <v>depths</v>
      </c>
      <c r="H165" s="6" t="str">
        <f>IFERROR(__xludf.DUMMYFUNCTION("""COMPUTED_VALUE"""),"ambitions")</f>
        <v>ambitions</v>
      </c>
      <c r="I165" s="6" t="str">
        <f>IFERROR(__xludf.DUMMYFUNCTION("""COMPUTED_VALUE"""),"enjoy")</f>
        <v>enjoy</v>
      </c>
      <c r="J165" s="6" t="str">
        <f>IFERROR(__xludf.DUMMYFUNCTION("""COMPUTED_VALUE"""),"descends")</f>
        <v>descends</v>
      </c>
      <c r="L165" s="6" t="str">
        <f>IFERROR(__xludf.DUMMYFUNCTION("""COMPUTED_VALUE"""),"distance")</f>
        <v>distance</v>
      </c>
      <c r="M165" s="6" t="str">
        <f>IFERROR(__xludf.DUMMYFUNCTION("""COMPUTED_VALUE"""),"done")</f>
        <v>done</v>
      </c>
      <c r="N165" s="6" t="str">
        <f>IFERROR(__xludf.DUMMYFUNCTION("""COMPUTED_VALUE"""),"luminous")</f>
        <v>luminous</v>
      </c>
      <c r="P165" s="6" t="str">
        <f>IFERROR(__xludf.DUMMYFUNCTION("""COMPUTED_VALUE"""),"learning")</f>
        <v>learning</v>
      </c>
      <c r="Q165" s="6" t="str">
        <f>IFERROR(__xludf.DUMMYFUNCTION("""COMPUTED_VALUE"""),"casts")</f>
        <v>casts</v>
      </c>
      <c r="S165" s="6" t="str">
        <f>IFERROR(__xludf.DUMMYFUNCTION("""COMPUTED_VALUE"""),"go")</f>
        <v>go</v>
      </c>
    </row>
    <row r="166">
      <c r="A166" s="6" t="str">
        <f>IFERROR(__xludf.DUMMYFUNCTION("""COMPUTED_VALUE"""),"photographed")</f>
        <v>photographed</v>
      </c>
      <c r="C166" s="6" t="str">
        <f>IFERROR(__xludf.DUMMYFUNCTION("""COMPUTED_VALUE"""),"dreadful")</f>
        <v>dreadful</v>
      </c>
      <c r="D166" s="6"/>
      <c r="E166" s="6" t="str">
        <f>IFERROR(__xludf.DUMMYFUNCTION("""COMPUTED_VALUE"""),"achieving")</f>
        <v>achieving</v>
      </c>
      <c r="G166" s="6" t="str">
        <f>IFERROR(__xludf.DUMMYFUNCTION("""COMPUTED_VALUE"""),"complexity")</f>
        <v>complexity</v>
      </c>
      <c r="H166" s="6" t="str">
        <f>IFERROR(__xludf.DUMMYFUNCTION("""COMPUTED_VALUE"""),"compelling")</f>
        <v>compelling</v>
      </c>
      <c r="I166" s="6" t="str">
        <f>IFERROR(__xludf.DUMMYFUNCTION("""COMPUTED_VALUE"""),"beyond")</f>
        <v>beyond</v>
      </c>
      <c r="J166" s="6" t="str">
        <f>IFERROR(__xludf.DUMMYFUNCTION("""COMPUTED_VALUE"""),"works")</f>
        <v>works</v>
      </c>
      <c r="L166" s="6" t="str">
        <f>IFERROR(__xludf.DUMMYFUNCTION("""COMPUTED_VALUE"""),"wrapped")</f>
        <v>wrapped</v>
      </c>
      <c r="M166" s="6" t="str">
        <f>IFERROR(__xludf.DUMMYFUNCTION("""COMPUTED_VALUE"""),"gets")</f>
        <v>gets</v>
      </c>
      <c r="N166" s="6" t="str">
        <f>IFERROR(__xludf.DUMMYFUNCTION("""COMPUTED_VALUE"""),"failing")</f>
        <v>failing</v>
      </c>
      <c r="P166" s="6" t="str">
        <f>IFERROR(__xludf.DUMMYFUNCTION("""COMPUTED_VALUE"""),"effective")</f>
        <v>effective</v>
      </c>
      <c r="Q166" s="6" t="str">
        <f>IFERROR(__xludf.DUMMYFUNCTION("""COMPUTED_VALUE"""),"landscape")</f>
        <v>landscape</v>
      </c>
      <c r="S166" s="6" t="str">
        <f>IFERROR(__xludf.DUMMYFUNCTION("""COMPUTED_VALUE"""),"going")</f>
        <v>going</v>
      </c>
    </row>
    <row r="167">
      <c r="A167" s="6" t="str">
        <f>IFERROR(__xludf.DUMMYFUNCTION("""COMPUTED_VALUE"""),"arbitrary")</f>
        <v>arbitrary</v>
      </c>
      <c r="C167" s="6" t="str">
        <f>IFERROR(__xludf.DUMMYFUNCTION("""COMPUTED_VALUE"""),"elephant")</f>
        <v>elephant</v>
      </c>
      <c r="D167" s="6"/>
      <c r="E167" s="6" t="str">
        <f>IFERROR(__xludf.DUMMYFUNCTION("""COMPUTED_VALUE"""),"intensely")</f>
        <v>intensely</v>
      </c>
      <c r="G167" s="6" t="str">
        <f>IFERROR(__xludf.DUMMYFUNCTION("""COMPUTED_VALUE"""),"predecessor")</f>
        <v>predecessor</v>
      </c>
      <c r="H167" s="6" t="str">
        <f>IFERROR(__xludf.DUMMYFUNCTION("""COMPUTED_VALUE"""),"procession")</f>
        <v>procession</v>
      </c>
      <c r="I167" s="6" t="str">
        <f>IFERROR(__xludf.DUMMYFUNCTION("""COMPUTED_VALUE"""),"affair")</f>
        <v>affair</v>
      </c>
      <c r="J167" s="6" t="str">
        <f>IFERROR(__xludf.DUMMYFUNCTION("""COMPUTED_VALUE"""),"keeping")</f>
        <v>keeping</v>
      </c>
      <c r="L167" s="6" t="str">
        <f>IFERROR(__xludf.DUMMYFUNCTION("""COMPUTED_VALUE"""),"violence")</f>
        <v>violence</v>
      </c>
      <c r="M167" s="6" t="str">
        <f>IFERROR(__xludf.DUMMYFUNCTION("""COMPUTED_VALUE"""),"fewer")</f>
        <v>fewer</v>
      </c>
      <c r="N167" s="6" t="str">
        <f>IFERROR(__xludf.DUMMYFUNCTION("""COMPUTED_VALUE"""),"opera")</f>
        <v>opera</v>
      </c>
      <c r="P167" s="6" t="str">
        <f>IFERROR(__xludf.DUMMYFUNCTION("""COMPUTED_VALUE"""),"community")</f>
        <v>community</v>
      </c>
      <c r="Q167" s="6" t="str">
        <f>IFERROR(__xludf.DUMMYFUNCTION("""COMPUTED_VALUE"""),"takes")</f>
        <v>takes</v>
      </c>
      <c r="S167" s="6" t="str">
        <f>IFERROR(__xludf.DUMMYFUNCTION("""COMPUTED_VALUE"""),"late")</f>
        <v>late</v>
      </c>
    </row>
    <row r="168">
      <c r="A168" s="6" t="str">
        <f>IFERROR(__xludf.DUMMYFUNCTION("""COMPUTED_VALUE"""),"riot")</f>
        <v>riot</v>
      </c>
      <c r="C168" s="6" t="str">
        <f>IFERROR(__xludf.DUMMYFUNCTION("""COMPUTED_VALUE"""),"approaches")</f>
        <v>approaches</v>
      </c>
      <c r="D168" s="6"/>
      <c r="E168" s="6" t="str">
        <f>IFERROR(__xludf.DUMMYFUNCTION("""COMPUTED_VALUE"""),"loser")</f>
        <v>loser</v>
      </c>
      <c r="G168" s="6" t="str">
        <f>IFERROR(__xludf.DUMMYFUNCTION("""COMPUTED_VALUE"""),"comedies")</f>
        <v>comedies</v>
      </c>
      <c r="H168" s="6" t="str">
        <f>IFERROR(__xludf.DUMMYFUNCTION("""COMPUTED_VALUE"""),"remarkable")</f>
        <v>remarkable</v>
      </c>
      <c r="I168" s="6" t="str">
        <f>IFERROR(__xludf.DUMMYFUNCTION("""COMPUTED_VALUE"""),"things")</f>
        <v>things</v>
      </c>
      <c r="J168" s="6" t="str">
        <f>IFERROR(__xludf.DUMMYFUNCTION("""COMPUTED_VALUE"""),"derivative")</f>
        <v>derivative</v>
      </c>
      <c r="L168" s="6" t="str">
        <f>IFERROR(__xludf.DUMMYFUNCTION("""COMPUTED_VALUE"""),"thriller")</f>
        <v>thriller</v>
      </c>
      <c r="M168" s="6" t="str">
        <f>IFERROR(__xludf.DUMMYFUNCTION("""COMPUTED_VALUE"""),"deep")</f>
        <v>deep</v>
      </c>
      <c r="N168" s="6" t="str">
        <f>IFERROR(__xludf.DUMMYFUNCTION("""COMPUTED_VALUE"""),"soap")</f>
        <v>soap</v>
      </c>
      <c r="P168" s="6" t="str">
        <f>IFERROR(__xludf.DUMMYFUNCTION("""COMPUTED_VALUE"""),"importance")</f>
        <v>importance</v>
      </c>
      <c r="Q168" s="6" t="str">
        <f>IFERROR(__xludf.DUMMYFUNCTION("""COMPUTED_VALUE"""),"pleasures")</f>
        <v>pleasures</v>
      </c>
      <c r="S168" s="6" t="str">
        <f>IFERROR(__xludf.DUMMYFUNCTION("""COMPUTED_VALUE"""),"mystery")</f>
        <v>mystery</v>
      </c>
    </row>
    <row r="169">
      <c r="A169" s="6" t="str">
        <f>IFERROR(__xludf.DUMMYFUNCTION("""COMPUTED_VALUE"""),"honesty")</f>
        <v>honesty</v>
      </c>
      <c r="C169" s="6" t="str">
        <f>IFERROR(__xludf.DUMMYFUNCTION("""COMPUTED_VALUE"""),"straining")</f>
        <v>straining</v>
      </c>
      <c r="D169" s="6"/>
      <c r="E169" s="6" t="str">
        <f>IFERROR(__xludf.DUMMYFUNCTION("""COMPUTED_VALUE"""),"gently")</f>
        <v>gently</v>
      </c>
      <c r="G169" s="6" t="str">
        <f>IFERROR(__xludf.DUMMYFUNCTION("""COMPUTED_VALUE"""),"teen")</f>
        <v>teen</v>
      </c>
      <c r="H169" s="6" t="str">
        <f>IFERROR(__xludf.DUMMYFUNCTION("""COMPUTED_VALUE"""),"date")</f>
        <v>date</v>
      </c>
      <c r="I169" s="6" t="str">
        <f>IFERROR(__xludf.DUMMYFUNCTION("""COMPUTED_VALUE"""),"significantly")</f>
        <v>significantly</v>
      </c>
      <c r="J169" s="6" t="str">
        <f>IFERROR(__xludf.DUMMYFUNCTION("""COMPUTED_VALUE"""),"sequel")</f>
        <v>sequel</v>
      </c>
      <c r="L169" s="6" t="str">
        <f>IFERROR(__xludf.DUMMYFUNCTION("""COMPUTED_VALUE"""),"potent")</f>
        <v>potent</v>
      </c>
      <c r="M169" s="6" t="str">
        <f>IFERROR(__xludf.DUMMYFUNCTION("""COMPUTED_VALUE"""),"submarine")</f>
        <v>submarine</v>
      </c>
      <c r="N169" s="6" t="str">
        <f>IFERROR(__xludf.DUMMYFUNCTION("""COMPUTED_VALUE"""),"failure")</f>
        <v>failure</v>
      </c>
      <c r="P169" s="6" t="str">
        <f>IFERROR(__xludf.DUMMYFUNCTION("""COMPUTED_VALUE"""),"business")</f>
        <v>business</v>
      </c>
      <c r="Q169" s="6" t="str">
        <f>IFERROR(__xludf.DUMMYFUNCTION("""COMPUTED_VALUE"""),"masterpiece")</f>
        <v>masterpiece</v>
      </c>
      <c r="S169" s="6" t="str">
        <f>IFERROR(__xludf.DUMMYFUNCTION("""COMPUTED_VALUE"""),"em")</f>
        <v>em</v>
      </c>
    </row>
    <row r="170">
      <c r="A170" s="6" t="str">
        <f>IFERROR(__xludf.DUMMYFUNCTION("""COMPUTED_VALUE"""),"straining")</f>
        <v>straining</v>
      </c>
      <c r="C170" s="6" t="str">
        <f>IFERROR(__xludf.DUMMYFUNCTION("""COMPUTED_VALUE"""),"stylized")</f>
        <v>stylized</v>
      </c>
      <c r="D170" s="6"/>
      <c r="E170" s="6" t="str">
        <f>IFERROR(__xludf.DUMMYFUNCTION("""COMPUTED_VALUE"""),"stretched")</f>
        <v>stretched</v>
      </c>
      <c r="G170" s="6" t="str">
        <f>IFERROR(__xludf.DUMMYFUNCTION("""COMPUTED_VALUE"""),"acid")</f>
        <v>acid</v>
      </c>
      <c r="H170" s="6" t="str">
        <f>IFERROR(__xludf.DUMMYFUNCTION("""COMPUTED_VALUE"""),"pleasant")</f>
        <v>pleasant</v>
      </c>
      <c r="I170" s="6" t="str">
        <f>IFERROR(__xludf.DUMMYFUNCTION("""COMPUTED_VALUE"""),"brilliant")</f>
        <v>brilliant</v>
      </c>
      <c r="J170" s="6" t="str">
        <f>IFERROR(__xludf.DUMMYFUNCTION("""COMPUTED_VALUE"""),"archives")</f>
        <v>archives</v>
      </c>
      <c r="L170" s="6" t="str">
        <f>IFERROR(__xludf.DUMMYFUNCTION("""COMPUTED_VALUE"""),"excitement")</f>
        <v>excitement</v>
      </c>
      <c r="M170" s="6" t="str">
        <f>IFERROR(__xludf.DUMMYFUNCTION("""COMPUTED_VALUE"""),"grand")</f>
        <v>grand</v>
      </c>
      <c r="N170" s="6" t="str">
        <f>IFERROR(__xludf.DUMMYFUNCTION("""COMPUTED_VALUE"""),"powerful")</f>
        <v>powerful</v>
      </c>
      <c r="P170" s="6" t="str">
        <f>IFERROR(__xludf.DUMMYFUNCTION("""COMPUTED_VALUE"""),"plans")</f>
        <v>plans</v>
      </c>
      <c r="Q170" s="6" t="str">
        <f>IFERROR(__xludf.DUMMYFUNCTION("""COMPUTED_VALUE"""),"lot")</f>
        <v>lot</v>
      </c>
      <c r="S170" s="6" t="str">
        <f>IFERROR(__xludf.DUMMYFUNCTION("""COMPUTED_VALUE"""),"work")</f>
        <v>work</v>
      </c>
    </row>
    <row r="171">
      <c r="A171" s="6" t="str">
        <f>IFERROR(__xludf.DUMMYFUNCTION("""COMPUTED_VALUE"""),"lowered")</f>
        <v>lowered</v>
      </c>
      <c r="C171" s="6" t="str">
        <f>IFERROR(__xludf.DUMMYFUNCTION("""COMPUTED_VALUE"""),"fires")</f>
        <v>fires</v>
      </c>
      <c r="D171" s="6"/>
      <c r="E171" s="6" t="str">
        <f>IFERROR(__xludf.DUMMYFUNCTION("""COMPUTED_VALUE"""),"symbolic")</f>
        <v>symbolic</v>
      </c>
      <c r="G171" s="6" t="str">
        <f>IFERROR(__xludf.DUMMYFUNCTION("""COMPUTED_VALUE"""),"meaningful")</f>
        <v>meaningful</v>
      </c>
      <c r="H171" s="6" t="str">
        <f>IFERROR(__xludf.DUMMYFUNCTION("""COMPUTED_VALUE"""),"slightest")</f>
        <v>slightest</v>
      </c>
      <c r="I171" s="6" t="str">
        <f>IFERROR(__xludf.DUMMYFUNCTION("""COMPUTED_VALUE"""),"may")</f>
        <v>may</v>
      </c>
      <c r="J171" s="6" t="str">
        <f>IFERROR(__xludf.DUMMYFUNCTION("""COMPUTED_VALUE"""),"despite")</f>
        <v>despite</v>
      </c>
      <c r="L171" s="6" t="str">
        <f>IFERROR(__xludf.DUMMYFUNCTION("""COMPUTED_VALUE"""),"insult")</f>
        <v>insult</v>
      </c>
      <c r="M171" s="6" t="str">
        <f>IFERROR(__xludf.DUMMYFUNCTION("""COMPUTED_VALUE"""),"found")</f>
        <v>found</v>
      </c>
      <c r="N171" s="6" t="str">
        <f>IFERROR(__xludf.DUMMYFUNCTION("""COMPUTED_VALUE"""),"cinematography")</f>
        <v>cinematography</v>
      </c>
      <c r="P171" s="6" t="str">
        <f>IFERROR(__xludf.DUMMYFUNCTION("""COMPUTED_VALUE"""),"cell")</f>
        <v>cell</v>
      </c>
      <c r="Q171" s="6" t="str">
        <f>IFERROR(__xludf.DUMMYFUNCTION("""COMPUTED_VALUE"""),"hopeless")</f>
        <v>hopeless</v>
      </c>
      <c r="S171" s="6" t="str">
        <f>IFERROR(__xludf.DUMMYFUNCTION("""COMPUTED_VALUE"""),"concert")</f>
        <v>concert</v>
      </c>
    </row>
    <row r="172">
      <c r="A172" s="6" t="str">
        <f>IFERROR(__xludf.DUMMYFUNCTION("""COMPUTED_VALUE"""),"disgust")</f>
        <v>disgust</v>
      </c>
      <c r="C172" s="6" t="str">
        <f>IFERROR(__xludf.DUMMYFUNCTION("""COMPUTED_VALUE"""),"utilizing")</f>
        <v>utilizing</v>
      </c>
      <c r="D172" s="6"/>
      <c r="E172" s="6" t="str">
        <f>IFERROR(__xludf.DUMMYFUNCTION("""COMPUTED_VALUE"""),"weary")</f>
        <v>weary</v>
      </c>
      <c r="G172" s="6" t="str">
        <f>IFERROR(__xludf.DUMMYFUNCTION("""COMPUTED_VALUE"""),"laughter")</f>
        <v>laughter</v>
      </c>
      <c r="H172" s="6" t="str">
        <f>IFERROR(__xludf.DUMMYFUNCTION("""COMPUTED_VALUE"""),"wildly")</f>
        <v>wildly</v>
      </c>
      <c r="I172" s="6" t="str">
        <f>IFERROR(__xludf.DUMMYFUNCTION("""COMPUTED_VALUE"""),"inside")</f>
        <v>inside</v>
      </c>
      <c r="J172" s="6" t="str">
        <f>IFERROR(__xludf.DUMMYFUNCTION("""COMPUTED_VALUE"""),"ambitions")</f>
        <v>ambitions</v>
      </c>
      <c r="L172" s="6" t="str">
        <f>IFERROR(__xludf.DUMMYFUNCTION("""COMPUTED_VALUE"""),"problems")</f>
        <v>problems</v>
      </c>
      <c r="M172" s="6" t="str">
        <f>IFERROR(__xludf.DUMMYFUNCTION("""COMPUTED_VALUE"""),"holes")</f>
        <v>holes</v>
      </c>
      <c r="N172" s="6" t="str">
        <f>IFERROR(__xludf.DUMMYFUNCTION("""COMPUTED_VALUE"""),"distance")</f>
        <v>distance</v>
      </c>
      <c r="P172" s="6" t="str">
        <f>IFERROR(__xludf.DUMMYFUNCTION("""COMPUTED_VALUE"""),"roll")</f>
        <v>roll</v>
      </c>
      <c r="Q172" s="6" t="str">
        <f>IFERROR(__xludf.DUMMYFUNCTION("""COMPUTED_VALUE"""),"charming")</f>
        <v>charming</v>
      </c>
      <c r="S172" s="6" t="str">
        <f>IFERROR(__xludf.DUMMYFUNCTION("""COMPUTED_VALUE"""),"direction")</f>
        <v>direction</v>
      </c>
    </row>
    <row r="173">
      <c r="A173" s="6" t="str">
        <f>IFERROR(__xludf.DUMMYFUNCTION("""COMPUTED_VALUE"""),"slip")</f>
        <v>slip</v>
      </c>
      <c r="C173" s="6" t="str">
        <f>IFERROR(__xludf.DUMMYFUNCTION("""COMPUTED_VALUE"""),"pollution")</f>
        <v>pollution</v>
      </c>
      <c r="D173" s="6"/>
      <c r="E173" s="6" t="str">
        <f>IFERROR(__xludf.DUMMYFUNCTION("""COMPUTED_VALUE"""),"whale")</f>
        <v>whale</v>
      </c>
      <c r="G173" s="6" t="str">
        <f>IFERROR(__xludf.DUMMYFUNCTION("""COMPUTED_VALUE"""),"invention")</f>
        <v>invention</v>
      </c>
      <c r="H173" s="6" t="str">
        <f>IFERROR(__xludf.DUMMYFUNCTION("""COMPUTED_VALUE"""),"music")</f>
        <v>music</v>
      </c>
      <c r="I173" s="6" t="str">
        <f>IFERROR(__xludf.DUMMYFUNCTION("""COMPUTED_VALUE"""),"term")</f>
        <v>term</v>
      </c>
      <c r="J173" s="6" t="str">
        <f>IFERROR(__xludf.DUMMYFUNCTION("""COMPUTED_VALUE"""),"compelling")</f>
        <v>compelling</v>
      </c>
      <c r="L173" s="6" t="str">
        <f>IFERROR(__xludf.DUMMYFUNCTION("""COMPUTED_VALUE"""),"document")</f>
        <v>document</v>
      </c>
      <c r="M173" s="6" t="str">
        <f>IFERROR(__xludf.DUMMYFUNCTION("""COMPUTED_VALUE"""),"pilot")</f>
        <v>pilot</v>
      </c>
      <c r="N173" s="6" t="str">
        <f>IFERROR(__xludf.DUMMYFUNCTION("""COMPUTED_VALUE"""),"violence")</f>
        <v>violence</v>
      </c>
      <c r="P173" s="6" t="str">
        <f>IFERROR(__xludf.DUMMYFUNCTION("""COMPUTED_VALUE"""),"surprise")</f>
        <v>surprise</v>
      </c>
      <c r="Q173" s="6" t="str">
        <f>IFERROR(__xludf.DUMMYFUNCTION("""COMPUTED_VALUE"""),"college")</f>
        <v>college</v>
      </c>
      <c r="S173" s="6" t="str">
        <f>IFERROR(__xludf.DUMMYFUNCTION("""COMPUTED_VALUE"""),"ron")</f>
        <v>ron</v>
      </c>
    </row>
    <row r="174">
      <c r="A174" s="6" t="str">
        <f>IFERROR(__xludf.DUMMYFUNCTION("""COMPUTED_VALUE"""),"stylized")</f>
        <v>stylized</v>
      </c>
      <c r="C174" s="6" t="str">
        <f>IFERROR(__xludf.DUMMYFUNCTION("""COMPUTED_VALUE"""),"achieving")</f>
        <v>achieving</v>
      </c>
      <c r="D174" s="6"/>
      <c r="E174" s="6" t="str">
        <f>IFERROR(__xludf.DUMMYFUNCTION("""COMPUTED_VALUE"""),"prejudice")</f>
        <v>prejudice</v>
      </c>
      <c r="G174" s="6" t="str">
        <f>IFERROR(__xludf.DUMMYFUNCTION("""COMPUTED_VALUE"""),"drag")</f>
        <v>drag</v>
      </c>
      <c r="H174" s="6" t="str">
        <f>IFERROR(__xludf.DUMMYFUNCTION("""COMPUTED_VALUE"""),"color")</f>
        <v>color</v>
      </c>
      <c r="I174" s="6" t="str">
        <f>IFERROR(__xludf.DUMMYFUNCTION("""COMPUTED_VALUE"""),"emotions")</f>
        <v>emotions</v>
      </c>
      <c r="J174" s="6" t="str">
        <f>IFERROR(__xludf.DUMMYFUNCTION("""COMPUTED_VALUE"""),"mere")</f>
        <v>mere</v>
      </c>
      <c r="L174" s="6" t="str">
        <f>IFERROR(__xludf.DUMMYFUNCTION("""COMPUTED_VALUE"""),"imagination")</f>
        <v>imagination</v>
      </c>
      <c r="M174" s="6" t="str">
        <f>IFERROR(__xludf.DUMMYFUNCTION("""COMPUTED_VALUE"""),"screenplay")</f>
        <v>screenplay</v>
      </c>
      <c r="N174" s="6" t="str">
        <f>IFERROR(__xludf.DUMMYFUNCTION("""COMPUTED_VALUE"""),"thriller")</f>
        <v>thriller</v>
      </c>
      <c r="P174" s="6" t="str">
        <f>IFERROR(__xludf.DUMMYFUNCTION("""COMPUTED_VALUE"""),"grab")</f>
        <v>grab</v>
      </c>
      <c r="Q174" s="6" t="str">
        <f>IFERROR(__xludf.DUMMYFUNCTION("""COMPUTED_VALUE"""),"pure")</f>
        <v>pure</v>
      </c>
      <c r="S174" s="6" t="str">
        <f>IFERROR(__xludf.DUMMYFUNCTION("""COMPUTED_VALUE"""),"fluid")</f>
        <v>fluid</v>
      </c>
    </row>
    <row r="175">
      <c r="A175" s="6" t="str">
        <f>IFERROR(__xludf.DUMMYFUNCTION("""COMPUTED_VALUE"""),"pollution")</f>
        <v>pollution</v>
      </c>
      <c r="C175" s="6" t="str">
        <f>IFERROR(__xludf.DUMMYFUNCTION("""COMPUTED_VALUE"""),"intensely")</f>
        <v>intensely</v>
      </c>
      <c r="D175" s="6"/>
      <c r="E175" s="6" t="str">
        <f>IFERROR(__xludf.DUMMYFUNCTION("""COMPUTED_VALUE"""),"compatible")</f>
        <v>compatible</v>
      </c>
      <c r="G175" s="6" t="str">
        <f>IFERROR(__xludf.DUMMYFUNCTION("""COMPUTED_VALUE"""),"juvenile")</f>
        <v>juvenile</v>
      </c>
      <c r="H175" s="6" t="str">
        <f>IFERROR(__xludf.DUMMYFUNCTION("""COMPUTED_VALUE"""),"preliminary")</f>
        <v>preliminary</v>
      </c>
      <c r="I175" s="6" t="str">
        <f>IFERROR(__xludf.DUMMYFUNCTION("""COMPUTED_VALUE"""),"title")</f>
        <v>title</v>
      </c>
      <c r="J175" s="6">
        <f>IFERROR(__xludf.DUMMYFUNCTION("""COMPUTED_VALUE"""),84.0)</f>
        <v>84</v>
      </c>
      <c r="L175" s="6" t="str">
        <f>IFERROR(__xludf.DUMMYFUNCTION("""COMPUTED_VALUE"""),"turns")</f>
        <v>turns</v>
      </c>
      <c r="M175" s="6" t="str">
        <f>IFERROR(__xludf.DUMMYFUNCTION("""COMPUTED_VALUE"""),"wish")</f>
        <v>wish</v>
      </c>
      <c r="N175" s="6" t="str">
        <f>IFERROR(__xludf.DUMMYFUNCTION("""COMPUTED_VALUE"""),"manner")</f>
        <v>manner</v>
      </c>
      <c r="P175" s="6" t="str">
        <f>IFERROR(__xludf.DUMMYFUNCTION("""COMPUTED_VALUE"""),"trying")</f>
        <v>trying</v>
      </c>
      <c r="Q175" s="6" t="str">
        <f>IFERROR(__xludf.DUMMYFUNCTION("""COMPUTED_VALUE"""),"match")</f>
        <v>match</v>
      </c>
      <c r="S175" s="6" t="str">
        <f>IFERROR(__xludf.DUMMYFUNCTION("""COMPUTED_VALUE"""),"would")</f>
        <v>would</v>
      </c>
    </row>
    <row r="176">
      <c r="A176" s="6" t="str">
        <f>IFERROR(__xludf.DUMMYFUNCTION("""COMPUTED_VALUE"""),"achieving")</f>
        <v>achieving</v>
      </c>
      <c r="C176" s="6" t="str">
        <f>IFERROR(__xludf.DUMMYFUNCTION("""COMPUTED_VALUE"""),"symbolic")</f>
        <v>symbolic</v>
      </c>
      <c r="D176" s="6"/>
      <c r="E176" s="6" t="str">
        <f>IFERROR(__xludf.DUMMYFUNCTION("""COMPUTED_VALUE"""),"embraced")</f>
        <v>embraced</v>
      </c>
      <c r="G176" s="6" t="str">
        <f>IFERROR(__xludf.DUMMYFUNCTION("""COMPUTED_VALUE"""),"literary")</f>
        <v>literary</v>
      </c>
      <c r="H176" s="6" t="str">
        <f>IFERROR(__xludf.DUMMYFUNCTION("""COMPUTED_VALUE"""),"narrative")</f>
        <v>narrative</v>
      </c>
      <c r="I176" s="6" t="str">
        <f>IFERROR(__xludf.DUMMYFUNCTION("""COMPUTED_VALUE"""),"thin")</f>
        <v>thin</v>
      </c>
      <c r="J176" s="6" t="str">
        <f>IFERROR(__xludf.DUMMYFUNCTION("""COMPUTED_VALUE"""),"procession")</f>
        <v>procession</v>
      </c>
      <c r="L176" s="6">
        <f>IFERROR(__xludf.DUMMYFUNCTION("""COMPUTED_VALUE"""),2002.0)</f>
        <v>2002</v>
      </c>
      <c r="M176" s="6" t="str">
        <f>IFERROR(__xludf.DUMMYFUNCTION("""COMPUTED_VALUE"""),"tale")</f>
        <v>tale</v>
      </c>
      <c r="N176" s="6" t="str">
        <f>IFERROR(__xludf.DUMMYFUNCTION("""COMPUTED_VALUE"""),"miss")</f>
        <v>miss</v>
      </c>
      <c r="P176" s="6" t="str">
        <f>IFERROR(__xludf.DUMMYFUNCTION("""COMPUTED_VALUE"""),"reveals")</f>
        <v>reveals</v>
      </c>
      <c r="Q176" s="6" t="str">
        <f>IFERROR(__xludf.DUMMYFUNCTION("""COMPUTED_VALUE"""),"dialogue")</f>
        <v>dialogue</v>
      </c>
      <c r="S176" s="6" t="str">
        <f>IFERROR(__xludf.DUMMYFUNCTION("""COMPUTED_VALUE"""),"piece")</f>
        <v>piece</v>
      </c>
    </row>
    <row r="177">
      <c r="A177" s="6" t="str">
        <f>IFERROR(__xludf.DUMMYFUNCTION("""COMPUTED_VALUE"""),"intensely")</f>
        <v>intensely</v>
      </c>
      <c r="C177" s="6" t="str">
        <f>IFERROR(__xludf.DUMMYFUNCTION("""COMPUTED_VALUE"""),"freedom")</f>
        <v>freedom</v>
      </c>
      <c r="D177" s="6"/>
      <c r="E177" s="6" t="str">
        <f>IFERROR(__xludf.DUMMYFUNCTION("""COMPUTED_VALUE"""),"denial")</f>
        <v>denial</v>
      </c>
      <c r="G177" s="6" t="str">
        <f>IFERROR(__xludf.DUMMYFUNCTION("""COMPUTED_VALUE"""),"dull")</f>
        <v>dull</v>
      </c>
      <c r="H177" s="6" t="str">
        <f>IFERROR(__xludf.DUMMYFUNCTION("""COMPUTED_VALUE"""),"difficult")</f>
        <v>difficult</v>
      </c>
      <c r="I177" s="6" t="str">
        <f>IFERROR(__xludf.DUMMYFUNCTION("""COMPUTED_VALUE"""),"wildlife")</f>
        <v>wildlife</v>
      </c>
      <c r="J177" s="6" t="str">
        <f>IFERROR(__xludf.DUMMYFUNCTION("""COMPUTED_VALUE"""),"remarkable")</f>
        <v>remarkable</v>
      </c>
      <c r="L177" s="6" t="str">
        <f>IFERROR(__xludf.DUMMYFUNCTION("""COMPUTED_VALUE"""),"complete")</f>
        <v>complete</v>
      </c>
      <c r="M177" s="6" t="str">
        <f>IFERROR(__xludf.DUMMYFUNCTION("""COMPUTED_VALUE"""),"drugs")</f>
        <v>drugs</v>
      </c>
      <c r="N177" s="6" t="str">
        <f>IFERROR(__xludf.DUMMYFUNCTION("""COMPUTED_VALUE"""),"potent")</f>
        <v>potent</v>
      </c>
      <c r="P177" s="6" t="str">
        <f>IFERROR(__xludf.DUMMYFUNCTION("""COMPUTED_VALUE"""),"others")</f>
        <v>others</v>
      </c>
      <c r="Q177" s="6" t="str">
        <f>IFERROR(__xludf.DUMMYFUNCTION("""COMPUTED_VALUE"""),"sentiment")</f>
        <v>sentiment</v>
      </c>
      <c r="S177" s="6" t="str">
        <f>IFERROR(__xludf.DUMMYFUNCTION("""COMPUTED_VALUE"""),"takes")</f>
        <v>takes</v>
      </c>
    </row>
    <row r="178">
      <c r="A178" s="6" t="str">
        <f>IFERROR(__xludf.DUMMYFUNCTION("""COMPUTED_VALUE"""),"gently")</f>
        <v>gently</v>
      </c>
      <c r="C178" s="6" t="str">
        <f>IFERROR(__xludf.DUMMYFUNCTION("""COMPUTED_VALUE"""),"weary")</f>
        <v>weary</v>
      </c>
      <c r="D178" s="6"/>
      <c r="E178" s="6" t="str">
        <f>IFERROR(__xludf.DUMMYFUNCTION("""COMPUTED_VALUE"""),"banged")</f>
        <v>banged</v>
      </c>
      <c r="G178" s="6" t="str">
        <f>IFERROR(__xludf.DUMMYFUNCTION("""COMPUTED_VALUE"""),"witty")</f>
        <v>witty</v>
      </c>
      <c r="H178" s="6" t="str">
        <f>IFERROR(__xludf.DUMMYFUNCTION("""COMPUTED_VALUE"""),"unpredictable")</f>
        <v>unpredictable</v>
      </c>
      <c r="I178" s="6" t="str">
        <f>IFERROR(__xludf.DUMMYFUNCTION("""COMPUTED_VALUE"""),"traditionally")</f>
        <v>traditionally</v>
      </c>
      <c r="J178" s="6" t="str">
        <f>IFERROR(__xludf.DUMMYFUNCTION("""COMPUTED_VALUE"""),"pleasant")</f>
        <v>pleasant</v>
      </c>
      <c r="L178" s="6" t="str">
        <f>IFERROR(__xludf.DUMMYFUNCTION("""COMPUTED_VALUE"""),"politics")</f>
        <v>politics</v>
      </c>
      <c r="M178" s="6" t="str">
        <f>IFERROR(__xludf.DUMMYFUNCTION("""COMPUTED_VALUE"""),"playing")</f>
        <v>playing</v>
      </c>
      <c r="N178" s="6" t="str">
        <f>IFERROR(__xludf.DUMMYFUNCTION("""COMPUTED_VALUE"""),"excitement")</f>
        <v>excitement</v>
      </c>
      <c r="P178" s="6" t="str">
        <f>IFERROR(__xludf.DUMMYFUNCTION("""COMPUTED_VALUE"""),"relief")</f>
        <v>relief</v>
      </c>
      <c r="Q178" s="6" t="str">
        <f>IFERROR(__xludf.DUMMYFUNCTION("""COMPUTED_VALUE"""),"clumsy")</f>
        <v>clumsy</v>
      </c>
      <c r="S178" s="6" t="str">
        <f>IFERROR(__xludf.DUMMYFUNCTION("""COMPUTED_VALUE"""),"watch")</f>
        <v>watch</v>
      </c>
    </row>
    <row r="179">
      <c r="A179" s="6" t="str">
        <f>IFERROR(__xludf.DUMMYFUNCTION("""COMPUTED_VALUE"""),"stretched")</f>
        <v>stretched</v>
      </c>
      <c r="C179" s="6" t="str">
        <f>IFERROR(__xludf.DUMMYFUNCTION("""COMPUTED_VALUE"""),"whale")</f>
        <v>whale</v>
      </c>
      <c r="D179" s="6"/>
      <c r="E179" s="6" t="str">
        <f>IFERROR(__xludf.DUMMYFUNCTION("""COMPUTED_VALUE"""),"capturing")</f>
        <v>capturing</v>
      </c>
      <c r="G179" s="6" t="str">
        <f>IFERROR(__xludf.DUMMYFUNCTION("""COMPUTED_VALUE"""),"portrait")</f>
        <v>portrait</v>
      </c>
      <c r="H179" s="6" t="str">
        <f>IFERROR(__xludf.DUMMYFUNCTION("""COMPUTED_VALUE"""),"spectacle")</f>
        <v>spectacle</v>
      </c>
      <c r="I179" s="6" t="str">
        <f>IFERROR(__xludf.DUMMYFUNCTION("""COMPUTED_VALUE"""),"markets")</f>
        <v>markets</v>
      </c>
      <c r="J179" s="6" t="str">
        <f>IFERROR(__xludf.DUMMYFUNCTION("""COMPUTED_VALUE"""),"slightest")</f>
        <v>slightest</v>
      </c>
      <c r="L179" s="6" t="str">
        <f>IFERROR(__xludf.DUMMYFUNCTION("""COMPUTED_VALUE"""),"captures")</f>
        <v>captures</v>
      </c>
      <c r="M179" s="6" t="str">
        <f>IFERROR(__xludf.DUMMYFUNCTION("""COMPUTED_VALUE"""),"strong")</f>
        <v>strong</v>
      </c>
      <c r="N179" s="6" t="str">
        <f>IFERROR(__xludf.DUMMYFUNCTION("""COMPUTED_VALUE"""),"insult")</f>
        <v>insult</v>
      </c>
      <c r="P179" s="6" t="str">
        <f>IFERROR(__xludf.DUMMYFUNCTION("""COMPUTED_VALUE"""),"welcome")</f>
        <v>welcome</v>
      </c>
      <c r="Q179" s="6" t="str">
        <f>IFERROR(__xludf.DUMMYFUNCTION("""COMPUTED_VALUE"""),"unfortunately")</f>
        <v>unfortunately</v>
      </c>
      <c r="S179" s="6" t="str">
        <f>IFERROR(__xludf.DUMMYFUNCTION("""COMPUTED_VALUE"""),"uses")</f>
        <v>uses</v>
      </c>
    </row>
    <row r="180">
      <c r="A180" s="6" t="str">
        <f>IFERROR(__xludf.DUMMYFUNCTION("""COMPUTED_VALUE"""),"honorable")</f>
        <v>honorable</v>
      </c>
      <c r="C180" s="6" t="str">
        <f>IFERROR(__xludf.DUMMYFUNCTION("""COMPUTED_VALUE"""),"prejudice")</f>
        <v>prejudice</v>
      </c>
      <c r="D180" s="6"/>
      <c r="E180" s="6" t="str">
        <f>IFERROR(__xludf.DUMMYFUNCTION("""COMPUTED_VALUE"""),"collectively")</f>
        <v>collectively</v>
      </c>
      <c r="G180" s="6" t="str">
        <f>IFERROR(__xludf.DUMMYFUNCTION("""COMPUTED_VALUE"""),"fails")</f>
        <v>fails</v>
      </c>
      <c r="H180" s="6" t="str">
        <f>IFERROR(__xludf.DUMMYFUNCTION("""COMPUTED_VALUE"""),"conclusions")</f>
        <v>conclusions</v>
      </c>
      <c r="I180" s="6" t="str">
        <f>IFERROR(__xludf.DUMMYFUNCTION("""COMPUTED_VALUE"""),"worth")</f>
        <v>worth</v>
      </c>
      <c r="J180" s="6" t="str">
        <f>IFERROR(__xludf.DUMMYFUNCTION("""COMPUTED_VALUE"""),"wildly")</f>
        <v>wildly</v>
      </c>
      <c r="L180" s="6" t="str">
        <f>IFERROR(__xludf.DUMMYFUNCTION("""COMPUTED_VALUE"""),"combining")</f>
        <v>combining</v>
      </c>
      <c r="M180" s="6" t="str">
        <f>IFERROR(__xludf.DUMMYFUNCTION("""COMPUTED_VALUE"""),"rodriguez")</f>
        <v>rodriguez</v>
      </c>
      <c r="N180" s="6" t="str">
        <f>IFERROR(__xludf.DUMMYFUNCTION("""COMPUTED_VALUE"""),"turns")</f>
        <v>turns</v>
      </c>
      <c r="P180" s="6" t="str">
        <f>IFERROR(__xludf.DUMMYFUNCTION("""COMPUTED_VALUE"""),"promise")</f>
        <v>promise</v>
      </c>
      <c r="Q180" s="6" t="str">
        <f>IFERROR(__xludf.DUMMYFUNCTION("""COMPUTED_VALUE"""),"betrayed")</f>
        <v>betrayed</v>
      </c>
      <c r="S180" s="6" t="str">
        <f>IFERROR(__xludf.DUMMYFUNCTION("""COMPUTED_VALUE"""),"landscape")</f>
        <v>landscape</v>
      </c>
    </row>
    <row r="181">
      <c r="A181" s="6" t="str">
        <f>IFERROR(__xludf.DUMMYFUNCTION("""COMPUTED_VALUE"""),"symbolic")</f>
        <v>symbolic</v>
      </c>
      <c r="C181" s="6" t="str">
        <f>IFERROR(__xludf.DUMMYFUNCTION("""COMPUTED_VALUE"""),"lifeless")</f>
        <v>lifeless</v>
      </c>
      <c r="D181" s="6"/>
      <c r="E181" s="6" t="str">
        <f>IFERROR(__xludf.DUMMYFUNCTION("""COMPUTED_VALUE"""),"prolonged")</f>
        <v>prolonged</v>
      </c>
      <c r="G181" s="6" t="str">
        <f>IFERROR(__xludf.DUMMYFUNCTION("""COMPUTED_VALUE"""),"bard")</f>
        <v>bard</v>
      </c>
      <c r="H181" s="6" t="str">
        <f>IFERROR(__xludf.DUMMYFUNCTION("""COMPUTED_VALUE"""),"dramas")</f>
        <v>dramas</v>
      </c>
      <c r="I181" s="6" t="str">
        <f>IFERROR(__xludf.DUMMYFUNCTION("""COMPUTED_VALUE"""),"admission")</f>
        <v>admission</v>
      </c>
      <c r="J181" s="6" t="str">
        <f>IFERROR(__xludf.DUMMYFUNCTION("""COMPUTED_VALUE"""),"videos")</f>
        <v>videos</v>
      </c>
      <c r="L181" s="6" t="str">
        <f>IFERROR(__xludf.DUMMYFUNCTION("""COMPUTED_VALUE"""),"sexuality")</f>
        <v>sexuality</v>
      </c>
      <c r="M181" s="6" t="str">
        <f>IFERROR(__xludf.DUMMYFUNCTION("""COMPUTED_VALUE"""),"roger")</f>
        <v>roger</v>
      </c>
      <c r="N181" s="6">
        <f>IFERROR(__xludf.DUMMYFUNCTION("""COMPUTED_VALUE"""),2002.0)</f>
        <v>2002</v>
      </c>
      <c r="P181" s="6" t="str">
        <f>IFERROR(__xludf.DUMMYFUNCTION("""COMPUTED_VALUE"""),"wait")</f>
        <v>wait</v>
      </c>
      <c r="Q181" s="6" t="str">
        <f>IFERROR(__xludf.DUMMYFUNCTION("""COMPUTED_VALUE"""),"conviction")</f>
        <v>conviction</v>
      </c>
      <c r="S181" s="6" t="str">
        <f>IFERROR(__xludf.DUMMYFUNCTION("""COMPUTED_VALUE"""),"kind")</f>
        <v>kind</v>
      </c>
    </row>
    <row r="182">
      <c r="A182" s="6" t="str">
        <f>IFERROR(__xludf.DUMMYFUNCTION("""COMPUTED_VALUE"""),"freedom")</f>
        <v>freedom</v>
      </c>
      <c r="C182" s="6" t="str">
        <f>IFERROR(__xludf.DUMMYFUNCTION("""COMPUTED_VALUE"""),"compatible")</f>
        <v>compatible</v>
      </c>
      <c r="D182" s="6"/>
      <c r="E182" s="6" t="str">
        <f>IFERROR(__xludf.DUMMYFUNCTION("""COMPUTED_VALUE"""),"rejected")</f>
        <v>rejected</v>
      </c>
      <c r="G182" s="6" t="str">
        <f>IFERROR(__xludf.DUMMYFUNCTION("""COMPUTED_VALUE"""),"bottom")</f>
        <v>bottom</v>
      </c>
      <c r="H182" s="6" t="str">
        <f>IFERROR(__xludf.DUMMYFUNCTION("""COMPUTED_VALUE"""),"ponder")</f>
        <v>ponder</v>
      </c>
      <c r="I182" s="6" t="str">
        <f>IFERROR(__xludf.DUMMYFUNCTION("""COMPUTED_VALUE"""),"shallow")</f>
        <v>shallow</v>
      </c>
      <c r="J182" s="6" t="str">
        <f>IFERROR(__xludf.DUMMYFUNCTION("""COMPUTED_VALUE"""),"music")</f>
        <v>music</v>
      </c>
      <c r="L182" s="6" t="str">
        <f>IFERROR(__xludf.DUMMYFUNCTION("""COMPUTED_VALUE"""),"offensive")</f>
        <v>offensive</v>
      </c>
      <c r="M182" s="6" t="str">
        <f>IFERROR(__xludf.DUMMYFUNCTION("""COMPUTED_VALUE"""),"reality")</f>
        <v>reality</v>
      </c>
      <c r="N182" s="6" t="str">
        <f>IFERROR(__xludf.DUMMYFUNCTION("""COMPUTED_VALUE"""),"captures")</f>
        <v>captures</v>
      </c>
      <c r="P182" s="6" t="str">
        <f>IFERROR(__xludf.DUMMYFUNCTION("""COMPUTED_VALUE"""),"theatrical")</f>
        <v>theatrical</v>
      </c>
      <c r="Q182" s="6" t="str">
        <f>IFERROR(__xludf.DUMMYFUNCTION("""COMPUTED_VALUE"""),"bourne")</f>
        <v>bourne</v>
      </c>
      <c r="S182" s="6" t="str">
        <f>IFERROR(__xludf.DUMMYFUNCTION("""COMPUTED_VALUE"""),"car")</f>
        <v>car</v>
      </c>
    </row>
    <row r="183">
      <c r="A183" s="6" t="str">
        <f>IFERROR(__xludf.DUMMYFUNCTION("""COMPUTED_VALUE"""),"whale")</f>
        <v>whale</v>
      </c>
      <c r="C183" s="6" t="str">
        <f>IFERROR(__xludf.DUMMYFUNCTION("""COMPUTED_VALUE"""),"embraced")</f>
        <v>embraced</v>
      </c>
      <c r="D183" s="6"/>
      <c r="E183" s="6" t="str">
        <f>IFERROR(__xludf.DUMMYFUNCTION("""COMPUTED_VALUE"""),"flatly")</f>
        <v>flatly</v>
      </c>
      <c r="G183" s="6" t="str">
        <f>IFERROR(__xludf.DUMMYFUNCTION("""COMPUTED_VALUE"""),"davies")</f>
        <v>davies</v>
      </c>
      <c r="H183" s="6" t="str">
        <f>IFERROR(__xludf.DUMMYFUNCTION("""COMPUTED_VALUE"""),"forces")</f>
        <v>forces</v>
      </c>
      <c r="I183" s="6" t="str">
        <f>IFERROR(__xludf.DUMMYFUNCTION("""COMPUTED_VALUE"""),"joel")</f>
        <v>joel</v>
      </c>
      <c r="J183" s="6" t="str">
        <f>IFERROR(__xludf.DUMMYFUNCTION("""COMPUTED_VALUE"""),"color")</f>
        <v>color</v>
      </c>
      <c r="L183" s="6" t="str">
        <f>IFERROR(__xludf.DUMMYFUNCTION("""COMPUTED_VALUE"""),"engage")</f>
        <v>engage</v>
      </c>
      <c r="M183" s="6" t="str">
        <f>IFERROR(__xludf.DUMMYFUNCTION("""COMPUTED_VALUE"""),"talent")</f>
        <v>talent</v>
      </c>
      <c r="N183" s="6" t="str">
        <f>IFERROR(__xludf.DUMMYFUNCTION("""COMPUTED_VALUE"""),"combining")</f>
        <v>combining</v>
      </c>
      <c r="P183" s="6" t="str">
        <f>IFERROR(__xludf.DUMMYFUNCTION("""COMPUTED_VALUE"""),"death")</f>
        <v>death</v>
      </c>
      <c r="Q183" s="6" t="str">
        <f>IFERROR(__xludf.DUMMYFUNCTION("""COMPUTED_VALUE"""),"brings")</f>
        <v>brings</v>
      </c>
      <c r="S183" s="6" t="str">
        <f>IFERROR(__xludf.DUMMYFUNCTION("""COMPUTED_VALUE"""),"maybe")</f>
        <v>maybe</v>
      </c>
    </row>
    <row r="184">
      <c r="A184" s="6" t="str">
        <f>IFERROR(__xludf.DUMMYFUNCTION("""COMPUTED_VALUE"""),"prejudice")</f>
        <v>prejudice</v>
      </c>
      <c r="C184" s="6" t="str">
        <f>IFERROR(__xludf.DUMMYFUNCTION("""COMPUTED_VALUE"""),"denial")</f>
        <v>denial</v>
      </c>
      <c r="D184" s="6"/>
      <c r="E184" s="6" t="str">
        <f>IFERROR(__xludf.DUMMYFUNCTION("""COMPUTED_VALUE"""),"phenomenon")</f>
        <v>phenomenon</v>
      </c>
      <c r="G184" s="6" t="str">
        <f>IFERROR(__xludf.DUMMYFUNCTION("""COMPUTED_VALUE"""),"bleak")</f>
        <v>bleak</v>
      </c>
      <c r="H184" s="6" t="str">
        <f>IFERROR(__xludf.DUMMYFUNCTION("""COMPUTED_VALUE"""),"enables")</f>
        <v>enables</v>
      </c>
      <c r="I184" s="6" t="str">
        <f>IFERROR(__xludf.DUMMYFUNCTION("""COMPUTED_VALUE"""),"targeted")</f>
        <v>targeted</v>
      </c>
      <c r="J184" s="6" t="str">
        <f>IFERROR(__xludf.DUMMYFUNCTION("""COMPUTED_VALUE"""),"preliminary")</f>
        <v>preliminary</v>
      </c>
      <c r="L184" s="6" t="str">
        <f>IFERROR(__xludf.DUMMYFUNCTION("""COMPUTED_VALUE"""),"emotionally")</f>
        <v>emotionally</v>
      </c>
      <c r="M184" s="6" t="str">
        <f>IFERROR(__xludf.DUMMYFUNCTION("""COMPUTED_VALUE"""),"living")</f>
        <v>living</v>
      </c>
      <c r="N184" s="6" t="str">
        <f>IFERROR(__xludf.DUMMYFUNCTION("""COMPUTED_VALUE"""),"sexuality")</f>
        <v>sexuality</v>
      </c>
      <c r="P184" s="6" t="str">
        <f>IFERROR(__xludf.DUMMYFUNCTION("""COMPUTED_VALUE"""),"faith")</f>
        <v>faith</v>
      </c>
      <c r="Q184" s="6" t="str">
        <f>IFERROR(__xludf.DUMMYFUNCTION("""COMPUTED_VALUE"""),"diplomacy")</f>
        <v>diplomacy</v>
      </c>
      <c r="S184" s="6" t="str">
        <f>IFERROR(__xludf.DUMMYFUNCTION("""COMPUTED_VALUE"""),"lot")</f>
        <v>lot</v>
      </c>
    </row>
    <row r="185">
      <c r="A185" s="6" t="str">
        <f>IFERROR(__xludf.DUMMYFUNCTION("""COMPUTED_VALUE"""),"lifeless")</f>
        <v>lifeless</v>
      </c>
      <c r="C185" s="6" t="str">
        <f>IFERROR(__xludf.DUMMYFUNCTION("""COMPUTED_VALUE"""),"banged")</f>
        <v>banged</v>
      </c>
      <c r="D185" s="6"/>
      <c r="E185" s="6" t="str">
        <f>IFERROR(__xludf.DUMMYFUNCTION("""COMPUTED_VALUE"""),"emphasizes")</f>
        <v>emphasizes</v>
      </c>
      <c r="G185" s="6" t="str">
        <f>IFERROR(__xludf.DUMMYFUNCTION("""COMPUTED_VALUE"""),"convincing")</f>
        <v>convincing</v>
      </c>
      <c r="H185" s="6" t="str">
        <f>IFERROR(__xludf.DUMMYFUNCTION("""COMPUTED_VALUE"""),"considerable")</f>
        <v>considerable</v>
      </c>
      <c r="I185" s="6" t="str">
        <f>IFERROR(__xludf.DUMMYFUNCTION("""COMPUTED_VALUE"""),"footage")</f>
        <v>footage</v>
      </c>
      <c r="J185" s="6" t="str">
        <f>IFERROR(__xludf.DUMMYFUNCTION("""COMPUTED_VALUE"""),"narrative")</f>
        <v>narrative</v>
      </c>
      <c r="L185" s="6" t="str">
        <f>IFERROR(__xludf.DUMMYFUNCTION("""COMPUTED_VALUE"""),"revealing")</f>
        <v>revealing</v>
      </c>
      <c r="M185" s="6" t="str">
        <f>IFERROR(__xludf.DUMMYFUNCTION("""COMPUTED_VALUE"""),"dramatic")</f>
        <v>dramatic</v>
      </c>
      <c r="N185" s="6" t="str">
        <f>IFERROR(__xludf.DUMMYFUNCTION("""COMPUTED_VALUE"""),"offensive")</f>
        <v>offensive</v>
      </c>
      <c r="P185" s="6" t="str">
        <f>IFERROR(__xludf.DUMMYFUNCTION("""COMPUTED_VALUE"""),"extraordinary")</f>
        <v>extraordinary</v>
      </c>
      <c r="Q185" s="6" t="str">
        <f>IFERROR(__xludf.DUMMYFUNCTION("""COMPUTED_VALUE"""),"generosity")</f>
        <v>generosity</v>
      </c>
      <c r="S185" s="6" t="str">
        <f>IFERROR(__xludf.DUMMYFUNCTION("""COMPUTED_VALUE"""),"twice")</f>
        <v>twice</v>
      </c>
    </row>
    <row r="186">
      <c r="A186" s="6" t="str">
        <f>IFERROR(__xludf.DUMMYFUNCTION("""COMPUTED_VALUE"""),"compatible")</f>
        <v>compatible</v>
      </c>
      <c r="C186" s="6" t="str">
        <f>IFERROR(__xludf.DUMMYFUNCTION("""COMPUTED_VALUE"""),"capturing")</f>
        <v>capturing</v>
      </c>
      <c r="D186" s="6"/>
      <c r="E186" s="6" t="str">
        <f>IFERROR(__xludf.DUMMYFUNCTION("""COMPUTED_VALUE"""),"scarcely")</f>
        <v>scarcely</v>
      </c>
      <c r="G186" s="6" t="str">
        <f>IFERROR(__xludf.DUMMYFUNCTION("""COMPUTED_VALUE"""),"viewer")</f>
        <v>viewer</v>
      </c>
      <c r="H186" s="6" t="str">
        <f>IFERROR(__xludf.DUMMYFUNCTION("""COMPUTED_VALUE"""),"bold")</f>
        <v>bold</v>
      </c>
      <c r="I186" s="6" t="str">
        <f>IFERROR(__xludf.DUMMYFUNCTION("""COMPUTED_VALUE"""),"nomination")</f>
        <v>nomination</v>
      </c>
      <c r="J186" s="6" t="str">
        <f>IFERROR(__xludf.DUMMYFUNCTION("""COMPUTED_VALUE"""),"unpredictable")</f>
        <v>unpredictable</v>
      </c>
      <c r="L186" s="6" t="str">
        <f>IFERROR(__xludf.DUMMYFUNCTION("""COMPUTED_VALUE"""),"chilling")</f>
        <v>chilling</v>
      </c>
      <c r="M186" s="6" t="str">
        <f>IFERROR(__xludf.DUMMYFUNCTION("""COMPUTED_VALUE"""),"among")</f>
        <v>among</v>
      </c>
      <c r="N186" s="6" t="str">
        <f>IFERROR(__xludf.DUMMYFUNCTION("""COMPUTED_VALUE"""),"engage")</f>
        <v>engage</v>
      </c>
      <c r="P186" s="6" t="str">
        <f>IFERROR(__xludf.DUMMYFUNCTION("""COMPUTED_VALUE"""),"champion")</f>
        <v>champion</v>
      </c>
      <c r="Q186" s="6" t="str">
        <f>IFERROR(__xludf.DUMMYFUNCTION("""COMPUTED_VALUE"""),"years")</f>
        <v>years</v>
      </c>
      <c r="S186" s="6" t="str">
        <f>IFERROR(__xludf.DUMMYFUNCTION("""COMPUTED_VALUE"""),"forgotten")</f>
        <v>forgotten</v>
      </c>
    </row>
    <row r="187">
      <c r="A187" s="6" t="str">
        <f>IFERROR(__xludf.DUMMYFUNCTION("""COMPUTED_VALUE"""),"embraced")</f>
        <v>embraced</v>
      </c>
      <c r="C187" s="6" t="str">
        <f>IFERROR(__xludf.DUMMYFUNCTION("""COMPUTED_VALUE"""),"prolonged")</f>
        <v>prolonged</v>
      </c>
      <c r="D187" s="6"/>
      <c r="E187" s="6" t="str">
        <f>IFERROR(__xludf.DUMMYFUNCTION("""COMPUTED_VALUE"""),"expressive")</f>
        <v>expressive</v>
      </c>
      <c r="G187" s="6" t="str">
        <f>IFERROR(__xludf.DUMMYFUNCTION("""COMPUTED_VALUE"""),"affection")</f>
        <v>affection</v>
      </c>
      <c r="H187" s="6" t="str">
        <f>IFERROR(__xludf.DUMMYFUNCTION("""COMPUTED_VALUE"""),"effects")</f>
        <v>effects</v>
      </c>
      <c r="I187" s="6" t="str">
        <f>IFERROR(__xludf.DUMMYFUNCTION("""COMPUTED_VALUE"""),"offering")</f>
        <v>offering</v>
      </c>
      <c r="J187" s="6" t="str">
        <f>IFERROR(__xludf.DUMMYFUNCTION("""COMPUTED_VALUE"""),"spectacle")</f>
        <v>spectacle</v>
      </c>
      <c r="L187" s="6" t="str">
        <f>IFERROR(__xludf.DUMMYFUNCTION("""COMPUTED_VALUE"""),"fewer")</f>
        <v>fewer</v>
      </c>
      <c r="M187" s="6" t="str">
        <f>IFERROR(__xludf.DUMMYFUNCTION("""COMPUTED_VALUE"""),"predecessor")</f>
        <v>predecessor</v>
      </c>
      <c r="N187" s="6" t="str">
        <f>IFERROR(__xludf.DUMMYFUNCTION("""COMPUTED_VALUE"""),"prove")</f>
        <v>prove</v>
      </c>
      <c r="P187" s="6" t="str">
        <f>IFERROR(__xludf.DUMMYFUNCTION("""COMPUTED_VALUE"""),"heart")</f>
        <v>heart</v>
      </c>
      <c r="Q187" s="6" t="str">
        <f>IFERROR(__xludf.DUMMYFUNCTION("""COMPUTED_VALUE"""),"share")</f>
        <v>share</v>
      </c>
      <c r="S187" s="6" t="str">
        <f>IFERROR(__xludf.DUMMYFUNCTION("""COMPUTED_VALUE"""),"old")</f>
        <v>old</v>
      </c>
    </row>
    <row r="188">
      <c r="A188" s="6" t="str">
        <f>IFERROR(__xludf.DUMMYFUNCTION("""COMPUTED_VALUE"""),"denial")</f>
        <v>denial</v>
      </c>
      <c r="C188" s="6" t="str">
        <f>IFERROR(__xludf.DUMMYFUNCTION("""COMPUTED_VALUE"""),"rejected")</f>
        <v>rejected</v>
      </c>
      <c r="D188" s="6"/>
      <c r="E188" s="6" t="str">
        <f>IFERROR(__xludf.DUMMYFUNCTION("""COMPUTED_VALUE"""),"bitten")</f>
        <v>bitten</v>
      </c>
      <c r="G188" s="6" t="str">
        <f>IFERROR(__xludf.DUMMYFUNCTION("""COMPUTED_VALUE"""),"documentary")</f>
        <v>documentary</v>
      </c>
      <c r="H188" s="6" t="str">
        <f>IFERROR(__xludf.DUMMYFUNCTION("""COMPUTED_VALUE"""),"flashes")</f>
        <v>flashes</v>
      </c>
      <c r="I188" s="6" t="str">
        <f>IFERROR(__xludf.DUMMYFUNCTION("""COMPUTED_VALUE"""),"oscar")</f>
        <v>oscar</v>
      </c>
      <c r="J188" s="6" t="str">
        <f>IFERROR(__xludf.DUMMYFUNCTION("""COMPUTED_VALUE"""),"conclusions")</f>
        <v>conclusions</v>
      </c>
      <c r="L188" s="6" t="str">
        <f>IFERROR(__xludf.DUMMYFUNCTION("""COMPUTED_VALUE"""),"deep")</f>
        <v>deep</v>
      </c>
      <c r="M188" s="6" t="str">
        <f>IFERROR(__xludf.DUMMYFUNCTION("""COMPUTED_VALUE"""),"sets")</f>
        <v>sets</v>
      </c>
      <c r="N188" s="6" t="str">
        <f>IFERROR(__xludf.DUMMYFUNCTION("""COMPUTED_VALUE"""),"revealing")</f>
        <v>revealing</v>
      </c>
      <c r="P188" s="6" t="str">
        <f>IFERROR(__xludf.DUMMYFUNCTION("""COMPUTED_VALUE"""),"adaptation")</f>
        <v>adaptation</v>
      </c>
      <c r="Q188" s="6" t="str">
        <f>IFERROR(__xludf.DUMMYFUNCTION("""COMPUTED_VALUE"""),"engaging")</f>
        <v>engaging</v>
      </c>
      <c r="S188" s="6" t="str">
        <f>IFERROR(__xludf.DUMMYFUNCTION("""COMPUTED_VALUE"""),"college")</f>
        <v>college</v>
      </c>
    </row>
    <row r="189">
      <c r="A189" s="6" t="str">
        <f>IFERROR(__xludf.DUMMYFUNCTION("""COMPUTED_VALUE"""),"banged")</f>
        <v>banged</v>
      </c>
      <c r="C189" s="6" t="str">
        <f>IFERROR(__xludf.DUMMYFUNCTION("""COMPUTED_VALUE"""),"flatly")</f>
        <v>flatly</v>
      </c>
      <c r="D189" s="6"/>
      <c r="E189" s="6" t="str">
        <f>IFERROR(__xludf.DUMMYFUNCTION("""COMPUTED_VALUE"""),"downward")</f>
        <v>downward</v>
      </c>
      <c r="G189" s="6" t="str">
        <f>IFERROR(__xludf.DUMMYFUNCTION("""COMPUTED_VALUE"""),"kills")</f>
        <v>kills</v>
      </c>
      <c r="H189" s="6" t="str">
        <f>IFERROR(__xludf.DUMMYFUNCTION("""COMPUTED_VALUE"""),"sibling")</f>
        <v>sibling</v>
      </c>
      <c r="I189" s="6" t="str">
        <f>IFERROR(__xludf.DUMMYFUNCTION("""COMPUTED_VALUE"""),"exercise")</f>
        <v>exercise</v>
      </c>
      <c r="J189" s="6" t="str">
        <f>IFERROR(__xludf.DUMMYFUNCTION("""COMPUTED_VALUE"""),"dramas")</f>
        <v>dramas</v>
      </c>
      <c r="L189" s="6" t="str">
        <f>IFERROR(__xludf.DUMMYFUNCTION("""COMPUTED_VALUE"""),"submarine")</f>
        <v>submarine</v>
      </c>
      <c r="M189" s="6" t="str">
        <f>IFERROR(__xludf.DUMMYFUNCTION("""COMPUTED_VALUE"""),"sentence")</f>
        <v>sentence</v>
      </c>
      <c r="N189" s="6" t="str">
        <f>IFERROR(__xludf.DUMMYFUNCTION("""COMPUTED_VALUE"""),"done")</f>
        <v>done</v>
      </c>
      <c r="P189" s="6" t="str">
        <f>IFERROR(__xludf.DUMMYFUNCTION("""COMPUTED_VALUE"""),"tight")</f>
        <v>tight</v>
      </c>
      <c r="Q189" s="6" t="str">
        <f>IFERROR(__xludf.DUMMYFUNCTION("""COMPUTED_VALUE"""),"collapse")</f>
        <v>collapse</v>
      </c>
      <c r="S189" s="6" t="str">
        <f>IFERROR(__xludf.DUMMYFUNCTION("""COMPUTED_VALUE"""),"match")</f>
        <v>match</v>
      </c>
    </row>
    <row r="190">
      <c r="A190" s="6" t="str">
        <f>IFERROR(__xludf.DUMMYFUNCTION("""COMPUTED_VALUE"""),"capturing")</f>
        <v>capturing</v>
      </c>
      <c r="C190" s="6" t="str">
        <f>IFERROR(__xludf.DUMMYFUNCTION("""COMPUTED_VALUE"""),"phenomenon")</f>
        <v>phenomenon</v>
      </c>
      <c r="D190" s="6"/>
      <c r="E190" s="6" t="str">
        <f>IFERROR(__xludf.DUMMYFUNCTION("""COMPUTED_VALUE"""),"evolve")</f>
        <v>evolve</v>
      </c>
      <c r="G190" s="6" t="str">
        <f>IFERROR(__xludf.DUMMYFUNCTION("""COMPUTED_VALUE"""),"satire")</f>
        <v>satire</v>
      </c>
      <c r="H190" s="6" t="str">
        <f>IFERROR(__xludf.DUMMYFUNCTION("""COMPUTED_VALUE"""),"reconciliation")</f>
        <v>reconciliation</v>
      </c>
      <c r="I190" s="6" t="str">
        <f>IFERROR(__xludf.DUMMYFUNCTION("""COMPUTED_VALUE"""),"halfway")</f>
        <v>halfway</v>
      </c>
      <c r="J190" s="6" t="str">
        <f>IFERROR(__xludf.DUMMYFUNCTION("""COMPUTED_VALUE"""),"ponder")</f>
        <v>ponder</v>
      </c>
      <c r="L190" s="6" t="str">
        <f>IFERROR(__xludf.DUMMYFUNCTION("""COMPUTED_VALUE"""),"supernatural")</f>
        <v>supernatural</v>
      </c>
      <c r="M190" s="6" t="str">
        <f>IFERROR(__xludf.DUMMYFUNCTION("""COMPUTED_VALUE"""),"subjects")</f>
        <v>subjects</v>
      </c>
      <c r="N190" s="6" t="str">
        <f>IFERROR(__xludf.DUMMYFUNCTION("""COMPUTED_VALUE"""),"chilling")</f>
        <v>chilling</v>
      </c>
      <c r="P190" s="6" t="str">
        <f>IFERROR(__xludf.DUMMYFUNCTION("""COMPUTED_VALUE"""),"works")</f>
        <v>works</v>
      </c>
      <c r="Q190" s="6" t="str">
        <f>IFERROR(__xludf.DUMMYFUNCTION("""COMPUTED_VALUE"""),"forgive")</f>
        <v>forgive</v>
      </c>
      <c r="S190" s="6" t="str">
        <f>IFERROR(__xludf.DUMMYFUNCTION("""COMPUTED_VALUE"""),"try")</f>
        <v>try</v>
      </c>
    </row>
    <row r="191">
      <c r="A191" s="6" t="str">
        <f>IFERROR(__xludf.DUMMYFUNCTION("""COMPUTED_VALUE"""),"collectively")</f>
        <v>collectively</v>
      </c>
      <c r="C191" s="6" t="str">
        <f>IFERROR(__xludf.DUMMYFUNCTION("""COMPUTED_VALUE"""),"emphasizes")</f>
        <v>emphasizes</v>
      </c>
      <c r="D191" s="6"/>
      <c r="E191" s="6" t="str">
        <f>IFERROR(__xludf.DUMMYFUNCTION("""COMPUTED_VALUE"""),"examines")</f>
        <v>examines</v>
      </c>
      <c r="G191" s="6" t="str">
        <f>IFERROR(__xludf.DUMMYFUNCTION("""COMPUTED_VALUE"""),"courage")</f>
        <v>courage</v>
      </c>
      <c r="H191" s="6" t="str">
        <f>IFERROR(__xludf.DUMMYFUNCTION("""COMPUTED_VALUE"""),"warmth")</f>
        <v>warmth</v>
      </c>
      <c r="I191" s="6" t="str">
        <f>IFERROR(__xludf.DUMMYFUNCTION("""COMPUTED_VALUE"""),"martial")</f>
        <v>martial</v>
      </c>
      <c r="J191" s="6" t="str">
        <f>IFERROR(__xludf.DUMMYFUNCTION("""COMPUTED_VALUE"""),"forces")</f>
        <v>forces</v>
      </c>
      <c r="L191" s="6" t="str">
        <f>IFERROR(__xludf.DUMMYFUNCTION("""COMPUTED_VALUE"""),"grand")</f>
        <v>grand</v>
      </c>
      <c r="M191" s="6" t="str">
        <f>IFERROR(__xludf.DUMMYFUNCTION("""COMPUTED_VALUE"""),"acid")</f>
        <v>acid</v>
      </c>
      <c r="N191" s="6" t="str">
        <f>IFERROR(__xludf.DUMMYFUNCTION("""COMPUTED_VALUE"""),"deep")</f>
        <v>deep</v>
      </c>
      <c r="P191" s="6" t="str">
        <f>IFERROR(__xludf.DUMMYFUNCTION("""COMPUTED_VALUE"""),"sequel")</f>
        <v>sequel</v>
      </c>
      <c r="Q191" s="6" t="str">
        <f>IFERROR(__xludf.DUMMYFUNCTION("""COMPUTED_VALUE"""),"tool")</f>
        <v>tool</v>
      </c>
      <c r="S191" s="6" t="str">
        <f>IFERROR(__xludf.DUMMYFUNCTION("""COMPUTED_VALUE"""),"giving")</f>
        <v>giving</v>
      </c>
    </row>
    <row r="192">
      <c r="A192" s="6" t="str">
        <f>IFERROR(__xludf.DUMMYFUNCTION("""COMPUTED_VALUE"""),"prolonged")</f>
        <v>prolonged</v>
      </c>
      <c r="C192" s="6" t="str">
        <f>IFERROR(__xludf.DUMMYFUNCTION("""COMPUTED_VALUE"""),"scarcely")</f>
        <v>scarcely</v>
      </c>
      <c r="D192" s="6"/>
      <c r="E192" s="6" t="str">
        <f>IFERROR(__xludf.DUMMYFUNCTION("""COMPUTED_VALUE"""),"heroic")</f>
        <v>heroic</v>
      </c>
      <c r="G192" s="6" t="str">
        <f>IFERROR(__xludf.DUMMYFUNCTION("""COMPUTED_VALUE"""),"intellectual")</f>
        <v>intellectual</v>
      </c>
      <c r="H192" s="6" t="str">
        <f>IFERROR(__xludf.DUMMYFUNCTION("""COMPUTED_VALUE"""),"avoids")</f>
        <v>avoids</v>
      </c>
      <c r="I192" s="6" t="str">
        <f>IFERROR(__xludf.DUMMYFUNCTION("""COMPUTED_VALUE"""),"arts")</f>
        <v>arts</v>
      </c>
      <c r="J192" s="6" t="str">
        <f>IFERROR(__xludf.DUMMYFUNCTION("""COMPUTED_VALUE"""),"speak")</f>
        <v>speak</v>
      </c>
      <c r="L192" s="6" t="str">
        <f>IFERROR(__xludf.DUMMYFUNCTION("""COMPUTED_VALUE"""),"found")</f>
        <v>found</v>
      </c>
      <c r="M192" s="6" t="str">
        <f>IFERROR(__xludf.DUMMYFUNCTION("""COMPUTED_VALUE"""),"teen")</f>
        <v>teen</v>
      </c>
      <c r="N192" s="6" t="str">
        <f>IFERROR(__xludf.DUMMYFUNCTION("""COMPUTED_VALUE"""),"submarine")</f>
        <v>submarine</v>
      </c>
      <c r="P192" s="6" t="str">
        <f>IFERROR(__xludf.DUMMYFUNCTION("""COMPUTED_VALUE"""),"archives")</f>
        <v>archives</v>
      </c>
      <c r="Q192" s="6" t="str">
        <f>IFERROR(__xludf.DUMMYFUNCTION("""COMPUTED_VALUE"""),"community")</f>
        <v>community</v>
      </c>
      <c r="S192" s="6" t="str">
        <f>IFERROR(__xludf.DUMMYFUNCTION("""COMPUTED_VALUE"""),"pure")</f>
        <v>pure</v>
      </c>
    </row>
    <row r="193">
      <c r="A193" s="6" t="str">
        <f>IFERROR(__xludf.DUMMYFUNCTION("""COMPUTED_VALUE"""),"rejected")</f>
        <v>rejected</v>
      </c>
      <c r="C193" s="6" t="str">
        <f>IFERROR(__xludf.DUMMYFUNCTION("""COMPUTED_VALUE"""),"expressive")</f>
        <v>expressive</v>
      </c>
      <c r="D193" s="6"/>
      <c r="E193" s="6" t="str">
        <f>IFERROR(__xludf.DUMMYFUNCTION("""COMPUTED_VALUE"""),"fused")</f>
        <v>fused</v>
      </c>
      <c r="G193" s="6" t="str">
        <f>IFERROR(__xludf.DUMMYFUNCTION("""COMPUTED_VALUE"""),"meditation")</f>
        <v>meditation</v>
      </c>
      <c r="H193" s="6" t="str">
        <f>IFERROR(__xludf.DUMMYFUNCTION("""COMPUTED_VALUE"""),"script")</f>
        <v>script</v>
      </c>
      <c r="I193" s="6" t="str">
        <f>IFERROR(__xludf.DUMMYFUNCTION("""COMPUTED_VALUE"""),"stream")</f>
        <v>stream</v>
      </c>
      <c r="J193" s="6" t="str">
        <f>IFERROR(__xludf.DUMMYFUNCTION("""COMPUTED_VALUE"""),"considerable")</f>
        <v>considerable</v>
      </c>
      <c r="L193" s="6" t="str">
        <f>IFERROR(__xludf.DUMMYFUNCTION("""COMPUTED_VALUE"""),"idiots")</f>
        <v>idiots</v>
      </c>
      <c r="M193" s="6" t="str">
        <f>IFERROR(__xludf.DUMMYFUNCTION("""COMPUTED_VALUE"""),"asks")</f>
        <v>asks</v>
      </c>
      <c r="N193" s="6" t="str">
        <f>IFERROR(__xludf.DUMMYFUNCTION("""COMPUTED_VALUE"""),"supernatural")</f>
        <v>supernatural</v>
      </c>
      <c r="P193" s="6" t="str">
        <f>IFERROR(__xludf.DUMMYFUNCTION("""COMPUTED_VALUE"""),"disney")</f>
        <v>disney</v>
      </c>
      <c r="Q193" s="6" t="str">
        <f>IFERROR(__xludf.DUMMYFUNCTION("""COMPUTED_VALUE"""),"delivers")</f>
        <v>delivers</v>
      </c>
      <c r="S193" s="6" t="str">
        <f>IFERROR(__xludf.DUMMYFUNCTION("""COMPUTED_VALUE"""),"answers")</f>
        <v>answers</v>
      </c>
    </row>
    <row r="194">
      <c r="A194" s="6" t="str">
        <f>IFERROR(__xludf.DUMMYFUNCTION("""COMPUTED_VALUE"""),"flatly")</f>
        <v>flatly</v>
      </c>
      <c r="C194" s="6" t="str">
        <f>IFERROR(__xludf.DUMMYFUNCTION("""COMPUTED_VALUE"""),"successfully")</f>
        <v>successfully</v>
      </c>
      <c r="D194" s="6"/>
      <c r="E194" s="6" t="str">
        <f>IFERROR(__xludf.DUMMYFUNCTION("""COMPUTED_VALUE"""),"effectively")</f>
        <v>effectively</v>
      </c>
      <c r="G194" s="6" t="str">
        <f>IFERROR(__xludf.DUMMYFUNCTION("""COMPUTED_VALUE"""),"freddy")</f>
        <v>freddy</v>
      </c>
      <c r="H194" s="6" t="str">
        <f>IFERROR(__xludf.DUMMYFUNCTION("""COMPUTED_VALUE"""),"predecessors")</f>
        <v>predecessors</v>
      </c>
      <c r="I194" s="6" t="str">
        <f>IFERROR(__xludf.DUMMYFUNCTION("""COMPUTED_VALUE"""),"manufactured")</f>
        <v>manufactured</v>
      </c>
      <c r="J194" s="6" t="str">
        <f>IFERROR(__xludf.DUMMYFUNCTION("""COMPUTED_VALUE"""),"large")</f>
        <v>large</v>
      </c>
      <c r="L194" s="6" t="str">
        <f>IFERROR(__xludf.DUMMYFUNCTION("""COMPUTED_VALUE"""),"holes")</f>
        <v>holes</v>
      </c>
      <c r="M194" s="6" t="str">
        <f>IFERROR(__xludf.DUMMYFUNCTION("""COMPUTED_VALUE"""),"beneath")</f>
        <v>beneath</v>
      </c>
      <c r="N194" s="6" t="str">
        <f>IFERROR(__xludf.DUMMYFUNCTION("""COMPUTED_VALUE"""),"grand")</f>
        <v>grand</v>
      </c>
      <c r="P194" s="6" t="str">
        <f>IFERROR(__xludf.DUMMYFUNCTION("""COMPUTED_VALUE"""),"despite")</f>
        <v>despite</v>
      </c>
      <c r="Q194" s="6" t="str">
        <f>IFERROR(__xludf.DUMMYFUNCTION("""COMPUTED_VALUE"""),"roll")</f>
        <v>roll</v>
      </c>
      <c r="S194" s="6" t="str">
        <f>IFERROR(__xludf.DUMMYFUNCTION("""COMPUTED_VALUE"""),"dialogue")</f>
        <v>dialogue</v>
      </c>
    </row>
    <row r="195">
      <c r="A195" s="6" t="str">
        <f>IFERROR(__xludf.DUMMYFUNCTION("""COMPUTED_VALUE"""),"phenomenon")</f>
        <v>phenomenon</v>
      </c>
      <c r="C195" s="6" t="str">
        <f>IFERROR(__xludf.DUMMYFUNCTION("""COMPUTED_VALUE"""),"downward")</f>
        <v>downward</v>
      </c>
      <c r="D195" s="6"/>
      <c r="E195" s="6" t="str">
        <f>IFERROR(__xludf.DUMMYFUNCTION("""COMPUTED_VALUE"""),"knockout")</f>
        <v>knockout</v>
      </c>
      <c r="G195" s="6" t="str">
        <f>IFERROR(__xludf.DUMMYFUNCTION("""COMPUTED_VALUE"""),"stereotypes")</f>
        <v>stereotypes</v>
      </c>
      <c r="H195" s="6" t="str">
        <f>IFERROR(__xludf.DUMMYFUNCTION("""COMPUTED_VALUE"""),"pacing")</f>
        <v>pacing</v>
      </c>
      <c r="I195" s="6" t="str">
        <f>IFERROR(__xludf.DUMMYFUNCTION("""COMPUTED_VALUE"""),"desperately")</f>
        <v>desperately</v>
      </c>
      <c r="J195" s="6" t="str">
        <f>IFERROR(__xludf.DUMMYFUNCTION("""COMPUTED_VALUE"""),"whole")</f>
        <v>whole</v>
      </c>
      <c r="L195" s="6" t="str">
        <f>IFERROR(__xludf.DUMMYFUNCTION("""COMPUTED_VALUE"""),"screenplay")</f>
        <v>screenplay</v>
      </c>
      <c r="M195" s="6" t="str">
        <f>IFERROR(__xludf.DUMMYFUNCTION("""COMPUTED_VALUE"""),"assembled")</f>
        <v>assembled</v>
      </c>
      <c r="N195" s="6" t="str">
        <f>IFERROR(__xludf.DUMMYFUNCTION("""COMPUTED_VALUE"""),"found")</f>
        <v>found</v>
      </c>
      <c r="P195" s="6" t="str">
        <f>IFERROR(__xludf.DUMMYFUNCTION("""COMPUTED_VALUE"""),"fights")</f>
        <v>fights</v>
      </c>
      <c r="Q195" s="6" t="str">
        <f>IFERROR(__xludf.DUMMYFUNCTION("""COMPUTED_VALUE"""),"suspense")</f>
        <v>suspense</v>
      </c>
      <c r="S195" s="6" t="str">
        <f>IFERROR(__xludf.DUMMYFUNCTION("""COMPUTED_VALUE"""),"love")</f>
        <v>love</v>
      </c>
    </row>
    <row r="196">
      <c r="A196" s="6" t="str">
        <f>IFERROR(__xludf.DUMMYFUNCTION("""COMPUTED_VALUE"""),"emphasizes")</f>
        <v>emphasizes</v>
      </c>
      <c r="C196" s="6" t="str">
        <f>IFERROR(__xludf.DUMMYFUNCTION("""COMPUTED_VALUE"""),"evolve")</f>
        <v>evolve</v>
      </c>
      <c r="D196" s="6"/>
      <c r="E196" s="6" t="str">
        <f>IFERROR(__xludf.DUMMYFUNCTION("""COMPUTED_VALUE"""),"strains")</f>
        <v>strains</v>
      </c>
      <c r="G196" s="6" t="str">
        <f>IFERROR(__xludf.DUMMYFUNCTION("""COMPUTED_VALUE"""),"bore")</f>
        <v>bore</v>
      </c>
      <c r="H196" s="6" t="str">
        <f>IFERROR(__xludf.DUMMYFUNCTION("""COMPUTED_VALUE"""),"affair")</f>
        <v>affair</v>
      </c>
      <c r="I196" s="6" t="str">
        <f>IFERROR(__xludf.DUMMYFUNCTION("""COMPUTED_VALUE"""),"hugh")</f>
        <v>hugh</v>
      </c>
      <c r="J196" s="6" t="str">
        <f>IFERROR(__xludf.DUMMYFUNCTION("""COMPUTED_VALUE"""),"flashes")</f>
        <v>flashes</v>
      </c>
      <c r="L196" s="6" t="str">
        <f>IFERROR(__xludf.DUMMYFUNCTION("""COMPUTED_VALUE"""),"wish")</f>
        <v>wish</v>
      </c>
      <c r="M196" s="6" t="str">
        <f>IFERROR(__xludf.DUMMYFUNCTION("""COMPUTED_VALUE"""),"laughter")</f>
        <v>laughter</v>
      </c>
      <c r="N196" s="6" t="str">
        <f>IFERROR(__xludf.DUMMYFUNCTION("""COMPUTED_VALUE"""),"idiots")</f>
        <v>idiots</v>
      </c>
      <c r="P196" s="6" t="str">
        <f>IFERROR(__xludf.DUMMYFUNCTION("""COMPUTED_VALUE"""),"whether")</f>
        <v>whether</v>
      </c>
      <c r="Q196" s="6" t="str">
        <f>IFERROR(__xludf.DUMMYFUNCTION("""COMPUTED_VALUE"""),"surprise")</f>
        <v>surprise</v>
      </c>
      <c r="S196" s="6" t="str">
        <f>IFERROR(__xludf.DUMMYFUNCTION("""COMPUTED_VALUE"""),"unfortunately")</f>
        <v>unfortunately</v>
      </c>
    </row>
    <row r="197">
      <c r="A197" s="6" t="str">
        <f>IFERROR(__xludf.DUMMYFUNCTION("""COMPUTED_VALUE"""),"scarcely")</f>
        <v>scarcely</v>
      </c>
      <c r="C197" s="6" t="str">
        <f>IFERROR(__xludf.DUMMYFUNCTION("""COMPUTED_VALUE"""),"examines")</f>
        <v>examines</v>
      </c>
      <c r="D197" s="6"/>
      <c r="E197" s="6" t="str">
        <f>IFERROR(__xludf.DUMMYFUNCTION("""COMPUTED_VALUE"""),"fiercely")</f>
        <v>fiercely</v>
      </c>
      <c r="G197" s="6" t="str">
        <f>IFERROR(__xludf.DUMMYFUNCTION("""COMPUTED_VALUE"""),"involving")</f>
        <v>involving</v>
      </c>
      <c r="H197" s="6" t="str">
        <f>IFERROR(__xludf.DUMMYFUNCTION("""COMPUTED_VALUE"""),"breathless")</f>
        <v>breathless</v>
      </c>
      <c r="I197" s="6" t="str">
        <f>IFERROR(__xludf.DUMMYFUNCTION("""COMPUTED_VALUE"""),"grant")</f>
        <v>grant</v>
      </c>
      <c r="J197" s="6" t="str">
        <f>IFERROR(__xludf.DUMMYFUNCTION("""COMPUTED_VALUE"""),"sibling")</f>
        <v>sibling</v>
      </c>
      <c r="L197" s="6" t="str">
        <f>IFERROR(__xludf.DUMMYFUNCTION("""COMPUTED_VALUE"""),"tale")</f>
        <v>tale</v>
      </c>
      <c r="M197" s="6" t="str">
        <f>IFERROR(__xludf.DUMMYFUNCTION("""COMPUTED_VALUE"""),"closely")</f>
        <v>closely</v>
      </c>
      <c r="N197" s="6" t="str">
        <f>IFERROR(__xludf.DUMMYFUNCTION("""COMPUTED_VALUE"""),"blend")</f>
        <v>blend</v>
      </c>
      <c r="P197" s="6" t="str">
        <f>IFERROR(__xludf.DUMMYFUNCTION("""COMPUTED_VALUE"""),"runs")</f>
        <v>runs</v>
      </c>
      <c r="Q197" s="6" t="str">
        <f>IFERROR(__xludf.DUMMYFUNCTION("""COMPUTED_VALUE"""),"lacking")</f>
        <v>lacking</v>
      </c>
      <c r="S197" s="6" t="str">
        <f>IFERROR(__xludf.DUMMYFUNCTION("""COMPUTED_VALUE"""),"brings")</f>
        <v>brings</v>
      </c>
    </row>
    <row r="198">
      <c r="A198" s="6" t="str">
        <f>IFERROR(__xludf.DUMMYFUNCTION("""COMPUTED_VALUE"""),"expressive")</f>
        <v>expressive</v>
      </c>
      <c r="C198" s="6" t="str">
        <f>IFERROR(__xludf.DUMMYFUNCTION("""COMPUTED_VALUE"""),"heroic")</f>
        <v>heroic</v>
      </c>
      <c r="D198" s="6"/>
      <c r="E198" s="6" t="str">
        <f>IFERROR(__xludf.DUMMYFUNCTION("""COMPUTED_VALUE"""),"wreckage")</f>
        <v>wreckage</v>
      </c>
      <c r="G198" s="6" t="str">
        <f>IFERROR(__xludf.DUMMYFUNCTION("""COMPUTED_VALUE"""),"ticket")</f>
        <v>ticket</v>
      </c>
      <c r="H198" s="6" t="str">
        <f>IFERROR(__xludf.DUMMYFUNCTION("""COMPUTED_VALUE"""),"tides")</f>
        <v>tides</v>
      </c>
      <c r="I198" s="6" t="str">
        <f>IFERROR(__xludf.DUMMYFUNCTION("""COMPUTED_VALUE"""),"hours")</f>
        <v>hours</v>
      </c>
      <c r="J198" s="6" t="str">
        <f>IFERROR(__xludf.DUMMYFUNCTION("""COMPUTED_VALUE"""),"reconciliation")</f>
        <v>reconciliation</v>
      </c>
      <c r="L198" s="6" t="str">
        <f>IFERROR(__xludf.DUMMYFUNCTION("""COMPUTED_VALUE"""),"thoughtful")</f>
        <v>thoughtful</v>
      </c>
      <c r="M198" s="6" t="str">
        <f>IFERROR(__xludf.DUMMYFUNCTION("""COMPUTED_VALUE"""),"need")</f>
        <v>need</v>
      </c>
      <c r="N198" s="6" t="str">
        <f>IFERROR(__xludf.DUMMYFUNCTION("""COMPUTED_VALUE"""),"screenplay")</f>
        <v>screenplay</v>
      </c>
      <c r="P198" s="6" t="str">
        <f>IFERROR(__xludf.DUMMYFUNCTION("""COMPUTED_VALUE"""),"minutes")</f>
        <v>minutes</v>
      </c>
      <c r="Q198" s="6" t="str">
        <f>IFERROR(__xludf.DUMMYFUNCTION("""COMPUTED_VALUE"""),"portrayal")</f>
        <v>portrayal</v>
      </c>
      <c r="S198" s="6" t="str">
        <f>IFERROR(__xludf.DUMMYFUNCTION("""COMPUTED_VALUE"""),"woman")</f>
        <v>woman</v>
      </c>
    </row>
    <row r="199">
      <c r="A199" s="6" t="str">
        <f>IFERROR(__xludf.DUMMYFUNCTION("""COMPUTED_VALUE"""),"bitten")</f>
        <v>bitten</v>
      </c>
      <c r="C199" s="6" t="str">
        <f>IFERROR(__xludf.DUMMYFUNCTION("""COMPUTED_VALUE"""),"fused")</f>
        <v>fused</v>
      </c>
      <c r="D199" s="6"/>
      <c r="E199" s="6" t="str">
        <f>IFERROR(__xludf.DUMMYFUNCTION("""COMPUTED_VALUE"""),"discarded")</f>
        <v>discarded</v>
      </c>
      <c r="G199" s="6" t="str">
        <f>IFERROR(__xludf.DUMMYFUNCTION("""COMPUTED_VALUE"""),"comedic")</f>
        <v>comedic</v>
      </c>
      <c r="H199" s="6" t="str">
        <f>IFERROR(__xludf.DUMMYFUNCTION("""COMPUTED_VALUE"""),"predictable")</f>
        <v>predictable</v>
      </c>
      <c r="I199" s="6" t="str">
        <f>IFERROR(__xludf.DUMMYFUNCTION("""COMPUTED_VALUE"""),"blue")</f>
        <v>blue</v>
      </c>
      <c r="J199" s="6" t="str">
        <f>IFERROR(__xludf.DUMMYFUNCTION("""COMPUTED_VALUE"""),"script")</f>
        <v>script</v>
      </c>
      <c r="L199" s="6" t="str">
        <f>IFERROR(__xludf.DUMMYFUNCTION("""COMPUTED_VALUE"""),"sitcom")</f>
        <v>sitcom</v>
      </c>
      <c r="M199" s="6" t="str">
        <f>IFERROR(__xludf.DUMMYFUNCTION("""COMPUTED_VALUE"""),"drag")</f>
        <v>drag</v>
      </c>
      <c r="N199" s="6" t="str">
        <f>IFERROR(__xludf.DUMMYFUNCTION("""COMPUTED_VALUE"""),"bored")</f>
        <v>bored</v>
      </c>
      <c r="P199" s="6" t="str">
        <f>IFERROR(__xludf.DUMMYFUNCTION("""COMPUTED_VALUE"""),"picture")</f>
        <v>picture</v>
      </c>
      <c r="Q199" s="6" t="str">
        <f>IFERROR(__xludf.DUMMYFUNCTION("""COMPUTED_VALUE"""),"realistic")</f>
        <v>realistic</v>
      </c>
      <c r="S199" s="6" t="str">
        <f>IFERROR(__xludf.DUMMYFUNCTION("""COMPUTED_VALUE"""),"years")</f>
        <v>years</v>
      </c>
    </row>
    <row r="200">
      <c r="A200" s="6" t="str">
        <f>IFERROR(__xludf.DUMMYFUNCTION("""COMPUTED_VALUE"""),"transformed")</f>
        <v>transformed</v>
      </c>
      <c r="C200" s="6" t="str">
        <f>IFERROR(__xludf.DUMMYFUNCTION("""COMPUTED_VALUE"""),"reaches")</f>
        <v>reaches</v>
      </c>
      <c r="D200" s="6"/>
      <c r="E200" s="6" t="str">
        <f>IFERROR(__xludf.DUMMYFUNCTION("""COMPUTED_VALUE"""),"humming")</f>
        <v>humming</v>
      </c>
      <c r="G200" s="6" t="str">
        <f>IFERROR(__xludf.DUMMYFUNCTION("""COMPUTED_VALUE"""),"deals")</f>
        <v>deals</v>
      </c>
      <c r="H200" s="6" t="str">
        <f>IFERROR(__xludf.DUMMYFUNCTION("""COMPUTED_VALUE"""),"entertaining")</f>
        <v>entertaining</v>
      </c>
      <c r="I200" s="6" t="str">
        <f>IFERROR(__xludf.DUMMYFUNCTION("""COMPUTED_VALUE"""),"brown")</f>
        <v>brown</v>
      </c>
      <c r="J200" s="6" t="str">
        <f>IFERROR(__xludf.DUMMYFUNCTION("""COMPUTED_VALUE"""),"bar")</f>
        <v>bar</v>
      </c>
      <c r="L200" s="6" t="str">
        <f>IFERROR(__xludf.DUMMYFUNCTION("""COMPUTED_VALUE"""),"suffers")</f>
        <v>suffers</v>
      </c>
      <c r="M200" s="6" t="str">
        <f>IFERROR(__xludf.DUMMYFUNCTION("""COMPUTED_VALUE"""),"directing")</f>
        <v>directing</v>
      </c>
      <c r="N200" s="6" t="str">
        <f>IFERROR(__xludf.DUMMYFUNCTION("""COMPUTED_VALUE"""),"wish")</f>
        <v>wish</v>
      </c>
      <c r="P200" s="6" t="str">
        <f>IFERROR(__xludf.DUMMYFUNCTION("""COMPUTED_VALUE"""),"remarkable")</f>
        <v>remarkable</v>
      </c>
      <c r="Q200" s="6" t="str">
        <f>IFERROR(__xludf.DUMMYFUNCTION("""COMPUTED_VALUE"""),"grab")</f>
        <v>grab</v>
      </c>
      <c r="S200" s="6" t="str">
        <f>IFERROR(__xludf.DUMMYFUNCTION("""COMPUTED_VALUE"""),"art")</f>
        <v>art</v>
      </c>
    </row>
    <row r="201">
      <c r="A201" s="6" t="str">
        <f>IFERROR(__xludf.DUMMYFUNCTION("""COMPUTED_VALUE"""),"downward")</f>
        <v>downward</v>
      </c>
      <c r="C201" s="6" t="str">
        <f>IFERROR(__xludf.DUMMYFUNCTION("""COMPUTED_VALUE"""),"effectively")</f>
        <v>effectively</v>
      </c>
      <c r="D201" s="6"/>
      <c r="E201" s="6" t="str">
        <f>IFERROR(__xludf.DUMMYFUNCTION("""COMPUTED_VALUE"""),"commands")</f>
        <v>commands</v>
      </c>
      <c r="G201" s="6" t="str">
        <f>IFERROR(__xludf.DUMMYFUNCTION("""COMPUTED_VALUE"""),"ensemble")</f>
        <v>ensemble</v>
      </c>
      <c r="H201" s="6" t="str">
        <f>IFERROR(__xludf.DUMMYFUNCTION("""COMPUTED_VALUE"""),"brilliant")</f>
        <v>brilliant</v>
      </c>
      <c r="I201" s="6" t="str">
        <f>IFERROR(__xludf.DUMMYFUNCTION("""COMPUTED_VALUE"""),"crime")</f>
        <v>crime</v>
      </c>
      <c r="J201" s="6" t="str">
        <f>IFERROR(__xludf.DUMMYFUNCTION("""COMPUTED_VALUE"""),"enjoy")</f>
        <v>enjoy</v>
      </c>
      <c r="L201" s="6" t="str">
        <f>IFERROR(__xludf.DUMMYFUNCTION("""COMPUTED_VALUE"""),"strong")</f>
        <v>strong</v>
      </c>
      <c r="M201" s="6" t="str">
        <f>IFERROR(__xludf.DUMMYFUNCTION("""COMPUTED_VALUE"""),"attention")</f>
        <v>attention</v>
      </c>
      <c r="N201" s="6" t="str">
        <f>IFERROR(__xludf.DUMMYFUNCTION("""COMPUTED_VALUE"""),"tale")</f>
        <v>tale</v>
      </c>
      <c r="P201" s="6" t="str">
        <f>IFERROR(__xludf.DUMMYFUNCTION("""COMPUTED_VALUE"""),"pictures")</f>
        <v>pictures</v>
      </c>
      <c r="Q201" s="6" t="str">
        <f>IFERROR(__xludf.DUMMYFUNCTION("""COMPUTED_VALUE"""),"trying")</f>
        <v>trying</v>
      </c>
      <c r="S201" s="6" t="str">
        <f>IFERROR(__xludf.DUMMYFUNCTION("""COMPUTED_VALUE"""),"taking")</f>
        <v>taking</v>
      </c>
    </row>
    <row r="202">
      <c r="A202" s="6" t="str">
        <f>IFERROR(__xludf.DUMMYFUNCTION("""COMPUTED_VALUE"""),"evolve")</f>
        <v>evolve</v>
      </c>
      <c r="C202" s="6" t="str">
        <f>IFERROR(__xludf.DUMMYFUNCTION("""COMPUTED_VALUE"""),"playfully")</f>
        <v>playfully</v>
      </c>
      <c r="D202" s="6"/>
      <c r="E202" s="6" t="str">
        <f>IFERROR(__xludf.DUMMYFUNCTION("""COMPUTED_VALUE"""),"stakes")</f>
        <v>stakes</v>
      </c>
      <c r="G202" s="6" t="str">
        <f>IFERROR(__xludf.DUMMYFUNCTION("""COMPUTED_VALUE"""),"painful")</f>
        <v>painful</v>
      </c>
      <c r="H202" s="6" t="str">
        <f>IFERROR(__xludf.DUMMYFUNCTION("""COMPUTED_VALUE"""),"subordinate")</f>
        <v>subordinate</v>
      </c>
      <c r="I202" s="6" t="str">
        <f>IFERROR(__xludf.DUMMYFUNCTION("""COMPUTED_VALUE"""),"includes")</f>
        <v>includes</v>
      </c>
      <c r="J202" s="6" t="str">
        <f>IFERROR(__xludf.DUMMYFUNCTION("""COMPUTED_VALUE"""),"predecessors")</f>
        <v>predecessors</v>
      </c>
      <c r="L202" s="6" t="str">
        <f>IFERROR(__xludf.DUMMYFUNCTION("""COMPUTED_VALUE"""),"rodriguez")</f>
        <v>rodriguez</v>
      </c>
      <c r="M202" s="6" t="str">
        <f>IFERROR(__xludf.DUMMYFUNCTION("""COMPUTED_VALUE"""),"literary")</f>
        <v>literary</v>
      </c>
      <c r="N202" s="6" t="str">
        <f>IFERROR(__xludf.DUMMYFUNCTION("""COMPUTED_VALUE"""),"thoughtful")</f>
        <v>thoughtful</v>
      </c>
      <c r="P202" s="6" t="str">
        <f>IFERROR(__xludf.DUMMYFUNCTION("""COMPUTED_VALUE"""),"genre")</f>
        <v>genre</v>
      </c>
      <c r="Q202" s="6" t="str">
        <f>IFERROR(__xludf.DUMMYFUNCTION("""COMPUTED_VALUE"""),"lump")</f>
        <v>lump</v>
      </c>
      <c r="S202" s="6" t="str">
        <f>IFERROR(__xludf.DUMMYFUNCTION("""COMPUTED_VALUE"""),"loss")</f>
        <v>loss</v>
      </c>
    </row>
    <row r="203">
      <c r="A203" s="6" t="str">
        <f>IFERROR(__xludf.DUMMYFUNCTION("""COMPUTED_VALUE"""),"examines")</f>
        <v>examines</v>
      </c>
      <c r="C203" s="6" t="str">
        <f>IFERROR(__xludf.DUMMYFUNCTION("""COMPUTED_VALUE"""),"knockout")</f>
        <v>knockout</v>
      </c>
      <c r="D203" s="6"/>
      <c r="E203" s="6" t="str">
        <f>IFERROR(__xludf.DUMMYFUNCTION("""COMPUTED_VALUE"""),"naive")</f>
        <v>naive</v>
      </c>
      <c r="G203" s="6" t="str">
        <f>IFERROR(__xludf.DUMMYFUNCTION("""COMPUTED_VALUE"""),"allows")</f>
        <v>allows</v>
      </c>
      <c r="H203" s="6" t="str">
        <f>IFERROR(__xludf.DUMMYFUNCTION("""COMPUTED_VALUE"""),"quivering")</f>
        <v>quivering</v>
      </c>
      <c r="I203" s="6" t="str">
        <f>IFERROR(__xludf.DUMMYFUNCTION("""COMPUTED_VALUE"""),"steven")</f>
        <v>steven</v>
      </c>
      <c r="J203" s="6" t="str">
        <f>IFERROR(__xludf.DUMMYFUNCTION("""COMPUTED_VALUE"""),"visions")</f>
        <v>visions</v>
      </c>
      <c r="L203" s="6" t="str">
        <f>IFERROR(__xludf.DUMMYFUNCTION("""COMPUTED_VALUE"""),"roger")</f>
        <v>roger</v>
      </c>
      <c r="M203" s="6" t="str">
        <f>IFERROR(__xludf.DUMMYFUNCTION("""COMPUTED_VALUE"""),"portrait")</f>
        <v>portrait</v>
      </c>
      <c r="N203" s="6" t="str">
        <f>IFERROR(__xludf.DUMMYFUNCTION("""COMPUTED_VALUE"""),"sitcom")</f>
        <v>sitcom</v>
      </c>
      <c r="P203" s="6" t="str">
        <f>IFERROR(__xludf.DUMMYFUNCTION("""COMPUTED_VALUE"""),"romance")</f>
        <v>romance</v>
      </c>
      <c r="Q203" s="6" t="str">
        <f>IFERROR(__xludf.DUMMYFUNCTION("""COMPUTED_VALUE"""),"stunts")</f>
        <v>stunts</v>
      </c>
      <c r="S203" s="6" t="str">
        <f>IFERROR(__xludf.DUMMYFUNCTION("""COMPUTED_VALUE"""),"share")</f>
        <v>share</v>
      </c>
    </row>
    <row r="204">
      <c r="A204" s="6" t="str">
        <f>IFERROR(__xludf.DUMMYFUNCTION("""COMPUTED_VALUE"""),"heroic")</f>
        <v>heroic</v>
      </c>
      <c r="C204" s="6" t="str">
        <f>IFERROR(__xludf.DUMMYFUNCTION("""COMPUTED_VALUE"""),"rooted")</f>
        <v>rooted</v>
      </c>
      <c r="D204" s="6"/>
      <c r="E204" s="6" t="str">
        <f>IFERROR(__xludf.DUMMYFUNCTION("""COMPUTED_VALUE"""),"grenade")</f>
        <v>grenade</v>
      </c>
      <c r="G204" s="6" t="str">
        <f>IFERROR(__xludf.DUMMYFUNCTION("""COMPUTED_VALUE"""),"reacting")</f>
        <v>reacting</v>
      </c>
      <c r="H204" s="6" t="str">
        <f>IFERROR(__xludf.DUMMYFUNCTION("""COMPUTED_VALUE"""),"kinetic")</f>
        <v>kinetic</v>
      </c>
      <c r="I204" s="6" t="str">
        <f>IFERROR(__xludf.DUMMYFUNCTION("""COMPUTED_VALUE"""),"celebration")</f>
        <v>celebration</v>
      </c>
      <c r="J204" s="6" t="str">
        <f>IFERROR(__xludf.DUMMYFUNCTION("""COMPUTED_VALUE"""),"pacing")</f>
        <v>pacing</v>
      </c>
      <c r="L204" s="6" t="str">
        <f>IFERROR(__xludf.DUMMYFUNCTION("""COMPUTED_VALUE"""),"wry")</f>
        <v>wry</v>
      </c>
      <c r="M204" s="6" t="str">
        <f>IFERROR(__xludf.DUMMYFUNCTION("""COMPUTED_VALUE"""),"root")</f>
        <v>root</v>
      </c>
      <c r="N204" s="6" t="str">
        <f>IFERROR(__xludf.DUMMYFUNCTION("""COMPUTED_VALUE"""),"strong")</f>
        <v>strong</v>
      </c>
      <c r="P204" s="6" t="str">
        <f>IFERROR(__xludf.DUMMYFUNCTION("""COMPUTED_VALUE"""),"date")</f>
        <v>date</v>
      </c>
      <c r="Q204" s="6" t="str">
        <f>IFERROR(__xludf.DUMMYFUNCTION("""COMPUTED_VALUE"""),"reveals")</f>
        <v>reveals</v>
      </c>
      <c r="S204" s="6" t="str">
        <f>IFERROR(__xludf.DUMMYFUNCTION("""COMPUTED_VALUE"""),"examination")</f>
        <v>examination</v>
      </c>
    </row>
    <row r="205">
      <c r="A205" s="6" t="str">
        <f>IFERROR(__xludf.DUMMYFUNCTION("""COMPUTED_VALUE"""),"foolish")</f>
        <v>foolish</v>
      </c>
      <c r="C205" s="6" t="str">
        <f>IFERROR(__xludf.DUMMYFUNCTION("""COMPUTED_VALUE"""),"strains")</f>
        <v>strains</v>
      </c>
      <c r="D205" s="6"/>
      <c r="E205" s="6" t="str">
        <f>IFERROR(__xludf.DUMMYFUNCTION("""COMPUTED_VALUE"""),"transforms")</f>
        <v>transforms</v>
      </c>
      <c r="G205" s="6" t="str">
        <f>IFERROR(__xludf.DUMMYFUNCTION("""COMPUTED_VALUE"""),"colorful")</f>
        <v>colorful</v>
      </c>
      <c r="H205" s="6" t="str">
        <f>IFERROR(__xludf.DUMMYFUNCTION("""COMPUTED_VALUE"""),"may")</f>
        <v>may</v>
      </c>
      <c r="I205" s="6" t="str">
        <f>IFERROR(__xludf.DUMMYFUNCTION("""COMPUTED_VALUE"""),"wanting")</f>
        <v>wanting</v>
      </c>
      <c r="J205" s="6" t="str">
        <f>IFERROR(__xludf.DUMMYFUNCTION("""COMPUTED_VALUE"""),"things")</f>
        <v>things</v>
      </c>
      <c r="L205" s="6" t="str">
        <f>IFERROR(__xludf.DUMMYFUNCTION("""COMPUTED_VALUE"""),"plotted")</f>
        <v>plotted</v>
      </c>
      <c r="M205" s="6" t="str">
        <f>IFERROR(__xludf.DUMMYFUNCTION("""COMPUTED_VALUE"""),"winning")</f>
        <v>winning</v>
      </c>
      <c r="N205" s="6" t="str">
        <f>IFERROR(__xludf.DUMMYFUNCTION("""COMPUTED_VALUE"""),"touches")</f>
        <v>touches</v>
      </c>
      <c r="P205" s="6" t="str">
        <f>IFERROR(__xludf.DUMMYFUNCTION("""COMPUTED_VALUE"""),"pleasant")</f>
        <v>pleasant</v>
      </c>
      <c r="Q205" s="6" t="str">
        <f>IFERROR(__xludf.DUMMYFUNCTION("""COMPUTED_VALUE"""),"talents")</f>
        <v>talents</v>
      </c>
      <c r="S205" s="6" t="str">
        <f>IFERROR(__xludf.DUMMYFUNCTION("""COMPUTED_VALUE"""),"collapse")</f>
        <v>collapse</v>
      </c>
    </row>
    <row r="206">
      <c r="A206" s="6" t="str">
        <f>IFERROR(__xludf.DUMMYFUNCTION("""COMPUTED_VALUE"""),"formed")</f>
        <v>formed</v>
      </c>
      <c r="C206" s="6" t="str">
        <f>IFERROR(__xludf.DUMMYFUNCTION("""COMPUTED_VALUE"""),"fiercely")</f>
        <v>fiercely</v>
      </c>
      <c r="D206" s="6"/>
      <c r="E206" s="6" t="str">
        <f>IFERROR(__xludf.DUMMYFUNCTION("""COMPUTED_VALUE"""),"numb")</f>
        <v>numb</v>
      </c>
      <c r="G206" s="6" t="str">
        <f>IFERROR(__xludf.DUMMYFUNCTION("""COMPUTED_VALUE"""),"marvel")</f>
        <v>marvel</v>
      </c>
      <c r="H206" s="6" t="str">
        <f>IFERROR(__xludf.DUMMYFUNCTION("""COMPUTED_VALUE"""),"term")</f>
        <v>term</v>
      </c>
      <c r="I206" s="6" t="str">
        <f>IFERROR(__xludf.DUMMYFUNCTION("""COMPUTED_VALUE"""),"viewers")</f>
        <v>viewers</v>
      </c>
      <c r="J206" s="6" t="str">
        <f>IFERROR(__xludf.DUMMYFUNCTION("""COMPUTED_VALUE"""),"breathless")</f>
        <v>breathless</v>
      </c>
      <c r="L206" s="6" t="str">
        <f>IFERROR(__xludf.DUMMYFUNCTION("""COMPUTED_VALUE"""),"depths")</f>
        <v>depths</v>
      </c>
      <c r="M206" s="6" t="str">
        <f>IFERROR(__xludf.DUMMYFUNCTION("""COMPUTED_VALUE"""),"bottom")</f>
        <v>bottom</v>
      </c>
      <c r="N206" s="6" t="str">
        <f>IFERROR(__xludf.DUMMYFUNCTION("""COMPUTED_VALUE"""),"rodriguez")</f>
        <v>rodriguez</v>
      </c>
      <c r="P206" s="6" t="str">
        <f>IFERROR(__xludf.DUMMYFUNCTION("""COMPUTED_VALUE"""),"involved")</f>
        <v>involved</v>
      </c>
      <c r="Q206" s="6" t="str">
        <f>IFERROR(__xludf.DUMMYFUNCTION("""COMPUTED_VALUE"""),"filmmaking")</f>
        <v>filmmaking</v>
      </c>
      <c r="S206" s="6" t="str">
        <f>IFERROR(__xludf.DUMMYFUNCTION("""COMPUTED_VALUE"""),"forgive")</f>
        <v>forgive</v>
      </c>
    </row>
    <row r="207">
      <c r="A207" s="6" t="str">
        <f>IFERROR(__xludf.DUMMYFUNCTION("""COMPUTED_VALUE"""),"fused")</f>
        <v>fused</v>
      </c>
      <c r="C207" s="6" t="str">
        <f>IFERROR(__xludf.DUMMYFUNCTION("""COMPUTED_VALUE"""),"wreckage")</f>
        <v>wreckage</v>
      </c>
      <c r="D207" s="6"/>
      <c r="E207" s="6" t="str">
        <f>IFERROR(__xludf.DUMMYFUNCTION("""COMPUTED_VALUE"""),"overview")</f>
        <v>overview</v>
      </c>
      <c r="G207" s="6" t="str">
        <f>IFERROR(__xludf.DUMMYFUNCTION("""COMPUTED_VALUE"""),"fantasy")</f>
        <v>fantasy</v>
      </c>
      <c r="H207" s="6" t="str">
        <f>IFERROR(__xludf.DUMMYFUNCTION("""COMPUTED_VALUE"""),"emotions")</f>
        <v>emotions</v>
      </c>
      <c r="I207" s="6" t="str">
        <f>IFERROR(__xludf.DUMMYFUNCTION("""COMPUTED_VALUE"""),"format")</f>
        <v>format</v>
      </c>
      <c r="J207" s="6" t="str">
        <f>IFERROR(__xludf.DUMMYFUNCTION("""COMPUTED_VALUE"""),"significantly")</f>
        <v>significantly</v>
      </c>
      <c r="L207" s="6" t="str">
        <f>IFERROR(__xludf.DUMMYFUNCTION("""COMPUTED_VALUE"""),"complexity")</f>
        <v>complexity</v>
      </c>
      <c r="M207" s="6" t="str">
        <f>IFERROR(__xludf.DUMMYFUNCTION("""COMPUTED_VALUE"""),"davies")</f>
        <v>davies</v>
      </c>
      <c r="N207" s="6" t="str">
        <f>IFERROR(__xludf.DUMMYFUNCTION("""COMPUTED_VALUE"""),"wry")</f>
        <v>wry</v>
      </c>
      <c r="P207" s="6" t="str">
        <f>IFERROR(__xludf.DUMMYFUNCTION("""COMPUTED_VALUE"""),"music")</f>
        <v>music</v>
      </c>
      <c r="Q207" s="6" t="str">
        <f>IFERROR(__xludf.DUMMYFUNCTION("""COMPUTED_VALUE"""),"promise")</f>
        <v>promise</v>
      </c>
      <c r="S207" s="6" t="str">
        <f>IFERROR(__xludf.DUMMYFUNCTION("""COMPUTED_VALUE"""),"tool")</f>
        <v>tool</v>
      </c>
    </row>
    <row r="208">
      <c r="A208" s="6" t="str">
        <f>IFERROR(__xludf.DUMMYFUNCTION("""COMPUTED_VALUE"""),"reaches")</f>
        <v>reaches</v>
      </c>
      <c r="C208" s="6" t="str">
        <f>IFERROR(__xludf.DUMMYFUNCTION("""COMPUTED_VALUE"""),"ordeal")</f>
        <v>ordeal</v>
      </c>
      <c r="D208" s="6"/>
      <c r="E208" s="6" t="str">
        <f>IFERROR(__xludf.DUMMYFUNCTION("""COMPUTED_VALUE"""),"vain")</f>
        <v>vain</v>
      </c>
      <c r="G208" s="6" t="str">
        <f>IFERROR(__xludf.DUMMYFUNCTION("""COMPUTED_VALUE"""),"pulls")</f>
        <v>pulls</v>
      </c>
      <c r="H208" s="6" t="str">
        <f>IFERROR(__xludf.DUMMYFUNCTION("""COMPUTED_VALUE"""),"confessions")</f>
        <v>confessions</v>
      </c>
      <c r="I208" s="6" t="str">
        <f>IFERROR(__xludf.DUMMYFUNCTION("""COMPUTED_VALUE"""),"handsome")</f>
        <v>handsome</v>
      </c>
      <c r="J208" s="6" t="str">
        <f>IFERROR(__xludf.DUMMYFUNCTION("""COMPUTED_VALUE"""),"tides")</f>
        <v>tides</v>
      </c>
      <c r="L208" s="6" t="str">
        <f>IFERROR(__xludf.DUMMYFUNCTION("""COMPUTED_VALUE"""),"dramatic")</f>
        <v>dramatic</v>
      </c>
      <c r="M208" s="6" t="str">
        <f>IFERROR(__xludf.DUMMYFUNCTION("""COMPUTED_VALUE"""),"puts")</f>
        <v>puts</v>
      </c>
      <c r="N208" s="6" t="str">
        <f>IFERROR(__xludf.DUMMYFUNCTION("""COMPUTED_VALUE"""),"reality")</f>
        <v>reality</v>
      </c>
      <c r="P208" s="6" t="str">
        <f>IFERROR(__xludf.DUMMYFUNCTION("""COMPUTED_VALUE"""),"color")</f>
        <v>color</v>
      </c>
      <c r="Q208" s="6" t="str">
        <f>IFERROR(__xludf.DUMMYFUNCTION("""COMPUTED_VALUE"""),"wait")</f>
        <v>wait</v>
      </c>
      <c r="S208" s="6" t="str">
        <f>IFERROR(__xludf.DUMMYFUNCTION("""COMPUTED_VALUE"""),"big")</f>
        <v>big</v>
      </c>
    </row>
    <row r="209">
      <c r="A209" s="6" t="str">
        <f>IFERROR(__xludf.DUMMYFUNCTION("""COMPUTED_VALUE"""),"effectively")</f>
        <v>effectively</v>
      </c>
      <c r="C209" s="6" t="str">
        <f>IFERROR(__xludf.DUMMYFUNCTION("""COMPUTED_VALUE"""),"discarded")</f>
        <v>discarded</v>
      </c>
      <c r="D209" s="6"/>
      <c r="E209" s="6" t="str">
        <f>IFERROR(__xludf.DUMMYFUNCTION("""COMPUTED_VALUE"""),"satisfactory")</f>
        <v>satisfactory</v>
      </c>
      <c r="G209" s="6" t="str">
        <f>IFERROR(__xludf.DUMMYFUNCTION("""COMPUTED_VALUE"""),"result")</f>
        <v>result</v>
      </c>
      <c r="H209" s="6" t="str">
        <f>IFERROR(__xludf.DUMMYFUNCTION("""COMPUTED_VALUE"""),"title")</f>
        <v>title</v>
      </c>
      <c r="I209" s="6" t="str">
        <f>IFERROR(__xludf.DUMMYFUNCTION("""COMPUTED_VALUE"""),"drama")</f>
        <v>drama</v>
      </c>
      <c r="J209" s="6" t="str">
        <f>IFERROR(__xludf.DUMMYFUNCTION("""COMPUTED_VALUE"""),"predictable")</f>
        <v>predictable</v>
      </c>
      <c r="L209" s="6" t="str">
        <f>IFERROR(__xludf.DUMMYFUNCTION("""COMPUTED_VALUE"""),"predecessor")</f>
        <v>predecessor</v>
      </c>
      <c r="M209" s="6" t="str">
        <f>IFERROR(__xludf.DUMMYFUNCTION("""COMPUTED_VALUE"""),"tension")</f>
        <v>tension</v>
      </c>
      <c r="N209" s="6" t="str">
        <f>IFERROR(__xludf.DUMMYFUNCTION("""COMPUTED_VALUE"""),"plotted")</f>
        <v>plotted</v>
      </c>
      <c r="P209" s="6" t="str">
        <f>IFERROR(__xludf.DUMMYFUNCTION("""COMPUTED_VALUE"""),"depth")</f>
        <v>depth</v>
      </c>
      <c r="Q209" s="6" t="str">
        <f>IFERROR(__xludf.DUMMYFUNCTION("""COMPUTED_VALUE"""),"auschwitz")</f>
        <v>auschwitz</v>
      </c>
      <c r="S209" s="6" t="str">
        <f>IFERROR(__xludf.DUMMYFUNCTION("""COMPUTED_VALUE"""),"scene")</f>
        <v>scene</v>
      </c>
    </row>
    <row r="210">
      <c r="A210" s="6" t="str">
        <f>IFERROR(__xludf.DUMMYFUNCTION("""COMPUTED_VALUE"""),"precise")</f>
        <v>precise</v>
      </c>
      <c r="C210" s="6" t="str">
        <f>IFERROR(__xludf.DUMMYFUNCTION("""COMPUTED_VALUE"""),"humming")</f>
        <v>humming</v>
      </c>
      <c r="D210" s="6"/>
      <c r="E210" s="6" t="str">
        <f>IFERROR(__xludf.DUMMYFUNCTION("""COMPUTED_VALUE"""),"scoring")</f>
        <v>scoring</v>
      </c>
      <c r="G210" s="6" t="str">
        <f>IFERROR(__xludf.DUMMYFUNCTION("""COMPUTED_VALUE"""),"emerging")</f>
        <v>emerging</v>
      </c>
      <c r="H210" s="6" t="str">
        <f>IFERROR(__xludf.DUMMYFUNCTION("""COMPUTED_VALUE"""),"wildlife")</f>
        <v>wildlife</v>
      </c>
      <c r="I210" s="6" t="str">
        <f>IFERROR(__xludf.DUMMYFUNCTION("""COMPUTED_VALUE"""),"either")</f>
        <v>either</v>
      </c>
      <c r="J210" s="6" t="str">
        <f>IFERROR(__xludf.DUMMYFUNCTION("""COMPUTED_VALUE"""),"entertaining")</f>
        <v>entertaining</v>
      </c>
      <c r="L210" s="6" t="str">
        <f>IFERROR(__xludf.DUMMYFUNCTION("""COMPUTED_VALUE"""),"sets")</f>
        <v>sets</v>
      </c>
      <c r="M210" s="6" t="str">
        <f>IFERROR(__xludf.DUMMYFUNCTION("""COMPUTED_VALUE"""),"results")</f>
        <v>results</v>
      </c>
      <c r="N210" s="6" t="str">
        <f>IFERROR(__xludf.DUMMYFUNCTION("""COMPUTED_VALUE"""),"complexity")</f>
        <v>complexity</v>
      </c>
      <c r="P210" s="6" t="str">
        <f>IFERROR(__xludf.DUMMYFUNCTION("""COMPUTED_VALUE"""),"preliminary")</f>
        <v>preliminary</v>
      </c>
      <c r="Q210" s="6" t="str">
        <f>IFERROR(__xludf.DUMMYFUNCTION("""COMPUTED_VALUE"""),"theatrical")</f>
        <v>theatrical</v>
      </c>
      <c r="S210" s="6" t="str">
        <f>IFERROR(__xludf.DUMMYFUNCTION("""COMPUTED_VALUE"""),"stick")</f>
        <v>stick</v>
      </c>
    </row>
    <row r="211">
      <c r="A211" s="6" t="str">
        <f>IFERROR(__xludf.DUMMYFUNCTION("""COMPUTED_VALUE"""),"playfully")</f>
        <v>playfully</v>
      </c>
      <c r="C211" s="6" t="str">
        <f>IFERROR(__xludf.DUMMYFUNCTION("""COMPUTED_VALUE"""),"commands")</f>
        <v>commands</v>
      </c>
      <c r="D211" s="6"/>
      <c r="E211" s="6" t="str">
        <f>IFERROR(__xludf.DUMMYFUNCTION("""COMPUTED_VALUE"""),"effectiveness")</f>
        <v>effectiveness</v>
      </c>
      <c r="G211" s="6" t="str">
        <f>IFERROR(__xludf.DUMMYFUNCTION("""COMPUTED_VALUE"""),"moonlight")</f>
        <v>moonlight</v>
      </c>
      <c r="H211" s="6" t="str">
        <f>IFERROR(__xludf.DUMMYFUNCTION("""COMPUTED_VALUE"""),"structured")</f>
        <v>structured</v>
      </c>
      <c r="I211" s="6" t="str">
        <f>IFERROR(__xludf.DUMMYFUNCTION("""COMPUTED_VALUE"""),"debut")</f>
        <v>debut</v>
      </c>
      <c r="J211" s="6" t="str">
        <f>IFERROR(__xludf.DUMMYFUNCTION("""COMPUTED_VALUE"""),"subordinate")</f>
        <v>subordinate</v>
      </c>
      <c r="L211" s="6" t="str">
        <f>IFERROR(__xludf.DUMMYFUNCTION("""COMPUTED_VALUE"""),"sentence")</f>
        <v>sentence</v>
      </c>
      <c r="M211" s="6" t="str">
        <f>IFERROR(__xludf.DUMMYFUNCTION("""COMPUTED_VALUE"""),"extended")</f>
        <v>extended</v>
      </c>
      <c r="N211" s="6" t="str">
        <f>IFERROR(__xludf.DUMMYFUNCTION("""COMPUTED_VALUE"""),"dramatic")</f>
        <v>dramatic</v>
      </c>
      <c r="P211" s="6" t="str">
        <f>IFERROR(__xludf.DUMMYFUNCTION("""COMPUTED_VALUE"""),"narrative")</f>
        <v>narrative</v>
      </c>
      <c r="Q211" s="6" t="str">
        <f>IFERROR(__xludf.DUMMYFUNCTION("""COMPUTED_VALUE"""),"death")</f>
        <v>death</v>
      </c>
      <c r="S211" s="6" t="str">
        <f>IFERROR(__xludf.DUMMYFUNCTION("""COMPUTED_VALUE"""),"community")</f>
        <v>community</v>
      </c>
    </row>
    <row r="212">
      <c r="A212" s="6" t="str">
        <f>IFERROR(__xludf.DUMMYFUNCTION("""COMPUTED_VALUE"""),"bolt")</f>
        <v>bolt</v>
      </c>
      <c r="C212" s="6" t="str">
        <f>IFERROR(__xludf.DUMMYFUNCTION("""COMPUTED_VALUE"""),"yields")</f>
        <v>yields</v>
      </c>
      <c r="D212" s="6"/>
      <c r="E212" s="6" t="str">
        <f>IFERROR(__xludf.DUMMYFUNCTION("""COMPUTED_VALUE"""),"error")</f>
        <v>error</v>
      </c>
      <c r="G212" s="6" t="str">
        <f>IFERROR(__xludf.DUMMYFUNCTION("""COMPUTED_VALUE"""),"pianist")</f>
        <v>pianist</v>
      </c>
      <c r="H212" s="6" t="str">
        <f>IFERROR(__xludf.DUMMYFUNCTION("""COMPUTED_VALUE"""),"crossover")</f>
        <v>crossover</v>
      </c>
      <c r="I212" s="6" t="str">
        <f>IFERROR(__xludf.DUMMYFUNCTION("""COMPUTED_VALUE"""),"behind")</f>
        <v>behind</v>
      </c>
      <c r="J212" s="6" t="str">
        <f>IFERROR(__xludf.DUMMYFUNCTION("""COMPUTED_VALUE"""),"goofy")</f>
        <v>goofy</v>
      </c>
      <c r="L212" s="6" t="str">
        <f>IFERROR(__xludf.DUMMYFUNCTION("""COMPUTED_VALUE"""),"comedies")</f>
        <v>comedies</v>
      </c>
      <c r="M212" s="6" t="str">
        <f>IFERROR(__xludf.DUMMYFUNCTION("""COMPUTED_VALUE"""),"documentary")</f>
        <v>documentary</v>
      </c>
      <c r="N212" s="6" t="str">
        <f>IFERROR(__xludf.DUMMYFUNCTION("""COMPUTED_VALUE"""),"among")</f>
        <v>among</v>
      </c>
      <c r="P212" s="6" t="str">
        <f>IFERROR(__xludf.DUMMYFUNCTION("""COMPUTED_VALUE"""),"difficult")</f>
        <v>difficult</v>
      </c>
      <c r="Q212" s="6" t="str">
        <f>IFERROR(__xludf.DUMMYFUNCTION("""COMPUTED_VALUE"""),"faith")</f>
        <v>faith</v>
      </c>
      <c r="S212" s="6" t="str">
        <f>IFERROR(__xludf.DUMMYFUNCTION("""COMPUTED_VALUE"""),"set")</f>
        <v>set</v>
      </c>
    </row>
    <row r="213">
      <c r="A213" s="6" t="str">
        <f>IFERROR(__xludf.DUMMYFUNCTION("""COMPUTED_VALUE"""),"knockout")</f>
        <v>knockout</v>
      </c>
      <c r="C213" s="6" t="str">
        <f>IFERROR(__xludf.DUMMYFUNCTION("""COMPUTED_VALUE"""),"stakes")</f>
        <v>stakes</v>
      </c>
      <c r="D213" s="6"/>
      <c r="E213" s="6" t="str">
        <f>IFERROR(__xludf.DUMMYFUNCTION("""COMPUTED_VALUE"""),"destructive")</f>
        <v>destructive</v>
      </c>
      <c r="G213" s="6" t="str">
        <f>IFERROR(__xludf.DUMMYFUNCTION("""COMPUTED_VALUE"""),"martha")</f>
        <v>martha</v>
      </c>
      <c r="H213" s="6" t="str">
        <f>IFERROR(__xludf.DUMMYFUNCTION("""COMPUTED_VALUE"""),"adventurous")</f>
        <v>adventurous</v>
      </c>
      <c r="I213" s="6" t="str">
        <f>IFERROR(__xludf.DUMMYFUNCTION("""COMPUTED_VALUE"""),"fine")</f>
        <v>fine</v>
      </c>
      <c r="J213" s="6" t="str">
        <f>IFERROR(__xludf.DUMMYFUNCTION("""COMPUTED_VALUE"""),"quivering")</f>
        <v>quivering</v>
      </c>
      <c r="L213" s="6" t="str">
        <f>IFERROR(__xludf.DUMMYFUNCTION("""COMPUTED_VALUE"""),"subjects")</f>
        <v>subjects</v>
      </c>
      <c r="M213" s="6" t="str">
        <f>IFERROR(__xludf.DUMMYFUNCTION("""COMPUTED_VALUE"""),"kills")</f>
        <v>kills</v>
      </c>
      <c r="N213" s="6" t="str">
        <f>IFERROR(__xludf.DUMMYFUNCTION("""COMPUTED_VALUE"""),"predecessor")</f>
        <v>predecessor</v>
      </c>
      <c r="P213" s="6" t="str">
        <f>IFERROR(__xludf.DUMMYFUNCTION("""COMPUTED_VALUE"""),"trouble")</f>
        <v>trouble</v>
      </c>
      <c r="Q213" s="6" t="str">
        <f>IFERROR(__xludf.DUMMYFUNCTION("""COMPUTED_VALUE"""),"extraordinary")</f>
        <v>extraordinary</v>
      </c>
      <c r="S213" s="6" t="str">
        <f>IFERROR(__xludf.DUMMYFUNCTION("""COMPUTED_VALUE"""),"wild")</f>
        <v>wild</v>
      </c>
    </row>
    <row r="214">
      <c r="A214" s="6" t="str">
        <f>IFERROR(__xludf.DUMMYFUNCTION("""COMPUTED_VALUE"""),"rooted")</f>
        <v>rooted</v>
      </c>
      <c r="C214" s="6" t="str">
        <f>IFERROR(__xludf.DUMMYFUNCTION("""COMPUTED_VALUE"""),"naive")</f>
        <v>naive</v>
      </c>
      <c r="D214" s="6"/>
      <c r="G214" s="6" t="str">
        <f>IFERROR(__xludf.DUMMYFUNCTION("""COMPUTED_VALUE"""),"rapid")</f>
        <v>rapid</v>
      </c>
      <c r="H214" s="6" t="str">
        <f>IFERROR(__xludf.DUMMYFUNCTION("""COMPUTED_VALUE"""),"admission")</f>
        <v>admission</v>
      </c>
      <c r="I214" s="6" t="str">
        <f>IFERROR(__xludf.DUMMYFUNCTION("""COMPUTED_VALUE"""),"beings")</f>
        <v>beings</v>
      </c>
      <c r="J214" s="6" t="str">
        <f>IFERROR(__xludf.DUMMYFUNCTION("""COMPUTED_VALUE"""),"inside")</f>
        <v>inside</v>
      </c>
      <c r="L214" s="6" t="str">
        <f>IFERROR(__xludf.DUMMYFUNCTION("""COMPUTED_VALUE"""),"teen")</f>
        <v>teen</v>
      </c>
      <c r="M214" s="6" t="str">
        <f>IFERROR(__xludf.DUMMYFUNCTION("""COMPUTED_VALUE"""),"courage")</f>
        <v>courage</v>
      </c>
      <c r="N214" s="6" t="str">
        <f>IFERROR(__xludf.DUMMYFUNCTION("""COMPUTED_VALUE"""),"sets")</f>
        <v>sets</v>
      </c>
      <c r="P214" s="6" t="str">
        <f>IFERROR(__xludf.DUMMYFUNCTION("""COMPUTED_VALUE"""),"amounts")</f>
        <v>amounts</v>
      </c>
      <c r="Q214" s="6" t="str">
        <f>IFERROR(__xludf.DUMMYFUNCTION("""COMPUTED_VALUE"""),"champion")</f>
        <v>champion</v>
      </c>
      <c r="S214" s="6" t="str">
        <f>IFERROR(__xludf.DUMMYFUNCTION("""COMPUTED_VALUE"""),"watching")</f>
        <v>watching</v>
      </c>
    </row>
    <row r="215">
      <c r="A215" s="6" t="str">
        <f>IFERROR(__xludf.DUMMYFUNCTION("""COMPUTED_VALUE"""),"strains")</f>
        <v>strains</v>
      </c>
      <c r="C215" s="6" t="str">
        <f>IFERROR(__xludf.DUMMYFUNCTION("""COMPUTED_VALUE"""),"grenade")</f>
        <v>grenade</v>
      </c>
      <c r="D215" s="6"/>
      <c r="G215" s="6" t="str">
        <f>IFERROR(__xludf.DUMMYFUNCTION("""COMPUTED_VALUE"""),"virtually")</f>
        <v>virtually</v>
      </c>
      <c r="H215" s="6" t="str">
        <f>IFERROR(__xludf.DUMMYFUNCTION("""COMPUTED_VALUE"""),"schumacher")</f>
        <v>schumacher</v>
      </c>
      <c r="I215" s="6" t="str">
        <f>IFERROR(__xludf.DUMMYFUNCTION("""COMPUTED_VALUE"""),"contribution")</f>
        <v>contribution</v>
      </c>
      <c r="J215" s="6" t="str">
        <f>IFERROR(__xludf.DUMMYFUNCTION("""COMPUTED_VALUE"""),"term")</f>
        <v>term</v>
      </c>
      <c r="L215" s="6" t="str">
        <f>IFERROR(__xludf.DUMMYFUNCTION("""COMPUTED_VALUE"""),"flick")</f>
        <v>flick</v>
      </c>
      <c r="M215" s="6" t="str">
        <f>IFERROR(__xludf.DUMMYFUNCTION("""COMPUTED_VALUE"""),"intellectual")</f>
        <v>intellectual</v>
      </c>
      <c r="N215" s="6" t="str">
        <f>IFERROR(__xludf.DUMMYFUNCTION("""COMPUTED_VALUE"""),"comedies")</f>
        <v>comedies</v>
      </c>
      <c r="P215" s="6" t="str">
        <f>IFERROR(__xludf.DUMMYFUNCTION("""COMPUTED_VALUE"""),"ultimate")</f>
        <v>ultimate</v>
      </c>
      <c r="Q215" s="6" t="str">
        <f>IFERROR(__xludf.DUMMYFUNCTION("""COMPUTED_VALUE"""),"heart")</f>
        <v>heart</v>
      </c>
      <c r="S215" s="6" t="str">
        <f>IFERROR(__xludf.DUMMYFUNCTION("""COMPUTED_VALUE"""),"supposed")</f>
        <v>supposed</v>
      </c>
    </row>
    <row r="216">
      <c r="A216" s="6" t="str">
        <f>IFERROR(__xludf.DUMMYFUNCTION("""COMPUTED_VALUE"""),"fiercely")</f>
        <v>fiercely</v>
      </c>
      <c r="C216" s="6" t="str">
        <f>IFERROR(__xludf.DUMMYFUNCTION("""COMPUTED_VALUE"""),"transforms")</f>
        <v>transforms</v>
      </c>
      <c r="D216" s="6"/>
      <c r="G216" s="6" t="str">
        <f>IFERROR(__xludf.DUMMYFUNCTION("""COMPUTED_VALUE"""),"clever")</f>
        <v>clever</v>
      </c>
      <c r="H216" s="6" t="str">
        <f>IFERROR(__xludf.DUMMYFUNCTION("""COMPUTED_VALUE"""),"shallow")</f>
        <v>shallow</v>
      </c>
      <c r="I216" s="6" t="str">
        <f>IFERROR(__xludf.DUMMYFUNCTION("""COMPUTED_VALUE"""),"receives")</f>
        <v>receives</v>
      </c>
      <c r="J216" s="6" t="str">
        <f>IFERROR(__xludf.DUMMYFUNCTION("""COMPUTED_VALUE"""),"emotions")</f>
        <v>emotions</v>
      </c>
      <c r="L216" s="6" t="str">
        <f>IFERROR(__xludf.DUMMYFUNCTION("""COMPUTED_VALUE"""),"oddly")</f>
        <v>oddly</v>
      </c>
      <c r="M216" s="6" t="str">
        <f>IFERROR(__xludf.DUMMYFUNCTION("""COMPUTED_VALUE"""),"test")</f>
        <v>test</v>
      </c>
      <c r="N216" s="6" t="str">
        <f>IFERROR(__xludf.DUMMYFUNCTION("""COMPUTED_VALUE"""),"subjects")</f>
        <v>subjects</v>
      </c>
      <c r="P216" s="6" t="str">
        <f>IFERROR(__xludf.DUMMYFUNCTION("""COMPUTED_VALUE"""),"epic")</f>
        <v>epic</v>
      </c>
      <c r="Q216" s="6" t="str">
        <f>IFERROR(__xludf.DUMMYFUNCTION("""COMPUTED_VALUE"""),"adaptation")</f>
        <v>adaptation</v>
      </c>
      <c r="S216" s="6" t="str">
        <f>IFERROR(__xludf.DUMMYFUNCTION("""COMPUTED_VALUE"""),"rock")</f>
        <v>rock</v>
      </c>
    </row>
    <row r="217">
      <c r="A217" s="6" t="str">
        <f>IFERROR(__xludf.DUMMYFUNCTION("""COMPUTED_VALUE"""),"wreckage")</f>
        <v>wreckage</v>
      </c>
      <c r="C217" s="6" t="str">
        <f>IFERROR(__xludf.DUMMYFUNCTION("""COMPUTED_VALUE"""),"liability")</f>
        <v>liability</v>
      </c>
      <c r="D217" s="6"/>
      <c r="G217" s="6" t="str">
        <f>IFERROR(__xludf.DUMMYFUNCTION("""COMPUTED_VALUE"""),"intense")</f>
        <v>intense</v>
      </c>
      <c r="H217" s="6" t="str">
        <f>IFERROR(__xludf.DUMMYFUNCTION("""COMPUTED_VALUE"""),"targeted")</f>
        <v>targeted</v>
      </c>
      <c r="I217" s="6" t="str">
        <f>IFERROR(__xludf.DUMMYFUNCTION("""COMPUTED_VALUE"""),"characteristic")</f>
        <v>characteristic</v>
      </c>
      <c r="J217" s="6" t="str">
        <f>IFERROR(__xludf.DUMMYFUNCTION("""COMPUTED_VALUE"""),"confessions")</f>
        <v>confessions</v>
      </c>
      <c r="L217" s="6" t="str">
        <f>IFERROR(__xludf.DUMMYFUNCTION("""COMPUTED_VALUE"""),"meaningful")</f>
        <v>meaningful</v>
      </c>
      <c r="M217" s="6" t="str">
        <f>IFERROR(__xludf.DUMMYFUNCTION("""COMPUTED_VALUE"""),"bore")</f>
        <v>bore</v>
      </c>
      <c r="N217" s="6" t="str">
        <f>IFERROR(__xludf.DUMMYFUNCTION("""COMPUTED_VALUE"""),"flick")</f>
        <v>flick</v>
      </c>
      <c r="P217" s="6" t="str">
        <f>IFERROR(__xludf.DUMMYFUNCTION("""COMPUTED_VALUE"""),"ii")</f>
        <v>ii</v>
      </c>
      <c r="Q217" s="6" t="str">
        <f>IFERROR(__xludf.DUMMYFUNCTION("""COMPUTED_VALUE"""),"descends")</f>
        <v>descends</v>
      </c>
      <c r="S217" s="6" t="str">
        <f>IFERROR(__xludf.DUMMYFUNCTION("""COMPUTED_VALUE"""),"roll")</f>
        <v>roll</v>
      </c>
    </row>
    <row r="218">
      <c r="A218" s="6" t="str">
        <f>IFERROR(__xludf.DUMMYFUNCTION("""COMPUTED_VALUE"""),"ordeal")</f>
        <v>ordeal</v>
      </c>
      <c r="C218" s="6" t="str">
        <f>IFERROR(__xludf.DUMMYFUNCTION("""COMPUTED_VALUE"""),"motionless")</f>
        <v>motionless</v>
      </c>
      <c r="D218" s="6"/>
      <c r="G218" s="6" t="str">
        <f>IFERROR(__xludf.DUMMYFUNCTION("""COMPUTED_VALUE"""),"faithful")</f>
        <v>faithful</v>
      </c>
      <c r="H218" s="6" t="str">
        <f>IFERROR(__xludf.DUMMYFUNCTION("""COMPUTED_VALUE"""),"carnage")</f>
        <v>carnage</v>
      </c>
      <c r="I218" s="6" t="str">
        <f>IFERROR(__xludf.DUMMYFUNCTION("""COMPUTED_VALUE"""),"pale")</f>
        <v>pale</v>
      </c>
      <c r="J218" s="6" t="str">
        <f>IFERROR(__xludf.DUMMYFUNCTION("""COMPUTED_VALUE"""),"title")</f>
        <v>title</v>
      </c>
      <c r="L218" s="6" t="str">
        <f>IFERROR(__xludf.DUMMYFUNCTION("""COMPUTED_VALUE"""),"beneath")</f>
        <v>beneath</v>
      </c>
      <c r="M218" s="6" t="str">
        <f>IFERROR(__xludf.DUMMYFUNCTION("""COMPUTED_VALUE"""),"involving")</f>
        <v>involving</v>
      </c>
      <c r="N218" s="6" t="str">
        <f>IFERROR(__xludf.DUMMYFUNCTION("""COMPUTED_VALUE"""),"oddly")</f>
        <v>oddly</v>
      </c>
      <c r="P218" s="6" t="str">
        <f>IFERROR(__xludf.DUMMYFUNCTION("""COMPUTED_VALUE"""),"hardly")</f>
        <v>hardly</v>
      </c>
      <c r="Q218" s="6" t="str">
        <f>IFERROR(__xludf.DUMMYFUNCTION("""COMPUTED_VALUE"""),"noir")</f>
        <v>noir</v>
      </c>
      <c r="S218" s="6" t="str">
        <f>IFERROR(__xludf.DUMMYFUNCTION("""COMPUTED_VALUE"""),"surprise")</f>
        <v>surprise</v>
      </c>
    </row>
    <row r="219">
      <c r="A219" s="6" t="str">
        <f>IFERROR(__xludf.DUMMYFUNCTION("""COMPUTED_VALUE"""),"discarded")</f>
        <v>discarded</v>
      </c>
      <c r="C219" s="6" t="str">
        <f>IFERROR(__xludf.DUMMYFUNCTION("""COMPUTED_VALUE"""),"overview")</f>
        <v>overview</v>
      </c>
      <c r="D219" s="6"/>
      <c r="G219" s="6" t="str">
        <f>IFERROR(__xludf.DUMMYFUNCTION("""COMPUTED_VALUE"""),"innocence")</f>
        <v>innocence</v>
      </c>
      <c r="H219" s="6" t="str">
        <f>IFERROR(__xludf.DUMMYFUNCTION("""COMPUTED_VALUE"""),"handheld")</f>
        <v>handheld</v>
      </c>
      <c r="I219" s="6" t="str">
        <f>IFERROR(__xludf.DUMMYFUNCTION("""COMPUTED_VALUE"""),"classical")</f>
        <v>classical</v>
      </c>
      <c r="J219" s="6" t="str">
        <f>IFERROR(__xludf.DUMMYFUNCTION("""COMPUTED_VALUE"""),"thin")</f>
        <v>thin</v>
      </c>
      <c r="L219" s="6" t="str">
        <f>IFERROR(__xludf.DUMMYFUNCTION("""COMPUTED_VALUE"""),"laughter")</f>
        <v>laughter</v>
      </c>
      <c r="M219" s="6" t="str">
        <f>IFERROR(__xludf.DUMMYFUNCTION("""COMPUTED_VALUE"""),"sequence")</f>
        <v>sequence</v>
      </c>
      <c r="N219" s="6" t="str">
        <f>IFERROR(__xludf.DUMMYFUNCTION("""COMPUTED_VALUE"""),"asks")</f>
        <v>asks</v>
      </c>
      <c r="P219" s="6" t="str">
        <f>IFERROR(__xludf.DUMMYFUNCTION("""COMPUTED_VALUE"""),"fans")</f>
        <v>fans</v>
      </c>
      <c r="Q219" s="6" t="str">
        <f>IFERROR(__xludf.DUMMYFUNCTION("""COMPUTED_VALUE"""),"tight")</f>
        <v>tight</v>
      </c>
      <c r="S219" s="6" t="str">
        <f>IFERROR(__xludf.DUMMYFUNCTION("""COMPUTED_VALUE"""),"trying")</f>
        <v>trying</v>
      </c>
    </row>
    <row r="220">
      <c r="A220" s="6" t="str">
        <f>IFERROR(__xludf.DUMMYFUNCTION("""COMPUTED_VALUE"""),"humming")</f>
        <v>humming</v>
      </c>
      <c r="C220" s="6" t="str">
        <f>IFERROR(__xludf.DUMMYFUNCTION("""COMPUTED_VALUE"""),"vain")</f>
        <v>vain</v>
      </c>
      <c r="D220" s="6"/>
      <c r="G220" s="6" t="str">
        <f>IFERROR(__xludf.DUMMYFUNCTION("""COMPUTED_VALUE"""),"tackles")</f>
        <v>tackles</v>
      </c>
      <c r="H220" s="6" t="str">
        <f>IFERROR(__xludf.DUMMYFUNCTION("""COMPUTED_VALUE"""),"footage")</f>
        <v>footage</v>
      </c>
      <c r="I220" s="6" t="str">
        <f>IFERROR(__xludf.DUMMYFUNCTION("""COMPUTED_VALUE"""),"successful")</f>
        <v>successful</v>
      </c>
      <c r="J220" s="6" t="str">
        <f>IFERROR(__xludf.DUMMYFUNCTION("""COMPUTED_VALUE"""),"wildlife")</f>
        <v>wildlife</v>
      </c>
      <c r="L220" s="6" t="str">
        <f>IFERROR(__xludf.DUMMYFUNCTION("""COMPUTED_VALUE"""),"need")</f>
        <v>need</v>
      </c>
      <c r="M220" s="6" t="str">
        <f>IFERROR(__xludf.DUMMYFUNCTION("""COMPUTED_VALUE"""),"designed")</f>
        <v>designed</v>
      </c>
      <c r="N220" s="6" t="str">
        <f>IFERROR(__xludf.DUMMYFUNCTION("""COMPUTED_VALUE"""),"beneath")</f>
        <v>beneath</v>
      </c>
      <c r="P220" s="6" t="str">
        <f>IFERROR(__xludf.DUMMYFUNCTION("""COMPUTED_VALUE"""),"translation")</f>
        <v>translation</v>
      </c>
      <c r="Q220" s="6" t="str">
        <f>IFERROR(__xludf.DUMMYFUNCTION("""COMPUTED_VALUE"""),"works")</f>
        <v>works</v>
      </c>
      <c r="S220" s="6" t="str">
        <f>IFERROR(__xludf.DUMMYFUNCTION("""COMPUTED_VALUE"""),"tries")</f>
        <v>tries</v>
      </c>
    </row>
    <row r="221">
      <c r="A221" s="6" t="str">
        <f>IFERROR(__xludf.DUMMYFUNCTION("""COMPUTED_VALUE"""),"commands")</f>
        <v>commands</v>
      </c>
      <c r="C221" s="6" t="str">
        <f>IFERROR(__xludf.DUMMYFUNCTION("""COMPUTED_VALUE"""),"satisfactory")</f>
        <v>satisfactory</v>
      </c>
      <c r="D221" s="6"/>
      <c r="G221" s="6" t="str">
        <f>IFERROR(__xludf.DUMMYFUNCTION("""COMPUTED_VALUE"""),"grotesque")</f>
        <v>grotesque</v>
      </c>
      <c r="H221" s="6" t="str">
        <f>IFERROR(__xludf.DUMMYFUNCTION("""COMPUTED_VALUE"""),"fiddle")</f>
        <v>fiddle</v>
      </c>
      <c r="I221" s="6" t="str">
        <f>IFERROR(__xludf.DUMMYFUNCTION("""COMPUTED_VALUE"""),"seeing")</f>
        <v>seeing</v>
      </c>
      <c r="J221" s="6" t="str">
        <f>IFERROR(__xludf.DUMMYFUNCTION("""COMPUTED_VALUE"""),"structured")</f>
        <v>structured</v>
      </c>
      <c r="L221" s="6" t="str">
        <f>IFERROR(__xludf.DUMMYFUNCTION("""COMPUTED_VALUE"""),"invention")</f>
        <v>invention</v>
      </c>
      <c r="M221" s="6" t="str">
        <f>IFERROR(__xludf.DUMMYFUNCTION("""COMPUTED_VALUE"""),"ticket")</f>
        <v>ticket</v>
      </c>
      <c r="N221" s="6" t="str">
        <f>IFERROR(__xludf.DUMMYFUNCTION("""COMPUTED_VALUE"""),"assembled")</f>
        <v>assembled</v>
      </c>
      <c r="P221" s="6" t="str">
        <f>IFERROR(__xludf.DUMMYFUNCTION("""COMPUTED_VALUE"""),"forces")</f>
        <v>forces</v>
      </c>
      <c r="Q221" s="6" t="str">
        <f>IFERROR(__xludf.DUMMYFUNCTION("""COMPUTED_VALUE"""),"derivative")</f>
        <v>derivative</v>
      </c>
      <c r="S221" s="6" t="str">
        <f>IFERROR(__xludf.DUMMYFUNCTION("""COMPUTED_VALUE"""),"grab")</f>
        <v>grab</v>
      </c>
    </row>
    <row r="222">
      <c r="A222" s="6" t="str">
        <f>IFERROR(__xludf.DUMMYFUNCTION("""COMPUTED_VALUE"""),"yields")</f>
        <v>yields</v>
      </c>
      <c r="C222" s="6" t="str">
        <f>IFERROR(__xludf.DUMMYFUNCTION("""COMPUTED_VALUE"""),"scoring")</f>
        <v>scoring</v>
      </c>
      <c r="D222" s="6"/>
      <c r="G222" s="6" t="str">
        <f>IFERROR(__xludf.DUMMYFUNCTION("""COMPUTED_VALUE"""),"spielberg")</f>
        <v>spielberg</v>
      </c>
      <c r="H222" s="6" t="str">
        <f>IFERROR(__xludf.DUMMYFUNCTION("""COMPUTED_VALUE"""),"folly")</f>
        <v>folly</v>
      </c>
      <c r="I222" s="6" t="str">
        <f>IFERROR(__xludf.DUMMYFUNCTION("""COMPUTED_VALUE"""),"moving")</f>
        <v>moving</v>
      </c>
      <c r="J222" s="6" t="str">
        <f>IFERROR(__xludf.DUMMYFUNCTION("""COMPUTED_VALUE"""),"adventurous")</f>
        <v>adventurous</v>
      </c>
      <c r="L222" s="6" t="str">
        <f>IFERROR(__xludf.DUMMYFUNCTION("""COMPUTED_VALUE"""),"drag")</f>
        <v>drag</v>
      </c>
      <c r="M222" s="6" t="str">
        <f>IFERROR(__xludf.DUMMYFUNCTION("""COMPUTED_VALUE"""),"dvd")</f>
        <v>dvd</v>
      </c>
      <c r="N222" s="6" t="str">
        <f>IFERROR(__xludf.DUMMYFUNCTION("""COMPUTED_VALUE"""),"laughter")</f>
        <v>laughter</v>
      </c>
      <c r="P222" s="6" t="str">
        <f>IFERROR(__xludf.DUMMYFUNCTION("""COMPUTED_VALUE"""),"considerable")</f>
        <v>considerable</v>
      </c>
      <c r="Q222" s="6" t="str">
        <f>IFERROR(__xludf.DUMMYFUNCTION("""COMPUTED_VALUE"""),"sequel")</f>
        <v>sequel</v>
      </c>
      <c r="S222" s="6" t="str">
        <f>IFERROR(__xludf.DUMMYFUNCTION("""COMPUTED_VALUE"""),"service")</f>
        <v>service</v>
      </c>
    </row>
    <row r="223">
      <c r="A223" s="6" t="str">
        <f>IFERROR(__xludf.DUMMYFUNCTION("""COMPUTED_VALUE"""),"naive")</f>
        <v>naive</v>
      </c>
      <c r="C223" s="6" t="str">
        <f>IFERROR(__xludf.DUMMYFUNCTION("""COMPUTED_VALUE"""),"disastrous")</f>
        <v>disastrous</v>
      </c>
      <c r="D223" s="6"/>
      <c r="G223" s="6" t="str">
        <f>IFERROR(__xludf.DUMMYFUNCTION("""COMPUTED_VALUE"""),"trademark")</f>
        <v>trademark</v>
      </c>
      <c r="H223" s="6" t="str">
        <f>IFERROR(__xludf.DUMMYFUNCTION("""COMPUTED_VALUE"""),"nomination")</f>
        <v>nomination</v>
      </c>
      <c r="I223" s="6" t="str">
        <f>IFERROR(__xludf.DUMMYFUNCTION("""COMPUTED_VALUE"""),"intelligent")</f>
        <v>intelligent</v>
      </c>
      <c r="J223" s="6" t="str">
        <f>IFERROR(__xludf.DUMMYFUNCTION("""COMPUTED_VALUE"""),"worth")</f>
        <v>worth</v>
      </c>
      <c r="L223" s="6" t="str">
        <f>IFERROR(__xludf.DUMMYFUNCTION("""COMPUTED_VALUE"""),"juvenile")</f>
        <v>juvenile</v>
      </c>
      <c r="M223" s="6" t="str">
        <f>IFERROR(__xludf.DUMMYFUNCTION("""COMPUTED_VALUE"""),"smart")</f>
        <v>smart</v>
      </c>
      <c r="N223" s="6" t="str">
        <f>IFERROR(__xludf.DUMMYFUNCTION("""COMPUTED_VALUE"""),"need")</f>
        <v>need</v>
      </c>
      <c r="P223" s="6" t="str">
        <f>IFERROR(__xludf.DUMMYFUNCTION("""COMPUTED_VALUE"""),"scattered")</f>
        <v>scattered</v>
      </c>
      <c r="Q223" s="6" t="str">
        <f>IFERROR(__xludf.DUMMYFUNCTION("""COMPUTED_VALUE"""),"archives")</f>
        <v>archives</v>
      </c>
      <c r="S223" s="6" t="str">
        <f>IFERROR(__xludf.DUMMYFUNCTION("""COMPUTED_VALUE"""),"special")</f>
        <v>special</v>
      </c>
    </row>
    <row r="224">
      <c r="A224" s="6" t="str">
        <f>IFERROR(__xludf.DUMMYFUNCTION("""COMPUTED_VALUE"""),"grenade")</f>
        <v>grenade</v>
      </c>
      <c r="C224" s="6" t="str">
        <f>IFERROR(__xludf.DUMMYFUNCTION("""COMPUTED_VALUE"""),"stripped")</f>
        <v>stripped</v>
      </c>
      <c r="D224" s="6"/>
      <c r="G224" s="6" t="str">
        <f>IFERROR(__xludf.DUMMYFUNCTION("""COMPUTED_VALUE"""),"capable")</f>
        <v>capable</v>
      </c>
      <c r="H224" s="6" t="str">
        <f>IFERROR(__xludf.DUMMYFUNCTION("""COMPUTED_VALUE"""),"offering")</f>
        <v>offering</v>
      </c>
      <c r="I224" s="6" t="str">
        <f>IFERROR(__xludf.DUMMYFUNCTION("""COMPUTED_VALUE"""),"appears")</f>
        <v>appears</v>
      </c>
      <c r="J224" s="6" t="str">
        <f>IFERROR(__xludf.DUMMYFUNCTION("""COMPUTED_VALUE"""),"schumacher")</f>
        <v>schumacher</v>
      </c>
      <c r="L224" s="6" t="str">
        <f>IFERROR(__xludf.DUMMYFUNCTION("""COMPUTED_VALUE"""),"literary")</f>
        <v>literary</v>
      </c>
      <c r="M224" s="6" t="str">
        <f>IFERROR(__xludf.DUMMYFUNCTION("""COMPUTED_VALUE"""),"deals")</f>
        <v>deals</v>
      </c>
      <c r="N224" s="6" t="str">
        <f>IFERROR(__xludf.DUMMYFUNCTION("""COMPUTED_VALUE"""),"drag")</f>
        <v>drag</v>
      </c>
      <c r="P224" s="6" t="str">
        <f>IFERROR(__xludf.DUMMYFUNCTION("""COMPUTED_VALUE"""),"fashion")</f>
        <v>fashion</v>
      </c>
      <c r="Q224" s="6" t="str">
        <f>IFERROR(__xludf.DUMMYFUNCTION("""COMPUTED_VALUE"""),"disney")</f>
        <v>disney</v>
      </c>
      <c r="S224" s="6" t="str">
        <f>IFERROR(__xludf.DUMMYFUNCTION("""COMPUTED_VALUE"""),"important")</f>
        <v>important</v>
      </c>
    </row>
    <row r="225">
      <c r="A225" s="6" t="str">
        <f>IFERROR(__xludf.DUMMYFUNCTION("""COMPUTED_VALUE"""),"transforms")</f>
        <v>transforms</v>
      </c>
      <c r="C225" s="6" t="str">
        <f>IFERROR(__xludf.DUMMYFUNCTION("""COMPUTED_VALUE"""),"attracting")</f>
        <v>attracting</v>
      </c>
      <c r="D225" s="6"/>
      <c r="G225" s="6" t="str">
        <f>IFERROR(__xludf.DUMMYFUNCTION("""COMPUTED_VALUE"""),"stylistic")</f>
        <v>stylistic</v>
      </c>
      <c r="H225" s="6" t="str">
        <f>IFERROR(__xludf.DUMMYFUNCTION("""COMPUTED_VALUE"""),"oscar")</f>
        <v>oscar</v>
      </c>
      <c r="I225" s="6" t="str">
        <f>IFERROR(__xludf.DUMMYFUNCTION("""COMPUTED_VALUE"""),"poet")</f>
        <v>poet</v>
      </c>
      <c r="J225" s="6" t="str">
        <f>IFERROR(__xludf.DUMMYFUNCTION("""COMPUTED_VALUE"""),"shallow")</f>
        <v>shallow</v>
      </c>
      <c r="L225" s="6" t="str">
        <f>IFERROR(__xludf.DUMMYFUNCTION("""COMPUTED_VALUE"""),"dull")</f>
        <v>dull</v>
      </c>
      <c r="M225" s="6" t="str">
        <f>IFERROR(__xludf.DUMMYFUNCTION("""COMPUTED_VALUE"""),"ensemble")</f>
        <v>ensemble</v>
      </c>
      <c r="N225" s="6" t="str">
        <f>IFERROR(__xludf.DUMMYFUNCTION("""COMPUTED_VALUE"""),"directing")</f>
        <v>directing</v>
      </c>
      <c r="P225" s="6" t="str">
        <f>IFERROR(__xludf.DUMMYFUNCTION("""COMPUTED_VALUE"""),"bold")</f>
        <v>bold</v>
      </c>
      <c r="Q225" s="6" t="str">
        <f>IFERROR(__xludf.DUMMYFUNCTION("""COMPUTED_VALUE"""),"despite")</f>
        <v>despite</v>
      </c>
      <c r="S225" s="6" t="str">
        <f>IFERROR(__xludf.DUMMYFUNCTION("""COMPUTED_VALUE"""),"reveals")</f>
        <v>reveals</v>
      </c>
    </row>
    <row r="226">
      <c r="A226" s="6" t="str">
        <f>IFERROR(__xludf.DUMMYFUNCTION("""COMPUTED_VALUE"""),"liability")</f>
        <v>liability</v>
      </c>
      <c r="C226" s="6" t="str">
        <f>IFERROR(__xludf.DUMMYFUNCTION("""COMPUTED_VALUE"""),"effectiveness")</f>
        <v>effectiveness</v>
      </c>
      <c r="D226" s="6"/>
      <c r="G226" s="6" t="str">
        <f>IFERROR(__xludf.DUMMYFUNCTION("""COMPUTED_VALUE"""),"daring")</f>
        <v>daring</v>
      </c>
      <c r="H226" s="6" t="str">
        <f>IFERROR(__xludf.DUMMYFUNCTION("""COMPUTED_VALUE"""),"esther")</f>
        <v>esther</v>
      </c>
      <c r="I226" s="6" t="str">
        <f>IFERROR(__xludf.DUMMYFUNCTION("""COMPUTED_VALUE"""),"looking")</f>
        <v>looking</v>
      </c>
      <c r="J226" s="6" t="str">
        <f>IFERROR(__xludf.DUMMYFUNCTION("""COMPUTED_VALUE"""),"targeted")</f>
        <v>targeted</v>
      </c>
      <c r="L226" s="6" t="str">
        <f>IFERROR(__xludf.DUMMYFUNCTION("""COMPUTED_VALUE"""),"witty")</f>
        <v>witty</v>
      </c>
      <c r="M226" s="6" t="str">
        <f>IFERROR(__xludf.DUMMYFUNCTION("""COMPUTED_VALUE"""),"painful")</f>
        <v>painful</v>
      </c>
      <c r="N226" s="6" t="str">
        <f>IFERROR(__xludf.DUMMYFUNCTION("""COMPUTED_VALUE"""),"literary")</f>
        <v>literary</v>
      </c>
      <c r="P226" s="6" t="str">
        <f>IFERROR(__xludf.DUMMYFUNCTION("""COMPUTED_VALUE"""),"standards")</f>
        <v>standards</v>
      </c>
      <c r="Q226" s="6" t="str">
        <f>IFERROR(__xludf.DUMMYFUNCTION("""COMPUTED_VALUE"""),"fights")</f>
        <v>fights</v>
      </c>
      <c r="S226" s="6" t="str">
        <f>IFERROR(__xludf.DUMMYFUNCTION("""COMPUTED_VALUE"""),"promise")</f>
        <v>promise</v>
      </c>
    </row>
    <row r="227">
      <c r="A227" s="6" t="str">
        <f>IFERROR(__xludf.DUMMYFUNCTION("""COMPUTED_VALUE"""),"slapping")</f>
        <v>slapping</v>
      </c>
      <c r="C227" s="6" t="str">
        <f>IFERROR(__xludf.DUMMYFUNCTION("""COMPUTED_VALUE"""),"error")</f>
        <v>error</v>
      </c>
      <c r="D227" s="6"/>
      <c r="G227" s="6" t="str">
        <f>IFERROR(__xludf.DUMMYFUNCTION("""COMPUTED_VALUE"""),"wo")</f>
        <v>wo</v>
      </c>
      <c r="H227" s="6" t="str">
        <f>IFERROR(__xludf.DUMMYFUNCTION("""COMPUTED_VALUE"""),"exercise")</f>
        <v>exercise</v>
      </c>
      <c r="I227" s="6" t="str">
        <f>IFERROR(__xludf.DUMMYFUNCTION("""COMPUTED_VALUE"""),"summer")</f>
        <v>summer</v>
      </c>
      <c r="J227" s="6" t="str">
        <f>IFERROR(__xludf.DUMMYFUNCTION("""COMPUTED_VALUE"""),"carnage")</f>
        <v>carnage</v>
      </c>
      <c r="L227" s="6" t="str">
        <f>IFERROR(__xludf.DUMMYFUNCTION("""COMPUTED_VALUE"""),"brutal")</f>
        <v>brutal</v>
      </c>
      <c r="M227" s="6" t="str">
        <f>IFERROR(__xludf.DUMMYFUNCTION("""COMPUTED_VALUE"""),"allows")</f>
        <v>allows</v>
      </c>
      <c r="N227" s="6" t="str">
        <f>IFERROR(__xludf.DUMMYFUNCTION("""COMPUTED_VALUE"""),"dull")</f>
        <v>dull</v>
      </c>
      <c r="P227" s="6" t="str">
        <f>IFERROR(__xludf.DUMMYFUNCTION("""COMPUTED_VALUE"""),"effects")</f>
        <v>effects</v>
      </c>
      <c r="Q227" s="6" t="str">
        <f>IFERROR(__xludf.DUMMYFUNCTION("""COMPUTED_VALUE"""),"ambitions")</f>
        <v>ambitions</v>
      </c>
      <c r="S227" s="6" t="str">
        <f>IFERROR(__xludf.DUMMYFUNCTION("""COMPUTED_VALUE"""),"wait")</f>
        <v>wait</v>
      </c>
    </row>
    <row r="228">
      <c r="A228" s="6" t="str">
        <f>IFERROR(__xludf.DUMMYFUNCTION("""COMPUTED_VALUE"""),"motionless")</f>
        <v>motionless</v>
      </c>
      <c r="C228" s="6" t="str">
        <f>IFERROR(__xludf.DUMMYFUNCTION("""COMPUTED_VALUE"""),"deficit")</f>
        <v>deficit</v>
      </c>
      <c r="D228" s="6"/>
      <c r="G228" s="6" t="str">
        <f>IFERROR(__xludf.DUMMYFUNCTION("""COMPUTED_VALUE"""),"convey")</f>
        <v>convey</v>
      </c>
      <c r="H228" s="6" t="str">
        <f>IFERROR(__xludf.DUMMYFUNCTION("""COMPUTED_VALUE"""),"halfway")</f>
        <v>halfway</v>
      </c>
      <c r="I228" s="6" t="str">
        <f>IFERROR(__xludf.DUMMYFUNCTION("""COMPUTED_VALUE"""),"subject")</f>
        <v>subject</v>
      </c>
      <c r="J228" s="6" t="str">
        <f>IFERROR(__xludf.DUMMYFUNCTION("""COMPUTED_VALUE"""),"blair")</f>
        <v>blair</v>
      </c>
      <c r="L228" s="6" t="str">
        <f>IFERROR(__xludf.DUMMYFUNCTION("""COMPUTED_VALUE"""),"portrait")</f>
        <v>portrait</v>
      </c>
      <c r="M228" s="6" t="str">
        <f>IFERROR(__xludf.DUMMYFUNCTION("""COMPUTED_VALUE"""),"parade")</f>
        <v>parade</v>
      </c>
      <c r="N228" s="6" t="str">
        <f>IFERROR(__xludf.DUMMYFUNCTION("""COMPUTED_VALUE"""),"witty")</f>
        <v>witty</v>
      </c>
      <c r="P228" s="6" t="str">
        <f>IFERROR(__xludf.DUMMYFUNCTION("""COMPUTED_VALUE"""),"mess")</f>
        <v>mess</v>
      </c>
      <c r="Q228" s="6" t="str">
        <f>IFERROR(__xludf.DUMMYFUNCTION("""COMPUTED_VALUE"""),"compelling")</f>
        <v>compelling</v>
      </c>
      <c r="S228" s="6" t="str">
        <f>IFERROR(__xludf.DUMMYFUNCTION("""COMPUTED_VALUE"""),"death")</f>
        <v>death</v>
      </c>
    </row>
    <row r="229">
      <c r="A229" s="6" t="str">
        <f>IFERROR(__xludf.DUMMYFUNCTION("""COMPUTED_VALUE"""),"numb")</f>
        <v>numb</v>
      </c>
      <c r="C229" s="6" t="str">
        <f>IFERROR(__xludf.DUMMYFUNCTION("""COMPUTED_VALUE"""),"beaches")</f>
        <v>beaches</v>
      </c>
      <c r="D229" s="6"/>
      <c r="G229" s="6" t="str">
        <f>IFERROR(__xludf.DUMMYFUNCTION("""COMPUTED_VALUE"""),"emerge")</f>
        <v>emerge</v>
      </c>
      <c r="H229" s="6" t="str">
        <f>IFERROR(__xludf.DUMMYFUNCTION("""COMPUTED_VALUE"""),"grips")</f>
        <v>grips</v>
      </c>
      <c r="I229" s="6" t="str">
        <f>IFERROR(__xludf.DUMMYFUNCTION("""COMPUTED_VALUE"""),"overcome")</f>
        <v>overcome</v>
      </c>
      <c r="J229" s="6" t="str">
        <f>IFERROR(__xludf.DUMMYFUNCTION("""COMPUTED_VALUE"""),"footage")</f>
        <v>footage</v>
      </c>
      <c r="L229" s="6" t="str">
        <f>IFERROR(__xludf.DUMMYFUNCTION("""COMPUTED_VALUE"""),"fails")</f>
        <v>fails</v>
      </c>
      <c r="M229" s="6" t="str">
        <f>IFERROR(__xludf.DUMMYFUNCTION("""COMPUTED_VALUE"""),"marvel")</f>
        <v>marvel</v>
      </c>
      <c r="N229" s="6" t="str">
        <f>IFERROR(__xludf.DUMMYFUNCTION("""COMPUTED_VALUE"""),"portrait")</f>
        <v>portrait</v>
      </c>
      <c r="P229" s="6" t="str">
        <f>IFERROR(__xludf.DUMMYFUNCTION("""COMPUTED_VALUE"""),"warmth")</f>
        <v>warmth</v>
      </c>
      <c r="Q229" s="6" t="str">
        <f>IFERROR(__xludf.DUMMYFUNCTION("""COMPUTED_VALUE"""),"runs")</f>
        <v>runs</v>
      </c>
      <c r="S229" s="6" t="str">
        <f>IFERROR(__xludf.DUMMYFUNCTION("""COMPUTED_VALUE"""),"theatrical")</f>
        <v>theatrical</v>
      </c>
    </row>
    <row r="230">
      <c r="A230" s="6" t="str">
        <f>IFERROR(__xludf.DUMMYFUNCTION("""COMPUTED_VALUE"""),"overview")</f>
        <v>overview</v>
      </c>
      <c r="C230" s="6" t="str">
        <f>IFERROR(__xludf.DUMMYFUNCTION("""COMPUTED_VALUE"""),"destructive")</f>
        <v>destructive</v>
      </c>
      <c r="D230" s="6"/>
      <c r="G230" s="6" t="str">
        <f>IFERROR(__xludf.DUMMYFUNCTION("""COMPUTED_VALUE"""),"say")</f>
        <v>say</v>
      </c>
      <c r="H230" s="6" t="str">
        <f>IFERROR(__xludf.DUMMYFUNCTION("""COMPUTED_VALUE"""),"fascinating")</f>
        <v>fascinating</v>
      </c>
      <c r="I230" s="6" t="str">
        <f>IFERROR(__xludf.DUMMYFUNCTION("""COMPUTED_VALUE"""),"fate")</f>
        <v>fate</v>
      </c>
      <c r="J230" s="6" t="str">
        <f>IFERROR(__xludf.DUMMYFUNCTION("""COMPUTED_VALUE"""),"fiddle")</f>
        <v>fiddle</v>
      </c>
      <c r="L230" s="6" t="str">
        <f>IFERROR(__xludf.DUMMYFUNCTION("""COMPUTED_VALUE"""),"bard")</f>
        <v>bard</v>
      </c>
      <c r="M230" s="6" t="str">
        <f>IFERROR(__xludf.DUMMYFUNCTION("""COMPUTED_VALUE"""),"pulls")</f>
        <v>pulls</v>
      </c>
      <c r="N230" s="6" t="str">
        <f>IFERROR(__xludf.DUMMYFUNCTION("""COMPUTED_VALUE"""),"root")</f>
        <v>root</v>
      </c>
      <c r="P230" s="6" t="str">
        <f>IFERROR(__xludf.DUMMYFUNCTION("""COMPUTED_VALUE"""),"gentle")</f>
        <v>gentle</v>
      </c>
      <c r="Q230" s="6" t="str">
        <f>IFERROR(__xludf.DUMMYFUNCTION("""COMPUTED_VALUE"""),"minutes")</f>
        <v>minutes</v>
      </c>
      <c r="S230" s="6" t="str">
        <f>IFERROR(__xludf.DUMMYFUNCTION("""COMPUTED_VALUE"""),"faith")</f>
        <v>faith</v>
      </c>
    </row>
    <row r="231">
      <c r="A231" s="6" t="str">
        <f>IFERROR(__xludf.DUMMYFUNCTION("""COMPUTED_VALUE"""),"vain")</f>
        <v>vain</v>
      </c>
      <c r="C231" s="6" t="str">
        <f>IFERROR(__xludf.DUMMYFUNCTION("""COMPUTED_VALUE"""),"weighs")</f>
        <v>weighs</v>
      </c>
      <c r="D231" s="6"/>
      <c r="G231" s="6" t="str">
        <f>IFERROR(__xludf.DUMMYFUNCTION("""COMPUTED_VALUE"""),"kennedy")</f>
        <v>kennedy</v>
      </c>
      <c r="H231" s="6" t="str">
        <f>IFERROR(__xludf.DUMMYFUNCTION("""COMPUTED_VALUE"""),"martial")</f>
        <v>martial</v>
      </c>
      <c r="I231" s="6" t="str">
        <f>IFERROR(__xludf.DUMMYFUNCTION("""COMPUTED_VALUE"""),"low")</f>
        <v>low</v>
      </c>
      <c r="J231" s="6" t="str">
        <f>IFERROR(__xludf.DUMMYFUNCTION("""COMPUTED_VALUE"""),"nomination")</f>
        <v>nomination</v>
      </c>
      <c r="L231" s="6" t="str">
        <f>IFERROR(__xludf.DUMMYFUNCTION("""COMPUTED_VALUE"""),"winning")</f>
        <v>winning</v>
      </c>
      <c r="M231" s="6" t="str">
        <f>IFERROR(__xludf.DUMMYFUNCTION("""COMPUTED_VALUE"""),"fantasy")</f>
        <v>fantasy</v>
      </c>
      <c r="N231" s="6" t="str">
        <f>IFERROR(__xludf.DUMMYFUNCTION("""COMPUTED_VALUE"""),"bard")</f>
        <v>bard</v>
      </c>
      <c r="P231" s="6" t="str">
        <f>IFERROR(__xludf.DUMMYFUNCTION("""COMPUTED_VALUE"""),"sensitive")</f>
        <v>sensitive</v>
      </c>
      <c r="Q231" s="6" t="str">
        <f>IFERROR(__xludf.DUMMYFUNCTION("""COMPUTED_VALUE"""),"procession")</f>
        <v>procession</v>
      </c>
      <c r="S231" s="6" t="str">
        <f>IFERROR(__xludf.DUMMYFUNCTION("""COMPUTED_VALUE"""),"extraordinary")</f>
        <v>extraordinary</v>
      </c>
    </row>
    <row r="232">
      <c r="A232" s="6" t="str">
        <f>IFERROR(__xludf.DUMMYFUNCTION("""COMPUTED_VALUE"""),"scoring")</f>
        <v>scoring</v>
      </c>
      <c r="D232" s="6"/>
      <c r="G232" s="6" t="str">
        <f>IFERROR(__xludf.DUMMYFUNCTION("""COMPUTED_VALUE"""),"assassination")</f>
        <v>assassination</v>
      </c>
      <c r="H232" s="6" t="str">
        <f>IFERROR(__xludf.DUMMYFUNCTION("""COMPUTED_VALUE"""),"rhythms")</f>
        <v>rhythms</v>
      </c>
      <c r="I232" s="6" t="str">
        <f>IFERROR(__xludf.DUMMYFUNCTION("""COMPUTED_VALUE"""),"walked")</f>
        <v>walked</v>
      </c>
      <c r="J232" s="6" t="str">
        <f>IFERROR(__xludf.DUMMYFUNCTION("""COMPUTED_VALUE"""),"offering")</f>
        <v>offering</v>
      </c>
      <c r="L232" s="6" t="str">
        <f>IFERROR(__xludf.DUMMYFUNCTION("""COMPUTED_VALUE"""),"showcases")</f>
        <v>showcases</v>
      </c>
      <c r="M232" s="6" t="str">
        <f>IFERROR(__xludf.DUMMYFUNCTION("""COMPUTED_VALUE"""),"result")</f>
        <v>result</v>
      </c>
      <c r="N232" s="6" t="str">
        <f>IFERROR(__xludf.DUMMYFUNCTION("""COMPUTED_VALUE"""),"winning")</f>
        <v>winning</v>
      </c>
      <c r="P232" s="6" t="str">
        <f>IFERROR(__xludf.DUMMYFUNCTION("""COMPUTED_VALUE"""),"script")</f>
        <v>script</v>
      </c>
      <c r="Q232" s="6" t="str">
        <f>IFERROR(__xludf.DUMMYFUNCTION("""COMPUTED_VALUE"""),"sweeping")</f>
        <v>sweeping</v>
      </c>
      <c r="S232" s="6" t="str">
        <f>IFERROR(__xludf.DUMMYFUNCTION("""COMPUTED_VALUE"""),"heart")</f>
        <v>heart</v>
      </c>
    </row>
    <row r="233">
      <c r="A233" s="6" t="str">
        <f>IFERROR(__xludf.DUMMYFUNCTION("""COMPUTED_VALUE"""),"explosive")</f>
        <v>explosive</v>
      </c>
      <c r="D233" s="6"/>
      <c r="G233" s="6" t="str">
        <f>IFERROR(__xludf.DUMMYFUNCTION("""COMPUTED_VALUE"""),"soundtrack")</f>
        <v>soundtrack</v>
      </c>
      <c r="H233" s="6" t="str">
        <f>IFERROR(__xludf.DUMMYFUNCTION("""COMPUTED_VALUE"""),"stream")</f>
        <v>stream</v>
      </c>
      <c r="I233" s="6" t="str">
        <f>IFERROR(__xludf.DUMMYFUNCTION("""COMPUTED_VALUE"""),"backward")</f>
        <v>backward</v>
      </c>
      <c r="J233" s="6" t="str">
        <f>IFERROR(__xludf.DUMMYFUNCTION("""COMPUTED_VALUE"""),"esther")</f>
        <v>esther</v>
      </c>
      <c r="L233" s="6" t="str">
        <f>IFERROR(__xludf.DUMMYFUNCTION("""COMPUTED_VALUE"""),"davies")</f>
        <v>davies</v>
      </c>
      <c r="M233" s="6" t="str">
        <f>IFERROR(__xludf.DUMMYFUNCTION("""COMPUTED_VALUE"""),"emerging")</f>
        <v>emerging</v>
      </c>
      <c r="N233" s="6" t="str">
        <f>IFERROR(__xludf.DUMMYFUNCTION("""COMPUTED_VALUE"""),"bottom")</f>
        <v>bottom</v>
      </c>
      <c r="P233" s="6" t="str">
        <f>IFERROR(__xludf.DUMMYFUNCTION("""COMPUTED_VALUE"""),"working")</f>
        <v>working</v>
      </c>
      <c r="Q233" s="6" t="str">
        <f>IFERROR(__xludf.DUMMYFUNCTION("""COMPUTED_VALUE"""),"remarkable")</f>
        <v>remarkable</v>
      </c>
      <c r="S233" s="6" t="str">
        <f>IFERROR(__xludf.DUMMYFUNCTION("""COMPUTED_VALUE"""),"champion")</f>
        <v>champion</v>
      </c>
    </row>
    <row r="234">
      <c r="A234" s="6" t="str">
        <f>IFERROR(__xludf.DUMMYFUNCTION("""COMPUTED_VALUE"""),"disastrous")</f>
        <v>disastrous</v>
      </c>
      <c r="D234" s="6"/>
      <c r="G234" s="6" t="str">
        <f>IFERROR(__xludf.DUMMYFUNCTION("""COMPUTED_VALUE"""),"quality")</f>
        <v>quality</v>
      </c>
      <c r="H234" s="6" t="str">
        <f>IFERROR(__xludf.DUMMYFUNCTION("""COMPUTED_VALUE"""),"manufactured")</f>
        <v>manufactured</v>
      </c>
      <c r="I234" s="6" t="str">
        <f>IFERROR(__xludf.DUMMYFUNCTION("""COMPUTED_VALUE"""),"copies")</f>
        <v>copies</v>
      </c>
      <c r="J234" s="6" t="str">
        <f>IFERROR(__xludf.DUMMYFUNCTION("""COMPUTED_VALUE"""),"halfway")</f>
        <v>halfway</v>
      </c>
      <c r="L234" s="6" t="str">
        <f>IFERROR(__xludf.DUMMYFUNCTION("""COMPUTED_VALUE"""),"bleak")</f>
        <v>bleak</v>
      </c>
      <c r="M234" s="6" t="str">
        <f>IFERROR(__xludf.DUMMYFUNCTION("""COMPUTED_VALUE"""),"audiences")</f>
        <v>audiences</v>
      </c>
      <c r="N234" s="6" t="str">
        <f>IFERROR(__xludf.DUMMYFUNCTION("""COMPUTED_VALUE"""),"davies")</f>
        <v>davies</v>
      </c>
      <c r="P234" s="6" t="str">
        <f>IFERROR(__xludf.DUMMYFUNCTION("""COMPUTED_VALUE"""),"ride")</f>
        <v>ride</v>
      </c>
      <c r="Q234" s="6" t="str">
        <f>IFERROR(__xludf.DUMMYFUNCTION("""COMPUTED_VALUE"""),"romance")</f>
        <v>romance</v>
      </c>
      <c r="S234" s="6" t="str">
        <f>IFERROR(__xludf.DUMMYFUNCTION("""COMPUTED_VALUE"""),"adaptation")</f>
        <v>adaptation</v>
      </c>
    </row>
    <row r="235">
      <c r="A235" s="6" t="str">
        <f>IFERROR(__xludf.DUMMYFUNCTION("""COMPUTED_VALUE"""),"attracting")</f>
        <v>attracting</v>
      </c>
      <c r="D235" s="6"/>
      <c r="G235" s="6" t="str">
        <f>IFERROR(__xludf.DUMMYFUNCTION("""COMPUTED_VALUE"""),"nba")</f>
        <v>nba</v>
      </c>
      <c r="H235" s="6" t="str">
        <f>IFERROR(__xludf.DUMMYFUNCTION("""COMPUTED_VALUE"""),"credibility")</f>
        <v>credibility</v>
      </c>
      <c r="I235" s="6" t="str">
        <f>IFERROR(__xludf.DUMMYFUNCTION("""COMPUTED_VALUE"""),"interviews")</f>
        <v>interviews</v>
      </c>
      <c r="J235" s="6" t="str">
        <f>IFERROR(__xludf.DUMMYFUNCTION("""COMPUTED_VALUE"""),"grips")</f>
        <v>grips</v>
      </c>
      <c r="L235" s="6" t="str">
        <f>IFERROR(__xludf.DUMMYFUNCTION("""COMPUTED_VALUE"""),"convincing")</f>
        <v>convincing</v>
      </c>
      <c r="M235" s="6" t="str">
        <f>IFERROR(__xludf.DUMMYFUNCTION("""COMPUTED_VALUE"""),"buy")</f>
        <v>buy</v>
      </c>
      <c r="N235" s="6" t="str">
        <f>IFERROR(__xludf.DUMMYFUNCTION("""COMPUTED_VALUE"""),"bleak")</f>
        <v>bleak</v>
      </c>
      <c r="P235" s="6" t="str">
        <f>IFERROR(__xludf.DUMMYFUNCTION("""COMPUTED_VALUE"""),"dark")</f>
        <v>dark</v>
      </c>
      <c r="Q235" s="6" t="str">
        <f>IFERROR(__xludf.DUMMYFUNCTION("""COMPUTED_VALUE"""),"pleasant")</f>
        <v>pleasant</v>
      </c>
      <c r="S235" s="6" t="str">
        <f>IFERROR(__xludf.DUMMYFUNCTION("""COMPUTED_VALUE"""),"works")</f>
        <v>works</v>
      </c>
    </row>
    <row r="236">
      <c r="A236" s="6" t="str">
        <f>IFERROR(__xludf.DUMMYFUNCTION("""COMPUTED_VALUE"""),"effectiveness")</f>
        <v>effectiveness</v>
      </c>
      <c r="D236" s="6"/>
      <c r="G236" s="6" t="str">
        <f>IFERROR(__xludf.DUMMYFUNCTION("""COMPUTED_VALUE"""),"frequently")</f>
        <v>frequently</v>
      </c>
      <c r="H236" s="6" t="str">
        <f>IFERROR(__xludf.DUMMYFUNCTION("""COMPUTED_VALUE"""),"actresses")</f>
        <v>actresses</v>
      </c>
      <c r="I236" s="6" t="str">
        <f>IFERROR(__xludf.DUMMYFUNCTION("""COMPUTED_VALUE"""),"failing")</f>
        <v>failing</v>
      </c>
      <c r="J236" s="6" t="str">
        <f>IFERROR(__xludf.DUMMYFUNCTION("""COMPUTED_VALUE"""),"fascinating")</f>
        <v>fascinating</v>
      </c>
      <c r="L236" s="6" t="str">
        <f>IFERROR(__xludf.DUMMYFUNCTION("""COMPUTED_VALUE"""),"viewer")</f>
        <v>viewer</v>
      </c>
      <c r="M236" s="6" t="str">
        <f>IFERROR(__xludf.DUMMYFUNCTION("""COMPUTED_VALUE"""),"nerve")</f>
        <v>nerve</v>
      </c>
      <c r="N236" s="6" t="str">
        <f>IFERROR(__xludf.DUMMYFUNCTION("""COMPUTED_VALUE"""),"extended")</f>
        <v>extended</v>
      </c>
      <c r="P236" s="6" t="str">
        <f>IFERROR(__xludf.DUMMYFUNCTION("""COMPUTED_VALUE"""),"add")</f>
        <v>add</v>
      </c>
      <c r="Q236" s="6" t="str">
        <f>IFERROR(__xludf.DUMMYFUNCTION("""COMPUTED_VALUE"""),"slightest")</f>
        <v>slightest</v>
      </c>
      <c r="S236" s="6" t="str">
        <f>IFERROR(__xludf.DUMMYFUNCTION("""COMPUTED_VALUE"""),"sea")</f>
        <v>sea</v>
      </c>
    </row>
    <row r="237">
      <c r="A237" s="6" t="str">
        <f>IFERROR(__xludf.DUMMYFUNCTION("""COMPUTED_VALUE"""),"ineffective")</f>
        <v>ineffective</v>
      </c>
      <c r="D237" s="6"/>
      <c r="G237" s="6" t="str">
        <f>IFERROR(__xludf.DUMMYFUNCTION("""COMPUTED_VALUE"""),"striking")</f>
        <v>striking</v>
      </c>
      <c r="H237" s="6" t="str">
        <f>IFERROR(__xludf.DUMMYFUNCTION("""COMPUTED_VALUE"""),"nicely")</f>
        <v>nicely</v>
      </c>
      <c r="I237" s="6" t="str">
        <f>IFERROR(__xludf.DUMMYFUNCTION("""COMPUTED_VALUE"""),"soap")</f>
        <v>soap</v>
      </c>
      <c r="J237" s="6" t="str">
        <f>IFERROR(__xludf.DUMMYFUNCTION("""COMPUTED_VALUE"""),"jagged")</f>
        <v>jagged</v>
      </c>
      <c r="L237" s="6" t="str">
        <f>IFERROR(__xludf.DUMMYFUNCTION("""COMPUTED_VALUE"""),"affection")</f>
        <v>affection</v>
      </c>
      <c r="M237" s="6" t="str">
        <f>IFERROR(__xludf.DUMMYFUNCTION("""COMPUTED_VALUE"""),"strike")</f>
        <v>strike</v>
      </c>
      <c r="N237" s="6" t="str">
        <f>IFERROR(__xludf.DUMMYFUNCTION("""COMPUTED_VALUE"""),"convincing")</f>
        <v>convincing</v>
      </c>
      <c r="P237" s="6" t="str">
        <f>IFERROR(__xludf.DUMMYFUNCTION("""COMPUTED_VALUE"""),"yes")</f>
        <v>yes</v>
      </c>
      <c r="Q237" s="6" t="str">
        <f>IFERROR(__xludf.DUMMYFUNCTION("""COMPUTED_VALUE"""),"dash")</f>
        <v>dash</v>
      </c>
      <c r="S237" s="6" t="str">
        <f>IFERROR(__xludf.DUMMYFUNCTION("""COMPUTED_VALUE"""),"keeping")</f>
        <v>keeping</v>
      </c>
    </row>
    <row r="238">
      <c r="A238" s="6" t="str">
        <f>IFERROR(__xludf.DUMMYFUNCTION("""COMPUTED_VALUE"""),"error")</f>
        <v>error</v>
      </c>
      <c r="D238" s="6"/>
      <c r="G238" s="6" t="str">
        <f>IFERROR(__xludf.DUMMYFUNCTION("""COMPUTED_VALUE"""),"narrator")</f>
        <v>narrator</v>
      </c>
      <c r="H238" s="6" t="str">
        <f>IFERROR(__xludf.DUMMYFUNCTION("""COMPUTED_VALUE"""),"quentin")</f>
        <v>quentin</v>
      </c>
      <c r="I238" s="6" t="str">
        <f>IFERROR(__xludf.DUMMYFUNCTION("""COMPUTED_VALUE"""),"species")</f>
        <v>species</v>
      </c>
      <c r="J238" s="6" t="str">
        <f>IFERROR(__xludf.DUMMYFUNCTION("""COMPUTED_VALUE"""),"arts")</f>
        <v>arts</v>
      </c>
      <c r="L238" s="6" t="str">
        <f>IFERROR(__xludf.DUMMYFUNCTION("""COMPUTED_VALUE"""),"documentary")</f>
        <v>documentary</v>
      </c>
      <c r="M238" s="6" t="str">
        <f>IFERROR(__xludf.DUMMYFUNCTION("""COMPUTED_VALUE"""),"execution")</f>
        <v>execution</v>
      </c>
      <c r="N238" s="6" t="str">
        <f>IFERROR(__xludf.DUMMYFUNCTION("""COMPUTED_VALUE"""),"viewer")</f>
        <v>viewer</v>
      </c>
      <c r="P238" s="6" t="str">
        <f>IFERROR(__xludf.DUMMYFUNCTION("""COMPUTED_VALUE"""),"entirely")</f>
        <v>entirely</v>
      </c>
      <c r="Q238" s="6" t="str">
        <f>IFERROR(__xludf.DUMMYFUNCTION("""COMPUTED_VALUE"""),"involved")</f>
        <v>involved</v>
      </c>
      <c r="S238" s="6" t="str">
        <f>IFERROR(__xludf.DUMMYFUNCTION("""COMPUTED_VALUE"""),"tight")</f>
        <v>tight</v>
      </c>
    </row>
    <row r="239">
      <c r="A239" s="6" t="str">
        <f>IFERROR(__xludf.DUMMYFUNCTION("""COMPUTED_VALUE"""),"beaches")</f>
        <v>beaches</v>
      </c>
      <c r="D239" s="6"/>
      <c r="G239" s="6" t="str">
        <f>IFERROR(__xludf.DUMMYFUNCTION("""COMPUTED_VALUE"""),"animation")</f>
        <v>animation</v>
      </c>
      <c r="H239" s="6" t="str">
        <f>IFERROR(__xludf.DUMMYFUNCTION("""COMPUTED_VALUE"""),"desperately")</f>
        <v>desperately</v>
      </c>
      <c r="I239" s="6" t="str">
        <f>IFERROR(__xludf.DUMMYFUNCTION("""COMPUTED_VALUE"""),"tv")</f>
        <v>tv</v>
      </c>
      <c r="J239" s="6" t="str">
        <f>IFERROR(__xludf.DUMMYFUNCTION("""COMPUTED_VALUE"""),"rhythms")</f>
        <v>rhythms</v>
      </c>
      <c r="L239" s="6" t="str">
        <f>IFERROR(__xludf.DUMMYFUNCTION("""COMPUTED_VALUE"""),"satire")</f>
        <v>satire</v>
      </c>
      <c r="M239" s="6" t="str">
        <f>IFERROR(__xludf.DUMMYFUNCTION("""COMPUTED_VALUE"""),"pianist")</f>
        <v>pianist</v>
      </c>
      <c r="N239" s="6" t="str">
        <f>IFERROR(__xludf.DUMMYFUNCTION("""COMPUTED_VALUE"""),"morton")</f>
        <v>morton</v>
      </c>
      <c r="P239" s="6" t="str">
        <f>IFERROR(__xludf.DUMMYFUNCTION("""COMPUTED_VALUE"""),"exposure")</f>
        <v>exposure</v>
      </c>
      <c r="Q239" s="6" t="str">
        <f>IFERROR(__xludf.DUMMYFUNCTION("""COMPUTED_VALUE"""),"wildly")</f>
        <v>wildly</v>
      </c>
      <c r="S239" s="6" t="str">
        <f>IFERROR(__xludf.DUMMYFUNCTION("""COMPUTED_VALUE"""),"disney")</f>
        <v>disney</v>
      </c>
    </row>
    <row r="240">
      <c r="A240" s="6" t="str">
        <f>IFERROR(__xludf.DUMMYFUNCTION("""COMPUTED_VALUE"""),"destructive")</f>
        <v>destructive</v>
      </c>
      <c r="D240" s="6"/>
      <c r="G240" s="6" t="str">
        <f>IFERROR(__xludf.DUMMYFUNCTION("""COMPUTED_VALUE"""),"heroine")</f>
        <v>heroine</v>
      </c>
      <c r="H240" s="6" t="str">
        <f>IFERROR(__xludf.DUMMYFUNCTION("""COMPUTED_VALUE"""),"hugh")</f>
        <v>hugh</v>
      </c>
      <c r="I240" s="6" t="str">
        <f>IFERROR(__xludf.DUMMYFUNCTION("""COMPUTED_VALUE"""),"question")</f>
        <v>question</v>
      </c>
      <c r="J240" s="6" t="str">
        <f>IFERROR(__xludf.DUMMYFUNCTION("""COMPUTED_VALUE"""),"stream")</f>
        <v>stream</v>
      </c>
      <c r="L240" s="6" t="str">
        <f>IFERROR(__xludf.DUMMYFUNCTION("""COMPUTED_VALUE"""),"courage")</f>
        <v>courage</v>
      </c>
      <c r="M240" s="6" t="str">
        <f>IFERROR(__xludf.DUMMYFUNCTION("""COMPUTED_VALUE"""),"chase")</f>
        <v>chase</v>
      </c>
      <c r="N240" s="6" t="str">
        <f>IFERROR(__xludf.DUMMYFUNCTION("""COMPUTED_VALUE"""),"satire")</f>
        <v>satire</v>
      </c>
      <c r="P240" s="6" t="str">
        <f>IFERROR(__xludf.DUMMYFUNCTION("""COMPUTED_VALUE"""),"affair")</f>
        <v>affair</v>
      </c>
      <c r="Q240" s="6" t="str">
        <f>IFERROR(__xludf.DUMMYFUNCTION("""COMPUTED_VALUE"""),"uneven")</f>
        <v>uneven</v>
      </c>
      <c r="S240" s="6" t="str">
        <f>IFERROR(__xludf.DUMMYFUNCTION("""COMPUTED_VALUE"""),"archives")</f>
        <v>archives</v>
      </c>
    </row>
    <row r="241">
      <c r="A241" s="6" t="str">
        <f>IFERROR(__xludf.DUMMYFUNCTION("""COMPUTED_VALUE"""),"contributions")</f>
        <v>contributions</v>
      </c>
      <c r="D241" s="6"/>
      <c r="G241" s="6" t="str">
        <f>IFERROR(__xludf.DUMMYFUNCTION("""COMPUTED_VALUE"""),"dramatically")</f>
        <v>dramatically</v>
      </c>
      <c r="H241" s="6" t="str">
        <f>IFERROR(__xludf.DUMMYFUNCTION("""COMPUTED_VALUE"""),"grant")</f>
        <v>grant</v>
      </c>
      <c r="I241" s="6" t="str">
        <f>IFERROR(__xludf.DUMMYFUNCTION("""COMPUTED_VALUE"""),"wounds")</f>
        <v>wounds</v>
      </c>
      <c r="J241" s="6" t="str">
        <f>IFERROR(__xludf.DUMMYFUNCTION("""COMPUTED_VALUE"""),"slick")</f>
        <v>slick</v>
      </c>
      <c r="L241" s="6" t="str">
        <f>IFERROR(__xludf.DUMMYFUNCTION("""COMPUTED_VALUE"""),"admire")</f>
        <v>admire</v>
      </c>
      <c r="M241" s="6" t="str">
        <f>IFERROR(__xludf.DUMMYFUNCTION("""COMPUTED_VALUE"""),"martha")</f>
        <v>martha</v>
      </c>
      <c r="N241" s="6" t="str">
        <f>IFERROR(__xludf.DUMMYFUNCTION("""COMPUTED_VALUE"""),"courage")</f>
        <v>courage</v>
      </c>
      <c r="P241" s="6" t="str">
        <f>IFERROR(__xludf.DUMMYFUNCTION("""COMPUTED_VALUE"""),"brilliant")</f>
        <v>brilliant</v>
      </c>
      <c r="Q241" s="6" t="str">
        <f>IFERROR(__xludf.DUMMYFUNCTION("""COMPUTED_VALUE"""),"music")</f>
        <v>music</v>
      </c>
      <c r="S241" s="6" t="str">
        <f>IFERROR(__xludf.DUMMYFUNCTION("""COMPUTED_VALUE"""),"sequel")</f>
        <v>sequel</v>
      </c>
    </row>
    <row r="242">
      <c r="A242" s="6" t="str">
        <f>IFERROR(__xludf.DUMMYFUNCTION("""COMPUTED_VALUE"""),"flopped")</f>
        <v>flopped</v>
      </c>
      <c r="D242" s="6"/>
      <c r="G242" s="6" t="str">
        <f>IFERROR(__xludf.DUMMYFUNCTION("""COMPUTED_VALUE"""),"provocative")</f>
        <v>provocative</v>
      </c>
      <c r="H242" s="6" t="str">
        <f>IFERROR(__xludf.DUMMYFUNCTION("""COMPUTED_VALUE"""),"insight")</f>
        <v>insight</v>
      </c>
      <c r="I242" s="6" t="str">
        <f>IFERROR(__xludf.DUMMYFUNCTION("""COMPUTED_VALUE"""),"failure")</f>
        <v>failure</v>
      </c>
      <c r="J242" s="6" t="str">
        <f>IFERROR(__xludf.DUMMYFUNCTION("""COMPUTED_VALUE"""),"actresses")</f>
        <v>actresses</v>
      </c>
      <c r="L242" s="6" t="str">
        <f>IFERROR(__xludf.DUMMYFUNCTION("""COMPUTED_VALUE"""),"intellectual")</f>
        <v>intellectual</v>
      </c>
      <c r="M242" s="6" t="str">
        <f>IFERROR(__xludf.DUMMYFUNCTION("""COMPUTED_VALUE"""),"rapid")</f>
        <v>rapid</v>
      </c>
      <c r="N242" s="6" t="str">
        <f>IFERROR(__xludf.DUMMYFUNCTION("""COMPUTED_VALUE"""),"intellectual")</f>
        <v>intellectual</v>
      </c>
      <c r="P242" s="6" t="str">
        <f>IFERROR(__xludf.DUMMYFUNCTION("""COMPUTED_VALUE"""),"tone")</f>
        <v>tone</v>
      </c>
      <c r="Q242" s="6" t="str">
        <f>IFERROR(__xludf.DUMMYFUNCTION("""COMPUTED_VALUE"""),"color")</f>
        <v>color</v>
      </c>
      <c r="S242" s="6" t="str">
        <f>IFERROR(__xludf.DUMMYFUNCTION("""COMPUTED_VALUE"""),"final")</f>
        <v>final</v>
      </c>
    </row>
    <row r="243">
      <c r="A243" s="6" t="str">
        <f>IFERROR(__xludf.DUMMYFUNCTION("""COMPUTED_VALUE"""),"weighs")</f>
        <v>weighs</v>
      </c>
      <c r="D243" s="6"/>
      <c r="G243" s="6" t="str">
        <f>IFERROR(__xludf.DUMMYFUNCTION("""COMPUTED_VALUE"""),"distinctive")</f>
        <v>distinctive</v>
      </c>
      <c r="H243" s="6" t="str">
        <f>IFERROR(__xludf.DUMMYFUNCTION("""COMPUTED_VALUE"""),"brown")</f>
        <v>brown</v>
      </c>
      <c r="I243" s="6" t="str">
        <f>IFERROR(__xludf.DUMMYFUNCTION("""COMPUTED_VALUE"""),"suffering")</f>
        <v>suffering</v>
      </c>
      <c r="J243" s="6" t="str">
        <f>IFERROR(__xludf.DUMMYFUNCTION("""COMPUTED_VALUE"""),"nicely")</f>
        <v>nicely</v>
      </c>
      <c r="L243" s="6" t="str">
        <f>IFERROR(__xludf.DUMMYFUNCTION("""COMPUTED_VALUE"""),"test")</f>
        <v>test</v>
      </c>
      <c r="M243" s="6" t="str">
        <f>IFERROR(__xludf.DUMMYFUNCTION("""COMPUTED_VALUE"""),"virtually")</f>
        <v>virtually</v>
      </c>
      <c r="N243" s="6" t="str">
        <f>IFERROR(__xludf.DUMMYFUNCTION("""COMPUTED_VALUE"""),"test")</f>
        <v>test</v>
      </c>
      <c r="P243" s="6" t="str">
        <f>IFERROR(__xludf.DUMMYFUNCTION("""COMPUTED_VALUE"""),"positive")</f>
        <v>positive</v>
      </c>
      <c r="Q243" s="6" t="str">
        <f>IFERROR(__xludf.DUMMYFUNCTION("""COMPUTED_VALUE"""),"depth")</f>
        <v>depth</v>
      </c>
      <c r="S243" s="6" t="str">
        <f>IFERROR(__xludf.DUMMYFUNCTION("""COMPUTED_VALUE"""),"despite")</f>
        <v>despite</v>
      </c>
    </row>
    <row r="244">
      <c r="A244" s="6" t="str">
        <f>IFERROR(__xludf.DUMMYFUNCTION("""COMPUTED_VALUE"""),"shaking")</f>
        <v>shaking</v>
      </c>
      <c r="D244" s="6"/>
      <c r="G244" s="6" t="str">
        <f>IFERROR(__xludf.DUMMYFUNCTION("""COMPUTED_VALUE"""),"demonstrate")</f>
        <v>demonstrate</v>
      </c>
      <c r="H244" s="6" t="str">
        <f>IFERROR(__xludf.DUMMYFUNCTION("""COMPUTED_VALUE"""),"celebration")</f>
        <v>celebration</v>
      </c>
      <c r="I244" s="6" t="str">
        <f>IFERROR(__xludf.DUMMYFUNCTION("""COMPUTED_VALUE"""),"powerful")</f>
        <v>powerful</v>
      </c>
      <c r="J244" s="6" t="str">
        <f>IFERROR(__xludf.DUMMYFUNCTION("""COMPUTED_VALUE"""),"quentin")</f>
        <v>quentin</v>
      </c>
      <c r="L244" s="6" t="str">
        <f>IFERROR(__xludf.DUMMYFUNCTION("""COMPUTED_VALUE"""),"meditation")</f>
        <v>meditation</v>
      </c>
      <c r="M244" s="6" t="str">
        <f>IFERROR(__xludf.DUMMYFUNCTION("""COMPUTED_VALUE"""),"deeper")</f>
        <v>deeper</v>
      </c>
      <c r="N244" s="6" t="str">
        <f>IFERROR(__xludf.DUMMYFUNCTION("""COMPUTED_VALUE"""),"meditation")</f>
        <v>meditation</v>
      </c>
      <c r="P244" s="6" t="str">
        <f>IFERROR(__xludf.DUMMYFUNCTION("""COMPUTED_VALUE"""),"seems")</f>
        <v>seems</v>
      </c>
      <c r="Q244" s="6" t="str">
        <f>IFERROR(__xludf.DUMMYFUNCTION("""COMPUTED_VALUE"""),"over")</f>
        <v>over</v>
      </c>
      <c r="S244" s="6" t="str">
        <f>IFERROR(__xludf.DUMMYFUNCTION("""COMPUTED_VALUE"""),"fights")</f>
        <v>fights</v>
      </c>
    </row>
    <row r="245">
      <c r="D245" s="6"/>
      <c r="G245" s="6" t="str">
        <f>IFERROR(__xludf.DUMMYFUNCTION("""COMPUTED_VALUE"""),"blown")</f>
        <v>blown</v>
      </c>
      <c r="H245" s="6" t="str">
        <f>IFERROR(__xludf.DUMMYFUNCTION("""COMPUTED_VALUE"""),"metaphor")</f>
        <v>metaphor</v>
      </c>
      <c r="I245" s="6" t="str">
        <f>IFERROR(__xludf.DUMMYFUNCTION("""COMPUTED_VALUE"""),"making")</f>
        <v>making</v>
      </c>
      <c r="J245" s="6" t="str">
        <f>IFERROR(__xludf.DUMMYFUNCTION("""COMPUTED_VALUE"""),"hugh")</f>
        <v>hugh</v>
      </c>
      <c r="L245" s="6" t="str">
        <f>IFERROR(__xludf.DUMMYFUNCTION("""COMPUTED_VALUE"""),"freddy")</f>
        <v>freddy</v>
      </c>
      <c r="M245" s="6" t="str">
        <f>IFERROR(__xludf.DUMMYFUNCTION("""COMPUTED_VALUE"""),"intense")</f>
        <v>intense</v>
      </c>
      <c r="N245" s="6" t="str">
        <f>IFERROR(__xludf.DUMMYFUNCTION("""COMPUTED_VALUE"""),"moody")</f>
        <v>moody</v>
      </c>
      <c r="P245" s="6" t="str">
        <f>IFERROR(__xludf.DUMMYFUNCTION("""COMPUTED_VALUE"""),"acts")</f>
        <v>acts</v>
      </c>
      <c r="Q245" s="6" t="str">
        <f>IFERROR(__xludf.DUMMYFUNCTION("""COMPUTED_VALUE"""),"re")</f>
        <v>re</v>
      </c>
      <c r="S245" s="6" t="str">
        <f>IFERROR(__xludf.DUMMYFUNCTION("""COMPUTED_VALUE"""),"minutes")</f>
        <v>minutes</v>
      </c>
    </row>
    <row r="246">
      <c r="D246" s="6"/>
      <c r="G246" s="6" t="str">
        <f>IFERROR(__xludf.DUMMYFUNCTION("""COMPUTED_VALUE"""),"monty")</f>
        <v>monty</v>
      </c>
      <c r="H246" s="6" t="str">
        <f>IFERROR(__xludf.DUMMYFUNCTION("""COMPUTED_VALUE"""),"wanting")</f>
        <v>wanting</v>
      </c>
      <c r="I246" s="6" t="str">
        <f>IFERROR(__xludf.DUMMYFUNCTION("""COMPUTED_VALUE"""),"needs")</f>
        <v>needs</v>
      </c>
      <c r="J246" s="6" t="str">
        <f>IFERROR(__xludf.DUMMYFUNCTION("""COMPUTED_VALUE"""),"grant")</f>
        <v>grant</v>
      </c>
      <c r="L246" s="6" t="str">
        <f>IFERROR(__xludf.DUMMYFUNCTION("""COMPUTED_VALUE"""),"moody")</f>
        <v>moody</v>
      </c>
      <c r="M246" s="6" t="str">
        <f>IFERROR(__xludf.DUMMYFUNCTION("""COMPUTED_VALUE"""),"getting")</f>
        <v>getting</v>
      </c>
      <c r="N246" s="6" t="str">
        <f>IFERROR(__xludf.DUMMYFUNCTION("""COMPUTED_VALUE"""),"bore")</f>
        <v>bore</v>
      </c>
      <c r="P246" s="6" t="str">
        <f>IFERROR(__xludf.DUMMYFUNCTION("""COMPUTED_VALUE"""),"kid")</f>
        <v>kid</v>
      </c>
      <c r="Q246" s="6" t="str">
        <f>IFERROR(__xludf.DUMMYFUNCTION("""COMPUTED_VALUE"""),"preliminary")</f>
        <v>preliminary</v>
      </c>
      <c r="S246" s="6" t="str">
        <f>IFERROR(__xludf.DUMMYFUNCTION("""COMPUTED_VALUE"""),"runs")</f>
        <v>runs</v>
      </c>
    </row>
    <row r="247">
      <c r="D247" s="6"/>
      <c r="G247" s="6" t="str">
        <f>IFERROR(__xludf.DUMMYFUNCTION("""COMPUTED_VALUE"""),"grounded")</f>
        <v>grounded</v>
      </c>
      <c r="H247" s="6" t="str">
        <f>IFERROR(__xludf.DUMMYFUNCTION("""COMPUTED_VALUE"""),"retains")</f>
        <v>retains</v>
      </c>
      <c r="I247" s="6" t="str">
        <f>IFERROR(__xludf.DUMMYFUNCTION("""COMPUTED_VALUE"""),"passion")</f>
        <v>passion</v>
      </c>
      <c r="J247" s="6" t="str">
        <f>IFERROR(__xludf.DUMMYFUNCTION("""COMPUTED_VALUE"""),"insight")</f>
        <v>insight</v>
      </c>
      <c r="L247" s="6" t="str">
        <f>IFERROR(__xludf.DUMMYFUNCTION("""COMPUTED_VALUE"""),"stereotypes")</f>
        <v>stereotypes</v>
      </c>
      <c r="M247" s="6" t="str">
        <f>IFERROR(__xludf.DUMMYFUNCTION("""COMPUTED_VALUE"""),"hero")</f>
        <v>hero</v>
      </c>
      <c r="N247" s="6" t="str">
        <f>IFERROR(__xludf.DUMMYFUNCTION("""COMPUTED_VALUE"""),"involving")</f>
        <v>involving</v>
      </c>
      <c r="P247" s="6" t="str">
        <f>IFERROR(__xludf.DUMMYFUNCTION("""COMPUTED_VALUE"""),"may")</f>
        <v>may</v>
      </c>
      <c r="Q247" s="6" t="str">
        <f>IFERROR(__xludf.DUMMYFUNCTION("""COMPUTED_VALUE"""),"narrative")</f>
        <v>narrative</v>
      </c>
      <c r="S247" s="6">
        <f>IFERROR(__xludf.DUMMYFUNCTION("""COMPUTED_VALUE"""),84.0)</f>
        <v>84</v>
      </c>
    </row>
    <row r="248">
      <c r="D248" s="6"/>
      <c r="G248" s="6" t="str">
        <f>IFERROR(__xludf.DUMMYFUNCTION("""COMPUTED_VALUE"""),"generation")</f>
        <v>generation</v>
      </c>
      <c r="H248" s="6" t="str">
        <f>IFERROR(__xludf.DUMMYFUNCTION("""COMPUTED_VALUE"""),"resonance")</f>
        <v>resonance</v>
      </c>
      <c r="I248" s="6" t="str">
        <f>IFERROR(__xludf.DUMMYFUNCTION("""COMPUTED_VALUE"""),"man")</f>
        <v>man</v>
      </c>
      <c r="J248" s="6" t="str">
        <f>IFERROR(__xludf.DUMMYFUNCTION("""COMPUTED_VALUE"""),"hours")</f>
        <v>hours</v>
      </c>
      <c r="L248" s="6" t="str">
        <f>IFERROR(__xludf.DUMMYFUNCTION("""COMPUTED_VALUE"""),"bore")</f>
        <v>bore</v>
      </c>
      <c r="M248" s="6" t="str">
        <f>IFERROR(__xludf.DUMMYFUNCTION("""COMPUTED_VALUE"""),"keeps")</f>
        <v>keeps</v>
      </c>
      <c r="N248" s="6" t="str">
        <f>IFERROR(__xludf.DUMMYFUNCTION("""COMPUTED_VALUE"""),"sequence")</f>
        <v>sequence</v>
      </c>
      <c r="P248" s="6" t="str">
        <f>IFERROR(__xludf.DUMMYFUNCTION("""COMPUTED_VALUE"""),"term")</f>
        <v>term</v>
      </c>
      <c r="Q248" s="6" t="str">
        <f>IFERROR(__xludf.DUMMYFUNCTION("""COMPUTED_VALUE"""),"frustrating")</f>
        <v>frustrating</v>
      </c>
      <c r="S248" s="6" t="str">
        <f>IFERROR(__xludf.DUMMYFUNCTION("""COMPUTED_VALUE"""),"mere")</f>
        <v>mere</v>
      </c>
    </row>
    <row r="249">
      <c r="D249" s="6"/>
      <c r="G249" s="6" t="str">
        <f>IFERROR(__xludf.DUMMYFUNCTION("""COMPUTED_VALUE"""),"episodes")</f>
        <v>episodes</v>
      </c>
      <c r="H249" s="6" t="str">
        <f>IFERROR(__xludf.DUMMYFUNCTION("""COMPUTED_VALUE"""),"viewers")</f>
        <v>viewers</v>
      </c>
      <c r="I249" s="6" t="str">
        <f>IFERROR(__xludf.DUMMYFUNCTION("""COMPUTED_VALUE"""),"torture")</f>
        <v>torture</v>
      </c>
      <c r="J249" s="6" t="str">
        <f>IFERROR(__xludf.DUMMYFUNCTION("""COMPUTED_VALUE"""),"brown")</f>
        <v>brown</v>
      </c>
      <c r="L249" s="6" t="str">
        <f>IFERROR(__xludf.DUMMYFUNCTION("""COMPUTED_VALUE"""),"involving")</f>
        <v>involving</v>
      </c>
      <c r="M249" s="6" t="str">
        <f>IFERROR(__xludf.DUMMYFUNCTION("""COMPUTED_VALUE"""),"grief")</f>
        <v>grief</v>
      </c>
      <c r="N249" s="6" t="str">
        <f>IFERROR(__xludf.DUMMYFUNCTION("""COMPUTED_VALUE"""),"designed")</f>
        <v>designed</v>
      </c>
      <c r="P249" s="6" t="str">
        <f>IFERROR(__xludf.DUMMYFUNCTION("""COMPUTED_VALUE"""),"emotions")</f>
        <v>emotions</v>
      </c>
      <c r="Q249" s="6" t="str">
        <f>IFERROR(__xludf.DUMMYFUNCTION("""COMPUTED_VALUE"""),"trouble")</f>
        <v>trouble</v>
      </c>
      <c r="S249" s="6" t="str">
        <f>IFERROR(__xludf.DUMMYFUNCTION("""COMPUTED_VALUE"""),"romance")</f>
        <v>romance</v>
      </c>
    </row>
    <row r="250">
      <c r="D250" s="6"/>
      <c r="G250" s="6" t="str">
        <f>IFERROR(__xludf.DUMMYFUNCTION("""COMPUTED_VALUE"""),"amused")</f>
        <v>amused</v>
      </c>
      <c r="H250" s="6" t="str">
        <f>IFERROR(__xludf.DUMMYFUNCTION("""COMPUTED_VALUE"""),"format")</f>
        <v>format</v>
      </c>
      <c r="I250" s="6" t="str">
        <f>IFERROR(__xludf.DUMMYFUNCTION("""COMPUTED_VALUE"""),"argentine")</f>
        <v>argentine</v>
      </c>
      <c r="J250" s="6" t="str">
        <f>IFERROR(__xludf.DUMMYFUNCTION("""COMPUTED_VALUE"""),"crime")</f>
        <v>crime</v>
      </c>
      <c r="L250" s="6" t="str">
        <f>IFERROR(__xludf.DUMMYFUNCTION("""COMPUTED_VALUE"""),"sequence")</f>
        <v>sequence</v>
      </c>
      <c r="M250" s="6" t="str">
        <f>IFERROR(__xludf.DUMMYFUNCTION("""COMPUTED_VALUE"""),"motion")</f>
        <v>motion</v>
      </c>
      <c r="N250" s="6" t="str">
        <f>IFERROR(__xludf.DUMMYFUNCTION("""COMPUTED_VALUE"""),"ticket")</f>
        <v>ticket</v>
      </c>
      <c r="P250" s="6" t="str">
        <f>IFERROR(__xludf.DUMMYFUNCTION("""COMPUTED_VALUE"""),"honest")</f>
        <v>honest</v>
      </c>
      <c r="Q250" s="6" t="str">
        <f>IFERROR(__xludf.DUMMYFUNCTION("""COMPUTED_VALUE"""),"amounts")</f>
        <v>amounts</v>
      </c>
      <c r="S250" s="6" t="str">
        <f>IFERROR(__xludf.DUMMYFUNCTION("""COMPUTED_VALUE"""),"remarkable")</f>
        <v>remarkable</v>
      </c>
    </row>
    <row r="251">
      <c r="D251" s="6"/>
      <c r="G251" s="6" t="str">
        <f>IFERROR(__xludf.DUMMYFUNCTION("""COMPUTED_VALUE"""),"skill")</f>
        <v>skill</v>
      </c>
      <c r="H251" s="6" t="str">
        <f>IFERROR(__xludf.DUMMYFUNCTION("""COMPUTED_VALUE"""),"handsome")</f>
        <v>handsome</v>
      </c>
      <c r="I251" s="6" t="str">
        <f>IFERROR(__xludf.DUMMYFUNCTION("""COMPUTED_VALUE"""),"son")</f>
        <v>son</v>
      </c>
      <c r="J251" s="6" t="str">
        <f>IFERROR(__xludf.DUMMYFUNCTION("""COMPUTED_VALUE"""),"includes")</f>
        <v>includes</v>
      </c>
      <c r="L251" s="6" t="str">
        <f>IFERROR(__xludf.DUMMYFUNCTION("""COMPUTED_VALUE"""),"ticket")</f>
        <v>ticket</v>
      </c>
      <c r="M251" s="6" t="str">
        <f>IFERROR(__xludf.DUMMYFUNCTION("""COMPUTED_VALUE"""),"presents")</f>
        <v>presents</v>
      </c>
      <c r="N251" s="6" t="str">
        <f>IFERROR(__xludf.DUMMYFUNCTION("""COMPUTED_VALUE"""),"comedic")</f>
        <v>comedic</v>
      </c>
      <c r="P251" s="6" t="str">
        <f>IFERROR(__xludf.DUMMYFUNCTION("""COMPUTED_VALUE"""),"london")</f>
        <v>london</v>
      </c>
      <c r="Q251" s="6" t="str">
        <f>IFERROR(__xludf.DUMMYFUNCTION("""COMPUTED_VALUE"""),"unpredictable")</f>
        <v>unpredictable</v>
      </c>
      <c r="S251" s="6" t="str">
        <f>IFERROR(__xludf.DUMMYFUNCTION("""COMPUTED_VALUE"""),"pleasant")</f>
        <v>pleasant</v>
      </c>
    </row>
    <row r="252">
      <c r="D252" s="6"/>
      <c r="G252" s="6" t="str">
        <f>IFERROR(__xludf.DUMMYFUNCTION("""COMPUTED_VALUE"""),"vampire")</f>
        <v>vampire</v>
      </c>
      <c r="H252" s="6" t="str">
        <f>IFERROR(__xludf.DUMMYFUNCTION("""COMPUTED_VALUE"""),"drama")</f>
        <v>drama</v>
      </c>
      <c r="I252" s="6" t="str">
        <f>IFERROR(__xludf.DUMMYFUNCTION("""COMPUTED_VALUE"""),"white")</f>
        <v>white</v>
      </c>
      <c r="J252" s="6" t="str">
        <f>IFERROR(__xludf.DUMMYFUNCTION("""COMPUTED_VALUE"""),"steven")</f>
        <v>steven</v>
      </c>
      <c r="L252" s="6" t="str">
        <f>IFERROR(__xludf.DUMMYFUNCTION("""COMPUTED_VALUE"""),"dvd")</f>
        <v>dvd</v>
      </c>
      <c r="M252" s="6" t="str">
        <f>IFERROR(__xludf.DUMMYFUNCTION("""COMPUTED_VALUE"""),"capable")</f>
        <v>capable</v>
      </c>
      <c r="N252" s="6" t="str">
        <f>IFERROR(__xludf.DUMMYFUNCTION("""COMPUTED_VALUE"""),"ensemble")</f>
        <v>ensemble</v>
      </c>
      <c r="P252" s="6" t="str">
        <f>IFERROR(__xludf.DUMMYFUNCTION("""COMPUTED_VALUE"""),"title")</f>
        <v>title</v>
      </c>
      <c r="Q252" s="6" t="str">
        <f>IFERROR(__xludf.DUMMYFUNCTION("""COMPUTED_VALUE"""),"spectacle")</f>
        <v>spectacle</v>
      </c>
      <c r="S252" s="6" t="str">
        <f>IFERROR(__xludf.DUMMYFUNCTION("""COMPUTED_VALUE"""),"involved")</f>
        <v>involved</v>
      </c>
    </row>
    <row r="253">
      <c r="D253" s="6"/>
      <c r="G253" s="6" t="str">
        <f>IFERROR(__xludf.DUMMYFUNCTION("""COMPUTED_VALUE"""),"determined")</f>
        <v>determined</v>
      </c>
      <c r="H253" s="6" t="str">
        <f>IFERROR(__xludf.DUMMYFUNCTION("""COMPUTED_VALUE"""),"either")</f>
        <v>either</v>
      </c>
      <c r="I253" s="6" t="str">
        <f>IFERROR(__xludf.DUMMYFUNCTION("""COMPUTED_VALUE"""),"vulnerable")</f>
        <v>vulnerable</v>
      </c>
      <c r="J253" s="6" t="str">
        <f>IFERROR(__xludf.DUMMYFUNCTION("""COMPUTED_VALUE"""),"celebration")</f>
        <v>celebration</v>
      </c>
      <c r="L253" s="6" t="str">
        <f>IFERROR(__xludf.DUMMYFUNCTION("""COMPUTED_VALUE"""),"smart")</f>
        <v>smart</v>
      </c>
      <c r="M253" s="6" t="str">
        <f>IFERROR(__xludf.DUMMYFUNCTION("""COMPUTED_VALUE"""),"journey")</f>
        <v>journey</v>
      </c>
      <c r="N253" s="6" t="str">
        <f>IFERROR(__xludf.DUMMYFUNCTION("""COMPUTED_VALUE"""),"allows")</f>
        <v>allows</v>
      </c>
      <c r="P253" s="6" t="str">
        <f>IFERROR(__xludf.DUMMYFUNCTION("""COMPUTED_VALUE"""),"wildlife")</f>
        <v>wildlife</v>
      </c>
      <c r="Q253" s="6" t="str">
        <f>IFERROR(__xludf.DUMMYFUNCTION("""COMPUTED_VALUE"""),"epic")</f>
        <v>epic</v>
      </c>
      <c r="S253" s="6" t="str">
        <f>IFERROR(__xludf.DUMMYFUNCTION("""COMPUTED_VALUE"""),"shows")</f>
        <v>shows</v>
      </c>
    </row>
    <row r="254">
      <c r="D254" s="6"/>
      <c r="G254" s="6" t="str">
        <f>IFERROR(__xludf.DUMMYFUNCTION("""COMPUTED_VALUE"""),"tragedy")</f>
        <v>tragedy</v>
      </c>
      <c r="H254" s="6" t="str">
        <f>IFERROR(__xludf.DUMMYFUNCTION("""COMPUTED_VALUE"""),"haunting")</f>
        <v>haunting</v>
      </c>
      <c r="I254" s="6" t="str">
        <f>IFERROR(__xludf.DUMMYFUNCTION("""COMPUTED_VALUE"""),"comics")</f>
        <v>comics</v>
      </c>
      <c r="J254" s="6" t="str">
        <f>IFERROR(__xludf.DUMMYFUNCTION("""COMPUTED_VALUE"""),"metaphor")</f>
        <v>metaphor</v>
      </c>
      <c r="L254" s="6" t="str">
        <f>IFERROR(__xludf.DUMMYFUNCTION("""COMPUTED_VALUE"""),"comedic")</f>
        <v>comedic</v>
      </c>
      <c r="M254" s="6" t="str">
        <f>IFERROR(__xludf.DUMMYFUNCTION("""COMPUTED_VALUE"""),"enterprise")</f>
        <v>enterprise</v>
      </c>
      <c r="N254" s="6" t="str">
        <f>IFERROR(__xludf.DUMMYFUNCTION("""COMPUTED_VALUE"""),"ourselves")</f>
        <v>ourselves</v>
      </c>
      <c r="P254" s="6" t="str">
        <f>IFERROR(__xludf.DUMMYFUNCTION("""COMPUTED_VALUE"""),"spare")</f>
        <v>spare</v>
      </c>
      <c r="Q254" s="6" t="str">
        <f>IFERROR(__xludf.DUMMYFUNCTION("""COMPUTED_VALUE"""),"ii")</f>
        <v>ii</v>
      </c>
      <c r="S254" s="6" t="str">
        <f>IFERROR(__xludf.DUMMYFUNCTION("""COMPUTED_VALUE"""),"acting")</f>
        <v>acting</v>
      </c>
    </row>
    <row r="255">
      <c r="D255" s="6"/>
      <c r="G255" s="6" t="str">
        <f>IFERROR(__xludf.DUMMYFUNCTION("""COMPUTED_VALUE"""),"spell")</f>
        <v>spell</v>
      </c>
      <c r="H255" s="6" t="str">
        <f>IFERROR(__xludf.DUMMYFUNCTION("""COMPUTED_VALUE"""),"debut")</f>
        <v>debut</v>
      </c>
      <c r="I255" s="6" t="str">
        <f>IFERROR(__xludf.DUMMYFUNCTION("""COMPUTED_VALUE"""),"female")</f>
        <v>female</v>
      </c>
      <c r="J255" s="6" t="str">
        <f>IFERROR(__xludf.DUMMYFUNCTION("""COMPUTED_VALUE"""),"retains")</f>
        <v>retains</v>
      </c>
      <c r="L255" s="6" t="str">
        <f>IFERROR(__xludf.DUMMYFUNCTION("""COMPUTED_VALUE"""),"ensemble")</f>
        <v>ensemble</v>
      </c>
      <c r="M255" s="6" t="str">
        <f>IFERROR(__xludf.DUMMYFUNCTION("""COMPUTED_VALUE"""),"say")</f>
        <v>say</v>
      </c>
      <c r="N255" s="6" t="str">
        <f>IFERROR(__xludf.DUMMYFUNCTION("""COMPUTED_VALUE"""),"colorful")</f>
        <v>colorful</v>
      </c>
      <c r="P255" s="6" t="str">
        <f>IFERROR(__xludf.DUMMYFUNCTION("""COMPUTED_VALUE"""),"toward")</f>
        <v>toward</v>
      </c>
      <c r="Q255" s="6" t="str">
        <f>IFERROR(__xludf.DUMMYFUNCTION("""COMPUTED_VALUE"""),"hardly")</f>
        <v>hardly</v>
      </c>
      <c r="S255" s="6" t="str">
        <f>IFERROR(__xludf.DUMMYFUNCTION("""COMPUTED_VALUE"""),"license")</f>
        <v>license</v>
      </c>
    </row>
    <row r="256">
      <c r="D256" s="6"/>
      <c r="G256" s="6" t="str">
        <f>IFERROR(__xludf.DUMMYFUNCTION("""COMPUTED_VALUE"""),"brutally")</f>
        <v>brutally</v>
      </c>
      <c r="H256" s="6" t="str">
        <f>IFERROR(__xludf.DUMMYFUNCTION("""COMPUTED_VALUE"""),"fine")</f>
        <v>fine</v>
      </c>
      <c r="I256" s="6" t="str">
        <f>IFERROR(__xludf.DUMMYFUNCTION("""COMPUTED_VALUE"""),"darling")</f>
        <v>darling</v>
      </c>
      <c r="J256" s="6" t="str">
        <f>IFERROR(__xludf.DUMMYFUNCTION("""COMPUTED_VALUE"""),"resonance")</f>
        <v>resonance</v>
      </c>
      <c r="L256" s="6" t="str">
        <f>IFERROR(__xludf.DUMMYFUNCTION("""COMPUTED_VALUE"""),"painful")</f>
        <v>painful</v>
      </c>
      <c r="M256" s="6" t="str">
        <f>IFERROR(__xludf.DUMMYFUNCTION("""COMPUTED_VALUE"""),"kennedy")</f>
        <v>kennedy</v>
      </c>
      <c r="N256" s="6" t="str">
        <f>IFERROR(__xludf.DUMMYFUNCTION("""COMPUTED_VALUE"""),"parade")</f>
        <v>parade</v>
      </c>
      <c r="P256" s="6" t="str">
        <f>IFERROR(__xludf.DUMMYFUNCTION("""COMPUTED_VALUE"""),"indian")</f>
        <v>indian</v>
      </c>
      <c r="Q256" s="6" t="str">
        <f>IFERROR(__xludf.DUMMYFUNCTION("""COMPUTED_VALUE"""),"conclusions")</f>
        <v>conclusions</v>
      </c>
      <c r="S256" s="6" t="str">
        <f>IFERROR(__xludf.DUMMYFUNCTION("""COMPUTED_VALUE"""),"music")</f>
        <v>music</v>
      </c>
    </row>
    <row r="257">
      <c r="D257" s="6"/>
      <c r="G257" s="6" t="str">
        <f>IFERROR(__xludf.DUMMYFUNCTION("""COMPUTED_VALUE"""),"breadth")</f>
        <v>breadth</v>
      </c>
      <c r="H257" s="6" t="str">
        <f>IFERROR(__xludf.DUMMYFUNCTION("""COMPUTED_VALUE"""),"passages")</f>
        <v>passages</v>
      </c>
      <c r="I257" s="6" t="str">
        <f>IFERROR(__xludf.DUMMYFUNCTION("""COMPUTED_VALUE"""),"violence")</f>
        <v>violence</v>
      </c>
      <c r="J257" s="6" t="str">
        <f>IFERROR(__xludf.DUMMYFUNCTION("""COMPUTED_VALUE"""),"viewers")</f>
        <v>viewers</v>
      </c>
      <c r="L257" s="6" t="str">
        <f>IFERROR(__xludf.DUMMYFUNCTION("""COMPUTED_VALUE"""),"allows")</f>
        <v>allows</v>
      </c>
      <c r="M257" s="6" t="str">
        <f>IFERROR(__xludf.DUMMYFUNCTION("""COMPUTED_VALUE"""),"inspired")</f>
        <v>inspired</v>
      </c>
      <c r="N257" s="6" t="str">
        <f>IFERROR(__xludf.DUMMYFUNCTION("""COMPUTED_VALUE"""),"marvel")</f>
        <v>marvel</v>
      </c>
      <c r="P257" s="6" t="str">
        <f>IFERROR(__xludf.DUMMYFUNCTION("""COMPUTED_VALUE"""),"admission")</f>
        <v>admission</v>
      </c>
      <c r="Q257" s="6" t="str">
        <f>IFERROR(__xludf.DUMMYFUNCTION("""COMPUTED_VALUE"""),"dramas")</f>
        <v>dramas</v>
      </c>
      <c r="S257" s="6" t="str">
        <f>IFERROR(__xludf.DUMMYFUNCTION("""COMPUTED_VALUE"""),"want")</f>
        <v>want</v>
      </c>
    </row>
    <row r="258">
      <c r="D258" s="6"/>
      <c r="G258" s="6" t="str">
        <f>IFERROR(__xludf.DUMMYFUNCTION("""COMPUTED_VALUE"""),"spite")</f>
        <v>spite</v>
      </c>
      <c r="H258" s="6" t="str">
        <f>IFERROR(__xludf.DUMMYFUNCTION("""COMPUTED_VALUE"""),"fore")</f>
        <v>fore</v>
      </c>
      <c r="I258" s="6" t="str">
        <f>IFERROR(__xludf.DUMMYFUNCTION("""COMPUTED_VALUE"""),"use")</f>
        <v>use</v>
      </c>
      <c r="J258" s="6" t="str">
        <f>IFERROR(__xludf.DUMMYFUNCTION("""COMPUTED_VALUE"""),"handsome")</f>
        <v>handsome</v>
      </c>
      <c r="L258" s="6" t="str">
        <f>IFERROR(__xludf.DUMMYFUNCTION("""COMPUTED_VALUE"""),"reacting")</f>
        <v>reacting</v>
      </c>
      <c r="M258" s="6" t="str">
        <f>IFERROR(__xludf.DUMMYFUNCTION("""COMPUTED_VALUE"""),"attempt")</f>
        <v>attempt</v>
      </c>
      <c r="N258" s="6" t="str">
        <f>IFERROR(__xludf.DUMMYFUNCTION("""COMPUTED_VALUE"""),"pulls")</f>
        <v>pulls</v>
      </c>
      <c r="P258" s="6" t="str">
        <f>IFERROR(__xludf.DUMMYFUNCTION("""COMPUTED_VALUE"""),"shallow")</f>
        <v>shallow</v>
      </c>
      <c r="Q258" s="6" t="str">
        <f>IFERROR(__xludf.DUMMYFUNCTION("""COMPUTED_VALUE"""),"ponder")</f>
        <v>ponder</v>
      </c>
      <c r="S258" s="6">
        <f>IFERROR(__xludf.DUMMYFUNCTION("""COMPUTED_VALUE"""),90.0)</f>
        <v>90</v>
      </c>
    </row>
    <row r="259">
      <c r="D259" s="6"/>
      <c r="G259" s="6" t="str">
        <f>IFERROR(__xludf.DUMMYFUNCTION("""COMPUTED_VALUE"""),"remarkably")</f>
        <v>remarkably</v>
      </c>
      <c r="H259" s="6" t="str">
        <f>IFERROR(__xludf.DUMMYFUNCTION("""COMPUTED_VALUE"""),"beings")</f>
        <v>beings</v>
      </c>
      <c r="I259" s="6" t="str">
        <f>IFERROR(__xludf.DUMMYFUNCTION("""COMPUTED_VALUE"""),"lesser")</f>
        <v>lesser</v>
      </c>
      <c r="J259" s="6" t="str">
        <f>IFERROR(__xludf.DUMMYFUNCTION("""COMPUTED_VALUE"""),"either")</f>
        <v>either</v>
      </c>
      <c r="L259" s="6" t="str">
        <f>IFERROR(__xludf.DUMMYFUNCTION("""COMPUTED_VALUE"""),"colorful")</f>
        <v>colorful</v>
      </c>
      <c r="M259" s="6" t="str">
        <f>IFERROR(__xludf.DUMMYFUNCTION("""COMPUTED_VALUE"""),"soundtrack")</f>
        <v>soundtrack</v>
      </c>
      <c r="N259" s="6" t="str">
        <f>IFERROR(__xludf.DUMMYFUNCTION("""COMPUTED_VALUE"""),"result")</f>
        <v>result</v>
      </c>
      <c r="P259" s="6" t="str">
        <f>IFERROR(__xludf.DUMMYFUNCTION("""COMPUTED_VALUE"""),"targeted")</f>
        <v>targeted</v>
      </c>
      <c r="Q259" s="6" t="str">
        <f>IFERROR(__xludf.DUMMYFUNCTION("""COMPUTED_VALUE"""),"forces")</f>
        <v>forces</v>
      </c>
      <c r="S259" s="6" t="str">
        <f>IFERROR(__xludf.DUMMYFUNCTION("""COMPUTED_VALUE"""),"videos")</f>
        <v>videos</v>
      </c>
    </row>
    <row r="260">
      <c r="D260" s="6"/>
      <c r="G260" s="6" t="str">
        <f>IFERROR(__xludf.DUMMYFUNCTION("""COMPUTED_VALUE"""),"topic")</f>
        <v>topic</v>
      </c>
      <c r="H260" s="6" t="str">
        <f>IFERROR(__xludf.DUMMYFUNCTION("""COMPUTED_VALUE"""),"gifted")</f>
        <v>gifted</v>
      </c>
      <c r="I260" s="6" t="str">
        <f>IFERROR(__xludf.DUMMYFUNCTION("""COMPUTED_VALUE"""),"continues")</f>
        <v>continues</v>
      </c>
      <c r="J260" s="6" t="str">
        <f>IFERROR(__xludf.DUMMYFUNCTION("""COMPUTED_VALUE"""),"haunting")</f>
        <v>haunting</v>
      </c>
      <c r="L260" s="6" t="str">
        <f>IFERROR(__xludf.DUMMYFUNCTION("""COMPUTED_VALUE"""),"marvel")</f>
        <v>marvel</v>
      </c>
      <c r="M260" s="6" t="str">
        <f>IFERROR(__xludf.DUMMYFUNCTION("""COMPUTED_VALUE"""),"quality")</f>
        <v>quality</v>
      </c>
      <c r="N260" s="6" t="str">
        <f>IFERROR(__xludf.DUMMYFUNCTION("""COMPUTED_VALUE"""),"emerging")</f>
        <v>emerging</v>
      </c>
      <c r="P260" s="6" t="str">
        <f>IFERROR(__xludf.DUMMYFUNCTION("""COMPUTED_VALUE"""),"footage")</f>
        <v>footage</v>
      </c>
      <c r="Q260" s="6" t="str">
        <f>IFERROR(__xludf.DUMMYFUNCTION("""COMPUTED_VALUE"""),"considerable")</f>
        <v>considerable</v>
      </c>
      <c r="S260" s="6" t="str">
        <f>IFERROR(__xludf.DUMMYFUNCTION("""COMPUTED_VALUE"""),"color")</f>
        <v>color</v>
      </c>
    </row>
    <row r="261">
      <c r="D261" s="6"/>
      <c r="G261" s="6" t="str">
        <f>IFERROR(__xludf.DUMMYFUNCTION("""COMPUTED_VALUE"""),"psychological")</f>
        <v>psychological</v>
      </c>
      <c r="H261" s="6" t="str">
        <f>IFERROR(__xludf.DUMMYFUNCTION("""COMPUTED_VALUE"""),"undead")</f>
        <v>undead</v>
      </c>
      <c r="I261" s="6" t="str">
        <f>IFERROR(__xludf.DUMMYFUNCTION("""COMPUTED_VALUE"""),"force")</f>
        <v>force</v>
      </c>
      <c r="J261" s="6" t="str">
        <f>IFERROR(__xludf.DUMMYFUNCTION("""COMPUTED_VALUE"""),"debut")</f>
        <v>debut</v>
      </c>
      <c r="L261" s="6" t="str">
        <f>IFERROR(__xludf.DUMMYFUNCTION("""COMPUTED_VALUE"""),"pulls")</f>
        <v>pulls</v>
      </c>
      <c r="M261" s="6" t="str">
        <f>IFERROR(__xludf.DUMMYFUNCTION("""COMPUTED_VALUE"""),"load")</f>
        <v>load</v>
      </c>
      <c r="N261" s="6" t="str">
        <f>IFERROR(__xludf.DUMMYFUNCTION("""COMPUTED_VALUE"""),"audiences")</f>
        <v>audiences</v>
      </c>
      <c r="P261" s="6" t="str">
        <f>IFERROR(__xludf.DUMMYFUNCTION("""COMPUTED_VALUE"""),"second")</f>
        <v>second</v>
      </c>
      <c r="Q261" s="6" t="str">
        <f>IFERROR(__xludf.DUMMYFUNCTION("""COMPUTED_VALUE"""),"scattered")</f>
        <v>scattered</v>
      </c>
      <c r="S261" s="6" t="str">
        <f>IFERROR(__xludf.DUMMYFUNCTION("""COMPUTED_VALUE"""),"depth")</f>
        <v>depth</v>
      </c>
    </row>
    <row r="262">
      <c r="D262" s="6"/>
      <c r="G262" s="6" t="str">
        <f>IFERROR(__xludf.DUMMYFUNCTION("""COMPUTED_VALUE"""),"dynamics")</f>
        <v>dynamics</v>
      </c>
      <c r="H262" s="6" t="str">
        <f>IFERROR(__xludf.DUMMYFUNCTION("""COMPUTED_VALUE"""),"momentum")</f>
        <v>momentum</v>
      </c>
      <c r="I262" s="6" t="str">
        <f>IFERROR(__xludf.DUMMYFUNCTION("""COMPUTED_VALUE"""),"fury")</f>
        <v>fury</v>
      </c>
      <c r="J262" s="6" t="str">
        <f>IFERROR(__xludf.DUMMYFUNCTION("""COMPUTED_VALUE"""),"behind")</f>
        <v>behind</v>
      </c>
      <c r="L262" s="6" t="str">
        <f>IFERROR(__xludf.DUMMYFUNCTION("""COMPUTED_VALUE"""),"fantasy")</f>
        <v>fantasy</v>
      </c>
      <c r="M262" s="6" t="str">
        <f>IFERROR(__xludf.DUMMYFUNCTION("""COMPUTED_VALUE"""),"nba")</f>
        <v>nba</v>
      </c>
      <c r="N262" s="6" t="str">
        <f>IFERROR(__xludf.DUMMYFUNCTION("""COMPUTED_VALUE"""),"buy")</f>
        <v>buy</v>
      </c>
      <c r="P262" s="6" t="str">
        <f>IFERROR(__xludf.DUMMYFUNCTION("""COMPUTED_VALUE"""),"nomination")</f>
        <v>nomination</v>
      </c>
      <c r="Q262" s="6" t="str">
        <f>IFERROR(__xludf.DUMMYFUNCTION("""COMPUTED_VALUE"""),"fashion")</f>
        <v>fashion</v>
      </c>
      <c r="S262" s="6" t="str">
        <f>IFERROR(__xludf.DUMMYFUNCTION("""COMPUTED_VALUE"""),"able")</f>
        <v>able</v>
      </c>
    </row>
    <row r="263">
      <c r="D263" s="6"/>
      <c r="G263" s="6" t="str">
        <f>IFERROR(__xludf.DUMMYFUNCTION("""COMPUTED_VALUE"""),"actor")</f>
        <v>actor</v>
      </c>
      <c r="H263" s="6" t="str">
        <f>IFERROR(__xludf.DUMMYFUNCTION("""COMPUTED_VALUE"""),"characteristic")</f>
        <v>characteristic</v>
      </c>
      <c r="I263" s="6" t="str">
        <f>IFERROR(__xludf.DUMMYFUNCTION("""COMPUTED_VALUE"""),"wooden")</f>
        <v>wooden</v>
      </c>
      <c r="J263" s="6" t="str">
        <f>IFERROR(__xludf.DUMMYFUNCTION("""COMPUTED_VALUE"""),"fine")</f>
        <v>fine</v>
      </c>
      <c r="L263" s="6" t="str">
        <f>IFERROR(__xludf.DUMMYFUNCTION("""COMPUTED_VALUE"""),"emerging")</f>
        <v>emerging</v>
      </c>
      <c r="M263" s="6" t="str">
        <f>IFERROR(__xludf.DUMMYFUNCTION("""COMPUTED_VALUE"""),"frequently")</f>
        <v>frequently</v>
      </c>
      <c r="N263" s="6" t="str">
        <f>IFERROR(__xludf.DUMMYFUNCTION("""COMPUTED_VALUE"""),"nerve")</f>
        <v>nerve</v>
      </c>
      <c r="P263" s="6" t="str">
        <f>IFERROR(__xludf.DUMMYFUNCTION("""COMPUTED_VALUE"""),"oscar")</f>
        <v>oscar</v>
      </c>
      <c r="Q263" s="6" t="str">
        <f>IFERROR(__xludf.DUMMYFUNCTION("""COMPUTED_VALUE"""),"standards")</f>
        <v>standards</v>
      </c>
      <c r="S263" s="6" t="str">
        <f>IFERROR(__xludf.DUMMYFUNCTION("""COMPUTED_VALUE"""),"hit")</f>
        <v>hit</v>
      </c>
    </row>
    <row r="264">
      <c r="D264" s="6"/>
      <c r="G264" s="6" t="str">
        <f>IFERROR(__xludf.DUMMYFUNCTION("""COMPUTED_VALUE"""),"nicholas")</f>
        <v>nicholas</v>
      </c>
      <c r="H264" s="6" t="str">
        <f>IFERROR(__xludf.DUMMYFUNCTION("""COMPUTED_VALUE"""),"juliette")</f>
        <v>juliette</v>
      </c>
      <c r="I264" s="6" t="str">
        <f>IFERROR(__xludf.DUMMYFUNCTION("""COMPUTED_VALUE"""),"manner")</f>
        <v>manner</v>
      </c>
      <c r="J264" s="6" t="str">
        <f>IFERROR(__xludf.DUMMYFUNCTION("""COMPUTED_VALUE"""),"passages")</f>
        <v>passages</v>
      </c>
      <c r="L264" s="6" t="str">
        <f>IFERROR(__xludf.DUMMYFUNCTION("""COMPUTED_VALUE"""),"audiences")</f>
        <v>audiences</v>
      </c>
      <c r="M264" s="6" t="str">
        <f>IFERROR(__xludf.DUMMYFUNCTION("""COMPUTED_VALUE"""),"striking")</f>
        <v>striking</v>
      </c>
      <c r="N264" s="6" t="str">
        <f>IFERROR(__xludf.DUMMYFUNCTION("""COMPUTED_VALUE"""),"pianist")</f>
        <v>pianist</v>
      </c>
      <c r="P264" s="6" t="str">
        <f>IFERROR(__xludf.DUMMYFUNCTION("""COMPUTED_VALUE"""),"offering")</f>
        <v>offering</v>
      </c>
      <c r="Q264" s="6" t="str">
        <f>IFERROR(__xludf.DUMMYFUNCTION("""COMPUTED_VALUE"""),"backseat")</f>
        <v>backseat</v>
      </c>
      <c r="S264" s="6" t="str">
        <f>IFERROR(__xludf.DUMMYFUNCTION("""COMPUTED_VALUE"""),"day")</f>
        <v>day</v>
      </c>
    </row>
    <row r="265">
      <c r="D265" s="6"/>
      <c r="G265" s="6" t="str">
        <f>IFERROR(__xludf.DUMMYFUNCTION("""COMPUTED_VALUE"""),"optimistic")</f>
        <v>optimistic</v>
      </c>
      <c r="H265" s="6" t="str">
        <f>IFERROR(__xludf.DUMMYFUNCTION("""COMPUTED_VALUE"""),"affecting")</f>
        <v>affecting</v>
      </c>
      <c r="I265" s="6" t="str">
        <f>IFERROR(__xludf.DUMMYFUNCTION("""COMPUTED_VALUE"""),"korean")</f>
        <v>korean</v>
      </c>
      <c r="J265" s="6" t="str">
        <f>IFERROR(__xludf.DUMMYFUNCTION("""COMPUTED_VALUE"""),"fore")</f>
        <v>fore</v>
      </c>
      <c r="L265" s="6" t="str">
        <f>IFERROR(__xludf.DUMMYFUNCTION("""COMPUTED_VALUE"""),"nerve")</f>
        <v>nerve</v>
      </c>
      <c r="M265" s="6" t="str">
        <f>IFERROR(__xludf.DUMMYFUNCTION("""COMPUTED_VALUE"""),"animation")</f>
        <v>animation</v>
      </c>
      <c r="N265" s="6" t="str">
        <f>IFERROR(__xludf.DUMMYFUNCTION("""COMPUTED_VALUE"""),"premise")</f>
        <v>premise</v>
      </c>
      <c r="P265" s="6" t="str">
        <f>IFERROR(__xludf.DUMMYFUNCTION("""COMPUTED_VALUE"""),"norwegian")</f>
        <v>norwegian</v>
      </c>
      <c r="Q265" s="6" t="str">
        <f>IFERROR(__xludf.DUMMYFUNCTION("""COMPUTED_VALUE"""),"mess")</f>
        <v>mess</v>
      </c>
      <c r="S265" s="6" t="str">
        <f>IFERROR(__xludf.DUMMYFUNCTION("""COMPUTED_VALUE"""),"trouble")</f>
        <v>trouble</v>
      </c>
    </row>
    <row r="266">
      <c r="D266" s="6"/>
      <c r="G266" s="6" t="str">
        <f>IFERROR(__xludf.DUMMYFUNCTION("""COMPUTED_VALUE"""),"smarter")</f>
        <v>smarter</v>
      </c>
      <c r="H266" s="6" t="str">
        <f>IFERROR(__xludf.DUMMYFUNCTION("""COMPUTED_VALUE"""),"mira")</f>
        <v>mira</v>
      </c>
      <c r="I266" s="6" t="str">
        <f>IFERROR(__xludf.DUMMYFUNCTION("""COMPUTED_VALUE"""),"complete")</f>
        <v>complete</v>
      </c>
      <c r="J266" s="6" t="str">
        <f>IFERROR(__xludf.DUMMYFUNCTION("""COMPUTED_VALUE"""),"beings")</f>
        <v>beings</v>
      </c>
      <c r="L266" s="6" t="str">
        <f>IFERROR(__xludf.DUMMYFUNCTION("""COMPUTED_VALUE"""),"moonlight")</f>
        <v>moonlight</v>
      </c>
      <c r="M266" s="6" t="str">
        <f>IFERROR(__xludf.DUMMYFUNCTION("""COMPUTED_VALUE"""),"impossible")</f>
        <v>impossible</v>
      </c>
      <c r="N266" s="6" t="str">
        <f>IFERROR(__xludf.DUMMYFUNCTION("""COMPUTED_VALUE"""),"chase")</f>
        <v>chase</v>
      </c>
      <c r="P266" s="6" t="str">
        <f>IFERROR(__xludf.DUMMYFUNCTION("""COMPUTED_VALUE"""),"exercise")</f>
        <v>exercise</v>
      </c>
      <c r="Q266" s="6" t="str">
        <f>IFERROR(__xludf.DUMMYFUNCTION("""COMPUTED_VALUE"""),"flashes")</f>
        <v>flashes</v>
      </c>
      <c r="S266" s="6" t="str">
        <f>IFERROR(__xludf.DUMMYFUNCTION("""COMPUTED_VALUE"""),"narrative")</f>
        <v>narrative</v>
      </c>
    </row>
    <row r="267">
      <c r="D267" s="6"/>
      <c r="G267" s="6" t="str">
        <f>IFERROR(__xludf.DUMMYFUNCTION("""COMPUTED_VALUE"""),"tremendous")</f>
        <v>tremendous</v>
      </c>
      <c r="H267" s="6" t="str">
        <f>IFERROR(__xludf.DUMMYFUNCTION("""COMPUTED_VALUE"""),"limitations")</f>
        <v>limitations</v>
      </c>
      <c r="I267" s="6" t="str">
        <f>IFERROR(__xludf.DUMMYFUNCTION("""COMPUTED_VALUE"""),"modern")</f>
        <v>modern</v>
      </c>
      <c r="J267" s="6" t="str">
        <f>IFERROR(__xludf.DUMMYFUNCTION("""COMPUTED_VALUE"""),"gifted")</f>
        <v>gifted</v>
      </c>
      <c r="L267" s="6" t="str">
        <f>IFERROR(__xludf.DUMMYFUNCTION("""COMPUTED_VALUE"""),"execution")</f>
        <v>execution</v>
      </c>
      <c r="M267" s="6" t="str">
        <f>IFERROR(__xludf.DUMMYFUNCTION("""COMPUTED_VALUE"""),"distinctive")</f>
        <v>distinctive</v>
      </c>
      <c r="N267" s="6" t="str">
        <f>IFERROR(__xludf.DUMMYFUNCTION("""COMPUTED_VALUE"""),"martha")</f>
        <v>martha</v>
      </c>
      <c r="P267" s="6" t="str">
        <f>IFERROR(__xludf.DUMMYFUNCTION("""COMPUTED_VALUE"""),"halfway")</f>
        <v>halfway</v>
      </c>
      <c r="Q267" s="6" t="str">
        <f>IFERROR(__xludf.DUMMYFUNCTION("""COMPUTED_VALUE"""),"reconciliation")</f>
        <v>reconciliation</v>
      </c>
      <c r="S267" s="6" t="str">
        <f>IFERROR(__xludf.DUMMYFUNCTION("""COMPUTED_VALUE"""),"amounts")</f>
        <v>amounts</v>
      </c>
    </row>
    <row r="268">
      <c r="D268" s="6"/>
      <c r="G268" s="6" t="str">
        <f>IFERROR(__xludf.DUMMYFUNCTION("""COMPUTED_VALUE"""),"eddie")</f>
        <v>eddie</v>
      </c>
      <c r="H268" s="6" t="str">
        <f>IFERROR(__xludf.DUMMYFUNCTION("""COMPUTED_VALUE"""),"classical")</f>
        <v>classical</v>
      </c>
      <c r="I268" s="6" t="str">
        <f>IFERROR(__xludf.DUMMYFUNCTION("""COMPUTED_VALUE"""),"sexual")</f>
        <v>sexual</v>
      </c>
      <c r="J268" s="6" t="str">
        <f>IFERROR(__xludf.DUMMYFUNCTION("""COMPUTED_VALUE"""),"contribution")</f>
        <v>contribution</v>
      </c>
      <c r="L268" s="6" t="str">
        <f>IFERROR(__xludf.DUMMYFUNCTION("""COMPUTED_VALUE"""),"pianist")</f>
        <v>pianist</v>
      </c>
      <c r="M268" s="6" t="str">
        <f>IFERROR(__xludf.DUMMYFUNCTION("""COMPUTED_VALUE"""),"desperate")</f>
        <v>desperate</v>
      </c>
      <c r="N268" s="6" t="str">
        <f>IFERROR(__xludf.DUMMYFUNCTION("""COMPUTED_VALUE"""),"rapid")</f>
        <v>rapid</v>
      </c>
      <c r="P268" s="6" t="str">
        <f>IFERROR(__xludf.DUMMYFUNCTION("""COMPUTED_VALUE"""),"beginning")</f>
        <v>beginning</v>
      </c>
      <c r="Q268" s="6" t="str">
        <f>IFERROR(__xludf.DUMMYFUNCTION("""COMPUTED_VALUE"""),"sibling")</f>
        <v>sibling</v>
      </c>
      <c r="S268" s="6" t="str">
        <f>IFERROR(__xludf.DUMMYFUNCTION("""COMPUTED_VALUE"""),"preliminary")</f>
        <v>preliminary</v>
      </c>
    </row>
    <row r="269">
      <c r="D269" s="6"/>
      <c r="G269" s="6" t="str">
        <f>IFERROR(__xludf.DUMMYFUNCTION("""COMPUTED_VALUE"""),"absorbing")</f>
        <v>absorbing</v>
      </c>
      <c r="H269" s="6" t="str">
        <f>IFERROR(__xludf.DUMMYFUNCTION("""COMPUTED_VALUE"""),"successful")</f>
        <v>successful</v>
      </c>
      <c r="I269" s="6" t="str">
        <f>IFERROR(__xludf.DUMMYFUNCTION("""COMPUTED_VALUE"""),"road")</f>
        <v>road</v>
      </c>
      <c r="J269" s="6" t="str">
        <f>IFERROR(__xludf.DUMMYFUNCTION("""COMPUTED_VALUE"""),"receives")</f>
        <v>receives</v>
      </c>
      <c r="L269" s="6" t="str">
        <f>IFERROR(__xludf.DUMMYFUNCTION("""COMPUTED_VALUE"""),"premise")</f>
        <v>premise</v>
      </c>
      <c r="M269" s="6" t="str">
        <f>IFERROR(__xludf.DUMMYFUNCTION("""COMPUTED_VALUE"""),"jackson")</f>
        <v>jackson</v>
      </c>
      <c r="N269" s="6" t="str">
        <f>IFERROR(__xludf.DUMMYFUNCTION("""COMPUTED_VALUE"""),"virtually")</f>
        <v>virtually</v>
      </c>
      <c r="P269" s="6" t="str">
        <f>IFERROR(__xludf.DUMMYFUNCTION("""COMPUTED_VALUE"""),"martial")</f>
        <v>martial</v>
      </c>
      <c r="Q269" s="6" t="str">
        <f>IFERROR(__xludf.DUMMYFUNCTION("""COMPUTED_VALUE"""),"gentle")</f>
        <v>gentle</v>
      </c>
      <c r="S269" s="6" t="str">
        <f>IFERROR(__xludf.DUMMYFUNCTION("""COMPUTED_VALUE"""),"screaming")</f>
        <v>screaming</v>
      </c>
    </row>
    <row r="270">
      <c r="D270" s="6"/>
      <c r="G270" s="6" t="str">
        <f>IFERROR(__xludf.DUMMYFUNCTION("""COMPUTED_VALUE"""),"treatise")</f>
        <v>treatise</v>
      </c>
      <c r="H270" s="6" t="str">
        <f>IFERROR(__xludf.DUMMYFUNCTION("""COMPUTED_VALUE"""),"moving")</f>
        <v>moving</v>
      </c>
      <c r="I270" s="6" t="str">
        <f>IFERROR(__xludf.DUMMYFUNCTION("""COMPUTED_VALUE"""),"politics")</f>
        <v>politics</v>
      </c>
      <c r="J270" s="6" t="str">
        <f>IFERROR(__xludf.DUMMYFUNCTION("""COMPUTED_VALUE"""),"undead")</f>
        <v>undead</v>
      </c>
      <c r="L270" s="6" t="str">
        <f>IFERROR(__xludf.DUMMYFUNCTION("""COMPUTED_VALUE"""),"chase")</f>
        <v>chase</v>
      </c>
      <c r="M270" s="6" t="str">
        <f>IFERROR(__xludf.DUMMYFUNCTION("""COMPUTED_VALUE"""),"visual")</f>
        <v>visual</v>
      </c>
      <c r="N270" s="6" t="str">
        <f>IFERROR(__xludf.DUMMYFUNCTION("""COMPUTED_VALUE"""),"clever")</f>
        <v>clever</v>
      </c>
      <c r="P270" s="6" t="str">
        <f>IFERROR(__xludf.DUMMYFUNCTION("""COMPUTED_VALUE"""),"filmed")</f>
        <v>filmed</v>
      </c>
      <c r="Q270" s="6" t="str">
        <f>IFERROR(__xludf.DUMMYFUNCTION("""COMPUTED_VALUE"""),"script")</f>
        <v>script</v>
      </c>
      <c r="S270" s="6" t="str">
        <f>IFERROR(__xludf.DUMMYFUNCTION("""COMPUTED_VALUE"""),"ii")</f>
        <v>ii</v>
      </c>
    </row>
    <row r="271">
      <c r="D271" s="6"/>
      <c r="G271" s="6" t="str">
        <f>IFERROR(__xludf.DUMMYFUNCTION("""COMPUTED_VALUE"""),"caine")</f>
        <v>caine</v>
      </c>
      <c r="H271" s="6" t="str">
        <f>IFERROR(__xludf.DUMMYFUNCTION("""COMPUTED_VALUE"""),"intelligent")</f>
        <v>intelligent</v>
      </c>
      <c r="I271" s="6" t="str">
        <f>IFERROR(__xludf.DUMMYFUNCTION("""COMPUTED_VALUE"""),"obvious")</f>
        <v>obvious</v>
      </c>
      <c r="J271" s="6" t="str">
        <f>IFERROR(__xludf.DUMMYFUNCTION("""COMPUTED_VALUE"""),"momentum")</f>
        <v>momentum</v>
      </c>
      <c r="L271" s="6" t="str">
        <f>IFERROR(__xludf.DUMMYFUNCTION("""COMPUTED_VALUE"""),"martha")</f>
        <v>martha</v>
      </c>
      <c r="M271" s="6" t="str">
        <f>IFERROR(__xludf.DUMMYFUNCTION("""COMPUTED_VALUE"""),"close")</f>
        <v>close</v>
      </c>
      <c r="N271" s="6" t="str">
        <f>IFERROR(__xludf.DUMMYFUNCTION("""COMPUTED_VALUE"""),"deeper")</f>
        <v>deeper</v>
      </c>
      <c r="P271" s="6" t="str">
        <f>IFERROR(__xludf.DUMMYFUNCTION("""COMPUTED_VALUE"""),"moves")</f>
        <v>moves</v>
      </c>
      <c r="Q271" s="6" t="str">
        <f>IFERROR(__xludf.DUMMYFUNCTION("""COMPUTED_VALUE"""),"ride")</f>
        <v>ride</v>
      </c>
      <c r="S271" s="6" t="str">
        <f>IFERROR(__xludf.DUMMYFUNCTION("""COMPUTED_VALUE"""),"epic")</f>
        <v>epic</v>
      </c>
    </row>
    <row r="272">
      <c r="D272" s="6"/>
      <c r="G272" s="6" t="str">
        <f>IFERROR(__xludf.DUMMYFUNCTION("""COMPUTED_VALUE"""),"dynamic")</f>
        <v>dynamic</v>
      </c>
      <c r="H272" s="6" t="str">
        <f>IFERROR(__xludf.DUMMYFUNCTION("""COMPUTED_VALUE"""),"sequels")</f>
        <v>sequels</v>
      </c>
      <c r="I272" s="6" t="str">
        <f>IFERROR(__xludf.DUMMYFUNCTION("""COMPUTED_VALUE"""),"lived")</f>
        <v>lived</v>
      </c>
      <c r="J272" s="6" t="str">
        <f>IFERROR(__xludf.DUMMYFUNCTION("""COMPUTED_VALUE"""),"characteristic")</f>
        <v>characteristic</v>
      </c>
      <c r="L272" s="6" t="str">
        <f>IFERROR(__xludf.DUMMYFUNCTION("""COMPUTED_VALUE"""),"rapid")</f>
        <v>rapid</v>
      </c>
      <c r="M272" s="6" t="str">
        <f>IFERROR(__xludf.DUMMYFUNCTION("""COMPUTED_VALUE"""),"moral")</f>
        <v>moral</v>
      </c>
      <c r="N272" s="6" t="str">
        <f>IFERROR(__xludf.DUMMYFUNCTION("""COMPUTED_VALUE"""),"rug")</f>
        <v>rug</v>
      </c>
      <c r="P272" s="6" t="str">
        <f>IFERROR(__xludf.DUMMYFUNCTION("""COMPUTED_VALUE"""),"computer")</f>
        <v>computer</v>
      </c>
      <c r="Q272" s="6" t="str">
        <f>IFERROR(__xludf.DUMMYFUNCTION("""COMPUTED_VALUE"""),"predecessors")</f>
        <v>predecessors</v>
      </c>
      <c r="S272" s="6" t="str">
        <f>IFERROR(__xludf.DUMMYFUNCTION("""COMPUTED_VALUE"""),"hardly")</f>
        <v>hardly</v>
      </c>
    </row>
    <row r="273">
      <c r="D273" s="6"/>
      <c r="G273" s="6" t="str">
        <f>IFERROR(__xludf.DUMMYFUNCTION("""COMPUTED_VALUE"""),"changing")</f>
        <v>changing</v>
      </c>
      <c r="H273" s="6" t="str">
        <f>IFERROR(__xludf.DUMMYFUNCTION("""COMPUTED_VALUE"""),"accomplish")</f>
        <v>accomplish</v>
      </c>
      <c r="I273" s="6" t="str">
        <f>IFERROR(__xludf.DUMMYFUNCTION("""COMPUTED_VALUE"""),"stupid")</f>
        <v>stupid</v>
      </c>
      <c r="J273" s="6" t="str">
        <f>IFERROR(__xludf.DUMMYFUNCTION("""COMPUTED_VALUE"""),"affecting")</f>
        <v>affecting</v>
      </c>
      <c r="L273" s="6" t="str">
        <f>IFERROR(__xludf.DUMMYFUNCTION("""COMPUTED_VALUE"""),"virtually")</f>
        <v>virtually</v>
      </c>
      <c r="M273" s="6" t="str">
        <f>IFERROR(__xludf.DUMMYFUNCTION("""COMPUTED_VALUE"""),"adult")</f>
        <v>adult</v>
      </c>
      <c r="N273" s="6" t="str">
        <f>IFERROR(__xludf.DUMMYFUNCTION("""COMPUTED_VALUE"""),"intense")</f>
        <v>intense</v>
      </c>
      <c r="P273" s="6" t="str">
        <f>IFERROR(__xludf.DUMMYFUNCTION("""COMPUTED_VALUE"""),"camera")</f>
        <v>camera</v>
      </c>
      <c r="Q273" s="6" t="str">
        <f>IFERROR(__xludf.DUMMYFUNCTION("""COMPUTED_VALUE"""),"dark")</f>
        <v>dark</v>
      </c>
      <c r="S273" s="6" t="str">
        <f>IFERROR(__xludf.DUMMYFUNCTION("""COMPUTED_VALUE"""),"forces")</f>
        <v>forces</v>
      </c>
    </row>
    <row r="274">
      <c r="D274" s="6"/>
      <c r="G274" s="6" t="str">
        <f>IFERROR(__xludf.DUMMYFUNCTION("""COMPUTED_VALUE"""),"gripping")</f>
        <v>gripping</v>
      </c>
      <c r="H274" s="6" t="str">
        <f>IFERROR(__xludf.DUMMYFUNCTION("""COMPUTED_VALUE"""),"poet")</f>
        <v>poet</v>
      </c>
      <c r="I274" s="6" t="str">
        <f>IFERROR(__xludf.DUMMYFUNCTION("""COMPUTED_VALUE"""),"finally")</f>
        <v>finally</v>
      </c>
      <c r="J274" s="6" t="str">
        <f>IFERROR(__xludf.DUMMYFUNCTION("""COMPUTED_VALUE"""),"mira")</f>
        <v>mira</v>
      </c>
      <c r="L274" s="6" t="str">
        <f>IFERROR(__xludf.DUMMYFUNCTION("""COMPUTED_VALUE"""),"clever")</f>
        <v>clever</v>
      </c>
      <c r="M274" s="6" t="str">
        <f>IFERROR(__xludf.DUMMYFUNCTION("""COMPUTED_VALUE"""),"episodes")</f>
        <v>episodes</v>
      </c>
      <c r="N274" s="6" t="str">
        <f>IFERROR(__xludf.DUMMYFUNCTION("""COMPUTED_VALUE"""),"getting")</f>
        <v>getting</v>
      </c>
      <c r="P274" s="6" t="str">
        <f>IFERROR(__xludf.DUMMYFUNCTION("""COMPUTED_VALUE"""),"stream")</f>
        <v>stream</v>
      </c>
      <c r="Q274" s="6" t="str">
        <f>IFERROR(__xludf.DUMMYFUNCTION("""COMPUTED_VALUE"""),"add")</f>
        <v>add</v>
      </c>
      <c r="S274" s="6" t="str">
        <f>IFERROR(__xludf.DUMMYFUNCTION("""COMPUTED_VALUE"""),"speak")</f>
        <v>speak</v>
      </c>
    </row>
    <row r="275">
      <c r="D275" s="6"/>
      <c r="G275" s="6" t="str">
        <f>IFERROR(__xludf.DUMMYFUNCTION("""COMPUTED_VALUE"""),"startling")</f>
        <v>startling</v>
      </c>
      <c r="H275" s="6" t="str">
        <f>IFERROR(__xludf.DUMMYFUNCTION("""COMPUTED_VALUE"""),"sustain")</f>
        <v>sustain</v>
      </c>
      <c r="I275" s="6" t="str">
        <f>IFERROR(__xludf.DUMMYFUNCTION("""COMPUTED_VALUE"""),"offensive")</f>
        <v>offensive</v>
      </c>
      <c r="J275" s="6" t="str">
        <f>IFERROR(__xludf.DUMMYFUNCTION("""COMPUTED_VALUE"""),"limitations")</f>
        <v>limitations</v>
      </c>
      <c r="L275" s="6" t="str">
        <f>IFERROR(__xludf.DUMMYFUNCTION("""COMPUTED_VALUE"""),"deeper")</f>
        <v>deeper</v>
      </c>
      <c r="M275" s="6" t="str">
        <f>IFERROR(__xludf.DUMMYFUNCTION("""COMPUTED_VALUE"""),"generation")</f>
        <v>generation</v>
      </c>
      <c r="N275" s="6" t="str">
        <f>IFERROR(__xludf.DUMMYFUNCTION("""COMPUTED_VALUE"""),"faithful")</f>
        <v>faithful</v>
      </c>
      <c r="P275" s="6" t="str">
        <f>IFERROR(__xludf.DUMMYFUNCTION("""COMPUTED_VALUE"""),"manufactured")</f>
        <v>manufactured</v>
      </c>
      <c r="Q275" s="6" t="str">
        <f>IFERROR(__xludf.DUMMYFUNCTION("""COMPUTED_VALUE"""),"pacing")</f>
        <v>pacing</v>
      </c>
      <c r="S275" s="6" t="str">
        <f>IFERROR(__xludf.DUMMYFUNCTION("""COMPUTED_VALUE"""),"large")</f>
        <v>large</v>
      </c>
    </row>
    <row r="276">
      <c r="D276" s="6"/>
      <c r="G276" s="6" t="str">
        <f>IFERROR(__xludf.DUMMYFUNCTION("""COMPUTED_VALUE"""),"devoid")</f>
        <v>devoid</v>
      </c>
      <c r="H276" s="6" t="str">
        <f>IFERROR(__xludf.DUMMYFUNCTION("""COMPUTED_VALUE"""),"summer")</f>
        <v>summer</v>
      </c>
      <c r="I276" s="6" t="str">
        <f>IFERROR(__xludf.DUMMYFUNCTION("""COMPUTED_VALUE"""),"loose")</f>
        <v>loose</v>
      </c>
      <c r="J276" s="6" t="str">
        <f>IFERROR(__xludf.DUMMYFUNCTION("""COMPUTED_VALUE"""),"successful")</f>
        <v>successful</v>
      </c>
      <c r="L276" s="6" t="str">
        <f>IFERROR(__xludf.DUMMYFUNCTION("""COMPUTED_VALUE"""),"rug")</f>
        <v>rug</v>
      </c>
      <c r="M276" s="6" t="str">
        <f>IFERROR(__xludf.DUMMYFUNCTION("""COMPUTED_VALUE"""),"constructed")</f>
        <v>constructed</v>
      </c>
      <c r="N276" s="6" t="str">
        <f>IFERROR(__xludf.DUMMYFUNCTION("""COMPUTED_VALUE"""),"innocence")</f>
        <v>innocence</v>
      </c>
      <c r="P276" s="6" t="str">
        <f>IFERROR(__xludf.DUMMYFUNCTION("""COMPUTED_VALUE"""),"performed")</f>
        <v>performed</v>
      </c>
      <c r="Q276" s="6" t="str">
        <f>IFERROR(__xludf.DUMMYFUNCTION("""COMPUTED_VALUE"""),"entirely")</f>
        <v>entirely</v>
      </c>
      <c r="S276" s="6" t="str">
        <f>IFERROR(__xludf.DUMMYFUNCTION("""COMPUTED_VALUE"""),"considerable")</f>
        <v>considerable</v>
      </c>
    </row>
    <row r="277">
      <c r="D277" s="6"/>
      <c r="G277" s="6" t="str">
        <f>IFERROR(__xludf.DUMMYFUNCTION("""COMPUTED_VALUE"""),"fatal")</f>
        <v>fatal</v>
      </c>
      <c r="H277" s="6" t="str">
        <f>IFERROR(__xludf.DUMMYFUNCTION("""COMPUTED_VALUE"""),"filmmaker")</f>
        <v>filmmaker</v>
      </c>
      <c r="I277" s="6" t="str">
        <f>IFERROR(__xludf.DUMMYFUNCTION("""COMPUTED_VALUE"""),"prove")</f>
        <v>prove</v>
      </c>
      <c r="J277" s="6" t="str">
        <f>IFERROR(__xludf.DUMMYFUNCTION("""COMPUTED_VALUE"""),"seeing")</f>
        <v>seeing</v>
      </c>
      <c r="L277" s="6" t="str">
        <f>IFERROR(__xludf.DUMMYFUNCTION("""COMPUTED_VALUE"""),"intense")</f>
        <v>intense</v>
      </c>
      <c r="M277" s="6" t="str">
        <f>IFERROR(__xludf.DUMMYFUNCTION("""COMPUTED_VALUE"""),"impressed")</f>
        <v>impressed</v>
      </c>
      <c r="N277" s="6" t="str">
        <f>IFERROR(__xludf.DUMMYFUNCTION("""COMPUTED_VALUE"""),"hero")</f>
        <v>hero</v>
      </c>
      <c r="P277" s="6" t="str">
        <f>IFERROR(__xludf.DUMMYFUNCTION("""COMPUTED_VALUE"""),"take")</f>
        <v>take</v>
      </c>
      <c r="Q277" s="6" t="str">
        <f>IFERROR(__xludf.DUMMYFUNCTION("""COMPUTED_VALUE"""),"exposure")</f>
        <v>exposure</v>
      </c>
      <c r="S277" s="6" t="str">
        <f>IFERROR(__xludf.DUMMYFUNCTION("""COMPUTED_VALUE"""),"largely")</f>
        <v>largely</v>
      </c>
    </row>
    <row r="278">
      <c r="D278" s="6"/>
      <c r="G278" s="6" t="str">
        <f>IFERROR(__xludf.DUMMYFUNCTION("""COMPUTED_VALUE"""),"surprising")</f>
        <v>surprising</v>
      </c>
      <c r="H278" s="6" t="str">
        <f>IFERROR(__xludf.DUMMYFUNCTION("""COMPUTED_VALUE"""),"ambitious")</f>
        <v>ambitious</v>
      </c>
      <c r="I278" s="6" t="str">
        <f>IFERROR(__xludf.DUMMYFUNCTION("""COMPUTED_VALUE"""),"revealing")</f>
        <v>revealing</v>
      </c>
      <c r="J278" s="6" t="str">
        <f>IFERROR(__xludf.DUMMYFUNCTION("""COMPUTED_VALUE"""),"moving")</f>
        <v>moving</v>
      </c>
      <c r="L278" s="6" t="str">
        <f>IFERROR(__xludf.DUMMYFUNCTION("""COMPUTED_VALUE"""),"getting")</f>
        <v>getting</v>
      </c>
      <c r="M278" s="6" t="str">
        <f>IFERROR(__xludf.DUMMYFUNCTION("""COMPUTED_VALUE"""),"skill")</f>
        <v>skill</v>
      </c>
      <c r="N278" s="6" t="str">
        <f>IFERROR(__xludf.DUMMYFUNCTION("""COMPUTED_VALUE"""),"tackles")</f>
        <v>tackles</v>
      </c>
      <c r="P278" s="6" t="str">
        <f>IFERROR(__xludf.DUMMYFUNCTION("""COMPUTED_VALUE"""),"thanks")</f>
        <v>thanks</v>
      </c>
      <c r="Q278" s="6" t="str">
        <f>IFERROR(__xludf.DUMMYFUNCTION("""COMPUTED_VALUE"""),"breathless")</f>
        <v>breathless</v>
      </c>
      <c r="S278" s="6" t="str">
        <f>IFERROR(__xludf.DUMMYFUNCTION("""COMPUTED_VALUE"""),"fashion")</f>
        <v>fashion</v>
      </c>
    </row>
    <row r="279">
      <c r="D279" s="6"/>
      <c r="G279" s="6" t="str">
        <f>IFERROR(__xludf.DUMMYFUNCTION("""COMPUTED_VALUE"""),"bollywood")</f>
        <v>bollywood</v>
      </c>
      <c r="H279" s="6" t="str">
        <f>IFERROR(__xludf.DUMMYFUNCTION("""COMPUTED_VALUE"""),"taboo")</f>
        <v>taboo</v>
      </c>
      <c r="I279" s="6" t="str">
        <f>IFERROR(__xludf.DUMMYFUNCTION("""COMPUTED_VALUE"""),"done")</f>
        <v>done</v>
      </c>
      <c r="J279" s="6" t="str">
        <f>IFERROR(__xludf.DUMMYFUNCTION("""COMPUTED_VALUE"""),"sequels")</f>
        <v>sequels</v>
      </c>
      <c r="L279" s="6" t="str">
        <f>IFERROR(__xludf.DUMMYFUNCTION("""COMPUTED_VALUE"""),"faithful")</f>
        <v>faithful</v>
      </c>
      <c r="M279" s="6" t="str">
        <f>IFERROR(__xludf.DUMMYFUNCTION("""COMPUTED_VALUE"""),"vampire")</f>
        <v>vampire</v>
      </c>
      <c r="N279" s="6" t="str">
        <f>IFERROR(__xludf.DUMMYFUNCTION("""COMPUTED_VALUE"""),"motion")</f>
        <v>motion</v>
      </c>
      <c r="P279" s="6" t="str">
        <f>IFERROR(__xludf.DUMMYFUNCTION("""COMPUTED_VALUE"""),"desperately")</f>
        <v>desperately</v>
      </c>
      <c r="Q279" s="6" t="str">
        <f>IFERROR(__xludf.DUMMYFUNCTION("""COMPUTED_VALUE"""),"tides")</f>
        <v>tides</v>
      </c>
      <c r="S279" s="6" t="str">
        <f>IFERROR(__xludf.DUMMYFUNCTION("""COMPUTED_VALUE"""),"scattered")</f>
        <v>scattered</v>
      </c>
    </row>
    <row r="280">
      <c r="D280" s="6"/>
      <c r="G280" s="6" t="str">
        <f>IFERROR(__xludf.DUMMYFUNCTION("""COMPUTED_VALUE"""),"profoundly")</f>
        <v>profoundly</v>
      </c>
      <c r="H280" s="6" t="str">
        <f>IFERROR(__xludf.DUMMYFUNCTION("""COMPUTED_VALUE"""),"subject")</f>
        <v>subject</v>
      </c>
      <c r="I280" s="6" t="str">
        <f>IFERROR(__xludf.DUMMYFUNCTION("""COMPUTED_VALUE"""),"pace")</f>
        <v>pace</v>
      </c>
      <c r="J280" s="6" t="str">
        <f>IFERROR(__xludf.DUMMYFUNCTION("""COMPUTED_VALUE"""),"accomplish")</f>
        <v>accomplish</v>
      </c>
      <c r="L280" s="6" t="str">
        <f>IFERROR(__xludf.DUMMYFUNCTION("""COMPUTED_VALUE"""),"innocence")</f>
        <v>innocence</v>
      </c>
      <c r="M280" s="6" t="str">
        <f>IFERROR(__xludf.DUMMYFUNCTION("""COMPUTED_VALUE"""),"determined")</f>
        <v>determined</v>
      </c>
      <c r="N280" s="6" t="str">
        <f>IFERROR(__xludf.DUMMYFUNCTION("""COMPUTED_VALUE"""),"presents")</f>
        <v>presents</v>
      </c>
      <c r="P280" s="6" t="str">
        <f>IFERROR(__xludf.DUMMYFUNCTION("""COMPUTED_VALUE"""),"grow")</f>
        <v>grow</v>
      </c>
      <c r="Q280" s="6" t="str">
        <f>IFERROR(__xludf.DUMMYFUNCTION("""COMPUTED_VALUE"""),"predictable")</f>
        <v>predictable</v>
      </c>
      <c r="S280" s="6" t="str">
        <f>IFERROR(__xludf.DUMMYFUNCTION("""COMPUTED_VALUE"""),"standards")</f>
        <v>standards</v>
      </c>
    </row>
    <row r="281">
      <c r="D281" s="6"/>
      <c r="G281" s="6" t="str">
        <f>IFERROR(__xludf.DUMMYFUNCTION("""COMPUTED_VALUE"""),"cannes")</f>
        <v>cannes</v>
      </c>
      <c r="H281" s="6" t="str">
        <f>IFERROR(__xludf.DUMMYFUNCTION("""COMPUTED_VALUE"""),"interference")</f>
        <v>interference</v>
      </c>
      <c r="I281" s="6" t="str">
        <f>IFERROR(__xludf.DUMMYFUNCTION("""COMPUTED_VALUE"""),"husband")</f>
        <v>husband</v>
      </c>
      <c r="J281" s="6" t="str">
        <f>IFERROR(__xludf.DUMMYFUNCTION("""COMPUTED_VALUE"""),"poet")</f>
        <v>poet</v>
      </c>
      <c r="L281" s="6" t="str">
        <f>IFERROR(__xludf.DUMMYFUNCTION("""COMPUTED_VALUE"""),"hero")</f>
        <v>hero</v>
      </c>
      <c r="M281" s="6" t="str">
        <f>IFERROR(__xludf.DUMMYFUNCTION("""COMPUTED_VALUE"""),"providing")</f>
        <v>providing</v>
      </c>
      <c r="N281" s="6" t="str">
        <f>IFERROR(__xludf.DUMMYFUNCTION("""COMPUTED_VALUE"""),"spielberg")</f>
        <v>spielberg</v>
      </c>
      <c r="P281" s="6" t="str">
        <f>IFERROR(__xludf.DUMMYFUNCTION("""COMPUTED_VALUE"""),"essentially")</f>
        <v>essentially</v>
      </c>
      <c r="Q281" s="6" t="str">
        <f>IFERROR(__xludf.DUMMYFUNCTION("""COMPUTED_VALUE"""),"entertaining")</f>
        <v>entertaining</v>
      </c>
      <c r="S281" s="6" t="str">
        <f>IFERROR(__xludf.DUMMYFUNCTION("""COMPUTED_VALUE"""),"chances")</f>
        <v>chances</v>
      </c>
    </row>
    <row r="282">
      <c r="D282" s="6"/>
      <c r="G282" s="6" t="str">
        <f>IFERROR(__xludf.DUMMYFUNCTION("""COMPUTED_VALUE"""),"understands")</f>
        <v>understands</v>
      </c>
      <c r="H282" s="6" t="str">
        <f>IFERROR(__xludf.DUMMYFUNCTION("""COMPUTED_VALUE"""),"weaknesses")</f>
        <v>weaknesses</v>
      </c>
      <c r="I282" s="6" t="str">
        <f>IFERROR(__xludf.DUMMYFUNCTION("""COMPUTED_VALUE"""),"thrown")</f>
        <v>thrown</v>
      </c>
      <c r="J282" s="6" t="str">
        <f>IFERROR(__xludf.DUMMYFUNCTION("""COMPUTED_VALUE"""),"looking")</f>
        <v>looking</v>
      </c>
      <c r="L282" s="6" t="str">
        <f>IFERROR(__xludf.DUMMYFUNCTION("""COMPUTED_VALUE"""),"keeps")</f>
        <v>keeps</v>
      </c>
      <c r="M282" s="6" t="str">
        <f>IFERROR(__xludf.DUMMYFUNCTION("""COMPUTED_VALUE"""),"spell")</f>
        <v>spell</v>
      </c>
      <c r="N282" s="6" t="str">
        <f>IFERROR(__xludf.DUMMYFUNCTION("""COMPUTED_VALUE"""),"trademark")</f>
        <v>trademark</v>
      </c>
      <c r="P282" s="6" t="str">
        <f>IFERROR(__xludf.DUMMYFUNCTION("""COMPUTED_VALUE"""),"well")</f>
        <v>well</v>
      </c>
      <c r="Q282" s="6" t="str">
        <f>IFERROR(__xludf.DUMMYFUNCTION("""COMPUTED_VALUE"""),"subordinate")</f>
        <v>subordinate</v>
      </c>
      <c r="S282" s="6" t="str">
        <f>IFERROR(__xludf.DUMMYFUNCTION("""COMPUTED_VALUE"""),"actually")</f>
        <v>actually</v>
      </c>
    </row>
    <row r="283">
      <c r="D283" s="6"/>
      <c r="G283" s="6" t="str">
        <f>IFERROR(__xludf.DUMMYFUNCTION("""COMPUTED_VALUE"""),"rises")</f>
        <v>rises</v>
      </c>
      <c r="H283" s="6" t="str">
        <f>IFERROR(__xludf.DUMMYFUNCTION("""COMPUTED_VALUE"""),"overcome")</f>
        <v>overcome</v>
      </c>
      <c r="I283" s="6" t="str">
        <f>IFERROR(__xludf.DUMMYFUNCTION("""COMPUTED_VALUE"""),"darker")</f>
        <v>darker</v>
      </c>
      <c r="J283" s="6" t="str">
        <f>IFERROR(__xludf.DUMMYFUNCTION("""COMPUTED_VALUE"""),"sustain")</f>
        <v>sustain</v>
      </c>
      <c r="L283" s="6" t="str">
        <f>IFERROR(__xludf.DUMMYFUNCTION("""COMPUTED_VALUE"""),"tackles")</f>
        <v>tackles</v>
      </c>
      <c r="M283" s="6" t="str">
        <f>IFERROR(__xludf.DUMMYFUNCTION("""COMPUTED_VALUE"""),"packed")</f>
        <v>packed</v>
      </c>
      <c r="N283" s="6" t="str">
        <f>IFERROR(__xludf.DUMMYFUNCTION("""COMPUTED_VALUE"""),"capable")</f>
        <v>capable</v>
      </c>
      <c r="P283" s="6" t="str">
        <f>IFERROR(__xludf.DUMMYFUNCTION("""COMPUTED_VALUE"""),"elevated")</f>
        <v>elevated</v>
      </c>
      <c r="Q283" s="6" t="str">
        <f>IFERROR(__xludf.DUMMYFUNCTION("""COMPUTED_VALUE"""),"technically")</f>
        <v>technically</v>
      </c>
      <c r="S283" s="6" t="str">
        <f>IFERROR(__xludf.DUMMYFUNCTION("""COMPUTED_VALUE"""),"thing")</f>
        <v>thing</v>
      </c>
    </row>
    <row r="284">
      <c r="D284" s="6"/>
      <c r="G284" s="6" t="str">
        <f>IFERROR(__xludf.DUMMYFUNCTION("""COMPUTED_VALUE"""),"holm")</f>
        <v>holm</v>
      </c>
      <c r="H284" s="6" t="str">
        <f>IFERROR(__xludf.DUMMYFUNCTION("""COMPUTED_VALUE"""),"carmen")</f>
        <v>carmen</v>
      </c>
      <c r="I284" s="6" t="str">
        <f>IFERROR(__xludf.DUMMYFUNCTION("""COMPUTED_VALUE"""),"seeking")</f>
        <v>seeking</v>
      </c>
      <c r="J284" s="6" t="str">
        <f>IFERROR(__xludf.DUMMYFUNCTION("""COMPUTED_VALUE"""),"summer")</f>
        <v>summer</v>
      </c>
      <c r="L284" s="6" t="str">
        <f>IFERROR(__xludf.DUMMYFUNCTION("""COMPUTED_VALUE"""),"grotesque")</f>
        <v>grotesque</v>
      </c>
      <c r="M284" s="6" t="str">
        <f>IFERROR(__xludf.DUMMYFUNCTION("""COMPUTED_VALUE"""),"spite")</f>
        <v>spite</v>
      </c>
      <c r="N284" s="6" t="str">
        <f>IFERROR(__xludf.DUMMYFUNCTION("""COMPUTED_VALUE"""),"stylistic")</f>
        <v>stylistic</v>
      </c>
      <c r="P284" s="6" t="str">
        <f>IFERROR(__xludf.DUMMYFUNCTION("""COMPUTED_VALUE"""),"grant")</f>
        <v>grant</v>
      </c>
      <c r="Q284" s="6" t="str">
        <f>IFERROR(__xludf.DUMMYFUNCTION("""COMPUTED_VALUE"""),"tone")</f>
        <v>tone</v>
      </c>
      <c r="S284" s="6" t="str">
        <f>IFERROR(__xludf.DUMMYFUNCTION("""COMPUTED_VALUE"""),"whole")</f>
        <v>whole</v>
      </c>
    </row>
    <row r="285">
      <c r="D285" s="6"/>
      <c r="G285" s="6" t="str">
        <f>IFERROR(__xludf.DUMMYFUNCTION("""COMPUTED_VALUE"""),"monumental")</f>
        <v>monumental</v>
      </c>
      <c r="H285" s="6" t="str">
        <f>IFERROR(__xludf.DUMMYFUNCTION("""COMPUTED_VALUE"""),"low")</f>
        <v>low</v>
      </c>
      <c r="I285" s="6" t="str">
        <f>IFERROR(__xludf.DUMMYFUNCTION("""COMPUTED_VALUE"""),"submarine")</f>
        <v>submarine</v>
      </c>
      <c r="J285" s="6" t="str">
        <f>IFERROR(__xludf.DUMMYFUNCTION("""COMPUTED_VALUE"""),"filmmaker")</f>
        <v>filmmaker</v>
      </c>
      <c r="L285" s="6" t="str">
        <f>IFERROR(__xludf.DUMMYFUNCTION("""COMPUTED_VALUE"""),"motion")</f>
        <v>motion</v>
      </c>
      <c r="M285" s="6" t="str">
        <f>IFERROR(__xludf.DUMMYFUNCTION("""COMPUTED_VALUE"""),"topic")</f>
        <v>topic</v>
      </c>
      <c r="N285" s="6" t="str">
        <f>IFERROR(__xludf.DUMMYFUNCTION("""COMPUTED_VALUE"""),"daring")</f>
        <v>daring</v>
      </c>
      <c r="P285" s="6" t="str">
        <f>IFERROR(__xludf.DUMMYFUNCTION("""COMPUTED_VALUE"""),"hugh")</f>
        <v>hugh</v>
      </c>
      <c r="Q285" s="6" t="str">
        <f>IFERROR(__xludf.DUMMYFUNCTION("""COMPUTED_VALUE"""),"dim")</f>
        <v>dim</v>
      </c>
      <c r="S285" s="6" t="str">
        <f>IFERROR(__xludf.DUMMYFUNCTION("""COMPUTED_VALUE"""),"mess")</f>
        <v>mess</v>
      </c>
    </row>
    <row r="286">
      <c r="D286" s="6"/>
      <c r="G286" s="6" t="str">
        <f>IFERROR(__xludf.DUMMYFUNCTION("""COMPUTED_VALUE"""),"logic")</f>
        <v>logic</v>
      </c>
      <c r="H286" s="6" t="str">
        <f>IFERROR(__xludf.DUMMYFUNCTION("""COMPUTED_VALUE"""),"ode")</f>
        <v>ode</v>
      </c>
      <c r="I286" s="6" t="str">
        <f>IFERROR(__xludf.DUMMYFUNCTION("""COMPUTED_VALUE"""),"spirit")</f>
        <v>spirit</v>
      </c>
      <c r="J286" s="6" t="str">
        <f>IFERROR(__xludf.DUMMYFUNCTION("""COMPUTED_VALUE"""),"ambitious")</f>
        <v>ambitious</v>
      </c>
      <c r="L286" s="6" t="str">
        <f>IFERROR(__xludf.DUMMYFUNCTION("""COMPUTED_VALUE"""),"spielberg")</f>
        <v>spielberg</v>
      </c>
      <c r="M286" s="6" t="str">
        <f>IFERROR(__xludf.DUMMYFUNCTION("""COMPUTED_VALUE"""),"psychological")</f>
        <v>psychological</v>
      </c>
      <c r="N286" s="6" t="str">
        <f>IFERROR(__xludf.DUMMYFUNCTION("""COMPUTED_VALUE"""),"journey")</f>
        <v>journey</v>
      </c>
      <c r="P286" s="6" t="str">
        <f>IFERROR(__xludf.DUMMYFUNCTION("""COMPUTED_VALUE"""),"stay")</f>
        <v>stay</v>
      </c>
      <c r="Q286" s="6" t="str">
        <f>IFERROR(__xludf.DUMMYFUNCTION("""COMPUTED_VALUE"""),"quivering")</f>
        <v>quivering</v>
      </c>
      <c r="S286" s="6" t="str">
        <f>IFERROR(__xludf.DUMMYFUNCTION("""COMPUTED_VALUE"""),"path")</f>
        <v>path</v>
      </c>
    </row>
    <row r="287">
      <c r="D287" s="6"/>
      <c r="G287" s="6" t="str">
        <f>IFERROR(__xludf.DUMMYFUNCTION("""COMPUTED_VALUE"""),"frantic")</f>
        <v>frantic</v>
      </c>
      <c r="H287" s="6" t="str">
        <f>IFERROR(__xludf.DUMMYFUNCTION("""COMPUTED_VALUE"""),"muttering")</f>
        <v>muttering</v>
      </c>
      <c r="I287" s="6" t="str">
        <f>IFERROR(__xludf.DUMMYFUNCTION("""COMPUTED_VALUE"""),"medium")</f>
        <v>medium</v>
      </c>
      <c r="J287" s="6" t="str">
        <f>IFERROR(__xludf.DUMMYFUNCTION("""COMPUTED_VALUE"""),"taboo")</f>
        <v>taboo</v>
      </c>
      <c r="L287" s="6" t="str">
        <f>IFERROR(__xludf.DUMMYFUNCTION("""COMPUTED_VALUE"""),"trademark")</f>
        <v>trademark</v>
      </c>
      <c r="M287" s="6" t="str">
        <f>IFERROR(__xludf.DUMMYFUNCTION("""COMPUTED_VALUE"""),"starring")</f>
        <v>starring</v>
      </c>
      <c r="N287" s="6" t="str">
        <f>IFERROR(__xludf.DUMMYFUNCTION("""COMPUTED_VALUE"""),"emerge")</f>
        <v>emerge</v>
      </c>
      <c r="P287" s="6" t="str">
        <f>IFERROR(__xludf.DUMMYFUNCTION("""COMPUTED_VALUE"""),"urban")</f>
        <v>urban</v>
      </c>
      <c r="Q287" s="6" t="str">
        <f>IFERROR(__xludf.DUMMYFUNCTION("""COMPUTED_VALUE"""),"term")</f>
        <v>term</v>
      </c>
      <c r="S287" s="6" t="str">
        <f>IFERROR(__xludf.DUMMYFUNCTION("""COMPUTED_VALUE"""),"gentle")</f>
        <v>gentle</v>
      </c>
    </row>
    <row r="288">
      <c r="D288" s="6"/>
      <c r="G288" s="6" t="str">
        <f>IFERROR(__xludf.DUMMYFUNCTION("""COMPUTED_VALUE"""),"amusing")</f>
        <v>amusing</v>
      </c>
      <c r="H288" s="6" t="str">
        <f>IFERROR(__xludf.DUMMYFUNCTION("""COMPUTED_VALUE"""),"walked")</f>
        <v>walked</v>
      </c>
      <c r="I288" s="6" t="str">
        <f>IFERROR(__xludf.DUMMYFUNCTION("""COMPUTED_VALUE"""),"olympic")</f>
        <v>olympic</v>
      </c>
      <c r="J288" s="6" t="str">
        <f>IFERROR(__xludf.DUMMYFUNCTION("""COMPUTED_VALUE"""),"interference")</f>
        <v>interference</v>
      </c>
      <c r="L288" s="6" t="str">
        <f>IFERROR(__xludf.DUMMYFUNCTION("""COMPUTED_VALUE"""),"stylistic")</f>
        <v>stylistic</v>
      </c>
      <c r="M288" s="6" t="str">
        <f>IFERROR(__xludf.DUMMYFUNCTION("""COMPUTED_VALUE"""),"begins")</f>
        <v>begins</v>
      </c>
      <c r="N288" s="6" t="str">
        <f>IFERROR(__xludf.DUMMYFUNCTION("""COMPUTED_VALUE"""),"treats")</f>
        <v>treats</v>
      </c>
      <c r="P288" s="6" t="str">
        <f>IFERROR(__xludf.DUMMYFUNCTION("""COMPUTED_VALUE"""),"brown")</f>
        <v>brown</v>
      </c>
      <c r="Q288" s="6" t="str">
        <f>IFERROR(__xludf.DUMMYFUNCTION("""COMPUTED_VALUE"""),"emotions")</f>
        <v>emotions</v>
      </c>
      <c r="S288" s="6" t="str">
        <f>IFERROR(__xludf.DUMMYFUNCTION("""COMPUTED_VALUE"""),"script")</f>
        <v>script</v>
      </c>
    </row>
    <row r="289">
      <c r="D289" s="6"/>
      <c r="G289" s="6" t="str">
        <f>IFERROR(__xludf.DUMMYFUNCTION("""COMPUTED_VALUE"""),"pulse")</f>
        <v>pulse</v>
      </c>
      <c r="H289" s="6" t="str">
        <f>IFERROR(__xludf.DUMMYFUNCTION("""COMPUTED_VALUE"""),"backward")</f>
        <v>backward</v>
      </c>
      <c r="I289" s="6" t="str">
        <f>IFERROR(__xludf.DUMMYFUNCTION("""COMPUTED_VALUE"""),"claude")</f>
        <v>claude</v>
      </c>
      <c r="J289" s="6" t="str">
        <f>IFERROR(__xludf.DUMMYFUNCTION("""COMPUTED_VALUE"""),"weaknesses")</f>
        <v>weaknesses</v>
      </c>
      <c r="L289" s="6" t="str">
        <f>IFERROR(__xludf.DUMMYFUNCTION("""COMPUTED_VALUE"""),"daring")</f>
        <v>daring</v>
      </c>
      <c r="M289" s="6" t="str">
        <f>IFERROR(__xludf.DUMMYFUNCTION("""COMPUTED_VALUE"""),"actor")</f>
        <v>actor</v>
      </c>
      <c r="N289" s="6" t="str">
        <f>IFERROR(__xludf.DUMMYFUNCTION("""COMPUTED_VALUE"""),"kennedy")</f>
        <v>kennedy</v>
      </c>
      <c r="P289" s="6" t="str">
        <f>IFERROR(__xludf.DUMMYFUNCTION("""COMPUTED_VALUE"""),"lane")</f>
        <v>lane</v>
      </c>
      <c r="Q289" s="6" t="str">
        <f>IFERROR(__xludf.DUMMYFUNCTION("""COMPUTED_VALUE"""),"honest")</f>
        <v>honest</v>
      </c>
      <c r="S289" s="6" t="str">
        <f>IFERROR(__xludf.DUMMYFUNCTION("""COMPUTED_VALUE"""),"expect")</f>
        <v>expect</v>
      </c>
    </row>
    <row r="290">
      <c r="D290" s="6"/>
      <c r="G290" s="6" t="str">
        <f>IFERROR(__xludf.DUMMYFUNCTION("""COMPUTED_VALUE"""),"subconscious")</f>
        <v>subconscious</v>
      </c>
      <c r="H290" s="6" t="str">
        <f>IFERROR(__xludf.DUMMYFUNCTION("""COMPUTED_VALUE"""),"luminous")</f>
        <v>luminous</v>
      </c>
      <c r="I290" s="6" t="str">
        <f>IFERROR(__xludf.DUMMYFUNCTION("""COMPUTED_VALUE"""),"master")</f>
        <v>master</v>
      </c>
      <c r="J290" s="6" t="str">
        <f>IFERROR(__xludf.DUMMYFUNCTION("""COMPUTED_VALUE"""),"ode")</f>
        <v>ode</v>
      </c>
      <c r="L290" s="6" t="str">
        <f>IFERROR(__xludf.DUMMYFUNCTION("""COMPUTED_VALUE"""),"convey")</f>
        <v>convey</v>
      </c>
      <c r="M290" s="6" t="str">
        <f>IFERROR(__xludf.DUMMYFUNCTION("""COMPUTED_VALUE"""),"nicholas")</f>
        <v>nicholas</v>
      </c>
      <c r="N290" s="6" t="str">
        <f>IFERROR(__xludf.DUMMYFUNCTION("""COMPUTED_VALUE"""),"attempt")</f>
        <v>attempt</v>
      </c>
      <c r="P290" s="6" t="str">
        <f>IFERROR(__xludf.DUMMYFUNCTION("""COMPUTED_VALUE"""),"full")</f>
        <v>full</v>
      </c>
      <c r="Q290" s="6" t="str">
        <f>IFERROR(__xludf.DUMMYFUNCTION("""COMPUTED_VALUE"""),"lame")</f>
        <v>lame</v>
      </c>
      <c r="S290" s="6" t="str">
        <f>IFERROR(__xludf.DUMMYFUNCTION("""COMPUTED_VALUE"""),"potentially")</f>
        <v>potentially</v>
      </c>
    </row>
    <row r="291">
      <c r="D291" s="6"/>
      <c r="G291" s="6" t="str">
        <f>IFERROR(__xludf.DUMMYFUNCTION("""COMPUTED_VALUE"""),"stirring")</f>
        <v>stirring</v>
      </c>
      <c r="H291" s="6" t="str">
        <f>IFERROR(__xludf.DUMMYFUNCTION("""COMPUTED_VALUE"""),"interviews")</f>
        <v>interviews</v>
      </c>
      <c r="I291" s="6" t="str">
        <f>IFERROR(__xludf.DUMMYFUNCTION("""COMPUTED_VALUE"""),"screenplay")</f>
        <v>screenplay</v>
      </c>
      <c r="J291" s="6" t="str">
        <f>IFERROR(__xludf.DUMMYFUNCTION("""COMPUTED_VALUE"""),"walked")</f>
        <v>walked</v>
      </c>
      <c r="L291" s="6" t="str">
        <f>IFERROR(__xludf.DUMMYFUNCTION("""COMPUTED_VALUE"""),"journey")</f>
        <v>journey</v>
      </c>
      <c r="M291" s="6" t="str">
        <f>IFERROR(__xludf.DUMMYFUNCTION("""COMPUTED_VALUE"""),"practically")</f>
        <v>practically</v>
      </c>
      <c r="N291" s="6" t="str">
        <f>IFERROR(__xludf.DUMMYFUNCTION("""COMPUTED_VALUE"""),"soundtrack")</f>
        <v>soundtrack</v>
      </c>
      <c r="P291" s="6" t="str">
        <f>IFERROR(__xludf.DUMMYFUNCTION("""COMPUTED_VALUE"""),"celebration")</f>
        <v>celebration</v>
      </c>
      <c r="Q291" s="6" t="str">
        <f>IFERROR(__xludf.DUMMYFUNCTION("""COMPUTED_VALUE"""),"confessions")</f>
        <v>confessions</v>
      </c>
      <c r="S291" s="6" t="str">
        <f>IFERROR(__xludf.DUMMYFUNCTION("""COMPUTED_VALUE"""),"girl")</f>
        <v>girl</v>
      </c>
    </row>
    <row r="292">
      <c r="D292" s="6"/>
      <c r="G292" s="6" t="str">
        <f>IFERROR(__xludf.DUMMYFUNCTION("""COMPUTED_VALUE"""),"struggling")</f>
        <v>struggling</v>
      </c>
      <c r="H292" s="6" t="str">
        <f>IFERROR(__xludf.DUMMYFUNCTION("""COMPUTED_VALUE"""),"lynch")</f>
        <v>lynch</v>
      </c>
      <c r="I292" s="6" t="str">
        <f>IFERROR(__xludf.DUMMYFUNCTION("""COMPUTED_VALUE"""),"tale")</f>
        <v>tale</v>
      </c>
      <c r="J292" s="6" t="str">
        <f>IFERROR(__xludf.DUMMYFUNCTION("""COMPUTED_VALUE"""),"intact")</f>
        <v>intact</v>
      </c>
      <c r="L292" s="6" t="str">
        <f>IFERROR(__xludf.DUMMYFUNCTION("""COMPUTED_VALUE"""),"emerge")</f>
        <v>emerge</v>
      </c>
      <c r="M292" s="6" t="str">
        <f>IFERROR(__xludf.DUMMYFUNCTION("""COMPUTED_VALUE"""),"murphy")</f>
        <v>murphy</v>
      </c>
      <c r="N292" s="6" t="str">
        <f>IFERROR(__xludf.DUMMYFUNCTION("""COMPUTED_VALUE"""),"load")</f>
        <v>load</v>
      </c>
      <c r="P292" s="6" t="str">
        <f>IFERROR(__xludf.DUMMYFUNCTION("""COMPUTED_VALUE"""),"warm")</f>
        <v>warm</v>
      </c>
      <c r="Q292" s="6" t="str">
        <f>IFERROR(__xludf.DUMMYFUNCTION("""COMPUTED_VALUE"""),"london")</f>
        <v>london</v>
      </c>
      <c r="S292" s="6" t="str">
        <f>IFERROR(__xludf.DUMMYFUNCTION("""COMPUTED_VALUE"""),"bar")</f>
        <v>bar</v>
      </c>
    </row>
    <row r="293">
      <c r="D293" s="6"/>
      <c r="G293" s="6" t="str">
        <f>IFERROR(__xludf.DUMMYFUNCTION("""COMPUTED_VALUE"""),"corruption")</f>
        <v>corruption</v>
      </c>
      <c r="H293" s="6" t="str">
        <f>IFERROR(__xludf.DUMMYFUNCTION("""COMPUTED_VALUE"""),"trier")</f>
        <v>trier</v>
      </c>
      <c r="I293" s="6" t="str">
        <f>IFERROR(__xludf.DUMMYFUNCTION("""COMPUTED_VALUE"""),"testament")</f>
        <v>testament</v>
      </c>
      <c r="J293" s="6" t="str">
        <f>IFERROR(__xludf.DUMMYFUNCTION("""COMPUTED_VALUE"""),"backward")</f>
        <v>backward</v>
      </c>
      <c r="L293" s="6" t="str">
        <f>IFERROR(__xludf.DUMMYFUNCTION("""COMPUTED_VALUE"""),"kennedy")</f>
        <v>kennedy</v>
      </c>
      <c r="M293" s="6" t="str">
        <f>IFERROR(__xludf.DUMMYFUNCTION("""COMPUTED_VALUE"""),"eddie")</f>
        <v>eddie</v>
      </c>
      <c r="N293" s="6" t="str">
        <f>IFERROR(__xludf.DUMMYFUNCTION("""COMPUTED_VALUE"""),"frequently")</f>
        <v>frequently</v>
      </c>
      <c r="P293" s="6" t="str">
        <f>IFERROR(__xludf.DUMMYFUNCTION("""COMPUTED_VALUE"""),"bridge")</f>
        <v>bridge</v>
      </c>
      <c r="Q293" s="6" t="str">
        <f>IFERROR(__xludf.DUMMYFUNCTION("""COMPUTED_VALUE"""),"slice")</f>
        <v>slice</v>
      </c>
      <c r="S293" s="6" t="str">
        <f>IFERROR(__xludf.DUMMYFUNCTION("""COMPUTED_VALUE"""),"loaded")</f>
        <v>loaded</v>
      </c>
    </row>
    <row r="294">
      <c r="D294" s="6"/>
      <c r="G294" s="6" t="str">
        <f>IFERROR(__xludf.DUMMYFUNCTION("""COMPUTED_VALUE"""),"christian")</f>
        <v>christian</v>
      </c>
      <c r="H294" s="6" t="str">
        <f>IFERROR(__xludf.DUMMYFUNCTION("""COMPUTED_VALUE"""),"failing")</f>
        <v>failing</v>
      </c>
      <c r="I294" s="6" t="str">
        <f>IFERROR(__xludf.DUMMYFUNCTION("""COMPUTED_VALUE"""),"ability")</f>
        <v>ability</v>
      </c>
      <c r="J294" s="6" t="str">
        <f>IFERROR(__xludf.DUMMYFUNCTION("""COMPUTED_VALUE"""),"luminous")</f>
        <v>luminous</v>
      </c>
      <c r="L294" s="6" t="str">
        <f>IFERROR(__xludf.DUMMYFUNCTION("""COMPUTED_VALUE"""),"assassination")</f>
        <v>assassination</v>
      </c>
      <c r="M294" s="6" t="str">
        <f>IFERROR(__xludf.DUMMYFUNCTION("""COMPUTED_VALUE"""),"writer")</f>
        <v>writer</v>
      </c>
      <c r="N294" s="6" t="str">
        <f>IFERROR(__xludf.DUMMYFUNCTION("""COMPUTED_VALUE"""),"narrator")</f>
        <v>narrator</v>
      </c>
      <c r="P294" s="6" t="str">
        <f>IFERROR(__xludf.DUMMYFUNCTION("""COMPUTED_VALUE"""),"wanting")</f>
        <v>wanting</v>
      </c>
      <c r="Q294" s="6" t="str">
        <f>IFERROR(__xludf.DUMMYFUNCTION("""COMPUTED_VALUE"""),"title")</f>
        <v>title</v>
      </c>
      <c r="S294" s="6" t="str">
        <f>IFERROR(__xludf.DUMMYFUNCTION("""COMPUTED_VALUE"""),"ride")</f>
        <v>ride</v>
      </c>
    </row>
    <row r="295">
      <c r="D295" s="6"/>
      <c r="G295" s="6" t="str">
        <f>IFERROR(__xludf.DUMMYFUNCTION("""COMPUTED_VALUE"""),"leon")</f>
        <v>leon</v>
      </c>
      <c r="H295" s="6" t="str">
        <f>IFERROR(__xludf.DUMMYFUNCTION("""COMPUTED_VALUE"""),"astonishing")</f>
        <v>astonishing</v>
      </c>
      <c r="I295" s="6" t="str">
        <f>IFERROR(__xludf.DUMMYFUNCTION("""COMPUTED_VALUE"""),"report")</f>
        <v>report</v>
      </c>
      <c r="J295" s="6" t="str">
        <f>IFERROR(__xludf.DUMMYFUNCTION("""COMPUTED_VALUE"""),"lynch")</f>
        <v>lynch</v>
      </c>
      <c r="L295" s="6" t="str">
        <f>IFERROR(__xludf.DUMMYFUNCTION("""COMPUTED_VALUE"""),"inspired")</f>
        <v>inspired</v>
      </c>
      <c r="M295" s="6" t="str">
        <f>IFERROR(__xludf.DUMMYFUNCTION("""COMPUTED_VALUE"""),"dynamic")</f>
        <v>dynamic</v>
      </c>
      <c r="N295" s="6" t="str">
        <f>IFERROR(__xludf.DUMMYFUNCTION("""COMPUTED_VALUE"""),"impossible")</f>
        <v>impossible</v>
      </c>
      <c r="P295" s="6" t="str">
        <f>IFERROR(__xludf.DUMMYFUNCTION("""COMPUTED_VALUE"""),"viewers")</f>
        <v>viewers</v>
      </c>
      <c r="Q295" s="6" t="str">
        <f>IFERROR(__xludf.DUMMYFUNCTION("""COMPUTED_VALUE"""),"delightful")</f>
        <v>delightful</v>
      </c>
      <c r="S295" s="6" t="str">
        <f>IFERROR(__xludf.DUMMYFUNCTION("""COMPUTED_VALUE"""),"enjoy")</f>
        <v>enjoy</v>
      </c>
    </row>
    <row r="296">
      <c r="D296" s="6"/>
      <c r="G296" s="6" t="str">
        <f>IFERROR(__xludf.DUMMYFUNCTION("""COMPUTED_VALUE"""),"satirical")</f>
        <v>satirical</v>
      </c>
      <c r="H296" s="6" t="str">
        <f>IFERROR(__xludf.DUMMYFUNCTION("""COMPUTED_VALUE"""),"thrill")</f>
        <v>thrill</v>
      </c>
      <c r="I296" s="6" t="str">
        <f>IFERROR(__xludf.DUMMYFUNCTION("""COMPUTED_VALUE"""),"palestinian")</f>
        <v>palestinian</v>
      </c>
      <c r="J296" s="6" t="str">
        <f>IFERROR(__xludf.DUMMYFUNCTION("""COMPUTED_VALUE"""),"trier")</f>
        <v>trier</v>
      </c>
      <c r="L296" s="6" t="str">
        <f>IFERROR(__xludf.DUMMYFUNCTION("""COMPUTED_VALUE"""),"attempt")</f>
        <v>attempt</v>
      </c>
      <c r="M296" s="6" t="str">
        <f>IFERROR(__xludf.DUMMYFUNCTION("""COMPUTED_VALUE"""),"ultimately")</f>
        <v>ultimately</v>
      </c>
      <c r="N296" s="6" t="str">
        <f>IFERROR(__xludf.DUMMYFUNCTION("""COMPUTED_VALUE"""),"heroine")</f>
        <v>heroine</v>
      </c>
      <c r="P296" s="6" t="str">
        <f>IFERROR(__xludf.DUMMYFUNCTION("""COMPUTED_VALUE"""),"words")</f>
        <v>words</v>
      </c>
      <c r="Q296" s="6" t="str">
        <f>IFERROR(__xludf.DUMMYFUNCTION("""COMPUTED_VALUE"""),"wildlife")</f>
        <v>wildlife</v>
      </c>
      <c r="S296" s="6" t="str">
        <f>IFERROR(__xludf.DUMMYFUNCTION("""COMPUTED_VALUE"""),"dark")</f>
        <v>dark</v>
      </c>
    </row>
    <row r="297">
      <c r="D297" s="6"/>
      <c r="G297" s="6" t="str">
        <f>IFERROR(__xludf.DUMMYFUNCTION("""COMPUTED_VALUE"""),"equivalent")</f>
        <v>equivalent</v>
      </c>
      <c r="H297" s="6" t="str">
        <f>IFERROR(__xludf.DUMMYFUNCTION("""COMPUTED_VALUE"""),"showdown")</f>
        <v>showdown</v>
      </c>
      <c r="I297" s="6" t="str">
        <f>IFERROR(__xludf.DUMMYFUNCTION("""COMPUTED_VALUE"""),"strong")</f>
        <v>strong</v>
      </c>
      <c r="J297" s="6" t="str">
        <f>IFERROR(__xludf.DUMMYFUNCTION("""COMPUTED_VALUE"""),"failing")</f>
        <v>failing</v>
      </c>
      <c r="L297" s="6" t="str">
        <f>IFERROR(__xludf.DUMMYFUNCTION("""COMPUTED_VALUE"""),"soundtrack")</f>
        <v>soundtrack</v>
      </c>
      <c r="M297" s="6" t="str">
        <f>IFERROR(__xludf.DUMMYFUNCTION("""COMPUTED_VALUE"""),"changing")</f>
        <v>changing</v>
      </c>
      <c r="N297" s="6" t="str">
        <f>IFERROR(__xludf.DUMMYFUNCTION("""COMPUTED_VALUE"""),"dramatically")</f>
        <v>dramatically</v>
      </c>
      <c r="P297" s="6" t="str">
        <f>IFERROR(__xludf.DUMMYFUNCTION("""COMPUTED_VALUE"""),"format")</f>
        <v>format</v>
      </c>
      <c r="Q297" s="6" t="str">
        <f>IFERROR(__xludf.DUMMYFUNCTION("""COMPUTED_VALUE"""),"spare")</f>
        <v>spare</v>
      </c>
      <c r="S297" s="6" t="str">
        <f>IFERROR(__xludf.DUMMYFUNCTION("""COMPUTED_VALUE"""),"add")</f>
        <v>add</v>
      </c>
    </row>
    <row r="298">
      <c r="D298" s="6"/>
      <c r="G298" s="6" t="str">
        <f>IFERROR(__xludf.DUMMYFUNCTION("""COMPUTED_VALUE"""),"magnetic")</f>
        <v>magnetic</v>
      </c>
      <c r="H298" s="6" t="str">
        <f>IFERROR(__xludf.DUMMYFUNCTION("""COMPUTED_VALUE"""),"species")</f>
        <v>species</v>
      </c>
      <c r="I298" s="6" t="str">
        <f>IFERROR(__xludf.DUMMYFUNCTION("""COMPUTED_VALUE"""),"dragon")</f>
        <v>dragon</v>
      </c>
      <c r="J298" s="6" t="str">
        <f>IFERROR(__xludf.DUMMYFUNCTION("""COMPUTED_VALUE"""),"thrill")</f>
        <v>thrill</v>
      </c>
      <c r="L298" s="6" t="str">
        <f>IFERROR(__xludf.DUMMYFUNCTION("""COMPUTED_VALUE"""),"striking")</f>
        <v>striking</v>
      </c>
      <c r="M298" s="6" t="str">
        <f>IFERROR(__xludf.DUMMYFUNCTION("""COMPUTED_VALUE"""),"precious")</f>
        <v>precious</v>
      </c>
      <c r="N298" s="6" t="str">
        <f>IFERROR(__xludf.DUMMYFUNCTION("""COMPUTED_VALUE"""),"provocative")</f>
        <v>provocative</v>
      </c>
      <c r="P298" s="6" t="str">
        <f>IFERROR(__xludf.DUMMYFUNCTION("""COMPUTED_VALUE"""),"handsome")</f>
        <v>handsome</v>
      </c>
      <c r="Q298" s="6" t="str">
        <f>IFERROR(__xludf.DUMMYFUNCTION("""COMPUTED_VALUE"""),"structured")</f>
        <v>structured</v>
      </c>
      <c r="S298" s="6" t="str">
        <f>IFERROR(__xludf.DUMMYFUNCTION("""COMPUTED_VALUE"""),"give")</f>
        <v>give</v>
      </c>
    </row>
    <row r="299">
      <c r="D299" s="6"/>
      <c r="G299" s="6" t="str">
        <f>IFERROR(__xludf.DUMMYFUNCTION("""COMPUTED_VALUE"""),"inherent")</f>
        <v>inherent</v>
      </c>
      <c r="H299" s="6" t="str">
        <f>IFERROR(__xludf.DUMMYFUNCTION("""COMPUTED_VALUE"""),"evade")</f>
        <v>evade</v>
      </c>
      <c r="I299" s="6" t="str">
        <f>IFERROR(__xludf.DUMMYFUNCTION("""COMPUTED_VALUE"""),"rodriguez")</f>
        <v>rodriguez</v>
      </c>
      <c r="J299" s="6" t="str">
        <f>IFERROR(__xludf.DUMMYFUNCTION("""COMPUTED_VALUE"""),"soap")</f>
        <v>soap</v>
      </c>
      <c r="L299" s="6" t="str">
        <f>IFERROR(__xludf.DUMMYFUNCTION("""COMPUTED_VALUE"""),"narrator")</f>
        <v>narrator</v>
      </c>
      <c r="M299" s="6" t="str">
        <f>IFERROR(__xludf.DUMMYFUNCTION("""COMPUTED_VALUE"""),"developed")</f>
        <v>developed</v>
      </c>
      <c r="N299" s="6" t="str">
        <f>IFERROR(__xludf.DUMMYFUNCTION("""COMPUTED_VALUE"""),"distinctive")</f>
        <v>distinctive</v>
      </c>
      <c r="P299" s="6" t="str">
        <f>IFERROR(__xludf.DUMMYFUNCTION("""COMPUTED_VALUE"""),"drama")</f>
        <v>drama</v>
      </c>
      <c r="Q299" s="6" t="str">
        <f>IFERROR(__xludf.DUMMYFUNCTION("""COMPUTED_VALUE"""),"adventurous")</f>
        <v>adventurous</v>
      </c>
      <c r="S299" s="6" t="str">
        <f>IFERROR(__xludf.DUMMYFUNCTION("""COMPUTED_VALUE"""),"entirely")</f>
        <v>entirely</v>
      </c>
    </row>
    <row r="300">
      <c r="D300" s="6"/>
      <c r="G300" s="6" t="str">
        <f>IFERROR(__xludf.DUMMYFUNCTION("""COMPUTED_VALUE"""),"ghosts")</f>
        <v>ghosts</v>
      </c>
      <c r="H300" s="6" t="str">
        <f>IFERROR(__xludf.DUMMYFUNCTION("""COMPUTED_VALUE"""),"enjoyable")</f>
        <v>enjoyable</v>
      </c>
      <c r="I300" s="6" t="str">
        <f>IFERROR(__xludf.DUMMYFUNCTION("""COMPUTED_VALUE"""),"purpose")</f>
        <v>purpose</v>
      </c>
      <c r="J300" s="6" t="str">
        <f>IFERROR(__xludf.DUMMYFUNCTION("""COMPUTED_VALUE"""),"showdown")</f>
        <v>showdown</v>
      </c>
      <c r="L300" s="6" t="str">
        <f>IFERROR(__xludf.DUMMYFUNCTION("""COMPUTED_VALUE"""),"animation")</f>
        <v>animation</v>
      </c>
      <c r="M300" s="6" t="str">
        <f>IFERROR(__xludf.DUMMYFUNCTION("""COMPUTED_VALUE"""),"vincent")</f>
        <v>vincent</v>
      </c>
      <c r="N300" s="6" t="str">
        <f>IFERROR(__xludf.DUMMYFUNCTION("""COMPUTED_VALUE"""),"demonstrate")</f>
        <v>demonstrate</v>
      </c>
      <c r="P300" s="6" t="str">
        <f>IFERROR(__xludf.DUMMYFUNCTION("""COMPUTED_VALUE"""),"either")</f>
        <v>either</v>
      </c>
      <c r="Q300" s="6" t="str">
        <f>IFERROR(__xludf.DUMMYFUNCTION("""COMPUTED_VALUE"""),"toward")</f>
        <v>toward</v>
      </c>
      <c r="S300" s="6" t="str">
        <f>IFERROR(__xludf.DUMMYFUNCTION("""COMPUTED_VALUE"""),"exposure")</f>
        <v>exposure</v>
      </c>
    </row>
    <row r="301">
      <c r="D301" s="6"/>
      <c r="G301" s="6" t="str">
        <f>IFERROR(__xludf.DUMMYFUNCTION("""COMPUTED_VALUE"""),"suitable")</f>
        <v>suitable</v>
      </c>
      <c r="H301" s="6" t="str">
        <f>IFERROR(__xludf.DUMMYFUNCTION("""COMPUTED_VALUE"""),"purely")</f>
        <v>purely</v>
      </c>
      <c r="I301" s="6" t="str">
        <f>IFERROR(__xludf.DUMMYFUNCTION("""COMPUTED_VALUE"""),"commercial")</f>
        <v>commercial</v>
      </c>
      <c r="J301" s="6" t="str">
        <f>IFERROR(__xludf.DUMMYFUNCTION("""COMPUTED_VALUE"""),"species")</f>
        <v>species</v>
      </c>
      <c r="L301" s="6" t="str">
        <f>IFERROR(__xludf.DUMMYFUNCTION("""COMPUTED_VALUE"""),"impossible")</f>
        <v>impossible</v>
      </c>
      <c r="M301" s="6" t="str">
        <f>IFERROR(__xludf.DUMMYFUNCTION("""COMPUTED_VALUE"""),"focused")</f>
        <v>focused</v>
      </c>
      <c r="N301" s="6" t="str">
        <f>IFERROR(__xludf.DUMMYFUNCTION("""COMPUTED_VALUE"""),"blown")</f>
        <v>blown</v>
      </c>
      <c r="P301" s="6" t="str">
        <f>IFERROR(__xludf.DUMMYFUNCTION("""COMPUTED_VALUE"""),"debut")</f>
        <v>debut</v>
      </c>
      <c r="Q301" s="6" t="str">
        <f>IFERROR(__xludf.DUMMYFUNCTION("""COMPUTED_VALUE"""),"indian")</f>
        <v>indian</v>
      </c>
      <c r="S301" s="6" t="str">
        <f>IFERROR(__xludf.DUMMYFUNCTION("""COMPUTED_VALUE"""),"things")</f>
        <v>things</v>
      </c>
    </row>
    <row r="302">
      <c r="D302" s="6"/>
      <c r="G302" s="6" t="str">
        <f>IFERROR(__xludf.DUMMYFUNCTION("""COMPUTED_VALUE"""),"magic")</f>
        <v>magic</v>
      </c>
      <c r="H302" s="6" t="str">
        <f>IFERROR(__xludf.DUMMYFUNCTION("""COMPUTED_VALUE"""),"question")</f>
        <v>question</v>
      </c>
      <c r="I302" s="6" t="str">
        <f>IFERROR(__xludf.DUMMYFUNCTION("""COMPUTED_VALUE"""),"reality")</f>
        <v>reality</v>
      </c>
      <c r="J302" s="6" t="str">
        <f>IFERROR(__xludf.DUMMYFUNCTION("""COMPUTED_VALUE"""),"evade")</f>
        <v>evade</v>
      </c>
      <c r="L302" s="6" t="str">
        <f>IFERROR(__xludf.DUMMYFUNCTION("""COMPUTED_VALUE"""),"heroine")</f>
        <v>heroine</v>
      </c>
      <c r="M302" s="6" t="str">
        <f>IFERROR(__xludf.DUMMYFUNCTION("""COMPUTED_VALUE"""),"rises")</f>
        <v>rises</v>
      </c>
      <c r="N302" s="6" t="str">
        <f>IFERROR(__xludf.DUMMYFUNCTION("""COMPUTED_VALUE"""),"visual")</f>
        <v>visual</v>
      </c>
      <c r="P302" s="6" t="str">
        <f>IFERROR(__xludf.DUMMYFUNCTION("""COMPUTED_VALUE"""),"mainly")</f>
        <v>mainly</v>
      </c>
      <c r="Q302" s="6" t="str">
        <f>IFERROR(__xludf.DUMMYFUNCTION("""COMPUTED_VALUE"""),"schumacher")</f>
        <v>schumacher</v>
      </c>
      <c r="S302" s="6" t="str">
        <f>IFERROR(__xludf.DUMMYFUNCTION("""COMPUTED_VALUE"""),"significantly")</f>
        <v>significantly</v>
      </c>
    </row>
    <row r="303">
      <c r="D303" s="6"/>
      <c r="G303" s="6" t="str">
        <f>IFERROR(__xludf.DUMMYFUNCTION("""COMPUTED_VALUE"""),"vulgar")</f>
        <v>vulgar</v>
      </c>
      <c r="H303" s="6" t="str">
        <f>IFERROR(__xludf.DUMMYFUNCTION("""COMPUTED_VALUE"""),"failure")</f>
        <v>failure</v>
      </c>
      <c r="I303" s="6" t="str">
        <f>IFERROR(__xludf.DUMMYFUNCTION("""COMPUTED_VALUE"""),"whatever")</f>
        <v>whatever</v>
      </c>
      <c r="J303" s="6" t="str">
        <f>IFERROR(__xludf.DUMMYFUNCTION("""COMPUTED_VALUE"""),"tv")</f>
        <v>tv</v>
      </c>
      <c r="L303" s="6" t="str">
        <f>IFERROR(__xludf.DUMMYFUNCTION("""COMPUTED_VALUE"""),"dramatically")</f>
        <v>dramatically</v>
      </c>
      <c r="M303" s="6" t="str">
        <f>IFERROR(__xludf.DUMMYFUNCTION("""COMPUTED_VALUE"""),"harry")</f>
        <v>harry</v>
      </c>
      <c r="N303" s="6" t="str">
        <f>IFERROR(__xludf.DUMMYFUNCTION("""COMPUTED_VALUE"""),"close")</f>
        <v>close</v>
      </c>
      <c r="P303" s="6" t="str">
        <f>IFERROR(__xludf.DUMMYFUNCTION("""COMPUTED_VALUE"""),"fine")</f>
        <v>fine</v>
      </c>
      <c r="Q303" s="6" t="str">
        <f>IFERROR(__xludf.DUMMYFUNCTION("""COMPUTED_VALUE"""),"shallow")</f>
        <v>shallow</v>
      </c>
      <c r="S303" s="6" t="str">
        <f>IFERROR(__xludf.DUMMYFUNCTION("""COMPUTED_VALUE"""),"professional")</f>
        <v>professional</v>
      </c>
    </row>
    <row r="304">
      <c r="D304" s="6"/>
      <c r="G304" s="6" t="str">
        <f>IFERROR(__xludf.DUMMYFUNCTION("""COMPUTED_VALUE"""),"cartoons")</f>
        <v>cartoons</v>
      </c>
      <c r="H304" s="6" t="str">
        <f>IFERROR(__xludf.DUMMYFUNCTION("""COMPUTED_VALUE"""),"suffering")</f>
        <v>suffering</v>
      </c>
      <c r="I304" s="6" t="str">
        <f>IFERROR(__xludf.DUMMYFUNCTION("""COMPUTED_VALUE"""),"bombs")</f>
        <v>bombs</v>
      </c>
      <c r="J304" s="6" t="str">
        <f>IFERROR(__xludf.DUMMYFUNCTION("""COMPUTED_VALUE"""),"purely")</f>
        <v>purely</v>
      </c>
      <c r="L304" s="6" t="str">
        <f>IFERROR(__xludf.DUMMYFUNCTION("""COMPUTED_VALUE"""),"provocative")</f>
        <v>provocative</v>
      </c>
      <c r="M304" s="6" t="str">
        <f>IFERROR(__xludf.DUMMYFUNCTION("""COMPUTED_VALUE"""),"logic")</f>
        <v>logic</v>
      </c>
      <c r="N304" s="6" t="str">
        <f>IFERROR(__xludf.DUMMYFUNCTION("""COMPUTED_VALUE"""),"grounded")</f>
        <v>grounded</v>
      </c>
      <c r="P304" s="6" t="str">
        <f>IFERROR(__xludf.DUMMYFUNCTION("""COMPUTED_VALUE"""),"aimed")</f>
        <v>aimed</v>
      </c>
      <c r="Q304" s="6" t="str">
        <f>IFERROR(__xludf.DUMMYFUNCTION("""COMPUTED_VALUE"""),"targeted")</f>
        <v>targeted</v>
      </c>
      <c r="S304" s="6" t="str">
        <f>IFERROR(__xludf.DUMMYFUNCTION("""COMPUTED_VALUE"""),"smooth")</f>
        <v>smooth</v>
      </c>
    </row>
    <row r="305">
      <c r="D305" s="6"/>
      <c r="G305" s="6" t="str">
        <f>IFERROR(__xludf.DUMMYFUNCTION("""COMPUTED_VALUE"""),"transporting")</f>
        <v>transporting</v>
      </c>
      <c r="H305" s="6" t="str">
        <f>IFERROR(__xludf.DUMMYFUNCTION("""COMPUTED_VALUE"""),"powerful")</f>
        <v>powerful</v>
      </c>
      <c r="I305" s="6" t="str">
        <f>IFERROR(__xludf.DUMMYFUNCTION("""COMPUTED_VALUE"""),"stories")</f>
        <v>stories</v>
      </c>
      <c r="J305" s="6" t="str">
        <f>IFERROR(__xludf.DUMMYFUNCTION("""COMPUTED_VALUE"""),"question")</f>
        <v>question</v>
      </c>
      <c r="L305" s="6" t="str">
        <f>IFERROR(__xludf.DUMMYFUNCTION("""COMPUTED_VALUE"""),"distinctive")</f>
        <v>distinctive</v>
      </c>
      <c r="M305" s="6" t="str">
        <f>IFERROR(__xludf.DUMMYFUNCTION("""COMPUTED_VALUE"""),"attempts")</f>
        <v>attempts</v>
      </c>
      <c r="N305" s="6" t="str">
        <f>IFERROR(__xludf.DUMMYFUNCTION("""COMPUTED_VALUE"""),"adult")</f>
        <v>adult</v>
      </c>
      <c r="P305" s="6" t="str">
        <f>IFERROR(__xludf.DUMMYFUNCTION("""COMPUTED_VALUE"""),"seats")</f>
        <v>seats</v>
      </c>
      <c r="Q305" s="6" t="str">
        <f>IFERROR(__xludf.DUMMYFUNCTION("""COMPUTED_VALUE"""),"carnage")</f>
        <v>carnage</v>
      </c>
      <c r="S305" s="6" t="str">
        <f>IFERROR(__xludf.DUMMYFUNCTION("""COMPUTED_VALUE"""),"change")</f>
        <v>change</v>
      </c>
    </row>
    <row r="306">
      <c r="D306" s="6"/>
      <c r="G306" s="6" t="str">
        <f>IFERROR(__xludf.DUMMYFUNCTION("""COMPUTED_VALUE"""),"belongs")</f>
        <v>belongs</v>
      </c>
      <c r="H306" s="6" t="str">
        <f>IFERROR(__xludf.DUMMYFUNCTION("""COMPUTED_VALUE"""),"cinematography")</f>
        <v>cinematography</v>
      </c>
      <c r="I306" s="6" t="str">
        <f>IFERROR(__xludf.DUMMYFUNCTION("""COMPUTED_VALUE"""),"surface")</f>
        <v>surface</v>
      </c>
      <c r="J306" s="6" t="str">
        <f>IFERROR(__xludf.DUMMYFUNCTION("""COMPUTED_VALUE"""),"failure")</f>
        <v>failure</v>
      </c>
      <c r="L306" s="6" t="str">
        <f>IFERROR(__xludf.DUMMYFUNCTION("""COMPUTED_VALUE"""),"demonstrate")</f>
        <v>demonstrate</v>
      </c>
      <c r="M306" s="6" t="str">
        <f>IFERROR(__xludf.DUMMYFUNCTION("""COMPUTED_VALUE"""),"pulse")</f>
        <v>pulse</v>
      </c>
      <c r="N306" s="6" t="str">
        <f>IFERROR(__xludf.DUMMYFUNCTION("""COMPUTED_VALUE"""),"episodes")</f>
        <v>episodes</v>
      </c>
      <c r="P306" s="6" t="str">
        <f>IFERROR(__xludf.DUMMYFUNCTION("""COMPUTED_VALUE"""),"kids")</f>
        <v>kids</v>
      </c>
      <c r="Q306" s="6" t="str">
        <f>IFERROR(__xludf.DUMMYFUNCTION("""COMPUTED_VALUE"""),"footage")</f>
        <v>footage</v>
      </c>
      <c r="S306" s="6" t="str">
        <f>IFERROR(__xludf.DUMMYFUNCTION("""COMPUTED_VALUE"""),"tone")</f>
        <v>tone</v>
      </c>
    </row>
    <row r="307">
      <c r="D307" s="6"/>
      <c r="G307" s="6" t="str">
        <f>IFERROR(__xludf.DUMMYFUNCTION("""COMPUTED_VALUE"""),"diversion")</f>
        <v>diversion</v>
      </c>
      <c r="H307" s="6" t="str">
        <f>IFERROR(__xludf.DUMMYFUNCTION("""COMPUTED_VALUE"""),"making")</f>
        <v>making</v>
      </c>
      <c r="I307" s="6" t="str">
        <f>IFERROR(__xludf.DUMMYFUNCTION("""COMPUTED_VALUE"""),"machine")</f>
        <v>machine</v>
      </c>
      <c r="J307" s="6" t="str">
        <f>IFERROR(__xludf.DUMMYFUNCTION("""COMPUTED_VALUE"""),"suffering")</f>
        <v>suffering</v>
      </c>
      <c r="L307" s="6" t="str">
        <f>IFERROR(__xludf.DUMMYFUNCTION("""COMPUTED_VALUE"""),"blown")</f>
        <v>blown</v>
      </c>
      <c r="M307" s="6" t="str">
        <f>IFERROR(__xludf.DUMMYFUNCTION("""COMPUTED_VALUE"""),"struggling")</f>
        <v>struggling</v>
      </c>
      <c r="N307" s="6" t="str">
        <f>IFERROR(__xludf.DUMMYFUNCTION("""COMPUTED_VALUE"""),"amused")</f>
        <v>amused</v>
      </c>
      <c r="P307" s="6" t="str">
        <f>IFERROR(__xludf.DUMMYFUNCTION("""COMPUTED_VALUE"""),"observation")</f>
        <v>observation</v>
      </c>
      <c r="Q307" s="6" t="str">
        <f>IFERROR(__xludf.DUMMYFUNCTION("""COMPUTED_VALUE"""),"fiddle")</f>
        <v>fiddle</v>
      </c>
      <c r="S307" s="6" t="str">
        <f>IFERROR(__xludf.DUMMYFUNCTION("""COMPUTED_VALUE"""),"beat")</f>
        <v>beat</v>
      </c>
    </row>
    <row r="308">
      <c r="D308" s="6"/>
      <c r="G308" s="6" t="str">
        <f>IFERROR(__xludf.DUMMYFUNCTION("""COMPUTED_VALUE"""),"opaque")</f>
        <v>opaque</v>
      </c>
      <c r="H308" s="6" t="str">
        <f>IFERROR(__xludf.DUMMYFUNCTION("""COMPUTED_VALUE"""),"needs")</f>
        <v>needs</v>
      </c>
      <c r="I308" s="6" t="str">
        <f>IFERROR(__xludf.DUMMYFUNCTION("""COMPUTED_VALUE"""),"means")</f>
        <v>means</v>
      </c>
      <c r="J308" s="6" t="str">
        <f>IFERROR(__xludf.DUMMYFUNCTION("""COMPUTED_VALUE"""),"powerful")</f>
        <v>powerful</v>
      </c>
      <c r="L308" s="6" t="str">
        <f>IFERROR(__xludf.DUMMYFUNCTION("""COMPUTED_VALUE"""),"jackson")</f>
        <v>jackson</v>
      </c>
      <c r="M308" s="6" t="str">
        <f>IFERROR(__xludf.DUMMYFUNCTION("""COMPUTED_VALUE"""),"pointed")</f>
        <v>pointed</v>
      </c>
      <c r="N308" s="6" t="str">
        <f>IFERROR(__xludf.DUMMYFUNCTION("""COMPUTED_VALUE"""),"constructed")</f>
        <v>constructed</v>
      </c>
      <c r="P308" s="6" t="str">
        <f>IFERROR(__xludf.DUMMYFUNCTION("""COMPUTED_VALUE"""),"girls")</f>
        <v>girls</v>
      </c>
      <c r="Q308" s="6" t="str">
        <f>IFERROR(__xludf.DUMMYFUNCTION("""COMPUTED_VALUE"""),"second")</f>
        <v>second</v>
      </c>
      <c r="S308" s="6" t="str">
        <f>IFERROR(__xludf.DUMMYFUNCTION("""COMPUTED_VALUE"""),"inside")</f>
        <v>inside</v>
      </c>
    </row>
    <row r="309">
      <c r="D309" s="6"/>
      <c r="G309" s="6" t="str">
        <f>IFERROR(__xludf.DUMMYFUNCTION("""COMPUTED_VALUE"""),"finest")</f>
        <v>finest</v>
      </c>
      <c r="H309" s="6" t="str">
        <f>IFERROR(__xludf.DUMMYFUNCTION("""COMPUTED_VALUE"""),"surreal")</f>
        <v>surreal</v>
      </c>
      <c r="I309" s="6" t="str">
        <f>IFERROR(__xludf.DUMMYFUNCTION("""COMPUTED_VALUE"""),"situation")</f>
        <v>situation</v>
      </c>
      <c r="J309" s="6" t="str">
        <f>IFERROR(__xludf.DUMMYFUNCTION("""COMPUTED_VALUE"""),"cinematography")</f>
        <v>cinematography</v>
      </c>
      <c r="L309" s="6" t="str">
        <f>IFERROR(__xludf.DUMMYFUNCTION("""COMPUTED_VALUE"""),"visual")</f>
        <v>visual</v>
      </c>
      <c r="M309" s="6" t="str">
        <f>IFERROR(__xludf.DUMMYFUNCTION("""COMPUTED_VALUE"""),"christian")</f>
        <v>christian</v>
      </c>
      <c r="N309" s="6" t="str">
        <f>IFERROR(__xludf.DUMMYFUNCTION("""COMPUTED_VALUE"""),"scenario")</f>
        <v>scenario</v>
      </c>
      <c r="P309" s="6" t="str">
        <f>IFERROR(__xludf.DUMMYFUNCTION("""COMPUTED_VALUE"""),"beings")</f>
        <v>beings</v>
      </c>
      <c r="Q309" s="6" t="str">
        <f>IFERROR(__xludf.DUMMYFUNCTION("""COMPUTED_VALUE"""),"nomination")</f>
        <v>nomination</v>
      </c>
      <c r="S309" s="6" t="str">
        <f>IFERROR(__xludf.DUMMYFUNCTION("""COMPUTED_VALUE"""),"term")</f>
        <v>term</v>
      </c>
    </row>
    <row r="310">
      <c r="D310" s="6"/>
      <c r="G310" s="6" t="str">
        <f>IFERROR(__xludf.DUMMYFUNCTION("""COMPUTED_VALUE"""),"reel")</f>
        <v>reel</v>
      </c>
      <c r="H310" s="6" t="str">
        <f>IFERROR(__xludf.DUMMYFUNCTION("""COMPUTED_VALUE"""),"chateau")</f>
        <v>chateau</v>
      </c>
      <c r="I310" s="6" t="str">
        <f>IFERROR(__xludf.DUMMYFUNCTION("""COMPUTED_VALUE"""),"responsible")</f>
        <v>responsible</v>
      </c>
      <c r="J310" s="6" t="str">
        <f>IFERROR(__xludf.DUMMYFUNCTION("""COMPUTED_VALUE"""),"surreal")</f>
        <v>surreal</v>
      </c>
      <c r="L310" s="6" t="str">
        <f>IFERROR(__xludf.DUMMYFUNCTION("""COMPUTED_VALUE"""),"close")</f>
        <v>close</v>
      </c>
      <c r="M310" s="6" t="str">
        <f>IFERROR(__xludf.DUMMYFUNCTION("""COMPUTED_VALUE"""),"political")</f>
        <v>political</v>
      </c>
      <c r="N310" s="6" t="str">
        <f>IFERROR(__xludf.DUMMYFUNCTION("""COMPUTED_VALUE"""),"skill")</f>
        <v>skill</v>
      </c>
      <c r="P310" s="6" t="str">
        <f>IFERROR(__xludf.DUMMYFUNCTION("""COMPUTED_VALUE"""),"players")</f>
        <v>players</v>
      </c>
      <c r="Q310" s="6" t="str">
        <f>IFERROR(__xludf.DUMMYFUNCTION("""COMPUTED_VALUE"""),"offering")</f>
        <v>offering</v>
      </c>
      <c r="S310" s="6" t="str">
        <f>IFERROR(__xludf.DUMMYFUNCTION("""COMPUTED_VALUE"""),"respect")</f>
        <v>respect</v>
      </c>
    </row>
    <row r="311">
      <c r="D311" s="6"/>
      <c r="G311" s="6" t="str">
        <f>IFERROR(__xludf.DUMMYFUNCTION("""COMPUTED_VALUE"""),"friendship")</f>
        <v>friendship</v>
      </c>
      <c r="H311" s="6" t="str">
        <f>IFERROR(__xludf.DUMMYFUNCTION("""COMPUTED_VALUE"""),"passion")</f>
        <v>passion</v>
      </c>
      <c r="I311" s="6" t="str">
        <f>IFERROR(__xludf.DUMMYFUNCTION("""COMPUTED_VALUE"""),"darkness")</f>
        <v>darkness</v>
      </c>
      <c r="J311" s="6" t="str">
        <f>IFERROR(__xludf.DUMMYFUNCTION("""COMPUTED_VALUE"""),"passion")</f>
        <v>passion</v>
      </c>
      <c r="L311" s="6" t="str">
        <f>IFERROR(__xludf.DUMMYFUNCTION("""COMPUTED_VALUE"""),"monty")</f>
        <v>monty</v>
      </c>
      <c r="M311" s="6" t="str">
        <f>IFERROR(__xludf.DUMMYFUNCTION("""COMPUTED_VALUE"""),"corruption")</f>
        <v>corruption</v>
      </c>
      <c r="N311" s="6" t="str">
        <f>IFERROR(__xludf.DUMMYFUNCTION("""COMPUTED_VALUE"""),"vampire")</f>
        <v>vampire</v>
      </c>
      <c r="P311" s="6" t="str">
        <f>IFERROR(__xludf.DUMMYFUNCTION("""COMPUTED_VALUE"""),"made")</f>
        <v>made</v>
      </c>
      <c r="Q311" s="6" t="str">
        <f>IFERROR(__xludf.DUMMYFUNCTION("""COMPUTED_VALUE"""),"kahn")</f>
        <v>kahn</v>
      </c>
      <c r="S311" s="6" t="str">
        <f>IFERROR(__xludf.DUMMYFUNCTION("""COMPUTED_VALUE"""),"showing")</f>
        <v>showing</v>
      </c>
    </row>
    <row r="312">
      <c r="D312" s="6"/>
      <c r="G312" s="6" t="str">
        <f>IFERROR(__xludf.DUMMYFUNCTION("""COMPUTED_VALUE"""),"creates")</f>
        <v>creates</v>
      </c>
      <c r="H312" s="6" t="str">
        <f>IFERROR(__xludf.DUMMYFUNCTION("""COMPUTED_VALUE"""),"rendering")</f>
        <v>rendering</v>
      </c>
      <c r="I312" s="6">
        <f>IFERROR(__xludf.DUMMYFUNCTION("""COMPUTED_VALUE"""),1984.0)</f>
        <v>1984</v>
      </c>
      <c r="J312" s="6" t="str">
        <f>IFERROR(__xludf.DUMMYFUNCTION("""COMPUTED_VALUE"""),"man")</f>
        <v>man</v>
      </c>
      <c r="L312" s="6" t="str">
        <f>IFERROR(__xludf.DUMMYFUNCTION("""COMPUTED_VALUE"""),"moral")</f>
        <v>moral</v>
      </c>
      <c r="M312" s="6" t="str">
        <f>IFERROR(__xludf.DUMMYFUNCTION("""COMPUTED_VALUE"""),"leon")</f>
        <v>leon</v>
      </c>
      <c r="N312" s="6" t="str">
        <f>IFERROR(__xludf.DUMMYFUNCTION("""COMPUTED_VALUE"""),"determined")</f>
        <v>determined</v>
      </c>
      <c r="P312" s="6" t="str">
        <f>IFERROR(__xludf.DUMMYFUNCTION("""COMPUTED_VALUE"""),"dates")</f>
        <v>dates</v>
      </c>
      <c r="Q312" s="6" t="str">
        <f>IFERROR(__xludf.DUMMYFUNCTION("""COMPUTED_VALUE"""),"esther")</f>
        <v>esther</v>
      </c>
      <c r="S312" s="6" t="str">
        <f>IFERROR(__xludf.DUMMYFUNCTION("""COMPUTED_VALUE"""),"emotions")</f>
        <v>emotions</v>
      </c>
    </row>
    <row r="313">
      <c r="D313" s="6"/>
      <c r="G313" s="6" t="str">
        <f>IFERROR(__xludf.DUMMYFUNCTION("""COMPUTED_VALUE"""),"sham")</f>
        <v>sham</v>
      </c>
      <c r="H313" s="6" t="str">
        <f>IFERROR(__xludf.DUMMYFUNCTION("""COMPUTED_VALUE"""),"man")</f>
        <v>man</v>
      </c>
      <c r="I313" s="6" t="str">
        <f>IFERROR(__xludf.DUMMYFUNCTION("""COMPUTED_VALUE"""),"predecessor")</f>
        <v>predecessor</v>
      </c>
      <c r="J313" s="6" t="str">
        <f>IFERROR(__xludf.DUMMYFUNCTION("""COMPUTED_VALUE"""),"partisans")</f>
        <v>partisans</v>
      </c>
      <c r="L313" s="6" t="str">
        <f>IFERROR(__xludf.DUMMYFUNCTION("""COMPUTED_VALUE"""),"grounded")</f>
        <v>grounded</v>
      </c>
      <c r="M313" s="6" t="str">
        <f>IFERROR(__xludf.DUMMYFUNCTION("""COMPUTED_VALUE"""),"monster")</f>
        <v>monster</v>
      </c>
      <c r="N313" s="6" t="str">
        <f>IFERROR(__xludf.DUMMYFUNCTION("""COMPUTED_VALUE"""),"spell")</f>
        <v>spell</v>
      </c>
      <c r="P313" s="6" t="str">
        <f>IFERROR(__xludf.DUMMYFUNCTION("""COMPUTED_VALUE"""),"sex")</f>
        <v>sex</v>
      </c>
      <c r="Q313" s="6" t="str">
        <f>IFERROR(__xludf.DUMMYFUNCTION("""COMPUTED_VALUE"""),"irritating")</f>
        <v>irritating</v>
      </c>
      <c r="S313" s="6" t="str">
        <f>IFERROR(__xludf.DUMMYFUNCTION("""COMPUTED_VALUE"""),"honest")</f>
        <v>honest</v>
      </c>
    </row>
    <row r="314">
      <c r="D314" s="6"/>
      <c r="G314" s="6" t="str">
        <f>IFERROR(__xludf.DUMMYFUNCTION("""COMPUTED_VALUE"""),"hurley")</f>
        <v>hurley</v>
      </c>
      <c r="H314" s="6" t="str">
        <f>IFERROR(__xludf.DUMMYFUNCTION("""COMPUTED_VALUE"""),"dolls")</f>
        <v>dolls</v>
      </c>
      <c r="I314" s="6" t="str">
        <f>IFERROR(__xludf.DUMMYFUNCTION("""COMPUTED_VALUE"""),"romantic")</f>
        <v>romantic</v>
      </c>
      <c r="J314" s="6" t="str">
        <f>IFERROR(__xludf.DUMMYFUNCTION("""COMPUTED_VALUE"""),"argentine")</f>
        <v>argentine</v>
      </c>
      <c r="L314" s="6" t="str">
        <f>IFERROR(__xludf.DUMMYFUNCTION("""COMPUTED_VALUE"""),"adult")</f>
        <v>adult</v>
      </c>
      <c r="M314" s="6" t="str">
        <f>IFERROR(__xludf.DUMMYFUNCTION("""COMPUTED_VALUE"""),"equivalent")</f>
        <v>equivalent</v>
      </c>
      <c r="N314" s="6" t="str">
        <f>IFERROR(__xludf.DUMMYFUNCTION("""COMPUTED_VALUE"""),"brutally")</f>
        <v>brutally</v>
      </c>
      <c r="P314" s="6" t="str">
        <f>IFERROR(__xludf.DUMMYFUNCTION("""COMPUTED_VALUE"""),"becomes")</f>
        <v>becomes</v>
      </c>
      <c r="Q314" s="6" t="str">
        <f>IFERROR(__xludf.DUMMYFUNCTION("""COMPUTED_VALUE"""),"halfway")</f>
        <v>halfway</v>
      </c>
      <c r="S314" s="6" t="str">
        <f>IFERROR(__xludf.DUMMYFUNCTION("""COMPUTED_VALUE"""),"london")</f>
        <v>london</v>
      </c>
    </row>
    <row r="315">
      <c r="D315" s="6"/>
      <c r="G315" s="6" t="str">
        <f>IFERROR(__xludf.DUMMYFUNCTION("""COMPUTED_VALUE"""),"misses")</f>
        <v>misses</v>
      </c>
      <c r="H315" s="6" t="str">
        <f>IFERROR(__xludf.DUMMYFUNCTION("""COMPUTED_VALUE"""),"nonstop")</f>
        <v>nonstop</v>
      </c>
      <c r="I315" s="6" t="str">
        <f>IFERROR(__xludf.DUMMYFUNCTION("""COMPUTED_VALUE"""),"teen")</f>
        <v>teen</v>
      </c>
      <c r="J315" s="6" t="str">
        <f>IFERROR(__xludf.DUMMYFUNCTION("""COMPUTED_VALUE"""),"son")</f>
        <v>son</v>
      </c>
      <c r="L315" s="6" t="str">
        <f>IFERROR(__xludf.DUMMYFUNCTION("""COMPUTED_VALUE"""),"episodes")</f>
        <v>episodes</v>
      </c>
      <c r="M315" s="6" t="str">
        <f>IFERROR(__xludf.DUMMYFUNCTION("""COMPUTED_VALUE"""),"truth")</f>
        <v>truth</v>
      </c>
      <c r="N315" s="6" t="str">
        <f>IFERROR(__xludf.DUMMYFUNCTION("""COMPUTED_VALUE"""),"breadth")</f>
        <v>breadth</v>
      </c>
      <c r="P315" s="6" t="str">
        <f>IFERROR(__xludf.DUMMYFUNCTION("""COMPUTED_VALUE"""),"demands")</f>
        <v>demands</v>
      </c>
      <c r="Q315" s="6" t="str">
        <f>IFERROR(__xludf.DUMMYFUNCTION("""COMPUTED_VALUE"""),"beginning")</f>
        <v>beginning</v>
      </c>
      <c r="S315" s="6" t="str">
        <f>IFERROR(__xludf.DUMMYFUNCTION("""COMPUTED_VALUE"""),"title")</f>
        <v>title</v>
      </c>
    </row>
    <row r="316">
      <c r="D316" s="6"/>
      <c r="G316" s="6" t="str">
        <f>IFERROR(__xludf.DUMMYFUNCTION("""COMPUTED_VALUE"""),"employs")</f>
        <v>employs</v>
      </c>
      <c r="H316" s="6" t="str">
        <f>IFERROR(__xludf.DUMMYFUNCTION("""COMPUTED_VALUE"""),"partisans")</f>
        <v>partisans</v>
      </c>
      <c r="I316" s="6" t="str">
        <f>IFERROR(__xludf.DUMMYFUNCTION("""COMPUTED_VALUE"""),"acid")</f>
        <v>acid</v>
      </c>
      <c r="J316" s="6" t="str">
        <f>IFERROR(__xludf.DUMMYFUNCTION("""COMPUTED_VALUE"""),"celebrates")</f>
        <v>celebrates</v>
      </c>
      <c r="L316" s="6" t="str">
        <f>IFERROR(__xludf.DUMMYFUNCTION("""COMPUTED_VALUE"""),"generation")</f>
        <v>generation</v>
      </c>
      <c r="M316" s="6" t="str">
        <f>IFERROR(__xludf.DUMMYFUNCTION("""COMPUTED_VALUE"""),"magnetic")</f>
        <v>magnetic</v>
      </c>
      <c r="N316" s="6" t="str">
        <f>IFERROR(__xludf.DUMMYFUNCTION("""COMPUTED_VALUE"""),"spite")</f>
        <v>spite</v>
      </c>
      <c r="P316" s="6" t="str">
        <f>IFERROR(__xludf.DUMMYFUNCTION("""COMPUTED_VALUE"""),"merely")</f>
        <v>merely</v>
      </c>
      <c r="Q316" s="6" t="str">
        <f>IFERROR(__xludf.DUMMYFUNCTION("""COMPUTED_VALUE"""),"setup")</f>
        <v>setup</v>
      </c>
      <c r="S316" s="6" t="str">
        <f>IFERROR(__xludf.DUMMYFUNCTION("""COMPUTED_VALUE"""),"thin")</f>
        <v>thin</v>
      </c>
    </row>
    <row r="317">
      <c r="D317" s="6"/>
      <c r="G317" s="6" t="str">
        <f>IFERROR(__xludf.DUMMYFUNCTION("""COMPUTED_VALUE"""),"strangely")</f>
        <v>strangely</v>
      </c>
      <c r="H317" s="6" t="str">
        <f>IFERROR(__xludf.DUMMYFUNCTION("""COMPUTED_VALUE"""),"torture")</f>
        <v>torture</v>
      </c>
      <c r="I317" s="6" t="str">
        <f>IFERROR(__xludf.DUMMYFUNCTION("""COMPUTED_VALUE"""),"sweet")</f>
        <v>sweet</v>
      </c>
      <c r="J317" s="6" t="str">
        <f>IFERROR(__xludf.DUMMYFUNCTION("""COMPUTED_VALUE"""),"white")</f>
        <v>white</v>
      </c>
      <c r="L317" s="6" t="str">
        <f>IFERROR(__xludf.DUMMYFUNCTION("""COMPUTED_VALUE"""),"amused")</f>
        <v>amused</v>
      </c>
      <c r="M317" s="6" t="str">
        <f>IFERROR(__xludf.DUMMYFUNCTION("""COMPUTED_VALUE"""),"potential")</f>
        <v>potential</v>
      </c>
      <c r="N317" s="6" t="str">
        <f>IFERROR(__xludf.DUMMYFUNCTION("""COMPUTED_VALUE"""),"remarkably")</f>
        <v>remarkably</v>
      </c>
      <c r="P317" s="6" t="str">
        <f>IFERROR(__xludf.DUMMYFUNCTION("""COMPUTED_VALUE"""),"culture")</f>
        <v>culture</v>
      </c>
      <c r="Q317" s="6" t="str">
        <f>IFERROR(__xludf.DUMMYFUNCTION("""COMPUTED_VALUE"""),"grips")</f>
        <v>grips</v>
      </c>
      <c r="S317" s="6" t="str">
        <f>IFERROR(__xludf.DUMMYFUNCTION("""COMPUTED_VALUE"""),"wildlife")</f>
        <v>wildlife</v>
      </c>
    </row>
    <row r="318">
      <c r="D318" s="6"/>
      <c r="G318" s="6" t="str">
        <f>IFERROR(__xludf.DUMMYFUNCTION("""COMPUTED_VALUE"""),"cheat")</f>
        <v>cheat</v>
      </c>
      <c r="H318" s="6" t="str">
        <f>IFERROR(__xludf.DUMMYFUNCTION("""COMPUTED_VALUE"""),"argentine")</f>
        <v>argentine</v>
      </c>
      <c r="I318" s="6" t="str">
        <f>IFERROR(__xludf.DUMMYFUNCTION("""COMPUTED_VALUE"""),"construct")</f>
        <v>construct</v>
      </c>
      <c r="J318" s="6" t="str">
        <f>IFERROR(__xludf.DUMMYFUNCTION("""COMPUTED_VALUE"""),"vulnerable")</f>
        <v>vulnerable</v>
      </c>
      <c r="L318" s="6" t="str">
        <f>IFERROR(__xludf.DUMMYFUNCTION("""COMPUTED_VALUE"""),"constructed")</f>
        <v>constructed</v>
      </c>
      <c r="M318" s="6" t="str">
        <f>IFERROR(__xludf.DUMMYFUNCTION("""COMPUTED_VALUE"""),"suitable")</f>
        <v>suitable</v>
      </c>
      <c r="N318" s="6" t="str">
        <f>IFERROR(__xludf.DUMMYFUNCTION("""COMPUTED_VALUE"""),"topic")</f>
        <v>topic</v>
      </c>
      <c r="P318" s="6" t="str">
        <f>IFERROR(__xludf.DUMMYFUNCTION("""COMPUTED_VALUE"""),"delivered")</f>
        <v>delivered</v>
      </c>
      <c r="Q318" s="6" t="str">
        <f>IFERROR(__xludf.DUMMYFUNCTION("""COMPUTED_VALUE"""),"fascinating")</f>
        <v>fascinating</v>
      </c>
      <c r="S318" s="6" t="str">
        <f>IFERROR(__xludf.DUMMYFUNCTION("""COMPUTED_VALUE"""),"spare")</f>
        <v>spare</v>
      </c>
    </row>
    <row r="319">
      <c r="D319" s="6"/>
      <c r="G319" s="6" t="str">
        <f>IFERROR(__xludf.DUMMYFUNCTION("""COMPUTED_VALUE"""),"hopkins")</f>
        <v>hopkins</v>
      </c>
      <c r="H319" s="6" t="str">
        <f>IFERROR(__xludf.DUMMYFUNCTION("""COMPUTED_VALUE"""),"celebrates")</f>
        <v>celebrates</v>
      </c>
      <c r="I319" s="6" t="str">
        <f>IFERROR(__xludf.DUMMYFUNCTION("""COMPUTED_VALUE"""),"trace")</f>
        <v>trace</v>
      </c>
      <c r="J319" s="6" t="str">
        <f>IFERROR(__xludf.DUMMYFUNCTION("""COMPUTED_VALUE"""),"isolation")</f>
        <v>isolation</v>
      </c>
      <c r="L319" s="6" t="str">
        <f>IFERROR(__xludf.DUMMYFUNCTION("""COMPUTED_VALUE"""),"skill")</f>
        <v>skill</v>
      </c>
      <c r="M319" s="6" t="str">
        <f>IFERROR(__xludf.DUMMYFUNCTION("""COMPUTED_VALUE"""),"commentary")</f>
        <v>commentary</v>
      </c>
      <c r="N319" s="6" t="str">
        <f>IFERROR(__xludf.DUMMYFUNCTION("""COMPUTED_VALUE"""),"dynamics")</f>
        <v>dynamics</v>
      </c>
      <c r="P319" s="6" t="str">
        <f>IFERROR(__xludf.DUMMYFUNCTION("""COMPUTED_VALUE"""),"scenes")</f>
        <v>scenes</v>
      </c>
      <c r="Q319" s="6" t="str">
        <f>IFERROR(__xludf.DUMMYFUNCTION("""COMPUTED_VALUE"""),"moves")</f>
        <v>moves</v>
      </c>
      <c r="S319" s="6" t="str">
        <f>IFERROR(__xludf.DUMMYFUNCTION("""COMPUTED_VALUE"""),"plain")</f>
        <v>plain</v>
      </c>
    </row>
    <row r="320">
      <c r="D320" s="6"/>
      <c r="G320" s="6" t="str">
        <f>IFERROR(__xludf.DUMMYFUNCTION("""COMPUTED_VALUE"""),"establishes")</f>
        <v>establishes</v>
      </c>
      <c r="H320" s="6" t="str">
        <f>IFERROR(__xludf.DUMMYFUNCTION("""COMPUTED_VALUE"""),"white")</f>
        <v>white</v>
      </c>
      <c r="I320" s="6" t="str">
        <f>IFERROR(__xludf.DUMMYFUNCTION("""COMPUTED_VALUE"""),"debt")</f>
        <v>debt</v>
      </c>
      <c r="J320" s="6" t="str">
        <f>IFERROR(__xludf.DUMMYFUNCTION("""COMPUTED_VALUE"""),"plight")</f>
        <v>plight</v>
      </c>
      <c r="L320" s="6" t="str">
        <f>IFERROR(__xludf.DUMMYFUNCTION("""COMPUTED_VALUE"""),"vampire")</f>
        <v>vampire</v>
      </c>
      <c r="M320" s="6" t="str">
        <f>IFERROR(__xludf.DUMMYFUNCTION("""COMPUTED_VALUE"""),"magic")</f>
        <v>magic</v>
      </c>
      <c r="N320" s="6" t="str">
        <f>IFERROR(__xludf.DUMMYFUNCTION("""COMPUTED_VALUE"""),"begins")</f>
        <v>begins</v>
      </c>
      <c r="P320" s="6" t="str">
        <f>IFERROR(__xludf.DUMMYFUNCTION("""COMPUTED_VALUE"""),"gaining")</f>
        <v>gaining</v>
      </c>
      <c r="Q320" s="6" t="str">
        <f>IFERROR(__xludf.DUMMYFUNCTION("""COMPUTED_VALUE"""),"camera")</f>
        <v>camera</v>
      </c>
      <c r="S320" s="6" t="str">
        <f>IFERROR(__xludf.DUMMYFUNCTION("""COMPUTED_VALUE"""),"different")</f>
        <v>different</v>
      </c>
    </row>
    <row r="321">
      <c r="D321" s="6"/>
      <c r="G321" s="6" t="str">
        <f>IFERROR(__xludf.DUMMYFUNCTION("""COMPUTED_VALUE"""),"teacher")</f>
        <v>teacher</v>
      </c>
      <c r="H321" s="6" t="str">
        <f>IFERROR(__xludf.DUMMYFUNCTION("""COMPUTED_VALUE"""),"vulnerable")</f>
        <v>vulnerable</v>
      </c>
      <c r="I321" s="6" t="str">
        <f>IFERROR(__xludf.DUMMYFUNCTION("""COMPUTED_VALUE"""),"laughed")</f>
        <v>laughed</v>
      </c>
      <c r="J321" s="6" t="str">
        <f>IFERROR(__xludf.DUMMYFUNCTION("""COMPUTED_VALUE"""),"watts")</f>
        <v>watts</v>
      </c>
      <c r="L321" s="6" t="str">
        <f>IFERROR(__xludf.DUMMYFUNCTION("""COMPUTED_VALUE"""),"determined")</f>
        <v>determined</v>
      </c>
      <c r="M321" s="6" t="str">
        <f>IFERROR(__xludf.DUMMYFUNCTION("""COMPUTED_VALUE"""),"device")</f>
        <v>device</v>
      </c>
      <c r="N321" s="6" t="str">
        <f>IFERROR(__xludf.DUMMYFUNCTION("""COMPUTED_VALUE"""),"nicholas")</f>
        <v>nicholas</v>
      </c>
      <c r="P321" s="6" t="str">
        <f>IFERROR(__xludf.DUMMYFUNCTION("""COMPUTED_VALUE"""),"sand")</f>
        <v>sand</v>
      </c>
      <c r="Q321" s="6" t="str">
        <f>IFERROR(__xludf.DUMMYFUNCTION("""COMPUTED_VALUE"""),"rhythms")</f>
        <v>rhythms</v>
      </c>
      <c r="S321" s="6" t="str">
        <f>IFERROR(__xludf.DUMMYFUNCTION("""COMPUTED_VALUE"""),"toward")</f>
        <v>toward</v>
      </c>
    </row>
    <row r="322">
      <c r="D322" s="6"/>
      <c r="G322" s="6" t="str">
        <f>IFERROR(__xludf.DUMMYFUNCTION("""COMPUTED_VALUE"""),"plotting")</f>
        <v>plotting</v>
      </c>
      <c r="H322" s="6" t="str">
        <f>IFERROR(__xludf.DUMMYFUNCTION("""COMPUTED_VALUE"""),"isolation")</f>
        <v>isolation</v>
      </c>
      <c r="I322" s="6" t="str">
        <f>IFERROR(__xludf.DUMMYFUNCTION("""COMPUTED_VALUE"""),"laughter")</f>
        <v>laughter</v>
      </c>
      <c r="J322" s="6" t="str">
        <f>IFERROR(__xludf.DUMMYFUNCTION("""COMPUTED_VALUE"""),"female")</f>
        <v>female</v>
      </c>
      <c r="L322" s="6" t="str">
        <f>IFERROR(__xludf.DUMMYFUNCTION("""COMPUTED_VALUE"""),"tragedy")</f>
        <v>tragedy</v>
      </c>
      <c r="M322" s="6" t="str">
        <f>IFERROR(__xludf.DUMMYFUNCTION("""COMPUTED_VALUE"""),"straight")</f>
        <v>straight</v>
      </c>
      <c r="N322" s="6" t="str">
        <f>IFERROR(__xludf.DUMMYFUNCTION("""COMPUTED_VALUE"""),"optimistic")</f>
        <v>optimistic</v>
      </c>
      <c r="P322" s="6" t="str">
        <f>IFERROR(__xludf.DUMMYFUNCTION("""COMPUTED_VALUE"""),"characteristic")</f>
        <v>characteristic</v>
      </c>
      <c r="Q322" s="6" t="str">
        <f>IFERROR(__xludf.DUMMYFUNCTION("""COMPUTED_VALUE"""),"stream")</f>
        <v>stream</v>
      </c>
      <c r="S322" s="6" t="str">
        <f>IFERROR(__xludf.DUMMYFUNCTION("""COMPUTED_VALUE"""),"indian")</f>
        <v>indian</v>
      </c>
    </row>
    <row r="323">
      <c r="D323" s="6"/>
      <c r="G323" s="6" t="str">
        <f>IFERROR(__xludf.DUMMYFUNCTION("""COMPUTED_VALUE"""),"reduces")</f>
        <v>reduces</v>
      </c>
      <c r="H323" s="6" t="str">
        <f>IFERROR(__xludf.DUMMYFUNCTION("""COMPUTED_VALUE"""),"plight")</f>
        <v>plight</v>
      </c>
      <c r="I323" s="6" t="str">
        <f>IFERROR(__xludf.DUMMYFUNCTION("""COMPUTED_VALUE"""),"philosophical")</f>
        <v>philosophical</v>
      </c>
      <c r="J323" s="6" t="str">
        <f>IFERROR(__xludf.DUMMYFUNCTION("""COMPUTED_VALUE"""),"darling")</f>
        <v>darling</v>
      </c>
      <c r="L323" s="6" t="str">
        <f>IFERROR(__xludf.DUMMYFUNCTION("""COMPUTED_VALUE"""),"spell")</f>
        <v>spell</v>
      </c>
      <c r="M323" s="6" t="str">
        <f>IFERROR(__xludf.DUMMYFUNCTION("""COMPUTED_VALUE"""),"light")</f>
        <v>light</v>
      </c>
      <c r="N323" s="6" t="str">
        <f>IFERROR(__xludf.DUMMYFUNCTION("""COMPUTED_VALUE"""),"smarter")</f>
        <v>smarter</v>
      </c>
      <c r="P323" s="6" t="str">
        <f>IFERROR(__xludf.DUMMYFUNCTION("""COMPUTED_VALUE"""),"classical")</f>
        <v>classical</v>
      </c>
      <c r="Q323" s="6" t="str">
        <f>IFERROR(__xludf.DUMMYFUNCTION("""COMPUTED_VALUE"""),"quintet")</f>
        <v>quintet</v>
      </c>
      <c r="S323" s="6" t="str">
        <f>IFERROR(__xludf.DUMMYFUNCTION("""COMPUTED_VALUE"""),"idea")</f>
        <v>idea</v>
      </c>
    </row>
    <row r="324">
      <c r="D324" s="6"/>
      <c r="G324" s="6" t="str">
        <f>IFERROR(__xludf.DUMMYFUNCTION("""COMPUTED_VALUE"""),"painfully")</f>
        <v>painfully</v>
      </c>
      <c r="H324" s="6" t="str">
        <f>IFERROR(__xludf.DUMMYFUNCTION("""COMPUTED_VALUE"""),"watts")</f>
        <v>watts</v>
      </c>
      <c r="I324" s="6" t="str">
        <f>IFERROR(__xludf.DUMMYFUNCTION("""COMPUTED_VALUE"""),"drag")</f>
        <v>drag</v>
      </c>
      <c r="J324" s="6" t="str">
        <f>IFERROR(__xludf.DUMMYFUNCTION("""COMPUTED_VALUE"""),"violence")</f>
        <v>violence</v>
      </c>
      <c r="L324" s="6" t="str">
        <f>IFERROR(__xludf.DUMMYFUNCTION("""COMPUTED_VALUE"""),"brutally")</f>
        <v>brutally</v>
      </c>
      <c r="M324" s="6" t="str">
        <f>IFERROR(__xludf.DUMMYFUNCTION("""COMPUTED_VALUE"""),"belongs")</f>
        <v>belongs</v>
      </c>
      <c r="N324" s="6" t="str">
        <f>IFERROR(__xludf.DUMMYFUNCTION("""COMPUTED_VALUE"""),"behold")</f>
        <v>behold</v>
      </c>
      <c r="P324" s="6" t="str">
        <f>IFERROR(__xludf.DUMMYFUNCTION("""COMPUTED_VALUE"""),"successful")</f>
        <v>successful</v>
      </c>
      <c r="Q324" s="6" t="str">
        <f>IFERROR(__xludf.DUMMYFUNCTION("""COMPUTED_VALUE"""),"performed")</f>
        <v>performed</v>
      </c>
      <c r="S324" s="6" t="str">
        <f>IFERROR(__xludf.DUMMYFUNCTION("""COMPUTED_VALUE"""),"worth")</f>
        <v>worth</v>
      </c>
    </row>
    <row r="325">
      <c r="D325" s="6"/>
      <c r="G325" s="6" t="str">
        <f>IFERROR(__xludf.DUMMYFUNCTION("""COMPUTED_VALUE"""),"unlikely")</f>
        <v>unlikely</v>
      </c>
      <c r="H325" s="6" t="str">
        <f>IFERROR(__xludf.DUMMYFUNCTION("""COMPUTED_VALUE"""),"darling")</f>
        <v>darling</v>
      </c>
      <c r="I325" s="6" t="str">
        <f>IFERROR(__xludf.DUMMYFUNCTION("""COMPUTED_VALUE"""),"literary")</f>
        <v>literary</v>
      </c>
      <c r="J325" s="6" t="str">
        <f>IFERROR(__xludf.DUMMYFUNCTION("""COMPUTED_VALUE"""),"force")</f>
        <v>force</v>
      </c>
      <c r="L325" s="6" t="str">
        <f>IFERROR(__xludf.DUMMYFUNCTION("""COMPUTED_VALUE"""),"packed")</f>
        <v>packed</v>
      </c>
      <c r="M325" s="6" t="str">
        <f>IFERROR(__xludf.DUMMYFUNCTION("""COMPUTED_VALUE"""),"floating")</f>
        <v>floating</v>
      </c>
      <c r="N325" s="6" t="str">
        <f>IFERROR(__xludf.DUMMYFUNCTION("""COMPUTED_VALUE"""),"absorbing")</f>
        <v>absorbing</v>
      </c>
      <c r="P325" s="6" t="str">
        <f>IFERROR(__xludf.DUMMYFUNCTION("""COMPUTED_VALUE"""),"moving")</f>
        <v>moving</v>
      </c>
      <c r="Q325" s="6" t="str">
        <f>IFERROR(__xludf.DUMMYFUNCTION("""COMPUTED_VALUE"""),"actresses")</f>
        <v>actresses</v>
      </c>
      <c r="S325" s="6" t="str">
        <f>IFERROR(__xludf.DUMMYFUNCTION("""COMPUTED_VALUE"""),"produced")</f>
        <v>produced</v>
      </c>
    </row>
    <row r="326">
      <c r="D326" s="6"/>
      <c r="G326" s="6" t="str">
        <f>IFERROR(__xludf.DUMMYFUNCTION("""COMPUTED_VALUE"""),"obstacles")</f>
        <v>obstacles</v>
      </c>
      <c r="H326" s="6" t="str">
        <f>IFERROR(__xludf.DUMMYFUNCTION("""COMPUTED_VALUE"""),"violence")</f>
        <v>violence</v>
      </c>
      <c r="I326" s="6" t="str">
        <f>IFERROR(__xludf.DUMMYFUNCTION("""COMPUTED_VALUE"""),"humans")</f>
        <v>humans</v>
      </c>
      <c r="J326" s="6" t="str">
        <f>IFERROR(__xludf.DUMMYFUNCTION("""COMPUTED_VALUE"""),"thriller")</f>
        <v>thriller</v>
      </c>
      <c r="L326" s="6" t="str">
        <f>IFERROR(__xludf.DUMMYFUNCTION("""COMPUTED_VALUE"""),"breadth")</f>
        <v>breadth</v>
      </c>
      <c r="M326" s="6" t="str">
        <f>IFERROR(__xludf.DUMMYFUNCTION("""COMPUTED_VALUE"""),"center")</f>
        <v>center</v>
      </c>
      <c r="N326" s="6" t="str">
        <f>IFERROR(__xludf.DUMMYFUNCTION("""COMPUTED_VALUE"""),"treatise")</f>
        <v>treatise</v>
      </c>
      <c r="P326" s="6" t="str">
        <f>IFERROR(__xludf.DUMMYFUNCTION("""COMPUTED_VALUE"""),"intelligent")</f>
        <v>intelligent</v>
      </c>
      <c r="Q326" s="6" t="str">
        <f>IFERROR(__xludf.DUMMYFUNCTION("""COMPUTED_VALUE"""),"nicely")</f>
        <v>nicely</v>
      </c>
      <c r="S326" s="6" t="str">
        <f>IFERROR(__xludf.DUMMYFUNCTION("""COMPUTED_VALUE"""),"please")</f>
        <v>please</v>
      </c>
    </row>
    <row r="327">
      <c r="D327" s="6"/>
      <c r="G327" s="6" t="str">
        <f>IFERROR(__xludf.DUMMYFUNCTION("""COMPUTED_VALUE"""),"centuries")</f>
        <v>centuries</v>
      </c>
      <c r="H327" s="6" t="str">
        <f>IFERROR(__xludf.DUMMYFUNCTION("""COMPUTED_VALUE"""),"force")</f>
        <v>force</v>
      </c>
      <c r="I327" s="6" t="str">
        <f>IFERROR(__xludf.DUMMYFUNCTION("""COMPUTED_VALUE"""),"distant")</f>
        <v>distant</v>
      </c>
      <c r="J327" s="6" t="str">
        <f>IFERROR(__xludf.DUMMYFUNCTION("""COMPUTED_VALUE"""),"maternal")</f>
        <v>maternal</v>
      </c>
      <c r="L327" s="6" t="str">
        <f>IFERROR(__xludf.DUMMYFUNCTION("""COMPUTED_VALUE"""),"remarkably")</f>
        <v>remarkably</v>
      </c>
      <c r="M327" s="6" t="str">
        <f>IFERROR(__xludf.DUMMYFUNCTION("""COMPUTED_VALUE"""),"plays")</f>
        <v>plays</v>
      </c>
      <c r="N327" s="6" t="str">
        <f>IFERROR(__xludf.DUMMYFUNCTION("""COMPUTED_VALUE"""),"qualities")</f>
        <v>qualities</v>
      </c>
      <c r="P327" s="6" t="str">
        <f>IFERROR(__xludf.DUMMYFUNCTION("""COMPUTED_VALUE"""),"poet")</f>
        <v>poet</v>
      </c>
      <c r="Q327" s="6" t="str">
        <f>IFERROR(__xludf.DUMMYFUNCTION("""COMPUTED_VALUE"""),"lau")</f>
        <v>lau</v>
      </c>
      <c r="S327" s="6" t="str">
        <f>IFERROR(__xludf.DUMMYFUNCTION("""COMPUTED_VALUE"""),"styles")</f>
        <v>styles</v>
      </c>
    </row>
    <row r="328">
      <c r="D328" s="6"/>
      <c r="G328" s="6" t="str">
        <f>IFERROR(__xludf.DUMMYFUNCTION("""COMPUTED_VALUE"""),"inspiring")</f>
        <v>inspiring</v>
      </c>
      <c r="H328" s="6" t="str">
        <f>IFERROR(__xludf.DUMMYFUNCTION("""COMPUTED_VALUE"""),"thriller")</f>
        <v>thriller</v>
      </c>
      <c r="I328" s="6" t="str">
        <f>IFERROR(__xludf.DUMMYFUNCTION("""COMPUTED_VALUE"""),"accomplished")</f>
        <v>accomplished</v>
      </c>
      <c r="J328" s="6" t="str">
        <f>IFERROR(__xludf.DUMMYFUNCTION("""COMPUTED_VALUE"""),"fury")</f>
        <v>fury</v>
      </c>
      <c r="L328" s="6" t="str">
        <f>IFERROR(__xludf.DUMMYFUNCTION("""COMPUTED_VALUE"""),"psychological")</f>
        <v>psychological</v>
      </c>
      <c r="M328" s="6" t="str">
        <f>IFERROR(__xludf.DUMMYFUNCTION("""COMPUTED_VALUE"""),"jones")</f>
        <v>jones</v>
      </c>
      <c r="N328" s="6" t="str">
        <f>IFERROR(__xludf.DUMMYFUNCTION("""COMPUTED_VALUE"""),"writer")</f>
        <v>writer</v>
      </c>
      <c r="P328" s="6" t="str">
        <f>IFERROR(__xludf.DUMMYFUNCTION("""COMPUTED_VALUE"""),"celebrated")</f>
        <v>celebrated</v>
      </c>
      <c r="Q328" s="6" t="str">
        <f>IFERROR(__xludf.DUMMYFUNCTION("""COMPUTED_VALUE"""),"thanks")</f>
        <v>thanks</v>
      </c>
      <c r="S328" s="6" t="str">
        <f>IFERROR(__xludf.DUMMYFUNCTION("""COMPUTED_VALUE"""),"shallow")</f>
        <v>shallow</v>
      </c>
    </row>
    <row r="329">
      <c r="D329" s="6"/>
      <c r="G329" s="6" t="str">
        <f>IFERROR(__xludf.DUMMYFUNCTION("""COMPUTED_VALUE"""),"consequences")</f>
        <v>consequences</v>
      </c>
      <c r="H329" s="6" t="str">
        <f>IFERROR(__xludf.DUMMYFUNCTION("""COMPUTED_VALUE"""),"maternal")</f>
        <v>maternal</v>
      </c>
      <c r="I329" s="6" t="str">
        <f>IFERROR(__xludf.DUMMYFUNCTION("""COMPUTED_VALUE"""),"fears")</f>
        <v>fears</v>
      </c>
      <c r="J329" s="6" t="str">
        <f>IFERROR(__xludf.DUMMYFUNCTION("""COMPUTED_VALUE"""),"progresses")</f>
        <v>progresses</v>
      </c>
      <c r="L329" s="6" t="str">
        <f>IFERROR(__xludf.DUMMYFUNCTION("""COMPUTED_VALUE"""),"dynamics")</f>
        <v>dynamics</v>
      </c>
      <c r="M329" s="6" t="str">
        <f>IFERROR(__xludf.DUMMYFUNCTION("""COMPUTED_VALUE"""),"friendship")</f>
        <v>friendship</v>
      </c>
      <c r="N329" s="6" t="str">
        <f>IFERROR(__xludf.DUMMYFUNCTION("""COMPUTED_VALUE"""),"caine")</f>
        <v>caine</v>
      </c>
      <c r="P329" s="6" t="str">
        <f>IFERROR(__xludf.DUMMYFUNCTION("""COMPUTED_VALUE"""),"bound")</f>
        <v>bound</v>
      </c>
      <c r="Q329" s="6" t="str">
        <f>IFERROR(__xludf.DUMMYFUNCTION("""COMPUTED_VALUE"""),"quentin")</f>
        <v>quentin</v>
      </c>
      <c r="S329" s="6" t="str">
        <f>IFERROR(__xludf.DUMMYFUNCTION("""COMPUTED_VALUE"""),"targeted")</f>
        <v>targeted</v>
      </c>
    </row>
    <row r="330">
      <c r="D330" s="6"/>
      <c r="G330" s="6" t="str">
        <f>IFERROR(__xludf.DUMMYFUNCTION("""COMPUTED_VALUE"""),"chuckle")</f>
        <v>chuckle</v>
      </c>
      <c r="H330" s="6" t="str">
        <f>IFERROR(__xludf.DUMMYFUNCTION("""COMPUTED_VALUE"""),"fury")</f>
        <v>fury</v>
      </c>
      <c r="I330" s="6" t="str">
        <f>IFERROR(__xludf.DUMMYFUNCTION("""COMPUTED_VALUE"""),"portrait")</f>
        <v>portrait</v>
      </c>
      <c r="J330" s="6" t="str">
        <f>IFERROR(__xludf.DUMMYFUNCTION("""COMPUTED_VALUE"""),"risks")</f>
        <v>risks</v>
      </c>
      <c r="L330" s="6" t="str">
        <f>IFERROR(__xludf.DUMMYFUNCTION("""COMPUTED_VALUE"""),"actor")</f>
        <v>actor</v>
      </c>
      <c r="M330" s="6" t="str">
        <f>IFERROR(__xludf.DUMMYFUNCTION("""COMPUTED_VALUE"""),"leads")</f>
        <v>leads</v>
      </c>
      <c r="N330" s="6" t="str">
        <f>IFERROR(__xludf.DUMMYFUNCTION("""COMPUTED_VALUE"""),"dynamic")</f>
        <v>dynamic</v>
      </c>
      <c r="P330" s="6" t="str">
        <f>IFERROR(__xludf.DUMMYFUNCTION("""COMPUTED_VALUE"""),"appeal")</f>
        <v>appeal</v>
      </c>
      <c r="Q330" s="6" t="str">
        <f>IFERROR(__xludf.DUMMYFUNCTION("""COMPUTED_VALUE"""),"grow")</f>
        <v>grow</v>
      </c>
      <c r="S330" s="6" t="str">
        <f>IFERROR(__xludf.DUMMYFUNCTION("""COMPUTED_VALUE"""),"footage")</f>
        <v>footage</v>
      </c>
    </row>
    <row r="331">
      <c r="D331" s="6"/>
      <c r="G331" s="6" t="str">
        <f>IFERROR(__xludf.DUMMYFUNCTION("""COMPUTED_VALUE"""),"maneuvers")</f>
        <v>maneuvers</v>
      </c>
      <c r="H331" s="6" t="str">
        <f>IFERROR(__xludf.DUMMYFUNCTION("""COMPUTED_VALUE"""),"wooden")</f>
        <v>wooden</v>
      </c>
      <c r="I331" s="6" t="str">
        <f>IFERROR(__xludf.DUMMYFUNCTION("""COMPUTED_VALUE"""),"rare")</f>
        <v>rare</v>
      </c>
      <c r="J331" s="6" t="str">
        <f>IFERROR(__xludf.DUMMYFUNCTION("""COMPUTED_VALUE"""),"manner")</f>
        <v>manner</v>
      </c>
      <c r="L331" s="6" t="str">
        <f>IFERROR(__xludf.DUMMYFUNCTION("""COMPUTED_VALUE"""),"nicholas")</f>
        <v>nicholas</v>
      </c>
      <c r="M331" s="6" t="str">
        <f>IFERROR(__xludf.DUMMYFUNCTION("""COMPUTED_VALUE"""),"creates")</f>
        <v>creates</v>
      </c>
      <c r="N331" s="6" t="str">
        <f>IFERROR(__xludf.DUMMYFUNCTION("""COMPUTED_VALUE"""),"ultimately")</f>
        <v>ultimately</v>
      </c>
      <c r="P331" s="6" t="str">
        <f>IFERROR(__xludf.DUMMYFUNCTION("""COMPUTED_VALUE"""),"right")</f>
        <v>right</v>
      </c>
      <c r="Q331" s="6" t="str">
        <f>IFERROR(__xludf.DUMMYFUNCTION("""COMPUTED_VALUE"""),"well")</f>
        <v>well</v>
      </c>
      <c r="S331" s="6" t="str">
        <f>IFERROR(__xludf.DUMMYFUNCTION("""COMPUTED_VALUE"""),"second")</f>
        <v>second</v>
      </c>
    </row>
    <row r="332">
      <c r="D332" s="6"/>
      <c r="G332" s="6" t="str">
        <f>IFERROR(__xludf.DUMMYFUNCTION("""COMPUTED_VALUE"""),"twists")</f>
        <v>twists</v>
      </c>
      <c r="H332" s="6" t="str">
        <f>IFERROR(__xludf.DUMMYFUNCTION("""COMPUTED_VALUE"""),"progresses")</f>
        <v>progresses</v>
      </c>
      <c r="I332" s="6" t="str">
        <f>IFERROR(__xludf.DUMMYFUNCTION("""COMPUTED_VALUE"""),"pain")</f>
        <v>pain</v>
      </c>
      <c r="J332" s="6" t="str">
        <f>IFERROR(__xludf.DUMMYFUNCTION("""COMPUTED_VALUE"""),"dover")</f>
        <v>dover</v>
      </c>
      <c r="L332" s="6" t="str">
        <f>IFERROR(__xludf.DUMMYFUNCTION("""COMPUTED_VALUE"""),"optimistic")</f>
        <v>optimistic</v>
      </c>
      <c r="M332" s="6" t="str">
        <f>IFERROR(__xludf.DUMMYFUNCTION("""COMPUTED_VALUE"""),"foundation")</f>
        <v>foundation</v>
      </c>
      <c r="N332" s="6" t="str">
        <f>IFERROR(__xludf.DUMMYFUNCTION("""COMPUTED_VALUE"""),"precious")</f>
        <v>precious</v>
      </c>
      <c r="P332" s="6" t="str">
        <f>IFERROR(__xludf.DUMMYFUNCTION("""COMPUTED_VALUE"""),"summer")</f>
        <v>summer</v>
      </c>
      <c r="Q332" s="6" t="str">
        <f>IFERROR(__xludf.DUMMYFUNCTION("""COMPUTED_VALUE"""),"elevated")</f>
        <v>elevated</v>
      </c>
      <c r="S332" s="6" t="str">
        <f>IFERROR(__xludf.DUMMYFUNCTION("""COMPUTED_VALUE"""),"somehow")</f>
        <v>somehow</v>
      </c>
    </row>
    <row r="333">
      <c r="D333" s="6"/>
      <c r="G333" s="6" t="str">
        <f>IFERROR(__xludf.DUMMYFUNCTION("""COMPUTED_VALUE"""),"dazzling")</f>
        <v>dazzling</v>
      </c>
      <c r="H333" s="6" t="str">
        <f>IFERROR(__xludf.DUMMYFUNCTION("""COMPUTED_VALUE"""),"risks")</f>
        <v>risks</v>
      </c>
      <c r="I333" s="6" t="str">
        <f>IFERROR(__xludf.DUMMYFUNCTION("""COMPUTED_VALUE"""),"draws")</f>
        <v>draws</v>
      </c>
      <c r="J333" s="6" t="str">
        <f>IFERROR(__xludf.DUMMYFUNCTION("""COMPUTED_VALUE"""),"potent")</f>
        <v>potent</v>
      </c>
      <c r="L333" s="6" t="str">
        <f>IFERROR(__xludf.DUMMYFUNCTION("""COMPUTED_VALUE"""),"smarter")</f>
        <v>smarter</v>
      </c>
      <c r="M333" s="6" t="str">
        <f>IFERROR(__xludf.DUMMYFUNCTION("""COMPUTED_VALUE"""),"objective")</f>
        <v>objective</v>
      </c>
      <c r="N333" s="6" t="str">
        <f>IFERROR(__xludf.DUMMYFUNCTION("""COMPUTED_VALUE"""),"gripping")</f>
        <v>gripping</v>
      </c>
      <c r="P333" s="6" t="str">
        <f>IFERROR(__xludf.DUMMYFUNCTION("""COMPUTED_VALUE"""),"sofia")</f>
        <v>sofia</v>
      </c>
      <c r="Q333" s="6" t="str">
        <f>IFERROR(__xludf.DUMMYFUNCTION("""COMPUTED_VALUE"""),"grant")</f>
        <v>grant</v>
      </c>
      <c r="S333" s="6" t="str">
        <f>IFERROR(__xludf.DUMMYFUNCTION("""COMPUTED_VALUE"""),"offering")</f>
        <v>offering</v>
      </c>
    </row>
    <row r="334">
      <c r="D334" s="6"/>
      <c r="G334" s="6" t="str">
        <f>IFERROR(__xludf.DUMMYFUNCTION("""COMPUTED_VALUE"""),"technology")</f>
        <v>technology</v>
      </c>
      <c r="H334" s="6" t="str">
        <f>IFERROR(__xludf.DUMMYFUNCTION("""COMPUTED_VALUE"""),"strongest")</f>
        <v>strongest</v>
      </c>
      <c r="I334" s="6" t="str">
        <f>IFERROR(__xludf.DUMMYFUNCTION("""COMPUTED_VALUE"""),"pieces")</f>
        <v>pieces</v>
      </c>
      <c r="J334" s="6" t="str">
        <f>IFERROR(__xludf.DUMMYFUNCTION("""COMPUTED_VALUE"""),"insult")</f>
        <v>insult</v>
      </c>
      <c r="L334" s="6" t="str">
        <f>IFERROR(__xludf.DUMMYFUNCTION("""COMPUTED_VALUE"""),"behold")</f>
        <v>behold</v>
      </c>
      <c r="M334" s="6" t="str">
        <f>IFERROR(__xludf.DUMMYFUNCTION("""COMPUTED_VALUE"""),"series")</f>
        <v>series</v>
      </c>
      <c r="N334" s="6" t="str">
        <f>IFERROR(__xludf.DUMMYFUNCTION("""COMPUTED_VALUE"""),"startling")</f>
        <v>startling</v>
      </c>
      <c r="P334" s="6" t="str">
        <f>IFERROR(__xludf.DUMMYFUNCTION("""COMPUTED_VALUE"""),"sister")</f>
        <v>sister</v>
      </c>
      <c r="Q334" s="6" t="str">
        <f>IFERROR(__xludf.DUMMYFUNCTION("""COMPUTED_VALUE"""),"hugh")</f>
        <v>hugh</v>
      </c>
      <c r="S334" s="6" t="str">
        <f>IFERROR(__xludf.DUMMYFUNCTION("""COMPUTED_VALUE"""),"nomination")</f>
        <v>nomination</v>
      </c>
    </row>
    <row r="335">
      <c r="D335" s="6"/>
      <c r="G335" s="6" t="str">
        <f>IFERROR(__xludf.DUMMYFUNCTION("""COMPUTED_VALUE"""),"inspirational")</f>
        <v>inspirational</v>
      </c>
      <c r="H335" s="6" t="str">
        <f>IFERROR(__xludf.DUMMYFUNCTION("""COMPUTED_VALUE"""),"dover")</f>
        <v>dover</v>
      </c>
      <c r="I335" s="6" t="str">
        <f>IFERROR(__xludf.DUMMYFUNCTION("""COMPUTED_VALUE"""),"success")</f>
        <v>success</v>
      </c>
      <c r="J335" s="6" t="str">
        <f>IFERROR(__xludf.DUMMYFUNCTION("""COMPUTED_VALUE"""),"apartheid")</f>
        <v>apartheid</v>
      </c>
      <c r="L335" s="6" t="str">
        <f>IFERROR(__xludf.DUMMYFUNCTION("""COMPUTED_VALUE"""),"murphy")</f>
        <v>murphy</v>
      </c>
      <c r="M335" s="6" t="str">
        <f>IFERROR(__xludf.DUMMYFUNCTION("""COMPUTED_VALUE"""),"allow")</f>
        <v>allow</v>
      </c>
      <c r="N335" s="6" t="str">
        <f>IFERROR(__xludf.DUMMYFUNCTION("""COMPUTED_VALUE"""),"devoid")</f>
        <v>devoid</v>
      </c>
      <c r="P335" s="6" t="str">
        <f>IFERROR(__xludf.DUMMYFUNCTION("""COMPUTED_VALUE"""),"subject")</f>
        <v>subject</v>
      </c>
      <c r="Q335" s="6" t="str">
        <f>IFERROR(__xludf.DUMMYFUNCTION("""COMPUTED_VALUE"""),"stay")</f>
        <v>stay</v>
      </c>
      <c r="S335" s="6" t="str">
        <f>IFERROR(__xludf.DUMMYFUNCTION("""COMPUTED_VALUE"""),"also")</f>
        <v>also</v>
      </c>
    </row>
    <row r="336">
      <c r="D336" s="6"/>
      <c r="G336" s="6" t="str">
        <f>IFERROR(__xludf.DUMMYFUNCTION("""COMPUTED_VALUE"""),"status")</f>
        <v>status</v>
      </c>
      <c r="H336" s="6" t="str">
        <f>IFERROR(__xludf.DUMMYFUNCTION("""COMPUTED_VALUE"""),"potent")</f>
        <v>potent</v>
      </c>
      <c r="I336" s="6" t="str">
        <f>IFERROR(__xludf.DUMMYFUNCTION("""COMPUTED_VALUE"""),"unexpected")</f>
        <v>unexpected</v>
      </c>
      <c r="J336" s="6" t="str">
        <f>IFERROR(__xludf.DUMMYFUNCTION("""COMPUTED_VALUE"""),"canvas")</f>
        <v>canvas</v>
      </c>
      <c r="L336" s="6" t="str">
        <f>IFERROR(__xludf.DUMMYFUNCTION("""COMPUTED_VALUE"""),"absorbing")</f>
        <v>absorbing</v>
      </c>
      <c r="M336" s="6" t="str">
        <f>IFERROR(__xludf.DUMMYFUNCTION("""COMPUTED_VALUE"""),"brought")</f>
        <v>brought</v>
      </c>
      <c r="N336" s="6" t="str">
        <f>IFERROR(__xludf.DUMMYFUNCTION("""COMPUTED_VALUE"""),"fatal")</f>
        <v>fatal</v>
      </c>
      <c r="P336" s="6" t="str">
        <f>IFERROR(__xludf.DUMMYFUNCTION("""COMPUTED_VALUE"""),"overcome")</f>
        <v>overcome</v>
      </c>
      <c r="Q336" s="6" t="str">
        <f>IFERROR(__xludf.DUMMYFUNCTION("""COMPUTED_VALUE"""),"urban")</f>
        <v>urban</v>
      </c>
      <c r="S336" s="6" t="str">
        <f>IFERROR(__xludf.DUMMYFUNCTION("""COMPUTED_VALUE"""),"unusual")</f>
        <v>unusual</v>
      </c>
    </row>
    <row r="337">
      <c r="D337" s="6"/>
      <c r="G337" s="6" t="str">
        <f>IFERROR(__xludf.DUMMYFUNCTION("""COMPUTED_VALUE"""),"jerking")</f>
        <v>jerking</v>
      </c>
      <c r="H337" s="6" t="str">
        <f>IFERROR(__xludf.DUMMYFUNCTION("""COMPUTED_VALUE"""),"seeks")</f>
        <v>seeks</v>
      </c>
      <c r="I337" s="6" t="str">
        <f>IFERROR(__xludf.DUMMYFUNCTION("""COMPUTED_VALUE"""),"dream")</f>
        <v>dream</v>
      </c>
      <c r="J337" s="6" t="str">
        <f>IFERROR(__xludf.DUMMYFUNCTION("""COMPUTED_VALUE"""),"irony")</f>
        <v>irony</v>
      </c>
      <c r="L337" s="6" t="str">
        <f>IFERROR(__xludf.DUMMYFUNCTION("""COMPUTED_VALUE"""),"treatise")</f>
        <v>treatise</v>
      </c>
      <c r="M337" s="6" t="str">
        <f>IFERROR(__xludf.DUMMYFUNCTION("""COMPUTED_VALUE"""),"slightly")</f>
        <v>slightly</v>
      </c>
      <c r="N337" s="6" t="str">
        <f>IFERROR(__xludf.DUMMYFUNCTION("""COMPUTED_VALUE"""),"bollywood")</f>
        <v>bollywood</v>
      </c>
      <c r="P337" s="6" t="str">
        <f>IFERROR(__xludf.DUMMYFUNCTION("""COMPUTED_VALUE"""),"run")</f>
        <v>run</v>
      </c>
      <c r="Q337" s="6" t="str">
        <f>IFERROR(__xludf.DUMMYFUNCTION("""COMPUTED_VALUE"""),"insight")</f>
        <v>insight</v>
      </c>
      <c r="S337" s="6" t="str">
        <f>IFERROR(__xludf.DUMMYFUNCTION("""COMPUTED_VALUE"""),"beginning")</f>
        <v>beginning</v>
      </c>
    </row>
    <row r="338">
      <c r="D338" s="6"/>
      <c r="G338" s="6" t="str">
        <f>IFERROR(__xludf.DUMMYFUNCTION("""COMPUTED_VALUE"""),"turkey")</f>
        <v>turkey</v>
      </c>
      <c r="H338" s="6" t="str">
        <f>IFERROR(__xludf.DUMMYFUNCTION("""COMPUTED_VALUE"""),"insult")</f>
        <v>insult</v>
      </c>
      <c r="I338" s="6" t="str">
        <f>IFERROR(__xludf.DUMMYFUNCTION("""COMPUTED_VALUE"""),"frustration")</f>
        <v>frustration</v>
      </c>
      <c r="J338" s="6" t="str">
        <f>IFERROR(__xludf.DUMMYFUNCTION("""COMPUTED_VALUE"""),"modern")</f>
        <v>modern</v>
      </c>
      <c r="L338" s="6" t="str">
        <f>IFERROR(__xludf.DUMMYFUNCTION("""COMPUTED_VALUE"""),"writer")</f>
        <v>writer</v>
      </c>
      <c r="M338" s="6" t="str">
        <f>IFERROR(__xludf.DUMMYFUNCTION("""COMPUTED_VALUE"""),"teacher")</f>
        <v>teacher</v>
      </c>
      <c r="N338" s="6" t="str">
        <f>IFERROR(__xludf.DUMMYFUNCTION("""COMPUTED_VALUE"""),"profoundly")</f>
        <v>profoundly</v>
      </c>
      <c r="P338" s="6" t="str">
        <f>IFERROR(__xludf.DUMMYFUNCTION("""COMPUTED_VALUE"""),"cover")</f>
        <v>cover</v>
      </c>
      <c r="Q338" s="6" t="str">
        <f>IFERROR(__xludf.DUMMYFUNCTION("""COMPUTED_VALUE"""),"genuine")</f>
        <v>genuine</v>
      </c>
      <c r="S338" s="6" t="str">
        <f>IFERROR(__xludf.DUMMYFUNCTION("""COMPUTED_VALUE"""),"halfway")</f>
        <v>halfway</v>
      </c>
    </row>
    <row r="339">
      <c r="D339" s="6"/>
      <c r="G339" s="6" t="str">
        <f>IFERROR(__xludf.DUMMYFUNCTION("""COMPUTED_VALUE"""),"cruelty")</f>
        <v>cruelty</v>
      </c>
      <c r="H339" s="6" t="str">
        <f>IFERROR(__xludf.DUMMYFUNCTION("""COMPUTED_VALUE"""),"apartheid")</f>
        <v>apartheid</v>
      </c>
      <c r="I339" s="6" t="str">
        <f>IFERROR(__xludf.DUMMYFUNCTION("""COMPUTED_VALUE"""),"pleasure")</f>
        <v>pleasure</v>
      </c>
      <c r="J339" s="6" t="str">
        <f>IFERROR(__xludf.DUMMYFUNCTION("""COMPUTED_VALUE"""),"thematic")</f>
        <v>thematic</v>
      </c>
      <c r="L339" s="6" t="str">
        <f>IFERROR(__xludf.DUMMYFUNCTION("""COMPUTED_VALUE"""),"caine")</f>
        <v>caine</v>
      </c>
      <c r="M339" s="6" t="str">
        <f>IFERROR(__xludf.DUMMYFUNCTION("""COMPUTED_VALUE"""),"minute")</f>
        <v>minute</v>
      </c>
      <c r="N339" s="6" t="str">
        <f>IFERROR(__xludf.DUMMYFUNCTION("""COMPUTED_VALUE"""),"am")</f>
        <v>am</v>
      </c>
      <c r="P339" s="6" t="str">
        <f>IFERROR(__xludf.DUMMYFUNCTION("""COMPUTED_VALUE"""),"low")</f>
        <v>low</v>
      </c>
      <c r="Q339" s="6" t="str">
        <f>IFERROR(__xludf.DUMMYFUNCTION("""COMPUTED_VALUE"""),"tones")</f>
        <v>tones</v>
      </c>
      <c r="S339" s="6" t="str">
        <f>IFERROR(__xludf.DUMMYFUNCTION("""COMPUTED_VALUE"""),"hard")</f>
        <v>hard</v>
      </c>
    </row>
    <row r="340">
      <c r="D340" s="6"/>
      <c r="G340" s="6" t="str">
        <f>IFERROR(__xludf.DUMMYFUNCTION("""COMPUTED_VALUE"""),"english")</f>
        <v>english</v>
      </c>
      <c r="H340" s="6" t="str">
        <f>IFERROR(__xludf.DUMMYFUNCTION("""COMPUTED_VALUE"""),"korean")</f>
        <v>korean</v>
      </c>
      <c r="I340" s="6" t="str">
        <f>IFERROR(__xludf.DUMMYFUNCTION("""COMPUTED_VALUE"""),"bottom")</f>
        <v>bottom</v>
      </c>
      <c r="J340" s="6" t="str">
        <f>IFERROR(__xludf.DUMMYFUNCTION("""COMPUTED_VALUE"""),"smug")</f>
        <v>smug</v>
      </c>
      <c r="L340" s="6" t="str">
        <f>IFERROR(__xludf.DUMMYFUNCTION("""COMPUTED_VALUE"""),"ultimately")</f>
        <v>ultimately</v>
      </c>
      <c r="M340" s="6" t="str">
        <f>IFERROR(__xludf.DUMMYFUNCTION("""COMPUTED_VALUE"""),"realize")</f>
        <v>realize</v>
      </c>
      <c r="N340" s="6" t="str">
        <f>IFERROR(__xludf.DUMMYFUNCTION("""COMPUTED_VALUE"""),"cannes")</f>
        <v>cannes</v>
      </c>
      <c r="P340" s="6" t="str">
        <f>IFERROR(__xludf.DUMMYFUNCTION("""COMPUTED_VALUE"""),"walked")</f>
        <v>walked</v>
      </c>
      <c r="Q340" s="6" t="str">
        <f>IFERROR(__xludf.DUMMYFUNCTION("""COMPUTED_VALUE"""),"brown")</f>
        <v>brown</v>
      </c>
      <c r="S340" s="6" t="str">
        <f>IFERROR(__xludf.DUMMYFUNCTION("""COMPUTED_VALUE"""),"arts")</f>
        <v>arts</v>
      </c>
    </row>
    <row r="341">
      <c r="D341" s="6"/>
      <c r="G341" s="6" t="str">
        <f>IFERROR(__xludf.DUMMYFUNCTION("""COMPUTED_VALUE"""),"pushes")</f>
        <v>pushes</v>
      </c>
      <c r="H341" s="6" t="str">
        <f>IFERROR(__xludf.DUMMYFUNCTION("""COMPUTED_VALUE"""),"canvas")</f>
        <v>canvas</v>
      </c>
      <c r="I341" s="6" t="str">
        <f>IFERROR(__xludf.DUMMYFUNCTION("""COMPUTED_VALUE"""),"guilty")</f>
        <v>guilty</v>
      </c>
      <c r="J341" s="6" t="str">
        <f>IFERROR(__xludf.DUMMYFUNCTION("""COMPUTED_VALUE"""),"equations")</f>
        <v>equations</v>
      </c>
      <c r="L341" s="6" t="str">
        <f>IFERROR(__xludf.DUMMYFUNCTION("""COMPUTED_VALUE"""),"changing")</f>
        <v>changing</v>
      </c>
      <c r="M341" s="6" t="str">
        <f>IFERROR(__xludf.DUMMYFUNCTION("""COMPUTED_VALUE"""),"structure")</f>
        <v>structure</v>
      </c>
      <c r="N341" s="6" t="str">
        <f>IFERROR(__xludf.DUMMYFUNCTION("""COMPUTED_VALUE"""),"focused")</f>
        <v>focused</v>
      </c>
      <c r="P341" s="6" t="str">
        <f>IFERROR(__xludf.DUMMYFUNCTION("""COMPUTED_VALUE"""),"transition")</f>
        <v>transition</v>
      </c>
      <c r="Q341" s="6" t="str">
        <f>IFERROR(__xludf.DUMMYFUNCTION("""COMPUTED_VALUE"""),"lane")</f>
        <v>lane</v>
      </c>
      <c r="S341" s="6" t="str">
        <f>IFERROR(__xludf.DUMMYFUNCTION("""COMPUTED_VALUE"""),"camera")</f>
        <v>camera</v>
      </c>
    </row>
    <row r="342">
      <c r="D342" s="6"/>
      <c r="G342" s="6" t="str">
        <f>IFERROR(__xludf.DUMMYFUNCTION("""COMPUTED_VALUE"""),"hoffman")</f>
        <v>hoffman</v>
      </c>
      <c r="H342" s="6" t="str">
        <f>IFERROR(__xludf.DUMMYFUNCTION("""COMPUTED_VALUE"""),"irony")</f>
        <v>irony</v>
      </c>
      <c r="I342" s="6" t="str">
        <f>IFERROR(__xludf.DUMMYFUNCTION("""COMPUTED_VALUE"""),"miracle")</f>
        <v>miracle</v>
      </c>
      <c r="J342" s="6" t="str">
        <f>IFERROR(__xludf.DUMMYFUNCTION("""COMPUTED_VALUE"""),"captures")</f>
        <v>captures</v>
      </c>
      <c r="L342" s="6" t="str">
        <f>IFERROR(__xludf.DUMMYFUNCTION("""COMPUTED_VALUE"""),"precious")</f>
        <v>precious</v>
      </c>
      <c r="M342" s="6" t="str">
        <f>IFERROR(__xludf.DUMMYFUNCTION("""COMPUTED_VALUE"""),"unlikely")</f>
        <v>unlikely</v>
      </c>
      <c r="N342" s="6" t="str">
        <f>IFERROR(__xludf.DUMMYFUNCTION("""COMPUTED_VALUE"""),"rises")</f>
        <v>rises</v>
      </c>
      <c r="P342" s="6" t="str">
        <f>IFERROR(__xludf.DUMMYFUNCTION("""COMPUTED_VALUE"""),"stage")</f>
        <v>stage</v>
      </c>
      <c r="Q342" s="6" t="str">
        <f>IFERROR(__xludf.DUMMYFUNCTION("""COMPUTED_VALUE"""),"celebration")</f>
        <v>celebration</v>
      </c>
      <c r="S342" s="6" t="str">
        <f>IFERROR(__xludf.DUMMYFUNCTION("""COMPUTED_VALUE"""),"moves")</f>
        <v>moves</v>
      </c>
    </row>
    <row r="343">
      <c r="D343" s="6"/>
      <c r="G343" s="6" t="str">
        <f>IFERROR(__xludf.DUMMYFUNCTION("""COMPUTED_VALUE"""),"charismatic")</f>
        <v>charismatic</v>
      </c>
      <c r="H343" s="6" t="str">
        <f>IFERROR(__xludf.DUMMYFUNCTION("""COMPUTED_VALUE"""),"complete")</f>
        <v>complete</v>
      </c>
      <c r="I343" s="6" t="str">
        <f>IFERROR(__xludf.DUMMYFUNCTION("""COMPUTED_VALUE"""),"lewis")</f>
        <v>lewis</v>
      </c>
      <c r="J343" s="6" t="str">
        <f>IFERROR(__xludf.DUMMYFUNCTION("""COMPUTED_VALUE"""),"deserve")</f>
        <v>deserve</v>
      </c>
      <c r="L343" s="6" t="str">
        <f>IFERROR(__xludf.DUMMYFUNCTION("""COMPUTED_VALUE"""),"gripping")</f>
        <v>gripping</v>
      </c>
      <c r="M343" s="6" t="str">
        <f>IFERROR(__xludf.DUMMYFUNCTION("""COMPUTED_VALUE"""),"centuries")</f>
        <v>centuries</v>
      </c>
      <c r="N343" s="6" t="str">
        <f>IFERROR(__xludf.DUMMYFUNCTION("""COMPUTED_VALUE"""),"holm")</f>
        <v>holm</v>
      </c>
      <c r="P343" s="6" t="str">
        <f>IFERROR(__xludf.DUMMYFUNCTION("""COMPUTED_VALUE"""),"screen")</f>
        <v>screen</v>
      </c>
      <c r="Q343" s="6" t="str">
        <f>IFERROR(__xludf.DUMMYFUNCTION("""COMPUTED_VALUE"""),"warm")</f>
        <v>warm</v>
      </c>
      <c r="S343" s="6" t="str">
        <f>IFERROR(__xludf.DUMMYFUNCTION("""COMPUTED_VALUE"""),"stream")</f>
        <v>stream</v>
      </c>
    </row>
    <row r="344">
      <c r="D344" s="6"/>
      <c r="G344" s="6" t="str">
        <f>IFERROR(__xludf.DUMMYFUNCTION("""COMPUTED_VALUE"""),"harmless")</f>
        <v>harmless</v>
      </c>
      <c r="H344" s="6" t="str">
        <f>IFERROR(__xludf.DUMMYFUNCTION("""COMPUTED_VALUE"""),"thematic")</f>
        <v>thematic</v>
      </c>
      <c r="I344" s="6" t="str">
        <f>IFERROR(__xludf.DUMMYFUNCTION("""COMPUTED_VALUE"""),"davies")</f>
        <v>davies</v>
      </c>
      <c r="J344" s="6" t="str">
        <f>IFERROR(__xludf.DUMMYFUNCTION("""COMPUTED_VALUE"""),"stupid")</f>
        <v>stupid</v>
      </c>
      <c r="L344" s="6" t="str">
        <f>IFERROR(__xludf.DUMMYFUNCTION("""COMPUTED_VALUE"""),"startling")</f>
        <v>startling</v>
      </c>
      <c r="M344" s="6" t="str">
        <f>IFERROR(__xludf.DUMMYFUNCTION("""COMPUTED_VALUE"""),"tossed")</f>
        <v>tossed</v>
      </c>
      <c r="N344" s="6" t="str">
        <f>IFERROR(__xludf.DUMMYFUNCTION("""COMPUTED_VALUE"""),"monumental")</f>
        <v>monumental</v>
      </c>
      <c r="P344" s="6" t="str">
        <f>IFERROR(__xludf.DUMMYFUNCTION("""COMPUTED_VALUE"""),"next")</f>
        <v>next</v>
      </c>
      <c r="Q344" s="6" t="str">
        <f>IFERROR(__xludf.DUMMYFUNCTION("""COMPUTED_VALUE"""),"metaphor")</f>
        <v>metaphor</v>
      </c>
      <c r="S344" s="6" t="str">
        <f>IFERROR(__xludf.DUMMYFUNCTION("""COMPUTED_VALUE"""),"street")</f>
        <v>street</v>
      </c>
    </row>
    <row r="345">
      <c r="D345" s="6"/>
      <c r="G345" s="6" t="str">
        <f>IFERROR(__xludf.DUMMYFUNCTION("""COMPUTED_VALUE"""),"uncertain")</f>
        <v>uncertain</v>
      </c>
      <c r="H345" s="6" t="str">
        <f>IFERROR(__xludf.DUMMYFUNCTION("""COMPUTED_VALUE"""),"road")</f>
        <v>road</v>
      </c>
      <c r="I345" s="6" t="str">
        <f>IFERROR(__xludf.DUMMYFUNCTION("""COMPUTED_VALUE"""),"office")</f>
        <v>office</v>
      </c>
      <c r="J345" s="6" t="str">
        <f>IFERROR(__xludf.DUMMYFUNCTION("""COMPUTED_VALUE"""),"sexuality")</f>
        <v>sexuality</v>
      </c>
      <c r="L345" s="6" t="str">
        <f>IFERROR(__xludf.DUMMYFUNCTION("""COMPUTED_VALUE"""),"devoid")</f>
        <v>devoid</v>
      </c>
      <c r="M345" s="6" t="str">
        <f>IFERROR(__xludf.DUMMYFUNCTION("""COMPUTED_VALUE"""),"consequences")</f>
        <v>consequences</v>
      </c>
      <c r="N345" s="6" t="str">
        <f>IFERROR(__xludf.DUMMYFUNCTION("""COMPUTED_VALUE"""),"attempts")</f>
        <v>attempts</v>
      </c>
      <c r="P345" s="6" t="str">
        <f>IFERROR(__xludf.DUMMYFUNCTION("""COMPUTED_VALUE"""),"backward")</f>
        <v>backward</v>
      </c>
      <c r="Q345" s="6" t="str">
        <f>IFERROR(__xludf.DUMMYFUNCTION("""COMPUTED_VALUE"""),"retains")</f>
        <v>retains</v>
      </c>
      <c r="S345" s="6" t="str">
        <f>IFERROR(__xludf.DUMMYFUNCTION("""COMPUTED_VALUE"""),"claim")</f>
        <v>claim</v>
      </c>
    </row>
    <row r="346">
      <c r="D346" s="6"/>
      <c r="G346" s="6" t="str">
        <f>IFERROR(__xludf.DUMMYFUNCTION("""COMPUTED_VALUE"""),"editing")</f>
        <v>editing</v>
      </c>
      <c r="H346" s="6" t="str">
        <f>IFERROR(__xludf.DUMMYFUNCTION("""COMPUTED_VALUE"""),"politics")</f>
        <v>politics</v>
      </c>
      <c r="I346" s="6" t="str">
        <f>IFERROR(__xludf.DUMMYFUNCTION("""COMPUTED_VALUE"""),"none")</f>
        <v>none</v>
      </c>
      <c r="J346" s="6" t="str">
        <f>IFERROR(__xludf.DUMMYFUNCTION("""COMPUTED_VALUE"""),"combining")</f>
        <v>combining</v>
      </c>
      <c r="L346" s="6" t="str">
        <f>IFERROR(__xludf.DUMMYFUNCTION("""COMPUTED_VALUE"""),"fatal")</f>
        <v>fatal</v>
      </c>
      <c r="M346" s="6" t="str">
        <f>IFERROR(__xludf.DUMMYFUNCTION("""COMPUTED_VALUE"""),"including")</f>
        <v>including</v>
      </c>
      <c r="N346" s="6" t="str">
        <f>IFERROR(__xludf.DUMMYFUNCTION("""COMPUTED_VALUE"""),"frantic")</f>
        <v>frantic</v>
      </c>
      <c r="P346" s="6" t="str">
        <f>IFERROR(__xludf.DUMMYFUNCTION("""COMPUTED_VALUE"""),"giant")</f>
        <v>giant</v>
      </c>
      <c r="Q346" s="6" t="str">
        <f>IFERROR(__xludf.DUMMYFUNCTION("""COMPUTED_VALUE"""),"resonance")</f>
        <v>resonance</v>
      </c>
      <c r="S346" s="6" t="str">
        <f>IFERROR(__xludf.DUMMYFUNCTION("""COMPUTED_VALUE"""),"performed")</f>
        <v>performed</v>
      </c>
    </row>
    <row r="347">
      <c r="D347" s="6"/>
      <c r="G347" s="6" t="str">
        <f>IFERROR(__xludf.DUMMYFUNCTION("""COMPUTED_VALUE"""),"strength")</f>
        <v>strength</v>
      </c>
      <c r="H347" s="6" t="str">
        <f>IFERROR(__xludf.DUMMYFUNCTION("""COMPUTED_VALUE"""),"smug")</f>
        <v>smug</v>
      </c>
      <c r="I347" s="6" t="str">
        <f>IFERROR(__xludf.DUMMYFUNCTION("""COMPUTED_VALUE"""),"poem")</f>
        <v>poem</v>
      </c>
      <c r="J347" s="6" t="str">
        <f>IFERROR(__xludf.DUMMYFUNCTION("""COMPUTED_VALUE"""),"indictment")</f>
        <v>indictment</v>
      </c>
      <c r="L347" s="6" t="str">
        <f>IFERROR(__xludf.DUMMYFUNCTION("""COMPUTED_VALUE"""),"developed")</f>
        <v>developed</v>
      </c>
      <c r="M347" s="6" t="str">
        <f>IFERROR(__xludf.DUMMYFUNCTION("""COMPUTED_VALUE"""),"scope")</f>
        <v>scope</v>
      </c>
      <c r="N347" s="6" t="str">
        <f>IFERROR(__xludf.DUMMYFUNCTION("""COMPUTED_VALUE"""),"pulse")</f>
        <v>pulse</v>
      </c>
      <c r="P347" s="6" t="str">
        <f>IFERROR(__xludf.DUMMYFUNCTION("""COMPUTED_VALUE"""),"interviews")</f>
        <v>interviews</v>
      </c>
      <c r="Q347" s="6" t="str">
        <f>IFERROR(__xludf.DUMMYFUNCTION("""COMPUTED_VALUE"""),"viewers")</f>
        <v>viewers</v>
      </c>
      <c r="S347" s="6" t="str">
        <f>IFERROR(__xludf.DUMMYFUNCTION("""COMPUTED_VALUE"""),"valuable")</f>
        <v>valuable</v>
      </c>
    </row>
    <row r="348">
      <c r="D348" s="6"/>
      <c r="G348" s="6" t="str">
        <f>IFERROR(__xludf.DUMMYFUNCTION("""COMPUTED_VALUE"""),"directors")</f>
        <v>directors</v>
      </c>
      <c r="H348" s="6" t="str">
        <f>IFERROR(__xludf.DUMMYFUNCTION("""COMPUTED_VALUE"""),"obvious")</f>
        <v>obvious</v>
      </c>
      <c r="I348" s="6">
        <f>IFERROR(__xludf.DUMMYFUNCTION("""COMPUTED_VALUE"""),1989.0)</f>
        <v>1989</v>
      </c>
      <c r="J348" s="6" t="str">
        <f>IFERROR(__xludf.DUMMYFUNCTION("""COMPUTED_VALUE"""),"finally")</f>
        <v>finally</v>
      </c>
      <c r="L348" s="6" t="str">
        <f>IFERROR(__xludf.DUMMYFUNCTION("""COMPUTED_VALUE"""),"sketch")</f>
        <v>sketch</v>
      </c>
      <c r="M348" s="6" t="str">
        <f>IFERROR(__xludf.DUMMYFUNCTION("""COMPUTED_VALUE"""),"source")</f>
        <v>source</v>
      </c>
      <c r="N348" s="6" t="str">
        <f>IFERROR(__xludf.DUMMYFUNCTION("""COMPUTED_VALUE"""),"subconscious")</f>
        <v>subconscious</v>
      </c>
      <c r="P348" s="6" t="str">
        <f>IFERROR(__xludf.DUMMYFUNCTION("""COMPUTED_VALUE"""),"decades")</f>
        <v>decades</v>
      </c>
      <c r="Q348" s="6" t="str">
        <f>IFERROR(__xludf.DUMMYFUNCTION("""COMPUTED_VALUE"""),"handsome")</f>
        <v>handsome</v>
      </c>
      <c r="S348" s="6" t="str">
        <f>IFERROR(__xludf.DUMMYFUNCTION("""COMPUTED_VALUE"""),"thanks")</f>
        <v>thanks</v>
      </c>
    </row>
    <row r="349">
      <c r="D349" s="6"/>
      <c r="G349" s="6" t="str">
        <f>IFERROR(__xludf.DUMMYFUNCTION("""COMPUTED_VALUE"""),"stephen")</f>
        <v>stephen</v>
      </c>
      <c r="H349" s="6" t="str">
        <f>IFERROR(__xludf.DUMMYFUNCTION("""COMPUTED_VALUE"""),"equations")</f>
        <v>equations</v>
      </c>
      <c r="I349" s="6" t="str">
        <f>IFERROR(__xludf.DUMMYFUNCTION("""COMPUTED_VALUE"""),"maintain")</f>
        <v>maintain</v>
      </c>
      <c r="J349" s="6" t="str">
        <f>IFERROR(__xludf.DUMMYFUNCTION("""COMPUTED_VALUE"""),"offensive")</f>
        <v>offensive</v>
      </c>
      <c r="L349" s="6" t="str">
        <f>IFERROR(__xludf.DUMMYFUNCTION("""COMPUTED_VALUE"""),"vincent")</f>
        <v>vincent</v>
      </c>
      <c r="M349" s="6" t="str">
        <f>IFERROR(__xludf.DUMMYFUNCTION("""COMPUTED_VALUE"""),"spanish")</f>
        <v>spanish</v>
      </c>
      <c r="N349" s="6" t="str">
        <f>IFERROR(__xludf.DUMMYFUNCTION("""COMPUTED_VALUE"""),"ought")</f>
        <v>ought</v>
      </c>
      <c r="P349" s="6" t="str">
        <f>IFERROR(__xludf.DUMMYFUNCTION("""COMPUTED_VALUE"""),"failing")</f>
        <v>failing</v>
      </c>
      <c r="Q349" s="6" t="str">
        <f>IFERROR(__xludf.DUMMYFUNCTION("""COMPUTED_VALUE"""),"either")</f>
        <v>either</v>
      </c>
      <c r="S349" s="6" t="str">
        <f>IFERROR(__xludf.DUMMYFUNCTION("""COMPUTED_VALUE"""),"grow")</f>
        <v>grow</v>
      </c>
    </row>
    <row r="350">
      <c r="D350" s="6"/>
      <c r="G350" s="6" t="str">
        <f>IFERROR(__xludf.DUMMYFUNCTION("""COMPUTED_VALUE"""),"fact")</f>
        <v>fact</v>
      </c>
      <c r="H350" s="6" t="str">
        <f>IFERROR(__xludf.DUMMYFUNCTION("""COMPUTED_VALUE"""),"captures")</f>
        <v>captures</v>
      </c>
      <c r="I350" s="6" t="str">
        <f>IFERROR(__xludf.DUMMYFUNCTION("""COMPUTED_VALUE"""),"heavily")</f>
        <v>heavily</v>
      </c>
      <c r="J350" s="6" t="str">
        <f>IFERROR(__xludf.DUMMYFUNCTION("""COMPUTED_VALUE"""),"clause")</f>
        <v>clause</v>
      </c>
      <c r="L350" s="6" t="str">
        <f>IFERROR(__xludf.DUMMYFUNCTION("""COMPUTED_VALUE"""),"bollywood")</f>
        <v>bollywood</v>
      </c>
      <c r="M350" s="6" t="str">
        <f>IFERROR(__xludf.DUMMYFUNCTION("""COMPUTED_VALUE"""),"spend")</f>
        <v>spend</v>
      </c>
      <c r="N350" s="6" t="str">
        <f>IFERROR(__xludf.DUMMYFUNCTION("""COMPUTED_VALUE"""),"stirring")</f>
        <v>stirring</v>
      </c>
      <c r="P350" s="6" t="str">
        <f>IFERROR(__xludf.DUMMYFUNCTION("""COMPUTED_VALUE"""),"growth")</f>
        <v>growth</v>
      </c>
      <c r="Q350" s="6" t="str">
        <f>IFERROR(__xludf.DUMMYFUNCTION("""COMPUTED_VALUE"""),"debut")</f>
        <v>debut</v>
      </c>
      <c r="S350" s="6" t="str">
        <f>IFERROR(__xludf.DUMMYFUNCTION("""COMPUTED_VALUE"""),"collection")</f>
        <v>collection</v>
      </c>
    </row>
    <row r="351">
      <c r="D351" s="6"/>
      <c r="G351" s="6" t="str">
        <f>IFERROR(__xludf.DUMMYFUNCTION("""COMPUTED_VALUE"""),"richer")</f>
        <v>richer</v>
      </c>
      <c r="H351" s="6" t="str">
        <f>IFERROR(__xludf.DUMMYFUNCTION("""COMPUTED_VALUE"""),"deserve")</f>
        <v>deserve</v>
      </c>
      <c r="I351" s="6" t="str">
        <f>IFERROR(__xludf.DUMMYFUNCTION("""COMPUTED_VALUE"""),"pile")</f>
        <v>pile</v>
      </c>
      <c r="J351" s="6" t="str">
        <f>IFERROR(__xludf.DUMMYFUNCTION("""COMPUTED_VALUE"""),"loose")</f>
        <v>loose</v>
      </c>
      <c r="L351" s="6" t="str">
        <f>IFERROR(__xludf.DUMMYFUNCTION("""COMPUTED_VALUE"""),"monsoon")</f>
        <v>monsoon</v>
      </c>
      <c r="M351" s="6" t="str">
        <f>IFERROR(__xludf.DUMMYFUNCTION("""COMPUTED_VALUE"""),"technology")</f>
        <v>technology</v>
      </c>
      <c r="N351" s="6" t="str">
        <f>IFERROR(__xludf.DUMMYFUNCTION("""COMPUTED_VALUE"""),"struggling")</f>
        <v>struggling</v>
      </c>
      <c r="P351" s="6" t="str">
        <f>IFERROR(__xludf.DUMMYFUNCTION("""COMPUTED_VALUE"""),"opera")</f>
        <v>opera</v>
      </c>
      <c r="Q351" s="6" t="str">
        <f>IFERROR(__xludf.DUMMYFUNCTION("""COMPUTED_VALUE"""),"haunting")</f>
        <v>haunting</v>
      </c>
      <c r="S351" s="6" t="str">
        <f>IFERROR(__xludf.DUMMYFUNCTION("""COMPUTED_VALUE"""),"well")</f>
        <v>well</v>
      </c>
    </row>
    <row r="352">
      <c r="D352" s="6"/>
      <c r="G352" s="6" t="str">
        <f>IFERROR(__xludf.DUMMYFUNCTION("""COMPUTED_VALUE"""),"hearst")</f>
        <v>hearst</v>
      </c>
      <c r="H352" s="6" t="str">
        <f>IFERROR(__xludf.DUMMYFUNCTION("""COMPUTED_VALUE"""),"stupid")</f>
        <v>stupid</v>
      </c>
      <c r="I352" s="6" t="str">
        <f>IFERROR(__xludf.DUMMYFUNCTION("""COMPUTED_VALUE"""),"souls")</f>
        <v>souls</v>
      </c>
      <c r="J352" s="6" t="str">
        <f>IFERROR(__xludf.DUMMYFUNCTION("""COMPUTED_VALUE"""),"prove")</f>
        <v>prove</v>
      </c>
      <c r="L352" s="6" t="str">
        <f>IFERROR(__xludf.DUMMYFUNCTION("""COMPUTED_VALUE"""),"profoundly")</f>
        <v>profoundly</v>
      </c>
      <c r="M352" s="6" t="str">
        <f>IFERROR(__xludf.DUMMYFUNCTION("""COMPUTED_VALUE"""),"status")</f>
        <v>status</v>
      </c>
      <c r="N352" s="6" t="str">
        <f>IFERROR(__xludf.DUMMYFUNCTION("""COMPUTED_VALUE"""),"pointed")</f>
        <v>pointed</v>
      </c>
      <c r="P352" s="6" t="str">
        <f>IFERROR(__xludf.DUMMYFUNCTION("""COMPUTED_VALUE"""),"simply")</f>
        <v>simply</v>
      </c>
      <c r="Q352" s="6" t="str">
        <f>IFERROR(__xludf.DUMMYFUNCTION("""COMPUTED_VALUE"""),"mainly")</f>
        <v>mainly</v>
      </c>
      <c r="S352" s="6" t="str">
        <f>IFERROR(__xludf.DUMMYFUNCTION("""COMPUTED_VALUE"""),"rest")</f>
        <v>rest</v>
      </c>
    </row>
    <row r="353">
      <c r="D353" s="6"/>
      <c r="G353" s="6" t="str">
        <f>IFERROR(__xludf.DUMMYFUNCTION("""COMPUTED_VALUE"""),"hollow")</f>
        <v>hollow</v>
      </c>
      <c r="H353" s="6" t="str">
        <f>IFERROR(__xludf.DUMMYFUNCTION("""COMPUTED_VALUE"""),"sexuality")</f>
        <v>sexuality</v>
      </c>
      <c r="I353" s="6" t="str">
        <f>IFERROR(__xludf.DUMMYFUNCTION("""COMPUTED_VALUE"""),"hint")</f>
        <v>hint</v>
      </c>
      <c r="J353" s="6" t="str">
        <f>IFERROR(__xludf.DUMMYFUNCTION("""COMPUTED_VALUE"""),"revealing")</f>
        <v>revealing</v>
      </c>
      <c r="L353" s="6" t="str">
        <f>IFERROR(__xludf.DUMMYFUNCTION("""COMPUTED_VALUE"""),"recommendation")</f>
        <v>recommendation</v>
      </c>
      <c r="M353" s="6" t="str">
        <f>IFERROR(__xludf.DUMMYFUNCTION("""COMPUTED_VALUE"""),"identity")</f>
        <v>identity</v>
      </c>
      <c r="N353" s="6" t="str">
        <f>IFERROR(__xludf.DUMMYFUNCTION("""COMPUTED_VALUE"""),"political")</f>
        <v>political</v>
      </c>
      <c r="P353" s="6" t="str">
        <f>IFERROR(__xludf.DUMMYFUNCTION("""COMPUTED_VALUE"""),"species")</f>
        <v>species</v>
      </c>
      <c r="Q353" s="6" t="str">
        <f>IFERROR(__xludf.DUMMYFUNCTION("""COMPUTED_VALUE"""),"fine")</f>
        <v>fine</v>
      </c>
      <c r="S353" s="6" t="str">
        <f>IFERROR(__xludf.DUMMYFUNCTION("""COMPUTED_VALUE"""),"elevated")</f>
        <v>elevated</v>
      </c>
    </row>
    <row r="354">
      <c r="D354" s="6"/>
      <c r="G354" s="6" t="str">
        <f>IFERROR(__xludf.DUMMYFUNCTION("""COMPUTED_VALUE"""),"groundbreaking")</f>
        <v>groundbreaking</v>
      </c>
      <c r="H354" s="6" t="str">
        <f>IFERROR(__xludf.DUMMYFUNCTION("""COMPUTED_VALUE"""),"combining")</f>
        <v>combining</v>
      </c>
      <c r="I354" s="6" t="str">
        <f>IFERROR(__xludf.DUMMYFUNCTION("""COMPUTED_VALUE"""),"ages")</f>
        <v>ages</v>
      </c>
      <c r="J354" s="6" t="str">
        <f>IFERROR(__xludf.DUMMYFUNCTION("""COMPUTED_VALUE"""),"done")</f>
        <v>done</v>
      </c>
      <c r="L354" s="6" t="str">
        <f>IFERROR(__xludf.DUMMYFUNCTION("""COMPUTED_VALUE"""),"am")</f>
        <v>am</v>
      </c>
      <c r="M354" s="6" t="str">
        <f>IFERROR(__xludf.DUMMYFUNCTION("""COMPUTED_VALUE"""),"turkey")</f>
        <v>turkey</v>
      </c>
      <c r="N354" s="6" t="str">
        <f>IFERROR(__xludf.DUMMYFUNCTION("""COMPUTED_VALUE"""),"leon")</f>
        <v>leon</v>
      </c>
      <c r="P354" s="6" t="str">
        <f>IFERROR(__xludf.DUMMYFUNCTION("""COMPUTED_VALUE"""),"leaves")</f>
        <v>leaves</v>
      </c>
      <c r="Q354" s="6" t="str">
        <f>IFERROR(__xludf.DUMMYFUNCTION("""COMPUTED_VALUE"""),"seats")</f>
        <v>seats</v>
      </c>
      <c r="S354" s="6" t="str">
        <f>IFERROR(__xludf.DUMMYFUNCTION("""COMPUTED_VALUE"""),"grant")</f>
        <v>grant</v>
      </c>
    </row>
    <row r="355">
      <c r="D355" s="6"/>
      <c r="G355" s="6" t="str">
        <f>IFERROR(__xludf.DUMMYFUNCTION("""COMPUTED_VALUE"""),"endeavor")</f>
        <v>endeavor</v>
      </c>
      <c r="H355" s="6" t="str">
        <f>IFERROR(__xludf.DUMMYFUNCTION("""COMPUTED_VALUE"""),"indictment")</f>
        <v>indictment</v>
      </c>
      <c r="I355" s="6" t="str">
        <f>IFERROR(__xludf.DUMMYFUNCTION("""COMPUTED_VALUE"""),"immediate")</f>
        <v>immediate</v>
      </c>
      <c r="J355" s="6" t="str">
        <f>IFERROR(__xludf.DUMMYFUNCTION("""COMPUTED_VALUE"""),"illumination")</f>
        <v>illumination</v>
      </c>
      <c r="L355" s="6" t="str">
        <f>IFERROR(__xludf.DUMMYFUNCTION("""COMPUTED_VALUE"""),"cannes")</f>
        <v>cannes</v>
      </c>
      <c r="M355" s="6" t="str">
        <f>IFERROR(__xludf.DUMMYFUNCTION("""COMPUTED_VALUE"""),"fame")</f>
        <v>fame</v>
      </c>
      <c r="N355" s="6" t="str">
        <f>IFERROR(__xludf.DUMMYFUNCTION("""COMPUTED_VALUE"""),"monster")</f>
        <v>monster</v>
      </c>
      <c r="P355" s="6" t="str">
        <f>IFERROR(__xludf.DUMMYFUNCTION("""COMPUTED_VALUE"""),"question")</f>
        <v>question</v>
      </c>
      <c r="Q355" s="6" t="str">
        <f>IFERROR(__xludf.DUMMYFUNCTION("""COMPUTED_VALUE"""),"passages")</f>
        <v>passages</v>
      </c>
      <c r="S355" s="6" t="str">
        <f>IFERROR(__xludf.DUMMYFUNCTION("""COMPUTED_VALUE"""),"hugh")</f>
        <v>hugh</v>
      </c>
    </row>
    <row r="356">
      <c r="D356" s="6"/>
      <c r="G356" s="6" t="str">
        <f>IFERROR(__xludf.DUMMYFUNCTION("""COMPUTED_VALUE"""),"musicals")</f>
        <v>musicals</v>
      </c>
      <c r="H356" s="6" t="str">
        <f>IFERROR(__xludf.DUMMYFUNCTION("""COMPUTED_VALUE"""),"offensive")</f>
        <v>offensive</v>
      </c>
      <c r="I356" s="6" t="str">
        <f>IFERROR(__xludf.DUMMYFUNCTION("""COMPUTED_VALUE"""),"worry")</f>
        <v>worry</v>
      </c>
      <c r="J356" s="6" t="str">
        <f>IFERROR(__xludf.DUMMYFUNCTION("""COMPUTED_VALUE"""),"chilling")</f>
        <v>chilling</v>
      </c>
      <c r="L356" s="6" t="str">
        <f>IFERROR(__xludf.DUMMYFUNCTION("""COMPUTED_VALUE"""),"focused")</f>
        <v>focused</v>
      </c>
      <c r="M356" s="6" t="str">
        <f>IFERROR(__xludf.DUMMYFUNCTION("""COMPUTED_VALUE"""),"russian")</f>
        <v>russian</v>
      </c>
      <c r="N356" s="6" t="str">
        <f>IFERROR(__xludf.DUMMYFUNCTION("""COMPUTED_VALUE"""),"satirical")</f>
        <v>satirical</v>
      </c>
      <c r="P356" s="6" t="str">
        <f>IFERROR(__xludf.DUMMYFUNCTION("""COMPUTED_VALUE"""),"open")</f>
        <v>open</v>
      </c>
      <c r="Q356" s="6" t="str">
        <f>IFERROR(__xludf.DUMMYFUNCTION("""COMPUTED_VALUE"""),"beings")</f>
        <v>beings</v>
      </c>
      <c r="S356" s="6" t="str">
        <f>IFERROR(__xludf.DUMMYFUNCTION("""COMPUTED_VALUE"""),"early")</f>
        <v>early</v>
      </c>
    </row>
    <row r="357">
      <c r="D357" s="6"/>
      <c r="G357" s="6" t="str">
        <f>IFERROR(__xludf.DUMMYFUNCTION("""COMPUTED_VALUE"""),"cerebral")</f>
        <v>cerebral</v>
      </c>
      <c r="H357" s="6" t="str">
        <f>IFERROR(__xludf.DUMMYFUNCTION("""COMPUTED_VALUE"""),"clause")</f>
        <v>clause</v>
      </c>
      <c r="I357" s="6" t="str">
        <f>IFERROR(__xludf.DUMMYFUNCTION("""COMPUTED_VALUE"""),"convince")</f>
        <v>convince</v>
      </c>
      <c r="J357" s="6" t="str">
        <f>IFERROR(__xludf.DUMMYFUNCTION("""COMPUTED_VALUE"""),"reefs")</f>
        <v>reefs</v>
      </c>
      <c r="L357" s="6" t="str">
        <f>IFERROR(__xludf.DUMMYFUNCTION("""COMPUTED_VALUE"""),"understands")</f>
        <v>understands</v>
      </c>
      <c r="M357" s="6" t="str">
        <f>IFERROR(__xludf.DUMMYFUNCTION("""COMPUTED_VALUE"""),"english")</f>
        <v>english</v>
      </c>
      <c r="N357" s="6" t="str">
        <f>IFERROR(__xludf.DUMMYFUNCTION("""COMPUTED_VALUE"""),"truth")</f>
        <v>truth</v>
      </c>
      <c r="P357" s="6" t="str">
        <f>IFERROR(__xludf.DUMMYFUNCTION("""COMPUTED_VALUE"""),"failure")</f>
        <v>failure</v>
      </c>
      <c r="Q357" s="6" t="str">
        <f>IFERROR(__xludf.DUMMYFUNCTION("""COMPUTED_VALUE"""),"players")</f>
        <v>players</v>
      </c>
      <c r="S357" s="6" t="str">
        <f>IFERROR(__xludf.DUMMYFUNCTION("""COMPUTED_VALUE"""),"stay")</f>
        <v>stay</v>
      </c>
    </row>
    <row r="358">
      <c r="D358" s="6"/>
      <c r="G358" s="6" t="str">
        <f>IFERROR(__xludf.DUMMYFUNCTION("""COMPUTED_VALUE"""),"manners")</f>
        <v>manners</v>
      </c>
      <c r="H358" s="6" t="str">
        <f>IFERROR(__xludf.DUMMYFUNCTION("""COMPUTED_VALUE"""),"emotionally")</f>
        <v>emotionally</v>
      </c>
      <c r="I358" s="6" t="str">
        <f>IFERROR(__xludf.DUMMYFUNCTION("""COMPUTED_VALUE"""),"documentary")</f>
        <v>documentary</v>
      </c>
      <c r="J358" s="6" t="str">
        <f>IFERROR(__xludf.DUMMYFUNCTION("""COMPUTED_VALUE"""),"submarine")</f>
        <v>submarine</v>
      </c>
      <c r="L358" s="6" t="str">
        <f>IFERROR(__xludf.DUMMYFUNCTION("""COMPUTED_VALUE"""),"harry")</f>
        <v>harry</v>
      </c>
      <c r="M358" s="6" t="str">
        <f>IFERROR(__xludf.DUMMYFUNCTION("""COMPUTED_VALUE"""),"uncertain")</f>
        <v>uncertain</v>
      </c>
      <c r="N358" s="6" t="str">
        <f>IFERROR(__xludf.DUMMYFUNCTION("""COMPUTED_VALUE"""),"magnetic")</f>
        <v>magnetic</v>
      </c>
      <c r="P358" s="6" t="str">
        <f>IFERROR(__xludf.DUMMYFUNCTION("""COMPUTED_VALUE"""),"suffering")</f>
        <v>suffering</v>
      </c>
      <c r="Q358" s="6" t="str">
        <f>IFERROR(__xludf.DUMMYFUNCTION("""COMPUTED_VALUE"""),"gifted")</f>
        <v>gifted</v>
      </c>
      <c r="S358" s="6" t="str">
        <f>IFERROR(__xludf.DUMMYFUNCTION("""COMPUTED_VALUE"""),"arrive")</f>
        <v>arrive</v>
      </c>
    </row>
    <row r="359">
      <c r="D359" s="6"/>
      <c r="G359" s="6" t="str">
        <f>IFERROR(__xludf.DUMMYFUNCTION("""COMPUTED_VALUE"""),"themes")</f>
        <v>themes</v>
      </c>
      <c r="H359" s="6" t="str">
        <f>IFERROR(__xludf.DUMMYFUNCTION("""COMPUTED_VALUE"""),"loose")</f>
        <v>loose</v>
      </c>
      <c r="I359" s="6" t="str">
        <f>IFERROR(__xludf.DUMMYFUNCTION("""COMPUTED_VALUE"""),"kills")</f>
        <v>kills</v>
      </c>
      <c r="J359" s="6" t="str">
        <f>IFERROR(__xludf.DUMMYFUNCTION("""COMPUTED_VALUE"""),"supernatural")</f>
        <v>supernatural</v>
      </c>
      <c r="L359" s="6" t="str">
        <f>IFERROR(__xludf.DUMMYFUNCTION("""COMPUTED_VALUE"""),"holm")</f>
        <v>holm</v>
      </c>
      <c r="M359" s="6" t="str">
        <f>IFERROR(__xludf.DUMMYFUNCTION("""COMPUTED_VALUE"""),"editing")</f>
        <v>editing</v>
      </c>
      <c r="N359" s="6" t="str">
        <f>IFERROR(__xludf.DUMMYFUNCTION("""COMPUTED_VALUE"""),"inherent")</f>
        <v>inherent</v>
      </c>
      <c r="P359" s="6" t="str">
        <f>IFERROR(__xludf.DUMMYFUNCTION("""COMPUTED_VALUE"""),"powerful")</f>
        <v>powerful</v>
      </c>
      <c r="Q359" s="6" t="str">
        <f>IFERROR(__xludf.DUMMYFUNCTION("""COMPUTED_VALUE"""),"fore")</f>
        <v>fore</v>
      </c>
      <c r="S359" s="6" t="str">
        <f>IFERROR(__xludf.DUMMYFUNCTION("""COMPUTED_VALUE"""),"urban")</f>
        <v>urban</v>
      </c>
    </row>
    <row r="360">
      <c r="D360" s="6"/>
      <c r="G360" s="6" t="str">
        <f>IFERROR(__xludf.DUMMYFUNCTION("""COMPUTED_VALUE"""),"betrayal")</f>
        <v>betrayal</v>
      </c>
      <c r="H360" s="6" t="str">
        <f>IFERROR(__xludf.DUMMYFUNCTION("""COMPUTED_VALUE"""),"revealing")</f>
        <v>revealing</v>
      </c>
      <c r="I360" s="6" t="str">
        <f>IFERROR(__xludf.DUMMYFUNCTION("""COMPUTED_VALUE"""),"edge")</f>
        <v>edge</v>
      </c>
      <c r="J360" s="6" t="str">
        <f>IFERROR(__xludf.DUMMYFUNCTION("""COMPUTED_VALUE"""),"simulate")</f>
        <v>simulate</v>
      </c>
      <c r="L360" s="6" t="str">
        <f>IFERROR(__xludf.DUMMYFUNCTION("""COMPUTED_VALUE"""),"monumental")</f>
        <v>monumental</v>
      </c>
      <c r="M360" s="6" t="str">
        <f>IFERROR(__xludf.DUMMYFUNCTION("""COMPUTED_VALUE"""),"strength")</f>
        <v>strength</v>
      </c>
      <c r="N360" s="6" t="str">
        <f>IFERROR(__xludf.DUMMYFUNCTION("""COMPUTED_VALUE"""),"potential")</f>
        <v>potential</v>
      </c>
      <c r="P360" s="6" t="str">
        <f>IFERROR(__xludf.DUMMYFUNCTION("""COMPUTED_VALUE"""),"clinic")</f>
        <v>clinic</v>
      </c>
      <c r="Q360" s="6" t="str">
        <f>IFERROR(__xludf.DUMMYFUNCTION("""COMPUTED_VALUE"""),"made")</f>
        <v>made</v>
      </c>
      <c r="S360" s="6" t="str">
        <f>IFERROR(__xludf.DUMMYFUNCTION("""COMPUTED_VALUE"""),"hours")</f>
        <v>hours</v>
      </c>
    </row>
    <row r="361">
      <c r="D361" s="6"/>
      <c r="G361" s="6" t="str">
        <f>IFERROR(__xludf.DUMMYFUNCTION("""COMPUTED_VALUE"""),"wants")</f>
        <v>wants</v>
      </c>
      <c r="H361" s="6" t="str">
        <f>IFERROR(__xludf.DUMMYFUNCTION("""COMPUTED_VALUE"""),"illumination")</f>
        <v>illumination</v>
      </c>
      <c r="I361" s="6" t="str">
        <f>IFERROR(__xludf.DUMMYFUNCTION("""COMPUTED_VALUE"""),"ranks")</f>
        <v>ranks</v>
      </c>
      <c r="J361" s="6" t="str">
        <f>IFERROR(__xludf.DUMMYFUNCTION("""COMPUTED_VALUE"""),"idiots")</f>
        <v>idiots</v>
      </c>
      <c r="L361" s="6" t="str">
        <f>IFERROR(__xludf.DUMMYFUNCTION("""COMPUTED_VALUE"""),"logic")</f>
        <v>logic</v>
      </c>
      <c r="M361" s="6" t="str">
        <f>IFERROR(__xludf.DUMMYFUNCTION("""COMPUTED_VALUE"""),"directors")</f>
        <v>directors</v>
      </c>
      <c r="N361" s="6" t="str">
        <f>IFERROR(__xludf.DUMMYFUNCTION("""COMPUTED_VALUE"""),"commentary")</f>
        <v>commentary</v>
      </c>
      <c r="P361" s="6" t="str">
        <f>IFERROR(__xludf.DUMMYFUNCTION("""COMPUTED_VALUE"""),"reason")</f>
        <v>reason</v>
      </c>
      <c r="Q361" s="6" t="str">
        <f>IFERROR(__xludf.DUMMYFUNCTION("""COMPUTED_VALUE"""),"dates")</f>
        <v>dates</v>
      </c>
      <c r="S361" s="6" t="str">
        <f>IFERROR(__xludf.DUMMYFUNCTION("""COMPUTED_VALUE"""),"brown")</f>
        <v>brown</v>
      </c>
    </row>
    <row r="362">
      <c r="D362" s="6"/>
      <c r="G362" s="6" t="str">
        <f>IFERROR(__xludf.DUMMYFUNCTION("""COMPUTED_VALUE"""),"african")</f>
        <v>african</v>
      </c>
      <c r="H362" s="6" t="str">
        <f>IFERROR(__xludf.DUMMYFUNCTION("""COMPUTED_VALUE"""),"darker")</f>
        <v>darker</v>
      </c>
      <c r="I362" s="6" t="str">
        <f>IFERROR(__xludf.DUMMYFUNCTION("""COMPUTED_VALUE"""),"courage")</f>
        <v>courage</v>
      </c>
      <c r="J362" s="6" t="str">
        <f>IFERROR(__xludf.DUMMYFUNCTION("""COMPUTED_VALUE"""),"spirit")</f>
        <v>spirit</v>
      </c>
      <c r="L362" s="6" t="str">
        <f>IFERROR(__xludf.DUMMYFUNCTION("""COMPUTED_VALUE"""),"attempts")</f>
        <v>attempts</v>
      </c>
      <c r="M362" s="6" t="str">
        <f>IFERROR(__xludf.DUMMYFUNCTION("""COMPUTED_VALUE"""),"stephen")</f>
        <v>stephen</v>
      </c>
      <c r="N362" s="6" t="str">
        <f>IFERROR(__xludf.DUMMYFUNCTION("""COMPUTED_VALUE"""),"vulgar")</f>
        <v>vulgar</v>
      </c>
      <c r="P362" s="6" t="str">
        <f>IFERROR(__xludf.DUMMYFUNCTION("""COMPUTED_VALUE"""),"needs")</f>
        <v>needs</v>
      </c>
      <c r="Q362" s="6" t="str">
        <f>IFERROR(__xludf.DUMMYFUNCTION("""COMPUTED_VALUE"""),"demands")</f>
        <v>demands</v>
      </c>
      <c r="S362" s="6" t="str">
        <f>IFERROR(__xludf.DUMMYFUNCTION("""COMPUTED_VALUE"""),"includes")</f>
        <v>includes</v>
      </c>
    </row>
    <row r="363">
      <c r="D363" s="6"/>
      <c r="G363" s="6" t="str">
        <f>IFERROR(__xludf.DUMMYFUNCTION("""COMPUTED_VALUE"""),"jolly")</f>
        <v>jolly</v>
      </c>
      <c r="H363" s="6" t="str">
        <f>IFERROR(__xludf.DUMMYFUNCTION("""COMPUTED_VALUE"""),"chilling")</f>
        <v>chilling</v>
      </c>
      <c r="I363" s="6" t="str">
        <f>IFERROR(__xludf.DUMMYFUNCTION("""COMPUTED_VALUE"""),"intellectual")</f>
        <v>intellectual</v>
      </c>
      <c r="J363" s="6" t="str">
        <f>IFERROR(__xludf.DUMMYFUNCTION("""COMPUTED_VALUE"""),"medium")</f>
        <v>medium</v>
      </c>
      <c r="L363" s="6" t="str">
        <f>IFERROR(__xludf.DUMMYFUNCTION("""COMPUTED_VALUE"""),"amusing")</f>
        <v>amusing</v>
      </c>
      <c r="M363" s="6" t="str">
        <f>IFERROR(__xludf.DUMMYFUNCTION("""COMPUTED_VALUE"""),"fact")</f>
        <v>fact</v>
      </c>
      <c r="N363" s="6" t="str">
        <f>IFERROR(__xludf.DUMMYFUNCTION("""COMPUTED_VALUE"""),"straight")</f>
        <v>straight</v>
      </c>
      <c r="P363" s="6" t="str">
        <f>IFERROR(__xludf.DUMMYFUNCTION("""COMPUTED_VALUE"""),"demanding")</f>
        <v>demanding</v>
      </c>
      <c r="Q363" s="6" t="str">
        <f>IFERROR(__xludf.DUMMYFUNCTION("""COMPUTED_VALUE"""),"undead")</f>
        <v>undead</v>
      </c>
      <c r="S363" s="6" t="str">
        <f>IFERROR(__xludf.DUMMYFUNCTION("""COMPUTED_VALUE"""),"crime")</f>
        <v>crime</v>
      </c>
    </row>
    <row r="364">
      <c r="D364" s="6"/>
      <c r="G364" s="6" t="str">
        <f>IFERROR(__xludf.DUMMYFUNCTION("""COMPUTED_VALUE"""),"survivors")</f>
        <v>survivors</v>
      </c>
      <c r="H364" s="6" t="str">
        <f>IFERROR(__xludf.DUMMYFUNCTION("""COMPUTED_VALUE"""),"reefs")</f>
        <v>reefs</v>
      </c>
      <c r="I364" s="6" t="str">
        <f>IFERROR(__xludf.DUMMYFUNCTION("""COMPUTED_VALUE"""),"general")</f>
        <v>general</v>
      </c>
      <c r="J364" s="6" t="str">
        <f>IFERROR(__xludf.DUMMYFUNCTION("""COMPUTED_VALUE"""),"gaping")</f>
        <v>gaping</v>
      </c>
      <c r="L364" s="6" t="str">
        <f>IFERROR(__xludf.DUMMYFUNCTION("""COMPUTED_VALUE"""),"pulse")</f>
        <v>pulse</v>
      </c>
      <c r="M364" s="6" t="str">
        <f>IFERROR(__xludf.DUMMYFUNCTION("""COMPUTED_VALUE"""),"hollow")</f>
        <v>hollow</v>
      </c>
      <c r="N364" s="6" t="str">
        <f>IFERROR(__xludf.DUMMYFUNCTION("""COMPUTED_VALUE"""),"light")</f>
        <v>light</v>
      </c>
      <c r="P364" s="6" t="str">
        <f>IFERROR(__xludf.DUMMYFUNCTION("""COMPUTED_VALUE"""),"making")</f>
        <v>making</v>
      </c>
      <c r="Q364" s="6" t="str">
        <f>IFERROR(__xludf.DUMMYFUNCTION("""COMPUTED_VALUE"""),"merely")</f>
        <v>merely</v>
      </c>
      <c r="S364" s="6" t="str">
        <f>IFERROR(__xludf.DUMMYFUNCTION("""COMPUTED_VALUE"""),"lane")</f>
        <v>lane</v>
      </c>
    </row>
    <row r="365">
      <c r="D365" s="6"/>
      <c r="G365" s="6" t="str">
        <f>IFERROR(__xludf.DUMMYFUNCTION("""COMPUTED_VALUE"""),"slim")</f>
        <v>slim</v>
      </c>
      <c r="H365" s="6" t="str">
        <f>IFERROR(__xludf.DUMMYFUNCTION("""COMPUTED_VALUE"""),"submarine")</f>
        <v>submarine</v>
      </c>
      <c r="I365" s="6" t="str">
        <f>IFERROR(__xludf.DUMMYFUNCTION("""COMPUTED_VALUE"""),"bore")</f>
        <v>bore</v>
      </c>
      <c r="J365" s="6" t="str">
        <f>IFERROR(__xludf.DUMMYFUNCTION("""COMPUTED_VALUE"""),"olympic")</f>
        <v>olympic</v>
      </c>
      <c r="L365" s="6" t="str">
        <f>IFERROR(__xludf.DUMMYFUNCTION("""COMPUTED_VALUE"""),"subconscious")</f>
        <v>subconscious</v>
      </c>
      <c r="M365" s="6" t="str">
        <f>IFERROR(__xludf.DUMMYFUNCTION("""COMPUTED_VALUE"""),"themes")</f>
        <v>themes</v>
      </c>
      <c r="N365" s="6" t="str">
        <f>IFERROR(__xludf.DUMMYFUNCTION("""COMPUTED_VALUE"""),"transporting")</f>
        <v>transporting</v>
      </c>
      <c r="P365" s="6" t="str">
        <f>IFERROR(__xludf.DUMMYFUNCTION("""COMPUTED_VALUE"""),"passion")</f>
        <v>passion</v>
      </c>
      <c r="Q365" s="6" t="str">
        <f>IFERROR(__xludf.DUMMYFUNCTION("""COMPUTED_VALUE"""),"momentum")</f>
        <v>momentum</v>
      </c>
      <c r="S365" s="6" t="str">
        <f>IFERROR(__xludf.DUMMYFUNCTION("""COMPUTED_VALUE"""),"fighting")</f>
        <v>fighting</v>
      </c>
    </row>
    <row r="366">
      <c r="D366" s="6"/>
      <c r="G366" s="6" t="str">
        <f>IFERROR(__xludf.DUMMYFUNCTION("""COMPUTED_VALUE"""),"nonsense")</f>
        <v>nonsense</v>
      </c>
      <c r="H366" s="6" t="str">
        <f>IFERROR(__xludf.DUMMYFUNCTION("""COMPUTED_VALUE"""),"supernatural")</f>
        <v>supernatural</v>
      </c>
      <c r="I366" s="6" t="str">
        <f>IFERROR(__xludf.DUMMYFUNCTION("""COMPUTED_VALUE"""),"suspect")</f>
        <v>suspect</v>
      </c>
      <c r="J366" s="6" t="str">
        <f>IFERROR(__xludf.DUMMYFUNCTION("""COMPUTED_VALUE"""),"blend")</f>
        <v>blend</v>
      </c>
      <c r="L366" s="6" t="str">
        <f>IFERROR(__xludf.DUMMYFUNCTION("""COMPUTED_VALUE"""),"guessing")</f>
        <v>guessing</v>
      </c>
      <c r="M366" s="6" t="str">
        <f>IFERROR(__xludf.DUMMYFUNCTION("""COMPUTED_VALUE"""),"wants")</f>
        <v>wants</v>
      </c>
      <c r="N366" s="6" t="str">
        <f>IFERROR(__xludf.DUMMYFUNCTION("""COMPUTED_VALUE"""),"belongs")</f>
        <v>belongs</v>
      </c>
      <c r="P366" s="6" t="str">
        <f>IFERROR(__xludf.DUMMYFUNCTION("""COMPUTED_VALUE"""),"formula")</f>
        <v>formula</v>
      </c>
      <c r="Q366" s="6" t="str">
        <f>IFERROR(__xludf.DUMMYFUNCTION("""COMPUTED_VALUE"""),"sand")</f>
        <v>sand</v>
      </c>
      <c r="S366" s="6" t="str">
        <f>IFERROR(__xludf.DUMMYFUNCTION("""COMPUTED_VALUE"""),"steven")</f>
        <v>steven</v>
      </c>
    </row>
    <row r="367">
      <c r="D367" s="6"/>
      <c r="G367" s="6" t="str">
        <f>IFERROR(__xludf.DUMMYFUNCTION("""COMPUTED_VALUE"""),"embarrassment")</f>
        <v>embarrassment</v>
      </c>
      <c r="H367" s="6" t="str">
        <f>IFERROR(__xludf.DUMMYFUNCTION("""COMPUTED_VALUE"""),"paranoid")</f>
        <v>paranoid</v>
      </c>
      <c r="I367" s="6" t="str">
        <f>IFERROR(__xludf.DUMMYFUNCTION("""COMPUTED_VALUE"""),"involving")</f>
        <v>involving</v>
      </c>
      <c r="J367" s="6" t="str">
        <f>IFERROR(__xludf.DUMMYFUNCTION("""COMPUTED_VALUE"""),"claude")</f>
        <v>claude</v>
      </c>
      <c r="L367" s="6" t="str">
        <f>IFERROR(__xludf.DUMMYFUNCTION("""COMPUTED_VALUE"""),"ought")</f>
        <v>ought</v>
      </c>
      <c r="M367" s="6" t="str">
        <f>IFERROR(__xludf.DUMMYFUNCTION("""COMPUTED_VALUE"""),"african")</f>
        <v>african</v>
      </c>
      <c r="N367" s="6" t="str">
        <f>IFERROR(__xludf.DUMMYFUNCTION("""COMPUTED_VALUE"""),"diversion")</f>
        <v>diversion</v>
      </c>
      <c r="P367" s="6" t="str">
        <f>IFERROR(__xludf.DUMMYFUNCTION("""COMPUTED_VALUE"""),"wrong")</f>
        <v>wrong</v>
      </c>
      <c r="Q367" s="6" t="str">
        <f>IFERROR(__xludf.DUMMYFUNCTION("""COMPUTED_VALUE"""),"characteristic")</f>
        <v>characteristic</v>
      </c>
      <c r="S367" s="6" t="str">
        <f>IFERROR(__xludf.DUMMYFUNCTION("""COMPUTED_VALUE"""),"water")</f>
        <v>water</v>
      </c>
    </row>
    <row r="368">
      <c r="D368" s="6"/>
      <c r="G368" s="6" t="str">
        <f>IFERROR(__xludf.DUMMYFUNCTION("""COMPUTED_VALUE"""),"imaginative")</f>
        <v>imaginative</v>
      </c>
      <c r="H368" s="6" t="str">
        <f>IFERROR(__xludf.DUMMYFUNCTION("""COMPUTED_VALUE"""),"simulate")</f>
        <v>simulate</v>
      </c>
      <c r="I368" s="6" t="str">
        <f>IFERROR(__xludf.DUMMYFUNCTION("""COMPUTED_VALUE"""),"universal")</f>
        <v>universal</v>
      </c>
      <c r="J368" s="6" t="str">
        <f>IFERROR(__xludf.DUMMYFUNCTION("""COMPUTED_VALUE"""),"master")</f>
        <v>master</v>
      </c>
      <c r="L368" s="6" t="str">
        <f>IFERROR(__xludf.DUMMYFUNCTION("""COMPUTED_VALUE"""),"stirring")</f>
        <v>stirring</v>
      </c>
      <c r="M368" s="6" t="str">
        <f>IFERROR(__xludf.DUMMYFUNCTION("""COMPUTED_VALUE"""),"survivors")</f>
        <v>survivors</v>
      </c>
      <c r="N368" s="6" t="str">
        <f>IFERROR(__xludf.DUMMYFUNCTION("""COMPUTED_VALUE"""),"linger")</f>
        <v>linger</v>
      </c>
      <c r="P368" s="6" t="str">
        <f>IFERROR(__xludf.DUMMYFUNCTION("""COMPUTED_VALUE"""),"distance")</f>
        <v>distance</v>
      </c>
      <c r="Q368" s="6" t="str">
        <f>IFERROR(__xludf.DUMMYFUNCTION("""COMPUTED_VALUE"""),"affecting")</f>
        <v>affecting</v>
      </c>
      <c r="S368" s="6" t="str">
        <f>IFERROR(__xludf.DUMMYFUNCTION("""COMPUTED_VALUE"""),"red")</f>
        <v>red</v>
      </c>
    </row>
    <row r="369">
      <c r="D369" s="6"/>
      <c r="G369" s="6" t="str">
        <f>IFERROR(__xludf.DUMMYFUNCTION("""COMPUTED_VALUE"""),"somber")</f>
        <v>somber</v>
      </c>
      <c r="H369" s="6" t="str">
        <f>IFERROR(__xludf.DUMMYFUNCTION("""COMPUTED_VALUE"""),"idiots")</f>
        <v>idiots</v>
      </c>
      <c r="I369" s="6" t="str">
        <f>IFERROR(__xludf.DUMMYFUNCTION("""COMPUTED_VALUE"""),"edited")</f>
        <v>edited</v>
      </c>
      <c r="J369" s="6" t="str">
        <f>IFERROR(__xludf.DUMMYFUNCTION("""COMPUTED_VALUE"""),"inuit")</f>
        <v>inuit</v>
      </c>
      <c r="L369" s="6" t="str">
        <f>IFERROR(__xludf.DUMMYFUNCTION("""COMPUTED_VALUE"""),"struggling")</f>
        <v>struggling</v>
      </c>
      <c r="M369" s="6" t="str">
        <f>IFERROR(__xludf.DUMMYFUNCTION("""COMPUTED_VALUE"""),"eating")</f>
        <v>eating</v>
      </c>
      <c r="N369" s="6" t="str">
        <f>IFERROR(__xludf.DUMMYFUNCTION("""COMPUTED_VALUE"""),"floating")</f>
        <v>floating</v>
      </c>
      <c r="P369" s="6" t="str">
        <f>IFERROR(__xludf.DUMMYFUNCTION("""COMPUTED_VALUE"""),"man")</f>
        <v>man</v>
      </c>
      <c r="Q369" s="6" t="str">
        <f>IFERROR(__xludf.DUMMYFUNCTION("""COMPUTED_VALUE"""),"mira")</f>
        <v>mira</v>
      </c>
      <c r="S369" s="6" t="str">
        <f>IFERROR(__xludf.DUMMYFUNCTION("""COMPUTED_VALUE"""),"energy")</f>
        <v>energy</v>
      </c>
    </row>
    <row r="370">
      <c r="D370" s="6"/>
      <c r="G370" s="6" t="str">
        <f>IFERROR(__xludf.DUMMYFUNCTION("""COMPUTED_VALUE"""),"commerce")</f>
        <v>commerce</v>
      </c>
      <c r="H370" s="6" t="str">
        <f>IFERROR(__xludf.DUMMYFUNCTION("""COMPUTED_VALUE"""),"spirit")</f>
        <v>spirit</v>
      </c>
      <c r="I370" s="6" t="str">
        <f>IFERROR(__xludf.DUMMYFUNCTION("""COMPUTED_VALUE"""),"badly")</f>
        <v>badly</v>
      </c>
      <c r="J370" s="6" t="str">
        <f>IFERROR(__xludf.DUMMYFUNCTION("""COMPUTED_VALUE"""),"screenplay")</f>
        <v>screenplay</v>
      </c>
      <c r="L370" s="6" t="str">
        <f>IFERROR(__xludf.DUMMYFUNCTION("""COMPUTED_VALUE"""),"builds")</f>
        <v>builds</v>
      </c>
      <c r="M370" s="6" t="str">
        <f>IFERROR(__xludf.DUMMYFUNCTION("""COMPUTED_VALUE"""),"settle")</f>
        <v>settle</v>
      </c>
      <c r="N370" s="6" t="str">
        <f>IFERROR(__xludf.DUMMYFUNCTION("""COMPUTED_VALUE"""),"plays")</f>
        <v>plays</v>
      </c>
      <c r="P370" s="6" t="str">
        <f>IFERROR(__xludf.DUMMYFUNCTION("""COMPUTED_VALUE"""),"torture")</f>
        <v>torture</v>
      </c>
      <c r="Q370" s="6" t="str">
        <f>IFERROR(__xludf.DUMMYFUNCTION("""COMPUTED_VALUE"""),"limitations")</f>
        <v>limitations</v>
      </c>
      <c r="S370" s="6" t="str">
        <f>IFERROR(__xludf.DUMMYFUNCTION("""COMPUTED_VALUE"""),"warm")</f>
        <v>warm</v>
      </c>
    </row>
    <row r="371">
      <c r="D371" s="6"/>
      <c r="G371" s="6" t="str">
        <f>IFERROR(__xludf.DUMMYFUNCTION("""COMPUTED_VALUE"""),"subtly")</f>
        <v>subtly</v>
      </c>
      <c r="H371" s="6" t="str">
        <f>IFERROR(__xludf.DUMMYFUNCTION("""COMPUTED_VALUE"""),"gaping")</f>
        <v>gaping</v>
      </c>
      <c r="I371" s="6" t="str">
        <f>IFERROR(__xludf.DUMMYFUNCTION("""COMPUTED_VALUE"""),"check")</f>
        <v>check</v>
      </c>
      <c r="J371" s="6" t="str">
        <f>IFERROR(__xludf.DUMMYFUNCTION("""COMPUTED_VALUE"""),"bored")</f>
        <v>bored</v>
      </c>
      <c r="L371" s="6" t="str">
        <f>IFERROR(__xludf.DUMMYFUNCTION("""COMPUTED_VALUE"""),"christian")</f>
        <v>christian</v>
      </c>
      <c r="M371" s="6" t="str">
        <f>IFERROR(__xludf.DUMMYFUNCTION("""COMPUTED_VALUE"""),"viewed")</f>
        <v>viewed</v>
      </c>
      <c r="N371" s="6" t="str">
        <f>IFERROR(__xludf.DUMMYFUNCTION("""COMPUTED_VALUE"""),"opaque")</f>
        <v>opaque</v>
      </c>
      <c r="P371" s="6" t="str">
        <f>IFERROR(__xludf.DUMMYFUNCTION("""COMPUTED_VALUE"""),"argentine")</f>
        <v>argentine</v>
      </c>
      <c r="Q371" s="6" t="str">
        <f>IFERROR(__xludf.DUMMYFUNCTION("""COMPUTED_VALUE"""),"successful")</f>
        <v>successful</v>
      </c>
      <c r="S371" s="6" t="str">
        <f>IFERROR(__xludf.DUMMYFUNCTION("""COMPUTED_VALUE"""),"celebration")</f>
        <v>celebration</v>
      </c>
    </row>
    <row r="372">
      <c r="D372" s="6"/>
      <c r="G372" s="6" t="str">
        <f>IFERROR(__xludf.DUMMYFUNCTION("""COMPUTED_VALUE"""),"provoke")</f>
        <v>provoke</v>
      </c>
      <c r="H372" s="6" t="str">
        <f>IFERROR(__xludf.DUMMYFUNCTION("""COMPUTED_VALUE"""),"claude")</f>
        <v>claude</v>
      </c>
      <c r="I372" s="6" t="str">
        <f>IFERROR(__xludf.DUMMYFUNCTION("""COMPUTED_VALUE"""),"ticket")</f>
        <v>ticket</v>
      </c>
      <c r="J372" s="6" t="str">
        <f>IFERROR(__xludf.DUMMYFUNCTION("""COMPUTED_VALUE"""),"thoughtful")</f>
        <v>thoughtful</v>
      </c>
      <c r="L372" s="6" t="str">
        <f>IFERROR(__xludf.DUMMYFUNCTION("""COMPUTED_VALUE"""),"political")</f>
        <v>political</v>
      </c>
      <c r="M372" s="6" t="str">
        <f>IFERROR(__xludf.DUMMYFUNCTION("""COMPUTED_VALUE"""),"commerce")</f>
        <v>commerce</v>
      </c>
      <c r="N372" s="6" t="str">
        <f>IFERROR(__xludf.DUMMYFUNCTION("""COMPUTED_VALUE"""),"reel")</f>
        <v>reel</v>
      </c>
      <c r="P372" s="6" t="str">
        <f>IFERROR(__xludf.DUMMYFUNCTION("""COMPUTED_VALUE"""),"bride")</f>
        <v>bride</v>
      </c>
      <c r="Q372" s="6" t="str">
        <f>IFERROR(__xludf.DUMMYFUNCTION("""COMPUTED_VALUE"""),"moving")</f>
        <v>moving</v>
      </c>
      <c r="S372" s="6" t="str">
        <f>IFERROR(__xludf.DUMMYFUNCTION("""COMPUTED_VALUE"""),"home")</f>
        <v>home</v>
      </c>
    </row>
    <row r="373">
      <c r="D373" s="6"/>
      <c r="G373" s="6" t="str">
        <f>IFERROR(__xludf.DUMMYFUNCTION("""COMPUTED_VALUE"""),"collapses")</f>
        <v>collapses</v>
      </c>
      <c r="H373" s="6" t="str">
        <f>IFERROR(__xludf.DUMMYFUNCTION("""COMPUTED_VALUE"""),"master")</f>
        <v>master</v>
      </c>
      <c r="I373" s="6" t="str">
        <f>IFERROR(__xludf.DUMMYFUNCTION("""COMPUTED_VALUE"""),"complicated")</f>
        <v>complicated</v>
      </c>
      <c r="J373" s="6" t="str">
        <f>IFERROR(__xludf.DUMMYFUNCTION("""COMPUTED_VALUE"""),"tale")</f>
        <v>tale</v>
      </c>
      <c r="L373" s="6" t="str">
        <f>IFERROR(__xludf.DUMMYFUNCTION("""COMPUTED_VALUE"""),"leon")</f>
        <v>leon</v>
      </c>
      <c r="M373" s="6" t="str">
        <f>IFERROR(__xludf.DUMMYFUNCTION("""COMPUTED_VALUE"""),"consciousness")</f>
        <v>consciousness</v>
      </c>
      <c r="N373" s="6" t="str">
        <f>IFERROR(__xludf.DUMMYFUNCTION("""COMPUTED_VALUE"""),"leads")</f>
        <v>leads</v>
      </c>
      <c r="P373" s="6" t="str">
        <f>IFERROR(__xludf.DUMMYFUNCTION("""COMPUTED_VALUE"""),"points")</f>
        <v>points</v>
      </c>
      <c r="Q373" s="6" t="str">
        <f>IFERROR(__xludf.DUMMYFUNCTION("""COMPUTED_VALUE"""),"sequels")</f>
        <v>sequels</v>
      </c>
      <c r="S373" s="6" t="str">
        <f>IFERROR(__xludf.DUMMYFUNCTION("""COMPUTED_VALUE"""),"added")</f>
        <v>added</v>
      </c>
    </row>
    <row r="374">
      <c r="D374" s="6"/>
      <c r="G374" s="6" t="str">
        <f>IFERROR(__xludf.DUMMYFUNCTION("""COMPUTED_VALUE"""),"consciousness")</f>
        <v>consciousness</v>
      </c>
      <c r="H374" s="6" t="str">
        <f>IFERROR(__xludf.DUMMYFUNCTION("""COMPUTED_VALUE"""),"inuit")</f>
        <v>inuit</v>
      </c>
      <c r="I374" s="6" t="str">
        <f>IFERROR(__xludf.DUMMYFUNCTION("""COMPUTED_VALUE"""),"deals")</f>
        <v>deals</v>
      </c>
      <c r="J374" s="6" t="str">
        <f>IFERROR(__xludf.DUMMYFUNCTION("""COMPUTED_VALUE"""),"sitcom")</f>
        <v>sitcom</v>
      </c>
      <c r="L374" s="6" t="str">
        <f>IFERROR(__xludf.DUMMYFUNCTION("""COMPUTED_VALUE"""),"monster")</f>
        <v>monster</v>
      </c>
      <c r="M374" s="6" t="str">
        <f>IFERROR(__xludf.DUMMYFUNCTION("""COMPUTED_VALUE"""),"somebody")</f>
        <v>somebody</v>
      </c>
      <c r="N374" s="6" t="str">
        <f>IFERROR(__xludf.DUMMYFUNCTION("""COMPUTED_VALUE"""),"creates")</f>
        <v>creates</v>
      </c>
      <c r="P374" s="6" t="str">
        <f>IFERROR(__xludf.DUMMYFUNCTION("""COMPUTED_VALUE"""),"white")</f>
        <v>white</v>
      </c>
      <c r="Q374" s="6" t="str">
        <f>IFERROR(__xludf.DUMMYFUNCTION("""COMPUTED_VALUE"""),"accomplish")</f>
        <v>accomplish</v>
      </c>
      <c r="S374" s="6" t="str">
        <f>IFERROR(__xludf.DUMMYFUNCTION("""COMPUTED_VALUE"""),"viewers")</f>
        <v>viewers</v>
      </c>
    </row>
    <row r="375">
      <c r="D375" s="6"/>
      <c r="G375" s="6" t="str">
        <f>IFERROR(__xludf.DUMMYFUNCTION("""COMPUTED_VALUE"""),"climax")</f>
        <v>climax</v>
      </c>
      <c r="H375" s="6" t="str">
        <f>IFERROR(__xludf.DUMMYFUNCTION("""COMPUTED_VALUE"""),"screenplay")</f>
        <v>screenplay</v>
      </c>
      <c r="I375" s="6" t="str">
        <f>IFERROR(__xludf.DUMMYFUNCTION("""COMPUTED_VALUE"""),"quarter")</f>
        <v>quarter</v>
      </c>
      <c r="J375" s="6" t="str">
        <f>IFERROR(__xludf.DUMMYFUNCTION("""COMPUTED_VALUE"""),"report")</f>
        <v>report</v>
      </c>
      <c r="L375" s="6" t="str">
        <f>IFERROR(__xludf.DUMMYFUNCTION("""COMPUTED_VALUE"""),"satirical")</f>
        <v>satirical</v>
      </c>
      <c r="M375" s="6" t="str">
        <f>IFERROR(__xludf.DUMMYFUNCTION("""COMPUTED_VALUE"""),"scores")</f>
        <v>scores</v>
      </c>
      <c r="N375" s="6" t="str">
        <f>IFERROR(__xludf.DUMMYFUNCTION("""COMPUTED_VALUE"""),"sham")</f>
        <v>sham</v>
      </c>
      <c r="P375" s="6" t="str">
        <f>IFERROR(__xludf.DUMMYFUNCTION("""COMPUTED_VALUE"""),"wrapped")</f>
        <v>wrapped</v>
      </c>
      <c r="Q375" s="6" t="str">
        <f>IFERROR(__xludf.DUMMYFUNCTION("""COMPUTED_VALUE"""),"playwright")</f>
        <v>playwright</v>
      </c>
      <c r="S375" s="6" t="str">
        <f>IFERROR(__xludf.DUMMYFUNCTION("""COMPUTED_VALUE"""),"handsome")</f>
        <v>handsome</v>
      </c>
    </row>
    <row r="376">
      <c r="D376" s="6"/>
      <c r="G376" s="6" t="str">
        <f>IFERROR(__xludf.DUMMYFUNCTION("""COMPUTED_VALUE"""),"jealousy")</f>
        <v>jealousy</v>
      </c>
      <c r="H376" s="6" t="str">
        <f>IFERROR(__xludf.DUMMYFUNCTION("""COMPUTED_VALUE"""),"thoughtful")</f>
        <v>thoughtful</v>
      </c>
      <c r="I376" s="6" t="str">
        <f>IFERROR(__xludf.DUMMYFUNCTION("""COMPUTED_VALUE"""),"ensemble")</f>
        <v>ensemble</v>
      </c>
      <c r="J376" s="6" t="str">
        <f>IFERROR(__xludf.DUMMYFUNCTION("""COMPUTED_VALUE"""),"palestinian")</f>
        <v>palestinian</v>
      </c>
      <c r="L376" s="6" t="str">
        <f>IFERROR(__xludf.DUMMYFUNCTION("""COMPUTED_VALUE"""),"equivalent")</f>
        <v>equivalent</v>
      </c>
      <c r="M376" s="6" t="str">
        <f>IFERROR(__xludf.DUMMYFUNCTION("""COMPUTED_VALUE"""),"treat")</f>
        <v>treat</v>
      </c>
      <c r="N376" s="6" t="str">
        <f>IFERROR(__xludf.DUMMYFUNCTION("""COMPUTED_VALUE"""),"foundation")</f>
        <v>foundation</v>
      </c>
      <c r="P376" s="6" t="str">
        <f>IFERROR(__xludf.DUMMYFUNCTION("""COMPUTED_VALUE"""),"vulnerable")</f>
        <v>vulnerable</v>
      </c>
      <c r="Q376" s="6" t="str">
        <f>IFERROR(__xludf.DUMMYFUNCTION("""COMPUTED_VALUE"""),"poet")</f>
        <v>poet</v>
      </c>
      <c r="S376" s="6" t="str">
        <f>IFERROR(__xludf.DUMMYFUNCTION("""COMPUTED_VALUE"""),"either")</f>
        <v>either</v>
      </c>
    </row>
    <row r="377">
      <c r="D377" s="6"/>
      <c r="G377" s="6" t="str">
        <f>IFERROR(__xludf.DUMMYFUNCTION("""COMPUTED_VALUE"""),"autobiographical")</f>
        <v>autobiographical</v>
      </c>
      <c r="H377" s="6" t="str">
        <f>IFERROR(__xludf.DUMMYFUNCTION("""COMPUTED_VALUE"""),"tale")</f>
        <v>tale</v>
      </c>
      <c r="I377" s="6" t="str">
        <f>IFERROR(__xludf.DUMMYFUNCTION("""COMPUTED_VALUE"""),"painful")</f>
        <v>painful</v>
      </c>
      <c r="J377" s="6" t="str">
        <f>IFERROR(__xludf.DUMMYFUNCTION("""COMPUTED_VALUE"""),"strong")</f>
        <v>strong</v>
      </c>
      <c r="L377" s="6" t="str">
        <f>IFERROR(__xludf.DUMMYFUNCTION("""COMPUTED_VALUE"""),"truth")</f>
        <v>truth</v>
      </c>
      <c r="M377" s="6" t="str">
        <f>IFERROR(__xludf.DUMMYFUNCTION("""COMPUTED_VALUE"""),"chamber")</f>
        <v>chamber</v>
      </c>
      <c r="N377" s="6" t="str">
        <f>IFERROR(__xludf.DUMMYFUNCTION("""COMPUTED_VALUE"""),"competent")</f>
        <v>competent</v>
      </c>
      <c r="P377" s="6" t="str">
        <f>IFERROR(__xludf.DUMMYFUNCTION("""COMPUTED_VALUE"""),"frame")</f>
        <v>frame</v>
      </c>
      <c r="Q377" s="6" t="str">
        <f>IFERROR(__xludf.DUMMYFUNCTION("""COMPUTED_VALUE"""),"celebrated")</f>
        <v>celebrated</v>
      </c>
      <c r="S377" s="6" t="str">
        <f>IFERROR(__xludf.DUMMYFUNCTION("""COMPUTED_VALUE"""),"behind")</f>
        <v>behind</v>
      </c>
    </row>
    <row r="378">
      <c r="D378" s="6"/>
      <c r="G378" s="6" t="str">
        <f>IFERROR(__xludf.DUMMYFUNCTION("""COMPUTED_VALUE"""),"crafted")</f>
        <v>crafted</v>
      </c>
      <c r="H378" s="6" t="str">
        <f>IFERROR(__xludf.DUMMYFUNCTION("""COMPUTED_VALUE"""),"sitcom")</f>
        <v>sitcom</v>
      </c>
      <c r="I378" s="6" t="str">
        <f>IFERROR(__xludf.DUMMYFUNCTION("""COMPUTED_VALUE"""),"psychology")</f>
        <v>psychology</v>
      </c>
      <c r="J378" s="6" t="str">
        <f>IFERROR(__xludf.DUMMYFUNCTION("""COMPUTED_VALUE"""),"flickering")</f>
        <v>flickering</v>
      </c>
      <c r="L378" s="6" t="str">
        <f>IFERROR(__xludf.DUMMYFUNCTION("""COMPUTED_VALUE"""),"magnetic")</f>
        <v>magnetic</v>
      </c>
      <c r="M378" s="6" t="str">
        <f>IFERROR(__xludf.DUMMYFUNCTION("""COMPUTED_VALUE"""),"cultural")</f>
        <v>cultural</v>
      </c>
      <c r="N378" s="6" t="str">
        <f>IFERROR(__xludf.DUMMYFUNCTION("""COMPUTED_VALUE"""),"glorious")</f>
        <v>glorious</v>
      </c>
      <c r="P378" s="6" t="str">
        <f>IFERROR(__xludf.DUMMYFUNCTION("""COMPUTED_VALUE"""),"darling")</f>
        <v>darling</v>
      </c>
      <c r="Q378" s="6" t="str">
        <f>IFERROR(__xludf.DUMMYFUNCTION("""COMPUTED_VALUE"""),"sustain")</f>
        <v>sustain</v>
      </c>
      <c r="S378" s="6" t="str">
        <f>IFERROR(__xludf.DUMMYFUNCTION("""COMPUTED_VALUE"""),"debut")</f>
        <v>debut</v>
      </c>
    </row>
    <row r="379">
      <c r="D379" s="6"/>
      <c r="G379" s="6" t="str">
        <f>IFERROR(__xludf.DUMMYFUNCTION("""COMPUTED_VALUE"""),"aging")</f>
        <v>aging</v>
      </c>
      <c r="H379" s="6" t="str">
        <f>IFERROR(__xludf.DUMMYFUNCTION("""COMPUTED_VALUE"""),"testament")</f>
        <v>testament</v>
      </c>
      <c r="I379" s="6" t="str">
        <f>IFERROR(__xludf.DUMMYFUNCTION("""COMPUTED_VALUE"""),"allows")</f>
        <v>allows</v>
      </c>
      <c r="J379" s="6" t="str">
        <f>IFERROR(__xludf.DUMMYFUNCTION("""COMPUTED_VALUE"""),"loses")</f>
        <v>loses</v>
      </c>
      <c r="L379" s="6" t="str">
        <f>IFERROR(__xludf.DUMMYFUNCTION("""COMPUTED_VALUE"""),"inherent")</f>
        <v>inherent</v>
      </c>
      <c r="M379" s="6" t="str">
        <f>IFERROR(__xludf.DUMMYFUNCTION("""COMPUTED_VALUE"""),"circuit")</f>
        <v>circuit</v>
      </c>
      <c r="N379" s="6" t="str">
        <f>IFERROR(__xludf.DUMMYFUNCTION("""COMPUTED_VALUE"""),"strangely")</f>
        <v>strangely</v>
      </c>
      <c r="P379" s="6" t="str">
        <f>IFERROR(__xludf.DUMMYFUNCTION("""COMPUTED_VALUE"""),"violence")</f>
        <v>violence</v>
      </c>
      <c r="Q379" s="6" t="str">
        <f>IFERROR(__xludf.DUMMYFUNCTION("""COMPUTED_VALUE"""),"right")</f>
        <v>right</v>
      </c>
      <c r="S379" s="6" t="str">
        <f>IFERROR(__xludf.DUMMYFUNCTION("""COMPUTED_VALUE"""),"fine")</f>
        <v>fine</v>
      </c>
    </row>
    <row r="380">
      <c r="D380" s="6"/>
      <c r="G380" s="6" t="str">
        <f>IFERROR(__xludf.DUMMYFUNCTION("""COMPUTED_VALUE"""),"heightened")</f>
        <v>heightened</v>
      </c>
      <c r="H380" s="6" t="str">
        <f>IFERROR(__xludf.DUMMYFUNCTION("""COMPUTED_VALUE"""),"ability")</f>
        <v>ability</v>
      </c>
      <c r="I380" s="6" t="str">
        <f>IFERROR(__xludf.DUMMYFUNCTION("""COMPUTED_VALUE"""),"renowned")</f>
        <v>renowned</v>
      </c>
      <c r="J380" s="6" t="str">
        <f>IFERROR(__xludf.DUMMYFUNCTION("""COMPUTED_VALUE"""),"midway")</f>
        <v>midway</v>
      </c>
      <c r="L380" s="6" t="str">
        <f>IFERROR(__xludf.DUMMYFUNCTION("""COMPUTED_VALUE"""),"ghosts")</f>
        <v>ghosts</v>
      </c>
      <c r="M380" s="6" t="str">
        <f>IFERROR(__xludf.DUMMYFUNCTION("""COMPUTED_VALUE"""),"swept")</f>
        <v>swept</v>
      </c>
      <c r="N380" s="6" t="str">
        <f>IFERROR(__xludf.DUMMYFUNCTION("""COMPUTED_VALUE"""),"indie")</f>
        <v>indie</v>
      </c>
      <c r="P380" s="6" t="str">
        <f>IFERROR(__xludf.DUMMYFUNCTION("""COMPUTED_VALUE"""),"humanity")</f>
        <v>humanity</v>
      </c>
      <c r="Q380" s="6" t="str">
        <f>IFERROR(__xludf.DUMMYFUNCTION("""COMPUTED_VALUE"""),"summer")</f>
        <v>summer</v>
      </c>
      <c r="S380" s="6" t="str">
        <f>IFERROR(__xludf.DUMMYFUNCTION("""COMPUTED_VALUE"""),"mainly")</f>
        <v>mainly</v>
      </c>
    </row>
    <row r="381">
      <c r="D381" s="6"/>
      <c r="G381" s="6" t="str">
        <f>IFERROR(__xludf.DUMMYFUNCTION("""COMPUTED_VALUE"""),"virtues")</f>
        <v>virtues</v>
      </c>
      <c r="H381" s="6" t="str">
        <f>IFERROR(__xludf.DUMMYFUNCTION("""COMPUTED_VALUE"""),"report")</f>
        <v>report</v>
      </c>
      <c r="I381" s="6" t="str">
        <f>IFERROR(__xludf.DUMMYFUNCTION("""COMPUTED_VALUE"""),"professionals")</f>
        <v>professionals</v>
      </c>
      <c r="J381" s="6" t="str">
        <f>IFERROR(__xludf.DUMMYFUNCTION("""COMPUTED_VALUE"""),"rodriguez")</f>
        <v>rodriguez</v>
      </c>
      <c r="L381" s="6" t="str">
        <f>IFERROR(__xludf.DUMMYFUNCTION("""COMPUTED_VALUE"""),"suitable")</f>
        <v>suitable</v>
      </c>
      <c r="M381" s="6" t="str">
        <f>IFERROR(__xludf.DUMMYFUNCTION("""COMPUTED_VALUE"""),"johnny")</f>
        <v>johnny</v>
      </c>
      <c r="N381" s="6" t="str">
        <f>IFERROR(__xludf.DUMMYFUNCTION("""COMPUTED_VALUE"""),"hopkins")</f>
        <v>hopkins</v>
      </c>
      <c r="P381" s="6" t="str">
        <f>IFERROR(__xludf.DUMMYFUNCTION("""COMPUTED_VALUE"""),"force")</f>
        <v>force</v>
      </c>
      <c r="Q381" s="6" t="str">
        <f>IFERROR(__xludf.DUMMYFUNCTION("""COMPUTED_VALUE"""),"filmmaker")</f>
        <v>filmmaker</v>
      </c>
      <c r="S381" s="6" t="str">
        <f>IFERROR(__xludf.DUMMYFUNCTION("""COMPUTED_VALUE"""),"seats")</f>
        <v>seats</v>
      </c>
    </row>
    <row r="382">
      <c r="D382" s="6"/>
      <c r="G382" s="6" t="str">
        <f>IFERROR(__xludf.DUMMYFUNCTION("""COMPUTED_VALUE"""),"flawed")</f>
        <v>flawed</v>
      </c>
      <c r="H382" s="6" t="str">
        <f>IFERROR(__xludf.DUMMYFUNCTION("""COMPUTED_VALUE"""),"palestinian")</f>
        <v>palestinian</v>
      </c>
      <c r="I382" s="6" t="str">
        <f>IFERROR(__xludf.DUMMYFUNCTION("""COMPUTED_VALUE"""),"marvel")</f>
        <v>marvel</v>
      </c>
      <c r="J382" s="6" t="str">
        <f>IFERROR(__xludf.DUMMYFUNCTION("""COMPUTED_VALUE"""),"pleasing")</f>
        <v>pleasing</v>
      </c>
      <c r="L382" s="6" t="str">
        <f>IFERROR(__xludf.DUMMYFUNCTION("""COMPUTED_VALUE"""),"commentary")</f>
        <v>commentary</v>
      </c>
      <c r="M382" s="6" t="str">
        <f>IFERROR(__xludf.DUMMYFUNCTION("""COMPUTED_VALUE"""),"dragons")</f>
        <v>dragons</v>
      </c>
      <c r="N382" s="6" t="str">
        <f>IFERROR(__xludf.DUMMYFUNCTION("""COMPUTED_VALUE"""),"establishes")</f>
        <v>establishes</v>
      </c>
      <c r="P382" s="6" t="str">
        <f>IFERROR(__xludf.DUMMYFUNCTION("""COMPUTED_VALUE"""),"fury")</f>
        <v>fury</v>
      </c>
      <c r="Q382" s="6" t="str">
        <f>IFERROR(__xludf.DUMMYFUNCTION("""COMPUTED_VALUE"""),"ambitious")</f>
        <v>ambitious</v>
      </c>
      <c r="S382" s="6" t="str">
        <f>IFERROR(__xludf.DUMMYFUNCTION("""COMPUTED_VALUE"""),"swim")</f>
        <v>swim</v>
      </c>
    </row>
    <row r="383">
      <c r="D383" s="6"/>
      <c r="G383" s="6" t="str">
        <f>IFERROR(__xludf.DUMMYFUNCTION("""COMPUTED_VALUE"""),"optimism")</f>
        <v>optimism</v>
      </c>
      <c r="H383" s="6" t="str">
        <f>IFERROR(__xludf.DUMMYFUNCTION("""COMPUTED_VALUE"""),"suffers")</f>
        <v>suffers</v>
      </c>
      <c r="I383" s="6" t="str">
        <f>IFERROR(__xludf.DUMMYFUNCTION("""COMPUTED_VALUE"""),"sequences")</f>
        <v>sequences</v>
      </c>
      <c r="J383" s="6" t="str">
        <f>IFERROR(__xludf.DUMMYFUNCTION("""COMPUTED_VALUE"""),"purpose")</f>
        <v>purpose</v>
      </c>
      <c r="L383" s="6" t="str">
        <f>IFERROR(__xludf.DUMMYFUNCTION("""COMPUTED_VALUE"""),"vulgar")</f>
        <v>vulgar</v>
      </c>
      <c r="M383" s="6" t="str">
        <f>IFERROR(__xludf.DUMMYFUNCTION("""COMPUTED_VALUE"""),"reign")</f>
        <v>reign</v>
      </c>
      <c r="N383" s="6" t="str">
        <f>IFERROR(__xludf.DUMMYFUNCTION("""COMPUTED_VALUE"""),"slightly")</f>
        <v>slightly</v>
      </c>
      <c r="P383" s="6" t="str">
        <f>IFERROR(__xludf.DUMMYFUNCTION("""COMPUTED_VALUE"""),"complex")</f>
        <v>complex</v>
      </c>
      <c r="Q383" s="6" t="str">
        <f>IFERROR(__xludf.DUMMYFUNCTION("""COMPUTED_VALUE"""),"sofia")</f>
        <v>sofia</v>
      </c>
      <c r="S383" s="6" t="str">
        <f>IFERROR(__xludf.DUMMYFUNCTION("""COMPUTED_VALUE"""),"spot")</f>
        <v>spot</v>
      </c>
    </row>
    <row r="384">
      <c r="D384" s="6"/>
      <c r="G384" s="6" t="str">
        <f>IFERROR(__xludf.DUMMYFUNCTION("""COMPUTED_VALUE"""),"intentions")</f>
        <v>intentions</v>
      </c>
      <c r="H384" s="6" t="str">
        <f>IFERROR(__xludf.DUMMYFUNCTION("""COMPUTED_VALUE"""),"strong")</f>
        <v>strong</v>
      </c>
      <c r="I384" s="6" t="str">
        <f>IFERROR(__xludf.DUMMYFUNCTION("""COMPUTED_VALUE"""),"fantasy")</f>
        <v>fantasy</v>
      </c>
      <c r="J384" s="6" t="str">
        <f>IFERROR(__xludf.DUMMYFUNCTION("""COMPUTED_VALUE"""),"triumphant")</f>
        <v>triumphant</v>
      </c>
      <c r="L384" s="6" t="str">
        <f>IFERROR(__xludf.DUMMYFUNCTION("""COMPUTED_VALUE"""),"finely")</f>
        <v>finely</v>
      </c>
      <c r="M384" s="6" t="str">
        <f>IFERROR(__xludf.DUMMYFUNCTION("""COMPUTED_VALUE"""),"bag")</f>
        <v>bag</v>
      </c>
      <c r="N384" s="6" t="str">
        <f>IFERROR(__xludf.DUMMYFUNCTION("""COMPUTED_VALUE"""),"teacher")</f>
        <v>teacher</v>
      </c>
      <c r="P384" s="6" t="str">
        <f>IFERROR(__xludf.DUMMYFUNCTION("""COMPUTED_VALUE"""),"wooden")</f>
        <v>wooden</v>
      </c>
      <c r="Q384" s="6" t="str">
        <f>IFERROR(__xludf.DUMMYFUNCTION("""COMPUTED_VALUE"""),"sister")</f>
        <v>sister</v>
      </c>
      <c r="S384" s="6" t="str">
        <f>IFERROR(__xludf.DUMMYFUNCTION("""COMPUTED_VALUE"""),"made")</f>
        <v>made</v>
      </c>
    </row>
    <row r="385">
      <c r="D385" s="6"/>
      <c r="G385" s="6" t="str">
        <f>IFERROR(__xludf.DUMMYFUNCTION("""COMPUTED_VALUE"""),"chamber")</f>
        <v>chamber</v>
      </c>
      <c r="H385" s="6" t="str">
        <f>IFERROR(__xludf.DUMMYFUNCTION("""COMPUTED_VALUE"""),"flickering")</f>
        <v>flickering</v>
      </c>
      <c r="I385" s="6" t="str">
        <f>IFERROR(__xludf.DUMMYFUNCTION("""COMPUTED_VALUE"""),"pulls")</f>
        <v>pulls</v>
      </c>
      <c r="J385" s="6" t="str">
        <f>IFERROR(__xludf.DUMMYFUNCTION("""COMPUTED_VALUE"""),"wry")</f>
        <v>wry</v>
      </c>
      <c r="L385" s="6" t="str">
        <f>IFERROR(__xludf.DUMMYFUNCTION("""COMPUTED_VALUE"""),"straight")</f>
        <v>straight</v>
      </c>
      <c r="M385" s="6" t="str">
        <f>IFERROR(__xludf.DUMMYFUNCTION("""COMPUTED_VALUE"""),"held")</f>
        <v>held</v>
      </c>
      <c r="N385" s="6" t="str">
        <f>IFERROR(__xludf.DUMMYFUNCTION("""COMPUTED_VALUE"""),"plotting")</f>
        <v>plotting</v>
      </c>
      <c r="P385" s="6" t="str">
        <f>IFERROR(__xludf.DUMMYFUNCTION("""COMPUTED_VALUE"""),"brothers")</f>
        <v>brothers</v>
      </c>
      <c r="Q385" s="6" t="str">
        <f>IFERROR(__xludf.DUMMYFUNCTION("""COMPUTED_VALUE"""),"taboo")</f>
        <v>taboo</v>
      </c>
      <c r="S385" s="6" t="str">
        <f>IFERROR(__xludf.DUMMYFUNCTION("""COMPUTED_VALUE"""),"players")</f>
        <v>players</v>
      </c>
    </row>
    <row r="386">
      <c r="D386" s="6"/>
      <c r="G386" s="6" t="str">
        <f>IFERROR(__xludf.DUMMYFUNCTION("""COMPUTED_VALUE"""),"cultural")</f>
        <v>cultural</v>
      </c>
      <c r="H386" s="6" t="str">
        <f>IFERROR(__xludf.DUMMYFUNCTION("""COMPUTED_VALUE"""),"dragon")</f>
        <v>dragon</v>
      </c>
      <c r="I386" s="6" t="str">
        <f>IFERROR(__xludf.DUMMYFUNCTION("""COMPUTED_VALUE"""),"result")</f>
        <v>result</v>
      </c>
      <c r="J386" s="6" t="str">
        <f>IFERROR(__xludf.DUMMYFUNCTION("""COMPUTED_VALUE"""),"plots")</f>
        <v>plots</v>
      </c>
      <c r="L386" s="6" t="str">
        <f>IFERROR(__xludf.DUMMYFUNCTION("""COMPUTED_VALUE"""),"light")</f>
        <v>light</v>
      </c>
      <c r="M386" s="6" t="str">
        <f>IFERROR(__xludf.DUMMYFUNCTION("""COMPUTED_VALUE"""),"quinn")</f>
        <v>quinn</v>
      </c>
      <c r="N386" s="6" t="str">
        <f>IFERROR(__xludf.DUMMYFUNCTION("""COMPUTED_VALUE"""),"inspire")</f>
        <v>inspire</v>
      </c>
      <c r="P386" s="6" t="str">
        <f>IFERROR(__xludf.DUMMYFUNCTION("""COMPUTED_VALUE"""),"excitement")</f>
        <v>excitement</v>
      </c>
      <c r="Q386" s="6" t="str">
        <f>IFERROR(__xludf.DUMMYFUNCTION("""COMPUTED_VALUE"""),"weaknesses")</f>
        <v>weaknesses</v>
      </c>
      <c r="S386" s="6" t="str">
        <f>IFERROR(__xludf.DUMMYFUNCTION("""COMPUTED_VALUE"""),"contribution")</f>
        <v>contribution</v>
      </c>
    </row>
    <row r="387">
      <c r="D387" s="6"/>
      <c r="G387" s="6" t="str">
        <f>IFERROR(__xludf.DUMMYFUNCTION("""COMPUTED_VALUE"""),"amid")</f>
        <v>amid</v>
      </c>
      <c r="H387" s="6" t="str">
        <f>IFERROR(__xludf.DUMMYFUNCTION("""COMPUTED_VALUE"""),"midway")</f>
        <v>midway</v>
      </c>
      <c r="I387" s="6" t="str">
        <f>IFERROR(__xludf.DUMMYFUNCTION("""COMPUTED_VALUE"""),"emerging")</f>
        <v>emerging</v>
      </c>
      <c r="J387" s="6" t="str">
        <f>IFERROR(__xludf.DUMMYFUNCTION("""COMPUTED_VALUE"""),"reality")</f>
        <v>reality</v>
      </c>
      <c r="L387" s="6" t="str">
        <f>IFERROR(__xludf.DUMMYFUNCTION("""COMPUTED_VALUE"""),"transporting")</f>
        <v>transporting</v>
      </c>
      <c r="M387" s="6" t="str">
        <f>IFERROR(__xludf.DUMMYFUNCTION("""COMPUTED_VALUE"""),"notion")</f>
        <v>notion</v>
      </c>
      <c r="N387" s="6" t="str">
        <f>IFERROR(__xludf.DUMMYFUNCTION("""COMPUTED_VALUE"""),"realize")</f>
        <v>realize</v>
      </c>
      <c r="P387" s="6" t="str">
        <f>IFERROR(__xludf.DUMMYFUNCTION("""COMPUTED_VALUE"""),"empty")</f>
        <v>empty</v>
      </c>
      <c r="Q387" s="6" t="str">
        <f>IFERROR(__xludf.DUMMYFUNCTION("""COMPUTED_VALUE"""),"interference")</f>
        <v>interference</v>
      </c>
      <c r="S387" s="6" t="str">
        <f>IFERROR(__xludf.DUMMYFUNCTION("""COMPUTED_VALUE"""),"beings")</f>
        <v>beings</v>
      </c>
    </row>
    <row r="388">
      <c r="D388" s="6"/>
      <c r="G388" s="6" t="str">
        <f>IFERROR(__xludf.DUMMYFUNCTION("""COMPUTED_VALUE"""),"morality")</f>
        <v>morality</v>
      </c>
      <c r="H388" s="6" t="str">
        <f>IFERROR(__xludf.DUMMYFUNCTION("""COMPUTED_VALUE"""),"rodriguez")</f>
        <v>rodriguez</v>
      </c>
      <c r="I388" s="6" t="str">
        <f>IFERROR(__xludf.DUMMYFUNCTION("""COMPUTED_VALUE"""),"entity")</f>
        <v>entity</v>
      </c>
      <c r="J388" s="6" t="str">
        <f>IFERROR(__xludf.DUMMYFUNCTION("""COMPUTED_VALUE"""),"whatever")</f>
        <v>whatever</v>
      </c>
      <c r="L388" s="6" t="str">
        <f>IFERROR(__xludf.DUMMYFUNCTION("""COMPUTED_VALUE"""),"belongs")</f>
        <v>belongs</v>
      </c>
      <c r="M388" s="6" t="str">
        <f>IFERROR(__xludf.DUMMYFUNCTION("""COMPUTED_VALUE"""),"rat")</f>
        <v>rat</v>
      </c>
      <c r="N388" s="6" t="str">
        <f>IFERROR(__xludf.DUMMYFUNCTION("""COMPUTED_VALUE"""),"structure")</f>
        <v>structure</v>
      </c>
      <c r="P388" s="6" t="str">
        <f>IFERROR(__xludf.DUMMYFUNCTION("""COMPUTED_VALUE"""),"problems")</f>
        <v>problems</v>
      </c>
      <c r="Q388" s="6" t="str">
        <f>IFERROR(__xludf.DUMMYFUNCTION("""COMPUTED_VALUE"""),"yourself")</f>
        <v>yourself</v>
      </c>
      <c r="S388" s="6" t="str">
        <f>IFERROR(__xludf.DUMMYFUNCTION("""COMPUTED_VALUE"""),"school")</f>
        <v>school</v>
      </c>
    </row>
    <row r="389">
      <c r="D389" s="6"/>
      <c r="G389" s="6" t="str">
        <f>IFERROR(__xludf.DUMMYFUNCTION("""COMPUTED_VALUE"""),"futuristic")</f>
        <v>futuristic</v>
      </c>
      <c r="H389" s="6" t="str">
        <f>IFERROR(__xludf.DUMMYFUNCTION("""COMPUTED_VALUE"""),"pleasing")</f>
        <v>pleasing</v>
      </c>
      <c r="I389" s="6" t="str">
        <f>IFERROR(__xludf.DUMMYFUNCTION("""COMPUTED_VALUE"""),"tax")</f>
        <v>tax</v>
      </c>
      <c r="J389" s="6" t="str">
        <f>IFERROR(__xludf.DUMMYFUNCTION("""COMPUTED_VALUE"""),"plotted")</f>
        <v>plotted</v>
      </c>
      <c r="L389" s="6" t="str">
        <f>IFERROR(__xludf.DUMMYFUNCTION("""COMPUTED_VALUE"""),"diversion")</f>
        <v>diversion</v>
      </c>
      <c r="M389" s="6" t="str">
        <f>IFERROR(__xludf.DUMMYFUNCTION("""COMPUTED_VALUE"""),"conflict")</f>
        <v>conflict</v>
      </c>
      <c r="N389" s="6" t="str">
        <f>IFERROR(__xludf.DUMMYFUNCTION("""COMPUTED_VALUE"""),"obstacles")</f>
        <v>obstacles</v>
      </c>
      <c r="P389" s="6" t="str">
        <f>IFERROR(__xludf.DUMMYFUNCTION("""COMPUTED_VALUE"""),"achieve")</f>
        <v>achieve</v>
      </c>
      <c r="Q389" s="6" t="str">
        <f>IFERROR(__xludf.DUMMYFUNCTION("""COMPUTED_VALUE"""),"cover")</f>
        <v>cover</v>
      </c>
      <c r="S389" s="6" t="str">
        <f>IFERROR(__xludf.DUMMYFUNCTION("""COMPUTED_VALUE"""),"high")</f>
        <v>high</v>
      </c>
    </row>
    <row r="390">
      <c r="D390" s="6"/>
      <c r="G390" s="6" t="str">
        <f>IFERROR(__xludf.DUMMYFUNCTION("""COMPUTED_VALUE"""),"circuit")</f>
        <v>circuit</v>
      </c>
      <c r="H390" s="6" t="str">
        <f>IFERROR(__xludf.DUMMYFUNCTION("""COMPUTED_VALUE"""),"purpose")</f>
        <v>purpose</v>
      </c>
      <c r="I390" s="6" t="str">
        <f>IFERROR(__xludf.DUMMYFUNCTION("""COMPUTED_VALUE"""),"pianist")</f>
        <v>pianist</v>
      </c>
      <c r="J390" s="6" t="str">
        <f>IFERROR(__xludf.DUMMYFUNCTION("""COMPUTED_VALUE"""),"bombs")</f>
        <v>bombs</v>
      </c>
      <c r="L390" s="6" t="str">
        <f>IFERROR(__xludf.DUMMYFUNCTION("""COMPUTED_VALUE"""),"linger")</f>
        <v>linger</v>
      </c>
      <c r="M390" s="6" t="str">
        <f>IFERROR(__xludf.DUMMYFUNCTION("""COMPUTED_VALUE"""),"advance")</f>
        <v>advance</v>
      </c>
      <c r="N390" s="6" t="str">
        <f>IFERROR(__xludf.DUMMYFUNCTION("""COMPUTED_VALUE"""),"centuries")</f>
        <v>centuries</v>
      </c>
      <c r="P390" s="6" t="str">
        <f>IFERROR(__xludf.DUMMYFUNCTION("""COMPUTED_VALUE"""),"era")</f>
        <v>era</v>
      </c>
      <c r="Q390" s="6" t="str">
        <f>IFERROR(__xludf.DUMMYFUNCTION("""COMPUTED_VALUE"""),"ode")</f>
        <v>ode</v>
      </c>
      <c r="S390" s="6" t="str">
        <f>IFERROR(__xludf.DUMMYFUNCTION("""COMPUTED_VALUE"""),"dates")</f>
        <v>dates</v>
      </c>
    </row>
    <row r="391">
      <c r="D391" s="6"/>
      <c r="G391" s="6" t="str">
        <f>IFERROR(__xludf.DUMMYFUNCTION("""COMPUTED_VALUE"""),"swept")</f>
        <v>swept</v>
      </c>
      <c r="H391" s="6" t="str">
        <f>IFERROR(__xludf.DUMMYFUNCTION("""COMPUTED_VALUE"""),"lightweight")</f>
        <v>lightweight</v>
      </c>
      <c r="I391" s="6" t="str">
        <f>IFERROR(__xludf.DUMMYFUNCTION("""COMPUTED_VALUE"""),"represented")</f>
        <v>represented</v>
      </c>
      <c r="J391" s="6" t="str">
        <f>IFERROR(__xludf.DUMMYFUNCTION("""COMPUTED_VALUE"""),"surface")</f>
        <v>surface</v>
      </c>
      <c r="L391" s="6" t="str">
        <f>IFERROR(__xludf.DUMMYFUNCTION("""COMPUTED_VALUE"""),"opaque")</f>
        <v>opaque</v>
      </c>
      <c r="M391" s="6" t="str">
        <f>IFERROR(__xludf.DUMMYFUNCTION("""COMPUTED_VALUE"""),"connect")</f>
        <v>connect</v>
      </c>
      <c r="N391" s="6" t="str">
        <f>IFERROR(__xludf.DUMMYFUNCTION("""COMPUTED_VALUE"""),"truths")</f>
        <v>truths</v>
      </c>
      <c r="P391" s="6" t="str">
        <f>IFERROR(__xludf.DUMMYFUNCTION("""COMPUTED_VALUE"""),"auto")</f>
        <v>auto</v>
      </c>
      <c r="Q391" s="6" t="str">
        <f>IFERROR(__xludf.DUMMYFUNCTION("""COMPUTED_VALUE"""),"walked")</f>
        <v>walked</v>
      </c>
      <c r="S391" s="6" t="str">
        <f>IFERROR(__xludf.DUMMYFUNCTION("""COMPUTED_VALUE"""),"excellent")</f>
        <v>excellent</v>
      </c>
    </row>
    <row r="392">
      <c r="D392" s="6"/>
      <c r="G392" s="6" t="str">
        <f>IFERROR(__xludf.DUMMYFUNCTION("""COMPUTED_VALUE"""),"lad")</f>
        <v>lad</v>
      </c>
      <c r="H392" s="6" t="str">
        <f>IFERROR(__xludf.DUMMYFUNCTION("""COMPUTED_VALUE"""),"triumphant")</f>
        <v>triumphant</v>
      </c>
      <c r="I392" s="6" t="str">
        <f>IFERROR(__xludf.DUMMYFUNCTION("""COMPUTED_VALUE"""),"martha")</f>
        <v>martha</v>
      </c>
      <c r="J392" s="6" t="str">
        <f>IFERROR(__xludf.DUMMYFUNCTION("""COMPUTED_VALUE"""),"stupidity")</f>
        <v>stupidity</v>
      </c>
      <c r="L392" s="6" t="str">
        <f>IFERROR(__xludf.DUMMYFUNCTION("""COMPUTED_VALUE"""),"jones")</f>
        <v>jones</v>
      </c>
      <c r="M392" s="6" t="str">
        <f>IFERROR(__xludf.DUMMYFUNCTION("""COMPUTED_VALUE"""),"military")</f>
        <v>military</v>
      </c>
      <c r="N392" s="6" t="str">
        <f>IFERROR(__xludf.DUMMYFUNCTION("""COMPUTED_VALUE"""),"visually")</f>
        <v>visually</v>
      </c>
      <c r="P392" s="6" t="str">
        <f>IFERROR(__xludf.DUMMYFUNCTION("""COMPUTED_VALUE"""),"document")</f>
        <v>document</v>
      </c>
      <c r="Q392" s="6" t="str">
        <f>IFERROR(__xludf.DUMMYFUNCTION("""COMPUTED_VALUE"""),"stage")</f>
        <v>stage</v>
      </c>
      <c r="S392" s="6" t="str">
        <f>IFERROR(__xludf.DUMMYFUNCTION("""COMPUTED_VALUE"""),"demands")</f>
        <v>demands</v>
      </c>
    </row>
    <row r="393">
      <c r="D393" s="6"/>
      <c r="G393" s="6" t="str">
        <f>IFERROR(__xludf.DUMMYFUNCTION("""COMPUTED_VALUE"""),"homosexual")</f>
        <v>homosexual</v>
      </c>
      <c r="H393" s="6" t="str">
        <f>IFERROR(__xludf.DUMMYFUNCTION("""COMPUTED_VALUE"""),"wry")</f>
        <v>wry</v>
      </c>
      <c r="I393" s="6" t="str">
        <f>IFERROR(__xludf.DUMMYFUNCTION("""COMPUTED_VALUE"""),"stewart")</f>
        <v>stewart</v>
      </c>
      <c r="J393" s="6" t="str">
        <f>IFERROR(__xludf.DUMMYFUNCTION("""COMPUTED_VALUE"""),"machine")</f>
        <v>machine</v>
      </c>
      <c r="L393" s="6" t="str">
        <f>IFERROR(__xludf.DUMMYFUNCTION("""COMPUTED_VALUE"""),"reel")</f>
        <v>reel</v>
      </c>
      <c r="M393" s="6" t="str">
        <f>IFERROR(__xludf.DUMMYFUNCTION("""COMPUTED_VALUE"""),"toss")</f>
        <v>toss</v>
      </c>
      <c r="N393" s="6" t="str">
        <f>IFERROR(__xludf.DUMMYFUNCTION("""COMPUTED_VALUE"""),"chuckle")</f>
        <v>chuckle</v>
      </c>
      <c r="P393" s="6" t="str">
        <f>IFERROR(__xludf.DUMMYFUNCTION("""COMPUTED_VALUE"""),"imagination")</f>
        <v>imagination</v>
      </c>
      <c r="Q393" s="6" t="str">
        <f>IFERROR(__xludf.DUMMYFUNCTION("""COMPUTED_VALUE"""),"next")</f>
        <v>next</v>
      </c>
      <c r="S393" s="6" t="str">
        <f>IFERROR(__xludf.DUMMYFUNCTION("""COMPUTED_VALUE"""),"receives")</f>
        <v>receives</v>
      </c>
    </row>
    <row r="394">
      <c r="D394" s="6"/>
      <c r="G394" s="6" t="str">
        <f>IFERROR(__xludf.DUMMYFUNCTION("""COMPUTED_VALUE"""),"gangster")</f>
        <v>gangster</v>
      </c>
      <c r="H394" s="6" t="str">
        <f>IFERROR(__xludf.DUMMYFUNCTION("""COMPUTED_VALUE"""),"mayhem")</f>
        <v>mayhem</v>
      </c>
      <c r="I394" s="6" t="str">
        <f>IFERROR(__xludf.DUMMYFUNCTION("""COMPUTED_VALUE"""),"rapid")</f>
        <v>rapid</v>
      </c>
      <c r="J394" s="6" t="str">
        <f>IFERROR(__xludf.DUMMYFUNCTION("""COMPUTED_VALUE"""),"complexity")</f>
        <v>complexity</v>
      </c>
      <c r="L394" s="6" t="str">
        <f>IFERROR(__xludf.DUMMYFUNCTION("""COMPUTED_VALUE"""),"friendship")</f>
        <v>friendship</v>
      </c>
      <c r="M394" s="6" t="str">
        <f>IFERROR(__xludf.DUMMYFUNCTION("""COMPUTED_VALUE"""),"interpretation")</f>
        <v>interpretation</v>
      </c>
      <c r="N394" s="6" t="str">
        <f>IFERROR(__xludf.DUMMYFUNCTION("""COMPUTED_VALUE"""),"maneuvers")</f>
        <v>maneuvers</v>
      </c>
      <c r="P394" s="6" t="str">
        <f>IFERROR(__xludf.DUMMYFUNCTION("""COMPUTED_VALUE"""),"serious")</f>
        <v>serious</v>
      </c>
      <c r="Q394" s="6" t="str">
        <f>IFERROR(__xludf.DUMMYFUNCTION("""COMPUTED_VALUE"""),"backward")</f>
        <v>backward</v>
      </c>
      <c r="S394" s="6" t="str">
        <f>IFERROR(__xludf.DUMMYFUNCTION("""COMPUTED_VALUE"""),"blast")</f>
        <v>blast</v>
      </c>
    </row>
    <row r="395">
      <c r="D395" s="6"/>
      <c r="G395" s="6" t="str">
        <f>IFERROR(__xludf.DUMMYFUNCTION("""COMPUTED_VALUE"""),"reign")</f>
        <v>reign</v>
      </c>
      <c r="H395" s="6" t="str">
        <f>IFERROR(__xludf.DUMMYFUNCTION("""COMPUTED_VALUE"""),"plots")</f>
        <v>plots</v>
      </c>
      <c r="I395" s="6" t="str">
        <f>IFERROR(__xludf.DUMMYFUNCTION("""COMPUTED_VALUE"""),"virtually")</f>
        <v>virtually</v>
      </c>
      <c r="J395" s="6" t="str">
        <f>IFERROR(__xludf.DUMMYFUNCTION("""COMPUTED_VALUE"""),"means")</f>
        <v>means</v>
      </c>
      <c r="L395" s="6" t="str">
        <f>IFERROR(__xludf.DUMMYFUNCTION("""COMPUTED_VALUE"""),"leads")</f>
        <v>leads</v>
      </c>
      <c r="M395" s="6" t="str">
        <f>IFERROR(__xludf.DUMMYFUNCTION("""COMPUTED_VALUE"""),"represents")</f>
        <v>represents</v>
      </c>
      <c r="N395" s="6" t="str">
        <f>IFERROR(__xludf.DUMMYFUNCTION("""COMPUTED_VALUE"""),"twists")</f>
        <v>twists</v>
      </c>
      <c r="P395" s="6" t="str">
        <f>IFERROR(__xludf.DUMMYFUNCTION("""COMPUTED_VALUE"""),"turns")</f>
        <v>turns</v>
      </c>
      <c r="Q395" s="6" t="str">
        <f>IFERROR(__xludf.DUMMYFUNCTION("""COMPUTED_VALUE"""),"giant")</f>
        <v>giant</v>
      </c>
      <c r="S395" s="6" t="str">
        <f>IFERROR(__xludf.DUMMYFUNCTION("""COMPUTED_VALUE"""),"merely")</f>
        <v>merely</v>
      </c>
    </row>
    <row r="396">
      <c r="D396" s="6"/>
      <c r="G396" s="6" t="str">
        <f>IFERROR(__xludf.DUMMYFUNCTION("""COMPUTED_VALUE"""),"disguise")</f>
        <v>disguise</v>
      </c>
      <c r="H396" s="6" t="str">
        <f>IFERROR(__xludf.DUMMYFUNCTION("""COMPUTED_VALUE"""),"plotted")</f>
        <v>plotted</v>
      </c>
      <c r="I396" s="6" t="str">
        <f>IFERROR(__xludf.DUMMYFUNCTION("""COMPUTED_VALUE"""),"intense")</f>
        <v>intense</v>
      </c>
      <c r="J396" s="6" t="str">
        <f>IFERROR(__xludf.DUMMYFUNCTION("""COMPUTED_VALUE"""),"situation")</f>
        <v>situation</v>
      </c>
      <c r="L396" s="6" t="str">
        <f>IFERROR(__xludf.DUMMYFUNCTION("""COMPUTED_VALUE"""),"creates")</f>
        <v>creates</v>
      </c>
      <c r="M396" s="6" t="str">
        <f>IFERROR(__xludf.DUMMYFUNCTION("""COMPUTED_VALUE"""),"emotion")</f>
        <v>emotion</v>
      </c>
      <c r="N396" s="6" t="str">
        <f>IFERROR(__xludf.DUMMYFUNCTION("""COMPUTED_VALUE"""),"dazzling")</f>
        <v>dazzling</v>
      </c>
      <c r="P396" s="6" t="str">
        <f>IFERROR(__xludf.DUMMYFUNCTION("""COMPUTED_VALUE"""),"gradually")</f>
        <v>gradually</v>
      </c>
      <c r="Q396" s="6" t="str">
        <f>IFERROR(__xludf.DUMMYFUNCTION("""COMPUTED_VALUE"""),"exciting")</f>
        <v>exciting</v>
      </c>
      <c r="S396" s="6" t="str">
        <f>IFERROR(__xludf.DUMMYFUNCTION("""COMPUTED_VALUE"""),"private")</f>
        <v>private</v>
      </c>
    </row>
    <row r="397">
      <c r="D397" s="6"/>
      <c r="G397" s="6" t="str">
        <f>IFERROR(__xludf.DUMMYFUNCTION("""COMPUTED_VALUE"""),"hampered")</f>
        <v>hampered</v>
      </c>
      <c r="H397" s="6" t="str">
        <f>IFERROR(__xludf.DUMMYFUNCTION("""COMPUTED_VALUE"""),"hastily")</f>
        <v>hastily</v>
      </c>
      <c r="I397" s="6" t="str">
        <f>IFERROR(__xludf.DUMMYFUNCTION("""COMPUTED_VALUE"""),"sides")</f>
        <v>sides</v>
      </c>
      <c r="J397" s="6" t="str">
        <f>IFERROR(__xludf.DUMMYFUNCTION("""COMPUTED_VALUE"""),"darkness")</f>
        <v>darkness</v>
      </c>
      <c r="L397" s="6" t="str">
        <f>IFERROR(__xludf.DUMMYFUNCTION("""COMPUTED_VALUE"""),"creativity")</f>
        <v>creativity</v>
      </c>
      <c r="M397" s="6" t="str">
        <f>IFERROR(__xludf.DUMMYFUNCTION("""COMPUTED_VALUE"""),"combined")</f>
        <v>combined</v>
      </c>
      <c r="N397" s="6" t="str">
        <f>IFERROR(__xludf.DUMMYFUNCTION("""COMPUTED_VALUE"""),"source")</f>
        <v>source</v>
      </c>
      <c r="P397" s="6" t="str">
        <f>IFERROR(__xludf.DUMMYFUNCTION("""COMPUTED_VALUE"""),"describe")</f>
        <v>describe</v>
      </c>
      <c r="Q397" s="6" t="str">
        <f>IFERROR(__xludf.DUMMYFUNCTION("""COMPUTED_VALUE"""),"luminous")</f>
        <v>luminous</v>
      </c>
      <c r="S397" s="6" t="str">
        <f>IFERROR(__xludf.DUMMYFUNCTION("""COMPUTED_VALUE"""),"sand")</f>
        <v>sand</v>
      </c>
    </row>
    <row r="398">
      <c r="D398" s="6"/>
      <c r="G398" s="6" t="str">
        <f>IFERROR(__xludf.DUMMYFUNCTION("""COMPUTED_VALUE"""),"notion")</f>
        <v>notion</v>
      </c>
      <c r="H398" s="6" t="str">
        <f>IFERROR(__xludf.DUMMYFUNCTION("""COMPUTED_VALUE"""),"bombs")</f>
        <v>bombs</v>
      </c>
      <c r="I398" s="6" t="str">
        <f>IFERROR(__xludf.DUMMYFUNCTION("""COMPUTED_VALUE"""),"pulling")</f>
        <v>pulling</v>
      </c>
      <c r="J398" s="6" t="str">
        <f>IFERROR(__xludf.DUMMYFUNCTION("""COMPUTED_VALUE"""),"predecessor")</f>
        <v>predecessor</v>
      </c>
      <c r="L398" s="6" t="str">
        <f>IFERROR(__xludf.DUMMYFUNCTION("""COMPUTED_VALUE"""),"foundation")</f>
        <v>foundation</v>
      </c>
      <c r="M398" s="6" t="str">
        <f>IFERROR(__xludf.DUMMYFUNCTION("""COMPUTED_VALUE"""),"window")</f>
        <v>window</v>
      </c>
      <c r="N398" s="6" t="str">
        <f>IFERROR(__xludf.DUMMYFUNCTION("""COMPUTED_VALUE"""),"inspirational")</f>
        <v>inspirational</v>
      </c>
      <c r="P398" s="6">
        <f>IFERROR(__xludf.DUMMYFUNCTION("""COMPUTED_VALUE"""),2002.0)</f>
        <v>2002</v>
      </c>
      <c r="Q398" s="6" t="str">
        <f>IFERROR(__xludf.DUMMYFUNCTION("""COMPUTED_VALUE"""),"decades")</f>
        <v>decades</v>
      </c>
      <c r="S398" s="6" t="str">
        <f>IFERROR(__xludf.DUMMYFUNCTION("""COMPUTED_VALUE"""),"characteristic")</f>
        <v>characteristic</v>
      </c>
    </row>
    <row r="399">
      <c r="D399" s="6"/>
      <c r="G399" s="6" t="str">
        <f>IFERROR(__xludf.DUMMYFUNCTION("""COMPUTED_VALUE"""),"crucial")</f>
        <v>crucial</v>
      </c>
      <c r="H399" s="6" t="str">
        <f>IFERROR(__xludf.DUMMYFUNCTION("""COMPUTED_VALUE"""),"stories")</f>
        <v>stories</v>
      </c>
      <c r="I399" s="6" t="str">
        <f>IFERROR(__xludf.DUMMYFUNCTION("""COMPUTED_VALUE"""),"bite")</f>
        <v>bite</v>
      </c>
      <c r="J399" s="6" t="str">
        <f>IFERROR(__xludf.DUMMYFUNCTION("""COMPUTED_VALUE"""),"unexpectedly")</f>
        <v>unexpectedly</v>
      </c>
      <c r="L399" s="6" t="str">
        <f>IFERROR(__xludf.DUMMYFUNCTION("""COMPUTED_VALUE"""),"hurley")</f>
        <v>hurley</v>
      </c>
      <c r="M399" s="6" t="str">
        <f>IFERROR(__xludf.DUMMYFUNCTION("""COMPUTED_VALUE"""),"capture")</f>
        <v>capture</v>
      </c>
      <c r="N399" s="6" t="str">
        <f>IFERROR(__xludf.DUMMYFUNCTION("""COMPUTED_VALUE"""),"jerking")</f>
        <v>jerking</v>
      </c>
      <c r="P399" s="6" t="str">
        <f>IFERROR(__xludf.DUMMYFUNCTION("""COMPUTED_VALUE"""),"korean")</f>
        <v>korean</v>
      </c>
      <c r="Q399" s="6" t="str">
        <f>IFERROR(__xludf.DUMMYFUNCTION("""COMPUTED_VALUE"""),"trier")</f>
        <v>trier</v>
      </c>
      <c r="S399" s="6" t="str">
        <f>IFERROR(__xludf.DUMMYFUNCTION("""COMPUTED_VALUE"""),"honestly")</f>
        <v>honestly</v>
      </c>
    </row>
    <row r="400">
      <c r="D400" s="6"/>
      <c r="G400" s="6" t="str">
        <f>IFERROR(__xludf.DUMMYFUNCTION("""COMPUTED_VALUE"""),"slump")</f>
        <v>slump</v>
      </c>
      <c r="H400" s="6" t="str">
        <f>IFERROR(__xludf.DUMMYFUNCTION("""COMPUTED_VALUE"""),"surface")</f>
        <v>surface</v>
      </c>
      <c r="I400" s="6" t="str">
        <f>IFERROR(__xludf.DUMMYFUNCTION("""COMPUTED_VALUE"""),"punishment")</f>
        <v>punishment</v>
      </c>
      <c r="J400" s="6" t="str">
        <f>IFERROR(__xludf.DUMMYFUNCTION("""COMPUTED_VALUE"""),"comedies")</f>
        <v>comedies</v>
      </c>
      <c r="L400" s="6" t="str">
        <f>IFERROR(__xludf.DUMMYFUNCTION("""COMPUTED_VALUE"""),"objective")</f>
        <v>objective</v>
      </c>
      <c r="M400" s="6" t="str">
        <f>IFERROR(__xludf.DUMMYFUNCTION("""COMPUTED_VALUE"""),"category")</f>
        <v>category</v>
      </c>
      <c r="N400" s="6" t="str">
        <f>IFERROR(__xludf.DUMMYFUNCTION("""COMPUTED_VALUE"""),"corpus")</f>
        <v>corpus</v>
      </c>
      <c r="P400" s="6" t="str">
        <f>IFERROR(__xludf.DUMMYFUNCTION("""COMPUTED_VALUE"""),"historical")</f>
        <v>historical</v>
      </c>
      <c r="Q400" s="6" t="str">
        <f>IFERROR(__xludf.DUMMYFUNCTION("""COMPUTED_VALUE"""),"lynch")</f>
        <v>lynch</v>
      </c>
      <c r="S400" s="6" t="str">
        <f>IFERROR(__xludf.DUMMYFUNCTION("""COMPUTED_VALUE"""),"successful")</f>
        <v>successful</v>
      </c>
    </row>
    <row r="401">
      <c r="D401" s="6"/>
      <c r="G401" s="6" t="str">
        <f>IFERROR(__xludf.DUMMYFUNCTION("""COMPUTED_VALUE"""),"sophomore")</f>
        <v>sophomore</v>
      </c>
      <c r="H401" s="6" t="str">
        <f>IFERROR(__xludf.DUMMYFUNCTION("""COMPUTED_VALUE"""),"stupidity")</f>
        <v>stupidity</v>
      </c>
      <c r="I401" s="6" t="str">
        <f>IFERROR(__xludf.DUMMYFUNCTION("""COMPUTED_VALUE"""),"today")</f>
        <v>today</v>
      </c>
      <c r="J401" s="6" t="str">
        <f>IFERROR(__xludf.DUMMYFUNCTION("""COMPUTED_VALUE"""),"enduring")</f>
        <v>enduring</v>
      </c>
      <c r="L401" s="6" t="str">
        <f>IFERROR(__xludf.DUMMYFUNCTION("""COMPUTED_VALUE"""),"glorious")</f>
        <v>glorious</v>
      </c>
      <c r="M401" s="6" t="str">
        <f>IFERROR(__xludf.DUMMYFUNCTION("""COMPUTED_VALUE"""),"recognize")</f>
        <v>recognize</v>
      </c>
      <c r="N401" s="6" t="str">
        <f>IFERROR(__xludf.DUMMYFUNCTION("""COMPUTED_VALUE"""),"turkey")</f>
        <v>turkey</v>
      </c>
      <c r="P401" s="6" t="str">
        <f>IFERROR(__xludf.DUMMYFUNCTION("""COMPUTED_VALUE"""),"assured")</f>
        <v>assured</v>
      </c>
      <c r="Q401" s="6" t="str">
        <f>IFERROR(__xludf.DUMMYFUNCTION("""COMPUTED_VALUE"""),"failing")</f>
        <v>failing</v>
      </c>
      <c r="S401" s="6" t="str">
        <f>IFERROR(__xludf.DUMMYFUNCTION("""COMPUTED_VALUE"""),"seeing")</f>
        <v>seeing</v>
      </c>
    </row>
    <row r="402">
      <c r="D402" s="6"/>
      <c r="G402" s="6" t="str">
        <f>IFERROR(__xludf.DUMMYFUNCTION("""COMPUTED_VALUE"""),"70s")</f>
        <v>70s</v>
      </c>
      <c r="H402" s="6" t="str">
        <f>IFERROR(__xludf.DUMMYFUNCTION("""COMPUTED_VALUE"""),"depths")</f>
        <v>depths</v>
      </c>
      <c r="I402" s="6" t="str">
        <f>IFERROR(__xludf.DUMMYFUNCTION("""COMPUTED_VALUE"""),"stanley")</f>
        <v>stanley</v>
      </c>
      <c r="J402" s="6" t="str">
        <f>IFERROR(__xludf.DUMMYFUNCTION("""COMPUTED_VALUE"""),"wan")</f>
        <v>wan</v>
      </c>
      <c r="L402" s="6" t="str">
        <f>IFERROR(__xludf.DUMMYFUNCTION("""COMPUTED_VALUE"""),"misses")</f>
        <v>misses</v>
      </c>
      <c r="M402" s="6" t="str">
        <f>IFERROR(__xludf.DUMMYFUNCTION("""COMPUTED_VALUE"""),"awareness")</f>
        <v>awareness</v>
      </c>
      <c r="N402" s="6" t="str">
        <f>IFERROR(__xludf.DUMMYFUNCTION("""COMPUTED_VALUE"""),"pushes")</f>
        <v>pushes</v>
      </c>
      <c r="P402" s="6" t="str">
        <f>IFERROR(__xludf.DUMMYFUNCTION("""COMPUTED_VALUE"""),"complete")</f>
        <v>complete</v>
      </c>
      <c r="Q402" s="6" t="str">
        <f>IFERROR(__xludf.DUMMYFUNCTION("""COMPUTED_VALUE"""),"thrill")</f>
        <v>thrill</v>
      </c>
      <c r="S402" s="6" t="str">
        <f>IFERROR(__xludf.DUMMYFUNCTION("""COMPUTED_VALUE"""),"moving")</f>
        <v>moving</v>
      </c>
    </row>
    <row r="403">
      <c r="D403" s="6"/>
      <c r="G403" s="6" t="str">
        <f>IFERROR(__xludf.DUMMYFUNCTION("""COMPUTED_VALUE"""),"conflict")</f>
        <v>conflict</v>
      </c>
      <c r="H403" s="6" t="str">
        <f>IFERROR(__xludf.DUMMYFUNCTION("""COMPUTED_VALUE"""),"machine")</f>
        <v>machine</v>
      </c>
      <c r="I403" s="6" t="str">
        <f>IFERROR(__xludf.DUMMYFUNCTION("""COMPUTED_VALUE"""),"wore")</f>
        <v>wore</v>
      </c>
      <c r="J403" s="6" t="str">
        <f>IFERROR(__xludf.DUMMYFUNCTION("""COMPUTED_VALUE"""),"sweet")</f>
        <v>sweet</v>
      </c>
      <c r="L403" s="6" t="str">
        <f>IFERROR(__xludf.DUMMYFUNCTION("""COMPUTED_VALUE"""),"employs")</f>
        <v>employs</v>
      </c>
      <c r="M403" s="6" t="str">
        <f>IFERROR(__xludf.DUMMYFUNCTION("""COMPUTED_VALUE"""),"campbell")</f>
        <v>campbell</v>
      </c>
      <c r="N403" s="6" t="str">
        <f>IFERROR(__xludf.DUMMYFUNCTION("""COMPUTED_VALUE"""),"dong")</f>
        <v>dong</v>
      </c>
      <c r="P403" s="6" t="str">
        <f>IFERROR(__xludf.DUMMYFUNCTION("""COMPUTED_VALUE"""),"solid")</f>
        <v>solid</v>
      </c>
      <c r="Q403" s="6" t="str">
        <f>IFERROR(__xludf.DUMMYFUNCTION("""COMPUTED_VALUE"""),"growth")</f>
        <v>growth</v>
      </c>
      <c r="S403" s="6" t="str">
        <f>IFERROR(__xludf.DUMMYFUNCTION("""COMPUTED_VALUE"""),"poet")</f>
        <v>poet</v>
      </c>
    </row>
    <row r="404">
      <c r="D404" s="6"/>
      <c r="G404" s="6" t="str">
        <f>IFERROR(__xludf.DUMMYFUNCTION("""COMPUTED_VALUE"""),"recalls")</f>
        <v>recalls</v>
      </c>
      <c r="H404" s="6" t="str">
        <f>IFERROR(__xludf.DUMMYFUNCTION("""COMPUTED_VALUE"""),"complexity")</f>
        <v>complexity</v>
      </c>
      <c r="I404" s="6" t="str">
        <f>IFERROR(__xludf.DUMMYFUNCTION("""COMPUTED_VALUE"""),"capable")</f>
        <v>capable</v>
      </c>
      <c r="J404" s="6" t="str">
        <f>IFERROR(__xludf.DUMMYFUNCTION("""COMPUTED_VALUE"""),"delight")</f>
        <v>delight</v>
      </c>
      <c r="L404" s="6" t="str">
        <f>IFERROR(__xludf.DUMMYFUNCTION("""COMPUTED_VALUE"""),"strangely")</f>
        <v>strangely</v>
      </c>
      <c r="M404" s="6" t="str">
        <f>IFERROR(__xludf.DUMMYFUNCTION("""COMPUTED_VALUE"""),"body")</f>
        <v>body</v>
      </c>
      <c r="N404" s="6" t="str">
        <f>IFERROR(__xludf.DUMMYFUNCTION("""COMPUTED_VALUE"""),"hoffman")</f>
        <v>hoffman</v>
      </c>
      <c r="P404" s="6" t="str">
        <f>IFERROR(__xludf.DUMMYFUNCTION("""COMPUTED_VALUE"""),"politics")</f>
        <v>politics</v>
      </c>
      <c r="Q404" s="6" t="str">
        <f>IFERROR(__xludf.DUMMYFUNCTION("""COMPUTED_VALUE"""),"opera")</f>
        <v>opera</v>
      </c>
      <c r="S404" s="6" t="str">
        <f>IFERROR(__xludf.DUMMYFUNCTION("""COMPUTED_VALUE"""),"celebrated")</f>
        <v>celebrated</v>
      </c>
    </row>
    <row r="405">
      <c r="D405" s="6"/>
      <c r="G405" s="6" t="str">
        <f>IFERROR(__xludf.DUMMYFUNCTION("""COMPUTED_VALUE"""),"infectious")</f>
        <v>infectious</v>
      </c>
      <c r="H405" s="6" t="str">
        <f>IFERROR(__xludf.DUMMYFUNCTION("""COMPUTED_VALUE"""),"darkness")</f>
        <v>darkness</v>
      </c>
      <c r="I405" s="6" t="str">
        <f>IFERROR(__xludf.DUMMYFUNCTION("""COMPUTED_VALUE"""),"marina")</f>
        <v>marina</v>
      </c>
      <c r="J405" s="6" t="str">
        <f>IFERROR(__xludf.DUMMYFUNCTION("""COMPUTED_VALUE"""),"harvesting")</f>
        <v>harvesting</v>
      </c>
      <c r="L405" s="6" t="str">
        <f>IFERROR(__xludf.DUMMYFUNCTION("""COMPUTED_VALUE"""),"cheat")</f>
        <v>cheat</v>
      </c>
      <c r="M405" s="6" t="str">
        <f>IFERROR(__xludf.DUMMYFUNCTION("""COMPUTED_VALUE"""),"land")</f>
        <v>land</v>
      </c>
      <c r="N405" s="6" t="str">
        <f>IFERROR(__xludf.DUMMYFUNCTION("""COMPUTED_VALUE"""),"harmless")</f>
        <v>harmless</v>
      </c>
      <c r="P405" s="6" t="str">
        <f>IFERROR(__xludf.DUMMYFUNCTION("""COMPUTED_VALUE"""),"road")</f>
        <v>road</v>
      </c>
      <c r="Q405" s="6" t="str">
        <f>IFERROR(__xludf.DUMMYFUNCTION("""COMPUTED_VALUE"""),"showdown")</f>
        <v>showdown</v>
      </c>
      <c r="S405" s="6" t="str">
        <f>IFERROR(__xludf.DUMMYFUNCTION("""COMPUTED_VALUE"""),"looking")</f>
        <v>looking</v>
      </c>
    </row>
    <row r="406">
      <c r="D406" s="6"/>
      <c r="G406" s="6" t="str">
        <f>IFERROR(__xludf.DUMMYFUNCTION("""COMPUTED_VALUE"""),"brooding")</f>
        <v>brooding</v>
      </c>
      <c r="H406" s="6" t="str">
        <f>IFERROR(__xludf.DUMMYFUNCTION("""COMPUTED_VALUE"""),"insults")</f>
        <v>insults</v>
      </c>
      <c r="I406" s="6" t="str">
        <f>IFERROR(__xludf.DUMMYFUNCTION("""COMPUTED_VALUE"""),"holly")</f>
        <v>holly</v>
      </c>
      <c r="J406" s="6" t="str">
        <f>IFERROR(__xludf.DUMMYFUNCTION("""COMPUTED_VALUE"""),"construct")</f>
        <v>construct</v>
      </c>
      <c r="L406" s="6" t="str">
        <f>IFERROR(__xludf.DUMMYFUNCTION("""COMPUTED_VALUE"""),"indie")</f>
        <v>indie</v>
      </c>
      <c r="M406" s="6" t="str">
        <f>IFERROR(__xludf.DUMMYFUNCTION("""COMPUTED_VALUE"""),"equal")</f>
        <v>equal</v>
      </c>
      <c r="N406" s="6" t="str">
        <f>IFERROR(__xludf.DUMMYFUNCTION("""COMPUTED_VALUE"""),"uncertain")</f>
        <v>uncertain</v>
      </c>
      <c r="P406" s="6" t="str">
        <f>IFERROR(__xludf.DUMMYFUNCTION("""COMPUTED_VALUE"""),"obvious")</f>
        <v>obvious</v>
      </c>
      <c r="Q406" s="6" t="str">
        <f>IFERROR(__xludf.DUMMYFUNCTION("""COMPUTED_VALUE"""),"species")</f>
        <v>species</v>
      </c>
      <c r="S406" s="6" t="str">
        <f>IFERROR(__xludf.DUMMYFUNCTION("""COMPUTED_VALUE"""),"grade")</f>
        <v>grade</v>
      </c>
    </row>
    <row r="407">
      <c r="D407" s="6"/>
      <c r="G407" s="6" t="str">
        <f>IFERROR(__xludf.DUMMYFUNCTION("""COMPUTED_VALUE"""),"withstand")</f>
        <v>withstand</v>
      </c>
      <c r="H407" s="6">
        <f>IFERROR(__xludf.DUMMYFUNCTION("""COMPUTED_VALUE"""),1984.0)</f>
        <v>1984</v>
      </c>
      <c r="I407" s="6" t="str">
        <f>IFERROR(__xludf.DUMMYFUNCTION("""COMPUTED_VALUE"""),"say")</f>
        <v>say</v>
      </c>
      <c r="J407" s="6" t="str">
        <f>IFERROR(__xludf.DUMMYFUNCTION("""COMPUTED_VALUE"""),"laughed")</f>
        <v>laughed</v>
      </c>
      <c r="L407" s="6" t="str">
        <f>IFERROR(__xludf.DUMMYFUNCTION("""COMPUTED_VALUE"""),"hopkins")</f>
        <v>hopkins</v>
      </c>
      <c r="M407" s="6" t="str">
        <f>IFERROR(__xludf.DUMMYFUNCTION("""COMPUTED_VALUE"""),"sara")</f>
        <v>sara</v>
      </c>
      <c r="N407" s="6" t="str">
        <f>IFERROR(__xludf.DUMMYFUNCTION("""COMPUTED_VALUE"""),"editing")</f>
        <v>editing</v>
      </c>
      <c r="P407" s="6" t="str">
        <f>IFERROR(__xludf.DUMMYFUNCTION("""COMPUTED_VALUE"""),"stupid")</f>
        <v>stupid</v>
      </c>
      <c r="Q407" s="6" t="str">
        <f>IFERROR(__xludf.DUMMYFUNCTION("""COMPUTED_VALUE"""),"evade")</f>
        <v>evade</v>
      </c>
      <c r="S407" s="6" t="str">
        <f>IFERROR(__xludf.DUMMYFUNCTION("""COMPUTED_VALUE"""),"right")</f>
        <v>right</v>
      </c>
    </row>
    <row r="408">
      <c r="D408" s="6"/>
      <c r="G408" s="6" t="str">
        <f>IFERROR(__xludf.DUMMYFUNCTION("""COMPUTED_VALUE"""),"mundane")</f>
        <v>mundane</v>
      </c>
      <c r="H408" s="6" t="str">
        <f>IFERROR(__xludf.DUMMYFUNCTION("""COMPUTED_VALUE"""),"predecessor")</f>
        <v>predecessor</v>
      </c>
      <c r="I408" s="6" t="str">
        <f>IFERROR(__xludf.DUMMYFUNCTION("""COMPUTED_VALUE"""),"movements")</f>
        <v>movements</v>
      </c>
      <c r="J408" s="6" t="str">
        <f>IFERROR(__xludf.DUMMYFUNCTION("""COMPUTED_VALUE"""),"laughter")</f>
        <v>laughter</v>
      </c>
      <c r="L408" s="6" t="str">
        <f>IFERROR(__xludf.DUMMYFUNCTION("""COMPUTED_VALUE"""),"establishes")</f>
        <v>establishes</v>
      </c>
      <c r="M408" s="6" t="str">
        <f>IFERROR(__xludf.DUMMYFUNCTION("""COMPUTED_VALUE"""),"information")</f>
        <v>information</v>
      </c>
      <c r="N408" s="6" t="str">
        <f>IFERROR(__xludf.DUMMYFUNCTION("""COMPUTED_VALUE"""),"strength")</f>
        <v>strength</v>
      </c>
      <c r="P408" s="6" t="str">
        <f>IFERROR(__xludf.DUMMYFUNCTION("""COMPUTED_VALUE"""),"elements")</f>
        <v>elements</v>
      </c>
      <c r="Q408" s="6" t="str">
        <f>IFERROR(__xludf.DUMMYFUNCTION("""COMPUTED_VALUE"""),"leaves")</f>
        <v>leaves</v>
      </c>
      <c r="S408" s="6" t="str">
        <f>IFERROR(__xludf.DUMMYFUNCTION("""COMPUTED_VALUE"""),"end")</f>
        <v>end</v>
      </c>
    </row>
    <row r="409">
      <c r="D409" s="6"/>
      <c r="G409" s="6" t="str">
        <f>IFERROR(__xludf.DUMMYFUNCTION("""COMPUTED_VALUE"""),"toss")</f>
        <v>toss</v>
      </c>
      <c r="H409" s="6" t="str">
        <f>IFERROR(__xludf.DUMMYFUNCTION("""COMPUTED_VALUE"""),"unexpectedly")</f>
        <v>unexpectedly</v>
      </c>
      <c r="I409" s="6" t="str">
        <f>IFERROR(__xludf.DUMMYFUNCTION("""COMPUTED_VALUE"""),"evolution")</f>
        <v>evolution</v>
      </c>
      <c r="J409" s="6" t="str">
        <f>IFERROR(__xludf.DUMMYFUNCTION("""COMPUTED_VALUE"""),"philosophical")</f>
        <v>philosophical</v>
      </c>
      <c r="L409" s="6" t="str">
        <f>IFERROR(__xludf.DUMMYFUNCTION("""COMPUTED_VALUE"""),"teacher")</f>
        <v>teacher</v>
      </c>
      <c r="M409" s="6" t="str">
        <f>IFERROR(__xludf.DUMMYFUNCTION("""COMPUTED_VALUE"""),"hook")</f>
        <v>hook</v>
      </c>
      <c r="N409" s="6" t="str">
        <f>IFERROR(__xludf.DUMMYFUNCTION("""COMPUTED_VALUE"""),"directors")</f>
        <v>directors</v>
      </c>
      <c r="P409" s="6" t="str">
        <f>IFERROR(__xludf.DUMMYFUNCTION("""COMPUTED_VALUE"""),"mood")</f>
        <v>mood</v>
      </c>
      <c r="Q409" s="6" t="str">
        <f>IFERROR(__xludf.DUMMYFUNCTION("""COMPUTED_VALUE"""),"purely")</f>
        <v>purely</v>
      </c>
      <c r="S409" s="6" t="str">
        <f>IFERROR(__xludf.DUMMYFUNCTION("""COMPUTED_VALUE"""),"summer")</f>
        <v>summer</v>
      </c>
    </row>
    <row r="410">
      <c r="D410" s="6"/>
      <c r="G410" s="6" t="str">
        <f>IFERROR(__xludf.DUMMYFUNCTION("""COMPUTED_VALUE"""),"interpretation")</f>
        <v>interpretation</v>
      </c>
      <c r="H410" s="6" t="str">
        <f>IFERROR(__xludf.DUMMYFUNCTION("""COMPUTED_VALUE"""),"comedies")</f>
        <v>comedies</v>
      </c>
      <c r="I410" s="6" t="str">
        <f>IFERROR(__xludf.DUMMYFUNCTION("""COMPUTED_VALUE"""),"particularly")</f>
        <v>particularly</v>
      </c>
      <c r="J410" s="6" t="str">
        <f>IFERROR(__xludf.DUMMYFUNCTION("""COMPUTED_VALUE"""),"drag")</f>
        <v>drag</v>
      </c>
      <c r="L410" s="6" t="str">
        <f>IFERROR(__xludf.DUMMYFUNCTION("""COMPUTED_VALUE"""),"plotting")</f>
        <v>plotting</v>
      </c>
      <c r="M410" s="6" t="str">
        <f>IFERROR(__xludf.DUMMYFUNCTION("""COMPUTED_VALUE"""),"scottish")</f>
        <v>scottish</v>
      </c>
      <c r="N410" s="6" t="str">
        <f>IFERROR(__xludf.DUMMYFUNCTION("""COMPUTED_VALUE"""),"stephen")</f>
        <v>stephen</v>
      </c>
      <c r="P410" s="6" t="str">
        <f>IFERROR(__xludf.DUMMYFUNCTION("""COMPUTED_VALUE"""),"offensive")</f>
        <v>offensive</v>
      </c>
      <c r="Q410" s="6" t="str">
        <f>IFERROR(__xludf.DUMMYFUNCTION("""COMPUTED_VALUE"""),"question")</f>
        <v>question</v>
      </c>
      <c r="S410" s="6" t="str">
        <f>IFERROR(__xludf.DUMMYFUNCTION("""COMPUTED_VALUE"""),"days")</f>
        <v>days</v>
      </c>
    </row>
    <row r="411">
      <c r="D411" s="6"/>
      <c r="G411" s="6" t="str">
        <f>IFERROR(__xludf.DUMMYFUNCTION("""COMPUTED_VALUE"""),"lyrical")</f>
        <v>lyrical</v>
      </c>
      <c r="H411" s="6" t="str">
        <f>IFERROR(__xludf.DUMMYFUNCTION("""COMPUTED_VALUE"""),"enduring")</f>
        <v>enduring</v>
      </c>
      <c r="I411" s="6" t="str">
        <f>IFERROR(__xludf.DUMMYFUNCTION("""COMPUTED_VALUE"""),"tired")</f>
        <v>tired</v>
      </c>
      <c r="J411" s="6" t="str">
        <f>IFERROR(__xludf.DUMMYFUNCTION("""COMPUTED_VALUE"""),"literary")</f>
        <v>literary</v>
      </c>
      <c r="L411" s="6" t="str">
        <f>IFERROR(__xludf.DUMMYFUNCTION("""COMPUTED_VALUE"""),"reduces")</f>
        <v>reduces</v>
      </c>
      <c r="M411" s="6" t="str">
        <f>IFERROR(__xludf.DUMMYFUNCTION("""COMPUTED_VALUE"""),"seat")</f>
        <v>seat</v>
      </c>
      <c r="N411" s="6" t="str">
        <f>IFERROR(__xludf.DUMMYFUNCTION("""COMPUTED_VALUE"""),"richer")</f>
        <v>richer</v>
      </c>
      <c r="P411" s="6" t="str">
        <f>IFERROR(__xludf.DUMMYFUNCTION("""COMPUTED_VALUE"""),"engage")</f>
        <v>engage</v>
      </c>
      <c r="Q411" s="6" t="str">
        <f>IFERROR(__xludf.DUMMYFUNCTION("""COMPUTED_VALUE"""),"open")</f>
        <v>open</v>
      </c>
      <c r="S411" s="6" t="str">
        <f>IFERROR(__xludf.DUMMYFUNCTION("""COMPUTED_VALUE"""),"especially")</f>
        <v>especially</v>
      </c>
    </row>
    <row r="412">
      <c r="D412" s="6"/>
      <c r="G412" s="6" t="str">
        <f>IFERROR(__xludf.DUMMYFUNCTION("""COMPUTED_VALUE"""),"emotion")</f>
        <v>emotion</v>
      </c>
      <c r="H412" s="6" t="str">
        <f>IFERROR(__xludf.DUMMYFUNCTION("""COMPUTED_VALUE"""),"teen")</f>
        <v>teen</v>
      </c>
      <c r="I412" s="6" t="str">
        <f>IFERROR(__xludf.DUMMYFUNCTION("""COMPUTED_VALUE"""),"escape")</f>
        <v>escape</v>
      </c>
      <c r="J412" s="6" t="str">
        <f>IFERROR(__xludf.DUMMYFUNCTION("""COMPUTED_VALUE"""),"dull")</f>
        <v>dull</v>
      </c>
      <c r="L412" s="6" t="str">
        <f>IFERROR(__xludf.DUMMYFUNCTION("""COMPUTED_VALUE"""),"inspire")</f>
        <v>inspire</v>
      </c>
      <c r="M412" s="6" t="str">
        <f>IFERROR(__xludf.DUMMYFUNCTION("""COMPUTED_VALUE"""),"martin")</f>
        <v>martin</v>
      </c>
      <c r="N412" s="6" t="str">
        <f>IFERROR(__xludf.DUMMYFUNCTION("""COMPUTED_VALUE"""),"hearst")</f>
        <v>hearst</v>
      </c>
      <c r="P412" s="6" t="str">
        <f>IFERROR(__xludf.DUMMYFUNCTION("""COMPUTED_VALUE"""),"loose")</f>
        <v>loose</v>
      </c>
      <c r="Q412" s="6" t="str">
        <f>IFERROR(__xludf.DUMMYFUNCTION("""COMPUTED_VALUE"""),"failure")</f>
        <v>failure</v>
      </c>
      <c r="S412" s="6" t="str">
        <f>IFERROR(__xludf.DUMMYFUNCTION("""COMPUTED_VALUE"""),"serve")</f>
        <v>serve</v>
      </c>
    </row>
    <row r="413">
      <c r="D413" s="6"/>
      <c r="G413" s="6" t="str">
        <f>IFERROR(__xludf.DUMMYFUNCTION("""COMPUTED_VALUE"""),"triumph")</f>
        <v>triumph</v>
      </c>
      <c r="H413" s="6" t="str">
        <f>IFERROR(__xludf.DUMMYFUNCTION("""COMPUTED_VALUE"""),"wan")</f>
        <v>wan</v>
      </c>
      <c r="I413" s="6" t="str">
        <f>IFERROR(__xludf.DUMMYFUNCTION("""COMPUTED_VALUE"""),"escaped")</f>
        <v>escaped</v>
      </c>
      <c r="J413" s="6" t="str">
        <f>IFERROR(__xludf.DUMMYFUNCTION("""COMPUTED_VALUE"""),"witty")</f>
        <v>witty</v>
      </c>
      <c r="L413" s="6" t="str">
        <f>IFERROR(__xludf.DUMMYFUNCTION("""COMPUTED_VALUE"""),"painfully")</f>
        <v>painfully</v>
      </c>
      <c r="M413" s="6" t="str">
        <f>IFERROR(__xludf.DUMMYFUNCTION("""COMPUTED_VALUE"""),"thinks")</f>
        <v>thinks</v>
      </c>
      <c r="N413" s="6" t="str">
        <f>IFERROR(__xludf.DUMMYFUNCTION("""COMPUTED_VALUE"""),"hollow")</f>
        <v>hollow</v>
      </c>
      <c r="P413" s="6" t="str">
        <f>IFERROR(__xludf.DUMMYFUNCTION("""COMPUTED_VALUE"""),"revealing")</f>
        <v>revealing</v>
      </c>
      <c r="Q413" s="6" t="str">
        <f>IFERROR(__xludf.DUMMYFUNCTION("""COMPUTED_VALUE"""),"suffering")</f>
        <v>suffering</v>
      </c>
      <c r="S413" s="6" t="str">
        <f>IFERROR(__xludf.DUMMYFUNCTION("""COMPUTED_VALUE"""),"sister")</f>
        <v>sister</v>
      </c>
    </row>
    <row r="414">
      <c r="D414" s="6"/>
      <c r="G414" s="6" t="str">
        <f>IFERROR(__xludf.DUMMYFUNCTION("""COMPUTED_VALUE"""),"capture")</f>
        <v>capture</v>
      </c>
      <c r="H414" s="6" t="str">
        <f>IFERROR(__xludf.DUMMYFUNCTION("""COMPUTED_VALUE"""),"sweet")</f>
        <v>sweet</v>
      </c>
      <c r="I414" s="6" t="str">
        <f>IFERROR(__xludf.DUMMYFUNCTION("""COMPUTED_VALUE"""),"dug")</f>
        <v>dug</v>
      </c>
      <c r="J414" s="6" t="str">
        <f>IFERROR(__xludf.DUMMYFUNCTION("""COMPUTED_VALUE"""),"accomplished")</f>
        <v>accomplished</v>
      </c>
      <c r="L414" s="6" t="str">
        <f>IFERROR(__xludf.DUMMYFUNCTION("""COMPUTED_VALUE"""),"obstacles")</f>
        <v>obstacles</v>
      </c>
      <c r="M414" s="6" t="str">
        <f>IFERROR(__xludf.DUMMYFUNCTION("""COMPUTED_VALUE"""),"alabama")</f>
        <v>alabama</v>
      </c>
      <c r="N414" s="6" t="str">
        <f>IFERROR(__xludf.DUMMYFUNCTION("""COMPUTED_VALUE"""),"groundbreaking")</f>
        <v>groundbreaking</v>
      </c>
      <c r="P414" s="6" t="str">
        <f>IFERROR(__xludf.DUMMYFUNCTION("""COMPUTED_VALUE"""),"study")</f>
        <v>study</v>
      </c>
      <c r="Q414" s="6" t="str">
        <f>IFERROR(__xludf.DUMMYFUNCTION("""COMPUTED_VALUE"""),"powerful")</f>
        <v>powerful</v>
      </c>
      <c r="S414" s="6" t="str">
        <f>IFERROR(__xludf.DUMMYFUNCTION("""COMPUTED_VALUE"""),"sofia")</f>
        <v>sofia</v>
      </c>
    </row>
    <row r="415">
      <c r="D415" s="6"/>
      <c r="G415" s="6" t="str">
        <f>IFERROR(__xludf.DUMMYFUNCTION("""COMPUTED_VALUE"""),"fascination")</f>
        <v>fascination</v>
      </c>
      <c r="H415" s="6" t="str">
        <f>IFERROR(__xludf.DUMMYFUNCTION("""COMPUTED_VALUE"""),"delight")</f>
        <v>delight</v>
      </c>
      <c r="I415" s="6" t="str">
        <f>IFERROR(__xludf.DUMMYFUNCTION("""COMPUTED_VALUE"""),"kennedy")</f>
        <v>kennedy</v>
      </c>
      <c r="J415" s="6" t="str">
        <f>IFERROR(__xludf.DUMMYFUNCTION("""COMPUTED_VALUE"""),"primal")</f>
        <v>primal</v>
      </c>
      <c r="L415" s="6" t="str">
        <f>IFERROR(__xludf.DUMMYFUNCTION("""COMPUTED_VALUE"""),"centuries")</f>
        <v>centuries</v>
      </c>
      <c r="M415" s="6" t="str">
        <f>IFERROR(__xludf.DUMMYFUNCTION("""COMPUTED_VALUE"""),"impact")</f>
        <v>impact</v>
      </c>
      <c r="N415" s="6" t="str">
        <f>IFERROR(__xludf.DUMMYFUNCTION("""COMPUTED_VALUE"""),"musicals")</f>
        <v>musicals</v>
      </c>
      <c r="P415" s="6" t="str">
        <f>IFERROR(__xludf.DUMMYFUNCTION("""COMPUTED_VALUE"""),"fairly")</f>
        <v>fairly</v>
      </c>
      <c r="Q415" s="6" t="str">
        <f>IFERROR(__xludf.DUMMYFUNCTION("""COMPUTED_VALUE"""),"clinic")</f>
        <v>clinic</v>
      </c>
      <c r="S415" s="6" t="str">
        <f>IFERROR(__xludf.DUMMYFUNCTION("""COMPUTED_VALUE"""),"process")</f>
        <v>process</v>
      </c>
    </row>
    <row r="416">
      <c r="D416" s="6"/>
      <c r="G416" s="6" t="str">
        <f>IFERROR(__xludf.DUMMYFUNCTION("""COMPUTED_VALUE"""),"vague")</f>
        <v>vague</v>
      </c>
      <c r="H416" s="6" t="str">
        <f>IFERROR(__xludf.DUMMYFUNCTION("""COMPUTED_VALUE"""),"meaningful")</f>
        <v>meaningful</v>
      </c>
      <c r="I416" s="6" t="str">
        <f>IFERROR(__xludf.DUMMYFUNCTION("""COMPUTED_VALUE"""),"soundtrack")</f>
        <v>soundtrack</v>
      </c>
      <c r="J416" s="6" t="str">
        <f>IFERROR(__xludf.DUMMYFUNCTION("""COMPUTED_VALUE"""),"fears")</f>
        <v>fears</v>
      </c>
      <c r="L416" s="6" t="str">
        <f>IFERROR(__xludf.DUMMYFUNCTION("""COMPUTED_VALUE"""),"truths")</f>
        <v>truths</v>
      </c>
      <c r="M416" s="6" t="str">
        <f>IFERROR(__xludf.DUMMYFUNCTION("""COMPUTED_VALUE"""),"millions")</f>
        <v>millions</v>
      </c>
      <c r="N416" s="6" t="str">
        <f>IFERROR(__xludf.DUMMYFUNCTION("""COMPUTED_VALUE"""),"cerebral")</f>
        <v>cerebral</v>
      </c>
      <c r="P416" s="6" t="str">
        <f>IFERROR(__xludf.DUMMYFUNCTION("""COMPUTED_VALUE"""),"job")</f>
        <v>job</v>
      </c>
      <c r="Q416" s="6" t="str">
        <f>IFERROR(__xludf.DUMMYFUNCTION("""COMPUTED_VALUE"""),"cinematography")</f>
        <v>cinematography</v>
      </c>
      <c r="S416" s="6" t="str">
        <f>IFERROR(__xludf.DUMMYFUNCTION("""COMPUTED_VALUE"""),"cover")</f>
        <v>cover</v>
      </c>
    </row>
    <row r="417">
      <c r="D417" s="6"/>
      <c r="G417" s="6" t="str">
        <f>IFERROR(__xludf.DUMMYFUNCTION("""COMPUTED_VALUE"""),"awareness")</f>
        <v>awareness</v>
      </c>
      <c r="H417" s="6" t="str">
        <f>IFERROR(__xludf.DUMMYFUNCTION("""COMPUTED_VALUE"""),"harvesting")</f>
        <v>harvesting</v>
      </c>
      <c r="I417" s="6" t="str">
        <f>IFERROR(__xludf.DUMMYFUNCTION("""COMPUTED_VALUE"""),"quality")</f>
        <v>quality</v>
      </c>
      <c r="J417" s="6" t="str">
        <f>IFERROR(__xludf.DUMMYFUNCTION("""COMPUTED_VALUE"""),"portrait")</f>
        <v>portrait</v>
      </c>
      <c r="L417" s="6" t="str">
        <f>IFERROR(__xludf.DUMMYFUNCTION("""COMPUTED_VALUE"""),"inspiring")</f>
        <v>inspiring</v>
      </c>
      <c r="M417" s="6" t="str">
        <f>IFERROR(__xludf.DUMMYFUNCTION("""COMPUTED_VALUE"""),"ice")</f>
        <v>ice</v>
      </c>
      <c r="N417" s="6" t="str">
        <f>IFERROR(__xludf.DUMMYFUNCTION("""COMPUTED_VALUE"""),"betrayal")</f>
        <v>betrayal</v>
      </c>
      <c r="P417" s="6" t="str">
        <f>IFERROR(__xludf.DUMMYFUNCTION("""COMPUTED_VALUE"""),"daughters")</f>
        <v>daughters</v>
      </c>
      <c r="Q417" s="6" t="str">
        <f>IFERROR(__xludf.DUMMYFUNCTION("""COMPUTED_VALUE"""),"surreal")</f>
        <v>surreal</v>
      </c>
      <c r="S417" s="6" t="str">
        <f>IFERROR(__xludf.DUMMYFUNCTION("""COMPUTED_VALUE"""),"walked")</f>
        <v>walked</v>
      </c>
    </row>
    <row r="418">
      <c r="D418" s="6"/>
      <c r="G418" s="6" t="str">
        <f>IFERROR(__xludf.DUMMYFUNCTION("""COMPUTED_VALUE"""),"counterparts")</f>
        <v>counterparts</v>
      </c>
      <c r="H418" s="6" t="str">
        <f>IFERROR(__xludf.DUMMYFUNCTION("""COMPUTED_VALUE"""),"construct")</f>
        <v>construct</v>
      </c>
      <c r="I418" s="6" t="str">
        <f>IFERROR(__xludf.DUMMYFUNCTION("""COMPUTED_VALUE"""),"twist")</f>
        <v>twist</v>
      </c>
      <c r="J418" s="6" t="str">
        <f>IFERROR(__xludf.DUMMYFUNCTION("""COMPUTED_VALUE"""),"rare")</f>
        <v>rare</v>
      </c>
      <c r="L418" s="6" t="str">
        <f>IFERROR(__xludf.DUMMYFUNCTION("""COMPUTED_VALUE"""),"consequences")</f>
        <v>consequences</v>
      </c>
      <c r="M418" s="6" t="str">
        <f>IFERROR(__xludf.DUMMYFUNCTION("""COMPUTED_VALUE"""),"form")</f>
        <v>form</v>
      </c>
      <c r="N418" s="6" t="str">
        <f>IFERROR(__xludf.DUMMYFUNCTION("""COMPUTED_VALUE"""),"pow")</f>
        <v>pow</v>
      </c>
      <c r="P418" s="6" t="str">
        <f>IFERROR(__xludf.DUMMYFUNCTION("""COMPUTED_VALUE"""),"darker")</f>
        <v>darker</v>
      </c>
      <c r="Q418" s="6" t="str">
        <f>IFERROR(__xludf.DUMMYFUNCTION("""COMPUTED_VALUE"""),"passion")</f>
        <v>passion</v>
      </c>
      <c r="S418" s="6" t="str">
        <f>IFERROR(__xludf.DUMMYFUNCTION("""COMPUTED_VALUE"""),"stage")</f>
        <v>stage</v>
      </c>
    </row>
    <row r="419">
      <c r="D419" s="6"/>
      <c r="G419" s="6" t="str">
        <f>IFERROR(__xludf.DUMMYFUNCTION("""COMPUTED_VALUE"""),"equal")</f>
        <v>equal</v>
      </c>
      <c r="H419" s="6" t="str">
        <f>IFERROR(__xludf.DUMMYFUNCTION("""COMPUTED_VALUE"""),"trace")</f>
        <v>trace</v>
      </c>
      <c r="I419" s="6">
        <f>IFERROR(__xludf.DUMMYFUNCTION("""COMPUTED_VALUE"""),20.0)</f>
        <v>20</v>
      </c>
      <c r="J419" s="6" t="str">
        <f>IFERROR(__xludf.DUMMYFUNCTION("""COMPUTED_VALUE"""),"draws")</f>
        <v>draws</v>
      </c>
      <c r="L419" s="6" t="str">
        <f>IFERROR(__xludf.DUMMYFUNCTION("""COMPUTED_VALUE"""),"visually")</f>
        <v>visually</v>
      </c>
      <c r="M419" s="6" t="str">
        <f>IFERROR(__xludf.DUMMYFUNCTION("""COMPUTED_VALUE"""),"substantial")</f>
        <v>substantial</v>
      </c>
      <c r="N419" s="6" t="str">
        <f>IFERROR(__xludf.DUMMYFUNCTION("""COMPUTED_VALUE"""),"jolly")</f>
        <v>jolly</v>
      </c>
      <c r="P419" s="6" t="str">
        <f>IFERROR(__xludf.DUMMYFUNCTION("""COMPUTED_VALUE"""),"created")</f>
        <v>created</v>
      </c>
      <c r="Q419" s="6" t="str">
        <f>IFERROR(__xludf.DUMMYFUNCTION("""COMPUTED_VALUE"""),"formula")</f>
        <v>formula</v>
      </c>
      <c r="S419" s="6" t="str">
        <f>IFERROR(__xludf.DUMMYFUNCTION("""COMPUTED_VALUE"""),"next")</f>
        <v>next</v>
      </c>
    </row>
    <row r="420">
      <c r="D420" s="6"/>
      <c r="G420" s="6" t="str">
        <f>IFERROR(__xludf.DUMMYFUNCTION("""COMPUTED_VALUE"""),"sara")</f>
        <v>sara</v>
      </c>
      <c r="H420" s="6" t="str">
        <f>IFERROR(__xludf.DUMMYFUNCTION("""COMPUTED_VALUE"""),"debt")</f>
        <v>debt</v>
      </c>
      <c r="I420" s="6" t="str">
        <f>IFERROR(__xludf.DUMMYFUNCTION("""COMPUTED_VALUE"""),"nba")</f>
        <v>nba</v>
      </c>
      <c r="J420" s="6" t="str">
        <f>IFERROR(__xludf.DUMMYFUNCTION("""COMPUTED_VALUE"""),"compassion")</f>
        <v>compassion</v>
      </c>
      <c r="L420" s="6" t="str">
        <f>IFERROR(__xludf.DUMMYFUNCTION("""COMPUTED_VALUE"""),"chuckle")</f>
        <v>chuckle</v>
      </c>
      <c r="M420" s="6" t="str">
        <f>IFERROR(__xludf.DUMMYFUNCTION("""COMPUTED_VALUE"""),"oliver")</f>
        <v>oliver</v>
      </c>
      <c r="N420" s="6" t="str">
        <f>IFERROR(__xludf.DUMMYFUNCTION("""COMPUTED_VALUE"""),"survivors")</f>
        <v>survivors</v>
      </c>
      <c r="P420" s="6" t="str">
        <f>IFERROR(__xludf.DUMMYFUNCTION("""COMPUTED_VALUE"""),"fewer")</f>
        <v>fewer</v>
      </c>
      <c r="Q420" s="6" t="str">
        <f>IFERROR(__xludf.DUMMYFUNCTION("""COMPUTED_VALUE"""),"distance")</f>
        <v>distance</v>
      </c>
      <c r="S420" s="6" t="str">
        <f>IFERROR(__xludf.DUMMYFUNCTION("""COMPUTED_VALUE"""),"sitting")</f>
        <v>sitting</v>
      </c>
    </row>
    <row r="421">
      <c r="D421" s="6"/>
      <c r="G421" s="6" t="str">
        <f>IFERROR(__xludf.DUMMYFUNCTION("""COMPUTED_VALUE"""),"lets")</f>
        <v>lets</v>
      </c>
      <c r="H421" s="6" t="str">
        <f>IFERROR(__xludf.DUMMYFUNCTION("""COMPUTED_VALUE"""),"laughed")</f>
        <v>laughed</v>
      </c>
      <c r="I421" s="6" t="str">
        <f>IFERROR(__xludf.DUMMYFUNCTION("""COMPUTED_VALUE"""),"layers")</f>
        <v>layers</v>
      </c>
      <c r="J421" s="6" t="str">
        <f>IFERROR(__xludf.DUMMYFUNCTION("""COMPUTED_VALUE"""),"success")</f>
        <v>success</v>
      </c>
      <c r="L421" s="6" t="str">
        <f>IFERROR(__xludf.DUMMYFUNCTION("""COMPUTED_VALUE"""),"maneuvers")</f>
        <v>maneuvers</v>
      </c>
      <c r="M421" s="6" t="str">
        <f>IFERROR(__xludf.DUMMYFUNCTION("""COMPUTED_VALUE"""),"calls")</f>
        <v>calls</v>
      </c>
      <c r="N421" s="6" t="str">
        <f>IFERROR(__xludf.DUMMYFUNCTION("""COMPUTED_VALUE"""),"slim")</f>
        <v>slim</v>
      </c>
      <c r="P421" s="6" t="str">
        <f>IFERROR(__xludf.DUMMYFUNCTION("""COMPUTED_VALUE"""),"deep")</f>
        <v>deep</v>
      </c>
      <c r="Q421" s="6" t="str">
        <f>IFERROR(__xludf.DUMMYFUNCTION("""COMPUTED_VALUE"""),"man")</f>
        <v>man</v>
      </c>
      <c r="S421" s="6" t="str">
        <f>IFERROR(__xludf.DUMMYFUNCTION("""COMPUTED_VALUE"""),"ellen")</f>
        <v>ellen</v>
      </c>
    </row>
    <row r="422">
      <c r="D422" s="6"/>
      <c r="G422" s="6" t="str">
        <f>IFERROR(__xludf.DUMMYFUNCTION("""COMPUTED_VALUE"""),"raises")</f>
        <v>raises</v>
      </c>
      <c r="H422" s="6" t="str">
        <f>IFERROR(__xludf.DUMMYFUNCTION("""COMPUTED_VALUE"""),"endeavors")</f>
        <v>endeavors</v>
      </c>
      <c r="I422" s="6" t="str">
        <f>IFERROR(__xludf.DUMMYFUNCTION("""COMPUTED_VALUE"""),"deadly")</f>
        <v>deadly</v>
      </c>
      <c r="J422" s="6" t="str">
        <f>IFERROR(__xludf.DUMMYFUNCTION("""COMPUTED_VALUE"""),"bard")</f>
        <v>bard</v>
      </c>
      <c r="L422" s="6" t="str">
        <f>IFERROR(__xludf.DUMMYFUNCTION("""COMPUTED_VALUE"""),"dazzling")</f>
        <v>dazzling</v>
      </c>
      <c r="M422" s="6" t="str">
        <f>IFERROR(__xludf.DUMMYFUNCTION("""COMPUTED_VALUE"""),"chemistry")</f>
        <v>chemistry</v>
      </c>
      <c r="N422" s="6" t="str">
        <f>IFERROR(__xludf.DUMMYFUNCTION("""COMPUTED_VALUE"""),"nonsense")</f>
        <v>nonsense</v>
      </c>
      <c r="P422" s="6" t="str">
        <f>IFERROR(__xludf.DUMMYFUNCTION("""COMPUTED_VALUE"""),"submarine")</f>
        <v>submarine</v>
      </c>
      <c r="Q422" s="6" t="str">
        <f>IFERROR(__xludf.DUMMYFUNCTION("""COMPUTED_VALUE"""),"partisans")</f>
        <v>partisans</v>
      </c>
      <c r="S422" s="6" t="str">
        <f>IFERROR(__xludf.DUMMYFUNCTION("""COMPUTED_VALUE"""),"giant")</f>
        <v>giant</v>
      </c>
    </row>
    <row r="423">
      <c r="D423" s="6"/>
      <c r="G423" s="6" t="str">
        <f>IFERROR(__xludf.DUMMYFUNCTION("""COMPUTED_VALUE"""),"delivering")</f>
        <v>delivering</v>
      </c>
      <c r="H423" s="6" t="str">
        <f>IFERROR(__xludf.DUMMYFUNCTION("""COMPUTED_VALUE"""),"adhere")</f>
        <v>adhere</v>
      </c>
      <c r="I423" s="6" t="str">
        <f>IFERROR(__xludf.DUMMYFUNCTION("""COMPUTED_VALUE"""),"frequently")</f>
        <v>frequently</v>
      </c>
      <c r="J423" s="6" t="str">
        <f>IFERROR(__xludf.DUMMYFUNCTION("""COMPUTED_VALUE"""),"strengths")</f>
        <v>strengths</v>
      </c>
      <c r="L423" s="6" t="str">
        <f>IFERROR(__xludf.DUMMYFUNCTION("""COMPUTED_VALUE"""),"scope")</f>
        <v>scope</v>
      </c>
      <c r="M423" s="6" t="str">
        <f>IFERROR(__xludf.DUMMYFUNCTION("""COMPUTED_VALUE"""),"dawn")</f>
        <v>dawn</v>
      </c>
      <c r="N423" s="6" t="str">
        <f>IFERROR(__xludf.DUMMYFUNCTION("""COMPUTED_VALUE"""),"embarrassment")</f>
        <v>embarrassment</v>
      </c>
      <c r="P423" s="6" t="str">
        <f>IFERROR(__xludf.DUMMYFUNCTION("""COMPUTED_VALUE"""),"grand")</f>
        <v>grand</v>
      </c>
      <c r="Q423" s="6" t="str">
        <f>IFERROR(__xludf.DUMMYFUNCTION("""COMPUTED_VALUE"""),"argentine")</f>
        <v>argentine</v>
      </c>
      <c r="S423" s="6" t="str">
        <f>IFERROR(__xludf.DUMMYFUNCTION("""COMPUTED_VALUE"""),"backward")</f>
        <v>backward</v>
      </c>
    </row>
    <row r="424">
      <c r="D424" s="6"/>
      <c r="G424" s="6" t="str">
        <f>IFERROR(__xludf.DUMMYFUNCTION("""COMPUTED_VALUE"""),"elusive")</f>
        <v>elusive</v>
      </c>
      <c r="H424" s="6" t="str">
        <f>IFERROR(__xludf.DUMMYFUNCTION("""COMPUTED_VALUE"""),"laughter")</f>
        <v>laughter</v>
      </c>
      <c r="I424" s="6" t="str">
        <f>IFERROR(__xludf.DUMMYFUNCTION("""COMPUTED_VALUE"""),"striking")</f>
        <v>striking</v>
      </c>
      <c r="J424" s="6" t="str">
        <f>IFERROR(__xludf.DUMMYFUNCTION("""COMPUTED_VALUE"""),"stiff")</f>
        <v>stiff</v>
      </c>
      <c r="L424" s="6" t="str">
        <f>IFERROR(__xludf.DUMMYFUNCTION("""COMPUTED_VALUE"""),"source")</f>
        <v>source</v>
      </c>
      <c r="M424" s="6" t="str">
        <f>IFERROR(__xludf.DUMMYFUNCTION("""COMPUTED_VALUE"""),"control")</f>
        <v>control</v>
      </c>
      <c r="N424" s="6" t="str">
        <f>IFERROR(__xludf.DUMMYFUNCTION("""COMPUTED_VALUE"""),"uncomfortably")</f>
        <v>uncomfortably</v>
      </c>
      <c r="P424" s="6" t="str">
        <f>IFERROR(__xludf.DUMMYFUNCTION("""COMPUTED_VALUE"""),"found")</f>
        <v>found</v>
      </c>
      <c r="Q424" s="6" t="str">
        <f>IFERROR(__xludf.DUMMYFUNCTION("""COMPUTED_VALUE"""),"bride")</f>
        <v>bride</v>
      </c>
      <c r="S424" s="6" t="str">
        <f>IFERROR(__xludf.DUMMYFUNCTION("""COMPUTED_VALUE"""),"three")</f>
        <v>three</v>
      </c>
    </row>
    <row r="425">
      <c r="D425" s="6"/>
      <c r="G425" s="6" t="str">
        <f>IFERROR(__xludf.DUMMYFUNCTION("""COMPUTED_VALUE"""),"longing")</f>
        <v>longing</v>
      </c>
      <c r="H425" s="6" t="str">
        <f>IFERROR(__xludf.DUMMYFUNCTION("""COMPUTED_VALUE"""),"philosophical")</f>
        <v>philosophical</v>
      </c>
      <c r="I425" s="6" t="str">
        <f>IFERROR(__xludf.DUMMYFUNCTION("""COMPUTED_VALUE"""),"impressive")</f>
        <v>impressive</v>
      </c>
      <c r="J425" s="6" t="str">
        <f>IFERROR(__xludf.DUMMYFUNCTION("""COMPUTED_VALUE"""),"antics")</f>
        <v>antics</v>
      </c>
      <c r="L425" s="6" t="str">
        <f>IFERROR(__xludf.DUMMYFUNCTION("""COMPUTED_VALUE"""),"technology")</f>
        <v>technology</v>
      </c>
      <c r="M425" s="6" t="str">
        <f>IFERROR(__xludf.DUMMYFUNCTION("""COMPUTED_VALUE"""),"measure")</f>
        <v>measure</v>
      </c>
      <c r="N425" s="6" t="str">
        <f>IFERROR(__xludf.DUMMYFUNCTION("""COMPUTED_VALUE"""),"imaginative")</f>
        <v>imaginative</v>
      </c>
      <c r="P425" s="6" t="str">
        <f>IFERROR(__xludf.DUMMYFUNCTION("""COMPUTED_VALUE"""),"star")</f>
        <v>star</v>
      </c>
      <c r="Q425" s="6" t="str">
        <f>IFERROR(__xludf.DUMMYFUNCTION("""COMPUTED_VALUE"""),"celebrates")</f>
        <v>celebrates</v>
      </c>
      <c r="S425" s="6" t="str">
        <f>IFERROR(__xludf.DUMMYFUNCTION("""COMPUTED_VALUE"""),"ago")</f>
        <v>ago</v>
      </c>
    </row>
    <row r="426">
      <c r="D426" s="6"/>
      <c r="G426" s="6" t="str">
        <f>IFERROR(__xludf.DUMMYFUNCTION("""COMPUTED_VALUE"""),"imagery")</f>
        <v>imagery</v>
      </c>
      <c r="H426" s="6" t="str">
        <f>IFERROR(__xludf.DUMMYFUNCTION("""COMPUTED_VALUE"""),"invention")</f>
        <v>invention</v>
      </c>
      <c r="I426" s="6" t="str">
        <f>IFERROR(__xludf.DUMMYFUNCTION("""COMPUTED_VALUE"""),"biography")</f>
        <v>biography</v>
      </c>
      <c r="J426" s="6" t="str">
        <f>IFERROR(__xludf.DUMMYFUNCTION("""COMPUTED_VALUE"""),"bottom")</f>
        <v>bottom</v>
      </c>
      <c r="L426" s="6" t="str">
        <f>IFERROR(__xludf.DUMMYFUNCTION("""COMPUTED_VALUE"""),"inspirational")</f>
        <v>inspirational</v>
      </c>
      <c r="M426" s="6" t="str">
        <f>IFERROR(__xludf.DUMMYFUNCTION("""COMPUTED_VALUE"""),"return")</f>
        <v>return</v>
      </c>
      <c r="N426" s="6" t="str">
        <f>IFERROR(__xludf.DUMMYFUNCTION("""COMPUTED_VALUE"""),"viewed")</f>
        <v>viewed</v>
      </c>
      <c r="P426" s="6" t="str">
        <f>IFERROR(__xludf.DUMMYFUNCTION("""COMPUTED_VALUE"""),"spirit")</f>
        <v>spirit</v>
      </c>
      <c r="Q426" s="6" t="str">
        <f>IFERROR(__xludf.DUMMYFUNCTION("""COMPUTED_VALUE"""),"points")</f>
        <v>points</v>
      </c>
      <c r="S426" s="6" t="str">
        <f>IFERROR(__xludf.DUMMYFUNCTION("""COMPUTED_VALUE"""),"decades")</f>
        <v>decades</v>
      </c>
    </row>
    <row r="427">
      <c r="D427" s="6"/>
      <c r="G427" s="6" t="str">
        <f>IFERROR(__xludf.DUMMYFUNCTION("""COMPUTED_VALUE"""),"shimmering")</f>
        <v>shimmering</v>
      </c>
      <c r="H427" s="6" t="str">
        <f>IFERROR(__xludf.DUMMYFUNCTION("""COMPUTED_VALUE"""),"drag")</f>
        <v>drag</v>
      </c>
      <c r="I427" s="6" t="str">
        <f>IFERROR(__xludf.DUMMYFUNCTION("""COMPUTED_VALUE"""),"animation")</f>
        <v>animation</v>
      </c>
      <c r="J427" s="6" t="str">
        <f>IFERROR(__xludf.DUMMYFUNCTION("""COMPUTED_VALUE"""),"miracles")</f>
        <v>miracles</v>
      </c>
      <c r="L427" s="6" t="str">
        <f>IFERROR(__xludf.DUMMYFUNCTION("""COMPUTED_VALUE"""),"status")</f>
        <v>status</v>
      </c>
      <c r="M427" s="6" t="str">
        <f>IFERROR(__xludf.DUMMYFUNCTION("""COMPUTED_VALUE"""),"sees")</f>
        <v>sees</v>
      </c>
      <c r="N427" s="6" t="str">
        <f>IFERROR(__xludf.DUMMYFUNCTION("""COMPUTED_VALUE"""),"somber")</f>
        <v>somber</v>
      </c>
      <c r="P427" s="6" t="str">
        <f>IFERROR(__xludf.DUMMYFUNCTION("""COMPUTED_VALUE"""),"holes")</f>
        <v>holes</v>
      </c>
      <c r="Q427" s="6" t="str">
        <f>IFERROR(__xludf.DUMMYFUNCTION("""COMPUTED_VALUE"""),"white")</f>
        <v>white</v>
      </c>
      <c r="S427" s="6" t="str">
        <f>IFERROR(__xludf.DUMMYFUNCTION("""COMPUTED_VALUE"""),"von")</f>
        <v>von</v>
      </c>
    </row>
    <row r="428">
      <c r="D428" s="6"/>
      <c r="G428" s="6" t="str">
        <f>IFERROR(__xludf.DUMMYFUNCTION("""COMPUTED_VALUE"""),"adolescent")</f>
        <v>adolescent</v>
      </c>
      <c r="H428" s="6" t="str">
        <f>IFERROR(__xludf.DUMMYFUNCTION("""COMPUTED_VALUE"""),"juvenile")</f>
        <v>juvenile</v>
      </c>
      <c r="I428" s="6" t="str">
        <f>IFERROR(__xludf.DUMMYFUNCTION("""COMPUTED_VALUE"""),"task")</f>
        <v>task</v>
      </c>
      <c r="J428" s="6" t="str">
        <f>IFERROR(__xludf.DUMMYFUNCTION("""COMPUTED_VALUE"""),"miracle")</f>
        <v>miracle</v>
      </c>
      <c r="L428" s="6" t="str">
        <f>IFERROR(__xludf.DUMMYFUNCTION("""COMPUTED_VALUE"""),"identity")</f>
        <v>identity</v>
      </c>
      <c r="M428" s="6" t="str">
        <f>IFERROR(__xludf.DUMMYFUNCTION("""COMPUTED_VALUE"""),"shadow")</f>
        <v>shadow</v>
      </c>
      <c r="N428" s="6" t="str">
        <f>IFERROR(__xludf.DUMMYFUNCTION("""COMPUTED_VALUE"""),"commerce")</f>
        <v>commerce</v>
      </c>
      <c r="P428" s="6" t="str">
        <f>IFERROR(__xludf.DUMMYFUNCTION("""COMPUTED_VALUE"""),"claude")</f>
        <v>claude</v>
      </c>
      <c r="Q428" s="6" t="str">
        <f>IFERROR(__xludf.DUMMYFUNCTION("""COMPUTED_VALUE"""),"vulnerable")</f>
        <v>vulnerable</v>
      </c>
      <c r="S428" s="6" t="str">
        <f>IFERROR(__xludf.DUMMYFUNCTION("""COMPUTED_VALUE"""),"failing")</f>
        <v>failing</v>
      </c>
    </row>
    <row r="429">
      <c r="D429" s="6"/>
      <c r="G429" s="6" t="str">
        <f>IFERROR(__xludf.DUMMYFUNCTION("""COMPUTED_VALUE"""),"seat")</f>
        <v>seat</v>
      </c>
      <c r="H429" s="6" t="str">
        <f>IFERROR(__xludf.DUMMYFUNCTION("""COMPUTED_VALUE"""),"literary")</f>
        <v>literary</v>
      </c>
      <c r="I429" s="6" t="str">
        <f>IFERROR(__xludf.DUMMYFUNCTION("""COMPUTED_VALUE"""),"creating")</f>
        <v>creating</v>
      </c>
      <c r="J429" s="6" t="str">
        <f>IFERROR(__xludf.DUMMYFUNCTION("""COMPUTED_VALUE"""),"lewis")</f>
        <v>lewis</v>
      </c>
      <c r="L429" s="6" t="str">
        <f>IFERROR(__xludf.DUMMYFUNCTION("""COMPUTED_VALUE"""),"jerking")</f>
        <v>jerking</v>
      </c>
      <c r="M429" s="6" t="str">
        <f>IFERROR(__xludf.DUMMYFUNCTION("""COMPUTED_VALUE"""),"lawrence")</f>
        <v>lawrence</v>
      </c>
      <c r="N429" s="6" t="str">
        <f>IFERROR(__xludf.DUMMYFUNCTION("""COMPUTED_VALUE"""),"subtly")</f>
        <v>subtly</v>
      </c>
      <c r="P429" s="6" t="str">
        <f>IFERROR(__xludf.DUMMYFUNCTION("""COMPUTED_VALUE"""),"master")</f>
        <v>master</v>
      </c>
      <c r="Q429" s="6" t="str">
        <f>IFERROR(__xludf.DUMMYFUNCTION("""COMPUTED_VALUE"""),"watts")</f>
        <v>watts</v>
      </c>
      <c r="S429" s="6" t="str">
        <f>IFERROR(__xludf.DUMMYFUNCTION("""COMPUTED_VALUE"""),"growth")</f>
        <v>growth</v>
      </c>
    </row>
    <row r="430">
      <c r="D430" s="6"/>
      <c r="G430" s="6" t="str">
        <f>IFERROR(__xludf.DUMMYFUNCTION("""COMPUTED_VALUE"""),"visuals")</f>
        <v>visuals</v>
      </c>
      <c r="H430" s="6" t="str">
        <f>IFERROR(__xludf.DUMMYFUNCTION("""COMPUTED_VALUE"""),"distant")</f>
        <v>distant</v>
      </c>
      <c r="I430" s="6" t="str">
        <f>IFERROR(__xludf.DUMMYFUNCTION("""COMPUTED_VALUE"""),"featuring")</f>
        <v>featuring</v>
      </c>
      <c r="J430" s="6" t="str">
        <f>IFERROR(__xludf.DUMMYFUNCTION("""COMPUTED_VALUE"""),"davies")</f>
        <v>davies</v>
      </c>
      <c r="L430" s="6" t="str">
        <f>IFERROR(__xludf.DUMMYFUNCTION("""COMPUTED_VALUE"""),"corpus")</f>
        <v>corpus</v>
      </c>
      <c r="M430" s="6">
        <f>IFERROR(__xludf.DUMMYFUNCTION("""COMPUTED_VALUE"""),51.0)</f>
        <v>51</v>
      </c>
      <c r="N430" s="6" t="str">
        <f>IFERROR(__xludf.DUMMYFUNCTION("""COMPUTED_VALUE"""),"provoke")</f>
        <v>provoke</v>
      </c>
      <c r="P430" s="6" t="str">
        <f>IFERROR(__xludf.DUMMYFUNCTION("""COMPUTED_VALUE"""),"screenplay")</f>
        <v>screenplay</v>
      </c>
      <c r="Q430" s="6" t="str">
        <f>IFERROR(__xludf.DUMMYFUNCTION("""COMPUTED_VALUE"""),"isolation")</f>
        <v>isolation</v>
      </c>
      <c r="S430" s="6" t="str">
        <f>IFERROR(__xludf.DUMMYFUNCTION("""COMPUTED_VALUE"""),"opera")</f>
        <v>opera</v>
      </c>
    </row>
    <row r="431">
      <c r="D431" s="6"/>
      <c r="G431" s="6" t="str">
        <f>IFERROR(__xludf.DUMMYFUNCTION("""COMPUTED_VALUE"""),"lifelong")</f>
        <v>lifelong</v>
      </c>
      <c r="H431" s="6" t="str">
        <f>IFERROR(__xludf.DUMMYFUNCTION("""COMPUTED_VALUE"""),"dull")</f>
        <v>dull</v>
      </c>
      <c r="I431" s="6" t="str">
        <f>IFERROR(__xludf.DUMMYFUNCTION("""COMPUTED_VALUE"""),"eastern")</f>
        <v>eastern</v>
      </c>
      <c r="J431" s="6" t="str">
        <f>IFERROR(__xludf.DUMMYFUNCTION("""COMPUTED_VALUE"""),"bleak")</f>
        <v>bleak</v>
      </c>
      <c r="L431" s="6" t="str">
        <f>IFERROR(__xludf.DUMMYFUNCTION("""COMPUTED_VALUE"""),"cruelty")</f>
        <v>cruelty</v>
      </c>
      <c r="M431" s="6" t="str">
        <f>IFERROR(__xludf.DUMMYFUNCTION("""COMPUTED_VALUE"""),"similarly")</f>
        <v>similarly</v>
      </c>
      <c r="N431" s="6" t="str">
        <f>IFERROR(__xludf.DUMMYFUNCTION("""COMPUTED_VALUE"""),"collapses")</f>
        <v>collapses</v>
      </c>
      <c r="P431" s="6" t="str">
        <f>IFERROR(__xludf.DUMMYFUNCTION("""COMPUTED_VALUE"""),"wish")</f>
        <v>wish</v>
      </c>
      <c r="Q431" s="6" t="str">
        <f>IFERROR(__xludf.DUMMYFUNCTION("""COMPUTED_VALUE"""),"plight")</f>
        <v>plight</v>
      </c>
      <c r="S431" s="6" t="str">
        <f>IFERROR(__xludf.DUMMYFUNCTION("""COMPUTED_VALUE"""),"frozen")</f>
        <v>frozen</v>
      </c>
    </row>
    <row r="432">
      <c r="D432" s="6"/>
      <c r="G432" s="6" t="str">
        <f>IFERROR(__xludf.DUMMYFUNCTION("""COMPUTED_VALUE"""),"pity")</f>
        <v>pity</v>
      </c>
      <c r="H432" s="6" t="str">
        <f>IFERROR(__xludf.DUMMYFUNCTION("""COMPUTED_VALUE"""),"witty")</f>
        <v>witty</v>
      </c>
      <c r="I432" s="6" t="str">
        <f>IFERROR(__xludf.DUMMYFUNCTION("""COMPUTED_VALUE"""),"side")</f>
        <v>side</v>
      </c>
      <c r="J432" s="6" t="str">
        <f>IFERROR(__xludf.DUMMYFUNCTION("""COMPUTED_VALUE"""),"each")</f>
        <v>each</v>
      </c>
      <c r="L432" s="6" t="str">
        <f>IFERROR(__xludf.DUMMYFUNCTION("""COMPUTED_VALUE"""),"russian")</f>
        <v>russian</v>
      </c>
      <c r="M432" s="6" t="str">
        <f>IFERROR(__xludf.DUMMYFUNCTION("""COMPUTED_VALUE"""),"strictly")</f>
        <v>strictly</v>
      </c>
      <c r="N432" s="6" t="str">
        <f>IFERROR(__xludf.DUMMYFUNCTION("""COMPUTED_VALUE"""),"somebody")</f>
        <v>somebody</v>
      </c>
      <c r="P432" s="6" t="str">
        <f>IFERROR(__xludf.DUMMYFUNCTION("""COMPUTED_VALUE"""),"tale")</f>
        <v>tale</v>
      </c>
      <c r="Q432" s="6" t="str">
        <f>IFERROR(__xludf.DUMMYFUNCTION("""COMPUTED_VALUE"""),"frame")</f>
        <v>frame</v>
      </c>
      <c r="S432" s="6" t="str">
        <f>IFERROR(__xludf.DUMMYFUNCTION("""COMPUTED_VALUE"""),"soap")</f>
        <v>soap</v>
      </c>
    </row>
    <row r="433">
      <c r="D433" s="6"/>
      <c r="G433" s="6" t="str">
        <f>IFERROR(__xludf.DUMMYFUNCTION("""COMPUTED_VALUE"""),"sleeve")</f>
        <v>sleeve</v>
      </c>
      <c r="H433" s="6" t="str">
        <f>IFERROR(__xludf.DUMMYFUNCTION("""COMPUTED_VALUE"""),"accomplished")</f>
        <v>accomplished</v>
      </c>
      <c r="I433" s="6" t="str">
        <f>IFERROR(__xludf.DUMMYFUNCTION("""COMPUTED_VALUE"""),"neither")</f>
        <v>neither</v>
      </c>
      <c r="J433" s="6" t="str">
        <f>IFERROR(__xludf.DUMMYFUNCTION("""COMPUTED_VALUE"""),"office")</f>
        <v>office</v>
      </c>
      <c r="L433" s="6" t="str">
        <f>IFERROR(__xludf.DUMMYFUNCTION("""COMPUTED_VALUE"""),"english")</f>
        <v>english</v>
      </c>
      <c r="M433" s="6" t="str">
        <f>IFERROR(__xludf.DUMMYFUNCTION("""COMPUTED_VALUE"""),"confused")</f>
        <v>confused</v>
      </c>
      <c r="N433" s="6" t="str">
        <f>IFERROR(__xludf.DUMMYFUNCTION("""COMPUTED_VALUE"""),"climax")</f>
        <v>climax</v>
      </c>
      <c r="P433" s="6" t="str">
        <f>IFERROR(__xludf.DUMMYFUNCTION("""COMPUTED_VALUE"""),"raw")</f>
        <v>raw</v>
      </c>
      <c r="Q433" s="6" t="str">
        <f>IFERROR(__xludf.DUMMYFUNCTION("""COMPUTED_VALUE"""),"darling")</f>
        <v>darling</v>
      </c>
      <c r="S433" s="6" t="str">
        <f>IFERROR(__xludf.DUMMYFUNCTION("""COMPUTED_VALUE"""),"greatly")</f>
        <v>greatly</v>
      </c>
    </row>
    <row r="434">
      <c r="D434" s="6"/>
      <c r="G434" s="6" t="str">
        <f>IFERROR(__xludf.DUMMYFUNCTION("""COMPUTED_VALUE"""),"wears")</f>
        <v>wears</v>
      </c>
      <c r="H434" s="6" t="str">
        <f>IFERROR(__xludf.DUMMYFUNCTION("""COMPUTED_VALUE"""),"primal")</f>
        <v>primal</v>
      </c>
      <c r="I434" s="6" t="str">
        <f>IFERROR(__xludf.DUMMYFUNCTION("""COMPUTED_VALUE"""),"longest")</f>
        <v>longest</v>
      </c>
      <c r="J434" s="6" t="str">
        <f>IFERROR(__xludf.DUMMYFUNCTION("""COMPUTED_VALUE"""),"bullets")</f>
        <v>bullets</v>
      </c>
      <c r="L434" s="6" t="str">
        <f>IFERROR(__xludf.DUMMYFUNCTION("""COMPUTED_VALUE"""),"pushes")</f>
        <v>pushes</v>
      </c>
      <c r="M434" s="6" t="str">
        <f>IFERROR(__xludf.DUMMYFUNCTION("""COMPUTED_VALUE"""),"gang")</f>
        <v>gang</v>
      </c>
      <c r="N434" s="6" t="str">
        <f>IFERROR(__xludf.DUMMYFUNCTION("""COMPUTED_VALUE"""),"jealousy")</f>
        <v>jealousy</v>
      </c>
      <c r="P434" s="6" t="str">
        <f>IFERROR(__xludf.DUMMYFUNCTION("""COMPUTED_VALUE"""),"testament")</f>
        <v>testament</v>
      </c>
      <c r="Q434" s="6" t="str">
        <f>IFERROR(__xludf.DUMMYFUNCTION("""COMPUTED_VALUE"""),"violence")</f>
        <v>violence</v>
      </c>
      <c r="S434" s="6" t="str">
        <f>IFERROR(__xludf.DUMMYFUNCTION("""COMPUTED_VALUE"""),"free")</f>
        <v>free</v>
      </c>
    </row>
    <row r="435">
      <c r="D435" s="6"/>
      <c r="G435" s="6" t="str">
        <f>IFERROR(__xludf.DUMMYFUNCTION("""COMPUTED_VALUE"""),"intimacy")</f>
        <v>intimacy</v>
      </c>
      <c r="H435" s="6" t="str">
        <f>IFERROR(__xludf.DUMMYFUNCTION("""COMPUTED_VALUE"""),"cope")</f>
        <v>cope</v>
      </c>
      <c r="I435" s="6" t="str">
        <f>IFERROR(__xludf.DUMMYFUNCTION("""COMPUTED_VALUE"""),"sharp")</f>
        <v>sharp</v>
      </c>
      <c r="J435" s="6" t="str">
        <f>IFERROR(__xludf.DUMMYFUNCTION("""COMPUTED_VALUE"""),"poem")</f>
        <v>poem</v>
      </c>
      <c r="L435" s="6" t="str">
        <f>IFERROR(__xludf.DUMMYFUNCTION("""COMPUTED_VALUE"""),"dong")</f>
        <v>dong</v>
      </c>
      <c r="M435" s="6" t="str">
        <f>IFERROR(__xludf.DUMMYFUNCTION("""COMPUTED_VALUE"""),"terrorist")</f>
        <v>terrorist</v>
      </c>
      <c r="N435" s="6" t="str">
        <f>IFERROR(__xludf.DUMMYFUNCTION("""COMPUTED_VALUE"""),"scores")</f>
        <v>scores</v>
      </c>
      <c r="P435" s="6" t="str">
        <f>IFERROR(__xludf.DUMMYFUNCTION("""COMPUTED_VALUE"""),"ability")</f>
        <v>ability</v>
      </c>
      <c r="Q435" s="6" t="str">
        <f>IFERROR(__xludf.DUMMYFUNCTION("""COMPUTED_VALUE"""),"humanity")</f>
        <v>humanity</v>
      </c>
      <c r="S435" s="6" t="str">
        <f>IFERROR(__xludf.DUMMYFUNCTION("""COMPUTED_VALUE"""),"species")</f>
        <v>species</v>
      </c>
    </row>
    <row r="436">
      <c r="D436" s="6"/>
      <c r="G436" s="6" t="str">
        <f>IFERROR(__xludf.DUMMYFUNCTION("""COMPUTED_VALUE"""),"sentiments")</f>
        <v>sentiments</v>
      </c>
      <c r="H436" s="6" t="str">
        <f>IFERROR(__xludf.DUMMYFUNCTION("""COMPUTED_VALUE"""),"fears")</f>
        <v>fears</v>
      </c>
      <c r="I436" s="6" t="str">
        <f>IFERROR(__xludf.DUMMYFUNCTION("""COMPUTED_VALUE"""),"distinctive")</f>
        <v>distinctive</v>
      </c>
      <c r="J436" s="6" t="str">
        <f>IFERROR(__xludf.DUMMYFUNCTION("""COMPUTED_VALUE"""),"convincing")</f>
        <v>convincing</v>
      </c>
      <c r="L436" s="6" t="str">
        <f>IFERROR(__xludf.DUMMYFUNCTION("""COMPUTED_VALUE"""),"hoffman")</f>
        <v>hoffman</v>
      </c>
      <c r="M436" s="6" t="str">
        <f>IFERROR(__xludf.DUMMYFUNCTION("""COMPUTED_VALUE"""),"rural")</f>
        <v>rural</v>
      </c>
      <c r="N436" s="6" t="str">
        <f>IFERROR(__xludf.DUMMYFUNCTION("""COMPUTED_VALUE"""),"autobiographical")</f>
        <v>autobiographical</v>
      </c>
      <c r="P436" s="6" t="str">
        <f>IFERROR(__xludf.DUMMYFUNCTION("""COMPUTED_VALUE"""),"shoulders")</f>
        <v>shoulders</v>
      </c>
      <c r="Q436" s="6" t="str">
        <f>IFERROR(__xludf.DUMMYFUNCTION("""COMPUTED_VALUE"""),"force")</f>
        <v>force</v>
      </c>
      <c r="S436" s="6" t="str">
        <f>IFERROR(__xludf.DUMMYFUNCTION("""COMPUTED_VALUE"""),"tv")</f>
        <v>tv</v>
      </c>
    </row>
    <row r="437">
      <c r="D437" s="6"/>
      <c r="G437" s="6" t="str">
        <f>IFERROR(__xludf.DUMMYFUNCTION("""COMPUTED_VALUE"""),"alabama")</f>
        <v>alabama</v>
      </c>
      <c r="H437" s="6" t="str">
        <f>IFERROR(__xludf.DUMMYFUNCTION("""COMPUTED_VALUE"""),"portrait")</f>
        <v>portrait</v>
      </c>
      <c r="I437" s="6" t="str">
        <f>IFERROR(__xludf.DUMMYFUNCTION("""COMPUTED_VALUE"""),"aims")</f>
        <v>aims</v>
      </c>
      <c r="J437" s="6" t="str">
        <f>IFERROR(__xludf.DUMMYFUNCTION("""COMPUTED_VALUE"""),"viewer")</f>
        <v>viewer</v>
      </c>
      <c r="L437" s="6" t="str">
        <f>IFERROR(__xludf.DUMMYFUNCTION("""COMPUTED_VALUE"""),"charismatic")</f>
        <v>charismatic</v>
      </c>
      <c r="M437" s="6">
        <f>IFERROR(__xludf.DUMMYFUNCTION("""COMPUTED_VALUE"""),89.0)</f>
        <v>89</v>
      </c>
      <c r="N437" s="6" t="str">
        <f>IFERROR(__xludf.DUMMYFUNCTION("""COMPUTED_VALUE"""),"aging")</f>
        <v>aging</v>
      </c>
      <c r="P437" s="6" t="str">
        <f>IFERROR(__xludf.DUMMYFUNCTION("""COMPUTED_VALUE"""),"broad")</f>
        <v>broad</v>
      </c>
      <c r="Q437" s="6" t="str">
        <f>IFERROR(__xludf.DUMMYFUNCTION("""COMPUTED_VALUE"""),"thriller")</f>
        <v>thriller</v>
      </c>
      <c r="S437" s="6" t="str">
        <f>IFERROR(__xludf.DUMMYFUNCTION("""COMPUTED_VALUE"""),"leaves")</f>
        <v>leaves</v>
      </c>
    </row>
    <row r="438">
      <c r="D438" s="6"/>
      <c r="G438" s="6" t="str">
        <f>IFERROR(__xludf.DUMMYFUNCTION("""COMPUTED_VALUE"""),"impact")</f>
        <v>impact</v>
      </c>
      <c r="H438" s="6" t="str">
        <f>IFERROR(__xludf.DUMMYFUNCTION("""COMPUTED_VALUE"""),"rare")</f>
        <v>rare</v>
      </c>
      <c r="I438" s="6" t="str">
        <f>IFERROR(__xludf.DUMMYFUNCTION("""COMPUTED_VALUE"""),"civic")</f>
        <v>civic</v>
      </c>
      <c r="J438" s="6" t="str">
        <f>IFERROR(__xludf.DUMMYFUNCTION("""COMPUTED_VALUE"""),"useless")</f>
        <v>useless</v>
      </c>
      <c r="L438" s="6" t="str">
        <f>IFERROR(__xludf.DUMMYFUNCTION("""COMPUTED_VALUE"""),"harmless")</f>
        <v>harmless</v>
      </c>
      <c r="M438" s="6" t="str">
        <f>IFERROR(__xludf.DUMMYFUNCTION("""COMPUTED_VALUE"""),"possibly")</f>
        <v>possibly</v>
      </c>
      <c r="N438" s="6" t="str">
        <f>IFERROR(__xludf.DUMMYFUNCTION("""COMPUTED_VALUE"""),"virtues")</f>
        <v>virtues</v>
      </c>
      <c r="P438" s="6" t="str">
        <f>IFERROR(__xludf.DUMMYFUNCTION("""COMPUTED_VALUE"""),"report")</f>
        <v>report</v>
      </c>
      <c r="Q438" s="6" t="str">
        <f>IFERROR(__xludf.DUMMYFUNCTION("""COMPUTED_VALUE"""),"maternal")</f>
        <v>maternal</v>
      </c>
      <c r="S438" s="6" t="str">
        <f>IFERROR(__xludf.DUMMYFUNCTION("""COMPUTED_VALUE"""),"question")</f>
        <v>question</v>
      </c>
    </row>
    <row r="439">
      <c r="D439" s="6"/>
      <c r="G439" s="6" t="str">
        <f>IFERROR(__xludf.DUMMYFUNCTION("""COMPUTED_VALUE"""),"oliver")</f>
        <v>oliver</v>
      </c>
      <c r="H439" s="6" t="str">
        <f>IFERROR(__xludf.DUMMYFUNCTION("""COMPUTED_VALUE"""),"draws")</f>
        <v>draws</v>
      </c>
      <c r="I439" s="6" t="str">
        <f>IFERROR(__xludf.DUMMYFUNCTION("""COMPUTED_VALUE"""),"place")</f>
        <v>place</v>
      </c>
      <c r="J439" s="6" t="str">
        <f>IFERROR(__xludf.DUMMYFUNCTION("""COMPUTED_VALUE"""),"pile")</f>
        <v>pile</v>
      </c>
      <c r="L439" s="6" t="str">
        <f>IFERROR(__xludf.DUMMYFUNCTION("""COMPUTED_VALUE"""),"uncertain")</f>
        <v>uncertain</v>
      </c>
      <c r="M439" s="6" t="str">
        <f>IFERROR(__xludf.DUMMYFUNCTION("""COMPUTED_VALUE"""),"hole")</f>
        <v>hole</v>
      </c>
      <c r="N439" s="6" t="str">
        <f>IFERROR(__xludf.DUMMYFUNCTION("""COMPUTED_VALUE"""),"flawed")</f>
        <v>flawed</v>
      </c>
      <c r="P439" s="6" t="str">
        <f>IFERROR(__xludf.DUMMYFUNCTION("""COMPUTED_VALUE"""),"abuse")</f>
        <v>abuse</v>
      </c>
      <c r="Q439" s="6" t="str">
        <f>IFERROR(__xludf.DUMMYFUNCTION("""COMPUTED_VALUE"""),"fury")</f>
        <v>fury</v>
      </c>
      <c r="S439" s="6" t="str">
        <f>IFERROR(__xludf.DUMMYFUNCTION("""COMPUTED_VALUE"""),"open")</f>
        <v>open</v>
      </c>
    </row>
    <row r="440">
      <c r="D440" s="6"/>
      <c r="G440" s="6" t="str">
        <f>IFERROR(__xludf.DUMMYFUNCTION("""COMPUTED_VALUE"""),"chemistry")</f>
        <v>chemistry</v>
      </c>
      <c r="H440" s="6" t="str">
        <f>IFERROR(__xludf.DUMMYFUNCTION("""COMPUTED_VALUE"""),"fails")</f>
        <v>fails</v>
      </c>
      <c r="I440" s="6" t="str">
        <f>IFERROR(__xludf.DUMMYFUNCTION("""COMPUTED_VALUE"""),"dreams")</f>
        <v>dreams</v>
      </c>
      <c r="J440" s="6" t="str">
        <f>IFERROR(__xludf.DUMMYFUNCTION("""COMPUTED_VALUE"""),"pathology")</f>
        <v>pathology</v>
      </c>
      <c r="L440" s="6" t="str">
        <f>IFERROR(__xludf.DUMMYFUNCTION("""COMPUTED_VALUE"""),"dreamed")</f>
        <v>dreamed</v>
      </c>
      <c r="M440" s="6" t="str">
        <f>IFERROR(__xludf.DUMMYFUNCTION("""COMPUTED_VALUE"""),"titled")</f>
        <v>titled</v>
      </c>
      <c r="N440" s="6" t="str">
        <f>IFERROR(__xludf.DUMMYFUNCTION("""COMPUTED_VALUE"""),"treat")</f>
        <v>treat</v>
      </c>
      <c r="P440" s="6" t="str">
        <f>IFERROR(__xludf.DUMMYFUNCTION("""COMPUTED_VALUE"""),"fake")</f>
        <v>fake</v>
      </c>
      <c r="Q440" s="6" t="str">
        <f>IFERROR(__xludf.DUMMYFUNCTION("""COMPUTED_VALUE"""),"risks")</f>
        <v>risks</v>
      </c>
      <c r="S440" s="6" t="str">
        <f>IFERROR(__xludf.DUMMYFUNCTION("""COMPUTED_VALUE"""),"failure")</f>
        <v>failure</v>
      </c>
    </row>
    <row r="441">
      <c r="D441" s="6"/>
      <c r="G441" s="6" t="str">
        <f>IFERROR(__xludf.DUMMYFUNCTION("""COMPUTED_VALUE"""),"control")</f>
        <v>control</v>
      </c>
      <c r="H441" s="6" t="str">
        <f>IFERROR(__xludf.DUMMYFUNCTION("""COMPUTED_VALUE"""),"compassion")</f>
        <v>compassion</v>
      </c>
      <c r="I441" s="6" t="str">
        <f>IFERROR(__xludf.DUMMYFUNCTION("""COMPUTED_VALUE"""),"kevin")</f>
        <v>kevin</v>
      </c>
      <c r="J441" s="6" t="str">
        <f>IFERROR(__xludf.DUMMYFUNCTION("""COMPUTED_VALUE"""),"souls")</f>
        <v>souls</v>
      </c>
      <c r="L441" s="6" t="str">
        <f>IFERROR(__xludf.DUMMYFUNCTION("""COMPUTED_VALUE"""),"editing")</f>
        <v>editing</v>
      </c>
      <c r="M441" s="6" t="str">
        <f>IFERROR(__xludf.DUMMYFUNCTION("""COMPUTED_VALUE"""),"significance")</f>
        <v>significance</v>
      </c>
      <c r="N441" s="6" t="str">
        <f>IFERROR(__xludf.DUMMYFUNCTION("""COMPUTED_VALUE"""),"gloss")</f>
        <v>gloss</v>
      </c>
      <c r="P441" s="6" t="str">
        <f>IFERROR(__xludf.DUMMYFUNCTION("""COMPUTED_VALUE"""),"palestinian")</f>
        <v>palestinian</v>
      </c>
      <c r="Q441" s="6" t="str">
        <f>IFERROR(__xludf.DUMMYFUNCTION("""COMPUTED_VALUE"""),"progresses")</f>
        <v>progresses</v>
      </c>
      <c r="S441" s="6" t="str">
        <f>IFERROR(__xludf.DUMMYFUNCTION("""COMPUTED_VALUE"""),"suffering")</f>
        <v>suffering</v>
      </c>
    </row>
    <row r="442">
      <c r="D442" s="6"/>
      <c r="G442" s="6" t="str">
        <f>IFERROR(__xludf.DUMMYFUNCTION("""COMPUTED_VALUE"""),"willis")</f>
        <v>willis</v>
      </c>
      <c r="H442" s="6" t="str">
        <f>IFERROR(__xludf.DUMMYFUNCTION("""COMPUTED_VALUE"""),"unexpected")</f>
        <v>unexpected</v>
      </c>
      <c r="I442" s="6" t="str">
        <f>IFERROR(__xludf.DUMMYFUNCTION("""COMPUTED_VALUE"""),"khan")</f>
        <v>khan</v>
      </c>
      <c r="J442" s="6" t="str">
        <f>IFERROR(__xludf.DUMMYFUNCTION("""COMPUTED_VALUE"""),"immediate")</f>
        <v>immediate</v>
      </c>
      <c r="L442" s="6" t="str">
        <f>IFERROR(__xludf.DUMMYFUNCTION("""COMPUTED_VALUE"""),"strength")</f>
        <v>strength</v>
      </c>
      <c r="M442" s="6" t="str">
        <f>IFERROR(__xludf.DUMMYFUNCTION("""COMPUTED_VALUE"""),"productions")</f>
        <v>productions</v>
      </c>
      <c r="N442" s="6" t="str">
        <f>IFERROR(__xludf.DUMMYFUNCTION("""COMPUTED_VALUE"""),"optimism")</f>
        <v>optimism</v>
      </c>
      <c r="P442" s="6" t="str">
        <f>IFERROR(__xludf.DUMMYFUNCTION("""COMPUTED_VALUE"""),"israeli")</f>
        <v>israeli</v>
      </c>
      <c r="Q442" s="6" t="str">
        <f>IFERROR(__xludf.DUMMYFUNCTION("""COMPUTED_VALUE"""),"brothers")</f>
        <v>brothers</v>
      </c>
      <c r="S442" s="6" t="str">
        <f>IFERROR(__xludf.DUMMYFUNCTION("""COMPUTED_VALUE"""),"powerful")</f>
        <v>powerful</v>
      </c>
    </row>
    <row r="443">
      <c r="D443" s="6"/>
      <c r="G443" s="6" t="str">
        <f>IFERROR(__xludf.DUMMYFUNCTION("""COMPUTED_VALUE"""),"illuminating")</f>
        <v>illuminating</v>
      </c>
      <c r="H443" s="6" t="str">
        <f>IFERROR(__xludf.DUMMYFUNCTION("""COMPUTED_VALUE"""),"bard")</f>
        <v>bard</v>
      </c>
      <c r="I443" s="6" t="str">
        <f>IFERROR(__xludf.DUMMYFUNCTION("""COMPUTED_VALUE"""),"generation")</f>
        <v>generation</v>
      </c>
      <c r="J443" s="6" t="str">
        <f>IFERROR(__xludf.DUMMYFUNCTION("""COMPUTED_VALUE"""),"substances")</f>
        <v>substances</v>
      </c>
      <c r="L443" s="6" t="str">
        <f>IFERROR(__xludf.DUMMYFUNCTION("""COMPUTED_VALUE"""),"stephen")</f>
        <v>stephen</v>
      </c>
      <c r="M443" s="6" t="str">
        <f>IFERROR(__xludf.DUMMYFUNCTION("""COMPUTED_VALUE"""),"curse")</f>
        <v>curse</v>
      </c>
      <c r="N443" s="6" t="str">
        <f>IFERROR(__xludf.DUMMYFUNCTION("""COMPUTED_VALUE"""),"intentions")</f>
        <v>intentions</v>
      </c>
      <c r="P443" s="6" t="str">
        <f>IFERROR(__xludf.DUMMYFUNCTION("""COMPUTED_VALUE"""),"strong")</f>
        <v>strong</v>
      </c>
      <c r="Q443" s="6" t="str">
        <f>IFERROR(__xludf.DUMMYFUNCTION("""COMPUTED_VALUE"""),"dover")</f>
        <v>dover</v>
      </c>
      <c r="S443" s="6" t="str">
        <f>IFERROR(__xludf.DUMMYFUNCTION("""COMPUTED_VALUE"""),"clinic")</f>
        <v>clinic</v>
      </c>
    </row>
    <row r="444">
      <c r="D444" s="6"/>
      <c r="G444" s="6" t="str">
        <f>IFERROR(__xludf.DUMMYFUNCTION("""COMPUTED_VALUE"""),"static")</f>
        <v>static</v>
      </c>
      <c r="H444" s="6" t="str">
        <f>IFERROR(__xludf.DUMMYFUNCTION("""COMPUTED_VALUE"""),"strengths")</f>
        <v>strengths</v>
      </c>
      <c r="I444" s="6" t="str">
        <f>IFERROR(__xludf.DUMMYFUNCTION("""COMPUTED_VALUE"""),"episodes")</f>
        <v>episodes</v>
      </c>
      <c r="J444" s="6" t="str">
        <f>IFERROR(__xludf.DUMMYFUNCTION("""COMPUTED_VALUE"""),"subjected")</f>
        <v>subjected</v>
      </c>
      <c r="L444" s="6" t="str">
        <f>IFERROR(__xludf.DUMMYFUNCTION("""COMPUTED_VALUE"""),"richer")</f>
        <v>richer</v>
      </c>
      <c r="M444" s="6" t="str">
        <f>IFERROR(__xludf.DUMMYFUNCTION("""COMPUTED_VALUE"""),"bid")</f>
        <v>bid</v>
      </c>
      <c r="N444" s="6" t="str">
        <f>IFERROR(__xludf.DUMMYFUNCTION("""COMPUTED_VALUE"""),"amid")</f>
        <v>amid</v>
      </c>
      <c r="P444" s="6" t="str">
        <f>IFERROR(__xludf.DUMMYFUNCTION("""COMPUTED_VALUE"""),"nearly")</f>
        <v>nearly</v>
      </c>
      <c r="Q444" s="6" t="str">
        <f>IFERROR(__xludf.DUMMYFUNCTION("""COMPUTED_VALUE"""),"potent")</f>
        <v>potent</v>
      </c>
      <c r="S444" s="6" t="str">
        <f>IFERROR(__xludf.DUMMYFUNCTION("""COMPUTED_VALUE"""),"wonderful")</f>
        <v>wonderful</v>
      </c>
    </row>
    <row r="445">
      <c r="D445" s="6"/>
      <c r="G445" s="6" t="str">
        <f>IFERROR(__xludf.DUMMYFUNCTION("""COMPUTED_VALUE"""),"photographed")</f>
        <v>photographed</v>
      </c>
      <c r="H445" s="6" t="str">
        <f>IFERROR(__xludf.DUMMYFUNCTION("""COMPUTED_VALUE"""),"dream")</f>
        <v>dream</v>
      </c>
      <c r="I445" s="6" t="str">
        <f>IFERROR(__xludf.DUMMYFUNCTION("""COMPUTED_VALUE"""),"skill")</f>
        <v>skill</v>
      </c>
      <c r="J445" s="6" t="str">
        <f>IFERROR(__xludf.DUMMYFUNCTION("""COMPUTED_VALUE"""),"convince")</f>
        <v>convince</v>
      </c>
      <c r="L445" s="6" t="str">
        <f>IFERROR(__xludf.DUMMYFUNCTION("""COMPUTED_VALUE"""),"hearst")</f>
        <v>hearst</v>
      </c>
      <c r="M445" s="6" t="str">
        <f>IFERROR(__xludf.DUMMYFUNCTION("""COMPUTED_VALUE"""),"delhi")</f>
        <v>delhi</v>
      </c>
      <c r="N445" s="6" t="str">
        <f>IFERROR(__xludf.DUMMYFUNCTION("""COMPUTED_VALUE"""),"morality")</f>
        <v>morality</v>
      </c>
      <c r="P445" s="6" t="str">
        <f>IFERROR(__xludf.DUMMYFUNCTION("""COMPUTED_VALUE"""),"dragon")</f>
        <v>dragon</v>
      </c>
      <c r="Q445" s="6" t="str">
        <f>IFERROR(__xludf.DUMMYFUNCTION("""COMPUTED_VALUE"""),"excitement")</f>
        <v>excitement</v>
      </c>
      <c r="S445" s="6" t="str">
        <f>IFERROR(__xludf.DUMMYFUNCTION("""COMPUTED_VALUE"""),"level")</f>
        <v>level</v>
      </c>
    </row>
    <row r="446">
      <c r="D446" s="6"/>
      <c r="G446" s="6" t="str">
        <f>IFERROR(__xludf.DUMMYFUNCTION("""COMPUTED_VALUE"""),"mendes")</f>
        <v>mendes</v>
      </c>
      <c r="H446" s="6" t="str">
        <f>IFERROR(__xludf.DUMMYFUNCTION("""COMPUTED_VALUE"""),"stiff")</f>
        <v>stiff</v>
      </c>
      <c r="I446" s="6" t="str">
        <f>IFERROR(__xludf.DUMMYFUNCTION("""COMPUTED_VALUE"""),"vampire")</f>
        <v>vampire</v>
      </c>
      <c r="J446" s="6" t="str">
        <f>IFERROR(__xludf.DUMMYFUNCTION("""COMPUTED_VALUE"""),"racism")</f>
        <v>racism</v>
      </c>
      <c r="L446" s="6" t="str">
        <f>IFERROR(__xludf.DUMMYFUNCTION("""COMPUTED_VALUE"""),"hollow")</f>
        <v>hollow</v>
      </c>
      <c r="M446" s="6" t="str">
        <f>IFERROR(__xludf.DUMMYFUNCTION("""COMPUTED_VALUE"""),"sits")</f>
        <v>sits</v>
      </c>
      <c r="N446" s="6" t="str">
        <f>IFERROR(__xludf.DUMMYFUNCTION("""COMPUTED_VALUE"""),"futuristic")</f>
        <v>futuristic</v>
      </c>
      <c r="P446" s="6" t="str">
        <f>IFERROR(__xludf.DUMMYFUNCTION("""COMPUTED_VALUE"""),"rodriguez")</f>
        <v>rodriguez</v>
      </c>
      <c r="Q446" s="6" t="str">
        <f>IFERROR(__xludf.DUMMYFUNCTION("""COMPUTED_VALUE"""),"insult")</f>
        <v>insult</v>
      </c>
      <c r="S446" s="6" t="str">
        <f>IFERROR(__xludf.DUMMYFUNCTION("""COMPUTED_VALUE"""),"material")</f>
        <v>material</v>
      </c>
    </row>
    <row r="447">
      <c r="D447" s="6"/>
      <c r="G447" s="6" t="str">
        <f>IFERROR(__xludf.DUMMYFUNCTION("""COMPUTED_VALUE"""),"lawrence")</f>
        <v>lawrence</v>
      </c>
      <c r="H447" s="6" t="str">
        <f>IFERROR(__xludf.DUMMYFUNCTION("""COMPUTED_VALUE"""),"frustration")</f>
        <v>frustration</v>
      </c>
      <c r="I447" s="6" t="str">
        <f>IFERROR(__xludf.DUMMYFUNCTION("""COMPUTED_VALUE"""),"determined")</f>
        <v>determined</v>
      </c>
      <c r="J447" s="6" t="str">
        <f>IFERROR(__xludf.DUMMYFUNCTION("""COMPUTED_VALUE"""),"edge")</f>
        <v>edge</v>
      </c>
      <c r="L447" s="6" t="str">
        <f>IFERROR(__xludf.DUMMYFUNCTION("""COMPUTED_VALUE"""),"endeavor")</f>
        <v>endeavor</v>
      </c>
      <c r="M447" s="6" t="str">
        <f>IFERROR(__xludf.DUMMYFUNCTION("""COMPUTED_VALUE"""),"technique")</f>
        <v>technique</v>
      </c>
      <c r="N447" s="6" t="str">
        <f>IFERROR(__xludf.DUMMYFUNCTION("""COMPUTED_VALUE"""),"circuit")</f>
        <v>circuit</v>
      </c>
      <c r="P447" s="6" t="str">
        <f>IFERROR(__xludf.DUMMYFUNCTION("""COMPUTED_VALUE"""),"roger")</f>
        <v>roger</v>
      </c>
      <c r="Q447" s="6" t="str">
        <f>IFERROR(__xludf.DUMMYFUNCTION("""COMPUTED_VALUE"""),"empty")</f>
        <v>empty</v>
      </c>
      <c r="S447" s="6" t="str">
        <f>IFERROR(__xludf.DUMMYFUNCTION("""COMPUTED_VALUE"""),"passion")</f>
        <v>passion</v>
      </c>
    </row>
    <row r="448">
      <c r="D448" s="6"/>
      <c r="G448" s="6" t="str">
        <f>IFERROR(__xludf.DUMMYFUNCTION("""COMPUTED_VALUE"""),"operatic")</f>
        <v>operatic</v>
      </c>
      <c r="H448" s="6" t="str">
        <f>IFERROR(__xludf.DUMMYFUNCTION("""COMPUTED_VALUE"""),"antics")</f>
        <v>antics</v>
      </c>
      <c r="I448" s="6" t="str">
        <f>IFERROR(__xludf.DUMMYFUNCTION("""COMPUTED_VALUE"""),"typical")</f>
        <v>typical</v>
      </c>
      <c r="J448" s="6" t="str">
        <f>IFERROR(__xludf.DUMMYFUNCTION("""COMPUTED_VALUE"""),"satire")</f>
        <v>satire</v>
      </c>
      <c r="L448" s="6" t="str">
        <f>IFERROR(__xludf.DUMMYFUNCTION("""COMPUTED_VALUE"""),"groundbreaking")</f>
        <v>groundbreaking</v>
      </c>
      <c r="M448" s="6" t="str">
        <f>IFERROR(__xludf.DUMMYFUNCTION("""COMPUTED_VALUE"""),"taylor")</f>
        <v>taylor</v>
      </c>
      <c r="N448" s="6" t="str">
        <f>IFERROR(__xludf.DUMMYFUNCTION("""COMPUTED_VALUE"""),"homosexual")</f>
        <v>homosexual</v>
      </c>
      <c r="P448" s="6" t="str">
        <f>IFERROR(__xludf.DUMMYFUNCTION("""COMPUTED_VALUE"""),"mitchell")</f>
        <v>mitchell</v>
      </c>
      <c r="Q448" s="6" t="str">
        <f>IFERROR(__xludf.DUMMYFUNCTION("""COMPUTED_VALUE"""),"apartheid")</f>
        <v>apartheid</v>
      </c>
      <c r="S448" s="6" t="str">
        <f>IFERROR(__xludf.DUMMYFUNCTION("""COMPUTED_VALUE"""),"formula")</f>
        <v>formula</v>
      </c>
    </row>
    <row r="449">
      <c r="D449" s="6"/>
      <c r="G449" s="6" t="str">
        <f>IFERROR(__xludf.DUMMYFUNCTION("""COMPUTED_VALUE"""),"effortlessly")</f>
        <v>effortlessly</v>
      </c>
      <c r="H449" s="6" t="str">
        <f>IFERROR(__xludf.DUMMYFUNCTION("""COMPUTED_VALUE"""),"miracles")</f>
        <v>miracles</v>
      </c>
      <c r="I449" s="6" t="str">
        <f>IFERROR(__xludf.DUMMYFUNCTION("""COMPUTED_VALUE"""),"fierce")</f>
        <v>fierce</v>
      </c>
      <c r="J449" s="6" t="str">
        <f>IFERROR(__xludf.DUMMYFUNCTION("""COMPUTED_VALUE"""),"courage")</f>
        <v>courage</v>
      </c>
      <c r="L449" s="6" t="str">
        <f>IFERROR(__xludf.DUMMYFUNCTION("""COMPUTED_VALUE"""),"musicals")</f>
        <v>musicals</v>
      </c>
      <c r="M449" s="6" t="str">
        <f>IFERROR(__xludf.DUMMYFUNCTION("""COMPUTED_VALUE"""),"harvard")</f>
        <v>harvard</v>
      </c>
      <c r="N449" s="6" t="str">
        <f>IFERROR(__xludf.DUMMYFUNCTION("""COMPUTED_VALUE"""),"laced")</f>
        <v>laced</v>
      </c>
      <c r="P449" s="6" t="str">
        <f>IFERROR(__xludf.DUMMYFUNCTION("""COMPUTED_VALUE"""),"purpose")</f>
        <v>purpose</v>
      </c>
      <c r="Q449" s="6" t="str">
        <f>IFERROR(__xludf.DUMMYFUNCTION("""COMPUTED_VALUE"""),"auto")</f>
        <v>auto</v>
      </c>
      <c r="S449" s="6" t="str">
        <f>IFERROR(__xludf.DUMMYFUNCTION("""COMPUTED_VALUE"""),"distance")</f>
        <v>distance</v>
      </c>
    </row>
    <row r="450">
      <c r="D450" s="6"/>
      <c r="G450" s="6" t="str">
        <f>IFERROR(__xludf.DUMMYFUNCTION("""COMPUTED_VALUE"""),"mick")</f>
        <v>mick</v>
      </c>
      <c r="H450" s="6" t="str">
        <f>IFERROR(__xludf.DUMMYFUNCTION("""COMPUTED_VALUE"""),"miracle")</f>
        <v>miracle</v>
      </c>
      <c r="I450" s="6" t="str">
        <f>IFERROR(__xludf.DUMMYFUNCTION("""COMPUTED_VALUE"""),"fallen")</f>
        <v>fallen</v>
      </c>
      <c r="J450" s="6" t="str">
        <f>IFERROR(__xludf.DUMMYFUNCTION("""COMPUTED_VALUE"""),"embracing")</f>
        <v>embracing</v>
      </c>
      <c r="L450" s="6" t="str">
        <f>IFERROR(__xludf.DUMMYFUNCTION("""COMPUTED_VALUE"""),"cerebral")</f>
        <v>cerebral</v>
      </c>
      <c r="M450" s="6" t="str">
        <f>IFERROR(__xludf.DUMMYFUNCTION("""COMPUTED_VALUE"""),"chelsea")</f>
        <v>chelsea</v>
      </c>
      <c r="N450" s="6" t="str">
        <f>IFERROR(__xludf.DUMMYFUNCTION("""COMPUTED_VALUE"""),"dragons")</f>
        <v>dragons</v>
      </c>
      <c r="P450" s="6" t="str">
        <f>IFERROR(__xludf.DUMMYFUNCTION("""COMPUTED_VALUE"""),"sake")</f>
        <v>sake</v>
      </c>
      <c r="Q450" s="6" t="str">
        <f>IFERROR(__xludf.DUMMYFUNCTION("""COMPUTED_VALUE"""),"lingering")</f>
        <v>lingering</v>
      </c>
      <c r="S450" s="6" t="str">
        <f>IFERROR(__xludf.DUMMYFUNCTION("""COMPUTED_VALUE"""),"man")</f>
        <v>man</v>
      </c>
    </row>
    <row r="451">
      <c r="D451" s="6"/>
      <c r="G451" s="6" t="str">
        <f>IFERROR(__xludf.DUMMYFUNCTION("""COMPUTED_VALUE"""),"giggle")</f>
        <v>giggle</v>
      </c>
      <c r="H451" s="6" t="str">
        <f>IFERROR(__xludf.DUMMYFUNCTION("""COMPUTED_VALUE"""),"lewis")</f>
        <v>lewis</v>
      </c>
      <c r="I451" s="6" t="str">
        <f>IFERROR(__xludf.DUMMYFUNCTION("""COMPUTED_VALUE"""),"spell")</f>
        <v>spell</v>
      </c>
      <c r="J451" s="6" t="str">
        <f>IFERROR(__xludf.DUMMYFUNCTION("""COMPUTED_VALUE"""),"intellectual")</f>
        <v>intellectual</v>
      </c>
      <c r="L451" s="6" t="str">
        <f>IFERROR(__xludf.DUMMYFUNCTION("""COMPUTED_VALUE"""),"themes")</f>
        <v>themes</v>
      </c>
      <c r="M451" s="6" t="str">
        <f>IFERROR(__xludf.DUMMYFUNCTION("""COMPUTED_VALUE"""),"checking")</f>
        <v>checking</v>
      </c>
      <c r="N451" s="6" t="str">
        <f>IFERROR(__xludf.DUMMYFUNCTION("""COMPUTED_VALUE"""),"reign")</f>
        <v>reign</v>
      </c>
      <c r="P451" s="6" t="str">
        <f>IFERROR(__xludf.DUMMYFUNCTION("""COMPUTED_VALUE"""),"colors")</f>
        <v>colors</v>
      </c>
      <c r="Q451" s="6" t="str">
        <f>IFERROR(__xludf.DUMMYFUNCTION("""COMPUTED_VALUE"""),"appealing")</f>
        <v>appealing</v>
      </c>
      <c r="S451" s="6" t="str">
        <f>IFERROR(__xludf.DUMMYFUNCTION("""COMPUTED_VALUE"""),"son")</f>
        <v>son</v>
      </c>
    </row>
    <row r="452">
      <c r="D452" s="6"/>
      <c r="G452" s="6" t="str">
        <f>IFERROR(__xludf.DUMMYFUNCTION("""COMPUTED_VALUE"""),"gang")</f>
        <v>gang</v>
      </c>
      <c r="H452" s="6" t="str">
        <f>IFERROR(__xludf.DUMMYFUNCTION("""COMPUTED_VALUE"""),"davies")</f>
        <v>davies</v>
      </c>
      <c r="I452" s="6" t="str">
        <f>IFERROR(__xludf.DUMMYFUNCTION("""COMPUTED_VALUE"""),"scandal")</f>
        <v>scandal</v>
      </c>
      <c r="J452" s="6" t="str">
        <f>IFERROR(__xludf.DUMMYFUNCTION("""COMPUTED_VALUE"""),"meditation")</f>
        <v>meditation</v>
      </c>
      <c r="L452" s="6" t="str">
        <f>IFERROR(__xludf.DUMMYFUNCTION("""COMPUTED_VALUE"""),"betrayal")</f>
        <v>betrayal</v>
      </c>
      <c r="M452" s="6" t="str">
        <f>IFERROR(__xludf.DUMMYFUNCTION("""COMPUTED_VALUE"""),"ai")</f>
        <v>ai</v>
      </c>
      <c r="N452" s="6" t="str">
        <f>IFERROR(__xludf.DUMMYFUNCTION("""COMPUTED_VALUE"""),"bag")</f>
        <v>bag</v>
      </c>
      <c r="P452" s="6" t="str">
        <f>IFERROR(__xludf.DUMMYFUNCTION("""COMPUTED_VALUE"""),"money")</f>
        <v>money</v>
      </c>
      <c r="Q452" s="6" t="str">
        <f>IFERROR(__xludf.DUMMYFUNCTION("""COMPUTED_VALUE"""),"irrelevant")</f>
        <v>irrelevant</v>
      </c>
      <c r="S452" s="6" t="str">
        <f>IFERROR(__xludf.DUMMYFUNCTION("""COMPUTED_VALUE"""),"argentine")</f>
        <v>argentine</v>
      </c>
    </row>
    <row r="453">
      <c r="D453" s="6"/>
      <c r="G453" s="6" t="str">
        <f>IFERROR(__xludf.DUMMYFUNCTION("""COMPUTED_VALUE"""),"disgust")</f>
        <v>disgust</v>
      </c>
      <c r="H453" s="6" t="str">
        <f>IFERROR(__xludf.DUMMYFUNCTION("""COMPUTED_VALUE"""),"bleak")</f>
        <v>bleak</v>
      </c>
      <c r="I453" s="6" t="str">
        <f>IFERROR(__xludf.DUMMYFUNCTION("""COMPUTED_VALUE"""),"cool")</f>
        <v>cool</v>
      </c>
      <c r="J453" s="6" t="str">
        <f>IFERROR(__xludf.DUMMYFUNCTION("""COMPUTED_VALUE"""),"outsiders")</f>
        <v>outsiders</v>
      </c>
      <c r="L453" s="6" t="str">
        <f>IFERROR(__xludf.DUMMYFUNCTION("""COMPUTED_VALUE"""),"wants")</f>
        <v>wants</v>
      </c>
      <c r="M453" s="6" t="str">
        <f>IFERROR(__xludf.DUMMYFUNCTION("""COMPUTED_VALUE"""),"stretched")</f>
        <v>stretched</v>
      </c>
      <c r="N453" s="6" t="str">
        <f>IFERROR(__xludf.DUMMYFUNCTION("""COMPUTED_VALUE"""),"myself")</f>
        <v>myself</v>
      </c>
      <c r="P453" s="6" t="str">
        <f>IFERROR(__xludf.DUMMYFUNCTION("""COMPUTED_VALUE"""),"searching")</f>
        <v>searching</v>
      </c>
      <c r="Q453" s="6" t="str">
        <f>IFERROR(__xludf.DUMMYFUNCTION("""COMPUTED_VALUE"""),"turns")</f>
        <v>turns</v>
      </c>
      <c r="S453" s="6" t="str">
        <f>IFERROR(__xludf.DUMMYFUNCTION("""COMPUTED_VALUE"""),"bride")</f>
        <v>bride</v>
      </c>
    </row>
    <row r="454">
      <c r="D454" s="6"/>
      <c r="G454" s="6" t="str">
        <f>IFERROR(__xludf.DUMMYFUNCTION("""COMPUTED_VALUE"""),"terrorist")</f>
        <v>terrorist</v>
      </c>
      <c r="H454" s="6" t="str">
        <f>IFERROR(__xludf.DUMMYFUNCTION("""COMPUTED_VALUE"""),"sincere")</f>
        <v>sincere</v>
      </c>
      <c r="I454" s="6" t="str">
        <f>IFERROR(__xludf.DUMMYFUNCTION("""COMPUTED_VALUE"""),"upper")</f>
        <v>upper</v>
      </c>
      <c r="J454" s="6" t="str">
        <f>IFERROR(__xludf.DUMMYFUNCTION("""COMPUTED_VALUE"""),"humorous")</f>
        <v>humorous</v>
      </c>
      <c r="L454" s="6" t="str">
        <f>IFERROR(__xludf.DUMMYFUNCTION("""COMPUTED_VALUE"""),"pow")</f>
        <v>pow</v>
      </c>
      <c r="M454" s="6" t="str">
        <f>IFERROR(__xludf.DUMMYFUNCTION("""COMPUTED_VALUE"""),"brief")</f>
        <v>brief</v>
      </c>
      <c r="N454" s="6" t="str">
        <f>IFERROR(__xludf.DUMMYFUNCTION("""COMPUTED_VALUE"""),"disguise")</f>
        <v>disguise</v>
      </c>
      <c r="P454" s="6" t="str">
        <f>IFERROR(__xludf.DUMMYFUNCTION("""COMPUTED_VALUE"""),"bombs")</f>
        <v>bombs</v>
      </c>
      <c r="Q454" s="6" t="str">
        <f>IFERROR(__xludf.DUMMYFUNCTION("""COMPUTED_VALUE"""),"gradually")</f>
        <v>gradually</v>
      </c>
      <c r="S454" s="6" t="str">
        <f>IFERROR(__xludf.DUMMYFUNCTION("""COMPUTED_VALUE"""),"white")</f>
        <v>white</v>
      </c>
    </row>
    <row r="455">
      <c r="D455" s="6"/>
      <c r="G455" s="6" t="str">
        <f>IFERROR(__xludf.DUMMYFUNCTION("""COMPUTED_VALUE"""),"chuckles")</f>
        <v>chuckles</v>
      </c>
      <c r="H455" s="6" t="str">
        <f>IFERROR(__xludf.DUMMYFUNCTION("""COMPUTED_VALUE"""),"bullets")</f>
        <v>bullets</v>
      </c>
      <c r="I455" s="6" t="str">
        <f>IFERROR(__xludf.DUMMYFUNCTION("""COMPUTED_VALUE"""),"poverty")</f>
        <v>poverty</v>
      </c>
      <c r="J455" s="6" t="str">
        <f>IFERROR(__xludf.DUMMYFUNCTION("""COMPUTED_VALUE"""),"bore")</f>
        <v>bore</v>
      </c>
      <c r="L455" s="6" t="str">
        <f>IFERROR(__xludf.DUMMYFUNCTION("""COMPUTED_VALUE"""),"african")</f>
        <v>african</v>
      </c>
      <c r="M455" s="6" t="str">
        <f>IFERROR(__xludf.DUMMYFUNCTION("""COMPUTED_VALUE"""),"roles")</f>
        <v>roles</v>
      </c>
      <c r="N455" s="6" t="str">
        <f>IFERROR(__xludf.DUMMYFUNCTION("""COMPUTED_VALUE"""),"held")</f>
        <v>held</v>
      </c>
      <c r="P455" s="6" t="str">
        <f>IFERROR(__xludf.DUMMYFUNCTION("""COMPUTED_VALUE"""),"stories")</f>
        <v>stories</v>
      </c>
      <c r="Q455" s="6">
        <f>IFERROR(__xludf.DUMMYFUNCTION("""COMPUTED_VALUE"""),2002.0)</f>
        <v>2002</v>
      </c>
      <c r="S455" s="6" t="str">
        <f>IFERROR(__xludf.DUMMYFUNCTION("""COMPUTED_VALUE"""),"points")</f>
        <v>points</v>
      </c>
    </row>
    <row r="456">
      <c r="D456" s="6"/>
      <c r="G456" s="6" t="str">
        <f>IFERROR(__xludf.DUMMYFUNCTION("""COMPUTED_VALUE"""),"stylized")</f>
        <v>stylized</v>
      </c>
      <c r="H456" s="6" t="str">
        <f>IFERROR(__xludf.DUMMYFUNCTION("""COMPUTED_VALUE"""),"none")</f>
        <v>none</v>
      </c>
      <c r="I456" s="6" t="str">
        <f>IFERROR(__xludf.DUMMYFUNCTION("""COMPUTED_VALUE"""),"spite")</f>
        <v>spite</v>
      </c>
      <c r="J456" s="6" t="str">
        <f>IFERROR(__xludf.DUMMYFUNCTION("""COMPUTED_VALUE"""),"involving")</f>
        <v>involving</v>
      </c>
      <c r="L456" s="6" t="str">
        <f>IFERROR(__xludf.DUMMYFUNCTION("""COMPUTED_VALUE"""),"jolly")</f>
        <v>jolly</v>
      </c>
      <c r="M456" s="6" t="str">
        <f>IFERROR(__xludf.DUMMYFUNCTION("""COMPUTED_VALUE"""),"heights")</f>
        <v>heights</v>
      </c>
      <c r="N456" s="6" t="str">
        <f>IFERROR(__xludf.DUMMYFUNCTION("""COMPUTED_VALUE"""),"hampered")</f>
        <v>hampered</v>
      </c>
      <c r="P456" s="6" t="str">
        <f>IFERROR(__xludf.DUMMYFUNCTION("""COMPUTED_VALUE"""),"surface")</f>
        <v>surface</v>
      </c>
      <c r="Q456" s="6" t="str">
        <f>IFERROR(__xludf.DUMMYFUNCTION("""COMPUTED_VALUE"""),"canvas")</f>
        <v>canvas</v>
      </c>
      <c r="S456" s="6" t="str">
        <f>IFERROR(__xludf.DUMMYFUNCTION("""COMPUTED_VALUE"""),"aspects")</f>
        <v>aspects</v>
      </c>
    </row>
    <row r="457">
      <c r="D457" s="6"/>
      <c r="G457" s="6">
        <f>IFERROR(__xludf.DUMMYFUNCTION("""COMPUTED_VALUE"""),89.0)</f>
        <v>89</v>
      </c>
      <c r="H457" s="6" t="str">
        <f>IFERROR(__xludf.DUMMYFUNCTION("""COMPUTED_VALUE"""),"poem")</f>
        <v>poem</v>
      </c>
      <c r="I457" s="6" t="str">
        <f>IFERROR(__xludf.DUMMYFUNCTION("""COMPUTED_VALUE"""),"shoot")</f>
        <v>shoot</v>
      </c>
      <c r="J457" s="6" t="str">
        <f>IFERROR(__xludf.DUMMYFUNCTION("""COMPUTED_VALUE"""),"titular")</f>
        <v>titular</v>
      </c>
      <c r="L457" s="6" t="str">
        <f>IFERROR(__xludf.DUMMYFUNCTION("""COMPUTED_VALUE"""),"distracting")</f>
        <v>distracting</v>
      </c>
      <c r="M457" s="6" t="str">
        <f>IFERROR(__xludf.DUMMYFUNCTION("""COMPUTED_VALUE"""),"suggest")</f>
        <v>suggest</v>
      </c>
      <c r="N457" s="6" t="str">
        <f>IFERROR(__xludf.DUMMYFUNCTION("""COMPUTED_VALUE"""),"notion")</f>
        <v>notion</v>
      </c>
      <c r="P457" s="6" t="str">
        <f>IFERROR(__xludf.DUMMYFUNCTION("""COMPUTED_VALUE"""),"mouth")</f>
        <v>mouth</v>
      </c>
      <c r="Q457" s="6" t="str">
        <f>IFERROR(__xludf.DUMMYFUNCTION("""COMPUTED_VALUE"""),"historical")</f>
        <v>historical</v>
      </c>
      <c r="S457" s="6" t="str">
        <f>IFERROR(__xludf.DUMMYFUNCTION("""COMPUTED_VALUE"""),"equally")</f>
        <v>equally</v>
      </c>
    </row>
    <row r="458">
      <c r="D458" s="6"/>
      <c r="G458" s="6" t="str">
        <f>IFERROR(__xludf.DUMMYFUNCTION("""COMPUTED_VALUE"""),"aspirations")</f>
        <v>aspirations</v>
      </c>
      <c r="H458" s="6" t="str">
        <f>IFERROR(__xludf.DUMMYFUNCTION("""COMPUTED_VALUE"""),"convincing")</f>
        <v>convincing</v>
      </c>
      <c r="I458" s="6" t="str">
        <f>IFERROR(__xludf.DUMMYFUNCTION("""COMPUTED_VALUE"""),"murder")</f>
        <v>murder</v>
      </c>
      <c r="J458" s="6" t="str">
        <f>IFERROR(__xludf.DUMMYFUNCTION("""COMPUTED_VALUE"""),"edited")</f>
        <v>edited</v>
      </c>
      <c r="L458" s="6" t="str">
        <f>IFERROR(__xludf.DUMMYFUNCTION("""COMPUTED_VALUE"""),"survivors")</f>
        <v>survivors</v>
      </c>
      <c r="M458" s="6" t="str">
        <f>IFERROR(__xludf.DUMMYFUNCTION("""COMPUTED_VALUE"""),"presentation")</f>
        <v>presentation</v>
      </c>
      <c r="N458" s="6" t="str">
        <f>IFERROR(__xludf.DUMMYFUNCTION("""COMPUTED_VALUE"""),"crucial")</f>
        <v>crucial</v>
      </c>
      <c r="P458" s="6" t="str">
        <f>IFERROR(__xludf.DUMMYFUNCTION("""COMPUTED_VALUE"""),"machine")</f>
        <v>machine</v>
      </c>
      <c r="Q458" s="6" t="str">
        <f>IFERROR(__xludf.DUMMYFUNCTION("""COMPUTED_VALUE"""),"irony")</f>
        <v>irony</v>
      </c>
      <c r="S458" s="6" t="str">
        <f>IFERROR(__xludf.DUMMYFUNCTION("""COMPUTED_VALUE"""),"frame")</f>
        <v>frame</v>
      </c>
    </row>
    <row r="459">
      <c r="D459" s="6"/>
      <c r="G459" s="6" t="str">
        <f>IFERROR(__xludf.DUMMYFUNCTION("""COMPUTED_VALUE"""),"underlying")</f>
        <v>underlying</v>
      </c>
      <c r="H459" s="6" t="str">
        <f>IFERROR(__xludf.DUMMYFUNCTION("""COMPUTED_VALUE"""),"viewer")</f>
        <v>viewer</v>
      </c>
      <c r="I459" s="6" t="str">
        <f>IFERROR(__xludf.DUMMYFUNCTION("""COMPUTED_VALUE"""),"matthew")</f>
        <v>matthew</v>
      </c>
      <c r="J459" s="6" t="str">
        <f>IFERROR(__xludf.DUMMYFUNCTION("""COMPUTED_VALUE"""),"unnecessary")</f>
        <v>unnecessary</v>
      </c>
      <c r="L459" s="6" t="str">
        <f>IFERROR(__xludf.DUMMYFUNCTION("""COMPUTED_VALUE"""),"readily")</f>
        <v>readily</v>
      </c>
      <c r="M459" s="6" t="str">
        <f>IFERROR(__xludf.DUMMYFUNCTION("""COMPUTED_VALUE"""),"lean")</f>
        <v>lean</v>
      </c>
      <c r="N459" s="6" t="str">
        <f>IFERROR(__xludf.DUMMYFUNCTION("""COMPUTED_VALUE"""),"slump")</f>
        <v>slump</v>
      </c>
      <c r="P459" s="6" t="str">
        <f>IFERROR(__xludf.DUMMYFUNCTION("""COMPUTED_VALUE"""),"orthodox")</f>
        <v>orthodox</v>
      </c>
      <c r="Q459" s="6" t="str">
        <f>IFERROR(__xludf.DUMMYFUNCTION("""COMPUTED_VALUE"""),"solid")</f>
        <v>solid</v>
      </c>
      <c r="S459" s="6" t="str">
        <f>IFERROR(__xludf.DUMMYFUNCTION("""COMPUTED_VALUE"""),"vulnerable")</f>
        <v>vulnerable</v>
      </c>
    </row>
    <row r="460">
      <c r="D460" s="6"/>
      <c r="G460" s="6" t="str">
        <f>IFERROR(__xludf.DUMMYFUNCTION("""COMPUTED_VALUE"""),"horizons")</f>
        <v>horizons</v>
      </c>
      <c r="H460" s="6" t="str">
        <f>IFERROR(__xludf.DUMMYFUNCTION("""COMPUTED_VALUE"""),"maintain")</f>
        <v>maintain</v>
      </c>
      <c r="I460" s="6" t="str">
        <f>IFERROR(__xludf.DUMMYFUNCTION("""COMPUTED_VALUE"""),"cheese")</f>
        <v>cheese</v>
      </c>
      <c r="J460" s="6" t="str">
        <f>IFERROR(__xludf.DUMMYFUNCTION("""COMPUTED_VALUE"""),"simone")</f>
        <v>simone</v>
      </c>
      <c r="L460" s="6" t="str">
        <f>IFERROR(__xludf.DUMMYFUNCTION("""COMPUTED_VALUE"""),"slim")</f>
        <v>slim</v>
      </c>
      <c r="M460" s="6" t="str">
        <f>IFERROR(__xludf.DUMMYFUNCTION("""COMPUTED_VALUE"""),"mask")</f>
        <v>mask</v>
      </c>
      <c r="N460" s="6" t="str">
        <f>IFERROR(__xludf.DUMMYFUNCTION("""COMPUTED_VALUE"""),"sophomore")</f>
        <v>sophomore</v>
      </c>
      <c r="P460" s="6" t="str">
        <f>IFERROR(__xludf.DUMMYFUNCTION("""COMPUTED_VALUE"""),"favor")</f>
        <v>favor</v>
      </c>
      <c r="Q460" s="6" t="str">
        <f>IFERROR(__xludf.DUMMYFUNCTION("""COMPUTED_VALUE"""),"thematic")</f>
        <v>thematic</v>
      </c>
      <c r="S460" s="6" t="str">
        <f>IFERROR(__xludf.DUMMYFUNCTION("""COMPUTED_VALUE"""),"female")</f>
        <v>female</v>
      </c>
    </row>
    <row r="461">
      <c r="D461" s="6"/>
      <c r="G461" s="6" t="str">
        <f>IFERROR(__xludf.DUMMYFUNCTION("""COMPUTED_VALUE"""),"hole")</f>
        <v>hole</v>
      </c>
      <c r="H461" s="6" t="str">
        <f>IFERROR(__xludf.DUMMYFUNCTION("""COMPUTED_VALUE"""),"pile")</f>
        <v>pile</v>
      </c>
      <c r="I461" s="6" t="str">
        <f>IFERROR(__xludf.DUMMYFUNCTION("""COMPUTED_VALUE"""),"topic")</f>
        <v>topic</v>
      </c>
      <c r="J461" s="6" t="str">
        <f>IFERROR(__xludf.DUMMYFUNCTION("""COMPUTED_VALUE"""),"ticket")</f>
        <v>ticket</v>
      </c>
      <c r="L461" s="6" t="str">
        <f>IFERROR(__xludf.DUMMYFUNCTION("""COMPUTED_VALUE"""),"nonsense")</f>
        <v>nonsense</v>
      </c>
      <c r="M461" s="6" t="str">
        <f>IFERROR(__xludf.DUMMYFUNCTION("""COMPUTED_VALUE"""),"crack")</f>
        <v>crack</v>
      </c>
      <c r="N461" s="6" t="str">
        <f>IFERROR(__xludf.DUMMYFUNCTION("""COMPUTED_VALUE"""),"70s")</f>
        <v>70s</v>
      </c>
      <c r="P461" s="6" t="str">
        <f>IFERROR(__xludf.DUMMYFUNCTION("""COMPUTED_VALUE"""),"dramatic")</f>
        <v>dramatic</v>
      </c>
      <c r="Q461" s="6" t="str">
        <f>IFERROR(__xludf.DUMMYFUNCTION("""COMPUTED_VALUE"""),"smug")</f>
        <v>smug</v>
      </c>
      <c r="S461" s="6" t="str">
        <f>IFERROR(__xludf.DUMMYFUNCTION("""COMPUTED_VALUE"""),"darling")</f>
        <v>darling</v>
      </c>
    </row>
    <row r="462">
      <c r="D462" s="6"/>
      <c r="G462" s="6" t="str">
        <f>IFERROR(__xludf.DUMMYFUNCTION("""COMPUTED_VALUE"""),"reminder")</f>
        <v>reminder</v>
      </c>
      <c r="H462" s="6" t="str">
        <f>IFERROR(__xludf.DUMMYFUNCTION("""COMPUTED_VALUE"""),"affection")</f>
        <v>affection</v>
      </c>
      <c r="I462" s="6" t="str">
        <f>IFERROR(__xludf.DUMMYFUNCTION("""COMPUTED_VALUE"""),"survival")</f>
        <v>survival</v>
      </c>
      <c r="J462" s="6" t="str">
        <f>IFERROR(__xludf.DUMMYFUNCTION("""COMPUTED_VALUE"""),"pantheon")</f>
        <v>pantheon</v>
      </c>
      <c r="L462" s="6" t="str">
        <f>IFERROR(__xludf.DUMMYFUNCTION("""COMPUTED_VALUE"""),"embarrassment")</f>
        <v>embarrassment</v>
      </c>
      <c r="M462" s="6" t="str">
        <f>IFERROR(__xludf.DUMMYFUNCTION("""COMPUTED_VALUE"""),"knees")</f>
        <v>knees</v>
      </c>
      <c r="N462" s="6" t="str">
        <f>IFERROR(__xludf.DUMMYFUNCTION("""COMPUTED_VALUE"""),"conflict")</f>
        <v>conflict</v>
      </c>
      <c r="P462" s="6" t="str">
        <f>IFERROR(__xludf.DUMMYFUNCTION("""COMPUTED_VALUE"""),"darkness")</f>
        <v>darkness</v>
      </c>
      <c r="Q462" s="6" t="str">
        <f>IFERROR(__xludf.DUMMYFUNCTION("""COMPUTED_VALUE"""),"equations")</f>
        <v>equations</v>
      </c>
      <c r="S462" s="6" t="str">
        <f>IFERROR(__xludf.DUMMYFUNCTION("""COMPUTED_VALUE"""),"violence")</f>
        <v>violence</v>
      </c>
    </row>
    <row r="463">
      <c r="D463" s="6"/>
      <c r="G463" s="6" t="str">
        <f>IFERROR(__xludf.DUMMYFUNCTION("""COMPUTED_VALUE"""),"significance")</f>
        <v>significance</v>
      </c>
      <c r="H463" s="6" t="str">
        <f>IFERROR(__xludf.DUMMYFUNCTION("""COMPUTED_VALUE"""),"pathology")</f>
        <v>pathology</v>
      </c>
      <c r="I463" s="6" t="str">
        <f>IFERROR(__xludf.DUMMYFUNCTION("""COMPUTED_VALUE"""),"psychological")</f>
        <v>psychological</v>
      </c>
      <c r="J463" s="6" t="str">
        <f>IFERROR(__xludf.DUMMYFUNCTION("""COMPUTED_VALUE"""),"complicated")</f>
        <v>complicated</v>
      </c>
      <c r="L463" s="6" t="str">
        <f>IFERROR(__xludf.DUMMYFUNCTION("""COMPUTED_VALUE"""),"uncomfortably")</f>
        <v>uncomfortably</v>
      </c>
      <c r="M463" s="6" t="str">
        <f>IFERROR(__xludf.DUMMYFUNCTION("""COMPUTED_VALUE"""),"arnold")</f>
        <v>arnold</v>
      </c>
      <c r="N463" s="6" t="str">
        <f>IFERROR(__xludf.DUMMYFUNCTION("""COMPUTED_VALUE"""),"recalls")</f>
        <v>recalls</v>
      </c>
      <c r="P463" s="6" t="str">
        <f>IFERROR(__xludf.DUMMYFUNCTION("""COMPUTED_VALUE"""),"loud")</f>
        <v>loud</v>
      </c>
      <c r="Q463" s="6" t="str">
        <f>IFERROR(__xludf.DUMMYFUNCTION("""COMPUTED_VALUE"""),"captures")</f>
        <v>captures</v>
      </c>
      <c r="S463" s="6" t="str">
        <f>IFERROR(__xludf.DUMMYFUNCTION("""COMPUTED_VALUE"""),"humanity")</f>
        <v>humanity</v>
      </c>
    </row>
    <row r="464">
      <c r="D464" s="6"/>
      <c r="G464" s="6" t="str">
        <f>IFERROR(__xludf.DUMMYFUNCTION("""COMPUTED_VALUE"""),"seductive")</f>
        <v>seductive</v>
      </c>
      <c r="H464" s="6" t="str">
        <f>IFERROR(__xludf.DUMMYFUNCTION("""COMPUTED_VALUE"""),"souls")</f>
        <v>souls</v>
      </c>
      <c r="I464" s="6" t="str">
        <f>IFERROR(__xludf.DUMMYFUNCTION("""COMPUTED_VALUE"""),"victories")</f>
        <v>victories</v>
      </c>
      <c r="J464" s="6" t="str">
        <f>IFERROR(__xludf.DUMMYFUNCTION("""COMPUTED_VALUE"""),"comedic")</f>
        <v>comedic</v>
      </c>
      <c r="L464" s="6" t="str">
        <f>IFERROR(__xludf.DUMMYFUNCTION("""COMPUTED_VALUE"""),"imaginative")</f>
        <v>imaginative</v>
      </c>
      <c r="M464" s="6" t="str">
        <f>IFERROR(__xludf.DUMMYFUNCTION("""COMPUTED_VALUE"""),"combat")</f>
        <v>combat</v>
      </c>
      <c r="N464" s="6" t="str">
        <f>IFERROR(__xludf.DUMMYFUNCTION("""COMPUTED_VALUE"""),"infectious")</f>
        <v>infectious</v>
      </c>
      <c r="P464" s="6">
        <f>IFERROR(__xludf.DUMMYFUNCTION("""COMPUTED_VALUE"""),1984.0)</f>
        <v>1984</v>
      </c>
      <c r="Q464" s="6" t="str">
        <f>IFERROR(__xludf.DUMMYFUNCTION("""COMPUTED_VALUE"""),"deserve")</f>
        <v>deserve</v>
      </c>
      <c r="S464" s="6" t="str">
        <f>IFERROR(__xludf.DUMMYFUNCTION("""COMPUTED_VALUE"""),"force")</f>
        <v>force</v>
      </c>
    </row>
    <row r="465">
      <c r="D465" s="6"/>
      <c r="G465" s="6" t="str">
        <f>IFERROR(__xludf.DUMMYFUNCTION("""COMPUTED_VALUE"""),"meaningless")</f>
        <v>meaningless</v>
      </c>
      <c r="H465" s="6" t="str">
        <f>IFERROR(__xludf.DUMMYFUNCTION("""COMPUTED_VALUE"""),"ages")</f>
        <v>ages</v>
      </c>
      <c r="I465" s="6" t="str">
        <f>IFERROR(__xludf.DUMMYFUNCTION("""COMPUTED_VALUE"""),"class")</f>
        <v>class</v>
      </c>
      <c r="J465" s="6" t="str">
        <f>IFERROR(__xludf.DUMMYFUNCTION("""COMPUTED_VALUE"""),"ensemble")</f>
        <v>ensemble</v>
      </c>
      <c r="L465" s="6" t="str">
        <f>IFERROR(__xludf.DUMMYFUNCTION("""COMPUTED_VALUE"""),"viewed")</f>
        <v>viewed</v>
      </c>
      <c r="M465" s="6" t="str">
        <f>IFERROR(__xludf.DUMMYFUNCTION("""COMPUTED_VALUE"""),"lion")</f>
        <v>lion</v>
      </c>
      <c r="N465" s="6" t="str">
        <f>IFERROR(__xludf.DUMMYFUNCTION("""COMPUTED_VALUE"""),"brooding")</f>
        <v>brooding</v>
      </c>
      <c r="P465" s="6" t="str">
        <f>IFERROR(__xludf.DUMMYFUNCTION("""COMPUTED_VALUE"""),"waste")</f>
        <v>waste</v>
      </c>
      <c r="Q465" s="6" t="str">
        <f>IFERROR(__xludf.DUMMYFUNCTION("""COMPUTED_VALUE"""),"stupid")</f>
        <v>stupid</v>
      </c>
      <c r="S465" s="6" t="str">
        <f>IFERROR(__xludf.DUMMYFUNCTION("""COMPUTED_VALUE"""),"fury")</f>
        <v>fury</v>
      </c>
    </row>
    <row r="466">
      <c r="D466" s="6"/>
      <c r="G466" s="6" t="str">
        <f>IFERROR(__xludf.DUMMYFUNCTION("""COMPUTED_VALUE"""),"bid")</f>
        <v>bid</v>
      </c>
      <c r="H466" s="6" t="str">
        <f>IFERROR(__xludf.DUMMYFUNCTION("""COMPUTED_VALUE"""),"substances")</f>
        <v>substances</v>
      </c>
      <c r="I466" s="6" t="str">
        <f>IFERROR(__xludf.DUMMYFUNCTION("""COMPUTED_VALUE"""),"routine")</f>
        <v>routine</v>
      </c>
      <c r="J466" s="6" t="str">
        <f>IFERROR(__xludf.DUMMYFUNCTION("""COMPUTED_VALUE"""),"symbolism")</f>
        <v>symbolism</v>
      </c>
      <c r="L466" s="6" t="str">
        <f>IFERROR(__xludf.DUMMYFUNCTION("""COMPUTED_VALUE"""),"somber")</f>
        <v>somber</v>
      </c>
      <c r="M466" s="6" t="str">
        <f>IFERROR(__xludf.DUMMYFUNCTION("""COMPUTED_VALUE"""),"jump")</f>
        <v>jump</v>
      </c>
      <c r="N466" s="6" t="str">
        <f>IFERROR(__xludf.DUMMYFUNCTION("""COMPUTED_VALUE"""),"withstand")</f>
        <v>withstand</v>
      </c>
      <c r="P466" s="6" t="str">
        <f>IFERROR(__xludf.DUMMYFUNCTION("""COMPUTED_VALUE"""),"predecessor")</f>
        <v>predecessor</v>
      </c>
      <c r="Q466" s="6" t="str">
        <f>IFERROR(__xludf.DUMMYFUNCTION("""COMPUTED_VALUE"""),"sexuality")</f>
        <v>sexuality</v>
      </c>
      <c r="S466" s="6" t="str">
        <f>IFERROR(__xludf.DUMMYFUNCTION("""COMPUTED_VALUE"""),"manner")</f>
        <v>manner</v>
      </c>
    </row>
    <row r="467">
      <c r="D467" s="6"/>
      <c r="G467" s="6" t="str">
        <f>IFERROR(__xludf.DUMMYFUNCTION("""COMPUTED_VALUE"""),"embedded")</f>
        <v>embedded</v>
      </c>
      <c r="H467" s="6" t="str">
        <f>IFERROR(__xludf.DUMMYFUNCTION("""COMPUTED_VALUE"""),"subjected")</f>
        <v>subjected</v>
      </c>
      <c r="I467" s="6" t="str">
        <f>IFERROR(__xludf.DUMMYFUNCTION("""COMPUTED_VALUE"""),"morning")</f>
        <v>morning</v>
      </c>
      <c r="J467" s="6" t="str">
        <f>IFERROR(__xludf.DUMMYFUNCTION("""COMPUTED_VALUE"""),"psychology")</f>
        <v>psychology</v>
      </c>
      <c r="L467" s="6" t="str">
        <f>IFERROR(__xludf.DUMMYFUNCTION("""COMPUTED_VALUE"""),"commerce")</f>
        <v>commerce</v>
      </c>
      <c r="M467" s="6" t="str">
        <f>IFERROR(__xludf.DUMMYFUNCTION("""COMPUTED_VALUE"""),"celebrity")</f>
        <v>celebrity</v>
      </c>
      <c r="N467" s="6" t="str">
        <f>IFERROR(__xludf.DUMMYFUNCTION("""COMPUTED_VALUE"""),"mundane")</f>
        <v>mundane</v>
      </c>
      <c r="P467" s="6" t="str">
        <f>IFERROR(__xludf.DUMMYFUNCTION("""COMPUTED_VALUE"""),"sets")</f>
        <v>sets</v>
      </c>
      <c r="Q467" s="6" t="str">
        <f>IFERROR(__xludf.DUMMYFUNCTION("""COMPUTED_VALUE"""),"combining")</f>
        <v>combining</v>
      </c>
      <c r="S467" s="6" t="str">
        <f>IFERROR(__xludf.DUMMYFUNCTION("""COMPUTED_VALUE"""),"brothers")</f>
        <v>brothers</v>
      </c>
    </row>
    <row r="468">
      <c r="D468" s="6"/>
      <c r="G468" s="6" t="str">
        <f>IFERROR(__xludf.DUMMYFUNCTION("""COMPUTED_VALUE"""),"primitive")</f>
        <v>primitive</v>
      </c>
      <c r="H468" s="6" t="str">
        <f>IFERROR(__xludf.DUMMYFUNCTION("""COMPUTED_VALUE"""),"documentary")</f>
        <v>documentary</v>
      </c>
      <c r="I468" s="6" t="str">
        <f>IFERROR(__xludf.DUMMYFUNCTION("""COMPUTED_VALUE"""),"british")</f>
        <v>british</v>
      </c>
      <c r="J468" s="6" t="str">
        <f>IFERROR(__xludf.DUMMYFUNCTION("""COMPUTED_VALUE"""),"endless")</f>
        <v>endless</v>
      </c>
      <c r="L468" s="6" t="str">
        <f>IFERROR(__xludf.DUMMYFUNCTION("""COMPUTED_VALUE"""),"subtly")</f>
        <v>subtly</v>
      </c>
      <c r="M468" s="6" t="str">
        <f>IFERROR(__xludf.DUMMYFUNCTION("""COMPUTED_VALUE"""),"raise")</f>
        <v>raise</v>
      </c>
      <c r="N468" s="6" t="str">
        <f>IFERROR(__xludf.DUMMYFUNCTION("""COMPUTED_VALUE"""),"connect")</f>
        <v>connect</v>
      </c>
      <c r="P468" s="6" t="str">
        <f>IFERROR(__xludf.DUMMYFUNCTION("""COMPUTED_VALUE"""),"sentence")</f>
        <v>sentence</v>
      </c>
      <c r="Q468" s="6" t="str">
        <f>IFERROR(__xludf.DUMMYFUNCTION("""COMPUTED_VALUE"""),"elements")</f>
        <v>elements</v>
      </c>
      <c r="S468" s="6" t="str">
        <f>IFERROR(__xludf.DUMMYFUNCTION("""COMPUTED_VALUE"""),"miss")</f>
        <v>miss</v>
      </c>
    </row>
    <row r="469">
      <c r="D469" s="6"/>
      <c r="G469" s="6" t="str">
        <f>IFERROR(__xludf.DUMMYFUNCTION("""COMPUTED_VALUE"""),"prevalent")</f>
        <v>prevalent</v>
      </c>
      <c r="H469" s="6" t="str">
        <f>IFERROR(__xludf.DUMMYFUNCTION("""COMPUTED_VALUE"""),"racism")</f>
        <v>racism</v>
      </c>
      <c r="I469" s="6" t="str">
        <f>IFERROR(__xludf.DUMMYFUNCTION("""COMPUTED_VALUE"""),"actor")</f>
        <v>actor</v>
      </c>
      <c r="J469" s="6" t="str">
        <f>IFERROR(__xludf.DUMMYFUNCTION("""COMPUTED_VALUE"""),"scenic")</f>
        <v>scenic</v>
      </c>
      <c r="L469" s="6" t="str">
        <f>IFERROR(__xludf.DUMMYFUNCTION("""COMPUTED_VALUE"""),"provoke")</f>
        <v>provoke</v>
      </c>
      <c r="M469" s="6" t="str">
        <f>IFERROR(__xludf.DUMMYFUNCTION("""COMPUTED_VALUE"""),"element")</f>
        <v>element</v>
      </c>
      <c r="N469" s="6" t="str">
        <f>IFERROR(__xludf.DUMMYFUNCTION("""COMPUTED_VALUE"""),"interpretation")</f>
        <v>interpretation</v>
      </c>
      <c r="P469" s="6" t="str">
        <f>IFERROR(__xludf.DUMMYFUNCTION("""COMPUTED_VALUE"""),"subjects")</f>
        <v>subjects</v>
      </c>
      <c r="Q469" s="6" t="str">
        <f>IFERROR(__xludf.DUMMYFUNCTION("""COMPUTED_VALUE"""),"mood")</f>
        <v>mood</v>
      </c>
      <c r="S469" s="6" t="str">
        <f>IFERROR(__xludf.DUMMYFUNCTION("""COMPUTED_VALUE"""),"outstanding")</f>
        <v>outstanding</v>
      </c>
    </row>
    <row r="470">
      <c r="D470" s="6"/>
      <c r="G470" s="6" t="str">
        <f>IFERROR(__xludf.DUMMYFUNCTION("""COMPUTED_VALUE"""),"taylor")</f>
        <v>taylor</v>
      </c>
      <c r="H470" s="6" t="str">
        <f>IFERROR(__xludf.DUMMYFUNCTION("""COMPUTED_VALUE"""),"edge")</f>
        <v>edge</v>
      </c>
      <c r="I470" s="6" t="str">
        <f>IFERROR(__xludf.DUMMYFUNCTION("""COMPUTED_VALUE"""),"nicholas")</f>
        <v>nicholas</v>
      </c>
      <c r="J470" s="6" t="str">
        <f>IFERROR(__xludf.DUMMYFUNCTION("""COMPUTED_VALUE"""),"allows")</f>
        <v>allows</v>
      </c>
      <c r="L470" s="6" t="str">
        <f>IFERROR(__xludf.DUMMYFUNCTION("""COMPUTED_VALUE"""),"collapses")</f>
        <v>collapses</v>
      </c>
      <c r="M470" s="6" t="str">
        <f>IFERROR(__xludf.DUMMYFUNCTION("""COMPUTED_VALUE"""),"collective")</f>
        <v>collective</v>
      </c>
      <c r="N470" s="6" t="str">
        <f>IFERROR(__xludf.DUMMYFUNCTION("""COMPUTED_VALUE"""),"represents")</f>
        <v>represents</v>
      </c>
      <c r="P470" s="6" t="str">
        <f>IFERROR(__xludf.DUMMYFUNCTION("""COMPUTED_VALUE"""),"teen")</f>
        <v>teen</v>
      </c>
      <c r="Q470" s="6" t="str">
        <f>IFERROR(__xludf.DUMMYFUNCTION("""COMPUTED_VALUE"""),"indictment")</f>
        <v>indictment</v>
      </c>
      <c r="S470" s="6" t="str">
        <f>IFERROR(__xludf.DUMMYFUNCTION("""COMPUTED_VALUE"""),"excitement")</f>
        <v>excitement</v>
      </c>
    </row>
    <row r="471">
      <c r="D471" s="6"/>
      <c r="G471" s="6" t="str">
        <f>IFERROR(__xludf.DUMMYFUNCTION("""COMPUTED_VALUE"""),"harvard")</f>
        <v>harvard</v>
      </c>
      <c r="H471" s="6" t="str">
        <f>IFERROR(__xludf.DUMMYFUNCTION("""COMPUTED_VALUE"""),"satire")</f>
        <v>satire</v>
      </c>
      <c r="I471" s="6" t="str">
        <f>IFERROR(__xludf.DUMMYFUNCTION("""COMPUTED_VALUE"""),"coming")</f>
        <v>coming</v>
      </c>
      <c r="J471" s="6" t="str">
        <f>IFERROR(__xludf.DUMMYFUNCTION("""COMPUTED_VALUE"""),"renowned")</f>
        <v>renowned</v>
      </c>
      <c r="L471" s="6" t="str">
        <f>IFERROR(__xludf.DUMMYFUNCTION("""COMPUTED_VALUE"""),"consciousness")</f>
        <v>consciousness</v>
      </c>
      <c r="M471" s="6" t="str">
        <f>IFERROR(__xludf.DUMMYFUNCTION("""COMPUTED_VALUE"""),"contributed")</f>
        <v>contributed</v>
      </c>
      <c r="N471" s="6" t="str">
        <f>IFERROR(__xludf.DUMMYFUNCTION("""COMPUTED_VALUE"""),"lyrical")</f>
        <v>lyrical</v>
      </c>
      <c r="P471" s="6" t="str">
        <f>IFERROR(__xludf.DUMMYFUNCTION("""COMPUTED_VALUE"""),"sweet")</f>
        <v>sweet</v>
      </c>
      <c r="Q471" s="6" t="str">
        <f>IFERROR(__xludf.DUMMYFUNCTION("""COMPUTED_VALUE"""),"offensive")</f>
        <v>offensive</v>
      </c>
      <c r="S471" s="6" t="str">
        <f>IFERROR(__xludf.DUMMYFUNCTION("""COMPUTED_VALUE"""),"empty")</f>
        <v>empty</v>
      </c>
    </row>
    <row r="472">
      <c r="D472" s="6"/>
      <c r="G472" s="6" t="str">
        <f>IFERROR(__xludf.DUMMYFUNCTION("""COMPUTED_VALUE"""),"encompasses")</f>
        <v>encompasses</v>
      </c>
      <c r="H472" s="6" t="str">
        <f>IFERROR(__xludf.DUMMYFUNCTION("""COMPUTED_VALUE"""),"courage")</f>
        <v>courage</v>
      </c>
      <c r="I472" s="6" t="str">
        <f>IFERROR(__xludf.DUMMYFUNCTION("""COMPUTED_VALUE"""),"dogs")</f>
        <v>dogs</v>
      </c>
      <c r="J472" s="6" t="str">
        <f>IFERROR(__xludf.DUMMYFUNCTION("""COMPUTED_VALUE"""),"vibrant")</f>
        <v>vibrant</v>
      </c>
      <c r="L472" s="6" t="str">
        <f>IFERROR(__xludf.DUMMYFUNCTION("""COMPUTED_VALUE"""),"climax")</f>
        <v>climax</v>
      </c>
      <c r="M472" s="6" t="str">
        <f>IFERROR(__xludf.DUMMYFUNCTION("""COMPUTED_VALUE"""),"singles")</f>
        <v>singles</v>
      </c>
      <c r="N472" s="6" t="str">
        <f>IFERROR(__xludf.DUMMYFUNCTION("""COMPUTED_VALUE"""),"emotion")</f>
        <v>emotion</v>
      </c>
      <c r="P472" s="6" t="str">
        <f>IFERROR(__xludf.DUMMYFUNCTION("""COMPUTED_VALUE"""),"purposes")</f>
        <v>purposes</v>
      </c>
      <c r="Q472" s="6" t="str">
        <f>IFERROR(__xludf.DUMMYFUNCTION("""COMPUTED_VALUE"""),"clause")</f>
        <v>clause</v>
      </c>
      <c r="S472" s="6" t="str">
        <f>IFERROR(__xludf.DUMMYFUNCTION("""COMPUTED_VALUE"""),"greek")</f>
        <v>greek</v>
      </c>
    </row>
    <row r="473">
      <c r="D473" s="6"/>
      <c r="G473" s="6" t="str">
        <f>IFERROR(__xludf.DUMMYFUNCTION("""COMPUTED_VALUE"""),"ritchie")</f>
        <v>ritchie</v>
      </c>
      <c r="H473" s="6" t="str">
        <f>IFERROR(__xludf.DUMMYFUNCTION("""COMPUTED_VALUE"""),"embracing")</f>
        <v>embracing</v>
      </c>
      <c r="I473" s="6" t="str">
        <f>IFERROR(__xludf.DUMMYFUNCTION("""COMPUTED_VALUE"""),"pack")</f>
        <v>pack</v>
      </c>
      <c r="J473" s="6" t="str">
        <f>IFERROR(__xludf.DUMMYFUNCTION("""COMPUTED_VALUE"""),"colorful")</f>
        <v>colorful</v>
      </c>
      <c r="L473" s="6" t="str">
        <f>IFERROR(__xludf.DUMMYFUNCTION("""COMPUTED_VALUE"""),"jealousy")</f>
        <v>jealousy</v>
      </c>
      <c r="M473" s="6" t="str">
        <f>IFERROR(__xludf.DUMMYFUNCTION("""COMPUTED_VALUE"""),"flesh")</f>
        <v>flesh</v>
      </c>
      <c r="N473" s="6" t="str">
        <f>IFERROR(__xludf.DUMMYFUNCTION("""COMPUTED_VALUE"""),"triumph")</f>
        <v>triumph</v>
      </c>
      <c r="P473" s="6" t="str">
        <f>IFERROR(__xludf.DUMMYFUNCTION("""COMPUTED_VALUE"""),"beneath")</f>
        <v>beneath</v>
      </c>
      <c r="Q473" s="6" t="str">
        <f>IFERROR(__xludf.DUMMYFUNCTION("""COMPUTED_VALUE"""),"engage")</f>
        <v>engage</v>
      </c>
      <c r="S473" s="6" t="str">
        <f>IFERROR(__xludf.DUMMYFUNCTION("""COMPUTED_VALUE"""),"wedding")</f>
        <v>wedding</v>
      </c>
    </row>
    <row r="474">
      <c r="D474" s="6"/>
      <c r="G474" s="6" t="str">
        <f>IFERROR(__xludf.DUMMYFUNCTION("""COMPUTED_VALUE"""),"endurance")</f>
        <v>endurance</v>
      </c>
      <c r="H474" s="6" t="str">
        <f>IFERROR(__xludf.DUMMYFUNCTION("""COMPUTED_VALUE"""),"intellectual")</f>
        <v>intellectual</v>
      </c>
      <c r="I474" s="6" t="str">
        <f>IFERROR(__xludf.DUMMYFUNCTION("""COMPUTED_VALUE"""),"measured")</f>
        <v>measured</v>
      </c>
      <c r="J474" s="6" t="str">
        <f>IFERROR(__xludf.DUMMYFUNCTION("""COMPUTED_VALUE"""),"marvel")</f>
        <v>marvel</v>
      </c>
      <c r="L474" s="6" t="str">
        <f>IFERROR(__xludf.DUMMYFUNCTION("""COMPUTED_VALUE"""),"scores")</f>
        <v>scores</v>
      </c>
      <c r="M474" s="6" t="str">
        <f>IFERROR(__xludf.DUMMYFUNCTION("""COMPUTED_VALUE"""),"illness")</f>
        <v>illness</v>
      </c>
      <c r="N474" s="6" t="str">
        <f>IFERROR(__xludf.DUMMYFUNCTION("""COMPUTED_VALUE"""),"combined")</f>
        <v>combined</v>
      </c>
      <c r="P474" s="6" t="str">
        <f>IFERROR(__xludf.DUMMYFUNCTION("""COMPUTED_VALUE"""),"construct")</f>
        <v>construct</v>
      </c>
      <c r="Q474" s="6" t="str">
        <f>IFERROR(__xludf.DUMMYFUNCTION("""COMPUTED_VALUE"""),"were")</f>
        <v>were</v>
      </c>
      <c r="S474" s="6" t="str">
        <f>IFERROR(__xludf.DUMMYFUNCTION("""COMPUTED_VALUE"""),"auto")</f>
        <v>auto</v>
      </c>
    </row>
    <row r="475">
      <c r="D475" s="6"/>
      <c r="G475" s="6" t="str">
        <f>IFERROR(__xludf.DUMMYFUNCTION("""COMPUTED_VALUE"""),"ai")</f>
        <v>ai</v>
      </c>
      <c r="H475" s="6" t="str">
        <f>IFERROR(__xludf.DUMMYFUNCTION("""COMPUTED_VALUE"""),"meditation")</f>
        <v>meditation</v>
      </c>
      <c r="I475" s="6" t="str">
        <f>IFERROR(__xludf.DUMMYFUNCTION("""COMPUTED_VALUE"""),"aged")</f>
        <v>aged</v>
      </c>
      <c r="J475" s="6" t="str">
        <f>IFERROR(__xludf.DUMMYFUNCTION("""COMPUTED_VALUE"""),"sequences")</f>
        <v>sequences</v>
      </c>
      <c r="L475" s="6" t="str">
        <f>IFERROR(__xludf.DUMMYFUNCTION("""COMPUTED_VALUE"""),"autobiographical")</f>
        <v>autobiographical</v>
      </c>
      <c r="M475" s="6" t="str">
        <f>IFERROR(__xludf.DUMMYFUNCTION("""COMPUTED_VALUE"""),"suffer")</f>
        <v>suffer</v>
      </c>
      <c r="N475" s="6" t="str">
        <f>IFERROR(__xludf.DUMMYFUNCTION("""COMPUTED_VALUE"""),"capture")</f>
        <v>capture</v>
      </c>
      <c r="P475" s="6" t="str">
        <f>IFERROR(__xludf.DUMMYFUNCTION("""COMPUTED_VALUE"""),"trace")</f>
        <v>trace</v>
      </c>
      <c r="Q475" s="6" t="str">
        <f>IFERROR(__xludf.DUMMYFUNCTION("""COMPUTED_VALUE"""),"loose")</f>
        <v>loose</v>
      </c>
      <c r="S475" s="6" t="str">
        <f>IFERROR(__xludf.DUMMYFUNCTION("""COMPUTED_VALUE"""),"slow")</f>
        <v>slow</v>
      </c>
    </row>
    <row r="476">
      <c r="D476" s="6"/>
      <c r="G476" s="6" t="str">
        <f>IFERROR(__xludf.DUMMYFUNCTION("""COMPUTED_VALUE"""),"stretched")</f>
        <v>stretched</v>
      </c>
      <c r="H476" s="6" t="str">
        <f>IFERROR(__xludf.DUMMYFUNCTION("""COMPUTED_VALUE"""),"freddy")</f>
        <v>freddy</v>
      </c>
      <c r="I476" s="6" t="str">
        <f>IFERROR(__xludf.DUMMYFUNCTION("""COMPUTED_VALUE"""),"eddie")</f>
        <v>eddie</v>
      </c>
      <c r="J476" s="6" t="str">
        <f>IFERROR(__xludf.DUMMYFUNCTION("""COMPUTED_VALUE"""),"pulls")</f>
        <v>pulls</v>
      </c>
      <c r="L476" s="6" t="str">
        <f>IFERROR(__xludf.DUMMYFUNCTION("""COMPUTED_VALUE"""),"crafted")</f>
        <v>crafted</v>
      </c>
      <c r="M476" s="6">
        <f>IFERROR(__xludf.DUMMYFUNCTION("""COMPUTED_VALUE"""),93.0)</f>
        <v>93</v>
      </c>
      <c r="N476" s="6" t="str">
        <f>IFERROR(__xludf.DUMMYFUNCTION("""COMPUTED_VALUE"""),"fascination")</f>
        <v>fascination</v>
      </c>
      <c r="P476" s="6" t="str">
        <f>IFERROR(__xludf.DUMMYFUNCTION("""COMPUTED_VALUE"""),"knows")</f>
        <v>knows</v>
      </c>
      <c r="Q476" s="6" t="str">
        <f>IFERROR(__xludf.DUMMYFUNCTION("""COMPUTED_VALUE"""),"revealing")</f>
        <v>revealing</v>
      </c>
      <c r="S476" s="6" t="str">
        <f>IFERROR(__xludf.DUMMYFUNCTION("""COMPUTED_VALUE"""),"marking")</f>
        <v>marking</v>
      </c>
    </row>
    <row r="477">
      <c r="D477" s="6"/>
      <c r="G477" s="6" t="str">
        <f>IFERROR(__xludf.DUMMYFUNCTION("""COMPUTED_VALUE"""),"ambition")</f>
        <v>ambition</v>
      </c>
      <c r="H477" s="6" t="str">
        <f>IFERROR(__xludf.DUMMYFUNCTION("""COMPUTED_VALUE"""),"stereotypes")</f>
        <v>stereotypes</v>
      </c>
      <c r="I477" s="6" t="str">
        <f>IFERROR(__xludf.DUMMYFUNCTION("""COMPUTED_VALUE"""),"liberation")</f>
        <v>liberation</v>
      </c>
      <c r="J477" s="6" t="str">
        <f>IFERROR(__xludf.DUMMYFUNCTION("""COMPUTED_VALUE"""),"illustrates")</f>
        <v>illustrates</v>
      </c>
      <c r="L477" s="6" t="str">
        <f>IFERROR(__xludf.DUMMYFUNCTION("""COMPUTED_VALUE"""),"heightened")</f>
        <v>heightened</v>
      </c>
      <c r="M477" s="6" t="str">
        <f>IFERROR(__xludf.DUMMYFUNCTION("""COMPUTED_VALUE"""),"revenge")</f>
        <v>revenge</v>
      </c>
      <c r="N477" s="6" t="str">
        <f>IFERROR(__xludf.DUMMYFUNCTION("""COMPUTED_VALUE"""),"recognize")</f>
        <v>recognize</v>
      </c>
      <c r="P477" s="6" t="str">
        <f>IFERROR(__xludf.DUMMYFUNCTION("""COMPUTED_VALUE"""),"debt")</f>
        <v>debt</v>
      </c>
      <c r="Q477" s="6" t="str">
        <f>IFERROR(__xludf.DUMMYFUNCTION("""COMPUTED_VALUE"""),"job")</f>
        <v>job</v>
      </c>
      <c r="S477" s="6" t="str">
        <f>IFERROR(__xludf.DUMMYFUNCTION("""COMPUTED_VALUE"""),"turns")</f>
        <v>turns</v>
      </c>
    </row>
    <row r="478">
      <c r="D478" s="6"/>
      <c r="G478" s="6" t="str">
        <f>IFERROR(__xludf.DUMMYFUNCTION("""COMPUTED_VALUE"""),"roles")</f>
        <v>roles</v>
      </c>
      <c r="H478" s="6" t="str">
        <f>IFERROR(__xludf.DUMMYFUNCTION("""COMPUTED_VALUE"""),"outsiders")</f>
        <v>outsiders</v>
      </c>
      <c r="I478" s="6" t="str">
        <f>IFERROR(__xludf.DUMMYFUNCTION("""COMPUTED_VALUE"""),"dynamic")</f>
        <v>dynamic</v>
      </c>
      <c r="J478" s="6" t="str">
        <f>IFERROR(__xludf.DUMMYFUNCTION("""COMPUTED_VALUE"""),"result")</f>
        <v>result</v>
      </c>
      <c r="L478" s="6" t="str">
        <f>IFERROR(__xludf.DUMMYFUNCTION("""COMPUTED_VALUE"""),"virtues")</f>
        <v>virtues</v>
      </c>
      <c r="M478" s="6" t="str">
        <f>IFERROR(__xludf.DUMMYFUNCTION("""COMPUTED_VALUE"""),"clouds")</f>
        <v>clouds</v>
      </c>
      <c r="N478" s="6" t="str">
        <f>IFERROR(__xludf.DUMMYFUNCTION("""COMPUTED_VALUE"""),"economical")</f>
        <v>economical</v>
      </c>
      <c r="P478" s="6" t="str">
        <f>IFERROR(__xludf.DUMMYFUNCTION("""COMPUTED_VALUE"""),"laughed")</f>
        <v>laughed</v>
      </c>
      <c r="Q478" s="6" t="str">
        <f>IFERROR(__xludf.DUMMYFUNCTION("""COMPUTED_VALUE"""),"illumination")</f>
        <v>illumination</v>
      </c>
      <c r="S478" s="6" t="str">
        <f>IFERROR(__xludf.DUMMYFUNCTION("""COMPUTED_VALUE"""),"gradually")</f>
        <v>gradually</v>
      </c>
    </row>
    <row r="479">
      <c r="D479" s="6"/>
      <c r="G479" s="6" t="str">
        <f>IFERROR(__xludf.DUMMYFUNCTION("""COMPUTED_VALUE"""),"lean")</f>
        <v>lean</v>
      </c>
      <c r="H479" s="6" t="str">
        <f>IFERROR(__xludf.DUMMYFUNCTION("""COMPUTED_VALUE"""),"bore")</f>
        <v>bore</v>
      </c>
      <c r="I479" s="6" t="str">
        <f>IFERROR(__xludf.DUMMYFUNCTION("""COMPUTED_VALUE"""),"moved")</f>
        <v>moved</v>
      </c>
      <c r="J479" s="6" t="str">
        <f>IFERROR(__xludf.DUMMYFUNCTION("""COMPUTED_VALUE"""),"emerging")</f>
        <v>emerging</v>
      </c>
      <c r="L479" s="6" t="str">
        <f>IFERROR(__xludf.DUMMYFUNCTION("""COMPUTED_VALUE"""),"flawed")</f>
        <v>flawed</v>
      </c>
      <c r="M479" s="6" t="str">
        <f>IFERROR(__xludf.DUMMYFUNCTION("""COMPUTED_VALUE"""),"rejected")</f>
        <v>rejected</v>
      </c>
      <c r="N479" s="6" t="str">
        <f>IFERROR(__xludf.DUMMYFUNCTION("""COMPUTED_VALUE"""),"body")</f>
        <v>body</v>
      </c>
      <c r="P479" s="6" t="str">
        <f>IFERROR(__xludf.DUMMYFUNCTION("""COMPUTED_VALUE"""),"laughter")</f>
        <v>laughter</v>
      </c>
      <c r="Q479" s="6" t="str">
        <f>IFERROR(__xludf.DUMMYFUNCTION("""COMPUTED_VALUE"""),"created")</f>
        <v>created</v>
      </c>
      <c r="S479" s="6">
        <f>IFERROR(__xludf.DUMMYFUNCTION("""COMPUTED_VALUE"""),2002.0)</f>
        <v>2002</v>
      </c>
    </row>
    <row r="480">
      <c r="D480" s="6"/>
      <c r="G480" s="6" t="str">
        <f>IFERROR(__xludf.DUMMYFUNCTION("""COMPUTED_VALUE"""),"donovan")</f>
        <v>donovan</v>
      </c>
      <c r="H480" s="6" t="str">
        <f>IFERROR(__xludf.DUMMYFUNCTION("""COMPUTED_VALUE"""),"involving")</f>
        <v>involving</v>
      </c>
      <c r="I480" s="6" t="str">
        <f>IFERROR(__xludf.DUMMYFUNCTION("""COMPUTED_VALUE"""),"cia")</f>
        <v>cia</v>
      </c>
      <c r="J480" s="6" t="str">
        <f>IFERROR(__xludf.DUMMYFUNCTION("""COMPUTED_VALUE"""),"entity")</f>
        <v>entity</v>
      </c>
      <c r="L480" s="6" t="str">
        <f>IFERROR(__xludf.DUMMYFUNCTION("""COMPUTED_VALUE"""),"treat")</f>
        <v>treat</v>
      </c>
      <c r="M480" s="6" t="str">
        <f>IFERROR(__xludf.DUMMYFUNCTION("""COMPUTED_VALUE"""),"phenomenon")</f>
        <v>phenomenon</v>
      </c>
      <c r="N480" s="6" t="str">
        <f>IFERROR(__xludf.DUMMYFUNCTION("""COMPUTED_VALUE"""),"land")</f>
        <v>land</v>
      </c>
      <c r="P480" s="6" t="str">
        <f>IFERROR(__xludf.DUMMYFUNCTION("""COMPUTED_VALUE"""),"need")</f>
        <v>need</v>
      </c>
      <c r="Q480" s="6" t="str">
        <f>IFERROR(__xludf.DUMMYFUNCTION("""COMPUTED_VALUE"""),"chilling")</f>
        <v>chilling</v>
      </c>
      <c r="S480" s="6" t="str">
        <f>IFERROR(__xludf.DUMMYFUNCTION("""COMPUTED_VALUE"""),"historical")</f>
        <v>historical</v>
      </c>
    </row>
    <row r="481">
      <c r="D481" s="6"/>
      <c r="G481" s="6" t="str">
        <f>IFERROR(__xludf.DUMMYFUNCTION("""COMPUTED_VALUE"""),"irwin")</f>
        <v>irwin</v>
      </c>
      <c r="H481" s="6" t="str">
        <f>IFERROR(__xludf.DUMMYFUNCTION("""COMPUTED_VALUE"""),"universal")</f>
        <v>universal</v>
      </c>
      <c r="I481" s="6" t="str">
        <f>IFERROR(__xludf.DUMMYFUNCTION("""COMPUTED_VALUE"""),"changing")</f>
        <v>changing</v>
      </c>
      <c r="J481" s="6" t="str">
        <f>IFERROR(__xludf.DUMMYFUNCTION("""COMPUTED_VALUE"""),"pianist")</f>
        <v>pianist</v>
      </c>
      <c r="L481" s="6" t="str">
        <f>IFERROR(__xludf.DUMMYFUNCTION("""COMPUTED_VALUE"""),"gloss")</f>
        <v>gloss</v>
      </c>
      <c r="M481" s="6" t="str">
        <f>IFERROR(__xludf.DUMMYFUNCTION("""COMPUTED_VALUE"""),"content")</f>
        <v>content</v>
      </c>
      <c r="N481" s="6" t="str">
        <f>IFERROR(__xludf.DUMMYFUNCTION("""COMPUTED_VALUE"""),"counterparts")</f>
        <v>counterparts</v>
      </c>
      <c r="P481" s="6" t="str">
        <f>IFERROR(__xludf.DUMMYFUNCTION("""COMPUTED_VALUE"""),"laws")</f>
        <v>laws</v>
      </c>
      <c r="Q481" s="6" t="str">
        <f>IFERROR(__xludf.DUMMYFUNCTION("""COMPUTED_VALUE"""),"reefs")</f>
        <v>reefs</v>
      </c>
      <c r="S481" s="6" t="str">
        <f>IFERROR(__xludf.DUMMYFUNCTION("""COMPUTED_VALUE"""),"modern")</f>
        <v>modern</v>
      </c>
    </row>
    <row r="482">
      <c r="D482" s="6"/>
      <c r="G482" s="6" t="str">
        <f>IFERROR(__xludf.DUMMYFUNCTION("""COMPUTED_VALUE"""),"despair")</f>
        <v>despair</v>
      </c>
      <c r="H482" s="6" t="str">
        <f>IFERROR(__xludf.DUMMYFUNCTION("""COMPUTED_VALUE"""),"titular")</f>
        <v>titular</v>
      </c>
      <c r="I482" s="6" t="str">
        <f>IFERROR(__xludf.DUMMYFUNCTION("""COMPUTED_VALUE"""),"transformation")</f>
        <v>transformation</v>
      </c>
      <c r="J482" s="6" t="str">
        <f>IFERROR(__xludf.DUMMYFUNCTION("""COMPUTED_VALUE"""),"detached")</f>
        <v>detached</v>
      </c>
      <c r="L482" s="6" t="str">
        <f>IFERROR(__xludf.DUMMYFUNCTION("""COMPUTED_VALUE"""),"optimism")</f>
        <v>optimism</v>
      </c>
      <c r="M482" s="6" t="str">
        <f>IFERROR(__xludf.DUMMYFUNCTION("""COMPUTED_VALUE"""),"pool")</f>
        <v>pool</v>
      </c>
      <c r="N482" s="6" t="str">
        <f>IFERROR(__xludf.DUMMYFUNCTION("""COMPUTED_VALUE"""),"equal")</f>
        <v>equal</v>
      </c>
      <c r="P482" s="6" t="str">
        <f>IFERROR(__xludf.DUMMYFUNCTION("""COMPUTED_VALUE"""),"philosophical")</f>
        <v>philosophical</v>
      </c>
      <c r="Q482" s="6" t="str">
        <f>IFERROR(__xludf.DUMMYFUNCTION("""COMPUTED_VALUE"""),"deep")</f>
        <v>deep</v>
      </c>
      <c r="S482" s="6" t="str">
        <f>IFERROR(__xludf.DUMMYFUNCTION("""COMPUTED_VALUE"""),"solid")</f>
        <v>solid</v>
      </c>
    </row>
    <row r="483">
      <c r="D483" s="6"/>
      <c r="G483" s="6" t="str">
        <f>IFERROR(__xludf.DUMMYFUNCTION("""COMPUTED_VALUE"""),"whale")</f>
        <v>whale</v>
      </c>
      <c r="H483" s="6" t="str">
        <f>IFERROR(__xludf.DUMMYFUNCTION("""COMPUTED_VALUE"""),"sands")</f>
        <v>sands</v>
      </c>
      <c r="I483" s="6" t="str">
        <f>IFERROR(__xludf.DUMMYFUNCTION("""COMPUTED_VALUE"""),"widow")</f>
        <v>widow</v>
      </c>
      <c r="J483" s="6" t="str">
        <f>IFERROR(__xludf.DUMMYFUNCTION("""COMPUTED_VALUE"""),"lush")</f>
        <v>lush</v>
      </c>
      <c r="L483" s="6" t="str">
        <f>IFERROR(__xludf.DUMMYFUNCTION("""COMPUTED_VALUE"""),"intentions")</f>
        <v>intentions</v>
      </c>
      <c r="M483" s="6" t="str">
        <f>IFERROR(__xludf.DUMMYFUNCTION("""COMPUTED_VALUE"""),"broadcast")</f>
        <v>broadcast</v>
      </c>
      <c r="N483" s="6" t="str">
        <f>IFERROR(__xludf.DUMMYFUNCTION("""COMPUTED_VALUE"""),"lets")</f>
        <v>lets</v>
      </c>
      <c r="P483" s="6" t="str">
        <f>IFERROR(__xludf.DUMMYFUNCTION("""COMPUTED_VALUE"""),"drag")</f>
        <v>drag</v>
      </c>
      <c r="Q483" s="6" t="str">
        <f>IFERROR(__xludf.DUMMYFUNCTION("""COMPUTED_VALUE"""),"supernatural")</f>
        <v>supernatural</v>
      </c>
      <c r="S483" s="6" t="str">
        <f>IFERROR(__xludf.DUMMYFUNCTION("""COMPUTED_VALUE"""),"stupid")</f>
        <v>stupid</v>
      </c>
    </row>
    <row r="484">
      <c r="D484" s="6"/>
      <c r="G484" s="6" t="str">
        <f>IFERROR(__xludf.DUMMYFUNCTION("""COMPUTED_VALUE"""),"arnold")</f>
        <v>arnold</v>
      </c>
      <c r="H484" s="6" t="str">
        <f>IFERROR(__xludf.DUMMYFUNCTION("""COMPUTED_VALUE"""),"edited")</f>
        <v>edited</v>
      </c>
      <c r="I484" s="6" t="str">
        <f>IFERROR(__xludf.DUMMYFUNCTION("""COMPUTED_VALUE"""),"french")</f>
        <v>french</v>
      </c>
      <c r="J484" s="6" t="str">
        <f>IFERROR(__xludf.DUMMYFUNCTION("""COMPUTED_VALUE"""),"martha")</f>
        <v>martha</v>
      </c>
      <c r="L484" s="6" t="str">
        <f>IFERROR(__xludf.DUMMYFUNCTION("""COMPUTED_VALUE"""),"amid")</f>
        <v>amid</v>
      </c>
      <c r="M484" s="6" t="str">
        <f>IFERROR(__xludf.DUMMYFUNCTION("""COMPUTED_VALUE"""),"basis")</f>
        <v>basis</v>
      </c>
      <c r="N484" s="6" t="str">
        <f>IFERROR(__xludf.DUMMYFUNCTION("""COMPUTED_VALUE"""),"raises")</f>
        <v>raises</v>
      </c>
      <c r="P484" s="6" t="str">
        <f>IFERROR(__xludf.DUMMYFUNCTION("""COMPUTED_VALUE"""),"required")</f>
        <v>required</v>
      </c>
      <c r="Q484" s="6" t="str">
        <f>IFERROR(__xludf.DUMMYFUNCTION("""COMPUTED_VALUE"""),"submarine")</f>
        <v>submarine</v>
      </c>
      <c r="S484" s="6" t="str">
        <f>IFERROR(__xludf.DUMMYFUNCTION("""COMPUTED_VALUE"""),"elements")</f>
        <v>elements</v>
      </c>
    </row>
    <row r="485">
      <c r="D485" s="6"/>
      <c r="G485" s="6" t="str">
        <f>IFERROR(__xludf.DUMMYFUNCTION("""COMPUTED_VALUE"""),"combat")</f>
        <v>combat</v>
      </c>
      <c r="H485" s="6" t="str">
        <f>IFERROR(__xludf.DUMMYFUNCTION("""COMPUTED_VALUE"""),"unnecessary")</f>
        <v>unnecessary</v>
      </c>
      <c r="I485" s="6" t="str">
        <f>IFERROR(__xludf.DUMMYFUNCTION("""COMPUTED_VALUE"""),"wonder")</f>
        <v>wonder</v>
      </c>
      <c r="J485" s="6" t="str">
        <f>IFERROR(__xludf.DUMMYFUNCTION("""COMPUTED_VALUE"""),"rapid")</f>
        <v>rapid</v>
      </c>
      <c r="L485" s="6" t="str">
        <f>IFERROR(__xludf.DUMMYFUNCTION("""COMPUTED_VALUE"""),"morality")</f>
        <v>morality</v>
      </c>
      <c r="M485" s="6" t="str">
        <f>IFERROR(__xludf.DUMMYFUNCTION("""COMPUTED_VALUE"""),"evidence")</f>
        <v>evidence</v>
      </c>
      <c r="N485" s="6" t="str">
        <f>IFERROR(__xludf.DUMMYFUNCTION("""COMPUTED_VALUE"""),"elusive")</f>
        <v>elusive</v>
      </c>
      <c r="P485" s="6" t="str">
        <f>IFERROR(__xludf.DUMMYFUNCTION("""COMPUTED_VALUE"""),"hop")</f>
        <v>hop</v>
      </c>
      <c r="Q485" s="6" t="str">
        <f>IFERROR(__xludf.DUMMYFUNCTION("""COMPUTED_VALUE"""),"grand")</f>
        <v>grand</v>
      </c>
      <c r="S485" s="6" t="str">
        <f>IFERROR(__xludf.DUMMYFUNCTION("""COMPUTED_VALUE"""),"mood")</f>
        <v>mood</v>
      </c>
    </row>
    <row r="486">
      <c r="D486" s="6"/>
      <c r="G486" s="6" t="str">
        <f>IFERROR(__xludf.DUMMYFUNCTION("""COMPUTED_VALUE"""),"prejudice")</f>
        <v>prejudice</v>
      </c>
      <c r="H486" s="6" t="str">
        <f>IFERROR(__xludf.DUMMYFUNCTION("""COMPUTED_VALUE"""),"badly")</f>
        <v>badly</v>
      </c>
      <c r="I486" s="6" t="str">
        <f>IFERROR(__xludf.DUMMYFUNCTION("""COMPUTED_VALUE"""),"waters")</f>
        <v>waters</v>
      </c>
      <c r="J486" s="6" t="str">
        <f>IFERROR(__xludf.DUMMYFUNCTION("""COMPUTED_VALUE"""),"virtually")</f>
        <v>virtually</v>
      </c>
      <c r="L486" s="6" t="str">
        <f>IFERROR(__xludf.DUMMYFUNCTION("""COMPUTED_VALUE"""),"futuristic")</f>
        <v>futuristic</v>
      </c>
      <c r="M486" s="6" t="str">
        <f>IFERROR(__xludf.DUMMYFUNCTION("""COMPUTED_VALUE"""),"majority")</f>
        <v>majority</v>
      </c>
      <c r="N486" s="6" t="str">
        <f>IFERROR(__xludf.DUMMYFUNCTION("""COMPUTED_VALUE"""),"longing")</f>
        <v>longing</v>
      </c>
      <c r="P486" s="6" t="str">
        <f>IFERROR(__xludf.DUMMYFUNCTION("""COMPUTED_VALUE"""),"literary")</f>
        <v>literary</v>
      </c>
      <c r="Q486" s="6" t="str">
        <f>IFERROR(__xludf.DUMMYFUNCTION("""COMPUTED_VALUE"""),"found")</f>
        <v>found</v>
      </c>
      <c r="S486" s="6" t="str">
        <f>IFERROR(__xludf.DUMMYFUNCTION("""COMPUTED_VALUE"""),"heated")</f>
        <v>heated</v>
      </c>
    </row>
    <row r="487">
      <c r="D487" s="6"/>
      <c r="G487" s="6" t="str">
        <f>IFERROR(__xludf.DUMMYFUNCTION("""COMPUTED_VALUE"""),"screenwriter")</f>
        <v>screenwriter</v>
      </c>
      <c r="H487" s="6" t="str">
        <f>IFERROR(__xludf.DUMMYFUNCTION("""COMPUTED_VALUE"""),"simone")</f>
        <v>simone</v>
      </c>
      <c r="I487" s="6" t="str">
        <f>IFERROR(__xludf.DUMMYFUNCTION("""COMPUTED_VALUE"""),"qualify")</f>
        <v>qualify</v>
      </c>
      <c r="J487" s="6" t="str">
        <f>IFERROR(__xludf.DUMMYFUNCTION("""COMPUTED_VALUE"""),"clever")</f>
        <v>clever</v>
      </c>
      <c r="L487" s="6" t="str">
        <f>IFERROR(__xludf.DUMMYFUNCTION("""COMPUTED_VALUE"""),"circuit")</f>
        <v>circuit</v>
      </c>
      <c r="M487" s="6" t="str">
        <f>IFERROR(__xludf.DUMMYFUNCTION("""COMPUTED_VALUE"""),"successor")</f>
        <v>successor</v>
      </c>
      <c r="N487" s="6" t="str">
        <f>IFERROR(__xludf.DUMMYFUNCTION("""COMPUTED_VALUE"""),"scares")</f>
        <v>scares</v>
      </c>
      <c r="P487" s="6" t="str">
        <f>IFERROR(__xludf.DUMMYFUNCTION("""COMPUTED_VALUE"""),"distant")</f>
        <v>distant</v>
      </c>
      <c r="Q487" s="6" t="str">
        <f>IFERROR(__xludf.DUMMYFUNCTION("""COMPUTED_VALUE"""),"avid")</f>
        <v>avid</v>
      </c>
      <c r="S487" s="6" t="str">
        <f>IFERROR(__xludf.DUMMYFUNCTION("""COMPUTED_VALUE"""),"across")</f>
        <v>across</v>
      </c>
    </row>
    <row r="488">
      <c r="D488" s="6"/>
      <c r="G488" s="6" t="str">
        <f>IFERROR(__xludf.DUMMYFUNCTION("""COMPUTED_VALUE"""),"lifeless")</f>
        <v>lifeless</v>
      </c>
      <c r="H488" s="6" t="str">
        <f>IFERROR(__xludf.DUMMYFUNCTION("""COMPUTED_VALUE"""),"check")</f>
        <v>check</v>
      </c>
      <c r="I488" s="6" t="str">
        <f>IFERROR(__xludf.DUMMYFUNCTION("""COMPUTED_VALUE"""),"followed")</f>
        <v>followed</v>
      </c>
      <c r="J488" s="6" t="str">
        <f>IFERROR(__xludf.DUMMYFUNCTION("""COMPUTED_VALUE"""),"plunging")</f>
        <v>plunging</v>
      </c>
      <c r="L488" s="6" t="str">
        <f>IFERROR(__xludf.DUMMYFUNCTION("""COMPUTED_VALUE"""),"homosexual")</f>
        <v>homosexual</v>
      </c>
      <c r="M488" s="6" t="str">
        <f>IFERROR(__xludf.DUMMYFUNCTION("""COMPUTED_VALUE"""),"successfully")</f>
        <v>successfully</v>
      </c>
      <c r="N488" s="6" t="str">
        <f>IFERROR(__xludf.DUMMYFUNCTION("""COMPUTED_VALUE"""),"hook")</f>
        <v>hook</v>
      </c>
      <c r="P488" s="6" t="str">
        <f>IFERROR(__xludf.DUMMYFUNCTION("""COMPUTED_VALUE"""),"accomplished")</f>
        <v>accomplished</v>
      </c>
      <c r="Q488" s="6" t="str">
        <f>IFERROR(__xludf.DUMMYFUNCTION("""COMPUTED_VALUE"""),"star")</f>
        <v>star</v>
      </c>
      <c r="S488" s="6" t="str">
        <f>IFERROR(__xludf.DUMMYFUNCTION("""COMPUTED_VALUE"""),"finally")</f>
        <v>finally</v>
      </c>
    </row>
    <row r="489">
      <c r="D489" s="6"/>
      <c r="G489" s="6" t="str">
        <f>IFERROR(__xludf.DUMMYFUNCTION("""COMPUTED_VALUE"""),"depiction")</f>
        <v>depiction</v>
      </c>
      <c r="H489" s="6" t="str">
        <f>IFERROR(__xludf.DUMMYFUNCTION("""COMPUTED_VALUE"""),"ticket")</f>
        <v>ticket</v>
      </c>
      <c r="I489" s="6" t="str">
        <f>IFERROR(__xludf.DUMMYFUNCTION("""COMPUTED_VALUE"""),"nelson")</f>
        <v>nelson</v>
      </c>
      <c r="J489" s="6" t="str">
        <f>IFERROR(__xludf.DUMMYFUNCTION("""COMPUTED_VALUE"""),"intense")</f>
        <v>intense</v>
      </c>
      <c r="L489" s="6" t="str">
        <f>IFERROR(__xludf.DUMMYFUNCTION("""COMPUTED_VALUE"""),"laced")</f>
        <v>laced</v>
      </c>
      <c r="M489" s="6" t="str">
        <f>IFERROR(__xludf.DUMMYFUNCTION("""COMPUTED_VALUE"""),"chest")</f>
        <v>chest</v>
      </c>
      <c r="N489" s="6" t="str">
        <f>IFERROR(__xludf.DUMMYFUNCTION("""COMPUTED_VALUE"""),"imagery")</f>
        <v>imagery</v>
      </c>
      <c r="P489" s="6" t="str">
        <f>IFERROR(__xludf.DUMMYFUNCTION("""COMPUTED_VALUE"""),"fears")</f>
        <v>fears</v>
      </c>
      <c r="Q489" s="6" t="str">
        <f>IFERROR(__xludf.DUMMYFUNCTION("""COMPUTED_VALUE"""),"simulate")</f>
        <v>simulate</v>
      </c>
      <c r="S489" s="6" t="str">
        <f>IFERROR(__xludf.DUMMYFUNCTION("""COMPUTED_VALUE"""),"offensive")</f>
        <v>offensive</v>
      </c>
    </row>
    <row r="490">
      <c r="D490" s="6"/>
      <c r="G490" s="6" t="str">
        <f>IFERROR(__xludf.DUMMYFUNCTION("""COMPUTED_VALUE"""),"paxton")</f>
        <v>paxton</v>
      </c>
      <c r="H490" s="6" t="str">
        <f>IFERROR(__xludf.DUMMYFUNCTION("""COMPUTED_VALUE"""),"pantheon")</f>
        <v>pantheon</v>
      </c>
      <c r="I490" s="6" t="str">
        <f>IFERROR(__xludf.DUMMYFUNCTION("""COMPUTED_VALUE"""),"possibility")</f>
        <v>possibility</v>
      </c>
      <c r="J490" s="6" t="str">
        <f>IFERROR(__xludf.DUMMYFUNCTION("""COMPUTED_VALUE"""),"sides")</f>
        <v>sides</v>
      </c>
      <c r="L490" s="6" t="str">
        <f>IFERROR(__xludf.DUMMYFUNCTION("""COMPUTED_VALUE"""),"dragons")</f>
        <v>dragons</v>
      </c>
      <c r="M490" s="6" t="str">
        <f>IFERROR(__xludf.DUMMYFUNCTION("""COMPUTED_VALUE"""),"jay")</f>
        <v>jay</v>
      </c>
      <c r="N490" s="6" t="str">
        <f>IFERROR(__xludf.DUMMYFUNCTION("""COMPUTED_VALUE"""),"suited")</f>
        <v>suited</v>
      </c>
      <c r="P490" s="6" t="str">
        <f>IFERROR(__xludf.DUMMYFUNCTION("""COMPUTED_VALUE"""),"portrait")</f>
        <v>portrait</v>
      </c>
      <c r="Q490" s="6" t="str">
        <f>IFERROR(__xludf.DUMMYFUNCTION("""COMPUTED_VALUE"""),"shovel")</f>
        <v>shovel</v>
      </c>
      <c r="S490" s="6" t="str">
        <f>IFERROR(__xludf.DUMMYFUNCTION("""COMPUTED_VALUE"""),"children")</f>
        <v>children</v>
      </c>
    </row>
    <row r="491">
      <c r="D491" s="6"/>
      <c r="G491" s="6" t="str">
        <f>IFERROR(__xludf.DUMMYFUNCTION("""COMPUTED_VALUE"""),"levy")</f>
        <v>levy</v>
      </c>
      <c r="H491" s="6" t="str">
        <f>IFERROR(__xludf.DUMMYFUNCTION("""COMPUTED_VALUE"""),"complicated")</f>
        <v>complicated</v>
      </c>
      <c r="I491" s="6" t="str">
        <f>IFERROR(__xludf.DUMMYFUNCTION("""COMPUTED_VALUE"""),"lopez")</f>
        <v>lopez</v>
      </c>
      <c r="J491" s="6" t="str">
        <f>IFERROR(__xludf.DUMMYFUNCTION("""COMPUTED_VALUE"""),"pulling")</f>
        <v>pulling</v>
      </c>
      <c r="L491" s="6" t="str">
        <f>IFERROR(__xludf.DUMMYFUNCTION("""COMPUTED_VALUE"""),"reign")</f>
        <v>reign</v>
      </c>
      <c r="M491" s="6" t="str">
        <f>IFERROR(__xludf.DUMMYFUNCTION("""COMPUTED_VALUE"""),"transformed")</f>
        <v>transformed</v>
      </c>
      <c r="N491" s="6" t="str">
        <f>IFERROR(__xludf.DUMMYFUNCTION("""COMPUTED_VALUE"""),"shimmering")</f>
        <v>shimmering</v>
      </c>
      <c r="P491" s="6" t="str">
        <f>IFERROR(__xludf.DUMMYFUNCTION("""COMPUTED_VALUE"""),"rare")</f>
        <v>rare</v>
      </c>
      <c r="Q491" s="6" t="str">
        <f>IFERROR(__xludf.DUMMYFUNCTION("""COMPUTED_VALUE"""),"idiots")</f>
        <v>idiots</v>
      </c>
      <c r="S491" s="6" t="str">
        <f>IFERROR(__xludf.DUMMYFUNCTION("""COMPUTED_VALUE"""),"santa")</f>
        <v>santa</v>
      </c>
    </row>
    <row r="492">
      <c r="D492" s="6"/>
      <c r="G492" s="6" t="str">
        <f>IFERROR(__xludf.DUMMYFUNCTION("""COMPUTED_VALUE"""),"forster")</f>
        <v>forster</v>
      </c>
      <c r="H492" s="6" t="str">
        <f>IFERROR(__xludf.DUMMYFUNCTION("""COMPUTED_VALUE"""),"comedic")</f>
        <v>comedic</v>
      </c>
      <c r="I492" s="6" t="str">
        <f>IFERROR(__xludf.DUMMYFUNCTION("""COMPUTED_VALUE"""),"relationships")</f>
        <v>relationships</v>
      </c>
      <c r="J492" s="6" t="str">
        <f>IFERROR(__xludf.DUMMYFUNCTION("""COMPUTED_VALUE"""),"faithful")</f>
        <v>faithful</v>
      </c>
      <c r="L492" s="6" t="str">
        <f>IFERROR(__xludf.DUMMYFUNCTION("""COMPUTED_VALUE"""),"bag")</f>
        <v>bag</v>
      </c>
      <c r="M492" s="6" t="str">
        <f>IFERROR(__xludf.DUMMYFUNCTION("""COMPUTED_VALUE"""),"cartoon")</f>
        <v>cartoon</v>
      </c>
      <c r="N492" s="6" t="str">
        <f>IFERROR(__xludf.DUMMYFUNCTION("""COMPUTED_VALUE"""),"adolescent")</f>
        <v>adolescent</v>
      </c>
      <c r="P492" s="6" t="str">
        <f>IFERROR(__xludf.DUMMYFUNCTION("""COMPUTED_VALUE"""),"draws")</f>
        <v>draws</v>
      </c>
      <c r="Q492" s="6" t="str">
        <f>IFERROR(__xludf.DUMMYFUNCTION("""COMPUTED_VALUE"""),"spirit")</f>
        <v>spirit</v>
      </c>
      <c r="S492" s="6" t="str">
        <f>IFERROR(__xludf.DUMMYFUNCTION("""COMPUTED_VALUE"""),"engage")</f>
        <v>engage</v>
      </c>
    </row>
    <row r="493">
      <c r="D493" s="6"/>
      <c r="G493" s="6" t="str">
        <f>IFERROR(__xludf.DUMMYFUNCTION("""COMPUTED_VALUE"""),"seriousness")</f>
        <v>seriousness</v>
      </c>
      <c r="H493" s="6" t="str">
        <f>IFERROR(__xludf.DUMMYFUNCTION("""COMPUTED_VALUE"""),"ensemble")</f>
        <v>ensemble</v>
      </c>
      <c r="I493" s="6" t="str">
        <f>IFERROR(__xludf.DUMMYFUNCTION("""COMPUTED_VALUE"""),"anderson")</f>
        <v>anderson</v>
      </c>
      <c r="J493" s="6" t="str">
        <f>IFERROR(__xludf.DUMMYFUNCTION("""COMPUTED_VALUE"""),"exaggerated")</f>
        <v>exaggerated</v>
      </c>
      <c r="L493" s="6" t="str">
        <f>IFERROR(__xludf.DUMMYFUNCTION("""COMPUTED_VALUE"""),"myself")</f>
        <v>myself</v>
      </c>
      <c r="M493" s="6" t="str">
        <f>IFERROR(__xludf.DUMMYFUNCTION("""COMPUTED_VALUE"""),"racial")</f>
        <v>racial</v>
      </c>
      <c r="N493" s="6" t="str">
        <f>IFERROR(__xludf.DUMMYFUNCTION("""COMPUTED_VALUE"""),"martin")</f>
        <v>martin</v>
      </c>
      <c r="P493" s="6" t="str">
        <f>IFERROR(__xludf.DUMMYFUNCTION("""COMPUTED_VALUE"""),"bits")</f>
        <v>bits</v>
      </c>
      <c r="Q493" s="6" t="str">
        <f>IFERROR(__xludf.DUMMYFUNCTION("""COMPUTED_VALUE"""),"gaping")</f>
        <v>gaping</v>
      </c>
      <c r="S493" s="6" t="str">
        <f>IFERROR(__xludf.DUMMYFUNCTION("""COMPUTED_VALUE"""),"loose")</f>
        <v>loose</v>
      </c>
    </row>
    <row r="494">
      <c r="D494" s="6"/>
      <c r="G494" s="6" t="str">
        <f>IFERROR(__xludf.DUMMYFUNCTION("""COMPUTED_VALUE"""),"brains")</f>
        <v>brains</v>
      </c>
      <c r="H494" s="6" t="str">
        <f>IFERROR(__xludf.DUMMYFUNCTION("""COMPUTED_VALUE"""),"painful")</f>
        <v>painful</v>
      </c>
      <c r="I494" s="6" t="str">
        <f>IFERROR(__xludf.DUMMYFUNCTION("""COMPUTED_VALUE"""),"possible")</f>
        <v>possible</v>
      </c>
      <c r="J494" s="6" t="str">
        <f>IFERROR(__xludf.DUMMYFUNCTION("""COMPUTED_VALUE"""),"yarn")</f>
        <v>yarn</v>
      </c>
      <c r="L494" s="6" t="str">
        <f>IFERROR(__xludf.DUMMYFUNCTION("""COMPUTED_VALUE"""),"disguise")</f>
        <v>disguise</v>
      </c>
      <c r="M494" s="6" t="str">
        <f>IFERROR(__xludf.DUMMYFUNCTION("""COMPUTED_VALUE"""),"harrison")</f>
        <v>harrison</v>
      </c>
      <c r="N494" s="6" t="str">
        <f>IFERROR(__xludf.DUMMYFUNCTION("""COMPUTED_VALUE"""),"visuals")</f>
        <v>visuals</v>
      </c>
      <c r="P494" s="6" t="str">
        <f>IFERROR(__xludf.DUMMYFUNCTION("""COMPUTED_VALUE"""),"midnight")</f>
        <v>midnight</v>
      </c>
      <c r="Q494" s="6" t="str">
        <f>IFERROR(__xludf.DUMMYFUNCTION("""COMPUTED_VALUE"""),"claude")</f>
        <v>claude</v>
      </c>
      <c r="S494" s="6" t="str">
        <f>IFERROR(__xludf.DUMMYFUNCTION("""COMPUTED_VALUE"""),"prove")</f>
        <v>prove</v>
      </c>
    </row>
    <row r="495">
      <c r="D495" s="6"/>
      <c r="G495" s="6" t="str">
        <f>IFERROR(__xludf.DUMMYFUNCTION("""COMPUTED_VALUE"""),"flesh")</f>
        <v>flesh</v>
      </c>
      <c r="H495" s="6" t="str">
        <f>IFERROR(__xludf.DUMMYFUNCTION("""COMPUTED_VALUE"""),"symbolism")</f>
        <v>symbolism</v>
      </c>
      <c r="I495" s="6" t="str">
        <f>IFERROR(__xludf.DUMMYFUNCTION("""COMPUTED_VALUE"""),"rises")</f>
        <v>rises</v>
      </c>
      <c r="J495" s="6" t="str">
        <f>IFERROR(__xludf.DUMMYFUNCTION("""COMPUTED_VALUE"""),"bite")</f>
        <v>bite</v>
      </c>
      <c r="L495" s="6" t="str">
        <f>IFERROR(__xludf.DUMMYFUNCTION("""COMPUTED_VALUE"""),"held")</f>
        <v>held</v>
      </c>
      <c r="M495" s="6" t="str">
        <f>IFERROR(__xludf.DUMMYFUNCTION("""COMPUTED_VALUE"""),"higher")</f>
        <v>higher</v>
      </c>
      <c r="N495" s="6" t="str">
        <f>IFERROR(__xludf.DUMMYFUNCTION("""COMPUTED_VALUE"""),"compliment")</f>
        <v>compliment</v>
      </c>
      <c r="P495" s="6" t="str">
        <f>IFERROR(__xludf.DUMMYFUNCTION("""COMPUTED_VALUE"""),"mind")</f>
        <v>mind</v>
      </c>
      <c r="Q495" s="6" t="str">
        <f>IFERROR(__xludf.DUMMYFUNCTION("""COMPUTED_VALUE"""),"master")</f>
        <v>master</v>
      </c>
      <c r="S495" s="6" t="str">
        <f>IFERROR(__xludf.DUMMYFUNCTION("""COMPUTED_VALUE"""),"main")</f>
        <v>main</v>
      </c>
    </row>
    <row r="496">
      <c r="D496" s="6"/>
      <c r="G496" s="6" t="str">
        <f>IFERROR(__xludf.DUMMYFUNCTION("""COMPUTED_VALUE"""),"drastic")</f>
        <v>drastic</v>
      </c>
      <c r="H496" s="6" t="str">
        <f>IFERROR(__xludf.DUMMYFUNCTION("""COMPUTED_VALUE"""),"psychology")</f>
        <v>psychology</v>
      </c>
      <c r="I496" s="6" t="str">
        <f>IFERROR(__xludf.DUMMYFUNCTION("""COMPUTED_VALUE"""),"loyal")</f>
        <v>loyal</v>
      </c>
      <c r="J496" s="6" t="str">
        <f>IFERROR(__xludf.DUMMYFUNCTION("""COMPUTED_VALUE"""),"innocence")</f>
        <v>innocence</v>
      </c>
      <c r="L496" s="6" t="str">
        <f>IFERROR(__xludf.DUMMYFUNCTION("""COMPUTED_VALUE"""),"hampered")</f>
        <v>hampered</v>
      </c>
      <c r="M496" s="6" t="str">
        <f>IFERROR(__xludf.DUMMYFUNCTION("""COMPUTED_VALUE"""),"trapped")</f>
        <v>trapped</v>
      </c>
      <c r="N496" s="6" t="str">
        <f>IFERROR(__xludf.DUMMYFUNCTION("""COMPUTED_VALUE"""),"sleeve")</f>
        <v>sleeve</v>
      </c>
      <c r="P496" s="6" t="str">
        <f>IFERROR(__xludf.DUMMYFUNCTION("""COMPUTED_VALUE"""),"busy")</f>
        <v>busy</v>
      </c>
      <c r="Q496" s="6" t="str">
        <f>IFERROR(__xludf.DUMMYFUNCTION("""COMPUTED_VALUE"""),"inuit")</f>
        <v>inuit</v>
      </c>
      <c r="S496" s="6" t="str">
        <f>IFERROR(__xludf.DUMMYFUNCTION("""COMPUTED_VALUE"""),"revealing")</f>
        <v>revealing</v>
      </c>
    </row>
    <row r="497">
      <c r="D497" s="6"/>
      <c r="G497" s="6" t="str">
        <f>IFERROR(__xludf.DUMMYFUNCTION("""COMPUTED_VALUE"""),"fantasies")</f>
        <v>fantasies</v>
      </c>
      <c r="H497" s="6" t="str">
        <f>IFERROR(__xludf.DUMMYFUNCTION("""COMPUTED_VALUE"""),"allows")</f>
        <v>allows</v>
      </c>
      <c r="I497" s="6" t="str">
        <f>IFERROR(__xludf.DUMMYFUNCTION("""COMPUTED_VALUE"""),"ian")</f>
        <v>ian</v>
      </c>
      <c r="J497" s="6" t="str">
        <f>IFERROR(__xludf.DUMMYFUNCTION("""COMPUTED_VALUE"""),"today")</f>
        <v>today</v>
      </c>
      <c r="L497" s="6" t="str">
        <f>IFERROR(__xludf.DUMMYFUNCTION("""COMPUTED_VALUE"""),"notion")</f>
        <v>notion</v>
      </c>
      <c r="M497" s="6" t="str">
        <f>IFERROR(__xludf.DUMMYFUNCTION("""COMPUTED_VALUE"""),"string")</f>
        <v>string</v>
      </c>
      <c r="N497" s="6" t="str">
        <f>IFERROR(__xludf.DUMMYFUNCTION("""COMPUTED_VALUE"""),"wears")</f>
        <v>wears</v>
      </c>
      <c r="P497" s="6" t="str">
        <f>IFERROR(__xludf.DUMMYFUNCTION("""COMPUTED_VALUE"""),"unexpected")</f>
        <v>unexpected</v>
      </c>
      <c r="Q497" s="6" t="str">
        <f>IFERROR(__xludf.DUMMYFUNCTION("""COMPUTED_VALUE"""),"screenplay")</f>
        <v>screenplay</v>
      </c>
      <c r="S497" s="6" t="str">
        <f>IFERROR(__xludf.DUMMYFUNCTION("""COMPUTED_VALUE"""),"done")</f>
        <v>done</v>
      </c>
    </row>
    <row r="498">
      <c r="D498" s="6"/>
      <c r="G498" s="6" t="str">
        <f>IFERROR(__xludf.DUMMYFUNCTION("""COMPUTED_VALUE"""),"illness")</f>
        <v>illness</v>
      </c>
      <c r="H498" s="6" t="str">
        <f>IFERROR(__xludf.DUMMYFUNCTION("""COMPUTED_VALUE"""),"renowned")</f>
        <v>renowned</v>
      </c>
      <c r="I498" s="6" t="str">
        <f>IFERROR(__xludf.DUMMYFUNCTION("""COMPUTED_VALUE"""),"minds")</f>
        <v>minds</v>
      </c>
      <c r="J498" s="6" t="str">
        <f>IFERROR(__xludf.DUMMYFUNCTION("""COMPUTED_VALUE"""),"tackles")</f>
        <v>tackles</v>
      </c>
      <c r="L498" s="6" t="str">
        <f>IFERROR(__xludf.DUMMYFUNCTION("""COMPUTED_VALUE"""),"slump")</f>
        <v>slump</v>
      </c>
      <c r="M498" s="6" t="str">
        <f>IFERROR(__xludf.DUMMYFUNCTION("""COMPUTED_VALUE"""),"malcolm")</f>
        <v>malcolm</v>
      </c>
      <c r="N498" s="6" t="str">
        <f>IFERROR(__xludf.DUMMYFUNCTION("""COMPUTED_VALUE"""),"intimacy")</f>
        <v>intimacy</v>
      </c>
      <c r="P498" s="6" t="str">
        <f>IFERROR(__xludf.DUMMYFUNCTION("""COMPUTED_VALUE"""),"bone")</f>
        <v>bone</v>
      </c>
      <c r="Q498" s="6" t="str">
        <f>IFERROR(__xludf.DUMMYFUNCTION("""COMPUTED_VALUE"""),"wish")</f>
        <v>wish</v>
      </c>
      <c r="S498" s="6" t="str">
        <f>IFERROR(__xludf.DUMMYFUNCTION("""COMPUTED_VALUE"""),"job")</f>
        <v>job</v>
      </c>
    </row>
    <row r="499">
      <c r="D499" s="6"/>
      <c r="G499" s="6" t="str">
        <f>IFERROR(__xludf.DUMMYFUNCTION("""COMPUTED_VALUE"""),"canadians")</f>
        <v>canadians</v>
      </c>
      <c r="H499" s="6" t="str">
        <f>IFERROR(__xludf.DUMMYFUNCTION("""COMPUTED_VALUE"""),"professionals")</f>
        <v>professionals</v>
      </c>
      <c r="I499" s="6" t="str">
        <f>IFERROR(__xludf.DUMMYFUNCTION("""COMPUTED_VALUE"""),"justice")</f>
        <v>justice</v>
      </c>
      <c r="J499" s="6" t="str">
        <f>IFERROR(__xludf.DUMMYFUNCTION("""COMPUTED_VALUE"""),"kwan")</f>
        <v>kwan</v>
      </c>
      <c r="L499" s="6" t="str">
        <f>IFERROR(__xludf.DUMMYFUNCTION("""COMPUTED_VALUE"""),"sophomore")</f>
        <v>sophomore</v>
      </c>
      <c r="M499" s="6" t="str">
        <f>IFERROR(__xludf.DUMMYFUNCTION("""COMPUTED_VALUE"""),"stone")</f>
        <v>stone</v>
      </c>
      <c r="N499" s="6" t="str">
        <f>IFERROR(__xludf.DUMMYFUNCTION("""COMPUTED_VALUE"""),"sentiments")</f>
        <v>sentiments</v>
      </c>
      <c r="P499" s="6" t="str">
        <f>IFERROR(__xludf.DUMMYFUNCTION("""COMPUTED_VALUE"""),"dream")</f>
        <v>dream</v>
      </c>
      <c r="Q499" s="6" t="str">
        <f>IFERROR(__xludf.DUMMYFUNCTION("""COMPUTED_VALUE"""),"tale")</f>
        <v>tale</v>
      </c>
      <c r="S499" s="6" t="str">
        <f>IFERROR(__xludf.DUMMYFUNCTION("""COMPUTED_VALUE"""),"created")</f>
        <v>created</v>
      </c>
    </row>
    <row r="500">
      <c r="D500" s="6"/>
      <c r="G500" s="6" t="str">
        <f>IFERROR(__xludf.DUMMYFUNCTION("""COMPUTED_VALUE"""),"calculated")</f>
        <v>calculated</v>
      </c>
      <c r="H500" s="6" t="str">
        <f>IFERROR(__xludf.DUMMYFUNCTION("""COMPUTED_VALUE"""),"reacting")</f>
        <v>reacting</v>
      </c>
      <c r="I500" s="6" t="str">
        <f>IFERROR(__xludf.DUMMYFUNCTION("""COMPUTED_VALUE"""),"someone")</f>
        <v>someone</v>
      </c>
      <c r="J500" s="6" t="str">
        <f>IFERROR(__xludf.DUMMYFUNCTION("""COMPUTED_VALUE"""),"stanley")</f>
        <v>stanley</v>
      </c>
      <c r="L500" s="6" t="str">
        <f>IFERROR(__xludf.DUMMYFUNCTION("""COMPUTED_VALUE"""),"70s")</f>
        <v>70s</v>
      </c>
      <c r="M500" s="6" t="str">
        <f>IFERROR(__xludf.DUMMYFUNCTION("""COMPUTED_VALUE"""),"appearing")</f>
        <v>appearing</v>
      </c>
      <c r="N500" s="6" t="str">
        <f>IFERROR(__xludf.DUMMYFUNCTION("""COMPUTED_VALUE"""),"impact")</f>
        <v>impact</v>
      </c>
      <c r="P500" s="6" t="str">
        <f>IFERROR(__xludf.DUMMYFUNCTION("""COMPUTED_VALUE"""),"lives")</f>
        <v>lives</v>
      </c>
      <c r="Q500" s="6" t="str">
        <f>IFERROR(__xludf.DUMMYFUNCTION("""COMPUTED_VALUE"""),"thoughtful")</f>
        <v>thoughtful</v>
      </c>
      <c r="S500" s="6" t="str">
        <f>IFERROR(__xludf.DUMMYFUNCTION("""COMPUTED_VALUE"""),"filming")</f>
        <v>filming</v>
      </c>
    </row>
    <row r="501">
      <c r="D501" s="6"/>
      <c r="G501" s="6" t="str">
        <f>IFERROR(__xludf.DUMMYFUNCTION("""COMPUTED_VALUE"""),"suffer")</f>
        <v>suffer</v>
      </c>
      <c r="H501" s="6" t="str">
        <f>IFERROR(__xludf.DUMMYFUNCTION("""COMPUTED_VALUE"""),"vibrant")</f>
        <v>vibrant</v>
      </c>
      <c r="I501" s="6" t="str">
        <f>IFERROR(__xludf.DUMMYFUNCTION("""COMPUTED_VALUE"""),"achievement")</f>
        <v>achievement</v>
      </c>
      <c r="J501" s="6" t="str">
        <f>IFERROR(__xludf.DUMMYFUNCTION("""COMPUTED_VALUE"""),"clive")</f>
        <v>clive</v>
      </c>
      <c r="L501" s="6" t="str">
        <f>IFERROR(__xludf.DUMMYFUNCTION("""COMPUTED_VALUE"""),"conflict")</f>
        <v>conflict</v>
      </c>
      <c r="M501" s="6" t="str">
        <f>IFERROR(__xludf.DUMMYFUNCTION("""COMPUTED_VALUE"""),"chronicle")</f>
        <v>chronicle</v>
      </c>
      <c r="N501" s="6" t="str">
        <f>IFERROR(__xludf.DUMMYFUNCTION("""COMPUTED_VALUE"""),"form")</f>
        <v>form</v>
      </c>
      <c r="P501" s="6" t="str">
        <f>IFERROR(__xludf.DUMMYFUNCTION("""COMPUTED_VALUE"""),"frustration")</f>
        <v>frustration</v>
      </c>
      <c r="Q501" s="6" t="str">
        <f>IFERROR(__xludf.DUMMYFUNCTION("""COMPUTED_VALUE"""),"raw")</f>
        <v>raw</v>
      </c>
      <c r="S501" s="6" t="str">
        <f>IFERROR(__xludf.DUMMYFUNCTION("""COMPUTED_VALUE"""),"break")</f>
        <v>break</v>
      </c>
    </row>
    <row r="502">
      <c r="D502" s="6"/>
      <c r="G502" s="6" t="str">
        <f>IFERROR(__xludf.DUMMYFUNCTION("""COMPUTED_VALUE"""),"portraying")</f>
        <v>portraying</v>
      </c>
      <c r="H502" s="6" t="str">
        <f>IFERROR(__xludf.DUMMYFUNCTION("""COMPUTED_VALUE"""),"colorful")</f>
        <v>colorful</v>
      </c>
      <c r="I502" s="6" t="str">
        <f>IFERROR(__xludf.DUMMYFUNCTION("""COMPUTED_VALUE"""),"morgan")</f>
        <v>morgan</v>
      </c>
      <c r="J502" s="6" t="str">
        <f>IFERROR(__xludf.DUMMYFUNCTION("""COMPUTED_VALUE"""),"barker")</f>
        <v>barker</v>
      </c>
      <c r="L502" s="6" t="str">
        <f>IFERROR(__xludf.DUMMYFUNCTION("""COMPUTED_VALUE"""),"recalls")</f>
        <v>recalls</v>
      </c>
      <c r="M502" s="6" t="str">
        <f>IFERROR(__xludf.DUMMYFUNCTION("""COMPUTED_VALUE"""),"parker")</f>
        <v>parker</v>
      </c>
      <c r="N502" s="6" t="str">
        <f>IFERROR(__xludf.DUMMYFUNCTION("""COMPUTED_VALUE"""),"substantial")</f>
        <v>substantial</v>
      </c>
      <c r="P502" s="6" t="str">
        <f>IFERROR(__xludf.DUMMYFUNCTION("""COMPUTED_VALUE"""),"winning")</f>
        <v>winning</v>
      </c>
      <c r="Q502" s="6" t="str">
        <f>IFERROR(__xludf.DUMMYFUNCTION("""COMPUTED_VALUE"""),"sitcom")</f>
        <v>sitcom</v>
      </c>
      <c r="S502" s="6" t="str">
        <f>IFERROR(__xludf.DUMMYFUNCTION("""COMPUTED_VALUE"""),"deep")</f>
        <v>deep</v>
      </c>
    </row>
    <row r="503">
      <c r="D503" s="6"/>
      <c r="G503" s="6" t="str">
        <f>IFERROR(__xludf.DUMMYFUNCTION("""COMPUTED_VALUE"""),"revenge")</f>
        <v>revenge</v>
      </c>
      <c r="H503" s="6" t="str">
        <f>IFERROR(__xludf.DUMMYFUNCTION("""COMPUTED_VALUE"""),"marvel")</f>
        <v>marvel</v>
      </c>
      <c r="I503" s="6" t="str">
        <f>IFERROR(__xludf.DUMMYFUNCTION("""COMPUTED_VALUE"""),"logic")</f>
        <v>logic</v>
      </c>
      <c r="J503" s="6" t="str">
        <f>IFERROR(__xludf.DUMMYFUNCTION("""COMPUTED_VALUE"""),"recognizable")</f>
        <v>recognizable</v>
      </c>
      <c r="L503" s="6" t="str">
        <f>IFERROR(__xludf.DUMMYFUNCTION("""COMPUTED_VALUE"""),"infectious")</f>
        <v>infectious</v>
      </c>
      <c r="M503" s="6" t="str">
        <f>IFERROR(__xludf.DUMMYFUNCTION("""COMPUTED_VALUE"""),"characterized")</f>
        <v>characterized</v>
      </c>
      <c r="N503" s="6" t="str">
        <f>IFERROR(__xludf.DUMMYFUNCTION("""COMPUTED_VALUE"""),"oliver")</f>
        <v>oliver</v>
      </c>
      <c r="P503" s="6" t="str">
        <f>IFERROR(__xludf.DUMMYFUNCTION("""COMPUTED_VALUE"""),"barrel")</f>
        <v>barrel</v>
      </c>
      <c r="Q503" s="6" t="str">
        <f>IFERROR(__xludf.DUMMYFUNCTION("""COMPUTED_VALUE"""),"shoulders")</f>
        <v>shoulders</v>
      </c>
      <c r="S503" s="6" t="str">
        <f>IFERROR(__xludf.DUMMYFUNCTION("""COMPUTED_VALUE"""),"submarine")</f>
        <v>submarine</v>
      </c>
    </row>
    <row r="504">
      <c r="D504" s="6"/>
      <c r="G504" s="6" t="str">
        <f>IFERROR(__xludf.DUMMYFUNCTION("""COMPUTED_VALUE"""),"clouds")</f>
        <v>clouds</v>
      </c>
      <c r="H504" s="6" t="str">
        <f>IFERROR(__xludf.DUMMYFUNCTION("""COMPUTED_VALUE"""),"sequences")</f>
        <v>sequences</v>
      </c>
      <c r="I504" s="6" t="str">
        <f>IFERROR(__xludf.DUMMYFUNCTION("""COMPUTED_VALUE"""),"grey")</f>
        <v>grey</v>
      </c>
      <c r="J504" s="6" t="str">
        <f>IFERROR(__xludf.DUMMYFUNCTION("""COMPUTED_VALUE"""),"propelled")</f>
        <v>propelled</v>
      </c>
      <c r="L504" s="6" t="str">
        <f>IFERROR(__xludf.DUMMYFUNCTION("""COMPUTED_VALUE"""),"brooding")</f>
        <v>brooding</v>
      </c>
      <c r="M504" s="6" t="str">
        <f>IFERROR(__xludf.DUMMYFUNCTION("""COMPUTED_VALUE"""),"arms")</f>
        <v>arms</v>
      </c>
      <c r="N504" s="6" t="str">
        <f>IFERROR(__xludf.DUMMYFUNCTION("""COMPUTED_VALUE"""),"chemistry")</f>
        <v>chemistry</v>
      </c>
      <c r="P504" s="6" t="str">
        <f>IFERROR(__xludf.DUMMYFUNCTION("""COMPUTED_VALUE"""),"miracle")</f>
        <v>miracle</v>
      </c>
      <c r="Q504" s="6" t="str">
        <f>IFERROR(__xludf.DUMMYFUNCTION("""COMPUTED_VALUE"""),"broad")</f>
        <v>broad</v>
      </c>
      <c r="S504" s="6" t="str">
        <f>IFERROR(__xludf.DUMMYFUNCTION("""COMPUTED_VALUE"""),"grand")</f>
        <v>grand</v>
      </c>
    </row>
    <row r="505">
      <c r="D505" s="6"/>
      <c r="G505" s="6" t="str">
        <f>IFERROR(__xludf.DUMMYFUNCTION("""COMPUTED_VALUE"""),"junk")</f>
        <v>junk</v>
      </c>
      <c r="H505" s="6" t="str">
        <f>IFERROR(__xludf.DUMMYFUNCTION("""COMPUTED_VALUE"""),"fantasy")</f>
        <v>fantasy</v>
      </c>
      <c r="I505" s="6" t="str">
        <f>IFERROR(__xludf.DUMMYFUNCTION("""COMPUTED_VALUE"""),"zone")</f>
        <v>zone</v>
      </c>
      <c r="J505" s="6" t="str">
        <f>IFERROR(__xludf.DUMMYFUNCTION("""COMPUTED_VALUE"""),"spielberg")</f>
        <v>spielberg</v>
      </c>
      <c r="L505" s="6" t="str">
        <f>IFERROR(__xludf.DUMMYFUNCTION("""COMPUTED_VALUE"""),"withstand")</f>
        <v>withstand</v>
      </c>
      <c r="M505" s="6" t="str">
        <f>IFERROR(__xludf.DUMMYFUNCTION("""COMPUTED_VALUE"""),"involve")</f>
        <v>involve</v>
      </c>
      <c r="N505" s="6" t="str">
        <f>IFERROR(__xludf.DUMMYFUNCTION("""COMPUTED_VALUE"""),"dawn")</f>
        <v>dawn</v>
      </c>
      <c r="P505" s="6" t="str">
        <f>IFERROR(__xludf.DUMMYFUNCTION("""COMPUTED_VALUE"""),"lewis")</f>
        <v>lewis</v>
      </c>
      <c r="Q505" s="6" t="str">
        <f>IFERROR(__xludf.DUMMYFUNCTION("""COMPUTED_VALUE"""),"report")</f>
        <v>report</v>
      </c>
      <c r="S505" s="6" t="str">
        <f>IFERROR(__xludf.DUMMYFUNCTION("""COMPUTED_VALUE"""),"found")</f>
        <v>found</v>
      </c>
    </row>
    <row r="506">
      <c r="D506" s="6"/>
      <c r="G506" s="6" t="str">
        <f>IFERROR(__xludf.DUMMYFUNCTION("""COMPUTED_VALUE"""),"rejected")</f>
        <v>rejected</v>
      </c>
      <c r="H506" s="6" t="str">
        <f>IFERROR(__xludf.DUMMYFUNCTION("""COMPUTED_VALUE"""),"pulls")</f>
        <v>pulls</v>
      </c>
      <c r="I506" s="6" t="str">
        <f>IFERROR(__xludf.DUMMYFUNCTION("""COMPUTED_VALUE"""),"generated")</f>
        <v>generated</v>
      </c>
      <c r="J506" s="6" t="str">
        <f>IFERROR(__xludf.DUMMYFUNCTION("""COMPUTED_VALUE"""),"trademark")</f>
        <v>trademark</v>
      </c>
      <c r="L506" s="6" t="str">
        <f>IFERROR(__xludf.DUMMYFUNCTION("""COMPUTED_VALUE"""),"connect")</f>
        <v>connect</v>
      </c>
      <c r="M506" s="6" t="str">
        <f>IFERROR(__xludf.DUMMYFUNCTION("""COMPUTED_VALUE"""),"player")</f>
        <v>player</v>
      </c>
      <c r="N506" s="6" t="str">
        <f>IFERROR(__xludf.DUMMYFUNCTION("""COMPUTED_VALUE"""),"control")</f>
        <v>control</v>
      </c>
      <c r="P506" s="6" t="str">
        <f>IFERROR(__xludf.DUMMYFUNCTION("""COMPUTED_VALUE"""),"davies")</f>
        <v>davies</v>
      </c>
      <c r="Q506" s="6" t="str">
        <f>IFERROR(__xludf.DUMMYFUNCTION("""COMPUTED_VALUE"""),"abuse")</f>
        <v>abuse</v>
      </c>
      <c r="S506" s="6" t="str">
        <f>IFERROR(__xludf.DUMMYFUNCTION("""COMPUTED_VALUE"""),"audience")</f>
        <v>audience</v>
      </c>
    </row>
    <row r="507">
      <c r="D507" s="6"/>
      <c r="G507" s="6" t="str">
        <f>IFERROR(__xludf.DUMMYFUNCTION("""COMPUTED_VALUE"""),"directs")</f>
        <v>directs</v>
      </c>
      <c r="H507" s="6" t="str">
        <f>IFERROR(__xludf.DUMMYFUNCTION("""COMPUTED_VALUE"""),"illustrates")</f>
        <v>illustrates</v>
      </c>
      <c r="I507" s="6" t="str">
        <f>IFERROR(__xludf.DUMMYFUNCTION("""COMPUTED_VALUE"""),"rain")</f>
        <v>rain</v>
      </c>
      <c r="J507" s="6" t="str">
        <f>IFERROR(__xludf.DUMMYFUNCTION("""COMPUTED_VALUE"""),"capable")</f>
        <v>capable</v>
      </c>
      <c r="L507" s="6" t="str">
        <f>IFERROR(__xludf.DUMMYFUNCTION("""COMPUTED_VALUE"""),"toss")</f>
        <v>toss</v>
      </c>
      <c r="M507" s="6" t="str">
        <f>IFERROR(__xludf.DUMMYFUNCTION("""COMPUTED_VALUE"""),"effectively")</f>
        <v>effectively</v>
      </c>
      <c r="N507" s="6" t="str">
        <f>IFERROR(__xludf.DUMMYFUNCTION("""COMPUTED_VALUE"""),"willis")</f>
        <v>willis</v>
      </c>
      <c r="P507" s="6" t="str">
        <f>IFERROR(__xludf.DUMMYFUNCTION("""COMPUTED_VALUE"""),"perspective")</f>
        <v>perspective</v>
      </c>
      <c r="Q507" s="6" t="str">
        <f>IFERROR(__xludf.DUMMYFUNCTION("""COMPUTED_VALUE"""),"fake")</f>
        <v>fake</v>
      </c>
      <c r="S507" s="6" t="str">
        <f>IFERROR(__xludf.DUMMYFUNCTION("""COMPUTED_VALUE"""),"lead")</f>
        <v>lead</v>
      </c>
    </row>
    <row r="508">
      <c r="D508" s="6"/>
      <c r="G508" s="6" t="str">
        <f>IFERROR(__xludf.DUMMYFUNCTION("""COMPUTED_VALUE"""),"holden")</f>
        <v>holden</v>
      </c>
      <c r="H508" s="6" t="str">
        <f>IFERROR(__xludf.DUMMYFUNCTION("""COMPUTED_VALUE"""),"restoring")</f>
        <v>restoring</v>
      </c>
      <c r="I508" s="6" t="str">
        <f>IFERROR(__xludf.DUMMYFUNCTION("""COMPUTED_VALUE"""),"expression")</f>
        <v>expression</v>
      </c>
      <c r="J508" s="6" t="str">
        <f>IFERROR(__xludf.DUMMYFUNCTION("""COMPUTED_VALUE"""),"revelations")</f>
        <v>revelations</v>
      </c>
      <c r="L508" s="6" t="str">
        <f>IFERROR(__xludf.DUMMYFUNCTION("""COMPUTED_VALUE"""),"interpretation")</f>
        <v>interpretation</v>
      </c>
      <c r="M508" s="6">
        <f>IFERROR(__xludf.DUMMYFUNCTION("""COMPUTED_VALUE"""),94.0)</f>
        <v>94</v>
      </c>
      <c r="N508" s="6" t="str">
        <f>IFERROR(__xludf.DUMMYFUNCTION("""COMPUTED_VALUE"""),"illuminating")</f>
        <v>illuminating</v>
      </c>
      <c r="P508" s="6" t="str">
        <f>IFERROR(__xludf.DUMMYFUNCTION("""COMPUTED_VALUE"""),"holiday")</f>
        <v>holiday</v>
      </c>
      <c r="Q508" s="6" t="str">
        <f>IFERROR(__xludf.DUMMYFUNCTION("""COMPUTED_VALUE"""),"palestinian")</f>
        <v>palestinian</v>
      </c>
      <c r="S508" s="6" t="str">
        <f>IFERROR(__xludf.DUMMYFUNCTION("""COMPUTED_VALUE"""),"star")</f>
        <v>star</v>
      </c>
    </row>
    <row r="509">
      <c r="D509" s="6"/>
      <c r="G509" s="6" t="str">
        <f>IFERROR(__xludf.DUMMYFUNCTION("""COMPUTED_VALUE"""),"gore")</f>
        <v>gore</v>
      </c>
      <c r="H509" s="6" t="str">
        <f>IFERROR(__xludf.DUMMYFUNCTION("""COMPUTED_VALUE"""),"emerging")</f>
        <v>emerging</v>
      </c>
      <c r="I509" s="6" t="str">
        <f>IFERROR(__xludf.DUMMYFUNCTION("""COMPUTED_VALUE"""),"resist")</f>
        <v>resist</v>
      </c>
      <c r="J509" s="6" t="str">
        <f>IFERROR(__xludf.DUMMYFUNCTION("""COMPUTED_VALUE"""),"stylistic")</f>
        <v>stylistic</v>
      </c>
      <c r="L509" s="6" t="str">
        <f>IFERROR(__xludf.DUMMYFUNCTION("""COMPUTED_VALUE"""),"lyrical")</f>
        <v>lyrical</v>
      </c>
      <c r="M509" s="6" t="str">
        <f>IFERROR(__xludf.DUMMYFUNCTION("""COMPUTED_VALUE"""),"powers")</f>
        <v>powers</v>
      </c>
      <c r="N509" s="6" t="str">
        <f>IFERROR(__xludf.DUMMYFUNCTION("""COMPUTED_VALUE"""),"static")</f>
        <v>static</v>
      </c>
      <c r="P509" s="6" t="str">
        <f>IFERROR(__xludf.DUMMYFUNCTION("""COMPUTED_VALUE"""),"none")</f>
        <v>none</v>
      </c>
      <c r="Q509" s="6" t="str">
        <f>IFERROR(__xludf.DUMMYFUNCTION("""COMPUTED_VALUE"""),"israeli")</f>
        <v>israeli</v>
      </c>
      <c r="S509" s="6" t="str">
        <f>IFERROR(__xludf.DUMMYFUNCTION("""COMPUTED_VALUE"""),"spirit")</f>
        <v>spirit</v>
      </c>
    </row>
    <row r="510">
      <c r="D510" s="6"/>
      <c r="G510" s="6" t="str">
        <f>IFERROR(__xludf.DUMMYFUNCTION("""COMPUTED_VALUE"""),"phenomenon")</f>
        <v>phenomenon</v>
      </c>
      <c r="H510" s="6" t="str">
        <f>IFERROR(__xludf.DUMMYFUNCTION("""COMPUTED_VALUE"""),"entity")</f>
        <v>entity</v>
      </c>
      <c r="I510" s="6" t="str">
        <f>IFERROR(__xludf.DUMMYFUNCTION("""COMPUTED_VALUE"""),"pulse")</f>
        <v>pulse</v>
      </c>
      <c r="J510" s="6" t="str">
        <f>IFERROR(__xludf.DUMMYFUNCTION("""COMPUTED_VALUE"""),"layered")</f>
        <v>layered</v>
      </c>
      <c r="L510" s="6" t="str">
        <f>IFERROR(__xludf.DUMMYFUNCTION("""COMPUTED_VALUE"""),"emotion")</f>
        <v>emotion</v>
      </c>
      <c r="M510" s="6" t="str">
        <f>IFERROR(__xludf.DUMMYFUNCTION("""COMPUTED_VALUE"""),"besides")</f>
        <v>besides</v>
      </c>
      <c r="N510" s="6" t="str">
        <f>IFERROR(__xludf.DUMMYFUNCTION("""COMPUTED_VALUE"""),"photographed")</f>
        <v>photographed</v>
      </c>
      <c r="P510" s="6" t="str">
        <f>IFERROR(__xludf.DUMMYFUNCTION("""COMPUTED_VALUE"""),"poem")</f>
        <v>poem</v>
      </c>
      <c r="Q510" s="6" t="str">
        <f>IFERROR(__xludf.DUMMYFUNCTION("""COMPUTED_VALUE"""),"strong")</f>
        <v>strong</v>
      </c>
      <c r="S510" s="6" t="str">
        <f>IFERROR(__xludf.DUMMYFUNCTION("""COMPUTED_VALUE"""),"medium")</f>
        <v>medium</v>
      </c>
    </row>
    <row r="511">
      <c r="D511" s="6"/>
      <c r="G511" s="6" t="str">
        <f>IFERROR(__xludf.DUMMYFUNCTION("""COMPUTED_VALUE"""),"viewpoint")</f>
        <v>viewpoint</v>
      </c>
      <c r="H511" s="6" t="str">
        <f>IFERROR(__xludf.DUMMYFUNCTION("""COMPUTED_VALUE"""),"moonlight")</f>
        <v>moonlight</v>
      </c>
      <c r="I511" s="6" t="str">
        <f>IFERROR(__xludf.DUMMYFUNCTION("""COMPUTED_VALUE"""),"attract")</f>
        <v>attract</v>
      </c>
      <c r="J511" s="6" t="str">
        <f>IFERROR(__xludf.DUMMYFUNCTION("""COMPUTED_VALUE"""),"daring")</f>
        <v>daring</v>
      </c>
      <c r="L511" s="6" t="str">
        <f>IFERROR(__xludf.DUMMYFUNCTION("""COMPUTED_VALUE"""),"triumph")</f>
        <v>triumph</v>
      </c>
      <c r="M511" s="6" t="str">
        <f>IFERROR(__xludf.DUMMYFUNCTION("""COMPUTED_VALUE"""),"fictional")</f>
        <v>fictional</v>
      </c>
      <c r="N511" s="6" t="str">
        <f>IFERROR(__xludf.DUMMYFUNCTION("""COMPUTED_VALUE"""),"mendes")</f>
        <v>mendes</v>
      </c>
      <c r="P511" s="6" t="str">
        <f>IFERROR(__xludf.DUMMYFUNCTION("""COMPUTED_VALUE"""),"patient")</f>
        <v>patient</v>
      </c>
      <c r="Q511" s="6" t="str">
        <f>IFERROR(__xludf.DUMMYFUNCTION("""COMPUTED_VALUE"""),"flickering")</f>
        <v>flickering</v>
      </c>
      <c r="S511" s="6" t="str">
        <f>IFERROR(__xludf.DUMMYFUNCTION("""COMPUTED_VALUE"""),"team")</f>
        <v>team</v>
      </c>
    </row>
    <row r="512">
      <c r="D512" s="6"/>
      <c r="G512" s="6" t="str">
        <f>IFERROR(__xludf.DUMMYFUNCTION("""COMPUTED_VALUE"""),"content")</f>
        <v>content</v>
      </c>
      <c r="H512" s="6" t="str">
        <f>IFERROR(__xludf.DUMMYFUNCTION("""COMPUTED_VALUE"""),"pianist")</f>
        <v>pianist</v>
      </c>
      <c r="I512" s="6" t="str">
        <f>IFERROR(__xludf.DUMMYFUNCTION("""COMPUTED_VALUE"""),"struggling")</f>
        <v>struggling</v>
      </c>
      <c r="J512" s="6" t="str">
        <f>IFERROR(__xludf.DUMMYFUNCTION("""COMPUTED_VALUE"""),"spanning")</f>
        <v>spanning</v>
      </c>
      <c r="L512" s="6" t="str">
        <f>IFERROR(__xludf.DUMMYFUNCTION("""COMPUTED_VALUE"""),"spends")</f>
        <v>spends</v>
      </c>
      <c r="M512" s="6" t="str">
        <f>IFERROR(__xludf.DUMMYFUNCTION("""COMPUTED_VALUE"""),"speaks")</f>
        <v>speaks</v>
      </c>
      <c r="N512" s="6" t="str">
        <f>IFERROR(__xludf.DUMMYFUNCTION("""COMPUTED_VALUE"""),"sees")</f>
        <v>sees</v>
      </c>
      <c r="P512" s="6" t="str">
        <f>IFERROR(__xludf.DUMMYFUNCTION("""COMPUTED_VALUE"""),"maintain")</f>
        <v>maintain</v>
      </c>
      <c r="Q512" s="6" t="str">
        <f>IFERROR(__xludf.DUMMYFUNCTION("""COMPUTED_VALUE"""),"midway")</f>
        <v>midway</v>
      </c>
      <c r="S512" s="6" t="str">
        <f>IFERROR(__xludf.DUMMYFUNCTION("""COMPUTED_VALUE"""),"olympic")</f>
        <v>olympic</v>
      </c>
    </row>
    <row r="513">
      <c r="D513" s="6"/>
      <c r="G513" s="6" t="str">
        <f>IFERROR(__xludf.DUMMYFUNCTION("""COMPUTED_VALUE"""),"stays")</f>
        <v>stays</v>
      </c>
      <c r="H513" s="6" t="str">
        <f>IFERROR(__xludf.DUMMYFUNCTION("""COMPUTED_VALUE"""),"detached")</f>
        <v>detached</v>
      </c>
      <c r="I513" s="6" t="str">
        <f>IFERROR(__xludf.DUMMYFUNCTION("""COMPUTED_VALUE"""),"1970s")</f>
        <v>1970s</v>
      </c>
      <c r="J513" s="6" t="str">
        <f>IFERROR(__xludf.DUMMYFUNCTION("""COMPUTED_VALUE"""),"marina")</f>
        <v>marina</v>
      </c>
      <c r="L513" s="6" t="str">
        <f>IFERROR(__xludf.DUMMYFUNCTION("""COMPUTED_VALUE"""),"capture")</f>
        <v>capture</v>
      </c>
      <c r="M513" s="6" t="str">
        <f>IFERROR(__xludf.DUMMYFUNCTION("""COMPUTED_VALUE"""),"miller")</f>
        <v>miller</v>
      </c>
      <c r="N513" s="6" t="str">
        <f>IFERROR(__xludf.DUMMYFUNCTION("""COMPUTED_VALUE"""),"audrey")</f>
        <v>audrey</v>
      </c>
      <c r="P513" s="6" t="str">
        <f>IFERROR(__xludf.DUMMYFUNCTION("""COMPUTED_VALUE"""),"pile")</f>
        <v>pile</v>
      </c>
      <c r="Q513" s="6" t="str">
        <f>IFERROR(__xludf.DUMMYFUNCTION("""COMPUTED_VALUE"""),"rodriguez")</f>
        <v>rodriguez</v>
      </c>
      <c r="S513" s="6" t="str">
        <f>IFERROR(__xludf.DUMMYFUNCTION("""COMPUTED_VALUE"""),"master")</f>
        <v>master</v>
      </c>
    </row>
    <row r="514">
      <c r="D514" s="6"/>
      <c r="G514" s="6" t="str">
        <f>IFERROR(__xludf.DUMMYFUNCTION("""COMPUTED_VALUE"""),"stretches")</f>
        <v>stretches</v>
      </c>
      <c r="H514" s="6" t="str">
        <f>IFERROR(__xludf.DUMMYFUNCTION("""COMPUTED_VALUE"""),"represented")</f>
        <v>represented</v>
      </c>
      <c r="I514" s="6" t="str">
        <f>IFERROR(__xludf.DUMMYFUNCTION("""COMPUTED_VALUE"""),"scientist")</f>
        <v>scientist</v>
      </c>
      <c r="J514" s="6" t="str">
        <f>IFERROR(__xludf.DUMMYFUNCTION("""COMPUTED_VALUE"""),"holly")</f>
        <v>holly</v>
      </c>
      <c r="L514" s="6" t="str">
        <f>IFERROR(__xludf.DUMMYFUNCTION("""COMPUTED_VALUE"""),"fascination")</f>
        <v>fascination</v>
      </c>
      <c r="M514" s="6" t="str">
        <f>IFERROR(__xludf.DUMMYFUNCTION("""COMPUTED_VALUE"""),"zhang")</f>
        <v>zhang</v>
      </c>
      <c r="N514" s="6" t="str">
        <f>IFERROR(__xludf.DUMMYFUNCTION("""COMPUTED_VALUE"""),"lawrence")</f>
        <v>lawrence</v>
      </c>
      <c r="P514" s="6" t="str">
        <f>IFERROR(__xludf.DUMMYFUNCTION("""COMPUTED_VALUE"""),"vietnam")</f>
        <v>vietnam</v>
      </c>
      <c r="Q514" s="6" t="str">
        <f>IFERROR(__xludf.DUMMYFUNCTION("""COMPUTED_VALUE"""),"pleasing")</f>
        <v>pleasing</v>
      </c>
      <c r="S514" s="6" t="str">
        <f>IFERROR(__xludf.DUMMYFUNCTION("""COMPUTED_VALUE"""),"claude")</f>
        <v>claude</v>
      </c>
    </row>
    <row r="515">
      <c r="D515" s="6"/>
      <c r="G515" s="6" t="str">
        <f>IFERROR(__xludf.DUMMYFUNCTION("""COMPUTED_VALUE"""),"clown")</f>
        <v>clown</v>
      </c>
      <c r="H515" s="6" t="str">
        <f>IFERROR(__xludf.DUMMYFUNCTION("""COMPUTED_VALUE"""),"lush")</f>
        <v>lush</v>
      </c>
      <c r="I515" s="6" t="str">
        <f>IFERROR(__xludf.DUMMYFUNCTION("""COMPUTED_VALUE"""),"chan")</f>
        <v>chan</v>
      </c>
      <c r="J515" s="6" t="str">
        <f>IFERROR(__xludf.DUMMYFUNCTION("""COMPUTED_VALUE"""),"emerge")</f>
        <v>emerge</v>
      </c>
      <c r="L515" s="6" t="str">
        <f>IFERROR(__xludf.DUMMYFUNCTION("""COMPUTED_VALUE"""),"vague")</f>
        <v>vague</v>
      </c>
      <c r="M515" s="6" t="str">
        <f>IFERROR(__xludf.DUMMYFUNCTION("""COMPUTED_VALUE"""),"observed")</f>
        <v>observed</v>
      </c>
      <c r="N515" s="6" t="str">
        <f>IFERROR(__xludf.DUMMYFUNCTION("""COMPUTED_VALUE"""),"operatic")</f>
        <v>operatic</v>
      </c>
      <c r="P515" s="6" t="str">
        <f>IFERROR(__xludf.DUMMYFUNCTION("""COMPUTED_VALUE"""),"souls")</f>
        <v>souls</v>
      </c>
      <c r="Q515" s="6" t="str">
        <f>IFERROR(__xludf.DUMMYFUNCTION("""COMPUTED_VALUE"""),"fare")</f>
        <v>fare</v>
      </c>
      <c r="S515" s="6" t="str">
        <f>IFERROR(__xludf.DUMMYFUNCTION("""COMPUTED_VALUE"""),"screenplay")</f>
        <v>screenplay</v>
      </c>
    </row>
    <row r="516">
      <c r="D516" s="6"/>
      <c r="G516" s="6" t="str">
        <f>IFERROR(__xludf.DUMMYFUNCTION("""COMPUTED_VALUE"""),"conception")</f>
        <v>conception</v>
      </c>
      <c r="H516" s="6" t="str">
        <f>IFERROR(__xludf.DUMMYFUNCTION("""COMPUTED_VALUE"""),"martha")</f>
        <v>martha</v>
      </c>
      <c r="I516" s="6" t="str">
        <f>IFERROR(__xludf.DUMMYFUNCTION("""COMPUTED_VALUE"""),"corruption")</f>
        <v>corruption</v>
      </c>
      <c r="J516" s="6" t="str">
        <f>IFERROR(__xludf.DUMMYFUNCTION("""COMPUTED_VALUE"""),"passionate")</f>
        <v>passionate</v>
      </c>
      <c r="L516" s="6" t="str">
        <f>IFERROR(__xludf.DUMMYFUNCTION("""COMPUTED_VALUE"""),"awareness")</f>
        <v>awareness</v>
      </c>
      <c r="M516" s="6" t="str">
        <f>IFERROR(__xludf.DUMMYFUNCTION("""COMPUTED_VALUE"""),"nails")</f>
        <v>nails</v>
      </c>
      <c r="N516" s="6" t="str">
        <f>IFERROR(__xludf.DUMMYFUNCTION("""COMPUTED_VALUE"""),"effortlessly")</f>
        <v>effortlessly</v>
      </c>
      <c r="P516" s="6" t="str">
        <f>IFERROR(__xludf.DUMMYFUNCTION("""COMPUTED_VALUE"""),"ages")</f>
        <v>ages</v>
      </c>
      <c r="Q516" s="6" t="str">
        <f>IFERROR(__xludf.DUMMYFUNCTION("""COMPUTED_VALUE"""),"purpose")</f>
        <v>purpose</v>
      </c>
      <c r="S516" s="6" t="str">
        <f>IFERROR(__xludf.DUMMYFUNCTION("""COMPUTED_VALUE"""),"wish")</f>
        <v>wish</v>
      </c>
    </row>
    <row r="517">
      <c r="D517" s="6"/>
      <c r="G517" s="6" t="str">
        <f>IFERROR(__xludf.DUMMYFUNCTION("""COMPUTED_VALUE"""),"broadcast")</f>
        <v>broadcast</v>
      </c>
      <c r="H517" s="6" t="str">
        <f>IFERROR(__xludf.DUMMYFUNCTION("""COMPUTED_VALUE"""),"rapid")</f>
        <v>rapid</v>
      </c>
      <c r="I517" s="6" t="str">
        <f>IFERROR(__xludf.DUMMYFUNCTION("""COMPUTED_VALUE"""),"christian")</f>
        <v>christian</v>
      </c>
      <c r="J517" s="6" t="str">
        <f>IFERROR(__xludf.DUMMYFUNCTION("""COMPUTED_VALUE"""),"evolution")</f>
        <v>evolution</v>
      </c>
      <c r="L517" s="6" t="str">
        <f>IFERROR(__xludf.DUMMYFUNCTION("""COMPUTED_VALUE"""),"economical")</f>
        <v>economical</v>
      </c>
      <c r="M517" s="6" t="str">
        <f>IFERROR(__xludf.DUMMYFUNCTION("""COMPUTED_VALUE"""),"determination")</f>
        <v>determination</v>
      </c>
      <c r="N517" s="6" t="str">
        <f>IFERROR(__xludf.DUMMYFUNCTION("""COMPUTED_VALUE"""),"confused")</f>
        <v>confused</v>
      </c>
      <c r="P517" s="6" t="str">
        <f>IFERROR(__xludf.DUMMYFUNCTION("""COMPUTED_VALUE"""),"adventure")</f>
        <v>adventure</v>
      </c>
      <c r="Q517" s="6" t="str">
        <f>IFERROR(__xludf.DUMMYFUNCTION("""COMPUTED_VALUE"""),"triumphant")</f>
        <v>triumphant</v>
      </c>
      <c r="S517" s="6" t="str">
        <f>IFERROR(__xludf.DUMMYFUNCTION("""COMPUTED_VALUE"""),"raw")</f>
        <v>raw</v>
      </c>
    </row>
    <row r="518">
      <c r="D518" s="6"/>
      <c r="G518" s="6" t="str">
        <f>IFERROR(__xludf.DUMMYFUNCTION("""COMPUTED_VALUE"""),"accomplishment")</f>
        <v>accomplishment</v>
      </c>
      <c r="H518" s="6" t="str">
        <f>IFERROR(__xludf.DUMMYFUNCTION("""COMPUTED_VALUE"""),"virtually")</f>
        <v>virtually</v>
      </c>
      <c r="I518" s="6" t="str">
        <f>IFERROR(__xludf.DUMMYFUNCTION("""COMPUTED_VALUE"""),"triangle")</f>
        <v>triangle</v>
      </c>
      <c r="J518" s="6" t="str">
        <f>IFERROR(__xludf.DUMMYFUNCTION("""COMPUTED_VALUE"""),"adolescents")</f>
        <v>adolescents</v>
      </c>
      <c r="L518" s="6" t="str">
        <f>IFERROR(__xludf.DUMMYFUNCTION("""COMPUTED_VALUE"""),"body")</f>
        <v>body</v>
      </c>
      <c r="M518" s="6" t="str">
        <f>IFERROR(__xludf.DUMMYFUNCTION("""COMPUTED_VALUE"""),"lies")</f>
        <v>lies</v>
      </c>
      <c r="N518" s="6" t="str">
        <f>IFERROR(__xludf.DUMMYFUNCTION("""COMPUTED_VALUE"""),"relate")</f>
        <v>relate</v>
      </c>
      <c r="P518" s="6" t="str">
        <f>IFERROR(__xludf.DUMMYFUNCTION("""COMPUTED_VALUE"""),"documentary")</f>
        <v>documentary</v>
      </c>
      <c r="Q518" s="6" t="str">
        <f>IFERROR(__xludf.DUMMYFUNCTION("""COMPUTED_VALUE"""),"wry")</f>
        <v>wry</v>
      </c>
      <c r="S518" s="6" t="str">
        <f>IFERROR(__xludf.DUMMYFUNCTION("""COMPUTED_VALUE"""),"tale")</f>
        <v>tale</v>
      </c>
    </row>
    <row r="519">
      <c r="D519" s="6"/>
      <c r="G519" s="6" t="str">
        <f>IFERROR(__xludf.DUMMYFUNCTION("""COMPUTED_VALUE"""),"successor")</f>
        <v>successor</v>
      </c>
      <c r="H519" s="6" t="str">
        <f>IFERROR(__xludf.DUMMYFUNCTION("""COMPUTED_VALUE"""),"clever")</f>
        <v>clever</v>
      </c>
      <c r="I519" s="6" t="str">
        <f>IFERROR(__xludf.DUMMYFUNCTION("""COMPUTED_VALUE"""),"leon")</f>
        <v>leon</v>
      </c>
      <c r="J519" s="6" t="str">
        <f>IFERROR(__xludf.DUMMYFUNCTION("""COMPUTED_VALUE"""),"tired")</f>
        <v>tired</v>
      </c>
      <c r="L519" s="6" t="str">
        <f>IFERROR(__xludf.DUMMYFUNCTION("""COMPUTED_VALUE"""),"land")</f>
        <v>land</v>
      </c>
      <c r="M519" s="6" t="str">
        <f>IFERROR(__xludf.DUMMYFUNCTION("""COMPUTED_VALUE"""),"minority")</f>
        <v>minority</v>
      </c>
      <c r="N519" s="6" t="str">
        <f>IFERROR(__xludf.DUMMYFUNCTION("""COMPUTED_VALUE"""),"terrorist")</f>
        <v>terrorist</v>
      </c>
      <c r="P519" s="6" t="str">
        <f>IFERROR(__xludf.DUMMYFUNCTION("""COMPUTED_VALUE"""),"edge")</f>
        <v>edge</v>
      </c>
      <c r="Q519" s="6" t="str">
        <f>IFERROR(__xludf.DUMMYFUNCTION("""COMPUTED_VALUE"""),"plots")</f>
        <v>plots</v>
      </c>
      <c r="S519" s="6" t="str">
        <f>IFERROR(__xludf.DUMMYFUNCTION("""COMPUTED_VALUE"""),"shoulders")</f>
        <v>shoulders</v>
      </c>
    </row>
    <row r="520">
      <c r="D520" s="6"/>
      <c r="G520" s="6" t="str">
        <f>IFERROR(__xludf.DUMMYFUNCTION("""COMPUTED_VALUE"""),"volatile")</f>
        <v>volatile</v>
      </c>
      <c r="H520" s="6" t="str">
        <f>IFERROR(__xludf.DUMMYFUNCTION("""COMPUTED_VALUE"""),"plunging")</f>
        <v>plunging</v>
      </c>
      <c r="I520" s="6" t="str">
        <f>IFERROR(__xludf.DUMMYFUNCTION("""COMPUTED_VALUE"""),"equivalent")</f>
        <v>equivalent</v>
      </c>
      <c r="J520" s="6" t="str">
        <f>IFERROR(__xludf.DUMMYFUNCTION("""COMPUTED_VALUE"""),"scrutiny")</f>
        <v>scrutiny</v>
      </c>
      <c r="L520" s="6" t="str">
        <f>IFERROR(__xludf.DUMMYFUNCTION("""COMPUTED_VALUE"""),"counterparts")</f>
        <v>counterparts</v>
      </c>
      <c r="M520" s="6" t="str">
        <f>IFERROR(__xludf.DUMMYFUNCTION("""COMPUTED_VALUE"""),"lift")</f>
        <v>lift</v>
      </c>
      <c r="N520" s="6" t="str">
        <f>IFERROR(__xludf.DUMMYFUNCTION("""COMPUTED_VALUE"""),"chuckles")</f>
        <v>chuckles</v>
      </c>
      <c r="P520" s="6" t="str">
        <f>IFERROR(__xludf.DUMMYFUNCTION("""COMPUTED_VALUE"""),"courage")</f>
        <v>courage</v>
      </c>
      <c r="Q520" s="6" t="str">
        <f>IFERROR(__xludf.DUMMYFUNCTION("""COMPUTED_VALUE"""),"sentimental")</f>
        <v>sentimental</v>
      </c>
      <c r="S520" s="6" t="str">
        <f>IFERROR(__xludf.DUMMYFUNCTION("""COMPUTED_VALUE"""),"broad")</f>
        <v>broad</v>
      </c>
    </row>
    <row r="521">
      <c r="D521" s="6"/>
      <c r="G521" s="6" t="str">
        <f>IFERROR(__xludf.DUMMYFUNCTION("""COMPUTED_VALUE"""),"transformed")</f>
        <v>transformed</v>
      </c>
      <c r="H521" s="6" t="str">
        <f>IFERROR(__xludf.DUMMYFUNCTION("""COMPUTED_VALUE"""),"intense")</f>
        <v>intense</v>
      </c>
      <c r="I521" s="6" t="str">
        <f>IFERROR(__xludf.DUMMYFUNCTION("""COMPUTED_VALUE"""),"secrets")</f>
        <v>secrets</v>
      </c>
      <c r="J521" s="6" t="str">
        <f>IFERROR(__xludf.DUMMYFUNCTION("""COMPUTED_VALUE"""),"radiant")</f>
        <v>radiant</v>
      </c>
      <c r="L521" s="6" t="str">
        <f>IFERROR(__xludf.DUMMYFUNCTION("""COMPUTED_VALUE"""),"lets")</f>
        <v>lets</v>
      </c>
      <c r="M521" s="6" t="str">
        <f>IFERROR(__xludf.DUMMYFUNCTION("""COMPUTED_VALUE"""),"oh")</f>
        <v>oh</v>
      </c>
      <c r="N521" s="6" t="str">
        <f>IFERROR(__xludf.DUMMYFUNCTION("""COMPUTED_VALUE"""),"stylized")</f>
        <v>stylized</v>
      </c>
      <c r="P521" s="6" t="str">
        <f>IFERROR(__xludf.DUMMYFUNCTION("""COMPUTED_VALUE"""),"top")</f>
        <v>top</v>
      </c>
      <c r="Q521" s="6" t="str">
        <f>IFERROR(__xludf.DUMMYFUNCTION("""COMPUTED_VALUE"""),"plotted")</f>
        <v>plotted</v>
      </c>
      <c r="S521" s="6" t="str">
        <f>IFERROR(__xludf.DUMMYFUNCTION("""COMPUTED_VALUE"""),"report")</f>
        <v>report</v>
      </c>
    </row>
    <row r="522">
      <c r="D522" s="6"/>
      <c r="G522" s="6" t="str">
        <f>IFERROR(__xludf.DUMMYFUNCTION("""COMPUTED_VALUE"""),"cartoon")</f>
        <v>cartoon</v>
      </c>
      <c r="H522" s="6" t="str">
        <f>IFERROR(__xludf.DUMMYFUNCTION("""COMPUTED_VALUE"""),"faithful")</f>
        <v>faithful</v>
      </c>
      <c r="I522" s="6" t="str">
        <f>IFERROR(__xludf.DUMMYFUNCTION("""COMPUTED_VALUE"""),"sexy")</f>
        <v>sexy</v>
      </c>
      <c r="J522" s="6" t="str">
        <f>IFERROR(__xludf.DUMMYFUNCTION("""COMPUTED_VALUE"""),"kennedy")</f>
        <v>kennedy</v>
      </c>
      <c r="L522" s="6" t="str">
        <f>IFERROR(__xludf.DUMMYFUNCTION("""COMPUTED_VALUE"""),"raises")</f>
        <v>raises</v>
      </c>
      <c r="M522" s="6" t="str">
        <f>IFERROR(__xludf.DUMMYFUNCTION("""COMPUTED_VALUE"""),"drops")</f>
        <v>drops</v>
      </c>
      <c r="N522" s="6" t="str">
        <f>IFERROR(__xludf.DUMMYFUNCTION("""COMPUTED_VALUE"""),"rural")</f>
        <v>rural</v>
      </c>
      <c r="P522" s="6" t="str">
        <f>IFERROR(__xludf.DUMMYFUNCTION("""COMPUTED_VALUE"""),"graduated")</f>
        <v>graduated</v>
      </c>
      <c r="Q522" s="6" t="str">
        <f>IFERROR(__xludf.DUMMYFUNCTION("""COMPUTED_VALUE"""),"drown")</f>
        <v>drown</v>
      </c>
      <c r="S522" s="6" t="str">
        <f>IFERROR(__xludf.DUMMYFUNCTION("""COMPUTED_VALUE"""),"abuse")</f>
        <v>abuse</v>
      </c>
    </row>
    <row r="523">
      <c r="D523" s="6"/>
      <c r="G523" s="6" t="str">
        <f>IFERROR(__xludf.DUMMYFUNCTION("""COMPUTED_VALUE"""),"unconventional")</f>
        <v>unconventional</v>
      </c>
      <c r="H523" s="6" t="str">
        <f>IFERROR(__xludf.DUMMYFUNCTION("""COMPUTED_VALUE"""),"exaggerated")</f>
        <v>exaggerated</v>
      </c>
      <c r="I523" s="6" t="str">
        <f>IFERROR(__xludf.DUMMYFUNCTION("""COMPUTED_VALUE"""),"magnetic")</f>
        <v>magnetic</v>
      </c>
      <c r="J523" s="6" t="str">
        <f>IFERROR(__xludf.DUMMYFUNCTION("""COMPUTED_VALUE"""),"speculation")</f>
        <v>speculation</v>
      </c>
      <c r="L523" s="6" t="str">
        <f>IFERROR(__xludf.DUMMYFUNCTION("""COMPUTED_VALUE"""),"delivering")</f>
        <v>delivering</v>
      </c>
      <c r="M523" s="6" t="str">
        <f>IFERROR(__xludf.DUMMYFUNCTION("""COMPUTED_VALUE"""),"burns")</f>
        <v>burns</v>
      </c>
      <c r="N523" s="6" t="str">
        <f>IFERROR(__xludf.DUMMYFUNCTION("""COMPUTED_VALUE"""),"possibly")</f>
        <v>possibly</v>
      </c>
      <c r="P523" s="6" t="str">
        <f>IFERROR(__xludf.DUMMYFUNCTION("""COMPUTED_VALUE"""),"intellectual")</f>
        <v>intellectual</v>
      </c>
      <c r="Q523" s="6" t="str">
        <f>IFERROR(__xludf.DUMMYFUNCTION("""COMPUTED_VALUE"""),"bombs")</f>
        <v>bombs</v>
      </c>
      <c r="S523" s="6" t="str">
        <f>IFERROR(__xludf.DUMMYFUNCTION("""COMPUTED_VALUE"""),"fake")</f>
        <v>fake</v>
      </c>
    </row>
    <row r="524">
      <c r="D524" s="6"/>
      <c r="G524" s="6" t="str">
        <f>IFERROR(__xludf.DUMMYFUNCTION("""COMPUTED_VALUE"""),"racial")</f>
        <v>racial</v>
      </c>
      <c r="H524" s="6" t="str">
        <f>IFERROR(__xludf.DUMMYFUNCTION("""COMPUTED_VALUE"""),"yarn")</f>
        <v>yarn</v>
      </c>
      <c r="I524" s="6" t="str">
        <f>IFERROR(__xludf.DUMMYFUNCTION("""COMPUTED_VALUE"""),"legacy")</f>
        <v>legacy</v>
      </c>
      <c r="J524" s="6" t="str">
        <f>IFERROR(__xludf.DUMMYFUNCTION("""COMPUTED_VALUE"""),"soundtrack")</f>
        <v>soundtrack</v>
      </c>
      <c r="L524" s="6" t="str">
        <f>IFERROR(__xludf.DUMMYFUNCTION("""COMPUTED_VALUE"""),"elusive")</f>
        <v>elusive</v>
      </c>
      <c r="M524" s="6" t="str">
        <f>IFERROR(__xludf.DUMMYFUNCTION("""COMPUTED_VALUE"""),"globe")</f>
        <v>globe</v>
      </c>
      <c r="N524" s="6" t="str">
        <f>IFERROR(__xludf.DUMMYFUNCTION("""COMPUTED_VALUE"""),"aspirations")</f>
        <v>aspirations</v>
      </c>
      <c r="P524" s="6" t="str">
        <f>IFERROR(__xludf.DUMMYFUNCTION("""COMPUTED_VALUE"""),"test")</f>
        <v>test</v>
      </c>
      <c r="Q524" s="6" t="str">
        <f>IFERROR(__xludf.DUMMYFUNCTION("""COMPUTED_VALUE"""),"surface")</f>
        <v>surface</v>
      </c>
      <c r="S524" s="6" t="str">
        <f>IFERROR(__xludf.DUMMYFUNCTION("""COMPUTED_VALUE"""),"israeli")</f>
        <v>israeli</v>
      </c>
    </row>
    <row r="525">
      <c r="D525" s="6"/>
      <c r="G525" s="6" t="str">
        <f>IFERROR(__xludf.DUMMYFUNCTION("""COMPUTED_VALUE"""),"harrison")</f>
        <v>harrison</v>
      </c>
      <c r="H525" s="6" t="str">
        <f>IFERROR(__xludf.DUMMYFUNCTION("""COMPUTED_VALUE"""),"punishment")</f>
        <v>punishment</v>
      </c>
      <c r="I525" s="6" t="str">
        <f>IFERROR(__xludf.DUMMYFUNCTION("""COMPUTED_VALUE"""),"evil")</f>
        <v>evil</v>
      </c>
      <c r="J525" s="6">
        <f>IFERROR(__xludf.DUMMYFUNCTION("""COMPUTED_VALUE"""),20.0)</f>
        <v>20</v>
      </c>
      <c r="L525" s="6" t="str">
        <f>IFERROR(__xludf.DUMMYFUNCTION("""COMPUTED_VALUE"""),"scares")</f>
        <v>scares</v>
      </c>
      <c r="M525" s="6" t="str">
        <f>IFERROR(__xludf.DUMMYFUNCTION("""COMPUTED_VALUE"""),"variations")</f>
        <v>variations</v>
      </c>
      <c r="N525" s="6" t="str">
        <f>IFERROR(__xludf.DUMMYFUNCTION("""COMPUTED_VALUE"""),"underlying")</f>
        <v>underlying</v>
      </c>
      <c r="P525" s="6" t="str">
        <f>IFERROR(__xludf.DUMMYFUNCTION("""COMPUTED_VALUE"""),"observations")</f>
        <v>observations</v>
      </c>
      <c r="Q525" s="6" t="str">
        <f>IFERROR(__xludf.DUMMYFUNCTION("""COMPUTED_VALUE"""),"stupidity")</f>
        <v>stupidity</v>
      </c>
      <c r="S525" s="6" t="str">
        <f>IFERROR(__xludf.DUMMYFUNCTION("""COMPUTED_VALUE"""),"palestinian")</f>
        <v>palestinian</v>
      </c>
    </row>
    <row r="526">
      <c r="D526" s="6"/>
      <c r="G526" s="6" t="str">
        <f>IFERROR(__xludf.DUMMYFUNCTION("""COMPUTED_VALUE"""),"engages")</f>
        <v>engages</v>
      </c>
      <c r="H526" s="6" t="str">
        <f>IFERROR(__xludf.DUMMYFUNCTION("""COMPUTED_VALUE"""),"innocence")</f>
        <v>innocence</v>
      </c>
      <c r="I526" s="6" t="str">
        <f>IFERROR(__xludf.DUMMYFUNCTION("""COMPUTED_VALUE"""),"trees")</f>
        <v>trees</v>
      </c>
      <c r="J526" s="6" t="str">
        <f>IFERROR(__xludf.DUMMYFUNCTION("""COMPUTED_VALUE"""),"layers")</f>
        <v>layers</v>
      </c>
      <c r="L526" s="6" t="str">
        <f>IFERROR(__xludf.DUMMYFUNCTION("""COMPUTED_VALUE"""),"hook")</f>
        <v>hook</v>
      </c>
      <c r="M526" s="6" t="str">
        <f>IFERROR(__xludf.DUMMYFUNCTION("""COMPUTED_VALUE"""),"catholic")</f>
        <v>catholic</v>
      </c>
      <c r="N526" s="6" t="str">
        <f>IFERROR(__xludf.DUMMYFUNCTION("""COMPUTED_VALUE"""),"horizons")</f>
        <v>horizons</v>
      </c>
      <c r="P526" s="6" t="str">
        <f>IFERROR(__xludf.DUMMYFUNCTION("""COMPUTED_VALUE"""),"filled")</f>
        <v>filled</v>
      </c>
      <c r="Q526" s="6" t="str">
        <f>IFERROR(__xludf.DUMMYFUNCTION("""COMPUTED_VALUE"""),"machine")</f>
        <v>machine</v>
      </c>
      <c r="S526" s="6" t="str">
        <f>IFERROR(__xludf.DUMMYFUNCTION("""COMPUTED_VALUE"""),"strong")</f>
        <v>strong</v>
      </c>
    </row>
    <row r="527">
      <c r="D527" s="6"/>
      <c r="G527" s="6" t="str">
        <f>IFERROR(__xludf.DUMMYFUNCTION("""COMPUTED_VALUE"""),"collateral")</f>
        <v>collateral</v>
      </c>
      <c r="H527" s="6" t="str">
        <f>IFERROR(__xludf.DUMMYFUNCTION("""COMPUTED_VALUE"""),"tackles")</f>
        <v>tackles</v>
      </c>
      <c r="I527" s="6" t="str">
        <f>IFERROR(__xludf.DUMMYFUNCTION("""COMPUTED_VALUE"""),"suitable")</f>
        <v>suitable</v>
      </c>
      <c r="J527" s="6" t="str">
        <f>IFERROR(__xludf.DUMMYFUNCTION("""COMPUTED_VALUE"""),"deadly")</f>
        <v>deadly</v>
      </c>
      <c r="L527" s="6" t="str">
        <f>IFERROR(__xludf.DUMMYFUNCTION("""COMPUTED_VALUE"""),"imagery")</f>
        <v>imagery</v>
      </c>
      <c r="M527" s="6" t="str">
        <f>IFERROR(__xludf.DUMMYFUNCTION("""COMPUTED_VALUE"""),"tenth")</f>
        <v>tenth</v>
      </c>
      <c r="N527" s="6" t="str">
        <f>IFERROR(__xludf.DUMMYFUNCTION("""COMPUTED_VALUE"""),"titled")</f>
        <v>titled</v>
      </c>
      <c r="P527" s="6" t="str">
        <f>IFERROR(__xludf.DUMMYFUNCTION("""COMPUTED_VALUE"""),"ill")</f>
        <v>ill</v>
      </c>
      <c r="Q527" s="6" t="str">
        <f>IFERROR(__xludf.DUMMYFUNCTION("""COMPUTED_VALUE"""),"complexity")</f>
        <v>complexity</v>
      </c>
      <c r="S527" s="6" t="str">
        <f>IFERROR(__xludf.DUMMYFUNCTION("""COMPUTED_VALUE"""),"fire")</f>
        <v>fire</v>
      </c>
    </row>
    <row r="528">
      <c r="D528" s="6"/>
      <c r="G528" s="6" t="str">
        <f>IFERROR(__xludf.DUMMYFUNCTION("""COMPUTED_VALUE"""),"grasp")</f>
        <v>grasp</v>
      </c>
      <c r="H528" s="6" t="str">
        <f>IFERROR(__xludf.DUMMYFUNCTION("""COMPUTED_VALUE"""),"grotesque")</f>
        <v>grotesque</v>
      </c>
      <c r="I528" s="6" t="str">
        <f>IFERROR(__xludf.DUMMYFUNCTION("""COMPUTED_VALUE"""),"magic")</f>
        <v>magic</v>
      </c>
      <c r="J528" s="6" t="str">
        <f>IFERROR(__xludf.DUMMYFUNCTION("""COMPUTED_VALUE"""),"frequently")</f>
        <v>frequently</v>
      </c>
      <c r="L528" s="6" t="str">
        <f>IFERROR(__xludf.DUMMYFUNCTION("""COMPUTED_VALUE"""),"suited")</f>
        <v>suited</v>
      </c>
      <c r="M528" s="6" t="str">
        <f>IFERROR(__xludf.DUMMYFUNCTION("""COMPUTED_VALUE"""),"inhabitants")</f>
        <v>inhabitants</v>
      </c>
      <c r="N528" s="6" t="str">
        <f>IFERROR(__xludf.DUMMYFUNCTION("""COMPUTED_VALUE"""),"significance")</f>
        <v>significance</v>
      </c>
      <c r="P528" s="6" t="str">
        <f>IFERROR(__xludf.DUMMYFUNCTION("""COMPUTED_VALUE"""),"bore")</f>
        <v>bore</v>
      </c>
      <c r="Q528" s="6" t="str">
        <f>IFERROR(__xludf.DUMMYFUNCTION("""COMPUTED_VALUE"""),"dramatic")</f>
        <v>dramatic</v>
      </c>
      <c r="S528" s="6" t="str">
        <f>IFERROR(__xludf.DUMMYFUNCTION("""COMPUTED_VALUE"""),"rodriguez")</f>
        <v>rodriguez</v>
      </c>
    </row>
    <row r="529">
      <c r="D529" s="6"/>
      <c r="G529" s="6" t="str">
        <f>IFERROR(__xludf.DUMMYFUNCTION("""COMPUTED_VALUE"""),"higher")</f>
        <v>higher</v>
      </c>
      <c r="H529" s="6" t="str">
        <f>IFERROR(__xludf.DUMMYFUNCTION("""COMPUTED_VALUE"""),"kwan")</f>
        <v>kwan</v>
      </c>
      <c r="I529" s="6" t="str">
        <f>IFERROR(__xludf.DUMMYFUNCTION("""COMPUTED_VALUE"""),"innovation")</f>
        <v>innovation</v>
      </c>
      <c r="J529" s="6" t="str">
        <f>IFERROR(__xludf.DUMMYFUNCTION("""COMPUTED_VALUE"""),"chords")</f>
        <v>chords</v>
      </c>
      <c r="L529" s="6" t="str">
        <f>IFERROR(__xludf.DUMMYFUNCTION("""COMPUTED_VALUE"""),"shimmering")</f>
        <v>shimmering</v>
      </c>
      <c r="M529" s="6" t="str">
        <f>IFERROR(__xludf.DUMMYFUNCTION("""COMPUTED_VALUE"""),"ties")</f>
        <v>ties</v>
      </c>
      <c r="N529" s="6" t="str">
        <f>IFERROR(__xludf.DUMMYFUNCTION("""COMPUTED_VALUE"""),"productions")</f>
        <v>productions</v>
      </c>
      <c r="P529" s="6" t="str">
        <f>IFERROR(__xludf.DUMMYFUNCTION("""COMPUTED_VALUE"""),"universal")</f>
        <v>universal</v>
      </c>
      <c r="Q529" s="6" t="str">
        <f>IFERROR(__xludf.DUMMYFUNCTION("""COMPUTED_VALUE"""),"darkness")</f>
        <v>darkness</v>
      </c>
      <c r="S529" s="6" t="str">
        <f>IFERROR(__xludf.DUMMYFUNCTION("""COMPUTED_VALUE"""),"move")</f>
        <v>move</v>
      </c>
    </row>
    <row r="530">
      <c r="D530" s="6"/>
      <c r="G530" s="6" t="str">
        <f>IFERROR(__xludf.DUMMYFUNCTION("""COMPUTED_VALUE"""),"trapped")</f>
        <v>trapped</v>
      </c>
      <c r="H530" s="6" t="str">
        <f>IFERROR(__xludf.DUMMYFUNCTION("""COMPUTED_VALUE"""),"stanley")</f>
        <v>stanley</v>
      </c>
      <c r="I530" s="6" t="str">
        <f>IFERROR(__xludf.DUMMYFUNCTION("""COMPUTED_VALUE"""),"notice")</f>
        <v>notice</v>
      </c>
      <c r="J530" s="6" t="str">
        <f>IFERROR(__xludf.DUMMYFUNCTION("""COMPUTED_VALUE"""),"impressive")</f>
        <v>impressive</v>
      </c>
      <c r="L530" s="6" t="str">
        <f>IFERROR(__xludf.DUMMYFUNCTION("""COMPUTED_VALUE"""),"adolescent")</f>
        <v>adolescent</v>
      </c>
      <c r="M530" s="6" t="str">
        <f>IFERROR(__xludf.DUMMYFUNCTION("""COMPUTED_VALUE"""),"cultures")</f>
        <v>cultures</v>
      </c>
      <c r="N530" s="6" t="str">
        <f>IFERROR(__xludf.DUMMYFUNCTION("""COMPUTED_VALUE"""),"meaningless")</f>
        <v>meaningless</v>
      </c>
      <c r="P530" s="6" t="str">
        <f>IFERROR(__xludf.DUMMYFUNCTION("""COMPUTED_VALUE"""),"involving")</f>
        <v>involving</v>
      </c>
      <c r="Q530" s="6" t="str">
        <f>IFERROR(__xludf.DUMMYFUNCTION("""COMPUTED_VALUE"""),"loud")</f>
        <v>loud</v>
      </c>
      <c r="S530" s="6" t="str">
        <f>IFERROR(__xludf.DUMMYFUNCTION("""COMPUTED_VALUE"""),"purpose")</f>
        <v>purpose</v>
      </c>
    </row>
    <row r="531">
      <c r="D531" s="6"/>
      <c r="G531" s="6" t="str">
        <f>IFERROR(__xludf.DUMMYFUNCTION("""COMPUTED_VALUE"""),"explores")</f>
        <v>explores</v>
      </c>
      <c r="H531" s="6" t="str">
        <f>IFERROR(__xludf.DUMMYFUNCTION("""COMPUTED_VALUE"""),"wore")</f>
        <v>wore</v>
      </c>
      <c r="I531" s="6" t="str">
        <f>IFERROR(__xludf.DUMMYFUNCTION("""COMPUTED_VALUE"""),"violent")</f>
        <v>violent</v>
      </c>
      <c r="J531" s="6" t="str">
        <f>IFERROR(__xludf.DUMMYFUNCTION("""COMPUTED_VALUE"""),"biography")</f>
        <v>biography</v>
      </c>
      <c r="L531" s="6" t="str">
        <f>IFERROR(__xludf.DUMMYFUNCTION("""COMPUTED_VALUE"""),"visuals")</f>
        <v>visuals</v>
      </c>
      <c r="M531" s="6" t="str">
        <f>IFERROR(__xludf.DUMMYFUNCTION("""COMPUTED_VALUE"""),"stripped")</f>
        <v>stripped</v>
      </c>
      <c r="N531" s="6" t="str">
        <f>IFERROR(__xludf.DUMMYFUNCTION("""COMPUTED_VALUE"""),"delhi")</f>
        <v>delhi</v>
      </c>
      <c r="P531" s="6" t="str">
        <f>IFERROR(__xludf.DUMMYFUNCTION("""COMPUTED_VALUE"""),"liberal")</f>
        <v>liberal</v>
      </c>
      <c r="Q531" s="6" t="str">
        <f>IFERROR(__xludf.DUMMYFUNCTION("""COMPUTED_VALUE"""),"predecessor")</f>
        <v>predecessor</v>
      </c>
      <c r="S531" s="6" t="str">
        <f>IFERROR(__xludf.DUMMYFUNCTION("""COMPUTED_VALUE"""),"christmas")</f>
        <v>christmas</v>
      </c>
    </row>
    <row r="532">
      <c r="D532" s="6"/>
      <c r="G532" s="6" t="str">
        <f>IFERROR(__xludf.DUMMYFUNCTION("""COMPUTED_VALUE"""),"exploit")</f>
        <v>exploit</v>
      </c>
      <c r="H532" s="6" t="str">
        <f>IFERROR(__xludf.DUMMYFUNCTION("""COMPUTED_VALUE"""),"clive")</f>
        <v>clive</v>
      </c>
      <c r="I532" s="6" t="str">
        <f>IFERROR(__xludf.DUMMYFUNCTION("""COMPUTED_VALUE"""),"crowd")</f>
        <v>crowd</v>
      </c>
      <c r="J532" s="6" t="str">
        <f>IFERROR(__xludf.DUMMYFUNCTION("""COMPUTED_VALUE"""),"narrator")</f>
        <v>narrator</v>
      </c>
      <c r="L532" s="6" t="str">
        <f>IFERROR(__xludf.DUMMYFUNCTION("""COMPUTED_VALUE"""),"thinks")</f>
        <v>thinks</v>
      </c>
      <c r="M532" s="6" t="str">
        <f>IFERROR(__xludf.DUMMYFUNCTION("""COMPUTED_VALUE"""),"bet")</f>
        <v>bet</v>
      </c>
      <c r="N532" s="6" t="str">
        <f>IFERROR(__xludf.DUMMYFUNCTION("""COMPUTED_VALUE"""),"loser")</f>
        <v>loser</v>
      </c>
      <c r="P532" s="6" t="str">
        <f>IFERROR(__xludf.DUMMYFUNCTION("""COMPUTED_VALUE"""),"sequence")</f>
        <v>sequence</v>
      </c>
      <c r="Q532" s="6" t="str">
        <f>IFERROR(__xludf.DUMMYFUNCTION("""COMPUTED_VALUE"""),"sets")</f>
        <v>sets</v>
      </c>
      <c r="S532" s="6" t="str">
        <f>IFERROR(__xludf.DUMMYFUNCTION("""COMPUTED_VALUE"""),"reality")</f>
        <v>reality</v>
      </c>
    </row>
    <row r="533">
      <c r="D533" s="6"/>
      <c r="G533" s="6" t="str">
        <f>IFERROR(__xludf.DUMMYFUNCTION("""COMPUTED_VALUE"""),"holocaust")</f>
        <v>holocaust</v>
      </c>
      <c r="H533" s="6" t="str">
        <f>IFERROR(__xludf.DUMMYFUNCTION("""COMPUTED_VALUE"""),"barker")</f>
        <v>barker</v>
      </c>
      <c r="I533" s="6" t="str">
        <f>IFERROR(__xludf.DUMMYFUNCTION("""COMPUTED_VALUE"""),"belongs")</f>
        <v>belongs</v>
      </c>
      <c r="J533" s="6" t="str">
        <f>IFERROR(__xludf.DUMMYFUNCTION("""COMPUTED_VALUE"""),"task")</f>
        <v>task</v>
      </c>
      <c r="L533" s="6" t="str">
        <f>IFERROR(__xludf.DUMMYFUNCTION("""COMPUTED_VALUE"""),"pity")</f>
        <v>pity</v>
      </c>
      <c r="M533" s="6" t="str">
        <f>IFERROR(__xludf.DUMMYFUNCTION("""COMPUTED_VALUE"""),"decide")</f>
        <v>decide</v>
      </c>
      <c r="N533" s="6" t="str">
        <f>IFERROR(__xludf.DUMMYFUNCTION("""COMPUTED_VALUE"""),"eponymous")</f>
        <v>eponymous</v>
      </c>
      <c r="P533" s="6" t="str">
        <f>IFERROR(__xludf.DUMMYFUNCTION("""COMPUTED_VALUE"""),"edited")</f>
        <v>edited</v>
      </c>
      <c r="Q533" s="6" t="str">
        <f>IFERROR(__xludf.DUMMYFUNCTION("""COMPUTED_VALUE"""),"unexpectedly")</f>
        <v>unexpectedly</v>
      </c>
      <c r="S533" s="6" t="str">
        <f>IFERROR(__xludf.DUMMYFUNCTION("""COMPUTED_VALUE"""),"various")</f>
        <v>various</v>
      </c>
    </row>
    <row r="534">
      <c r="D534" s="6"/>
      <c r="G534" s="6" t="str">
        <f>IFERROR(__xludf.DUMMYFUNCTION("""COMPUTED_VALUE"""),"streamed")</f>
        <v>streamed</v>
      </c>
      <c r="H534" s="6" t="str">
        <f>IFERROR(__xludf.DUMMYFUNCTION("""COMPUTED_VALUE"""),"recognizable")</f>
        <v>recognizable</v>
      </c>
      <c r="I534" s="6" t="str">
        <f>IFERROR(__xludf.DUMMYFUNCTION("""COMPUTED_VALUE"""),"country")</f>
        <v>country</v>
      </c>
      <c r="J534" s="6" t="str">
        <f>IFERROR(__xludf.DUMMYFUNCTION("""COMPUTED_VALUE"""),"heroine")</f>
        <v>heroine</v>
      </c>
      <c r="L534" s="6" t="str">
        <f>IFERROR(__xludf.DUMMYFUNCTION("""COMPUTED_VALUE"""),"positively")</f>
        <v>positively</v>
      </c>
      <c r="M534" s="6" t="str">
        <f>IFERROR(__xludf.DUMMYFUNCTION("""COMPUTED_VALUE"""),"arc")</f>
        <v>arc</v>
      </c>
      <c r="N534" s="6" t="str">
        <f>IFERROR(__xludf.DUMMYFUNCTION("""COMPUTED_VALUE"""),"primitive")</f>
        <v>primitive</v>
      </c>
      <c r="P534" s="6" t="str">
        <f>IFERROR(__xludf.DUMMYFUNCTION("""COMPUTED_VALUE"""),"badly")</f>
        <v>badly</v>
      </c>
      <c r="Q534" s="6" t="str">
        <f>IFERROR(__xludf.DUMMYFUNCTION("""COMPUTED_VALUE"""),"comedies")</f>
        <v>comedies</v>
      </c>
      <c r="S534" s="6" t="str">
        <f>IFERROR(__xludf.DUMMYFUNCTION("""COMPUTED_VALUE"""),"whatever")</f>
        <v>whatever</v>
      </c>
    </row>
    <row r="535">
      <c r="D535" s="6"/>
      <c r="G535" s="6" t="str">
        <f>IFERROR(__xludf.DUMMYFUNCTION("""COMPUTED_VALUE"""),"appearing")</f>
        <v>appearing</v>
      </c>
      <c r="H535" s="6" t="str">
        <f>IFERROR(__xludf.DUMMYFUNCTION("""COMPUTED_VALUE"""),"propelled")</f>
        <v>propelled</v>
      </c>
      <c r="I535" s="6" t="str">
        <f>IFERROR(__xludf.DUMMYFUNCTION("""COMPUTED_VALUE"""),"jacques")</f>
        <v>jacques</v>
      </c>
      <c r="J535" s="6" t="str">
        <f>IFERROR(__xludf.DUMMYFUNCTION("""COMPUTED_VALUE"""),"dramatically")</f>
        <v>dramatically</v>
      </c>
      <c r="L535" s="6" t="str">
        <f>IFERROR(__xludf.DUMMYFUNCTION("""COMPUTED_VALUE"""),"wears")</f>
        <v>wears</v>
      </c>
      <c r="M535" s="6" t="str">
        <f>IFERROR(__xludf.DUMMYFUNCTION("""COMPUTED_VALUE"""),"support")</f>
        <v>support</v>
      </c>
      <c r="N535" s="6" t="str">
        <f>IFERROR(__xludf.DUMMYFUNCTION("""COMPUTED_VALUE"""),"technique")</f>
        <v>technique</v>
      </c>
      <c r="P535" s="6" t="str">
        <f>IFERROR(__xludf.DUMMYFUNCTION("""COMPUTED_VALUE"""),"check")</f>
        <v>check</v>
      </c>
      <c r="Q535" s="6" t="str">
        <f>IFERROR(__xludf.DUMMYFUNCTION("""COMPUTED_VALUE"""),"enduring")</f>
        <v>enduring</v>
      </c>
      <c r="S535" s="6" t="str">
        <f>IFERROR(__xludf.DUMMYFUNCTION("""COMPUTED_VALUE"""),"wet")</f>
        <v>wet</v>
      </c>
    </row>
    <row r="536">
      <c r="D536" s="6"/>
      <c r="G536" s="6" t="str">
        <f>IFERROR(__xludf.DUMMYFUNCTION("""COMPUTED_VALUE"""),"chronicle")</f>
        <v>chronicle</v>
      </c>
      <c r="H536" s="6" t="str">
        <f>IFERROR(__xludf.DUMMYFUNCTION("""COMPUTED_VALUE"""),"spielberg")</f>
        <v>spielberg</v>
      </c>
      <c r="I536" s="6" t="str">
        <f>IFERROR(__xludf.DUMMYFUNCTION("""COMPUTED_VALUE"""),"bonds")</f>
        <v>bonds</v>
      </c>
      <c r="J536" s="6" t="str">
        <f>IFERROR(__xludf.DUMMYFUNCTION("""COMPUTED_VALUE"""),"side")</f>
        <v>side</v>
      </c>
      <c r="L536" s="6" t="str">
        <f>IFERROR(__xludf.DUMMYFUNCTION("""COMPUTED_VALUE"""),"intimacy")</f>
        <v>intimacy</v>
      </c>
      <c r="M536" s="6" t="str">
        <f>IFERROR(__xludf.DUMMYFUNCTION("""COMPUTED_VALUE"""),"goods")</f>
        <v>goods</v>
      </c>
      <c r="N536" s="6" t="str">
        <f>IFERROR(__xludf.DUMMYFUNCTION("""COMPUTED_VALUE"""),"prevalent")</f>
        <v>prevalent</v>
      </c>
      <c r="P536" s="6" t="str">
        <f>IFERROR(__xludf.DUMMYFUNCTION("""COMPUTED_VALUE"""),"instead")</f>
        <v>instead</v>
      </c>
      <c r="Q536" s="6" t="str">
        <f>IFERROR(__xludf.DUMMYFUNCTION("""COMPUTED_VALUE"""),"subjects")</f>
        <v>subjects</v>
      </c>
      <c r="S536" s="6" t="str">
        <f>IFERROR(__xludf.DUMMYFUNCTION("""COMPUTED_VALUE"""),"cry")</f>
        <v>cry</v>
      </c>
    </row>
    <row r="537">
      <c r="D537" s="6"/>
      <c r="G537" s="6" t="str">
        <f>IFERROR(__xludf.DUMMYFUNCTION("""COMPUTED_VALUE"""),"parker")</f>
        <v>parker</v>
      </c>
      <c r="H537" s="6" t="str">
        <f>IFERROR(__xludf.DUMMYFUNCTION("""COMPUTED_VALUE"""),"trademark")</f>
        <v>trademark</v>
      </c>
      <c r="I537" s="6" t="str">
        <f>IFERROR(__xludf.DUMMYFUNCTION("""COMPUTED_VALUE"""),"ended")</f>
        <v>ended</v>
      </c>
      <c r="J537" s="6" t="str">
        <f>IFERROR(__xludf.DUMMYFUNCTION("""COMPUTED_VALUE"""),"neither")</f>
        <v>neither</v>
      </c>
      <c r="L537" s="6" t="str">
        <f>IFERROR(__xludf.DUMMYFUNCTION("""COMPUTED_VALUE"""),"sentiments")</f>
        <v>sentiments</v>
      </c>
      <c r="M537" s="6" t="str">
        <f>IFERROR(__xludf.DUMMYFUNCTION("""COMPUTED_VALUE"""),"reid")</f>
        <v>reid</v>
      </c>
      <c r="N537" s="6" t="str">
        <f>IFERROR(__xludf.DUMMYFUNCTION("""COMPUTED_VALUE"""),"taylor")</f>
        <v>taylor</v>
      </c>
      <c r="P537" s="6" t="str">
        <f>IFERROR(__xludf.DUMMYFUNCTION("""COMPUTED_VALUE"""),"dvd")</f>
        <v>dvd</v>
      </c>
      <c r="Q537" s="6" t="str">
        <f>IFERROR(__xludf.DUMMYFUNCTION("""COMPUTED_VALUE"""),"flick")</f>
        <v>flick</v>
      </c>
      <c r="S537" s="6" t="str">
        <f>IFERROR(__xludf.DUMMYFUNCTION("""COMPUTED_VALUE"""),"future")</f>
        <v>future</v>
      </c>
    </row>
    <row r="538">
      <c r="D538" s="6"/>
      <c r="G538" s="6" t="str">
        <f>IFERROR(__xludf.DUMMYFUNCTION("""COMPUTED_VALUE"""),"adaptations")</f>
        <v>adaptations</v>
      </c>
      <c r="H538" s="6" t="str">
        <f>IFERROR(__xludf.DUMMYFUNCTION("""COMPUTED_VALUE"""),"revelations")</f>
        <v>revelations</v>
      </c>
      <c r="I538" s="6" t="str">
        <f>IFERROR(__xludf.DUMMYFUNCTION("""COMPUTED_VALUE"""),"governments")</f>
        <v>governments</v>
      </c>
      <c r="J538" s="6" t="str">
        <f>IFERROR(__xludf.DUMMYFUNCTION("""COMPUTED_VALUE"""),"provocative")</f>
        <v>provocative</v>
      </c>
      <c r="L538" s="6" t="str">
        <f>IFERROR(__xludf.DUMMYFUNCTION("""COMPUTED_VALUE"""),"alabama")</f>
        <v>alabama</v>
      </c>
      <c r="M538" s="6" t="str">
        <f>IFERROR(__xludf.DUMMYFUNCTION("""COMPUTED_VALUE"""),"stevens")</f>
        <v>stevens</v>
      </c>
      <c r="N538" s="6" t="str">
        <f>IFERROR(__xludf.DUMMYFUNCTION("""COMPUTED_VALUE"""),"harvard")</f>
        <v>harvard</v>
      </c>
      <c r="P538" s="6" t="str">
        <f>IFERROR(__xludf.DUMMYFUNCTION("""COMPUTED_VALUE"""),"ticket")</f>
        <v>ticket</v>
      </c>
      <c r="Q538" s="6" t="str">
        <f>IFERROR(__xludf.DUMMYFUNCTION("""COMPUTED_VALUE"""),"wan")</f>
        <v>wan</v>
      </c>
      <c r="S538" s="6" t="str">
        <f>IFERROR(__xludf.DUMMYFUNCTION("""COMPUTED_VALUE"""),"max")</f>
        <v>max</v>
      </c>
    </row>
    <row r="539">
      <c r="D539" s="6"/>
      <c r="G539" s="6" t="str">
        <f>IFERROR(__xludf.DUMMYFUNCTION("""COMPUTED_VALUE"""),"characterized")</f>
        <v>characterized</v>
      </c>
      <c r="H539" s="6" t="str">
        <f>IFERROR(__xludf.DUMMYFUNCTION("""COMPUTED_VALUE"""),"stylistic")</f>
        <v>stylistic</v>
      </c>
      <c r="I539" s="6" t="str">
        <f>IFERROR(__xludf.DUMMYFUNCTION("""COMPUTED_VALUE"""),"reconstruction")</f>
        <v>reconstruction</v>
      </c>
      <c r="J539" s="6" t="str">
        <f>IFERROR(__xludf.DUMMYFUNCTION("""COMPUTED_VALUE"""),"longest")</f>
        <v>longest</v>
      </c>
      <c r="L539" s="6" t="str">
        <f>IFERROR(__xludf.DUMMYFUNCTION("""COMPUTED_VALUE"""),"form")</f>
        <v>form</v>
      </c>
      <c r="M539" s="6" t="str">
        <f>IFERROR(__xludf.DUMMYFUNCTION("""COMPUTED_VALUE"""),"ethan")</f>
        <v>ethan</v>
      </c>
      <c r="N539" s="6" t="str">
        <f>IFERROR(__xludf.DUMMYFUNCTION("""COMPUTED_VALUE"""),"encompasses")</f>
        <v>encompasses</v>
      </c>
      <c r="P539" s="6" t="str">
        <f>IFERROR(__xludf.DUMMYFUNCTION("""COMPUTED_VALUE"""),"smart")</f>
        <v>smart</v>
      </c>
      <c r="Q539" s="6" t="str">
        <f>IFERROR(__xludf.DUMMYFUNCTION("""COMPUTED_VALUE"""),"oddly")</f>
        <v>oddly</v>
      </c>
      <c r="S539" s="6" t="str">
        <f>IFERROR(__xludf.DUMMYFUNCTION("""COMPUTED_VALUE"""),"bombs")</f>
        <v>bombs</v>
      </c>
    </row>
    <row r="540">
      <c r="D540" s="6"/>
      <c r="G540" s="6" t="str">
        <f>IFERROR(__xludf.DUMMYFUNCTION("""COMPUTED_VALUE"""),"marquis")</f>
        <v>marquis</v>
      </c>
      <c r="H540" s="6" t="str">
        <f>IFERROR(__xludf.DUMMYFUNCTION("""COMPUTED_VALUE"""),"layered")</f>
        <v>layered</v>
      </c>
      <c r="I540" s="6" t="str">
        <f>IFERROR(__xludf.DUMMYFUNCTION("""COMPUTED_VALUE"""),"trade")</f>
        <v>trade</v>
      </c>
      <c r="J540" s="6" t="str">
        <f>IFERROR(__xludf.DUMMYFUNCTION("""COMPUTED_VALUE"""),"sharp")</f>
        <v>sharp</v>
      </c>
      <c r="L540" s="6" t="str">
        <f>IFERROR(__xludf.DUMMYFUNCTION("""COMPUTED_VALUE"""),"substantial")</f>
        <v>substantial</v>
      </c>
      <c r="M540" s="6" t="str">
        <f>IFERROR(__xludf.DUMMYFUNCTION("""COMPUTED_VALUE"""),"stuart")</f>
        <v>stuart</v>
      </c>
      <c r="N540" s="6" t="str">
        <f>IFERROR(__xludf.DUMMYFUNCTION("""COMPUTED_VALUE"""),"ritchie")</f>
        <v>ritchie</v>
      </c>
      <c r="P540" s="6" t="str">
        <f>IFERROR(__xludf.DUMMYFUNCTION("""COMPUTED_VALUE"""),"complicated")</f>
        <v>complicated</v>
      </c>
      <c r="Q540" s="6" t="str">
        <f>IFERROR(__xludf.DUMMYFUNCTION("""COMPUTED_VALUE"""),"sweet")</f>
        <v>sweet</v>
      </c>
      <c r="S540" s="6" t="str">
        <f>IFERROR(__xludf.DUMMYFUNCTION("""COMPUTED_VALUE"""),"surface")</f>
        <v>surface</v>
      </c>
    </row>
    <row r="541">
      <c r="D541" s="6"/>
      <c r="G541" s="6" t="str">
        <f>IFERROR(__xludf.DUMMYFUNCTION("""COMPUTED_VALUE"""),"menace")</f>
        <v>menace</v>
      </c>
      <c r="H541" s="6" t="str">
        <f>IFERROR(__xludf.DUMMYFUNCTION("""COMPUTED_VALUE"""),"daring")</f>
        <v>daring</v>
      </c>
      <c r="I541" s="6" t="str">
        <f>IFERROR(__xludf.DUMMYFUNCTION("""COMPUTED_VALUE"""),"episode")</f>
        <v>episode</v>
      </c>
      <c r="J541" s="6" t="str">
        <f>IFERROR(__xludf.DUMMYFUNCTION("""COMPUTED_VALUE"""),"discourse")</f>
        <v>discourse</v>
      </c>
      <c r="L541" s="6" t="str">
        <f>IFERROR(__xludf.DUMMYFUNCTION("""COMPUTED_VALUE"""),"oliver")</f>
        <v>oliver</v>
      </c>
      <c r="M541" s="6" t="str">
        <f>IFERROR(__xludf.DUMMYFUNCTION("""COMPUTED_VALUE"""),"creatures")</f>
        <v>creatures</v>
      </c>
      <c r="N541" s="6" t="str">
        <f>IFERROR(__xludf.DUMMYFUNCTION("""COMPUTED_VALUE"""),"inconsistent")</f>
        <v>inconsistent</v>
      </c>
      <c r="P541" s="6" t="str">
        <f>IFERROR(__xludf.DUMMYFUNCTION("""COMPUTED_VALUE"""),"context")</f>
        <v>context</v>
      </c>
      <c r="Q541" s="6" t="str">
        <f>IFERROR(__xludf.DUMMYFUNCTION("""COMPUTED_VALUE"""),"delight")</f>
        <v>delight</v>
      </c>
      <c r="S541" s="6" t="str">
        <f>IFERROR(__xludf.DUMMYFUNCTION("""COMPUTED_VALUE"""),"machine")</f>
        <v>machine</v>
      </c>
    </row>
    <row r="542">
      <c r="D542" s="6"/>
      <c r="G542" s="6" t="str">
        <f>IFERROR(__xludf.DUMMYFUNCTION("""COMPUTED_VALUE"""),"fingered")</f>
        <v>fingered</v>
      </c>
      <c r="H542" s="6" t="str">
        <f>IFERROR(__xludf.DUMMYFUNCTION("""COMPUTED_VALUE"""),"convey")</f>
        <v>convey</v>
      </c>
      <c r="I542" s="6" t="str">
        <f>IFERROR(__xludf.DUMMYFUNCTION("""COMPUTED_VALUE"""),"artificial")</f>
        <v>artificial</v>
      </c>
      <c r="J542" s="6" t="str">
        <f>IFERROR(__xludf.DUMMYFUNCTION("""COMPUTED_VALUE"""),"distinctive")</f>
        <v>distinctive</v>
      </c>
      <c r="L542" s="6" t="str">
        <f>IFERROR(__xludf.DUMMYFUNCTION("""COMPUTED_VALUE"""),"chemistry")</f>
        <v>chemistry</v>
      </c>
      <c r="M542" s="6" t="str">
        <f>IFERROR(__xludf.DUMMYFUNCTION("""COMPUTED_VALUE"""),"crisis")</f>
        <v>crisis</v>
      </c>
      <c r="N542" s="6" t="str">
        <f>IFERROR(__xludf.DUMMYFUNCTION("""COMPUTED_VALUE"""),"endurance")</f>
        <v>endurance</v>
      </c>
      <c r="P542" s="6" t="str">
        <f>IFERROR(__xludf.DUMMYFUNCTION("""COMPUTED_VALUE"""),"aware")</f>
        <v>aware</v>
      </c>
      <c r="Q542" s="6" t="str">
        <f>IFERROR(__xludf.DUMMYFUNCTION("""COMPUTED_VALUE"""),"harvesting")</f>
        <v>harvesting</v>
      </c>
      <c r="S542" s="6" t="str">
        <f>IFERROR(__xludf.DUMMYFUNCTION("""COMPUTED_VALUE"""),"familiar")</f>
        <v>familiar</v>
      </c>
    </row>
    <row r="543">
      <c r="D543" s="6"/>
      <c r="G543" s="6" t="str">
        <f>IFERROR(__xludf.DUMMYFUNCTION("""COMPUTED_VALUE"""),"characterization")</f>
        <v>characterization</v>
      </c>
      <c r="H543" s="6" t="str">
        <f>IFERROR(__xludf.DUMMYFUNCTION("""COMPUTED_VALUE"""),"spanning")</f>
        <v>spanning</v>
      </c>
      <c r="I543" s="6" t="str">
        <f>IFERROR(__xludf.DUMMYFUNCTION("""COMPUTED_VALUE"""),"demons")</f>
        <v>demons</v>
      </c>
      <c r="J543" s="6" t="str">
        <f>IFERROR(__xludf.DUMMYFUNCTION("""COMPUTED_VALUE"""),"demonstrate")</f>
        <v>demonstrate</v>
      </c>
      <c r="L543" s="6" t="str">
        <f>IFERROR(__xludf.DUMMYFUNCTION("""COMPUTED_VALUE"""),"dawn")</f>
        <v>dawn</v>
      </c>
      <c r="M543" s="6" t="str">
        <f>IFERROR(__xludf.DUMMYFUNCTION("""COMPUTED_VALUE"""),"describes")</f>
        <v>describes</v>
      </c>
      <c r="N543" s="6" t="str">
        <f>IFERROR(__xludf.DUMMYFUNCTION("""COMPUTED_VALUE"""),"ai")</f>
        <v>ai</v>
      </c>
      <c r="P543" s="6" t="str">
        <f>IFERROR(__xludf.DUMMYFUNCTION("""COMPUTED_VALUE"""),"ensemble")</f>
        <v>ensemble</v>
      </c>
      <c r="Q543" s="6" t="str">
        <f>IFERROR(__xludf.DUMMYFUNCTION("""COMPUTED_VALUE"""),"purposes")</f>
        <v>purposes</v>
      </c>
      <c r="S543" s="6" t="str">
        <f>IFERROR(__xludf.DUMMYFUNCTION("""COMPUTED_VALUE"""),"among")</f>
        <v>among</v>
      </c>
    </row>
    <row r="544">
      <c r="D544" s="6"/>
      <c r="G544" s="6" t="str">
        <f>IFERROR(__xludf.DUMMYFUNCTION("""COMPUTED_VALUE"""),"effectively")</f>
        <v>effectively</v>
      </c>
      <c r="H544" s="6" t="str">
        <f>IFERROR(__xludf.DUMMYFUNCTION("""COMPUTED_VALUE"""),"marina")</f>
        <v>marina</v>
      </c>
      <c r="I544" s="6" t="str">
        <f>IFERROR(__xludf.DUMMYFUNCTION("""COMPUTED_VALUE"""),"blank")</f>
        <v>blank</v>
      </c>
      <c r="J544" s="6" t="str">
        <f>IFERROR(__xludf.DUMMYFUNCTION("""COMPUTED_VALUE"""),"blown")</f>
        <v>blown</v>
      </c>
      <c r="L544" s="6" t="str">
        <f>IFERROR(__xludf.DUMMYFUNCTION("""COMPUTED_VALUE"""),"willis")</f>
        <v>willis</v>
      </c>
      <c r="M544" s="6" t="str">
        <f>IFERROR(__xludf.DUMMYFUNCTION("""COMPUTED_VALUE"""),"pocket")</f>
        <v>pocket</v>
      </c>
      <c r="N544" s="6" t="str">
        <f>IFERROR(__xludf.DUMMYFUNCTION("""COMPUTED_VALUE"""),"stretched")</f>
        <v>stretched</v>
      </c>
      <c r="P544" s="6" t="str">
        <f>IFERROR(__xludf.DUMMYFUNCTION("""COMPUTED_VALUE"""),"painful")</f>
        <v>painful</v>
      </c>
      <c r="Q544" s="6" t="str">
        <f>IFERROR(__xludf.DUMMYFUNCTION("""COMPUTED_VALUE"""),"beneath")</f>
        <v>beneath</v>
      </c>
      <c r="S544" s="6" t="str">
        <f>IFERROR(__xludf.DUMMYFUNCTION("""COMPUTED_VALUE"""),"means")</f>
        <v>means</v>
      </c>
    </row>
    <row r="545">
      <c r="D545" s="6"/>
      <c r="G545" s="6" t="str">
        <f>IFERROR(__xludf.DUMMYFUNCTION("""COMPUTED_VALUE"""),"chases")</f>
        <v>chases</v>
      </c>
      <c r="H545" s="6" t="str">
        <f>IFERROR(__xludf.DUMMYFUNCTION("""COMPUTED_VALUE"""),"holly")</f>
        <v>holly</v>
      </c>
      <c r="I545" s="6" t="str">
        <f>IFERROR(__xludf.DUMMYFUNCTION("""COMPUTED_VALUE"""),"flow")</f>
        <v>flow</v>
      </c>
      <c r="J545" s="6" t="str">
        <f>IFERROR(__xludf.DUMMYFUNCTION("""COMPUTED_VALUE"""),"aims")</f>
        <v>aims</v>
      </c>
      <c r="L545" s="6" t="str">
        <f>IFERROR(__xludf.DUMMYFUNCTION("""COMPUTED_VALUE"""),"illuminating")</f>
        <v>illuminating</v>
      </c>
      <c r="M545" s="6" t="str">
        <f>IFERROR(__xludf.DUMMYFUNCTION("""COMPUTED_VALUE"""),"controversial")</f>
        <v>controversial</v>
      </c>
      <c r="N545" s="6" t="str">
        <f>IFERROR(__xludf.DUMMYFUNCTION("""COMPUTED_VALUE"""),"brief")</f>
        <v>brief</v>
      </c>
      <c r="P545" s="6" t="str">
        <f>IFERROR(__xludf.DUMMYFUNCTION("""COMPUTED_VALUE"""),"american")</f>
        <v>american</v>
      </c>
      <c r="Q545" s="6" t="str">
        <f>IFERROR(__xludf.DUMMYFUNCTION("""COMPUTED_VALUE"""),"construct")</f>
        <v>construct</v>
      </c>
      <c r="S545" s="6" t="str">
        <f>IFERROR(__xludf.DUMMYFUNCTION("""COMPUTED_VALUE"""),"situation")</f>
        <v>situation</v>
      </c>
    </row>
    <row r="546">
      <c r="D546" s="6"/>
      <c r="G546" s="6" t="str">
        <f>IFERROR(__xludf.DUMMYFUNCTION("""COMPUTED_VALUE"""),"fictional")</f>
        <v>fictional</v>
      </c>
      <c r="H546" s="6" t="str">
        <f>IFERROR(__xludf.DUMMYFUNCTION("""COMPUTED_VALUE"""),"emerge")</f>
        <v>emerge</v>
      </c>
      <c r="I546" s="6" t="str">
        <f>IFERROR(__xludf.DUMMYFUNCTION("""COMPUTED_VALUE"""),"abstract")</f>
        <v>abstract</v>
      </c>
      <c r="J546" s="6" t="str">
        <f>IFERROR(__xludf.DUMMYFUNCTION("""COMPUTED_VALUE"""),"assaults")</f>
        <v>assaults</v>
      </c>
      <c r="L546" s="6" t="str">
        <f>IFERROR(__xludf.DUMMYFUNCTION("""COMPUTED_VALUE"""),"measure")</f>
        <v>measure</v>
      </c>
      <c r="M546" s="6" t="str">
        <f>IFERROR(__xludf.DUMMYFUNCTION("""COMPUTED_VALUE"""),"mounted")</f>
        <v>mounted</v>
      </c>
      <c r="N546" s="6" t="str">
        <f>IFERROR(__xludf.DUMMYFUNCTION("""COMPUTED_VALUE"""),"ambition")</f>
        <v>ambition</v>
      </c>
      <c r="P546" s="6" t="str">
        <f>IFERROR(__xludf.DUMMYFUNCTION("""COMPUTED_VALUE"""),"psychology")</f>
        <v>psychology</v>
      </c>
      <c r="Q546" s="6" t="str">
        <f>IFERROR(__xludf.DUMMYFUNCTION("""COMPUTED_VALUE"""),"knows")</f>
        <v>knows</v>
      </c>
      <c r="S546" s="6" t="str">
        <f>IFERROR(__xludf.DUMMYFUNCTION("""COMPUTED_VALUE"""),"dramatic")</f>
        <v>dramatic</v>
      </c>
    </row>
    <row r="547">
      <c r="D547" s="6"/>
      <c r="G547" s="6" t="str">
        <f>IFERROR(__xludf.DUMMYFUNCTION("""COMPUTED_VALUE"""),"velocity")</f>
        <v>velocity</v>
      </c>
      <c r="H547" s="6" t="str">
        <f>IFERROR(__xludf.DUMMYFUNCTION("""COMPUTED_VALUE"""),"passionate")</f>
        <v>passionate</v>
      </c>
      <c r="I547" s="6" t="str">
        <f>IFERROR(__xludf.DUMMYFUNCTION("""COMPUTED_VALUE"""),"yale")</f>
        <v>yale</v>
      </c>
      <c r="J547" s="6" t="str">
        <f>IFERROR(__xludf.DUMMYFUNCTION("""COMPUTED_VALUE"""),"accuracy")</f>
        <v>accuracy</v>
      </c>
      <c r="L547" s="6" t="str">
        <f>IFERROR(__xludf.DUMMYFUNCTION("""COMPUTED_VALUE"""),"photographed")</f>
        <v>photographed</v>
      </c>
      <c r="M547" s="6" t="str">
        <f>IFERROR(__xludf.DUMMYFUNCTION("""COMPUTED_VALUE"""),"veteran")</f>
        <v>veteran</v>
      </c>
      <c r="N547" s="6" t="str">
        <f>IFERROR(__xludf.DUMMYFUNCTION("""COMPUTED_VALUE"""),"roles")</f>
        <v>roles</v>
      </c>
      <c r="P547" s="6" t="str">
        <f>IFERROR(__xludf.DUMMYFUNCTION("""COMPUTED_VALUE"""),"renowned")</f>
        <v>renowned</v>
      </c>
      <c r="Q547" s="6" t="str">
        <f>IFERROR(__xludf.DUMMYFUNCTION("""COMPUTED_VALUE"""),"vanity")</f>
        <v>vanity</v>
      </c>
      <c r="S547" s="6" t="str">
        <f>IFERROR(__xludf.DUMMYFUNCTION("""COMPUTED_VALUE"""),"darkness")</f>
        <v>darkness</v>
      </c>
    </row>
    <row r="548">
      <c r="D548" s="6"/>
      <c r="G548" s="6" t="str">
        <f>IFERROR(__xludf.DUMMYFUNCTION("""COMPUTED_VALUE"""),"restrained")</f>
        <v>restrained</v>
      </c>
      <c r="H548" s="6" t="str">
        <f>IFERROR(__xludf.DUMMYFUNCTION("""COMPUTED_VALUE"""),"evolution")</f>
        <v>evolution</v>
      </c>
      <c r="I548" s="6" t="str">
        <f>IFERROR(__xludf.DUMMYFUNCTION("""COMPUTED_VALUE"""),"gave")</f>
        <v>gave</v>
      </c>
      <c r="J548" s="6" t="str">
        <f>IFERROR(__xludf.DUMMYFUNCTION("""COMPUTED_VALUE"""),"grounded")</f>
        <v>grounded</v>
      </c>
      <c r="L548" s="6" t="str">
        <f>IFERROR(__xludf.DUMMYFUNCTION("""COMPUTED_VALUE"""),"mendes")</f>
        <v>mendes</v>
      </c>
      <c r="M548" s="6" t="str">
        <f>IFERROR(__xludf.DUMMYFUNCTION("""COMPUTED_VALUE"""),"section")</f>
        <v>section</v>
      </c>
      <c r="N548" s="6" t="str">
        <f>IFERROR(__xludf.DUMMYFUNCTION("""COMPUTED_VALUE"""),"heights")</f>
        <v>heights</v>
      </c>
      <c r="P548" s="6" t="str">
        <f>IFERROR(__xludf.DUMMYFUNCTION("""COMPUTED_VALUE"""),"americans")</f>
        <v>americans</v>
      </c>
      <c r="Q548" s="6" t="str">
        <f>IFERROR(__xludf.DUMMYFUNCTION("""COMPUTED_VALUE"""),"laughed")</f>
        <v>laughed</v>
      </c>
      <c r="S548" s="6" t="str">
        <f>IFERROR(__xludf.DUMMYFUNCTION("""COMPUTED_VALUE"""),"loud")</f>
        <v>loud</v>
      </c>
    </row>
    <row r="549">
      <c r="D549" s="6"/>
      <c r="G549" s="6" t="str">
        <f>IFERROR(__xludf.DUMMYFUNCTION("""COMPUTED_VALUE"""),"barrage")</f>
        <v>barrage</v>
      </c>
      <c r="H549" s="6" t="str">
        <f>IFERROR(__xludf.DUMMYFUNCTION("""COMPUTED_VALUE"""),"adolescents")</f>
        <v>adolescents</v>
      </c>
      <c r="I549" s="6" t="str">
        <f>IFERROR(__xludf.DUMMYFUNCTION("""COMPUTED_VALUE"""),"twisted")</f>
        <v>twisted</v>
      </c>
      <c r="J549" s="6" t="str">
        <f>IFERROR(__xludf.DUMMYFUNCTION("""COMPUTED_VALUE"""),"realism")</f>
        <v>realism</v>
      </c>
      <c r="L549" s="6" t="str">
        <f>IFERROR(__xludf.DUMMYFUNCTION("""COMPUTED_VALUE"""),"audrey")</f>
        <v>audrey</v>
      </c>
      <c r="M549" s="6" t="str">
        <f>IFERROR(__xludf.DUMMYFUNCTION("""COMPUTED_VALUE"""),"departure")</f>
        <v>departure</v>
      </c>
      <c r="N549" s="6" t="str">
        <f>IFERROR(__xludf.DUMMYFUNCTION("""COMPUTED_VALUE"""),"lean")</f>
        <v>lean</v>
      </c>
      <c r="P549" s="6" t="str">
        <f>IFERROR(__xludf.DUMMYFUNCTION("""COMPUTED_VALUE"""),"allows")</f>
        <v>allows</v>
      </c>
      <c r="Q549" s="6" t="str">
        <f>IFERROR(__xludf.DUMMYFUNCTION("""COMPUTED_VALUE"""),"lizard")</f>
        <v>lizard</v>
      </c>
      <c r="S549" s="6" t="str">
        <f>IFERROR(__xludf.DUMMYFUNCTION("""COMPUTED_VALUE"""),"provides")</f>
        <v>provides</v>
      </c>
    </row>
    <row r="550">
      <c r="D550" s="6"/>
      <c r="G550" s="6" t="str">
        <f>IFERROR(__xludf.DUMMYFUNCTION("""COMPUTED_VALUE"""),"zhang")</f>
        <v>zhang</v>
      </c>
      <c r="H550" s="6" t="str">
        <f>IFERROR(__xludf.DUMMYFUNCTION("""COMPUTED_VALUE"""),"tired")</f>
        <v>tired</v>
      </c>
      <c r="I550" s="6" t="str">
        <f>IFERROR(__xludf.DUMMYFUNCTION("""COMPUTED_VALUE"""),"friendship")</f>
        <v>friendship</v>
      </c>
      <c r="J550" s="6" t="str">
        <f>IFERROR(__xludf.DUMMYFUNCTION("""COMPUTED_VALUE"""),"novak")</f>
        <v>novak</v>
      </c>
      <c r="L550" s="6" t="str">
        <f>IFERROR(__xludf.DUMMYFUNCTION("""COMPUTED_VALUE"""),"lawrence")</f>
        <v>lawrence</v>
      </c>
      <c r="M550" s="6" t="str">
        <f>IFERROR(__xludf.DUMMYFUNCTION("""COMPUTED_VALUE"""),"thoughts")</f>
        <v>thoughts</v>
      </c>
      <c r="N550" s="6" t="str">
        <f>IFERROR(__xludf.DUMMYFUNCTION("""COMPUTED_VALUE"""),"irwin")</f>
        <v>irwin</v>
      </c>
      <c r="P550" s="6" t="str">
        <f>IFERROR(__xludf.DUMMYFUNCTION("""COMPUTED_VALUE"""),"winners")</f>
        <v>winners</v>
      </c>
      <c r="Q550" s="6" t="str">
        <f>IFERROR(__xludf.DUMMYFUNCTION("""COMPUTED_VALUE"""),"laughter")</f>
        <v>laughter</v>
      </c>
      <c r="S550" s="6" t="str">
        <f>IFERROR(__xludf.DUMMYFUNCTION("""COMPUTED_VALUE"""),"predecessor")</f>
        <v>predecessor</v>
      </c>
    </row>
    <row r="551">
      <c r="D551" s="6"/>
      <c r="G551" s="6" t="str">
        <f>IFERROR(__xludf.DUMMYFUNCTION("""COMPUTED_VALUE"""),"fable")</f>
        <v>fable</v>
      </c>
      <c r="H551" s="6" t="str">
        <f>IFERROR(__xludf.DUMMYFUNCTION("""COMPUTED_VALUE"""),"scrutiny")</f>
        <v>scrutiny</v>
      </c>
      <c r="I551" s="6" t="str">
        <f>IFERROR(__xludf.DUMMYFUNCTION("""COMPUTED_VALUE"""),"constant")</f>
        <v>constant</v>
      </c>
      <c r="J551" s="6" t="str">
        <f>IFERROR(__xludf.DUMMYFUNCTION("""COMPUTED_VALUE"""),"maturity")</f>
        <v>maturity</v>
      </c>
      <c r="L551" s="6" t="str">
        <f>IFERROR(__xludf.DUMMYFUNCTION("""COMPUTED_VALUE"""),"operatic")</f>
        <v>operatic</v>
      </c>
      <c r="M551" s="6" t="str">
        <f>IFERROR(__xludf.DUMMYFUNCTION("""COMPUTED_VALUE"""),"grave")</f>
        <v>grave</v>
      </c>
      <c r="N551" s="6" t="str">
        <f>IFERROR(__xludf.DUMMYFUNCTION("""COMPUTED_VALUE"""),"despair")</f>
        <v>despair</v>
      </c>
      <c r="P551" s="6" t="str">
        <f>IFERROR(__xludf.DUMMYFUNCTION("""COMPUTED_VALUE"""),"professionals")</f>
        <v>professionals</v>
      </c>
      <c r="Q551" s="6" t="str">
        <f>IFERROR(__xludf.DUMMYFUNCTION("""COMPUTED_VALUE"""),"need")</f>
        <v>need</v>
      </c>
      <c r="S551" s="6" t="str">
        <f>IFERROR(__xludf.DUMMYFUNCTION("""COMPUTED_VALUE"""),"sets")</f>
        <v>sets</v>
      </c>
    </row>
    <row r="552">
      <c r="D552" s="6"/>
      <c r="G552" s="6" t="str">
        <f>IFERROR(__xludf.DUMMYFUNCTION("""COMPUTED_VALUE"""),"determination")</f>
        <v>determination</v>
      </c>
      <c r="H552" s="6" t="str">
        <f>IFERROR(__xludf.DUMMYFUNCTION("""COMPUTED_VALUE"""),"radiant")</f>
        <v>radiant</v>
      </c>
      <c r="I552" s="6" t="str">
        <f>IFERROR(__xludf.DUMMYFUNCTION("""COMPUTED_VALUE"""),"offers")</f>
        <v>offers</v>
      </c>
      <c r="J552" s="6" t="str">
        <f>IFERROR(__xludf.DUMMYFUNCTION("""COMPUTED_VALUE"""),"devotees")</f>
        <v>devotees</v>
      </c>
      <c r="L552" s="6">
        <f>IFERROR(__xludf.DUMMYFUNCTION("""COMPUTED_VALUE"""),51.0)</f>
        <v>51</v>
      </c>
      <c r="M552" s="6" t="str">
        <f>IFERROR(__xludf.DUMMYFUNCTION("""COMPUTED_VALUE"""),"dear")</f>
        <v>dear</v>
      </c>
      <c r="N552" s="6" t="str">
        <f>IFERROR(__xludf.DUMMYFUNCTION("""COMPUTED_VALUE"""),"commended")</f>
        <v>commended</v>
      </c>
      <c r="P552" s="6" t="str">
        <f>IFERROR(__xludf.DUMMYFUNCTION("""COMPUTED_VALUE"""),"receive")</f>
        <v>receive</v>
      </c>
      <c r="Q552" s="6" t="str">
        <f>IFERROR(__xludf.DUMMYFUNCTION("""COMPUTED_VALUE"""),"philosophical")</f>
        <v>philosophical</v>
      </c>
      <c r="S552" s="6" t="str">
        <f>IFERROR(__xludf.DUMMYFUNCTION("""COMPUTED_VALUE"""),"doubt")</f>
        <v>doubt</v>
      </c>
    </row>
    <row r="553">
      <c r="D553" s="6"/>
      <c r="G553" s="6" t="str">
        <f>IFERROR(__xludf.DUMMYFUNCTION("""COMPUTED_VALUE"""),"minority")</f>
        <v>minority</v>
      </c>
      <c r="H553" s="6" t="str">
        <f>IFERROR(__xludf.DUMMYFUNCTION("""COMPUTED_VALUE"""),"escaped")</f>
        <v>escaped</v>
      </c>
      <c r="I553" s="6" t="str">
        <f>IFERROR(__xludf.DUMMYFUNCTION("""COMPUTED_VALUE"""),"identification")</f>
        <v>identification</v>
      </c>
      <c r="J553" s="6" t="str">
        <f>IFERROR(__xludf.DUMMYFUNCTION("""COMPUTED_VALUE"""),"episodes")</f>
        <v>episodes</v>
      </c>
      <c r="L553" s="6" t="str">
        <f>IFERROR(__xludf.DUMMYFUNCTION("""COMPUTED_VALUE"""),"effortlessly")</f>
        <v>effortlessly</v>
      </c>
      <c r="M553" s="6" t="str">
        <f>IFERROR(__xludf.DUMMYFUNCTION("""COMPUTED_VALUE"""),"grip")</f>
        <v>grip</v>
      </c>
      <c r="N553" s="6" t="str">
        <f>IFERROR(__xludf.DUMMYFUNCTION("""COMPUTED_VALUE"""),"whale")</f>
        <v>whale</v>
      </c>
      <c r="P553" s="6" t="str">
        <f>IFERROR(__xludf.DUMMYFUNCTION("""COMPUTED_VALUE"""),"rarely")</f>
        <v>rarely</v>
      </c>
      <c r="Q553" s="6" t="str">
        <f>IFERROR(__xludf.DUMMYFUNCTION("""COMPUTED_VALUE"""),"drag")</f>
        <v>drag</v>
      </c>
      <c r="S553" s="6" t="str">
        <f>IFERROR(__xludf.DUMMYFUNCTION("""COMPUTED_VALUE"""),"subjects")</f>
        <v>subjects</v>
      </c>
    </row>
    <row r="554">
      <c r="D554" s="6"/>
      <c r="G554" s="6" t="str">
        <f>IFERROR(__xludf.DUMMYFUNCTION("""COMPUTED_VALUE"""),"ramsay")</f>
        <v>ramsay</v>
      </c>
      <c r="H554" s="6" t="str">
        <f>IFERROR(__xludf.DUMMYFUNCTION("""COMPUTED_VALUE"""),"kennedy")</f>
        <v>kennedy</v>
      </c>
      <c r="I554" s="6" t="str">
        <f>IFERROR(__xludf.DUMMYFUNCTION("""COMPUTED_VALUE"""),"connection")</f>
        <v>connection</v>
      </c>
      <c r="J554" s="6" t="str">
        <f>IFERROR(__xludf.DUMMYFUNCTION("""COMPUTED_VALUE"""),"bile")</f>
        <v>bile</v>
      </c>
      <c r="L554" s="6" t="str">
        <f>IFERROR(__xludf.DUMMYFUNCTION("""COMPUTED_VALUE"""),"strictly")</f>
        <v>strictly</v>
      </c>
      <c r="M554" s="6" t="str">
        <f>IFERROR(__xludf.DUMMYFUNCTION("""COMPUTED_VALUE"""),"seeds")</f>
        <v>seeds</v>
      </c>
      <c r="N554" s="6" t="str">
        <f>IFERROR(__xludf.DUMMYFUNCTION("""COMPUTED_VALUE"""),"splash")</f>
        <v>splash</v>
      </c>
      <c r="P554" s="6" t="str">
        <f>IFERROR(__xludf.DUMMYFUNCTION("""COMPUTED_VALUE"""),"locations")</f>
        <v>locations</v>
      </c>
      <c r="Q554" s="6" t="str">
        <f>IFERROR(__xludf.DUMMYFUNCTION("""COMPUTED_VALUE"""),"hop")</f>
        <v>hop</v>
      </c>
      <c r="S554" s="6" t="str">
        <f>IFERROR(__xludf.DUMMYFUNCTION("""COMPUTED_VALUE"""),"sweet")</f>
        <v>sweet</v>
      </c>
    </row>
    <row r="555">
      <c r="D555" s="6"/>
      <c r="G555" s="6" t="str">
        <f>IFERROR(__xludf.DUMMYFUNCTION("""COMPUTED_VALUE"""),"hitchcock")</f>
        <v>hitchcock</v>
      </c>
      <c r="H555" s="6" t="str">
        <f>IFERROR(__xludf.DUMMYFUNCTION("""COMPUTED_VALUE"""),"speculation")</f>
        <v>speculation</v>
      </c>
      <c r="I555" s="6" t="str">
        <f>IFERROR(__xludf.DUMMYFUNCTION("""COMPUTED_VALUE"""),"built")</f>
        <v>built</v>
      </c>
      <c r="J555" s="6" t="str">
        <f>IFERROR(__xludf.DUMMYFUNCTION("""COMPUTED_VALUE"""),"faulty")</f>
        <v>faulty</v>
      </c>
      <c r="L555" s="6" t="str">
        <f>IFERROR(__xludf.DUMMYFUNCTION("""COMPUTED_VALUE"""),"mick")</f>
        <v>mick</v>
      </c>
      <c r="M555" s="6" t="str">
        <f>IFERROR(__xludf.DUMMYFUNCTION("""COMPUTED_VALUE"""),"iranian")</f>
        <v>iranian</v>
      </c>
      <c r="N555" s="6" t="str">
        <f>IFERROR(__xludf.DUMMYFUNCTION("""COMPUTED_VALUE"""),"combat")</f>
        <v>combat</v>
      </c>
      <c r="P555" s="6" t="str">
        <f>IFERROR(__xludf.DUMMYFUNCTION("""COMPUTED_VALUE"""),"marvel")</f>
        <v>marvel</v>
      </c>
      <c r="Q555" s="6" t="str">
        <f>IFERROR(__xludf.DUMMYFUNCTION("""COMPUTED_VALUE"""),"literary")</f>
        <v>literary</v>
      </c>
      <c r="S555" s="6" t="str">
        <f>IFERROR(__xludf.DUMMYFUNCTION("""COMPUTED_VALUE"""),"asks")</f>
        <v>asks</v>
      </c>
    </row>
    <row r="556">
      <c r="D556" s="6"/>
      <c r="G556" s="6" t="str">
        <f>IFERROR(__xludf.DUMMYFUNCTION("""COMPUTED_VALUE"""),"wreck")</f>
        <v>wreck</v>
      </c>
      <c r="H556" s="6" t="str">
        <f>IFERROR(__xludf.DUMMYFUNCTION("""COMPUTED_VALUE"""),"assassination")</f>
        <v>assassination</v>
      </c>
      <c r="I556" s="6" t="str">
        <f>IFERROR(__xludf.DUMMYFUNCTION("""COMPUTED_VALUE"""),"mainstream")</f>
        <v>mainstream</v>
      </c>
      <c r="J556" s="6" t="str">
        <f>IFERROR(__xludf.DUMMYFUNCTION("""COMPUTED_VALUE"""),"amused")</f>
        <v>amused</v>
      </c>
      <c r="L556" s="6" t="str">
        <f>IFERROR(__xludf.DUMMYFUNCTION("""COMPUTED_VALUE"""),"relate")</f>
        <v>relate</v>
      </c>
      <c r="M556" s="6" t="str">
        <f>IFERROR(__xludf.DUMMYFUNCTION("""COMPUTED_VALUE"""),"challenge")</f>
        <v>challenge</v>
      </c>
      <c r="N556" s="6" t="str">
        <f>IFERROR(__xludf.DUMMYFUNCTION("""COMPUTED_VALUE"""),"prejudice")</f>
        <v>prejudice</v>
      </c>
      <c r="P556" s="6" t="str">
        <f>IFERROR(__xludf.DUMMYFUNCTION("""COMPUTED_VALUE"""),"sequences")</f>
        <v>sequences</v>
      </c>
      <c r="Q556" s="6" t="str">
        <f>IFERROR(__xludf.DUMMYFUNCTION("""COMPUTED_VALUE"""),"dull")</f>
        <v>dull</v>
      </c>
      <c r="S556" s="6" t="str">
        <f>IFERROR(__xludf.DUMMYFUNCTION("""COMPUTED_VALUE"""),"beneath")</f>
        <v>beneath</v>
      </c>
    </row>
    <row r="557">
      <c r="D557" s="6"/>
      <c r="G557" s="6" t="str">
        <f>IFERROR(__xludf.DUMMYFUNCTION("""COMPUTED_VALUE"""),"curves")</f>
        <v>curves</v>
      </c>
      <c r="H557" s="6" t="str">
        <f>IFERROR(__xludf.DUMMYFUNCTION("""COMPUTED_VALUE"""),"soundtrack")</f>
        <v>soundtrack</v>
      </c>
      <c r="I557" s="6" t="str">
        <f>IFERROR(__xludf.DUMMYFUNCTION("""COMPUTED_VALUE"""),"got")</f>
        <v>got</v>
      </c>
      <c r="J557" s="6" t="str">
        <f>IFERROR(__xludf.DUMMYFUNCTION("""COMPUTED_VALUE"""),"skill")</f>
        <v>skill</v>
      </c>
      <c r="L557" s="6" t="str">
        <f>IFERROR(__xludf.DUMMYFUNCTION("""COMPUTED_VALUE"""),"giggle")</f>
        <v>giggle</v>
      </c>
      <c r="M557" s="6" t="str">
        <f>IFERROR(__xludf.DUMMYFUNCTION("""COMPUTED_VALUE"""),"tracking")</f>
        <v>tracking</v>
      </c>
      <c r="N557" s="6" t="str">
        <f>IFERROR(__xludf.DUMMYFUNCTION("""COMPUTED_VALUE"""),"screenwriter")</f>
        <v>screenwriter</v>
      </c>
      <c r="P557" s="6" t="str">
        <f>IFERROR(__xludf.DUMMYFUNCTION("""COMPUTED_VALUE"""),"pulls")</f>
        <v>pulls</v>
      </c>
      <c r="Q557" s="6" t="str">
        <f>IFERROR(__xludf.DUMMYFUNCTION("""COMPUTED_VALUE"""),"witty")</f>
        <v>witty</v>
      </c>
      <c r="S557" s="6" t="str">
        <f>IFERROR(__xludf.DUMMYFUNCTION("""COMPUTED_VALUE"""),"purposes")</f>
        <v>purposes</v>
      </c>
    </row>
    <row r="558">
      <c r="D558" s="6"/>
      <c r="G558" s="6" t="str">
        <f>IFERROR(__xludf.DUMMYFUNCTION("""COMPUTED_VALUE"""),"strains")</f>
        <v>strains</v>
      </c>
      <c r="H558" s="6" t="str">
        <f>IFERROR(__xludf.DUMMYFUNCTION("""COMPUTED_VALUE"""),"layers")</f>
        <v>layers</v>
      </c>
      <c r="I558" s="6" t="str">
        <f>IFERROR(__xludf.DUMMYFUNCTION("""COMPUTED_VALUE"""),"creates")</f>
        <v>creates</v>
      </c>
      <c r="J558" s="6" t="str">
        <f>IFERROR(__xludf.DUMMYFUNCTION("""COMPUTED_VALUE"""),"bela")</f>
        <v>bela</v>
      </c>
      <c r="L558" s="6" t="str">
        <f>IFERROR(__xludf.DUMMYFUNCTION("""COMPUTED_VALUE"""),"gang")</f>
        <v>gang</v>
      </c>
      <c r="M558" s="6" t="str">
        <f>IFERROR(__xludf.DUMMYFUNCTION("""COMPUTED_VALUE"""),"deny")</f>
        <v>deny</v>
      </c>
      <c r="N558" s="6" t="str">
        <f>IFERROR(__xludf.DUMMYFUNCTION("""COMPUTED_VALUE"""),"raise")</f>
        <v>raise</v>
      </c>
      <c r="P558" s="6" t="str">
        <f>IFERROR(__xludf.DUMMYFUNCTION("""COMPUTED_VALUE"""),"fantasy")</f>
        <v>fantasy</v>
      </c>
      <c r="Q558" s="6" t="str">
        <f>IFERROR(__xludf.DUMMYFUNCTION("""COMPUTED_VALUE"""),"buttons")</f>
        <v>buttons</v>
      </c>
      <c r="S558" s="6" t="str">
        <f>IFERROR(__xludf.DUMMYFUNCTION("""COMPUTED_VALUE"""),"bigger")</f>
        <v>bigger</v>
      </c>
    </row>
    <row r="559">
      <c r="D559" s="6"/>
      <c r="G559" s="6" t="str">
        <f>IFERROR(__xludf.DUMMYFUNCTION("""COMPUTED_VALUE"""),"damon")</f>
        <v>damon</v>
      </c>
      <c r="H559" s="6" t="str">
        <f>IFERROR(__xludf.DUMMYFUNCTION("""COMPUTED_VALUE"""),"deadly")</f>
        <v>deadly</v>
      </c>
      <c r="I559" s="6" t="str">
        <f>IFERROR(__xludf.DUMMYFUNCTION("""COMPUTED_VALUE"""),"call")</f>
        <v>call</v>
      </c>
      <c r="J559" s="6" t="str">
        <f>IFERROR(__xludf.DUMMYFUNCTION("""COMPUTED_VALUE"""),"vampire")</f>
        <v>vampire</v>
      </c>
      <c r="L559" s="6" t="str">
        <f>IFERROR(__xludf.DUMMYFUNCTION("""COMPUTED_VALUE"""),"terrorist")</f>
        <v>terrorist</v>
      </c>
      <c r="M559" s="6" t="str">
        <f>IFERROR(__xludf.DUMMYFUNCTION("""COMPUTED_VALUE"""),"consequence")</f>
        <v>consequence</v>
      </c>
      <c r="N559" s="6" t="str">
        <f>IFERROR(__xludf.DUMMYFUNCTION("""COMPUTED_VALUE"""),"rumor")</f>
        <v>rumor</v>
      </c>
      <c r="P559" s="6" t="str">
        <f>IFERROR(__xludf.DUMMYFUNCTION("""COMPUTED_VALUE"""),"ally")</f>
        <v>ally</v>
      </c>
      <c r="Q559" s="6" t="str">
        <f>IFERROR(__xludf.DUMMYFUNCTION("""COMPUTED_VALUE"""),"accomplished")</f>
        <v>accomplished</v>
      </c>
      <c r="S559" s="6" t="str">
        <f>IFERROR(__xludf.DUMMYFUNCTION("""COMPUTED_VALUE"""),"highly")</f>
        <v>highly</v>
      </c>
    </row>
    <row r="560">
      <c r="D560" s="6"/>
      <c r="G560" s="6" t="str">
        <f>IFERROR(__xludf.DUMMYFUNCTION("""COMPUTED_VALUE"""),"commands")</f>
        <v>commands</v>
      </c>
      <c r="H560" s="6" t="str">
        <f>IFERROR(__xludf.DUMMYFUNCTION("""COMPUTED_VALUE"""),"chords")</f>
        <v>chords</v>
      </c>
      <c r="I560" s="6" t="str">
        <f>IFERROR(__xludf.DUMMYFUNCTION("""COMPUTED_VALUE"""),"note")</f>
        <v>note</v>
      </c>
      <c r="J560" s="6" t="str">
        <f>IFERROR(__xludf.DUMMYFUNCTION("""COMPUTED_VALUE"""),"determined")</f>
        <v>determined</v>
      </c>
      <c r="L560" s="6" t="str">
        <f>IFERROR(__xludf.DUMMYFUNCTION("""COMPUTED_VALUE"""),"chuckles")</f>
        <v>chuckles</v>
      </c>
      <c r="M560" s="6" t="str">
        <f>IFERROR(__xludf.DUMMYFUNCTION("""COMPUTED_VALUE"""),"detective")</f>
        <v>detective</v>
      </c>
      <c r="N560" s="6" t="str">
        <f>IFERROR(__xludf.DUMMYFUNCTION("""COMPUTED_VALUE"""),"depiction")</f>
        <v>depiction</v>
      </c>
      <c r="P560" s="6" t="str">
        <f>IFERROR(__xludf.DUMMYFUNCTION("""COMPUTED_VALUE"""),"sum")</f>
        <v>sum</v>
      </c>
      <c r="Q560" s="6" t="str">
        <f>IFERROR(__xludf.DUMMYFUNCTION("""COMPUTED_VALUE"""),"primal")</f>
        <v>primal</v>
      </c>
      <c r="S560" s="6" t="str">
        <f>IFERROR(__xludf.DUMMYFUNCTION("""COMPUTED_VALUE"""),"assembled")</f>
        <v>assembled</v>
      </c>
    </row>
    <row r="561">
      <c r="D561" s="6"/>
      <c r="G561" s="6" t="str">
        <f>IFERROR(__xludf.DUMMYFUNCTION("""COMPUTED_VALUE"""),"precise")</f>
        <v>precise</v>
      </c>
      <c r="H561" s="6" t="str">
        <f>IFERROR(__xludf.DUMMYFUNCTION("""COMPUTED_VALUE"""),"striking")</f>
        <v>striking</v>
      </c>
      <c r="I561" s="6" t="str">
        <f>IFERROR(__xludf.DUMMYFUNCTION("""COMPUTED_VALUE"""),"friend")</f>
        <v>friend</v>
      </c>
      <c r="J561" s="6" t="str">
        <f>IFERROR(__xludf.DUMMYFUNCTION("""COMPUTED_VALUE"""),"fierce")</f>
        <v>fierce</v>
      </c>
      <c r="L561" s="6" t="str">
        <f>IFERROR(__xludf.DUMMYFUNCTION("""COMPUTED_VALUE"""),"stylized")</f>
        <v>stylized</v>
      </c>
      <c r="M561" s="6" t="str">
        <f>IFERROR(__xludf.DUMMYFUNCTION("""COMPUTED_VALUE"""),"appropriate")</f>
        <v>appropriate</v>
      </c>
      <c r="N561" s="6" t="str">
        <f>IFERROR(__xludf.DUMMYFUNCTION("""COMPUTED_VALUE"""),"paxton")</f>
        <v>paxton</v>
      </c>
      <c r="P561" s="6" t="str">
        <f>IFERROR(__xludf.DUMMYFUNCTION("""COMPUTED_VALUE"""),"parts")</f>
        <v>parts</v>
      </c>
      <c r="Q561" s="6" t="str">
        <f>IFERROR(__xludf.DUMMYFUNCTION("""COMPUTED_VALUE"""),"fears")</f>
        <v>fears</v>
      </c>
      <c r="S561" s="6" t="str">
        <f>IFERROR(__xludf.DUMMYFUNCTION("""COMPUTED_VALUE"""),"construct")</f>
        <v>construct</v>
      </c>
    </row>
    <row r="562">
      <c r="D562" s="6"/>
      <c r="G562" s="6" t="str">
        <f>IFERROR(__xludf.DUMMYFUNCTION("""COMPUTED_VALUE"""),"fiercely")</f>
        <v>fiercely</v>
      </c>
      <c r="H562" s="6" t="str">
        <f>IFERROR(__xludf.DUMMYFUNCTION("""COMPUTED_VALUE"""),"impressive")</f>
        <v>impressive</v>
      </c>
      <c r="I562" s="6" t="str">
        <f>IFERROR(__xludf.DUMMYFUNCTION("""COMPUTED_VALUE"""),"workshops")</f>
        <v>workshops</v>
      </c>
      <c r="J562" s="6" t="str">
        <f>IFERROR(__xludf.DUMMYFUNCTION("""COMPUTED_VALUE"""),"repetitive")</f>
        <v>repetitive</v>
      </c>
      <c r="L562" s="6" t="str">
        <f>IFERROR(__xludf.DUMMYFUNCTION("""COMPUTED_VALUE"""),"rural")</f>
        <v>rural</v>
      </c>
      <c r="M562" s="6" t="str">
        <f>IFERROR(__xludf.DUMMYFUNCTION("""COMPUTED_VALUE"""),"managing")</f>
        <v>managing</v>
      </c>
      <c r="N562" s="6" t="str">
        <f>IFERROR(__xludf.DUMMYFUNCTION("""COMPUTED_VALUE"""),"forster")</f>
        <v>forster</v>
      </c>
      <c r="P562" s="6" t="str">
        <f>IFERROR(__xludf.DUMMYFUNCTION("""COMPUTED_VALUE"""),"collegiate")</f>
        <v>collegiate</v>
      </c>
      <c r="Q562" s="6" t="str">
        <f>IFERROR(__xludf.DUMMYFUNCTION("""COMPUTED_VALUE"""),"portrait")</f>
        <v>portrait</v>
      </c>
      <c r="S562" s="6" t="str">
        <f>IFERROR(__xludf.DUMMYFUNCTION("""COMPUTED_VALUE"""),"knows")</f>
        <v>knows</v>
      </c>
    </row>
    <row r="563">
      <c r="D563" s="6"/>
      <c r="G563" s="6" t="str">
        <f>IFERROR(__xludf.DUMMYFUNCTION("""COMPUTED_VALUE"""),"courtroom")</f>
        <v>courtroom</v>
      </c>
      <c r="H563" s="6" t="str">
        <f>IFERROR(__xludf.DUMMYFUNCTION("""COMPUTED_VALUE"""),"biography")</f>
        <v>biography</v>
      </c>
      <c r="I563" s="6" t="str">
        <f>IFERROR(__xludf.DUMMYFUNCTION("""COMPUTED_VALUE"""),"affected")</f>
        <v>affected</v>
      </c>
      <c r="J563" s="6" t="str">
        <f>IFERROR(__xludf.DUMMYFUNCTION("""COMPUTED_VALUE"""),"melancholy")</f>
        <v>melancholy</v>
      </c>
      <c r="L563" s="6" t="str">
        <f>IFERROR(__xludf.DUMMYFUNCTION("""COMPUTED_VALUE"""),"aspirations")</f>
        <v>aspirations</v>
      </c>
      <c r="M563" s="6" t="str">
        <f>IFERROR(__xludf.DUMMYFUNCTION("""COMPUTED_VALUE"""),"connections")</f>
        <v>connections</v>
      </c>
      <c r="N563" s="6" t="str">
        <f>IFERROR(__xludf.DUMMYFUNCTION("""COMPUTED_VALUE"""),"levy")</f>
        <v>levy</v>
      </c>
      <c r="P563" s="6" t="str">
        <f>IFERROR(__xludf.DUMMYFUNCTION("""COMPUTED_VALUE"""),"national")</f>
        <v>national</v>
      </c>
      <c r="Q563" s="6" t="str">
        <f>IFERROR(__xludf.DUMMYFUNCTION("""COMPUTED_VALUE"""),"rare")</f>
        <v>rare</v>
      </c>
      <c r="S563" s="6" t="str">
        <f>IFERROR(__xludf.DUMMYFUNCTION("""COMPUTED_VALUE"""),"laughed")</f>
        <v>laughed</v>
      </c>
    </row>
    <row r="564">
      <c r="D564" s="6"/>
      <c r="G564" s="6" t="str">
        <f>IFERROR(__xludf.DUMMYFUNCTION("""COMPUTED_VALUE"""),"inhabitants")</f>
        <v>inhabitants</v>
      </c>
      <c r="H564" s="6" t="str">
        <f>IFERROR(__xludf.DUMMYFUNCTION("""COMPUTED_VALUE"""),"narrator")</f>
        <v>narrator</v>
      </c>
      <c r="I564" s="6" t="str">
        <f>IFERROR(__xludf.DUMMYFUNCTION("""COMPUTED_VALUE"""),"carol")</f>
        <v>carol</v>
      </c>
      <c r="J564" s="6" t="str">
        <f>IFERROR(__xludf.DUMMYFUNCTION("""COMPUTED_VALUE"""),"fallen")</f>
        <v>fallen</v>
      </c>
      <c r="L564" s="6" t="str">
        <f>IFERROR(__xludf.DUMMYFUNCTION("""COMPUTED_VALUE"""),"underlying")</f>
        <v>underlying</v>
      </c>
      <c r="M564" s="6" t="str">
        <f>IFERROR(__xludf.DUMMYFUNCTION("""COMPUTED_VALUE"""),"howard")</f>
        <v>howard</v>
      </c>
      <c r="N564" s="6" t="str">
        <f>IFERROR(__xludf.DUMMYFUNCTION("""COMPUTED_VALUE"""),"flesh")</f>
        <v>flesh</v>
      </c>
      <c r="P564" s="6" t="str">
        <f>IFERROR(__xludf.DUMMYFUNCTION("""COMPUTED_VALUE"""),"factor")</f>
        <v>factor</v>
      </c>
      <c r="Q564" s="6" t="str">
        <f>IFERROR(__xludf.DUMMYFUNCTION("""COMPUTED_VALUE"""),"draws")</f>
        <v>draws</v>
      </c>
      <c r="S564" s="6" t="str">
        <f>IFERROR(__xludf.DUMMYFUNCTION("""COMPUTED_VALUE"""),"need")</f>
        <v>need</v>
      </c>
    </row>
    <row r="565">
      <c r="D565" s="6"/>
      <c r="G565" s="6" t="str">
        <f>IFERROR(__xludf.DUMMYFUNCTION("""COMPUTED_VALUE"""),"salvage")</f>
        <v>salvage</v>
      </c>
      <c r="H565" s="6" t="str">
        <f>IFERROR(__xludf.DUMMYFUNCTION("""COMPUTED_VALUE"""),"animation")</f>
        <v>animation</v>
      </c>
      <c r="I565" s="6" t="str">
        <f>IFERROR(__xludf.DUMMYFUNCTION("""COMPUTED_VALUE"""),"dollars")</f>
        <v>dollars</v>
      </c>
      <c r="J565" s="6" t="str">
        <f>IFERROR(__xludf.DUMMYFUNCTION("""COMPUTED_VALUE"""),"spell")</f>
        <v>spell</v>
      </c>
      <c r="L565" s="6" t="str">
        <f>IFERROR(__xludf.DUMMYFUNCTION("""COMPUTED_VALUE"""),"limp")</f>
        <v>limp</v>
      </c>
      <c r="M565" s="6" t="str">
        <f>IFERROR(__xludf.DUMMYFUNCTION("""COMPUTED_VALUE"""),"alice")</f>
        <v>alice</v>
      </c>
      <c r="N565" s="6" t="str">
        <f>IFERROR(__xludf.DUMMYFUNCTION("""COMPUTED_VALUE"""),"fantasies")</f>
        <v>fantasies</v>
      </c>
      <c r="P565" s="6" t="str">
        <f>IFERROR(__xludf.DUMMYFUNCTION("""COMPUTED_VALUE"""),"emerging")</f>
        <v>emerging</v>
      </c>
      <c r="Q565" s="6" t="str">
        <f>IFERROR(__xludf.DUMMYFUNCTION("""COMPUTED_VALUE"""),"midnight")</f>
        <v>midnight</v>
      </c>
      <c r="S565" s="6" t="str">
        <f>IFERROR(__xludf.DUMMYFUNCTION("""COMPUTED_VALUE"""),"laughter")</f>
        <v>laughter</v>
      </c>
    </row>
    <row r="566">
      <c r="D566" s="6"/>
      <c r="G566" s="6" t="str">
        <f>IFERROR(__xludf.DUMMYFUNCTION("""COMPUTED_VALUE"""),"ties")</f>
        <v>ties</v>
      </c>
      <c r="H566" s="6" t="str">
        <f>IFERROR(__xludf.DUMMYFUNCTION("""COMPUTED_VALUE"""),"heroine")</f>
        <v>heroine</v>
      </c>
      <c r="I566" s="6" t="str">
        <f>IFERROR(__xludf.DUMMYFUNCTION("""COMPUTED_VALUE"""),"crimes")</f>
        <v>crimes</v>
      </c>
      <c r="J566" s="6" t="str">
        <f>IFERROR(__xludf.DUMMYFUNCTION("""COMPUTED_VALUE"""),"brutally")</f>
        <v>brutally</v>
      </c>
      <c r="L566" s="6" t="str">
        <f>IFERROR(__xludf.DUMMYFUNCTION("""COMPUTED_VALUE"""),"horizons")</f>
        <v>horizons</v>
      </c>
      <c r="M566" s="6" t="str">
        <f>IFERROR(__xludf.DUMMYFUNCTION("""COMPUTED_VALUE"""),"fabric")</f>
        <v>fabric</v>
      </c>
      <c r="N566" s="6" t="str">
        <f>IFERROR(__xludf.DUMMYFUNCTION("""COMPUTED_VALUE"""),"illness")</f>
        <v>illness</v>
      </c>
      <c r="P566" s="6" t="str">
        <f>IFERROR(__xludf.DUMMYFUNCTION("""COMPUTED_VALUE"""),"entity")</f>
        <v>entity</v>
      </c>
      <c r="Q566" s="6" t="str">
        <f>IFERROR(__xludf.DUMMYFUNCTION("""COMPUTED_VALUE"""),"mind")</f>
        <v>mind</v>
      </c>
      <c r="S566" s="6" t="str">
        <f>IFERROR(__xludf.DUMMYFUNCTION("""COMPUTED_VALUE"""),"philosophical")</f>
        <v>philosophical</v>
      </c>
    </row>
    <row r="567">
      <c r="D567" s="6"/>
      <c r="G567" s="6" t="str">
        <f>IFERROR(__xludf.DUMMYFUNCTION("""COMPUTED_VALUE"""),"cultures")</f>
        <v>cultures</v>
      </c>
      <c r="H567" s="6" t="str">
        <f>IFERROR(__xludf.DUMMYFUNCTION("""COMPUTED_VALUE"""),"dramatically")</f>
        <v>dramatically</v>
      </c>
      <c r="I567" s="6" t="str">
        <f>IFERROR(__xludf.DUMMYFUNCTION("""COMPUTED_VALUE"""),"20th")</f>
        <v>20th</v>
      </c>
      <c r="J567" s="6" t="str">
        <f>IFERROR(__xludf.DUMMYFUNCTION("""COMPUTED_VALUE"""),"tolerate")</f>
        <v>tolerate</v>
      </c>
      <c r="L567" s="6" t="str">
        <f>IFERROR(__xludf.DUMMYFUNCTION("""COMPUTED_VALUE"""),"titled")</f>
        <v>titled</v>
      </c>
      <c r="M567" s="6" t="str">
        <f>IFERROR(__xludf.DUMMYFUNCTION("""COMPUTED_VALUE"""),"abilities")</f>
        <v>abilities</v>
      </c>
      <c r="N567" s="6" t="str">
        <f>IFERROR(__xludf.DUMMYFUNCTION("""COMPUTED_VALUE"""),"canadians")</f>
        <v>canadians</v>
      </c>
      <c r="P567" s="6" t="str">
        <f>IFERROR(__xludf.DUMMYFUNCTION("""COMPUTED_VALUE"""),"audiences")</f>
        <v>audiences</v>
      </c>
      <c r="Q567" s="6" t="str">
        <f>IFERROR(__xludf.DUMMYFUNCTION("""COMPUTED_VALUE"""),"compassion")</f>
        <v>compassion</v>
      </c>
      <c r="S567" s="6" t="str">
        <f>IFERROR(__xludf.DUMMYFUNCTION("""COMPUTED_VALUE"""),"drag")</f>
        <v>drag</v>
      </c>
    </row>
    <row r="568">
      <c r="D568" s="6"/>
      <c r="G568" s="6" t="str">
        <f>IFERROR(__xludf.DUMMYFUNCTION("""COMPUTED_VALUE"""),"taut")</f>
        <v>taut</v>
      </c>
      <c r="H568" s="6" t="str">
        <f>IFERROR(__xludf.DUMMYFUNCTION("""COMPUTED_VALUE"""),"compassionate")</f>
        <v>compassionate</v>
      </c>
      <c r="I568" s="6" t="str">
        <f>IFERROR(__xludf.DUMMYFUNCTION("""COMPUTED_VALUE"""),"century")</f>
        <v>century</v>
      </c>
      <c r="J568" s="6" t="str">
        <f>IFERROR(__xludf.DUMMYFUNCTION("""COMPUTED_VALUE"""),"baroque")</f>
        <v>baroque</v>
      </c>
      <c r="L568" s="6" t="str">
        <f>IFERROR(__xludf.DUMMYFUNCTION("""COMPUTED_VALUE"""),"reminder")</f>
        <v>reminder</v>
      </c>
      <c r="M568" s="6" t="str">
        <f>IFERROR(__xludf.DUMMYFUNCTION("""COMPUTED_VALUE"""),"stands")</f>
        <v>stands</v>
      </c>
      <c r="N568" s="6" t="str">
        <f>IFERROR(__xludf.DUMMYFUNCTION("""COMPUTED_VALUE"""),"calculated")</f>
        <v>calculated</v>
      </c>
      <c r="P568" s="6" t="str">
        <f>IFERROR(__xludf.DUMMYFUNCTION("""COMPUTED_VALUE"""),"sign")</f>
        <v>sign</v>
      </c>
      <c r="Q568" s="6" t="str">
        <f>IFERROR(__xludf.DUMMYFUNCTION("""COMPUTED_VALUE"""),"sleeper")</f>
        <v>sleeper</v>
      </c>
      <c r="S568" s="6" t="str">
        <f>IFERROR(__xludf.DUMMYFUNCTION("""COMPUTED_VALUE"""),"directing")</f>
        <v>directing</v>
      </c>
    </row>
    <row r="569">
      <c r="D569" s="6"/>
      <c r="G569" s="6" t="str">
        <f>IFERROR(__xludf.DUMMYFUNCTION("""COMPUTED_VALUE"""),"flashbacks")</f>
        <v>flashbacks</v>
      </c>
      <c r="H569" s="6" t="str">
        <f>IFERROR(__xludf.DUMMYFUNCTION("""COMPUTED_VALUE"""),"timeless")</f>
        <v>timeless</v>
      </c>
      <c r="I569" s="6" t="str">
        <f>IFERROR(__xludf.DUMMYFUNCTION("""COMPUTED_VALUE"""),"france")</f>
        <v>france</v>
      </c>
      <c r="J569" s="6" t="str">
        <f>IFERROR(__xludf.DUMMYFUNCTION("""COMPUTED_VALUE"""),"cool")</f>
        <v>cool</v>
      </c>
      <c r="L569" s="6" t="str">
        <f>IFERROR(__xludf.DUMMYFUNCTION("""COMPUTED_VALUE"""),"significance")</f>
        <v>significance</v>
      </c>
      <c r="M569" s="6" t="str">
        <f>IFERROR(__xludf.DUMMYFUNCTION("""COMPUTED_VALUE"""),"continuing")</f>
        <v>continuing</v>
      </c>
      <c r="N569" s="6" t="str">
        <f>IFERROR(__xludf.DUMMYFUNCTION("""COMPUTED_VALUE"""),"portraying")</f>
        <v>portraying</v>
      </c>
      <c r="P569" s="6" t="str">
        <f>IFERROR(__xludf.DUMMYFUNCTION("""COMPUTED_VALUE"""),"mile")</f>
        <v>mile</v>
      </c>
      <c r="Q569" s="6" t="str">
        <f>IFERROR(__xludf.DUMMYFUNCTION("""COMPUTED_VALUE"""),"bard")</f>
        <v>bard</v>
      </c>
      <c r="S569" s="6" t="str">
        <f>IFERROR(__xludf.DUMMYFUNCTION("""COMPUTED_VALUE"""),"hop")</f>
        <v>hop</v>
      </c>
    </row>
    <row r="570">
      <c r="D570" s="6"/>
      <c r="G570" s="6" t="str">
        <f>IFERROR(__xludf.DUMMYFUNCTION("""COMPUTED_VALUE"""),"elemental")</f>
        <v>elemental</v>
      </c>
      <c r="H570" s="6" t="str">
        <f>IFERROR(__xludf.DUMMYFUNCTION("""COMPUTED_VALUE"""),"eastern")</f>
        <v>eastern</v>
      </c>
      <c r="I570" s="6" t="str">
        <f>IFERROR(__xludf.DUMMYFUNCTION("""COMPUTED_VALUE"""),"spin")</f>
        <v>spin</v>
      </c>
      <c r="J570" s="6" t="str">
        <f>IFERROR(__xludf.DUMMYFUNCTION("""COMPUTED_VALUE"""),"breadth")</f>
        <v>breadth</v>
      </c>
      <c r="L570" s="6" t="str">
        <f>IFERROR(__xludf.DUMMYFUNCTION("""COMPUTED_VALUE"""),"seductive")</f>
        <v>seductive</v>
      </c>
      <c r="M570" s="6" t="str">
        <f>IFERROR(__xludf.DUMMYFUNCTION("""COMPUTED_VALUE"""),"alan")</f>
        <v>alan</v>
      </c>
      <c r="N570" s="6" t="str">
        <f>IFERROR(__xludf.DUMMYFUNCTION("""COMPUTED_VALUE"""),"revenge")</f>
        <v>revenge</v>
      </c>
      <c r="P570" s="6" t="str">
        <f>IFERROR(__xludf.DUMMYFUNCTION("""COMPUTED_VALUE"""),"nerve")</f>
        <v>nerve</v>
      </c>
      <c r="Q570" s="6" t="str">
        <f>IFERROR(__xludf.DUMMYFUNCTION("""COMPUTED_VALUE"""),"imitation")</f>
        <v>imitation</v>
      </c>
      <c r="S570" s="6" t="str">
        <f>IFERROR(__xludf.DUMMYFUNCTION("""COMPUTED_VALUE"""),"literary")</f>
        <v>literary</v>
      </c>
    </row>
    <row r="571">
      <c r="D571" s="6"/>
      <c r="G571" s="6" t="str">
        <f>IFERROR(__xludf.DUMMYFUNCTION("""COMPUTED_VALUE"""),"arc")</f>
        <v>arc</v>
      </c>
      <c r="H571" s="6" t="str">
        <f>IFERROR(__xludf.DUMMYFUNCTION("""COMPUTED_VALUE"""),"humane")</f>
        <v>humane</v>
      </c>
      <c r="I571" s="6" t="str">
        <f>IFERROR(__xludf.DUMMYFUNCTION("""COMPUTED_VALUE"""),"revealed")</f>
        <v>revealed</v>
      </c>
      <c r="J571" s="6" t="str">
        <f>IFERROR(__xludf.DUMMYFUNCTION("""COMPUTED_VALUE"""),"poverty")</f>
        <v>poverty</v>
      </c>
      <c r="L571" s="6" t="str">
        <f>IFERROR(__xludf.DUMMYFUNCTION("""COMPUTED_VALUE"""),"productions")</f>
        <v>productions</v>
      </c>
      <c r="M571" s="6" t="str">
        <f>IFERROR(__xludf.DUMMYFUNCTION("""COMPUTED_VALUE"""),"lips")</f>
        <v>lips</v>
      </c>
      <c r="N571" s="6" t="str">
        <f>IFERROR(__xludf.DUMMYFUNCTION("""COMPUTED_VALUE"""),"clouds")</f>
        <v>clouds</v>
      </c>
      <c r="P571" s="6" t="str">
        <f>IFERROR(__xludf.DUMMYFUNCTION("""COMPUTED_VALUE"""),"execution")</f>
        <v>execution</v>
      </c>
      <c r="Q571" s="6" t="str">
        <f>IFERROR(__xludf.DUMMYFUNCTION("""COMPUTED_VALUE"""),"bone")</f>
        <v>bone</v>
      </c>
      <c r="S571" s="6" t="str">
        <f>IFERROR(__xludf.DUMMYFUNCTION("""COMPUTED_VALUE"""),"remote")</f>
        <v>remote</v>
      </c>
    </row>
    <row r="572">
      <c r="D572" s="6"/>
      <c r="G572" s="6" t="str">
        <f>IFERROR(__xludf.DUMMYFUNCTION("""COMPUTED_VALUE"""),"destructive")</f>
        <v>destructive</v>
      </c>
      <c r="H572" s="6" t="str">
        <f>IFERROR(__xludf.DUMMYFUNCTION("""COMPUTED_VALUE"""),"neither")</f>
        <v>neither</v>
      </c>
      <c r="I572" s="6" t="str">
        <f>IFERROR(__xludf.DUMMYFUNCTION("""COMPUTED_VALUE"""),"fisher")</f>
        <v>fisher</v>
      </c>
      <c r="J572" s="6" t="str">
        <f>IFERROR(__xludf.DUMMYFUNCTION("""COMPUTED_VALUE"""),"hardship")</f>
        <v>hardship</v>
      </c>
      <c r="L572" s="6" t="str">
        <f>IFERROR(__xludf.DUMMYFUNCTION("""COMPUTED_VALUE"""),"meaningless")</f>
        <v>meaningless</v>
      </c>
      <c r="M572" s="6" t="str">
        <f>IFERROR(__xludf.DUMMYFUNCTION("""COMPUTED_VALUE"""),"nuclear")</f>
        <v>nuclear</v>
      </c>
      <c r="N572" s="6" t="str">
        <f>IFERROR(__xludf.DUMMYFUNCTION("""COMPUTED_VALUE"""),"junk")</f>
        <v>junk</v>
      </c>
      <c r="P572" s="6" t="str">
        <f>IFERROR(__xludf.DUMMYFUNCTION("""COMPUTED_VALUE"""),"bit")</f>
        <v>bit</v>
      </c>
      <c r="Q572" s="6" t="str">
        <f>IFERROR(__xludf.DUMMYFUNCTION("""COMPUTED_VALUE"""),"strengths")</f>
        <v>strengths</v>
      </c>
      <c r="S572" s="6" t="str">
        <f>IFERROR(__xludf.DUMMYFUNCTION("""COMPUTED_VALUE"""),"really")</f>
        <v>really</v>
      </c>
    </row>
    <row r="573">
      <c r="D573" s="6"/>
      <c r="G573" s="6" t="str">
        <f>IFERROR(__xludf.DUMMYFUNCTION("""COMPUTED_VALUE"""),"fallon")</f>
        <v>fallon</v>
      </c>
      <c r="H573" s="6" t="str">
        <f>IFERROR(__xludf.DUMMYFUNCTION("""COMPUTED_VALUE"""),"entertain")</f>
        <v>entertain</v>
      </c>
      <c r="I573" s="6" t="str">
        <f>IFERROR(__xludf.DUMMYFUNCTION("""COMPUTED_VALUE"""),"happiness")</f>
        <v>happiness</v>
      </c>
      <c r="J573" s="6" t="str">
        <f>IFERROR(__xludf.DUMMYFUNCTION("""COMPUTED_VALUE"""),"spite")</f>
        <v>spite</v>
      </c>
      <c r="L573" s="6" t="str">
        <f>IFERROR(__xludf.DUMMYFUNCTION("""COMPUTED_VALUE"""),"bid")</f>
        <v>bid</v>
      </c>
      <c r="M573" s="6" t="str">
        <f>IFERROR(__xludf.DUMMYFUNCTION("""COMPUTED_VALUE"""),"double")</f>
        <v>double</v>
      </c>
      <c r="N573" s="6" t="str">
        <f>IFERROR(__xludf.DUMMYFUNCTION("""COMPUTED_VALUE"""),"rejected")</f>
        <v>rejected</v>
      </c>
      <c r="P573" s="6" t="str">
        <f>IFERROR(__xludf.DUMMYFUNCTION("""COMPUTED_VALUE"""),"pianist")</f>
        <v>pianist</v>
      </c>
      <c r="Q573" s="6" t="str">
        <f>IFERROR(__xludf.DUMMYFUNCTION("""COMPUTED_VALUE"""),"stiff")</f>
        <v>stiff</v>
      </c>
      <c r="S573" s="6" t="str">
        <f>IFERROR(__xludf.DUMMYFUNCTION("""COMPUTED_VALUE"""),"push")</f>
        <v>push</v>
      </c>
    </row>
    <row r="574">
      <c r="D574" s="6"/>
      <c r="G574" s="6" t="str">
        <f>IFERROR(__xludf.DUMMYFUNCTION("""COMPUTED_VALUE"""),"forgiveness")</f>
        <v>forgiveness</v>
      </c>
      <c r="H574" s="6" t="str">
        <f>IFERROR(__xludf.DUMMYFUNCTION("""COMPUTED_VALUE"""),"provocative")</f>
        <v>provocative</v>
      </c>
      <c r="I574" s="6" t="str">
        <f>IFERROR(__xludf.DUMMYFUNCTION("""COMPUTED_VALUE"""),"let")</f>
        <v>let</v>
      </c>
      <c r="J574" s="6" t="str">
        <f>IFERROR(__xludf.DUMMYFUNCTION("""COMPUTED_VALUE"""),"protagonists")</f>
        <v>protagonists</v>
      </c>
      <c r="L574" s="6" t="str">
        <f>IFERROR(__xludf.DUMMYFUNCTION("""COMPUTED_VALUE"""),"eponymous")</f>
        <v>eponymous</v>
      </c>
      <c r="M574" s="6" t="str">
        <f>IFERROR(__xludf.DUMMYFUNCTION("""COMPUTED_VALUE"""),"partners")</f>
        <v>partners</v>
      </c>
      <c r="N574" s="6" t="str">
        <f>IFERROR(__xludf.DUMMYFUNCTION("""COMPUTED_VALUE"""),"directs")</f>
        <v>directs</v>
      </c>
      <c r="P574" s="6" t="str">
        <f>IFERROR(__xludf.DUMMYFUNCTION("""COMPUTED_VALUE"""),"represented")</f>
        <v>represented</v>
      </c>
      <c r="Q574" s="6" t="str">
        <f>IFERROR(__xludf.DUMMYFUNCTION("""COMPUTED_VALUE"""),"stimulus")</f>
        <v>stimulus</v>
      </c>
      <c r="S574" s="6" t="str">
        <f>IFERROR(__xludf.DUMMYFUNCTION("""COMPUTED_VALUE"""),"accomplished")</f>
        <v>accomplished</v>
      </c>
    </row>
    <row r="575">
      <c r="D575" s="6"/>
      <c r="G575" s="6" t="str">
        <f>IFERROR(__xludf.DUMMYFUNCTION("""COMPUTED_VALUE"""),"stevens")</f>
        <v>stevens</v>
      </c>
      <c r="H575" s="6" t="str">
        <f>IFERROR(__xludf.DUMMYFUNCTION("""COMPUTED_VALUE"""),"longest")</f>
        <v>longest</v>
      </c>
      <c r="I575" s="6" t="str">
        <f>IFERROR(__xludf.DUMMYFUNCTION("""COMPUTED_VALUE"""),"came")</f>
        <v>came</v>
      </c>
      <c r="J575" s="6" t="str">
        <f>IFERROR(__xludf.DUMMYFUNCTION("""COMPUTED_VALUE"""),"shoot")</f>
        <v>shoot</v>
      </c>
      <c r="L575" s="6" t="str">
        <f>IFERROR(__xludf.DUMMYFUNCTION("""COMPUTED_VALUE"""),"primitive")</f>
        <v>primitive</v>
      </c>
      <c r="M575" s="6"/>
      <c r="N575" s="6" t="str">
        <f>IFERROR(__xludf.DUMMYFUNCTION("""COMPUTED_VALUE"""),"holden")</f>
        <v>holden</v>
      </c>
      <c r="P575" s="6" t="str">
        <f>IFERROR(__xludf.DUMMYFUNCTION("""COMPUTED_VALUE"""),"chase")</f>
        <v>chase</v>
      </c>
      <c r="Q575" s="6" t="str">
        <f>IFERROR(__xludf.DUMMYFUNCTION("""COMPUTED_VALUE"""),"winning")</f>
        <v>winning</v>
      </c>
      <c r="S575" s="6" t="str">
        <f>IFERROR(__xludf.DUMMYFUNCTION("""COMPUTED_VALUE"""),"mysterious")</f>
        <v>mysterious</v>
      </c>
    </row>
    <row r="576">
      <c r="D576" s="6"/>
      <c r="G576" s="6" t="str">
        <f>IFERROR(__xludf.DUMMYFUNCTION("""COMPUTED_VALUE"""),"stuart")</f>
        <v>stuart</v>
      </c>
      <c r="H576" s="6" t="str">
        <f>IFERROR(__xludf.DUMMYFUNCTION("""COMPUTED_VALUE"""),"sharp")</f>
        <v>sharp</v>
      </c>
      <c r="I576" s="6" t="str">
        <f>IFERROR(__xludf.DUMMYFUNCTION("""COMPUTED_VALUE"""),"teacher")</f>
        <v>teacher</v>
      </c>
      <c r="J576" s="6" t="str">
        <f>IFERROR(__xludf.DUMMYFUNCTION("""COMPUTED_VALUE"""),"remarkably")</f>
        <v>remarkably</v>
      </c>
      <c r="L576" s="6" t="str">
        <f>IFERROR(__xludf.DUMMYFUNCTION("""COMPUTED_VALUE"""),"harvard")</f>
        <v>harvard</v>
      </c>
      <c r="M576" s="6"/>
      <c r="N576" s="6" t="str">
        <f>IFERROR(__xludf.DUMMYFUNCTION("""COMPUTED_VALUE"""),"phenomenon")</f>
        <v>phenomenon</v>
      </c>
      <c r="P576" s="6" t="str">
        <f>IFERROR(__xludf.DUMMYFUNCTION("""COMPUTED_VALUE"""),"martha")</f>
        <v>martha</v>
      </c>
      <c r="Q576" s="6" t="str">
        <f>IFERROR(__xludf.DUMMYFUNCTION("""COMPUTED_VALUE"""),"antics")</f>
        <v>antics</v>
      </c>
      <c r="S576" s="6" t="str">
        <f>IFERROR(__xludf.DUMMYFUNCTION("""COMPUTED_VALUE"""),"fears")</f>
        <v>fears</v>
      </c>
    </row>
    <row r="577">
      <c r="D577" s="6"/>
      <c r="G577" s="6" t="str">
        <f>IFERROR(__xludf.DUMMYFUNCTION("""COMPUTED_VALUE"""),"friendships")</f>
        <v>friendships</v>
      </c>
      <c r="H577" s="6" t="str">
        <f>IFERROR(__xludf.DUMMYFUNCTION("""COMPUTED_VALUE"""),"discourse")</f>
        <v>discourse</v>
      </c>
      <c r="I577" s="6" t="str">
        <f>IFERROR(__xludf.DUMMYFUNCTION("""COMPUTED_VALUE"""),"increasingly")</f>
        <v>increasingly</v>
      </c>
      <c r="J577" s="6" t="str">
        <f>IFERROR(__xludf.DUMMYFUNCTION("""COMPUTED_VALUE"""),"cheese")</f>
        <v>cheese</v>
      </c>
      <c r="L577" s="6" t="str">
        <f>IFERROR(__xludf.DUMMYFUNCTION("""COMPUTED_VALUE"""),"encompasses")</f>
        <v>encompasses</v>
      </c>
      <c r="M577" s="6"/>
      <c r="N577" s="6" t="str">
        <f>IFERROR(__xludf.DUMMYFUNCTION("""COMPUTED_VALUE"""),"viewpoint")</f>
        <v>viewpoint</v>
      </c>
      <c r="P577" s="6" t="str">
        <f>IFERROR(__xludf.DUMMYFUNCTION("""COMPUTED_VALUE"""),"rapid")</f>
        <v>rapid</v>
      </c>
      <c r="Q577" s="6" t="str">
        <f>IFERROR(__xludf.DUMMYFUNCTION("""COMPUTED_VALUE"""),"barrel")</f>
        <v>barrel</v>
      </c>
      <c r="S577" s="6" t="str">
        <f>IFERROR(__xludf.DUMMYFUNCTION("""COMPUTED_VALUE"""),"friends")</f>
        <v>friends</v>
      </c>
    </row>
    <row r="578">
      <c r="D578" s="6"/>
      <c r="G578" s="6" t="str">
        <f>IFERROR(__xludf.DUMMYFUNCTION("""COMPUTED_VALUE"""),"sacrifices")</f>
        <v>sacrifices</v>
      </c>
      <c r="H578" s="6" t="str">
        <f>IFERROR(__xludf.DUMMYFUNCTION("""COMPUTED_VALUE"""),"distinctive")</f>
        <v>distinctive</v>
      </c>
      <c r="I578" s="6" t="str">
        <f>IFERROR(__xludf.DUMMYFUNCTION("""COMPUTED_VALUE"""),"roberts")</f>
        <v>roberts</v>
      </c>
      <c r="J578" s="6" t="str">
        <f>IFERROR(__xludf.DUMMYFUNCTION("""COMPUTED_VALUE"""),"topic")</f>
        <v>topic</v>
      </c>
      <c r="L578" s="6" t="str">
        <f>IFERROR(__xludf.DUMMYFUNCTION("""COMPUTED_VALUE"""),"ritchie")</f>
        <v>ritchie</v>
      </c>
      <c r="M578" s="6"/>
      <c r="N578" s="6" t="str">
        <f>IFERROR(__xludf.DUMMYFUNCTION("""COMPUTED_VALUE"""),"content")</f>
        <v>content</v>
      </c>
      <c r="P578" s="6" t="str">
        <f>IFERROR(__xludf.DUMMYFUNCTION("""COMPUTED_VALUE"""),"virtually")</f>
        <v>virtually</v>
      </c>
      <c r="Q578" s="6" t="str">
        <f>IFERROR(__xludf.DUMMYFUNCTION("""COMPUTED_VALUE"""),"miracles")</f>
        <v>miracles</v>
      </c>
      <c r="S578" s="6" t="str">
        <f>IFERROR(__xludf.DUMMYFUNCTION("""COMPUTED_VALUE"""),"portrait")</f>
        <v>portrait</v>
      </c>
    </row>
    <row r="579">
      <c r="D579" s="6"/>
      <c r="G579" s="6" t="str">
        <f>IFERROR(__xludf.DUMMYFUNCTION("""COMPUTED_VALUE"""),"consciously")</f>
        <v>consciously</v>
      </c>
      <c r="H579" s="6" t="str">
        <f>IFERROR(__xludf.DUMMYFUNCTION("""COMPUTED_VALUE"""),"demonstrate")</f>
        <v>demonstrate</v>
      </c>
      <c r="I579" s="6" t="str">
        <f>IFERROR(__xludf.DUMMYFUNCTION("""COMPUTED_VALUE"""),"workshop")</f>
        <v>workshop</v>
      </c>
      <c r="J579" s="6" t="str">
        <f>IFERROR(__xludf.DUMMYFUNCTION("""COMPUTED_VALUE"""),"insistent")</f>
        <v>insistent</v>
      </c>
      <c r="L579" s="6" t="str">
        <f>IFERROR(__xludf.DUMMYFUNCTION("""COMPUTED_VALUE"""),"checking")</f>
        <v>checking</v>
      </c>
      <c r="M579" s="6"/>
      <c r="N579" s="6" t="str">
        <f>IFERROR(__xludf.DUMMYFUNCTION("""COMPUTED_VALUE"""),"stays")</f>
        <v>stays</v>
      </c>
      <c r="P579" s="6" t="str">
        <f>IFERROR(__xludf.DUMMYFUNCTION("""COMPUTED_VALUE"""),"public")</f>
        <v>public</v>
      </c>
      <c r="Q579" s="6" t="str">
        <f>IFERROR(__xludf.DUMMYFUNCTION("""COMPUTED_VALUE"""),"miracle")</f>
        <v>miracle</v>
      </c>
      <c r="S579" s="6" t="str">
        <f>IFERROR(__xludf.DUMMYFUNCTION("""COMPUTED_VALUE"""),"rare")</f>
        <v>rare</v>
      </c>
    </row>
    <row r="580">
      <c r="D580" s="6"/>
      <c r="G580" s="6" t="str">
        <f>IFERROR(__xludf.DUMMYFUNCTION("""COMPUTED_VALUE"""),"grim")</f>
        <v>grim</v>
      </c>
      <c r="H580" s="6" t="str">
        <f>IFERROR(__xludf.DUMMYFUNCTION("""COMPUTED_VALUE"""),"blown")</f>
        <v>blown</v>
      </c>
      <c r="I580" s="6" t="str">
        <f>IFERROR(__xludf.DUMMYFUNCTION("""COMPUTED_VALUE"""),"certain")</f>
        <v>certain</v>
      </c>
      <c r="J580" s="6" t="str">
        <f>IFERROR(__xludf.DUMMYFUNCTION("""COMPUTED_VALUE"""),"survival")</f>
        <v>survival</v>
      </c>
      <c r="L580" s="6" t="str">
        <f>IFERROR(__xludf.DUMMYFUNCTION("""COMPUTED_VALUE"""),"endurance")</f>
        <v>endurance</v>
      </c>
      <c r="M580" s="6"/>
      <c r="N580" s="6" t="str">
        <f>IFERROR(__xludf.DUMMYFUNCTION("""COMPUTED_VALUE"""),"stretches")</f>
        <v>stretches</v>
      </c>
      <c r="P580" s="6" t="str">
        <f>IFERROR(__xludf.DUMMYFUNCTION("""COMPUTED_VALUE"""),"getting")</f>
        <v>getting</v>
      </c>
      <c r="Q580" s="6" t="str">
        <f>IFERROR(__xludf.DUMMYFUNCTION("""COMPUTED_VALUE"""),"lewis")</f>
        <v>lewis</v>
      </c>
      <c r="S580" s="6" t="str">
        <f>IFERROR(__xludf.DUMMYFUNCTION("""COMPUTED_VALUE"""),"root")</f>
        <v>root</v>
      </c>
    </row>
    <row r="581">
      <c r="D581" s="6"/>
      <c r="G581" s="6" t="str">
        <f>IFERROR(__xludf.DUMMYFUNCTION("""COMPUTED_VALUE"""),"prowess")</f>
        <v>prowess</v>
      </c>
      <c r="H581" s="6" t="str">
        <f>IFERROR(__xludf.DUMMYFUNCTION("""COMPUTED_VALUE"""),"aims")</f>
        <v>aims</v>
      </c>
      <c r="I581" s="6" t="b">
        <f>IFERROR(__xludf.DUMMYFUNCTION("""COMPUTED_VALUE"""),FALSE)</f>
        <v>0</v>
      </c>
      <c r="J581" s="6" t="str">
        <f>IFERROR(__xludf.DUMMYFUNCTION("""COMPUTED_VALUE"""),"coherent")</f>
        <v>coherent</v>
      </c>
      <c r="L581" s="6" t="str">
        <f>IFERROR(__xludf.DUMMYFUNCTION("""COMPUTED_VALUE"""),"ai")</f>
        <v>ai</v>
      </c>
      <c r="M581" s="6"/>
      <c r="N581" s="6" t="str">
        <f>IFERROR(__xludf.DUMMYFUNCTION("""COMPUTED_VALUE"""),"clown")</f>
        <v>clown</v>
      </c>
      <c r="P581" s="6" t="str">
        <f>IFERROR(__xludf.DUMMYFUNCTION("""COMPUTED_VALUE"""),"underneath")</f>
        <v>underneath</v>
      </c>
      <c r="Q581" s="6" t="str">
        <f>IFERROR(__xludf.DUMMYFUNCTION("""COMPUTED_VALUE"""),"remembering")</f>
        <v>remembering</v>
      </c>
      <c r="S581" s="6" t="str">
        <f>IFERROR(__xludf.DUMMYFUNCTION("""COMPUTED_VALUE"""),"draws")</f>
        <v>draws</v>
      </c>
    </row>
    <row r="582">
      <c r="D582" s="6"/>
      <c r="G582" s="6" t="str">
        <f>IFERROR(__xludf.DUMMYFUNCTION("""COMPUTED_VALUE"""),"marching")</f>
        <v>marching</v>
      </c>
      <c r="H582" s="6" t="str">
        <f>IFERROR(__xludf.DUMMYFUNCTION("""COMPUTED_VALUE"""),"monty")</f>
        <v>monty</v>
      </c>
      <c r="I582" s="6" t="str">
        <f>IFERROR(__xludf.DUMMYFUNCTION("""COMPUTED_VALUE"""),"weight")</f>
        <v>weight</v>
      </c>
      <c r="J582" s="6" t="str">
        <f>IFERROR(__xludf.DUMMYFUNCTION("""COMPUTED_VALUE"""),"victories")</f>
        <v>victories</v>
      </c>
      <c r="L582" s="6" t="str">
        <f>IFERROR(__xludf.DUMMYFUNCTION("""COMPUTED_VALUE"""),"ambition")</f>
        <v>ambition</v>
      </c>
      <c r="M582" s="6"/>
      <c r="N582" s="6" t="str">
        <f>IFERROR(__xludf.DUMMYFUNCTION("""COMPUTED_VALUE"""),"conception")</f>
        <v>conception</v>
      </c>
      <c r="P582" s="6" t="str">
        <f>IFERROR(__xludf.DUMMYFUNCTION("""COMPUTED_VALUE"""),"deeper")</f>
        <v>deeper</v>
      </c>
      <c r="Q582" s="6" t="str">
        <f>IFERROR(__xludf.DUMMYFUNCTION("""COMPUTED_VALUE"""),"davies")</f>
        <v>davies</v>
      </c>
      <c r="S582" s="6" t="str">
        <f>IFERROR(__xludf.DUMMYFUNCTION("""COMPUTED_VALUE"""),"midnight")</f>
        <v>midnight</v>
      </c>
    </row>
    <row r="583">
      <c r="D583" s="6"/>
      <c r="G583" s="6" t="str">
        <f>IFERROR(__xludf.DUMMYFUNCTION("""COMPUTED_VALUE"""),"develops")</f>
        <v>develops</v>
      </c>
      <c r="H583" s="6" t="str">
        <f>IFERROR(__xludf.DUMMYFUNCTION("""COMPUTED_VALUE"""),"assaults")</f>
        <v>assaults</v>
      </c>
      <c r="I583" s="6" t="str">
        <f>IFERROR(__xludf.DUMMYFUNCTION("""COMPUTED_VALUE"""),"devices")</f>
        <v>devices</v>
      </c>
      <c r="J583" s="6" t="str">
        <f>IFERROR(__xludf.DUMMYFUNCTION("""COMPUTED_VALUE"""),"dynamics")</f>
        <v>dynamics</v>
      </c>
      <c r="L583" s="6" t="str">
        <f>IFERROR(__xludf.DUMMYFUNCTION("""COMPUTED_VALUE"""),"roles")</f>
        <v>roles</v>
      </c>
      <c r="M583" s="6"/>
      <c r="N583" s="6" t="str">
        <f>IFERROR(__xludf.DUMMYFUNCTION("""COMPUTED_VALUE"""),"accomplishment")</f>
        <v>accomplishment</v>
      </c>
      <c r="P583" s="6" t="str">
        <f>IFERROR(__xludf.DUMMYFUNCTION("""COMPUTED_VALUE"""),"intense")</f>
        <v>intense</v>
      </c>
      <c r="Q583" s="6" t="str">
        <f>IFERROR(__xludf.DUMMYFUNCTION("""COMPUTED_VALUE"""),"perspective")</f>
        <v>perspective</v>
      </c>
      <c r="S583" s="6" t="str">
        <f>IFERROR(__xludf.DUMMYFUNCTION("""COMPUTED_VALUE"""),"mind")</f>
        <v>mind</v>
      </c>
    </row>
    <row r="584">
      <c r="D584" s="6"/>
      <c r="G584" s="6" t="str">
        <f>IFERROR(__xludf.DUMMYFUNCTION("""COMPUTED_VALUE"""),"obscured")</f>
        <v>obscured</v>
      </c>
      <c r="H584" s="6" t="str">
        <f>IFERROR(__xludf.DUMMYFUNCTION("""COMPUTED_VALUE"""),"accuracy")</f>
        <v>accuracy</v>
      </c>
      <c r="I584" s="6" t="str">
        <f>IFERROR(__xludf.DUMMYFUNCTION("""COMPUTED_VALUE"""),"conventional")</f>
        <v>conventional</v>
      </c>
      <c r="J584" s="6" t="str">
        <f>IFERROR(__xludf.DUMMYFUNCTION("""COMPUTED_VALUE"""),"struggles")</f>
        <v>struggles</v>
      </c>
      <c r="L584" s="6" t="str">
        <f>IFERROR(__xludf.DUMMYFUNCTION("""COMPUTED_VALUE"""),"heights")</f>
        <v>heights</v>
      </c>
      <c r="M584" s="6"/>
      <c r="N584" s="6" t="str">
        <f>IFERROR(__xludf.DUMMYFUNCTION("""COMPUTED_VALUE"""),"basis")</f>
        <v>basis</v>
      </c>
      <c r="P584" s="6" t="str">
        <f>IFERROR(__xludf.DUMMYFUNCTION("""COMPUTED_VALUE"""),"improved")</f>
        <v>improved</v>
      </c>
      <c r="Q584" s="6" t="str">
        <f>IFERROR(__xludf.DUMMYFUNCTION("""COMPUTED_VALUE"""),"bleak")</f>
        <v>bleak</v>
      </c>
      <c r="S584" s="6" t="str">
        <f>IFERROR(__xludf.DUMMYFUNCTION("""COMPUTED_VALUE"""),"success")</f>
        <v>success</v>
      </c>
    </row>
    <row r="585">
      <c r="D585" s="6"/>
      <c r="G585" s="6" t="str">
        <f>IFERROR(__xludf.DUMMYFUNCTION("""COMPUTED_VALUE"""),"grave")</f>
        <v>grave</v>
      </c>
      <c r="H585" s="6" t="str">
        <f>IFERROR(__xludf.DUMMYFUNCTION("""COMPUTED_VALUE"""),"grounded")</f>
        <v>grounded</v>
      </c>
      <c r="I585" s="6" t="str">
        <f>IFERROR(__xludf.DUMMYFUNCTION("""COMPUTED_VALUE"""),"manhattan")</f>
        <v>manhattan</v>
      </c>
      <c r="J585" s="6" t="str">
        <f>IFERROR(__xludf.DUMMYFUNCTION("""COMPUTED_VALUE"""),"class")</f>
        <v>class</v>
      </c>
      <c r="L585" s="6" t="str">
        <f>IFERROR(__xludf.DUMMYFUNCTION("""COMPUTED_VALUE"""),"donovan")</f>
        <v>donovan</v>
      </c>
      <c r="M585" s="6"/>
      <c r="N585" s="6" t="str">
        <f>IFERROR(__xludf.DUMMYFUNCTION("""COMPUTED_VALUE"""),"bouquet")</f>
        <v>bouquet</v>
      </c>
      <c r="P585" s="6" t="str">
        <f>IFERROR(__xludf.DUMMYFUNCTION("""COMPUTED_VALUE"""),"upon")</f>
        <v>upon</v>
      </c>
      <c r="Q585" s="6" t="str">
        <f>IFERROR(__xludf.DUMMYFUNCTION("""COMPUTED_VALUE"""),"holiday")</f>
        <v>holiday</v>
      </c>
      <c r="S585" s="6" t="str">
        <f>IFERROR(__xludf.DUMMYFUNCTION("""COMPUTED_VALUE"""),"bone")</f>
        <v>bone</v>
      </c>
    </row>
    <row r="586">
      <c r="D586" s="6"/>
      <c r="G586" s="6" t="str">
        <f>IFERROR(__xludf.DUMMYFUNCTION("""COMPUTED_VALUE"""),"frontal")</f>
        <v>frontal</v>
      </c>
      <c r="H586" s="6" t="str">
        <f>IFERROR(__xludf.DUMMYFUNCTION("""COMPUTED_VALUE"""),"realism")</f>
        <v>realism</v>
      </c>
      <c r="I586" s="6" t="str">
        <f>IFERROR(__xludf.DUMMYFUNCTION("""COMPUTED_VALUE"""),"rage")</f>
        <v>rage</v>
      </c>
      <c r="J586" s="6" t="str">
        <f>IFERROR(__xludf.DUMMYFUNCTION("""COMPUTED_VALUE"""),"routine")</f>
        <v>routine</v>
      </c>
      <c r="L586" s="6" t="str">
        <f>IFERROR(__xludf.DUMMYFUNCTION("""COMPUTED_VALUE"""),"irwin")</f>
        <v>irwin</v>
      </c>
      <c r="M586" s="6"/>
      <c r="N586" s="6" t="str">
        <f>IFERROR(__xludf.DUMMYFUNCTION("""COMPUTED_VALUE"""),"successor")</f>
        <v>successor</v>
      </c>
      <c r="P586" s="6" t="str">
        <f>IFERROR(__xludf.DUMMYFUNCTION("""COMPUTED_VALUE"""),"walk")</f>
        <v>walk</v>
      </c>
      <c r="Q586" s="6" t="str">
        <f>IFERROR(__xludf.DUMMYFUNCTION("""COMPUTED_VALUE"""),"bullets")</f>
        <v>bullets</v>
      </c>
      <c r="S586" s="6" t="str">
        <f>IFERROR(__xludf.DUMMYFUNCTION("""COMPUTED_VALUE"""),"hispanic")</f>
        <v>hispanic</v>
      </c>
    </row>
    <row r="587">
      <c r="D587" s="6"/>
      <c r="G587" s="6" t="str">
        <f>IFERROR(__xludf.DUMMYFUNCTION("""COMPUTED_VALUE"""),"familiarity")</f>
        <v>familiarity</v>
      </c>
      <c r="H587" s="6" t="str">
        <f>IFERROR(__xludf.DUMMYFUNCTION("""COMPUTED_VALUE"""),"novak")</f>
        <v>novak</v>
      </c>
      <c r="I587" s="6" t="str">
        <f>IFERROR(__xludf.DUMMYFUNCTION("""COMPUTED_VALUE"""),"firing")</f>
        <v>firing</v>
      </c>
      <c r="J587" s="6" t="str">
        <f>IFERROR(__xludf.DUMMYFUNCTION("""COMPUTED_VALUE"""),"nicholas")</f>
        <v>nicholas</v>
      </c>
      <c r="L587" s="6" t="str">
        <f>IFERROR(__xludf.DUMMYFUNCTION("""COMPUTED_VALUE"""),"aesthetics")</f>
        <v>aesthetics</v>
      </c>
      <c r="M587" s="6"/>
      <c r="N587" s="6" t="str">
        <f>IFERROR(__xludf.DUMMYFUNCTION("""COMPUTED_VALUE"""),"chest")</f>
        <v>chest</v>
      </c>
      <c r="P587" s="6" t="str">
        <f>IFERROR(__xludf.DUMMYFUNCTION("""COMPUTED_VALUE"""),"remember")</f>
        <v>remember</v>
      </c>
      <c r="Q587" s="6" t="str">
        <f>IFERROR(__xludf.DUMMYFUNCTION("""COMPUTED_VALUE"""),"hail")</f>
        <v>hail</v>
      </c>
      <c r="S587" s="6" t="str">
        <f>IFERROR(__xludf.DUMMYFUNCTION("""COMPUTED_VALUE"""),"winning")</f>
        <v>winning</v>
      </c>
    </row>
    <row r="588">
      <c r="D588" s="6"/>
      <c r="G588" s="6" t="str">
        <f>IFERROR(__xludf.DUMMYFUNCTION("""COMPUTED_VALUE"""),"iranian")</f>
        <v>iranian</v>
      </c>
      <c r="H588" s="6" t="str">
        <f>IFERROR(__xludf.DUMMYFUNCTION("""COMPUTED_VALUE"""),"civic")</f>
        <v>civic</v>
      </c>
      <c r="I588" s="6" t="str">
        <f>IFERROR(__xludf.DUMMYFUNCTION("""COMPUTED_VALUE"""),"witnesses")</f>
        <v>witnesses</v>
      </c>
      <c r="J588" s="6" t="str">
        <f>IFERROR(__xludf.DUMMYFUNCTION("""COMPUTED_VALUE"""),"optimistic")</f>
        <v>optimistic</v>
      </c>
      <c r="L588" s="6" t="str">
        <f>IFERROR(__xludf.DUMMYFUNCTION("""COMPUTED_VALUE"""),"crack")</f>
        <v>crack</v>
      </c>
      <c r="M588" s="6"/>
      <c r="N588" s="6" t="str">
        <f>IFERROR(__xludf.DUMMYFUNCTION("""COMPUTED_VALUE"""),"volatile")</f>
        <v>volatile</v>
      </c>
      <c r="P588" s="6" t="str">
        <f>IFERROR(__xludf.DUMMYFUNCTION("""COMPUTED_VALUE"""),"punishment")</f>
        <v>punishment</v>
      </c>
      <c r="Q588" s="6" t="str">
        <f>IFERROR(__xludf.DUMMYFUNCTION("""COMPUTED_VALUE"""),"poem")</f>
        <v>poem</v>
      </c>
      <c r="S588" s="6" t="str">
        <f>IFERROR(__xludf.DUMMYFUNCTION("""COMPUTED_VALUE"""),"bottom")</f>
        <v>bottom</v>
      </c>
    </row>
    <row r="589">
      <c r="D589" s="6"/>
      <c r="G589" s="6" t="str">
        <f>IFERROR(__xludf.DUMMYFUNCTION("""COMPUTED_VALUE"""),"charitable")</f>
        <v>charitable</v>
      </c>
      <c r="H589" s="6" t="str">
        <f>IFERROR(__xludf.DUMMYFUNCTION("""COMPUTED_VALUE"""),"place")</f>
        <v>place</v>
      </c>
      <c r="I589" s="6" t="str">
        <f>IFERROR(__xludf.DUMMYFUNCTION("""COMPUTED_VALUE"""),"revolutionary")</f>
        <v>revolutionary</v>
      </c>
      <c r="J589" s="6" t="str">
        <f>IFERROR(__xludf.DUMMYFUNCTION("""COMPUTED_VALUE"""),"dogs")</f>
        <v>dogs</v>
      </c>
      <c r="L589" s="6" t="str">
        <f>IFERROR(__xludf.DUMMYFUNCTION("""COMPUTED_VALUE"""),"despair")</f>
        <v>despair</v>
      </c>
      <c r="M589" s="6"/>
      <c r="N589" s="6" t="str">
        <f>IFERROR(__xludf.DUMMYFUNCTION("""COMPUTED_VALUE"""),"overwhelming")</f>
        <v>overwhelming</v>
      </c>
      <c r="P589" s="6" t="str">
        <f>IFERROR(__xludf.DUMMYFUNCTION("""COMPUTED_VALUE"""),"hero")</f>
        <v>hero</v>
      </c>
      <c r="Q589" s="6" t="str">
        <f>IFERROR(__xludf.DUMMYFUNCTION("""COMPUTED_VALUE"""),"convincing")</f>
        <v>convincing</v>
      </c>
      <c r="S589" s="6" t="str">
        <f>IFERROR(__xludf.DUMMYFUNCTION("""COMPUTED_VALUE"""),"barrel")</f>
        <v>barrel</v>
      </c>
    </row>
    <row r="590">
      <c r="D590" s="6"/>
      <c r="G590" s="6" t="str">
        <f>IFERROR(__xludf.DUMMYFUNCTION("""COMPUTED_VALUE"""),"introduces")</f>
        <v>introduces</v>
      </c>
      <c r="H590" s="6" t="str">
        <f>IFERROR(__xludf.DUMMYFUNCTION("""COMPUTED_VALUE"""),"maturity")</f>
        <v>maturity</v>
      </c>
      <c r="I590" s="6" t="str">
        <f>IFERROR(__xludf.DUMMYFUNCTION("""COMPUTED_VALUE"""),"unlikely")</f>
        <v>unlikely</v>
      </c>
      <c r="J590" s="6" t="str">
        <f>IFERROR(__xludf.DUMMYFUNCTION("""COMPUTED_VALUE"""),"smarter")</f>
        <v>smarter</v>
      </c>
      <c r="L590" s="6" t="str">
        <f>IFERROR(__xludf.DUMMYFUNCTION("""COMPUTED_VALUE"""),"chronicles")</f>
        <v>chronicles</v>
      </c>
      <c r="M590" s="6"/>
      <c r="N590" s="6" t="str">
        <f>IFERROR(__xludf.DUMMYFUNCTION("""COMPUTED_VALUE"""),"unconventional")</f>
        <v>unconventional</v>
      </c>
      <c r="P590" s="6" t="str">
        <f>IFERROR(__xludf.DUMMYFUNCTION("""COMPUTED_VALUE"""),"keeps")</f>
        <v>keeps</v>
      </c>
      <c r="Q590" s="6" t="str">
        <f>IFERROR(__xludf.DUMMYFUNCTION("""COMPUTED_VALUE"""),"viewer")</f>
        <v>viewer</v>
      </c>
      <c r="S590" s="6" t="str">
        <f>IFERROR(__xludf.DUMMYFUNCTION("""COMPUTED_VALUE"""),"miracle")</f>
        <v>miracle</v>
      </c>
    </row>
    <row r="591">
      <c r="D591" s="6"/>
      <c r="G591" s="6" t="str">
        <f>IFERROR(__xludf.DUMMYFUNCTION("""COMPUTED_VALUE"""),"orbits")</f>
        <v>orbits</v>
      </c>
      <c r="H591" s="6" t="str">
        <f>IFERROR(__xludf.DUMMYFUNCTION("""COMPUTED_VALUE"""),"elegance")</f>
        <v>elegance</v>
      </c>
      <c r="I591" s="6" t="str">
        <f>IFERROR(__xludf.DUMMYFUNCTION("""COMPUTED_VALUE"""),"centuries")</f>
        <v>centuries</v>
      </c>
      <c r="J591" s="6" t="str">
        <f>IFERROR(__xludf.DUMMYFUNCTION("""COMPUTED_VALUE"""),"pack")</f>
        <v>pack</v>
      </c>
      <c r="L591" s="6" t="str">
        <f>IFERROR(__xludf.DUMMYFUNCTION("""COMPUTED_VALUE"""),"commended")</f>
        <v>commended</v>
      </c>
      <c r="M591" s="6"/>
      <c r="N591" s="6" t="str">
        <f>IFERROR(__xludf.DUMMYFUNCTION("""COMPUTED_VALUE"""),"harrison")</f>
        <v>harrison</v>
      </c>
      <c r="P591" s="6" t="str">
        <f>IFERROR(__xludf.DUMMYFUNCTION("""COMPUTED_VALUE"""),"stanley")</f>
        <v>stanley</v>
      </c>
      <c r="Q591" s="6" t="str">
        <f>IFERROR(__xludf.DUMMYFUNCTION("""COMPUTED_VALUE"""),"patient")</f>
        <v>patient</v>
      </c>
      <c r="S591" s="6" t="str">
        <f>IFERROR(__xludf.DUMMYFUNCTION("""COMPUTED_VALUE"""),"lewis")</f>
        <v>lewis</v>
      </c>
    </row>
    <row r="592">
      <c r="D592" s="6"/>
      <c r="G592" s="6" t="str">
        <f>IFERROR(__xludf.DUMMYFUNCTION("""COMPUTED_VALUE"""),"detective")</f>
        <v>detective</v>
      </c>
      <c r="H592" s="6" t="str">
        <f>IFERROR(__xludf.DUMMYFUNCTION("""COMPUTED_VALUE"""),"devotees")</f>
        <v>devotees</v>
      </c>
      <c r="I592" s="6" t="str">
        <f>IFERROR(__xludf.DUMMYFUNCTION("""COMPUTED_VALUE"""),"spiritual")</f>
        <v>spiritual</v>
      </c>
      <c r="J592" s="6" t="str">
        <f>IFERROR(__xludf.DUMMYFUNCTION("""COMPUTED_VALUE"""),"permits")</f>
        <v>permits</v>
      </c>
      <c r="L592" s="6" t="str">
        <f>IFERROR(__xludf.DUMMYFUNCTION("""COMPUTED_VALUE"""),"whale")</f>
        <v>whale</v>
      </c>
      <c r="M592" s="6"/>
      <c r="N592" s="6" t="str">
        <f>IFERROR(__xludf.DUMMYFUNCTION("""COMPUTED_VALUE"""),"engages")</f>
        <v>engages</v>
      </c>
      <c r="P592" s="6" t="str">
        <f>IFERROR(__xludf.DUMMYFUNCTION("""COMPUTED_VALUE"""),"hong")</f>
        <v>hong</v>
      </c>
      <c r="Q592" s="6" t="str">
        <f>IFERROR(__xludf.DUMMYFUNCTION("""COMPUTED_VALUE"""),"timely")</f>
        <v>timely</v>
      </c>
      <c r="S592" s="6" t="str">
        <f>IFERROR(__xludf.DUMMYFUNCTION("""COMPUTED_VALUE"""),"via")</f>
        <v>via</v>
      </c>
    </row>
    <row r="593">
      <c r="D593" s="6"/>
      <c r="G593" s="6" t="str">
        <f>IFERROR(__xludf.DUMMYFUNCTION("""COMPUTED_VALUE"""),"nuclear")</f>
        <v>nuclear</v>
      </c>
      <c r="H593" s="6" t="str">
        <f>IFERROR(__xludf.DUMMYFUNCTION("""COMPUTED_VALUE"""),"generation")</f>
        <v>generation</v>
      </c>
      <c r="I593" s="6" t="str">
        <f>IFERROR(__xludf.DUMMYFUNCTION("""COMPUTED_VALUE"""),"studios")</f>
        <v>studios</v>
      </c>
      <c r="J593" s="6" t="str">
        <f>IFERROR(__xludf.DUMMYFUNCTION("""COMPUTED_VALUE"""),"acute")</f>
        <v>acute</v>
      </c>
      <c r="L593" s="6" t="str">
        <f>IFERROR(__xludf.DUMMYFUNCTION("""COMPUTED_VALUE"""),"splash")</f>
        <v>splash</v>
      </c>
      <c r="M593" s="6"/>
      <c r="N593" s="6" t="str">
        <f>IFERROR(__xludf.DUMMYFUNCTION("""COMPUTED_VALUE"""),"collateral")</f>
        <v>collateral</v>
      </c>
      <c r="P593" s="6" t="str">
        <f>IFERROR(__xludf.DUMMYFUNCTION("""COMPUTED_VALUE"""),"wore")</f>
        <v>wore</v>
      </c>
      <c r="Q593" s="6" t="str">
        <f>IFERROR(__xludf.DUMMYFUNCTION("""COMPUTED_VALUE"""),"pile")</f>
        <v>pile</v>
      </c>
      <c r="S593" s="6" t="str">
        <f>IFERROR(__xludf.DUMMYFUNCTION("""COMPUTED_VALUE"""),"perspective")</f>
        <v>perspective</v>
      </c>
    </row>
    <row r="594">
      <c r="D594" s="6"/>
      <c r="G594" s="6" t="str">
        <f>IFERROR(__xludf.DUMMYFUNCTION("""COMPUTED_VALUE"""),"leigh")</f>
        <v>leigh</v>
      </c>
      <c r="H594" s="6" t="str">
        <f>IFERROR(__xludf.DUMMYFUNCTION("""COMPUTED_VALUE"""),"episodes")</f>
        <v>episodes</v>
      </c>
      <c r="I594" s="6" t="str">
        <f>IFERROR(__xludf.DUMMYFUNCTION("""COMPUTED_VALUE"""),"laboratory")</f>
        <v>laboratory</v>
      </c>
      <c r="J594" s="6" t="str">
        <f>IFERROR(__xludf.DUMMYFUNCTION("""COMPUTED_VALUE"""),"splendid")</f>
        <v>splendid</v>
      </c>
      <c r="L594" s="6" t="str">
        <f>IFERROR(__xludf.DUMMYFUNCTION("""COMPUTED_VALUE"""),"combat")</f>
        <v>combat</v>
      </c>
      <c r="M594" s="6"/>
      <c r="N594" s="6" t="str">
        <f>IFERROR(__xludf.DUMMYFUNCTION("""COMPUTED_VALUE"""),"grasp")</f>
        <v>grasp</v>
      </c>
      <c r="P594" s="6" t="str">
        <f>IFERROR(__xludf.DUMMYFUNCTION("""COMPUTED_VALUE"""),"motion")</f>
        <v>motion</v>
      </c>
      <c r="Q594" s="6" t="str">
        <f>IFERROR(__xludf.DUMMYFUNCTION("""COMPUTED_VALUE"""),"pathology")</f>
        <v>pathology</v>
      </c>
      <c r="S594" s="6" t="str">
        <f>IFERROR(__xludf.DUMMYFUNCTION("""COMPUTED_VALUE"""),"davies")</f>
        <v>davies</v>
      </c>
    </row>
    <row r="595">
      <c r="D595" s="6"/>
      <c r="H595" s="6" t="str">
        <f>IFERROR(__xludf.DUMMYFUNCTION("""COMPUTED_VALUE"""),"bile")</f>
        <v>bile</v>
      </c>
      <c r="I595" s="6" t="str">
        <f>IFERROR(__xludf.DUMMYFUNCTION("""COMPUTED_VALUE"""),"consequences")</f>
        <v>consequences</v>
      </c>
      <c r="J595" s="6" t="str">
        <f>IFERROR(__xludf.DUMMYFUNCTION("""COMPUTED_VALUE"""),"absorbing")</f>
        <v>absorbing</v>
      </c>
      <c r="L595" s="6" t="str">
        <f>IFERROR(__xludf.DUMMYFUNCTION("""COMPUTED_VALUE"""),"prejudice")</f>
        <v>prejudice</v>
      </c>
      <c r="M595" s="6"/>
      <c r="N595" s="6" t="str">
        <f>IFERROR(__xludf.DUMMYFUNCTION("""COMPUTED_VALUE"""),"explores")</f>
        <v>explores</v>
      </c>
      <c r="P595" s="6" t="str">
        <f>IFERROR(__xludf.DUMMYFUNCTION("""COMPUTED_VALUE"""),"ends")</f>
        <v>ends</v>
      </c>
      <c r="Q595" s="6" t="str">
        <f>IFERROR(__xludf.DUMMYFUNCTION("""COMPUTED_VALUE"""),"souls")</f>
        <v>souls</v>
      </c>
      <c r="S595" s="6" t="str">
        <f>IFERROR(__xludf.DUMMYFUNCTION("""COMPUTED_VALUE"""),"father")</f>
        <v>father</v>
      </c>
    </row>
    <row r="596">
      <c r="D596" s="6"/>
      <c r="H596" s="6" t="str">
        <f>IFERROR(__xludf.DUMMYFUNCTION("""COMPUTED_VALUE"""),"faulty")</f>
        <v>faulty</v>
      </c>
      <c r="I596" s="6" t="str">
        <f>IFERROR(__xludf.DUMMYFUNCTION("""COMPUTED_VALUE"""),"later")</f>
        <v>later</v>
      </c>
      <c r="J596" s="6" t="str">
        <f>IFERROR(__xludf.DUMMYFUNCTION("""COMPUTED_VALUE"""),"spirituality")</f>
        <v>spirituality</v>
      </c>
      <c r="L596" s="6" t="str">
        <f>IFERROR(__xludf.DUMMYFUNCTION("""COMPUTED_VALUE"""),"screenwriter")</f>
        <v>screenwriter</v>
      </c>
      <c r="M596" s="6"/>
      <c r="N596" s="6" t="str">
        <f>IFERROR(__xludf.DUMMYFUNCTION("""COMPUTED_VALUE"""),"exploit")</f>
        <v>exploit</v>
      </c>
      <c r="P596" s="6" t="str">
        <f>IFERROR(__xludf.DUMMYFUNCTION("""COMPUTED_VALUE"""),"score")</f>
        <v>score</v>
      </c>
      <c r="Q596" s="6" t="str">
        <f>IFERROR(__xludf.DUMMYFUNCTION("""COMPUTED_VALUE"""),"adventure")</f>
        <v>adventure</v>
      </c>
      <c r="S596" s="6" t="str">
        <f>IFERROR(__xludf.DUMMYFUNCTION("""COMPUTED_VALUE"""),"domestic")</f>
        <v>domestic</v>
      </c>
    </row>
    <row r="597">
      <c r="D597" s="6"/>
      <c r="H597" s="6" t="str">
        <f>IFERROR(__xludf.DUMMYFUNCTION("""COMPUTED_VALUE"""),"amused")</f>
        <v>amused</v>
      </c>
      <c r="I597" s="6" t="str">
        <f>IFERROR(__xludf.DUMMYFUNCTION("""COMPUTED_VALUE"""),"jonathan")</f>
        <v>jonathan</v>
      </c>
      <c r="J597" s="6" t="str">
        <f>IFERROR(__xludf.DUMMYFUNCTION("""COMPUTED_VALUE"""),"treatise")</f>
        <v>treatise</v>
      </c>
      <c r="L597" s="6" t="str">
        <f>IFERROR(__xludf.DUMMYFUNCTION("""COMPUTED_VALUE"""),"lifeless")</f>
        <v>lifeless</v>
      </c>
      <c r="M597" s="6"/>
      <c r="N597" s="6" t="str">
        <f>IFERROR(__xludf.DUMMYFUNCTION("""COMPUTED_VALUE"""),"malcolm")</f>
        <v>malcolm</v>
      </c>
      <c r="P597" s="6" t="str">
        <f>IFERROR(__xludf.DUMMYFUNCTION("""COMPUTED_VALUE"""),"planet")</f>
        <v>planet</v>
      </c>
      <c r="Q597" s="6" t="str">
        <f>IFERROR(__xludf.DUMMYFUNCTION("""COMPUTED_VALUE"""),"substances")</f>
        <v>substances</v>
      </c>
      <c r="S597" s="6" t="str">
        <f>IFERROR(__xludf.DUMMYFUNCTION("""COMPUTED_VALUE"""),"office")</f>
        <v>office</v>
      </c>
    </row>
    <row r="598">
      <c r="D598" s="6"/>
      <c r="H598" s="6" t="str">
        <f>IFERROR(__xludf.DUMMYFUNCTION("""COMPUTED_VALUE"""),"skill")</f>
        <v>skill</v>
      </c>
      <c r="I598" s="6" t="str">
        <f>IFERROR(__xludf.DUMMYFUNCTION("""COMPUTED_VALUE"""),"critics")</f>
        <v>critics</v>
      </c>
      <c r="J598" s="6" t="str">
        <f>IFERROR(__xludf.DUMMYFUNCTION("""COMPUTED_VALUE"""),"liberation")</f>
        <v>liberation</v>
      </c>
      <c r="L598" s="6" t="str">
        <f>IFERROR(__xludf.DUMMYFUNCTION("""COMPUTED_VALUE"""),"rumor")</f>
        <v>rumor</v>
      </c>
      <c r="M598" s="6"/>
      <c r="N598" s="6" t="str">
        <f>IFERROR(__xludf.DUMMYFUNCTION("""COMPUTED_VALUE"""),"holocaust")</f>
        <v>holocaust</v>
      </c>
      <c r="P598" s="6" t="str">
        <f>IFERROR(__xludf.DUMMYFUNCTION("""COMPUTED_VALUE"""),"ethnic")</f>
        <v>ethnic</v>
      </c>
      <c r="Q598" s="6" t="str">
        <f>IFERROR(__xludf.DUMMYFUNCTION("""COMPUTED_VALUE"""),"subjected")</f>
        <v>subjected</v>
      </c>
      <c r="S598" s="6" t="str">
        <f>IFERROR(__xludf.DUMMYFUNCTION("""COMPUTED_VALUE"""),"holiday")</f>
        <v>holiday</v>
      </c>
    </row>
    <row r="599">
      <c r="D599" s="6"/>
      <c r="H599" s="6" t="str">
        <f>IFERROR(__xludf.DUMMYFUNCTION("""COMPUTED_VALUE"""),"vampire")</f>
        <v>vampire</v>
      </c>
      <c r="I599" s="6" t="str">
        <f>IFERROR(__xludf.DUMMYFUNCTION("""COMPUTED_VALUE"""),"explains")</f>
        <v>explains</v>
      </c>
      <c r="J599" s="6" t="str">
        <f>IFERROR(__xludf.DUMMYFUNCTION("""COMPUTED_VALUE"""),"caine")</f>
        <v>caine</v>
      </c>
      <c r="L599" s="6" t="str">
        <f>IFERROR(__xludf.DUMMYFUNCTION("""COMPUTED_VALUE"""),"element")</f>
        <v>element</v>
      </c>
      <c r="M599" s="6"/>
      <c r="N599" s="6" t="str">
        <f>IFERROR(__xludf.DUMMYFUNCTION("""COMPUTED_VALUE"""),"streamed")</f>
        <v>streamed</v>
      </c>
      <c r="P599" s="6" t="str">
        <f>IFERROR(__xludf.DUMMYFUNCTION("""COMPUTED_VALUE"""),"journey")</f>
        <v>journey</v>
      </c>
      <c r="Q599" s="6" t="str">
        <f>IFERROR(__xludf.DUMMYFUNCTION("""COMPUTED_VALUE"""),"racism")</f>
        <v>racism</v>
      </c>
      <c r="S599" s="6" t="str">
        <f>IFERROR(__xludf.DUMMYFUNCTION("""COMPUTED_VALUE"""),"extended")</f>
        <v>extended</v>
      </c>
    </row>
    <row r="600">
      <c r="D600" s="6"/>
      <c r="H600" s="6" t="str">
        <f>IFERROR(__xludf.DUMMYFUNCTION("""COMPUTED_VALUE"""),"determined")</f>
        <v>determined</v>
      </c>
      <c r="I600" s="6" t="str">
        <f>IFERROR(__xludf.DUMMYFUNCTION("""COMPUTED_VALUE"""),"ones")</f>
        <v>ones</v>
      </c>
      <c r="J600" s="6" t="str">
        <f>IFERROR(__xludf.DUMMYFUNCTION("""COMPUTED_VALUE"""),"punching")</f>
        <v>punching</v>
      </c>
      <c r="L600" s="6" t="str">
        <f>IFERROR(__xludf.DUMMYFUNCTION("""COMPUTED_VALUE"""),"depiction")</f>
        <v>depiction</v>
      </c>
      <c r="M600" s="6"/>
      <c r="N600" s="6" t="str">
        <f>IFERROR(__xludf.DUMMYFUNCTION("""COMPUTED_VALUE"""),"stone")</f>
        <v>stone</v>
      </c>
      <c r="P600" s="6" t="str">
        <f>IFERROR(__xludf.DUMMYFUNCTION("""COMPUTED_VALUE"""),"marina")</f>
        <v>marina</v>
      </c>
      <c r="Q600" s="6" t="str">
        <f>IFERROR(__xludf.DUMMYFUNCTION("""COMPUTED_VALUE"""),"edge")</f>
        <v>edge</v>
      </c>
      <c r="S600" s="6" t="str">
        <f>IFERROR(__xludf.DUMMYFUNCTION("""COMPUTED_VALUE"""),"poem")</f>
        <v>poem</v>
      </c>
    </row>
    <row r="601">
      <c r="D601" s="6"/>
      <c r="H601" s="6" t="str">
        <f>IFERROR(__xludf.DUMMYFUNCTION("""COMPUTED_VALUE"""),"typical")</f>
        <v>typical</v>
      </c>
      <c r="I601" s="6" t="str">
        <f>IFERROR(__xludf.DUMMYFUNCTION("""COMPUTED_VALUE"""),"songs")</f>
        <v>songs</v>
      </c>
      <c r="J601" s="6" t="str">
        <f>IFERROR(__xludf.DUMMYFUNCTION("""COMPUTED_VALUE"""),"dynamic")</f>
        <v>dynamic</v>
      </c>
      <c r="L601" s="6" t="str">
        <f>IFERROR(__xludf.DUMMYFUNCTION("""COMPUTED_VALUE"""),"paxton")</f>
        <v>paxton</v>
      </c>
      <c r="M601" s="6"/>
      <c r="N601" s="6" t="str">
        <f>IFERROR(__xludf.DUMMYFUNCTION("""COMPUTED_VALUE"""),"chronicle")</f>
        <v>chronicle</v>
      </c>
      <c r="P601" s="6" t="str">
        <f>IFERROR(__xludf.DUMMYFUNCTION("""COMPUTED_VALUE"""),"holly")</f>
        <v>holly</v>
      </c>
      <c r="Q601" s="6" t="str">
        <f>IFERROR(__xludf.DUMMYFUNCTION("""COMPUTED_VALUE"""),"satire")</f>
        <v>satire</v>
      </c>
      <c r="S601" s="6" t="str">
        <f>IFERROR(__xludf.DUMMYFUNCTION("""COMPUTED_VALUE"""),"patient")</f>
        <v>patient</v>
      </c>
    </row>
    <row r="602">
      <c r="D602" s="6"/>
      <c r="H602" s="6" t="str">
        <f>IFERROR(__xludf.DUMMYFUNCTION("""COMPUTED_VALUE"""),"fierce")</f>
        <v>fierce</v>
      </c>
      <c r="I602" s="6" t="str">
        <f>IFERROR(__xludf.DUMMYFUNCTION("""COMPUTED_VALUE"""),"committed")</f>
        <v>committed</v>
      </c>
      <c r="J602" s="6" t="str">
        <f>IFERROR(__xludf.DUMMYFUNCTION("""COMPUTED_VALUE"""),"moved")</f>
        <v>moved</v>
      </c>
      <c r="L602" s="6" t="str">
        <f>IFERROR(__xludf.DUMMYFUNCTION("""COMPUTED_VALUE"""),"forster")</f>
        <v>forster</v>
      </c>
      <c r="M602" s="6"/>
      <c r="N602" s="6" t="str">
        <f>IFERROR(__xludf.DUMMYFUNCTION("""COMPUTED_VALUE"""),"adaptations")</f>
        <v>adaptations</v>
      </c>
      <c r="P602" s="6" t="str">
        <f>IFERROR(__xludf.DUMMYFUNCTION("""COMPUTED_VALUE"""),"dare")</f>
        <v>dare</v>
      </c>
      <c r="Q602" s="6" t="str">
        <f>IFERROR(__xludf.DUMMYFUNCTION("""COMPUTED_VALUE"""),"debuts")</f>
        <v>debuts</v>
      </c>
      <c r="S602" s="6" t="str">
        <f>IFERROR(__xludf.DUMMYFUNCTION("""COMPUTED_VALUE"""),"seven")</f>
        <v>seven</v>
      </c>
    </row>
    <row r="603">
      <c r="D603" s="6"/>
      <c r="H603" s="6" t="str">
        <f>IFERROR(__xludf.DUMMYFUNCTION("""COMPUTED_VALUE"""),"crippled")</f>
        <v>crippled</v>
      </c>
      <c r="I603" s="6" t="str">
        <f>IFERROR(__xludf.DUMMYFUNCTION("""COMPUTED_VALUE"""),"commanding")</f>
        <v>commanding</v>
      </c>
      <c r="J603" s="6" t="str">
        <f>IFERROR(__xludf.DUMMYFUNCTION("""COMPUTED_VALUE"""),"reckless")</f>
        <v>reckless</v>
      </c>
      <c r="L603" s="6" t="str">
        <f>IFERROR(__xludf.DUMMYFUNCTION("""COMPUTED_VALUE"""),"levy")</f>
        <v>levy</v>
      </c>
      <c r="M603" s="6"/>
      <c r="N603" s="6" t="str">
        <f>IFERROR(__xludf.DUMMYFUNCTION("""COMPUTED_VALUE"""),"ripe")</f>
        <v>ripe</v>
      </c>
      <c r="P603" s="6" t="str">
        <f>IFERROR(__xludf.DUMMYFUNCTION("""COMPUTED_VALUE"""),"evolution")</f>
        <v>evolution</v>
      </c>
      <c r="Q603" s="6" t="str">
        <f>IFERROR(__xludf.DUMMYFUNCTION("""COMPUTED_VALUE"""),"teddy")</f>
        <v>teddy</v>
      </c>
      <c r="S603" s="6" t="str">
        <f>IFERROR(__xludf.DUMMYFUNCTION("""COMPUTED_VALUE"""),"pile")</f>
        <v>pile</v>
      </c>
    </row>
    <row r="604">
      <c r="D604" s="6"/>
      <c r="H604" s="6" t="str">
        <f>IFERROR(__xludf.DUMMYFUNCTION("""COMPUTED_VALUE"""),"tragedy")</f>
        <v>tragedy</v>
      </c>
      <c r="I604" s="6" t="str">
        <f>IFERROR(__xludf.DUMMYFUNCTION("""COMPUTED_VALUE"""),"figured")</f>
        <v>figured</v>
      </c>
      <c r="J604" s="6" t="str">
        <f>IFERROR(__xludf.DUMMYFUNCTION("""COMPUTED_VALUE"""),"strain")</f>
        <v>strain</v>
      </c>
      <c r="L604" s="6" t="str">
        <f>IFERROR(__xludf.DUMMYFUNCTION("""COMPUTED_VALUE"""),"brains")</f>
        <v>brains</v>
      </c>
      <c r="M604" s="6"/>
      <c r="N604" s="6" t="str">
        <f>IFERROR(__xludf.DUMMYFUNCTION("""COMPUTED_VALUE"""),"characterized")</f>
        <v>characterized</v>
      </c>
      <c r="P604" s="6" t="str">
        <f>IFERROR(__xludf.DUMMYFUNCTION("""COMPUTED_VALUE"""),"greater")</f>
        <v>greater</v>
      </c>
      <c r="Q604" s="6" t="str">
        <f>IFERROR(__xludf.DUMMYFUNCTION("""COMPUTED_VALUE"""),"courage")</f>
        <v>courage</v>
      </c>
      <c r="S604" s="6" t="str">
        <f>IFERROR(__xludf.DUMMYFUNCTION("""COMPUTED_VALUE"""),"efficiency")</f>
        <v>efficiency</v>
      </c>
    </row>
    <row r="605">
      <c r="D605" s="6"/>
      <c r="H605" s="6" t="str">
        <f>IFERROR(__xludf.DUMMYFUNCTION("""COMPUTED_VALUE"""),"repetitive")</f>
        <v>repetitive</v>
      </c>
      <c r="I605" s="6" t="str">
        <f>IFERROR(__xludf.DUMMYFUNCTION("""COMPUTED_VALUE"""),"dismissed")</f>
        <v>dismissed</v>
      </c>
      <c r="J605" s="6" t="str">
        <f>IFERROR(__xludf.DUMMYFUNCTION("""COMPUTED_VALUE"""),"gripping")</f>
        <v>gripping</v>
      </c>
      <c r="L605" s="6" t="str">
        <f>IFERROR(__xludf.DUMMYFUNCTION("""COMPUTED_VALUE"""),"flesh")</f>
        <v>flesh</v>
      </c>
      <c r="M605" s="6"/>
      <c r="N605" s="6" t="str">
        <f>IFERROR(__xludf.DUMMYFUNCTION("""COMPUTED_VALUE"""),"marquis")</f>
        <v>marquis</v>
      </c>
      <c r="P605" s="6" t="str">
        <f>IFERROR(__xludf.DUMMYFUNCTION("""COMPUTED_VALUE"""),"tired")</f>
        <v>tired</v>
      </c>
      <c r="Q605" s="6" t="str">
        <f>IFERROR(__xludf.DUMMYFUNCTION("""COMPUTED_VALUE"""),"top")</f>
        <v>top</v>
      </c>
      <c r="S605" s="6" t="str">
        <f>IFERROR(__xludf.DUMMYFUNCTION("""COMPUTED_VALUE"""),"tell")</f>
        <v>tell</v>
      </c>
    </row>
    <row r="606">
      <c r="D606" s="6"/>
      <c r="H606" s="6" t="str">
        <f>IFERROR(__xludf.DUMMYFUNCTION("""COMPUTED_VALUE"""),"melancholy")</f>
        <v>melancholy</v>
      </c>
      <c r="I606" s="6" t="str">
        <f>IFERROR(__xludf.DUMMYFUNCTION("""COMPUTED_VALUE"""),"forced")</f>
        <v>forced</v>
      </c>
      <c r="J606" s="6" t="str">
        <f>IFERROR(__xludf.DUMMYFUNCTION("""COMPUTED_VALUE"""),"startling")</f>
        <v>startling</v>
      </c>
      <c r="L606" s="6" t="str">
        <f>IFERROR(__xludf.DUMMYFUNCTION("""COMPUTED_VALUE"""),"drastic")</f>
        <v>drastic</v>
      </c>
      <c r="M606" s="6"/>
      <c r="N606" s="6" t="str">
        <f>IFERROR(__xludf.DUMMYFUNCTION("""COMPUTED_VALUE"""),"menace")</f>
        <v>menace</v>
      </c>
      <c r="P606" s="6" t="str">
        <f>IFERROR(__xludf.DUMMYFUNCTION("""COMPUTED_VALUE"""),"mark")</f>
        <v>mark</v>
      </c>
      <c r="Q606" s="6" t="str">
        <f>IFERROR(__xludf.DUMMYFUNCTION("""COMPUTED_VALUE"""),"embracing")</f>
        <v>embracing</v>
      </c>
      <c r="S606" s="6" t="str">
        <f>IFERROR(__xludf.DUMMYFUNCTION("""COMPUTED_VALUE"""),"souls")</f>
        <v>souls</v>
      </c>
    </row>
    <row r="607">
      <c r="D607" s="6"/>
      <c r="H607" s="6" t="str">
        <f>IFERROR(__xludf.DUMMYFUNCTION("""COMPUTED_VALUE"""),"fallen")</f>
        <v>fallen</v>
      </c>
      <c r="I607" s="6" t="str">
        <f>IFERROR(__xludf.DUMMYFUNCTION("""COMPUTED_VALUE"""),"revolution")</f>
        <v>revolution</v>
      </c>
      <c r="J607" s="6" t="str">
        <f>IFERROR(__xludf.DUMMYFUNCTION("""COMPUTED_VALUE"""),"transformation")</f>
        <v>transformation</v>
      </c>
      <c r="L607" s="6" t="str">
        <f>IFERROR(__xludf.DUMMYFUNCTION("""COMPUTED_VALUE"""),"fantasies")</f>
        <v>fantasies</v>
      </c>
      <c r="M607" s="6"/>
      <c r="N607" s="6" t="str">
        <f>IFERROR(__xludf.DUMMYFUNCTION("""COMPUTED_VALUE"""),"sufficiently")</f>
        <v>sufficiently</v>
      </c>
      <c r="P607" s="6" t="str">
        <f>IFERROR(__xludf.DUMMYFUNCTION("""COMPUTED_VALUE"""),"skin")</f>
        <v>skin</v>
      </c>
      <c r="Q607" s="6" t="str">
        <f>IFERROR(__xludf.DUMMYFUNCTION("""COMPUTED_VALUE"""),"intellectual")</f>
        <v>intellectual</v>
      </c>
      <c r="S607" s="6" t="str">
        <f>IFERROR(__xludf.DUMMYFUNCTION("""COMPUTED_VALUE"""),"adventure")</f>
        <v>adventure</v>
      </c>
    </row>
    <row r="608">
      <c r="D608" s="6"/>
      <c r="H608" s="6" t="str">
        <f>IFERROR(__xludf.DUMMYFUNCTION("""COMPUTED_VALUE"""),"spell")</f>
        <v>spell</v>
      </c>
      <c r="I608" s="6" t="str">
        <f>IFERROR(__xludf.DUMMYFUNCTION("""COMPUTED_VALUE"""),"gear")</f>
        <v>gear</v>
      </c>
      <c r="J608" s="6" t="str">
        <f>IFERROR(__xludf.DUMMYFUNCTION("""COMPUTED_VALUE"""),"widow")</f>
        <v>widow</v>
      </c>
      <c r="L608" s="6" t="str">
        <f>IFERROR(__xludf.DUMMYFUNCTION("""COMPUTED_VALUE"""),"illness")</f>
        <v>illness</v>
      </c>
      <c r="M608" s="6"/>
      <c r="N608" s="6" t="str">
        <f>IFERROR(__xludf.DUMMYFUNCTION("""COMPUTED_VALUE"""),"fingered")</f>
        <v>fingered</v>
      </c>
      <c r="P608" s="6" t="str">
        <f>IFERROR(__xludf.DUMMYFUNCTION("""COMPUTED_VALUE"""),"escaped")</f>
        <v>escaped</v>
      </c>
      <c r="Q608" s="6" t="str">
        <f>IFERROR(__xludf.DUMMYFUNCTION("""COMPUTED_VALUE"""),"test")</f>
        <v>test</v>
      </c>
      <c r="S608" s="6" t="str">
        <f>IFERROR(__xludf.DUMMYFUNCTION("""COMPUTED_VALUE"""),"immediate")</f>
        <v>immediate</v>
      </c>
    </row>
    <row r="609">
      <c r="D609" s="6"/>
      <c r="H609" s="6" t="str">
        <f>IFERROR(__xludf.DUMMYFUNCTION("""COMPUTED_VALUE"""),"brutally")</f>
        <v>brutally</v>
      </c>
      <c r="I609" s="6" t="str">
        <f>IFERROR(__xludf.DUMMYFUNCTION("""COMPUTED_VALUE"""),"technology")</f>
        <v>technology</v>
      </c>
      <c r="J609" s="6" t="str">
        <f>IFERROR(__xludf.DUMMYFUNCTION("""COMPUTED_VALUE"""),"tunisian")</f>
        <v>tunisian</v>
      </c>
      <c r="L609" s="6" t="str">
        <f>IFERROR(__xludf.DUMMYFUNCTION("""COMPUTED_VALUE"""),"canadians")</f>
        <v>canadians</v>
      </c>
      <c r="M609" s="6"/>
      <c r="N609" s="6" t="str">
        <f>IFERROR(__xludf.DUMMYFUNCTION("""COMPUTED_VALUE"""),"characterization")</f>
        <v>characterization</v>
      </c>
      <c r="P609" s="6" t="str">
        <f>IFERROR(__xludf.DUMMYFUNCTION("""COMPUTED_VALUE"""),"kennedy")</f>
        <v>kennedy</v>
      </c>
      <c r="Q609" s="6" t="str">
        <f>IFERROR(__xludf.DUMMYFUNCTION("""COMPUTED_VALUE"""),"meditation")</f>
        <v>meditation</v>
      </c>
      <c r="S609" s="6" t="str">
        <f>IFERROR(__xludf.DUMMYFUNCTION("""COMPUTED_VALUE"""),"convince")</f>
        <v>convince</v>
      </c>
    </row>
    <row r="610">
      <c r="D610" s="6"/>
      <c r="H610" s="6" t="str">
        <f>IFERROR(__xludf.DUMMYFUNCTION("""COMPUTED_VALUE"""),"tolerate")</f>
        <v>tolerate</v>
      </c>
      <c r="I610" s="6" t="str">
        <f>IFERROR(__xludf.DUMMYFUNCTION("""COMPUTED_VALUE"""),"status")</f>
        <v>status</v>
      </c>
      <c r="J610" s="6" t="str">
        <f>IFERROR(__xludf.DUMMYFUNCTION("""COMPUTED_VALUE"""),"french")</f>
        <v>french</v>
      </c>
      <c r="L610" s="6" t="str">
        <f>IFERROR(__xludf.DUMMYFUNCTION("""COMPUTED_VALUE"""),"portraying")</f>
        <v>portraying</v>
      </c>
      <c r="M610" s="6"/>
      <c r="N610" s="6" t="str">
        <f>IFERROR(__xludf.DUMMYFUNCTION("""COMPUTED_VALUE"""),"effectively")</f>
        <v>effectively</v>
      </c>
      <c r="P610" s="6" t="str">
        <f>IFERROR(__xludf.DUMMYFUNCTION("""COMPUTED_VALUE"""),"inspired")</f>
        <v>inspired</v>
      </c>
      <c r="Q610" s="6" t="str">
        <f>IFERROR(__xludf.DUMMYFUNCTION("""COMPUTED_VALUE"""),"moody")</f>
        <v>moody</v>
      </c>
      <c r="S610" s="6" t="str">
        <f>IFERROR(__xludf.DUMMYFUNCTION("""COMPUTED_VALUE"""),"edge")</f>
        <v>edge</v>
      </c>
    </row>
    <row r="611">
      <c r="D611" s="6"/>
      <c r="H611" s="6" t="str">
        <f>IFERROR(__xludf.DUMMYFUNCTION("""COMPUTED_VALUE"""),"scandal")</f>
        <v>scandal</v>
      </c>
      <c r="I611" s="6" t="str">
        <f>IFERROR(__xludf.DUMMYFUNCTION("""COMPUTED_VALUE"""),"pat")</f>
        <v>pat</v>
      </c>
      <c r="J611" s="6" t="str">
        <f>IFERROR(__xludf.DUMMYFUNCTION("""COMPUTED_VALUE"""),"spotlight")</f>
        <v>spotlight</v>
      </c>
      <c r="L611" s="6" t="str">
        <f>IFERROR(__xludf.DUMMYFUNCTION("""COMPUTED_VALUE"""),"revenge")</f>
        <v>revenge</v>
      </c>
      <c r="M611" s="6"/>
      <c r="N611" s="6" t="str">
        <f>IFERROR(__xludf.DUMMYFUNCTION("""COMPUTED_VALUE"""),"chases")</f>
        <v>chases</v>
      </c>
      <c r="P611" s="6" t="str">
        <f>IFERROR(__xludf.DUMMYFUNCTION("""COMPUTED_VALUE"""),"attempt")</f>
        <v>attempt</v>
      </c>
      <c r="Q611" s="6" t="str">
        <f>IFERROR(__xludf.DUMMYFUNCTION("""COMPUTED_VALUE"""),"outsiders")</f>
        <v>outsiders</v>
      </c>
      <c r="S611" s="6" t="str">
        <f>IFERROR(__xludf.DUMMYFUNCTION("""COMPUTED_VALUE"""),"top")</f>
        <v>top</v>
      </c>
    </row>
    <row r="612">
      <c r="D612" s="6"/>
      <c r="H612" s="6" t="str">
        <f>IFERROR(__xludf.DUMMYFUNCTION("""COMPUTED_VALUE"""),"baroque")</f>
        <v>baroque</v>
      </c>
      <c r="I612" s="6" t="str">
        <f>IFERROR(__xludf.DUMMYFUNCTION("""COMPUTED_VALUE"""),"dubbed")</f>
        <v>dubbed</v>
      </c>
      <c r="J612" s="6" t="str">
        <f>IFERROR(__xludf.DUMMYFUNCTION("""COMPUTED_VALUE"""),"devoid")</f>
        <v>devoid</v>
      </c>
      <c r="L612" s="6" t="str">
        <f>IFERROR(__xludf.DUMMYFUNCTION("""COMPUTED_VALUE"""),"clouds")</f>
        <v>clouds</v>
      </c>
      <c r="M612" s="6"/>
      <c r="N612" s="6">
        <f>IFERROR(__xludf.DUMMYFUNCTION("""COMPUTED_VALUE"""),94.0)</f>
        <v>94</v>
      </c>
      <c r="P612" s="6" t="str">
        <f>IFERROR(__xludf.DUMMYFUNCTION("""COMPUTED_VALUE"""),"soundtrack")</f>
        <v>soundtrack</v>
      </c>
      <c r="Q612" s="6" t="str">
        <f>IFERROR(__xludf.DUMMYFUNCTION("""COMPUTED_VALUE"""),"observations")</f>
        <v>observations</v>
      </c>
      <c r="S612" s="6" t="str">
        <f>IFERROR(__xludf.DUMMYFUNCTION("""COMPUTED_VALUE"""),"courage")</f>
        <v>courage</v>
      </c>
    </row>
    <row r="613">
      <c r="D613" s="6"/>
      <c r="H613" s="6" t="str">
        <f>IFERROR(__xludf.DUMMYFUNCTION("""COMPUTED_VALUE"""),"breadth")</f>
        <v>breadth</v>
      </c>
      <c r="I613" s="6" t="str">
        <f>IFERROR(__xludf.DUMMYFUNCTION("""COMPUTED_VALUE"""),"turkey")</f>
        <v>turkey</v>
      </c>
      <c r="J613" s="6" t="str">
        <f>IFERROR(__xludf.DUMMYFUNCTION("""COMPUTED_VALUE"""),"fatal")</f>
        <v>fatal</v>
      </c>
      <c r="L613" s="6" t="str">
        <f>IFERROR(__xludf.DUMMYFUNCTION("""COMPUTED_VALUE"""),"rejected")</f>
        <v>rejected</v>
      </c>
      <c r="M613" s="6"/>
      <c r="N613" s="6" t="str">
        <f>IFERROR(__xludf.DUMMYFUNCTION("""COMPUTED_VALUE"""),"sleek")</f>
        <v>sleek</v>
      </c>
      <c r="P613" s="6" t="str">
        <f>IFERROR(__xludf.DUMMYFUNCTION("""COMPUTED_VALUE"""),"concepts")</f>
        <v>concepts</v>
      </c>
      <c r="Q613" s="6" t="str">
        <f>IFERROR(__xludf.DUMMYFUNCTION("""COMPUTED_VALUE"""),"filled")</f>
        <v>filled</v>
      </c>
      <c r="S613" s="6" t="str">
        <f>IFERROR(__xludf.DUMMYFUNCTION("""COMPUTED_VALUE"""),"target")</f>
        <v>target</v>
      </c>
    </row>
    <row r="614">
      <c r="D614" s="6"/>
      <c r="H614" s="6" t="str">
        <f>IFERROR(__xludf.DUMMYFUNCTION("""COMPUTED_VALUE"""),"poverty")</f>
        <v>poverty</v>
      </c>
      <c r="I614" s="6" t="str">
        <f>IFERROR(__xludf.DUMMYFUNCTION("""COMPUTED_VALUE"""),"documented")</f>
        <v>documented</v>
      </c>
      <c r="J614" s="6" t="str">
        <f>IFERROR(__xludf.DUMMYFUNCTION("""COMPUTED_VALUE"""),"desperation")</f>
        <v>desperation</v>
      </c>
      <c r="L614" s="6" t="str">
        <f>IFERROR(__xludf.DUMMYFUNCTION("""COMPUTED_VALUE"""),"directs")</f>
        <v>directs</v>
      </c>
      <c r="M614" s="6"/>
      <c r="N614" s="6" t="str">
        <f>IFERROR(__xludf.DUMMYFUNCTION("""COMPUTED_VALUE"""),"powers")</f>
        <v>powers</v>
      </c>
      <c r="P614" s="6" t="str">
        <f>IFERROR(__xludf.DUMMYFUNCTION("""COMPUTED_VALUE"""),"layers")</f>
        <v>layers</v>
      </c>
      <c r="Q614" s="6" t="str">
        <f>IFERROR(__xludf.DUMMYFUNCTION("""COMPUTED_VALUE"""),"bore")</f>
        <v>bore</v>
      </c>
      <c r="S614" s="6" t="str">
        <f>IFERROR(__xludf.DUMMYFUNCTION("""COMPUTED_VALUE"""),"test")</f>
        <v>test</v>
      </c>
    </row>
    <row r="615">
      <c r="D615" s="6"/>
      <c r="H615" s="6" t="str">
        <f>IFERROR(__xludf.DUMMYFUNCTION("""COMPUTED_VALUE"""),"hardship")</f>
        <v>hardship</v>
      </c>
      <c r="I615" s="6" t="str">
        <f>IFERROR(__xludf.DUMMYFUNCTION("""COMPUTED_VALUE"""),"english")</f>
        <v>english</v>
      </c>
      <c r="J615" s="6" t="str">
        <f>IFERROR(__xludf.DUMMYFUNCTION("""COMPUTED_VALUE"""),"glossy")</f>
        <v>glossy</v>
      </c>
      <c r="L615" s="6" t="str">
        <f>IFERROR(__xludf.DUMMYFUNCTION("""COMPUTED_VALUE"""),"holden")</f>
        <v>holden</v>
      </c>
      <c r="M615" s="6"/>
      <c r="N615" s="6" t="str">
        <f>IFERROR(__xludf.DUMMYFUNCTION("""COMPUTED_VALUE"""),"stealing")</f>
        <v>stealing</v>
      </c>
      <c r="P615" s="6" t="str">
        <f>IFERROR(__xludf.DUMMYFUNCTION("""COMPUTED_VALUE"""),"deadly")</f>
        <v>deadly</v>
      </c>
      <c r="Q615" s="6" t="str">
        <f>IFERROR(__xludf.DUMMYFUNCTION("""COMPUTED_VALUE"""),"involving")</f>
        <v>involving</v>
      </c>
      <c r="S615" s="6" t="str">
        <f>IFERROR(__xludf.DUMMYFUNCTION("""COMPUTED_VALUE"""),"intellectual")</f>
        <v>intellectual</v>
      </c>
    </row>
    <row r="616">
      <c r="D616" s="6"/>
      <c r="H616" s="6" t="str">
        <f>IFERROR(__xludf.DUMMYFUNCTION("""COMPUTED_VALUE"""),"enthusiasm")</f>
        <v>enthusiasm</v>
      </c>
      <c r="I616" s="6" t="str">
        <f>IFERROR(__xludf.DUMMYFUNCTION("""COMPUTED_VALUE"""),"america")</f>
        <v>america</v>
      </c>
      <c r="J616" s="6" t="str">
        <f>IFERROR(__xludf.DUMMYFUNCTION("""COMPUTED_VALUE"""),"bollywood")</f>
        <v>bollywood</v>
      </c>
      <c r="L616" s="6" t="str">
        <f>IFERROR(__xludf.DUMMYFUNCTION("""COMPUTED_VALUE"""),"gore")</f>
        <v>gore</v>
      </c>
      <c r="M616" s="6"/>
      <c r="N616" s="6" t="str">
        <f>IFERROR(__xludf.DUMMYFUNCTION("""COMPUTED_VALUE"""),"fictional")</f>
        <v>fictional</v>
      </c>
      <c r="P616" s="6" t="str">
        <f>IFERROR(__xludf.DUMMYFUNCTION("""COMPUTED_VALUE"""),"striking")</f>
        <v>striking</v>
      </c>
      <c r="Q616" s="6" t="str">
        <f>IFERROR(__xludf.DUMMYFUNCTION("""COMPUTED_VALUE"""),"titular")</f>
        <v>titular</v>
      </c>
      <c r="S616" s="6" t="str">
        <f>IFERROR(__xludf.DUMMYFUNCTION("""COMPUTED_VALUE"""),"filled")</f>
        <v>filled</v>
      </c>
    </row>
    <row r="617">
      <c r="D617" s="6"/>
      <c r="H617" s="6" t="str">
        <f>IFERROR(__xludf.DUMMYFUNCTION("""COMPUTED_VALUE"""),"protagonists")</f>
        <v>protagonists</v>
      </c>
      <c r="I617" s="6" t="str">
        <f>IFERROR(__xludf.DUMMYFUNCTION("""COMPUTED_VALUE"""),"holds")</f>
        <v>holds</v>
      </c>
      <c r="J617" s="6" t="str">
        <f>IFERROR(__xludf.DUMMYFUNCTION("""COMPUTED_VALUE"""),"devastating")</f>
        <v>devastating</v>
      </c>
      <c r="L617" s="6" t="str">
        <f>IFERROR(__xludf.DUMMYFUNCTION("""COMPUTED_VALUE"""),"phenomenon")</f>
        <v>phenomenon</v>
      </c>
      <c r="M617" s="6"/>
      <c r="N617" s="6" t="str">
        <f>IFERROR(__xludf.DUMMYFUNCTION("""COMPUTED_VALUE"""),"velocity")</f>
        <v>velocity</v>
      </c>
      <c r="P617" s="6" t="str">
        <f>IFERROR(__xludf.DUMMYFUNCTION("""COMPUTED_VALUE"""),"impressive")</f>
        <v>impressive</v>
      </c>
      <c r="Q617" s="6" t="str">
        <f>IFERROR(__xludf.DUMMYFUNCTION("""COMPUTED_VALUE"""),"sequence")</f>
        <v>sequence</v>
      </c>
      <c r="S617" s="6" t="str">
        <f>IFERROR(__xludf.DUMMYFUNCTION("""COMPUTED_VALUE"""),"dealing")</f>
        <v>dealing</v>
      </c>
    </row>
    <row r="618">
      <c r="D618" s="6"/>
      <c r="H618" s="6" t="str">
        <f>IFERROR(__xludf.DUMMYFUNCTION("""COMPUTED_VALUE"""),"shoot")</f>
        <v>shoot</v>
      </c>
      <c r="I618" s="6" t="str">
        <f>IFERROR(__xludf.DUMMYFUNCTION("""COMPUTED_VALUE"""),"spike")</f>
        <v>spike</v>
      </c>
      <c r="J618" s="6" t="str">
        <f>IFERROR(__xludf.DUMMYFUNCTION("""COMPUTED_VALUE"""),"profoundly")</f>
        <v>profoundly</v>
      </c>
      <c r="L618" s="6" t="str">
        <f>IFERROR(__xludf.DUMMYFUNCTION("""COMPUTED_VALUE"""),"viewpoint")</f>
        <v>viewpoint</v>
      </c>
      <c r="M618" s="6"/>
      <c r="N618" s="6" t="str">
        <f>IFERROR(__xludf.DUMMYFUNCTION("""COMPUTED_VALUE"""),"miller")</f>
        <v>miller</v>
      </c>
      <c r="P618" s="6" t="str">
        <f>IFERROR(__xludf.DUMMYFUNCTION("""COMPUTED_VALUE"""),"king")</f>
        <v>king</v>
      </c>
      <c r="Q618" s="6" t="str">
        <f>IFERROR(__xludf.DUMMYFUNCTION("""COMPUTED_VALUE"""),"edited")</f>
        <v>edited</v>
      </c>
      <c r="S618" s="6" t="str">
        <f>IFERROR(__xludf.DUMMYFUNCTION("""COMPUTED_VALUE"""),"observations")</f>
        <v>observations</v>
      </c>
    </row>
    <row r="619">
      <c r="D619" s="6"/>
      <c r="H619" s="6" t="str">
        <f>IFERROR(__xludf.DUMMYFUNCTION("""COMPUTED_VALUE"""),"murder")</f>
        <v>murder</v>
      </c>
      <c r="I619" s="6" t="str">
        <f>IFERROR(__xludf.DUMMYFUNCTION("""COMPUTED_VALUE"""),"arguments")</f>
        <v>arguments</v>
      </c>
      <c r="J619" s="6" t="str">
        <f>IFERROR(__xludf.DUMMYFUNCTION("""COMPUTED_VALUE"""),"achievements")</f>
        <v>achievements</v>
      </c>
      <c r="L619" s="6" t="str">
        <f>IFERROR(__xludf.DUMMYFUNCTION("""COMPUTED_VALUE"""),"stretches")</f>
        <v>stretches</v>
      </c>
      <c r="M619" s="6"/>
      <c r="N619" s="6" t="str">
        <f>IFERROR(__xludf.DUMMYFUNCTION("""COMPUTED_VALUE"""),"zhang")</f>
        <v>zhang</v>
      </c>
      <c r="P619" s="6" t="str">
        <f>IFERROR(__xludf.DUMMYFUNCTION("""COMPUTED_VALUE"""),"middle")</f>
        <v>middle</v>
      </c>
      <c r="Q619" s="6" t="str">
        <f>IFERROR(__xludf.DUMMYFUNCTION("""COMPUTED_VALUE"""),"unnecessary")</f>
        <v>unnecessary</v>
      </c>
      <c r="S619" s="6" t="str">
        <f>IFERROR(__xludf.DUMMYFUNCTION("""COMPUTED_VALUE"""),"mostly")</f>
        <v>mostly</v>
      </c>
    </row>
    <row r="620">
      <c r="D620" s="6"/>
      <c r="H620" s="6" t="str">
        <f>IFERROR(__xludf.DUMMYFUNCTION("""COMPUTED_VALUE"""),"remarkably")</f>
        <v>remarkably</v>
      </c>
      <c r="I620" s="6" t="str">
        <f>IFERROR(__xludf.DUMMYFUNCTION("""COMPUTED_VALUE"""),"feat")</f>
        <v>feat</v>
      </c>
      <c r="J620" s="6" t="str">
        <f>IFERROR(__xludf.DUMMYFUNCTION("""COMPUTED_VALUE"""),"poetic")</f>
        <v>poetic</v>
      </c>
      <c r="L620" s="6" t="str">
        <f>IFERROR(__xludf.DUMMYFUNCTION("""COMPUTED_VALUE"""),"guts")</f>
        <v>guts</v>
      </c>
      <c r="M620" s="21"/>
      <c r="N620" s="6" t="str">
        <f>IFERROR(__xludf.DUMMYFUNCTION("""COMPUTED_VALUE"""),"observed")</f>
        <v>observed</v>
      </c>
      <c r="P620" s="6" t="str">
        <f>IFERROR(__xludf.DUMMYFUNCTION("""COMPUTED_VALUE"""),"biography")</f>
        <v>biography</v>
      </c>
      <c r="Q620" s="6" t="str">
        <f>IFERROR(__xludf.DUMMYFUNCTION("""COMPUTED_VALUE"""),"wholly")</f>
        <v>wholly</v>
      </c>
      <c r="S620" s="6" t="str">
        <f>IFERROR(__xludf.DUMMYFUNCTION("""COMPUTED_VALUE"""),"bore")</f>
        <v>bore</v>
      </c>
    </row>
    <row r="621">
      <c r="D621" s="6"/>
      <c r="H621" s="6" t="str">
        <f>IFERROR(__xludf.DUMMYFUNCTION("""COMPUTED_VALUE"""),"insistent")</f>
        <v>insistent</v>
      </c>
      <c r="I621" s="6" t="str">
        <f>IFERROR(__xludf.DUMMYFUNCTION("""COMPUTED_VALUE"""),"rising")</f>
        <v>rising</v>
      </c>
      <c r="J621" s="6" t="str">
        <f>IFERROR(__xludf.DUMMYFUNCTION("""COMPUTED_VALUE"""),"brilliance")</f>
        <v>brilliance</v>
      </c>
      <c r="L621" s="6" t="str">
        <f>IFERROR(__xludf.DUMMYFUNCTION("""COMPUTED_VALUE"""),"conception")</f>
        <v>conception</v>
      </c>
      <c r="M621" s="6"/>
      <c r="N621" s="6" t="str">
        <f>IFERROR(__xludf.DUMMYFUNCTION("""COMPUTED_VALUE"""),"fable")</f>
        <v>fable</v>
      </c>
      <c r="P621" s="6" t="str">
        <f>IFERROR(__xludf.DUMMYFUNCTION("""COMPUTED_VALUE"""),"animation")</f>
        <v>animation</v>
      </c>
      <c r="Q621" s="6" t="str">
        <f>IFERROR(__xludf.DUMMYFUNCTION("""COMPUTED_VALUE"""),"awkwardly")</f>
        <v>awkwardly</v>
      </c>
      <c r="S621" s="6" t="str">
        <f>IFERROR(__xludf.DUMMYFUNCTION("""COMPUTED_VALUE"""),"mix")</f>
        <v>mix</v>
      </c>
    </row>
    <row r="622">
      <c r="D622" s="6"/>
      <c r="H622" s="6" t="str">
        <f>IFERROR(__xludf.DUMMYFUNCTION("""COMPUTED_VALUE"""),"nausea")</f>
        <v>nausea</v>
      </c>
      <c r="I622" s="6" t="str">
        <f>IFERROR(__xludf.DUMMYFUNCTION("""COMPUTED_VALUE"""),"hunter")</f>
        <v>hunter</v>
      </c>
      <c r="J622" s="6" t="str">
        <f>IFERROR(__xludf.DUMMYFUNCTION("""COMPUTED_VALUE"""),"sloppy")</f>
        <v>sloppy</v>
      </c>
      <c r="L622" s="6" t="str">
        <f>IFERROR(__xludf.DUMMYFUNCTION("""COMPUTED_VALUE"""),"successor")</f>
        <v>successor</v>
      </c>
      <c r="M622" s="6"/>
      <c r="N622" s="6" t="str">
        <f>IFERROR(__xludf.DUMMYFUNCTION("""COMPUTED_VALUE"""),"determination")</f>
        <v>determination</v>
      </c>
      <c r="P622" s="6" t="str">
        <f>IFERROR(__xludf.DUMMYFUNCTION("""COMPUTED_VALUE"""),"impossible")</f>
        <v>impossible</v>
      </c>
      <c r="Q622" s="6" t="str">
        <f>IFERROR(__xludf.DUMMYFUNCTION("""COMPUTED_VALUE"""),"simone")</f>
        <v>simone</v>
      </c>
      <c r="S622" s="6" t="str">
        <f>IFERROR(__xludf.DUMMYFUNCTION("""COMPUTED_VALUE"""),"involving")</f>
        <v>involving</v>
      </c>
    </row>
    <row r="623">
      <c r="D623" s="6"/>
      <c r="H623" s="6" t="str">
        <f>IFERROR(__xludf.DUMMYFUNCTION("""COMPUTED_VALUE"""),"survival")</f>
        <v>survival</v>
      </c>
      <c r="I623" s="6" t="str">
        <f>IFERROR(__xludf.DUMMYFUNCTION("""COMPUTED_VALUE"""),"jake")</f>
        <v>jake</v>
      </c>
      <c r="J623" s="6" t="str">
        <f>IFERROR(__xludf.DUMMYFUNCTION("""COMPUTED_VALUE"""),"sparkling")</f>
        <v>sparkling</v>
      </c>
      <c r="L623" s="6" t="str">
        <f>IFERROR(__xludf.DUMMYFUNCTION("""COMPUTED_VALUE"""),"successfully")</f>
        <v>successfully</v>
      </c>
      <c r="M623" s="6"/>
      <c r="N623" s="6" t="str">
        <f>IFERROR(__xludf.DUMMYFUNCTION("""COMPUTED_VALUE"""),"lies")</f>
        <v>lies</v>
      </c>
      <c r="P623" s="6" t="str">
        <f>IFERROR(__xludf.DUMMYFUNCTION("""COMPUTED_VALUE"""),"detail")</f>
        <v>detail</v>
      </c>
      <c r="Q623" s="6" t="str">
        <f>IFERROR(__xludf.DUMMYFUNCTION("""COMPUTED_VALUE"""),"ticket")</f>
        <v>ticket</v>
      </c>
      <c r="S623" s="6" t="str">
        <f>IFERROR(__xludf.DUMMYFUNCTION("""COMPUTED_VALUE"""),"exterior")</f>
        <v>exterior</v>
      </c>
    </row>
    <row r="624">
      <c r="D624" s="6"/>
      <c r="H624" s="6" t="str">
        <f>IFERROR(__xludf.DUMMYFUNCTION("""COMPUTED_VALUE"""),"psychological")</f>
        <v>psychological</v>
      </c>
      <c r="I624" s="6" t="str">
        <f>IFERROR(__xludf.DUMMYFUNCTION("""COMPUTED_VALUE"""),"dependent")</f>
        <v>dependent</v>
      </c>
      <c r="J624" s="6" t="str">
        <f>IFERROR(__xludf.DUMMYFUNCTION("""COMPUTED_VALUE"""),"lopez")</f>
        <v>lopez</v>
      </c>
      <c r="L624" s="6" t="str">
        <f>IFERROR(__xludf.DUMMYFUNCTION("""COMPUTED_VALUE"""),"chest")</f>
        <v>chest</v>
      </c>
      <c r="M624" s="6"/>
      <c r="N624" s="6" t="str">
        <f>IFERROR(__xludf.DUMMYFUNCTION("""COMPUTED_VALUE"""),"minority")</f>
        <v>minority</v>
      </c>
      <c r="P624" s="6" t="str">
        <f>IFERROR(__xludf.DUMMYFUNCTION("""COMPUTED_VALUE"""),"grace")</f>
        <v>grace</v>
      </c>
      <c r="Q624" s="6" t="str">
        <f>IFERROR(__xludf.DUMMYFUNCTION("""COMPUTED_VALUE"""),"pantheon")</f>
        <v>pantheon</v>
      </c>
      <c r="S624" s="6" t="str">
        <f>IFERROR(__xludf.DUMMYFUNCTION("""COMPUTED_VALUE"""),"designed")</f>
        <v>designed</v>
      </c>
    </row>
    <row r="625">
      <c r="D625" s="6"/>
      <c r="H625" s="6" t="str">
        <f>IFERROR(__xludf.DUMMYFUNCTION("""COMPUTED_VALUE"""),"coherent")</f>
        <v>coherent</v>
      </c>
      <c r="I625" s="6" t="str">
        <f>IFERROR(__xludf.DUMMYFUNCTION("""COMPUTED_VALUE"""),"uncertain")</f>
        <v>uncertain</v>
      </c>
      <c r="J625" s="6" t="str">
        <f>IFERROR(__xludf.DUMMYFUNCTION("""COMPUTED_VALUE"""),"rae")</f>
        <v>rae</v>
      </c>
      <c r="L625" s="6" t="str">
        <f>IFERROR(__xludf.DUMMYFUNCTION("""COMPUTED_VALUE"""),"volatile")</f>
        <v>volatile</v>
      </c>
      <c r="M625" s="6"/>
      <c r="N625" s="6" t="str">
        <f>IFERROR(__xludf.DUMMYFUNCTION("""COMPUTED_VALUE"""),"ramsay")</f>
        <v>ramsay</v>
      </c>
      <c r="P625" s="6" t="str">
        <f>IFERROR(__xludf.DUMMYFUNCTION("""COMPUTED_VALUE"""),"fall")</f>
        <v>fall</v>
      </c>
      <c r="Q625" s="6" t="str">
        <f>IFERROR(__xludf.DUMMYFUNCTION("""COMPUTED_VALUE"""),"complicated")</f>
        <v>complicated</v>
      </c>
      <c r="S625" s="6" t="str">
        <f>IFERROR(__xludf.DUMMYFUNCTION("""COMPUTED_VALUE"""),"edited")</f>
        <v>edited</v>
      </c>
    </row>
    <row r="626">
      <c r="D626" s="6"/>
      <c r="H626" s="6" t="str">
        <f>IFERROR(__xludf.DUMMYFUNCTION("""COMPUTED_VALUE"""),"victories")</f>
        <v>victories</v>
      </c>
      <c r="I626" s="6" t="str">
        <f>IFERROR(__xludf.DUMMYFUNCTION("""COMPUTED_VALUE"""),"editing")</f>
        <v>editing</v>
      </c>
      <c r="J626" s="6" t="str">
        <f>IFERROR(__xludf.DUMMYFUNCTION("""COMPUTED_VALUE"""),"baffled")</f>
        <v>baffled</v>
      </c>
      <c r="L626" s="6" t="str">
        <f>IFERROR(__xludf.DUMMYFUNCTION("""COMPUTED_VALUE"""),"cartoon")</f>
        <v>cartoon</v>
      </c>
      <c r="M626" s="6"/>
      <c r="N626" s="6" t="str">
        <f>IFERROR(__xludf.DUMMYFUNCTION("""COMPUTED_VALUE"""),"oh")</f>
        <v>oh</v>
      </c>
      <c r="P626" s="6" t="str">
        <f>IFERROR(__xludf.DUMMYFUNCTION("""COMPUTED_VALUE"""),"eastern")</f>
        <v>eastern</v>
      </c>
      <c r="Q626" s="6" t="str">
        <f>IFERROR(__xludf.DUMMYFUNCTION("""COMPUTED_VALUE"""),"comedic")</f>
        <v>comedic</v>
      </c>
      <c r="S626" s="6" t="str">
        <f>IFERROR(__xludf.DUMMYFUNCTION("""COMPUTED_VALUE"""),"sequence")</f>
        <v>sequence</v>
      </c>
    </row>
    <row r="627">
      <c r="D627" s="6"/>
      <c r="H627" s="6" t="str">
        <f>IFERROR(__xludf.DUMMYFUNCTION("""COMPUTED_VALUE"""),"dynamics")</f>
        <v>dynamics</v>
      </c>
      <c r="I627" s="6" t="str">
        <f>IFERROR(__xludf.DUMMYFUNCTION("""COMPUTED_VALUE"""),"strength")</f>
        <v>strength</v>
      </c>
      <c r="J627" s="6" t="str">
        <f>IFERROR(__xludf.DUMMYFUNCTION("""COMPUTED_VALUE"""),"cannes")</f>
        <v>cannes</v>
      </c>
      <c r="L627" s="6" t="str">
        <f>IFERROR(__xludf.DUMMYFUNCTION("""COMPUTED_VALUE"""),"unconventional")</f>
        <v>unconventional</v>
      </c>
      <c r="M627" s="6"/>
      <c r="N627" s="6" t="str">
        <f>IFERROR(__xludf.DUMMYFUNCTION("""COMPUTED_VALUE"""),"pedestrian")</f>
        <v>pedestrian</v>
      </c>
      <c r="P627" s="6" t="str">
        <f>IFERROR(__xludf.DUMMYFUNCTION("""COMPUTED_VALUE"""),"neither")</f>
        <v>neither</v>
      </c>
      <c r="Q627" s="6" t="str">
        <f>IFERROR(__xludf.DUMMYFUNCTION("""COMPUTED_VALUE"""),"aware")</f>
        <v>aware</v>
      </c>
      <c r="S627" s="6" t="str">
        <f>IFERROR(__xludf.DUMMYFUNCTION("""COMPUTED_VALUE"""),"ticket")</f>
        <v>ticket</v>
      </c>
    </row>
    <row r="628">
      <c r="D628" s="6"/>
      <c r="H628" s="6" t="str">
        <f>IFERROR(__xludf.DUMMYFUNCTION("""COMPUTED_VALUE"""),"class")</f>
        <v>class</v>
      </c>
      <c r="I628" s="6" t="str">
        <f>IFERROR(__xludf.DUMMYFUNCTION("""COMPUTED_VALUE"""),"confident")</f>
        <v>confident</v>
      </c>
      <c r="J628" s="6" t="str">
        <f>IFERROR(__xludf.DUMMYFUNCTION("""COMPUTED_VALUE"""),"raphael")</f>
        <v>raphael</v>
      </c>
      <c r="L628" s="6" t="str">
        <f>IFERROR(__xludf.DUMMYFUNCTION("""COMPUTED_VALUE"""),"racial")</f>
        <v>racial</v>
      </c>
      <c r="M628" s="6"/>
      <c r="N628" s="6" t="str">
        <f>IFERROR(__xludf.DUMMYFUNCTION("""COMPUTED_VALUE"""),"densely")</f>
        <v>densely</v>
      </c>
      <c r="P628" s="6" t="str">
        <f>IFERROR(__xludf.DUMMYFUNCTION("""COMPUTED_VALUE"""),"mean")</f>
        <v>mean</v>
      </c>
      <c r="Q628" s="6" t="str">
        <f>IFERROR(__xludf.DUMMYFUNCTION("""COMPUTED_VALUE"""),"ensemble")</f>
        <v>ensemble</v>
      </c>
      <c r="S628" s="6" t="str">
        <f>IFERROR(__xludf.DUMMYFUNCTION("""COMPUTED_VALUE"""),"complicated")</f>
        <v>complicated</v>
      </c>
    </row>
    <row r="629">
      <c r="D629" s="6"/>
      <c r="H629" s="6" t="str">
        <f>IFERROR(__xludf.DUMMYFUNCTION("""COMPUTED_VALUE"""),"morning")</f>
        <v>morning</v>
      </c>
      <c r="I629" s="6" t="str">
        <f>IFERROR(__xludf.DUMMYFUNCTION("""COMPUTED_VALUE"""),"directors")</f>
        <v>directors</v>
      </c>
      <c r="J629" s="6" t="str">
        <f>IFERROR(__xludf.DUMMYFUNCTION("""COMPUTED_VALUE"""),"possible")</f>
        <v>possible</v>
      </c>
      <c r="L629" s="6" t="str">
        <f>IFERROR(__xludf.DUMMYFUNCTION("""COMPUTED_VALUE"""),"harrison")</f>
        <v>harrison</v>
      </c>
      <c r="M629" s="6"/>
      <c r="N629" s="6" t="str">
        <f>IFERROR(__xludf.DUMMYFUNCTION("""COMPUTED_VALUE"""),"hitchcock")</f>
        <v>hitchcock</v>
      </c>
      <c r="P629" s="6" t="str">
        <f>IFERROR(__xludf.DUMMYFUNCTION("""COMPUTED_VALUE"""),"stops")</f>
        <v>stops</v>
      </c>
      <c r="Q629" s="6" t="str">
        <f>IFERROR(__xludf.DUMMYFUNCTION("""COMPUTED_VALUE"""),"american")</f>
        <v>american</v>
      </c>
      <c r="S629" s="6" t="str">
        <f>IFERROR(__xludf.DUMMYFUNCTION("""COMPUTED_VALUE"""),"live")</f>
        <v>live</v>
      </c>
    </row>
    <row r="630">
      <c r="D630" s="6"/>
      <c r="H630" s="6" t="str">
        <f>IFERROR(__xludf.DUMMYFUNCTION("""COMPUTED_VALUE"""),"brightly")</f>
        <v>brightly</v>
      </c>
      <c r="I630" s="6" t="str">
        <f>IFERROR(__xludf.DUMMYFUNCTION("""COMPUTED_VALUE"""),"stephen")</f>
        <v>stephen</v>
      </c>
      <c r="J630" s="6" t="str">
        <f>IFERROR(__xludf.DUMMYFUNCTION("""COMPUTED_VALUE"""),"rises")</f>
        <v>rises</v>
      </c>
      <c r="L630" s="6" t="str">
        <f>IFERROR(__xludf.DUMMYFUNCTION("""COMPUTED_VALUE"""),"engages")</f>
        <v>engages</v>
      </c>
      <c r="M630" s="6"/>
      <c r="N630" s="6" t="str">
        <f>IFERROR(__xludf.DUMMYFUNCTION("""COMPUTED_VALUE"""),"wreck")</f>
        <v>wreck</v>
      </c>
      <c r="P630" s="6" t="str">
        <f>IFERROR(__xludf.DUMMYFUNCTION("""COMPUTED_VALUE"""),"longest")</f>
        <v>longest</v>
      </c>
      <c r="Q630" s="6" t="str">
        <f>IFERROR(__xludf.DUMMYFUNCTION("""COMPUTED_VALUE"""),"symbolism")</f>
        <v>symbolism</v>
      </c>
      <c r="S630" s="6" t="str">
        <f>IFERROR(__xludf.DUMMYFUNCTION("""COMPUTED_VALUE"""),"aware")</f>
        <v>aware</v>
      </c>
    </row>
    <row r="631">
      <c r="D631" s="6"/>
      <c r="H631" s="6" t="str">
        <f>IFERROR(__xludf.DUMMYFUNCTION("""COMPUTED_VALUE"""),"british")</f>
        <v>british</v>
      </c>
      <c r="I631" s="6" t="str">
        <f>IFERROR(__xludf.DUMMYFUNCTION("""COMPUTED_VALUE"""),"fact")</f>
        <v>fact</v>
      </c>
      <c r="J631" s="6" t="str">
        <f>IFERROR(__xludf.DUMMYFUNCTION("""COMPUTED_VALUE"""),"wherein")</f>
        <v>wherein</v>
      </c>
      <c r="L631" s="6" t="str">
        <f>IFERROR(__xludf.DUMMYFUNCTION("""COMPUTED_VALUE"""),"collateral")</f>
        <v>collateral</v>
      </c>
      <c r="M631" s="6"/>
      <c r="N631" s="6" t="str">
        <f>IFERROR(__xludf.DUMMYFUNCTION("""COMPUTED_VALUE"""),"curves")</f>
        <v>curves</v>
      </c>
      <c r="P631" s="6" t="str">
        <f>IFERROR(__xludf.DUMMYFUNCTION("""COMPUTED_VALUE"""),"sharp")</f>
        <v>sharp</v>
      </c>
      <c r="Q631" s="6" t="str">
        <f>IFERROR(__xludf.DUMMYFUNCTION("""COMPUTED_VALUE"""),"psychology")</f>
        <v>psychology</v>
      </c>
      <c r="S631" s="6" t="str">
        <f>IFERROR(__xludf.DUMMYFUNCTION("""COMPUTED_VALUE"""),"pull")</f>
        <v>pull</v>
      </c>
    </row>
    <row r="632">
      <c r="D632" s="6"/>
      <c r="H632" s="6" t="str">
        <f>IFERROR(__xludf.DUMMYFUNCTION("""COMPUTED_VALUE"""),"actor")</f>
        <v>actor</v>
      </c>
      <c r="I632" s="6" t="str">
        <f>IFERROR(__xludf.DUMMYFUNCTION("""COMPUTED_VALUE"""),"publishing")</f>
        <v>publishing</v>
      </c>
      <c r="J632" s="6" t="str">
        <f>IFERROR(__xludf.DUMMYFUNCTION("""COMPUTED_VALUE"""),"holm")</f>
        <v>holm</v>
      </c>
      <c r="L632" s="6" t="str">
        <f>IFERROR(__xludf.DUMMYFUNCTION("""COMPUTED_VALUE"""),"grasp")</f>
        <v>grasp</v>
      </c>
      <c r="M632" s="6"/>
      <c r="N632" s="6" t="str">
        <f>IFERROR(__xludf.DUMMYFUNCTION("""COMPUTED_VALUE"""),"strains")</f>
        <v>strains</v>
      </c>
      <c r="P632" s="6" t="str">
        <f>IFERROR(__xludf.DUMMYFUNCTION("""COMPUTED_VALUE"""),"distinctive")</f>
        <v>distinctive</v>
      </c>
      <c r="Q632" s="6" t="str">
        <f>IFERROR(__xludf.DUMMYFUNCTION("""COMPUTED_VALUE"""),"stalker")</f>
        <v>stalker</v>
      </c>
      <c r="S632" s="6" t="str">
        <f>IFERROR(__xludf.DUMMYFUNCTION("""COMPUTED_VALUE"""),"ensemble")</f>
        <v>ensemble</v>
      </c>
    </row>
    <row r="633">
      <c r="D633" s="6"/>
      <c r="H633" s="6" t="str">
        <f>IFERROR(__xludf.DUMMYFUNCTION("""COMPUTED_VALUE"""),"playful")</f>
        <v>playful</v>
      </c>
      <c r="I633" s="6" t="str">
        <f>IFERROR(__xludf.DUMMYFUNCTION("""COMPUTED_VALUE"""),"william")</f>
        <v>william</v>
      </c>
      <c r="J633" s="6" t="str">
        <f>IFERROR(__xludf.DUMMYFUNCTION("""COMPUTED_VALUE"""),"ian")</f>
        <v>ian</v>
      </c>
      <c r="L633" s="6" t="str">
        <f>IFERROR(__xludf.DUMMYFUNCTION("""COMPUTED_VALUE"""),"explores")</f>
        <v>explores</v>
      </c>
      <c r="M633" s="6"/>
      <c r="N633" s="6" t="str">
        <f>IFERROR(__xludf.DUMMYFUNCTION("""COMPUTED_VALUE"""),"damon")</f>
        <v>damon</v>
      </c>
      <c r="P633" s="6" t="str">
        <f>IFERROR(__xludf.DUMMYFUNCTION("""COMPUTED_VALUE"""),"safe")</f>
        <v>safe</v>
      </c>
      <c r="Q633" s="6" t="str">
        <f>IFERROR(__xludf.DUMMYFUNCTION("""COMPUTED_VALUE"""),"renowned")</f>
        <v>renowned</v>
      </c>
      <c r="S633" s="6" t="str">
        <f>IFERROR(__xludf.DUMMYFUNCTION("""COMPUTED_VALUE"""),"american")</f>
        <v>american</v>
      </c>
    </row>
    <row r="634">
      <c r="D634" s="6"/>
      <c r="H634" s="6" t="str">
        <f>IFERROR(__xludf.DUMMYFUNCTION("""COMPUTED_VALUE"""),"nicholas")</f>
        <v>nicholas</v>
      </c>
      <c r="I634" s="6" t="str">
        <f>IFERROR(__xludf.DUMMYFUNCTION("""COMPUTED_VALUE"""),"hollow")</f>
        <v>hollow</v>
      </c>
      <c r="J634" s="6" t="str">
        <f>IFERROR(__xludf.DUMMYFUNCTION("""COMPUTED_VALUE"""),"minds")</f>
        <v>minds</v>
      </c>
      <c r="L634" s="6" t="str">
        <f>IFERROR(__xludf.DUMMYFUNCTION("""COMPUTED_VALUE"""),"string")</f>
        <v>string</v>
      </c>
      <c r="M634" s="6"/>
      <c r="N634" s="6" t="str">
        <f>IFERROR(__xludf.DUMMYFUNCTION("""COMPUTED_VALUE"""),"commands")</f>
        <v>commands</v>
      </c>
      <c r="P634" s="6" t="str">
        <f>IFERROR(__xludf.DUMMYFUNCTION("""COMPUTED_VALUE"""),"discipline")</f>
        <v>discipline</v>
      </c>
      <c r="Q634" s="6" t="str">
        <f>IFERROR(__xludf.DUMMYFUNCTION("""COMPUTED_VALUE"""),"allows")</f>
        <v>allows</v>
      </c>
      <c r="S634" s="6" t="str">
        <f>IFERROR(__xludf.DUMMYFUNCTION("""COMPUTED_VALUE"""),"psychology")</f>
        <v>psychology</v>
      </c>
    </row>
    <row r="635">
      <c r="D635" s="6"/>
      <c r="H635" s="6" t="str">
        <f>IFERROR(__xludf.DUMMYFUNCTION("""COMPUTED_VALUE"""),"optimistic")</f>
        <v>optimistic</v>
      </c>
      <c r="I635" s="6" t="str">
        <f>IFERROR(__xludf.DUMMYFUNCTION("""COMPUTED_VALUE"""),"burning")</f>
        <v>burning</v>
      </c>
      <c r="J635" s="6" t="str">
        <f>IFERROR(__xludf.DUMMYFUNCTION("""COMPUTED_VALUE"""),"justice")</f>
        <v>justice</v>
      </c>
      <c r="L635" s="6" t="str">
        <f>IFERROR(__xludf.DUMMYFUNCTION("""COMPUTED_VALUE"""),"exploit")</f>
        <v>exploit</v>
      </c>
      <c r="M635" s="6"/>
      <c r="N635" s="6" t="str">
        <f>IFERROR(__xludf.DUMMYFUNCTION("""COMPUTED_VALUE"""),"burns")</f>
        <v>burns</v>
      </c>
      <c r="P635" s="6" t="str">
        <f>IFERROR(__xludf.DUMMYFUNCTION("""COMPUTED_VALUE"""),"samuel")</f>
        <v>samuel</v>
      </c>
      <c r="Q635" s="6" t="str">
        <f>IFERROR(__xludf.DUMMYFUNCTION("""COMPUTED_VALUE"""),"receive")</f>
        <v>receive</v>
      </c>
      <c r="S635" s="6" t="str">
        <f>IFERROR(__xludf.DUMMYFUNCTION("""COMPUTED_VALUE"""),"allows")</f>
        <v>allows</v>
      </c>
    </row>
    <row r="636">
      <c r="D636" s="6"/>
      <c r="H636" s="6" t="str">
        <f>IFERROR(__xludf.DUMMYFUNCTION("""COMPUTED_VALUE"""),"smarter")</f>
        <v>smarter</v>
      </c>
      <c r="I636" s="6" t="str">
        <f>IFERROR(__xludf.DUMMYFUNCTION("""COMPUTED_VALUE"""),"sensation")</f>
        <v>sensation</v>
      </c>
      <c r="J636" s="6" t="str">
        <f>IFERROR(__xludf.DUMMYFUNCTION("""COMPUTED_VALUE"""),"dawson")</f>
        <v>dawson</v>
      </c>
      <c r="L636" s="6" t="str">
        <f>IFERROR(__xludf.DUMMYFUNCTION("""COMPUTED_VALUE"""),"malcolm")</f>
        <v>malcolm</v>
      </c>
      <c r="M636" s="6"/>
      <c r="N636" s="6" t="str">
        <f>IFERROR(__xludf.DUMMYFUNCTION("""COMPUTED_VALUE"""),"fiercely")</f>
        <v>fiercely</v>
      </c>
      <c r="P636" s="6" t="str">
        <f>IFERROR(__xludf.DUMMYFUNCTION("""COMPUTED_VALUE"""),"jackson")</f>
        <v>jackson</v>
      </c>
      <c r="Q636" s="6" t="str">
        <f>IFERROR(__xludf.DUMMYFUNCTION("""COMPUTED_VALUE"""),"vibrant")</f>
        <v>vibrant</v>
      </c>
      <c r="S636" s="6" t="str">
        <f>IFERROR(__xludf.DUMMYFUNCTION("""COMPUTED_VALUE"""),"renowned")</f>
        <v>renowned</v>
      </c>
    </row>
    <row r="637">
      <c r="D637" s="6"/>
      <c r="H637" s="6" t="str">
        <f>IFERROR(__xludf.DUMMYFUNCTION("""COMPUTED_VALUE"""),"pack")</f>
        <v>pack</v>
      </c>
      <c r="I637" s="6" t="str">
        <f>IFERROR(__xludf.DUMMYFUNCTION("""COMPUTED_VALUE"""),"portrayed")</f>
        <v>portrayed</v>
      </c>
      <c r="J637" s="6" t="str">
        <f>IFERROR(__xludf.DUMMYFUNCTION("""COMPUTED_VALUE"""),"portray")</f>
        <v>portray</v>
      </c>
      <c r="L637" s="6" t="str">
        <f>IFERROR(__xludf.DUMMYFUNCTION("""COMPUTED_VALUE"""),"holocaust")</f>
        <v>holocaust</v>
      </c>
      <c r="M637" s="6"/>
      <c r="N637" s="6" t="str">
        <f>IFERROR(__xludf.DUMMYFUNCTION("""COMPUTED_VALUE"""),"tenth")</f>
        <v>tenth</v>
      </c>
      <c r="P637" s="6" t="str">
        <f>IFERROR(__xludf.DUMMYFUNCTION("""COMPUTED_VALUE"""),"aims")</f>
        <v>aims</v>
      </c>
      <c r="Q637" s="6" t="str">
        <f>IFERROR(__xludf.DUMMYFUNCTION("""COMPUTED_VALUE"""),"colorful")</f>
        <v>colorful</v>
      </c>
      <c r="S637" s="6" t="str">
        <f>IFERROR(__xludf.DUMMYFUNCTION("""COMPUTED_VALUE"""),"receive")</f>
        <v>receive</v>
      </c>
    </row>
    <row r="638">
      <c r="D638" s="6"/>
      <c r="H638" s="6" t="str">
        <f>IFERROR(__xludf.DUMMYFUNCTION("""COMPUTED_VALUE"""),"measured")</f>
        <v>measured</v>
      </c>
      <c r="I638" s="6">
        <f>IFERROR(__xludf.DUMMYFUNCTION("""COMPUTED_VALUE"""),30.0)</f>
        <v>30</v>
      </c>
      <c r="J638" s="6" t="str">
        <f>IFERROR(__xludf.DUMMYFUNCTION("""COMPUTED_VALUE"""),"someone")</f>
        <v>someone</v>
      </c>
      <c r="L638" s="6" t="str">
        <f>IFERROR(__xludf.DUMMYFUNCTION("""COMPUTED_VALUE"""),"streamed")</f>
        <v>streamed</v>
      </c>
      <c r="M638" s="6"/>
      <c r="N638" s="6" t="str">
        <f>IFERROR(__xludf.DUMMYFUNCTION("""COMPUTED_VALUE"""),"inhabitants")</f>
        <v>inhabitants</v>
      </c>
      <c r="P638" s="6" t="str">
        <f>IFERROR(__xludf.DUMMYFUNCTION("""COMPUTED_VALUE"""),"sounding")</f>
        <v>sounding</v>
      </c>
      <c r="Q638" s="6" t="str">
        <f>IFERROR(__xludf.DUMMYFUNCTION("""COMPUTED_VALUE"""),"photographic")</f>
        <v>photographic</v>
      </c>
      <c r="S638" s="6" t="str">
        <f>IFERROR(__xludf.DUMMYFUNCTION("""COMPUTED_VALUE"""),"introduction")</f>
        <v>introduction</v>
      </c>
    </row>
    <row r="639">
      <c r="D639" s="6"/>
      <c r="H639" s="6" t="str">
        <f>IFERROR(__xludf.DUMMYFUNCTION("""COMPUTED_VALUE"""),"permits")</f>
        <v>permits</v>
      </c>
      <c r="I639" s="6" t="str">
        <f>IFERROR(__xludf.DUMMYFUNCTION("""COMPUTED_VALUE"""),"themes")</f>
        <v>themes</v>
      </c>
      <c r="J639" s="6" t="str">
        <f>IFERROR(__xludf.DUMMYFUNCTION("""COMPUTED_VALUE"""),"responsibilities")</f>
        <v>responsibilities</v>
      </c>
      <c r="L639" s="6" t="str">
        <f>IFERROR(__xludf.DUMMYFUNCTION("""COMPUTED_VALUE"""),"dizzy")</f>
        <v>dizzy</v>
      </c>
      <c r="M639" s="6"/>
      <c r="N639" s="6" t="str">
        <f>IFERROR(__xludf.DUMMYFUNCTION("""COMPUTED_VALUE"""),"taut")</f>
        <v>taut</v>
      </c>
      <c r="P639" s="6" t="str">
        <f>IFERROR(__xludf.DUMMYFUNCTION("""COMPUTED_VALUE"""),"visual")</f>
        <v>visual</v>
      </c>
      <c r="Q639" s="6" t="str">
        <f>IFERROR(__xludf.DUMMYFUNCTION("""COMPUTED_VALUE"""),"marvel")</f>
        <v>marvel</v>
      </c>
      <c r="S639" s="6" t="str">
        <f>IFERROR(__xludf.DUMMYFUNCTION("""COMPUTED_VALUE"""),"parade")</f>
        <v>parade</v>
      </c>
    </row>
    <row r="640">
      <c r="D640" s="6"/>
      <c r="H640" s="6" t="str">
        <f>IFERROR(__xludf.DUMMYFUNCTION("""COMPUTED_VALUE"""),"acute")</f>
        <v>acute</v>
      </c>
      <c r="I640" s="6" t="str">
        <f>IFERROR(__xludf.DUMMYFUNCTION("""COMPUTED_VALUE"""),"noble")</f>
        <v>noble</v>
      </c>
      <c r="J640" s="6" t="str">
        <f>IFERROR(__xludf.DUMMYFUNCTION("""COMPUTED_VALUE"""),"achievement")</f>
        <v>achievement</v>
      </c>
      <c r="L640" s="6" t="str">
        <f>IFERROR(__xludf.DUMMYFUNCTION("""COMPUTED_VALUE"""),"appearing")</f>
        <v>appearing</v>
      </c>
      <c r="M640" s="6"/>
      <c r="N640" s="6" t="str">
        <f>IFERROR(__xludf.DUMMYFUNCTION("""COMPUTED_VALUE"""),"elemental")</f>
        <v>elemental</v>
      </c>
      <c r="P640" s="6" t="str">
        <f>IFERROR(__xludf.DUMMYFUNCTION("""COMPUTED_VALUE"""),"close")</f>
        <v>close</v>
      </c>
      <c r="Q640" s="6" t="str">
        <f>IFERROR(__xludf.DUMMYFUNCTION("""COMPUTED_VALUE"""),"sequences")</f>
        <v>sequences</v>
      </c>
      <c r="S640" s="6" t="str">
        <f>IFERROR(__xludf.DUMMYFUNCTION("""COMPUTED_VALUE"""),"forcing")</f>
        <v>forcing</v>
      </c>
    </row>
    <row r="641">
      <c r="D641" s="6"/>
      <c r="H641" s="6" t="str">
        <f>IFERROR(__xludf.DUMMYFUNCTION("""COMPUTED_VALUE"""),"splendid")</f>
        <v>splendid</v>
      </c>
      <c r="I641" s="6" t="str">
        <f>IFERROR(__xludf.DUMMYFUNCTION("""COMPUTED_VALUE"""),"strict")</f>
        <v>strict</v>
      </c>
      <c r="J641" s="6" t="str">
        <f>IFERROR(__xludf.DUMMYFUNCTION("""COMPUTED_VALUE"""),"monumental")</f>
        <v>monumental</v>
      </c>
      <c r="L641" s="6" t="str">
        <f>IFERROR(__xludf.DUMMYFUNCTION("""COMPUTED_VALUE"""),"chronicle")</f>
        <v>chronicle</v>
      </c>
      <c r="M641" s="6"/>
      <c r="N641" s="6" t="str">
        <f>IFERROR(__xludf.DUMMYFUNCTION("""COMPUTED_VALUE"""),"destructive")</f>
        <v>destructive</v>
      </c>
      <c r="P641" s="6" t="str">
        <f>IFERROR(__xludf.DUMMYFUNCTION("""COMPUTED_VALUE"""),"moral")</f>
        <v>moral</v>
      </c>
      <c r="Q641" s="6" t="str">
        <f>IFERROR(__xludf.DUMMYFUNCTION("""COMPUTED_VALUE"""),"pulls")</f>
        <v>pulls</v>
      </c>
      <c r="S641" s="6" t="str">
        <f>IFERROR(__xludf.DUMMYFUNCTION("""COMPUTED_VALUE"""),"marvel")</f>
        <v>marvel</v>
      </c>
    </row>
    <row r="642">
      <c r="D642" s="6"/>
      <c r="H642" s="6" t="str">
        <f>IFERROR(__xludf.DUMMYFUNCTION("""COMPUTED_VALUE"""),"absorbing")</f>
        <v>absorbing</v>
      </c>
      <c r="I642" s="6" t="str">
        <f>IFERROR(__xludf.DUMMYFUNCTION("""COMPUTED_VALUE"""),"innocent")</f>
        <v>innocent</v>
      </c>
      <c r="J642" s="6" t="str">
        <f>IFERROR(__xludf.DUMMYFUNCTION("""COMPUTED_VALUE"""),"morgan")</f>
        <v>morgan</v>
      </c>
      <c r="L642" s="6" t="str">
        <f>IFERROR(__xludf.DUMMYFUNCTION("""COMPUTED_VALUE"""),"parker")</f>
        <v>parker</v>
      </c>
      <c r="M642" s="6"/>
      <c r="N642" s="6" t="str">
        <f>IFERROR(__xludf.DUMMYFUNCTION("""COMPUTED_VALUE"""),"posing")</f>
        <v>posing</v>
      </c>
      <c r="P642" s="6" t="str">
        <f>IFERROR(__xludf.DUMMYFUNCTION("""COMPUTED_VALUE"""),"frank")</f>
        <v>frank</v>
      </c>
      <c r="Q642" s="6" t="str">
        <f>IFERROR(__xludf.DUMMYFUNCTION("""COMPUTED_VALUE"""),"illustrates")</f>
        <v>illustrates</v>
      </c>
      <c r="S642" s="6" t="str">
        <f>IFERROR(__xludf.DUMMYFUNCTION("""COMPUTED_VALUE"""),"pulls")</f>
        <v>pulls</v>
      </c>
    </row>
    <row r="643">
      <c r="D643" s="6"/>
      <c r="H643" s="6" t="str">
        <f>IFERROR(__xludf.DUMMYFUNCTION("""COMPUTED_VALUE"""),"spirituality")</f>
        <v>spirituality</v>
      </c>
      <c r="I643" s="6" t="str">
        <f>IFERROR(__xludf.DUMMYFUNCTION("""COMPUTED_VALUE"""),"panic")</f>
        <v>panic</v>
      </c>
      <c r="J643" s="6" t="str">
        <f>IFERROR(__xludf.DUMMYFUNCTION("""COMPUTED_VALUE"""),"freeman")</f>
        <v>freeman</v>
      </c>
      <c r="L643" s="6" t="str">
        <f>IFERROR(__xludf.DUMMYFUNCTION("""COMPUTED_VALUE"""),"adaptations")</f>
        <v>adaptations</v>
      </c>
      <c r="M643" s="6"/>
      <c r="N643" s="6" t="str">
        <f>IFERROR(__xludf.DUMMYFUNCTION("""COMPUTED_VALUE"""),"fallon")</f>
        <v>fallon</v>
      </c>
      <c r="P643" s="6" t="str">
        <f>IFERROR(__xludf.DUMMYFUNCTION("""COMPUTED_VALUE"""),"democracy")</f>
        <v>democracy</v>
      </c>
      <c r="Q643" s="6" t="str">
        <f>IFERROR(__xludf.DUMMYFUNCTION("""COMPUTED_VALUE"""),"sum")</f>
        <v>sum</v>
      </c>
      <c r="S643" s="6" t="str">
        <f>IFERROR(__xludf.DUMMYFUNCTION("""COMPUTED_VALUE"""),"sequences")</f>
        <v>sequences</v>
      </c>
    </row>
    <row r="644">
      <c r="D644" s="6"/>
      <c r="H644" s="6" t="str">
        <f>IFERROR(__xludf.DUMMYFUNCTION("""COMPUTED_VALUE"""),"treatise")</f>
        <v>treatise</v>
      </c>
      <c r="I644" s="6" t="str">
        <f>IFERROR(__xludf.DUMMYFUNCTION("""COMPUTED_VALUE"""),"manage")</f>
        <v>manage</v>
      </c>
      <c r="J644" s="6" t="str">
        <f>IFERROR(__xludf.DUMMYFUNCTION("""COMPUTED_VALUE"""),"judd")</f>
        <v>judd</v>
      </c>
      <c r="L644" s="6" t="str">
        <f>IFERROR(__xludf.DUMMYFUNCTION("""COMPUTED_VALUE"""),"ripe")</f>
        <v>ripe</v>
      </c>
      <c r="M644" s="6"/>
      <c r="N644" s="6" t="str">
        <f>IFERROR(__xludf.DUMMYFUNCTION("""COMPUTED_VALUE"""),"forgiveness")</f>
        <v>forgiveness</v>
      </c>
      <c r="P644" s="6" t="str">
        <f>IFERROR(__xludf.DUMMYFUNCTION("""COMPUTED_VALUE"""),"civic")</f>
        <v>civic</v>
      </c>
      <c r="Q644" s="6" t="str">
        <f>IFERROR(__xludf.DUMMYFUNCTION("""COMPUTED_VALUE"""),"parts")</f>
        <v>parts</v>
      </c>
      <c r="S644" s="6" t="str">
        <f>IFERROR(__xludf.DUMMYFUNCTION("""COMPUTED_VALUE"""),"result")</f>
        <v>result</v>
      </c>
    </row>
    <row r="645">
      <c r="D645" s="6"/>
      <c r="H645" s="6" t="str">
        <f>IFERROR(__xludf.DUMMYFUNCTION("""COMPUTED_VALUE"""),"liberation")</f>
        <v>liberation</v>
      </c>
      <c r="I645" s="6" t="str">
        <f>IFERROR(__xludf.DUMMYFUNCTION("""COMPUTED_VALUE"""),"wants")</f>
        <v>wants</v>
      </c>
      <c r="J645" s="6" t="str">
        <f>IFERROR(__xludf.DUMMYFUNCTION("""COMPUTED_VALUE"""),"grey")</f>
        <v>grey</v>
      </c>
      <c r="L645" s="6" t="str">
        <f>IFERROR(__xludf.DUMMYFUNCTION("""COMPUTED_VALUE"""),"characterized")</f>
        <v>characterized</v>
      </c>
      <c r="M645" s="6"/>
      <c r="N645" s="6" t="str">
        <f>IFERROR(__xludf.DUMMYFUNCTION("""COMPUTED_VALUE"""),"stevens")</f>
        <v>stevens</v>
      </c>
      <c r="P645" s="6" t="str">
        <f>IFERROR(__xludf.DUMMYFUNCTION("""COMPUTED_VALUE"""),"place")</f>
        <v>place</v>
      </c>
      <c r="Q645" s="6" t="str">
        <f>IFERROR(__xludf.DUMMYFUNCTION("""COMPUTED_VALUE"""),"collegiate")</f>
        <v>collegiate</v>
      </c>
      <c r="S645" s="6" t="str">
        <f>IFERROR(__xludf.DUMMYFUNCTION("""COMPUTED_VALUE"""),"parts")</f>
        <v>parts</v>
      </c>
    </row>
    <row r="646">
      <c r="D646" s="6"/>
      <c r="H646" s="6" t="str">
        <f>IFERROR(__xludf.DUMMYFUNCTION("""COMPUTED_VALUE"""),"caine")</f>
        <v>caine</v>
      </c>
      <c r="I646" s="6" t="str">
        <f>IFERROR(__xludf.DUMMYFUNCTION("""COMPUTED_VALUE"""),"african")</f>
        <v>african</v>
      </c>
      <c r="J646" s="6" t="str">
        <f>IFERROR(__xludf.DUMMYFUNCTION("""COMPUTED_VALUE"""),"shadowy")</f>
        <v>shadowy</v>
      </c>
      <c r="L646" s="6" t="str">
        <f>IFERROR(__xludf.DUMMYFUNCTION("""COMPUTED_VALUE"""),"marquis")</f>
        <v>marquis</v>
      </c>
      <c r="M646" s="6"/>
      <c r="N646" s="6" t="str">
        <f>IFERROR(__xludf.DUMMYFUNCTION("""COMPUTED_VALUE"""),"ethan")</f>
        <v>ethan</v>
      </c>
      <c r="P646" s="6" t="str">
        <f>IFERROR(__xludf.DUMMYFUNCTION("""COMPUTED_VALUE"""),"spy")</f>
        <v>spy</v>
      </c>
      <c r="Q646" s="6" t="str">
        <f>IFERROR(__xludf.DUMMYFUNCTION("""COMPUTED_VALUE"""),"factor")</f>
        <v>factor</v>
      </c>
      <c r="S646" s="6" t="str">
        <f>IFERROR(__xludf.DUMMYFUNCTION("""COMPUTED_VALUE"""),"sort")</f>
        <v>sort</v>
      </c>
    </row>
    <row r="647">
      <c r="D647" s="6"/>
      <c r="H647" s="6" t="str">
        <f>IFERROR(__xludf.DUMMYFUNCTION("""COMPUTED_VALUE"""),"punching")</f>
        <v>punching</v>
      </c>
      <c r="I647" s="6" t="str">
        <f>IFERROR(__xludf.DUMMYFUNCTION("""COMPUTED_VALUE"""),"range")</f>
        <v>range</v>
      </c>
      <c r="J647" s="6" t="str">
        <f>IFERROR(__xludf.DUMMYFUNCTION("""COMPUTED_VALUE"""),"generated")</f>
        <v>generated</v>
      </c>
      <c r="L647" s="6" t="str">
        <f>IFERROR(__xludf.DUMMYFUNCTION("""COMPUTED_VALUE"""),"menace")</f>
        <v>menace</v>
      </c>
      <c r="M647" s="6"/>
      <c r="N647" s="6" t="str">
        <f>IFERROR(__xludf.DUMMYFUNCTION("""COMPUTED_VALUE"""),"stuart")</f>
        <v>stuart</v>
      </c>
      <c r="P647" s="6" t="str">
        <f>IFERROR(__xludf.DUMMYFUNCTION("""COMPUTED_VALUE"""),"adult")</f>
        <v>adult</v>
      </c>
      <c r="Q647" s="6" t="str">
        <f>IFERROR(__xludf.DUMMYFUNCTION("""COMPUTED_VALUE"""),"emerging")</f>
        <v>emerging</v>
      </c>
      <c r="S647" s="6" t="str">
        <f>IFERROR(__xludf.DUMMYFUNCTION("""COMPUTED_VALUE"""),"sum")</f>
        <v>sum</v>
      </c>
    </row>
    <row r="648">
      <c r="D648" s="6"/>
      <c r="H648" s="6" t="str">
        <f>IFERROR(__xludf.DUMMYFUNCTION("""COMPUTED_VALUE"""),"reckless")</f>
        <v>reckless</v>
      </c>
      <c r="I648" s="6" t="str">
        <f>IFERROR(__xludf.DUMMYFUNCTION("""COMPUTED_VALUE"""),"rise")</f>
        <v>rise</v>
      </c>
      <c r="J648" s="6" t="str">
        <f>IFERROR(__xludf.DUMMYFUNCTION("""COMPUTED_VALUE"""),"graceful")</f>
        <v>graceful</v>
      </c>
      <c r="L648" s="6" t="str">
        <f>IFERROR(__xludf.DUMMYFUNCTION("""COMPUTED_VALUE"""),"fingered")</f>
        <v>fingered</v>
      </c>
      <c r="M648" s="6"/>
      <c r="N648" s="6" t="str">
        <f>IFERROR(__xludf.DUMMYFUNCTION("""COMPUTED_VALUE"""),"friendships")</f>
        <v>friendships</v>
      </c>
      <c r="P648" s="6" t="str">
        <f>IFERROR(__xludf.DUMMYFUNCTION("""COMPUTED_VALUE"""),"episodes")</f>
        <v>episodes</v>
      </c>
      <c r="Q648" s="6" t="str">
        <f>IFERROR(__xludf.DUMMYFUNCTION("""COMPUTED_VALUE"""),"entity")</f>
        <v>entity</v>
      </c>
      <c r="S648" s="6" t="str">
        <f>IFERROR(__xludf.DUMMYFUNCTION("""COMPUTED_VALUE"""),"reduced")</f>
        <v>reduced</v>
      </c>
    </row>
    <row r="649">
      <c r="D649" s="6"/>
      <c r="H649" s="6" t="str">
        <f>IFERROR(__xludf.DUMMYFUNCTION("""COMPUTED_VALUE"""),"cia")</f>
        <v>cia</v>
      </c>
      <c r="I649" s="6" t="str">
        <f>IFERROR(__xludf.DUMMYFUNCTION("""COMPUTED_VALUE"""),"broadway")</f>
        <v>broadway</v>
      </c>
      <c r="J649" s="6" t="str">
        <f>IFERROR(__xludf.DUMMYFUNCTION("""COMPUTED_VALUE"""),"frantic")</f>
        <v>frantic</v>
      </c>
      <c r="L649" s="6" t="str">
        <f>IFERROR(__xludf.DUMMYFUNCTION("""COMPUTED_VALUE"""),"characterization")</f>
        <v>characterization</v>
      </c>
      <c r="M649" s="6"/>
      <c r="N649" s="6" t="str">
        <f>IFERROR(__xludf.DUMMYFUNCTION("""COMPUTED_VALUE"""),"heroism")</f>
        <v>heroism</v>
      </c>
      <c r="P649" s="6" t="str">
        <f>IFERROR(__xludf.DUMMYFUNCTION("""COMPUTED_VALUE"""),"generation")</f>
        <v>generation</v>
      </c>
      <c r="Q649" s="6" t="str">
        <f>IFERROR(__xludf.DUMMYFUNCTION("""COMPUTED_VALUE"""),"audiences")</f>
        <v>audiences</v>
      </c>
      <c r="S649" s="6" t="str">
        <f>IFERROR(__xludf.DUMMYFUNCTION("""COMPUTED_VALUE"""),"collegiate")</f>
        <v>collegiate</v>
      </c>
    </row>
    <row r="650">
      <c r="D650" s="6"/>
      <c r="H650" s="6" t="str">
        <f>IFERROR(__xludf.DUMMYFUNCTION("""COMPUTED_VALUE"""),"changing")</f>
        <v>changing</v>
      </c>
      <c r="I650" s="6" t="str">
        <f>IFERROR(__xludf.DUMMYFUNCTION("""COMPUTED_VALUE"""),"occupation")</f>
        <v>occupation</v>
      </c>
      <c r="J650" s="6" t="str">
        <f>IFERROR(__xludf.DUMMYFUNCTION("""COMPUTED_VALUE"""),"expression")</f>
        <v>expression</v>
      </c>
      <c r="L650" s="6" t="str">
        <f>IFERROR(__xludf.DUMMYFUNCTION("""COMPUTED_VALUE"""),"effectively")</f>
        <v>effectively</v>
      </c>
      <c r="M650" s="6"/>
      <c r="N650" s="6" t="str">
        <f>IFERROR(__xludf.DUMMYFUNCTION("""COMPUTED_VALUE"""),"consciously")</f>
        <v>consciously</v>
      </c>
      <c r="P650" s="6" t="str">
        <f>IFERROR(__xludf.DUMMYFUNCTION("""COMPUTED_VALUE"""),"constructed")</f>
        <v>constructed</v>
      </c>
      <c r="Q650" s="6" t="str">
        <f>IFERROR(__xludf.DUMMYFUNCTION("""COMPUTED_VALUE"""),"sign")</f>
        <v>sign</v>
      </c>
      <c r="S650" s="6" t="str">
        <f>IFERROR(__xludf.DUMMYFUNCTION("""COMPUTED_VALUE"""),"factor")</f>
        <v>factor</v>
      </c>
    </row>
    <row r="651">
      <c r="D651" s="6"/>
      <c r="H651" s="6" t="str">
        <f>IFERROR(__xludf.DUMMYFUNCTION("""COMPUTED_VALUE"""),"gripping")</f>
        <v>gripping</v>
      </c>
      <c r="I651" s="6" t="str">
        <f>IFERROR(__xludf.DUMMYFUNCTION("""COMPUTED_VALUE"""),"german")</f>
        <v>german</v>
      </c>
      <c r="J651" s="6" t="str">
        <f>IFERROR(__xludf.DUMMYFUNCTION("""COMPUTED_VALUE"""),"frontman")</f>
        <v>frontman</v>
      </c>
      <c r="L651" s="6" t="str">
        <f>IFERROR(__xludf.DUMMYFUNCTION("""COMPUTED_VALUE"""),"chases")</f>
        <v>chases</v>
      </c>
      <c r="M651" s="6"/>
      <c r="N651" s="6" t="str">
        <f>IFERROR(__xludf.DUMMYFUNCTION("""COMPUTED_VALUE"""),"enhance")</f>
        <v>enhance</v>
      </c>
      <c r="P651" s="6" t="str">
        <f>IFERROR(__xludf.DUMMYFUNCTION("""COMPUTED_VALUE"""),"skill")</f>
        <v>skill</v>
      </c>
      <c r="Q651" s="6" t="str">
        <f>IFERROR(__xludf.DUMMYFUNCTION("""COMPUTED_VALUE"""),"mile")</f>
        <v>mile</v>
      </c>
      <c r="S651" s="6" t="str">
        <f>IFERROR(__xludf.DUMMYFUNCTION("""COMPUTED_VALUE"""),"released")</f>
        <v>released</v>
      </c>
    </row>
    <row r="652">
      <c r="D652" s="6"/>
      <c r="H652" s="6" t="str">
        <f>IFERROR(__xludf.DUMMYFUNCTION("""COMPUTED_VALUE"""),"startling")</f>
        <v>startling</v>
      </c>
      <c r="I652" s="6" t="str">
        <f>IFERROR(__xludf.DUMMYFUNCTION("""COMPUTED_VALUE"""),"survivors")</f>
        <v>survivors</v>
      </c>
      <c r="J652" s="6" t="str">
        <f>IFERROR(__xludf.DUMMYFUNCTION("""COMPUTED_VALUE"""),"energetic")</f>
        <v>energetic</v>
      </c>
      <c r="L652" s="6">
        <f>IFERROR(__xludf.DUMMYFUNCTION("""COMPUTED_VALUE"""),94.0)</f>
        <v>94</v>
      </c>
      <c r="M652" s="6"/>
      <c r="N652" s="6" t="str">
        <f>IFERROR(__xludf.DUMMYFUNCTION("""COMPUTED_VALUE"""),"grim")</f>
        <v>grim</v>
      </c>
      <c r="P652" s="6" t="str">
        <f>IFERROR(__xludf.DUMMYFUNCTION("""COMPUTED_VALUE"""),"vampire")</f>
        <v>vampire</v>
      </c>
      <c r="Q652" s="6" t="str">
        <f>IFERROR(__xludf.DUMMYFUNCTION("""COMPUTED_VALUE"""),"nerve")</f>
        <v>nerve</v>
      </c>
      <c r="S652" s="6" t="str">
        <f>IFERROR(__xludf.DUMMYFUNCTION("""COMPUTED_VALUE"""),"major")</f>
        <v>major</v>
      </c>
    </row>
    <row r="653">
      <c r="D653" s="6"/>
      <c r="H653" s="6" t="str">
        <f>IFERROR(__xludf.DUMMYFUNCTION("""COMPUTED_VALUE"""),"transformation")</f>
        <v>transformation</v>
      </c>
      <c r="I653" s="6" t="str">
        <f>IFERROR(__xludf.DUMMYFUNCTION("""COMPUTED_VALUE"""),"blade")</f>
        <v>blade</v>
      </c>
      <c r="J653" s="6" t="str">
        <f>IFERROR(__xludf.DUMMYFUNCTION("""COMPUTED_VALUE"""),"resist")</f>
        <v>resist</v>
      </c>
      <c r="L653" s="6" t="str">
        <f>IFERROR(__xludf.DUMMYFUNCTION("""COMPUTED_VALUE"""),"sleek")</f>
        <v>sleek</v>
      </c>
      <c r="M653" s="6"/>
      <c r="N653" s="6" t="str">
        <f>IFERROR(__xludf.DUMMYFUNCTION("""COMPUTED_VALUE"""),"crisis")</f>
        <v>crisis</v>
      </c>
      <c r="P653" s="6" t="str">
        <f>IFERROR(__xludf.DUMMYFUNCTION("""COMPUTED_VALUE"""),"determined")</f>
        <v>determined</v>
      </c>
      <c r="Q653" s="6" t="str">
        <f>IFERROR(__xludf.DUMMYFUNCTION("""COMPUTED_VALUE"""),"bit")</f>
        <v>bit</v>
      </c>
      <c r="S653" s="6" t="str">
        <f>IFERROR(__xludf.DUMMYFUNCTION("""COMPUTED_VALUE"""),"emerging")</f>
        <v>emerging</v>
      </c>
    </row>
    <row r="654">
      <c r="D654" s="6"/>
      <c r="H654" s="6" t="str">
        <f>IFERROR(__xludf.DUMMYFUNCTION("""COMPUTED_VALUE"""),"widow")</f>
        <v>widow</v>
      </c>
      <c r="I654" s="6" t="str">
        <f>IFERROR(__xludf.DUMMYFUNCTION("""COMPUTED_VALUE"""),"shock")</f>
        <v>shock</v>
      </c>
      <c r="J654" s="6" t="str">
        <f>IFERROR(__xludf.DUMMYFUNCTION("""COMPUTED_VALUE"""),"pulse")</f>
        <v>pulse</v>
      </c>
      <c r="L654" s="6" t="str">
        <f>IFERROR(__xludf.DUMMYFUNCTION("""COMPUTED_VALUE"""),"powers")</f>
        <v>powers</v>
      </c>
      <c r="M654" s="6"/>
      <c r="N654" s="6" t="str">
        <f>IFERROR(__xludf.DUMMYFUNCTION("""COMPUTED_VALUE"""),"prowess")</f>
        <v>prowess</v>
      </c>
      <c r="P654" s="6" t="str">
        <f>IFERROR(__xludf.DUMMYFUNCTION("""COMPUTED_VALUE"""),"typical")</f>
        <v>typical</v>
      </c>
      <c r="Q654" s="6" t="str">
        <f>IFERROR(__xludf.DUMMYFUNCTION("""COMPUTED_VALUE"""),"pianist")</f>
        <v>pianist</v>
      </c>
      <c r="S654" s="6" t="str">
        <f>IFERROR(__xludf.DUMMYFUNCTION("""COMPUTED_VALUE"""),"entity")</f>
        <v>entity</v>
      </c>
    </row>
    <row r="655">
      <c r="D655" s="6"/>
      <c r="H655" s="6" t="str">
        <f>IFERROR(__xludf.DUMMYFUNCTION("""COMPUTED_VALUE"""),"tunisian")</f>
        <v>tunisian</v>
      </c>
      <c r="I655" s="6" t="str">
        <f>IFERROR(__xludf.DUMMYFUNCTION("""COMPUTED_VALUE"""),"arrangements")</f>
        <v>arrangements</v>
      </c>
      <c r="J655" s="6" t="str">
        <f>IFERROR(__xludf.DUMMYFUNCTION("""COMPUTED_VALUE"""),"subconscious")</f>
        <v>subconscious</v>
      </c>
      <c r="L655" s="6" t="str">
        <f>IFERROR(__xludf.DUMMYFUNCTION("""COMPUTED_VALUE"""),"stealing")</f>
        <v>stealing</v>
      </c>
      <c r="M655" s="6"/>
      <c r="N655" s="6" t="str">
        <f>IFERROR(__xludf.DUMMYFUNCTION("""COMPUTED_VALUE"""),"marching")</f>
        <v>marching</v>
      </c>
      <c r="P655" s="6" t="str">
        <f>IFERROR(__xludf.DUMMYFUNCTION("""COMPUTED_VALUE"""),"heavy")</f>
        <v>heavy</v>
      </c>
      <c r="Q655" s="6" t="str">
        <f>IFERROR(__xludf.DUMMYFUNCTION("""COMPUTED_VALUE"""),"detached")</f>
        <v>detached</v>
      </c>
      <c r="S655" s="6" t="str">
        <f>IFERROR(__xludf.DUMMYFUNCTION("""COMPUTED_VALUE"""),"audiences")</f>
        <v>audiences</v>
      </c>
    </row>
    <row r="656">
      <c r="D656" s="6"/>
      <c r="H656" s="6" t="str">
        <f>IFERROR(__xludf.DUMMYFUNCTION("""COMPUTED_VALUE"""),"french")</f>
        <v>french</v>
      </c>
      <c r="I656" s="6" t="str">
        <f>IFERROR(__xludf.DUMMYFUNCTION("""COMPUTED_VALUE"""),"access")</f>
        <v>access</v>
      </c>
      <c r="J656" s="6" t="str">
        <f>IFERROR(__xludf.DUMMYFUNCTION("""COMPUTED_VALUE"""),"stirring")</f>
        <v>stirring</v>
      </c>
      <c r="L656" s="6" t="str">
        <f>IFERROR(__xludf.DUMMYFUNCTION("""COMPUTED_VALUE"""),"fictional")</f>
        <v>fictional</v>
      </c>
      <c r="M656" s="6"/>
      <c r="N656" s="6" t="str">
        <f>IFERROR(__xludf.DUMMYFUNCTION("""COMPUTED_VALUE"""),"develops")</f>
        <v>develops</v>
      </c>
      <c r="P656" s="6" t="str">
        <f>IFERROR(__xludf.DUMMYFUNCTION("""COMPUTED_VALUE"""),"fierce")</f>
        <v>fierce</v>
      </c>
      <c r="Q656" s="6" t="str">
        <f>IFERROR(__xludf.DUMMYFUNCTION("""COMPUTED_VALUE"""),"premise")</f>
        <v>premise</v>
      </c>
      <c r="S656" s="6" t="str">
        <f>IFERROR(__xludf.DUMMYFUNCTION("""COMPUTED_VALUE"""),"brain")</f>
        <v>brain</v>
      </c>
    </row>
    <row r="657">
      <c r="D657" s="6"/>
      <c r="H657" s="6" t="str">
        <f>IFERROR(__xludf.DUMMYFUNCTION("""COMPUTED_VALUE"""),"wonder")</f>
        <v>wonder</v>
      </c>
      <c r="I657" s="6" t="str">
        <f>IFERROR(__xludf.DUMMYFUNCTION("""COMPUTED_VALUE"""),"journalism")</f>
        <v>journalism</v>
      </c>
      <c r="J657" s="6" t="str">
        <f>IFERROR(__xludf.DUMMYFUNCTION("""COMPUTED_VALUE"""),"struggling")</f>
        <v>struggling</v>
      </c>
      <c r="L657" s="6" t="str">
        <f>IFERROR(__xludf.DUMMYFUNCTION("""COMPUTED_VALUE"""),"velocity")</f>
        <v>velocity</v>
      </c>
      <c r="M657" s="6"/>
      <c r="N657" s="6" t="str">
        <f>IFERROR(__xludf.DUMMYFUNCTION("""COMPUTED_VALUE"""),"omnibus")</f>
        <v>omnibus</v>
      </c>
      <c r="P657" s="6" t="str">
        <f>IFERROR(__xludf.DUMMYFUNCTION("""COMPUTED_VALUE"""),"dance")</f>
        <v>dance</v>
      </c>
      <c r="Q657" s="6" t="str">
        <f>IFERROR(__xludf.DUMMYFUNCTION("""COMPUTED_VALUE"""),"lush")</f>
        <v>lush</v>
      </c>
      <c r="S657" s="6" t="str">
        <f>IFERROR(__xludf.DUMMYFUNCTION("""COMPUTED_VALUE"""),"sign")</f>
        <v>sign</v>
      </c>
    </row>
    <row r="658">
      <c r="D658" s="6"/>
      <c r="H658" s="6" t="str">
        <f>IFERROR(__xludf.DUMMYFUNCTION("""COMPUTED_VALUE"""),"devoid")</f>
        <v>devoid</v>
      </c>
      <c r="I658" s="6" t="str">
        <f>IFERROR(__xludf.DUMMYFUNCTION("""COMPUTED_VALUE"""),"threat")</f>
        <v>threat</v>
      </c>
      <c r="J658" s="6" t="str">
        <f>IFERROR(__xludf.DUMMYFUNCTION("""COMPUTED_VALUE"""),"flourish")</f>
        <v>flourish</v>
      </c>
      <c r="L658" s="6" t="str">
        <f>IFERROR(__xludf.DUMMYFUNCTION("""COMPUTED_VALUE"""),"simplicity")</f>
        <v>simplicity</v>
      </c>
      <c r="M658" s="6"/>
      <c r="N658" s="6" t="str">
        <f>IFERROR(__xludf.DUMMYFUNCTION("""COMPUTED_VALUE"""),"section")</f>
        <v>section</v>
      </c>
      <c r="P658" s="6" t="str">
        <f>IFERROR(__xludf.DUMMYFUNCTION("""COMPUTED_VALUE"""),"duke")</f>
        <v>duke</v>
      </c>
      <c r="Q658" s="6" t="str">
        <f>IFERROR(__xludf.DUMMYFUNCTION("""COMPUTED_VALUE"""),"chase")</f>
        <v>chase</v>
      </c>
      <c r="S658" s="6" t="str">
        <f>IFERROR(__xludf.DUMMYFUNCTION("""COMPUTED_VALUE"""),"buy")</f>
        <v>buy</v>
      </c>
    </row>
    <row r="659">
      <c r="D659" s="6"/>
      <c r="H659" s="6" t="str">
        <f>IFERROR(__xludf.DUMMYFUNCTION("""COMPUTED_VALUE"""),"fatal")</f>
        <v>fatal</v>
      </c>
      <c r="I659" s="6" t="str">
        <f>IFERROR(__xludf.DUMMYFUNCTION("""COMPUTED_VALUE"""),"critical")</f>
        <v>critical</v>
      </c>
      <c r="J659" s="6" t="str">
        <f>IFERROR(__xludf.DUMMYFUNCTION("""COMPUTED_VALUE"""),"chan")</f>
        <v>chan</v>
      </c>
      <c r="L659" s="6" t="str">
        <f>IFERROR(__xludf.DUMMYFUNCTION("""COMPUTED_VALUE"""),"zhang")</f>
        <v>zhang</v>
      </c>
      <c r="M659" s="6"/>
      <c r="N659" s="6" t="str">
        <f>IFERROR(__xludf.DUMMYFUNCTION("""COMPUTED_VALUE"""),"contempt")</f>
        <v>contempt</v>
      </c>
      <c r="P659" s="6" t="str">
        <f>IFERROR(__xludf.DUMMYFUNCTION("""COMPUTED_VALUE"""),"lady")</f>
        <v>lady</v>
      </c>
      <c r="Q659" s="6" t="str">
        <f>IFERROR(__xludf.DUMMYFUNCTION("""COMPUTED_VALUE"""),"martha")</f>
        <v>martha</v>
      </c>
      <c r="S659" s="6" t="str">
        <f>IFERROR(__xludf.DUMMYFUNCTION("""COMPUTED_VALUE"""),"mile")</f>
        <v>mile</v>
      </c>
    </row>
    <row r="660">
      <c r="D660" s="6"/>
      <c r="H660" s="6" t="str">
        <f>IFERROR(__xludf.DUMMYFUNCTION("""COMPUTED_VALUE"""),"desperation")</f>
        <v>desperation</v>
      </c>
      <c r="I660" s="6" t="str">
        <f>IFERROR(__xludf.DUMMYFUNCTION("""COMPUTED_VALUE"""),"convinced")</f>
        <v>convinced</v>
      </c>
      <c r="J660" s="6" t="str">
        <f>IFERROR(__xludf.DUMMYFUNCTION("""COMPUTED_VALUE"""),"problematic")</f>
        <v>problematic</v>
      </c>
      <c r="L660" s="6" t="str">
        <f>IFERROR(__xludf.DUMMYFUNCTION("""COMPUTED_VALUE"""),"fable")</f>
        <v>fable</v>
      </c>
      <c r="M660" s="6"/>
      <c r="N660" s="6" t="str">
        <f>IFERROR(__xludf.DUMMYFUNCTION("""COMPUTED_VALUE"""),"grave")</f>
        <v>grave</v>
      </c>
      <c r="P660" s="6" t="str">
        <f>IFERROR(__xludf.DUMMYFUNCTION("""COMPUTED_VALUE"""),"chinese")</f>
        <v>chinese</v>
      </c>
      <c r="Q660" s="6" t="str">
        <f>IFERROR(__xludf.DUMMYFUNCTION("""COMPUTED_VALUE"""),"rapid")</f>
        <v>rapid</v>
      </c>
      <c r="S660" s="6" t="str">
        <f>IFERROR(__xludf.DUMMYFUNCTION("""COMPUTED_VALUE"""),"nerve")</f>
        <v>nerve</v>
      </c>
    </row>
    <row r="661">
      <c r="D661" s="6"/>
      <c r="H661" s="6" t="str">
        <f>IFERROR(__xludf.DUMMYFUNCTION("""COMPUTED_VALUE"""),"glossy")</f>
        <v>glossy</v>
      </c>
      <c r="I661" s="6" t="str">
        <f>IFERROR(__xludf.DUMMYFUNCTION("""COMPUTED_VALUE"""),"teach")</f>
        <v>teach</v>
      </c>
      <c r="J661" s="6" t="str">
        <f>IFERROR(__xludf.DUMMYFUNCTION("""COMPUTED_VALUE"""),"hilarious")</f>
        <v>hilarious</v>
      </c>
      <c r="L661" s="6" t="str">
        <f>IFERROR(__xludf.DUMMYFUNCTION("""COMPUTED_VALUE"""),"determination")</f>
        <v>determination</v>
      </c>
      <c r="M661" s="6"/>
      <c r="N661" s="6" t="str">
        <f>IFERROR(__xludf.DUMMYFUNCTION("""COMPUTED_VALUE"""),"dear")</f>
        <v>dear</v>
      </c>
      <c r="P661" s="6" t="str">
        <f>IFERROR(__xludf.DUMMYFUNCTION("""COMPUTED_VALUE"""),"adventures")</f>
        <v>adventures</v>
      </c>
      <c r="Q661" s="6" t="str">
        <f>IFERROR(__xludf.DUMMYFUNCTION("""COMPUTED_VALUE"""),"virtually")</f>
        <v>virtually</v>
      </c>
      <c r="S661" s="6" t="str">
        <f>IFERROR(__xludf.DUMMYFUNCTION("""COMPUTED_VALUE"""),"bit")</f>
        <v>bit</v>
      </c>
    </row>
    <row r="662">
      <c r="D662" s="6"/>
      <c r="H662" s="6" t="str">
        <f>IFERROR(__xludf.DUMMYFUNCTION("""COMPUTED_VALUE"""),"exquisite")</f>
        <v>exquisite</v>
      </c>
      <c r="I662" s="6" t="str">
        <f>IFERROR(__xludf.DUMMYFUNCTION("""COMPUTED_VALUE"""),"eye")</f>
        <v>eye</v>
      </c>
      <c r="J662" s="6" t="str">
        <f>IFERROR(__xludf.DUMMYFUNCTION("""COMPUTED_VALUE"""),"fantasia")</f>
        <v>fantasia</v>
      </c>
      <c r="L662" s="6" t="str">
        <f>IFERROR(__xludf.DUMMYFUNCTION("""COMPUTED_VALUE"""),"minority")</f>
        <v>minority</v>
      </c>
      <c r="M662" s="6"/>
      <c r="N662" s="6" t="str">
        <f>IFERROR(__xludf.DUMMYFUNCTION("""COMPUTED_VALUE"""),"frontal")</f>
        <v>frontal</v>
      </c>
      <c r="P662" s="6" t="str">
        <f>IFERROR(__xludf.DUMMYFUNCTION("""COMPUTED_VALUE"""),"spell")</f>
        <v>spell</v>
      </c>
      <c r="Q662" s="6" t="str">
        <f>IFERROR(__xludf.DUMMYFUNCTION("""COMPUTED_VALUE"""),"clever")</f>
        <v>clever</v>
      </c>
      <c r="S662" s="6" t="str">
        <f>IFERROR(__xludf.DUMMYFUNCTION("""COMPUTED_VALUE"""),"broken")</f>
        <v>broken</v>
      </c>
    </row>
    <row r="663">
      <c r="D663" s="6"/>
      <c r="H663" s="6" t="str">
        <f>IFERROR(__xludf.DUMMYFUNCTION("""COMPUTED_VALUE"""),"bollywood")</f>
        <v>bollywood</v>
      </c>
      <c r="I663" s="6" t="str">
        <f>IFERROR(__xludf.DUMMYFUNCTION("""COMPUTED_VALUE"""),"blind")</f>
        <v>blind</v>
      </c>
      <c r="J663" s="6" t="str">
        <f>IFERROR(__xludf.DUMMYFUNCTION("""COMPUTED_VALUE"""),"biographical")</f>
        <v>biographical</v>
      </c>
      <c r="L663" s="6" t="str">
        <f>IFERROR(__xludf.DUMMYFUNCTION("""COMPUTED_VALUE"""),"ramsay")</f>
        <v>ramsay</v>
      </c>
      <c r="M663" s="6"/>
      <c r="N663" s="6" t="str">
        <f>IFERROR(__xludf.DUMMYFUNCTION("""COMPUTED_VALUE"""),"virtue")</f>
        <v>virtue</v>
      </c>
      <c r="P663" s="6" t="str">
        <f>IFERROR(__xludf.DUMMYFUNCTION("""COMPUTED_VALUE"""),"previous")</f>
        <v>previous</v>
      </c>
      <c r="Q663" s="6" t="str">
        <f>IFERROR(__xludf.DUMMYFUNCTION("""COMPUTED_VALUE"""),"public")</f>
        <v>public</v>
      </c>
      <c r="S663" s="6" t="str">
        <f>IFERROR(__xludf.DUMMYFUNCTION("""COMPUTED_VALUE"""),"pianist")</f>
        <v>pianist</v>
      </c>
    </row>
    <row r="664">
      <c r="D664" s="6"/>
      <c r="H664" s="6" t="str">
        <f>IFERROR(__xludf.DUMMYFUNCTION("""COMPUTED_VALUE"""),"devastating")</f>
        <v>devastating</v>
      </c>
      <c r="I664" s="6" t="str">
        <f>IFERROR(__xludf.DUMMYFUNCTION("""COMPUTED_VALUE"""),"grandfather")</f>
        <v>grandfather</v>
      </c>
      <c r="J664" s="6" t="str">
        <f>IFERROR(__xludf.DUMMYFUNCTION("""COMPUTED_VALUE"""),"triangle")</f>
        <v>triangle</v>
      </c>
      <c r="L664" s="6" t="str">
        <f>IFERROR(__xludf.DUMMYFUNCTION("""COMPUTED_VALUE"""),"pedestrian")</f>
        <v>pedestrian</v>
      </c>
      <c r="M664" s="6"/>
      <c r="N664" s="6" t="str">
        <f>IFERROR(__xludf.DUMMYFUNCTION("""COMPUTED_VALUE"""),"reginald")</f>
        <v>reginald</v>
      </c>
      <c r="P664" s="6" t="str">
        <f>IFERROR(__xludf.DUMMYFUNCTION("""COMPUTED_VALUE"""),"fallen")</f>
        <v>fallen</v>
      </c>
      <c r="Q664" s="6" t="str">
        <f>IFERROR(__xludf.DUMMYFUNCTION("""COMPUTED_VALUE"""),"plunging")</f>
        <v>plunging</v>
      </c>
      <c r="S664" s="6" t="str">
        <f>IFERROR(__xludf.DUMMYFUNCTION("""COMPUTED_VALUE"""),"ship")</f>
        <v>ship</v>
      </c>
    </row>
    <row r="665">
      <c r="D665" s="6"/>
      <c r="H665" s="6" t="str">
        <f>IFERROR(__xludf.DUMMYFUNCTION("""COMPUTED_VALUE"""),"profoundly")</f>
        <v>profoundly</v>
      </c>
      <c r="I665" s="6" t="str">
        <f>IFERROR(__xludf.DUMMYFUNCTION("""COMPUTED_VALUE"""),"composition")</f>
        <v>composition</v>
      </c>
      <c r="J665" s="6" t="str">
        <f>IFERROR(__xludf.DUMMYFUNCTION("""COMPUTED_VALUE"""),"leon")</f>
        <v>leon</v>
      </c>
      <c r="L665" s="6" t="str">
        <f>IFERROR(__xludf.DUMMYFUNCTION("""COMPUTED_VALUE"""),"densely")</f>
        <v>densely</v>
      </c>
      <c r="M665" s="6"/>
      <c r="N665" s="6" t="str">
        <f>IFERROR(__xludf.DUMMYFUNCTION("""COMPUTED_VALUE"""),"familiarity")</f>
        <v>familiarity</v>
      </c>
      <c r="P665" s="6" t="str">
        <f>IFERROR(__xludf.DUMMYFUNCTION("""COMPUTED_VALUE"""),"scandal")</f>
        <v>scandal</v>
      </c>
      <c r="Q665" s="6" t="str">
        <f>IFERROR(__xludf.DUMMYFUNCTION("""COMPUTED_VALUE"""),"getting")</f>
        <v>getting</v>
      </c>
      <c r="S665" s="6" t="str">
        <f>IFERROR(__xludf.DUMMYFUNCTION("""COMPUTED_VALUE"""),"chase")</f>
        <v>chase</v>
      </c>
    </row>
    <row r="666">
      <c r="D666" s="6"/>
      <c r="H666" s="6" t="str">
        <f>IFERROR(__xludf.DUMMYFUNCTION("""COMPUTED_VALUE"""),"achievements")</f>
        <v>achievements</v>
      </c>
      <c r="I666" s="6" t="str">
        <f>IFERROR(__xludf.DUMMYFUNCTION("""COMPUTED_VALUE"""),"mature")</f>
        <v>mature</v>
      </c>
      <c r="J666" s="6" t="str">
        <f>IFERROR(__xludf.DUMMYFUNCTION("""COMPUTED_VALUE"""),"during")</f>
        <v>during</v>
      </c>
      <c r="L666" s="6" t="str">
        <f>IFERROR(__xludf.DUMMYFUNCTION("""COMPUTED_VALUE"""),"hitchcock")</f>
        <v>hitchcock</v>
      </c>
      <c r="M666" s="6"/>
      <c r="N666" s="6" t="str">
        <f>IFERROR(__xludf.DUMMYFUNCTION("""COMPUTED_VALUE"""),"iranian")</f>
        <v>iranian</v>
      </c>
      <c r="P666" s="6" t="str">
        <f>IFERROR(__xludf.DUMMYFUNCTION("""COMPUTED_VALUE"""),"historic")</f>
        <v>historic</v>
      </c>
      <c r="Q666" s="6" t="str">
        <f>IFERROR(__xludf.DUMMYFUNCTION("""COMPUTED_VALUE"""),"underneath")</f>
        <v>underneath</v>
      </c>
      <c r="S666" s="6" t="str">
        <f>IFERROR(__xludf.DUMMYFUNCTION("""COMPUTED_VALUE"""),"program")</f>
        <v>program</v>
      </c>
    </row>
    <row r="667">
      <c r="D667" s="6"/>
      <c r="H667" s="6" t="str">
        <f>IFERROR(__xludf.DUMMYFUNCTION("""COMPUTED_VALUE"""),"bullock")</f>
        <v>bullock</v>
      </c>
      <c r="I667" s="6" t="str">
        <f>IFERROR(__xludf.DUMMYFUNCTION("""COMPUTED_VALUE"""),"house")</f>
        <v>house</v>
      </c>
      <c r="J667" s="6" t="str">
        <f>IFERROR(__xludf.DUMMYFUNCTION("""COMPUTED_VALUE"""),"satirical")</f>
        <v>satirical</v>
      </c>
      <c r="L667" s="6" t="str">
        <f>IFERROR(__xludf.DUMMYFUNCTION("""COMPUTED_VALUE"""),"curves")</f>
        <v>curves</v>
      </c>
      <c r="M667" s="6"/>
      <c r="N667" s="6" t="str">
        <f>IFERROR(__xludf.DUMMYFUNCTION("""COMPUTED_VALUE"""),"murderous")</f>
        <v>murderous</v>
      </c>
      <c r="P667" s="6" t="str">
        <f>IFERROR(__xludf.DUMMYFUNCTION("""COMPUTED_VALUE"""),"packed")</f>
        <v>packed</v>
      </c>
      <c r="Q667" s="6" t="str">
        <f>IFERROR(__xludf.DUMMYFUNCTION("""COMPUTED_VALUE"""),"deeper")</f>
        <v>deeper</v>
      </c>
      <c r="S667" s="6" t="str">
        <f>IFERROR(__xludf.DUMMYFUNCTION("""COMPUTED_VALUE"""),"martha")</f>
        <v>martha</v>
      </c>
    </row>
    <row r="668">
      <c r="D668" s="6"/>
      <c r="H668" s="6" t="str">
        <f>IFERROR(__xludf.DUMMYFUNCTION("""COMPUTED_VALUE"""),"poetic")</f>
        <v>poetic</v>
      </c>
      <c r="I668" s="6" t="str">
        <f>IFERROR(__xludf.DUMMYFUNCTION("""COMPUTED_VALUE"""),"commerce")</f>
        <v>commerce</v>
      </c>
      <c r="J668" s="6" t="str">
        <f>IFERROR(__xludf.DUMMYFUNCTION("""COMPUTED_VALUE"""),"pained")</f>
        <v>pained</v>
      </c>
      <c r="L668" s="6" t="str">
        <f>IFERROR(__xludf.DUMMYFUNCTION("""COMPUTED_VALUE"""),"strains")</f>
        <v>strains</v>
      </c>
      <c r="M668" s="6"/>
      <c r="N668" s="6" t="str">
        <f>IFERROR(__xludf.DUMMYFUNCTION("""COMPUTED_VALUE"""),"introduces")</f>
        <v>introduces</v>
      </c>
      <c r="P668" s="6" t="str">
        <f>IFERROR(__xludf.DUMMYFUNCTION("""COMPUTED_VALUE"""),"poverty")</f>
        <v>poverty</v>
      </c>
      <c r="Q668" s="6" t="str">
        <f>IFERROR(__xludf.DUMMYFUNCTION("""COMPUTED_VALUE"""),"rug")</f>
        <v>rug</v>
      </c>
      <c r="S668" s="6" t="str">
        <f>IFERROR(__xludf.DUMMYFUNCTION("""COMPUTED_VALUE"""),"rapid")</f>
        <v>rapid</v>
      </c>
    </row>
    <row r="669">
      <c r="D669" s="6"/>
      <c r="H669" s="6" t="str">
        <f>IFERROR(__xludf.DUMMYFUNCTION("""COMPUTED_VALUE"""),"brilliance")</f>
        <v>brilliance</v>
      </c>
      <c r="I669" s="6" t="str">
        <f>IFERROR(__xludf.DUMMYFUNCTION("""COMPUTED_VALUE"""),"consciousness")</f>
        <v>consciousness</v>
      </c>
      <c r="J669" s="6" t="str">
        <f>IFERROR(__xludf.DUMMYFUNCTION("""COMPUTED_VALUE"""),"bracing")</f>
        <v>bracing</v>
      </c>
      <c r="L669" s="6" t="str">
        <f>IFERROR(__xludf.DUMMYFUNCTION("""COMPUTED_VALUE"""),"damon")</f>
        <v>damon</v>
      </c>
      <c r="M669" s="6"/>
      <c r="N669" s="6" t="str">
        <f>IFERROR(__xludf.DUMMYFUNCTION("""COMPUTED_VALUE"""),"orbits")</f>
        <v>orbits</v>
      </c>
      <c r="P669" s="6" t="str">
        <f>IFERROR(__xludf.DUMMYFUNCTION("""COMPUTED_VALUE"""),"hour")</f>
        <v>hour</v>
      </c>
      <c r="Q669" s="6" t="str">
        <f>IFERROR(__xludf.DUMMYFUNCTION("""COMPUTED_VALUE"""),"intense")</f>
        <v>intense</v>
      </c>
      <c r="S669" s="6" t="str">
        <f>IFERROR(__xludf.DUMMYFUNCTION("""COMPUTED_VALUE"""),"virtually")</f>
        <v>virtually</v>
      </c>
    </row>
    <row r="670">
      <c r="D670" s="6"/>
      <c r="H670" s="6" t="str">
        <f>IFERROR(__xludf.DUMMYFUNCTION("""COMPUTED_VALUE"""),"sloppy")</f>
        <v>sloppy</v>
      </c>
      <c r="I670" s="6" t="str">
        <f>IFERROR(__xludf.DUMMYFUNCTION("""COMPUTED_VALUE"""),"steady")</f>
        <v>steady</v>
      </c>
      <c r="J670" s="6" t="str">
        <f>IFERROR(__xludf.DUMMYFUNCTION("""COMPUTED_VALUE"""),"motives")</f>
        <v>motives</v>
      </c>
      <c r="L670" s="6" t="str">
        <f>IFERROR(__xludf.DUMMYFUNCTION("""COMPUTED_VALUE"""),"commands")</f>
        <v>commands</v>
      </c>
      <c r="M670" s="6"/>
      <c r="N670" s="6" t="str">
        <f>IFERROR(__xludf.DUMMYFUNCTION("""COMPUTED_VALUE"""),"appropriate")</f>
        <v>appropriate</v>
      </c>
      <c r="P670" s="6" t="str">
        <f>IFERROR(__xludf.DUMMYFUNCTION("""COMPUTED_VALUE"""),"kill")</f>
        <v>kill</v>
      </c>
      <c r="Q670" s="6" t="str">
        <f>IFERROR(__xludf.DUMMYFUNCTION("""COMPUTED_VALUE"""),"faithful")</f>
        <v>faithful</v>
      </c>
      <c r="S670" s="6" t="str">
        <f>IFERROR(__xludf.DUMMYFUNCTION("""COMPUTED_VALUE"""),"looked")</f>
        <v>looked</v>
      </c>
    </row>
    <row r="671">
      <c r="D671" s="6"/>
      <c r="H671" s="6" t="str">
        <f>IFERROR(__xludf.DUMMYFUNCTION("""COMPUTED_VALUE"""),"sparkling")</f>
        <v>sparkling</v>
      </c>
      <c r="I671" s="6" t="str">
        <f>IFERROR(__xludf.DUMMYFUNCTION("""COMPUTED_VALUE"""),"naturally")</f>
        <v>naturally</v>
      </c>
      <c r="J671" s="6" t="str">
        <f>IFERROR(__xludf.DUMMYFUNCTION("""COMPUTED_VALUE"""),"sexy")</f>
        <v>sexy</v>
      </c>
      <c r="L671" s="6" t="str">
        <f>IFERROR(__xludf.DUMMYFUNCTION("""COMPUTED_VALUE"""),"burns")</f>
        <v>burns</v>
      </c>
      <c r="M671" s="6"/>
      <c r="N671" s="6" t="str">
        <f>IFERROR(__xludf.DUMMYFUNCTION("""COMPUTED_VALUE"""),"leigh")</f>
        <v>leigh</v>
      </c>
      <c r="P671" s="6" t="str">
        <f>IFERROR(__xludf.DUMMYFUNCTION("""COMPUTED_VALUE"""),"head")</f>
        <v>head</v>
      </c>
      <c r="Q671" s="6" t="str">
        <f>IFERROR(__xludf.DUMMYFUNCTION("""COMPUTED_VALUE"""),"exaggerated")</f>
        <v>exaggerated</v>
      </c>
      <c r="S671" s="6" t="str">
        <f>IFERROR(__xludf.DUMMYFUNCTION("""COMPUTED_VALUE"""),"production")</f>
        <v>production</v>
      </c>
    </row>
    <row r="672">
      <c r="D672" s="6"/>
      <c r="H672" s="6" t="str">
        <f>IFERROR(__xludf.DUMMYFUNCTION("""COMPUTED_VALUE"""),"lopez")</f>
        <v>lopez</v>
      </c>
      <c r="I672" s="6" t="str">
        <f>IFERROR(__xludf.DUMMYFUNCTION("""COMPUTED_VALUE"""),"siege")</f>
        <v>siege</v>
      </c>
      <c r="J672" s="6" t="str">
        <f>IFERROR(__xludf.DUMMYFUNCTION("""COMPUTED_VALUE"""),"magnetic")</f>
        <v>magnetic</v>
      </c>
      <c r="L672" s="6" t="str">
        <f>IFERROR(__xludf.DUMMYFUNCTION("""COMPUTED_VALUE"""),"globe")</f>
        <v>globe</v>
      </c>
      <c r="M672" s="6"/>
      <c r="P672" s="6" t="str">
        <f>IFERROR(__xludf.DUMMYFUNCTION("""COMPUTED_VALUE"""),"shoot")</f>
        <v>shoot</v>
      </c>
      <c r="Q672" s="6" t="str">
        <f>IFERROR(__xludf.DUMMYFUNCTION("""COMPUTED_VALUE"""),"upon")</f>
        <v>upon</v>
      </c>
      <c r="S672" s="6" t="str">
        <f>IFERROR(__xludf.DUMMYFUNCTION("""COMPUTED_VALUE"""),"public")</f>
        <v>public</v>
      </c>
    </row>
    <row r="673">
      <c r="D673" s="6"/>
      <c r="H673" s="6" t="str">
        <f>IFERROR(__xludf.DUMMYFUNCTION("""COMPUTED_VALUE"""),"relationships")</f>
        <v>relationships</v>
      </c>
      <c r="I673" s="6" t="str">
        <f>IFERROR(__xludf.DUMMYFUNCTION("""COMPUTED_VALUE"""),"gravity")</f>
        <v>gravity</v>
      </c>
      <c r="J673" s="6" t="str">
        <f>IFERROR(__xludf.DUMMYFUNCTION("""COMPUTED_VALUE"""),"lunatic")</f>
        <v>lunatic</v>
      </c>
      <c r="L673" s="6" t="str">
        <f>IFERROR(__xludf.DUMMYFUNCTION("""COMPUTED_VALUE"""),"fiercely")</f>
        <v>fiercely</v>
      </c>
      <c r="M673" s="6"/>
      <c r="P673" s="6" t="str">
        <f>IFERROR(__xludf.DUMMYFUNCTION("""COMPUTED_VALUE"""),"murder")</f>
        <v>murder</v>
      </c>
      <c r="Q673" s="6" t="str">
        <f>IFERROR(__xludf.DUMMYFUNCTION("""COMPUTED_VALUE"""),"yarn")</f>
        <v>yarn</v>
      </c>
      <c r="S673" s="6" t="str">
        <f>IFERROR(__xludf.DUMMYFUNCTION("""COMPUTED_VALUE"""),"getting")</f>
        <v>getting</v>
      </c>
    </row>
    <row r="674">
      <c r="D674" s="6"/>
      <c r="H674" s="6" t="str">
        <f>IFERROR(__xludf.DUMMYFUNCTION("""COMPUTED_VALUE"""),"norma")</f>
        <v>norma</v>
      </c>
      <c r="I674" s="6" t="str">
        <f>IFERROR(__xludf.DUMMYFUNCTION("""COMPUTED_VALUE"""),"popular")</f>
        <v>popular</v>
      </c>
      <c r="J674" s="6" t="str">
        <f>IFERROR(__xludf.DUMMYFUNCTION("""COMPUTED_VALUE"""),"monstrous")</f>
        <v>monstrous</v>
      </c>
      <c r="L674" s="6" t="str">
        <f>IFERROR(__xludf.DUMMYFUNCTION("""COMPUTED_VALUE"""),"catholic")</f>
        <v>catholic</v>
      </c>
      <c r="M674" s="6"/>
      <c r="P674" s="6" t="str">
        <f>IFERROR(__xludf.DUMMYFUNCTION("""COMPUTED_VALUE"""),"survival")</f>
        <v>survival</v>
      </c>
      <c r="Q674" s="6" t="str">
        <f>IFERROR(__xludf.DUMMYFUNCTION("""COMPUTED_VALUE"""),"walk")</f>
        <v>walk</v>
      </c>
      <c r="S674" s="6" t="str">
        <f>IFERROR(__xludf.DUMMYFUNCTION("""COMPUTED_VALUE"""),"sides")</f>
        <v>sides</v>
      </c>
    </row>
    <row r="675">
      <c r="D675" s="6"/>
      <c r="H675" s="6" t="str">
        <f>IFERROR(__xludf.DUMMYFUNCTION("""COMPUTED_VALUE"""),"rae")</f>
        <v>rae</v>
      </c>
      <c r="I675" s="6" t="str">
        <f>IFERROR(__xludf.DUMMYFUNCTION("""COMPUTED_VALUE"""),"damage")</f>
        <v>damage</v>
      </c>
      <c r="J675" s="6" t="str">
        <f>IFERROR(__xludf.DUMMYFUNCTION("""COMPUTED_VALUE"""),"inherent")</f>
        <v>inherent</v>
      </c>
      <c r="L675" s="6" t="str">
        <f>IFERROR(__xludf.DUMMYFUNCTION("""COMPUTED_VALUE"""),"tenth")</f>
        <v>tenth</v>
      </c>
      <c r="M675" s="6"/>
      <c r="P675" s="6" t="str">
        <f>IFERROR(__xludf.DUMMYFUNCTION("""COMPUTED_VALUE"""),"psychological")</f>
        <v>psychological</v>
      </c>
      <c r="Q675" s="6" t="str">
        <f>IFERROR(__xludf.DUMMYFUNCTION("""COMPUTED_VALUE"""),"remember")</f>
        <v>remember</v>
      </c>
      <c r="S675" s="6" t="str">
        <f>IFERROR(__xludf.DUMMYFUNCTION("""COMPUTED_VALUE"""),"pulling")</f>
        <v>pulling</v>
      </c>
    </row>
    <row r="676">
      <c r="D676" s="6"/>
      <c r="H676" s="6" t="str">
        <f>IFERROR(__xludf.DUMMYFUNCTION("""COMPUTED_VALUE"""),"cannes")</f>
        <v>cannes</v>
      </c>
      <c r="I676" s="6" t="str">
        <f>IFERROR(__xludf.DUMMYFUNCTION("""COMPUTED_VALUE"""),"christopher")</f>
        <v>christopher</v>
      </c>
      <c r="J676" s="6" t="str">
        <f>IFERROR(__xludf.DUMMYFUNCTION("""COMPUTED_VALUE"""),"swinging")</f>
        <v>swinging</v>
      </c>
      <c r="L676" s="6" t="str">
        <f>IFERROR(__xludf.DUMMYFUNCTION("""COMPUTED_VALUE"""),"inhabitants")</f>
        <v>inhabitants</v>
      </c>
      <c r="M676" s="6"/>
      <c r="P676" s="6" t="str">
        <f>IFERROR(__xludf.DUMMYFUNCTION("""COMPUTED_VALUE"""),"victories")</f>
        <v>victories</v>
      </c>
      <c r="Q676" s="6" t="str">
        <f>IFERROR(__xludf.DUMMYFUNCTION("""COMPUTED_VALUE"""),"innocence")</f>
        <v>innocence</v>
      </c>
      <c r="S676" s="6" t="str">
        <f>IFERROR(__xludf.DUMMYFUNCTION("""COMPUTED_VALUE"""),"intense")</f>
        <v>intense</v>
      </c>
    </row>
    <row r="677">
      <c r="D677" s="6"/>
      <c r="H677" s="6" t="str">
        <f>IFERROR(__xludf.DUMMYFUNCTION("""COMPUTED_VALUE"""),"raphael")</f>
        <v>raphael</v>
      </c>
      <c r="I677" s="6" t="str">
        <f>IFERROR(__xludf.DUMMYFUNCTION("""COMPUTED_VALUE"""),"warrior")</f>
        <v>warrior</v>
      </c>
      <c r="J677" s="6" t="str">
        <f>IFERROR(__xludf.DUMMYFUNCTION("""COMPUTED_VALUE"""),"praises")</f>
        <v>praises</v>
      </c>
      <c r="L677" s="6" t="str">
        <f>IFERROR(__xludf.DUMMYFUNCTION("""COMPUTED_VALUE"""),"salvage")</f>
        <v>salvage</v>
      </c>
      <c r="M677" s="6"/>
      <c r="P677" s="6" t="str">
        <f>IFERROR(__xludf.DUMMYFUNCTION("""COMPUTED_VALUE"""),"class")</f>
        <v>class</v>
      </c>
      <c r="Q677" s="6" t="str">
        <f>IFERROR(__xludf.DUMMYFUNCTION("""COMPUTED_VALUE"""),"hero")</f>
        <v>hero</v>
      </c>
      <c r="S677" s="6" t="str">
        <f>IFERROR(__xludf.DUMMYFUNCTION("""COMPUTED_VALUE"""),"deeper")</f>
        <v>deeper</v>
      </c>
    </row>
    <row r="678">
      <c r="D678" s="6"/>
      <c r="H678" s="6" t="str">
        <f>IFERROR(__xludf.DUMMYFUNCTION("""COMPUTED_VALUE"""),"understands")</f>
        <v>understands</v>
      </c>
      <c r="I678" s="6" t="str">
        <f>IFERROR(__xludf.DUMMYFUNCTION("""COMPUTED_VALUE"""),"proud")</f>
        <v>proud</v>
      </c>
      <c r="J678" s="6" t="str">
        <f>IFERROR(__xludf.DUMMYFUNCTION("""COMPUTED_VALUE"""),"ecological")</f>
        <v>ecological</v>
      </c>
      <c r="L678" s="6" t="str">
        <f>IFERROR(__xludf.DUMMYFUNCTION("""COMPUTED_VALUE"""),"taut")</f>
        <v>taut</v>
      </c>
      <c r="M678" s="6"/>
      <c r="P678" s="6" t="str">
        <f>IFERROR(__xludf.DUMMYFUNCTION("""COMPUTED_VALUE"""),"nonetheless")</f>
        <v>nonetheless</v>
      </c>
      <c r="Q678" s="6" t="str">
        <f>IFERROR(__xludf.DUMMYFUNCTION("""COMPUTED_VALUE"""),"tackles")</f>
        <v>tackles</v>
      </c>
      <c r="S678" s="6" t="str">
        <f>IFERROR(__xludf.DUMMYFUNCTION("""COMPUTED_VALUE"""),"underneath")</f>
        <v>underneath</v>
      </c>
    </row>
    <row r="679">
      <c r="D679" s="6"/>
      <c r="H679" s="6" t="str">
        <f>IFERROR(__xludf.DUMMYFUNCTION("""COMPUTED_VALUE"""),"anderson")</f>
        <v>anderson</v>
      </c>
      <c r="I679" s="6" t="str">
        <f>IFERROR(__xludf.DUMMYFUNCTION("""COMPUTED_VALUE"""),"convention")</f>
        <v>convention</v>
      </c>
      <c r="J679" s="6" t="str">
        <f>IFERROR(__xludf.DUMMYFUNCTION("""COMPUTED_VALUE"""),"sociological")</f>
        <v>sociological</v>
      </c>
      <c r="L679" s="6" t="str">
        <f>IFERROR(__xludf.DUMMYFUNCTION("""COMPUTED_VALUE"""),"stripped")</f>
        <v>stripped</v>
      </c>
      <c r="M679" s="6"/>
      <c r="P679" s="6" t="str">
        <f>IFERROR(__xludf.DUMMYFUNCTION("""COMPUTED_VALUE"""),"cheap")</f>
        <v>cheap</v>
      </c>
      <c r="Q679" s="6" t="str">
        <f>IFERROR(__xludf.DUMMYFUNCTION("""COMPUTED_VALUE"""),"stanley")</f>
        <v>stanley</v>
      </c>
      <c r="S679" s="6" t="str">
        <f>IFERROR(__xludf.DUMMYFUNCTION("""COMPUTED_VALUE"""),"constantly")</f>
        <v>constantly</v>
      </c>
    </row>
    <row r="680">
      <c r="D680" s="6"/>
      <c r="H680" s="6" t="str">
        <f>IFERROR(__xludf.DUMMYFUNCTION("""COMPUTED_VALUE"""),"wherein")</f>
        <v>wherein</v>
      </c>
      <c r="I680" s="6">
        <f>IFERROR(__xludf.DUMMYFUNCTION("""COMPUTED_VALUE"""),15.0)</f>
        <v>15</v>
      </c>
      <c r="J680" s="6" t="str">
        <f>IFERROR(__xludf.DUMMYFUNCTION("""COMPUTED_VALUE"""),"teenagers")</f>
        <v>teenagers</v>
      </c>
      <c r="L680" s="6" t="str">
        <f>IFERROR(__xludf.DUMMYFUNCTION("""COMPUTED_VALUE"""),"bet")</f>
        <v>bet</v>
      </c>
      <c r="M680" s="6"/>
      <c r="P680" s="6" t="str">
        <f>IFERROR(__xludf.DUMMYFUNCTION("""COMPUTED_VALUE"""),"morning")</f>
        <v>morning</v>
      </c>
      <c r="Q680" s="6" t="str">
        <f>IFERROR(__xludf.DUMMYFUNCTION("""COMPUTED_VALUE"""),"kwan")</f>
        <v>kwan</v>
      </c>
      <c r="S680" s="6" t="str">
        <f>IFERROR(__xludf.DUMMYFUNCTION("""COMPUTED_VALUE"""),"numerous")</f>
        <v>numerous</v>
      </c>
    </row>
    <row r="681">
      <c r="D681" s="6"/>
      <c r="H681" s="6" t="str">
        <f>IFERROR(__xludf.DUMMYFUNCTION("""COMPUTED_VALUE"""),"loyal")</f>
        <v>loyal</v>
      </c>
      <c r="I681" s="6" t="str">
        <f>IFERROR(__xludf.DUMMYFUNCTION("""COMPUTED_VALUE"""),"depression")</f>
        <v>depression</v>
      </c>
      <c r="J681" s="6" t="str">
        <f>IFERROR(__xludf.DUMMYFUNCTION("""COMPUTED_VALUE"""),"notice")</f>
        <v>notice</v>
      </c>
      <c r="L681" s="6" t="str">
        <f>IFERROR(__xludf.DUMMYFUNCTION("""COMPUTED_VALUE"""),"elemental")</f>
        <v>elemental</v>
      </c>
      <c r="M681" s="6"/>
      <c r="P681" s="6" t="str">
        <f>IFERROR(__xludf.DUMMYFUNCTION("""COMPUTED_VALUE"""),"saturday")</f>
        <v>saturday</v>
      </c>
      <c r="Q681" s="6" t="str">
        <f>IFERROR(__xludf.DUMMYFUNCTION("""COMPUTED_VALUE"""),"versatile")</f>
        <v>versatile</v>
      </c>
      <c r="S681" s="6" t="str">
        <f>IFERROR(__xludf.DUMMYFUNCTION("""COMPUTED_VALUE"""),"upon")</f>
        <v>upon</v>
      </c>
    </row>
    <row r="682">
      <c r="D682" s="6"/>
      <c r="H682" s="6" t="str">
        <f>IFERROR(__xludf.DUMMYFUNCTION("""COMPUTED_VALUE"""),"holm")</f>
        <v>holm</v>
      </c>
      <c r="I682" s="6" t="str">
        <f>IFERROR(__xludf.DUMMYFUNCTION("""COMPUTED_VALUE"""),"hughes")</f>
        <v>hughes</v>
      </c>
      <c r="J682" s="6" t="str">
        <f>IFERROR(__xludf.DUMMYFUNCTION("""COMPUTED_VALUE"""),"vulgar")</f>
        <v>vulgar</v>
      </c>
      <c r="L682" s="6" t="str">
        <f>IFERROR(__xludf.DUMMYFUNCTION("""COMPUTED_VALUE"""),"arc")</f>
        <v>arc</v>
      </c>
      <c r="M682" s="6"/>
      <c r="P682" s="6" t="str">
        <f>IFERROR(__xludf.DUMMYFUNCTION("""COMPUTED_VALUE"""),"actor")</f>
        <v>actor</v>
      </c>
      <c r="Q682" s="6" t="str">
        <f>IFERROR(__xludf.DUMMYFUNCTION("""COMPUTED_VALUE"""),"hong")</f>
        <v>hong</v>
      </c>
      <c r="S682" s="6" t="str">
        <f>IFERROR(__xludf.DUMMYFUNCTION("""COMPUTED_VALUE"""),"walk")</f>
        <v>walk</v>
      </c>
    </row>
    <row r="683">
      <c r="D683" s="6"/>
      <c r="H683" s="6" t="str">
        <f>IFERROR(__xludf.DUMMYFUNCTION("""COMPUTED_VALUE"""),"ian")</f>
        <v>ian</v>
      </c>
      <c r="I683" s="6" t="str">
        <f>IFERROR(__xludf.DUMMYFUNCTION("""COMPUTED_VALUE"""),"elder")</f>
        <v>elder</v>
      </c>
      <c r="J683" s="6" t="str">
        <f>IFERROR(__xludf.DUMMYFUNCTION("""COMPUTED_VALUE"""),"pokemon")</f>
        <v>pokemon</v>
      </c>
      <c r="L683" s="6" t="str">
        <f>IFERROR(__xludf.DUMMYFUNCTION("""COMPUTED_VALUE"""),"destructive")</f>
        <v>destructive</v>
      </c>
      <c r="M683" s="6"/>
      <c r="P683" s="6" t="str">
        <f>IFERROR(__xludf.DUMMYFUNCTION("""COMPUTED_VALUE"""),"british")</f>
        <v>british</v>
      </c>
      <c r="Q683" s="6" t="str">
        <f>IFERROR(__xludf.DUMMYFUNCTION("""COMPUTED_VALUE"""),"me")</f>
        <v>me</v>
      </c>
      <c r="S683" s="6" t="str">
        <f>IFERROR(__xludf.DUMMYFUNCTION("""COMPUTED_VALUE"""),"remember")</f>
        <v>remember</v>
      </c>
    </row>
    <row r="684">
      <c r="D684" s="6"/>
      <c r="H684" s="6" t="str">
        <f>IFERROR(__xludf.DUMMYFUNCTION("""COMPUTED_VALUE"""),"minds")</f>
        <v>minds</v>
      </c>
      <c r="I684" s="6" t="str">
        <f>IFERROR(__xludf.DUMMYFUNCTION("""COMPUTED_VALUE"""),"musical")</f>
        <v>musical</v>
      </c>
      <c r="J684" s="6" t="str">
        <f>IFERROR(__xludf.DUMMYFUNCTION("""COMPUTED_VALUE"""),"incorporates")</f>
        <v>incorporates</v>
      </c>
      <c r="L684" s="6" t="str">
        <f>IFERROR(__xludf.DUMMYFUNCTION("""COMPUTED_VALUE"""),"goods")</f>
        <v>goods</v>
      </c>
      <c r="M684" s="6"/>
      <c r="P684" s="6" t="str">
        <f>IFERROR(__xludf.DUMMYFUNCTION("""COMPUTED_VALUE"""),"nicholas")</f>
        <v>nicholas</v>
      </c>
      <c r="Q684" s="6" t="str">
        <f>IFERROR(__xludf.DUMMYFUNCTION("""COMPUTED_VALUE"""),"refreshing")</f>
        <v>refreshing</v>
      </c>
      <c r="S684" s="6" t="str">
        <f>IFERROR(__xludf.DUMMYFUNCTION("""COMPUTED_VALUE"""),"bite")</f>
        <v>bite</v>
      </c>
    </row>
    <row r="685">
      <c r="D685" s="6"/>
      <c r="H685" s="6" t="str">
        <f>IFERROR(__xludf.DUMMYFUNCTION("""COMPUTED_VALUE"""),"justice")</f>
        <v>justice</v>
      </c>
      <c r="I685" s="6" t="str">
        <f>IFERROR(__xludf.DUMMYFUNCTION("""COMPUTED_VALUE"""),"terror")</f>
        <v>terror</v>
      </c>
      <c r="J685" s="6" t="str">
        <f>IFERROR(__xludf.DUMMYFUNCTION("""COMPUTED_VALUE"""),"transporting")</f>
        <v>transporting</v>
      </c>
      <c r="L685" s="6" t="str">
        <f>IFERROR(__xludf.DUMMYFUNCTION("""COMPUTED_VALUE"""),"posing")</f>
        <v>posing</v>
      </c>
      <c r="M685" s="6"/>
      <c r="P685" s="6" t="str">
        <f>IFERROR(__xludf.DUMMYFUNCTION("""COMPUTED_VALUE"""),"finds")</f>
        <v>finds</v>
      </c>
      <c r="Q685" s="6" t="str">
        <f>IFERROR(__xludf.DUMMYFUNCTION("""COMPUTED_VALUE"""),"clive")</f>
        <v>clive</v>
      </c>
      <c r="S685" s="6" t="str">
        <f>IFERROR(__xludf.DUMMYFUNCTION("""COMPUTED_VALUE"""),"hero")</f>
        <v>hero</v>
      </c>
    </row>
    <row r="686">
      <c r="D686" s="6"/>
      <c r="H686" s="6" t="str">
        <f>IFERROR(__xludf.DUMMYFUNCTION("""COMPUTED_VALUE"""),"dawson")</f>
        <v>dawson</v>
      </c>
      <c r="I686" s="6" t="str">
        <f>IFERROR(__xludf.DUMMYFUNCTION("""COMPUTED_VALUE"""),"naval")</f>
        <v>naval</v>
      </c>
      <c r="J686" s="6" t="str">
        <f>IFERROR(__xludf.DUMMYFUNCTION("""COMPUTED_VALUE"""),"diaz")</f>
        <v>diaz</v>
      </c>
      <c r="L686" s="6" t="str">
        <f>IFERROR(__xludf.DUMMYFUNCTION("""COMPUTED_VALUE"""),"fallon")</f>
        <v>fallon</v>
      </c>
      <c r="M686" s="6"/>
      <c r="P686" s="6" t="str">
        <f>IFERROR(__xludf.DUMMYFUNCTION("""COMPUTED_VALUE"""),"pack")</f>
        <v>pack</v>
      </c>
      <c r="Q686" s="6" t="str">
        <f>IFERROR(__xludf.DUMMYFUNCTION("""COMPUTED_VALUE"""),"barker")</f>
        <v>barker</v>
      </c>
      <c r="S686" s="6" t="str">
        <f>IFERROR(__xludf.DUMMYFUNCTION("""COMPUTED_VALUE"""),"fiction")</f>
        <v>fiction</v>
      </c>
    </row>
    <row r="687">
      <c r="D687" s="6"/>
      <c r="H687" s="6" t="str">
        <f>IFERROR(__xludf.DUMMYFUNCTION("""COMPUTED_VALUE"""),"portray")</f>
        <v>portray</v>
      </c>
      <c r="I687" s="6" t="str">
        <f>IFERROR(__xludf.DUMMYFUNCTION("""COMPUTED_VALUE"""),"tears")</f>
        <v>tears</v>
      </c>
      <c r="J687" s="6" t="str">
        <f>IFERROR(__xludf.DUMMYFUNCTION("""COMPUTED_VALUE"""),"belongs")</f>
        <v>belongs</v>
      </c>
      <c r="L687" s="6" t="str">
        <f>IFERROR(__xludf.DUMMYFUNCTION("""COMPUTED_VALUE"""),"forgiveness")</f>
        <v>forgiveness</v>
      </c>
      <c r="M687" s="6"/>
      <c r="P687" s="6" t="str">
        <f>IFERROR(__xludf.DUMMYFUNCTION("""COMPUTED_VALUE"""),"biggest")</f>
        <v>biggest</v>
      </c>
      <c r="Q687" s="6" t="str">
        <f>IFERROR(__xludf.DUMMYFUNCTION("""COMPUTED_VALUE"""),"motion")</f>
        <v>motion</v>
      </c>
      <c r="S687" s="6" t="str">
        <f>IFERROR(__xludf.DUMMYFUNCTION("""COMPUTED_VALUE"""),"today")</f>
        <v>today</v>
      </c>
    </row>
    <row r="688">
      <c r="D688" s="6"/>
      <c r="H688" s="6" t="str">
        <f>IFERROR(__xludf.DUMMYFUNCTION("""COMPUTED_VALUE"""),"someone")</f>
        <v>someone</v>
      </c>
      <c r="I688" s="6" t="str">
        <f>IFERROR(__xludf.DUMMYFUNCTION("""COMPUTED_VALUE"""),"chamber")</f>
        <v>chamber</v>
      </c>
      <c r="J688" s="6" t="str">
        <f>IFERROR(__xludf.DUMMYFUNCTION("""COMPUTED_VALUE"""),"country")</f>
        <v>country</v>
      </c>
      <c r="L688" s="6" t="str">
        <f>IFERROR(__xludf.DUMMYFUNCTION("""COMPUTED_VALUE"""),"stevens")</f>
        <v>stevens</v>
      </c>
      <c r="M688" s="6"/>
      <c r="P688" s="6" t="str">
        <f>IFERROR(__xludf.DUMMYFUNCTION("""COMPUTED_VALUE"""),"couple")</f>
        <v>couple</v>
      </c>
      <c r="Q688" s="6" t="str">
        <f>IFERROR(__xludf.DUMMYFUNCTION("""COMPUTED_VALUE"""),"recognizable")</f>
        <v>recognizable</v>
      </c>
      <c r="S688" s="6" t="str">
        <f>IFERROR(__xludf.DUMMYFUNCTION("""COMPUTED_VALUE"""),"sad")</f>
        <v>sad</v>
      </c>
    </row>
    <row r="689">
      <c r="D689" s="6"/>
      <c r="H689" s="6" t="str">
        <f>IFERROR(__xludf.DUMMYFUNCTION("""COMPUTED_VALUE"""),"monumental")</f>
        <v>monumental</v>
      </c>
      <c r="I689" s="6" t="str">
        <f>IFERROR(__xludf.DUMMYFUNCTION("""COMPUTED_VALUE"""),"cultural")</f>
        <v>cultural</v>
      </c>
      <c r="J689" s="6" t="str">
        <f>IFERROR(__xludf.DUMMYFUNCTION("""COMPUTED_VALUE"""),"jacques")</f>
        <v>jacques</v>
      </c>
      <c r="L689" s="6" t="str">
        <f>IFERROR(__xludf.DUMMYFUNCTION("""COMPUTED_VALUE"""),"ethan")</f>
        <v>ethan</v>
      </c>
      <c r="M689" s="6"/>
      <c r="P689" s="6" t="str">
        <f>IFERROR(__xludf.DUMMYFUNCTION("""COMPUTED_VALUE"""),"measured")</f>
        <v>measured</v>
      </c>
      <c r="Q689" s="6" t="str">
        <f>IFERROR(__xludf.DUMMYFUNCTION("""COMPUTED_VALUE"""),"propelled")</f>
        <v>propelled</v>
      </c>
      <c r="S689" s="6" t="str">
        <f>IFERROR(__xludf.DUMMYFUNCTION("""COMPUTED_VALUE"""),"hong")</f>
        <v>hong</v>
      </c>
    </row>
    <row r="690">
      <c r="D690" s="6"/>
      <c r="H690" s="6" t="str">
        <f>IFERROR(__xludf.DUMMYFUNCTION("""COMPUTED_VALUE"""),"morgan")</f>
        <v>morgan</v>
      </c>
      <c r="I690" s="6" t="str">
        <f>IFERROR(__xludf.DUMMYFUNCTION("""COMPUTED_VALUE"""),"shorter")</f>
        <v>shorter</v>
      </c>
      <c r="J690" s="6" t="str">
        <f>IFERROR(__xludf.DUMMYFUNCTION("""COMPUTED_VALUE"""),"diversion")</f>
        <v>diversion</v>
      </c>
      <c r="L690" s="6" t="str">
        <f>IFERROR(__xludf.DUMMYFUNCTION("""COMPUTED_VALUE"""),"stuart")</f>
        <v>stuart</v>
      </c>
      <c r="M690" s="6"/>
      <c r="P690" s="6" t="str">
        <f>IFERROR(__xludf.DUMMYFUNCTION("""COMPUTED_VALUE"""),"figure")</f>
        <v>figure</v>
      </c>
      <c r="Q690" s="6" t="str">
        <f>IFERROR(__xludf.DUMMYFUNCTION("""COMPUTED_VALUE"""),"spielberg")</f>
        <v>spielberg</v>
      </c>
      <c r="S690" s="6" t="str">
        <f>IFERROR(__xludf.DUMMYFUNCTION("""COMPUTED_VALUE"""),"stanley")</f>
        <v>stanley</v>
      </c>
    </row>
    <row r="691">
      <c r="D691" s="6"/>
      <c r="H691" s="6" t="str">
        <f>IFERROR(__xludf.DUMMYFUNCTION("""COMPUTED_VALUE"""),"freeman")</f>
        <v>freeman</v>
      </c>
      <c r="I691" s="6" t="str">
        <f>IFERROR(__xludf.DUMMYFUNCTION("""COMPUTED_VALUE"""),"trailer")</f>
        <v>trailer</v>
      </c>
      <c r="J691" s="6" t="str">
        <f>IFERROR(__xludf.DUMMYFUNCTION("""COMPUTED_VALUE"""),"bonds")</f>
        <v>bonds</v>
      </c>
      <c r="L691" s="6" t="str">
        <f>IFERROR(__xludf.DUMMYFUNCTION("""COMPUTED_VALUE"""),"friendships")</f>
        <v>friendships</v>
      </c>
      <c r="M691" s="6"/>
      <c r="P691" s="6" t="str">
        <f>IFERROR(__xludf.DUMMYFUNCTION("""COMPUTED_VALUE"""),"murphy")</f>
        <v>murphy</v>
      </c>
      <c r="Q691" s="6" t="str">
        <f>IFERROR(__xludf.DUMMYFUNCTION("""COMPUTED_VALUE"""),"trademark")</f>
        <v>trademark</v>
      </c>
      <c r="S691" s="6" t="str">
        <f>IFERROR(__xludf.DUMMYFUNCTION("""COMPUTED_VALUE"""),"motion")</f>
        <v>motion</v>
      </c>
    </row>
    <row r="692">
      <c r="D692" s="6"/>
      <c r="H692" s="6" t="str">
        <f>IFERROR(__xludf.DUMMYFUNCTION("""COMPUTED_VALUE"""),"judd")</f>
        <v>judd</v>
      </c>
      <c r="I692" s="6" t="str">
        <f>IFERROR(__xludf.DUMMYFUNCTION("""COMPUTED_VALUE"""),"pit")</f>
        <v>pit</v>
      </c>
      <c r="J692" s="6" t="str">
        <f>IFERROR(__xludf.DUMMYFUNCTION("""COMPUTED_VALUE"""),"anatomical")</f>
        <v>anatomical</v>
      </c>
      <c r="L692" s="6" t="str">
        <f>IFERROR(__xludf.DUMMYFUNCTION("""COMPUTED_VALUE"""),"sacrifices")</f>
        <v>sacrifices</v>
      </c>
      <c r="M692" s="6"/>
      <c r="P692" s="6" t="str">
        <f>IFERROR(__xludf.DUMMYFUNCTION("""COMPUTED_VALUE"""),"host")</f>
        <v>host</v>
      </c>
      <c r="Q692" s="6" t="str">
        <f>IFERROR(__xludf.DUMMYFUNCTION("""COMPUTED_VALUE"""),"score")</f>
        <v>score</v>
      </c>
      <c r="S692" s="6" t="str">
        <f>IFERROR(__xludf.DUMMYFUNCTION("""COMPUTED_VALUE"""),"presents")</f>
        <v>presents</v>
      </c>
    </row>
    <row r="693">
      <c r="D693" s="6"/>
      <c r="H693" s="6" t="str">
        <f>IFERROR(__xludf.DUMMYFUNCTION("""COMPUTED_VALUE"""),"logic")</f>
        <v>logic</v>
      </c>
      <c r="I693" s="6" t="str">
        <f>IFERROR(__xludf.DUMMYFUNCTION("""COMPUTED_VALUE"""),"circuit")</f>
        <v>circuit</v>
      </c>
      <c r="J693" s="6" t="str">
        <f>IFERROR(__xludf.DUMMYFUNCTION("""COMPUTED_VALUE"""),"rely")</f>
        <v>rely</v>
      </c>
      <c r="L693" s="6" t="str">
        <f>IFERROR(__xludf.DUMMYFUNCTION("""COMPUTED_VALUE"""),"heroism")</f>
        <v>heroism</v>
      </c>
      <c r="M693" s="6"/>
      <c r="P693" s="6" t="str">
        <f>IFERROR(__xludf.DUMMYFUNCTION("""COMPUTED_VALUE"""),"liberation")</f>
        <v>liberation</v>
      </c>
      <c r="Q693" s="6" t="str">
        <f>IFERROR(__xludf.DUMMYFUNCTION("""COMPUTED_VALUE"""),"revelations")</f>
        <v>revelations</v>
      </c>
      <c r="S693" s="6" t="str">
        <f>IFERROR(__xludf.DUMMYFUNCTION("""COMPUTED_VALUE"""),"score")</f>
        <v>score</v>
      </c>
    </row>
    <row r="694">
      <c r="D694" s="6"/>
      <c r="H694" s="6" t="str">
        <f>IFERROR(__xludf.DUMMYFUNCTION("""COMPUTED_VALUE"""),"grey")</f>
        <v>grey</v>
      </c>
      <c r="I694" s="6" t="str">
        <f>IFERROR(__xludf.DUMMYFUNCTION("""COMPUTED_VALUE"""),"sell")</f>
        <v>sell</v>
      </c>
      <c r="J694" s="6" t="str">
        <f>IFERROR(__xludf.DUMMYFUNCTION("""COMPUTED_VALUE"""),"elegant")</f>
        <v>elegant</v>
      </c>
      <c r="L694" s="6" t="str">
        <f>IFERROR(__xludf.DUMMYFUNCTION("""COMPUTED_VALUE"""),"consciously")</f>
        <v>consciously</v>
      </c>
      <c r="M694" s="6"/>
      <c r="P694" s="6" t="str">
        <f>IFERROR(__xludf.DUMMYFUNCTION("""COMPUTED_VALUE"""),"impression")</f>
        <v>impression</v>
      </c>
      <c r="Q694" s="6" t="str">
        <f>IFERROR(__xludf.DUMMYFUNCTION("""COMPUTED_VALUE"""),"planet")</f>
        <v>planet</v>
      </c>
      <c r="S694" s="6" t="str">
        <f>IFERROR(__xludf.DUMMYFUNCTION("""COMPUTED_VALUE"""),"capable")</f>
        <v>capable</v>
      </c>
    </row>
    <row r="695">
      <c r="D695" s="6"/>
      <c r="H695" s="6" t="str">
        <f>IFERROR(__xludf.DUMMYFUNCTION("""COMPUTED_VALUE"""),"zone")</f>
        <v>zone</v>
      </c>
      <c r="I695" s="6" t="str">
        <f>IFERROR(__xludf.DUMMYFUNCTION("""COMPUTED_VALUE"""),"swept")</f>
        <v>swept</v>
      </c>
      <c r="J695" s="6" t="str">
        <f>IFERROR(__xludf.DUMMYFUNCTION("""COMPUTED_VALUE"""),"majors")</f>
        <v>majors</v>
      </c>
      <c r="L695" s="6" t="str">
        <f>IFERROR(__xludf.DUMMYFUNCTION("""COMPUTED_VALUE"""),"crisis")</f>
        <v>crisis</v>
      </c>
      <c r="M695" s="6"/>
      <c r="P695" s="6" t="str">
        <f>IFERROR(__xludf.DUMMYFUNCTION("""COMPUTED_VALUE"""),"stand")</f>
        <v>stand</v>
      </c>
      <c r="Q695" s="6" t="str">
        <f>IFERROR(__xludf.DUMMYFUNCTION("""COMPUTED_VALUE"""),"mug")</f>
        <v>mug</v>
      </c>
      <c r="S695" s="6" t="str">
        <f>IFERROR(__xludf.DUMMYFUNCTION("""COMPUTED_VALUE"""),"planet")</f>
        <v>planet</v>
      </c>
    </row>
    <row r="696">
      <c r="D696" s="6"/>
      <c r="H696" s="6" t="str">
        <f>IFERROR(__xludf.DUMMYFUNCTION("""COMPUTED_VALUE"""),"shadowy")</f>
        <v>shadowy</v>
      </c>
      <c r="I696" s="6" t="str">
        <f>IFERROR(__xludf.DUMMYFUNCTION("""COMPUTED_VALUE"""),"phone")</f>
        <v>phone</v>
      </c>
      <c r="J696" s="6" t="str">
        <f>IFERROR(__xludf.DUMMYFUNCTION("""COMPUTED_VALUE"""),"governments")</f>
        <v>governments</v>
      </c>
      <c r="L696" s="6" t="str">
        <f>IFERROR(__xludf.DUMMYFUNCTION("""COMPUTED_VALUE"""),"shaky")</f>
        <v>shaky</v>
      </c>
      <c r="M696" s="6"/>
      <c r="P696" s="6" t="str">
        <f>IFERROR(__xludf.DUMMYFUNCTION("""COMPUTED_VALUE"""),"childhood")</f>
        <v>childhood</v>
      </c>
      <c r="Q696" s="6" t="str">
        <f>IFERROR(__xludf.DUMMYFUNCTION("""COMPUTED_VALUE"""),"ethnic")</f>
        <v>ethnic</v>
      </c>
      <c r="S696" s="6" t="str">
        <f>IFERROR(__xludf.DUMMYFUNCTION("""COMPUTED_VALUE"""),"ethnic")</f>
        <v>ethnic</v>
      </c>
    </row>
    <row r="697">
      <c r="D697" s="6"/>
      <c r="H697" s="6" t="str">
        <f>IFERROR(__xludf.DUMMYFUNCTION("""COMPUTED_VALUE"""),"generated")</f>
        <v>generated</v>
      </c>
      <c r="I697" s="6" t="str">
        <f>IFERROR(__xludf.DUMMYFUNCTION("""COMPUTED_VALUE"""),"quietly")</f>
        <v>quietly</v>
      </c>
      <c r="J697" s="6" t="str">
        <f>IFERROR(__xludf.DUMMYFUNCTION("""COMPUTED_VALUE"""),"reconstruction")</f>
        <v>reconstruction</v>
      </c>
      <c r="L697" s="6" t="str">
        <f>IFERROR(__xludf.DUMMYFUNCTION("""COMPUTED_VALUE"""),"prowess")</f>
        <v>prowess</v>
      </c>
      <c r="M697" s="6"/>
      <c r="P697" s="6" t="str">
        <f>IFERROR(__xludf.DUMMYFUNCTION("""COMPUTED_VALUE"""),"writer")</f>
        <v>writer</v>
      </c>
      <c r="Q697" s="6" t="str">
        <f>IFERROR(__xludf.DUMMYFUNCTION("""COMPUTED_VALUE"""),"stylistic")</f>
        <v>stylistic</v>
      </c>
      <c r="S697" s="6" t="str">
        <f>IFERROR(__xludf.DUMMYFUNCTION("""COMPUTED_VALUE"""),"journey")</f>
        <v>journey</v>
      </c>
    </row>
    <row r="698">
      <c r="D698" s="6"/>
      <c r="H698" s="6" t="str">
        <f>IFERROR(__xludf.DUMMYFUNCTION("""COMPUTED_VALUE"""),"graceful")</f>
        <v>graceful</v>
      </c>
      <c r="I698" s="6" t="str">
        <f>IFERROR(__xludf.DUMMYFUNCTION("""COMPUTED_VALUE"""),"peak")</f>
        <v>peak</v>
      </c>
      <c r="J698" s="6" t="str">
        <f>IFERROR(__xludf.DUMMYFUNCTION("""COMPUTED_VALUE"""),"opaque")</f>
        <v>opaque</v>
      </c>
      <c r="L698" s="6" t="str">
        <f>IFERROR(__xludf.DUMMYFUNCTION("""COMPUTED_VALUE"""),"marching")</f>
        <v>marching</v>
      </c>
      <c r="M698" s="6"/>
      <c r="P698" s="6" t="str">
        <f>IFERROR(__xludf.DUMMYFUNCTION("""COMPUTED_VALUE"""),"ultimately")</f>
        <v>ultimately</v>
      </c>
      <c r="Q698" s="6" t="str">
        <f>IFERROR(__xludf.DUMMYFUNCTION("""COMPUTED_VALUE"""),"layered")</f>
        <v>layered</v>
      </c>
      <c r="S698" s="6" t="str">
        <f>IFERROR(__xludf.DUMMYFUNCTION("""COMPUTED_VALUE"""),"holly")</f>
        <v>holly</v>
      </c>
    </row>
    <row r="699">
      <c r="D699" s="6"/>
      <c r="H699" s="6" t="str">
        <f>IFERROR(__xludf.DUMMYFUNCTION("""COMPUTED_VALUE"""),"frontman")</f>
        <v>frontman</v>
      </c>
      <c r="I699" s="6" t="str">
        <f>IFERROR(__xludf.DUMMYFUNCTION("""COMPUTED_VALUE"""),"savage")</f>
        <v>savage</v>
      </c>
      <c r="J699" s="6" t="str">
        <f>IFERROR(__xludf.DUMMYFUNCTION("""COMPUTED_VALUE"""),"borrowed")</f>
        <v>borrowed</v>
      </c>
      <c r="L699" s="6" t="str">
        <f>IFERROR(__xludf.DUMMYFUNCTION("""COMPUTED_VALUE"""),"develops")</f>
        <v>develops</v>
      </c>
      <c r="M699" s="6"/>
      <c r="P699" s="6" t="str">
        <f>IFERROR(__xludf.DUMMYFUNCTION("""COMPUTED_VALUE"""),"four")</f>
        <v>four</v>
      </c>
      <c r="Q699" s="6" t="str">
        <f>IFERROR(__xludf.DUMMYFUNCTION("""COMPUTED_VALUE"""),"daring")</f>
        <v>daring</v>
      </c>
      <c r="S699" s="6" t="str">
        <f>IFERROR(__xludf.DUMMYFUNCTION("""COMPUTED_VALUE"""),"marina")</f>
        <v>marina</v>
      </c>
    </row>
    <row r="700">
      <c r="D700" s="6"/>
      <c r="H700" s="6" t="str">
        <f>IFERROR(__xludf.DUMMYFUNCTION("""COMPUTED_VALUE"""),"energetic")</f>
        <v>energetic</v>
      </c>
      <c r="I700" s="6" t="str">
        <f>IFERROR(__xludf.DUMMYFUNCTION("""COMPUTED_VALUE"""),"philosophy")</f>
        <v>philosophy</v>
      </c>
      <c r="J700" s="6" t="str">
        <f>IFERROR(__xludf.DUMMYFUNCTION("""COMPUTED_VALUE"""),"demons")</f>
        <v>demons</v>
      </c>
      <c r="L700" s="6" t="str">
        <f>IFERROR(__xludf.DUMMYFUNCTION("""COMPUTED_VALUE"""),"omnibus")</f>
        <v>omnibus</v>
      </c>
      <c r="M700" s="6"/>
      <c r="P700" s="6" t="str">
        <f>IFERROR(__xludf.DUMMYFUNCTION("""COMPUTED_VALUE"""),"changing")</f>
        <v>changing</v>
      </c>
      <c r="Q700" s="6" t="str">
        <f>IFERROR(__xludf.DUMMYFUNCTION("""COMPUTED_VALUE"""),"haute")</f>
        <v>haute</v>
      </c>
      <c r="S700" s="6" t="str">
        <f>IFERROR(__xludf.DUMMYFUNCTION("""COMPUTED_VALUE"""),"degree")</f>
        <v>degree</v>
      </c>
    </row>
    <row r="701">
      <c r="D701" s="6"/>
      <c r="H701" s="6" t="str">
        <f>IFERROR(__xludf.DUMMYFUNCTION("""COMPUTED_VALUE"""),"resist")</f>
        <v>resist</v>
      </c>
      <c r="I701" s="6" t="str">
        <f>IFERROR(__xludf.DUMMYFUNCTION("""COMPUTED_VALUE"""),"hell")</f>
        <v>hell</v>
      </c>
      <c r="J701" s="6" t="str">
        <f>IFERROR(__xludf.DUMMYFUNCTION("""COMPUTED_VALUE"""),"blank")</f>
        <v>blank</v>
      </c>
      <c r="L701" s="6" t="str">
        <f>IFERROR(__xludf.DUMMYFUNCTION("""COMPUTED_VALUE"""),"contempt")</f>
        <v>contempt</v>
      </c>
      <c r="M701" s="6"/>
      <c r="P701" s="6" t="str">
        <f>IFERROR(__xludf.DUMMYFUNCTION("""COMPUTED_VALUE"""),"thinking")</f>
        <v>thinking</v>
      </c>
      <c r="Q701" s="6" t="str">
        <f>IFERROR(__xludf.DUMMYFUNCTION("""COMPUTED_VALUE"""),"tick")</f>
        <v>tick</v>
      </c>
      <c r="S701" s="6" t="str">
        <f>IFERROR(__xludf.DUMMYFUNCTION("""COMPUTED_VALUE"""),"name")</f>
        <v>name</v>
      </c>
    </row>
    <row r="702">
      <c r="D702" s="6"/>
      <c r="H702" s="6" t="str">
        <f>IFERROR(__xludf.DUMMYFUNCTION("""COMPUTED_VALUE"""),"amusing")</f>
        <v>amusing</v>
      </c>
      <c r="I702" s="6">
        <f>IFERROR(__xludf.DUMMYFUNCTION("""COMPUTED_VALUE"""),86.0)</f>
        <v>86</v>
      </c>
      <c r="J702" s="6" t="str">
        <f>IFERROR(__xludf.DUMMYFUNCTION("""COMPUTED_VALUE"""),"lark")</f>
        <v>lark</v>
      </c>
      <c r="L702" s="6" t="str">
        <f>IFERROR(__xludf.DUMMYFUNCTION("""COMPUTED_VALUE"""),"grave")</f>
        <v>grave</v>
      </c>
      <c r="M702" s="6"/>
      <c r="P702" s="6" t="str">
        <f>IFERROR(__xludf.DUMMYFUNCTION("""COMPUTED_VALUE"""),"cia")</f>
        <v>cia</v>
      </c>
      <c r="Q702" s="6" t="str">
        <f>IFERROR(__xludf.DUMMYFUNCTION("""COMPUTED_VALUE"""),"spanning")</f>
        <v>spanning</v>
      </c>
      <c r="S702" s="6" t="str">
        <f>IFERROR(__xludf.DUMMYFUNCTION("""COMPUTED_VALUE"""),"greater")</f>
        <v>greater</v>
      </c>
    </row>
    <row r="703">
      <c r="D703" s="6"/>
      <c r="H703" s="6" t="str">
        <f>IFERROR(__xludf.DUMMYFUNCTION("""COMPUTED_VALUE"""),"obligatory")</f>
        <v>obligatory</v>
      </c>
      <c r="I703" s="6" t="str">
        <f>IFERROR(__xludf.DUMMYFUNCTION("""COMPUTED_VALUE"""),"handling")</f>
        <v>handling</v>
      </c>
      <c r="J703" s="6" t="str">
        <f>IFERROR(__xludf.DUMMYFUNCTION("""COMPUTED_VALUE"""),"pipeline")</f>
        <v>pipeline</v>
      </c>
      <c r="L703" s="6" t="str">
        <f>IFERROR(__xludf.DUMMYFUNCTION("""COMPUTED_VALUE"""),"dear")</f>
        <v>dear</v>
      </c>
      <c r="M703" s="6"/>
      <c r="P703" s="6" t="str">
        <f>IFERROR(__xludf.DUMMYFUNCTION("""COMPUTED_VALUE"""),"ryan")</f>
        <v>ryan</v>
      </c>
      <c r="Q703" s="6" t="str">
        <f>IFERROR(__xludf.DUMMYFUNCTION("""COMPUTED_VALUE"""),"journey")</f>
        <v>journey</v>
      </c>
      <c r="S703" s="6" t="str">
        <f>IFERROR(__xludf.DUMMYFUNCTION("""COMPUTED_VALUE"""),"evolution")</f>
        <v>evolution</v>
      </c>
    </row>
    <row r="704">
      <c r="D704" s="6"/>
      <c r="H704" s="6" t="str">
        <f>IFERROR(__xludf.DUMMYFUNCTION("""COMPUTED_VALUE"""),"pulse")</f>
        <v>pulse</v>
      </c>
      <c r="I704" s="6" t="str">
        <f>IFERROR(__xludf.DUMMYFUNCTION("""COMPUTED_VALUE"""),"rushed")</f>
        <v>rushed</v>
      </c>
      <c r="J704" s="6" t="str">
        <f>IFERROR(__xludf.DUMMYFUNCTION("""COMPUTED_VALUE"""),"abstract")</f>
        <v>abstract</v>
      </c>
      <c r="L704" s="6" t="str">
        <f>IFERROR(__xludf.DUMMYFUNCTION("""COMPUTED_VALUE"""),"frontal")</f>
        <v>frontal</v>
      </c>
      <c r="M704" s="6"/>
      <c r="P704" s="6" t="str">
        <f>IFERROR(__xludf.DUMMYFUNCTION("""COMPUTED_VALUE"""),"precious")</f>
        <v>precious</v>
      </c>
      <c r="Q704" s="6" t="str">
        <f>IFERROR(__xludf.DUMMYFUNCTION("""COMPUTED_VALUE"""),"marina")</f>
        <v>marina</v>
      </c>
      <c r="S704" s="6" t="str">
        <f>IFERROR(__xludf.DUMMYFUNCTION("""COMPUTED_VALUE"""),"tired")</f>
        <v>tired</v>
      </c>
    </row>
    <row r="705">
      <c r="D705" s="6"/>
      <c r="H705" s="6" t="str">
        <f>IFERROR(__xludf.DUMMYFUNCTION("""COMPUTED_VALUE"""),"subconscious")</f>
        <v>subconscious</v>
      </c>
      <c r="I705" s="6" t="str">
        <f>IFERROR(__xludf.DUMMYFUNCTION("""COMPUTED_VALUE"""),"print")</f>
        <v>print</v>
      </c>
      <c r="J705" s="6" t="str">
        <f>IFERROR(__xludf.DUMMYFUNCTION("""COMPUTED_VALUE"""),"diaries")</f>
        <v>diaries</v>
      </c>
      <c r="L705" s="6" t="str">
        <f>IFERROR(__xludf.DUMMYFUNCTION("""COMPUTED_VALUE"""),"virtue")</f>
        <v>virtue</v>
      </c>
      <c r="M705" s="6"/>
      <c r="P705" s="6" t="str">
        <f>IFERROR(__xludf.DUMMYFUNCTION("""COMPUTED_VALUE"""),"dead")</f>
        <v>dead</v>
      </c>
      <c r="Q705" s="6" t="str">
        <f>IFERROR(__xludf.DUMMYFUNCTION("""COMPUTED_VALUE"""),"holly")</f>
        <v>holly</v>
      </c>
      <c r="S705" s="6" t="str">
        <f>IFERROR(__xludf.DUMMYFUNCTION("""COMPUTED_VALUE"""),"skin")</f>
        <v>skin</v>
      </c>
    </row>
    <row r="706">
      <c r="D706" s="6"/>
      <c r="H706" s="6" t="str">
        <f>IFERROR(__xludf.DUMMYFUNCTION("""COMPUTED_VALUE"""),"cynical")</f>
        <v>cynical</v>
      </c>
      <c r="I706" s="6" t="str">
        <f>IFERROR(__xludf.DUMMYFUNCTION("""COMPUTED_VALUE"""),"copy")</f>
        <v>copy</v>
      </c>
      <c r="J706" s="6" t="str">
        <f>IFERROR(__xludf.DUMMYFUNCTION("""COMPUTED_VALUE"""),"reel")</f>
        <v>reel</v>
      </c>
      <c r="L706" s="6" t="str">
        <f>IFERROR(__xludf.DUMMYFUNCTION("""COMPUTED_VALUE"""),"reginald")</f>
        <v>reginald</v>
      </c>
      <c r="M706" s="6"/>
      <c r="P706" s="6" t="str">
        <f>IFERROR(__xludf.DUMMYFUNCTION("""COMPUTED_VALUE"""),"unlike")</f>
        <v>unlike</v>
      </c>
      <c r="Q706" s="6" t="str">
        <f>IFERROR(__xludf.DUMMYFUNCTION("""COMPUTED_VALUE"""),"emerge")</f>
        <v>emerge</v>
      </c>
      <c r="S706" s="6" t="str">
        <f>IFERROR(__xludf.DUMMYFUNCTION("""COMPUTED_VALUE"""),"perhaps")</f>
        <v>perhaps</v>
      </c>
    </row>
    <row r="707">
      <c r="D707" s="6"/>
      <c r="H707" s="6" t="str">
        <f>IFERROR(__xludf.DUMMYFUNCTION("""COMPUTED_VALUE"""),"stirring")</f>
        <v>stirring</v>
      </c>
      <c r="I707" s="6" t="str">
        <f>IFERROR(__xludf.DUMMYFUNCTION("""COMPUTED_VALUE"""),"mad")</f>
        <v>mad</v>
      </c>
      <c r="J707" s="6" t="str">
        <f>IFERROR(__xludf.DUMMYFUNCTION("""COMPUTED_VALUE"""),"courtship")</f>
        <v>courtship</v>
      </c>
      <c r="L707" s="6" t="str">
        <f>IFERROR(__xludf.DUMMYFUNCTION("""COMPUTED_VALUE"""),"familiarity")</f>
        <v>familiarity</v>
      </c>
      <c r="M707" s="6"/>
      <c r="P707" s="6" t="str">
        <f>IFERROR(__xludf.DUMMYFUNCTION("""COMPUTED_VALUE"""),"nice")</f>
        <v>nice</v>
      </c>
      <c r="Q707" s="6" t="str">
        <f>IFERROR(__xludf.DUMMYFUNCTION("""COMPUTED_VALUE"""),"passionate")</f>
        <v>passionate</v>
      </c>
      <c r="S707" s="6" t="str">
        <f>IFERROR(__xludf.DUMMYFUNCTION("""COMPUTED_VALUE"""),"last")</f>
        <v>last</v>
      </c>
    </row>
    <row r="708">
      <c r="D708" s="6"/>
      <c r="H708" s="6" t="str">
        <f>IFERROR(__xludf.DUMMYFUNCTION("""COMPUTED_VALUE"""),"struggling")</f>
        <v>struggling</v>
      </c>
      <c r="I708" s="6" t="str">
        <f>IFERROR(__xludf.DUMMYFUNCTION("""COMPUTED_VALUE"""),"wise")</f>
        <v>wise</v>
      </c>
      <c r="J708" s="6" t="str">
        <f>IFERROR(__xludf.DUMMYFUNCTION("""COMPUTED_VALUE"""),"yale")</f>
        <v>yale</v>
      </c>
      <c r="L708" s="6" t="str">
        <f>IFERROR(__xludf.DUMMYFUNCTION("""COMPUTED_VALUE"""),"iranian")</f>
        <v>iranian</v>
      </c>
      <c r="M708" s="6"/>
      <c r="P708" s="6" t="str">
        <f>IFERROR(__xludf.DUMMYFUNCTION("""COMPUTED_VALUE"""),"transformation")</f>
        <v>transformation</v>
      </c>
      <c r="Q708" s="6" t="str">
        <f>IFERROR(__xludf.DUMMYFUNCTION("""COMPUTED_VALUE"""),"adolescents")</f>
        <v>adolescents</v>
      </c>
      <c r="S708" s="6" t="str">
        <f>IFERROR(__xludf.DUMMYFUNCTION("""COMPUTED_VALUE"""),"kennedy")</f>
        <v>kennedy</v>
      </c>
    </row>
    <row r="709">
      <c r="D709" s="6"/>
      <c r="H709" s="6" t="str">
        <f>IFERROR(__xludf.DUMMYFUNCTION("""COMPUTED_VALUE"""),"flourish")</f>
        <v>flourish</v>
      </c>
      <c r="I709" s="6" t="str">
        <f>IFERROR(__xludf.DUMMYFUNCTION("""COMPUTED_VALUE"""),"anime")</f>
        <v>anime</v>
      </c>
      <c r="J709" s="6" t="str">
        <f>IFERROR(__xludf.DUMMYFUNCTION("""COMPUTED_VALUE"""),"twisted")</f>
        <v>twisted</v>
      </c>
      <c r="L709" s="6" t="str">
        <f>IFERROR(__xludf.DUMMYFUNCTION("""COMPUTED_VALUE"""),"toes")</f>
        <v>toes</v>
      </c>
      <c r="M709" s="6"/>
      <c r="P709" s="6" t="str">
        <f>IFERROR(__xludf.DUMMYFUNCTION("""COMPUTED_VALUE"""),"widow")</f>
        <v>widow</v>
      </c>
      <c r="Q709" s="6" t="str">
        <f>IFERROR(__xludf.DUMMYFUNCTION("""COMPUTED_VALUE"""),"evolution")</f>
        <v>evolution</v>
      </c>
      <c r="S709" s="6" t="str">
        <f>IFERROR(__xludf.DUMMYFUNCTION("""COMPUTED_VALUE"""),"attempt")</f>
        <v>attempt</v>
      </c>
    </row>
    <row r="710">
      <c r="D710" s="6"/>
      <c r="H710" s="6" t="str">
        <f>IFERROR(__xludf.DUMMYFUNCTION("""COMPUTED_VALUE"""),"sprawling")</f>
        <v>sprawling</v>
      </c>
      <c r="I710" s="6" t="str">
        <f>IFERROR(__xludf.DUMMYFUNCTION("""COMPUTED_VALUE"""),"accused")</f>
        <v>accused</v>
      </c>
      <c r="J710" s="6" t="str">
        <f>IFERROR(__xludf.DUMMYFUNCTION("""COMPUTED_VALUE"""),"constant")</f>
        <v>constant</v>
      </c>
      <c r="L710" s="6" t="str">
        <f>IFERROR(__xludf.DUMMYFUNCTION("""COMPUTED_VALUE"""),"murderous")</f>
        <v>murderous</v>
      </c>
      <c r="M710" s="6"/>
      <c r="P710" s="6" t="str">
        <f>IFERROR(__xludf.DUMMYFUNCTION("""COMPUTED_VALUE"""),"drawn")</f>
        <v>drawn</v>
      </c>
      <c r="Q710" s="6" t="str">
        <f>IFERROR(__xludf.DUMMYFUNCTION("""COMPUTED_VALUE"""),"greater")</f>
        <v>greater</v>
      </c>
      <c r="S710" s="6" t="str">
        <f>IFERROR(__xludf.DUMMYFUNCTION("""COMPUTED_VALUE"""),"soundtrack")</f>
        <v>soundtrack</v>
      </c>
    </row>
    <row r="711">
      <c r="D711" s="6"/>
      <c r="H711" s="6" t="str">
        <f>IFERROR(__xludf.DUMMYFUNCTION("""COMPUTED_VALUE"""),"scientist")</f>
        <v>scientist</v>
      </c>
      <c r="I711" s="6" t="str">
        <f>IFERROR(__xludf.DUMMYFUNCTION("""COMPUTED_VALUE"""),"distinguished")</f>
        <v>distinguished</v>
      </c>
      <c r="J711" s="6" t="str">
        <f>IFERROR(__xludf.DUMMYFUNCTION("""COMPUTED_VALUE"""),"gall")</f>
        <v>gall</v>
      </c>
      <c r="L711" s="6" t="str">
        <f>IFERROR(__xludf.DUMMYFUNCTION("""COMPUTED_VALUE"""),"introduces")</f>
        <v>introduces</v>
      </c>
      <c r="M711" s="6"/>
      <c r="P711" s="6" t="str">
        <f>IFERROR(__xludf.DUMMYFUNCTION("""COMPUTED_VALUE"""),"soccer")</f>
        <v>soccer</v>
      </c>
      <c r="Q711" s="6" t="str">
        <f>IFERROR(__xludf.DUMMYFUNCTION("""COMPUTED_VALUE"""),"tired")</f>
        <v>tired</v>
      </c>
      <c r="S711" s="6">
        <f>IFERROR(__xludf.DUMMYFUNCTION("""COMPUTED_VALUE"""),20.0)</f>
        <v>20</v>
      </c>
    </row>
    <row r="712">
      <c r="D712" s="6"/>
      <c r="H712" s="6" t="str">
        <f>IFERROR(__xludf.DUMMYFUNCTION("""COMPUTED_VALUE"""),"chan")</f>
        <v>chan</v>
      </c>
      <c r="I712" s="6" t="str">
        <f>IFERROR(__xludf.DUMMYFUNCTION("""COMPUTED_VALUE"""),"reign")</f>
        <v>reign</v>
      </c>
      <c r="J712" s="6" t="str">
        <f>IFERROR(__xludf.DUMMYFUNCTION("""COMPUTED_VALUE"""),"identification")</f>
        <v>identification</v>
      </c>
      <c r="L712" s="6" t="str">
        <f>IFERROR(__xludf.DUMMYFUNCTION("""COMPUTED_VALUE"""),"orbits")</f>
        <v>orbits</v>
      </c>
      <c r="M712" s="6"/>
      <c r="P712" s="6" t="str">
        <f>IFERROR(__xludf.DUMMYFUNCTION("""COMPUTED_VALUE"""),"festival")</f>
        <v>festival</v>
      </c>
      <c r="Q712" s="6" t="str">
        <f>IFERROR(__xludf.DUMMYFUNCTION("""COMPUTED_VALUE"""),"scrutiny")</f>
        <v>scrutiny</v>
      </c>
      <c r="S712" s="6" t="str">
        <f>IFERROR(__xludf.DUMMYFUNCTION("""COMPUTED_VALUE"""),"load")</f>
        <v>load</v>
      </c>
    </row>
    <row r="713">
      <c r="D713" s="6"/>
      <c r="H713" s="6" t="str">
        <f>IFERROR(__xludf.DUMMYFUNCTION("""COMPUTED_VALUE"""),"problematic")</f>
        <v>problematic</v>
      </c>
      <c r="I713" s="6" t="str">
        <f>IFERROR(__xludf.DUMMYFUNCTION("""COMPUTED_VALUE"""),"grin")</f>
        <v>grin</v>
      </c>
      <c r="J713" s="6" t="str">
        <f>IFERROR(__xludf.DUMMYFUNCTION("""COMPUTED_VALUE"""),"connection")</f>
        <v>connection</v>
      </c>
      <c r="L713" s="6" t="str">
        <f>IFERROR(__xludf.DUMMYFUNCTION("""COMPUTED_VALUE"""),"teasing")</f>
        <v>teasing</v>
      </c>
      <c r="M713" s="6"/>
      <c r="P713" s="6" t="str">
        <f>IFERROR(__xludf.DUMMYFUNCTION("""COMPUTED_VALUE"""),"george")</f>
        <v>george</v>
      </c>
      <c r="Q713" s="6" t="str">
        <f>IFERROR(__xludf.DUMMYFUNCTION("""COMPUTED_VALUE"""),"skin")</f>
        <v>skin</v>
      </c>
      <c r="S713" s="6" t="str">
        <f>IFERROR(__xludf.DUMMYFUNCTION("""COMPUTED_VALUE"""),"paper")</f>
        <v>paper</v>
      </c>
    </row>
    <row r="714">
      <c r="D714" s="6"/>
      <c r="H714" s="6" t="str">
        <f>IFERROR(__xludf.DUMMYFUNCTION("""COMPUTED_VALUE"""),"hilarious")</f>
        <v>hilarious</v>
      </c>
      <c r="I714" s="6" t="str">
        <f>IFERROR(__xludf.DUMMYFUNCTION("""COMPUTED_VALUE"""),"marry")</f>
        <v>marry</v>
      </c>
      <c r="J714" s="6" t="str">
        <f>IFERROR(__xludf.DUMMYFUNCTION("""COMPUTED_VALUE"""),"built")</f>
        <v>built</v>
      </c>
      <c r="L714" s="6" t="str">
        <f>IFERROR(__xludf.DUMMYFUNCTION("""COMPUTED_VALUE"""),"detective")</f>
        <v>detective</v>
      </c>
      <c r="M714" s="6"/>
      <c r="P714" s="6" t="str">
        <f>IFERROR(__xludf.DUMMYFUNCTION("""COMPUTED_VALUE"""),"french")</f>
        <v>french</v>
      </c>
      <c r="Q714" s="6" t="str">
        <f>IFERROR(__xludf.DUMMYFUNCTION("""COMPUTED_VALUE"""),"radiant")</f>
        <v>radiant</v>
      </c>
      <c r="S714" s="6" t="str">
        <f>IFERROR(__xludf.DUMMYFUNCTION("""COMPUTED_VALUE"""),"layers")</f>
        <v>layers</v>
      </c>
    </row>
    <row r="715">
      <c r="D715" s="6"/>
      <c r="H715" s="6" t="str">
        <f>IFERROR(__xludf.DUMMYFUNCTION("""COMPUTED_VALUE"""),"fantasia")</f>
        <v>fantasia</v>
      </c>
      <c r="I715" s="6" t="str">
        <f>IFERROR(__xludf.DUMMYFUNCTION("""COMPUTED_VALUE"""),"wang")</f>
        <v>wang</v>
      </c>
      <c r="J715" s="6" t="str">
        <f>IFERROR(__xludf.DUMMYFUNCTION("""COMPUTED_VALUE"""),"retaining")</f>
        <v>retaining</v>
      </c>
      <c r="L715" s="6" t="str">
        <f>IFERROR(__xludf.DUMMYFUNCTION("""COMPUTED_VALUE"""),"potter")</f>
        <v>potter</v>
      </c>
      <c r="M715" s="6"/>
      <c r="P715" s="6" t="str">
        <f>IFERROR(__xludf.DUMMYFUNCTION("""COMPUTED_VALUE"""),"wonder")</f>
        <v>wonder</v>
      </c>
      <c r="Q715" s="6" t="str">
        <f>IFERROR(__xludf.DUMMYFUNCTION("""COMPUTED_VALUE"""),"speculation")</f>
        <v>speculation</v>
      </c>
      <c r="S715" s="6" t="str">
        <f>IFERROR(__xludf.DUMMYFUNCTION("""COMPUTED_VALUE"""),"deadly")</f>
        <v>deadly</v>
      </c>
    </row>
    <row r="716">
      <c r="D716" s="6"/>
      <c r="H716" s="6" t="str">
        <f>IFERROR(__xludf.DUMMYFUNCTION("""COMPUTED_VALUE"""),"biographical")</f>
        <v>biographical</v>
      </c>
      <c r="I716" s="6" t="str">
        <f>IFERROR(__xludf.DUMMYFUNCTION("""COMPUTED_VALUE"""),"surrender")</f>
        <v>surrender</v>
      </c>
      <c r="J716" s="6" t="str">
        <f>IFERROR(__xludf.DUMMYFUNCTION("""COMPUTED_VALUE"""),"mainstream")</f>
        <v>mainstream</v>
      </c>
      <c r="L716" s="6" t="str">
        <f>IFERROR(__xludf.DUMMYFUNCTION("""COMPUTED_VALUE"""),"leigh")</f>
        <v>leigh</v>
      </c>
      <c r="M716" s="6"/>
      <c r="P716" s="6" t="str">
        <f>IFERROR(__xludf.DUMMYFUNCTION("""COMPUTED_VALUE"""),"developed")</f>
        <v>developed</v>
      </c>
      <c r="Q716" s="6" t="str">
        <f>IFERROR(__xludf.DUMMYFUNCTION("""COMPUTED_VALUE"""),"kennedy")</f>
        <v>kennedy</v>
      </c>
      <c r="S716" s="6" t="str">
        <f>IFERROR(__xludf.DUMMYFUNCTION("""COMPUTED_VALUE"""),"frequently")</f>
        <v>frequently</v>
      </c>
    </row>
    <row r="717">
      <c r="D717" s="6"/>
      <c r="H717" s="6" t="str">
        <f>IFERROR(__xludf.DUMMYFUNCTION("""COMPUTED_VALUE"""),"christian")</f>
        <v>christian</v>
      </c>
      <c r="I717" s="6" t="str">
        <f>IFERROR(__xludf.DUMMYFUNCTION("""COMPUTED_VALUE"""),"several")</f>
        <v>several</v>
      </c>
      <c r="J717" s="6" t="str">
        <f>IFERROR(__xludf.DUMMYFUNCTION("""COMPUTED_VALUE"""),"menacing")</f>
        <v>menacing</v>
      </c>
      <c r="M717" s="6"/>
      <c r="P717" s="6" t="str">
        <f>IFERROR(__xludf.DUMMYFUNCTION("""COMPUTED_VALUE"""),"fully")</f>
        <v>fully</v>
      </c>
      <c r="Q717" s="6" t="str">
        <f>IFERROR(__xludf.DUMMYFUNCTION("""COMPUTED_VALUE"""),"attempt")</f>
        <v>attempt</v>
      </c>
      <c r="S717" s="6" t="str">
        <f>IFERROR(__xludf.DUMMYFUNCTION("""COMPUTED_VALUE"""),"impressive")</f>
        <v>impressive</v>
      </c>
    </row>
    <row r="718">
      <c r="D718" s="6"/>
      <c r="H718" s="6" t="str">
        <f>IFERROR(__xludf.DUMMYFUNCTION("""COMPUTED_VALUE"""),"triangle")</f>
        <v>triangle</v>
      </c>
      <c r="I718" s="6" t="str">
        <f>IFERROR(__xludf.DUMMYFUNCTION("""COMPUTED_VALUE"""),"secretary")</f>
        <v>secretary</v>
      </c>
      <c r="J718" s="6" t="str">
        <f>IFERROR(__xludf.DUMMYFUNCTION("""COMPUTED_VALUE"""),"nor")</f>
        <v>nor</v>
      </c>
      <c r="M718" s="6"/>
      <c r="P718" s="6" t="str">
        <f>IFERROR(__xludf.DUMMYFUNCTION("""COMPUTED_VALUE"""),"vincent")</f>
        <v>vincent</v>
      </c>
      <c r="Q718" s="6" t="str">
        <f>IFERROR(__xludf.DUMMYFUNCTION("""COMPUTED_VALUE"""),"soundtrack")</f>
        <v>soundtrack</v>
      </c>
      <c r="S718" s="6" t="str">
        <f>IFERROR(__xludf.DUMMYFUNCTION("""COMPUTED_VALUE"""),"king")</f>
        <v>king</v>
      </c>
    </row>
    <row r="719">
      <c r="D719" s="6"/>
      <c r="H719" s="6" t="str">
        <f>IFERROR(__xludf.DUMMYFUNCTION("""COMPUTED_VALUE"""),"leon")</f>
        <v>leon</v>
      </c>
      <c r="I719" s="6" t="str">
        <f>IFERROR(__xludf.DUMMYFUNCTION("""COMPUTED_VALUE"""),"boat")</f>
        <v>boat</v>
      </c>
      <c r="J719" s="6" t="str">
        <f>IFERROR(__xludf.DUMMYFUNCTION("""COMPUTED_VALUE"""),"got")</f>
        <v>got</v>
      </c>
      <c r="M719" s="6"/>
      <c r="P719" s="6" t="str">
        <f>IFERROR(__xludf.DUMMYFUNCTION("""COMPUTED_VALUE"""),"sisters")</f>
        <v>sisters</v>
      </c>
      <c r="Q719" s="6" t="str">
        <f>IFERROR(__xludf.DUMMYFUNCTION("""COMPUTED_VALUE"""),"layers")</f>
        <v>layers</v>
      </c>
      <c r="S719" s="6" t="str">
        <f>IFERROR(__xludf.DUMMYFUNCTION("""COMPUTED_VALUE"""),"middle")</f>
        <v>middle</v>
      </c>
    </row>
    <row r="720">
      <c r="D720" s="6"/>
      <c r="H720" s="6" t="str">
        <f>IFERROR(__xludf.DUMMYFUNCTION("""COMPUTED_VALUE"""),"satirical")</f>
        <v>satirical</v>
      </c>
      <c r="I720" s="6" t="str">
        <f>IFERROR(__xludf.DUMMYFUNCTION("""COMPUTED_VALUE"""),"13th")</f>
        <v>13th</v>
      </c>
      <c r="J720" s="6" t="str">
        <f>IFERROR(__xludf.DUMMYFUNCTION("""COMPUTED_VALUE"""),"creates")</f>
        <v>creates</v>
      </c>
      <c r="M720" s="6"/>
      <c r="P720" s="6" t="str">
        <f>IFERROR(__xludf.DUMMYFUNCTION("""COMPUTED_VALUE"""),"lopez")</f>
        <v>lopez</v>
      </c>
      <c r="Q720" s="6" t="str">
        <f>IFERROR(__xludf.DUMMYFUNCTION("""COMPUTED_VALUE"""),"deadly")</f>
        <v>deadly</v>
      </c>
      <c r="S720" s="6" t="str">
        <f>IFERROR(__xludf.DUMMYFUNCTION("""COMPUTED_VALUE"""),"biography")</f>
        <v>biography</v>
      </c>
    </row>
    <row r="721">
      <c r="D721" s="6"/>
      <c r="H721" s="6" t="str">
        <f>IFERROR(__xludf.DUMMYFUNCTION("""COMPUTED_VALUE"""),"pained")</f>
        <v>pained</v>
      </c>
      <c r="I721" s="6" t="str">
        <f>IFERROR(__xludf.DUMMYFUNCTION("""COMPUTED_VALUE"""),"meets")</f>
        <v>meets</v>
      </c>
      <c r="J721" s="6" t="str">
        <f>IFERROR(__xludf.DUMMYFUNCTION("""COMPUTED_VALUE"""),"demonstrating")</f>
        <v>demonstrating</v>
      </c>
      <c r="M721" s="6"/>
      <c r="P721" s="6" t="str">
        <f>IFERROR(__xludf.DUMMYFUNCTION("""COMPUTED_VALUE"""),"relationships")</f>
        <v>relationships</v>
      </c>
      <c r="Q721" s="6" t="str">
        <f>IFERROR(__xludf.DUMMYFUNCTION("""COMPUTED_VALUE"""),"chords")</f>
        <v>chords</v>
      </c>
      <c r="S721" s="6" t="str">
        <f>IFERROR(__xludf.DUMMYFUNCTION("""COMPUTED_VALUE"""),"task")</f>
        <v>task</v>
      </c>
    </row>
    <row r="722">
      <c r="D722" s="6"/>
      <c r="H722" s="6" t="str">
        <f>IFERROR(__xludf.DUMMYFUNCTION("""COMPUTED_VALUE"""),"equivalent")</f>
        <v>equivalent</v>
      </c>
      <c r="I722" s="6" t="str">
        <f>IFERROR(__xludf.DUMMYFUNCTION("""COMPUTED_VALUE"""),"indians")</f>
        <v>indians</v>
      </c>
      <c r="J722" s="6" t="str">
        <f>IFERROR(__xludf.DUMMYFUNCTION("""COMPUTED_VALUE"""),"encouraging")</f>
        <v>encouraging</v>
      </c>
      <c r="M722" s="6"/>
      <c r="P722" s="6" t="str">
        <f>IFERROR(__xludf.DUMMYFUNCTION("""COMPUTED_VALUE"""),"focused")</f>
        <v>focused</v>
      </c>
      <c r="Q722" s="6" t="str">
        <f>IFERROR(__xludf.DUMMYFUNCTION("""COMPUTED_VALUE"""),"sadness")</f>
        <v>sadness</v>
      </c>
      <c r="S722" s="6" t="str">
        <f>IFERROR(__xludf.DUMMYFUNCTION("""COMPUTED_VALUE"""),"impossible")</f>
        <v>impossible</v>
      </c>
    </row>
    <row r="723">
      <c r="D723" s="6"/>
      <c r="H723" s="6" t="str">
        <f>IFERROR(__xludf.DUMMYFUNCTION("""COMPUTED_VALUE"""),"bracing")</f>
        <v>bracing</v>
      </c>
      <c r="I723" s="6" t="str">
        <f>IFERROR(__xludf.DUMMYFUNCTION("""COMPUTED_VALUE"""),"friday")</f>
        <v>friday</v>
      </c>
      <c r="J723" s="6" t="str">
        <f>IFERROR(__xludf.DUMMYFUNCTION("""COMPUTED_VALUE"""),"note")</f>
        <v>note</v>
      </c>
      <c r="M723" s="6"/>
      <c r="P723" s="6" t="str">
        <f>IFERROR(__xludf.DUMMYFUNCTION("""COMPUTED_VALUE"""),"relegated")</f>
        <v>relegated</v>
      </c>
      <c r="Q723" s="6" t="str">
        <f>IFERROR(__xludf.DUMMYFUNCTION("""COMPUTED_VALUE"""),"impressive")</f>
        <v>impressive</v>
      </c>
      <c r="S723" s="6" t="str">
        <f>IFERROR(__xludf.DUMMYFUNCTION("""COMPUTED_VALUE"""),"detail")</f>
        <v>detail</v>
      </c>
    </row>
    <row r="724">
      <c r="D724" s="6"/>
      <c r="H724" s="6" t="str">
        <f>IFERROR(__xludf.DUMMYFUNCTION("""COMPUTED_VALUE"""),"secrets")</f>
        <v>secrets</v>
      </c>
      <c r="I724" s="6" t="str">
        <f>IFERROR(__xludf.DUMMYFUNCTION("""COMPUTED_VALUE"""),"wallace")</f>
        <v>wallace</v>
      </c>
      <c r="J724" s="6" t="str">
        <f>IFERROR(__xludf.DUMMYFUNCTION("""COMPUTED_VALUE"""),"dickens")</f>
        <v>dickens</v>
      </c>
      <c r="M724" s="6"/>
      <c r="P724" s="6" t="str">
        <f>IFERROR(__xludf.DUMMYFUNCTION("""COMPUTED_VALUE"""),"zealand")</f>
        <v>zealand</v>
      </c>
      <c r="Q724" s="6" t="str">
        <f>IFERROR(__xludf.DUMMYFUNCTION("""COMPUTED_VALUE"""),"king")</f>
        <v>king</v>
      </c>
      <c r="S724" s="6" t="str">
        <f>IFERROR(__xludf.DUMMYFUNCTION("""COMPUTED_VALUE"""),"church")</f>
        <v>church</v>
      </c>
    </row>
    <row r="725">
      <c r="D725" s="6"/>
      <c r="H725" s="6" t="str">
        <f>IFERROR(__xludf.DUMMYFUNCTION("""COMPUTED_VALUE"""),"motives")</f>
        <v>motives</v>
      </c>
      <c r="I725" s="6" t="str">
        <f>IFERROR(__xludf.DUMMYFUNCTION("""COMPUTED_VALUE"""),"notion")</f>
        <v>notion</v>
      </c>
      <c r="J725" s="6" t="str">
        <f>IFERROR(__xludf.DUMMYFUNCTION("""COMPUTED_VALUE"""),"expresses")</f>
        <v>expresses</v>
      </c>
      <c r="M725" s="6"/>
      <c r="P725" s="6" t="str">
        <f>IFERROR(__xludf.DUMMYFUNCTION("""COMPUTED_VALUE"""),"strange")</f>
        <v>strange</v>
      </c>
      <c r="Q725" s="6" t="str">
        <f>IFERROR(__xludf.DUMMYFUNCTION("""COMPUTED_VALUE"""),"lola")</f>
        <v>lola</v>
      </c>
      <c r="S725" s="6" t="str">
        <f>IFERROR(__xludf.DUMMYFUNCTION("""COMPUTED_VALUE"""),"fall")</f>
        <v>fall</v>
      </c>
    </row>
    <row r="726">
      <c r="D726" s="6"/>
      <c r="H726" s="6" t="str">
        <f>IFERROR(__xludf.DUMMYFUNCTION("""COMPUTED_VALUE"""),"sexy")</f>
        <v>sexy</v>
      </c>
      <c r="I726" s="6" t="str">
        <f>IFERROR(__xludf.DUMMYFUNCTION("""COMPUTED_VALUE"""),"animals")</f>
        <v>animals</v>
      </c>
      <c r="J726" s="6" t="str">
        <f>IFERROR(__xludf.DUMMYFUNCTION("""COMPUTED_VALUE"""),"evergreen")</f>
        <v>evergreen</v>
      </c>
      <c r="M726" s="6"/>
      <c r="P726" s="6" t="str">
        <f>IFERROR(__xludf.DUMMYFUNCTION("""COMPUTED_VALUE"""),"anderson")</f>
        <v>anderson</v>
      </c>
      <c r="Q726" s="6" t="str">
        <f>IFERROR(__xludf.DUMMYFUNCTION("""COMPUTED_VALUE"""),"middle")</f>
        <v>middle</v>
      </c>
      <c r="S726" s="6" t="str">
        <f>IFERROR(__xludf.DUMMYFUNCTION("""COMPUTED_VALUE"""),"grace")</f>
        <v>grace</v>
      </c>
    </row>
    <row r="727">
      <c r="D727" s="6"/>
      <c r="H727" s="6" t="str">
        <f>IFERROR(__xludf.DUMMYFUNCTION("""COMPUTED_VALUE"""),"magnetic")</f>
        <v>magnetic</v>
      </c>
      <c r="I727" s="6" t="str">
        <f>IFERROR(__xludf.DUMMYFUNCTION("""COMPUTED_VALUE"""),"lifetime")</f>
        <v>lifetime</v>
      </c>
      <c r="J727" s="6" t="str">
        <f>IFERROR(__xludf.DUMMYFUNCTION("""COMPUTED_VALUE"""),"inactive")</f>
        <v>inactive</v>
      </c>
      <c r="M727" s="6"/>
      <c r="P727" s="6" t="str">
        <f>IFERROR(__xludf.DUMMYFUNCTION("""COMPUTED_VALUE"""),"calm")</f>
        <v>calm</v>
      </c>
      <c r="Q727" s="6" t="str">
        <f>IFERROR(__xludf.DUMMYFUNCTION("""COMPUTED_VALUE"""),"biography")</f>
        <v>biography</v>
      </c>
      <c r="S727" s="6" t="str">
        <f>IFERROR(__xludf.DUMMYFUNCTION("""COMPUTED_VALUE"""),"side")</f>
        <v>side</v>
      </c>
    </row>
    <row r="728">
      <c r="D728" s="6"/>
      <c r="H728" s="6" t="str">
        <f>IFERROR(__xludf.DUMMYFUNCTION("""COMPUTED_VALUE"""),"legacy")</f>
        <v>legacy</v>
      </c>
      <c r="I728" s="6" t="str">
        <f>IFERROR(__xludf.DUMMYFUNCTION("""COMPUTED_VALUE"""),"beaten")</f>
        <v>beaten</v>
      </c>
      <c r="J728" s="6" t="str">
        <f>IFERROR(__xludf.DUMMYFUNCTION("""COMPUTED_VALUE"""),"memorable")</f>
        <v>memorable</v>
      </c>
      <c r="M728" s="6"/>
      <c r="P728" s="6" t="str">
        <f>IFERROR(__xludf.DUMMYFUNCTION("""COMPUTED_VALUE"""),"loyal")</f>
        <v>loyal</v>
      </c>
      <c r="Q728" s="6" t="str">
        <f>IFERROR(__xludf.DUMMYFUNCTION("""COMPUTED_VALUE"""),"narrator")</f>
        <v>narrator</v>
      </c>
      <c r="S728" s="6" t="str">
        <f>IFERROR(__xludf.DUMMYFUNCTION("""COMPUTED_VALUE"""),"neither")</f>
        <v>neither</v>
      </c>
    </row>
    <row r="729">
      <c r="D729" s="6"/>
      <c r="H729" s="6" t="str">
        <f>IFERROR(__xludf.DUMMYFUNCTION("""COMPUTED_VALUE"""),"lunatic")</f>
        <v>lunatic</v>
      </c>
      <c r="I729" s="6" t="str">
        <f>IFERROR(__xludf.DUMMYFUNCTION("""COMPUTED_VALUE"""),"necessarily")</f>
        <v>necessarily</v>
      </c>
      <c r="J729" s="6" t="str">
        <f>IFERROR(__xludf.DUMMYFUNCTION("""COMPUTED_VALUE"""),"affected")</f>
        <v>affected</v>
      </c>
      <c r="M729" s="6"/>
      <c r="P729" s="6" t="str">
        <f>IFERROR(__xludf.DUMMYFUNCTION("""COMPUTED_VALUE"""),"harry")</f>
        <v>harry</v>
      </c>
      <c r="Q729" s="6" t="str">
        <f>IFERROR(__xludf.DUMMYFUNCTION("""COMPUTED_VALUE"""),"impossible")</f>
        <v>impossible</v>
      </c>
      <c r="S729" s="6" t="str">
        <f>IFERROR(__xludf.DUMMYFUNCTION("""COMPUTED_VALUE"""),"longest")</f>
        <v>longest</v>
      </c>
    </row>
    <row r="730">
      <c r="D730" s="6"/>
      <c r="H730" s="6" t="str">
        <f>IFERROR(__xludf.DUMMYFUNCTION("""COMPUTED_VALUE"""),"monstrous")</f>
        <v>monstrous</v>
      </c>
      <c r="I730" s="6" t="str">
        <f>IFERROR(__xludf.DUMMYFUNCTION("""COMPUTED_VALUE"""),"shanghai")</f>
        <v>shanghai</v>
      </c>
      <c r="J730" s="6" t="str">
        <f>IFERROR(__xludf.DUMMYFUNCTION("""COMPUTED_VALUE"""),"sham")</f>
        <v>sham</v>
      </c>
      <c r="M730" s="6"/>
      <c r="P730" s="6" t="str">
        <f>IFERROR(__xludf.DUMMYFUNCTION("""COMPUTED_VALUE"""),"ian")</f>
        <v>ian</v>
      </c>
      <c r="Q730" s="6" t="str">
        <f>IFERROR(__xludf.DUMMYFUNCTION("""COMPUTED_VALUE"""),"detail")</f>
        <v>detail</v>
      </c>
      <c r="S730" s="6" t="str">
        <f>IFERROR(__xludf.DUMMYFUNCTION("""COMPUTED_VALUE"""),"literally")</f>
        <v>literally</v>
      </c>
    </row>
    <row r="731">
      <c r="D731" s="6"/>
      <c r="H731" s="6" t="str">
        <f>IFERROR(__xludf.DUMMYFUNCTION("""COMPUTED_VALUE"""),"inherent")</f>
        <v>inherent</v>
      </c>
      <c r="I731" s="6" t="str">
        <f>IFERROR(__xludf.DUMMYFUNCTION("""COMPUTED_VALUE"""),"larger")</f>
        <v>larger</v>
      </c>
      <c r="J731" s="6" t="str">
        <f>IFERROR(__xludf.DUMMYFUNCTION("""COMPUTED_VALUE"""),"intricate")</f>
        <v>intricate</v>
      </c>
      <c r="M731" s="6"/>
      <c r="P731" s="6" t="str">
        <f>IFERROR(__xludf.DUMMYFUNCTION("""COMPUTED_VALUE"""),"minds")</f>
        <v>minds</v>
      </c>
      <c r="Q731" s="6" t="str">
        <f>IFERROR(__xludf.DUMMYFUNCTION("""COMPUTED_VALUE"""),"heroine")</f>
        <v>heroine</v>
      </c>
      <c r="S731" s="6" t="str">
        <f>IFERROR(__xludf.DUMMYFUNCTION("""COMPUTED_VALUE"""),"stops")</f>
        <v>stops</v>
      </c>
    </row>
    <row r="732">
      <c r="D732" s="6"/>
      <c r="H732" s="6" t="str">
        <f>IFERROR(__xludf.DUMMYFUNCTION("""COMPUTED_VALUE"""),"ghosts")</f>
        <v>ghosts</v>
      </c>
      <c r="I732" s="6" t="str">
        <f>IFERROR(__xludf.DUMMYFUNCTION("""COMPUTED_VALUE"""),"conflict")</f>
        <v>conflict</v>
      </c>
      <c r="J732" s="6" t="str">
        <f>IFERROR(__xludf.DUMMYFUNCTION("""COMPUTED_VALUE"""),"crimes")</f>
        <v>crimes</v>
      </c>
      <c r="M732" s="6"/>
      <c r="P732" s="6" t="str">
        <f>IFERROR(__xludf.DUMMYFUNCTION("""COMPUTED_VALUE"""),"hearts")</f>
        <v>hearts</v>
      </c>
      <c r="Q732" s="6" t="str">
        <f>IFERROR(__xludf.DUMMYFUNCTION("""COMPUTED_VALUE"""),"dramatically")</f>
        <v>dramatically</v>
      </c>
      <c r="S732" s="6" t="str">
        <f>IFERROR(__xludf.DUMMYFUNCTION("""COMPUTED_VALUE"""),"sharp")</f>
        <v>sharp</v>
      </c>
    </row>
    <row r="733">
      <c r="D733" s="6"/>
      <c r="H733" s="6" t="str">
        <f>IFERROR(__xludf.DUMMYFUNCTION("""COMPUTED_VALUE"""),"praises")</f>
        <v>praises</v>
      </c>
      <c r="I733" s="6" t="str">
        <f>IFERROR(__xludf.DUMMYFUNCTION("""COMPUTED_VALUE"""),"vital")</f>
        <v>vital</v>
      </c>
      <c r="J733" s="6" t="str">
        <f>IFERROR(__xludf.DUMMYFUNCTION("""COMPUTED_VALUE"""),"20th")</f>
        <v>20th</v>
      </c>
      <c r="M733" s="6"/>
      <c r="P733" s="6" t="str">
        <f>IFERROR(__xludf.DUMMYFUNCTION("""COMPUTED_VALUE"""),"justice")</f>
        <v>justice</v>
      </c>
      <c r="Q733" s="6" t="str">
        <f>IFERROR(__xludf.DUMMYFUNCTION("""COMPUTED_VALUE"""),"hugely")</f>
        <v>hugely</v>
      </c>
      <c r="S733" s="6" t="str">
        <f>IFERROR(__xludf.DUMMYFUNCTION("""COMPUTED_VALUE"""),"distinctive")</f>
        <v>distinctive</v>
      </c>
    </row>
    <row r="734">
      <c r="D734" s="6"/>
      <c r="H734" s="6" t="str">
        <f>IFERROR(__xludf.DUMMYFUNCTION("""COMPUTED_VALUE"""),"destiny")</f>
        <v>destiny</v>
      </c>
      <c r="I734" s="6" t="str">
        <f>IFERROR(__xludf.DUMMYFUNCTION("""COMPUTED_VALUE"""),"classics")</f>
        <v>classics</v>
      </c>
      <c r="J734" s="6" t="str">
        <f>IFERROR(__xludf.DUMMYFUNCTION("""COMPUTED_VALUE"""),"france")</f>
        <v>france</v>
      </c>
      <c r="M734" s="6"/>
      <c r="P734" s="6" t="str">
        <f>IFERROR(__xludf.DUMMYFUNCTION("""COMPUTED_VALUE"""),"etc")</f>
        <v>etc</v>
      </c>
      <c r="Q734" s="6" t="str">
        <f>IFERROR(__xludf.DUMMYFUNCTION("""COMPUTED_VALUE"""),"grace")</f>
        <v>grace</v>
      </c>
      <c r="S734" s="6" t="str">
        <f>IFERROR(__xludf.DUMMYFUNCTION("""COMPUTED_VALUE"""),"reserved")</f>
        <v>reserved</v>
      </c>
    </row>
    <row r="735">
      <c r="D735" s="6"/>
      <c r="H735" s="6" t="str">
        <f>IFERROR(__xludf.DUMMYFUNCTION("""COMPUTED_VALUE"""),"ecological")</f>
        <v>ecological</v>
      </c>
      <c r="I735" s="6" t="str">
        <f>IFERROR(__xludf.DUMMYFUNCTION("""COMPUTED_VALUE"""),"shooting")</f>
        <v>shooting</v>
      </c>
      <c r="J735" s="6" t="str">
        <f>IFERROR(__xludf.DUMMYFUNCTION("""COMPUTED_VALUE"""),"destined")</f>
        <v>destined</v>
      </c>
      <c r="M735" s="6"/>
      <c r="P735" s="6" t="str">
        <f>IFERROR(__xludf.DUMMYFUNCTION("""COMPUTED_VALUE"""),"someone")</f>
        <v>someone</v>
      </c>
      <c r="Q735" s="6" t="str">
        <f>IFERROR(__xludf.DUMMYFUNCTION("""COMPUTED_VALUE"""),"fall")</f>
        <v>fall</v>
      </c>
      <c r="S735" s="6" t="str">
        <f>IFERROR(__xludf.DUMMYFUNCTION("""COMPUTED_VALUE"""),"safe")</f>
        <v>safe</v>
      </c>
    </row>
    <row r="736">
      <c r="D736" s="6"/>
      <c r="H736" s="6" t="str">
        <f>IFERROR(__xludf.DUMMYFUNCTION("""COMPUTED_VALUE"""),"suitable")</f>
        <v>suitable</v>
      </c>
      <c r="I736" s="6" t="str">
        <f>IFERROR(__xludf.DUMMYFUNCTION("""COMPUTED_VALUE"""),"wave")</f>
        <v>wave</v>
      </c>
      <c r="J736" s="6" t="str">
        <f>IFERROR(__xludf.DUMMYFUNCTION("""COMPUTED_VALUE"""),"griffith")</f>
        <v>griffith</v>
      </c>
      <c r="M736" s="6"/>
      <c r="P736" s="6" t="str">
        <f>IFERROR(__xludf.DUMMYFUNCTION("""COMPUTED_VALUE"""),"logic")</f>
        <v>logic</v>
      </c>
      <c r="Q736" s="6" t="str">
        <f>IFERROR(__xludf.DUMMYFUNCTION("""COMPUTED_VALUE"""),"genuinely")</f>
        <v>genuinely</v>
      </c>
      <c r="S736" s="6" t="str">
        <f>IFERROR(__xludf.DUMMYFUNCTION("""COMPUTED_VALUE"""),"discipline")</f>
        <v>discipline</v>
      </c>
    </row>
    <row r="737">
      <c r="D737" s="6"/>
      <c r="H737" s="6" t="str">
        <f>IFERROR(__xludf.DUMMYFUNCTION("""COMPUTED_VALUE"""),"sociological")</f>
        <v>sociological</v>
      </c>
      <c r="I737" s="6" t="str">
        <f>IFERROR(__xludf.DUMMYFUNCTION("""COMPUTED_VALUE"""),"toss")</f>
        <v>toss</v>
      </c>
      <c r="J737" s="6" t="str">
        <f>IFERROR(__xludf.DUMMYFUNCTION("""COMPUTED_VALUE"""),"spin")</f>
        <v>spin</v>
      </c>
      <c r="M737" s="6"/>
      <c r="P737" s="6" t="str">
        <f>IFERROR(__xludf.DUMMYFUNCTION("""COMPUTED_VALUE"""),"morgan")</f>
        <v>morgan</v>
      </c>
      <c r="Q737" s="6" t="str">
        <f>IFERROR(__xludf.DUMMYFUNCTION("""COMPUTED_VALUE"""),"neither")</f>
        <v>neither</v>
      </c>
      <c r="S737" s="6" t="str">
        <f>IFERROR(__xludf.DUMMYFUNCTION("""COMPUTED_VALUE"""),"aims")</f>
        <v>aims</v>
      </c>
    </row>
    <row r="738">
      <c r="D738" s="6"/>
      <c r="H738" s="6" t="str">
        <f>IFERROR(__xludf.DUMMYFUNCTION("""COMPUTED_VALUE"""),"innovation")</f>
        <v>innovation</v>
      </c>
      <c r="I738" s="6" t="str">
        <f>IFERROR(__xludf.DUMMYFUNCTION("""COMPUTED_VALUE"""),"crosses")</f>
        <v>crosses</v>
      </c>
      <c r="J738" s="6" t="str">
        <f>IFERROR(__xludf.DUMMYFUNCTION("""COMPUTED_VALUE"""),"strangely")</f>
        <v>strangely</v>
      </c>
      <c r="M738" s="6"/>
      <c r="P738" s="6" t="str">
        <f>IFERROR(__xludf.DUMMYFUNCTION("""COMPUTED_VALUE"""),"zone")</f>
        <v>zone</v>
      </c>
      <c r="Q738" s="6" t="str">
        <f>IFERROR(__xludf.DUMMYFUNCTION("""COMPUTED_VALUE"""),"provocative")</f>
        <v>provocative</v>
      </c>
      <c r="S738" s="6" t="str">
        <f>IFERROR(__xludf.DUMMYFUNCTION("""COMPUTED_VALUE"""),"close")</f>
        <v>close</v>
      </c>
    </row>
    <row r="739">
      <c r="D739" s="6"/>
      <c r="H739" s="6" t="str">
        <f>IFERROR(__xludf.DUMMYFUNCTION("""COMPUTED_VALUE"""),"glaring")</f>
        <v>glaring</v>
      </c>
      <c r="I739" s="6" t="str">
        <f>IFERROR(__xludf.DUMMYFUNCTION("""COMPUTED_VALUE"""),"interpretation")</f>
        <v>interpretation</v>
      </c>
      <c r="J739" s="6" t="str">
        <f>IFERROR(__xludf.DUMMYFUNCTION("""COMPUTED_VALUE"""),"fisher")</f>
        <v>fisher</v>
      </c>
      <c r="M739" s="6"/>
      <c r="P739" s="6" t="str">
        <f>IFERROR(__xludf.DUMMYFUNCTION("""COMPUTED_VALUE"""),"attempts")</f>
        <v>attempts</v>
      </c>
      <c r="Q739" s="6" t="str">
        <f>IFERROR(__xludf.DUMMYFUNCTION("""COMPUTED_VALUE"""),"stops")</f>
        <v>stops</v>
      </c>
      <c r="S739" s="6" t="str">
        <f>IFERROR(__xludf.DUMMYFUNCTION("""COMPUTED_VALUE"""),"visual")</f>
        <v>visual</v>
      </c>
    </row>
    <row r="740">
      <c r="D740" s="6"/>
      <c r="H740" s="6" t="str">
        <f>IFERROR(__xludf.DUMMYFUNCTION("""COMPUTED_VALUE"""),"vulgar")</f>
        <v>vulgar</v>
      </c>
      <c r="I740" s="6" t="str">
        <f>IFERROR(__xludf.DUMMYFUNCTION("""COMPUTED_VALUE"""),"emotion")</f>
        <v>emotion</v>
      </c>
      <c r="J740" s="6" t="str">
        <f>IFERROR(__xludf.DUMMYFUNCTION("""COMPUTED_VALUE"""),"odyssey")</f>
        <v>odyssey</v>
      </c>
      <c r="M740" s="6"/>
      <c r="P740" s="6" t="str">
        <f>IFERROR(__xludf.DUMMYFUNCTION("""COMPUTED_VALUE"""),"grey")</f>
        <v>grey</v>
      </c>
      <c r="Q740" s="6" t="str">
        <f>IFERROR(__xludf.DUMMYFUNCTION("""COMPUTED_VALUE"""),"longest")</f>
        <v>longest</v>
      </c>
      <c r="S740" s="6" t="str">
        <f>IFERROR(__xludf.DUMMYFUNCTION("""COMPUTED_VALUE"""),"social")</f>
        <v>social</v>
      </c>
    </row>
    <row r="741">
      <c r="D741" s="6"/>
      <c r="H741" s="6" t="str">
        <f>IFERROR(__xludf.DUMMYFUNCTION("""COMPUTED_VALUE"""),"violent")</f>
        <v>violent</v>
      </c>
      <c r="I741" s="6" t="str">
        <f>IFERROR(__xludf.DUMMYFUNCTION("""COMPUTED_VALUE"""),"shifted")</f>
        <v>shifted</v>
      </c>
      <c r="J741" s="6" t="str">
        <f>IFERROR(__xludf.DUMMYFUNCTION("""COMPUTED_VALUE"""),"hopkins")</f>
        <v>hopkins</v>
      </c>
      <c r="M741" s="6"/>
      <c r="P741" s="6" t="str">
        <f>IFERROR(__xludf.DUMMYFUNCTION("""COMPUTED_VALUE"""),"generated")</f>
        <v>generated</v>
      </c>
      <c r="Q741" s="6" t="str">
        <f>IFERROR(__xludf.DUMMYFUNCTION("""COMPUTED_VALUE"""),"sharp")</f>
        <v>sharp</v>
      </c>
      <c r="S741" s="6" t="str">
        <f>IFERROR(__xludf.DUMMYFUNCTION("""COMPUTED_VALUE"""),"democracy")</f>
        <v>democracy</v>
      </c>
    </row>
    <row r="742">
      <c r="D742" s="6"/>
      <c r="H742" s="6" t="str">
        <f>IFERROR(__xludf.DUMMYFUNCTION("""COMPUTED_VALUE"""),"pokemon")</f>
        <v>pokemon</v>
      </c>
      <c r="I742" s="6" t="str">
        <f>IFERROR(__xludf.DUMMYFUNCTION("""COMPUTED_VALUE"""),"television")</f>
        <v>television</v>
      </c>
      <c r="J742" s="6" t="str">
        <f>IFERROR(__xludf.DUMMYFUNCTION("""COMPUTED_VALUE"""),"establishes")</f>
        <v>establishes</v>
      </c>
      <c r="M742" s="6"/>
      <c r="P742" s="6" t="str">
        <f>IFERROR(__xludf.DUMMYFUNCTION("""COMPUTED_VALUE"""),"else")</f>
        <v>else</v>
      </c>
      <c r="Q742" s="6" t="str">
        <f>IFERROR(__xludf.DUMMYFUNCTION("""COMPUTED_VALUE"""),"discourse")</f>
        <v>discourse</v>
      </c>
      <c r="S742" s="6" t="str">
        <f>IFERROR(__xludf.DUMMYFUNCTION("""COMPUTED_VALUE"""),"contemporary")</f>
        <v>contemporary</v>
      </c>
    </row>
    <row r="743">
      <c r="D743" s="6"/>
      <c r="H743" s="6" t="str">
        <f>IFERROR(__xludf.DUMMYFUNCTION("""COMPUTED_VALUE"""),"incorporates")</f>
        <v>incorporates</v>
      </c>
      <c r="I743" s="6" t="str">
        <f>IFERROR(__xludf.DUMMYFUNCTION("""COMPUTED_VALUE"""),"capture")</f>
        <v>capture</v>
      </c>
      <c r="J743" s="6" t="str">
        <f>IFERROR(__xludf.DUMMYFUNCTION("""COMPUTED_VALUE"""),"metropolis")</f>
        <v>metropolis</v>
      </c>
      <c r="M743" s="6"/>
      <c r="P743" s="6" t="str">
        <f>IFERROR(__xludf.DUMMYFUNCTION("""COMPUTED_VALUE"""),"season")</f>
        <v>season</v>
      </c>
      <c r="Q743" s="6" t="str">
        <f>IFERROR(__xludf.DUMMYFUNCTION("""COMPUTED_VALUE"""),"distinctive")</f>
        <v>distinctive</v>
      </c>
      <c r="S743" s="6" t="str">
        <f>IFERROR(__xludf.DUMMYFUNCTION("""COMPUTED_VALUE"""),"adult")</f>
        <v>adult</v>
      </c>
    </row>
    <row r="744">
      <c r="D744" s="6"/>
      <c r="H744" s="6" t="str">
        <f>IFERROR(__xludf.DUMMYFUNCTION("""COMPUTED_VALUE"""),"transporting")</f>
        <v>transporting</v>
      </c>
      <c r="I744" s="6" t="str">
        <f>IFERROR(__xludf.DUMMYFUNCTION("""COMPUTED_VALUE"""),"operational")</f>
        <v>operational</v>
      </c>
      <c r="J744" s="6" t="str">
        <f>IFERROR(__xludf.DUMMYFUNCTION("""COMPUTED_VALUE"""),"villain")</f>
        <v>villain</v>
      </c>
      <c r="M744" s="6"/>
      <c r="P744" s="6" t="str">
        <f>IFERROR(__xludf.DUMMYFUNCTION("""COMPUTED_VALUE"""),"resist")</f>
        <v>resist</v>
      </c>
      <c r="Q744" s="6" t="str">
        <f>IFERROR(__xludf.DUMMYFUNCTION("""COMPUTED_VALUE"""),"demonstrate")</f>
        <v>demonstrate</v>
      </c>
      <c r="S744" s="6" t="str">
        <f>IFERROR(__xludf.DUMMYFUNCTION("""COMPUTED_VALUE"""),"episodes")</f>
        <v>episodes</v>
      </c>
    </row>
    <row r="745">
      <c r="D745" s="6"/>
      <c r="H745" s="6" t="str">
        <f>IFERROR(__xludf.DUMMYFUNCTION("""COMPUTED_VALUE"""),"diaz")</f>
        <v>diaz</v>
      </c>
      <c r="I745" s="6" t="str">
        <f>IFERROR(__xludf.DUMMYFUNCTION("""COMPUTED_VALUE"""),"cult")</f>
        <v>cult</v>
      </c>
      <c r="J745" s="6" t="str">
        <f>IFERROR(__xludf.DUMMYFUNCTION("""COMPUTED_VALUE"""),"let")</f>
        <v>let</v>
      </c>
      <c r="M745" s="6"/>
      <c r="P745" s="6" t="str">
        <f>IFERROR(__xludf.DUMMYFUNCTION("""COMPUTED_VALUE"""),"pulse")</f>
        <v>pulse</v>
      </c>
      <c r="Q745" s="6" t="str">
        <f>IFERROR(__xludf.DUMMYFUNCTION("""COMPUTED_VALUE"""),"n")</f>
        <v>n</v>
      </c>
      <c r="S745" s="6" t="str">
        <f>IFERROR(__xludf.DUMMYFUNCTION("""COMPUTED_VALUE"""),"constructed")</f>
        <v>constructed</v>
      </c>
    </row>
    <row r="746">
      <c r="D746" s="6"/>
      <c r="H746" s="6" t="str">
        <f>IFERROR(__xludf.DUMMYFUNCTION("""COMPUTED_VALUE"""),"belongs")</f>
        <v>belongs</v>
      </c>
      <c r="I746" s="6" t="str">
        <f>IFERROR(__xludf.DUMMYFUNCTION("""COMPUTED_VALUE"""),"heard")</f>
        <v>heard</v>
      </c>
      <c r="J746" s="6" t="str">
        <f>IFERROR(__xludf.DUMMYFUNCTION("""COMPUTED_VALUE"""),"teacher")</f>
        <v>teacher</v>
      </c>
      <c r="M746" s="6"/>
      <c r="P746" s="6" t="str">
        <f>IFERROR(__xludf.DUMMYFUNCTION("""COMPUTED_VALUE"""),"struggling")</f>
        <v>struggling</v>
      </c>
      <c r="Q746" s="6" t="str">
        <f>IFERROR(__xludf.DUMMYFUNCTION("""COMPUTED_VALUE"""),"blown")</f>
        <v>blown</v>
      </c>
      <c r="S746" s="6" t="str">
        <f>IFERROR(__xludf.DUMMYFUNCTION("""COMPUTED_VALUE"""),"skill")</f>
        <v>skill</v>
      </c>
    </row>
    <row r="747">
      <c r="D747" s="6"/>
      <c r="H747" s="6" t="str">
        <f>IFERROR(__xludf.DUMMYFUNCTION("""COMPUTED_VALUE"""),"jacques")</f>
        <v>jacques</v>
      </c>
      <c r="I747" s="6" t="str">
        <f>IFERROR(__xludf.DUMMYFUNCTION("""COMPUTED_VALUE"""),"inspiration")</f>
        <v>inspiration</v>
      </c>
      <c r="J747" s="6" t="str">
        <f>IFERROR(__xludf.DUMMYFUNCTION("""COMPUTED_VALUE"""),"increasingly")</f>
        <v>increasingly</v>
      </c>
      <c r="M747" s="6"/>
      <c r="P747" s="6" t="str">
        <f>IFERROR(__xludf.DUMMYFUNCTION("""COMPUTED_VALUE"""),"tier")</f>
        <v>tier</v>
      </c>
      <c r="Q747" s="6" t="str">
        <f>IFERROR(__xludf.DUMMYFUNCTION("""COMPUTED_VALUE"""),"safe")</f>
        <v>safe</v>
      </c>
      <c r="S747" s="6" t="str">
        <f>IFERROR(__xludf.DUMMYFUNCTION("""COMPUTED_VALUE"""),"determined")</f>
        <v>determined</v>
      </c>
    </row>
    <row r="748">
      <c r="D748" s="6"/>
      <c r="H748" s="6" t="str">
        <f>IFERROR(__xludf.DUMMYFUNCTION("""COMPUTED_VALUE"""),"diversion")</f>
        <v>diversion</v>
      </c>
      <c r="I748" s="6" t="str">
        <f>IFERROR(__xludf.DUMMYFUNCTION("""COMPUTED_VALUE"""),"awareness")</f>
        <v>awareness</v>
      </c>
      <c r="J748" s="6" t="str">
        <f>IFERROR(__xludf.DUMMYFUNCTION("""COMPUTED_VALUE"""),"plotting")</f>
        <v>plotting</v>
      </c>
      <c r="M748" s="6"/>
      <c r="P748" s="6" t="str">
        <f>IFERROR(__xludf.DUMMYFUNCTION("""COMPUTED_VALUE"""),"scientist")</f>
        <v>scientist</v>
      </c>
      <c r="Q748" s="6" t="str">
        <f>IFERROR(__xludf.DUMMYFUNCTION("""COMPUTED_VALUE"""),"discipline")</f>
        <v>discipline</v>
      </c>
      <c r="S748" s="6" t="str">
        <f>IFERROR(__xludf.DUMMYFUNCTION("""COMPUTED_VALUE"""),"vampire")</f>
        <v>vampire</v>
      </c>
    </row>
    <row r="749">
      <c r="D749" s="6"/>
      <c r="H749" s="6" t="str">
        <f>IFERROR(__xludf.DUMMYFUNCTION("""COMPUTED_VALUE"""),"legged")</f>
        <v>legged</v>
      </c>
      <c r="I749" s="6" t="str">
        <f>IFERROR(__xludf.DUMMYFUNCTION("""COMPUTED_VALUE"""),"mortal")</f>
        <v>mortal</v>
      </c>
      <c r="J749" s="6" t="str">
        <f>IFERROR(__xludf.DUMMYFUNCTION("""COMPUTED_VALUE"""),"specimen")</f>
        <v>specimen</v>
      </c>
      <c r="M749" s="6"/>
      <c r="P749" s="6" t="str">
        <f>IFERROR(__xludf.DUMMYFUNCTION("""COMPUTED_VALUE"""),"chan")</f>
        <v>chan</v>
      </c>
      <c r="Q749" s="6" t="str">
        <f>IFERROR(__xludf.DUMMYFUNCTION("""COMPUTED_VALUE"""),"aims")</f>
        <v>aims</v>
      </c>
      <c r="S749" s="6" t="str">
        <f>IFERROR(__xludf.DUMMYFUNCTION("""COMPUTED_VALUE"""),"dance")</f>
        <v>dance</v>
      </c>
    </row>
    <row r="750">
      <c r="D750" s="6"/>
      <c r="H750" s="6" t="str">
        <f>IFERROR(__xludf.DUMMYFUNCTION("""COMPUTED_VALUE"""),"freaks")</f>
        <v>freaks</v>
      </c>
      <c r="I750" s="6" t="str">
        <f>IFERROR(__xludf.DUMMYFUNCTION("""COMPUTED_VALUE"""),"intent")</f>
        <v>intent</v>
      </c>
      <c r="J750" s="6" t="str">
        <f>IFERROR(__xludf.DUMMYFUNCTION("""COMPUTED_VALUE"""),"shrill")</f>
        <v>shrill</v>
      </c>
      <c r="M750" s="6"/>
      <c r="P750" s="6" t="str">
        <f>IFERROR(__xludf.DUMMYFUNCTION("""COMPUTED_VALUE"""),"tender")</f>
        <v>tender</v>
      </c>
      <c r="Q750" s="6" t="str">
        <f>IFERROR(__xludf.DUMMYFUNCTION("""COMPUTED_VALUE"""),"visual")</f>
        <v>visual</v>
      </c>
      <c r="S750" s="6" t="str">
        <f>IFERROR(__xludf.DUMMYFUNCTION("""COMPUTED_VALUE"""),"fierce")</f>
        <v>fierce</v>
      </c>
    </row>
    <row r="751">
      <c r="D751" s="6"/>
      <c r="H751" s="6" t="str">
        <f>IFERROR(__xludf.DUMMYFUNCTION("""COMPUTED_VALUE"""),"bonds")</f>
        <v>bonds</v>
      </c>
      <c r="I751" s="6" t="str">
        <f>IFERROR(__xludf.DUMMYFUNCTION("""COMPUTED_VALUE"""),"swear")</f>
        <v>swear</v>
      </c>
      <c r="J751" s="6" t="str">
        <f>IFERROR(__xludf.DUMMYFUNCTION("""COMPUTED_VALUE"""),"sinister")</f>
        <v>sinister</v>
      </c>
      <c r="M751" s="6"/>
      <c r="P751" s="6" t="str">
        <f>IFERROR(__xludf.DUMMYFUNCTION("""COMPUTED_VALUE"""),"reflection")</f>
        <v>reflection</v>
      </c>
      <c r="Q751" s="6" t="str">
        <f>IFERROR(__xludf.DUMMYFUNCTION("""COMPUTED_VALUE"""),"close")</f>
        <v>close</v>
      </c>
      <c r="S751" s="6" t="str">
        <f>IFERROR(__xludf.DUMMYFUNCTION("""COMPUTED_VALUE"""),"lady")</f>
        <v>lady</v>
      </c>
    </row>
    <row r="752">
      <c r="D752" s="6"/>
      <c r="H752" s="6" t="str">
        <f>IFERROR(__xludf.DUMMYFUNCTION("""COMPUTED_VALUE"""),"anatomical")</f>
        <v>anatomical</v>
      </c>
      <c r="I752" s="6" t="str">
        <f>IFERROR(__xludf.DUMMYFUNCTION("""COMPUTED_VALUE"""),"invasion")</f>
        <v>invasion</v>
      </c>
      <c r="J752" s="6" t="str">
        <f>IFERROR(__xludf.DUMMYFUNCTION("""COMPUTED_VALUE"""),"aground")</f>
        <v>aground</v>
      </c>
      <c r="M752" s="6"/>
      <c r="P752" s="6" t="str">
        <f>IFERROR(__xludf.DUMMYFUNCTION("""COMPUTED_VALUE"""),"political")</f>
        <v>political</v>
      </c>
      <c r="Q752" s="6" t="str">
        <f>IFERROR(__xludf.DUMMYFUNCTION("""COMPUTED_VALUE"""),"assaults")</f>
        <v>assaults</v>
      </c>
      <c r="S752" s="6" t="str">
        <f>IFERROR(__xludf.DUMMYFUNCTION("""COMPUTED_VALUE"""),"city")</f>
        <v>city</v>
      </c>
    </row>
    <row r="753">
      <c r="D753" s="6"/>
      <c r="H753" s="6" t="str">
        <f>IFERROR(__xludf.DUMMYFUNCTION("""COMPUTED_VALUE"""),"rely")</f>
        <v>rely</v>
      </c>
      <c r="I753" s="6" t="str">
        <f>IFERROR(__xludf.DUMMYFUNCTION("""COMPUTED_VALUE"""),"vietnamese")</f>
        <v>vietnamese</v>
      </c>
      <c r="J753" s="6" t="str">
        <f>IFERROR(__xludf.DUMMYFUNCTION("""COMPUTED_VALUE"""),"roberts")</f>
        <v>roberts</v>
      </c>
      <c r="M753" s="6"/>
      <c r="P753" s="6" t="str">
        <f>IFERROR(__xludf.DUMMYFUNCTION("""COMPUTED_VALUE"""),"christian")</f>
        <v>christian</v>
      </c>
      <c r="Q753" s="6" t="str">
        <f>IFERROR(__xludf.DUMMYFUNCTION("""COMPUTED_VALUE"""),"realism")</f>
        <v>realism</v>
      </c>
      <c r="S753" s="6" t="str">
        <f>IFERROR(__xludf.DUMMYFUNCTION("""COMPUTED_VALUE"""),"york")</f>
        <v>york</v>
      </c>
    </row>
    <row r="754">
      <c r="D754" s="6"/>
      <c r="H754" s="6" t="str">
        <f>IFERROR(__xludf.DUMMYFUNCTION("""COMPUTED_VALUE"""),"elegant")</f>
        <v>elegant</v>
      </c>
      <c r="I754" s="6" t="str">
        <f>IFERROR(__xludf.DUMMYFUNCTION("""COMPUTED_VALUE"""),"thousands")</f>
        <v>thousands</v>
      </c>
      <c r="J754" s="6" t="str">
        <f>IFERROR(__xludf.DUMMYFUNCTION("""COMPUTED_VALUE"""),"workshop")</f>
        <v>workshop</v>
      </c>
      <c r="M754" s="6"/>
      <c r="P754" s="6" t="str">
        <f>IFERROR(__xludf.DUMMYFUNCTION("""COMPUTED_VALUE"""),"triangle")</f>
        <v>triangle</v>
      </c>
      <c r="Q754" s="6" t="str">
        <f>IFERROR(__xludf.DUMMYFUNCTION("""COMPUTED_VALUE"""),"novak")</f>
        <v>novak</v>
      </c>
      <c r="S754" s="6" t="str">
        <f>IFERROR(__xludf.DUMMYFUNCTION("""COMPUTED_VALUE"""),"past")</f>
        <v>past</v>
      </c>
    </row>
    <row r="755">
      <c r="D755" s="6"/>
      <c r="H755" s="6" t="str">
        <f>IFERROR(__xludf.DUMMYFUNCTION("""COMPUTED_VALUE"""),"majors")</f>
        <v>majors</v>
      </c>
      <c r="I755" s="6" t="str">
        <f>IFERROR(__xludf.DUMMYFUNCTION("""COMPUTED_VALUE"""),"theories")</f>
        <v>theories</v>
      </c>
      <c r="J755" s="6" t="str">
        <f>IFERROR(__xludf.DUMMYFUNCTION("""COMPUTED_VALUE"""),"resemble")</f>
        <v>resemble</v>
      </c>
      <c r="M755" s="6"/>
      <c r="P755" s="6" t="str">
        <f>IFERROR(__xludf.DUMMYFUNCTION("""COMPUTED_VALUE"""),"leon")</f>
        <v>leon</v>
      </c>
      <c r="Q755" s="6" t="str">
        <f>IFERROR(__xludf.DUMMYFUNCTION("""COMPUTED_VALUE"""),"grounded")</f>
        <v>grounded</v>
      </c>
      <c r="S755" s="6" t="str">
        <f>IFERROR(__xludf.DUMMYFUNCTION("""COMPUTED_VALUE"""),"chinese")</f>
        <v>chinese</v>
      </c>
    </row>
    <row r="756">
      <c r="D756" s="6"/>
      <c r="H756" s="6" t="str">
        <f>IFERROR(__xludf.DUMMYFUNCTION("""COMPUTED_VALUE"""),"governments")</f>
        <v>governments</v>
      </c>
      <c r="I756" s="6" t="str">
        <f>IFERROR(__xludf.DUMMYFUNCTION("""COMPUTED_VALUE"""),"variant")</f>
        <v>variant</v>
      </c>
      <c r="J756" s="6" t="str">
        <f>IFERROR(__xludf.DUMMYFUNCTION("""COMPUTED_VALUE"""),"vigorously")</f>
        <v>vigorously</v>
      </c>
      <c r="M756" s="6"/>
      <c r="P756" s="6" t="str">
        <f>IFERROR(__xludf.DUMMYFUNCTION("""COMPUTED_VALUE"""),"novel")</f>
        <v>novel</v>
      </c>
      <c r="Q756" s="6" t="str">
        <f>IFERROR(__xludf.DUMMYFUNCTION("""COMPUTED_VALUE"""),"accuracy")</f>
        <v>accuracy</v>
      </c>
      <c r="S756" s="6" t="str">
        <f>IFERROR(__xludf.DUMMYFUNCTION("""COMPUTED_VALUE"""),"ah")</f>
        <v>ah</v>
      </c>
    </row>
    <row r="757">
      <c r="D757" s="6"/>
      <c r="H757" s="6" t="str">
        <f>IFERROR(__xludf.DUMMYFUNCTION("""COMPUTED_VALUE"""),"reconstruction")</f>
        <v>reconstruction</v>
      </c>
      <c r="I757" s="6" t="str">
        <f>IFERROR(__xludf.DUMMYFUNCTION("""COMPUTED_VALUE"""),"captured")</f>
        <v>captured</v>
      </c>
      <c r="J757" s="6" t="str">
        <f>IFERROR(__xludf.DUMMYFUNCTION("""COMPUTED_VALUE"""),"improvisation")</f>
        <v>improvisation</v>
      </c>
      <c r="M757" s="6"/>
      <c r="P757" s="6" t="str">
        <f>IFERROR(__xludf.DUMMYFUNCTION("""COMPUTED_VALUE"""),"monster")</f>
        <v>monster</v>
      </c>
      <c r="Q757" s="6" t="str">
        <f>IFERROR(__xludf.DUMMYFUNCTION("""COMPUTED_VALUE"""),"democracy")</f>
        <v>democracy</v>
      </c>
      <c r="S757" s="6" t="str">
        <f>IFERROR(__xludf.DUMMYFUNCTION("""COMPUTED_VALUE"""),"fill")</f>
        <v>fill</v>
      </c>
    </row>
    <row r="758">
      <c r="D758" s="6"/>
      <c r="H758" s="6" t="str">
        <f>IFERROR(__xludf.DUMMYFUNCTION("""COMPUTED_VALUE"""),"episode")</f>
        <v>episode</v>
      </c>
      <c r="I758" s="6" t="str">
        <f>IFERROR(__xludf.DUMMYFUNCTION("""COMPUTED_VALUE"""),"equal")</f>
        <v>equal</v>
      </c>
      <c r="J758" s="6" t="str">
        <f>IFERROR(__xludf.DUMMYFUNCTION("""COMPUTED_VALUE"""),"experimentation")</f>
        <v>experimentation</v>
      </c>
      <c r="M758" s="6"/>
      <c r="P758" s="6" t="str">
        <f>IFERROR(__xludf.DUMMYFUNCTION("""COMPUTED_VALUE"""),"equivalent")</f>
        <v>equivalent</v>
      </c>
      <c r="Q758" s="6" t="str">
        <f>IFERROR(__xludf.DUMMYFUNCTION("""COMPUTED_VALUE"""),"maturity")</f>
        <v>maturity</v>
      </c>
      <c r="S758" s="6" t="str">
        <f>IFERROR(__xludf.DUMMYFUNCTION("""COMPUTED_VALUE"""),"previous")</f>
        <v>previous</v>
      </c>
    </row>
    <row r="759">
      <c r="D759" s="6"/>
      <c r="H759" s="6" t="str">
        <f>IFERROR(__xludf.DUMMYFUNCTION("""COMPUTED_VALUE"""),"opaque")</f>
        <v>opaque</v>
      </c>
      <c r="I759" s="6" t="str">
        <f>IFERROR(__xludf.DUMMYFUNCTION("""COMPUTED_VALUE"""),"handful")</f>
        <v>handful</v>
      </c>
      <c r="J759" s="6" t="str">
        <f>IFERROR(__xludf.DUMMYFUNCTION("""COMPUTED_VALUE"""),"ceremonies")</f>
        <v>ceremonies</v>
      </c>
      <c r="M759" s="6"/>
      <c r="P759" s="6" t="str">
        <f>IFERROR(__xludf.DUMMYFUNCTION("""COMPUTED_VALUE"""),"wound")</f>
        <v>wound</v>
      </c>
      <c r="Q759" s="6" t="str">
        <f>IFERROR(__xludf.DUMMYFUNCTION("""COMPUTED_VALUE"""),"adult")</f>
        <v>adult</v>
      </c>
      <c r="S759" s="6" t="str">
        <f>IFERROR(__xludf.DUMMYFUNCTION("""COMPUTED_VALUE"""),"fallen")</f>
        <v>fallen</v>
      </c>
    </row>
    <row r="760">
      <c r="D760" s="6"/>
      <c r="H760" s="6" t="str">
        <f>IFERROR(__xludf.DUMMYFUNCTION("""COMPUTED_VALUE"""),"artificial")</f>
        <v>artificial</v>
      </c>
      <c r="I760" s="6" t="str">
        <f>IFERROR(__xludf.DUMMYFUNCTION("""COMPUTED_VALUE"""),"sara")</f>
        <v>sara</v>
      </c>
      <c r="J760" s="6" t="str">
        <f>IFERROR(__xludf.DUMMYFUNCTION("""COMPUTED_VALUE"""),"crises")</f>
        <v>crises</v>
      </c>
      <c r="M760" s="6"/>
      <c r="P760" s="6" t="str">
        <f>IFERROR(__xludf.DUMMYFUNCTION("""COMPUTED_VALUE"""),"staring")</f>
        <v>staring</v>
      </c>
      <c r="Q760" s="6" t="str">
        <f>IFERROR(__xludf.DUMMYFUNCTION("""COMPUTED_VALUE"""),"rendered")</f>
        <v>rendered</v>
      </c>
      <c r="S760" s="6" t="str">
        <f>IFERROR(__xludf.DUMMYFUNCTION("""COMPUTED_VALUE"""),"spell")</f>
        <v>spell</v>
      </c>
    </row>
    <row r="761">
      <c r="D761" s="6"/>
      <c r="H761" s="6" t="str">
        <f>IFERROR(__xludf.DUMMYFUNCTION("""COMPUTED_VALUE"""),"demons")</f>
        <v>demons</v>
      </c>
      <c r="I761" s="6" t="str">
        <f>IFERROR(__xludf.DUMMYFUNCTION("""COMPUTED_VALUE"""),"realizing")</f>
        <v>realizing</v>
      </c>
      <c r="J761" s="6" t="str">
        <f>IFERROR(__xludf.DUMMYFUNCTION("""COMPUTED_VALUE"""),"weight")</f>
        <v>weight</v>
      </c>
      <c r="M761" s="6"/>
      <c r="P761" s="6" t="str">
        <f>IFERROR(__xludf.DUMMYFUNCTION("""COMPUTED_VALUE"""),"secrets")</f>
        <v>secrets</v>
      </c>
      <c r="Q761" s="6" t="str">
        <f>IFERROR(__xludf.DUMMYFUNCTION("""COMPUTED_VALUE"""),"devotees")</f>
        <v>devotees</v>
      </c>
      <c r="S761" s="6" t="str">
        <f>IFERROR(__xludf.DUMMYFUNCTION("""COMPUTED_VALUE"""),"cool")</f>
        <v>cool</v>
      </c>
    </row>
    <row r="762">
      <c r="D762" s="6"/>
      <c r="H762" s="6" t="str">
        <f>IFERROR(__xludf.DUMMYFUNCTION("""COMPUTED_VALUE"""),"blank")</f>
        <v>blank</v>
      </c>
      <c r="I762" s="6" t="str">
        <f>IFERROR(__xludf.DUMMYFUNCTION("""COMPUTED_VALUE"""),"warfare")</f>
        <v>warfare</v>
      </c>
      <c r="J762" s="6" t="str">
        <f>IFERROR(__xludf.DUMMYFUNCTION("""COMPUTED_VALUE"""),"peculiar")</f>
        <v>peculiar</v>
      </c>
      <c r="M762" s="6"/>
      <c r="P762" s="6" t="str">
        <f>IFERROR(__xludf.DUMMYFUNCTION("""COMPUTED_VALUE"""),"truth")</f>
        <v>truth</v>
      </c>
      <c r="Q762" s="6" t="str">
        <f>IFERROR(__xludf.DUMMYFUNCTION("""COMPUTED_VALUE"""),"episodes")</f>
        <v>episodes</v>
      </c>
      <c r="S762" s="6" t="str">
        <f>IFERROR(__xludf.DUMMYFUNCTION("""COMPUTED_VALUE"""),"handled")</f>
        <v>handled</v>
      </c>
    </row>
    <row r="763">
      <c r="D763" s="6"/>
      <c r="H763" s="6" t="str">
        <f>IFERROR(__xludf.DUMMYFUNCTION("""COMPUTED_VALUE"""),"lark")</f>
        <v>lark</v>
      </c>
      <c r="I763" s="6" t="str">
        <f>IFERROR(__xludf.DUMMYFUNCTION("""COMPUTED_VALUE"""),"primarily")</f>
        <v>primarily</v>
      </c>
      <c r="J763" s="6" t="str">
        <f>IFERROR(__xludf.DUMMYFUNCTION("""COMPUTED_VALUE"""),"conventional")</f>
        <v>conventional</v>
      </c>
      <c r="M763" s="6"/>
      <c r="P763" s="6" t="str">
        <f>IFERROR(__xludf.DUMMYFUNCTION("""COMPUTED_VALUE"""),"substance")</f>
        <v>substance</v>
      </c>
      <c r="Q763" s="6" t="str">
        <f>IFERROR(__xludf.DUMMYFUNCTION("""COMPUTED_VALUE"""),"bile")</f>
        <v>bile</v>
      </c>
      <c r="S763" s="6" t="str">
        <f>IFERROR(__xludf.DUMMYFUNCTION("""COMPUTED_VALUE"""),"vision")</f>
        <v>vision</v>
      </c>
    </row>
    <row r="764">
      <c r="D764" s="6"/>
      <c r="H764" s="6" t="str">
        <f>IFERROR(__xludf.DUMMYFUNCTION("""COMPUTED_VALUE"""),"pipeline")</f>
        <v>pipeline</v>
      </c>
      <c r="I764" s="6" t="str">
        <f>IFERROR(__xludf.DUMMYFUNCTION("""COMPUTED_VALUE"""),"vehicle")</f>
        <v>vehicle</v>
      </c>
      <c r="J764" s="6" t="str">
        <f>IFERROR(__xludf.DUMMYFUNCTION("""COMPUTED_VALUE"""),"manhattan")</f>
        <v>manhattan</v>
      </c>
      <c r="M764" s="6"/>
      <c r="P764" s="6" t="str">
        <f>IFERROR(__xludf.DUMMYFUNCTION("""COMPUTED_VALUE"""),"sexy")</f>
        <v>sexy</v>
      </c>
      <c r="Q764" s="6" t="str">
        <f>IFERROR(__xludf.DUMMYFUNCTION("""COMPUTED_VALUE"""),"faulty")</f>
        <v>faulty</v>
      </c>
      <c r="S764" s="6" t="str">
        <f>IFERROR(__xludf.DUMMYFUNCTION("""COMPUTED_VALUE"""),"clearly")</f>
        <v>clearly</v>
      </c>
    </row>
    <row r="765">
      <c r="D765" s="6"/>
      <c r="H765" s="6" t="str">
        <f>IFERROR(__xludf.DUMMYFUNCTION("""COMPUTED_VALUE"""),"flow")</f>
        <v>flow</v>
      </c>
      <c r="I765" s="6" t="str">
        <f>IFERROR(__xludf.DUMMYFUNCTION("""COMPUTED_VALUE"""),"thick")</f>
        <v>thick</v>
      </c>
      <c r="J765" s="6" t="str">
        <f>IFERROR(__xludf.DUMMYFUNCTION("""COMPUTED_VALUE"""),"skies")</f>
        <v>skies</v>
      </c>
      <c r="M765" s="6"/>
      <c r="P765" s="6" t="str">
        <f>IFERROR(__xludf.DUMMYFUNCTION("""COMPUTED_VALUE"""),"smoking")</f>
        <v>smoking</v>
      </c>
      <c r="Q765" s="6" t="str">
        <f>IFERROR(__xludf.DUMMYFUNCTION("""COMPUTED_VALUE"""),"constructed")</f>
        <v>constructed</v>
      </c>
      <c r="S765" s="6" t="str">
        <f>IFERROR(__xludf.DUMMYFUNCTION("""COMPUTED_VALUE"""),"poverty")</f>
        <v>poverty</v>
      </c>
    </row>
    <row r="766">
      <c r="D766" s="6"/>
      <c r="H766" s="6" t="str">
        <f>IFERROR(__xludf.DUMMYFUNCTION("""COMPUTED_VALUE"""),"abstract")</f>
        <v>abstract</v>
      </c>
      <c r="I766" s="6" t="str">
        <f>IFERROR(__xludf.DUMMYFUNCTION("""COMPUTED_VALUE"""),"radical")</f>
        <v>radical</v>
      </c>
      <c r="J766" s="6" t="str">
        <f>IFERROR(__xludf.DUMMYFUNCTION("""COMPUTED_VALUE"""),"firing")</f>
        <v>firing</v>
      </c>
      <c r="M766" s="6"/>
      <c r="P766" s="6" t="str">
        <f>IFERROR(__xludf.DUMMYFUNCTION("""COMPUTED_VALUE"""),"lock")</f>
        <v>lock</v>
      </c>
      <c r="Q766" s="6" t="str">
        <f>IFERROR(__xludf.DUMMYFUNCTION("""COMPUTED_VALUE"""),"skill")</f>
        <v>skill</v>
      </c>
      <c r="S766" s="6" t="str">
        <f>IFERROR(__xludf.DUMMYFUNCTION("""COMPUTED_VALUE"""),"spite")</f>
        <v>spite</v>
      </c>
    </row>
    <row r="767">
      <c r="D767" s="6"/>
      <c r="H767" s="6" t="str">
        <f>IFERROR(__xludf.DUMMYFUNCTION("""COMPUTED_VALUE"""),"diaries")</f>
        <v>diaries</v>
      </c>
      <c r="I767" s="6">
        <f>IFERROR(__xludf.DUMMYFUNCTION("""COMPUTED_VALUE"""),1993.0)</f>
        <v>1993</v>
      </c>
      <c r="J767" s="6" t="str">
        <f>IFERROR(__xludf.DUMMYFUNCTION("""COMPUTED_VALUE"""),"testimony")</f>
        <v>testimony</v>
      </c>
      <c r="M767" s="6"/>
      <c r="P767" s="6" t="str">
        <f>IFERROR(__xludf.DUMMYFUNCTION("""COMPUTED_VALUE"""),"professor")</f>
        <v>professor</v>
      </c>
      <c r="Q767" s="6" t="str">
        <f>IFERROR(__xludf.DUMMYFUNCTION("""COMPUTED_VALUE"""),"amused")</f>
        <v>amused</v>
      </c>
      <c r="S767" s="6" t="str">
        <f>IFERROR(__xludf.DUMMYFUNCTION("""COMPUTED_VALUE"""),"taken")</f>
        <v>taken</v>
      </c>
    </row>
    <row r="768">
      <c r="D768" s="6"/>
      <c r="H768" s="6" t="str">
        <f>IFERROR(__xludf.DUMMYFUNCTION("""COMPUTED_VALUE"""),"stimulating")</f>
        <v>stimulating</v>
      </c>
      <c r="I768" s="6" t="str">
        <f>IFERROR(__xludf.DUMMYFUNCTION("""COMPUTED_VALUE"""),"state")</f>
        <v>state</v>
      </c>
      <c r="J768" s="6" t="str">
        <f>IFERROR(__xludf.DUMMYFUNCTION("""COMPUTED_VALUE"""),"witnesses")</f>
        <v>witnesses</v>
      </c>
      <c r="M768" s="6"/>
      <c r="P768" s="6" t="str">
        <f>IFERROR(__xludf.DUMMYFUNCTION("""COMPUTED_VALUE"""),"magnetic")</f>
        <v>magnetic</v>
      </c>
      <c r="Q768" s="6" t="str">
        <f>IFERROR(__xludf.DUMMYFUNCTION("""COMPUTED_VALUE"""),"vampire")</f>
        <v>vampire</v>
      </c>
      <c r="S768" s="6" t="str">
        <f>IFERROR(__xludf.DUMMYFUNCTION("""COMPUTED_VALUE"""),"shoot")</f>
        <v>shoot</v>
      </c>
    </row>
    <row r="769">
      <c r="D769" s="6"/>
      <c r="H769" s="6" t="str">
        <f>IFERROR(__xludf.DUMMYFUNCTION("""COMPUTED_VALUE"""),"reel")</f>
        <v>reel</v>
      </c>
      <c r="I769" s="6" t="str">
        <f>IFERROR(__xludf.DUMMYFUNCTION("""COMPUTED_VALUE"""),"duck")</f>
        <v>duck</v>
      </c>
      <c r="J769" s="6" t="str">
        <f>IFERROR(__xludf.DUMMYFUNCTION("""COMPUTED_VALUE"""),"revolutionary")</f>
        <v>revolutionary</v>
      </c>
      <c r="M769" s="6"/>
      <c r="P769" s="6" t="str">
        <f>IFERROR(__xludf.DUMMYFUNCTION("""COMPUTED_VALUE"""),"honor")</f>
        <v>honor</v>
      </c>
      <c r="Q769" s="6" t="str">
        <f>IFERROR(__xludf.DUMMYFUNCTION("""COMPUTED_VALUE"""),"determined")</f>
        <v>determined</v>
      </c>
      <c r="S769" s="6" t="str">
        <f>IFERROR(__xludf.DUMMYFUNCTION("""COMPUTED_VALUE"""),"determine")</f>
        <v>determine</v>
      </c>
    </row>
    <row r="770">
      <c r="D770" s="6"/>
      <c r="H770" s="6" t="str">
        <f>IFERROR(__xludf.DUMMYFUNCTION("""COMPUTED_VALUE"""),"courtship")</f>
        <v>courtship</v>
      </c>
      <c r="I770" s="6" t="str">
        <f>IFERROR(__xludf.DUMMYFUNCTION("""COMPUTED_VALUE"""),"painting")</f>
        <v>painting</v>
      </c>
      <c r="J770" s="6" t="str">
        <f>IFERROR(__xludf.DUMMYFUNCTION("""COMPUTED_VALUE"""),"obstacles")</f>
        <v>obstacles</v>
      </c>
      <c r="M770" s="6"/>
      <c r="P770" s="6" t="str">
        <f>IFERROR(__xludf.DUMMYFUNCTION("""COMPUTED_VALUE"""),"legacy")</f>
        <v>legacy</v>
      </c>
      <c r="Q770" s="6" t="str">
        <f>IFERROR(__xludf.DUMMYFUNCTION("""COMPUTED_VALUE"""),"fierce")</f>
        <v>fierce</v>
      </c>
      <c r="S770" s="6" t="str">
        <f>IFERROR(__xludf.DUMMYFUNCTION("""COMPUTED_VALUE"""),"following")</f>
        <v>following</v>
      </c>
    </row>
    <row r="771">
      <c r="D771" s="6"/>
      <c r="H771" s="6" t="str">
        <f>IFERROR(__xludf.DUMMYFUNCTION("""COMPUTED_VALUE"""),"yale")</f>
        <v>yale</v>
      </c>
      <c r="I771" s="6" t="str">
        <f>IFERROR(__xludf.DUMMYFUNCTION("""COMPUTED_VALUE"""),"marine")</f>
        <v>marine</v>
      </c>
      <c r="J771" s="6" t="str">
        <f>IFERROR(__xludf.DUMMYFUNCTION("""COMPUTED_VALUE"""),"centuries")</f>
        <v>centuries</v>
      </c>
      <c r="M771" s="6"/>
      <c r="P771" s="6" t="str">
        <f>IFERROR(__xludf.DUMMYFUNCTION("""COMPUTED_VALUE"""),"mixture")</f>
        <v>mixture</v>
      </c>
      <c r="Q771" s="6" t="str">
        <f>IFERROR(__xludf.DUMMYFUNCTION("""COMPUTED_VALUE"""),"dance")</f>
        <v>dance</v>
      </c>
      <c r="S771" s="6" t="str">
        <f>IFERROR(__xludf.DUMMYFUNCTION("""COMPUTED_VALUE"""),"cheese")</f>
        <v>cheese</v>
      </c>
    </row>
    <row r="772">
      <c r="D772" s="6"/>
      <c r="H772" s="6" t="str">
        <f>IFERROR(__xludf.DUMMYFUNCTION("""COMPUTED_VALUE"""),"twisted")</f>
        <v>twisted</v>
      </c>
      <c r="I772" s="6" t="str">
        <f>IFERROR(__xludf.DUMMYFUNCTION("""COMPUTED_VALUE"""),"seat")</f>
        <v>seat</v>
      </c>
      <c r="J772" s="6" t="str">
        <f>IFERROR(__xludf.DUMMYFUNCTION("""COMPUTED_VALUE"""),"spiritual")</f>
        <v>spiritual</v>
      </c>
      <c r="M772" s="6"/>
      <c r="P772" s="6" t="str">
        <f>IFERROR(__xludf.DUMMYFUNCTION("""COMPUTED_VALUE"""),"painted")</f>
        <v>painted</v>
      </c>
      <c r="Q772" s="6" t="str">
        <f>IFERROR(__xludf.DUMMYFUNCTION("""COMPUTED_VALUE"""),"lady")</f>
        <v>lady</v>
      </c>
      <c r="S772" s="6" t="str">
        <f>IFERROR(__xludf.DUMMYFUNCTION("""COMPUTED_VALUE"""),"chosen")</f>
        <v>chosen</v>
      </c>
    </row>
    <row r="773">
      <c r="D773" s="6"/>
      <c r="H773" s="6" t="str">
        <f>IFERROR(__xludf.DUMMYFUNCTION("""COMPUTED_VALUE"""),"friendship")</f>
        <v>friendship</v>
      </c>
      <c r="I773" s="6" t="str">
        <f>IFERROR(__xludf.DUMMYFUNCTION("""COMPUTED_VALUE"""),"strikes")</f>
        <v>strikes</v>
      </c>
      <c r="J773" s="6" t="str">
        <f>IFERROR(__xludf.DUMMYFUNCTION("""COMPUTED_VALUE"""),"studios")</f>
        <v>studios</v>
      </c>
      <c r="M773" s="6"/>
      <c r="P773" s="6" t="str">
        <f>IFERROR(__xludf.DUMMYFUNCTION("""COMPUTED_VALUE"""),"suitable")</f>
        <v>suitable</v>
      </c>
      <c r="Q773" s="6" t="str">
        <f>IFERROR(__xludf.DUMMYFUNCTION("""COMPUTED_VALUE"""),"chinese")</f>
        <v>chinese</v>
      </c>
      <c r="S773" s="6" t="str">
        <f>IFERROR(__xludf.DUMMYFUNCTION("""COMPUTED_VALUE"""),"topic")</f>
        <v>topic</v>
      </c>
    </row>
    <row r="774">
      <c r="D774" s="6"/>
      <c r="H774" s="6" t="str">
        <f>IFERROR(__xludf.DUMMYFUNCTION("""COMPUTED_VALUE"""),"constant")</f>
        <v>constant</v>
      </c>
      <c r="I774" s="6" t="str">
        <f>IFERROR(__xludf.DUMMYFUNCTION("""COMPUTED_VALUE"""),"empire")</f>
        <v>empire</v>
      </c>
      <c r="J774" s="6" t="str">
        <f>IFERROR(__xludf.DUMMYFUNCTION("""COMPUTED_VALUE"""),"laboratory")</f>
        <v>laboratory</v>
      </c>
      <c r="M774" s="6"/>
      <c r="P774" s="6" t="str">
        <f>IFERROR(__xludf.DUMMYFUNCTION("""COMPUTED_VALUE"""),"message")</f>
        <v>message</v>
      </c>
      <c r="Q774" s="6" t="str">
        <f>IFERROR(__xludf.DUMMYFUNCTION("""COMPUTED_VALUE"""),"repetitive")</f>
        <v>repetitive</v>
      </c>
      <c r="S774" s="6" t="str">
        <f>IFERROR(__xludf.DUMMYFUNCTION("""COMPUTED_VALUE"""),"survival")</f>
        <v>survival</v>
      </c>
    </row>
    <row r="775">
      <c r="D775" s="6"/>
      <c r="H775" s="6" t="str">
        <f>IFERROR(__xludf.DUMMYFUNCTION("""COMPUTED_VALUE"""),"identification")</f>
        <v>identification</v>
      </c>
      <c r="I775" s="6" t="str">
        <f>IFERROR(__xludf.DUMMYFUNCTION("""COMPUTED_VALUE"""),"treasure")</f>
        <v>treasure</v>
      </c>
      <c r="J775" s="6" t="str">
        <f>IFERROR(__xludf.DUMMYFUNCTION("""COMPUTED_VALUE"""),"schemes")</f>
        <v>schemes</v>
      </c>
      <c r="M775" s="6"/>
      <c r="P775" s="6" t="str">
        <f>IFERROR(__xludf.DUMMYFUNCTION("""COMPUTED_VALUE"""),"delicate")</f>
        <v>delicate</v>
      </c>
      <c r="Q775" s="6" t="str">
        <f>IFERROR(__xludf.DUMMYFUNCTION("""COMPUTED_VALUE"""),"melancholy")</f>
        <v>melancholy</v>
      </c>
      <c r="S775" s="6" t="str">
        <f>IFERROR(__xludf.DUMMYFUNCTION("""COMPUTED_VALUE"""),"bare")</f>
        <v>bare</v>
      </c>
    </row>
    <row r="776">
      <c r="D776" s="6"/>
      <c r="H776" s="6" t="str">
        <f>IFERROR(__xludf.DUMMYFUNCTION("""COMPUTED_VALUE"""),"built")</f>
        <v>built</v>
      </c>
      <c r="I776" s="6" t="str">
        <f>IFERROR(__xludf.DUMMYFUNCTION("""COMPUTED_VALUE"""),"concern")</f>
        <v>concern</v>
      </c>
      <c r="J776" s="6" t="str">
        <f>IFERROR(__xludf.DUMMYFUNCTION("""COMPUTED_VALUE"""),"critics")</f>
        <v>critics</v>
      </c>
      <c r="M776" s="6"/>
      <c r="P776" s="6" t="str">
        <f>IFERROR(__xludf.DUMMYFUNCTION("""COMPUTED_VALUE"""),"commentary")</f>
        <v>commentary</v>
      </c>
      <c r="Q776" s="6" t="str">
        <f>IFERROR(__xludf.DUMMYFUNCTION("""COMPUTED_VALUE"""),"spell")</f>
        <v>spell</v>
      </c>
      <c r="S776" s="6" t="str">
        <f>IFERROR(__xludf.DUMMYFUNCTION("""COMPUTED_VALUE"""),"victories")</f>
        <v>victories</v>
      </c>
    </row>
    <row r="777">
      <c r="D777" s="6"/>
      <c r="H777" s="6" t="str">
        <f>IFERROR(__xludf.DUMMYFUNCTION("""COMPUTED_VALUE"""),"retaining")</f>
        <v>retaining</v>
      </c>
      <c r="I777" s="6" t="str">
        <f>IFERROR(__xludf.DUMMYFUNCTION("""COMPUTED_VALUE"""),"bear")</f>
        <v>bear</v>
      </c>
      <c r="J777" s="6" t="str">
        <f>IFERROR(__xludf.DUMMYFUNCTION("""COMPUTED_VALUE"""),"paints")</f>
        <v>paints</v>
      </c>
      <c r="M777" s="6"/>
      <c r="P777" s="6" t="str">
        <f>IFERROR(__xludf.DUMMYFUNCTION("""COMPUTED_VALUE"""),"innovation")</f>
        <v>innovation</v>
      </c>
      <c r="Q777" s="6" t="str">
        <f>IFERROR(__xludf.DUMMYFUNCTION("""COMPUTED_VALUE"""),"previous")</f>
        <v>previous</v>
      </c>
      <c r="S777" s="6" t="str">
        <f>IFERROR(__xludf.DUMMYFUNCTION("""COMPUTED_VALUE"""),"class")</f>
        <v>class</v>
      </c>
    </row>
    <row r="778">
      <c r="D778" s="6"/>
      <c r="H778" s="6" t="str">
        <f>IFERROR(__xludf.DUMMYFUNCTION("""COMPUTED_VALUE"""),"mainstream")</f>
        <v>mainstream</v>
      </c>
      <c r="I778" s="6" t="str">
        <f>IFERROR(__xludf.DUMMYFUNCTION("""COMPUTED_VALUE"""),"advantage")</f>
        <v>advantage</v>
      </c>
      <c r="J778" s="6" t="str">
        <f>IFERROR(__xludf.DUMMYFUNCTION("""COMPUTED_VALUE"""),"clarity")</f>
        <v>clarity</v>
      </c>
      <c r="M778" s="6"/>
      <c r="P778" s="6" t="str">
        <f>IFERROR(__xludf.DUMMYFUNCTION("""COMPUTED_VALUE"""),"violent")</f>
        <v>violent</v>
      </c>
      <c r="Q778" s="6" t="str">
        <f>IFERROR(__xludf.DUMMYFUNCTION("""COMPUTED_VALUE"""),"fallen")</f>
        <v>fallen</v>
      </c>
      <c r="S778" s="6" t="str">
        <f>IFERROR(__xludf.DUMMYFUNCTION("""COMPUTED_VALUE"""),"routine")</f>
        <v>routine</v>
      </c>
    </row>
    <row r="779">
      <c r="D779" s="6"/>
      <c r="H779" s="6" t="str">
        <f>IFERROR(__xludf.DUMMYFUNCTION("""COMPUTED_VALUE"""),"menacing")</f>
        <v>menacing</v>
      </c>
      <c r="I779" s="6" t="str">
        <f>IFERROR(__xludf.DUMMYFUNCTION("""COMPUTED_VALUE"""),"happens")</f>
        <v>happens</v>
      </c>
      <c r="J779" s="6" t="str">
        <f>IFERROR(__xludf.DUMMYFUNCTION("""COMPUTED_VALUE"""),"chuckle")</f>
        <v>chuckle</v>
      </c>
      <c r="M779" s="6"/>
      <c r="P779" s="6" t="str">
        <f>IFERROR(__xludf.DUMMYFUNCTION("""COMPUTED_VALUE"""),"mill")</f>
        <v>mill</v>
      </c>
      <c r="Q779" s="6" t="str">
        <f>IFERROR(__xludf.DUMMYFUNCTION("""COMPUTED_VALUE"""),"brutally")</f>
        <v>brutally</v>
      </c>
      <c r="S779" s="6" t="str">
        <f>IFERROR(__xludf.DUMMYFUNCTION("""COMPUTED_VALUE"""),"race")</f>
        <v>race</v>
      </c>
    </row>
    <row r="780">
      <c r="D780" s="6"/>
      <c r="H780" s="6" t="str">
        <f>IFERROR(__xludf.DUMMYFUNCTION("""COMPUTED_VALUE"""),"gangs")</f>
        <v>gangs</v>
      </c>
      <c r="I780" s="6" t="str">
        <f>IFERROR(__xludf.DUMMYFUNCTION("""COMPUTED_VALUE"""),"campus")</f>
        <v>campus</v>
      </c>
      <c r="J780" s="6" t="str">
        <f>IFERROR(__xludf.DUMMYFUNCTION("""COMPUTED_VALUE"""),"deliberate")</f>
        <v>deliberate</v>
      </c>
      <c r="M780" s="6"/>
      <c r="P780" s="6" t="str">
        <f>IFERROR(__xludf.DUMMYFUNCTION("""COMPUTED_VALUE"""),"somewhat")</f>
        <v>somewhat</v>
      </c>
      <c r="Q780" s="6" t="str">
        <f>IFERROR(__xludf.DUMMYFUNCTION("""COMPUTED_VALUE"""),"tolerate")</f>
        <v>tolerate</v>
      </c>
      <c r="S780" s="6" t="str">
        <f>IFERROR(__xludf.DUMMYFUNCTION("""COMPUTED_VALUE"""),"cheap")</f>
        <v>cheap</v>
      </c>
    </row>
    <row r="781">
      <c r="D781" s="6"/>
      <c r="H781" s="6" t="str">
        <f>IFERROR(__xludf.DUMMYFUNCTION("""COMPUTED_VALUE"""),"got")</f>
        <v>got</v>
      </c>
      <c r="I781" s="6" t="str">
        <f>IFERROR(__xludf.DUMMYFUNCTION("""COMPUTED_VALUE"""),"conduct")</f>
        <v>conduct</v>
      </c>
      <c r="J781" s="6" t="str">
        <f>IFERROR(__xludf.DUMMYFUNCTION("""COMPUTED_VALUE"""),"uhf")</f>
        <v>uhf</v>
      </c>
      <c r="M781" s="6"/>
      <c r="P781" s="6" t="str">
        <f>IFERROR(__xludf.DUMMYFUNCTION("""COMPUTED_VALUE"""),"allen")</f>
        <v>allen</v>
      </c>
      <c r="Q781" s="6" t="str">
        <f>IFERROR(__xludf.DUMMYFUNCTION("""COMPUTED_VALUE"""),"baroque")</f>
        <v>baroque</v>
      </c>
      <c r="S781" s="6" t="str">
        <f>IFERROR(__xludf.DUMMYFUNCTION("""COMPUTED_VALUE"""),"wanted")</f>
        <v>wanted</v>
      </c>
    </row>
    <row r="782">
      <c r="D782" s="6"/>
      <c r="H782" s="6" t="str">
        <f>IFERROR(__xludf.DUMMYFUNCTION("""COMPUTED_VALUE"""),"creates")</f>
        <v>creates</v>
      </c>
      <c r="I782" s="6" t="str">
        <f>IFERROR(__xludf.DUMMYFUNCTION("""COMPUTED_VALUE"""),"kiss")</f>
        <v>kiss</v>
      </c>
      <c r="J782" s="6" t="str">
        <f>IFERROR(__xludf.DUMMYFUNCTION("""COMPUTED_VALUE"""),"maneuvers")</f>
        <v>maneuvers</v>
      </c>
      <c r="M782" s="6"/>
      <c r="P782" s="6" t="str">
        <f>IFERROR(__xludf.DUMMYFUNCTION("""COMPUTED_VALUE"""),"breathe")</f>
        <v>breathe</v>
      </c>
      <c r="Q782" s="6" t="str">
        <f>IFERROR(__xludf.DUMMYFUNCTION("""COMPUTED_VALUE"""),"breadth")</f>
        <v>breadth</v>
      </c>
      <c r="S782" s="6" t="str">
        <f>IFERROR(__xludf.DUMMYFUNCTION("""COMPUTED_VALUE"""),"vs")</f>
        <v>vs</v>
      </c>
    </row>
    <row r="783">
      <c r="D783" s="6"/>
      <c r="H783" s="6" t="str">
        <f>IFERROR(__xludf.DUMMYFUNCTION("""COMPUTED_VALUE"""),"demonstrating")</f>
        <v>demonstrating</v>
      </c>
      <c r="I783" s="6" t="str">
        <f>IFERROR(__xludf.DUMMYFUNCTION("""COMPUTED_VALUE"""),"alabama")</f>
        <v>alabama</v>
      </c>
      <c r="J783" s="6" t="str">
        <f>IFERROR(__xludf.DUMMYFUNCTION("""COMPUTED_VALUE"""),"twists")</f>
        <v>twists</v>
      </c>
      <c r="M783" s="6"/>
      <c r="P783" s="6" t="str">
        <f>IFERROR(__xludf.DUMMYFUNCTION("""COMPUTED_VALUE"""),"went")</f>
        <v>went</v>
      </c>
      <c r="Q783" s="6" t="str">
        <f>IFERROR(__xludf.DUMMYFUNCTION("""COMPUTED_VALUE"""),"hardship")</f>
        <v>hardship</v>
      </c>
      <c r="S783" s="6" t="str">
        <f>IFERROR(__xludf.DUMMYFUNCTION("""COMPUTED_VALUE"""),"round")</f>
        <v>round</v>
      </c>
    </row>
    <row r="784">
      <c r="D784" s="6"/>
      <c r="H784" s="6" t="str">
        <f>IFERROR(__xludf.DUMMYFUNCTION("""COMPUTED_VALUE"""),"encouraging")</f>
        <v>encouraging</v>
      </c>
      <c r="I784" s="6" t="str">
        <f>IFERROR(__xludf.DUMMYFUNCTION("""COMPUTED_VALUE"""),"blonde")</f>
        <v>blonde</v>
      </c>
      <c r="J784" s="6" t="str">
        <f>IFERROR(__xludf.DUMMYFUNCTION("""COMPUTED_VALUE"""),"committed")</f>
        <v>committed</v>
      </c>
      <c r="M784" s="6"/>
      <c r="P784" s="6" t="str">
        <f>IFERROR(__xludf.DUMMYFUNCTION("""COMPUTED_VALUE"""),"straight")</f>
        <v>straight</v>
      </c>
      <c r="Q784" s="6" t="str">
        <f>IFERROR(__xludf.DUMMYFUNCTION("""COMPUTED_VALUE"""),"poverty")</f>
        <v>poverty</v>
      </c>
      <c r="S784" s="6" t="str">
        <f>IFERROR(__xludf.DUMMYFUNCTION("""COMPUTED_VALUE"""),"japanese")</f>
        <v>japanese</v>
      </c>
    </row>
    <row r="785">
      <c r="D785" s="6"/>
      <c r="H785" s="6" t="str">
        <f>IFERROR(__xludf.DUMMYFUNCTION("""COMPUTED_VALUE"""),"note")</f>
        <v>note</v>
      </c>
      <c r="I785" s="6" t="str">
        <f>IFERROR(__xludf.DUMMYFUNCTION("""COMPUTED_VALUE"""),"producer")</f>
        <v>producer</v>
      </c>
      <c r="J785" s="6" t="str">
        <f>IFERROR(__xludf.DUMMYFUNCTION("""COMPUTED_VALUE"""),"commanding")</f>
        <v>commanding</v>
      </c>
      <c r="M785" s="6"/>
      <c r="P785" s="6" t="str">
        <f>IFERROR(__xludf.DUMMYFUNCTION("""COMPUTED_VALUE"""),"light")</f>
        <v>light</v>
      </c>
      <c r="Q785" s="6" t="str">
        <f>IFERROR(__xludf.DUMMYFUNCTION("""COMPUTED_VALUE"""),"protagonists")</f>
        <v>protagonists</v>
      </c>
      <c r="S785" s="6" t="str">
        <f>IFERROR(__xludf.DUMMYFUNCTION("""COMPUTED_VALUE"""),"saturday")</f>
        <v>saturday</v>
      </c>
    </row>
    <row r="786">
      <c r="D786" s="6"/>
      <c r="H786" s="6" t="str">
        <f>IFERROR(__xludf.DUMMYFUNCTION("""COMPUTED_VALUE"""),"friend")</f>
        <v>friend</v>
      </c>
      <c r="I786" s="6" t="str">
        <f>IFERROR(__xludf.DUMMYFUNCTION("""COMPUTED_VALUE"""),"impact")</f>
        <v>impact</v>
      </c>
      <c r="J786" s="6" t="str">
        <f>IFERROR(__xludf.DUMMYFUNCTION("""COMPUTED_VALUE"""),"comprehension")</f>
        <v>comprehension</v>
      </c>
      <c r="M786" s="6"/>
      <c r="P786" s="6" t="str">
        <f>IFERROR(__xludf.DUMMYFUNCTION("""COMPUTED_VALUE"""),"li")</f>
        <v>li</v>
      </c>
      <c r="Q786" s="6" t="str">
        <f>IFERROR(__xludf.DUMMYFUNCTION("""COMPUTED_VALUE"""),"shoot")</f>
        <v>shoot</v>
      </c>
      <c r="S786" s="6" t="str">
        <f>IFERROR(__xludf.DUMMYFUNCTION("""COMPUTED_VALUE"""),"begins")</f>
        <v>begins</v>
      </c>
    </row>
    <row r="787">
      <c r="D787" s="6"/>
      <c r="H787" s="6" t="str">
        <f>IFERROR(__xludf.DUMMYFUNCTION("""COMPUTED_VALUE"""),"dickens")</f>
        <v>dickens</v>
      </c>
      <c r="I787" s="6" t="str">
        <f>IFERROR(__xludf.DUMMYFUNCTION("""COMPUTED_VALUE"""),"tales")</f>
        <v>tales</v>
      </c>
      <c r="J787" s="6" t="str">
        <f>IFERROR(__xludf.DUMMYFUNCTION("""COMPUTED_VALUE"""),"dazzling")</f>
        <v>dazzling</v>
      </c>
      <c r="M787" s="6"/>
      <c r="P787" s="6" t="str">
        <f>IFERROR(__xludf.DUMMYFUNCTION("""COMPUTED_VALUE"""),"moore")</f>
        <v>moore</v>
      </c>
      <c r="Q787" s="6" t="str">
        <f>IFERROR(__xludf.DUMMYFUNCTION("""COMPUTED_VALUE"""),"remarkably")</f>
        <v>remarkably</v>
      </c>
      <c r="S787" s="6">
        <f>IFERROR(__xludf.DUMMYFUNCTION("""COMPUTED_VALUE"""),140.0)</f>
        <v>140</v>
      </c>
    </row>
    <row r="788">
      <c r="D788" s="6"/>
      <c r="H788" s="6" t="str">
        <f>IFERROR(__xludf.DUMMYFUNCTION("""COMPUTED_VALUE"""),"expresses")</f>
        <v>expresses</v>
      </c>
      <c r="I788" s="6" t="str">
        <f>IFERROR(__xludf.DUMMYFUNCTION("""COMPUTED_VALUE"""),"deaths")</f>
        <v>deaths</v>
      </c>
      <c r="J788" s="6" t="str">
        <f>IFERROR(__xludf.DUMMYFUNCTION("""COMPUTED_VALUE"""),"fabricated")</f>
        <v>fabricated</v>
      </c>
      <c r="M788" s="6"/>
      <c r="P788" s="6" t="str">
        <f>IFERROR(__xludf.DUMMYFUNCTION("""COMPUTED_VALUE"""),"starting")</f>
        <v>starting</v>
      </c>
      <c r="Q788" s="6" t="str">
        <f>IFERROR(__xludf.DUMMYFUNCTION("""COMPUTED_VALUE"""),"insistent")</f>
        <v>insistent</v>
      </c>
      <c r="S788" s="6" t="str">
        <f>IFERROR(__xludf.DUMMYFUNCTION("""COMPUTED_VALUE"""),"finds")</f>
        <v>finds</v>
      </c>
    </row>
    <row r="789">
      <c r="D789" s="6"/>
      <c r="H789" s="6" t="str">
        <f>IFERROR(__xludf.DUMMYFUNCTION("""COMPUTED_VALUE"""),"evergreen")</f>
        <v>evergreen</v>
      </c>
      <c r="I789" s="6" t="str">
        <f>IFERROR(__xludf.DUMMYFUNCTION("""COMPUTED_VALUE"""),"cannon")</f>
        <v>cannon</v>
      </c>
      <c r="J789" s="6" t="str">
        <f>IFERROR(__xludf.DUMMYFUNCTION("""COMPUTED_VALUE"""),"dismissed")</f>
        <v>dismissed</v>
      </c>
      <c r="M789" s="6"/>
      <c r="P789" s="6" t="str">
        <f>IFERROR(__xludf.DUMMYFUNCTION("""COMPUTED_VALUE"""),"rank")</f>
        <v>rank</v>
      </c>
      <c r="Q789" s="6" t="str">
        <f>IFERROR(__xludf.DUMMYFUNCTION("""COMPUTED_VALUE"""),"survival")</f>
        <v>survival</v>
      </c>
      <c r="S789" s="6" t="str">
        <f>IFERROR(__xludf.DUMMYFUNCTION("""COMPUTED_VALUE"""),"nicholas")</f>
        <v>nicholas</v>
      </c>
    </row>
    <row r="790">
      <c r="D790" s="6"/>
      <c r="H790" s="6" t="str">
        <f>IFERROR(__xludf.DUMMYFUNCTION("""COMPUTED_VALUE"""),"inactive")</f>
        <v>inactive</v>
      </c>
      <c r="I790" s="6" t="str">
        <f>IFERROR(__xludf.DUMMYFUNCTION("""COMPUTED_VALUE"""),"refugees")</f>
        <v>refugees</v>
      </c>
      <c r="J790" s="6" t="str">
        <f>IFERROR(__xludf.DUMMYFUNCTION("""COMPUTED_VALUE"""),"forced")</f>
        <v>forced</v>
      </c>
      <c r="M790" s="6"/>
      <c r="P790" s="6" t="str">
        <f>IFERROR(__xludf.DUMMYFUNCTION("""COMPUTED_VALUE"""),"belongs")</f>
        <v>belongs</v>
      </c>
      <c r="Q790" s="6" t="str">
        <f>IFERROR(__xludf.DUMMYFUNCTION("""COMPUTED_VALUE"""),"coherent")</f>
        <v>coherent</v>
      </c>
      <c r="S790" s="6" t="str">
        <f>IFERROR(__xludf.DUMMYFUNCTION("""COMPUTED_VALUE"""),"pack")</f>
        <v>pack</v>
      </c>
    </row>
    <row r="791">
      <c r="D791" s="6"/>
      <c r="H791" s="6" t="str">
        <f>IFERROR(__xludf.DUMMYFUNCTION("""COMPUTED_VALUE"""),"markedly")</f>
        <v>markedly</v>
      </c>
      <c r="I791" s="6" t="str">
        <f>IFERROR(__xludf.DUMMYFUNCTION("""COMPUTED_VALUE"""),"alien")</f>
        <v>alien</v>
      </c>
      <c r="J791" s="6" t="str">
        <f>IFERROR(__xludf.DUMMYFUNCTION("""COMPUTED_VALUE"""),"schmidt")</f>
        <v>schmidt</v>
      </c>
      <c r="M791" s="6"/>
      <c r="P791" s="6" t="str">
        <f>IFERROR(__xludf.DUMMYFUNCTION("""COMPUTED_VALUE"""),"jacques")</f>
        <v>jacques</v>
      </c>
      <c r="Q791" s="6" t="str">
        <f>IFERROR(__xludf.DUMMYFUNCTION("""COMPUTED_VALUE"""),"victories")</f>
        <v>victories</v>
      </c>
      <c r="S791" s="6" t="str">
        <f>IFERROR(__xludf.DUMMYFUNCTION("""COMPUTED_VALUE"""),"dogs")</f>
        <v>dogs</v>
      </c>
    </row>
    <row r="792">
      <c r="D792" s="6"/>
      <c r="H792" s="6" t="str">
        <f>IFERROR(__xludf.DUMMYFUNCTION("""COMPUTED_VALUE"""),"memorable")</f>
        <v>memorable</v>
      </c>
      <c r="I792" s="6" t="str">
        <f>IFERROR(__xludf.DUMMYFUNCTION("""COMPUTED_VALUE"""),"careful")</f>
        <v>careful</v>
      </c>
      <c r="J792" s="6" t="str">
        <f>IFERROR(__xludf.DUMMYFUNCTION("""COMPUTED_VALUE"""),"payne")</f>
        <v>payne</v>
      </c>
      <c r="M792" s="6"/>
      <c r="P792" s="6" t="str">
        <f>IFERROR(__xludf.DUMMYFUNCTION("""COMPUTED_VALUE"""),"pitch")</f>
        <v>pitch</v>
      </c>
      <c r="Q792" s="6" t="str">
        <f>IFERROR(__xludf.DUMMYFUNCTION("""COMPUTED_VALUE"""),"bizarre")</f>
        <v>bizarre</v>
      </c>
      <c r="S792" s="6" t="str">
        <f>IFERROR(__xludf.DUMMYFUNCTION("""COMPUTED_VALUE"""),"couple")</f>
        <v>couple</v>
      </c>
    </row>
    <row r="793">
      <c r="D793" s="6"/>
      <c r="H793" s="6" t="str">
        <f>IFERROR(__xludf.DUMMYFUNCTION("""COMPUTED_VALUE"""),"affected")</f>
        <v>affected</v>
      </c>
      <c r="I793" s="6" t="str">
        <f>IFERROR(__xludf.DUMMYFUNCTION("""COMPUTED_VALUE"""),"varying")</f>
        <v>varying</v>
      </c>
      <c r="J793" s="6" t="str">
        <f>IFERROR(__xludf.DUMMYFUNCTION("""COMPUTED_VALUE"""),"uneasy")</f>
        <v>uneasy</v>
      </c>
      <c r="M793" s="6"/>
      <c r="P793" s="6" t="str">
        <f>IFERROR(__xludf.DUMMYFUNCTION("""COMPUTED_VALUE"""),"bonds")</f>
        <v>bonds</v>
      </c>
      <c r="Q793" s="6" t="str">
        <f>IFERROR(__xludf.DUMMYFUNCTION("""COMPUTED_VALUE"""),"dynamics")</f>
        <v>dynamics</v>
      </c>
      <c r="S793" s="6" t="str">
        <f>IFERROR(__xludf.DUMMYFUNCTION("""COMPUTED_VALUE"""),"stuck")</f>
        <v>stuck</v>
      </c>
    </row>
    <row r="794">
      <c r="D794" s="6"/>
      <c r="H794" s="6" t="str">
        <f>IFERROR(__xludf.DUMMYFUNCTION("""COMPUTED_VALUE"""),"hurley")</f>
        <v>hurley</v>
      </c>
      <c r="I794" s="6" t="str">
        <f>IFERROR(__xludf.DUMMYFUNCTION("""COMPUTED_VALUE"""),"carries")</f>
        <v>carries</v>
      </c>
      <c r="J794" s="6" t="str">
        <f>IFERROR(__xludf.DUMMYFUNCTION("""COMPUTED_VALUE"""),"indifference")</f>
        <v>indifference</v>
      </c>
      <c r="M794" s="6"/>
      <c r="P794" s="6" t="str">
        <f>IFERROR(__xludf.DUMMYFUNCTION("""COMPUTED_VALUE"""),"barely")</f>
        <v>barely</v>
      </c>
      <c r="Q794" s="6" t="str">
        <f>IFERROR(__xludf.DUMMYFUNCTION("""COMPUTED_VALUE"""),"class")</f>
        <v>class</v>
      </c>
      <c r="S794" s="6" t="str">
        <f>IFERROR(__xludf.DUMMYFUNCTION("""COMPUTED_VALUE"""),"variety")</f>
        <v>variety</v>
      </c>
    </row>
    <row r="795">
      <c r="D795" s="6"/>
      <c r="H795" s="6" t="str">
        <f>IFERROR(__xludf.DUMMYFUNCTION("""COMPUTED_VALUE"""),"carol")</f>
        <v>carol</v>
      </c>
      <c r="I795" s="6" t="str">
        <f>IFERROR(__xludf.DUMMYFUNCTION("""COMPUTED_VALUE"""),"oliver")</f>
        <v>oliver</v>
      </c>
      <c r="J795" s="6" t="str">
        <f>IFERROR(__xludf.DUMMYFUNCTION("""COMPUTED_VALUE"""),"revolution")</f>
        <v>revolution</v>
      </c>
      <c r="M795" s="6"/>
      <c r="P795" s="6" t="str">
        <f>IFERROR(__xludf.DUMMYFUNCTION("""COMPUTED_VALUE"""),"governments")</f>
        <v>governments</v>
      </c>
      <c r="Q795" s="6" t="str">
        <f>IFERROR(__xludf.DUMMYFUNCTION("""COMPUTED_VALUE"""),"cheap")</f>
        <v>cheap</v>
      </c>
      <c r="S795" s="6" t="str">
        <f>IFERROR(__xludf.DUMMYFUNCTION("""COMPUTED_VALUE"""),"host")</f>
        <v>host</v>
      </c>
    </row>
    <row r="796">
      <c r="D796" s="6"/>
      <c r="H796" s="6" t="str">
        <f>IFERROR(__xludf.DUMMYFUNCTION("""COMPUTED_VALUE"""),"reassuring")</f>
        <v>reassuring</v>
      </c>
      <c r="I796" s="6" t="str">
        <f>IFERROR(__xludf.DUMMYFUNCTION("""COMPUTED_VALUE"""),"lens")</f>
        <v>lens</v>
      </c>
      <c r="J796" s="6" t="str">
        <f>IFERROR(__xludf.DUMMYFUNCTION("""COMPUTED_VALUE"""),"precisely")</f>
        <v>precisely</v>
      </c>
      <c r="M796" s="6"/>
      <c r="P796" s="6" t="str">
        <f>IFERROR(__xludf.DUMMYFUNCTION("""COMPUTED_VALUE"""),"reconstruction")</f>
        <v>reconstruction</v>
      </c>
      <c r="Q796" s="6" t="str">
        <f>IFERROR(__xludf.DUMMYFUNCTION("""COMPUTED_VALUE"""),"saturday")</f>
        <v>saturday</v>
      </c>
      <c r="S796" s="6" t="str">
        <f>IFERROR(__xludf.DUMMYFUNCTION("""COMPUTED_VALUE"""),"marked")</f>
        <v>marked</v>
      </c>
    </row>
    <row r="797">
      <c r="D797" s="6"/>
      <c r="H797" s="6" t="str">
        <f>IFERROR(__xludf.DUMMYFUNCTION("""COMPUTED_VALUE"""),"intricate")</f>
        <v>intricate</v>
      </c>
      <c r="I797" s="6" t="str">
        <f>IFERROR(__xludf.DUMMYFUNCTION("""COMPUTED_VALUE"""),"exposition")</f>
        <v>exposition</v>
      </c>
      <c r="J797" s="6" t="str">
        <f>IFERROR(__xludf.DUMMYFUNCTION("""COMPUTED_VALUE"""),"gear")</f>
        <v>gear</v>
      </c>
      <c r="M797" s="6"/>
      <c r="P797" s="6" t="str">
        <f>IFERROR(__xludf.DUMMYFUNCTION("""COMPUTED_VALUE"""),"fight")</f>
        <v>fight</v>
      </c>
      <c r="Q797" s="6" t="str">
        <f>IFERROR(__xludf.DUMMYFUNCTION("""COMPUTED_VALUE"""),"nicholas")</f>
        <v>nicholas</v>
      </c>
      <c r="S797" s="6" t="str">
        <f>IFERROR(__xludf.DUMMYFUNCTION("""COMPUTED_VALUE"""),"liberation")</f>
        <v>liberation</v>
      </c>
    </row>
    <row r="798">
      <c r="D798" s="6"/>
      <c r="H798" s="6" t="str">
        <f>IFERROR(__xludf.DUMMYFUNCTION("""COMPUTED_VALUE"""),"crimes")</f>
        <v>crimes</v>
      </c>
      <c r="I798" s="6" t="str">
        <f>IFERROR(__xludf.DUMMYFUNCTION("""COMPUTED_VALUE"""),"losing")</f>
        <v>losing</v>
      </c>
      <c r="J798" s="6" t="str">
        <f>IFERROR(__xludf.DUMMYFUNCTION("""COMPUTED_VALUE"""),"loneliness")</f>
        <v>loneliness</v>
      </c>
      <c r="M798" s="6"/>
      <c r="P798" s="6" t="str">
        <f>IFERROR(__xludf.DUMMYFUNCTION("""COMPUTED_VALUE"""),"god")</f>
        <v>god</v>
      </c>
      <c r="Q798" s="6" t="str">
        <f>IFERROR(__xludf.DUMMYFUNCTION("""COMPUTED_VALUE"""),"optimistic")</f>
        <v>optimistic</v>
      </c>
      <c r="S798" s="6" t="str">
        <f>IFERROR(__xludf.DUMMYFUNCTION("""COMPUTED_VALUE"""),"selection")</f>
        <v>selection</v>
      </c>
    </row>
    <row r="799">
      <c r="D799" s="6"/>
      <c r="H799" s="6" t="str">
        <f>IFERROR(__xludf.DUMMYFUNCTION("""COMPUTED_VALUE"""),"20th")</f>
        <v>20th</v>
      </c>
      <c r="I799" s="6" t="str">
        <f>IFERROR(__xludf.DUMMYFUNCTION("""COMPUTED_VALUE"""),"chemistry")</f>
        <v>chemistry</v>
      </c>
      <c r="J799" s="6" t="str">
        <f>IFERROR(__xludf.DUMMYFUNCTION("""COMPUTED_VALUE"""),"notwithstanding")</f>
        <v>notwithstanding</v>
      </c>
      <c r="M799" s="6"/>
      <c r="P799" s="6" t="str">
        <f>IFERROR(__xludf.DUMMYFUNCTION("""COMPUTED_VALUE"""),"memorial")</f>
        <v>memorial</v>
      </c>
      <c r="Q799" s="6" t="str">
        <f>IFERROR(__xludf.DUMMYFUNCTION("""COMPUTED_VALUE"""),"finds")</f>
        <v>finds</v>
      </c>
      <c r="S799" s="6" t="str">
        <f>IFERROR(__xludf.DUMMYFUNCTION("""COMPUTED_VALUE"""),"impression")</f>
        <v>impression</v>
      </c>
    </row>
    <row r="800">
      <c r="D800" s="6"/>
      <c r="H800" s="6" t="str">
        <f>IFERROR(__xludf.DUMMYFUNCTION("""COMPUTED_VALUE"""),"france")</f>
        <v>france</v>
      </c>
      <c r="I800" s="6" t="str">
        <f>IFERROR(__xludf.DUMMYFUNCTION("""COMPUTED_VALUE"""),"gibson")</f>
        <v>gibson</v>
      </c>
      <c r="J800" s="6" t="str">
        <f>IFERROR(__xludf.DUMMYFUNCTION("""COMPUTED_VALUE"""),"inspirational")</f>
        <v>inspirational</v>
      </c>
      <c r="M800" s="6"/>
      <c r="P800" s="6" t="str">
        <f>IFERROR(__xludf.DUMMYFUNCTION("""COMPUTED_VALUE"""),"episode")</f>
        <v>episode</v>
      </c>
      <c r="Q800" s="6" t="str">
        <f>IFERROR(__xludf.DUMMYFUNCTION("""COMPUTED_VALUE"""),"smarter")</f>
        <v>smarter</v>
      </c>
      <c r="S800" s="6" t="str">
        <f>IFERROR(__xludf.DUMMYFUNCTION("""COMPUTED_VALUE"""),"stand")</f>
        <v>stand</v>
      </c>
    </row>
    <row r="801">
      <c r="D801" s="6"/>
      <c r="H801" s="6" t="str">
        <f>IFERROR(__xludf.DUMMYFUNCTION("""COMPUTED_VALUE"""),"destined")</f>
        <v>destined</v>
      </c>
      <c r="I801" s="6" t="str">
        <f>IFERROR(__xludf.DUMMYFUNCTION("""COMPUTED_VALUE"""),"control")</f>
        <v>control</v>
      </c>
      <c r="J801" s="6" t="str">
        <f>IFERROR(__xludf.DUMMYFUNCTION("""COMPUTED_VALUE"""),"pat")</f>
        <v>pat</v>
      </c>
      <c r="M801" s="6"/>
      <c r="P801" s="6" t="str">
        <f>IFERROR(__xludf.DUMMYFUNCTION("""COMPUTED_VALUE"""),"artificial")</f>
        <v>artificial</v>
      </c>
      <c r="Q801" s="6" t="str">
        <f>IFERROR(__xludf.DUMMYFUNCTION("""COMPUTED_VALUE"""),"pack")</f>
        <v>pack</v>
      </c>
      <c r="S801" s="6" t="str">
        <f>IFERROR(__xludf.DUMMYFUNCTION("""COMPUTED_VALUE"""),"childhood")</f>
        <v>childhood</v>
      </c>
    </row>
    <row r="802">
      <c r="D802" s="6"/>
      <c r="H802" s="6" t="str">
        <f>IFERROR(__xludf.DUMMYFUNCTION("""COMPUTED_VALUE"""),"griffith")</f>
        <v>griffith</v>
      </c>
      <c r="I802" s="6" t="str">
        <f>IFERROR(__xludf.DUMMYFUNCTION("""COMPUTED_VALUE"""),"wrestling")</f>
        <v>wrestling</v>
      </c>
      <c r="J802" s="6" t="str">
        <f>IFERROR(__xludf.DUMMYFUNCTION("""COMPUTED_VALUE"""),"jerking")</f>
        <v>jerking</v>
      </c>
      <c r="M802" s="6"/>
      <c r="P802" s="6" t="str">
        <f>IFERROR(__xludf.DUMMYFUNCTION("""COMPUTED_VALUE"""),"pair")</f>
        <v>pair</v>
      </c>
      <c r="Q802" s="6" t="str">
        <f>IFERROR(__xludf.DUMMYFUNCTION("""COMPUTED_VALUE"""),"couple")</f>
        <v>couple</v>
      </c>
      <c r="S802" s="6" t="str">
        <f>IFERROR(__xludf.DUMMYFUNCTION("""COMPUTED_VALUE"""),"perfectly")</f>
        <v>perfectly</v>
      </c>
    </row>
    <row r="803">
      <c r="D803" s="6"/>
      <c r="H803" s="6" t="str">
        <f>IFERROR(__xludf.DUMMYFUNCTION("""COMPUTED_VALUE"""),"misses")</f>
        <v>misses</v>
      </c>
      <c r="I803" s="6" t="str">
        <f>IFERROR(__xludf.DUMMYFUNCTION("""COMPUTED_VALUE"""),"edward")</f>
        <v>edward</v>
      </c>
      <c r="J803" s="6" t="str">
        <f>IFERROR(__xludf.DUMMYFUNCTION("""COMPUTED_VALUE"""),"dubbed")</f>
        <v>dubbed</v>
      </c>
      <c r="M803" s="6"/>
      <c r="P803" s="6" t="str">
        <f>IFERROR(__xludf.DUMMYFUNCTION("""COMPUTED_VALUE"""),"demons")</f>
        <v>demons</v>
      </c>
      <c r="Q803" s="6" t="str">
        <f>IFERROR(__xludf.DUMMYFUNCTION("""COMPUTED_VALUE"""),"against")</f>
        <v>against</v>
      </c>
      <c r="S803" s="6" t="str">
        <f>IFERROR(__xludf.DUMMYFUNCTION("""COMPUTED_VALUE"""),"writer")</f>
        <v>writer</v>
      </c>
    </row>
    <row r="804">
      <c r="D804" s="6"/>
      <c r="H804" s="6" t="str">
        <f>IFERROR(__xludf.DUMMYFUNCTION("""COMPUTED_VALUE"""),"employs")</f>
        <v>employs</v>
      </c>
      <c r="I804" s="6" t="str">
        <f>IFERROR(__xludf.DUMMYFUNCTION("""COMPUTED_VALUE"""),"shining")</f>
        <v>shining</v>
      </c>
      <c r="J804" s="6" t="str">
        <f>IFERROR(__xludf.DUMMYFUNCTION("""COMPUTED_VALUE"""),"turkey")</f>
        <v>turkey</v>
      </c>
      <c r="M804" s="6"/>
      <c r="P804" s="6" t="str">
        <f>IFERROR(__xludf.DUMMYFUNCTION("""COMPUTED_VALUE"""),"blank")</f>
        <v>blank</v>
      </c>
      <c r="Q804" s="6" t="str">
        <f>IFERROR(__xludf.DUMMYFUNCTION("""COMPUTED_VALUE"""),"behold")</f>
        <v>behold</v>
      </c>
      <c r="S804" s="6" t="str">
        <f>IFERROR(__xludf.DUMMYFUNCTION("""COMPUTED_VALUE"""),"michael")</f>
        <v>michael</v>
      </c>
    </row>
    <row r="805">
      <c r="D805" s="6"/>
      <c r="H805" s="6" t="str">
        <f>IFERROR(__xludf.DUMMYFUNCTION("""COMPUTED_VALUE"""),"strangely")</f>
        <v>strangely</v>
      </c>
      <c r="I805" s="6" t="str">
        <f>IFERROR(__xludf.DUMMYFUNCTION("""COMPUTED_VALUE"""),"drawing")</f>
        <v>drawing</v>
      </c>
      <c r="J805" s="6" t="str">
        <f>IFERROR(__xludf.DUMMYFUNCTION("""COMPUTED_VALUE"""),"documented")</f>
        <v>documented</v>
      </c>
      <c r="M805" s="6"/>
      <c r="P805" s="6" t="str">
        <f>IFERROR(__xludf.DUMMYFUNCTION("""COMPUTED_VALUE"""),"faces")</f>
        <v>faces</v>
      </c>
      <c r="Q805" s="6" t="str">
        <f>IFERROR(__xludf.DUMMYFUNCTION("""COMPUTED_VALUE"""),"permits")</f>
        <v>permits</v>
      </c>
      <c r="S805" s="6" t="str">
        <f>IFERROR(__xludf.DUMMYFUNCTION("""COMPUTED_VALUE"""),"moved")</f>
        <v>moved</v>
      </c>
    </row>
    <row r="806">
      <c r="D806" s="6"/>
      <c r="H806" s="6" t="str">
        <f>IFERROR(__xludf.DUMMYFUNCTION("""COMPUTED_VALUE"""),"cute")</f>
        <v>cute</v>
      </c>
      <c r="I806" s="6" t="str">
        <f>IFERROR(__xludf.DUMMYFUNCTION("""COMPUTED_VALUE"""),"enters")</f>
        <v>enters</v>
      </c>
      <c r="J806" s="6" t="str">
        <f>IFERROR(__xludf.DUMMYFUNCTION("""COMPUTED_VALUE"""),"popcorn")</f>
        <v>popcorn</v>
      </c>
      <c r="M806" s="6"/>
      <c r="P806" s="6" t="str">
        <f>IFERROR(__xludf.DUMMYFUNCTION("""COMPUTED_VALUE"""),"flow")</f>
        <v>flow</v>
      </c>
      <c r="Q806" s="6" t="str">
        <f>IFERROR(__xludf.DUMMYFUNCTION("""COMPUTED_VALUE"""),"acute")</f>
        <v>acute</v>
      </c>
      <c r="S806" s="6" t="str">
        <f>IFERROR(__xludf.DUMMYFUNCTION("""COMPUTED_VALUE"""),"ultimately")</f>
        <v>ultimately</v>
      </c>
    </row>
    <row r="807">
      <c r="D807" s="6"/>
      <c r="H807" s="6" t="str">
        <f>IFERROR(__xludf.DUMMYFUNCTION("""COMPUTED_VALUE"""),"liberties")</f>
        <v>liberties</v>
      </c>
      <c r="I807" s="6" t="str">
        <f>IFERROR(__xludf.DUMMYFUNCTION("""COMPUTED_VALUE"""),"accurate")</f>
        <v>accurate</v>
      </c>
      <c r="J807" s="6" t="str">
        <f>IFERROR(__xludf.DUMMYFUNCTION("""COMPUTED_VALUE"""),"america")</f>
        <v>america</v>
      </c>
      <c r="M807" s="6"/>
      <c r="P807" s="6" t="str">
        <f>IFERROR(__xludf.DUMMYFUNCTION("""COMPUTED_VALUE"""),"abstract")</f>
        <v>abstract</v>
      </c>
      <c r="Q807" s="6" t="str">
        <f>IFERROR(__xludf.DUMMYFUNCTION("""COMPUTED_VALUE"""),"splendid")</f>
        <v>splendid</v>
      </c>
      <c r="S807" s="6" t="str">
        <f>IFERROR(__xludf.DUMMYFUNCTION("""COMPUTED_VALUE"""),"dynamic")</f>
        <v>dynamic</v>
      </c>
    </row>
    <row r="808">
      <c r="D808" s="6"/>
      <c r="H808" s="6" t="str">
        <f>IFERROR(__xludf.DUMMYFUNCTION("""COMPUTED_VALUE"""),"cheat")</f>
        <v>cheat</v>
      </c>
      <c r="I808" s="6" t="str">
        <f>IFERROR(__xludf.DUMMYFUNCTION("""COMPUTED_VALUE"""),"owen")</f>
        <v>owen</v>
      </c>
      <c r="J808" s="6" t="str">
        <f>IFERROR(__xludf.DUMMYFUNCTION("""COMPUTED_VALUE"""),"randall")</f>
        <v>randall</v>
      </c>
      <c r="M808" s="6"/>
      <c r="P808" s="6" t="str">
        <f>IFERROR(__xludf.DUMMYFUNCTION("""COMPUTED_VALUE"""),"paul")</f>
        <v>paul</v>
      </c>
      <c r="Q808" s="6" t="str">
        <f>IFERROR(__xludf.DUMMYFUNCTION("""COMPUTED_VALUE"""),"host")</f>
        <v>host</v>
      </c>
      <c r="S808" s="6" t="str">
        <f>IFERROR(__xludf.DUMMYFUNCTION("""COMPUTED_VALUE"""),"begin")</f>
        <v>begin</v>
      </c>
    </row>
    <row r="809">
      <c r="D809" s="6"/>
      <c r="H809" s="6" t="str">
        <f>IFERROR(__xludf.DUMMYFUNCTION("""COMPUTED_VALUE"""),"fisher")</f>
        <v>fisher</v>
      </c>
      <c r="I809" s="6" t="str">
        <f>IFERROR(__xludf.DUMMYFUNCTION("""COMPUTED_VALUE"""),"derived")</f>
        <v>derived</v>
      </c>
      <c r="J809" s="6" t="str">
        <f>IFERROR(__xludf.DUMMYFUNCTION("""COMPUTED_VALUE"""),"insights")</f>
        <v>insights</v>
      </c>
      <c r="M809" s="6"/>
      <c r="P809" s="6" t="str">
        <f>IFERROR(__xludf.DUMMYFUNCTION("""COMPUTED_VALUE"""),"jones")</f>
        <v>jones</v>
      </c>
      <c r="Q809" s="6" t="str">
        <f>IFERROR(__xludf.DUMMYFUNCTION("""COMPUTED_VALUE"""),"spirituality")</f>
        <v>spirituality</v>
      </c>
      <c r="S809" s="6" t="str">
        <f>IFERROR(__xludf.DUMMYFUNCTION("""COMPUTED_VALUE"""),"thinking")</f>
        <v>thinking</v>
      </c>
    </row>
    <row r="810">
      <c r="D810" s="6"/>
      <c r="H810" s="6" t="str">
        <f>IFERROR(__xludf.DUMMYFUNCTION("""COMPUTED_VALUE"""),"odyssey")</f>
        <v>odyssey</v>
      </c>
      <c r="I810" s="6" t="str">
        <f>IFERROR(__xludf.DUMMYFUNCTION("""COMPUTED_VALUE"""),"victims")</f>
        <v>victims</v>
      </c>
      <c r="J810" s="6" t="str">
        <f>IFERROR(__xludf.DUMMYFUNCTION("""COMPUTED_VALUE"""),"tensions")</f>
        <v>tensions</v>
      </c>
      <c r="M810" s="6"/>
      <c r="P810" s="6" t="str">
        <f>IFERROR(__xludf.DUMMYFUNCTION("""COMPUTED_VALUE"""),"yale")</f>
        <v>yale</v>
      </c>
      <c r="Q810" s="6" t="str">
        <f>IFERROR(__xludf.DUMMYFUNCTION("""COMPUTED_VALUE"""),"treatise")</f>
        <v>treatise</v>
      </c>
      <c r="S810" s="6" t="str">
        <f>IFERROR(__xludf.DUMMYFUNCTION("""COMPUTED_VALUE"""),"agent")</f>
        <v>agent</v>
      </c>
    </row>
    <row r="811">
      <c r="D811" s="6"/>
      <c r="H811" s="6" t="str">
        <f>IFERROR(__xludf.DUMMYFUNCTION("""COMPUTED_VALUE"""),"mcgrath")</f>
        <v>mcgrath</v>
      </c>
      <c r="I811" s="6" t="str">
        <f>IFERROR(__xludf.DUMMYFUNCTION("""COMPUTED_VALUE"""),"heritage")</f>
        <v>heritage</v>
      </c>
      <c r="J811" s="6" t="str">
        <f>IFERROR(__xludf.DUMMYFUNCTION("""COMPUTED_VALUE"""),"pushes")</f>
        <v>pushes</v>
      </c>
      <c r="M811" s="6"/>
      <c r="P811" s="6" t="str">
        <f>IFERROR(__xludf.DUMMYFUNCTION("""COMPUTED_VALUE"""),"twisted")</f>
        <v>twisted</v>
      </c>
      <c r="Q811" s="6" t="str">
        <f>IFERROR(__xludf.DUMMYFUNCTION("""COMPUTED_VALUE"""),"absorbing")</f>
        <v>absorbing</v>
      </c>
      <c r="S811" s="6" t="str">
        <f>IFERROR(__xludf.DUMMYFUNCTION("""COMPUTED_VALUE"""),"falls")</f>
        <v>falls</v>
      </c>
    </row>
    <row r="812">
      <c r="D812" s="6"/>
      <c r="H812" s="6" t="str">
        <f>IFERROR(__xludf.DUMMYFUNCTION("""COMPUTED_VALUE"""),"hopkins")</f>
        <v>hopkins</v>
      </c>
      <c r="I812" s="6" t="str">
        <f>IFERROR(__xludf.DUMMYFUNCTION("""COMPUTED_VALUE"""),"proceedings")</f>
        <v>proceedings</v>
      </c>
      <c r="J812" s="6" t="str">
        <f>IFERROR(__xludf.DUMMYFUNCTION("""COMPUTED_VALUE"""),"holds")</f>
        <v>holds</v>
      </c>
      <c r="M812" s="6"/>
      <c r="P812" s="6" t="str">
        <f>IFERROR(__xludf.DUMMYFUNCTION("""COMPUTED_VALUE"""),"friendship")</f>
        <v>friendship</v>
      </c>
      <c r="Q812" s="6" t="str">
        <f>IFERROR(__xludf.DUMMYFUNCTION("""COMPUTED_VALUE"""),"liberation")</f>
        <v>liberation</v>
      </c>
      <c r="S812" s="6" t="str">
        <f>IFERROR(__xludf.DUMMYFUNCTION("""COMPUTED_VALUE"""),"precious")</f>
        <v>precious</v>
      </c>
    </row>
    <row r="813">
      <c r="D813" s="6"/>
      <c r="H813" s="6" t="str">
        <f>IFERROR(__xludf.DUMMYFUNCTION("""COMPUTED_VALUE"""),"establishes")</f>
        <v>establishes</v>
      </c>
      <c r="I813" s="6" t="str">
        <f>IFERROR(__xludf.DUMMYFUNCTION("""COMPUTED_VALUE"""),"adds")</f>
        <v>adds</v>
      </c>
      <c r="J813" s="6" t="str">
        <f>IFERROR(__xludf.DUMMYFUNCTION("""COMPUTED_VALUE"""),"eyre")</f>
        <v>eyre</v>
      </c>
      <c r="M813" s="6"/>
      <c r="P813" s="6" t="str">
        <f>IFERROR(__xludf.DUMMYFUNCTION("""COMPUTED_VALUE"""),"bond")</f>
        <v>bond</v>
      </c>
      <c r="Q813" s="6" t="str">
        <f>IFERROR(__xludf.DUMMYFUNCTION("""COMPUTED_VALUE"""),"impression")</f>
        <v>impression</v>
      </c>
      <c r="S813" s="6" t="str">
        <f>IFERROR(__xludf.DUMMYFUNCTION("""COMPUTED_VALUE"""),"quickly")</f>
        <v>quickly</v>
      </c>
    </row>
    <row r="814">
      <c r="D814" s="6"/>
      <c r="H814" s="6" t="str">
        <f>IFERROR(__xludf.DUMMYFUNCTION("""COMPUTED_VALUE"""),"metropolis")</f>
        <v>metropolis</v>
      </c>
      <c r="I814" s="6" t="str">
        <f>IFERROR(__xludf.DUMMYFUNCTION("""COMPUTED_VALUE"""),"paint")</f>
        <v>paint</v>
      </c>
      <c r="J814" s="6" t="str">
        <f>IFERROR(__xludf.DUMMYFUNCTION("""COMPUTED_VALUE"""),"examine")</f>
        <v>examine</v>
      </c>
      <c r="M814" s="6"/>
      <c r="P814" s="6" t="str">
        <f>IFERROR(__xludf.DUMMYFUNCTION("""COMPUTED_VALUE"""),"constant")</f>
        <v>constant</v>
      </c>
      <c r="Q814" s="6" t="str">
        <f>IFERROR(__xludf.DUMMYFUNCTION("""COMPUTED_VALUE"""),"stand")</f>
        <v>stand</v>
      </c>
      <c r="S814" s="6" t="str">
        <f>IFERROR(__xludf.DUMMYFUNCTION("""COMPUTED_VALUE"""),"drawn")</f>
        <v>drawn</v>
      </c>
    </row>
    <row r="815">
      <c r="D815" s="6"/>
      <c r="H815" s="6" t="str">
        <f>IFERROR(__xludf.DUMMYFUNCTION("""COMPUTED_VALUE"""),"villain")</f>
        <v>villain</v>
      </c>
      <c r="I815" s="6" t="str">
        <f>IFERROR(__xludf.DUMMYFUNCTION("""COMPUTED_VALUE"""),"improvement")</f>
        <v>improvement</v>
      </c>
      <c r="J815" s="6" t="str">
        <f>IFERROR(__xludf.DUMMYFUNCTION("""COMPUTED_VALUE"""),"arguments")</f>
        <v>arguments</v>
      </c>
      <c r="M815" s="6"/>
      <c r="P815" s="6" t="str">
        <f>IFERROR(__xludf.DUMMYFUNCTION("""COMPUTED_VALUE"""),"leads")</f>
        <v>leads</v>
      </c>
      <c r="Q815" s="6" t="str">
        <f>IFERROR(__xludf.DUMMYFUNCTION("""COMPUTED_VALUE"""),"childhood")</f>
        <v>childhood</v>
      </c>
      <c r="S815" s="6" t="str">
        <f>IFERROR(__xludf.DUMMYFUNCTION("""COMPUTED_VALUE"""),"belly")</f>
        <v>belly</v>
      </c>
    </row>
    <row r="816">
      <c r="D816" s="6"/>
      <c r="H816" s="6" t="str">
        <f>IFERROR(__xludf.DUMMYFUNCTION("""COMPUTED_VALUE"""),"let")</f>
        <v>let</v>
      </c>
      <c r="I816" s="6" t="str">
        <f>IFERROR(__xludf.DUMMYFUNCTION("""COMPUTED_VALUE"""),"soldiers")</f>
        <v>soldiers</v>
      </c>
      <c r="J816" s="6" t="str">
        <f>IFERROR(__xludf.DUMMYFUNCTION("""COMPUTED_VALUE"""),"catches")</f>
        <v>catches</v>
      </c>
      <c r="M816" s="6"/>
      <c r="P816" s="6" t="str">
        <f>IFERROR(__xludf.DUMMYFUNCTION("""COMPUTED_VALUE"""),"identification")</f>
        <v>identification</v>
      </c>
      <c r="Q816" s="6" t="str">
        <f>IFERROR(__xludf.DUMMYFUNCTION("""COMPUTED_VALUE"""),"writer")</f>
        <v>writer</v>
      </c>
      <c r="S816" s="6" t="str">
        <f>IFERROR(__xludf.DUMMYFUNCTION("""COMPUTED_VALUE"""),"widow")</f>
        <v>widow</v>
      </c>
    </row>
    <row r="817">
      <c r="D817" s="6"/>
      <c r="H817" s="6" t="str">
        <f>IFERROR(__xludf.DUMMYFUNCTION("""COMPUTED_VALUE"""),"lavish")</f>
        <v>lavish</v>
      </c>
      <c r="I817" s="6" t="str">
        <f>IFERROR(__xludf.DUMMYFUNCTION("""COMPUTED_VALUE"""),"listening")</f>
        <v>listening</v>
      </c>
      <c r="J817" s="6" t="str">
        <f>IFERROR(__xludf.DUMMYFUNCTION("""COMPUTED_VALUE"""),"newcomer")</f>
        <v>newcomer</v>
      </c>
      <c r="M817" s="6"/>
      <c r="P817" s="6" t="str">
        <f>IFERROR(__xludf.DUMMYFUNCTION("""COMPUTED_VALUE"""),"built")</f>
        <v>built</v>
      </c>
      <c r="Q817" s="6" t="str">
        <f>IFERROR(__xludf.DUMMYFUNCTION("""COMPUTED_VALUE"""),"caine")</f>
        <v>caine</v>
      </c>
      <c r="S817" s="6" t="str">
        <f>IFERROR(__xludf.DUMMYFUNCTION("""COMPUTED_VALUE"""),"transformation")</f>
        <v>transformation</v>
      </c>
    </row>
    <row r="818">
      <c r="D818" s="6"/>
      <c r="H818" s="6" t="str">
        <f>IFERROR(__xludf.DUMMYFUNCTION("""COMPUTED_VALUE"""),"teacher")</f>
        <v>teacher</v>
      </c>
      <c r="I818" s="6" t="str">
        <f>IFERROR(__xludf.DUMMYFUNCTION("""COMPUTED_VALUE"""),"lawrence")</f>
        <v>lawrence</v>
      </c>
      <c r="J818" s="6" t="str">
        <f>IFERROR(__xludf.DUMMYFUNCTION("""COMPUTED_VALUE"""),"hoffman")</f>
        <v>hoffman</v>
      </c>
      <c r="M818" s="6"/>
      <c r="P818" s="6" t="str">
        <f>IFERROR(__xludf.DUMMYFUNCTION("""COMPUTED_VALUE"""),"hotels")</f>
        <v>hotels</v>
      </c>
      <c r="Q818" s="6" t="str">
        <f>IFERROR(__xludf.DUMMYFUNCTION("""COMPUTED_VALUE"""),"punching")</f>
        <v>punching</v>
      </c>
      <c r="S818" s="6" t="str">
        <f>IFERROR(__xludf.DUMMYFUNCTION("""COMPUTED_VALUE"""),"soccer")</f>
        <v>soccer</v>
      </c>
    </row>
    <row r="819">
      <c r="D819" s="6"/>
      <c r="H819" s="6" t="str">
        <f>IFERROR(__xludf.DUMMYFUNCTION("""COMPUTED_VALUE"""),"increasingly")</f>
        <v>increasingly</v>
      </c>
      <c r="I819" s="6" t="str">
        <f>IFERROR(__xludf.DUMMYFUNCTION("""COMPUTED_VALUE"""),"tied")</f>
        <v>tied</v>
      </c>
      <c r="J819" s="6" t="str">
        <f>IFERROR(__xludf.DUMMYFUNCTION("""COMPUTED_VALUE"""),"feat")</f>
        <v>feat</v>
      </c>
      <c r="M819" s="6"/>
      <c r="P819" s="6" t="str">
        <f>IFERROR(__xludf.DUMMYFUNCTION("""COMPUTED_VALUE"""),"smaller")</f>
        <v>smaller</v>
      </c>
      <c r="Q819" s="6" t="str">
        <f>IFERROR(__xludf.DUMMYFUNCTION("""COMPUTED_VALUE"""),"sweetheart")</f>
        <v>sweetheart</v>
      </c>
      <c r="S819" s="6" t="str">
        <f>IFERROR(__xludf.DUMMYFUNCTION("""COMPUTED_VALUE"""),"festival")</f>
        <v>festival</v>
      </c>
    </row>
    <row r="820">
      <c r="D820" s="6"/>
      <c r="H820" s="6" t="str">
        <f>IFERROR(__xludf.DUMMYFUNCTION("""COMPUTED_VALUE"""),"plotting")</f>
        <v>plotting</v>
      </c>
      <c r="I820" s="6" t="str">
        <f>IFERROR(__xludf.DUMMYFUNCTION("""COMPUTED_VALUE"""),"traditions")</f>
        <v>traditions</v>
      </c>
      <c r="J820" s="6" t="str">
        <f>IFERROR(__xludf.DUMMYFUNCTION("""COMPUTED_VALUE"""),"harmless")</f>
        <v>harmless</v>
      </c>
      <c r="M820" s="6"/>
      <c r="P820" s="6" t="str">
        <f>IFERROR(__xludf.DUMMYFUNCTION("""COMPUTED_VALUE"""),"mainstream")</f>
        <v>mainstream</v>
      </c>
      <c r="Q820" s="6" t="str">
        <f>IFERROR(__xludf.DUMMYFUNCTION("""COMPUTED_VALUE"""),"ultimately")</f>
        <v>ultimately</v>
      </c>
      <c r="S820" s="6" t="str">
        <f>IFERROR(__xludf.DUMMYFUNCTION("""COMPUTED_VALUE"""),"george")</f>
        <v>george</v>
      </c>
    </row>
    <row r="821">
      <c r="D821" s="6"/>
      <c r="H821" s="6" t="str">
        <f>IFERROR(__xludf.DUMMYFUNCTION("""COMPUTED_VALUE"""),"reduces")</f>
        <v>reduces</v>
      </c>
      <c r="I821" s="6" t="str">
        <f>IFERROR(__xludf.DUMMYFUNCTION("""COMPUTED_VALUE"""),"dinner")</f>
        <v>dinner</v>
      </c>
      <c r="J821" s="6" t="str">
        <f>IFERROR(__xludf.DUMMYFUNCTION("""COMPUTED_VALUE"""),"vulnerability")</f>
        <v>vulnerability</v>
      </c>
      <c r="M821" s="6"/>
      <c r="P821" s="6" t="str">
        <f>IFERROR(__xludf.DUMMYFUNCTION("""COMPUTED_VALUE"""),"bears")</f>
        <v>bears</v>
      </c>
      <c r="Q821" s="6" t="str">
        <f>IFERROR(__xludf.DUMMYFUNCTION("""COMPUTED_VALUE"""),"reckless")</f>
        <v>reckless</v>
      </c>
      <c r="S821" s="6" t="str">
        <f>IFERROR(__xludf.DUMMYFUNCTION("""COMPUTED_VALUE"""),"terry")</f>
        <v>terry</v>
      </c>
    </row>
    <row r="822">
      <c r="D822" s="6"/>
      <c r="H822" s="6" t="str">
        <f>IFERROR(__xludf.DUMMYFUNCTION("""COMPUTED_VALUE"""),"specimen")</f>
        <v>specimen</v>
      </c>
      <c r="I822" s="6" t="str">
        <f>IFERROR(__xludf.DUMMYFUNCTION("""COMPUTED_VALUE"""),"uncle")</f>
        <v>uncle</v>
      </c>
      <c r="J822" s="6" t="str">
        <f>IFERROR(__xludf.DUMMYFUNCTION("""COMPUTED_VALUE"""),"miraculous")</f>
        <v>miraculous</v>
      </c>
      <c r="M822" s="6"/>
      <c r="P822" s="6" t="str">
        <f>IFERROR(__xludf.DUMMYFUNCTION("""COMPUTED_VALUE"""),"spent")</f>
        <v>spent</v>
      </c>
      <c r="Q822" s="6" t="str">
        <f>IFERROR(__xludf.DUMMYFUNCTION("""COMPUTED_VALUE"""),"thinking")</f>
        <v>thinking</v>
      </c>
      <c r="S822" s="6" t="str">
        <f>IFERROR(__xludf.DUMMYFUNCTION("""COMPUTED_VALUE"""),"french")</f>
        <v>french</v>
      </c>
    </row>
    <row r="823">
      <c r="D823" s="6"/>
      <c r="H823" s="6" t="str">
        <f>IFERROR(__xludf.DUMMYFUNCTION("""COMPUTED_VALUE"""),"shrill")</f>
        <v>shrill</v>
      </c>
      <c r="I823" s="6" t="str">
        <f>IFERROR(__xludf.DUMMYFUNCTION("""COMPUTED_VALUE"""),"academy")</f>
        <v>academy</v>
      </c>
      <c r="J823" s="6" t="str">
        <f>IFERROR(__xludf.DUMMYFUNCTION("""COMPUTED_VALUE"""),"adequately")</f>
        <v>adequately</v>
      </c>
      <c r="M823" s="6"/>
      <c r="P823" s="6" t="str">
        <f>IFERROR(__xludf.DUMMYFUNCTION("""COMPUTED_VALUE"""),"got")</f>
        <v>got</v>
      </c>
      <c r="Q823" s="6" t="str">
        <f>IFERROR(__xludf.DUMMYFUNCTION("""COMPUTED_VALUE"""),"precious")</f>
        <v>precious</v>
      </c>
      <c r="S823" s="6" t="str">
        <f>IFERROR(__xludf.DUMMYFUNCTION("""COMPUTED_VALUE"""),"fully")</f>
        <v>fully</v>
      </c>
    </row>
    <row r="824">
      <c r="D824" s="6"/>
      <c r="H824" s="6" t="str">
        <f>IFERROR(__xludf.DUMMYFUNCTION("""COMPUTED_VALUE"""),"sinister")</f>
        <v>sinister</v>
      </c>
      <c r="I824" s="6" t="str">
        <f>IFERROR(__xludf.DUMMYFUNCTION("""COMPUTED_VALUE"""),"equation")</f>
        <v>equation</v>
      </c>
      <c r="J824" s="6" t="str">
        <f>IFERROR(__xludf.DUMMYFUNCTION("""COMPUTED_VALUE"""),"eerie")</f>
        <v>eerie</v>
      </c>
      <c r="M824" s="6"/>
      <c r="P824" s="6" t="str">
        <f>IFERROR(__xludf.DUMMYFUNCTION("""COMPUTED_VALUE"""),"creates")</f>
        <v>creates</v>
      </c>
      <c r="Q824" s="6" t="str">
        <f>IFERROR(__xludf.DUMMYFUNCTION("""COMPUTED_VALUE"""),"gripping")</f>
        <v>gripping</v>
      </c>
      <c r="S824" s="6" t="str">
        <f>IFERROR(__xludf.DUMMYFUNCTION("""COMPUTED_VALUE"""),"wake")</f>
        <v>wake</v>
      </c>
    </row>
    <row r="825">
      <c r="D825" s="6"/>
      <c r="H825" s="6" t="str">
        <f>IFERROR(__xludf.DUMMYFUNCTION("""COMPUTED_VALUE"""),"aground")</f>
        <v>aground</v>
      </c>
      <c r="I825" s="6" t="str">
        <f>IFERROR(__xludf.DUMMYFUNCTION("""COMPUTED_VALUE"""),"mexican")</f>
        <v>mexican</v>
      </c>
      <c r="J825" s="6" t="str">
        <f>IFERROR(__xludf.DUMMYFUNCTION("""COMPUTED_VALUE"""),"uncertain")</f>
        <v>uncertain</v>
      </c>
      <c r="M825" s="6"/>
      <c r="P825" s="6" t="str">
        <f>IFERROR(__xludf.DUMMYFUNCTION("""COMPUTED_VALUE"""),"note")</f>
        <v>note</v>
      </c>
      <c r="Q825" s="6" t="str">
        <f>IFERROR(__xludf.DUMMYFUNCTION("""COMPUTED_VALUE"""),"tunisian")</f>
        <v>tunisian</v>
      </c>
      <c r="S825" s="6" t="str">
        <f>IFERROR(__xludf.DUMMYFUNCTION("""COMPUTED_VALUE"""),"sisters")</f>
        <v>sisters</v>
      </c>
    </row>
    <row r="826">
      <c r="D826" s="6"/>
      <c r="H826" s="6" t="str">
        <f>IFERROR(__xludf.DUMMYFUNCTION("""COMPUTED_VALUE"""),"painfully")</f>
        <v>painfully</v>
      </c>
      <c r="I826" s="6" t="str">
        <f>IFERROR(__xludf.DUMMYFUNCTION("""COMPUTED_VALUE"""),"prevention")</f>
        <v>prevention</v>
      </c>
      <c r="J826" s="6" t="str">
        <f>IFERROR(__xludf.DUMMYFUNCTION("""COMPUTED_VALUE"""),"morally")</f>
        <v>morally</v>
      </c>
      <c r="M826" s="6"/>
      <c r="P826" s="6" t="str">
        <f>IFERROR(__xludf.DUMMYFUNCTION("""COMPUTED_VALUE"""),"friend")</f>
        <v>friend</v>
      </c>
      <c r="Q826" s="6" t="str">
        <f>IFERROR(__xludf.DUMMYFUNCTION("""COMPUTED_VALUE"""),"startling")</f>
        <v>startling</v>
      </c>
      <c r="S826" s="6" t="str">
        <f>IFERROR(__xludf.DUMMYFUNCTION("""COMPUTED_VALUE"""),"quiet")</f>
        <v>quiet</v>
      </c>
    </row>
    <row r="827">
      <c r="D827" s="6"/>
      <c r="H827" s="6" t="str">
        <f>IFERROR(__xludf.DUMMYFUNCTION("""COMPUTED_VALUE"""),"roberts")</f>
        <v>roberts</v>
      </c>
      <c r="I827" s="6" t="str">
        <f>IFERROR(__xludf.DUMMYFUNCTION("""COMPUTED_VALUE"""),"soul")</f>
        <v>soul</v>
      </c>
      <c r="J827" s="6" t="str">
        <f>IFERROR(__xludf.DUMMYFUNCTION("""COMPUTED_VALUE"""),"veil")</f>
        <v>veil</v>
      </c>
      <c r="M827" s="6"/>
      <c r="P827" s="6" t="str">
        <f>IFERROR(__xludf.DUMMYFUNCTION("""COMPUTED_VALUE"""),"chris")</f>
        <v>chris</v>
      </c>
      <c r="Q827" s="6" t="str">
        <f>IFERROR(__xludf.DUMMYFUNCTION("""COMPUTED_VALUE"""),"transformation")</f>
        <v>transformation</v>
      </c>
      <c r="S827" s="6" t="str">
        <f>IFERROR(__xludf.DUMMYFUNCTION("""COMPUTED_VALUE"""),"lopez")</f>
        <v>lopez</v>
      </c>
    </row>
    <row r="828">
      <c r="D828" s="6"/>
      <c r="H828" s="6" t="str">
        <f>IFERROR(__xludf.DUMMYFUNCTION("""COMPUTED_VALUE"""),"workshop")</f>
        <v>workshop</v>
      </c>
      <c r="I828" s="6" t="str">
        <f>IFERROR(__xludf.DUMMYFUNCTION("""COMPUTED_VALUE"""),"warriors")</f>
        <v>warriors</v>
      </c>
      <c r="J828" s="6" t="str">
        <f>IFERROR(__xludf.DUMMYFUNCTION("""COMPUTED_VALUE"""),"editing")</f>
        <v>editing</v>
      </c>
      <c r="M828" s="6"/>
      <c r="P828" s="6" t="str">
        <f>IFERROR(__xludf.DUMMYFUNCTION("""COMPUTED_VALUE"""),"columbus")</f>
        <v>columbus</v>
      </c>
      <c r="Q828" s="6" t="str">
        <f>IFERROR(__xludf.DUMMYFUNCTION("""COMPUTED_VALUE"""),"widow")</f>
        <v>widow</v>
      </c>
      <c r="S828" s="6" t="str">
        <f>IFERROR(__xludf.DUMMYFUNCTION("""COMPUTED_VALUE"""),"focused")</f>
        <v>focused</v>
      </c>
    </row>
    <row r="829">
      <c r="D829" s="6"/>
      <c r="H829" s="6" t="str">
        <f>IFERROR(__xludf.DUMMYFUNCTION("""COMPUTED_VALUE"""),"grasping")</f>
        <v>grasping</v>
      </c>
      <c r="I829" s="6" t="str">
        <f>IFERROR(__xludf.DUMMYFUNCTION("""COMPUTED_VALUE"""),"lowered")</f>
        <v>lowered</v>
      </c>
      <c r="J829" s="6" t="str">
        <f>IFERROR(__xludf.DUMMYFUNCTION("""COMPUTED_VALUE"""),"strength")</f>
        <v>strength</v>
      </c>
      <c r="M829" s="6"/>
      <c r="P829" s="6" t="str">
        <f>IFERROR(__xludf.DUMMYFUNCTION("""COMPUTED_VALUE"""),"basic")</f>
        <v>basic</v>
      </c>
      <c r="Q829" s="6" t="str">
        <f>IFERROR(__xludf.DUMMYFUNCTION("""COMPUTED_VALUE"""),"drawn")</f>
        <v>drawn</v>
      </c>
      <c r="S829" s="6" t="str">
        <f>IFERROR(__xludf.DUMMYFUNCTION("""COMPUTED_VALUE"""),"philadelphia")</f>
        <v>philadelphia</v>
      </c>
    </row>
    <row r="830">
      <c r="D830" s="6"/>
      <c r="H830" s="6" t="str">
        <f>IFERROR(__xludf.DUMMYFUNCTION("""COMPUTED_VALUE"""),"resemble")</f>
        <v>resemble</v>
      </c>
      <c r="I830" s="6" t="str">
        <f>IFERROR(__xludf.DUMMYFUNCTION("""COMPUTED_VALUE"""),"gang")</f>
        <v>gang</v>
      </c>
      <c r="J830" s="6" t="str">
        <f>IFERROR(__xludf.DUMMYFUNCTION("""COMPUTED_VALUE"""),"confident")</f>
        <v>confident</v>
      </c>
      <c r="M830" s="6"/>
      <c r="P830" s="6" t="str">
        <f>IFERROR(__xludf.DUMMYFUNCTION("""COMPUTED_VALUE"""),"affected")</f>
        <v>affected</v>
      </c>
      <c r="Q830" s="6" t="str">
        <f>IFERROR(__xludf.DUMMYFUNCTION("""COMPUTED_VALUE"""),"soccer")</f>
        <v>soccer</v>
      </c>
      <c r="S830" s="6" t="str">
        <f>IFERROR(__xludf.DUMMYFUNCTION("""COMPUTED_VALUE"""),"relegated")</f>
        <v>relegated</v>
      </c>
    </row>
    <row r="831">
      <c r="D831" s="6"/>
      <c r="H831" s="6" t="str">
        <f>IFERROR(__xludf.DUMMYFUNCTION("""COMPUTED_VALUE"""),"vigorously")</f>
        <v>vigorously</v>
      </c>
      <c r="I831" s="6" t="str">
        <f>IFERROR(__xludf.DUMMYFUNCTION("""COMPUTED_VALUE"""),"slip")</f>
        <v>slip</v>
      </c>
      <c r="J831" s="6" t="str">
        <f>IFERROR(__xludf.DUMMYFUNCTION("""COMPUTED_VALUE"""),"scripts")</f>
        <v>scripts</v>
      </c>
      <c r="M831" s="6"/>
      <c r="P831" s="6" t="str">
        <f>IFERROR(__xludf.DUMMYFUNCTION("""COMPUTED_VALUE"""),"foundation")</f>
        <v>foundation</v>
      </c>
      <c r="Q831" s="6" t="str">
        <f>IFERROR(__xludf.DUMMYFUNCTION("""COMPUTED_VALUE"""),"stab")</f>
        <v>stab</v>
      </c>
      <c r="S831" s="6" t="str">
        <f>IFERROR(__xludf.DUMMYFUNCTION("""COMPUTED_VALUE"""),"strange")</f>
        <v>strange</v>
      </c>
    </row>
    <row r="832">
      <c r="D832" s="6"/>
      <c r="H832" s="6" t="str">
        <f>IFERROR(__xludf.DUMMYFUNCTION("""COMPUTED_VALUE"""),"improvisation")</f>
        <v>improvisation</v>
      </c>
      <c r="I832" s="6" t="str">
        <f>IFERROR(__xludf.DUMMYFUNCTION("""COMPUTED_VALUE"""),"lectures")</f>
        <v>lectures</v>
      </c>
      <c r="J832" s="6" t="str">
        <f>IFERROR(__xludf.DUMMYFUNCTION("""COMPUTED_VALUE"""),"abandon")</f>
        <v>abandon</v>
      </c>
      <c r="M832" s="6"/>
      <c r="P832" s="6" t="str">
        <f>IFERROR(__xludf.DUMMYFUNCTION("""COMPUTED_VALUE"""),"relative")</f>
        <v>relative</v>
      </c>
      <c r="Q832" s="6" t="str">
        <f>IFERROR(__xludf.DUMMYFUNCTION("""COMPUTED_VALUE"""),"festival")</f>
        <v>festival</v>
      </c>
      <c r="S832" s="6" t="str">
        <f>IFERROR(__xludf.DUMMYFUNCTION("""COMPUTED_VALUE"""),"possible")</f>
        <v>possible</v>
      </c>
    </row>
    <row r="833">
      <c r="D833" s="6"/>
      <c r="H833" s="6" t="str">
        <f>IFERROR(__xludf.DUMMYFUNCTION("""COMPUTED_VALUE"""),"experimentation")</f>
        <v>experimentation</v>
      </c>
      <c r="I833" s="6" t="str">
        <f>IFERROR(__xludf.DUMMYFUNCTION("""COMPUTED_VALUE"""),"terrorist")</f>
        <v>terrorist</v>
      </c>
      <c r="J833" s="6" t="str">
        <f>IFERROR(__xludf.DUMMYFUNCTION("""COMPUTED_VALUE"""),"directors")</f>
        <v>directors</v>
      </c>
      <c r="M833" s="6"/>
      <c r="P833" s="6" t="str">
        <f>IFERROR(__xludf.DUMMYFUNCTION("""COMPUTED_VALUE"""),"objective")</f>
        <v>objective</v>
      </c>
      <c r="Q833" s="6" t="str">
        <f>IFERROR(__xludf.DUMMYFUNCTION("""COMPUTED_VALUE"""),"george")</f>
        <v>george</v>
      </c>
      <c r="S833" s="6" t="str">
        <f>IFERROR(__xludf.DUMMYFUNCTION("""COMPUTED_VALUE"""),"calm")</f>
        <v>calm</v>
      </c>
    </row>
    <row r="834">
      <c r="D834" s="6"/>
      <c r="H834" s="6" t="str">
        <f>IFERROR(__xludf.DUMMYFUNCTION("""COMPUTED_VALUE"""),"certain")</f>
        <v>certain</v>
      </c>
      <c r="I834" s="6" t="str">
        <f>IFERROR(__xludf.DUMMYFUNCTION("""COMPUTED_VALUE"""),"gaze")</f>
        <v>gaze</v>
      </c>
      <c r="J834" s="6" t="str">
        <f>IFERROR(__xludf.DUMMYFUNCTION("""COMPUTED_VALUE"""),"stephen")</f>
        <v>stephen</v>
      </c>
      <c r="M834" s="6"/>
      <c r="P834" s="6" t="str">
        <f>IFERROR(__xludf.DUMMYFUNCTION("""COMPUTED_VALUE"""),"sung")</f>
        <v>sung</v>
      </c>
      <c r="Q834" s="6" t="str">
        <f>IFERROR(__xludf.DUMMYFUNCTION("""COMPUTED_VALUE"""),"french")</f>
        <v>french</v>
      </c>
      <c r="S834" s="6" t="str">
        <f>IFERROR(__xludf.DUMMYFUNCTION("""COMPUTED_VALUE"""),"rises")</f>
        <v>rises</v>
      </c>
    </row>
    <row r="835">
      <c r="D835" s="6"/>
      <c r="H835" s="6" t="str">
        <f>IFERROR(__xludf.DUMMYFUNCTION("""COMPUTED_VALUE"""),"ceremonies")</f>
        <v>ceremonies</v>
      </c>
      <c r="I835" s="6" t="str">
        <f>IFERROR(__xludf.DUMMYFUNCTION("""COMPUTED_VALUE"""),"birmingham")</f>
        <v>birmingham</v>
      </c>
      <c r="J835" s="6" t="str">
        <f>IFERROR(__xludf.DUMMYFUNCTION("""COMPUTED_VALUE"""),"richer")</f>
        <v>richer</v>
      </c>
      <c r="M835" s="6"/>
      <c r="P835" s="6" t="str">
        <f>IFERROR(__xludf.DUMMYFUNCTION("""COMPUTED_VALUE"""),"carol")</f>
        <v>carol</v>
      </c>
      <c r="Q835" s="6" t="str">
        <f>IFERROR(__xludf.DUMMYFUNCTION("""COMPUTED_VALUE"""),"devoid")</f>
        <v>devoid</v>
      </c>
      <c r="S835" s="6" t="str">
        <f>IFERROR(__xludf.DUMMYFUNCTION("""COMPUTED_VALUE"""),"ian")</f>
        <v>ian</v>
      </c>
    </row>
    <row r="836">
      <c r="D836" s="6"/>
      <c r="H836" s="6" t="str">
        <f>IFERROR(__xludf.DUMMYFUNCTION("""COMPUTED_VALUE"""),"crises")</f>
        <v>crises</v>
      </c>
      <c r="I836" s="6" t="str">
        <f>IFERROR(__xludf.DUMMYFUNCTION("""COMPUTED_VALUE"""),"rules")</f>
        <v>rules</v>
      </c>
      <c r="J836" s="6" t="str">
        <f>IFERROR(__xludf.DUMMYFUNCTION("""COMPUTED_VALUE"""),"publishing")</f>
        <v>publishing</v>
      </c>
      <c r="M836" s="6"/>
      <c r="P836" s="6" t="str">
        <f>IFERROR(__xludf.DUMMYFUNCTION("""COMPUTED_VALUE"""),"product")</f>
        <v>product</v>
      </c>
      <c r="Q836" s="6" t="str">
        <f>IFERROR(__xludf.DUMMYFUNCTION("""COMPUTED_VALUE"""),"fatal")</f>
        <v>fatal</v>
      </c>
      <c r="S836" s="6" t="str">
        <f>IFERROR(__xludf.DUMMYFUNCTION("""COMPUTED_VALUE"""),"minds")</f>
        <v>minds</v>
      </c>
    </row>
    <row r="837">
      <c r="D837" s="6"/>
      <c r="H837" s="6" t="b">
        <f>IFERROR(__xludf.DUMMYFUNCTION("""COMPUTED_VALUE"""),FALSE)</f>
        <v>0</v>
      </c>
      <c r="I837" s="6">
        <f>IFERROR(__xludf.DUMMYFUNCTION("""COMPUTED_VALUE"""),89.0)</f>
        <v>89</v>
      </c>
      <c r="J837" s="6" t="str">
        <f>IFERROR(__xludf.DUMMYFUNCTION("""COMPUTED_VALUE"""),"hearst")</f>
        <v>hearst</v>
      </c>
      <c r="M837" s="6"/>
      <c r="P837" s="6" t="str">
        <f>IFERROR(__xludf.DUMMYFUNCTION("""COMPUTED_VALUE"""),"crimes")</f>
        <v>crimes</v>
      </c>
      <c r="Q837" s="6" t="str">
        <f>IFERROR(__xludf.DUMMYFUNCTION("""COMPUTED_VALUE"""),"desperation")</f>
        <v>desperation</v>
      </c>
      <c r="S837" s="6" t="str">
        <f>IFERROR(__xludf.DUMMYFUNCTION("""COMPUTED_VALUE"""),"justice")</f>
        <v>justice</v>
      </c>
    </row>
    <row r="838">
      <c r="D838" s="6"/>
      <c r="H838" s="6" t="str">
        <f>IFERROR(__xludf.DUMMYFUNCTION("""COMPUTED_VALUE"""),"weight")</f>
        <v>weight</v>
      </c>
      <c r="I838" s="6" t="str">
        <f>IFERROR(__xludf.DUMMYFUNCTION("""COMPUTED_VALUE"""),"israel")</f>
        <v>israel</v>
      </c>
      <c r="J838" s="6" t="str">
        <f>IFERROR(__xludf.DUMMYFUNCTION("""COMPUTED_VALUE"""),"william")</f>
        <v>william</v>
      </c>
      <c r="M838" s="6"/>
      <c r="P838" s="6" t="str">
        <f>IFERROR(__xludf.DUMMYFUNCTION("""COMPUTED_VALUE"""),"france")</f>
        <v>france</v>
      </c>
      <c r="Q838" s="6" t="str">
        <f>IFERROR(__xludf.DUMMYFUNCTION("""COMPUTED_VALUE"""),"glossy")</f>
        <v>glossy</v>
      </c>
      <c r="S838" s="6" t="str">
        <f>IFERROR(__xludf.DUMMYFUNCTION("""COMPUTED_VALUE"""),"etc")</f>
        <v>etc</v>
      </c>
    </row>
    <row r="839">
      <c r="D839" s="6"/>
      <c r="H839" s="6" t="str">
        <f>IFERROR(__xludf.DUMMYFUNCTION("""COMPUTED_VALUE"""),"devices")</f>
        <v>devices</v>
      </c>
      <c r="I839" s="6" t="str">
        <f>IFERROR(__xludf.DUMMYFUNCTION("""COMPUTED_VALUE"""),"michel")</f>
        <v>michel</v>
      </c>
      <c r="J839" s="6" t="str">
        <f>IFERROR(__xludf.DUMMYFUNCTION("""COMPUTED_VALUE"""),"hollow")</f>
        <v>hollow</v>
      </c>
      <c r="M839" s="6"/>
      <c r="P839" s="6" t="str">
        <f>IFERROR(__xludf.DUMMYFUNCTION("""COMPUTED_VALUE"""),"20th")</f>
        <v>20th</v>
      </c>
      <c r="Q839" s="6" t="str">
        <f>IFERROR(__xludf.DUMMYFUNCTION("""COMPUTED_VALUE"""),"fully")</f>
        <v>fully</v>
      </c>
      <c r="S839" s="6" t="str">
        <f>IFERROR(__xludf.DUMMYFUNCTION("""COMPUTED_VALUE"""),"heads")</f>
        <v>heads</v>
      </c>
    </row>
    <row r="840">
      <c r="D840" s="6"/>
      <c r="H840" s="6" t="str">
        <f>IFERROR(__xludf.DUMMYFUNCTION("""COMPUTED_VALUE"""),"fundamentally")</f>
        <v>fundamentally</v>
      </c>
      <c r="I840" s="6" t="str">
        <f>IFERROR(__xludf.DUMMYFUNCTION("""COMPUTED_VALUE"""),"gay")</f>
        <v>gay</v>
      </c>
      <c r="J840" s="6" t="str">
        <f>IFERROR(__xludf.DUMMYFUNCTION("""COMPUTED_VALUE"""),"burning")</f>
        <v>burning</v>
      </c>
      <c r="M840" s="6"/>
      <c r="P840" s="6" t="str">
        <f>IFERROR(__xludf.DUMMYFUNCTION("""COMPUTED_VALUE"""),"bags")</f>
        <v>bags</v>
      </c>
      <c r="Q840" s="6" t="str">
        <f>IFERROR(__xludf.DUMMYFUNCTION("""COMPUTED_VALUE"""),"r")</f>
        <v>r</v>
      </c>
      <c r="S840" s="6" t="str">
        <f>IFERROR(__xludf.DUMMYFUNCTION("""COMPUTED_VALUE"""),"someone")</f>
        <v>someone</v>
      </c>
    </row>
    <row r="841">
      <c r="D841" s="6"/>
      <c r="H841" s="6" t="str">
        <f>IFERROR(__xludf.DUMMYFUNCTION("""COMPUTED_VALUE"""),"conventional")</f>
        <v>conventional</v>
      </c>
      <c r="I841" s="6" t="str">
        <f>IFERROR(__xludf.DUMMYFUNCTION("""COMPUTED_VALUE"""),"conservative")</f>
        <v>conservative</v>
      </c>
      <c r="J841" s="6" t="str">
        <f>IFERROR(__xludf.DUMMYFUNCTION("""COMPUTED_VALUE"""),"unchanged")</f>
        <v>unchanged</v>
      </c>
      <c r="M841" s="6"/>
      <c r="P841" s="6" t="str">
        <f>IFERROR(__xludf.DUMMYFUNCTION("""COMPUTED_VALUE"""),"suit")</f>
        <v>suit</v>
      </c>
      <c r="Q841" s="6" t="str">
        <f>IFERROR(__xludf.DUMMYFUNCTION("""COMPUTED_VALUE"""),"bollywood")</f>
        <v>bollywood</v>
      </c>
      <c r="S841" s="6" t="str">
        <f>IFERROR(__xludf.DUMMYFUNCTION("""COMPUTED_VALUE"""),"forget")</f>
        <v>forget</v>
      </c>
    </row>
    <row r="842">
      <c r="D842" s="6"/>
      <c r="H842" s="6" t="str">
        <f>IFERROR(__xludf.DUMMYFUNCTION("""COMPUTED_VALUE"""),"manhattan")</f>
        <v>manhattan</v>
      </c>
      <c r="I842" s="6" t="str">
        <f>IFERROR(__xludf.DUMMYFUNCTION("""COMPUTED_VALUE"""),"suspected")</f>
        <v>suspected</v>
      </c>
      <c r="J842" s="6" t="str">
        <f>IFERROR(__xludf.DUMMYFUNCTION("""COMPUTED_VALUE"""),"portrayed")</f>
        <v>portrayed</v>
      </c>
      <c r="M842" s="6"/>
      <c r="P842" s="6" t="str">
        <f>IFERROR(__xludf.DUMMYFUNCTION("""COMPUTED_VALUE"""),"ordinary")</f>
        <v>ordinary</v>
      </c>
      <c r="Q842" s="6" t="str">
        <f>IFERROR(__xludf.DUMMYFUNCTION("""COMPUTED_VALUE"""),"devastating")</f>
        <v>devastating</v>
      </c>
      <c r="S842" s="6" t="str">
        <f>IFERROR(__xludf.DUMMYFUNCTION("""COMPUTED_VALUE"""),"achievement")</f>
        <v>achievement</v>
      </c>
    </row>
    <row r="843">
      <c r="D843" s="6"/>
      <c r="H843" s="6" t="str">
        <f>IFERROR(__xludf.DUMMYFUNCTION("""COMPUTED_VALUE"""),"skies")</f>
        <v>skies</v>
      </c>
      <c r="I843" s="6" t="str">
        <f>IFERROR(__xludf.DUMMYFUNCTION("""COMPUTED_VALUE"""),"fool")</f>
        <v>fool</v>
      </c>
      <c r="J843" s="6" t="str">
        <f>IFERROR(__xludf.DUMMYFUNCTION("""COMPUTED_VALUE"""),"groundbreaking")</f>
        <v>groundbreaking</v>
      </c>
      <c r="M843" s="6"/>
      <c r="P843" s="6" t="str">
        <f>IFERROR(__xludf.DUMMYFUNCTION("""COMPUTED_VALUE"""),"performing")</f>
        <v>performing</v>
      </c>
      <c r="Q843" s="6" t="str">
        <f>IFERROR(__xludf.DUMMYFUNCTION("""COMPUTED_VALUE"""),"profoundly")</f>
        <v>profoundly</v>
      </c>
      <c r="S843" s="6" t="str">
        <f>IFERROR(__xludf.DUMMYFUNCTION("""COMPUTED_VALUE"""),"morgan")</f>
        <v>morgan</v>
      </c>
    </row>
    <row r="844">
      <c r="D844" s="6"/>
      <c r="H844" s="6" t="str">
        <f>IFERROR(__xludf.DUMMYFUNCTION("""COMPUTED_VALUE"""),"prevents")</f>
        <v>prevents</v>
      </c>
      <c r="I844" s="6" t="str">
        <f>IFERROR(__xludf.DUMMYFUNCTION("""COMPUTED_VALUE"""),"kenneth")</f>
        <v>kenneth</v>
      </c>
      <c r="J844" s="6" t="str">
        <f>IFERROR(__xludf.DUMMYFUNCTION("""COMPUTED_VALUE"""),"musicals")</f>
        <v>musicals</v>
      </c>
      <c r="M844" s="6"/>
      <c r="P844" s="6" t="str">
        <f>IFERROR(__xludf.DUMMYFUNCTION("""COMPUTED_VALUE"""),"ethics")</f>
        <v>ethics</v>
      </c>
      <c r="Q844" s="6" t="str">
        <f>IFERROR(__xludf.DUMMYFUNCTION("""COMPUTED_VALUE"""),"homosexuality")</f>
        <v>homosexuality</v>
      </c>
      <c r="S844" s="6" t="str">
        <f>IFERROR(__xludf.DUMMYFUNCTION("""COMPUTED_VALUE"""),"robin")</f>
        <v>robin</v>
      </c>
    </row>
    <row r="845">
      <c r="D845" s="6"/>
      <c r="H845" s="6" t="str">
        <f>IFERROR(__xludf.DUMMYFUNCTION("""COMPUTED_VALUE"""),"firing")</f>
        <v>firing</v>
      </c>
      <c r="I845" s="6" t="str">
        <f>IFERROR(__xludf.DUMMYFUNCTION("""COMPUTED_VALUE"""),"arrow")</f>
        <v>arrow</v>
      </c>
      <c r="J845" s="6">
        <f>IFERROR(__xludf.DUMMYFUNCTION("""COMPUTED_VALUE"""),30.0)</f>
        <v>30</v>
      </c>
      <c r="M845" s="6"/>
      <c r="P845" s="6" t="str">
        <f>IFERROR(__xludf.DUMMYFUNCTION("""COMPUTED_VALUE"""),"fisher")</f>
        <v>fisher</v>
      </c>
      <c r="Q845" s="6" t="str">
        <f>IFERROR(__xludf.DUMMYFUNCTION("""COMPUTED_VALUE"""),"achievements")</f>
        <v>achievements</v>
      </c>
      <c r="S845" s="6" t="str">
        <f>IFERROR(__xludf.DUMMYFUNCTION("""COMPUTED_VALUE"""),"laughing")</f>
        <v>laughing</v>
      </c>
    </row>
    <row r="846">
      <c r="D846" s="6"/>
      <c r="H846" s="6" t="str">
        <f>IFERROR(__xludf.DUMMYFUNCTION("""COMPUTED_VALUE"""),"testimony")</f>
        <v>testimony</v>
      </c>
      <c r="I846" s="6" t="str">
        <f>IFERROR(__xludf.DUMMYFUNCTION("""COMPUTED_VALUE"""),"kissing")</f>
        <v>kissing</v>
      </c>
      <c r="J846" s="6" t="str">
        <f>IFERROR(__xludf.DUMMYFUNCTION("""COMPUTED_VALUE"""),"sensual")</f>
        <v>sensual</v>
      </c>
      <c r="M846" s="6"/>
      <c r="P846" s="6" t="str">
        <f>IFERROR(__xludf.DUMMYFUNCTION("""COMPUTED_VALUE"""),"colored")</f>
        <v>colored</v>
      </c>
      <c r="Q846" s="6" t="str">
        <f>IFERROR(__xludf.DUMMYFUNCTION("""COMPUTED_VALUE"""),"poetic")</f>
        <v>poetic</v>
      </c>
      <c r="S846" s="6" t="str">
        <f>IFERROR(__xludf.DUMMYFUNCTION("""COMPUTED_VALUE"""),"grey")</f>
        <v>grey</v>
      </c>
    </row>
    <row r="847">
      <c r="D847" s="6"/>
      <c r="H847" s="6" t="str">
        <f>IFERROR(__xludf.DUMMYFUNCTION("""COMPUTED_VALUE"""),"revolutionary")</f>
        <v>revolutionary</v>
      </c>
      <c r="I847" s="6" t="str">
        <f>IFERROR(__xludf.DUMMYFUNCTION("""COMPUTED_VALUE"""),"famous")</f>
        <v>famous</v>
      </c>
      <c r="J847" s="6" t="str">
        <f>IFERROR(__xludf.DUMMYFUNCTION("""COMPUTED_VALUE"""),"cerebral")</f>
        <v>cerebral</v>
      </c>
      <c r="M847" s="6"/>
      <c r="P847" s="6" t="str">
        <f>IFERROR(__xludf.DUMMYFUNCTION("""COMPUTED_VALUE"""),"seriously")</f>
        <v>seriously</v>
      </c>
      <c r="Q847" s="6" t="str">
        <f>IFERROR(__xludf.DUMMYFUNCTION("""COMPUTED_VALUE"""),"brilliance")</f>
        <v>brilliance</v>
      </c>
      <c r="S847" s="6" t="str">
        <f>IFERROR(__xludf.DUMMYFUNCTION("""COMPUTED_VALUE"""),"attempts")</f>
        <v>attempts</v>
      </c>
    </row>
    <row r="848">
      <c r="D848" s="6"/>
      <c r="H848" s="6" t="str">
        <f>IFERROR(__xludf.DUMMYFUNCTION("""COMPUTED_VALUE"""),"obstacles")</f>
        <v>obstacles</v>
      </c>
      <c r="I848" s="6" t="str">
        <f>IFERROR(__xludf.DUMMYFUNCTION("""COMPUTED_VALUE"""),"object")</f>
        <v>object</v>
      </c>
      <c r="J848" s="6" t="str">
        <f>IFERROR(__xludf.DUMMYFUNCTION("""COMPUTED_VALUE"""),"prism")</f>
        <v>prism</v>
      </c>
      <c r="M848" s="6"/>
      <c r="P848" s="6" t="str">
        <f>IFERROR(__xludf.DUMMYFUNCTION("""COMPUTED_VALUE"""),"let")</f>
        <v>let</v>
      </c>
      <c r="Q848" s="6" t="str">
        <f>IFERROR(__xludf.DUMMYFUNCTION("""COMPUTED_VALUE"""),"sloppy")</f>
        <v>sloppy</v>
      </c>
      <c r="S848" s="6" t="str">
        <f>IFERROR(__xludf.DUMMYFUNCTION("""COMPUTED_VALUE"""),"generated")</f>
        <v>generated</v>
      </c>
    </row>
    <row r="849">
      <c r="D849" s="6"/>
      <c r="H849" s="6" t="str">
        <f>IFERROR(__xludf.DUMMYFUNCTION("""COMPUTED_VALUE"""),"centuries")</f>
        <v>centuries</v>
      </c>
      <c r="I849" s="6" t="str">
        <f>IFERROR(__xludf.DUMMYFUNCTION("""COMPUTED_VALUE"""),"hole")</f>
        <v>hole</v>
      </c>
      <c r="J849" s="6" t="str">
        <f>IFERROR(__xludf.DUMMYFUNCTION("""COMPUTED_VALUE"""),"inherently")</f>
        <v>inherently</v>
      </c>
      <c r="M849" s="6"/>
      <c r="P849" s="6" t="str">
        <f>IFERROR(__xludf.DUMMYFUNCTION("""COMPUTED_VALUE"""),"places")</f>
        <v>places</v>
      </c>
      <c r="Q849" s="6" t="str">
        <f>IFERROR(__xludf.DUMMYFUNCTION("""COMPUTED_VALUE"""),"sparkling")</f>
        <v>sparkling</v>
      </c>
      <c r="S849" s="6" t="str">
        <f>IFERROR(__xludf.DUMMYFUNCTION("""COMPUTED_VALUE"""),"lighting")</f>
        <v>lighting</v>
      </c>
    </row>
    <row r="850">
      <c r="D850" s="6"/>
      <c r="H850" s="6" t="str">
        <f>IFERROR(__xludf.DUMMYFUNCTION("""COMPUTED_VALUE"""),"spiritual")</f>
        <v>spiritual</v>
      </c>
      <c r="I850" s="6">
        <f>IFERROR(__xludf.DUMMYFUNCTION("""COMPUTED_VALUE"""),83.0)</f>
        <v>83</v>
      </c>
      <c r="J850" s="6" t="str">
        <f>IFERROR(__xludf.DUMMYFUNCTION("""COMPUTED_VALUE"""),"innocent")</f>
        <v>innocent</v>
      </c>
      <c r="M850" s="6"/>
      <c r="P850" s="6" t="str">
        <f>IFERROR(__xludf.DUMMYFUNCTION("""COMPUTED_VALUE"""),"teacher")</f>
        <v>teacher</v>
      </c>
      <c r="Q850" s="6" t="str">
        <f>IFERROR(__xludf.DUMMYFUNCTION("""COMPUTED_VALUE"""),"sisters")</f>
        <v>sisters</v>
      </c>
      <c r="S850" s="6" t="str">
        <f>IFERROR(__xludf.DUMMYFUNCTION("""COMPUTED_VALUE"""),"expression")</f>
        <v>expression</v>
      </c>
    </row>
    <row r="851">
      <c r="D851" s="6"/>
      <c r="H851" s="6" t="str">
        <f>IFERROR(__xludf.DUMMYFUNCTION("""COMPUTED_VALUE"""),"inspiring")</f>
        <v>inspiring</v>
      </c>
      <c r="I851" s="6" t="str">
        <f>IFERROR(__xludf.DUMMYFUNCTION("""COMPUTED_VALUE"""),"significance")</f>
        <v>significance</v>
      </c>
      <c r="J851" s="6" t="str">
        <f>IFERROR(__xludf.DUMMYFUNCTION("""COMPUTED_VALUE"""),"betrayal")</f>
        <v>betrayal</v>
      </c>
      <c r="M851" s="6"/>
      <c r="P851" s="6" t="str">
        <f>IFERROR(__xludf.DUMMYFUNCTION("""COMPUTED_VALUE"""),"increasingly")</f>
        <v>increasingly</v>
      </c>
      <c r="Q851" s="6" t="str">
        <f>IFERROR(__xludf.DUMMYFUNCTION("""COMPUTED_VALUE"""),"lopez")</f>
        <v>lopez</v>
      </c>
      <c r="S851" s="6" t="str">
        <f>IFERROR(__xludf.DUMMYFUNCTION("""COMPUTED_VALUE"""),"resist")</f>
        <v>resist</v>
      </c>
    </row>
    <row r="852">
      <c r="D852" s="6"/>
      <c r="H852" s="6" t="str">
        <f>IFERROR(__xludf.DUMMYFUNCTION("""COMPUTED_VALUE"""),"stunt")</f>
        <v>stunt</v>
      </c>
      <c r="I852" s="6" t="str">
        <f>IFERROR(__xludf.DUMMYFUNCTION("""COMPUTED_VALUE"""),"responsibility")</f>
        <v>responsibility</v>
      </c>
      <c r="J852" s="6" t="str">
        <f>IFERROR(__xludf.DUMMYFUNCTION("""COMPUTED_VALUE"""),"panic")</f>
        <v>panic</v>
      </c>
      <c r="M852" s="6"/>
      <c r="P852" s="6" t="str">
        <f>IFERROR(__xludf.DUMMYFUNCTION("""COMPUTED_VALUE"""),"worked")</f>
        <v>worked</v>
      </c>
      <c r="Q852" s="6" t="str">
        <f>IFERROR(__xludf.DUMMYFUNCTION("""COMPUTED_VALUE"""),"rae")</f>
        <v>rae</v>
      </c>
      <c r="S852" s="6" t="str">
        <f>IFERROR(__xludf.DUMMYFUNCTION("""COMPUTED_VALUE"""),"array")</f>
        <v>array</v>
      </c>
    </row>
    <row r="853">
      <c r="D853" s="6"/>
      <c r="H853" s="6" t="str">
        <f>IFERROR(__xludf.DUMMYFUNCTION("""COMPUTED_VALUE"""),"laboratory")</f>
        <v>laboratory</v>
      </c>
      <c r="I853" s="6" t="str">
        <f>IFERROR(__xludf.DUMMYFUNCTION("""COMPUTED_VALUE"""),"sink")</f>
        <v>sink</v>
      </c>
      <c r="J853" s="6" t="str">
        <f>IFERROR(__xludf.DUMMYFUNCTION("""COMPUTED_VALUE"""),"glued")</f>
        <v>glued</v>
      </c>
      <c r="M853" s="6"/>
      <c r="P853" s="6" t="str">
        <f>IFERROR(__xludf.DUMMYFUNCTION("""COMPUTED_VALUE"""),"development")</f>
        <v>development</v>
      </c>
      <c r="Q853" s="6" t="str">
        <f>IFERROR(__xludf.DUMMYFUNCTION("""COMPUTED_VALUE"""),"am")</f>
        <v>am</v>
      </c>
      <c r="S853" s="6" t="str">
        <f>IFERROR(__xludf.DUMMYFUNCTION("""COMPUTED_VALUE"""),"pulse")</f>
        <v>pulse</v>
      </c>
    </row>
    <row r="854">
      <c r="D854" s="6"/>
      <c r="H854" s="6" t="str">
        <f>IFERROR(__xludf.DUMMYFUNCTION("""COMPUTED_VALUE"""),"schemes")</f>
        <v>schemes</v>
      </c>
      <c r="I854" s="6" t="str">
        <f>IFERROR(__xludf.DUMMYFUNCTION("""COMPUTED_VALUE"""),"bid")</f>
        <v>bid</v>
      </c>
      <c r="J854" s="6" t="str">
        <f>IFERROR(__xludf.DUMMYFUNCTION("""COMPUTED_VALUE"""),"manage")</f>
        <v>manage</v>
      </c>
      <c r="M854" s="6"/>
      <c r="P854" s="6" t="str">
        <f>IFERROR(__xludf.DUMMYFUNCTION("""COMPUTED_VALUE"""),"visit")</f>
        <v>visit</v>
      </c>
      <c r="Q854" s="6" t="str">
        <f>IFERROR(__xludf.DUMMYFUNCTION("""COMPUTED_VALUE"""),"cannes")</f>
        <v>cannes</v>
      </c>
      <c r="S854" s="6" t="str">
        <f>IFERROR(__xludf.DUMMYFUNCTION("""COMPUTED_VALUE"""),"pressed")</f>
        <v>pressed</v>
      </c>
    </row>
    <row r="855">
      <c r="D855" s="6"/>
      <c r="H855" s="6" t="str">
        <f>IFERROR(__xludf.DUMMYFUNCTION("""COMPUTED_VALUE"""),"consequences")</f>
        <v>consequences</v>
      </c>
      <c r="I855" s="6" t="str">
        <f>IFERROR(__xludf.DUMMYFUNCTION("""COMPUTED_VALUE"""),"detailed")</f>
        <v>detailed</v>
      </c>
      <c r="J855" s="6" t="str">
        <f>IFERROR(__xludf.DUMMYFUNCTION("""COMPUTED_VALUE"""),"range")</f>
        <v>range</v>
      </c>
      <c r="M855" s="6"/>
      <c r="P855" s="6" t="str">
        <f>IFERROR(__xludf.DUMMYFUNCTION("""COMPUTED_VALUE"""),"seconds")</f>
        <v>seconds</v>
      </c>
      <c r="Q855" s="6" t="str">
        <f>IFERROR(__xludf.DUMMYFUNCTION("""COMPUTED_VALUE"""),"focused")</f>
        <v>focused</v>
      </c>
      <c r="S855" s="6" t="str">
        <f>IFERROR(__xludf.DUMMYFUNCTION("""COMPUTED_VALUE"""),"meat")</f>
        <v>meat</v>
      </c>
    </row>
    <row r="856">
      <c r="D856" s="6"/>
      <c r="H856" s="6" t="str">
        <f>IFERROR(__xludf.DUMMYFUNCTION("""COMPUTED_VALUE"""),"critics")</f>
        <v>critics</v>
      </c>
      <c r="I856" s="6" t="str">
        <f>IFERROR(__xludf.DUMMYFUNCTION("""COMPUTED_VALUE"""),"anne")</f>
        <v>anne</v>
      </c>
      <c r="J856" s="6" t="str">
        <f>IFERROR(__xludf.DUMMYFUNCTION("""COMPUTED_VALUE"""),"odds")</f>
        <v>odds</v>
      </c>
      <c r="M856" s="6"/>
      <c r="P856" s="6" t="str">
        <f>IFERROR(__xludf.DUMMYFUNCTION("""COMPUTED_VALUE"""),"roberts")</f>
        <v>roberts</v>
      </c>
      <c r="Q856" s="6" t="str">
        <f>IFERROR(__xludf.DUMMYFUNCTION("""COMPUTED_VALUE"""),"raphael")</f>
        <v>raphael</v>
      </c>
      <c r="S856" s="6" t="str">
        <f>IFERROR(__xludf.DUMMYFUNCTION("""COMPUTED_VALUE"""),"hungry")</f>
        <v>hungry</v>
      </c>
    </row>
    <row r="857">
      <c r="D857" s="6"/>
      <c r="H857" s="6" t="str">
        <f>IFERROR(__xludf.DUMMYFUNCTION("""COMPUTED_VALUE"""),"paints")</f>
        <v>paints</v>
      </c>
      <c r="I857" s="6" t="str">
        <f>IFERROR(__xludf.DUMMYFUNCTION("""COMPUTED_VALUE"""),"adam")</f>
        <v>adam</v>
      </c>
      <c r="J857" s="6" t="str">
        <f>IFERROR(__xludf.DUMMYFUNCTION("""COMPUTED_VALUE"""),"broadway")</f>
        <v>broadway</v>
      </c>
      <c r="M857" s="6"/>
      <c r="P857" s="6" t="str">
        <f>IFERROR(__xludf.DUMMYFUNCTION("""COMPUTED_VALUE"""),"workshop")</f>
        <v>workshop</v>
      </c>
      <c r="Q857" s="6" t="str">
        <f>IFERROR(__xludf.DUMMYFUNCTION("""COMPUTED_VALUE"""),"relegated")</f>
        <v>relegated</v>
      </c>
      <c r="S857" s="6" t="str">
        <f>IFERROR(__xludf.DUMMYFUNCTION("""COMPUTED_VALUE"""),"knock")</f>
        <v>knock</v>
      </c>
    </row>
    <row r="858">
      <c r="D858" s="6"/>
      <c r="H858" s="6" t="str">
        <f>IFERROR(__xludf.DUMMYFUNCTION("""COMPUTED_VALUE"""),"competence")</f>
        <v>competence</v>
      </c>
      <c r="I858" s="6" t="str">
        <f>IFERROR(__xludf.DUMMYFUNCTION("""COMPUTED_VALUE"""),"technologies")</f>
        <v>technologies</v>
      </c>
      <c r="J858" s="6" t="str">
        <f>IFERROR(__xludf.DUMMYFUNCTION("""COMPUTED_VALUE"""),"jolly")</f>
        <v>jolly</v>
      </c>
      <c r="M858" s="6"/>
      <c r="P858" s="6" t="str">
        <f>IFERROR(__xludf.DUMMYFUNCTION("""COMPUTED_VALUE"""),"duration")</f>
        <v>duration</v>
      </c>
      <c r="Q858" s="6" t="str">
        <f>IFERROR(__xludf.DUMMYFUNCTION("""COMPUTED_VALUE"""),"strange")</f>
        <v>strange</v>
      </c>
      <c r="S858" s="6" t="str">
        <f>IFERROR(__xludf.DUMMYFUNCTION("""COMPUTED_VALUE"""),"excited")</f>
        <v>excited</v>
      </c>
    </row>
    <row r="859">
      <c r="D859" s="6"/>
      <c r="H859" s="6" t="str">
        <f>IFERROR(__xludf.DUMMYFUNCTION("""COMPUTED_VALUE"""),"clarity")</f>
        <v>clarity</v>
      </c>
      <c r="I859" s="6" t="str">
        <f>IFERROR(__xludf.DUMMYFUNCTION("""COMPUTED_VALUE"""),"gun")</f>
        <v>gun</v>
      </c>
      <c r="J859" s="6" t="str">
        <f>IFERROR(__xludf.DUMMYFUNCTION("""COMPUTED_VALUE"""),"occupation")</f>
        <v>occupation</v>
      </c>
      <c r="M859" s="6"/>
      <c r="P859" s="6" t="str">
        <f>IFERROR(__xludf.DUMMYFUNCTION("""COMPUTED_VALUE"""),"certain")</f>
        <v>certain</v>
      </c>
      <c r="Q859" s="6" t="str">
        <f>IFERROR(__xludf.DUMMYFUNCTION("""COMPUTED_VALUE"""),"calm")</f>
        <v>calm</v>
      </c>
      <c r="S859" s="6" t="str">
        <f>IFERROR(__xludf.DUMMYFUNCTION("""COMPUTED_VALUE"""),"struggling")</f>
        <v>struggling</v>
      </c>
    </row>
    <row r="860">
      <c r="D860" s="6"/>
      <c r="H860" s="6" t="str">
        <f>IFERROR(__xludf.DUMMYFUNCTION("""COMPUTED_VALUE"""),"chuckle")</f>
        <v>chuckle</v>
      </c>
      <c r="I860" s="6" t="str">
        <f>IFERROR(__xludf.DUMMYFUNCTION("""COMPUTED_VALUE"""),"taylor")</f>
        <v>taylor</v>
      </c>
      <c r="J860" s="6" t="str">
        <f>IFERROR(__xludf.DUMMYFUNCTION("""COMPUTED_VALUE"""),"spirited")</f>
        <v>spirited</v>
      </c>
      <c r="M860" s="6"/>
      <c r="P860" s="6" t="b">
        <f>IFERROR(__xludf.DUMMYFUNCTION("""COMPUTED_VALUE"""),FALSE)</f>
        <v>0</v>
      </c>
      <c r="Q860" s="6" t="str">
        <f>IFERROR(__xludf.DUMMYFUNCTION("""COMPUTED_VALUE"""),"wherein")</f>
        <v>wherein</v>
      </c>
      <c r="S860" s="6" t="str">
        <f>IFERROR(__xludf.DUMMYFUNCTION("""COMPUTED_VALUE"""),"tier")</f>
        <v>tier</v>
      </c>
    </row>
    <row r="861">
      <c r="D861" s="6"/>
      <c r="H861" s="6" t="str">
        <f>IFERROR(__xludf.DUMMYFUNCTION("""COMPUTED_VALUE"""),"songs")</f>
        <v>songs</v>
      </c>
      <c r="I861" s="6" t="str">
        <f>IFERROR(__xludf.DUMMYFUNCTION("""COMPUTED_VALUE"""),"harvard")</f>
        <v>harvard</v>
      </c>
      <c r="J861" s="6" t="str">
        <f>IFERROR(__xludf.DUMMYFUNCTION("""COMPUTED_VALUE"""),"awakening")</f>
        <v>awakening</v>
      </c>
      <c r="M861" s="6"/>
      <c r="P861" s="6" t="str">
        <f>IFERROR(__xludf.DUMMYFUNCTION("""COMPUTED_VALUE"""),"weight")</f>
        <v>weight</v>
      </c>
      <c r="Q861" s="6" t="str">
        <f>IFERROR(__xludf.DUMMYFUNCTION("""COMPUTED_VALUE"""),"cops")</f>
        <v>cops</v>
      </c>
      <c r="S861" s="6" t="str">
        <f>IFERROR(__xludf.DUMMYFUNCTION("""COMPUTED_VALUE"""),"touched")</f>
        <v>touched</v>
      </c>
    </row>
    <row r="862">
      <c r="D862" s="6"/>
      <c r="H862" s="6" t="str">
        <f>IFERROR(__xludf.DUMMYFUNCTION("""COMPUTED_VALUE"""),"uhf")</f>
        <v>uhf</v>
      </c>
      <c r="I862" s="6" t="str">
        <f>IFERROR(__xludf.DUMMYFUNCTION("""COMPUTED_VALUE"""),"reynolds")</f>
        <v>reynolds</v>
      </c>
      <c r="J862" s="6" t="str">
        <f>IFERROR(__xludf.DUMMYFUNCTION("""COMPUTED_VALUE"""),"fathers")</f>
        <v>fathers</v>
      </c>
      <c r="M862" s="6"/>
      <c r="P862" s="6" t="str">
        <f>IFERROR(__xludf.DUMMYFUNCTION("""COMPUTED_VALUE"""),"devices")</f>
        <v>devices</v>
      </c>
      <c r="Q862" s="6" t="str">
        <f>IFERROR(__xludf.DUMMYFUNCTION("""COMPUTED_VALUE"""),"holm")</f>
        <v>holm</v>
      </c>
      <c r="S862" s="6" t="str">
        <f>IFERROR(__xludf.DUMMYFUNCTION("""COMPUTED_VALUE"""),"fit")</f>
        <v>fit</v>
      </c>
    </row>
    <row r="863">
      <c r="D863" s="6"/>
      <c r="H863" s="6" t="str">
        <f>IFERROR(__xludf.DUMMYFUNCTION("""COMPUTED_VALUE"""),"maneuvers")</f>
        <v>maneuvers</v>
      </c>
      <c r="I863" s="6" t="str">
        <f>IFERROR(__xludf.DUMMYFUNCTION("""COMPUTED_VALUE"""),"gently")</f>
        <v>gently</v>
      </c>
      <c r="J863" s="6" t="str">
        <f>IFERROR(__xludf.DUMMYFUNCTION("""COMPUTED_VALUE"""),"survivors")</f>
        <v>survivors</v>
      </c>
      <c r="M863" s="6"/>
      <c r="P863" s="6" t="str">
        <f>IFERROR(__xludf.DUMMYFUNCTION("""COMPUTED_VALUE"""),"conventional")</f>
        <v>conventional</v>
      </c>
      <c r="Q863" s="6" t="str">
        <f>IFERROR(__xludf.DUMMYFUNCTION("""COMPUTED_VALUE"""),"ian")</f>
        <v>ian</v>
      </c>
      <c r="S863" s="6" t="str">
        <f>IFERROR(__xludf.DUMMYFUNCTION("""COMPUTED_VALUE"""),"chan")</f>
        <v>chan</v>
      </c>
    </row>
    <row r="864">
      <c r="D864" s="6"/>
      <c r="H864" s="6" t="str">
        <f>IFERROR(__xludf.DUMMYFUNCTION("""COMPUTED_VALUE"""),"commanding")</f>
        <v>commanding</v>
      </c>
      <c r="I864" s="6" t="str">
        <f>IFERROR(__xludf.DUMMYFUNCTION("""COMPUTED_VALUE"""),"strategic")</f>
        <v>strategic</v>
      </c>
      <c r="J864" s="6" t="str">
        <f>IFERROR(__xludf.DUMMYFUNCTION("""COMPUTED_VALUE"""),"erotic")</f>
        <v>erotic</v>
      </c>
      <c r="M864" s="6"/>
      <c r="P864" s="6" t="str">
        <f>IFERROR(__xludf.DUMMYFUNCTION("""COMPUTED_VALUE"""),"manhattan")</f>
        <v>manhattan</v>
      </c>
      <c r="Q864" s="6" t="str">
        <f>IFERROR(__xludf.DUMMYFUNCTION("""COMPUTED_VALUE"""),"minds")</f>
        <v>minds</v>
      </c>
      <c r="S864" s="6" t="str">
        <f>IFERROR(__xludf.DUMMYFUNCTION("""COMPUTED_VALUE"""),"witnessed")</f>
        <v>witnessed</v>
      </c>
    </row>
    <row r="865">
      <c r="D865" s="6"/>
      <c r="H865" s="6" t="str">
        <f>IFERROR(__xludf.DUMMYFUNCTION("""COMPUTED_VALUE"""),"tends")</f>
        <v>tends</v>
      </c>
      <c r="I865" s="6" t="str">
        <f>IFERROR(__xludf.DUMMYFUNCTION("""COMPUTED_VALUE"""),"define")</f>
        <v>define</v>
      </c>
      <c r="J865" s="6" t="str">
        <f>IFERROR(__xludf.DUMMYFUNCTION("""COMPUTED_VALUE"""),"arrangements")</f>
        <v>arrangements</v>
      </c>
      <c r="M865" s="6"/>
      <c r="P865" s="6" t="str">
        <f>IFERROR(__xludf.DUMMYFUNCTION("""COMPUTED_VALUE"""),"exactly")</f>
        <v>exactly</v>
      </c>
      <c r="Q865" s="6" t="str">
        <f>IFERROR(__xludf.DUMMYFUNCTION("""COMPUTED_VALUE"""),"justice")</f>
        <v>justice</v>
      </c>
      <c r="S865" s="6" t="str">
        <f>IFERROR(__xludf.DUMMYFUNCTION("""COMPUTED_VALUE"""),"pointed")</f>
        <v>pointed</v>
      </c>
    </row>
    <row r="866">
      <c r="D866" s="6"/>
      <c r="H866" s="6" t="str">
        <f>IFERROR(__xludf.DUMMYFUNCTION("""COMPUTED_VALUE"""),"comprehension")</f>
        <v>comprehension</v>
      </c>
      <c r="I866" s="6" t="str">
        <f>IFERROR(__xludf.DUMMYFUNCTION("""COMPUTED_VALUE"""),"tightened")</f>
        <v>tightened</v>
      </c>
      <c r="J866" s="6" t="str">
        <f>IFERROR(__xludf.DUMMYFUNCTION("""COMPUTED_VALUE"""),"uncanny")</f>
        <v>uncanny</v>
      </c>
      <c r="M866" s="6"/>
      <c r="P866" s="6" t="str">
        <f>IFERROR(__xludf.DUMMYFUNCTION("""COMPUTED_VALUE"""),"firing")</f>
        <v>firing</v>
      </c>
      <c r="Q866" s="6" t="str">
        <f>IFERROR(__xludf.DUMMYFUNCTION("""COMPUTED_VALUE"""),"etc")</f>
        <v>etc</v>
      </c>
      <c r="S866" s="6" t="str">
        <f>IFERROR(__xludf.DUMMYFUNCTION("""COMPUTED_VALUE"""),"tender")</f>
        <v>tender</v>
      </c>
    </row>
    <row r="867">
      <c r="D867" s="6"/>
      <c r="H867" s="6" t="str">
        <f>IFERROR(__xludf.DUMMYFUNCTION("""COMPUTED_VALUE"""),"dazzling")</f>
        <v>dazzling</v>
      </c>
      <c r="I867" s="6" t="str">
        <f>IFERROR(__xludf.DUMMYFUNCTION("""COMPUTED_VALUE"""),"apollo")</f>
        <v>apollo</v>
      </c>
      <c r="J867" s="6" t="str">
        <f>IFERROR(__xludf.DUMMYFUNCTION("""COMPUTED_VALUE"""),"cultivation")</f>
        <v>cultivation</v>
      </c>
      <c r="M867" s="6"/>
      <c r="P867" s="6" t="str">
        <f>IFERROR(__xludf.DUMMYFUNCTION("""COMPUTED_VALUE"""),"legal")</f>
        <v>legal</v>
      </c>
      <c r="Q867" s="6" t="str">
        <f>IFERROR(__xludf.DUMMYFUNCTION("""COMPUTED_VALUE"""),"dawson")</f>
        <v>dawson</v>
      </c>
      <c r="S867" s="6" t="str">
        <f>IFERROR(__xludf.DUMMYFUNCTION("""COMPUTED_VALUE"""),"reflection")</f>
        <v>reflection</v>
      </c>
    </row>
    <row r="868">
      <c r="D868" s="6"/>
      <c r="H868" s="6" t="str">
        <f>IFERROR(__xludf.DUMMYFUNCTION("""COMPUTED_VALUE"""),"fabricated")</f>
        <v>fabricated</v>
      </c>
      <c r="I868" s="6" t="str">
        <f>IFERROR(__xludf.DUMMYFUNCTION("""COMPUTED_VALUE"""),"ai")</f>
        <v>ai</v>
      </c>
      <c r="J868" s="6" t="str">
        <f>IFERROR(__xludf.DUMMYFUNCTION("""COMPUTED_VALUE"""),"access")</f>
        <v>access</v>
      </c>
      <c r="M868" s="6"/>
      <c r="P868" s="6" t="str">
        <f>IFERROR(__xludf.DUMMYFUNCTION("""COMPUTED_VALUE"""),"revolutionary")</f>
        <v>revolutionary</v>
      </c>
      <c r="Q868" s="6" t="str">
        <f>IFERROR(__xludf.DUMMYFUNCTION("""COMPUTED_VALUE"""),"portray")</f>
        <v>portray</v>
      </c>
      <c r="S868" s="6" t="str">
        <f>IFERROR(__xludf.DUMMYFUNCTION("""COMPUTED_VALUE"""),"political")</f>
        <v>political</v>
      </c>
    </row>
    <row r="869">
      <c r="D869" s="6"/>
      <c r="H869" s="6" t="str">
        <f>IFERROR(__xludf.DUMMYFUNCTION("""COMPUTED_VALUE"""),"dismissed")</f>
        <v>dismissed</v>
      </c>
      <c r="I869" s="6" t="str">
        <f>IFERROR(__xludf.DUMMYFUNCTION("""COMPUTED_VALUE"""),"boundaries")</f>
        <v>boundaries</v>
      </c>
      <c r="J869" s="6" t="str">
        <f>IFERROR(__xludf.DUMMYFUNCTION("""COMPUTED_VALUE"""),"godfrey")</f>
        <v>godfrey</v>
      </c>
      <c r="M869" s="6"/>
      <c r="P869" s="6" t="str">
        <f>IFERROR(__xludf.DUMMYFUNCTION("""COMPUTED_VALUE"""),"chance")</f>
        <v>chance</v>
      </c>
      <c r="Q869" s="6" t="str">
        <f>IFERROR(__xludf.DUMMYFUNCTION("""COMPUTED_VALUE"""),"someone")</f>
        <v>someone</v>
      </c>
      <c r="S869" s="6" t="str">
        <f>IFERROR(__xludf.DUMMYFUNCTION("""COMPUTED_VALUE"""),"indoor")</f>
        <v>indoor</v>
      </c>
    </row>
    <row r="870">
      <c r="D870" s="6"/>
      <c r="H870" s="6" t="str">
        <f>IFERROR(__xludf.DUMMYFUNCTION("""COMPUTED_VALUE"""),"forced")</f>
        <v>forced</v>
      </c>
      <c r="I870" s="6" t="str">
        <f>IFERROR(__xludf.DUMMYFUNCTION("""COMPUTED_VALUE"""),"stretched")</f>
        <v>stretched</v>
      </c>
      <c r="J870" s="6" t="str">
        <f>IFERROR(__xludf.DUMMYFUNCTION("""COMPUTED_VALUE"""),"slim")</f>
        <v>slim</v>
      </c>
      <c r="M870" s="6"/>
      <c r="P870" s="6" t="str">
        <f>IFERROR(__xludf.DUMMYFUNCTION("""COMPUTED_VALUE"""),"air")</f>
        <v>air</v>
      </c>
      <c r="Q870" s="6" t="str">
        <f>IFERROR(__xludf.DUMMYFUNCTION("""COMPUTED_VALUE"""),"monumental")</f>
        <v>monumental</v>
      </c>
      <c r="S870" s="6" t="str">
        <f>IFERROR(__xludf.DUMMYFUNCTION("""COMPUTED_VALUE"""),"sacrifice")</f>
        <v>sacrifice</v>
      </c>
    </row>
    <row r="871">
      <c r="D871" s="6"/>
      <c r="H871" s="6" t="str">
        <f>IFERROR(__xludf.DUMMYFUNCTION("""COMPUTED_VALUE"""),"schmidt")</f>
        <v>schmidt</v>
      </c>
      <c r="I871" s="6" t="str">
        <f>IFERROR(__xludf.DUMMYFUNCTION("""COMPUTED_VALUE"""),"roles")</f>
        <v>roles</v>
      </c>
      <c r="J871" s="6" t="str">
        <f>IFERROR(__xludf.DUMMYFUNCTION("""COMPUTED_VALUE"""),"zipper")</f>
        <v>zipper</v>
      </c>
      <c r="M871" s="6"/>
      <c r="P871" s="6" t="str">
        <f>IFERROR(__xludf.DUMMYFUNCTION("""COMPUTED_VALUE"""),"outcome")</f>
        <v>outcome</v>
      </c>
      <c r="Q871" s="6" t="str">
        <f>IFERROR(__xludf.DUMMYFUNCTION("""COMPUTED_VALUE"""),"accents")</f>
        <v>accents</v>
      </c>
      <c r="S871" s="6" t="str">
        <f>IFERROR(__xludf.DUMMYFUNCTION("""COMPUTED_VALUE"""),"ocean")</f>
        <v>ocean</v>
      </c>
    </row>
    <row r="872">
      <c r="D872" s="6"/>
      <c r="H872" s="6" t="str">
        <f>IFERROR(__xludf.DUMMYFUNCTION("""COMPUTED_VALUE"""),"payne")</f>
        <v>payne</v>
      </c>
      <c r="I872" s="6" t="str">
        <f>IFERROR(__xludf.DUMMYFUNCTION("""COMPUTED_VALUE"""),"lean")</f>
        <v>lean</v>
      </c>
      <c r="J872" s="6" t="str">
        <f>IFERROR(__xludf.DUMMYFUNCTION("""COMPUTED_VALUE"""),"reflective")</f>
        <v>reflective</v>
      </c>
      <c r="M872" s="6"/>
      <c r="P872" s="6" t="str">
        <f>IFERROR(__xludf.DUMMYFUNCTION("""COMPUTED_VALUE"""),"moment")</f>
        <v>moment</v>
      </c>
      <c r="Q872" s="6" t="str">
        <f>IFERROR(__xludf.DUMMYFUNCTION("""COMPUTED_VALUE"""),"judd")</f>
        <v>judd</v>
      </c>
      <c r="S872" s="6" t="str">
        <f>IFERROR(__xludf.DUMMYFUNCTION("""COMPUTED_VALUE"""),"atlantic")</f>
        <v>atlantic</v>
      </c>
    </row>
    <row r="873">
      <c r="D873" s="6"/>
      <c r="H873" s="6" t="str">
        <f>IFERROR(__xludf.DUMMYFUNCTION("""COMPUTED_VALUE"""),"uneasy")</f>
        <v>uneasy</v>
      </c>
      <c r="I873" s="6" t="str">
        <f>IFERROR(__xludf.DUMMYFUNCTION("""COMPUTED_VALUE"""),"freedom")</f>
        <v>freedom</v>
      </c>
      <c r="J873" s="6" t="str">
        <f>IFERROR(__xludf.DUMMYFUNCTION("""COMPUTED_VALUE"""),"journalism")</f>
        <v>journalism</v>
      </c>
      <c r="M873" s="6"/>
      <c r="P873" s="6" t="str">
        <f>IFERROR(__xludf.DUMMYFUNCTION("""COMPUTED_VALUE"""),"centuries")</f>
        <v>centuries</v>
      </c>
      <c r="Q873" s="6" t="str">
        <f>IFERROR(__xludf.DUMMYFUNCTION("""COMPUTED_VALUE"""),"freeman")</f>
        <v>freeman</v>
      </c>
      <c r="S873" s="6" t="str">
        <f>IFERROR(__xludf.DUMMYFUNCTION("""COMPUTED_VALUE"""),"somewhere")</f>
        <v>somewhere</v>
      </c>
    </row>
    <row r="874">
      <c r="D874" s="6"/>
      <c r="H874" s="6" t="str">
        <f>IFERROR(__xludf.DUMMYFUNCTION("""COMPUTED_VALUE"""),"indifference")</f>
        <v>indifference</v>
      </c>
      <c r="I874" s="6" t="str">
        <f>IFERROR(__xludf.DUMMYFUNCTION("""COMPUTED_VALUE"""),"exit")</f>
        <v>exit</v>
      </c>
      <c r="J874" s="6" t="str">
        <f>IFERROR(__xludf.DUMMYFUNCTION("""COMPUTED_VALUE"""),"nonsense")</f>
        <v>nonsense</v>
      </c>
      <c r="M874" s="6"/>
      <c r="P874" s="6" t="str">
        <f>IFERROR(__xludf.DUMMYFUNCTION("""COMPUTED_VALUE"""),"spiritual")</f>
        <v>spiritual</v>
      </c>
      <c r="Q874" s="6" t="str">
        <f>IFERROR(__xludf.DUMMYFUNCTION("""COMPUTED_VALUE"""),"morgan")</f>
        <v>morgan</v>
      </c>
      <c r="S874" s="6" t="str">
        <f>IFERROR(__xludf.DUMMYFUNCTION("""COMPUTED_VALUE"""),"triangle")</f>
        <v>triangle</v>
      </c>
    </row>
    <row r="875">
      <c r="D875" s="6"/>
      <c r="H875" s="6" t="str">
        <f>IFERROR(__xludf.DUMMYFUNCTION("""COMPUTED_VALUE"""),"revolution")</f>
        <v>revolution</v>
      </c>
      <c r="I875" s="6" t="str">
        <f>IFERROR(__xludf.DUMMYFUNCTION("""COMPUTED_VALUE"""),"origins")</f>
        <v>origins</v>
      </c>
      <c r="J875" s="6" t="str">
        <f>IFERROR(__xludf.DUMMYFUNCTION("""COMPUTED_VALUE"""),"snaps")</f>
        <v>snaps</v>
      </c>
      <c r="M875" s="6"/>
      <c r="P875" s="6" t="str">
        <f>IFERROR(__xludf.DUMMYFUNCTION("""COMPUTED_VALUE"""),"laboratory")</f>
        <v>laboratory</v>
      </c>
      <c r="Q875" s="6" t="str">
        <f>IFERROR(__xludf.DUMMYFUNCTION("""COMPUTED_VALUE"""),"attempts")</f>
        <v>attempts</v>
      </c>
      <c r="S875" s="6" t="str">
        <f>IFERROR(__xludf.DUMMYFUNCTION("""COMPUTED_VALUE"""),"leon")</f>
        <v>leon</v>
      </c>
    </row>
    <row r="876">
      <c r="D876" s="6"/>
      <c r="H876" s="6" t="str">
        <f>IFERROR(__xludf.DUMMYFUNCTION("""COMPUTED_VALUE"""),"precisely")</f>
        <v>precisely</v>
      </c>
      <c r="I876" s="6" t="str">
        <f>IFERROR(__xludf.DUMMYFUNCTION("""COMPUTED_VALUE"""),"nazi")</f>
        <v>nazi</v>
      </c>
      <c r="J876" s="6" t="str">
        <f>IFERROR(__xludf.DUMMYFUNCTION("""COMPUTED_VALUE"""),"convinced")</f>
        <v>convinced</v>
      </c>
      <c r="M876" s="6"/>
      <c r="P876" s="6" t="str">
        <f>IFERROR(__xludf.DUMMYFUNCTION("""COMPUTED_VALUE"""),"consequences")</f>
        <v>consequences</v>
      </c>
      <c r="Q876" s="6" t="str">
        <f>IFERROR(__xludf.DUMMYFUNCTION("""COMPUTED_VALUE"""),"grey")</f>
        <v>grey</v>
      </c>
      <c r="S876" s="6" t="str">
        <f>IFERROR(__xludf.DUMMYFUNCTION("""COMPUTED_VALUE"""),"novel")</f>
        <v>novel</v>
      </c>
    </row>
    <row r="877">
      <c r="D877" s="6"/>
      <c r="H877" s="6" t="str">
        <f>IFERROR(__xludf.DUMMYFUNCTION("""COMPUTED_VALUE"""),"loneliness")</f>
        <v>loneliness</v>
      </c>
      <c r="I877" s="6" t="str">
        <f>IFERROR(__xludf.DUMMYFUNCTION("""COMPUTED_VALUE"""),"decade")</f>
        <v>decade</v>
      </c>
      <c r="J877" s="6" t="str">
        <f>IFERROR(__xludf.DUMMYFUNCTION("""COMPUTED_VALUE"""),"tens")</f>
        <v>tens</v>
      </c>
      <c r="M877" s="6"/>
      <c r="P877" s="6" t="str">
        <f>IFERROR(__xludf.DUMMYFUNCTION("""COMPUTED_VALUE"""),"left")</f>
        <v>left</v>
      </c>
      <c r="Q877" s="6" t="str">
        <f>IFERROR(__xludf.DUMMYFUNCTION("""COMPUTED_VALUE"""),"shadowy")</f>
        <v>shadowy</v>
      </c>
      <c r="S877" s="6" t="str">
        <f>IFERROR(__xludf.DUMMYFUNCTION("""COMPUTED_VALUE"""),"monster")</f>
        <v>monster</v>
      </c>
    </row>
    <row r="878">
      <c r="D878" s="6"/>
      <c r="H878" s="6" t="str">
        <f>IFERROR(__xludf.DUMMYFUNCTION("""COMPUTED_VALUE"""),"technology")</f>
        <v>technology</v>
      </c>
      <c r="I878" s="6" t="str">
        <f>IFERROR(__xludf.DUMMYFUNCTION("""COMPUTED_VALUE"""),"practiced")</f>
        <v>practiced</v>
      </c>
      <c r="J878" s="6" t="str">
        <f>IFERROR(__xludf.DUMMYFUNCTION("""COMPUTED_VALUE"""),"eye")</f>
        <v>eye</v>
      </c>
      <c r="M878" s="6"/>
      <c r="P878" s="6" t="str">
        <f>IFERROR(__xludf.DUMMYFUNCTION("""COMPUTED_VALUE"""),"swift")</f>
        <v>swift</v>
      </c>
      <c r="Q878" s="6" t="str">
        <f>IFERROR(__xludf.DUMMYFUNCTION("""COMPUTED_VALUE"""),"generated")</f>
        <v>generated</v>
      </c>
      <c r="S878" s="6" t="str">
        <f>IFERROR(__xludf.DUMMYFUNCTION("""COMPUTED_VALUE"""),"truth")</f>
        <v>truth</v>
      </c>
    </row>
    <row r="879">
      <c r="D879" s="6"/>
      <c r="H879" s="6" t="str">
        <f>IFERROR(__xludf.DUMMYFUNCTION("""COMPUTED_VALUE"""),"notwithstanding")</f>
        <v>notwithstanding</v>
      </c>
      <c r="I879" s="6" t="str">
        <f>IFERROR(__xludf.DUMMYFUNCTION("""COMPUTED_VALUE"""),"replaced")</f>
        <v>replaced</v>
      </c>
      <c r="J879" s="6" t="str">
        <f>IFERROR(__xludf.DUMMYFUNCTION("""COMPUTED_VALUE"""),"adherents")</f>
        <v>adherents</v>
      </c>
      <c r="M879" s="6"/>
      <c r="P879" s="6" t="str">
        <f>IFERROR(__xludf.DUMMYFUNCTION("""COMPUTED_VALUE"""),"critics")</f>
        <v>critics</v>
      </c>
      <c r="Q879" s="6" t="str">
        <f>IFERROR(__xludf.DUMMYFUNCTION("""COMPUTED_VALUE"""),"graceful")</f>
        <v>graceful</v>
      </c>
      <c r="S879" s="6" t="str">
        <f>IFERROR(__xludf.DUMMYFUNCTION("""COMPUTED_VALUE"""),"minor")</f>
        <v>minor</v>
      </c>
    </row>
    <row r="880">
      <c r="D880" s="6"/>
      <c r="H880" s="6" t="str">
        <f>IFERROR(__xludf.DUMMYFUNCTION("""COMPUTED_VALUE"""),"inspirational")</f>
        <v>inspirational</v>
      </c>
      <c r="I880" s="6" t="str">
        <f>IFERROR(__xludf.DUMMYFUNCTION("""COMPUTED_VALUE"""),"hoped")</f>
        <v>hoped</v>
      </c>
      <c r="J880" s="6" t="str">
        <f>IFERROR(__xludf.DUMMYFUNCTION("""COMPUTED_VALUE"""),"trombone")</f>
        <v>trombone</v>
      </c>
      <c r="M880" s="6"/>
      <c r="P880" s="6" t="str">
        <f>IFERROR(__xludf.DUMMYFUNCTION("""COMPUTED_VALUE"""),"drug")</f>
        <v>drug</v>
      </c>
      <c r="Q880" s="6" t="str">
        <f>IFERROR(__xludf.DUMMYFUNCTION("""COMPUTED_VALUE"""),"frontman")</f>
        <v>frontman</v>
      </c>
      <c r="S880" s="6" t="str">
        <f>IFERROR(__xludf.DUMMYFUNCTION("""COMPUTED_VALUE"""),"substance")</f>
        <v>substance</v>
      </c>
    </row>
    <row r="881">
      <c r="D881" s="6"/>
      <c r="H881" s="6" t="str">
        <f>IFERROR(__xludf.DUMMYFUNCTION("""COMPUTED_VALUE"""),"status")</f>
        <v>status</v>
      </c>
      <c r="I881" s="6" t="str">
        <f>IFERROR(__xludf.DUMMYFUNCTION("""COMPUTED_VALUE"""),"lower")</f>
        <v>lower</v>
      </c>
      <c r="J881" s="6" t="str">
        <f>IFERROR(__xludf.DUMMYFUNCTION("""COMPUTED_VALUE"""),"possess")</f>
        <v>possess</v>
      </c>
      <c r="M881" s="6"/>
      <c r="P881" s="6" t="str">
        <f>IFERROR(__xludf.DUMMYFUNCTION("""COMPUTED_VALUE"""),"david")</f>
        <v>david</v>
      </c>
      <c r="Q881" s="6" t="str">
        <f>IFERROR(__xludf.DUMMYFUNCTION("""COMPUTED_VALUE"""),"resist")</f>
        <v>resist</v>
      </c>
      <c r="S881" s="6" t="str">
        <f>IFERROR(__xludf.DUMMYFUNCTION("""COMPUTED_VALUE"""),"stock")</f>
        <v>stock</v>
      </c>
    </row>
    <row r="882">
      <c r="D882" s="6"/>
      <c r="H882" s="6" t="str">
        <f>IFERROR(__xludf.DUMMYFUNCTION("""COMPUTED_VALUE"""),"pat")</f>
        <v>pat</v>
      </c>
      <c r="I882" s="6" t="str">
        <f>IFERROR(__xludf.DUMMYFUNCTION("""COMPUTED_VALUE"""),"athlete")</f>
        <v>athlete</v>
      </c>
      <c r="J882" s="6" t="str">
        <f>IFERROR(__xludf.DUMMYFUNCTION("""COMPUTED_VALUE"""),"embarrassment")</f>
        <v>embarrassment</v>
      </c>
      <c r="M882" s="6"/>
      <c r="P882" s="6" t="str">
        <f>IFERROR(__xludf.DUMMYFUNCTION("""COMPUTED_VALUE"""),"songs")</f>
        <v>songs</v>
      </c>
      <c r="Q882" s="6" t="str">
        <f>IFERROR(__xludf.DUMMYFUNCTION("""COMPUTED_VALUE"""),"energetic")</f>
        <v>energetic</v>
      </c>
      <c r="S882" s="6" t="str">
        <f>IFERROR(__xludf.DUMMYFUNCTION("""COMPUTED_VALUE"""),"sexy")</f>
        <v>sexy</v>
      </c>
    </row>
    <row r="883">
      <c r="D883" s="6"/>
      <c r="H883" s="6" t="str">
        <f>IFERROR(__xludf.DUMMYFUNCTION("""COMPUTED_VALUE"""),"jerking")</f>
        <v>jerking</v>
      </c>
      <c r="I883" s="6" t="str">
        <f>IFERROR(__xludf.DUMMYFUNCTION("""COMPUTED_VALUE"""),"arnold")</f>
        <v>arnold</v>
      </c>
      <c r="J883" s="6" t="str">
        <f>IFERROR(__xludf.DUMMYFUNCTION("""COMPUTED_VALUE"""),"rotten")</f>
        <v>rotten</v>
      </c>
      <c r="M883" s="6"/>
      <c r="P883" s="6" t="str">
        <f>IFERROR(__xludf.DUMMYFUNCTION("""COMPUTED_VALUE"""),"text")</f>
        <v>text</v>
      </c>
      <c r="Q883" s="6" t="str">
        <f>IFERROR(__xludf.DUMMYFUNCTION("""COMPUTED_VALUE"""),"pulse")</f>
        <v>pulse</v>
      </c>
      <c r="S883" s="6" t="str">
        <f>IFERROR(__xludf.DUMMYFUNCTION("""COMPUTED_VALUE"""),"smoking")</f>
        <v>smoking</v>
      </c>
    </row>
    <row r="884">
      <c r="D884" s="6"/>
      <c r="H884" s="6" t="str">
        <f>IFERROR(__xludf.DUMMYFUNCTION("""COMPUTED_VALUE"""),"dubbed")</f>
        <v>dubbed</v>
      </c>
      <c r="I884" s="6" t="str">
        <f>IFERROR(__xludf.DUMMYFUNCTION("""COMPUTED_VALUE"""),"combat")</f>
        <v>combat</v>
      </c>
      <c r="J884" s="6" t="str">
        <f>IFERROR(__xludf.DUMMYFUNCTION("""COMPUTED_VALUE"""),"applies")</f>
        <v>applies</v>
      </c>
      <c r="M884" s="6"/>
      <c r="P884" s="6" t="str">
        <f>IFERROR(__xludf.DUMMYFUNCTION("""COMPUTED_VALUE"""),"played")</f>
        <v>played</v>
      </c>
      <c r="Q884" s="6" t="str">
        <f>IFERROR(__xludf.DUMMYFUNCTION("""COMPUTED_VALUE"""),"subconscious")</f>
        <v>subconscious</v>
      </c>
      <c r="S884" s="6" t="str">
        <f>IFERROR(__xludf.DUMMYFUNCTION("""COMPUTED_VALUE"""),"magnetic")</f>
        <v>magnetic</v>
      </c>
    </row>
    <row r="885">
      <c r="D885" s="6"/>
      <c r="H885" s="6" t="str">
        <f>IFERROR(__xludf.DUMMYFUNCTION("""COMPUTED_VALUE"""),"cruelty")</f>
        <v>cruelty</v>
      </c>
      <c r="I885" s="6" t="str">
        <f>IFERROR(__xludf.DUMMYFUNCTION("""COMPUTED_VALUE"""),"captain")</f>
        <v>captain</v>
      </c>
      <c r="J885" s="6" t="str">
        <f>IFERROR(__xludf.DUMMYFUNCTION("""COMPUTED_VALUE"""),"imaginative")</f>
        <v>imaginative</v>
      </c>
      <c r="M885" s="6"/>
      <c r="P885" s="6" t="str">
        <f>IFERROR(__xludf.DUMMYFUNCTION("""COMPUTED_VALUE"""),"case")</f>
        <v>case</v>
      </c>
      <c r="Q885" s="6" t="str">
        <f>IFERROR(__xludf.DUMMYFUNCTION("""COMPUTED_VALUE"""),"ought")</f>
        <v>ought</v>
      </c>
      <c r="S885" s="6" t="str">
        <f>IFERROR(__xludf.DUMMYFUNCTION("""COMPUTED_VALUE"""),"landmark")</f>
        <v>landmark</v>
      </c>
    </row>
    <row r="886">
      <c r="D886" s="6"/>
      <c r="H886" s="6" t="str">
        <f>IFERROR(__xludf.DUMMYFUNCTION("""COMPUTED_VALUE"""),"documented")</f>
        <v>documented</v>
      </c>
      <c r="I886" s="6" t="str">
        <f>IFERROR(__xludf.DUMMYFUNCTION("""COMPUTED_VALUE"""),"singing")</f>
        <v>singing</v>
      </c>
      <c r="J886" s="6" t="str">
        <f>IFERROR(__xludf.DUMMYFUNCTION("""COMPUTED_VALUE"""),"composition")</f>
        <v>composition</v>
      </c>
      <c r="M886" s="6"/>
      <c r="P886" s="6" t="str">
        <f>IFERROR(__xludf.DUMMYFUNCTION("""COMPUTED_VALUE"""),"commanding")</f>
        <v>commanding</v>
      </c>
      <c r="Q886" s="6" t="str">
        <f>IFERROR(__xludf.DUMMYFUNCTION("""COMPUTED_VALUE"""),"stirring")</f>
        <v>stirring</v>
      </c>
      <c r="S886" s="6" t="str">
        <f>IFERROR(__xludf.DUMMYFUNCTION("""COMPUTED_VALUE"""),"potential")</f>
        <v>potential</v>
      </c>
    </row>
    <row r="887">
      <c r="D887" s="6"/>
      <c r="H887" s="6" t="str">
        <f>IFERROR(__xludf.DUMMYFUNCTION("""COMPUTED_VALUE"""),"popcorn")</f>
        <v>popcorn</v>
      </c>
      <c r="I887" s="6" t="str">
        <f>IFERROR(__xludf.DUMMYFUNCTION("""COMPUTED_VALUE"""),"near")</f>
        <v>near</v>
      </c>
      <c r="J887" s="6" t="str">
        <f>IFERROR(__xludf.DUMMYFUNCTION("""COMPUTED_VALUE"""),"somber")</f>
        <v>somber</v>
      </c>
      <c r="M887" s="6"/>
      <c r="P887" s="6" t="str">
        <f>IFERROR(__xludf.DUMMYFUNCTION("""COMPUTED_VALUE"""),"staged")</f>
        <v>staged</v>
      </c>
      <c r="Q887" s="6" t="str">
        <f>IFERROR(__xludf.DUMMYFUNCTION("""COMPUTED_VALUE"""),"struggling")</f>
        <v>struggling</v>
      </c>
      <c r="S887" s="6" t="str">
        <f>IFERROR(__xludf.DUMMYFUNCTION("""COMPUTED_VALUE"""),"mixture")</f>
        <v>mixture</v>
      </c>
    </row>
    <row r="888">
      <c r="D888" s="6"/>
      <c r="H888" s="6" t="str">
        <f>IFERROR(__xludf.DUMMYFUNCTION("""COMPUTED_VALUE"""),"english")</f>
        <v>english</v>
      </c>
      <c r="I888" s="6" t="str">
        <f>IFERROR(__xludf.DUMMYFUNCTION("""COMPUTED_VALUE"""),"faint")</f>
        <v>faint</v>
      </c>
      <c r="J888" s="6" t="str">
        <f>IFERROR(__xludf.DUMMYFUNCTION("""COMPUTED_VALUE"""),"credible")</f>
        <v>credible</v>
      </c>
      <c r="M888" s="6"/>
      <c r="P888" s="6" t="str">
        <f>IFERROR(__xludf.DUMMYFUNCTION("""COMPUTED_VALUE"""),"web")</f>
        <v>web</v>
      </c>
      <c r="Q888" s="6" t="str">
        <f>IFERROR(__xludf.DUMMYFUNCTION("""COMPUTED_VALUE"""),"tier")</f>
        <v>tier</v>
      </c>
      <c r="S888" s="6" t="str">
        <f>IFERROR(__xludf.DUMMYFUNCTION("""COMPUTED_VALUE"""),"message")</f>
        <v>message</v>
      </c>
    </row>
    <row r="889">
      <c r="D889" s="6"/>
      <c r="H889" s="6" t="str">
        <f>IFERROR(__xludf.DUMMYFUNCTION("""COMPUTED_VALUE"""),"america")</f>
        <v>america</v>
      </c>
      <c r="I889" s="6" t="str">
        <f>IFERROR(__xludf.DUMMYFUNCTION("""COMPUTED_VALUE"""),"enjoying")</f>
        <v>enjoying</v>
      </c>
      <c r="J889" s="6" t="str">
        <f>IFERROR(__xludf.DUMMYFUNCTION("""COMPUTED_VALUE"""),"mature")</f>
        <v>mature</v>
      </c>
      <c r="M889" s="6"/>
      <c r="P889" s="6" t="str">
        <f>IFERROR(__xludf.DUMMYFUNCTION("""COMPUTED_VALUE"""),"alive")</f>
        <v>alive</v>
      </c>
      <c r="Q889" s="6" t="str">
        <f>IFERROR(__xludf.DUMMYFUNCTION("""COMPUTED_VALUE"""),"flourish")</f>
        <v>flourish</v>
      </c>
      <c r="S889" s="6" t="str">
        <f>IFERROR(__xludf.DUMMYFUNCTION("""COMPUTED_VALUE"""),"delicate")</f>
        <v>delicate</v>
      </c>
    </row>
    <row r="890">
      <c r="D890" s="6"/>
      <c r="H890" s="6" t="str">
        <f>IFERROR(__xludf.DUMMYFUNCTION("""COMPUTED_VALUE"""),"randall")</f>
        <v>randall</v>
      </c>
      <c r="I890" s="6" t="str">
        <f>IFERROR(__xludf.DUMMYFUNCTION("""COMPUTED_VALUE"""),"mechanical")</f>
        <v>mechanical</v>
      </c>
      <c r="J890" s="6" t="str">
        <f>IFERROR(__xludf.DUMMYFUNCTION("""COMPUTED_VALUE"""),"complications")</f>
        <v>complications</v>
      </c>
      <c r="M890" s="6"/>
      <c r="P890" s="6" t="str">
        <f>IFERROR(__xludf.DUMMYFUNCTION("""COMPUTED_VALUE"""),"scope")</f>
        <v>scope</v>
      </c>
      <c r="Q890" s="6" t="str">
        <f>IFERROR(__xludf.DUMMYFUNCTION("""COMPUTED_VALUE"""),"chan")</f>
        <v>chan</v>
      </c>
      <c r="S890" s="6" t="str">
        <f>IFERROR(__xludf.DUMMYFUNCTION("""COMPUTED_VALUE"""),"commentary")</f>
        <v>commentary</v>
      </c>
    </row>
    <row r="891">
      <c r="D891" s="6"/>
      <c r="H891" s="6" t="str">
        <f>IFERROR(__xludf.DUMMYFUNCTION("""COMPUTED_VALUE"""),"insights")</f>
        <v>insights</v>
      </c>
      <c r="I891" s="6" t="str">
        <f>IFERROR(__xludf.DUMMYFUNCTION("""COMPUTED_VALUE"""),"artwork")</f>
        <v>artwork</v>
      </c>
      <c r="J891" s="6" t="str">
        <f>IFERROR(__xludf.DUMMYFUNCTION("""COMPUTED_VALUE"""),"house")</f>
        <v>house</v>
      </c>
      <c r="M891" s="6"/>
      <c r="P891" s="6" t="str">
        <f>IFERROR(__xludf.DUMMYFUNCTION("""COMPUTED_VALUE"""),"dismissed")</f>
        <v>dismissed</v>
      </c>
      <c r="Q891" s="6" t="str">
        <f>IFERROR(__xludf.DUMMYFUNCTION("""COMPUTED_VALUE"""),"tender")</f>
        <v>tender</v>
      </c>
      <c r="S891" s="6" t="str">
        <f>IFERROR(__xludf.DUMMYFUNCTION("""COMPUTED_VALUE"""),"apparently")</f>
        <v>apparently</v>
      </c>
    </row>
    <row r="892">
      <c r="D892" s="6"/>
      <c r="H892" s="6" t="str">
        <f>IFERROR(__xludf.DUMMYFUNCTION("""COMPUTED_VALUE"""),"tensions")</f>
        <v>tensions</v>
      </c>
      <c r="I892" s="6" t="str">
        <f>IFERROR(__xludf.DUMMYFUNCTION("""COMPUTED_VALUE"""),"resolution")</f>
        <v>resolution</v>
      </c>
      <c r="J892" s="6" t="str">
        <f>IFERROR(__xludf.DUMMYFUNCTION("""COMPUTED_VALUE"""),"commerce")</f>
        <v>commerce</v>
      </c>
      <c r="M892" s="6"/>
      <c r="P892" s="6" t="str">
        <f>IFERROR(__xludf.DUMMYFUNCTION("""COMPUTED_VALUE"""),"forced")</f>
        <v>forced</v>
      </c>
      <c r="Q892" s="6" t="str">
        <f>IFERROR(__xludf.DUMMYFUNCTION("""COMPUTED_VALUE"""),"reflection")</f>
        <v>reflection</v>
      </c>
      <c r="S892" s="6" t="str">
        <f>IFERROR(__xludf.DUMMYFUNCTION("""COMPUTED_VALUE"""),"notice")</f>
        <v>notice</v>
      </c>
    </row>
    <row r="893">
      <c r="D893" s="6"/>
      <c r="H893" s="6" t="str">
        <f>IFERROR(__xludf.DUMMYFUNCTION("""COMPUTED_VALUE"""),"pushes")</f>
        <v>pushes</v>
      </c>
      <c r="I893" s="6" t="str">
        <f>IFERROR(__xludf.DUMMYFUNCTION("""COMPUTED_VALUE"""),"aids")</f>
        <v>aids</v>
      </c>
      <c r="J893" s="6" t="str">
        <f>IFERROR(__xludf.DUMMYFUNCTION("""COMPUTED_VALUE"""),"subtly")</f>
        <v>subtly</v>
      </c>
      <c r="M893" s="6"/>
      <c r="P893" s="6" t="str">
        <f>IFERROR(__xludf.DUMMYFUNCTION("""COMPUTED_VALUE"""),"williams")</f>
        <v>williams</v>
      </c>
      <c r="Q893" s="6" t="str">
        <f>IFERROR(__xludf.DUMMYFUNCTION("""COMPUTED_VALUE"""),"problematic")</f>
        <v>problematic</v>
      </c>
      <c r="S893" s="6" t="str">
        <f>IFERROR(__xludf.DUMMYFUNCTION("""COMPUTED_VALUE"""),"mill")</f>
        <v>mill</v>
      </c>
    </row>
    <row r="894">
      <c r="D894" s="6"/>
      <c r="H894" s="6" t="str">
        <f>IFERROR(__xludf.DUMMYFUNCTION("""COMPUTED_VALUE"""),"eyre")</f>
        <v>eyre</v>
      </c>
      <c r="I894" s="6" t="str">
        <f>IFERROR(__xludf.DUMMYFUNCTION("""COMPUTED_VALUE"""),"pitched")</f>
        <v>pitched</v>
      </c>
      <c r="J894" s="6" t="str">
        <f>IFERROR(__xludf.DUMMYFUNCTION("""COMPUTED_VALUE"""),"ballistic")</f>
        <v>ballistic</v>
      </c>
      <c r="M894" s="6"/>
      <c r="P894" s="6" t="str">
        <f>IFERROR(__xludf.DUMMYFUNCTION("""COMPUTED_VALUE"""),"source")</f>
        <v>source</v>
      </c>
      <c r="Q894" s="6" t="str">
        <f>IFERROR(__xludf.DUMMYFUNCTION("""COMPUTED_VALUE"""),"hilarious")</f>
        <v>hilarious</v>
      </c>
      <c r="S894" s="6" t="str">
        <f>IFERROR(__xludf.DUMMYFUNCTION("""COMPUTED_VALUE"""),"allen")</f>
        <v>allen</v>
      </c>
    </row>
    <row r="895">
      <c r="D895" s="6"/>
      <c r="H895" s="6" t="str">
        <f>IFERROR(__xludf.DUMMYFUNCTION("""COMPUTED_VALUE"""),"spike")</f>
        <v>spike</v>
      </c>
      <c r="I895" s="6" t="str">
        <f>IFERROR(__xludf.DUMMYFUNCTION("""COMPUTED_VALUE"""),"born")</f>
        <v>born</v>
      </c>
      <c r="J895" s="6" t="str">
        <f>IFERROR(__xludf.DUMMYFUNCTION("""COMPUTED_VALUE"""),"provoke")</f>
        <v>provoke</v>
      </c>
      <c r="M895" s="6"/>
      <c r="P895" s="6" t="str">
        <f>IFERROR(__xludf.DUMMYFUNCTION("""COMPUTED_VALUE"""),"towards")</f>
        <v>towards</v>
      </c>
      <c r="Q895" s="6" t="str">
        <f>IFERROR(__xludf.DUMMYFUNCTION("""COMPUTED_VALUE"""),"fantasia")</f>
        <v>fantasia</v>
      </c>
      <c r="S895" s="6" t="str">
        <f>IFERROR(__xludf.DUMMYFUNCTION("""COMPUTED_VALUE"""),"breathe")</f>
        <v>breathe</v>
      </c>
    </row>
    <row r="896">
      <c r="D896" s="6"/>
      <c r="H896" s="6" t="str">
        <f>IFERROR(__xludf.DUMMYFUNCTION("""COMPUTED_VALUE"""),"catches")</f>
        <v>catches</v>
      </c>
      <c r="I896" s="6" t="str">
        <f>IFERROR(__xludf.DUMMYFUNCTION("""COMPUTED_VALUE"""),"hug")</f>
        <v>hug</v>
      </c>
      <c r="J896" s="6" t="str">
        <f>IFERROR(__xludf.DUMMYFUNCTION("""COMPUTED_VALUE"""),"collapses")</f>
        <v>collapses</v>
      </c>
      <c r="M896" s="6"/>
      <c r="P896" s="6" t="str">
        <f>IFERROR(__xludf.DUMMYFUNCTION("""COMPUTED_VALUE"""),"revolution")</f>
        <v>revolution</v>
      </c>
      <c r="Q896" s="6" t="str">
        <f>IFERROR(__xludf.DUMMYFUNCTION("""COMPUTED_VALUE"""),"biographical")</f>
        <v>biographical</v>
      </c>
      <c r="S896" s="6" t="str">
        <f>IFERROR(__xludf.DUMMYFUNCTION("""COMPUTED_VALUE"""),"straight")</f>
        <v>straight</v>
      </c>
    </row>
    <row r="897">
      <c r="D897" s="6"/>
      <c r="H897" s="6" t="str">
        <f>IFERROR(__xludf.DUMMYFUNCTION("""COMPUTED_VALUE"""),"newcomer")</f>
        <v>newcomer</v>
      </c>
      <c r="I897" s="6" t="str">
        <f>IFERROR(__xludf.DUMMYFUNCTION("""COMPUTED_VALUE"""),"victim")</f>
        <v>victim</v>
      </c>
      <c r="J897" s="6" t="str">
        <f>IFERROR(__xludf.DUMMYFUNCTION("""COMPUTED_VALUE"""),"conceptual")</f>
        <v>conceptual</v>
      </c>
      <c r="M897" s="6"/>
      <c r="P897" s="6" t="str">
        <f>IFERROR(__xludf.DUMMYFUNCTION("""COMPUTED_VALUE"""),"compared")</f>
        <v>compared</v>
      </c>
      <c r="Q897" s="6" t="str">
        <f>IFERROR(__xludf.DUMMYFUNCTION("""COMPUTED_VALUE"""),"political")</f>
        <v>political</v>
      </c>
      <c r="S897" s="6" t="str">
        <f>IFERROR(__xludf.DUMMYFUNCTION("""COMPUTED_VALUE"""),"light")</f>
        <v>light</v>
      </c>
    </row>
    <row r="898">
      <c r="D898" s="6"/>
      <c r="H898" s="6" t="str">
        <f>IFERROR(__xludf.DUMMYFUNCTION("""COMPUTED_VALUE"""),"hoffman")</f>
        <v>hoffman</v>
      </c>
      <c r="I898" s="6" t="str">
        <f>IFERROR(__xludf.DUMMYFUNCTION("""COMPUTED_VALUE"""),"factors")</f>
        <v>factors</v>
      </c>
      <c r="J898" s="6" t="str">
        <f>IFERROR(__xludf.DUMMYFUNCTION("""COMPUTED_VALUE"""),"steady")</f>
        <v>steady</v>
      </c>
      <c r="M898" s="6"/>
      <c r="P898" s="6" t="str">
        <f>IFERROR(__xludf.DUMMYFUNCTION("""COMPUTED_VALUE"""),"technology")</f>
        <v>technology</v>
      </c>
      <c r="Q898" s="6" t="str">
        <f>IFERROR(__xludf.DUMMYFUNCTION("""COMPUTED_VALUE"""),"underwater")</f>
        <v>underwater</v>
      </c>
      <c r="S898" s="6" t="str">
        <f>IFERROR(__xludf.DUMMYFUNCTION("""COMPUTED_VALUE"""),"dying")</f>
        <v>dying</v>
      </c>
    </row>
    <row r="899">
      <c r="D899" s="6"/>
      <c r="H899" s="6" t="str">
        <f>IFERROR(__xludf.DUMMYFUNCTION("""COMPUTED_VALUE"""),"feat")</f>
        <v>feat</v>
      </c>
      <c r="I899" s="6" t="str">
        <f>IFERROR(__xludf.DUMMYFUNCTION("""COMPUTED_VALUE"""),"resistance")</f>
        <v>resistance</v>
      </c>
      <c r="J899" s="6" t="str">
        <f>IFERROR(__xludf.DUMMYFUNCTION("""COMPUTED_VALUE"""),"puzzle")</f>
        <v>puzzle</v>
      </c>
      <c r="M899" s="6"/>
      <c r="P899" s="6" t="str">
        <f>IFERROR(__xludf.DUMMYFUNCTION("""COMPUTED_VALUE"""),"comparison")</f>
        <v>comparison</v>
      </c>
      <c r="Q899" s="6" t="str">
        <f>IFERROR(__xludf.DUMMYFUNCTION("""COMPUTED_VALUE"""),"triangle")</f>
        <v>triangle</v>
      </c>
      <c r="S899" s="6" t="str">
        <f>IFERROR(__xludf.DUMMYFUNCTION("""COMPUTED_VALUE"""),"li")</f>
        <v>li</v>
      </c>
    </row>
    <row r="900">
      <c r="D900" s="6"/>
      <c r="H900" s="6" t="str">
        <f>IFERROR(__xludf.DUMMYFUNCTION("""COMPUTED_VALUE"""),"charismatic")</f>
        <v>charismatic</v>
      </c>
      <c r="I900" s="6" t="str">
        <f>IFERROR(__xludf.DUMMYFUNCTION("""COMPUTED_VALUE"""),"armed")</f>
        <v>armed</v>
      </c>
      <c r="J900" s="6" t="str">
        <f>IFERROR(__xludf.DUMMYFUNCTION("""COMPUTED_VALUE"""),"sorority")</f>
        <v>sorority</v>
      </c>
      <c r="M900" s="6"/>
      <c r="P900" s="6" t="str">
        <f>IFERROR(__xludf.DUMMYFUNCTION("""COMPUTED_VALUE"""),"maintains")</f>
        <v>maintains</v>
      </c>
      <c r="Q900" s="6" t="str">
        <f>IFERROR(__xludf.DUMMYFUNCTION("""COMPUTED_VALUE"""),"bermuda")</f>
        <v>bermuda</v>
      </c>
      <c r="S900" s="6" t="str">
        <f>IFERROR(__xludf.DUMMYFUNCTION("""COMPUTED_VALUE"""),"personality")</f>
        <v>personality</v>
      </c>
    </row>
    <row r="901">
      <c r="D901" s="6"/>
      <c r="H901" s="6" t="str">
        <f>IFERROR(__xludf.DUMMYFUNCTION("""COMPUTED_VALUE"""),"hunter")</f>
        <v>hunter</v>
      </c>
      <c r="I901" s="6" t="str">
        <f>IFERROR(__xludf.DUMMYFUNCTION("""COMPUTED_VALUE"""),"employment")</f>
        <v>employment</v>
      </c>
      <c r="J901" s="6" t="str">
        <f>IFERROR(__xludf.DUMMYFUNCTION("""COMPUTED_VALUE"""),"naturally")</f>
        <v>naturally</v>
      </c>
      <c r="M901" s="6"/>
      <c r="P901" s="6" t="str">
        <f>IFERROR(__xludf.DUMMYFUNCTION("""COMPUTED_VALUE"""),"pat")</f>
        <v>pat</v>
      </c>
      <c r="Q901" s="6" t="str">
        <f>IFERROR(__xludf.DUMMYFUNCTION("""COMPUTED_VALUE"""),"leon")</f>
        <v>leon</v>
      </c>
      <c r="S901" s="6" t="str">
        <f>IFERROR(__xludf.DUMMYFUNCTION("""COMPUTED_VALUE"""),"starting")</f>
        <v>starting</v>
      </c>
    </row>
    <row r="902">
      <c r="D902" s="6"/>
      <c r="H902" s="6" t="str">
        <f>IFERROR(__xludf.DUMMYFUNCTION("""COMPUTED_VALUE"""),"harmless")</f>
        <v>harmless</v>
      </c>
      <c r="I902" s="6" t="str">
        <f>IFERROR(__xludf.DUMMYFUNCTION("""COMPUTED_VALUE"""),"cricket")</f>
        <v>cricket</v>
      </c>
      <c r="J902" s="6" t="str">
        <f>IFERROR(__xludf.DUMMYFUNCTION("""COMPUTED_VALUE"""),"corpse")</f>
        <v>corpse</v>
      </c>
      <c r="M902" s="6"/>
      <c r="P902" s="6" t="str">
        <f>IFERROR(__xludf.DUMMYFUNCTION("""COMPUTED_VALUE"""),"status")</f>
        <v>status</v>
      </c>
      <c r="Q902" s="6" t="str">
        <f>IFERROR(__xludf.DUMMYFUNCTION("""COMPUTED_VALUE"""),"novel")</f>
        <v>novel</v>
      </c>
      <c r="S902" s="6" t="str">
        <f>IFERROR(__xludf.DUMMYFUNCTION("""COMPUTED_VALUE"""),"moore")</f>
        <v>moore</v>
      </c>
    </row>
    <row r="903">
      <c r="D903" s="6"/>
      <c r="H903" s="6" t="str">
        <f>IFERROR(__xludf.DUMMYFUNCTION("""COMPUTED_VALUE"""),"vulnerability")</f>
        <v>vulnerability</v>
      </c>
      <c r="I903" s="6" t="str">
        <f>IFERROR(__xludf.DUMMYFUNCTION("""COMPUTED_VALUE"""),"athletes")</f>
        <v>athletes</v>
      </c>
      <c r="J903" s="6" t="str">
        <f>IFERROR(__xludf.DUMMYFUNCTION("""COMPUTED_VALUE"""),"siege")</f>
        <v>siege</v>
      </c>
      <c r="M903" s="6"/>
      <c r="P903" s="6" t="str">
        <f>IFERROR(__xludf.DUMMYFUNCTION("""COMPUTED_VALUE"""),"identity")</f>
        <v>identity</v>
      </c>
      <c r="Q903" s="6" t="str">
        <f>IFERROR(__xludf.DUMMYFUNCTION("""COMPUTED_VALUE"""),"monster")</f>
        <v>monster</v>
      </c>
      <c r="S903" s="6" t="str">
        <f>IFERROR(__xludf.DUMMYFUNCTION("""COMPUTED_VALUE"""),"known")</f>
        <v>known</v>
      </c>
    </row>
    <row r="904">
      <c r="D904" s="6"/>
      <c r="H904" s="6" t="str">
        <f>IFERROR(__xludf.DUMMYFUNCTION("""COMPUTED_VALUE"""),"sweetness")</f>
        <v>sweetness</v>
      </c>
      <c r="I904" s="6" t="str">
        <f>IFERROR(__xludf.DUMMYFUNCTION("""COMPUTED_VALUE"""),"canon")</f>
        <v>canon</v>
      </c>
      <c r="J904" s="6" t="str">
        <f>IFERROR(__xludf.DUMMYFUNCTION("""COMPUTED_VALUE"""),"climax")</f>
        <v>climax</v>
      </c>
      <c r="M904" s="6"/>
      <c r="P904" s="6" t="str">
        <f>IFERROR(__xludf.DUMMYFUNCTION("""COMPUTED_VALUE"""),"dubbed")</f>
        <v>dubbed</v>
      </c>
      <c r="Q904" s="6" t="str">
        <f>IFERROR(__xludf.DUMMYFUNCTION("""COMPUTED_VALUE"""),"satirical")</f>
        <v>satirical</v>
      </c>
      <c r="S904" s="6" t="str">
        <f>IFERROR(__xludf.DUMMYFUNCTION("""COMPUTED_VALUE"""),"country")</f>
        <v>country</v>
      </c>
    </row>
    <row r="905">
      <c r="D905" s="6"/>
      <c r="H905" s="6" t="str">
        <f>IFERROR(__xludf.DUMMYFUNCTION("""COMPUTED_VALUE"""),"adequately")</f>
        <v>adequately</v>
      </c>
      <c r="I905" s="6" t="str">
        <f>IFERROR(__xludf.DUMMYFUNCTION("""COMPUTED_VALUE"""),"grown")</f>
        <v>grown</v>
      </c>
      <c r="J905" s="6" t="str">
        <f>IFERROR(__xludf.DUMMYFUNCTION("""COMPUTED_VALUE"""),"jealousy")</f>
        <v>jealousy</v>
      </c>
      <c r="M905" s="6"/>
      <c r="P905" s="6" t="str">
        <f>IFERROR(__xludf.DUMMYFUNCTION("""COMPUTED_VALUE"""),"effect")</f>
        <v>effect</v>
      </c>
      <c r="Q905" s="6" t="str">
        <f>IFERROR(__xludf.DUMMYFUNCTION("""COMPUTED_VALUE"""),"pained")</f>
        <v>pained</v>
      </c>
      <c r="S905" s="6" t="str">
        <f>IFERROR(__xludf.DUMMYFUNCTION("""COMPUTED_VALUE"""),"rank")</f>
        <v>rank</v>
      </c>
    </row>
    <row r="906">
      <c r="D906" s="6"/>
      <c r="H906" s="6" t="str">
        <f>IFERROR(__xludf.DUMMYFUNCTION("""COMPUTED_VALUE"""),"dependent")</f>
        <v>dependent</v>
      </c>
      <c r="I906" s="6" t="str">
        <f>IFERROR(__xludf.DUMMYFUNCTION("""COMPUTED_VALUE"""),"flesh")</f>
        <v>flesh</v>
      </c>
      <c r="J906" s="6" t="str">
        <f>IFERROR(__xludf.DUMMYFUNCTION("""COMPUTED_VALUE"""),"christopher")</f>
        <v>christopher</v>
      </c>
      <c r="M906" s="6"/>
      <c r="P906" s="6" t="str">
        <f>IFERROR(__xludf.DUMMYFUNCTION("""COMPUTED_VALUE"""),"novels")</f>
        <v>novels</v>
      </c>
      <c r="Q906" s="6" t="str">
        <f>IFERROR(__xludf.DUMMYFUNCTION("""COMPUTED_VALUE"""),"bracing")</f>
        <v>bracing</v>
      </c>
      <c r="S906" s="6" t="str">
        <f>IFERROR(__xludf.DUMMYFUNCTION("""COMPUTED_VALUE"""),"jacques")</f>
        <v>jacques</v>
      </c>
    </row>
    <row r="907">
      <c r="D907" s="6"/>
      <c r="H907" s="6" t="str">
        <f>IFERROR(__xludf.DUMMYFUNCTION("""COMPUTED_VALUE"""),"uncertain")</f>
        <v>uncertain</v>
      </c>
      <c r="I907" s="6" t="str">
        <f>IFERROR(__xludf.DUMMYFUNCTION("""COMPUTED_VALUE"""),"illness")</f>
        <v>illness</v>
      </c>
      <c r="J907" s="6" t="str">
        <f>IFERROR(__xludf.DUMMYFUNCTION("""COMPUTED_VALUE"""),"classify")</f>
        <v>classify</v>
      </c>
      <c r="M907" s="6"/>
      <c r="P907" s="6" t="str">
        <f>IFERROR(__xludf.DUMMYFUNCTION("""COMPUTED_VALUE"""),"documented")</f>
        <v>documented</v>
      </c>
      <c r="Q907" s="6" t="str">
        <f>IFERROR(__xludf.DUMMYFUNCTION("""COMPUTED_VALUE"""),"truth")</f>
        <v>truth</v>
      </c>
      <c r="S907" s="6" t="str">
        <f>IFERROR(__xludf.DUMMYFUNCTION("""COMPUTED_VALUE"""),"belongs")</f>
        <v>belongs</v>
      </c>
    </row>
    <row r="908">
      <c r="D908" s="6"/>
      <c r="H908" s="6" t="str">
        <f>IFERROR(__xludf.DUMMYFUNCTION("""COMPUTED_VALUE"""),"insulting")</f>
        <v>insulting</v>
      </c>
      <c r="I908" s="6" t="str">
        <f>IFERROR(__xludf.DUMMYFUNCTION("""COMPUTED_VALUE"""),"winds")</f>
        <v>winds</v>
      </c>
      <c r="J908" s="6" t="str">
        <f>IFERROR(__xludf.DUMMYFUNCTION("""COMPUTED_VALUE"""),"autobiographical")</f>
        <v>autobiographical</v>
      </c>
      <c r="M908" s="6"/>
      <c r="P908" s="6" t="str">
        <f>IFERROR(__xludf.DUMMYFUNCTION("""COMPUTED_VALUE"""),"expected")</f>
        <v>expected</v>
      </c>
      <c r="Q908" s="6" t="str">
        <f>IFERROR(__xludf.DUMMYFUNCTION("""COMPUTED_VALUE"""),"singular")</f>
        <v>singular</v>
      </c>
      <c r="S908" s="6" t="str">
        <f>IFERROR(__xludf.DUMMYFUNCTION("""COMPUTED_VALUE"""),"eight")</f>
        <v>eight</v>
      </c>
    </row>
    <row r="909">
      <c r="D909" s="6"/>
      <c r="H909" s="6" t="str">
        <f>IFERROR(__xludf.DUMMYFUNCTION("""COMPUTED_VALUE"""),"morally")</f>
        <v>morally</v>
      </c>
      <c r="I909" s="6" t="str">
        <f>IFERROR(__xludf.DUMMYFUNCTION("""COMPUTED_VALUE"""),"monsters")</f>
        <v>monsters</v>
      </c>
      <c r="J909" s="6" t="str">
        <f>IFERROR(__xludf.DUMMYFUNCTION("""COMPUTED_VALUE"""),"aging")</f>
        <v>aging</v>
      </c>
      <c r="M909" s="6"/>
      <c r="P909" s="6" t="str">
        <f>IFERROR(__xludf.DUMMYFUNCTION("""COMPUTED_VALUE"""),"croatia")</f>
        <v>croatia</v>
      </c>
      <c r="Q909" s="6" t="str">
        <f>IFERROR(__xludf.DUMMYFUNCTION("""COMPUTED_VALUE"""),"motives")</f>
        <v>motives</v>
      </c>
      <c r="S909" s="6" t="str">
        <f>IFERROR(__xludf.DUMMYFUNCTION("""COMPUTED_VALUE"""),"bonds")</f>
        <v>bonds</v>
      </c>
    </row>
    <row r="910">
      <c r="D910" s="6"/>
      <c r="H910" s="6" t="str">
        <f>IFERROR(__xludf.DUMMYFUNCTION("""COMPUTED_VALUE"""),"editing")</f>
        <v>editing</v>
      </c>
      <c r="I910" s="6" t="str">
        <f>IFERROR(__xludf.DUMMYFUNCTION("""COMPUTED_VALUE"""),"rally")</f>
        <v>rally</v>
      </c>
      <c r="J910" s="6" t="str">
        <f>IFERROR(__xludf.DUMMYFUNCTION("""COMPUTED_VALUE"""),"urgently")</f>
        <v>urgently</v>
      </c>
      <c r="M910" s="6"/>
      <c r="P910" s="6" t="str">
        <f>IFERROR(__xludf.DUMMYFUNCTION("""COMPUTED_VALUE"""),"russian")</f>
        <v>russian</v>
      </c>
      <c r="Q910" s="6" t="str">
        <f>IFERROR(__xludf.DUMMYFUNCTION("""COMPUTED_VALUE"""),"substance")</f>
        <v>substance</v>
      </c>
      <c r="S910" s="6" t="str">
        <f>IFERROR(__xludf.DUMMYFUNCTION("""COMPUTED_VALUE"""),"address")</f>
        <v>address</v>
      </c>
    </row>
    <row r="911">
      <c r="D911" s="6"/>
      <c r="H911" s="6" t="str">
        <f>IFERROR(__xludf.DUMMYFUNCTION("""COMPUTED_VALUE"""),"strength")</f>
        <v>strength</v>
      </c>
      <c r="I911" s="6" t="str">
        <f>IFERROR(__xludf.DUMMYFUNCTION("""COMPUTED_VALUE"""),"suffer")</f>
        <v>suffer</v>
      </c>
      <c r="J911" s="6" t="str">
        <f>IFERROR(__xludf.DUMMYFUNCTION("""COMPUTED_VALUE"""),"workings")</f>
        <v>workings</v>
      </c>
      <c r="M911" s="6"/>
      <c r="P911" s="6" t="str">
        <f>IFERROR(__xludf.DUMMYFUNCTION("""COMPUTED_VALUE"""),"america")</f>
        <v>america</v>
      </c>
      <c r="Q911" s="6" t="str">
        <f>IFERROR(__xludf.DUMMYFUNCTION("""COMPUTED_VALUE"""),"drains")</f>
        <v>drains</v>
      </c>
      <c r="S911" s="6" t="str">
        <f>IFERROR(__xludf.DUMMYFUNCTION("""COMPUTED_VALUE"""),"barely")</f>
        <v>barely</v>
      </c>
    </row>
    <row r="912">
      <c r="D912" s="6"/>
      <c r="H912" s="6" t="str">
        <f>IFERROR(__xludf.DUMMYFUNCTION("""COMPUTED_VALUE"""),"confident")</f>
        <v>confident</v>
      </c>
      <c r="I912" s="6" t="str">
        <f>IFERROR(__xludf.DUMMYFUNCTION("""COMPUTED_VALUE"""),"dimensions")</f>
        <v>dimensions</v>
      </c>
      <c r="J912" s="6" t="str">
        <f>IFERROR(__xludf.DUMMYFUNCTION("""COMPUTED_VALUE"""),"virtues")</f>
        <v>virtues</v>
      </c>
      <c r="M912" s="6"/>
      <c r="P912" s="6" t="str">
        <f>IFERROR(__xludf.DUMMYFUNCTION("""COMPUTED_VALUE"""),"english")</f>
        <v>english</v>
      </c>
      <c r="Q912" s="6" t="str">
        <f>IFERROR(__xludf.DUMMYFUNCTION("""COMPUTED_VALUE"""),"barrels")</f>
        <v>barrels</v>
      </c>
      <c r="S912" s="6" t="str">
        <f>IFERROR(__xludf.DUMMYFUNCTION("""COMPUTED_VALUE"""),"lie")</f>
        <v>lie</v>
      </c>
    </row>
    <row r="913">
      <c r="D913" s="6"/>
      <c r="H913" s="6" t="str">
        <f>IFERROR(__xludf.DUMMYFUNCTION("""COMPUTED_VALUE"""),"scripts")</f>
        <v>scripts</v>
      </c>
      <c r="I913" s="6" t="str">
        <f>IFERROR(__xludf.DUMMYFUNCTION("""COMPUTED_VALUE"""),"disease")</f>
        <v>disease</v>
      </c>
      <c r="J913" s="6" t="str">
        <f>IFERROR(__xludf.DUMMYFUNCTION("""COMPUTED_VALUE"""),"abyss")</f>
        <v>abyss</v>
      </c>
      <c r="M913" s="6"/>
      <c r="P913" s="6" t="str">
        <f>IFERROR(__xludf.DUMMYFUNCTION("""COMPUTED_VALUE"""),"word")</f>
        <v>word</v>
      </c>
      <c r="Q913" s="6" t="str">
        <f>IFERROR(__xludf.DUMMYFUNCTION("""COMPUTED_VALUE"""),"sexy")</f>
        <v>sexy</v>
      </c>
      <c r="S913" s="6" t="str">
        <f>IFERROR(__xludf.DUMMYFUNCTION("""COMPUTED_VALUE"""),"governments")</f>
        <v>governments</v>
      </c>
    </row>
    <row r="914">
      <c r="D914" s="6"/>
      <c r="H914" s="6" t="str">
        <f>IFERROR(__xludf.DUMMYFUNCTION("""COMPUTED_VALUE"""),"abandon")</f>
        <v>abandon</v>
      </c>
      <c r="I914" s="6" t="str">
        <f>IFERROR(__xludf.DUMMYFUNCTION("""COMPUTED_VALUE"""),"classification")</f>
        <v>classification</v>
      </c>
      <c r="J914" s="6" t="str">
        <f>IFERROR(__xludf.DUMMYFUNCTION("""COMPUTED_VALUE"""),"eroded")</f>
        <v>eroded</v>
      </c>
      <c r="M914" s="6"/>
      <c r="P914" s="6" t="str">
        <f>IFERROR(__xludf.DUMMYFUNCTION("""COMPUTED_VALUE"""),"spike")</f>
        <v>spike</v>
      </c>
      <c r="Q914" s="6" t="str">
        <f>IFERROR(__xludf.DUMMYFUNCTION("""COMPUTED_VALUE"""),"smoking")</f>
        <v>smoking</v>
      </c>
      <c r="S914" s="6" t="str">
        <f>IFERROR(__xludf.DUMMYFUNCTION("""COMPUTED_VALUE"""),"reconstruction")</f>
        <v>reconstruction</v>
      </c>
    </row>
    <row r="915">
      <c r="D915" s="6"/>
      <c r="H915" s="6" t="str">
        <f>IFERROR(__xludf.DUMMYFUNCTION("""COMPUTED_VALUE"""),"stephen")</f>
        <v>stephen</v>
      </c>
      <c r="I915" s="6" t="str">
        <f>IFERROR(__xludf.DUMMYFUNCTION("""COMPUTED_VALUE"""),"revenge")</f>
        <v>revenge</v>
      </c>
      <c r="J915" s="6" t="str">
        <f>IFERROR(__xludf.DUMMYFUNCTION("""COMPUTED_VALUE"""),"flawed")</f>
        <v>flawed</v>
      </c>
      <c r="M915" s="6"/>
      <c r="P915" s="6" t="str">
        <f>IFERROR(__xludf.DUMMYFUNCTION("""COMPUTED_VALUE"""),"party")</f>
        <v>party</v>
      </c>
      <c r="Q915" s="6" t="str">
        <f>IFERROR(__xludf.DUMMYFUNCTION("""COMPUTED_VALUE"""),"magnetic")</f>
        <v>magnetic</v>
      </c>
      <c r="S915" s="6" t="str">
        <f>IFERROR(__xludf.DUMMYFUNCTION("""COMPUTED_VALUE"""),"glory")</f>
        <v>glory</v>
      </c>
    </row>
    <row r="916">
      <c r="D916" s="6"/>
      <c r="H916" s="6" t="str">
        <f>IFERROR(__xludf.DUMMYFUNCTION("""COMPUTED_VALUE"""),"richer")</f>
        <v>richer</v>
      </c>
      <c r="I916" s="6" t="str">
        <f>IFERROR(__xludf.DUMMYFUNCTION("""COMPUTED_VALUE"""),"references")</f>
        <v>references</v>
      </c>
      <c r="J916" s="6" t="str">
        <f>IFERROR(__xludf.DUMMYFUNCTION("""COMPUTED_VALUE"""),"comprehend")</f>
        <v>comprehend</v>
      </c>
      <c r="M916" s="6"/>
      <c r="P916" s="6" t="str">
        <f>IFERROR(__xludf.DUMMYFUNCTION("""COMPUTED_VALUE"""),"hunter")</f>
        <v>hunter</v>
      </c>
      <c r="Q916" s="6" t="str">
        <f>IFERROR(__xludf.DUMMYFUNCTION("""COMPUTED_VALUE"""),"barney")</f>
        <v>barney</v>
      </c>
      <c r="S916" s="6" t="str">
        <f>IFERROR(__xludf.DUMMYFUNCTION("""COMPUTED_VALUE"""),"fight")</f>
        <v>fight</v>
      </c>
    </row>
    <row r="917">
      <c r="D917" s="6"/>
      <c r="H917" s="6" t="str">
        <f>IFERROR(__xludf.DUMMYFUNCTION("""COMPUTED_VALUE"""),"publishing")</f>
        <v>publishing</v>
      </c>
      <c r="I917" s="6" t="str">
        <f>IFERROR(__xludf.DUMMYFUNCTION("""COMPUTED_VALUE"""),"succeeded")</f>
        <v>succeeded</v>
      </c>
      <c r="J917" s="6" t="str">
        <f>IFERROR(__xludf.DUMMYFUNCTION("""COMPUTED_VALUE"""),"lifts")</f>
        <v>lifts</v>
      </c>
      <c r="M917" s="6"/>
      <c r="P917" s="6" t="str">
        <f>IFERROR(__xludf.DUMMYFUNCTION("""COMPUTED_VALUE"""),"feat")</f>
        <v>feat</v>
      </c>
      <c r="Q917" s="6" t="str">
        <f>IFERROR(__xludf.DUMMYFUNCTION("""COMPUTED_VALUE"""),"lunatic")</f>
        <v>lunatic</v>
      </c>
      <c r="S917" s="6" t="str">
        <f>IFERROR(__xludf.DUMMYFUNCTION("""COMPUTED_VALUE"""),"god")</f>
        <v>god</v>
      </c>
    </row>
    <row r="918">
      <c r="D918" s="6"/>
      <c r="H918" s="6" t="str">
        <f>IFERROR(__xludf.DUMMYFUNCTION("""COMPUTED_VALUE"""),"hearst")</f>
        <v>hearst</v>
      </c>
      <c r="I918" s="6" t="str">
        <f>IFERROR(__xludf.DUMMYFUNCTION("""COMPUTED_VALUE"""),"clouds")</f>
        <v>clouds</v>
      </c>
      <c r="J918" s="6" t="str">
        <f>IFERROR(__xludf.DUMMYFUNCTION("""COMPUTED_VALUE"""),"regain")</f>
        <v>regain</v>
      </c>
      <c r="M918" s="6"/>
      <c r="P918" s="6" t="str">
        <f>IFERROR(__xludf.DUMMYFUNCTION("""COMPUTED_VALUE"""),"third")</f>
        <v>third</v>
      </c>
      <c r="Q918" s="6" t="str">
        <f>IFERROR(__xludf.DUMMYFUNCTION("""COMPUTED_VALUE"""),"monstrous")</f>
        <v>monstrous</v>
      </c>
      <c r="S918" s="6" t="str">
        <f>IFERROR(__xludf.DUMMYFUNCTION("""COMPUTED_VALUE"""),"floating")</f>
        <v>floating</v>
      </c>
    </row>
    <row r="919">
      <c r="D919" s="6"/>
      <c r="H919" s="6" t="str">
        <f>IFERROR(__xludf.DUMMYFUNCTION("""COMPUTED_VALUE"""),"william")</f>
        <v>william</v>
      </c>
      <c r="I919" s="6" t="str">
        <f>IFERROR(__xludf.DUMMYFUNCTION("""COMPUTED_VALUE"""),"opened")</f>
        <v>opened</v>
      </c>
      <c r="J919" s="6" t="str">
        <f>IFERROR(__xludf.DUMMYFUNCTION("""COMPUTED_VALUE"""),"manipulation")</f>
        <v>manipulation</v>
      </c>
      <c r="M919" s="6"/>
      <c r="P919" s="6" t="str">
        <f>IFERROR(__xludf.DUMMYFUNCTION("""COMPUTED_VALUE"""),"dependent")</f>
        <v>dependent</v>
      </c>
      <c r="Q919" s="6" t="str">
        <f>IFERROR(__xludf.DUMMYFUNCTION("""COMPUTED_VALUE"""),"inherent")</f>
        <v>inherent</v>
      </c>
      <c r="S919" s="6" t="str">
        <f>IFERROR(__xludf.DUMMYFUNCTION("""COMPUTED_VALUE"""),"memorial")</f>
        <v>memorial</v>
      </c>
    </row>
    <row r="920">
      <c r="D920" s="6"/>
      <c r="H920" s="6" t="str">
        <f>IFERROR(__xludf.DUMMYFUNCTION("""COMPUTED_VALUE"""),"hollow")</f>
        <v>hollow</v>
      </c>
      <c r="I920" s="6" t="str">
        <f>IFERROR(__xludf.DUMMYFUNCTION("""COMPUTED_VALUE"""),"record")</f>
        <v>record</v>
      </c>
      <c r="J920" s="6" t="str">
        <f>IFERROR(__xludf.DUMMYFUNCTION("""COMPUTED_VALUE"""),"optimism")</f>
        <v>optimism</v>
      </c>
      <c r="M920" s="6"/>
      <c r="P920" s="6" t="str">
        <f>IFERROR(__xludf.DUMMYFUNCTION("""COMPUTED_VALUE"""),"uncertain")</f>
        <v>uncertain</v>
      </c>
      <c r="Q920" s="6" t="str">
        <f>IFERROR(__xludf.DUMMYFUNCTION("""COMPUTED_VALUE"""),"mixture")</f>
        <v>mixture</v>
      </c>
      <c r="S920" s="6" t="str">
        <f>IFERROR(__xludf.DUMMYFUNCTION("""COMPUTED_VALUE"""),"guest")</f>
        <v>guest</v>
      </c>
    </row>
    <row r="921">
      <c r="D921" s="6"/>
      <c r="H921" s="6" t="str">
        <f>IFERROR(__xludf.DUMMYFUNCTION("""COMPUTED_VALUE"""),"beginnings")</f>
        <v>beginnings</v>
      </c>
      <c r="I921" s="6" t="str">
        <f>IFERROR(__xludf.DUMMYFUNCTION("""COMPUTED_VALUE"""),"rejected")</f>
        <v>rejected</v>
      </c>
      <c r="J921" s="6" t="str">
        <f>IFERROR(__xludf.DUMMYFUNCTION("""COMPUTED_VALUE"""),"hughes")</f>
        <v>hughes</v>
      </c>
      <c r="M921" s="6"/>
      <c r="P921" s="6" t="str">
        <f>IFERROR(__xludf.DUMMYFUNCTION("""COMPUTED_VALUE"""),"battle")</f>
        <v>battle</v>
      </c>
      <c r="Q921" s="6" t="str">
        <f>IFERROR(__xludf.DUMMYFUNCTION("""COMPUTED_VALUE"""),"redemption")</f>
        <v>redemption</v>
      </c>
      <c r="S921" s="6" t="str">
        <f>IFERROR(__xludf.DUMMYFUNCTION("""COMPUTED_VALUE"""),"plays")</f>
        <v>plays</v>
      </c>
    </row>
    <row r="922">
      <c r="D922" s="6"/>
      <c r="H922" s="6" t="str">
        <f>IFERROR(__xludf.DUMMYFUNCTION("""COMPUTED_VALUE"""),"burning")</f>
        <v>burning</v>
      </c>
      <c r="I922" s="6" t="str">
        <f>IFERROR(__xludf.DUMMYFUNCTION("""COMPUTED_VALUE"""),"settled")</f>
        <v>settled</v>
      </c>
      <c r="J922" s="6" t="str">
        <f>IFERROR(__xludf.DUMMYFUNCTION("""COMPUTED_VALUE"""),"elder")</f>
        <v>elder</v>
      </c>
      <c r="M922" s="6"/>
      <c r="P922" s="6" t="str">
        <f>IFERROR(__xludf.DUMMYFUNCTION("""COMPUTED_VALUE"""),"latest")</f>
        <v>latest</v>
      </c>
      <c r="Q922" s="6" t="str">
        <f>IFERROR(__xludf.DUMMYFUNCTION("""COMPUTED_VALUE"""),"praises")</f>
        <v>praises</v>
      </c>
      <c r="S922" s="6" t="str">
        <f>IFERROR(__xludf.DUMMYFUNCTION("""COMPUTED_VALUE"""),"creek")</f>
        <v>creek</v>
      </c>
    </row>
    <row r="923">
      <c r="D923" s="6"/>
      <c r="H923" s="6" t="str">
        <f>IFERROR(__xludf.DUMMYFUNCTION("""COMPUTED_VALUE"""),"sincerity")</f>
        <v>sincerity</v>
      </c>
      <c r="I923" s="6" t="str">
        <f>IFERROR(__xludf.DUMMYFUNCTION("""COMPUTED_VALUE"""),"suggests")</f>
        <v>suggests</v>
      </c>
      <c r="J923" s="6" t="str">
        <f>IFERROR(__xludf.DUMMYFUNCTION("""COMPUTED_VALUE"""),"terror")</f>
        <v>terror</v>
      </c>
      <c r="M923" s="6"/>
      <c r="P923" s="6" t="str">
        <f>IFERROR(__xludf.DUMMYFUNCTION("""COMPUTED_VALUE"""),"comedian")</f>
        <v>comedian</v>
      </c>
      <c r="Q923" s="6" t="str">
        <f>IFERROR(__xludf.DUMMYFUNCTION("""COMPUTED_VALUE"""),"ecological")</f>
        <v>ecological</v>
      </c>
      <c r="S923" s="6" t="str">
        <f>IFERROR(__xludf.DUMMYFUNCTION("""COMPUTED_VALUE"""),"fast")</f>
        <v>fast</v>
      </c>
    </row>
    <row r="924">
      <c r="D924" s="6"/>
      <c r="H924" s="6" t="str">
        <f>IFERROR(__xludf.DUMMYFUNCTION("""COMPUTED_VALUE"""),"unchanged")</f>
        <v>unchanged</v>
      </c>
      <c r="I924" s="6" t="str">
        <f>IFERROR(__xludf.DUMMYFUNCTION("""COMPUTED_VALUE"""),"neck")</f>
        <v>neck</v>
      </c>
      <c r="J924" s="6" t="str">
        <f>IFERROR(__xludf.DUMMYFUNCTION("""COMPUTED_VALUE"""),"intentions")</f>
        <v>intentions</v>
      </c>
      <c r="M924" s="6"/>
      <c r="P924" s="6" t="str">
        <f>IFERROR(__xludf.DUMMYFUNCTION("""COMPUTED_VALUE"""),"song")</f>
        <v>song</v>
      </c>
      <c r="Q924" s="6" t="str">
        <f>IFERROR(__xludf.DUMMYFUNCTION("""COMPUTED_VALUE"""),"message")</f>
        <v>message</v>
      </c>
      <c r="S924" s="6" t="str">
        <f>IFERROR(__xludf.DUMMYFUNCTION("""COMPUTED_VALUE"""),"asleep")</f>
        <v>asleep</v>
      </c>
    </row>
    <row r="925">
      <c r="D925" s="6"/>
      <c r="H925" s="6" t="str">
        <f>IFERROR(__xludf.DUMMYFUNCTION("""COMPUTED_VALUE"""),"portrayed")</f>
        <v>portrayed</v>
      </c>
      <c r="I925" s="6" t="str">
        <f>IFERROR(__xludf.DUMMYFUNCTION("""COMPUTED_VALUE"""),"principles")</f>
        <v>principles</v>
      </c>
      <c r="J925" s="6" t="str">
        <f>IFERROR(__xludf.DUMMYFUNCTION("""COMPUTED_VALUE"""),"owes")</f>
        <v>owes</v>
      </c>
      <c r="M925" s="6"/>
      <c r="P925" s="6" t="str">
        <f>IFERROR(__xludf.DUMMYFUNCTION("""COMPUTED_VALUE"""),"editing")</f>
        <v>editing</v>
      </c>
      <c r="Q925" s="6" t="str">
        <f>IFERROR(__xludf.DUMMYFUNCTION("""COMPUTED_VALUE"""),"delicate")</f>
        <v>delicate</v>
      </c>
      <c r="S925" s="6" t="str">
        <f>IFERROR(__xludf.DUMMYFUNCTION("""COMPUTED_VALUE"""),"company")</f>
        <v>company</v>
      </c>
    </row>
    <row r="926">
      <c r="D926" s="6"/>
      <c r="H926" s="6" t="str">
        <f>IFERROR(__xludf.DUMMYFUNCTION("""COMPUTED_VALUE"""),"groundbreaking")</f>
        <v>groundbreaking</v>
      </c>
      <c r="I926" s="6">
        <f>IFERROR(__xludf.DUMMYFUNCTION("""COMPUTED_VALUE"""),1938.0)</f>
        <v>1938</v>
      </c>
      <c r="J926" s="6" t="str">
        <f>IFERROR(__xludf.DUMMYFUNCTION("""COMPUTED_VALUE"""),"genesis")</f>
        <v>genesis</v>
      </c>
      <c r="M926" s="6"/>
      <c r="P926" s="6" t="str">
        <f>IFERROR(__xludf.DUMMYFUNCTION("""COMPUTED_VALUE"""),"strength")</f>
        <v>strength</v>
      </c>
      <c r="Q926" s="6" t="str">
        <f>IFERROR(__xludf.DUMMYFUNCTION("""COMPUTED_VALUE"""),"sociological")</f>
        <v>sociological</v>
      </c>
      <c r="S926" s="6" t="str">
        <f>IFERROR(__xludf.DUMMYFUNCTION("""COMPUTED_VALUE"""),"pair")</f>
        <v>pair</v>
      </c>
    </row>
    <row r="927">
      <c r="D927" s="6"/>
      <c r="H927" s="6" t="str">
        <f>IFERROR(__xludf.DUMMYFUNCTION("""COMPUTED_VALUE"""),"endeavor")</f>
        <v>endeavor</v>
      </c>
      <c r="I927" s="6" t="str">
        <f>IFERROR(__xludf.DUMMYFUNCTION("""COMPUTED_VALUE"""),"nicolas")</f>
        <v>nicolas</v>
      </c>
      <c r="J927" s="6" t="str">
        <f>IFERROR(__xludf.DUMMYFUNCTION("""COMPUTED_VALUE"""),"naval")</f>
        <v>naval</v>
      </c>
      <c r="M927" s="6"/>
      <c r="P927" s="6" t="str">
        <f>IFERROR(__xludf.DUMMYFUNCTION("""COMPUTED_VALUE"""),"confident")</f>
        <v>confident</v>
      </c>
      <c r="Q927" s="6" t="str">
        <f>IFERROR(__xludf.DUMMYFUNCTION("""COMPUTED_VALUE"""),"commentary")</f>
        <v>commentary</v>
      </c>
      <c r="S927" s="6" t="str">
        <f>IFERROR(__xludf.DUMMYFUNCTION("""COMPUTED_VALUE"""),"mountain")</f>
        <v>mountain</v>
      </c>
    </row>
    <row r="928">
      <c r="D928" s="6"/>
      <c r="H928" s="6" t="str">
        <f>IFERROR(__xludf.DUMMYFUNCTION("""COMPUTED_VALUE"""),"musicals")</f>
        <v>musicals</v>
      </c>
      <c r="I928" s="6" t="str">
        <f>IFERROR(__xludf.DUMMYFUNCTION("""COMPUTED_VALUE"""),"cage")</f>
        <v>cage</v>
      </c>
      <c r="J928" s="6" t="str">
        <f>IFERROR(__xludf.DUMMYFUNCTION("""COMPUTED_VALUE"""),"frightening")</f>
        <v>frightening</v>
      </c>
      <c r="M928" s="6"/>
      <c r="P928" s="6" t="str">
        <f>IFERROR(__xludf.DUMMYFUNCTION("""COMPUTED_VALUE"""),"cutting")</f>
        <v>cutting</v>
      </c>
      <c r="Q928" s="6" t="str">
        <f>IFERROR(__xludf.DUMMYFUNCTION("""COMPUTED_VALUE"""),"mckay")</f>
        <v>mckay</v>
      </c>
      <c r="S928" s="6" t="str">
        <f>IFERROR(__xludf.DUMMYFUNCTION("""COMPUTED_VALUE"""),"voice")</f>
        <v>voice</v>
      </c>
    </row>
    <row r="929">
      <c r="D929" s="6"/>
      <c r="H929" s="6">
        <f>IFERROR(__xludf.DUMMYFUNCTION("""COMPUTED_VALUE"""),30.0)</f>
        <v>30</v>
      </c>
      <c r="I929" s="6" t="str">
        <f>IFERROR(__xludf.DUMMYFUNCTION("""COMPUTED_VALUE"""),"luis")</f>
        <v>luis</v>
      </c>
      <c r="J929" s="6" t="str">
        <f>IFERROR(__xludf.DUMMYFUNCTION("""COMPUTED_VALUE"""),"amid")</f>
        <v>amid</v>
      </c>
      <c r="M929" s="6"/>
      <c r="P929" s="6" t="str">
        <f>IFERROR(__xludf.DUMMYFUNCTION("""COMPUTED_VALUE"""),"operates")</f>
        <v>operates</v>
      </c>
      <c r="Q929" s="6" t="str">
        <f>IFERROR(__xludf.DUMMYFUNCTION("""COMPUTED_VALUE"""),"embarrassed")</f>
        <v>embarrassed</v>
      </c>
      <c r="S929" s="6" t="str">
        <f>IFERROR(__xludf.DUMMYFUNCTION("""COMPUTED_VALUE"""),"demons")</f>
        <v>demons</v>
      </c>
    </row>
    <row r="930">
      <c r="D930" s="6"/>
      <c r="H930" s="6" t="str">
        <f>IFERROR(__xludf.DUMMYFUNCTION("""COMPUTED_VALUE"""),"sensual")</f>
        <v>sensual</v>
      </c>
      <c r="I930" s="6" t="str">
        <f>IFERROR(__xludf.DUMMYFUNCTION("""COMPUTED_VALUE"""),"phenomenon")</f>
        <v>phenomenon</v>
      </c>
      <c r="J930" s="6" t="str">
        <f>IFERROR(__xludf.DUMMYFUNCTION("""COMPUTED_VALUE"""),"trailer")</f>
        <v>trailer</v>
      </c>
      <c r="M930" s="6"/>
      <c r="P930" s="6" t="str">
        <f>IFERROR(__xludf.DUMMYFUNCTION("""COMPUTED_VALUE"""),"stephen")</f>
        <v>stephen</v>
      </c>
      <c r="Q930" s="6" t="str">
        <f>IFERROR(__xludf.DUMMYFUNCTION("""COMPUTED_VALUE"""),"vulgar")</f>
        <v>vulgar</v>
      </c>
      <c r="S930" s="6" t="str">
        <f>IFERROR(__xludf.DUMMYFUNCTION("""COMPUTED_VALUE"""),"blank")</f>
        <v>blank</v>
      </c>
    </row>
    <row r="931">
      <c r="D931" s="6"/>
      <c r="H931" s="6" t="str">
        <f>IFERROR(__xludf.DUMMYFUNCTION("""COMPUTED_VALUE"""),"cerebral")</f>
        <v>cerebral</v>
      </c>
      <c r="I931" s="6" t="str">
        <f>IFERROR(__xludf.DUMMYFUNCTION("""COMPUTED_VALUE"""),"content")</f>
        <v>content</v>
      </c>
      <c r="J931" s="6" t="str">
        <f>IFERROR(__xludf.DUMMYFUNCTION("""COMPUTED_VALUE"""),"morality")</f>
        <v>morality</v>
      </c>
      <c r="M931" s="6"/>
      <c r="P931" s="6" t="str">
        <f>IFERROR(__xludf.DUMMYFUNCTION("""COMPUTED_VALUE"""),"publishing")</f>
        <v>publishing</v>
      </c>
      <c r="Q931" s="6" t="str">
        <f>IFERROR(__xludf.DUMMYFUNCTION("""COMPUTED_VALUE"""),"mill")</f>
        <v>mill</v>
      </c>
      <c r="S931" s="6" t="str">
        <f>IFERROR(__xludf.DUMMYFUNCTION("""COMPUTED_VALUE"""),"abstract")</f>
        <v>abstract</v>
      </c>
    </row>
    <row r="932">
      <c r="D932" s="6"/>
      <c r="H932" s="6" t="str">
        <f>IFERROR(__xludf.DUMMYFUNCTION("""COMPUTED_VALUE"""),"prism")</f>
        <v>prism</v>
      </c>
      <c r="I932" s="6" t="str">
        <f>IFERROR(__xludf.DUMMYFUNCTION("""COMPUTED_VALUE"""),"diary")</f>
        <v>diary</v>
      </c>
      <c r="J932" s="6" t="str">
        <f>IFERROR(__xludf.DUMMYFUNCTION("""COMPUTED_VALUE"""),"futuristic")</f>
        <v>futuristic</v>
      </c>
      <c r="M932" s="6"/>
      <c r="P932" s="6" t="str">
        <f>IFERROR(__xludf.DUMMYFUNCTION("""COMPUTED_VALUE"""),"william")</f>
        <v>william</v>
      </c>
      <c r="Q932" s="6" t="str">
        <f>IFERROR(__xludf.DUMMYFUNCTION("""COMPUTED_VALUE"""),"spies")</f>
        <v>spies</v>
      </c>
      <c r="S932" s="6" t="str">
        <f>IFERROR(__xludf.DUMMYFUNCTION("""COMPUTED_VALUE"""),"needed")</f>
        <v>needed</v>
      </c>
    </row>
    <row r="933">
      <c r="D933" s="6"/>
      <c r="H933" s="6" t="str">
        <f>IFERROR(__xludf.DUMMYFUNCTION("""COMPUTED_VALUE"""),"themes")</f>
        <v>themes</v>
      </c>
      <c r="I933" s="6" t="str">
        <f>IFERROR(__xludf.DUMMYFUNCTION("""COMPUTED_VALUE"""),"sessions")</f>
        <v>sessions</v>
      </c>
      <c r="J933" s="6" t="str">
        <f>IFERROR(__xludf.DUMMYFUNCTION("""COMPUTED_VALUE"""),"autopsy")</f>
        <v>autopsy</v>
      </c>
      <c r="M933" s="6"/>
      <c r="P933" s="6" t="str">
        <f>IFERROR(__xludf.DUMMYFUNCTION("""COMPUTED_VALUE"""),"hollow")</f>
        <v>hollow</v>
      </c>
      <c r="Q933" s="6" t="str">
        <f>IFERROR(__xludf.DUMMYFUNCTION("""COMPUTED_VALUE"""),"pokemon")</f>
        <v>pokemon</v>
      </c>
      <c r="S933" s="6" t="str">
        <f>IFERROR(__xludf.DUMMYFUNCTION("""COMPUTED_VALUE"""),"yale")</f>
        <v>yale</v>
      </c>
    </row>
    <row r="934">
      <c r="D934" s="6"/>
      <c r="H934" s="6" t="str">
        <f>IFERROR(__xludf.DUMMYFUNCTION("""COMPUTED_VALUE"""),"inherently")</f>
        <v>inherently</v>
      </c>
      <c r="I934" s="6" t="str">
        <f>IFERROR(__xludf.DUMMYFUNCTION("""COMPUTED_VALUE"""),"broadcast")</f>
        <v>broadcast</v>
      </c>
      <c r="J934" s="6" t="str">
        <f>IFERROR(__xludf.DUMMYFUNCTION("""COMPUTED_VALUE"""),"coke")</f>
        <v>coke</v>
      </c>
      <c r="M934" s="6"/>
      <c r="P934" s="6" t="str">
        <f>IFERROR(__xludf.DUMMYFUNCTION("""COMPUTED_VALUE"""),"burning")</f>
        <v>burning</v>
      </c>
      <c r="Q934" s="6" t="str">
        <f>IFERROR(__xludf.DUMMYFUNCTION("""COMPUTED_VALUE"""),"allen")</f>
        <v>allen</v>
      </c>
      <c r="S934" s="6" t="str">
        <f>IFERROR(__xludf.DUMMYFUNCTION("""COMPUTED_VALUE"""),"twisted")</f>
        <v>twisted</v>
      </c>
    </row>
    <row r="935">
      <c r="D935" s="6"/>
      <c r="H935" s="6" t="str">
        <f>IFERROR(__xludf.DUMMYFUNCTION("""COMPUTED_VALUE"""),"innocent")</f>
        <v>innocent</v>
      </c>
      <c r="I935" s="6" t="str">
        <f>IFERROR(__xludf.DUMMYFUNCTION("""COMPUTED_VALUE"""),"embrace")</f>
        <v>embrace</v>
      </c>
      <c r="J935" s="6" t="str">
        <f>IFERROR(__xludf.DUMMYFUNCTION("""COMPUTED_VALUE"""),"pit")</f>
        <v>pit</v>
      </c>
      <c r="M935" s="6"/>
      <c r="P935" s="6" t="str">
        <f>IFERROR(__xludf.DUMMYFUNCTION("""COMPUTED_VALUE"""),"portrayed")</f>
        <v>portrayed</v>
      </c>
      <c r="Q935" s="6" t="str">
        <f>IFERROR(__xludf.DUMMYFUNCTION("""COMPUTED_VALUE"""),"breathe")</f>
        <v>breathe</v>
      </c>
      <c r="S935" s="6" t="str">
        <f>IFERROR(__xludf.DUMMYFUNCTION("""COMPUTED_VALUE"""),"bond")</f>
        <v>bond</v>
      </c>
    </row>
    <row r="936">
      <c r="D936" s="6"/>
      <c r="H936" s="6" t="str">
        <f>IFERROR(__xludf.DUMMYFUNCTION("""COMPUTED_VALUE"""),"betrayal")</f>
        <v>betrayal</v>
      </c>
      <c r="I936" s="6" t="str">
        <f>IFERROR(__xludf.DUMMYFUNCTION("""COMPUTED_VALUE"""),"station")</f>
        <v>station</v>
      </c>
      <c r="J936" s="6" t="str">
        <f>IFERROR(__xludf.DUMMYFUNCTION("""COMPUTED_VALUE"""),"bravery")</f>
        <v>bravery</v>
      </c>
      <c r="M936" s="6"/>
      <c r="P936" s="6">
        <f>IFERROR(__xludf.DUMMYFUNCTION("""COMPUTED_VALUE"""),30.0)</f>
        <v>30</v>
      </c>
      <c r="Q936" s="6" t="str">
        <f>IFERROR(__xludf.DUMMYFUNCTION("""COMPUTED_VALUE"""),"straight")</f>
        <v>straight</v>
      </c>
      <c r="S936" s="6" t="str">
        <f>IFERROR(__xludf.DUMMYFUNCTION("""COMPUTED_VALUE"""),"constant")</f>
        <v>constant</v>
      </c>
    </row>
    <row r="937">
      <c r="D937" s="6"/>
      <c r="H937" s="6" t="str">
        <f>IFERROR(__xludf.DUMMYFUNCTION("""COMPUTED_VALUE"""),"panic")</f>
        <v>panic</v>
      </c>
      <c r="I937" s="6" t="str">
        <f>IFERROR(__xludf.DUMMYFUNCTION("""COMPUTED_VALUE"""),"media")</f>
        <v>media</v>
      </c>
      <c r="J937" s="6" t="str">
        <f>IFERROR(__xludf.DUMMYFUNCTION("""COMPUTED_VALUE"""),"circuit")</f>
        <v>circuit</v>
      </c>
      <c r="M937" s="6"/>
      <c r="P937" s="6" t="str">
        <f>IFERROR(__xludf.DUMMYFUNCTION("""COMPUTED_VALUE"""),"updated")</f>
        <v>updated</v>
      </c>
      <c r="Q937" s="6" t="str">
        <f>IFERROR(__xludf.DUMMYFUNCTION("""COMPUTED_VALUE"""),"light")</f>
        <v>light</v>
      </c>
      <c r="S937" s="6" t="str">
        <f>IFERROR(__xludf.DUMMYFUNCTION("""COMPUTED_VALUE"""),"leads")</f>
        <v>leads</v>
      </c>
    </row>
    <row r="938">
      <c r="D938" s="6"/>
      <c r="H938" s="6" t="str">
        <f>IFERROR(__xludf.DUMMYFUNCTION("""COMPUTED_VALUE"""),"glued")</f>
        <v>glued</v>
      </c>
      <c r="I938" s="6" t="str">
        <f>IFERROR(__xludf.DUMMYFUNCTION("""COMPUTED_VALUE"""),"producers")</f>
        <v>producers</v>
      </c>
      <c r="J938" s="6" t="str">
        <f>IFERROR(__xludf.DUMMYFUNCTION("""COMPUTED_VALUE"""),"minnie")</f>
        <v>minnie</v>
      </c>
      <c r="M938" s="6"/>
      <c r="P938" s="6" t="str">
        <f>IFERROR(__xludf.DUMMYFUNCTION("""COMPUTED_VALUE"""),"diesel")</f>
        <v>diesel</v>
      </c>
      <c r="Q938" s="6" t="str">
        <f>IFERROR(__xludf.DUMMYFUNCTION("""COMPUTED_VALUE"""),"incorporates")</f>
        <v>incorporates</v>
      </c>
      <c r="S938" s="6" t="str">
        <f>IFERROR(__xludf.DUMMYFUNCTION("""COMPUTED_VALUE"""),"connection")</f>
        <v>connection</v>
      </c>
    </row>
    <row r="939">
      <c r="D939" s="6"/>
      <c r="H939" s="6" t="str">
        <f>IFERROR(__xludf.DUMMYFUNCTION("""COMPUTED_VALUE"""),"manage")</f>
        <v>manage</v>
      </c>
      <c r="I939" s="6" t="str">
        <f>IFERROR(__xludf.DUMMYFUNCTION("""COMPUTED_VALUE"""),"tenor")</f>
        <v>tenor</v>
      </c>
      <c r="J939" s="6" t="str">
        <f>IFERROR(__xludf.DUMMYFUNCTION("""COMPUTED_VALUE"""),"wig")</f>
        <v>wig</v>
      </c>
      <c r="M939" s="6"/>
      <c r="P939" s="6" t="str">
        <f>IFERROR(__xludf.DUMMYFUNCTION("""COMPUTED_VALUE"""),"themes")</f>
        <v>themes</v>
      </c>
      <c r="Q939" s="6" t="str">
        <f>IFERROR(__xludf.DUMMYFUNCTION("""COMPUTED_VALUE"""),"transporting")</f>
        <v>transporting</v>
      </c>
      <c r="S939" s="6" t="str">
        <f>IFERROR(__xludf.DUMMYFUNCTION("""COMPUTED_VALUE"""),"identification")</f>
        <v>identification</v>
      </c>
    </row>
    <row r="940">
      <c r="D940" s="6"/>
      <c r="H940" s="6" t="str">
        <f>IFERROR(__xludf.DUMMYFUNCTION("""COMPUTED_VALUE"""),"accuse")</f>
        <v>accuse</v>
      </c>
      <c r="I940" s="6" t="str">
        <f>IFERROR(__xludf.DUMMYFUNCTION("""COMPUTED_VALUE"""),"explosion")</f>
        <v>explosion</v>
      </c>
      <c r="J940" s="6" t="str">
        <f>IFERROR(__xludf.DUMMYFUNCTION("""COMPUTED_VALUE"""),"spontaneous")</f>
        <v>spontaneous</v>
      </c>
      <c r="M940" s="6"/>
      <c r="P940" s="6" t="str">
        <f>IFERROR(__xludf.DUMMYFUNCTION("""COMPUTED_VALUE"""),"innocent")</f>
        <v>innocent</v>
      </c>
      <c r="Q940" s="6" t="str">
        <f>IFERROR(__xludf.DUMMYFUNCTION("""COMPUTED_VALUE"""),"li")</f>
        <v>li</v>
      </c>
      <c r="S940" s="6" t="str">
        <f>IFERROR(__xludf.DUMMYFUNCTION("""COMPUTED_VALUE"""),"built")</f>
        <v>built</v>
      </c>
    </row>
    <row r="941">
      <c r="D941" s="6"/>
      <c r="H941" s="6" t="str">
        <f>IFERROR(__xludf.DUMMYFUNCTION("""COMPUTED_VALUE"""),"wants")</f>
        <v>wants</v>
      </c>
      <c r="I941" s="6" t="str">
        <f>IFERROR(__xludf.DUMMYFUNCTION("""COMPUTED_VALUE"""),"successor")</f>
        <v>successor</v>
      </c>
      <c r="J941" s="6" t="str">
        <f>IFERROR(__xludf.DUMMYFUNCTION("""COMPUTED_VALUE"""),"phone")</f>
        <v>phone</v>
      </c>
      <c r="M941" s="6"/>
      <c r="P941" s="6" t="str">
        <f>IFERROR(__xludf.DUMMYFUNCTION("""COMPUTED_VALUE"""),"panic")</f>
        <v>panic</v>
      </c>
      <c r="Q941" s="6" t="str">
        <f>IFERROR(__xludf.DUMMYFUNCTION("""COMPUTED_VALUE"""),"gong")</f>
        <v>gong</v>
      </c>
      <c r="S941" s="6" t="str">
        <f>IFERROR(__xludf.DUMMYFUNCTION("""COMPUTED_VALUE"""),"hotels")</f>
        <v>hotels</v>
      </c>
    </row>
    <row r="942">
      <c r="D942" s="6"/>
      <c r="H942" s="6" t="str">
        <f>IFERROR(__xludf.DUMMYFUNCTION("""COMPUTED_VALUE"""),"african")</f>
        <v>african</v>
      </c>
      <c r="I942" s="6" t="str">
        <f>IFERROR(__xludf.DUMMYFUNCTION("""COMPUTED_VALUE"""),"basketball")</f>
        <v>basketball</v>
      </c>
      <c r="J942" s="6" t="str">
        <f>IFERROR(__xludf.DUMMYFUNCTION("""COMPUTED_VALUE"""),"quietly")</f>
        <v>quietly</v>
      </c>
      <c r="M942" s="6"/>
      <c r="P942" s="6" t="str">
        <f>IFERROR(__xludf.DUMMYFUNCTION("""COMPUTED_VALUE"""),"interested")</f>
        <v>interested</v>
      </c>
      <c r="Q942" s="6" t="str">
        <f>IFERROR(__xludf.DUMMYFUNCTION("""COMPUTED_VALUE"""),"moore")</f>
        <v>moore</v>
      </c>
      <c r="S942" s="6" t="str">
        <f>IFERROR(__xludf.DUMMYFUNCTION("""COMPUTED_VALUE"""),"cut")</f>
        <v>cut</v>
      </c>
    </row>
    <row r="943">
      <c r="D943" s="6"/>
      <c r="H943" s="6" t="str">
        <f>IFERROR(__xludf.DUMMYFUNCTION("""COMPUTED_VALUE"""),"odds")</f>
        <v>odds</v>
      </c>
      <c r="I943" s="6" t="str">
        <f>IFERROR(__xludf.DUMMYFUNCTION("""COMPUTED_VALUE"""),"transformed")</f>
        <v>transformed</v>
      </c>
      <c r="J943" s="6" t="str">
        <f>IFERROR(__xludf.DUMMYFUNCTION("""COMPUTED_VALUE"""),"savage")</f>
        <v>savage</v>
      </c>
      <c r="M943" s="6"/>
      <c r="P943" s="6" t="str">
        <f>IFERROR(__xludf.DUMMYFUNCTION("""COMPUTED_VALUE"""),"manage")</f>
        <v>manage</v>
      </c>
      <c r="Q943" s="6" t="str">
        <f>IFERROR(__xludf.DUMMYFUNCTION("""COMPUTED_VALUE"""),"starting")</f>
        <v>starting</v>
      </c>
      <c r="S943" s="6" t="str">
        <f>IFERROR(__xludf.DUMMYFUNCTION("""COMPUTED_VALUE"""),"mainstream")</f>
        <v>mainstream</v>
      </c>
    </row>
    <row r="944">
      <c r="D944" s="6"/>
      <c r="H944" s="6" t="str">
        <f>IFERROR(__xludf.DUMMYFUNCTION("""COMPUTED_VALUE"""),"verve")</f>
        <v>verve</v>
      </c>
      <c r="I944" s="6" t="str">
        <f>IFERROR(__xludf.DUMMYFUNCTION("""COMPUTED_VALUE"""),"repeatedly")</f>
        <v>repeatedly</v>
      </c>
      <c r="J944" s="6" t="str">
        <f>IFERROR(__xludf.DUMMYFUNCTION("""COMPUTED_VALUE"""),"submerged")</f>
        <v>submerged</v>
      </c>
      <c r="M944" s="6"/>
      <c r="P944" s="6" t="str">
        <f>IFERROR(__xludf.DUMMYFUNCTION("""COMPUTED_VALUE"""),"wants")</f>
        <v>wants</v>
      </c>
      <c r="Q944" s="6" t="str">
        <f>IFERROR(__xludf.DUMMYFUNCTION("""COMPUTED_VALUE"""),"diaz")</f>
        <v>diaz</v>
      </c>
      <c r="S944" s="6" t="str">
        <f>IFERROR(__xludf.DUMMYFUNCTION("""COMPUTED_VALUE"""),"charge")</f>
        <v>charge</v>
      </c>
    </row>
    <row r="945">
      <c r="D945" s="6"/>
      <c r="H945" s="6" t="str">
        <f>IFERROR(__xludf.DUMMYFUNCTION("""COMPUTED_VALUE"""),"rise")</f>
        <v>rise</v>
      </c>
      <c r="I945" s="6" t="str">
        <f>IFERROR(__xludf.DUMMYFUNCTION("""COMPUTED_VALUE"""),"cartoon")</f>
        <v>cartoon</v>
      </c>
      <c r="J945" s="6" t="str">
        <f>IFERROR(__xludf.DUMMYFUNCTION("""COMPUTED_VALUE"""),"hell")</f>
        <v>hell</v>
      </c>
      <c r="M945" s="6"/>
      <c r="P945" s="6" t="str">
        <f>IFERROR(__xludf.DUMMYFUNCTION("""COMPUTED_VALUE"""),"sick")</f>
        <v>sick</v>
      </c>
      <c r="Q945" s="6" t="str">
        <f>IFERROR(__xludf.DUMMYFUNCTION("""COMPUTED_VALUE"""),"rank")</f>
        <v>rank</v>
      </c>
      <c r="S945" s="6" t="str">
        <f>IFERROR(__xludf.DUMMYFUNCTION("""COMPUTED_VALUE"""),"bears")</f>
        <v>bears</v>
      </c>
    </row>
    <row r="946">
      <c r="D946" s="6"/>
      <c r="H946" s="6" t="str">
        <f>IFERROR(__xludf.DUMMYFUNCTION("""COMPUTED_VALUE"""),"broadway")</f>
        <v>broadway</v>
      </c>
      <c r="I946" s="6">
        <f>IFERROR(__xludf.DUMMYFUNCTION("""COMPUTED_VALUE"""),66.0)</f>
        <v>66</v>
      </c>
      <c r="J946" s="6" t="str">
        <f>IFERROR(__xludf.DUMMYFUNCTION("""COMPUTED_VALUE"""),"handling")</f>
        <v>handling</v>
      </c>
      <c r="M946" s="6"/>
      <c r="P946" s="6" t="str">
        <f>IFERROR(__xludf.DUMMYFUNCTION("""COMPUTED_VALUE"""),"african")</f>
        <v>african</v>
      </c>
      <c r="Q946" s="6" t="str">
        <f>IFERROR(__xludf.DUMMYFUNCTION("""COMPUTED_VALUE"""),"belongs")</f>
        <v>belongs</v>
      </c>
      <c r="S946" s="6" t="str">
        <f>IFERROR(__xludf.DUMMYFUNCTION("""COMPUTED_VALUE"""),"spent")</f>
        <v>spent</v>
      </c>
    </row>
    <row r="947">
      <c r="D947" s="6"/>
      <c r="H947" s="6" t="str">
        <f>IFERROR(__xludf.DUMMYFUNCTION("""COMPUTED_VALUE"""),"jolly")</f>
        <v>jolly</v>
      </c>
      <c r="I947" s="6" t="str">
        <f>IFERROR(__xludf.DUMMYFUNCTION("""COMPUTED_VALUE"""),"stopped")</f>
        <v>stopped</v>
      </c>
      <c r="J947" s="6" t="str">
        <f>IFERROR(__xludf.DUMMYFUNCTION("""COMPUTED_VALUE"""),"participant")</f>
        <v>participant</v>
      </c>
      <c r="M947" s="6"/>
      <c r="P947" s="6" t="str">
        <f>IFERROR(__xludf.DUMMYFUNCTION("""COMPUTED_VALUE"""),"rise")</f>
        <v>rise</v>
      </c>
      <c r="Q947" s="6" t="str">
        <f>IFERROR(__xludf.DUMMYFUNCTION("""COMPUTED_VALUE"""),"jacques")</f>
        <v>jacques</v>
      </c>
      <c r="S947" s="6" t="str">
        <f>IFERROR(__xludf.DUMMYFUNCTION("""COMPUTED_VALUE"""),"got")</f>
        <v>got</v>
      </c>
    </row>
    <row r="948">
      <c r="D948" s="6"/>
      <c r="H948" s="6" t="str">
        <f>IFERROR(__xludf.DUMMYFUNCTION("""COMPUTED_VALUE"""),"occupation")</f>
        <v>occupation</v>
      </c>
      <c r="I948" s="6" t="str">
        <f>IFERROR(__xludf.DUMMYFUNCTION("""COMPUTED_VALUE"""),"egypt")</f>
        <v>egypt</v>
      </c>
      <c r="J948" s="6" t="str">
        <f>IFERROR(__xludf.DUMMYFUNCTION("""COMPUTED_VALUE"""),"technological")</f>
        <v>technological</v>
      </c>
      <c r="M948" s="6"/>
      <c r="P948" s="6" t="str">
        <f>IFERROR(__xludf.DUMMYFUNCTION("""COMPUTED_VALUE"""),"broadway")</f>
        <v>broadway</v>
      </c>
      <c r="Q948" s="6" t="str">
        <f>IFERROR(__xludf.DUMMYFUNCTION("""COMPUTED_VALUE"""),"diversion")</f>
        <v>diversion</v>
      </c>
      <c r="S948" s="6" t="str">
        <f>IFERROR(__xludf.DUMMYFUNCTION("""COMPUTED_VALUE"""),"creates")</f>
        <v>creates</v>
      </c>
    </row>
    <row r="949">
      <c r="D949" s="6"/>
      <c r="H949" s="6" t="str">
        <f>IFERROR(__xludf.DUMMYFUNCTION("""COMPUTED_VALUE"""),"spirited")</f>
        <v>spirited</v>
      </c>
      <c r="I949" s="6" t="str">
        <f>IFERROR(__xludf.DUMMYFUNCTION("""COMPUTED_VALUE"""),"twenty")</f>
        <v>twenty</v>
      </c>
      <c r="J949" s="6" t="str">
        <f>IFERROR(__xludf.DUMMYFUNCTION("""COMPUTED_VALUE"""),"concentrating")</f>
        <v>concentrating</v>
      </c>
      <c r="M949" s="6"/>
      <c r="P949" s="6" t="str">
        <f>IFERROR(__xludf.DUMMYFUNCTION("""COMPUTED_VALUE"""),"occupation")</f>
        <v>occupation</v>
      </c>
      <c r="Q949" s="6" t="str">
        <f>IFERROR(__xludf.DUMMYFUNCTION("""COMPUTED_VALUE"""),"bonds")</f>
        <v>bonds</v>
      </c>
      <c r="S949" s="6" t="str">
        <f>IFERROR(__xludf.DUMMYFUNCTION("""COMPUTED_VALUE"""),"la")</f>
        <v>la</v>
      </c>
    </row>
    <row r="950">
      <c r="D950" s="6"/>
      <c r="H950" s="6" t="str">
        <f>IFERROR(__xludf.DUMMYFUNCTION("""COMPUTED_VALUE"""),"awakening")</f>
        <v>awakening</v>
      </c>
      <c r="I950" s="6" t="str">
        <f>IFERROR(__xludf.DUMMYFUNCTION("""COMPUTED_VALUE"""),"racial")</f>
        <v>racial</v>
      </c>
      <c r="J950" s="6" t="str">
        <f>IFERROR(__xludf.DUMMYFUNCTION("""COMPUTED_VALUE"""),"copy")</f>
        <v>copy</v>
      </c>
      <c r="M950" s="6"/>
      <c r="P950" s="6" t="str">
        <f>IFERROR(__xludf.DUMMYFUNCTION("""COMPUTED_VALUE"""),"inner")</f>
        <v>inner</v>
      </c>
      <c r="Q950" s="6" t="str">
        <f>IFERROR(__xludf.DUMMYFUNCTION("""COMPUTED_VALUE"""),"linger")</f>
        <v>linger</v>
      </c>
      <c r="S950" s="6" t="str">
        <f>IFERROR(__xludf.DUMMYFUNCTION("""COMPUTED_VALUE"""),"note")</f>
        <v>note</v>
      </c>
    </row>
    <row r="951">
      <c r="D951" s="6"/>
      <c r="H951" s="6" t="str">
        <f>IFERROR(__xludf.DUMMYFUNCTION("""COMPUTED_VALUE"""),"fathers")</f>
        <v>fathers</v>
      </c>
      <c r="I951" s="6" t="str">
        <f>IFERROR(__xludf.DUMMYFUNCTION("""COMPUTED_VALUE"""),"harrison")</f>
        <v>harrison</v>
      </c>
      <c r="J951" s="6" t="str">
        <f>IFERROR(__xludf.DUMMYFUNCTION("""COMPUTED_VALUE"""),"depict")</f>
        <v>depict</v>
      </c>
      <c r="M951" s="6"/>
      <c r="P951" s="6" t="str">
        <f>IFERROR(__xludf.DUMMYFUNCTION("""COMPUTED_VALUE"""),"survivors")</f>
        <v>survivors</v>
      </c>
      <c r="Q951" s="6" t="str">
        <f>IFERROR(__xludf.DUMMYFUNCTION("""COMPUTED_VALUE"""),"anatomical")</f>
        <v>anatomical</v>
      </c>
      <c r="S951" s="6" t="str">
        <f>IFERROR(__xludf.DUMMYFUNCTION("""COMPUTED_VALUE"""),"basic")</f>
        <v>basic</v>
      </c>
    </row>
    <row r="952">
      <c r="D952" s="6"/>
      <c r="H952" s="6" t="str">
        <f>IFERROR(__xludf.DUMMYFUNCTION("""COMPUTED_VALUE"""),"obscure")</f>
        <v>obscure</v>
      </c>
      <c r="I952" s="6" t="str">
        <f>IFERROR(__xludf.DUMMYFUNCTION("""COMPUTED_VALUE"""),"physical")</f>
        <v>physical</v>
      </c>
      <c r="J952" s="6" t="str">
        <f>IFERROR(__xludf.DUMMYFUNCTION("""COMPUTED_VALUE"""),"homosexual")</f>
        <v>homosexual</v>
      </c>
      <c r="M952" s="6"/>
      <c r="P952" s="6" t="str">
        <f>IFERROR(__xludf.DUMMYFUNCTION("""COMPUTED_VALUE"""),"blade")</f>
        <v>blade</v>
      </c>
      <c r="Q952" s="6" t="str">
        <f>IFERROR(__xludf.DUMMYFUNCTION("""COMPUTED_VALUE"""),"rely")</f>
        <v>rely</v>
      </c>
      <c r="S952" s="6" t="str">
        <f>IFERROR(__xludf.DUMMYFUNCTION("""COMPUTED_VALUE"""),"affected")</f>
        <v>affected</v>
      </c>
    </row>
    <row r="953">
      <c r="D953" s="6"/>
      <c r="H953" s="6" t="str">
        <f>IFERROR(__xludf.DUMMYFUNCTION("""COMPUTED_VALUE"""),"survivors")</f>
        <v>survivors</v>
      </c>
      <c r="I953" s="6" t="str">
        <f>IFERROR(__xludf.DUMMYFUNCTION("""COMPUTED_VALUE"""),"evans")</f>
        <v>evans</v>
      </c>
      <c r="J953" s="6" t="str">
        <f>IFERROR(__xludf.DUMMYFUNCTION("""COMPUTED_VALUE"""),"wise")</f>
        <v>wise</v>
      </c>
      <c r="M953" s="6"/>
      <c r="P953" s="6" t="str">
        <f>IFERROR(__xludf.DUMMYFUNCTION("""COMPUTED_VALUE"""),"wear")</f>
        <v>wear</v>
      </c>
      <c r="Q953" s="6" t="str">
        <f>IFERROR(__xludf.DUMMYFUNCTION("""COMPUTED_VALUE"""),"elegant")</f>
        <v>elegant</v>
      </c>
      <c r="S953" s="6" t="str">
        <f>IFERROR(__xludf.DUMMYFUNCTION("""COMPUTED_VALUE"""),"foundation")</f>
        <v>foundation</v>
      </c>
    </row>
    <row r="954">
      <c r="D954" s="6"/>
      <c r="H954" s="6" t="str">
        <f>IFERROR(__xludf.DUMMYFUNCTION("""COMPUTED_VALUE"""),"impacts")</f>
        <v>impacts</v>
      </c>
      <c r="I954" s="6" t="str">
        <f>IFERROR(__xludf.DUMMYFUNCTION("""COMPUTED_VALUE"""),"archive")</f>
        <v>archive</v>
      </c>
      <c r="J954" s="6" t="str">
        <f>IFERROR(__xludf.DUMMYFUNCTION("""COMPUTED_VALUE"""),"distinguished")</f>
        <v>distinguished</v>
      </c>
      <c r="M954" s="6"/>
      <c r="P954" s="6" t="str">
        <f>IFERROR(__xludf.DUMMYFUNCTION("""COMPUTED_VALUE"""),"access")</f>
        <v>access</v>
      </c>
      <c r="Q954" s="6" t="str">
        <f>IFERROR(__xludf.DUMMYFUNCTION("""COMPUTED_VALUE"""),"barely")</f>
        <v>barely</v>
      </c>
      <c r="S954" s="6" t="str">
        <f>IFERROR(__xludf.DUMMYFUNCTION("""COMPUTED_VALUE"""),"elizabeth")</f>
        <v>elizabeth</v>
      </c>
    </row>
    <row r="955">
      <c r="D955" s="6"/>
      <c r="H955" s="6" t="str">
        <f>IFERROR(__xludf.DUMMYFUNCTION("""COMPUTED_VALUE"""),"blade")</f>
        <v>blade</v>
      </c>
      <c r="I955" s="6" t="str">
        <f>IFERROR(__xludf.DUMMYFUNCTION("""COMPUTED_VALUE"""),"specific")</f>
        <v>specific</v>
      </c>
      <c r="J955" s="6" t="str">
        <f>IFERROR(__xludf.DUMMYFUNCTION("""COMPUTED_VALUE"""),"projectile")</f>
        <v>projectile</v>
      </c>
      <c r="M955" s="6"/>
      <c r="P955" s="6" t="str">
        <f>IFERROR(__xludf.DUMMYFUNCTION("""COMPUTED_VALUE"""),"raised")</f>
        <v>raised</v>
      </c>
      <c r="Q955" s="6" t="str">
        <f>IFERROR(__xludf.DUMMYFUNCTION("""COMPUTED_VALUE"""),"registering")</f>
        <v>registering</v>
      </c>
      <c r="S955" s="6" t="str">
        <f>IFERROR(__xludf.DUMMYFUNCTION("""COMPUTED_VALUE"""),"goals")</f>
        <v>goals</v>
      </c>
    </row>
    <row r="956">
      <c r="D956" s="6"/>
      <c r="H956" s="6" t="str">
        <f>IFERROR(__xludf.DUMMYFUNCTION("""COMPUTED_VALUE"""),"erotic")</f>
        <v>erotic</v>
      </c>
      <c r="I956" s="6" t="str">
        <f>IFERROR(__xludf.DUMMYFUNCTION("""COMPUTED_VALUE"""),"higher")</f>
        <v>higher</v>
      </c>
      <c r="J956" s="6" t="str">
        <f>IFERROR(__xludf.DUMMYFUNCTION("""COMPUTED_VALUE"""),"seizing")</f>
        <v>seizing</v>
      </c>
      <c r="M956" s="6"/>
      <c r="P956" s="6" t="str">
        <f>IFERROR(__xludf.DUMMYFUNCTION("""COMPUTED_VALUE"""),"abandoned")</f>
        <v>abandoned</v>
      </c>
      <c r="Q956" s="6" t="str">
        <f>IFERROR(__xludf.DUMMYFUNCTION("""COMPUTED_VALUE"""),"majors")</f>
        <v>majors</v>
      </c>
      <c r="S956" s="6" t="str">
        <f>IFERROR(__xludf.DUMMYFUNCTION("""COMPUTED_VALUE"""),"project")</f>
        <v>project</v>
      </c>
    </row>
    <row r="957">
      <c r="D957" s="6"/>
      <c r="H957" s="6" t="str">
        <f>IFERROR(__xludf.DUMMYFUNCTION("""COMPUTED_VALUE"""),"uncanny")</f>
        <v>uncanny</v>
      </c>
      <c r="I957" s="6" t="str">
        <f>IFERROR(__xludf.DUMMYFUNCTION("""COMPUTED_VALUE"""),"gut")</f>
        <v>gut</v>
      </c>
      <c r="J957" s="6" t="str">
        <f>IFERROR(__xludf.DUMMYFUNCTION("""COMPUTED_VALUE"""),"portrays")</f>
        <v>portrays</v>
      </c>
      <c r="M957" s="6"/>
      <c r="P957" s="6" t="str">
        <f>IFERROR(__xludf.DUMMYFUNCTION("""COMPUTED_VALUE"""),"rode")</f>
        <v>rode</v>
      </c>
      <c r="Q957" s="6" t="str">
        <f>IFERROR(__xludf.DUMMYFUNCTION("""COMPUTED_VALUE"""),"governments")</f>
        <v>governments</v>
      </c>
      <c r="S957" s="6" t="str">
        <f>IFERROR(__xludf.DUMMYFUNCTION("""COMPUTED_VALUE"""),"italian")</f>
        <v>italian</v>
      </c>
    </row>
    <row r="958">
      <c r="D958" s="6"/>
      <c r="H958" s="6" t="str">
        <f>IFERROR(__xludf.DUMMYFUNCTION("""COMPUTED_VALUE"""),"mann")</f>
        <v>mann</v>
      </c>
      <c r="I958" s="6" t="str">
        <f>IFERROR(__xludf.DUMMYFUNCTION("""COMPUTED_VALUE"""),"tense")</f>
        <v>tense</v>
      </c>
      <c r="J958" s="6" t="str">
        <f>IFERROR(__xludf.DUMMYFUNCTION("""COMPUTED_VALUE"""),"reign")</f>
        <v>reign</v>
      </c>
      <c r="M958" s="6"/>
      <c r="P958" s="6" t="str">
        <f>IFERROR(__xludf.DUMMYFUNCTION("""COMPUTED_VALUE"""),"journalism")</f>
        <v>journalism</v>
      </c>
      <c r="Q958" s="6" t="str">
        <f>IFERROR(__xludf.DUMMYFUNCTION("""COMPUTED_VALUE"""),"reconstruction")</f>
        <v>reconstruction</v>
      </c>
      <c r="S958" s="6" t="str">
        <f>IFERROR(__xludf.DUMMYFUNCTION("""COMPUTED_VALUE"""),"france")</f>
        <v>france</v>
      </c>
    </row>
    <row r="959">
      <c r="D959" s="6"/>
      <c r="H959" s="6" t="str">
        <f>IFERROR(__xludf.DUMMYFUNCTION("""COMPUTED_VALUE"""),"cultivation")</f>
        <v>cultivation</v>
      </c>
      <c r="I959" s="6" t="str">
        <f>IFERROR(__xludf.DUMMYFUNCTION("""COMPUTED_VALUE"""),"trapped")</f>
        <v>trapped</v>
      </c>
      <c r="J959" s="6" t="str">
        <f>IFERROR(__xludf.DUMMYFUNCTION("""COMPUTED_VALUE"""),"grin")</f>
        <v>grin</v>
      </c>
      <c r="M959" s="6"/>
      <c r="P959" s="6" t="str">
        <f>IFERROR(__xludf.DUMMYFUNCTION("""COMPUTED_VALUE"""),"threat")</f>
        <v>threat</v>
      </c>
      <c r="Q959" s="6" t="str">
        <f>IFERROR(__xludf.DUMMYFUNCTION("""COMPUTED_VALUE"""),"fight")</f>
        <v>fight</v>
      </c>
      <c r="S959" s="6" t="str">
        <f>IFERROR(__xludf.DUMMYFUNCTION("""COMPUTED_VALUE"""),"20th")</f>
        <v>20th</v>
      </c>
    </row>
    <row r="960">
      <c r="D960" s="6"/>
      <c r="H960" s="6" t="str">
        <f>IFERROR(__xludf.DUMMYFUNCTION("""COMPUTED_VALUE"""),"devotion")</f>
        <v>devotion</v>
      </c>
      <c r="I960" s="6" t="str">
        <f>IFERROR(__xludf.DUMMYFUNCTION("""COMPUTED_VALUE"""),"torpedo")</f>
        <v>torpedo</v>
      </c>
      <c r="J960" s="6" t="str">
        <f>IFERROR(__xludf.DUMMYFUNCTION("""COMPUTED_VALUE"""),"corrupt")</f>
        <v>corrupt</v>
      </c>
      <c r="M960" s="6"/>
      <c r="P960" s="6" t="str">
        <f>IFERROR(__xludf.DUMMYFUNCTION("""COMPUTED_VALUE"""),"struggle")</f>
        <v>struggle</v>
      </c>
      <c r="Q960" s="6" t="str">
        <f>IFERROR(__xludf.DUMMYFUNCTION("""COMPUTED_VALUE"""),"god")</f>
        <v>god</v>
      </c>
      <c r="S960" s="6" t="str">
        <f>IFERROR(__xludf.DUMMYFUNCTION("""COMPUTED_VALUE"""),"crimes")</f>
        <v>crimes</v>
      </c>
    </row>
    <row r="961">
      <c r="D961" s="6"/>
      <c r="H961" s="6" t="str">
        <f>IFERROR(__xludf.DUMMYFUNCTION("""COMPUTED_VALUE"""),"access")</f>
        <v>access</v>
      </c>
      <c r="I961" s="6" t="str">
        <f>IFERROR(__xludf.DUMMYFUNCTION("""COMPUTED_VALUE"""),"confidence")</f>
        <v>confidence</v>
      </c>
      <c r="J961" s="6" t="str">
        <f>IFERROR(__xludf.DUMMYFUNCTION("""COMPUTED_VALUE"""),"disguise")</f>
        <v>disguise</v>
      </c>
      <c r="M961" s="6"/>
      <c r="P961" s="6" t="str">
        <f>IFERROR(__xludf.DUMMYFUNCTION("""COMPUTED_VALUE"""),"critical")</f>
        <v>critical</v>
      </c>
      <c r="Q961" s="6" t="str">
        <f>IFERROR(__xludf.DUMMYFUNCTION("""COMPUTED_VALUE"""),"memorial")</f>
        <v>memorial</v>
      </c>
      <c r="S961" s="6" t="str">
        <f>IFERROR(__xludf.DUMMYFUNCTION("""COMPUTED_VALUE"""),"fan")</f>
        <v>fan</v>
      </c>
    </row>
    <row r="962">
      <c r="D962" s="6"/>
      <c r="H962" s="6" t="str">
        <f>IFERROR(__xludf.DUMMYFUNCTION("""COMPUTED_VALUE"""),"godfrey")</f>
        <v>godfrey</v>
      </c>
      <c r="I962" s="6" t="str">
        <f>IFERROR(__xludf.DUMMYFUNCTION("""COMPUTED_VALUE"""),"iran")</f>
        <v>iran</v>
      </c>
      <c r="J962" s="6" t="str">
        <f>IFERROR(__xludf.DUMMYFUNCTION("""COMPUTED_VALUE"""),"settles")</f>
        <v>settles</v>
      </c>
      <c r="M962" s="6"/>
      <c r="P962" s="6" t="str">
        <f>IFERROR(__xludf.DUMMYFUNCTION("""COMPUTED_VALUE"""),"convinced")</f>
        <v>convinced</v>
      </c>
      <c r="Q962" s="6" t="str">
        <f>IFERROR(__xludf.DUMMYFUNCTION("""COMPUTED_VALUE"""),"kramer")</f>
        <v>kramer</v>
      </c>
      <c r="S962" s="6" t="str">
        <f>IFERROR(__xludf.DUMMYFUNCTION("""COMPUTED_VALUE"""),"opportunity")</f>
        <v>opportunity</v>
      </c>
    </row>
    <row r="963">
      <c r="D963" s="6"/>
      <c r="H963" s="6" t="str">
        <f>IFERROR(__xludf.DUMMYFUNCTION("""COMPUTED_VALUE"""),"slim")</f>
        <v>slim</v>
      </c>
      <c r="I963" s="6" t="str">
        <f>IFERROR(__xludf.DUMMYFUNCTION("""COMPUTED_VALUE"""),"golden")</f>
        <v>golden</v>
      </c>
      <c r="J963" s="6" t="str">
        <f>IFERROR(__xludf.DUMMYFUNCTION("""COMPUTED_VALUE"""),"compressed")</f>
        <v>compressed</v>
      </c>
      <c r="M963" s="6"/>
      <c r="P963" s="6" t="str">
        <f>IFERROR(__xludf.DUMMYFUNCTION("""COMPUTED_VALUE"""),"lucky")</f>
        <v>lucky</v>
      </c>
      <c r="Q963" s="6" t="str">
        <f>IFERROR(__xludf.DUMMYFUNCTION("""COMPUTED_VALUE"""),"opaque")</f>
        <v>opaque</v>
      </c>
      <c r="S963" s="6" t="str">
        <f>IFERROR(__xludf.DUMMYFUNCTION("""COMPUTED_VALUE"""),"spin")</f>
        <v>spin</v>
      </c>
    </row>
    <row r="964">
      <c r="D964" s="6"/>
      <c r="H964" s="6" t="str">
        <f>IFERROR(__xludf.DUMMYFUNCTION("""COMPUTED_VALUE"""),"zipper")</f>
        <v>zipper</v>
      </c>
      <c r="I964" s="6" t="str">
        <f>IFERROR(__xludf.DUMMYFUNCTION("""COMPUTED_VALUE"""),"appearing")</f>
        <v>appearing</v>
      </c>
      <c r="J964" s="6" t="str">
        <f>IFERROR(__xludf.DUMMYFUNCTION("""COMPUTED_VALUE"""),"profound")</f>
        <v>profound</v>
      </c>
      <c r="M964" s="6"/>
      <c r="P964" s="6" t="str">
        <f>IFERROR(__xludf.DUMMYFUNCTION("""COMPUTED_VALUE"""),"eye")</f>
        <v>eye</v>
      </c>
      <c r="Q964" s="6" t="str">
        <f>IFERROR(__xludf.DUMMYFUNCTION("""COMPUTED_VALUE"""),"pair")</f>
        <v>pair</v>
      </c>
      <c r="S964" s="6" t="str">
        <f>IFERROR(__xludf.DUMMYFUNCTION("""COMPUTED_VALUE"""),"bags")</f>
        <v>bags</v>
      </c>
    </row>
    <row r="965">
      <c r="D965" s="6"/>
      <c r="H965" s="6" t="str">
        <f>IFERROR(__xludf.DUMMYFUNCTION("""COMPUTED_VALUE"""),"journalism")</f>
        <v>journalism</v>
      </c>
      <c r="I965" s="6" t="str">
        <f>IFERROR(__xludf.DUMMYFUNCTION("""COMPUTED_VALUE"""),"award")</f>
        <v>award</v>
      </c>
      <c r="J965" s="6" t="str">
        <f>IFERROR(__xludf.DUMMYFUNCTION("""COMPUTED_VALUE"""),"catalyst")</f>
        <v>catalyst</v>
      </c>
      <c r="M965" s="6"/>
      <c r="P965" s="6" t="str">
        <f>IFERROR(__xludf.DUMMYFUNCTION("""COMPUTED_VALUE"""),"shorts")</f>
        <v>shorts</v>
      </c>
      <c r="Q965" s="6" t="str">
        <f>IFERROR(__xludf.DUMMYFUNCTION("""COMPUTED_VALUE"""),"demons")</f>
        <v>demons</v>
      </c>
      <c r="S965" s="6" t="str">
        <f>IFERROR(__xludf.DUMMYFUNCTION("""COMPUTED_VALUE"""),"suit")</f>
        <v>suit</v>
      </c>
    </row>
    <row r="966">
      <c r="D966" s="6"/>
      <c r="H966" s="6" t="str">
        <f>IFERROR(__xludf.DUMMYFUNCTION("""COMPUTED_VALUE"""),"threat")</f>
        <v>threat</v>
      </c>
      <c r="I966" s="6" t="str">
        <f>IFERROR(__xludf.DUMMYFUNCTION("""COMPUTED_VALUE"""),"napoleon")</f>
        <v>napoleon</v>
      </c>
      <c r="J966" s="6" t="str">
        <f>IFERROR(__xludf.DUMMYFUNCTION("""COMPUTED_VALUE"""),"restrictive")</f>
        <v>restrictive</v>
      </c>
      <c r="M966" s="6"/>
      <c r="P966" s="6" t="str">
        <f>IFERROR(__xludf.DUMMYFUNCTION("""COMPUTED_VALUE"""),"deliver")</f>
        <v>deliver</v>
      </c>
      <c r="Q966" s="6" t="str">
        <f>IFERROR(__xludf.DUMMYFUNCTION("""COMPUTED_VALUE"""),"blank")</f>
        <v>blank</v>
      </c>
      <c r="S966" s="6" t="str">
        <f>IFERROR(__xludf.DUMMYFUNCTION("""COMPUTED_VALUE"""),"ordinary")</f>
        <v>ordinary</v>
      </c>
    </row>
    <row r="967">
      <c r="D967" s="6"/>
      <c r="H967" s="6" t="str">
        <f>IFERROR(__xludf.DUMMYFUNCTION("""COMPUTED_VALUE"""),"expense")</f>
        <v>expense</v>
      </c>
      <c r="I967" s="6" t="str">
        <f>IFERROR(__xludf.DUMMYFUNCTION("""COMPUTED_VALUE"""),"chronicle")</f>
        <v>chronicle</v>
      </c>
      <c r="J967" s="6" t="str">
        <f>IFERROR(__xludf.DUMMYFUNCTION("""COMPUTED_VALUE"""),"dubious")</f>
        <v>dubious</v>
      </c>
      <c r="M967" s="6"/>
      <c r="P967" s="6" t="str">
        <f>IFERROR(__xludf.DUMMYFUNCTION("""COMPUTED_VALUE"""),"figures")</f>
        <v>figures</v>
      </c>
      <c r="Q967" s="6" t="str">
        <f>IFERROR(__xludf.DUMMYFUNCTION("""COMPUTED_VALUE"""),"lark")</f>
        <v>lark</v>
      </c>
      <c r="S967" s="6" t="str">
        <f>IFERROR(__xludf.DUMMYFUNCTION("""COMPUTED_VALUE"""),"performing")</f>
        <v>performing</v>
      </c>
    </row>
    <row r="968">
      <c r="D968" s="6"/>
      <c r="H968" s="6" t="str">
        <f>IFERROR(__xludf.DUMMYFUNCTION("""COMPUTED_VALUE"""),"nonsense")</f>
        <v>nonsense</v>
      </c>
      <c r="I968" s="6" t="str">
        <f>IFERROR(__xludf.DUMMYFUNCTION("""COMPUTED_VALUE"""),"parker")</f>
        <v>parker</v>
      </c>
      <c r="J968" s="6" t="str">
        <f>IFERROR(__xludf.DUMMYFUNCTION("""COMPUTED_VALUE"""),"several")</f>
        <v>several</v>
      </c>
      <c r="M968" s="6"/>
      <c r="P968" s="6" t="str">
        <f>IFERROR(__xludf.DUMMYFUNCTION("""COMPUTED_VALUE"""),"composition")</f>
        <v>composition</v>
      </c>
      <c r="Q968" s="6" t="str">
        <f>IFERROR(__xludf.DUMMYFUNCTION("""COMPUTED_VALUE"""),"pipeline")</f>
        <v>pipeline</v>
      </c>
      <c r="S968" s="6" t="str">
        <f>IFERROR(__xludf.DUMMYFUNCTION("""COMPUTED_VALUE"""),"kick")</f>
        <v>kick</v>
      </c>
    </row>
    <row r="969">
      <c r="D969" s="6"/>
      <c r="H969" s="6" t="str">
        <f>IFERROR(__xludf.DUMMYFUNCTION("""COMPUTED_VALUE"""),"snaps")</f>
        <v>snaps</v>
      </c>
      <c r="I969" s="6" t="str">
        <f>IFERROR(__xludf.DUMMYFUNCTION("""COMPUTED_VALUE"""),"diamond")</f>
        <v>diamond</v>
      </c>
      <c r="J969" s="6" t="str">
        <f>IFERROR(__xludf.DUMMYFUNCTION("""COMPUTED_VALUE"""),"secretary")</f>
        <v>secretary</v>
      </c>
      <c r="M969" s="6"/>
      <c r="P969" s="6" t="str">
        <f>IFERROR(__xludf.DUMMYFUNCTION("""COMPUTED_VALUE"""),"viewed")</f>
        <v>viewed</v>
      </c>
      <c r="Q969" s="6" t="str">
        <f>IFERROR(__xludf.DUMMYFUNCTION("""COMPUTED_VALUE"""),"hitch")</f>
        <v>hitch</v>
      </c>
      <c r="S969" s="6" t="str">
        <f>IFERROR(__xludf.DUMMYFUNCTION("""COMPUTED_VALUE"""),"fisher")</f>
        <v>fisher</v>
      </c>
    </row>
    <row r="970">
      <c r="D970" s="6"/>
      <c r="H970" s="6" t="str">
        <f>IFERROR(__xludf.DUMMYFUNCTION("""COMPUTED_VALUE"""),"critical")</f>
        <v>critical</v>
      </c>
      <c r="I970" s="6" t="str">
        <f>IFERROR(__xludf.DUMMYFUNCTION("""COMPUTED_VALUE"""),"lecture")</f>
        <v>lecture</v>
      </c>
      <c r="J970" s="6" t="str">
        <f>IFERROR(__xludf.DUMMYFUNCTION("""COMPUTED_VALUE"""),"stepmother")</f>
        <v>stepmother</v>
      </c>
      <c r="M970" s="6"/>
      <c r="P970" s="6" t="str">
        <f>IFERROR(__xludf.DUMMYFUNCTION("""COMPUTED_VALUE"""),"angle")</f>
        <v>angle</v>
      </c>
      <c r="Q970" s="6" t="str">
        <f>IFERROR(__xludf.DUMMYFUNCTION("""COMPUTED_VALUE"""),"abstract")</f>
        <v>abstract</v>
      </c>
      <c r="S970" s="6" t="str">
        <f>IFERROR(__xludf.DUMMYFUNCTION("""COMPUTED_VALUE"""),"focus")</f>
        <v>focus</v>
      </c>
    </row>
    <row r="971">
      <c r="D971" s="6"/>
      <c r="H971" s="6" t="str">
        <f>IFERROR(__xludf.DUMMYFUNCTION("""COMPUTED_VALUE"""),"convinced")</f>
        <v>convinced</v>
      </c>
      <c r="I971" s="6" t="str">
        <f>IFERROR(__xludf.DUMMYFUNCTION("""COMPUTED_VALUE"""),"integrated")</f>
        <v>integrated</v>
      </c>
      <c r="J971" s="6" t="str">
        <f>IFERROR(__xludf.DUMMYFUNCTION("""COMPUTED_VALUE"""),"boat")</f>
        <v>boat</v>
      </c>
      <c r="M971" s="6"/>
      <c r="P971" s="6" t="str">
        <f>IFERROR(__xludf.DUMMYFUNCTION("""COMPUTED_VALUE"""),"hand")</f>
        <v>hand</v>
      </c>
      <c r="Q971" s="6" t="str">
        <f>IFERROR(__xludf.DUMMYFUNCTION("""COMPUTED_VALUE"""),"diaries")</f>
        <v>diaries</v>
      </c>
      <c r="S971" s="6" t="str">
        <f>IFERROR(__xludf.DUMMYFUNCTION("""COMPUTED_VALUE"""),"occasionally")</f>
        <v>occasionally</v>
      </c>
    </row>
    <row r="972">
      <c r="D972" s="6"/>
      <c r="H972" s="6" t="str">
        <f>IFERROR(__xludf.DUMMYFUNCTION("""COMPUTED_VALUE"""),"eye")</f>
        <v>eye</v>
      </c>
      <c r="I972" s="6" t="str">
        <f>IFERROR(__xludf.DUMMYFUNCTION("""COMPUTED_VALUE"""),"store")</f>
        <v>store</v>
      </c>
      <c r="J972" s="6" t="str">
        <f>IFERROR(__xludf.DUMMYFUNCTION("""COMPUTED_VALUE"""),"incarnation")</f>
        <v>incarnation</v>
      </c>
      <c r="M972" s="6"/>
      <c r="P972" s="6" t="str">
        <f>IFERROR(__xludf.DUMMYFUNCTION("""COMPUTED_VALUE"""),"mature")</f>
        <v>mature</v>
      </c>
      <c r="Q972" s="6" t="str">
        <f>IFERROR(__xludf.DUMMYFUNCTION("""COMPUTED_VALUE"""),"courtship")</f>
        <v>courtship</v>
      </c>
      <c r="S972" s="6" t="str">
        <f>IFERROR(__xludf.DUMMYFUNCTION("""COMPUTED_VALUE"""),"let")</f>
        <v>let</v>
      </c>
    </row>
    <row r="973">
      <c r="D973" s="6"/>
      <c r="H973" s="6" t="str">
        <f>IFERROR(__xludf.DUMMYFUNCTION("""COMPUTED_VALUE"""),"adherents")</f>
        <v>adherents</v>
      </c>
      <c r="I973" s="6" t="str">
        <f>IFERROR(__xludf.DUMMYFUNCTION("""COMPUTED_VALUE"""),"characterized")</f>
        <v>characterized</v>
      </c>
      <c r="J973" s="6" t="str">
        <f>IFERROR(__xludf.DUMMYFUNCTION("""COMPUTED_VALUE"""),"inevitable")</f>
        <v>inevitable</v>
      </c>
      <c r="M973" s="6"/>
      <c r="P973" s="6" t="str">
        <f>IFERROR(__xludf.DUMMYFUNCTION("""COMPUTED_VALUE"""),"commerce")</f>
        <v>commerce</v>
      </c>
      <c r="Q973" s="6" t="str">
        <f>IFERROR(__xludf.DUMMYFUNCTION("""COMPUTED_VALUE"""),"reel")</f>
        <v>reel</v>
      </c>
      <c r="S973" s="6" t="str">
        <f>IFERROR(__xludf.DUMMYFUNCTION("""COMPUTED_VALUE"""),"hair")</f>
        <v>hair</v>
      </c>
    </row>
    <row r="974">
      <c r="D974" s="6"/>
      <c r="H974" s="6" t="str">
        <f>IFERROR(__xludf.DUMMYFUNCTION("""COMPUTED_VALUE"""),"trombone")</f>
        <v>trombone</v>
      </c>
      <c r="I974" s="6" t="str">
        <f>IFERROR(__xludf.DUMMYFUNCTION("""COMPUTED_VALUE"""),"post")</f>
        <v>post</v>
      </c>
      <c r="J974" s="6" t="str">
        <f>IFERROR(__xludf.DUMMYFUNCTION("""COMPUTED_VALUE"""),"meets")</f>
        <v>meets</v>
      </c>
      <c r="M974" s="6"/>
      <c r="P974" s="6" t="str">
        <f>IFERROR(__xludf.DUMMYFUNCTION("""COMPUTED_VALUE"""),"older")</f>
        <v>older</v>
      </c>
      <c r="Q974" s="6" t="str">
        <f>IFERROR(__xludf.DUMMYFUNCTION("""COMPUTED_VALUE"""),"yale")</f>
        <v>yale</v>
      </c>
      <c r="S974" s="6" t="str">
        <f>IFERROR(__xludf.DUMMYFUNCTION("""COMPUTED_VALUE"""),"slightly")</f>
        <v>slightly</v>
      </c>
    </row>
    <row r="975">
      <c r="D975" s="6"/>
      <c r="H975" s="6" t="str">
        <f>IFERROR(__xludf.DUMMYFUNCTION("""COMPUTED_VALUE"""),"possess")</f>
        <v>possess</v>
      </c>
      <c r="I975" s="6" t="str">
        <f>IFERROR(__xludf.DUMMYFUNCTION("""COMPUTED_VALUE"""),"formed")</f>
        <v>formed</v>
      </c>
      <c r="J975" s="6" t="str">
        <f>IFERROR(__xludf.DUMMYFUNCTION("""COMPUTED_VALUE"""),"indians")</f>
        <v>indians</v>
      </c>
      <c r="M975" s="6"/>
      <c r="P975" s="6" t="str">
        <f>IFERROR(__xludf.DUMMYFUNCTION("""COMPUTED_VALUE"""),"consciousness")</f>
        <v>consciousness</v>
      </c>
      <c r="Q975" s="6" t="str">
        <f>IFERROR(__xludf.DUMMYFUNCTION("""COMPUTED_VALUE"""),"twisted")</f>
        <v>twisted</v>
      </c>
      <c r="S975" s="6" t="str">
        <f>IFERROR(__xludf.DUMMYFUNCTION("""COMPUTED_VALUE"""),"teacher")</f>
        <v>teacher</v>
      </c>
    </row>
    <row r="976">
      <c r="D976" s="6"/>
      <c r="H976" s="6" t="str">
        <f>IFERROR(__xludf.DUMMYFUNCTION("""COMPUTED_VALUE"""),"embarrassment")</f>
        <v>embarrassment</v>
      </c>
      <c r="I976" s="6" t="str">
        <f>IFERROR(__xludf.DUMMYFUNCTION("""COMPUTED_VALUE"""),"signals")</f>
        <v>signals</v>
      </c>
      <c r="J976" s="6" t="str">
        <f>IFERROR(__xludf.DUMMYFUNCTION("""COMPUTED_VALUE"""),"distinguishing")</f>
        <v>distinguishing</v>
      </c>
      <c r="M976" s="6"/>
      <c r="P976" s="6" t="str">
        <f>IFERROR(__xludf.DUMMYFUNCTION("""COMPUTED_VALUE"""),"accident")</f>
        <v>accident</v>
      </c>
      <c r="Q976" s="6" t="str">
        <f>IFERROR(__xludf.DUMMYFUNCTION("""COMPUTED_VALUE"""),"bond")</f>
        <v>bond</v>
      </c>
      <c r="S976" s="6" t="str">
        <f>IFERROR(__xludf.DUMMYFUNCTION("""COMPUTED_VALUE"""),"trick")</f>
        <v>trick</v>
      </c>
    </row>
    <row r="977">
      <c r="D977" s="6"/>
      <c r="H977" s="6" t="str">
        <f>IFERROR(__xludf.DUMMYFUNCTION("""COMPUTED_VALUE"""),"strained")</f>
        <v>strained</v>
      </c>
      <c r="I977" s="6" t="str">
        <f>IFERROR(__xludf.DUMMYFUNCTION("""COMPUTED_VALUE"""),"worlds")</f>
        <v>worlds</v>
      </c>
      <c r="J977" s="6" t="str">
        <f>IFERROR(__xludf.DUMMYFUNCTION("""COMPUTED_VALUE"""),"wallace")</f>
        <v>wallace</v>
      </c>
      <c r="M977" s="6"/>
      <c r="P977" s="6" t="str">
        <f>IFERROR(__xludf.DUMMYFUNCTION("""COMPUTED_VALUE"""),"naturally")</f>
        <v>naturally</v>
      </c>
      <c r="Q977" s="6" t="str">
        <f>IFERROR(__xludf.DUMMYFUNCTION("""COMPUTED_VALUE"""),"constant")</f>
        <v>constant</v>
      </c>
      <c r="S977" s="6" t="str">
        <f>IFERROR(__xludf.DUMMYFUNCTION("""COMPUTED_VALUE"""),"increasingly")</f>
        <v>increasingly</v>
      </c>
    </row>
    <row r="978">
      <c r="D978" s="6"/>
      <c r="H978" s="6" t="str">
        <f>IFERROR(__xludf.DUMMYFUNCTION("""COMPUTED_VALUE"""),"imaginative")</f>
        <v>imaginative</v>
      </c>
      <c r="I978" s="6" t="str">
        <f>IFERROR(__xludf.DUMMYFUNCTION("""COMPUTED_VALUE"""),"hiding")</f>
        <v>hiding</v>
      </c>
      <c r="J978" s="6" t="str">
        <f>IFERROR(__xludf.DUMMYFUNCTION("""COMPUTED_VALUE"""),"transparency")</f>
        <v>transparency</v>
      </c>
      <c r="M978" s="6"/>
      <c r="P978" s="6" t="str">
        <f>IFERROR(__xludf.DUMMYFUNCTION("""COMPUTED_VALUE"""),"siege")</f>
        <v>siege</v>
      </c>
      <c r="Q978" s="6" t="str">
        <f>IFERROR(__xludf.DUMMYFUNCTION("""COMPUTED_VALUE"""),"leads")</f>
        <v>leads</v>
      </c>
      <c r="S978" s="6" t="str">
        <f>IFERROR(__xludf.DUMMYFUNCTION("""COMPUTED_VALUE"""),"served")</f>
        <v>served</v>
      </c>
    </row>
    <row r="979">
      <c r="D979" s="6"/>
      <c r="H979" s="6" t="str">
        <f>IFERROR(__xludf.DUMMYFUNCTION("""COMPUTED_VALUE"""),"digest")</f>
        <v>digest</v>
      </c>
      <c r="I979" s="6">
        <f>IFERROR(__xludf.DUMMYFUNCTION("""COMPUTED_VALUE"""),1958.0)</f>
        <v>1958</v>
      </c>
      <c r="J979" s="6" t="str">
        <f>IFERROR(__xludf.DUMMYFUNCTION("""COMPUTED_VALUE"""),"hampered")</f>
        <v>hampered</v>
      </c>
      <c r="M979" s="6"/>
      <c r="P979" s="6" t="str">
        <f>IFERROR(__xludf.DUMMYFUNCTION("""COMPUTED_VALUE"""),"gravity")</f>
        <v>gravity</v>
      </c>
      <c r="Q979" s="6" t="str">
        <f>IFERROR(__xludf.DUMMYFUNCTION("""COMPUTED_VALUE"""),"identification")</f>
        <v>identification</v>
      </c>
      <c r="S979" s="6" t="str">
        <f>IFERROR(__xludf.DUMMYFUNCTION("""COMPUTED_VALUE"""),"usually")</f>
        <v>usually</v>
      </c>
    </row>
    <row r="980">
      <c r="D980" s="6"/>
      <c r="H980" s="6" t="str">
        <f>IFERROR(__xludf.DUMMYFUNCTION("""COMPUTED_VALUE"""),"composition")</f>
        <v>composition</v>
      </c>
      <c r="I980" s="6" t="str">
        <f>IFERROR(__xludf.DUMMYFUNCTION("""COMPUTED_VALUE"""),"doctorate")</f>
        <v>doctorate</v>
      </c>
      <c r="J980" s="6" t="str">
        <f>IFERROR(__xludf.DUMMYFUNCTION("""COMPUTED_VALUE"""),"notion")</f>
        <v>notion</v>
      </c>
      <c r="M980" s="6"/>
      <c r="P980" s="6" t="str">
        <f>IFERROR(__xludf.DUMMYFUNCTION("""COMPUTED_VALUE"""),"popular")</f>
        <v>popular</v>
      </c>
      <c r="Q980" s="6" t="str">
        <f>IFERROR(__xludf.DUMMYFUNCTION("""COMPUTED_VALUE"""),"built")</f>
        <v>built</v>
      </c>
      <c r="S980" s="6" t="str">
        <f>IFERROR(__xludf.DUMMYFUNCTION("""COMPUTED_VALUE"""),"five")</f>
        <v>five</v>
      </c>
    </row>
    <row r="981">
      <c r="D981" s="6"/>
      <c r="H981" s="6" t="str">
        <f>IFERROR(__xludf.DUMMYFUNCTION("""COMPUTED_VALUE"""),"somber")</f>
        <v>somber</v>
      </c>
      <c r="I981" s="6" t="str">
        <f>IFERROR(__xludf.DUMMYFUNCTION("""COMPUTED_VALUE"""),"discovery")</f>
        <v>discovery</v>
      </c>
      <c r="J981" s="6" t="str">
        <f>IFERROR(__xludf.DUMMYFUNCTION("""COMPUTED_VALUE"""),"possesses")</f>
        <v>possesses</v>
      </c>
      <c r="M981" s="6"/>
      <c r="P981" s="6" t="str">
        <f>IFERROR(__xludf.DUMMYFUNCTION("""COMPUTED_VALUE"""),"neil")</f>
        <v>neil</v>
      </c>
      <c r="Q981" s="6" t="str">
        <f>IFERROR(__xludf.DUMMYFUNCTION("""COMPUTED_VALUE"""),"hotels")</f>
        <v>hotels</v>
      </c>
      <c r="S981" s="6" t="str">
        <f>IFERROR(__xludf.DUMMYFUNCTION("""COMPUTED_VALUE"""),"worked")</f>
        <v>worked</v>
      </c>
    </row>
    <row r="982">
      <c r="D982" s="6"/>
      <c r="H982" s="6" t="str">
        <f>IFERROR(__xludf.DUMMYFUNCTION("""COMPUTED_VALUE"""),"credible")</f>
        <v>credible</v>
      </c>
      <c r="I982" s="6" t="str">
        <f>IFERROR(__xludf.DUMMYFUNCTION("""COMPUTED_VALUE"""),"effectively")</f>
        <v>effectively</v>
      </c>
      <c r="J982" s="6" t="str">
        <f>IFERROR(__xludf.DUMMYFUNCTION("""COMPUTED_VALUE"""),"proficiency")</f>
        <v>proficiency</v>
      </c>
      <c r="M982" s="6"/>
      <c r="P982" s="6" t="str">
        <f>IFERROR(__xludf.DUMMYFUNCTION("""COMPUTED_VALUE"""),"delivery")</f>
        <v>delivery</v>
      </c>
      <c r="Q982" s="6" t="str">
        <f>IFERROR(__xludf.DUMMYFUNCTION("""COMPUTED_VALUE"""),"retaining")</f>
        <v>retaining</v>
      </c>
      <c r="S982" s="6" t="str">
        <f>IFERROR(__xludf.DUMMYFUNCTION("""COMPUTED_VALUE"""),"seconds")</f>
        <v>seconds</v>
      </c>
    </row>
    <row r="983">
      <c r="D983" s="6"/>
      <c r="H983" s="6" t="str">
        <f>IFERROR(__xludf.DUMMYFUNCTION("""COMPUTED_VALUE"""),"mature")</f>
        <v>mature</v>
      </c>
      <c r="I983" s="6" t="str">
        <f>IFERROR(__xludf.DUMMYFUNCTION("""COMPUTED_VALUE"""),"concentration")</f>
        <v>concentration</v>
      </c>
      <c r="J983" s="6" t="str">
        <f>IFERROR(__xludf.DUMMYFUNCTION("""COMPUTED_VALUE"""),"crucial")</f>
        <v>crucial</v>
      </c>
      <c r="M983" s="6"/>
      <c r="P983" s="6" t="str">
        <f>IFERROR(__xludf.DUMMYFUNCTION("""COMPUTED_VALUE"""),"christopher")</f>
        <v>christopher</v>
      </c>
      <c r="Q983" s="6" t="str">
        <f>IFERROR(__xludf.DUMMYFUNCTION("""COMPUTED_VALUE"""),"mainstream")</f>
        <v>mainstream</v>
      </c>
      <c r="S983" s="6" t="str">
        <f>IFERROR(__xludf.DUMMYFUNCTION("""COMPUTED_VALUE"""),"phrase")</f>
        <v>phrase</v>
      </c>
    </row>
    <row r="984">
      <c r="D984" s="6"/>
      <c r="H984" s="6" t="str">
        <f>IFERROR(__xludf.DUMMYFUNCTION("""COMPUTED_VALUE"""),"ensuing")</f>
        <v>ensuing</v>
      </c>
      <c r="I984" s="6" t="str">
        <f>IFERROR(__xludf.DUMMYFUNCTION("""COMPUTED_VALUE"""),"architect")</f>
        <v>architect</v>
      </c>
      <c r="J984" s="6" t="str">
        <f>IFERROR(__xludf.DUMMYFUNCTION("""COMPUTED_VALUE"""),"immature")</f>
        <v>immature</v>
      </c>
      <c r="M984" s="6"/>
      <c r="P984" s="6" t="str">
        <f>IFERROR(__xludf.DUMMYFUNCTION("""COMPUTED_VALUE"""),"scores")</f>
        <v>scores</v>
      </c>
      <c r="Q984" s="6" t="str">
        <f>IFERROR(__xludf.DUMMYFUNCTION("""COMPUTED_VALUE"""),"menacing")</f>
        <v>menacing</v>
      </c>
      <c r="S984" s="6" t="str">
        <f>IFERROR(__xludf.DUMMYFUNCTION("""COMPUTED_VALUE"""),"julia")</f>
        <v>julia</v>
      </c>
    </row>
    <row r="985">
      <c r="D985" s="6"/>
      <c r="H985" s="6" t="str">
        <f>IFERROR(__xludf.DUMMYFUNCTION("""COMPUTED_VALUE"""),"commerce")</f>
        <v>commerce</v>
      </c>
      <c r="I985" s="6" t="str">
        <f>IFERROR(__xludf.DUMMYFUNCTION("""COMPUTED_VALUE"""),"neutral")</f>
        <v>neutral</v>
      </c>
      <c r="J985" s="6" t="str">
        <f>IFERROR(__xludf.DUMMYFUNCTION("""COMPUTED_VALUE"""),"contradiction")</f>
        <v>contradiction</v>
      </c>
      <c r="M985" s="6"/>
      <c r="P985" s="6" t="str">
        <f>IFERROR(__xludf.DUMMYFUNCTION("""COMPUTED_VALUE"""),"direct")</f>
        <v>direct</v>
      </c>
      <c r="Q985" s="6" t="str">
        <f>IFERROR(__xludf.DUMMYFUNCTION("""COMPUTED_VALUE"""),"bears")</f>
        <v>bears</v>
      </c>
      <c r="S985" s="6" t="str">
        <f>IFERROR(__xludf.DUMMYFUNCTION("""COMPUTED_VALUE"""),"roberts")</f>
        <v>roberts</v>
      </c>
    </row>
    <row r="986">
      <c r="D986" s="6"/>
      <c r="H986" s="6" t="str">
        <f>IFERROR(__xludf.DUMMYFUNCTION("""COMPUTED_VALUE"""),"subtly")</f>
        <v>subtly</v>
      </c>
      <c r="I986" s="6" t="str">
        <f>IFERROR(__xludf.DUMMYFUNCTION("""COMPUTED_VALUE"""),"singh")</f>
        <v>singh</v>
      </c>
      <c r="J986" s="6" t="str">
        <f>IFERROR(__xludf.DUMMYFUNCTION("""COMPUTED_VALUE"""),"searing")</f>
        <v>searing</v>
      </c>
      <c r="M986" s="6"/>
      <c r="P986" s="6" t="str">
        <f>IFERROR(__xludf.DUMMYFUNCTION("""COMPUTED_VALUE"""),"warrior")</f>
        <v>warrior</v>
      </c>
      <c r="Q986" s="6" t="str">
        <f>IFERROR(__xludf.DUMMYFUNCTION("""COMPUTED_VALUE"""),"spent")</f>
        <v>spent</v>
      </c>
      <c r="S986" s="6" t="str">
        <f>IFERROR(__xludf.DUMMYFUNCTION("""COMPUTED_VALUE"""),"workshop")</f>
        <v>workshop</v>
      </c>
    </row>
    <row r="987">
      <c r="D987" s="6"/>
      <c r="H987" s="6" t="str">
        <f>IFERROR(__xludf.DUMMYFUNCTION("""COMPUTED_VALUE"""),"ballistic")</f>
        <v>ballistic</v>
      </c>
      <c r="I987" s="6" t="str">
        <f>IFERROR(__xludf.DUMMYFUNCTION("""COMPUTED_VALUE"""),"function")</f>
        <v>function</v>
      </c>
      <c r="J987" s="6" t="str">
        <f>IFERROR(__xludf.DUMMYFUNCTION("""COMPUTED_VALUE"""),"desirable")</f>
        <v>desirable</v>
      </c>
      <c r="M987" s="6"/>
      <c r="P987" s="6" t="str">
        <f>IFERROR(__xludf.DUMMYFUNCTION("""COMPUTED_VALUE"""),"proud")</f>
        <v>proud</v>
      </c>
      <c r="Q987" s="6" t="str">
        <f>IFERROR(__xludf.DUMMYFUNCTION("""COMPUTED_VALUE"""),"got")</f>
        <v>got</v>
      </c>
      <c r="S987" s="6" t="str">
        <f>IFERROR(__xludf.DUMMYFUNCTION("""COMPUTED_VALUE"""),"duration")</f>
        <v>duration</v>
      </c>
    </row>
    <row r="988">
      <c r="D988" s="6"/>
      <c r="H988" s="6" t="str">
        <f>IFERROR(__xludf.DUMMYFUNCTION("""COMPUTED_VALUE"""),"waltz")</f>
        <v>waltz</v>
      </c>
      <c r="I988" s="6" t="str">
        <f>IFERROR(__xludf.DUMMYFUNCTION("""COMPUTED_VALUE"""),"businesses")</f>
        <v>businesses</v>
      </c>
      <c r="J988" s="6" t="str">
        <f>IFERROR(__xludf.DUMMYFUNCTION("""COMPUTED_VALUE"""),"fearless")</f>
        <v>fearless</v>
      </c>
      <c r="M988" s="6"/>
      <c r="P988" s="6" t="str">
        <f>IFERROR(__xludf.DUMMYFUNCTION("""COMPUTED_VALUE"""),"convention")</f>
        <v>convention</v>
      </c>
      <c r="Q988" s="6" t="str">
        <f>IFERROR(__xludf.DUMMYFUNCTION("""COMPUTED_VALUE"""),"creates")</f>
        <v>creates</v>
      </c>
      <c r="S988" s="6" t="str">
        <f>IFERROR(__xludf.DUMMYFUNCTION("""COMPUTED_VALUE"""),"lonely")</f>
        <v>lonely</v>
      </c>
    </row>
    <row r="989">
      <c r="D989" s="6"/>
      <c r="H989" s="6" t="str">
        <f>IFERROR(__xludf.DUMMYFUNCTION("""COMPUTED_VALUE"""),"provoke")</f>
        <v>provoke</v>
      </c>
      <c r="I989" s="6" t="str">
        <f>IFERROR(__xludf.DUMMYFUNCTION("""COMPUTED_VALUE"""),"election")</f>
        <v>election</v>
      </c>
      <c r="J989" s="6" t="str">
        <f>IFERROR(__xludf.DUMMYFUNCTION("""COMPUTED_VALUE"""),"niche")</f>
        <v>niche</v>
      </c>
      <c r="M989" s="6"/>
      <c r="P989" s="6" t="str">
        <f>IFERROR(__xludf.DUMMYFUNCTION("""COMPUTED_VALUE"""),"harm")</f>
        <v>harm</v>
      </c>
      <c r="Q989" s="6" t="str">
        <f>IFERROR(__xludf.DUMMYFUNCTION("""COMPUTED_VALUE"""),"demonstrating")</f>
        <v>demonstrating</v>
      </c>
      <c r="S989" s="6" t="str">
        <f>IFERROR(__xludf.DUMMYFUNCTION("""COMPUTED_VALUE"""),"realize")</f>
        <v>realize</v>
      </c>
    </row>
    <row r="990">
      <c r="D990" s="6"/>
      <c r="H990" s="6" t="str">
        <f>IFERROR(__xludf.DUMMYFUNCTION("""COMPUTED_VALUE"""),"collapses")</f>
        <v>collapses</v>
      </c>
      <c r="I990" s="6" t="str">
        <f>IFERROR(__xludf.DUMMYFUNCTION("""COMPUTED_VALUE"""),"tucker")</f>
        <v>tucker</v>
      </c>
      <c r="J990" s="6" t="str">
        <f>IFERROR(__xludf.DUMMYFUNCTION("""COMPUTED_VALUE"""),"woody")</f>
        <v>woody</v>
      </c>
      <c r="M990" s="6"/>
      <c r="P990" s="6" t="str">
        <f>IFERROR(__xludf.DUMMYFUNCTION("""COMPUTED_VALUE"""),"depression")</f>
        <v>depression</v>
      </c>
      <c r="Q990" s="6" t="str">
        <f>IFERROR(__xludf.DUMMYFUNCTION("""COMPUTED_VALUE"""),"encouraging")</f>
        <v>encouraging</v>
      </c>
      <c r="S990" s="6" t="str">
        <f>IFERROR(__xludf.DUMMYFUNCTION("""COMPUTED_VALUE"""),"separate")</f>
        <v>separate</v>
      </c>
    </row>
    <row r="991">
      <c r="D991" s="6"/>
      <c r="H991" s="6" t="str">
        <f>IFERROR(__xludf.DUMMYFUNCTION("""COMPUTED_VALUE"""),"consciousness")</f>
        <v>consciousness</v>
      </c>
      <c r="I991" s="6" t="str">
        <f>IFERROR(__xludf.DUMMYFUNCTION("""COMPUTED_VALUE"""),"established")</f>
        <v>established</v>
      </c>
      <c r="J991" s="6" t="str">
        <f>IFERROR(__xludf.DUMMYFUNCTION("""COMPUTED_VALUE"""),"slump")</f>
        <v>slump</v>
      </c>
      <c r="M991" s="6"/>
      <c r="P991" s="6" t="str">
        <f>IFERROR(__xludf.DUMMYFUNCTION("""COMPUTED_VALUE"""),"ear")</f>
        <v>ear</v>
      </c>
      <c r="Q991" s="6" t="str">
        <f>IFERROR(__xludf.DUMMYFUNCTION("""COMPUTED_VALUE"""),"note")</f>
        <v>note</v>
      </c>
      <c r="S991" s="6" t="str">
        <f>IFERROR(__xludf.DUMMYFUNCTION("""COMPUTED_VALUE"""),"structure")</f>
        <v>structure</v>
      </c>
    </row>
    <row r="992">
      <c r="D992" s="6"/>
      <c r="H992" s="6" t="str">
        <f>IFERROR(__xludf.DUMMYFUNCTION("""COMPUTED_VALUE"""),"conceptual")</f>
        <v>conceptual</v>
      </c>
      <c r="I992" s="6" t="str">
        <f>IFERROR(__xludf.DUMMYFUNCTION("""COMPUTED_VALUE"""),"appointed")</f>
        <v>appointed</v>
      </c>
      <c r="J992" s="6" t="str">
        <f>IFERROR(__xludf.DUMMYFUNCTION("""COMPUTED_VALUE"""),"sophomore")</f>
        <v>sophomore</v>
      </c>
      <c r="M992" s="6"/>
      <c r="P992" s="6" t="str">
        <f>IFERROR(__xludf.DUMMYFUNCTION("""COMPUTED_VALUE"""),"rhythm")</f>
        <v>rhythm</v>
      </c>
      <c r="Q992" s="6" t="str">
        <f>IFERROR(__xludf.DUMMYFUNCTION("""COMPUTED_VALUE"""),"dickens")</f>
        <v>dickens</v>
      </c>
      <c r="S992" s="6" t="str">
        <f>IFERROR(__xludf.DUMMYFUNCTION("""COMPUTED_VALUE"""),"weight")</f>
        <v>weight</v>
      </c>
    </row>
    <row r="993">
      <c r="D993" s="6"/>
      <c r="H993" s="6" t="str">
        <f>IFERROR(__xludf.DUMMYFUNCTION("""COMPUTED_VALUE"""),"puzzle")</f>
        <v>puzzle</v>
      </c>
      <c r="I993" s="6" t="str">
        <f>IFERROR(__xludf.DUMMYFUNCTION("""COMPUTED_VALUE"""),"segment")</f>
        <v>segment</v>
      </c>
      <c r="J993" s="6" t="str">
        <f>IFERROR(__xludf.DUMMYFUNCTION("""COMPUTED_VALUE"""),"tug")</f>
        <v>tug</v>
      </c>
      <c r="M993" s="6"/>
      <c r="P993" s="6" t="str">
        <f>IFERROR(__xludf.DUMMYFUNCTION("""COMPUTED_VALUE"""),"treat")</f>
        <v>treat</v>
      </c>
      <c r="Q993" s="6" t="str">
        <f>IFERROR(__xludf.DUMMYFUNCTION("""COMPUTED_VALUE"""),"expresses")</f>
        <v>expresses</v>
      </c>
      <c r="S993" s="6" t="str">
        <f>IFERROR(__xludf.DUMMYFUNCTION("""COMPUTED_VALUE"""),"conventional")</f>
        <v>conventional</v>
      </c>
    </row>
    <row r="994">
      <c r="D994" s="6"/>
      <c r="H994" s="6" t="str">
        <f>IFERROR(__xludf.DUMMYFUNCTION("""COMPUTED_VALUE"""),"sorority")</f>
        <v>sorority</v>
      </c>
      <c r="I994" s="6" t="str">
        <f>IFERROR(__xludf.DUMMYFUNCTION("""COMPUTED_VALUE"""),"fictional")</f>
        <v>fictional</v>
      </c>
      <c r="J994" s="6" t="str">
        <f>IFERROR(__xludf.DUMMYFUNCTION("""COMPUTED_VALUE"""),"70s")</f>
        <v>70s</v>
      </c>
      <c r="M994" s="6"/>
      <c r="P994" s="6" t="str">
        <f>IFERROR(__xludf.DUMMYFUNCTION("""COMPUTED_VALUE"""),"hughes")</f>
        <v>hughes</v>
      </c>
      <c r="Q994" s="6" t="str">
        <f>IFERROR(__xludf.DUMMYFUNCTION("""COMPUTED_VALUE"""),"evergreen")</f>
        <v>evergreen</v>
      </c>
      <c r="S994" s="6" t="str">
        <f>IFERROR(__xludf.DUMMYFUNCTION("""COMPUTED_VALUE"""),"manhattan")</f>
        <v>manhattan</v>
      </c>
    </row>
    <row r="995">
      <c r="D995" s="6"/>
      <c r="H995" s="6" t="str">
        <f>IFERROR(__xludf.DUMMYFUNCTION("""COMPUTED_VALUE"""),"naturally")</f>
        <v>naturally</v>
      </c>
      <c r="I995" s="6" t="str">
        <f>IFERROR(__xludf.DUMMYFUNCTION("""COMPUTED_VALUE"""),"roster")</f>
        <v>roster</v>
      </c>
      <c r="J995" s="6" t="str">
        <f>IFERROR(__xludf.DUMMYFUNCTION("""COMPUTED_VALUE"""),"prophet")</f>
        <v>prophet</v>
      </c>
      <c r="M995" s="6"/>
      <c r="P995" s="6" t="str">
        <f>IFERROR(__xludf.DUMMYFUNCTION("""COMPUTED_VALUE"""),"elder")</f>
        <v>elder</v>
      </c>
      <c r="Q995" s="6" t="str">
        <f>IFERROR(__xludf.DUMMYFUNCTION("""COMPUTED_VALUE"""),"basic")</f>
        <v>basic</v>
      </c>
      <c r="S995" s="6" t="str">
        <f>IFERROR(__xludf.DUMMYFUNCTION("""COMPUTED_VALUE"""),"firing")</f>
        <v>firing</v>
      </c>
    </row>
    <row r="996">
      <c r="D996" s="6"/>
      <c r="H996" s="6" t="str">
        <f>IFERROR(__xludf.DUMMYFUNCTION("""COMPUTED_VALUE"""),"corpse")</f>
        <v>corpse</v>
      </c>
      <c r="I996" s="6" t="str">
        <f>IFERROR(__xludf.DUMMYFUNCTION("""COMPUTED_VALUE"""),"afford")</f>
        <v>afford</v>
      </c>
      <c r="J996" s="6" t="str">
        <f>IFERROR(__xludf.DUMMYFUNCTION("""COMPUTED_VALUE"""),"conflict")</f>
        <v>conflict</v>
      </c>
      <c r="M996" s="6"/>
      <c r="P996" s="6" t="str">
        <f>IFERROR(__xludf.DUMMYFUNCTION("""COMPUTED_VALUE"""),"musical")</f>
        <v>musical</v>
      </c>
      <c r="Q996" s="6" t="str">
        <f>IFERROR(__xludf.DUMMYFUNCTION("""COMPUTED_VALUE"""),"inactive")</f>
        <v>inactive</v>
      </c>
      <c r="S996" s="6" t="str">
        <f>IFERROR(__xludf.DUMMYFUNCTION("""COMPUTED_VALUE"""),"witnesses")</f>
        <v>witnesses</v>
      </c>
    </row>
    <row r="997">
      <c r="D997" s="6"/>
      <c r="H997" s="6" t="str">
        <f>IFERROR(__xludf.DUMMYFUNCTION("""COMPUTED_VALUE"""),"siege")</f>
        <v>siege</v>
      </c>
      <c r="I997" s="6" t="str">
        <f>IFERROR(__xludf.DUMMYFUNCTION("""COMPUTED_VALUE"""),"bolt")</f>
        <v>bolt</v>
      </c>
      <c r="J997" s="6" t="str">
        <f>IFERROR(__xludf.DUMMYFUNCTION("""COMPUTED_VALUE"""),"vital")</f>
        <v>vital</v>
      </c>
      <c r="M997" s="6"/>
      <c r="P997" s="6" t="str">
        <f>IFERROR(__xludf.DUMMYFUNCTION("""COMPUTED_VALUE"""),"terror")</f>
        <v>terror</v>
      </c>
      <c r="Q997" s="6" t="str">
        <f>IFERROR(__xludf.DUMMYFUNCTION("""COMPUTED_VALUE"""),"memorable")</f>
        <v>memorable</v>
      </c>
      <c r="S997" s="6" t="str">
        <f>IFERROR(__xludf.DUMMYFUNCTION("""COMPUTED_VALUE"""),"event")</f>
        <v>event</v>
      </c>
    </row>
    <row r="998">
      <c r="D998" s="6"/>
      <c r="H998" s="6" t="str">
        <f>IFERROR(__xludf.DUMMYFUNCTION("""COMPUTED_VALUE"""),"gravity")</f>
        <v>gravity</v>
      </c>
      <c r="I998" s="6" t="str">
        <f>IFERROR(__xludf.DUMMYFUNCTION("""COMPUTED_VALUE"""),"stroke")</f>
        <v>stroke</v>
      </c>
      <c r="J998" s="6" t="str">
        <f>IFERROR(__xludf.DUMMYFUNCTION("""COMPUTED_VALUE"""),"enthusiastic")</f>
        <v>enthusiastic</v>
      </c>
      <c r="M998" s="6"/>
      <c r="P998" s="6" t="str">
        <f>IFERROR(__xludf.DUMMYFUNCTION("""COMPUTED_VALUE"""),"smiles")</f>
        <v>smiles</v>
      </c>
      <c r="Q998" s="6" t="str">
        <f>IFERROR(__xludf.DUMMYFUNCTION("""COMPUTED_VALUE"""),"affected")</f>
        <v>affected</v>
      </c>
      <c r="S998" s="6" t="str">
        <f>IFERROR(__xludf.DUMMYFUNCTION("""COMPUTED_VALUE"""),"revolutionary")</f>
        <v>revolutionary</v>
      </c>
    </row>
    <row r="999">
      <c r="D999" s="6"/>
      <c r="H999" s="6" t="str">
        <f>IFERROR(__xludf.DUMMYFUNCTION("""COMPUTED_VALUE"""),"popular")</f>
        <v>popular</v>
      </c>
      <c r="I999" s="6" t="str">
        <f>IFERROR(__xludf.DUMMYFUNCTION("""COMPUTED_VALUE"""),"nominated")</f>
        <v>nominated</v>
      </c>
      <c r="J999" s="6" t="str">
        <f>IFERROR(__xludf.DUMMYFUNCTION("""COMPUTED_VALUE"""),"recalls")</f>
        <v>recalls</v>
      </c>
      <c r="M999" s="6"/>
      <c r="P999" s="6" t="str">
        <f>IFERROR(__xludf.DUMMYFUNCTION("""COMPUTED_VALUE"""),"display")</f>
        <v>display</v>
      </c>
      <c r="Q999" s="6" t="str">
        <f>IFERROR(__xludf.DUMMYFUNCTION("""COMPUTED_VALUE"""),"practitioners")</f>
        <v>practitioners</v>
      </c>
      <c r="S999" s="6" t="str">
        <f>IFERROR(__xludf.DUMMYFUNCTION("""COMPUTED_VALUE"""),"chance")</f>
        <v>chance</v>
      </c>
    </row>
    <row r="1000">
      <c r="D1000" s="6"/>
      <c r="H1000" s="6" t="str">
        <f>IFERROR(__xludf.DUMMYFUNCTION("""COMPUTED_VALUE"""),"climax")</f>
        <v>climax</v>
      </c>
      <c r="I1000" s="6" t="str">
        <f>IFERROR(__xludf.DUMMYFUNCTION("""COMPUTED_VALUE"""),"chen")</f>
        <v>chen</v>
      </c>
      <c r="J1000" s="6" t="str">
        <f>IFERROR(__xludf.DUMMYFUNCTION("""COMPUTED_VALUE"""),"sweetly")</f>
        <v>sweetly</v>
      </c>
      <c r="M1000" s="6"/>
      <c r="P1000" s="6" t="str">
        <f>IFERROR(__xludf.DUMMYFUNCTION("""COMPUTED_VALUE"""),"naval")</f>
        <v>naval</v>
      </c>
      <c r="Q1000" s="6" t="str">
        <f>IFERROR(__xludf.DUMMYFUNCTION("""COMPUTED_VALUE"""),"foundation")</f>
        <v>foundation</v>
      </c>
      <c r="S1000" s="6" t="str">
        <f>IFERROR(__xludf.DUMMYFUNCTION("""COMPUTED_VALUE"""),"air")</f>
        <v>air</v>
      </c>
    </row>
    <row r="1001">
      <c r="D1001" s="6"/>
      <c r="H1001" s="6" t="str">
        <f>IFERROR(__xludf.DUMMYFUNCTION("""COMPUTED_VALUE"""),"jealousy")</f>
        <v>jealousy</v>
      </c>
      <c r="I1001" s="6" t="str">
        <f>IFERROR(__xludf.DUMMYFUNCTION("""COMPUTED_VALUE"""),"followers")</f>
        <v>followers</v>
      </c>
      <c r="J1001" s="6" t="str">
        <f>IFERROR(__xludf.DUMMYFUNCTION("""COMPUTED_VALUE"""),"infectious")</f>
        <v>infectious</v>
      </c>
      <c r="M1001" s="6"/>
      <c r="P1001" s="6" t="str">
        <f>IFERROR(__xludf.DUMMYFUNCTION("""COMPUTED_VALUE"""),"tears")</f>
        <v>tears</v>
      </c>
      <c r="Q1001" s="6" t="str">
        <f>IFERROR(__xludf.DUMMYFUNCTION("""COMPUTED_VALUE"""),"herring")</f>
        <v>herring</v>
      </c>
      <c r="S1001" s="6" t="str">
        <f>IFERROR(__xludf.DUMMYFUNCTION("""COMPUTED_VALUE"""),"centuries")</f>
        <v>centuries</v>
      </c>
    </row>
    <row r="1002">
      <c r="D1002" s="6"/>
      <c r="H1002" s="6" t="str">
        <f>IFERROR(__xludf.DUMMYFUNCTION("""COMPUTED_VALUE"""),"christopher")</f>
        <v>christopher</v>
      </c>
      <c r="I1002" s="6" t="str">
        <f>IFERROR(__xludf.DUMMYFUNCTION("""COMPUTED_VALUE"""),"stark")</f>
        <v>stark</v>
      </c>
      <c r="J1002" s="6" t="str">
        <f>IFERROR(__xludf.DUMMYFUNCTION("""COMPUTED_VALUE"""),"brooding")</f>
        <v>brooding</v>
      </c>
      <c r="M1002" s="6"/>
      <c r="P1002" s="6" t="str">
        <f>IFERROR(__xludf.DUMMYFUNCTION("""COMPUTED_VALUE"""),"surely")</f>
        <v>surely</v>
      </c>
      <c r="Q1002" s="6" t="str">
        <f>IFERROR(__xludf.DUMMYFUNCTION("""COMPUTED_VALUE"""),"intricate")</f>
        <v>intricate</v>
      </c>
      <c r="S1002" s="6" t="str">
        <f>IFERROR(__xludf.DUMMYFUNCTION("""COMPUTED_VALUE"""),"spiritual")</f>
        <v>spiritual</v>
      </c>
    </row>
    <row r="1003">
      <c r="D1003" s="6"/>
      <c r="H1003" s="6" t="str">
        <f>IFERROR(__xludf.DUMMYFUNCTION("""COMPUTED_VALUE"""),"classify")</f>
        <v>classify</v>
      </c>
      <c r="I1003" s="6" t="str">
        <f>IFERROR(__xludf.DUMMYFUNCTION("""COMPUTED_VALUE"""),"thrust")</f>
        <v>thrust</v>
      </c>
      <c r="J1003" s="6" t="str">
        <f>IFERROR(__xludf.DUMMYFUNCTION("""COMPUTED_VALUE"""),"superhuman")</f>
        <v>superhuman</v>
      </c>
      <c r="M1003" s="6"/>
      <c r="P1003" s="6" t="str">
        <f>IFERROR(__xludf.DUMMYFUNCTION("""COMPUTED_VALUE"""),"lobby")</f>
        <v>lobby</v>
      </c>
      <c r="Q1003" s="6" t="str">
        <f>IFERROR(__xludf.DUMMYFUNCTION("""COMPUTED_VALUE"""),"crimes")</f>
        <v>crimes</v>
      </c>
      <c r="S1003" s="6" t="str">
        <f>IFERROR(__xludf.DUMMYFUNCTION("""COMPUTED_VALUE"""),"stages")</f>
        <v>stages</v>
      </c>
    </row>
    <row r="1004">
      <c r="D1004" s="6"/>
      <c r="H1004" s="6" t="str">
        <f>IFERROR(__xludf.DUMMYFUNCTION("""COMPUTED_VALUE"""),"warrior")</f>
        <v>warrior</v>
      </c>
      <c r="I1004" s="6" t="str">
        <f>IFERROR(__xludf.DUMMYFUNCTION("""COMPUTED_VALUE"""),"teeth")</f>
        <v>teeth</v>
      </c>
      <c r="J1004" s="6" t="str">
        <f>IFERROR(__xludf.DUMMYFUNCTION("""COMPUTED_VALUE"""),"withstand")</f>
        <v>withstand</v>
      </c>
      <c r="M1004" s="6"/>
      <c r="P1004" s="6" t="str">
        <f>IFERROR(__xludf.DUMMYFUNCTION("""COMPUTED_VALUE"""),"corner")</f>
        <v>corner</v>
      </c>
      <c r="Q1004" s="6" t="str">
        <f>IFERROR(__xludf.DUMMYFUNCTION("""COMPUTED_VALUE"""),"france")</f>
        <v>france</v>
      </c>
      <c r="S1004" s="6" t="str">
        <f>IFERROR(__xludf.DUMMYFUNCTION("""COMPUTED_VALUE"""),"studios")</f>
        <v>studios</v>
      </c>
    </row>
    <row r="1005">
      <c r="D1005" s="6"/>
      <c r="H1005" s="6" t="str">
        <f>IFERROR(__xludf.DUMMYFUNCTION("""COMPUTED_VALUE"""),"proud")</f>
        <v>proud</v>
      </c>
      <c r="I1005" s="6" t="str">
        <f>IFERROR(__xludf.DUMMYFUNCTION("""COMPUTED_VALUE"""),"participants")</f>
        <v>participants</v>
      </c>
      <c r="J1005" s="6" t="str">
        <f>IFERROR(__xludf.DUMMYFUNCTION("""COMPUTED_VALUE"""),"shooting")</f>
        <v>shooting</v>
      </c>
      <c r="M1005" s="6"/>
      <c r="P1005" s="6" t="str">
        <f>IFERROR(__xludf.DUMMYFUNCTION("""COMPUTED_VALUE"""),"circuit")</f>
        <v>circuit</v>
      </c>
      <c r="Q1005" s="6" t="str">
        <f>IFERROR(__xludf.DUMMYFUNCTION("""COMPUTED_VALUE"""),"20th")</f>
        <v>20th</v>
      </c>
      <c r="S1005" s="6" t="str">
        <f>IFERROR(__xludf.DUMMYFUNCTION("""COMPUTED_VALUE"""),"laboratory")</f>
        <v>laboratory</v>
      </c>
    </row>
    <row r="1006">
      <c r="D1006" s="6"/>
      <c r="H1006" s="6" t="str">
        <f>IFERROR(__xludf.DUMMYFUNCTION("""COMPUTED_VALUE"""),"autobiographical")</f>
        <v>autobiographical</v>
      </c>
      <c r="I1006" s="6" t="str">
        <f>IFERROR(__xludf.DUMMYFUNCTION("""COMPUTED_VALUE"""),"franklin")</f>
        <v>franklin</v>
      </c>
      <c r="J1006" s="6" t="str">
        <f>IFERROR(__xludf.DUMMYFUNCTION("""COMPUTED_VALUE"""),"mundane")</f>
        <v>mundane</v>
      </c>
      <c r="M1006" s="6"/>
      <c r="P1006" s="6" t="str">
        <f>IFERROR(__xludf.DUMMYFUNCTION("""COMPUTED_VALUE"""),"interaction")</f>
        <v>interaction</v>
      </c>
      <c r="Q1006" s="6" t="str">
        <f>IFERROR(__xludf.DUMMYFUNCTION("""COMPUTED_VALUE"""),"destined")</f>
        <v>destined</v>
      </c>
      <c r="S1006" s="6" t="str">
        <f>IFERROR(__xludf.DUMMYFUNCTION("""COMPUTED_VALUE"""),"concerned")</f>
        <v>concerned</v>
      </c>
    </row>
    <row r="1007">
      <c r="D1007" s="6"/>
      <c r="H1007" s="6" t="str">
        <f>IFERROR(__xludf.DUMMYFUNCTION("""COMPUTED_VALUE"""),"crafted")</f>
        <v>crafted</v>
      </c>
      <c r="I1007" s="6" t="str">
        <f>IFERROR(__xludf.DUMMYFUNCTION("""COMPUTED_VALUE"""),"carl")</f>
        <v>carl</v>
      </c>
      <c r="J1007" s="6" t="str">
        <f>IFERROR(__xludf.DUMMYFUNCTION("""COMPUTED_VALUE"""),"wave")</f>
        <v>wave</v>
      </c>
      <c r="M1007" s="6"/>
      <c r="P1007" s="6" t="str">
        <f>IFERROR(__xludf.DUMMYFUNCTION("""COMPUTED_VALUE"""),"card")</f>
        <v>card</v>
      </c>
      <c r="Q1007" s="6" t="str">
        <f>IFERROR(__xludf.DUMMYFUNCTION("""COMPUTED_VALUE"""),"griffith")</f>
        <v>griffith</v>
      </c>
      <c r="S1007" s="6" t="str">
        <f>IFERROR(__xludf.DUMMYFUNCTION("""COMPUTED_VALUE"""),"left")</f>
        <v>left</v>
      </c>
    </row>
    <row r="1008">
      <c r="D1008" s="6"/>
      <c r="H1008" s="6" t="str">
        <f>IFERROR(__xludf.DUMMYFUNCTION("""COMPUTED_VALUE"""),"convention")</f>
        <v>convention</v>
      </c>
      <c r="I1008" s="6" t="str">
        <f>IFERROR(__xludf.DUMMYFUNCTION("""COMPUTED_VALUE"""),"dad")</f>
        <v>dad</v>
      </c>
      <c r="J1008" s="6" t="str">
        <f>IFERROR(__xludf.DUMMYFUNCTION("""COMPUTED_VALUE"""),"conspicuous")</f>
        <v>conspicuous</v>
      </c>
      <c r="M1008" s="6"/>
      <c r="P1008" s="6" t="str">
        <f>IFERROR(__xludf.DUMMYFUNCTION("""COMPUTED_VALUE"""),"sports")</f>
        <v>sports</v>
      </c>
      <c r="Q1008" s="6" t="str">
        <f>IFERROR(__xludf.DUMMYFUNCTION("""COMPUTED_VALUE"""),"glorious")</f>
        <v>glorious</v>
      </c>
      <c r="S1008" s="6" t="str">
        <f>IFERROR(__xludf.DUMMYFUNCTION("""COMPUTED_VALUE"""),"remaining")</f>
        <v>remaining</v>
      </c>
    </row>
    <row r="1009">
      <c r="D1009" s="6"/>
      <c r="H1009" s="6" t="str">
        <f>IFERROR(__xludf.DUMMYFUNCTION("""COMPUTED_VALUE"""),"urgently")</f>
        <v>urgently</v>
      </c>
      <c r="I1009" s="6" t="str">
        <f>IFERROR(__xludf.DUMMYFUNCTION("""COMPUTED_VALUE"""),"zhang")</f>
        <v>zhang</v>
      </c>
      <c r="J1009" s="6" t="str">
        <f>IFERROR(__xludf.DUMMYFUNCTION("""COMPUTED_VALUE"""),"weaponry")</f>
        <v>weaponry</v>
      </c>
      <c r="M1009" s="6"/>
      <c r="P1009" s="6" t="str">
        <f>IFERROR(__xludf.DUMMYFUNCTION("""COMPUTED_VALUE"""),"savage")</f>
        <v>savage</v>
      </c>
      <c r="Q1009" s="6" t="str">
        <f>IFERROR(__xludf.DUMMYFUNCTION("""COMPUTED_VALUE"""),"recipe")</f>
        <v>recipe</v>
      </c>
      <c r="S1009" s="6" t="str">
        <f>IFERROR(__xludf.DUMMYFUNCTION("""COMPUTED_VALUE"""),"critics")</f>
        <v>critics</v>
      </c>
    </row>
    <row r="1010">
      <c r="D1010" s="6"/>
      <c r="H1010" s="6" t="str">
        <f>IFERROR(__xludf.DUMMYFUNCTION("""COMPUTED_VALUE"""),"gasping")</f>
        <v>gasping</v>
      </c>
      <c r="I1010" s="6" t="str">
        <f>IFERROR(__xludf.DUMMYFUNCTION("""COMPUTED_VALUE"""),"southern")</f>
        <v>southern</v>
      </c>
      <c r="J1010" s="6" t="str">
        <f>IFERROR(__xludf.DUMMYFUNCTION("""COMPUTED_VALUE"""),"definitions")</f>
        <v>definitions</v>
      </c>
      <c r="M1010" s="6"/>
      <c r="P1010" s="6" t="str">
        <f>IFERROR(__xludf.DUMMYFUNCTION("""COMPUTED_VALUE"""),"dimension")</f>
        <v>dimension</v>
      </c>
      <c r="Q1010" s="6" t="str">
        <f>IFERROR(__xludf.DUMMYFUNCTION("""COMPUTED_VALUE"""),"bags")</f>
        <v>bags</v>
      </c>
      <c r="S1010" s="6" t="str">
        <f>IFERROR(__xludf.DUMMYFUNCTION("""COMPUTED_VALUE"""),"swift")</f>
        <v>swift</v>
      </c>
    </row>
    <row r="1011">
      <c r="D1011" s="6"/>
      <c r="H1011" s="6" t="str">
        <f>IFERROR(__xludf.DUMMYFUNCTION("""COMPUTED_VALUE"""),"workings")</f>
        <v>workings</v>
      </c>
      <c r="I1011" s="6" t="str">
        <f>IFERROR(__xludf.DUMMYFUNCTION("""COMPUTED_VALUE"""),"determination")</f>
        <v>determination</v>
      </c>
      <c r="J1011" s="6" t="str">
        <f>IFERROR(__xludf.DUMMYFUNCTION("""COMPUTED_VALUE"""),"thud")</f>
        <v>thud</v>
      </c>
      <c r="M1011" s="6"/>
      <c r="P1011" s="6" t="str">
        <f>IFERROR(__xludf.DUMMYFUNCTION("""COMPUTED_VALUE"""),"hell")</f>
        <v>hell</v>
      </c>
      <c r="Q1011" s="6" t="str">
        <f>IFERROR(__xludf.DUMMYFUNCTION("""COMPUTED_VALUE"""),"suit")</f>
        <v>suit</v>
      </c>
      <c r="S1011" s="6" t="str">
        <f>IFERROR(__xludf.DUMMYFUNCTION("""COMPUTED_VALUE"""),"falling")</f>
        <v>falling</v>
      </c>
    </row>
    <row r="1012">
      <c r="D1012" s="6"/>
      <c r="H1012" s="6" t="str">
        <f>IFERROR(__xludf.DUMMYFUNCTION("""COMPUTED_VALUE"""),"heightened")</f>
        <v>heightened</v>
      </c>
      <c r="I1012" s="6" t="str">
        <f>IFERROR(__xludf.DUMMYFUNCTION("""COMPUTED_VALUE"""),"surrounding")</f>
        <v>surrounding</v>
      </c>
      <c r="J1012" s="6" t="str">
        <f>IFERROR(__xludf.DUMMYFUNCTION("""COMPUTED_VALUE"""),"interpretation")</f>
        <v>interpretation</v>
      </c>
      <c r="M1012" s="6"/>
      <c r="P1012" s="6" t="str">
        <f>IFERROR(__xludf.DUMMYFUNCTION("""COMPUTED_VALUE"""),"tiny")</f>
        <v>tiny</v>
      </c>
      <c r="Q1012" s="6" t="str">
        <f>IFERROR(__xludf.DUMMYFUNCTION("""COMPUTED_VALUE"""),"strangely")</f>
        <v>strangely</v>
      </c>
      <c r="S1012" s="6" t="str">
        <f>IFERROR(__xludf.DUMMYFUNCTION("""COMPUTED_VALUE"""),"signs")</f>
        <v>signs</v>
      </c>
    </row>
    <row r="1013">
      <c r="D1013" s="6"/>
      <c r="H1013" s="6" t="str">
        <f>IFERROR(__xludf.DUMMYFUNCTION("""COMPUTED_VALUE"""),"virtues")</f>
        <v>virtues</v>
      </c>
      <c r="I1013" s="6" t="str">
        <f>IFERROR(__xludf.DUMMYFUNCTION("""COMPUTED_VALUE"""),"scientists")</f>
        <v>scientists</v>
      </c>
      <c r="J1013" s="6" t="str">
        <f>IFERROR(__xludf.DUMMYFUNCTION("""COMPUTED_VALUE"""),"lyrical")</f>
        <v>lyrical</v>
      </c>
      <c r="M1013" s="6"/>
      <c r="P1013" s="6" t="str">
        <f>IFERROR(__xludf.DUMMYFUNCTION("""COMPUTED_VALUE"""),"rushed")</f>
        <v>rushed</v>
      </c>
      <c r="Q1013" s="6" t="str">
        <f>IFERROR(__xludf.DUMMYFUNCTION("""COMPUTED_VALUE"""),"ordinary")</f>
        <v>ordinary</v>
      </c>
      <c r="S1013" s="6" t="str">
        <f>IFERROR(__xludf.DUMMYFUNCTION("""COMPUTED_VALUE"""),"played")</f>
        <v>played</v>
      </c>
    </row>
    <row r="1014">
      <c r="D1014" s="6"/>
      <c r="H1014" s="6" t="str">
        <f>IFERROR(__xludf.DUMMYFUNCTION("""COMPUTED_VALUE"""),"cameo")</f>
        <v>cameo</v>
      </c>
      <c r="I1014" s="6">
        <f>IFERROR(__xludf.DUMMYFUNCTION("""COMPUTED_VALUE"""),1952.0)</f>
        <v>1952</v>
      </c>
      <c r="J1014" s="6" t="str">
        <f>IFERROR(__xludf.DUMMYFUNCTION("""COMPUTED_VALUE"""),"blockbuster")</f>
        <v>blockbuster</v>
      </c>
      <c r="M1014" s="6"/>
      <c r="P1014" s="6" t="str">
        <f>IFERROR(__xludf.DUMMYFUNCTION("""COMPUTED_VALUE"""),"garcia")</f>
        <v>garcia</v>
      </c>
      <c r="Q1014" s="6" t="str">
        <f>IFERROR(__xludf.DUMMYFUNCTION("""COMPUTED_VALUE"""),"performing")</f>
        <v>performing</v>
      </c>
      <c r="S1014" s="6" t="str">
        <f>IFERROR(__xludf.DUMMYFUNCTION("""COMPUTED_VALUE"""),"benefit")</f>
        <v>benefit</v>
      </c>
    </row>
    <row r="1015">
      <c r="D1015" s="6"/>
      <c r="H1015" s="6" t="str">
        <f>IFERROR(__xludf.DUMMYFUNCTION("""COMPUTED_VALUE"""),"abyss")</f>
        <v>abyss</v>
      </c>
      <c r="I1015" s="6" t="str">
        <f>IFERROR(__xludf.DUMMYFUNCTION("""COMPUTED_VALUE"""),"defeated")</f>
        <v>defeated</v>
      </c>
      <c r="J1015" s="6" t="str">
        <f>IFERROR(__xludf.DUMMYFUNCTION("""COMPUTED_VALUE"""),"exploitation")</f>
        <v>exploitation</v>
      </c>
      <c r="M1015" s="6"/>
      <c r="P1015" s="6" t="str">
        <f>IFERROR(__xludf.DUMMYFUNCTION("""COMPUTED_VALUE"""),"fees")</f>
        <v>fees</v>
      </c>
      <c r="Q1015" s="6" t="str">
        <f>IFERROR(__xludf.DUMMYFUNCTION("""COMPUTED_VALUE"""),"indie")</f>
        <v>indie</v>
      </c>
      <c r="S1015" s="6" t="str">
        <f>IFERROR(__xludf.DUMMYFUNCTION("""COMPUTED_VALUE"""),"committed")</f>
        <v>committed</v>
      </c>
    </row>
    <row r="1016">
      <c r="D1016" s="6"/>
      <c r="H1016" s="6" t="str">
        <f>IFERROR(__xludf.DUMMYFUNCTION("""COMPUTED_VALUE"""),"depression")</f>
        <v>depression</v>
      </c>
      <c r="I1016" s="6" t="str">
        <f>IFERROR(__xludf.DUMMYFUNCTION("""COMPUTED_VALUE"""),"monument")</f>
        <v>monument</v>
      </c>
      <c r="J1016" s="6" t="str">
        <f>IFERROR(__xludf.DUMMYFUNCTION("""COMPUTED_VALUE"""),"emotion")</f>
        <v>emotion</v>
      </c>
      <c r="M1016" s="6"/>
      <c r="P1016" s="6" t="str">
        <f>IFERROR(__xludf.DUMMYFUNCTION("""COMPUTED_VALUE"""),"relationship")</f>
        <v>relationship</v>
      </c>
      <c r="Q1016" s="6" t="str">
        <f>IFERROR(__xludf.DUMMYFUNCTION("""COMPUTED_VALUE"""),"fisher")</f>
        <v>fisher</v>
      </c>
      <c r="S1016" s="6" t="str">
        <f>IFERROR(__xludf.DUMMYFUNCTION("""COMPUTED_VALUE"""),"presence")</f>
        <v>presence</v>
      </c>
    </row>
    <row r="1017">
      <c r="D1017" s="6"/>
      <c r="H1017" s="6" t="str">
        <f>IFERROR(__xludf.DUMMYFUNCTION("""COMPUTED_VALUE"""),"sinks")</f>
        <v>sinks</v>
      </c>
      <c r="I1017" s="6" t="str">
        <f>IFERROR(__xludf.DUMMYFUNCTION("""COMPUTED_VALUE"""),"minority")</f>
        <v>minority</v>
      </c>
      <c r="J1017" s="6" t="str">
        <f>IFERROR(__xludf.DUMMYFUNCTION("""COMPUTED_VALUE"""),"purge")</f>
        <v>purge</v>
      </c>
      <c r="M1017" s="6"/>
      <c r="P1017" s="6" t="str">
        <f>IFERROR(__xludf.DUMMYFUNCTION("""COMPUTED_VALUE"""),"seek")</f>
        <v>seek</v>
      </c>
      <c r="Q1017" s="6" t="str">
        <f>IFERROR(__xludf.DUMMYFUNCTION("""COMPUTED_VALUE"""),"odyssey")</f>
        <v>odyssey</v>
      </c>
      <c r="S1017" s="6" t="str">
        <f>IFERROR(__xludf.DUMMYFUNCTION("""COMPUTED_VALUE"""),"commanding")</f>
        <v>commanding</v>
      </c>
    </row>
    <row r="1018">
      <c r="D1018" s="6"/>
      <c r="H1018" s="6" t="str">
        <f>IFERROR(__xludf.DUMMYFUNCTION("""COMPUTED_VALUE"""),"eroded")</f>
        <v>eroded</v>
      </c>
      <c r="I1018" s="6" t="str">
        <f>IFERROR(__xludf.DUMMYFUNCTION("""COMPUTED_VALUE"""),"spine")</f>
        <v>spine</v>
      </c>
      <c r="J1018" s="6" t="str">
        <f>IFERROR(__xludf.DUMMYFUNCTION("""COMPUTED_VALUE"""),"triumph")</f>
        <v>triumph</v>
      </c>
      <c r="M1018" s="6"/>
      <c r="P1018" s="6" t="str">
        <f>IFERROR(__xludf.DUMMYFUNCTION("""COMPUTED_VALUE"""),"flash")</f>
        <v>flash</v>
      </c>
      <c r="Q1018" s="6" t="str">
        <f>IFERROR(__xludf.DUMMYFUNCTION("""COMPUTED_VALUE"""),"hopkins")</f>
        <v>hopkins</v>
      </c>
      <c r="S1018" s="6" t="str">
        <f>IFERROR(__xludf.DUMMYFUNCTION("""COMPUTED_VALUE"""),"staged")</f>
        <v>staged</v>
      </c>
    </row>
    <row r="1019">
      <c r="D1019" s="6"/>
      <c r="H1019" s="6" t="str">
        <f>IFERROR(__xludf.DUMMYFUNCTION("""COMPUTED_VALUE"""),"flawed")</f>
        <v>flawed</v>
      </c>
      <c r="I1019" s="6" t="str">
        <f>IFERROR(__xludf.DUMMYFUNCTION("""COMPUTED_VALUE"""),"environmental")</f>
        <v>environmental</v>
      </c>
      <c r="J1019" s="6" t="str">
        <f>IFERROR(__xludf.DUMMYFUNCTION("""COMPUTED_VALUE"""),"marvelous")</f>
        <v>marvelous</v>
      </c>
      <c r="M1019" s="6"/>
      <c r="P1019" s="6" t="str">
        <f>IFERROR(__xludf.DUMMYFUNCTION("""COMPUTED_VALUE"""),"wise")</f>
        <v>wise</v>
      </c>
      <c r="Q1019" s="6" t="str">
        <f>IFERROR(__xludf.DUMMYFUNCTION("""COMPUTED_VALUE"""),"establishes")</f>
        <v>establishes</v>
      </c>
      <c r="S1019" s="6" t="str">
        <f>IFERROR(__xludf.DUMMYFUNCTION("""COMPUTED_VALUE"""),"spinning")</f>
        <v>spinning</v>
      </c>
    </row>
    <row r="1020">
      <c r="D1020" s="6"/>
      <c r="H1020" s="6" t="str">
        <f>IFERROR(__xludf.DUMMYFUNCTION("""COMPUTED_VALUE"""),"comprehend")</f>
        <v>comprehend</v>
      </c>
      <c r="I1020" s="6" t="str">
        <f>IFERROR(__xludf.DUMMYFUNCTION("""COMPUTED_VALUE"""),"topics")</f>
        <v>topics</v>
      </c>
      <c r="J1020" s="6" t="str">
        <f>IFERROR(__xludf.DUMMYFUNCTION("""COMPUTED_VALUE"""),"shifted")</f>
        <v>shifted</v>
      </c>
      <c r="M1020" s="6"/>
      <c r="P1020" s="6" t="str">
        <f>IFERROR(__xludf.DUMMYFUNCTION("""COMPUTED_VALUE"""),"distinguished")</f>
        <v>distinguished</v>
      </c>
      <c r="Q1020" s="6" t="str">
        <f>IFERROR(__xludf.DUMMYFUNCTION("""COMPUTED_VALUE"""),"metropolis")</f>
        <v>metropolis</v>
      </c>
      <c r="S1020" s="6" t="str">
        <f>IFERROR(__xludf.DUMMYFUNCTION("""COMPUTED_VALUE"""),"kong")</f>
        <v>kong</v>
      </c>
    </row>
    <row r="1021">
      <c r="D1021" s="6"/>
      <c r="H1021" s="6" t="str">
        <f>IFERROR(__xludf.DUMMYFUNCTION("""COMPUTED_VALUE"""),"lifts")</f>
        <v>lifts</v>
      </c>
      <c r="I1021" s="6" t="str">
        <f>IFERROR(__xludf.DUMMYFUNCTION("""COMPUTED_VALUE"""),"alfred")</f>
        <v>alfred</v>
      </c>
      <c r="J1021" s="6" t="str">
        <f>IFERROR(__xludf.DUMMYFUNCTION("""COMPUTED_VALUE"""),"proposes")</f>
        <v>proposes</v>
      </c>
      <c r="M1021" s="6"/>
      <c r="P1021" s="6" t="str">
        <f>IFERROR(__xludf.DUMMYFUNCTION("""COMPUTED_VALUE"""),"thousand")</f>
        <v>thousand</v>
      </c>
      <c r="Q1021" s="6" t="str">
        <f>IFERROR(__xludf.DUMMYFUNCTION("""COMPUTED_VALUE"""),"villain")</f>
        <v>villain</v>
      </c>
      <c r="S1021" s="6" t="str">
        <f>IFERROR(__xludf.DUMMYFUNCTION("""COMPUTED_VALUE"""),"forced")</f>
        <v>forced</v>
      </c>
    </row>
    <row r="1022">
      <c r="D1022" s="6"/>
      <c r="H1022" s="6" t="str">
        <f>IFERROR(__xludf.DUMMYFUNCTION("""COMPUTED_VALUE"""),"regain")</f>
        <v>regain</v>
      </c>
      <c r="I1022" s="6" t="str">
        <f>IFERROR(__xludf.DUMMYFUNCTION("""COMPUTED_VALUE"""),"shakespeare")</f>
        <v>shakespeare</v>
      </c>
      <c r="J1022" s="6" t="str">
        <f>IFERROR(__xludf.DUMMYFUNCTION("""COMPUTED_VALUE"""),"mistress")</f>
        <v>mistress</v>
      </c>
      <c r="M1022" s="6"/>
      <c r="P1022" s="6" t="str">
        <f>IFERROR(__xludf.DUMMYFUNCTION("""COMPUTED_VALUE"""),"reign")</f>
        <v>reign</v>
      </c>
      <c r="Q1022" s="6" t="str">
        <f>IFERROR(__xludf.DUMMYFUNCTION("""COMPUTED_VALUE"""),"let")</f>
        <v>let</v>
      </c>
      <c r="S1022" s="6" t="str">
        <f>IFERROR(__xludf.DUMMYFUNCTION("""COMPUTED_VALUE"""),"dismissed")</f>
        <v>dismissed</v>
      </c>
    </row>
    <row r="1023">
      <c r="D1023" s="6"/>
      <c r="H1023" s="6" t="str">
        <f>IFERROR(__xludf.DUMMYFUNCTION("""COMPUTED_VALUE"""),"manipulation")</f>
        <v>manipulation</v>
      </c>
      <c r="I1023" s="6" t="str">
        <f>IFERROR(__xludf.DUMMYFUNCTION("""COMPUTED_VALUE"""),"lucas")</f>
        <v>lucas</v>
      </c>
      <c r="J1023" s="6" t="str">
        <f>IFERROR(__xludf.DUMMYFUNCTION("""COMPUTED_VALUE"""),"breakthrough")</f>
        <v>breakthrough</v>
      </c>
      <c r="M1023" s="6"/>
      <c r="P1023" s="6" t="str">
        <f>IFERROR(__xludf.DUMMYFUNCTION("""COMPUTED_VALUE"""),"dragons")</f>
        <v>dragons</v>
      </c>
      <c r="Q1023" s="6" t="str">
        <f>IFERROR(__xludf.DUMMYFUNCTION("""COMPUTED_VALUE"""),"discovering")</f>
        <v>discovering</v>
      </c>
      <c r="S1023" s="6" t="str">
        <f>IFERROR(__xludf.DUMMYFUNCTION("""COMPUTED_VALUE"""),"source")</f>
        <v>source</v>
      </c>
    </row>
    <row r="1024">
      <c r="D1024" s="6"/>
      <c r="H1024" s="6" t="str">
        <f>IFERROR(__xludf.DUMMYFUNCTION("""COMPUTED_VALUE"""),"optimism")</f>
        <v>optimism</v>
      </c>
      <c r="I1024" s="6" t="str">
        <f>IFERROR(__xludf.DUMMYFUNCTION("""COMPUTED_VALUE"""),"fighters")</f>
        <v>fighters</v>
      </c>
      <c r="J1024" s="6" t="str">
        <f>IFERROR(__xludf.DUMMYFUNCTION("""COMPUTED_VALUE"""),"television")</f>
        <v>television</v>
      </c>
      <c r="M1024" s="6"/>
      <c r="P1024" s="6" t="str">
        <f>IFERROR(__xludf.DUMMYFUNCTION("""COMPUTED_VALUE"""),"models")</f>
        <v>models</v>
      </c>
      <c r="Q1024" s="6" t="str">
        <f>IFERROR(__xludf.DUMMYFUNCTION("""COMPUTED_VALUE"""),"teacher")</f>
        <v>teacher</v>
      </c>
      <c r="S1024" s="6" t="str">
        <f>IFERROR(__xludf.DUMMYFUNCTION("""COMPUTED_VALUE"""),"revolution")</f>
        <v>revolution</v>
      </c>
    </row>
    <row r="1025">
      <c r="D1025" s="6"/>
      <c r="H1025" s="6" t="str">
        <f>IFERROR(__xludf.DUMMYFUNCTION("""COMPUTED_VALUE"""),"hughes")</f>
        <v>hughes</v>
      </c>
      <c r="I1025" s="6" t="str">
        <f>IFERROR(__xludf.DUMMYFUNCTION("""COMPUTED_VALUE"""),"functions")</f>
        <v>functions</v>
      </c>
      <c r="J1025" s="6" t="str">
        <f>IFERROR(__xludf.DUMMYFUNCTION("""COMPUTED_VALUE"""),"assumes")</f>
        <v>assumes</v>
      </c>
      <c r="M1025" s="6"/>
      <c r="P1025" s="6" t="str">
        <f>IFERROR(__xludf.DUMMYFUNCTION("""COMPUTED_VALUE"""),"bag")</f>
        <v>bag</v>
      </c>
      <c r="Q1025" s="6" t="str">
        <f>IFERROR(__xludf.DUMMYFUNCTION("""COMPUTED_VALUE"""),"increasingly")</f>
        <v>increasingly</v>
      </c>
      <c r="S1025" s="6" t="str">
        <f>IFERROR(__xludf.DUMMYFUNCTION("""COMPUTED_VALUE"""),"tim")</f>
        <v>tim</v>
      </c>
    </row>
    <row r="1026">
      <c r="D1026" s="6"/>
      <c r="H1026" s="6" t="str">
        <f>IFERROR(__xludf.DUMMYFUNCTION("""COMPUTED_VALUE"""),"elder")</f>
        <v>elder</v>
      </c>
      <c r="I1026" s="6" t="str">
        <f>IFERROR(__xludf.DUMMYFUNCTION("""COMPUTED_VALUE"""),"buried")</f>
        <v>buried</v>
      </c>
      <c r="J1026" s="6" t="str">
        <f>IFERROR(__xludf.DUMMYFUNCTION("""COMPUTED_VALUE"""),"unmistakable")</f>
        <v>unmistakable</v>
      </c>
      <c r="M1026" s="6"/>
      <c r="P1026" s="6" t="str">
        <f>IFERROR(__xludf.DUMMYFUNCTION("""COMPUTED_VALUE"""),"grin")</f>
        <v>grin</v>
      </c>
      <c r="Q1026" s="6" t="str">
        <f>IFERROR(__xludf.DUMMYFUNCTION("""COMPUTED_VALUE"""),"plotting")</f>
        <v>plotting</v>
      </c>
      <c r="S1026" s="6" t="str">
        <f>IFERROR(__xludf.DUMMYFUNCTION("""COMPUTED_VALUE"""),"gear")</f>
        <v>gear</v>
      </c>
    </row>
    <row r="1027">
      <c r="D1027" s="6"/>
      <c r="H1027" s="6" t="str">
        <f>IFERROR(__xludf.DUMMYFUNCTION("""COMPUTED_VALUE"""),"musical")</f>
        <v>musical</v>
      </c>
      <c r="I1027" s="6" t="str">
        <f>IFERROR(__xludf.DUMMYFUNCTION("""COMPUTED_VALUE"""),"copenhagen")</f>
        <v>copenhagen</v>
      </c>
      <c r="J1027" s="6" t="str">
        <f>IFERROR(__xludf.DUMMYFUNCTION("""COMPUTED_VALUE"""),"capture")</f>
        <v>capture</v>
      </c>
      <c r="M1027" s="6"/>
      <c r="P1027" s="6" t="str">
        <f>IFERROR(__xludf.DUMMYFUNCTION("""COMPUTED_VALUE"""),"managed")</f>
        <v>managed</v>
      </c>
      <c r="Q1027" s="6" t="str">
        <f>IFERROR(__xludf.DUMMYFUNCTION("""COMPUTED_VALUE"""),"specimen")</f>
        <v>specimen</v>
      </c>
      <c r="S1027" s="6" t="str">
        <f>IFERROR(__xludf.DUMMYFUNCTION("""COMPUTED_VALUE"""),"huge")</f>
        <v>huge</v>
      </c>
    </row>
    <row r="1028">
      <c r="D1028" s="6"/>
      <c r="H1028" s="6" t="str">
        <f>IFERROR(__xludf.DUMMYFUNCTION("""COMPUTED_VALUE"""),"terror")</f>
        <v>terror</v>
      </c>
      <c r="I1028" s="6" t="str">
        <f>IFERROR(__xludf.DUMMYFUNCTION("""COMPUTED_VALUE"""),"neighborhood")</f>
        <v>neighborhood</v>
      </c>
      <c r="J1028" s="6" t="str">
        <f>IFERROR(__xludf.DUMMYFUNCTION("""COMPUTED_VALUE"""),"penetrating")</f>
        <v>penetrating</v>
      </c>
      <c r="M1028" s="6"/>
      <c r="P1028" s="6" t="str">
        <f>IFERROR(__xludf.DUMMYFUNCTION("""COMPUTED_VALUE"""),"wang")</f>
        <v>wang</v>
      </c>
      <c r="Q1028" s="6" t="str">
        <f>IFERROR(__xludf.DUMMYFUNCTION("""COMPUTED_VALUE"""),"worked")</f>
        <v>worked</v>
      </c>
      <c r="S1028" s="6" t="str">
        <f>IFERROR(__xludf.DUMMYFUNCTION("""COMPUTED_VALUE"""),"search")</f>
        <v>search</v>
      </c>
    </row>
    <row r="1029">
      <c r="D1029" s="6"/>
      <c r="H1029" s="6" t="str">
        <f>IFERROR(__xludf.DUMMYFUNCTION("""COMPUTED_VALUE"""),"intentions")</f>
        <v>intentions</v>
      </c>
      <c r="I1029" s="6" t="str">
        <f>IFERROR(__xludf.DUMMYFUNCTION("""COMPUTED_VALUE"""),"iii")</f>
        <v>iii</v>
      </c>
      <c r="J1029" s="6" t="str">
        <f>IFERROR(__xludf.DUMMYFUNCTION("""COMPUTED_VALUE"""),"fascination")</f>
        <v>fascination</v>
      </c>
      <c r="M1029" s="6"/>
      <c r="P1029" s="6" t="str">
        <f>IFERROR(__xludf.DUMMYFUNCTION("""COMPUTED_VALUE"""),"surrender")</f>
        <v>surrender</v>
      </c>
      <c r="Q1029" s="6" t="str">
        <f>IFERROR(__xludf.DUMMYFUNCTION("""COMPUTED_VALUE"""),"inspire")</f>
        <v>inspire</v>
      </c>
      <c r="S1029" s="6" t="str">
        <f>IFERROR(__xludf.DUMMYFUNCTION("""COMPUTED_VALUE"""),"pop")</f>
        <v>pop</v>
      </c>
    </row>
    <row r="1030">
      <c r="D1030" s="6"/>
      <c r="H1030" s="6" t="str">
        <f>IFERROR(__xludf.DUMMYFUNCTION("""COMPUTED_VALUE"""),"owes")</f>
        <v>owes</v>
      </c>
      <c r="I1030" s="6" t="str">
        <f>IFERROR(__xludf.DUMMYFUNCTION("""COMPUTED_VALUE"""),"charles")</f>
        <v>charles</v>
      </c>
      <c r="J1030" s="6" t="str">
        <f>IFERROR(__xludf.DUMMYFUNCTION("""COMPUTED_VALUE"""),"undone")</f>
        <v>undone</v>
      </c>
      <c r="M1030" s="6"/>
      <c r="P1030" s="6" t="str">
        <f>IFERROR(__xludf.DUMMYFUNCTION("""COMPUTED_VALUE"""),"throwing")</f>
        <v>throwing</v>
      </c>
      <c r="Q1030" s="6" t="str">
        <f>IFERROR(__xludf.DUMMYFUNCTION("""COMPUTED_VALUE"""),"shrill")</f>
        <v>shrill</v>
      </c>
      <c r="S1030" s="6" t="str">
        <f>IFERROR(__xludf.DUMMYFUNCTION("""COMPUTED_VALUE"""),"maintains")</f>
        <v>maintains</v>
      </c>
    </row>
    <row r="1031">
      <c r="D1031" s="6"/>
      <c r="H1031" s="6" t="str">
        <f>IFERROR(__xludf.DUMMYFUNCTION("""COMPUTED_VALUE"""),"genesis")</f>
        <v>genesis</v>
      </c>
      <c r="I1031" s="6" t="str">
        <f>IFERROR(__xludf.DUMMYFUNCTION("""COMPUTED_VALUE"""),"proposal")</f>
        <v>proposal</v>
      </c>
      <c r="J1031" s="6" t="str">
        <f>IFERROR(__xludf.DUMMYFUNCTION("""COMPUTED_VALUE"""),"heard")</f>
        <v>heard</v>
      </c>
      <c r="M1031" s="6"/>
      <c r="P1031" s="6" t="str">
        <f>IFERROR(__xludf.DUMMYFUNCTION("""COMPUTED_VALUE"""),"span")</f>
        <v>span</v>
      </c>
      <c r="Q1031" s="6" t="str">
        <f>IFERROR(__xludf.DUMMYFUNCTION("""COMPUTED_VALUE"""),"sinister")</f>
        <v>sinister</v>
      </c>
      <c r="S1031" s="6" t="str">
        <f>IFERROR(__xludf.DUMMYFUNCTION("""COMPUTED_VALUE"""),"pat")</f>
        <v>pat</v>
      </c>
    </row>
    <row r="1032">
      <c r="D1032" s="6"/>
      <c r="H1032" s="6" t="str">
        <f>IFERROR(__xludf.DUMMYFUNCTION("""COMPUTED_VALUE"""),"naval")</f>
        <v>naval</v>
      </c>
      <c r="I1032" s="6" t="str">
        <f>IFERROR(__xludf.DUMMYFUNCTION("""COMPUTED_VALUE"""),"eventual")</f>
        <v>eventual</v>
      </c>
      <c r="J1032" s="6" t="str">
        <f>IFERROR(__xludf.DUMMYFUNCTION("""COMPUTED_VALUE"""),"inspiration")</f>
        <v>inspiration</v>
      </c>
      <c r="M1032" s="6"/>
      <c r="P1032" s="6" t="str">
        <f>IFERROR(__xludf.DUMMYFUNCTION("""COMPUTED_VALUE"""),"held")</f>
        <v>held</v>
      </c>
      <c r="Q1032" s="6" t="str">
        <f>IFERROR(__xludf.DUMMYFUNCTION("""COMPUTED_VALUE"""),"seconds")</f>
        <v>seconds</v>
      </c>
      <c r="S1032" s="6" t="str">
        <f>IFERROR(__xludf.DUMMYFUNCTION("""COMPUTED_VALUE"""),"visible")</f>
        <v>visible</v>
      </c>
    </row>
    <row r="1033">
      <c r="D1033" s="6"/>
      <c r="H1033" s="6" t="str">
        <f>IFERROR(__xludf.DUMMYFUNCTION("""COMPUTED_VALUE"""),"tears")</f>
        <v>tears</v>
      </c>
      <c r="I1033" s="6" t="str">
        <f>IFERROR(__xludf.DUMMYFUNCTION("""COMPUTED_VALUE"""),"heavyweight")</f>
        <v>heavyweight</v>
      </c>
      <c r="J1033" s="6" t="str">
        <f>IFERROR(__xludf.DUMMYFUNCTION("""COMPUTED_VALUE"""),"nicholson")</f>
        <v>nicholson</v>
      </c>
      <c r="M1033" s="6"/>
      <c r="P1033" s="6" t="str">
        <f>IFERROR(__xludf.DUMMYFUNCTION("""COMPUTED_VALUE"""),"odd")</f>
        <v>odd</v>
      </c>
      <c r="Q1033" s="6" t="str">
        <f>IFERROR(__xludf.DUMMYFUNCTION("""COMPUTED_VALUE"""),"aground")</f>
        <v>aground</v>
      </c>
      <c r="S1033" s="6" t="str">
        <f>IFERROR(__xludf.DUMMYFUNCTION("""COMPUTED_VALUE"""),"dubbed")</f>
        <v>dubbed</v>
      </c>
    </row>
    <row r="1034">
      <c r="D1034" s="6"/>
      <c r="H1034" s="6" t="str">
        <f>IFERROR(__xludf.DUMMYFUNCTION("""COMPUTED_VALUE"""),"frightening")</f>
        <v>frightening</v>
      </c>
      <c r="I1034" s="6" t="str">
        <f>IFERROR(__xludf.DUMMYFUNCTION("""COMPUTED_VALUE"""),"exception")</f>
        <v>exception</v>
      </c>
      <c r="J1034" s="6" t="str">
        <f>IFERROR(__xludf.DUMMYFUNCTION("""COMPUTED_VALUE"""),"intent")</f>
        <v>intent</v>
      </c>
      <c r="M1034" s="6"/>
      <c r="P1034" s="6" t="str">
        <f>IFERROR(__xludf.DUMMYFUNCTION("""COMPUTED_VALUE"""),"sound")</f>
        <v>sound</v>
      </c>
      <c r="Q1034" s="6" t="str">
        <f>IFERROR(__xludf.DUMMYFUNCTION("""COMPUTED_VALUE"""),"roberts")</f>
        <v>roberts</v>
      </c>
      <c r="S1034" s="6" t="str">
        <f>IFERROR(__xludf.DUMMYFUNCTION("""COMPUTED_VALUE"""),"outside")</f>
        <v>outside</v>
      </c>
    </row>
    <row r="1035">
      <c r="D1035" s="6"/>
      <c r="H1035" s="6" t="str">
        <f>IFERROR(__xludf.DUMMYFUNCTION("""COMPUTED_VALUE"""),"amid")</f>
        <v>amid</v>
      </c>
      <c r="I1035" s="6" t="str">
        <f>IFERROR(__xludf.DUMMYFUNCTION("""COMPUTED_VALUE"""),"assault")</f>
        <v>assault</v>
      </c>
      <c r="J1035" s="6" t="str">
        <f>IFERROR(__xludf.DUMMYFUNCTION("""COMPUTED_VALUE"""),"creeping")</f>
        <v>creeping</v>
      </c>
      <c r="M1035" s="6"/>
      <c r="P1035" s="6" t="str">
        <f>IFERROR(__xludf.DUMMYFUNCTION("""COMPUTED_VALUE"""),"bodies")</f>
        <v>bodies</v>
      </c>
      <c r="Q1035" s="6" t="str">
        <f>IFERROR(__xludf.DUMMYFUNCTION("""COMPUTED_VALUE"""),"workshop")</f>
        <v>workshop</v>
      </c>
      <c r="S1035" s="6" t="str">
        <f>IFERROR(__xludf.DUMMYFUNCTION("""COMPUTED_VALUE"""),"effect")</f>
        <v>effect</v>
      </c>
    </row>
    <row r="1036">
      <c r="D1036" s="6"/>
      <c r="H1036" s="6" t="str">
        <f>IFERROR(__xludf.DUMMYFUNCTION("""COMPUTED_VALUE"""),"morality")</f>
        <v>morality</v>
      </c>
      <c r="I1036" s="6" t="str">
        <f>IFERROR(__xludf.DUMMYFUNCTION("""COMPUTED_VALUE"""),"inhabitants")</f>
        <v>inhabitants</v>
      </c>
      <c r="J1036" s="6" t="str">
        <f>IFERROR(__xludf.DUMMYFUNCTION("""COMPUTED_VALUE"""),"distinctly")</f>
        <v>distinctly</v>
      </c>
      <c r="M1036" s="6"/>
      <c r="P1036" s="6" t="str">
        <f>IFERROR(__xludf.DUMMYFUNCTION("""COMPUTED_VALUE"""),"leather")</f>
        <v>leather</v>
      </c>
      <c r="Q1036" s="6" t="str">
        <f>IFERROR(__xludf.DUMMYFUNCTION("""COMPUTED_VALUE"""),"resemble")</f>
        <v>resemble</v>
      </c>
      <c r="S1036" s="6" t="str">
        <f>IFERROR(__xludf.DUMMYFUNCTION("""COMPUTED_VALUE"""),"turkey")</f>
        <v>turkey</v>
      </c>
    </row>
    <row r="1037">
      <c r="D1037" s="6"/>
      <c r="H1037" s="6" t="str">
        <f>IFERROR(__xludf.DUMMYFUNCTION("""COMPUTED_VALUE"""),"futuristic")</f>
        <v>futuristic</v>
      </c>
      <c r="I1037" s="6" t="str">
        <f>IFERROR(__xludf.DUMMYFUNCTION("""COMPUTED_VALUE"""),"region")</f>
        <v>region</v>
      </c>
      <c r="J1037" s="6" t="str">
        <f>IFERROR(__xludf.DUMMYFUNCTION("""COMPUTED_VALUE"""),"vietnamese")</f>
        <v>vietnamese</v>
      </c>
      <c r="M1037" s="6"/>
      <c r="P1037" s="6" t="str">
        <f>IFERROR(__xludf.DUMMYFUNCTION("""COMPUTED_VALUE"""),"secretary")</f>
        <v>secretary</v>
      </c>
      <c r="Q1037" s="6" t="str">
        <f>IFERROR(__xludf.DUMMYFUNCTION("""COMPUTED_VALUE"""),"vigorously")</f>
        <v>vigorously</v>
      </c>
      <c r="S1037" s="6" t="str">
        <f>IFERROR(__xludf.DUMMYFUNCTION("""COMPUTED_VALUE"""),"prior")</f>
        <v>prior</v>
      </c>
    </row>
    <row r="1038">
      <c r="D1038" s="6"/>
      <c r="H1038" s="6" t="str">
        <f>IFERROR(__xludf.DUMMYFUNCTION("""COMPUTED_VALUE"""),"autopsy")</f>
        <v>autopsy</v>
      </c>
      <c r="I1038" s="6" t="str">
        <f>IFERROR(__xludf.DUMMYFUNCTION("""COMPUTED_VALUE"""),"franco")</f>
        <v>franco</v>
      </c>
      <c r="J1038" s="6" t="str">
        <f>IFERROR(__xludf.DUMMYFUNCTION("""COMPUTED_VALUE"""),"theories")</f>
        <v>theories</v>
      </c>
      <c r="M1038" s="6"/>
      <c r="P1038" s="6" t="str">
        <f>IFERROR(__xludf.DUMMYFUNCTION("""COMPUTED_VALUE"""),"indians")</f>
        <v>indians</v>
      </c>
      <c r="Q1038" s="6" t="str">
        <f>IFERROR(__xludf.DUMMYFUNCTION("""COMPUTED_VALUE"""),"duration")</f>
        <v>duration</v>
      </c>
      <c r="S1038" s="6" t="str">
        <f>IFERROR(__xludf.DUMMYFUNCTION("""COMPUTED_VALUE"""),"hang")</f>
        <v>hang</v>
      </c>
    </row>
    <row r="1039">
      <c r="D1039" s="6"/>
      <c r="H1039" s="6" t="str">
        <f>IFERROR(__xludf.DUMMYFUNCTION("""COMPUTED_VALUE"""),"bravery")</f>
        <v>bravery</v>
      </c>
      <c r="I1039" s="6" t="str">
        <f>IFERROR(__xludf.DUMMYFUNCTION("""COMPUTED_VALUE"""),"christianity")</f>
        <v>christianity</v>
      </c>
      <c r="J1039" s="6" t="str">
        <f>IFERROR(__xludf.DUMMYFUNCTION("""COMPUTED_VALUE"""),"ominous")</f>
        <v>ominous</v>
      </c>
      <c r="M1039" s="6"/>
      <c r="P1039" s="6" t="str">
        <f>IFERROR(__xludf.DUMMYFUNCTION("""COMPUTED_VALUE"""),"ten")</f>
        <v>ten</v>
      </c>
      <c r="Q1039" s="6" t="str">
        <f>IFERROR(__xludf.DUMMYFUNCTION("""COMPUTED_VALUE"""),"experimentation")</f>
        <v>experimentation</v>
      </c>
      <c r="S1039" s="6" t="str">
        <f>IFERROR(__xludf.DUMMYFUNCTION("""COMPUTED_VALUE"""),"documented")</f>
        <v>documented</v>
      </c>
    </row>
    <row r="1040">
      <c r="D1040" s="6"/>
      <c r="H1040" s="6" t="str">
        <f>IFERROR(__xludf.DUMMYFUNCTION("""COMPUTED_VALUE"""),"circuit")</f>
        <v>circuit</v>
      </c>
      <c r="I1040" s="6" t="str">
        <f>IFERROR(__xludf.DUMMYFUNCTION("""COMPUTED_VALUE"""),"shaking")</f>
        <v>shaking</v>
      </c>
      <c r="J1040" s="6" t="str">
        <f>IFERROR(__xludf.DUMMYFUNCTION("""COMPUTED_VALUE"""),"earthly")</f>
        <v>earthly</v>
      </c>
      <c r="M1040" s="6"/>
      <c r="P1040" s="6" t="str">
        <f>IFERROR(__xludf.DUMMYFUNCTION("""COMPUTED_VALUE"""),"circle")</f>
        <v>circle</v>
      </c>
      <c r="Q1040" s="6" t="str">
        <f>IFERROR(__xludf.DUMMYFUNCTION("""COMPUTED_VALUE"""),"improvisation")</f>
        <v>improvisation</v>
      </c>
      <c r="S1040" s="6" t="str">
        <f>IFERROR(__xludf.DUMMYFUNCTION("""COMPUTED_VALUE"""),"expected")</f>
        <v>expected</v>
      </c>
    </row>
    <row r="1041">
      <c r="D1041" s="6"/>
      <c r="H1041" s="6" t="str">
        <f>IFERROR(__xludf.DUMMYFUNCTION("""COMPUTED_VALUE"""),"minnie")</f>
        <v>minnie</v>
      </c>
      <c r="I1041" s="6" t="str">
        <f>IFERROR(__xludf.DUMMYFUNCTION("""COMPUTED_VALUE"""),"ties")</f>
        <v>ties</v>
      </c>
      <c r="J1041" s="6" t="str">
        <f>IFERROR(__xludf.DUMMYFUNCTION("""COMPUTED_VALUE"""),"counterparts")</f>
        <v>counterparts</v>
      </c>
      <c r="M1041" s="6"/>
      <c r="P1041" s="6" t="str">
        <f>IFERROR(__xludf.DUMMYFUNCTION("""COMPUTED_VALUE"""),"chain")</f>
        <v>chain</v>
      </c>
      <c r="Q1041" s="6" t="str">
        <f>IFERROR(__xludf.DUMMYFUNCTION("""COMPUTED_VALUE"""),"ceremonies")</f>
        <v>ceremonies</v>
      </c>
      <c r="S1041" s="6" t="str">
        <f>IFERROR(__xludf.DUMMYFUNCTION("""COMPUTED_VALUE"""),"croatia")</f>
        <v>croatia</v>
      </c>
    </row>
    <row r="1042">
      <c r="D1042" s="6"/>
      <c r="H1042" s="6" t="str">
        <f>IFERROR(__xludf.DUMMYFUNCTION("""COMPUTED_VALUE"""),"spontaneous")</f>
        <v>spontaneous</v>
      </c>
      <c r="I1042" s="6" t="str">
        <f>IFERROR(__xludf.DUMMYFUNCTION("""COMPUTED_VALUE"""),"hawk")</f>
        <v>hawk</v>
      </c>
      <c r="J1042" s="6" t="str">
        <f>IFERROR(__xludf.DUMMYFUNCTION("""COMPUTED_VALUE"""),"schizophrenia")</f>
        <v>schizophrenia</v>
      </c>
      <c r="M1042" s="6"/>
      <c r="P1042" s="6" t="str">
        <f>IFERROR(__xludf.DUMMYFUNCTION("""COMPUTED_VALUE"""),"forming")</f>
        <v>forming</v>
      </c>
      <c r="Q1042" s="6" t="str">
        <f>IFERROR(__xludf.DUMMYFUNCTION("""COMPUTED_VALUE"""),"crises")</f>
        <v>crises</v>
      </c>
      <c r="S1042" s="6" t="str">
        <f>IFERROR(__xludf.DUMMYFUNCTION("""COMPUTED_VALUE"""),"america")</f>
        <v>america</v>
      </c>
    </row>
    <row r="1043">
      <c r="D1043" s="6"/>
      <c r="H1043" s="6" t="str">
        <f>IFERROR(__xludf.DUMMYFUNCTION("""COMPUTED_VALUE"""),"savage")</f>
        <v>savage</v>
      </c>
      <c r="I1043" s="6" t="str">
        <f>IFERROR(__xludf.DUMMYFUNCTION("""COMPUTED_VALUE"""),"cultures")</f>
        <v>cultures</v>
      </c>
      <c r="J1043" s="6" t="str">
        <f>IFERROR(__xludf.DUMMYFUNCTION("""COMPUTED_VALUE"""),"captured")</f>
        <v>captured</v>
      </c>
      <c r="M1043" s="6"/>
      <c r="P1043" s="6" t="str">
        <f>IFERROR(__xludf.DUMMYFUNCTION("""COMPUTED_VALUE"""),"wallace")</f>
        <v>wallace</v>
      </c>
      <c r="Q1043" s="6" t="str">
        <f>IFERROR(__xludf.DUMMYFUNCTION("""COMPUTED_VALUE"""),"forged")</f>
        <v>forged</v>
      </c>
      <c r="S1043" s="6" t="str">
        <f>IFERROR(__xludf.DUMMYFUNCTION("""COMPUTED_VALUE"""),"word")</f>
        <v>word</v>
      </c>
    </row>
    <row r="1044">
      <c r="D1044" s="6"/>
      <c r="H1044" s="6" t="str">
        <f>IFERROR(__xludf.DUMMYFUNCTION("""COMPUTED_VALUE"""),"hell")</f>
        <v>hell</v>
      </c>
      <c r="I1044" s="6" t="str">
        <f>IFERROR(__xludf.DUMMYFUNCTION("""COMPUTED_VALUE"""),"robinson")</f>
        <v>robinson</v>
      </c>
      <c r="J1044" s="6" t="str">
        <f>IFERROR(__xludf.DUMMYFUNCTION("""COMPUTED_VALUE"""),"equal")</f>
        <v>equal</v>
      </c>
      <c r="M1044" s="6"/>
      <c r="P1044" s="6" t="str">
        <f>IFERROR(__xludf.DUMMYFUNCTION("""COMPUTED_VALUE"""),"enormous")</f>
        <v>enormous</v>
      </c>
      <c r="Q1044" s="6" t="str">
        <f>IFERROR(__xludf.DUMMYFUNCTION("""COMPUTED_VALUE"""),"weight")</f>
        <v>weight</v>
      </c>
      <c r="S1044" s="6" t="str">
        <f>IFERROR(__xludf.DUMMYFUNCTION("""COMPUTED_VALUE"""),"families")</f>
        <v>families</v>
      </c>
    </row>
    <row r="1045">
      <c r="D1045" s="6"/>
      <c r="H1045" s="6" t="str">
        <f>IFERROR(__xludf.DUMMYFUNCTION("""COMPUTED_VALUE"""),"participant")</f>
        <v>participant</v>
      </c>
      <c r="I1045" s="6" t="str">
        <f>IFERROR(__xludf.DUMMYFUNCTION("""COMPUTED_VALUE"""),"disabled")</f>
        <v>disabled</v>
      </c>
      <c r="J1045" s="6" t="str">
        <f>IFERROR(__xludf.DUMMYFUNCTION("""COMPUTED_VALUE"""),"handful")</f>
        <v>handful</v>
      </c>
      <c r="M1045" s="6"/>
      <c r="P1045" s="6" t="str">
        <f>IFERROR(__xludf.DUMMYFUNCTION("""COMPUTED_VALUE"""),"afternoon")</f>
        <v>afternoon</v>
      </c>
      <c r="Q1045" s="6" t="str">
        <f>IFERROR(__xludf.DUMMYFUNCTION("""COMPUTED_VALUE"""),"angelina")</f>
        <v>angelina</v>
      </c>
      <c r="S1045" s="6" t="str">
        <f>IFERROR(__xludf.DUMMYFUNCTION("""COMPUTED_VALUE"""),"holds")</f>
        <v>holds</v>
      </c>
    </row>
    <row r="1046">
      <c r="D1046" s="6"/>
      <c r="H1046" s="6" t="str">
        <f>IFERROR(__xludf.DUMMYFUNCTION("""COMPUTED_VALUE"""),"rushed")</f>
        <v>rushed</v>
      </c>
      <c r="I1046" s="6" t="str">
        <f>IFERROR(__xludf.DUMMYFUNCTION("""COMPUTED_VALUE"""),"partnership")</f>
        <v>partnership</v>
      </c>
      <c r="J1046" s="6" t="str">
        <f>IFERROR(__xludf.DUMMYFUNCTION("""COMPUTED_VALUE"""),"realizing")</f>
        <v>realizing</v>
      </c>
      <c r="M1046" s="6"/>
      <c r="P1046" s="6" t="str">
        <f>IFERROR(__xludf.DUMMYFUNCTION("""COMPUTED_VALUE"""),"random")</f>
        <v>random</v>
      </c>
      <c r="Q1046" s="6" t="str">
        <f>IFERROR(__xludf.DUMMYFUNCTION("""COMPUTED_VALUE"""),"conventional")</f>
        <v>conventional</v>
      </c>
      <c r="S1046" s="6" t="str">
        <f>IFERROR(__xludf.DUMMYFUNCTION("""COMPUTED_VALUE"""),"lee")</f>
        <v>lee</v>
      </c>
    </row>
    <row r="1047">
      <c r="D1047" s="6"/>
      <c r="H1047" s="6" t="str">
        <f>IFERROR(__xludf.DUMMYFUNCTION("""COMPUTED_VALUE"""),"immensely")</f>
        <v>immensely</v>
      </c>
      <c r="I1047" s="6" t="str">
        <f>IFERROR(__xludf.DUMMYFUNCTION("""COMPUTED_VALUE"""),"glass")</f>
        <v>glass</v>
      </c>
      <c r="J1047" s="6" t="str">
        <f>IFERROR(__xludf.DUMMYFUNCTION("""COMPUTED_VALUE"""),"warfare")</f>
        <v>warfare</v>
      </c>
      <c r="M1047" s="6"/>
      <c r="P1047" s="6" t="str">
        <f>IFERROR(__xludf.DUMMYFUNCTION("""COMPUTED_VALUE"""),"notion")</f>
        <v>notion</v>
      </c>
      <c r="Q1047" s="6" t="str">
        <f>IFERROR(__xludf.DUMMYFUNCTION("""COMPUTED_VALUE"""),"manhattan")</f>
        <v>manhattan</v>
      </c>
      <c r="S1047" s="6" t="str">
        <f>IFERROR(__xludf.DUMMYFUNCTION("""COMPUTED_VALUE"""),"said")</f>
        <v>said</v>
      </c>
    </row>
    <row r="1048">
      <c r="D1048" s="6"/>
      <c r="H1048" s="6" t="str">
        <f>IFERROR(__xludf.DUMMYFUNCTION("""COMPUTED_VALUE"""),"technological")</f>
        <v>technological</v>
      </c>
      <c r="I1048" s="6" t="str">
        <f>IFERROR(__xludf.DUMMYFUNCTION("""COMPUTED_VALUE"""),"pause")</f>
        <v>pause</v>
      </c>
      <c r="J1048" s="6" t="str">
        <f>IFERROR(__xludf.DUMMYFUNCTION("""COMPUTED_VALUE"""),"lets")</f>
        <v>lets</v>
      </c>
      <c r="M1048" s="6"/>
      <c r="P1048" s="6" t="str">
        <f>IFERROR(__xludf.DUMMYFUNCTION("""COMPUTED_VALUE"""),"technical")</f>
        <v>technical</v>
      </c>
      <c r="Q1048" s="6" t="str">
        <f>IFERROR(__xludf.DUMMYFUNCTION("""COMPUTED_VALUE"""),"skies")</f>
        <v>skies</v>
      </c>
      <c r="S1048" s="6" t="str">
        <f>IFERROR(__xludf.DUMMYFUNCTION("""COMPUTED_VALUE"""),"talk")</f>
        <v>talk</v>
      </c>
    </row>
    <row r="1049">
      <c r="D1049" s="6"/>
      <c r="H1049" s="6" t="str">
        <f>IFERROR(__xludf.DUMMYFUNCTION("""COMPUTED_VALUE"""),"concentrating")</f>
        <v>concentrating</v>
      </c>
      <c r="I1049" s="6" t="str">
        <f>IFERROR(__xludf.DUMMYFUNCTION("""COMPUTED_VALUE"""),"playoff")</f>
        <v>playoff</v>
      </c>
      <c r="J1049" s="6" t="str">
        <f>IFERROR(__xludf.DUMMYFUNCTION("""COMPUTED_VALUE"""),"brendan")</f>
        <v>brendan</v>
      </c>
      <c r="M1049" s="6"/>
      <c r="P1049" s="6" t="str">
        <f>IFERROR(__xludf.DUMMYFUNCTION("""COMPUTED_VALUE"""),"brand")</f>
        <v>brand</v>
      </c>
      <c r="Q1049" s="6" t="str">
        <f>IFERROR(__xludf.DUMMYFUNCTION("""COMPUTED_VALUE"""),"firing")</f>
        <v>firing</v>
      </c>
      <c r="S1049" s="6" t="str">
        <f>IFERROR(__xludf.DUMMYFUNCTION("""COMPUTED_VALUE"""),"interior")</f>
        <v>interior</v>
      </c>
    </row>
    <row r="1050">
      <c r="D1050" s="6"/>
      <c r="H1050" s="6" t="str">
        <f>IFERROR(__xludf.DUMMYFUNCTION("""COMPUTED_VALUE"""),"retaliation")</f>
        <v>retaliation</v>
      </c>
      <c r="I1050" s="6" t="str">
        <f>IFERROR(__xludf.DUMMYFUNCTION("""COMPUTED_VALUE"""),"arrest")</f>
        <v>arrest</v>
      </c>
      <c r="J1050" s="6" t="str">
        <f>IFERROR(__xludf.DUMMYFUNCTION("""COMPUTED_VALUE"""),"tuned")</f>
        <v>tuned</v>
      </c>
      <c r="M1050" s="6"/>
      <c r="P1050" s="6" t="str">
        <f>IFERROR(__xludf.DUMMYFUNCTION("""COMPUTED_VALUE"""),"breath")</f>
        <v>breath</v>
      </c>
      <c r="Q1050" s="6" t="str">
        <f>IFERROR(__xludf.DUMMYFUNCTION("""COMPUTED_VALUE"""),"testimony")</f>
        <v>testimony</v>
      </c>
      <c r="S1050" s="6" t="str">
        <f>IFERROR(__xludf.DUMMYFUNCTION("""COMPUTED_VALUE"""),"party")</f>
        <v>party</v>
      </c>
    </row>
    <row r="1051">
      <c r="D1051" s="6"/>
      <c r="H1051" s="6" t="str">
        <f>IFERROR(__xludf.DUMMYFUNCTION("""COMPUTED_VALUE"""),"depict")</f>
        <v>depict</v>
      </c>
      <c r="I1051" s="6" t="str">
        <f>IFERROR(__xludf.DUMMYFUNCTION("""COMPUTED_VALUE"""),"appeals")</f>
        <v>appeals</v>
      </c>
      <c r="J1051" s="6" t="str">
        <f>IFERROR(__xludf.DUMMYFUNCTION("""COMPUTED_VALUE"""),"vehicle")</f>
        <v>vehicle</v>
      </c>
      <c r="M1051" s="6"/>
      <c r="P1051" s="6" t="str">
        <f>IFERROR(__xludf.DUMMYFUNCTION("""COMPUTED_VALUE"""),"lifetime")</f>
        <v>lifetime</v>
      </c>
      <c r="Q1051" s="6" t="str">
        <f>IFERROR(__xludf.DUMMYFUNCTION("""COMPUTED_VALUE"""),"revolutionary")</f>
        <v>revolutionary</v>
      </c>
      <c r="S1051" s="6" t="str">
        <f>IFERROR(__xludf.DUMMYFUNCTION("""COMPUTED_VALUE"""),"arguments")</f>
        <v>arguments</v>
      </c>
    </row>
    <row r="1052">
      <c r="D1052" s="6"/>
      <c r="H1052" s="6" t="str">
        <f>IFERROR(__xludf.DUMMYFUNCTION("""COMPUTED_VALUE"""),"homosexual")</f>
        <v>homosexual</v>
      </c>
      <c r="I1052" s="6" t="str">
        <f>IFERROR(__xludf.DUMMYFUNCTION("""COMPUTED_VALUE"""),"barry")</f>
        <v>barry</v>
      </c>
      <c r="J1052" s="6" t="str">
        <f>IFERROR(__xludf.DUMMYFUNCTION("""COMPUTED_VALUE"""),"raises")</f>
        <v>raises</v>
      </c>
      <c r="M1052" s="6"/>
      <c r="P1052" s="6" t="str">
        <f>IFERROR(__xludf.DUMMYFUNCTION("""COMPUTED_VALUE"""),"letting")</f>
        <v>letting</v>
      </c>
      <c r="Q1052" s="6" t="str">
        <f>IFERROR(__xludf.DUMMYFUNCTION("""COMPUTED_VALUE"""),"chance")</f>
        <v>chance</v>
      </c>
      <c r="S1052" s="6" t="str">
        <f>IFERROR(__xludf.DUMMYFUNCTION("""COMPUTED_VALUE"""),"missing")</f>
        <v>missing</v>
      </c>
    </row>
    <row r="1053">
      <c r="D1053" s="6"/>
      <c r="H1053" s="6" t="str">
        <f>IFERROR(__xludf.DUMMYFUNCTION("""COMPUTED_VALUE"""),"wise")</f>
        <v>wise</v>
      </c>
      <c r="I1053" s="6" t="str">
        <f>IFERROR(__xludf.DUMMYFUNCTION("""COMPUTED_VALUE"""),"releasing")</f>
        <v>releasing</v>
      </c>
      <c r="J1053" s="6" t="str">
        <f>IFERROR(__xludf.DUMMYFUNCTION("""COMPUTED_VALUE"""),"brink")</f>
        <v>brink</v>
      </c>
      <c r="M1053" s="6"/>
      <c r="P1053" s="6" t="str">
        <f>IFERROR(__xludf.DUMMYFUNCTION("""COMPUTED_VALUE"""),"carved")</f>
        <v>carved</v>
      </c>
      <c r="Q1053" s="6" t="str">
        <f>IFERROR(__xludf.DUMMYFUNCTION("""COMPUTED_VALUE"""),"air")</f>
        <v>air</v>
      </c>
      <c r="S1053" s="6" t="str">
        <f>IFERROR(__xludf.DUMMYFUNCTION("""COMPUTED_VALUE"""),"susan")</f>
        <v>susan</v>
      </c>
    </row>
    <row r="1054">
      <c r="D1054" s="6"/>
      <c r="H1054" s="6" t="str">
        <f>IFERROR(__xludf.DUMMYFUNCTION("""COMPUTED_VALUE"""),"distinguished")</f>
        <v>distinguished</v>
      </c>
      <c r="I1054" s="6" t="str">
        <f>IFERROR(__xludf.DUMMYFUNCTION("""COMPUTED_VALUE"""),"prey")</f>
        <v>prey</v>
      </c>
      <c r="J1054" s="6" t="str">
        <f>IFERROR(__xludf.DUMMYFUNCTION("""COMPUTED_VALUE"""),"thick")</f>
        <v>thick</v>
      </c>
      <c r="M1054" s="6"/>
      <c r="P1054" s="6" t="str">
        <f>IFERROR(__xludf.DUMMYFUNCTION("""COMPUTED_VALUE"""),"slowly")</f>
        <v>slowly</v>
      </c>
      <c r="Q1054" s="6" t="str">
        <f>IFERROR(__xludf.DUMMYFUNCTION("""COMPUTED_VALUE"""),"obstacles")</f>
        <v>obstacles</v>
      </c>
      <c r="S1054" s="6" t="str">
        <f>IFERROR(__xludf.DUMMYFUNCTION("""COMPUTED_VALUE"""),"feat")</f>
        <v>feat</v>
      </c>
    </row>
    <row r="1055">
      <c r="D1055" s="6"/>
      <c r="H1055" s="6" t="str">
        <f>IFERROR(__xludf.DUMMYFUNCTION("""COMPUTED_VALUE"""),"tortured")</f>
        <v>tortured</v>
      </c>
      <c r="I1055" s="6" t="str">
        <f>IFERROR(__xludf.DUMMYFUNCTION("""COMPUTED_VALUE"""),"arc")</f>
        <v>arc</v>
      </c>
      <c r="J1055" s="6" t="str">
        <f>IFERROR(__xludf.DUMMYFUNCTION("""COMPUTED_VALUE"""),"anguish")</f>
        <v>anguish</v>
      </c>
      <c r="M1055" s="6"/>
      <c r="P1055" s="6" t="str">
        <f>IFERROR(__xludf.DUMMYFUNCTION("""COMPUTED_VALUE"""),"gender")</f>
        <v>gender</v>
      </c>
      <c r="Q1055" s="6" t="str">
        <f>IFERROR(__xludf.DUMMYFUNCTION("""COMPUTED_VALUE"""),"centuries")</f>
        <v>centuries</v>
      </c>
      <c r="S1055" s="6" t="str">
        <f>IFERROR(__xludf.DUMMYFUNCTION("""COMPUTED_VALUE"""),"third")</f>
        <v>third</v>
      </c>
    </row>
    <row r="1056">
      <c r="D1056" s="6"/>
      <c r="H1056" s="6" t="str">
        <f>IFERROR(__xludf.DUMMYFUNCTION("""COMPUTED_VALUE"""),"projectile")</f>
        <v>projectile</v>
      </c>
      <c r="I1056" s="6">
        <f>IFERROR(__xludf.DUMMYFUNCTION("""COMPUTED_VALUE"""),18.0)</f>
        <v>18</v>
      </c>
      <c r="J1056" s="6" t="str">
        <f>IFERROR(__xludf.DUMMYFUNCTION("""COMPUTED_VALUE"""),"elusive")</f>
        <v>elusive</v>
      </c>
      <c r="M1056" s="6"/>
      <c r="P1056" s="6" t="str">
        <f>IFERROR(__xludf.DUMMYFUNCTION("""COMPUTED_VALUE"""),"1940s")</f>
        <v>1940s</v>
      </c>
      <c r="Q1056" s="6" t="str">
        <f>IFERROR(__xludf.DUMMYFUNCTION("""COMPUTED_VALUE"""),"spiritual")</f>
        <v>spiritual</v>
      </c>
      <c r="S1056" s="6" t="str">
        <f>IFERROR(__xludf.DUMMYFUNCTION("""COMPUTED_VALUE"""),"present")</f>
        <v>present</v>
      </c>
    </row>
    <row r="1057">
      <c r="D1057" s="6"/>
      <c r="H1057" s="6" t="str">
        <f>IFERROR(__xludf.DUMMYFUNCTION("""COMPUTED_VALUE"""),"seizing")</f>
        <v>seizing</v>
      </c>
      <c r="I1057" s="6" t="str">
        <f>IFERROR(__xludf.DUMMYFUNCTION("""COMPUTED_VALUE"""),"law")</f>
        <v>law</v>
      </c>
      <c r="J1057" s="6" t="str">
        <f>IFERROR(__xludf.DUMMYFUNCTION("""COMPUTED_VALUE"""),"longing")</f>
        <v>longing</v>
      </c>
      <c r="M1057" s="6"/>
      <c r="P1057" s="6" t="str">
        <f>IFERROR(__xludf.DUMMYFUNCTION("""COMPUTED_VALUE"""),"larger")</f>
        <v>larger</v>
      </c>
      <c r="Q1057" s="6" t="str">
        <f>IFERROR(__xludf.DUMMYFUNCTION("""COMPUTED_VALUE"""),"truths")</f>
        <v>truths</v>
      </c>
      <c r="S1057" s="6" t="str">
        <f>IFERROR(__xludf.DUMMYFUNCTION("""COMPUTED_VALUE"""),"battle")</f>
        <v>battle</v>
      </c>
    </row>
    <row r="1058">
      <c r="D1058" s="6"/>
      <c r="H1058" s="6" t="str">
        <f>IFERROR(__xludf.DUMMYFUNCTION("""COMPUTED_VALUE"""),"portrays")</f>
        <v>portrays</v>
      </c>
      <c r="I1058" s="6" t="str">
        <f>IFERROR(__xludf.DUMMYFUNCTION("""COMPUTED_VALUE"""),"holmes")</f>
        <v>holmes</v>
      </c>
      <c r="J1058" s="6" t="str">
        <f>IFERROR(__xludf.DUMMYFUNCTION("""COMPUTED_VALUE"""),"unbearable")</f>
        <v>unbearable</v>
      </c>
      <c r="M1058" s="6"/>
      <c r="P1058" s="6" t="str">
        <f>IFERROR(__xludf.DUMMYFUNCTION("""COMPUTED_VALUE"""),"conflict")</f>
        <v>conflict</v>
      </c>
      <c r="Q1058" s="6" t="str">
        <f>IFERROR(__xludf.DUMMYFUNCTION("""COMPUTED_VALUE"""),"laboratory")</f>
        <v>laboratory</v>
      </c>
      <c r="S1058" s="6" t="str">
        <f>IFERROR(__xludf.DUMMYFUNCTION("""COMPUTED_VALUE"""),"uncertain")</f>
        <v>uncertain</v>
      </c>
    </row>
    <row r="1059">
      <c r="D1059" s="6"/>
      <c r="H1059" s="6" t="str">
        <f>IFERROR(__xludf.DUMMYFUNCTION("""COMPUTED_VALUE"""),"reign")</f>
        <v>reign</v>
      </c>
      <c r="I1059" s="6" t="str">
        <f>IFERROR(__xludf.DUMMYFUNCTION("""COMPUTED_VALUE"""),"journalist")</f>
        <v>journalist</v>
      </c>
      <c r="J1059" s="6" t="str">
        <f>IFERROR(__xludf.DUMMYFUNCTION("""COMPUTED_VALUE"""),"radical")</f>
        <v>radical</v>
      </c>
      <c r="M1059" s="6"/>
      <c r="P1059" s="6" t="str">
        <f>IFERROR(__xludf.DUMMYFUNCTION("""COMPUTED_VALUE"""),"vital")</f>
        <v>vital</v>
      </c>
      <c r="Q1059" s="6" t="str">
        <f>IFERROR(__xludf.DUMMYFUNCTION("""COMPUTED_VALUE"""),"schemes")</f>
        <v>schemes</v>
      </c>
      <c r="S1059" s="6" t="str">
        <f>IFERROR(__xludf.DUMMYFUNCTION("""COMPUTED_VALUE"""),"releases")</f>
        <v>releases</v>
      </c>
    </row>
    <row r="1060">
      <c r="D1060" s="6"/>
      <c r="H1060" s="6" t="str">
        <f>IFERROR(__xludf.DUMMYFUNCTION("""COMPUTED_VALUE"""),"grin")</f>
        <v>grin</v>
      </c>
      <c r="I1060" s="6" t="str">
        <f>IFERROR(__xludf.DUMMYFUNCTION("""COMPUTED_VALUE"""),"venice")</f>
        <v>venice</v>
      </c>
      <c r="J1060" s="6" t="str">
        <f>IFERROR(__xludf.DUMMYFUNCTION("""COMPUTED_VALUE"""),"personalities")</f>
        <v>personalities</v>
      </c>
      <c r="M1060" s="6"/>
      <c r="P1060" s="6" t="str">
        <f>IFERROR(__xludf.DUMMYFUNCTION("""COMPUTED_VALUE"""),"classics")</f>
        <v>classics</v>
      </c>
      <c r="Q1060" s="6" t="str">
        <f>IFERROR(__xludf.DUMMYFUNCTION("""COMPUTED_VALUE"""),"tendencies")</f>
        <v>tendencies</v>
      </c>
      <c r="S1060" s="6" t="str">
        <f>IFERROR(__xludf.DUMMYFUNCTION("""COMPUTED_VALUE"""),"comedian")</f>
        <v>comedian</v>
      </c>
    </row>
    <row r="1061">
      <c r="D1061" s="6"/>
      <c r="H1061" s="6" t="str">
        <f>IFERROR(__xludf.DUMMYFUNCTION("""COMPUTED_VALUE"""),"wang")</f>
        <v>wang</v>
      </c>
      <c r="I1061" s="6" t="str">
        <f>IFERROR(__xludf.DUMMYFUNCTION("""COMPUTED_VALUE"""),"stevens")</f>
        <v>stevens</v>
      </c>
      <c r="J1061" s="6" t="str">
        <f>IFERROR(__xludf.DUMMYFUNCTION("""COMPUTED_VALUE"""),"sterling")</f>
        <v>sterling</v>
      </c>
      <c r="M1061" s="6"/>
      <c r="P1061" s="6" t="str">
        <f>IFERROR(__xludf.DUMMYFUNCTION("""COMPUTED_VALUE"""),"centered")</f>
        <v>centered</v>
      </c>
      <c r="Q1061" s="6" t="str">
        <f>IFERROR(__xludf.DUMMYFUNCTION("""COMPUTED_VALUE"""),"left")</f>
        <v>left</v>
      </c>
      <c r="S1061" s="6" t="str">
        <f>IFERROR(__xludf.DUMMYFUNCTION("""COMPUTED_VALUE"""),"song")</f>
        <v>song</v>
      </c>
    </row>
    <row r="1062">
      <c r="D1062" s="6"/>
      <c r="H1062" s="6" t="str">
        <f>IFERROR(__xludf.DUMMYFUNCTION("""COMPUTED_VALUE"""),"corrupt")</f>
        <v>corrupt</v>
      </c>
      <c r="I1062" s="6" t="str">
        <f>IFERROR(__xludf.DUMMYFUNCTION("""COMPUTED_VALUE"""),"jealous")</f>
        <v>jealous</v>
      </c>
      <c r="J1062" s="6" t="str">
        <f>IFERROR(__xludf.DUMMYFUNCTION("""COMPUTED_VALUE"""),"thrusts")</f>
        <v>thrusts</v>
      </c>
      <c r="M1062" s="6"/>
      <c r="P1062" s="6" t="str">
        <f>IFERROR(__xludf.DUMMYFUNCTION("""COMPUTED_VALUE"""),"hitting")</f>
        <v>hitting</v>
      </c>
      <c r="Q1062" s="6" t="str">
        <f>IFERROR(__xludf.DUMMYFUNCTION("""COMPUTED_VALUE"""),"swift")</f>
        <v>swift</v>
      </c>
      <c r="S1062" s="6" t="str">
        <f>IFERROR(__xludf.DUMMYFUNCTION("""COMPUTED_VALUE"""),"example")</f>
        <v>example</v>
      </c>
    </row>
    <row r="1063">
      <c r="D1063" s="6"/>
      <c r="H1063" s="6" t="str">
        <f>IFERROR(__xludf.DUMMYFUNCTION("""COMPUTED_VALUE"""),"disguise")</f>
        <v>disguise</v>
      </c>
      <c r="I1063" s="6" t="str">
        <f>IFERROR(__xludf.DUMMYFUNCTION("""COMPUTED_VALUE"""),"mtv")</f>
        <v>mtv</v>
      </c>
      <c r="J1063" s="6" t="str">
        <f>IFERROR(__xludf.DUMMYFUNCTION("""COMPUTED_VALUE"""),"backbone")</f>
        <v>backbone</v>
      </c>
      <c r="M1063" s="6"/>
      <c r="P1063" s="6" t="str">
        <f>IFERROR(__xludf.DUMMYFUNCTION("""COMPUTED_VALUE"""),"capacity")</f>
        <v>capacity</v>
      </c>
      <c r="Q1063" s="6" t="str">
        <f>IFERROR(__xludf.DUMMYFUNCTION("""COMPUTED_VALUE"""),"critics")</f>
        <v>critics</v>
      </c>
      <c r="S1063" s="6" t="str">
        <f>IFERROR(__xludf.DUMMYFUNCTION("""COMPUTED_VALUE"""),"values")</f>
        <v>values</v>
      </c>
    </row>
    <row r="1064">
      <c r="D1064" s="6"/>
      <c r="H1064" s="6" t="str">
        <f>IFERROR(__xludf.DUMMYFUNCTION("""COMPUTED_VALUE"""),"surrender")</f>
        <v>surrender</v>
      </c>
      <c r="I1064" s="6" t="str">
        <f>IFERROR(__xludf.DUMMYFUNCTION("""COMPUTED_VALUE"""),"welsh")</f>
        <v>welsh</v>
      </c>
      <c r="J1064" s="6">
        <f>IFERROR(__xludf.DUMMYFUNCTION("""COMPUTED_VALUE"""),1993.0)</f>
        <v>1993</v>
      </c>
      <c r="M1064" s="6"/>
      <c r="P1064" s="6" t="str">
        <f>IFERROR(__xludf.DUMMYFUNCTION("""COMPUTED_VALUE"""),"develop")</f>
        <v>develop</v>
      </c>
      <c r="Q1064" s="6" t="str">
        <f>IFERROR(__xludf.DUMMYFUNCTION("""COMPUTED_VALUE"""),"paints")</f>
        <v>paints</v>
      </c>
      <c r="S1064" s="6" t="str">
        <f>IFERROR(__xludf.DUMMYFUNCTION("""COMPUTED_VALUE"""),"extreme")</f>
        <v>extreme</v>
      </c>
    </row>
    <row r="1065">
      <c r="D1065" s="6"/>
      <c r="H1065" s="6" t="str">
        <f>IFERROR(__xludf.DUMMYFUNCTION("""COMPUTED_VALUE"""),"settles")</f>
        <v>settles</v>
      </c>
      <c r="I1065" s="6" t="str">
        <f>IFERROR(__xludf.DUMMYFUNCTION("""COMPUTED_VALUE"""),"rounded")</f>
        <v>rounded</v>
      </c>
      <c r="J1065" s="6" t="str">
        <f>IFERROR(__xludf.DUMMYFUNCTION("""COMPUTED_VALUE"""),"courageous")</f>
        <v>courageous</v>
      </c>
      <c r="M1065" s="6"/>
      <c r="P1065" s="6" t="str">
        <f>IFERROR(__xludf.DUMMYFUNCTION("""COMPUTED_VALUE"""),"language")</f>
        <v>language</v>
      </c>
      <c r="Q1065" s="6" t="str">
        <f>IFERROR(__xludf.DUMMYFUNCTION("""COMPUTED_VALUE"""),"clarity")</f>
        <v>clarity</v>
      </c>
      <c r="S1065" s="6" t="str">
        <f>IFERROR(__xludf.DUMMYFUNCTION("""COMPUTED_VALUE"""),"editing")</f>
        <v>editing</v>
      </c>
    </row>
    <row r="1066">
      <c r="D1066" s="6"/>
      <c r="H1066" s="6" t="str">
        <f>IFERROR(__xludf.DUMMYFUNCTION("""COMPUTED_VALUE"""),"compressed")</f>
        <v>compressed</v>
      </c>
      <c r="I1066" s="6" t="str">
        <f>IFERROR(__xludf.DUMMYFUNCTION("""COMPUTED_VALUE"""),"stuart")</f>
        <v>stuart</v>
      </c>
      <c r="J1066" s="6" t="str">
        <f>IFERROR(__xludf.DUMMYFUNCTION("""COMPUTED_VALUE"""),"allegiance")</f>
        <v>allegiance</v>
      </c>
      <c r="M1066" s="6"/>
      <c r="P1066" s="6" t="str">
        <f>IFERROR(__xludf.DUMMYFUNCTION("""COMPUTED_VALUE"""),"require")</f>
        <v>require</v>
      </c>
      <c r="Q1066" s="6" t="str">
        <f>IFERROR(__xludf.DUMMYFUNCTION("""COMPUTED_VALUE"""),"visually")</f>
        <v>visually</v>
      </c>
      <c r="S1066" s="6" t="str">
        <f>IFERROR(__xludf.DUMMYFUNCTION("""COMPUTED_VALUE"""),"strength")</f>
        <v>strength</v>
      </c>
    </row>
    <row r="1067">
      <c r="D1067" s="6"/>
      <c r="H1067" s="6" t="str">
        <f>IFERROR(__xludf.DUMMYFUNCTION("""COMPUTED_VALUE"""),"profound")</f>
        <v>profound</v>
      </c>
      <c r="I1067" s="6" t="str">
        <f>IFERROR(__xludf.DUMMYFUNCTION("""COMPUTED_VALUE"""),"philip")</f>
        <v>philip</v>
      </c>
      <c r="J1067" s="6" t="str">
        <f>IFERROR(__xludf.DUMMYFUNCTION("""COMPUTED_VALUE"""),"backlash")</f>
        <v>backlash</v>
      </c>
      <c r="M1067" s="6"/>
      <c r="P1067" s="6" t="str">
        <f>IFERROR(__xludf.DUMMYFUNCTION("""COMPUTED_VALUE"""),"connect")</f>
        <v>connect</v>
      </c>
      <c r="Q1067" s="6" t="str">
        <f>IFERROR(__xludf.DUMMYFUNCTION("""COMPUTED_VALUE"""),"chuckle")</f>
        <v>chuckle</v>
      </c>
      <c r="S1067" s="6" t="str">
        <f>IFERROR(__xludf.DUMMYFUNCTION("""COMPUTED_VALUE"""),"confident")</f>
        <v>confident</v>
      </c>
    </row>
    <row r="1068">
      <c r="D1068" s="6"/>
      <c r="H1068" s="6" t="str">
        <f>IFERROR(__xludf.DUMMYFUNCTION("""COMPUTED_VALUE"""),"catalyst")</f>
        <v>catalyst</v>
      </c>
      <c r="I1068" s="6" t="str">
        <f>IFERROR(__xludf.DUMMYFUNCTION("""COMPUTED_VALUE"""),"ensure")</f>
        <v>ensure</v>
      </c>
      <c r="J1068" s="6" t="str">
        <f>IFERROR(__xludf.DUMMYFUNCTION("""COMPUTED_VALUE"""),"prominently")</f>
        <v>prominently</v>
      </c>
      <c r="M1068" s="6"/>
      <c r="P1068" s="6" t="str">
        <f>IFERROR(__xludf.DUMMYFUNCTION("""COMPUTED_VALUE"""),"toss")</f>
        <v>toss</v>
      </c>
      <c r="Q1068" s="6" t="str">
        <f>IFERROR(__xludf.DUMMYFUNCTION("""COMPUTED_VALUE"""),"uhf")</f>
        <v>uhf</v>
      </c>
      <c r="S1068" s="6" t="str">
        <f>IFERROR(__xludf.DUMMYFUNCTION("""COMPUTED_VALUE"""),"directors")</f>
        <v>directors</v>
      </c>
    </row>
    <row r="1069">
      <c r="D1069" s="6"/>
      <c r="H1069" s="6" t="str">
        <f>IFERROR(__xludf.DUMMYFUNCTION("""COMPUTED_VALUE"""),"restrictive")</f>
        <v>restrictive</v>
      </c>
      <c r="I1069" s="6" t="str">
        <f>IFERROR(__xludf.DUMMYFUNCTION("""COMPUTED_VALUE"""),"uncomfortable")</f>
        <v>uncomfortable</v>
      </c>
      <c r="J1069" s="6" t="str">
        <f>IFERROR(__xludf.DUMMYFUNCTION("""COMPUTED_VALUE"""),"imagery")</f>
        <v>imagery</v>
      </c>
      <c r="M1069" s="6"/>
      <c r="P1069" s="6" t="str">
        <f>IFERROR(__xludf.DUMMYFUNCTION("""COMPUTED_VALUE"""),"floor")</f>
        <v>floor</v>
      </c>
      <c r="Q1069" s="6" t="str">
        <f>IFERROR(__xludf.DUMMYFUNCTION("""COMPUTED_VALUE"""),"maneuvers")</f>
        <v>maneuvers</v>
      </c>
      <c r="S1069" s="6" t="str">
        <f>IFERROR(__xludf.DUMMYFUNCTION("""COMPUTED_VALUE"""),"terms")</f>
        <v>terms</v>
      </c>
    </row>
    <row r="1070">
      <c r="D1070" s="6"/>
      <c r="H1070" s="6" t="str">
        <f>IFERROR(__xludf.DUMMYFUNCTION("""COMPUTED_VALUE"""),"dubious")</f>
        <v>dubious</v>
      </c>
      <c r="I1070" s="6">
        <f>IFERROR(__xludf.DUMMYFUNCTION("""COMPUTED_VALUE"""),1957.0)</f>
        <v>1957</v>
      </c>
      <c r="J1070" s="6" t="str">
        <f>IFERROR(__xludf.DUMMYFUNCTION("""COMPUTED_VALUE"""),"intersect")</f>
        <v>intersect</v>
      </c>
      <c r="M1070" s="6"/>
      <c r="P1070" s="6" t="str">
        <f>IFERROR(__xludf.DUMMYFUNCTION("""COMPUTED_VALUE"""),"interpretation")</f>
        <v>interpretation</v>
      </c>
      <c r="Q1070" s="6" t="str">
        <f>IFERROR(__xludf.DUMMYFUNCTION("""COMPUTED_VALUE"""),"played")</f>
        <v>played</v>
      </c>
      <c r="S1070" s="6" t="str">
        <f>IFERROR(__xludf.DUMMYFUNCTION("""COMPUTED_VALUE"""),"stephen")</f>
        <v>stephen</v>
      </c>
    </row>
    <row r="1071">
      <c r="D1071" s="6"/>
      <c r="H1071" s="6" t="str">
        <f>IFERROR(__xludf.DUMMYFUNCTION("""COMPUTED_VALUE"""),"cheer")</f>
        <v>cheer</v>
      </c>
      <c r="I1071" s="6" t="str">
        <f>IFERROR(__xludf.DUMMYFUNCTION("""COMPUTED_VALUE"""),"retiring")</f>
        <v>retiring</v>
      </c>
      <c r="J1071" s="6" t="str">
        <f>IFERROR(__xludf.DUMMYFUNCTION("""COMPUTED_VALUE"""),"shimmering")</f>
        <v>shimmering</v>
      </c>
      <c r="M1071" s="6"/>
      <c r="P1071" s="6" t="str">
        <f>IFERROR(__xludf.DUMMYFUNCTION("""COMPUTED_VALUE"""),"emotion")</f>
        <v>emotion</v>
      </c>
      <c r="Q1071" s="6" t="str">
        <f>IFERROR(__xludf.DUMMYFUNCTION("""COMPUTED_VALUE"""),"commanding")</f>
        <v>commanding</v>
      </c>
      <c r="S1071" s="6" t="str">
        <f>IFERROR(__xludf.DUMMYFUNCTION("""COMPUTED_VALUE"""),"william")</f>
        <v>william</v>
      </c>
    </row>
    <row r="1072">
      <c r="D1072" s="6"/>
      <c r="H1072" s="6" t="str">
        <f>IFERROR(__xludf.DUMMYFUNCTION("""COMPUTED_VALUE"""),"secretary")</f>
        <v>secretary</v>
      </c>
      <c r="I1072" s="6" t="str">
        <f>IFERROR(__xludf.DUMMYFUNCTION("""COMPUTED_VALUE"""),"writers")</f>
        <v>writers</v>
      </c>
      <c r="J1072" s="6" t="str">
        <f>IFERROR(__xludf.DUMMYFUNCTION("""COMPUTED_VALUE"""),"pitted")</f>
        <v>pitted</v>
      </c>
      <c r="M1072" s="6"/>
      <c r="P1072" s="6" t="str">
        <f>IFERROR(__xludf.DUMMYFUNCTION("""COMPUTED_VALUE"""),"flower")</f>
        <v>flower</v>
      </c>
      <c r="Q1072" s="6" t="str">
        <f>IFERROR(__xludf.DUMMYFUNCTION("""COMPUTED_VALUE"""),"comprehension")</f>
        <v>comprehension</v>
      </c>
      <c r="S1072" s="6" t="str">
        <f>IFERROR(__xludf.DUMMYFUNCTION("""COMPUTED_VALUE"""),"publishing")</f>
        <v>publishing</v>
      </c>
    </row>
    <row r="1073">
      <c r="D1073" s="6"/>
      <c r="H1073" s="6" t="str">
        <f>IFERROR(__xludf.DUMMYFUNCTION("""COMPUTED_VALUE"""),"stepmother")</f>
        <v>stepmother</v>
      </c>
      <c r="I1073" s="6" t="str">
        <f>IFERROR(__xludf.DUMMYFUNCTION("""COMPUTED_VALUE"""),"experimental")</f>
        <v>experimental</v>
      </c>
      <c r="J1073" s="6" t="str">
        <f>IFERROR(__xludf.DUMMYFUNCTION("""COMPUTED_VALUE"""),"painting")</f>
        <v>painting</v>
      </c>
      <c r="M1073" s="6"/>
      <c r="P1073" s="6" t="str">
        <f>IFERROR(__xludf.DUMMYFUNCTION("""COMPUTED_VALUE"""),"glow")</f>
        <v>glow</v>
      </c>
      <c r="Q1073" s="6" t="str">
        <f>IFERROR(__xludf.DUMMYFUNCTION("""COMPUTED_VALUE"""),"staged")</f>
        <v>staged</v>
      </c>
      <c r="S1073" s="6" t="str">
        <f>IFERROR(__xludf.DUMMYFUNCTION("""COMPUTED_VALUE"""),"hollow")</f>
        <v>hollow</v>
      </c>
    </row>
    <row r="1074">
      <c r="D1074" s="6"/>
      <c r="H1074" s="6" t="str">
        <f>IFERROR(__xludf.DUMMYFUNCTION("""COMPUTED_VALUE"""),"incarnation")</f>
        <v>incarnation</v>
      </c>
      <c r="I1074" s="6" t="str">
        <f>IFERROR(__xludf.DUMMYFUNCTION("""COMPUTED_VALUE"""),"reaches")</f>
        <v>reaches</v>
      </c>
      <c r="J1074" s="6" t="str">
        <f>IFERROR(__xludf.DUMMYFUNCTION("""COMPUTED_VALUE"""),"shocks")</f>
        <v>shocks</v>
      </c>
      <c r="M1074" s="6"/>
      <c r="P1074" s="6" t="str">
        <f>IFERROR(__xludf.DUMMYFUNCTION("""COMPUTED_VALUE"""),"bunch")</f>
        <v>bunch</v>
      </c>
      <c r="Q1074" s="6" t="str">
        <f>IFERROR(__xludf.DUMMYFUNCTION("""COMPUTED_VALUE"""),"dazzling")</f>
        <v>dazzling</v>
      </c>
      <c r="S1074" s="6" t="str">
        <f>IFERROR(__xludf.DUMMYFUNCTION("""COMPUTED_VALUE"""),"burning")</f>
        <v>burning</v>
      </c>
    </row>
    <row r="1075">
      <c r="D1075" s="6"/>
      <c r="H1075" s="6" t="str">
        <f>IFERROR(__xludf.DUMMYFUNCTION("""COMPUTED_VALUE"""),"inevitable")</f>
        <v>inevitable</v>
      </c>
      <c r="I1075" s="6" t="str">
        <f>IFERROR(__xludf.DUMMYFUNCTION("""COMPUTED_VALUE"""),"servants")</f>
        <v>servants</v>
      </c>
      <c r="J1075" s="6" t="str">
        <f>IFERROR(__xludf.DUMMYFUNCTION("""COMPUTED_VALUE"""),"adolescent")</f>
        <v>adolescent</v>
      </c>
      <c r="M1075" s="6"/>
      <c r="P1075" s="6" t="str">
        <f>IFERROR(__xludf.DUMMYFUNCTION("""COMPUTED_VALUE"""),"shame")</f>
        <v>shame</v>
      </c>
      <c r="Q1075" s="6" t="str">
        <f>IFERROR(__xludf.DUMMYFUNCTION("""COMPUTED_VALUE"""),"brit")</f>
        <v>brit</v>
      </c>
      <c r="S1075" s="6" t="str">
        <f>IFERROR(__xludf.DUMMYFUNCTION("""COMPUTED_VALUE"""),"passes")</f>
        <v>passes</v>
      </c>
    </row>
    <row r="1076">
      <c r="D1076" s="6"/>
      <c r="H1076" s="6" t="str">
        <f>IFERROR(__xludf.DUMMYFUNCTION("""COMPUTED_VALUE"""),"indians")</f>
        <v>indians</v>
      </c>
      <c r="I1076" s="6" t="str">
        <f>IFERROR(__xludf.DUMMYFUNCTION("""COMPUTED_VALUE"""),"error")</f>
        <v>error</v>
      </c>
      <c r="J1076" s="6" t="str">
        <f>IFERROR(__xludf.DUMMYFUNCTION("""COMPUTED_VALUE"""),"marine")</f>
        <v>marine</v>
      </c>
      <c r="M1076" s="6"/>
      <c r="P1076" s="6" t="str">
        <f>IFERROR(__xludf.DUMMYFUNCTION("""COMPUTED_VALUE"""),"base")</f>
        <v>base</v>
      </c>
      <c r="Q1076" s="6" t="str">
        <f>IFERROR(__xludf.DUMMYFUNCTION("""COMPUTED_VALUE"""),"fabricated")</f>
        <v>fabricated</v>
      </c>
      <c r="S1076" s="6" t="str">
        <f>IFERROR(__xludf.DUMMYFUNCTION("""COMPUTED_VALUE"""),"unless")</f>
        <v>unless</v>
      </c>
    </row>
    <row r="1077">
      <c r="D1077" s="6"/>
      <c r="H1077" s="6" t="str">
        <f>IFERROR(__xludf.DUMMYFUNCTION("""COMPUTED_VALUE"""),"distinguishing")</f>
        <v>distinguishing</v>
      </c>
      <c r="I1077" s="6" t="str">
        <f>IFERROR(__xludf.DUMMYFUNCTION("""COMPUTED_VALUE"""),"collaboration")</f>
        <v>collaboration</v>
      </c>
      <c r="J1077" s="6" t="str">
        <f>IFERROR(__xludf.DUMMYFUNCTION("""COMPUTED_VALUE"""),"padded")</f>
        <v>padded</v>
      </c>
      <c r="M1077" s="6"/>
      <c r="P1077" s="6" t="str">
        <f>IFERROR(__xludf.DUMMYFUNCTION("""COMPUTED_VALUE"""),"shifted")</f>
        <v>shifted</v>
      </c>
      <c r="Q1077" s="6" t="str">
        <f>IFERROR(__xludf.DUMMYFUNCTION("""COMPUTED_VALUE"""),"dismissed")</f>
        <v>dismissed</v>
      </c>
      <c r="S1077" s="6" t="str">
        <f>IFERROR(__xludf.DUMMYFUNCTION("""COMPUTED_VALUE"""),"portrayed")</f>
        <v>portrayed</v>
      </c>
    </row>
    <row r="1078">
      <c r="D1078" s="6"/>
      <c r="H1078" s="6" t="str">
        <f>IFERROR(__xludf.DUMMYFUNCTION("""COMPUTED_VALUE"""),"wallace")</f>
        <v>wallace</v>
      </c>
      <c r="I1078" s="6" t="str">
        <f>IFERROR(__xludf.DUMMYFUNCTION("""COMPUTED_VALUE"""),"1960s")</f>
        <v>1960s</v>
      </c>
      <c r="J1078" s="6" t="str">
        <f>IFERROR(__xludf.DUMMYFUNCTION("""COMPUTED_VALUE"""),"propaganda")</f>
        <v>propaganda</v>
      </c>
      <c r="M1078" s="6"/>
      <c r="P1078" s="6" t="str">
        <f>IFERROR(__xludf.DUMMYFUNCTION("""COMPUTED_VALUE"""),"asia")</f>
        <v>asia</v>
      </c>
      <c r="Q1078" s="6" t="str">
        <f>IFERROR(__xludf.DUMMYFUNCTION("""COMPUTED_VALUE"""),"forced")</f>
        <v>forced</v>
      </c>
      <c r="S1078" s="6" t="str">
        <f>IFERROR(__xludf.DUMMYFUNCTION("""COMPUTED_VALUE"""),"ring")</f>
        <v>ring</v>
      </c>
    </row>
    <row r="1079">
      <c r="D1079" s="6"/>
      <c r="H1079" s="6" t="str">
        <f>IFERROR(__xludf.DUMMYFUNCTION("""COMPUTED_VALUE"""),"transparency")</f>
        <v>transparency</v>
      </c>
      <c r="I1079" s="6" t="str">
        <f>IFERROR(__xludf.DUMMYFUNCTION("""COMPUTED_VALUE"""),"sustained")</f>
        <v>sustained</v>
      </c>
      <c r="J1079" s="6" t="str">
        <f>IFERROR(__xludf.DUMMYFUNCTION("""COMPUTED_VALUE"""),"shelf")</f>
        <v>shelf</v>
      </c>
      <c r="M1079" s="6"/>
      <c r="P1079" s="6" t="str">
        <f>IFERROR(__xludf.DUMMYFUNCTION("""COMPUTED_VALUE"""),"institution")</f>
        <v>institution</v>
      </c>
      <c r="Q1079" s="6" t="str">
        <f>IFERROR(__xludf.DUMMYFUNCTION("""COMPUTED_VALUE"""),"schmidt")</f>
        <v>schmidt</v>
      </c>
      <c r="S1079" s="6">
        <f>IFERROR(__xludf.DUMMYFUNCTION("""COMPUTED_VALUE"""),30.0)</f>
        <v>30</v>
      </c>
    </row>
    <row r="1080">
      <c r="D1080" s="6"/>
      <c r="H1080" s="6" t="str">
        <f>IFERROR(__xludf.DUMMYFUNCTION("""COMPUTED_VALUE"""),"hampered")</f>
        <v>hampered</v>
      </c>
      <c r="I1080" s="6" t="str">
        <f>IFERROR(__xludf.DUMMYFUNCTION("""COMPUTED_VALUE"""),"reportedly")</f>
        <v>reportedly</v>
      </c>
      <c r="J1080" s="6" t="str">
        <f>IFERROR(__xludf.DUMMYFUNCTION("""COMPUTED_VALUE"""),"visuals")</f>
        <v>visuals</v>
      </c>
      <c r="M1080" s="6"/>
      <c r="P1080" s="6" t="str">
        <f>IFERROR(__xludf.DUMMYFUNCTION("""COMPUTED_VALUE"""),"bright")</f>
        <v>bright</v>
      </c>
      <c r="Q1080" s="6" t="str">
        <f>IFERROR(__xludf.DUMMYFUNCTION("""COMPUTED_VALUE"""),"uneasy")</f>
        <v>uneasy</v>
      </c>
      <c r="S1080" s="6" t="str">
        <f>IFERROR(__xludf.DUMMYFUNCTION("""COMPUTED_VALUE"""),"updated")</f>
        <v>updated</v>
      </c>
    </row>
    <row r="1081">
      <c r="D1081" s="6"/>
      <c r="H1081" s="6" t="str">
        <f>IFERROR(__xludf.DUMMYFUNCTION("""COMPUTED_VALUE"""),"notion")</f>
        <v>notion</v>
      </c>
      <c r="I1081" s="6" t="str">
        <f>IFERROR(__xludf.DUMMYFUNCTION("""COMPUTED_VALUE"""),"dimensional")</f>
        <v>dimensional</v>
      </c>
      <c r="J1081" s="6" t="str">
        <f>IFERROR(__xludf.DUMMYFUNCTION("""COMPUTED_VALUE"""),"majestic")</f>
        <v>majestic</v>
      </c>
      <c r="M1081" s="6"/>
      <c r="P1081" s="6" t="str">
        <f>IFERROR(__xludf.DUMMYFUNCTION("""COMPUTED_VALUE"""),"recovery")</f>
        <v>recovery</v>
      </c>
      <c r="Q1081" s="6" t="str">
        <f>IFERROR(__xludf.DUMMYFUNCTION("""COMPUTED_VALUE"""),"payne")</f>
        <v>payne</v>
      </c>
      <c r="S1081" s="6" t="str">
        <f>IFERROR(__xludf.DUMMYFUNCTION("""COMPUTED_VALUE"""),"innocent")</f>
        <v>innocent</v>
      </c>
    </row>
    <row r="1082">
      <c r="D1082" s="6"/>
      <c r="H1082" s="6" t="str">
        <f>IFERROR(__xludf.DUMMYFUNCTION("""COMPUTED_VALUE"""),"possesses")</f>
        <v>possesses</v>
      </c>
      <c r="I1082" s="6" t="str">
        <f>IFERROR(__xludf.DUMMYFUNCTION("""COMPUTED_VALUE"""),"departments")</f>
        <v>departments</v>
      </c>
      <c r="J1082" s="6" t="str">
        <f>IFERROR(__xludf.DUMMYFUNCTION("""COMPUTED_VALUE"""),"strikes")</f>
        <v>strikes</v>
      </c>
      <c r="M1082" s="6"/>
      <c r="P1082" s="6" t="str">
        <f>IFERROR(__xludf.DUMMYFUNCTION("""COMPUTED_VALUE"""),"capture")</f>
        <v>capture</v>
      </c>
      <c r="Q1082" s="6" t="str">
        <f>IFERROR(__xludf.DUMMYFUNCTION("""COMPUTED_VALUE"""),"source")</f>
        <v>source</v>
      </c>
      <c r="S1082" s="6" t="str">
        <f>IFERROR(__xludf.DUMMYFUNCTION("""COMPUTED_VALUE"""),"panic")</f>
        <v>panic</v>
      </c>
    </row>
    <row r="1083">
      <c r="D1083" s="6"/>
      <c r="H1083" s="6" t="str">
        <f>IFERROR(__xludf.DUMMYFUNCTION("""COMPUTED_VALUE"""),"proficiency")</f>
        <v>proficiency</v>
      </c>
      <c r="I1083" s="6" t="str">
        <f>IFERROR(__xludf.DUMMYFUNCTION("""COMPUTED_VALUE"""),"developments")</f>
        <v>developments</v>
      </c>
      <c r="J1083" s="6" t="str">
        <f>IFERROR(__xludf.DUMMYFUNCTION("""COMPUTED_VALUE"""),"empire")</f>
        <v>empire</v>
      </c>
      <c r="M1083" s="6"/>
      <c r="P1083" s="6" t="str">
        <f>IFERROR(__xludf.DUMMYFUNCTION("""COMPUTED_VALUE"""),"chaos")</f>
        <v>chaos</v>
      </c>
      <c r="Q1083" s="6" t="str">
        <f>IFERROR(__xludf.DUMMYFUNCTION("""COMPUTED_VALUE"""),"indifference")</f>
        <v>indifference</v>
      </c>
      <c r="S1083" s="6" t="str">
        <f>IFERROR(__xludf.DUMMYFUNCTION("""COMPUTED_VALUE"""),"manage")</f>
        <v>manage</v>
      </c>
    </row>
    <row r="1084">
      <c r="D1084" s="6"/>
      <c r="H1084" s="6" t="str">
        <f>IFERROR(__xludf.DUMMYFUNCTION("""COMPUTED_VALUE"""),"professors")</f>
        <v>professors</v>
      </c>
      <c r="I1084" s="6" t="str">
        <f>IFERROR(__xludf.DUMMYFUNCTION("""COMPUTED_VALUE"""),"discussion")</f>
        <v>discussion</v>
      </c>
      <c r="J1084" s="6" t="str">
        <f>IFERROR(__xludf.DUMMYFUNCTION("""COMPUTED_VALUE"""),"directorial")</f>
        <v>directorial</v>
      </c>
      <c r="M1084" s="6"/>
      <c r="P1084" s="6" t="str">
        <f>IFERROR(__xludf.DUMMYFUNCTION("""COMPUTED_VALUE"""),"operational")</f>
        <v>operational</v>
      </c>
      <c r="Q1084" s="6" t="str">
        <f>IFERROR(__xludf.DUMMYFUNCTION("""COMPUTED_VALUE"""),"revolution")</f>
        <v>revolution</v>
      </c>
      <c r="S1084" s="6" t="str">
        <f>IFERROR(__xludf.DUMMYFUNCTION("""COMPUTED_VALUE"""),"sick")</f>
        <v>sick</v>
      </c>
    </row>
    <row r="1085">
      <c r="D1085" s="6"/>
      <c r="H1085" s="6" t="str">
        <f>IFERROR(__xludf.DUMMYFUNCTION("""COMPUTED_VALUE"""),"contradiction")</f>
        <v>contradiction</v>
      </c>
      <c r="I1085" s="6" t="str">
        <f>IFERROR(__xludf.DUMMYFUNCTION("""COMPUTED_VALUE"""),"byzantine")</f>
        <v>byzantine</v>
      </c>
      <c r="J1085" s="6" t="str">
        <f>IFERROR(__xludf.DUMMYFUNCTION("""COMPUTED_VALUE"""),"puppets")</f>
        <v>puppets</v>
      </c>
      <c r="M1085" s="6"/>
      <c r="P1085" s="6" t="str">
        <f>IFERROR(__xludf.DUMMYFUNCTION("""COMPUTED_VALUE"""),"mechanics")</f>
        <v>mechanics</v>
      </c>
      <c r="Q1085" s="6" t="str">
        <f>IFERROR(__xludf.DUMMYFUNCTION("""COMPUTED_VALUE"""),"precisely")</f>
        <v>precisely</v>
      </c>
      <c r="S1085" s="6" t="str">
        <f>IFERROR(__xludf.DUMMYFUNCTION("""COMPUTED_VALUE"""),"range")</f>
        <v>range</v>
      </c>
    </row>
    <row r="1086">
      <c r="D1086" s="6"/>
      <c r="H1086" s="6" t="str">
        <f>IFERROR(__xludf.DUMMYFUNCTION("""COMPUTED_VALUE"""),"searing")</f>
        <v>searing</v>
      </c>
      <c r="I1086" s="6" t="str">
        <f>IFERROR(__xludf.DUMMYFUNCTION("""COMPUTED_VALUE"""),"experiment")</f>
        <v>experiment</v>
      </c>
      <c r="J1086" s="6" t="str">
        <f>IFERROR(__xludf.DUMMYFUNCTION("""COMPUTED_VALUE"""),"bear")</f>
        <v>bear</v>
      </c>
      <c r="M1086" s="6"/>
      <c r="P1086" s="6" t="str">
        <f>IFERROR(__xludf.DUMMYFUNCTION("""COMPUTED_VALUE"""),"cult")</f>
        <v>cult</v>
      </c>
      <c r="Q1086" s="6" t="str">
        <f>IFERROR(__xludf.DUMMYFUNCTION("""COMPUTED_VALUE"""),"loneliness")</f>
        <v>loneliness</v>
      </c>
      <c r="S1086" s="6" t="str">
        <f>IFERROR(__xludf.DUMMYFUNCTION("""COMPUTED_VALUE"""),"broadway")</f>
        <v>broadway</v>
      </c>
    </row>
    <row r="1087">
      <c r="D1087" s="6"/>
      <c r="H1087" s="6" t="str">
        <f>IFERROR(__xludf.DUMMYFUNCTION("""COMPUTED_VALUE"""),"lifetime")</f>
        <v>lifetime</v>
      </c>
      <c r="I1087" s="6" t="str">
        <f>IFERROR(__xludf.DUMMYFUNCTION("""COMPUTED_VALUE"""),"percussion")</f>
        <v>percussion</v>
      </c>
      <c r="J1087" s="6" t="str">
        <f>IFERROR(__xludf.DUMMYFUNCTION("""COMPUTED_VALUE"""),"advantage")</f>
        <v>advantage</v>
      </c>
      <c r="M1087" s="6"/>
      <c r="P1087" s="6" t="str">
        <f>IFERROR(__xludf.DUMMYFUNCTION("""COMPUTED_VALUE"""),"hall")</f>
        <v>hall</v>
      </c>
      <c r="Q1087" s="6" t="str">
        <f>IFERROR(__xludf.DUMMYFUNCTION("""COMPUTED_VALUE"""),"notwithstanding")</f>
        <v>notwithstanding</v>
      </c>
      <c r="S1087" s="6" t="str">
        <f>IFERROR(__xludf.DUMMYFUNCTION("""COMPUTED_VALUE"""),"express")</f>
        <v>express</v>
      </c>
    </row>
    <row r="1088">
      <c r="D1088" s="6"/>
      <c r="H1088" s="6" t="str">
        <f>IFERROR(__xludf.DUMMYFUNCTION("""COMPUTED_VALUE"""),"fearless")</f>
        <v>fearless</v>
      </c>
      <c r="I1088" s="6" t="str">
        <f>IFERROR(__xludf.DUMMYFUNCTION("""COMPUTED_VALUE"""),"ninth")</f>
        <v>ninth</v>
      </c>
      <c r="J1088" s="6" t="str">
        <f>IFERROR(__xludf.DUMMYFUNCTION("""COMPUTED_VALUE"""),"futile")</f>
        <v>futile</v>
      </c>
      <c r="M1088" s="6"/>
      <c r="P1088" s="6" t="str">
        <f>IFERROR(__xludf.DUMMYFUNCTION("""COMPUTED_VALUE"""),"inspiration")</f>
        <v>inspiration</v>
      </c>
      <c r="Q1088" s="6" t="str">
        <f>IFERROR(__xludf.DUMMYFUNCTION("""COMPUTED_VALUE"""),"maintains")</f>
        <v>maintains</v>
      </c>
      <c r="S1088" s="6" t="str">
        <f>IFERROR(__xludf.DUMMYFUNCTION("""COMPUTED_VALUE"""),"occupation")</f>
        <v>occupation</v>
      </c>
    </row>
    <row r="1089">
      <c r="D1089" s="6"/>
      <c r="H1089" s="6" t="str">
        <f>IFERROR(__xludf.DUMMYFUNCTION("""COMPUTED_VALUE"""),"niche")</f>
        <v>niche</v>
      </c>
      <c r="I1089" s="6" t="str">
        <f>IFERROR(__xludf.DUMMYFUNCTION("""COMPUTED_VALUE"""),"harvey")</f>
        <v>harvey</v>
      </c>
      <c r="J1089" s="6" t="str">
        <f>IFERROR(__xludf.DUMMYFUNCTION("""COMPUTED_VALUE"""),"happens")</f>
        <v>happens</v>
      </c>
      <c r="M1089" s="6"/>
      <c r="P1089" s="6" t="str">
        <f>IFERROR(__xludf.DUMMYFUNCTION("""COMPUTED_VALUE"""),"brush")</f>
        <v>brush</v>
      </c>
      <c r="Q1089" s="6" t="str">
        <f>IFERROR(__xludf.DUMMYFUNCTION("""COMPUTED_VALUE"""),"inspirational")</f>
        <v>inspirational</v>
      </c>
      <c r="S1089" s="6" t="str">
        <f>IFERROR(__xludf.DUMMYFUNCTION("""COMPUTED_VALUE"""),"survivors")</f>
        <v>survivors</v>
      </c>
    </row>
    <row r="1090">
      <c r="D1090" s="6"/>
      <c r="H1090" s="6" t="str">
        <f>IFERROR(__xludf.DUMMYFUNCTION("""COMPUTED_VALUE"""),"overly")</f>
        <v>overly</v>
      </c>
      <c r="I1090" s="6" t="str">
        <f>IFERROR(__xludf.DUMMYFUNCTION("""COMPUTED_VALUE"""),"pearl")</f>
        <v>pearl</v>
      </c>
      <c r="J1090" s="6" t="str">
        <f>IFERROR(__xludf.DUMMYFUNCTION("""COMPUTED_VALUE"""),"willingness")</f>
        <v>willingness</v>
      </c>
      <c r="M1090" s="6"/>
      <c r="P1090" s="6" t="str">
        <f>IFERROR(__xludf.DUMMYFUNCTION("""COMPUTED_VALUE"""),"awareness")</f>
        <v>awareness</v>
      </c>
      <c r="Q1090" s="6" t="str">
        <f>IFERROR(__xludf.DUMMYFUNCTION("""COMPUTED_VALUE"""),"pat")</f>
        <v>pat</v>
      </c>
      <c r="S1090" s="6" t="str">
        <f>IFERROR(__xludf.DUMMYFUNCTION("""COMPUTED_VALUE"""),"wear")</f>
        <v>wear</v>
      </c>
    </row>
    <row r="1091">
      <c r="D1091" s="6"/>
      <c r="H1091" s="6" t="str">
        <f>IFERROR(__xludf.DUMMYFUNCTION("""COMPUTED_VALUE"""),"slump")</f>
        <v>slump</v>
      </c>
      <c r="I1091" s="6" t="str">
        <f>IFERROR(__xludf.DUMMYFUNCTION("""COMPUTED_VALUE"""),"prisoners")</f>
        <v>prisoners</v>
      </c>
      <c r="J1091" s="6" t="str">
        <f>IFERROR(__xludf.DUMMYFUNCTION("""COMPUTED_VALUE"""),"bertrand")</f>
        <v>bertrand</v>
      </c>
      <c r="M1091" s="6"/>
      <c r="P1091" s="6" t="str">
        <f>IFERROR(__xludf.DUMMYFUNCTION("""COMPUTED_VALUE"""),"mortal")</f>
        <v>mortal</v>
      </c>
      <c r="Q1091" s="6" t="str">
        <f>IFERROR(__xludf.DUMMYFUNCTION("""COMPUTED_VALUE"""),"corpus")</f>
        <v>corpus</v>
      </c>
      <c r="S1091" s="6" t="str">
        <f>IFERROR(__xludf.DUMMYFUNCTION("""COMPUTED_VALUE"""),"arrangements")</f>
        <v>arrangements</v>
      </c>
    </row>
    <row r="1092">
      <c r="D1092" s="6"/>
      <c r="H1092" s="6" t="str">
        <f>IFERROR(__xludf.DUMMYFUNCTION("""COMPUTED_VALUE"""),"sophomore")</f>
        <v>sophomore</v>
      </c>
      <c r="I1092" s="6">
        <f>IFERROR(__xludf.DUMMYFUNCTION("""COMPUTED_VALUE"""),1975.0)</f>
        <v>1975</v>
      </c>
      <c r="J1092" s="6" t="str">
        <f>IFERROR(__xludf.DUMMYFUNCTION("""COMPUTED_VALUE"""),"sleeve")</f>
        <v>sleeve</v>
      </c>
      <c r="M1092" s="6"/>
      <c r="P1092" s="6" t="str">
        <f>IFERROR(__xludf.DUMMYFUNCTION("""COMPUTED_VALUE"""),"intent")</f>
        <v>intent</v>
      </c>
      <c r="Q1092" s="6" t="str">
        <f>IFERROR(__xludf.DUMMYFUNCTION("""COMPUTED_VALUE"""),"jerking")</f>
        <v>jerking</v>
      </c>
      <c r="S1092" s="6" t="str">
        <f>IFERROR(__xludf.DUMMYFUNCTION("""COMPUTED_VALUE"""),"access")</f>
        <v>access</v>
      </c>
    </row>
    <row r="1093">
      <c r="D1093" s="6"/>
      <c r="H1093" s="6" t="str">
        <f>IFERROR(__xludf.DUMMYFUNCTION("""COMPUTED_VALUE"""),"tug")</f>
        <v>tug</v>
      </c>
      <c r="I1093" s="6" t="str">
        <f>IFERROR(__xludf.DUMMYFUNCTION("""COMPUTED_VALUE"""),"derek")</f>
        <v>derek</v>
      </c>
      <c r="J1093" s="6" t="str">
        <f>IFERROR(__xludf.DUMMYFUNCTION("""COMPUTED_VALUE"""),"wears")</f>
        <v>wears</v>
      </c>
      <c r="M1093" s="6"/>
      <c r="P1093" s="6" t="str">
        <f>IFERROR(__xludf.DUMMYFUNCTION("""COMPUTED_VALUE"""),"swear")</f>
        <v>swear</v>
      </c>
      <c r="Q1093" s="6" t="str">
        <f>IFERROR(__xludf.DUMMYFUNCTION("""COMPUTED_VALUE"""),"dubbed")</f>
        <v>dubbed</v>
      </c>
      <c r="S1093" s="6" t="str">
        <f>IFERROR(__xludf.DUMMYFUNCTION("""COMPUTED_VALUE"""),"damn")</f>
        <v>damn</v>
      </c>
    </row>
    <row r="1094">
      <c r="D1094" s="6"/>
      <c r="H1094" s="6" t="str">
        <f>IFERROR(__xludf.DUMMYFUNCTION("""COMPUTED_VALUE"""),"slack")</f>
        <v>slack</v>
      </c>
      <c r="I1094" s="6" t="str">
        <f>IFERROR(__xludf.DUMMYFUNCTION("""COMPUTED_VALUE"""),"normally")</f>
        <v>normally</v>
      </c>
      <c r="J1094" s="6" t="str">
        <f>IFERROR(__xludf.DUMMYFUNCTION("""COMPUTED_VALUE"""),"conduct")</f>
        <v>conduct</v>
      </c>
      <c r="M1094" s="6"/>
      <c r="P1094" s="6" t="str">
        <f>IFERROR(__xludf.DUMMYFUNCTION("""COMPUTED_VALUE"""),"seated")</f>
        <v>seated</v>
      </c>
      <c r="Q1094" s="6" t="str">
        <f>IFERROR(__xludf.DUMMYFUNCTION("""COMPUTED_VALUE"""),"effect")</f>
        <v>effect</v>
      </c>
      <c r="S1094" s="6">
        <f>IFERROR(__xludf.DUMMYFUNCTION("""COMPUTED_VALUE"""),80.0)</f>
        <v>80</v>
      </c>
    </row>
    <row r="1095">
      <c r="D1095" s="6"/>
      <c r="H1095" s="6" t="str">
        <f>IFERROR(__xludf.DUMMYFUNCTION("""COMPUTED_VALUE"""),"70s")</f>
        <v>70s</v>
      </c>
      <c r="I1095" s="6" t="str">
        <f>IFERROR(__xludf.DUMMYFUNCTION("""COMPUTED_VALUE"""),"sources")</f>
        <v>sources</v>
      </c>
      <c r="J1095" s="6" t="str">
        <f>IFERROR(__xludf.DUMMYFUNCTION("""COMPUTED_VALUE"""),"intimacy")</f>
        <v>intimacy</v>
      </c>
      <c r="M1095" s="6"/>
      <c r="P1095" s="6" t="str">
        <f>IFERROR(__xludf.DUMMYFUNCTION("""COMPUTED_VALUE"""),"establishing")</f>
        <v>establishing</v>
      </c>
      <c r="Q1095" s="6" t="str">
        <f>IFERROR(__xludf.DUMMYFUNCTION("""COMPUTED_VALUE"""),"essence")</f>
        <v>essence</v>
      </c>
      <c r="S1095" s="6" t="str">
        <f>IFERROR(__xludf.DUMMYFUNCTION("""COMPUTED_VALUE"""),"choice")</f>
        <v>choice</v>
      </c>
    </row>
    <row r="1096">
      <c r="D1096" s="6"/>
      <c r="H1096" s="6" t="str">
        <f>IFERROR(__xludf.DUMMYFUNCTION("""COMPUTED_VALUE"""),"prophet")</f>
        <v>prophet</v>
      </c>
      <c r="I1096" s="6" t="str">
        <f>IFERROR(__xludf.DUMMYFUNCTION("""COMPUTED_VALUE"""),"analysis")</f>
        <v>analysis</v>
      </c>
      <c r="J1096" s="6" t="str">
        <f>IFERROR(__xludf.DUMMYFUNCTION("""COMPUTED_VALUE"""),"sermon")</f>
        <v>sermon</v>
      </c>
      <c r="M1096" s="6"/>
      <c r="P1096" s="6" t="str">
        <f>IFERROR(__xludf.DUMMYFUNCTION("""COMPUTED_VALUE"""),"hospital")</f>
        <v>hospital</v>
      </c>
      <c r="Q1096" s="6" t="str">
        <f>IFERROR(__xludf.DUMMYFUNCTION("""COMPUTED_VALUE"""),"documented")</f>
        <v>documented</v>
      </c>
      <c r="S1096" s="6" t="str">
        <f>IFERROR(__xludf.DUMMYFUNCTION("""COMPUTED_VALUE"""),"paid")</f>
        <v>paid</v>
      </c>
    </row>
    <row r="1097">
      <c r="D1097" s="6"/>
      <c r="H1097" s="6" t="str">
        <f>IFERROR(__xludf.DUMMYFUNCTION("""COMPUTED_VALUE"""),"larger")</f>
        <v>larger</v>
      </c>
      <c r="I1097" s="6" t="str">
        <f>IFERROR(__xludf.DUMMYFUNCTION("""COMPUTED_VALUE"""),"grave")</f>
        <v>grave</v>
      </c>
      <c r="J1097" s="6" t="str">
        <f>IFERROR(__xludf.DUMMYFUNCTION("""COMPUTED_VALUE"""),"kiss")</f>
        <v>kiss</v>
      </c>
      <c r="M1097" s="6"/>
      <c r="P1097" s="6" t="str">
        <f>IFERROR(__xludf.DUMMYFUNCTION("""COMPUTED_VALUE"""),"ideal")</f>
        <v>ideal</v>
      </c>
      <c r="Q1097" s="6" t="str">
        <f>IFERROR(__xludf.DUMMYFUNCTION("""COMPUTED_VALUE"""),"expected")</f>
        <v>expected</v>
      </c>
      <c r="S1097" s="6" t="str">
        <f>IFERROR(__xludf.DUMMYFUNCTION("""COMPUTED_VALUE"""),"natural")</f>
        <v>natural</v>
      </c>
    </row>
    <row r="1098">
      <c r="D1098" s="6"/>
      <c r="H1098" s="6" t="str">
        <f>IFERROR(__xludf.DUMMYFUNCTION("""COMPUTED_VALUE"""),"conflict")</f>
        <v>conflict</v>
      </c>
      <c r="I1098" s="6" t="str">
        <f>IFERROR(__xludf.DUMMYFUNCTION("""COMPUTED_VALUE"""),"split")</f>
        <v>split</v>
      </c>
      <c r="J1098" s="6" t="str">
        <f>IFERROR(__xludf.DUMMYFUNCTION("""COMPUTED_VALUE"""),"continuation")</f>
        <v>continuation</v>
      </c>
      <c r="M1098" s="6"/>
      <c r="P1098" s="6" t="str">
        <f>IFERROR(__xludf.DUMMYFUNCTION("""COMPUTED_VALUE"""),"body")</f>
        <v>body</v>
      </c>
      <c r="Q1098" s="6" t="str">
        <f>IFERROR(__xludf.DUMMYFUNCTION("""COMPUTED_VALUE"""),"popcorn")</f>
        <v>popcorn</v>
      </c>
      <c r="S1098" s="6" t="str">
        <f>IFERROR(__xludf.DUMMYFUNCTION("""COMPUTED_VALUE"""),"rode")</f>
        <v>rode</v>
      </c>
    </row>
    <row r="1099">
      <c r="D1099" s="6"/>
      <c r="H1099" s="6" t="str">
        <f>IFERROR(__xludf.DUMMYFUNCTION("""COMPUTED_VALUE"""),"vital")</f>
        <v>vital</v>
      </c>
      <c r="I1099" s="6" t="str">
        <f>IFERROR(__xludf.DUMMYFUNCTION("""COMPUTED_VALUE"""),"losses")</f>
        <v>losses</v>
      </c>
      <c r="J1099" s="6" t="str">
        <f>IFERROR(__xludf.DUMMYFUNCTION("""COMPUTED_VALUE"""),"sentiments")</f>
        <v>sentiments</v>
      </c>
      <c r="M1099" s="6"/>
      <c r="P1099" s="6" t="str">
        <f>IFERROR(__xludf.DUMMYFUNCTION("""COMPUTED_VALUE"""),"stretch")</f>
        <v>stretch</v>
      </c>
      <c r="Q1099" s="6" t="str">
        <f>IFERROR(__xludf.DUMMYFUNCTION("""COMPUTED_VALUE"""),"croatia")</f>
        <v>croatia</v>
      </c>
      <c r="S1099" s="6" t="str">
        <f>IFERROR(__xludf.DUMMYFUNCTION("""COMPUTED_VALUE"""),"candy")</f>
        <v>candy</v>
      </c>
    </row>
    <row r="1100">
      <c r="D1100" s="6"/>
      <c r="H1100" s="6" t="str">
        <f>IFERROR(__xludf.DUMMYFUNCTION("""COMPUTED_VALUE"""),"recalls")</f>
        <v>recalls</v>
      </c>
      <c r="I1100" s="6" t="str">
        <f>IFERROR(__xludf.DUMMYFUNCTION("""COMPUTED_VALUE"""),"interests")</f>
        <v>interests</v>
      </c>
      <c r="J1100" s="6" t="str">
        <f>IFERROR(__xludf.DUMMYFUNCTION("""COMPUTED_VALUE"""),"blonde")</f>
        <v>blonde</v>
      </c>
      <c r="M1100" s="6"/>
      <c r="P1100" s="6" t="str">
        <f>IFERROR(__xludf.DUMMYFUNCTION("""COMPUTED_VALUE"""),"theories")</f>
        <v>theories</v>
      </c>
      <c r="Q1100" s="6" t="str">
        <f>IFERROR(__xludf.DUMMYFUNCTION("""COMPUTED_VALUE"""),"america")</f>
        <v>america</v>
      </c>
      <c r="S1100" s="6" t="str">
        <f>IFERROR(__xludf.DUMMYFUNCTION("""COMPUTED_VALUE"""),"corn")</f>
        <v>corn</v>
      </c>
    </row>
    <row r="1101">
      <c r="D1101" s="6"/>
      <c r="H1101" s="6" t="str">
        <f>IFERROR(__xludf.DUMMYFUNCTION("""COMPUTED_VALUE"""),"classics")</f>
        <v>classics</v>
      </c>
      <c r="I1101" s="6" t="str">
        <f>IFERROR(__xludf.DUMMYFUNCTION("""COMPUTED_VALUE"""),"iranian")</f>
        <v>iranian</v>
      </c>
      <c r="J1101" s="6" t="str">
        <f>IFERROR(__xludf.DUMMYFUNCTION("""COMPUTED_VALUE"""),"estranged")</f>
        <v>estranged</v>
      </c>
      <c r="M1101" s="6"/>
      <c r="P1101" s="6" t="str">
        <f>IFERROR(__xludf.DUMMYFUNCTION("""COMPUTED_VALUE"""),"tickets")</f>
        <v>tickets</v>
      </c>
      <c r="Q1101" s="6" t="str">
        <f>IFERROR(__xludf.DUMMYFUNCTION("""COMPUTED_VALUE"""),"word")</f>
        <v>word</v>
      </c>
      <c r="S1101" s="6" t="str">
        <f>IFERROR(__xludf.DUMMYFUNCTION("""COMPUTED_VALUE"""),"blood")</f>
        <v>blood</v>
      </c>
    </row>
    <row r="1102">
      <c r="D1102" s="6"/>
      <c r="H1102" s="6" t="str">
        <f>IFERROR(__xludf.DUMMYFUNCTION("""COMPUTED_VALUE"""),"sweetly")</f>
        <v>sweetly</v>
      </c>
      <c r="I1102" s="6" t="str">
        <f>IFERROR(__xludf.DUMMYFUNCTION("""COMPUTED_VALUE"""),"column")</f>
        <v>column</v>
      </c>
      <c r="J1102" s="6" t="str">
        <f>IFERROR(__xludf.DUMMYFUNCTION("""COMPUTED_VALUE"""),"acclaim")</f>
        <v>acclaim</v>
      </c>
      <c r="M1102" s="6"/>
      <c r="P1102" s="6" t="str">
        <f>IFERROR(__xludf.DUMMYFUNCTION("""COMPUTED_VALUE"""),"land")</f>
        <v>land</v>
      </c>
      <c r="Q1102" s="6" t="str">
        <f>IFERROR(__xludf.DUMMYFUNCTION("""COMPUTED_VALUE"""),"randall")</f>
        <v>randall</v>
      </c>
      <c r="S1102" s="6" t="str">
        <f>IFERROR(__xludf.DUMMYFUNCTION("""COMPUTED_VALUE"""),"journalism")</f>
        <v>journalism</v>
      </c>
    </row>
    <row r="1103">
      <c r="D1103" s="6"/>
      <c r="H1103" s="6" t="str">
        <f>IFERROR(__xludf.DUMMYFUNCTION("""COMPUTED_VALUE"""),"infectious")</f>
        <v>infectious</v>
      </c>
      <c r="I1103" s="6" t="str">
        <f>IFERROR(__xludf.DUMMYFUNCTION("""COMPUTED_VALUE"""),"jacket")</f>
        <v>jacket</v>
      </c>
      <c r="J1103" s="6" t="str">
        <f>IFERROR(__xludf.DUMMYFUNCTION("""COMPUTED_VALUE"""),"assurance")</f>
        <v>assurance</v>
      </c>
      <c r="M1103" s="6"/>
      <c r="P1103" s="6" t="str">
        <f>IFERROR(__xludf.DUMMYFUNCTION("""COMPUTED_VALUE"""),"captured")</f>
        <v>captured</v>
      </c>
      <c r="Q1103" s="6" t="str">
        <f>IFERROR(__xludf.DUMMYFUNCTION("""COMPUTED_VALUE"""),"tensions")</f>
        <v>tensions</v>
      </c>
      <c r="S1103" s="6" t="str">
        <f>IFERROR(__xludf.DUMMYFUNCTION("""COMPUTED_VALUE"""),"struggle")</f>
        <v>struggle</v>
      </c>
    </row>
    <row r="1104">
      <c r="D1104" s="6"/>
      <c r="H1104" s="6" t="str">
        <f>IFERROR(__xludf.DUMMYFUNCTION("""COMPUTED_VALUE"""),"brooding")</f>
        <v>brooding</v>
      </c>
      <c r="I1104" s="6" t="str">
        <f>IFERROR(__xludf.DUMMYFUNCTION("""COMPUTED_VALUE"""),"lose")</f>
        <v>lose</v>
      </c>
      <c r="J1104" s="6" t="str">
        <f>IFERROR(__xludf.DUMMYFUNCTION("""COMPUTED_VALUE"""),"famine")</f>
        <v>famine</v>
      </c>
      <c r="M1104" s="6"/>
      <c r="P1104" s="6" t="str">
        <f>IFERROR(__xludf.DUMMYFUNCTION("""COMPUTED_VALUE"""),"warfare")</f>
        <v>warfare</v>
      </c>
      <c r="Q1104" s="6" t="str">
        <f>IFERROR(__xludf.DUMMYFUNCTION("""COMPUTED_VALUE"""),"dong")</f>
        <v>dong</v>
      </c>
      <c r="S1104" s="6" t="str">
        <f>IFERROR(__xludf.DUMMYFUNCTION("""COMPUTED_VALUE"""),"convinced")</f>
        <v>convinced</v>
      </c>
    </row>
    <row r="1105">
      <c r="D1105" s="6"/>
      <c r="H1105" s="6" t="str">
        <f>IFERROR(__xludf.DUMMYFUNCTION("""COMPUTED_VALUE"""),"modest")</f>
        <v>modest</v>
      </c>
      <c r="I1105" s="6" t="str">
        <f>IFERROR(__xludf.DUMMYFUNCTION("""COMPUTED_VALUE"""),"bible")</f>
        <v>bible</v>
      </c>
      <c r="J1105" s="6" t="str">
        <f>IFERROR(__xludf.DUMMYFUNCTION("""COMPUTED_VALUE"""),"disguised")</f>
        <v>disguised</v>
      </c>
      <c r="M1105" s="6"/>
      <c r="P1105" s="6" t="str">
        <f>IFERROR(__xludf.DUMMYFUNCTION("""COMPUTED_VALUE"""),"primarily")</f>
        <v>primarily</v>
      </c>
      <c r="Q1105" s="6" t="str">
        <f>IFERROR(__xludf.DUMMYFUNCTION("""COMPUTED_VALUE"""),"insights")</f>
        <v>insights</v>
      </c>
      <c r="S1105" s="6" t="str">
        <f>IFERROR(__xludf.DUMMYFUNCTION("""COMPUTED_VALUE"""),"lucky")</f>
        <v>lucky</v>
      </c>
    </row>
    <row r="1106">
      <c r="D1106" s="6"/>
      <c r="H1106" s="6" t="str">
        <f>IFERROR(__xludf.DUMMYFUNCTION("""COMPUTED_VALUE"""),"superhuman")</f>
        <v>superhuman</v>
      </c>
      <c r="I1106" s="6" t="str">
        <f>IFERROR(__xludf.DUMMYFUNCTION("""COMPUTED_VALUE"""),"influential")</f>
        <v>influential</v>
      </c>
      <c r="J1106" s="6" t="str">
        <f>IFERROR(__xludf.DUMMYFUNCTION("""COMPUTED_VALUE"""),"impact")</f>
        <v>impact</v>
      </c>
      <c r="M1106" s="6"/>
      <c r="P1106" s="6" t="str">
        <f>IFERROR(__xludf.DUMMYFUNCTION("""COMPUTED_VALUE"""),"changes")</f>
        <v>changes</v>
      </c>
      <c r="Q1106" s="6" t="str">
        <f>IFERROR(__xludf.DUMMYFUNCTION("""COMPUTED_VALUE"""),"pushes")</f>
        <v>pushes</v>
      </c>
      <c r="S1106" s="6" t="str">
        <f>IFERROR(__xludf.DUMMYFUNCTION("""COMPUTED_VALUE"""),"killer")</f>
        <v>killer</v>
      </c>
    </row>
    <row r="1107">
      <c r="D1107" s="6"/>
      <c r="H1107" s="6" t="str">
        <f>IFERROR(__xludf.DUMMYFUNCTION("""COMPUTED_VALUE"""),"withstand")</f>
        <v>withstand</v>
      </c>
      <c r="I1107" s="6" t="str">
        <f>IFERROR(__xludf.DUMMYFUNCTION("""COMPUTED_VALUE"""),"guilt")</f>
        <v>guilt</v>
      </c>
      <c r="J1107" s="6" t="str">
        <f>IFERROR(__xludf.DUMMYFUNCTION("""COMPUTED_VALUE"""),"troubled")</f>
        <v>troubled</v>
      </c>
      <c r="M1107" s="6"/>
      <c r="P1107" s="6" t="str">
        <f>IFERROR(__xludf.DUMMYFUNCTION("""COMPUTED_VALUE"""),"thick")</f>
        <v>thick</v>
      </c>
      <c r="Q1107" s="6" t="str">
        <f>IFERROR(__xludf.DUMMYFUNCTION("""COMPUTED_VALUE"""),"eyre")</f>
        <v>eyre</v>
      </c>
      <c r="S1107" s="6" t="str">
        <f>IFERROR(__xludf.DUMMYFUNCTION("""COMPUTED_VALUE"""),"eye")</f>
        <v>eye</v>
      </c>
    </row>
    <row r="1108">
      <c r="D1108" s="6"/>
      <c r="H1108" s="6" t="str">
        <f>IFERROR(__xludf.DUMMYFUNCTION("""COMPUTED_VALUE"""),"conspicuous")</f>
        <v>conspicuous</v>
      </c>
      <c r="I1108" s="6" t="str">
        <f>IFERROR(__xludf.DUMMYFUNCTION("""COMPUTED_VALUE"""),"conflicts")</f>
        <v>conflicts</v>
      </c>
      <c r="J1108" s="6" t="str">
        <f>IFERROR(__xludf.DUMMYFUNCTION("""COMPUTED_VALUE"""),"sly")</f>
        <v>sly</v>
      </c>
      <c r="M1108" s="6"/>
      <c r="P1108" s="6" t="str">
        <f>IFERROR(__xludf.DUMMYFUNCTION("""COMPUTED_VALUE"""),"movement")</f>
        <v>movement</v>
      </c>
      <c r="Q1108" s="6" t="str">
        <f>IFERROR(__xludf.DUMMYFUNCTION("""COMPUTED_VALUE"""),"party")</f>
        <v>party</v>
      </c>
      <c r="S1108" s="6" t="str">
        <f>IFERROR(__xludf.DUMMYFUNCTION("""COMPUTED_VALUE"""),"accept")</f>
        <v>accept</v>
      </c>
    </row>
    <row r="1109">
      <c r="D1109" s="6"/>
      <c r="H1109" s="6" t="str">
        <f>IFERROR(__xludf.DUMMYFUNCTION("""COMPUTED_VALUE"""),"weaponry")</f>
        <v>weaponry</v>
      </c>
      <c r="I1109" s="6" t="str">
        <f>IFERROR(__xludf.DUMMYFUNCTION("""COMPUTED_VALUE"""),"contributions")</f>
        <v>contributions</v>
      </c>
      <c r="J1109" s="6" t="str">
        <f>IFERROR(__xludf.DUMMYFUNCTION("""COMPUTED_VALUE"""),"spears")</f>
        <v>spears</v>
      </c>
      <c r="M1109" s="6"/>
      <c r="P1109" s="6" t="str">
        <f>IFERROR(__xludf.DUMMYFUNCTION("""COMPUTED_VALUE"""),"competition")</f>
        <v>competition</v>
      </c>
      <c r="Q1109" s="6" t="str">
        <f>IFERROR(__xludf.DUMMYFUNCTION("""COMPUTED_VALUE"""),"catches")</f>
        <v>catches</v>
      </c>
      <c r="S1109" s="6" t="str">
        <f>IFERROR(__xludf.DUMMYFUNCTION("""COMPUTED_VALUE"""),"sin")</f>
        <v>sin</v>
      </c>
    </row>
    <row r="1110">
      <c r="D1110" s="6"/>
      <c r="H1110" s="6" t="str">
        <f>IFERROR(__xludf.DUMMYFUNCTION("""COMPUTED_VALUE"""),"toss")</f>
        <v>toss</v>
      </c>
      <c r="I1110" s="6" t="str">
        <f>IFERROR(__xludf.DUMMYFUNCTION("""COMPUTED_VALUE"""),"joan")</f>
        <v>joan</v>
      </c>
      <c r="J1110" s="6" t="str">
        <f>IFERROR(__xludf.DUMMYFUNCTION("""COMPUTED_VALUE"""),"emerges")</f>
        <v>emerges</v>
      </c>
      <c r="M1110" s="6"/>
      <c r="P1110" s="6" t="str">
        <f>IFERROR(__xludf.DUMMYFUNCTION("""COMPUTED_VALUE"""),"radical")</f>
        <v>radical</v>
      </c>
      <c r="Q1110" s="6" t="str">
        <f>IFERROR(__xludf.DUMMYFUNCTION("""COMPUTED_VALUE"""),"hoffman")</f>
        <v>hoffman</v>
      </c>
      <c r="S1110" s="6" t="str">
        <f>IFERROR(__xludf.DUMMYFUNCTION("""COMPUTED_VALUE"""),"single")</f>
        <v>single</v>
      </c>
    </row>
    <row r="1111">
      <c r="D1111" s="6"/>
      <c r="H1111" s="6" t="str">
        <f>IFERROR(__xludf.DUMMYFUNCTION("""COMPUTED_VALUE"""),"definitions")</f>
        <v>definitions</v>
      </c>
      <c r="I1111" s="6" t="str">
        <f>IFERROR(__xludf.DUMMYFUNCTION("""COMPUTED_VALUE"""),"classified")</f>
        <v>classified</v>
      </c>
      <c r="J1111" s="6" t="str">
        <f>IFERROR(__xludf.DUMMYFUNCTION("""COMPUTED_VALUE"""),"expands")</f>
        <v>expands</v>
      </c>
      <c r="M1111" s="6"/>
      <c r="P1111" s="6" t="str">
        <f>IFERROR(__xludf.DUMMYFUNCTION("""COMPUTED_VALUE"""),"de")</f>
        <v>de</v>
      </c>
      <c r="Q1111" s="6" t="str">
        <f>IFERROR(__xludf.DUMMYFUNCTION("""COMPUTED_VALUE"""),"newcomer")</f>
        <v>newcomer</v>
      </c>
      <c r="S1111" s="6" t="str">
        <f>IFERROR(__xludf.DUMMYFUNCTION("""COMPUTED_VALUE"""),"crazy")</f>
        <v>crazy</v>
      </c>
    </row>
    <row r="1112">
      <c r="D1112" s="6"/>
      <c r="H1112" s="6" t="str">
        <f>IFERROR(__xludf.DUMMYFUNCTION("""COMPUTED_VALUE"""),"thud")</f>
        <v>thud</v>
      </c>
      <c r="I1112" s="6" t="str">
        <f>IFERROR(__xludf.DUMMYFUNCTION("""COMPUTED_VALUE"""),"solo")</f>
        <v>solo</v>
      </c>
      <c r="J1112" s="6" t="str">
        <f>IFERROR(__xludf.DUMMYFUNCTION("""COMPUTED_VALUE"""),"smash")</f>
        <v>smash</v>
      </c>
      <c r="M1112" s="6"/>
      <c r="P1112" s="6" t="str">
        <f>IFERROR(__xludf.DUMMYFUNCTION("""COMPUTED_VALUE"""),"hook")</f>
        <v>hook</v>
      </c>
      <c r="Q1112" s="6" t="str">
        <f>IFERROR(__xludf.DUMMYFUNCTION("""COMPUTED_VALUE"""),"feat")</f>
        <v>feat</v>
      </c>
      <c r="S1112" s="6" t="str">
        <f>IFERROR(__xludf.DUMMYFUNCTION("""COMPUTED_VALUE"""),"lines")</f>
        <v>lines</v>
      </c>
    </row>
    <row r="1113">
      <c r="D1113" s="6"/>
      <c r="H1113" s="6" t="str">
        <f>IFERROR(__xludf.DUMMYFUNCTION("""COMPUTED_VALUE"""),"interpretation")</f>
        <v>interpretation</v>
      </c>
      <c r="I1113" s="6" t="str">
        <f>IFERROR(__xludf.DUMMYFUNCTION("""COMPUTED_VALUE"""),"conversion")</f>
        <v>conversion</v>
      </c>
      <c r="J1113" s="6" t="str">
        <f>IFERROR(__xludf.DUMMYFUNCTION("""COMPUTED_VALUE"""),"tales")</f>
        <v>tales</v>
      </c>
      <c r="M1113" s="6"/>
      <c r="P1113" s="6">
        <f>IFERROR(__xludf.DUMMYFUNCTION("""COMPUTED_VALUE"""),1993.0)</f>
        <v>1993</v>
      </c>
      <c r="Q1113" s="6" t="str">
        <f>IFERROR(__xludf.DUMMYFUNCTION("""COMPUTED_VALUE"""),"third")</f>
        <v>third</v>
      </c>
      <c r="S1113" s="6" t="str">
        <f>IFERROR(__xludf.DUMMYFUNCTION("""COMPUTED_VALUE"""),"reading")</f>
        <v>reading</v>
      </c>
    </row>
    <row r="1114">
      <c r="D1114" s="6"/>
      <c r="H1114" s="6" t="str">
        <f>IFERROR(__xludf.DUMMYFUNCTION("""COMPUTED_VALUE"""),"lyrical")</f>
        <v>lyrical</v>
      </c>
      <c r="I1114" s="6" t="str">
        <f>IFERROR(__xludf.DUMMYFUNCTION("""COMPUTED_VALUE"""),"destruction")</f>
        <v>destruction</v>
      </c>
      <c r="J1114" s="6" t="str">
        <f>IFERROR(__xludf.DUMMYFUNCTION("""COMPUTED_VALUE"""),"deaths")</f>
        <v>deaths</v>
      </c>
      <c r="M1114" s="6"/>
      <c r="P1114" s="6" t="str">
        <f>IFERROR(__xludf.DUMMYFUNCTION("""COMPUTED_VALUE"""),"sunshine")</f>
        <v>sunshine</v>
      </c>
      <c r="Q1114" s="6" t="str">
        <f>IFERROR(__xludf.DUMMYFUNCTION("""COMPUTED_VALUE"""),"harmless")</f>
        <v>harmless</v>
      </c>
      <c r="S1114" s="6" t="str">
        <f>IFERROR(__xludf.DUMMYFUNCTION("""COMPUTED_VALUE"""),"figures")</f>
        <v>figures</v>
      </c>
    </row>
    <row r="1115">
      <c r="D1115" s="6"/>
      <c r="H1115" s="6" t="str">
        <f>IFERROR(__xludf.DUMMYFUNCTION("""COMPUTED_VALUE"""),"blockbuster")</f>
        <v>blockbuster</v>
      </c>
      <c r="I1115" s="6" t="str">
        <f>IFERROR(__xludf.DUMMYFUNCTION("""COMPUTED_VALUE"""),"chicken")</f>
        <v>chicken</v>
      </c>
      <c r="J1115" s="6" t="str">
        <f>IFERROR(__xludf.DUMMYFUNCTION("""COMPUTED_VALUE"""),"careers")</f>
        <v>careers</v>
      </c>
      <c r="M1115" s="6"/>
      <c r="P1115" s="6" t="str">
        <f>IFERROR(__xludf.DUMMYFUNCTION("""COMPUTED_VALUE"""),"prospect")</f>
        <v>prospect</v>
      </c>
      <c r="Q1115" s="6" t="str">
        <f>IFERROR(__xludf.DUMMYFUNCTION("""COMPUTED_VALUE"""),"vulnerability")</f>
        <v>vulnerability</v>
      </c>
      <c r="S1115" s="6" t="str">
        <f>IFERROR(__xludf.DUMMYFUNCTION("""COMPUTED_VALUE"""),"expert")</f>
        <v>expert</v>
      </c>
    </row>
    <row r="1116">
      <c r="D1116" s="6"/>
      <c r="H1116" s="6" t="str">
        <f>IFERROR(__xludf.DUMMYFUNCTION("""COMPUTED_VALUE"""),"exploitation")</f>
        <v>exploitation</v>
      </c>
      <c r="I1116" s="6" t="str">
        <f>IFERROR(__xludf.DUMMYFUNCTION("""COMPUTED_VALUE"""),"provincial")</f>
        <v>provincial</v>
      </c>
      <c r="J1116" s="6" t="str">
        <f>IFERROR(__xludf.DUMMYFUNCTION("""COMPUTED_VALUE"""),"titus")</f>
        <v>titus</v>
      </c>
      <c r="M1116" s="6"/>
      <c r="P1116" s="6" t="str">
        <f>IFERROR(__xludf.DUMMYFUNCTION("""COMPUTED_VALUE"""),"wall")</f>
        <v>wall</v>
      </c>
      <c r="Q1116" s="6" t="str">
        <f>IFERROR(__xludf.DUMMYFUNCTION("""COMPUTED_VALUE"""),"adequately")</f>
        <v>adequately</v>
      </c>
      <c r="S1116" s="6" t="str">
        <f>IFERROR(__xludf.DUMMYFUNCTION("""COMPUTED_VALUE"""),"composition")</f>
        <v>composition</v>
      </c>
    </row>
    <row r="1117">
      <c r="D1117" s="6"/>
      <c r="H1117" s="6" t="str">
        <f>IFERROR(__xludf.DUMMYFUNCTION("""COMPUTED_VALUE"""),"populated")</f>
        <v>populated</v>
      </c>
      <c r="I1117" s="6" t="str">
        <f>IFERROR(__xludf.DUMMYFUNCTION("""COMPUTED_VALUE"""),"ye")</f>
        <v>ye</v>
      </c>
      <c r="J1117" s="6" t="str">
        <f>IFERROR(__xludf.DUMMYFUNCTION("""COMPUTED_VALUE"""),"vastly")</f>
        <v>vastly</v>
      </c>
      <c r="M1117" s="6"/>
      <c r="P1117" s="6" t="str">
        <f>IFERROR(__xludf.DUMMYFUNCTION("""COMPUTED_VALUE"""),"dedicated")</f>
        <v>dedicated</v>
      </c>
      <c r="Q1117" s="6" t="str">
        <f>IFERROR(__xludf.DUMMYFUNCTION("""COMPUTED_VALUE"""),"fills")</f>
        <v>fills</v>
      </c>
      <c r="S1117" s="6" t="str">
        <f>IFERROR(__xludf.DUMMYFUNCTION("""COMPUTED_VALUE"""),"viewed")</f>
        <v>viewed</v>
      </c>
    </row>
    <row r="1118">
      <c r="D1118" s="6"/>
      <c r="H1118" s="6" t="str">
        <f>IFERROR(__xludf.DUMMYFUNCTION("""COMPUTED_VALUE"""),"emotion")</f>
        <v>emotion</v>
      </c>
      <c r="I1118" s="6" t="str">
        <f>IFERROR(__xludf.DUMMYFUNCTION("""COMPUTED_VALUE"""),"suddenly")</f>
        <v>suddenly</v>
      </c>
      <c r="J1118" s="6" t="str">
        <f>IFERROR(__xludf.DUMMYFUNCTION("""COMPUTED_VALUE"""),"espionage")</f>
        <v>espionage</v>
      </c>
      <c r="M1118" s="6"/>
      <c r="P1118" s="6" t="str">
        <f>IFERROR(__xludf.DUMMYFUNCTION("""COMPUTED_VALUE"""),"asian")</f>
        <v>asian</v>
      </c>
      <c r="Q1118" s="6" t="str">
        <f>IFERROR(__xludf.DUMMYFUNCTION("""COMPUTED_VALUE"""),"sack")</f>
        <v>sack</v>
      </c>
      <c r="S1118" s="6" t="str">
        <f>IFERROR(__xludf.DUMMYFUNCTION("""COMPUTED_VALUE"""),"angle")</f>
        <v>angle</v>
      </c>
    </row>
    <row r="1119">
      <c r="D1119" s="6"/>
      <c r="H1119" s="6" t="str">
        <f>IFERROR(__xludf.DUMMYFUNCTION("""COMPUTED_VALUE"""),"purge")</f>
        <v>purge</v>
      </c>
      <c r="I1119" s="6" t="str">
        <f>IFERROR(__xludf.DUMMYFUNCTION("""COMPUTED_VALUE"""),"portraits")</f>
        <v>portraits</v>
      </c>
      <c r="J1119" s="6" t="str">
        <f>IFERROR(__xludf.DUMMYFUNCTION("""COMPUTED_VALUE"""),"refugees")</f>
        <v>refugees</v>
      </c>
      <c r="M1119" s="6"/>
      <c r="P1119" s="6" t="str">
        <f>IFERROR(__xludf.DUMMYFUNCTION("""COMPUTED_VALUE"""),"painting")</f>
        <v>painting</v>
      </c>
      <c r="Q1119" s="6" t="str">
        <f>IFERROR(__xludf.DUMMYFUNCTION("""COMPUTED_VALUE"""),"weave")</f>
        <v>weave</v>
      </c>
      <c r="S1119" s="6" t="str">
        <f>IFERROR(__xludf.DUMMYFUNCTION("""COMPUTED_VALUE"""),"mature")</f>
        <v>mature</v>
      </c>
    </row>
    <row r="1120">
      <c r="D1120" s="6"/>
      <c r="H1120" s="6" t="str">
        <f>IFERROR(__xludf.DUMMYFUNCTION("""COMPUTED_VALUE"""),"triumph")</f>
        <v>triumph</v>
      </c>
      <c r="I1120" s="6" t="str">
        <f>IFERROR(__xludf.DUMMYFUNCTION("""COMPUTED_VALUE"""),"alleged")</f>
        <v>alleged</v>
      </c>
      <c r="J1120" s="6" t="str">
        <f>IFERROR(__xludf.DUMMYFUNCTION("""COMPUTED_VALUE"""),"alien")</f>
        <v>alien</v>
      </c>
      <c r="M1120" s="6"/>
      <c r="P1120" s="6" t="str">
        <f>IFERROR(__xludf.DUMMYFUNCTION("""COMPUTED_VALUE"""),"reasons")</f>
        <v>reasons</v>
      </c>
      <c r="Q1120" s="6" t="str">
        <f>IFERROR(__xludf.DUMMYFUNCTION("""COMPUTED_VALUE"""),"uncertain")</f>
        <v>uncertain</v>
      </c>
      <c r="S1120" s="6" t="str">
        <f>IFERROR(__xludf.DUMMYFUNCTION("""COMPUTED_VALUE"""),"pro")</f>
        <v>pro</v>
      </c>
    </row>
    <row r="1121">
      <c r="D1121" s="6"/>
      <c r="H1121" s="6" t="str">
        <f>IFERROR(__xludf.DUMMYFUNCTION("""COMPUTED_VALUE"""),"marvelous")</f>
        <v>marvelous</v>
      </c>
      <c r="I1121" s="6" t="str">
        <f>IFERROR(__xludf.DUMMYFUNCTION("""COMPUTED_VALUE"""),"testing")</f>
        <v>testing</v>
      </c>
      <c r="J1121" s="6" t="str">
        <f>IFERROR(__xludf.DUMMYFUNCTION("""COMPUTED_VALUE"""),"coughed")</f>
        <v>coughed</v>
      </c>
      <c r="M1121" s="6"/>
      <c r="P1121" s="6" t="str">
        <f>IFERROR(__xludf.DUMMYFUNCTION("""COMPUTED_VALUE"""),"numbered")</f>
        <v>numbered</v>
      </c>
      <c r="Q1121" s="6" t="str">
        <f>IFERROR(__xludf.DUMMYFUNCTION("""COMPUTED_VALUE"""),"battle")</f>
        <v>battle</v>
      </c>
      <c r="S1121" s="6" t="str">
        <f>IFERROR(__xludf.DUMMYFUNCTION("""COMPUTED_VALUE"""),"con")</f>
        <v>con</v>
      </c>
    </row>
    <row r="1122">
      <c r="D1122" s="6"/>
      <c r="H1122" s="6" t="str">
        <f>IFERROR(__xludf.DUMMYFUNCTION("""COMPUTED_VALUE"""),"shifted")</f>
        <v>shifted</v>
      </c>
      <c r="I1122" s="6" t="str">
        <f>IFERROR(__xludf.DUMMYFUNCTION("""COMPUTED_VALUE"""),"fellowship")</f>
        <v>fellowship</v>
      </c>
      <c r="J1122" s="6" t="str">
        <f>IFERROR(__xludf.DUMMYFUNCTION("""COMPUTED_VALUE"""),"hooks")</f>
        <v>hooks</v>
      </c>
      <c r="M1122" s="6"/>
      <c r="P1122" s="6" t="str">
        <f>IFERROR(__xludf.DUMMYFUNCTION("""COMPUTED_VALUE"""),"marine")</f>
        <v>marine</v>
      </c>
      <c r="Q1122" s="6" t="str">
        <f>IFERROR(__xludf.DUMMYFUNCTION("""COMPUTED_VALUE"""),"morally")</f>
        <v>morally</v>
      </c>
      <c r="S1122" s="6" t="str">
        <f>IFERROR(__xludf.DUMMYFUNCTION("""COMPUTED_VALUE"""),"stars")</f>
        <v>stars</v>
      </c>
    </row>
    <row r="1123">
      <c r="D1123" s="6"/>
      <c r="H1123" s="6" t="str">
        <f>IFERROR(__xludf.DUMMYFUNCTION("""COMPUTED_VALUE"""),"wesley")</f>
        <v>wesley</v>
      </c>
      <c r="I1123" s="6" t="str">
        <f>IFERROR(__xludf.DUMMYFUNCTION("""COMPUTED_VALUE"""),"framework")</f>
        <v>framework</v>
      </c>
      <c r="J1123" s="6" t="str">
        <f>IFERROR(__xludf.DUMMYFUNCTION("""COMPUTED_VALUE"""),"oliver")</f>
        <v>oliver</v>
      </c>
      <c r="M1123" s="6"/>
      <c r="P1123" s="6" t="str">
        <f>IFERROR(__xludf.DUMMYFUNCTION("""COMPUTED_VALUE"""),"granted")</f>
        <v>granted</v>
      </c>
      <c r="Q1123" s="6" t="str">
        <f>IFERROR(__xludf.DUMMYFUNCTION("""COMPUTED_VALUE"""),"shine")</f>
        <v>shine</v>
      </c>
      <c r="S1123" s="6" t="str">
        <f>IFERROR(__xludf.DUMMYFUNCTION("""COMPUTED_VALUE"""),"layer")</f>
        <v>layer</v>
      </c>
    </row>
    <row r="1124">
      <c r="D1124" s="6"/>
      <c r="H1124" s="6" t="str">
        <f>IFERROR(__xludf.DUMMYFUNCTION("""COMPUTED_VALUE"""),"proposes")</f>
        <v>proposes</v>
      </c>
      <c r="I1124" s="6" t="str">
        <f>IFERROR(__xludf.DUMMYFUNCTION("""COMPUTED_VALUE"""),"detective")</f>
        <v>detective</v>
      </c>
      <c r="J1124" s="6" t="str">
        <f>IFERROR(__xludf.DUMMYFUNCTION("""COMPUTED_VALUE"""),"lens")</f>
        <v>lens</v>
      </c>
      <c r="M1124" s="6"/>
      <c r="P1124" s="6" t="str">
        <f>IFERROR(__xludf.DUMMYFUNCTION("""COMPUTED_VALUE"""),"details")</f>
        <v>details</v>
      </c>
      <c r="Q1124" s="6" t="str">
        <f>IFERROR(__xludf.DUMMYFUNCTION("""COMPUTED_VALUE"""),"comedian")</f>
        <v>comedian</v>
      </c>
      <c r="S1124" s="6" t="str">
        <f>IFERROR(__xludf.DUMMYFUNCTION("""COMPUTED_VALUE"""),"house")</f>
        <v>house</v>
      </c>
    </row>
    <row r="1125">
      <c r="D1125" s="6"/>
      <c r="H1125" s="6" t="str">
        <f>IFERROR(__xludf.DUMMYFUNCTION("""COMPUTED_VALUE"""),"mistress")</f>
        <v>mistress</v>
      </c>
      <c r="I1125" s="6" t="str">
        <f>IFERROR(__xludf.DUMMYFUNCTION("""COMPUTED_VALUE"""),"kurt")</f>
        <v>kurt</v>
      </c>
      <c r="J1125" s="6" t="str">
        <f>IFERROR(__xludf.DUMMYFUNCTION("""COMPUTED_VALUE"""),"irresistible")</f>
        <v>irresistible</v>
      </c>
      <c r="M1125" s="6"/>
      <c r="P1125" s="6" t="str">
        <f>IFERROR(__xludf.DUMMYFUNCTION("""COMPUTED_VALUE"""),"treasure")</f>
        <v>treasure</v>
      </c>
      <c r="Q1125" s="6" t="str">
        <f>IFERROR(__xludf.DUMMYFUNCTION("""COMPUTED_VALUE"""),"racist")</f>
        <v>racist</v>
      </c>
      <c r="S1125" s="6" t="str">
        <f>IFERROR(__xludf.DUMMYFUNCTION("""COMPUTED_VALUE"""),"commerce")</f>
        <v>commerce</v>
      </c>
    </row>
    <row r="1126">
      <c r="D1126" s="6"/>
      <c r="H1126" s="6" t="str">
        <f>IFERROR(__xludf.DUMMYFUNCTION("""COMPUTED_VALUE"""),"breakthrough")</f>
        <v>breakthrough</v>
      </c>
      <c r="I1126" s="6" t="str">
        <f>IFERROR(__xludf.DUMMYFUNCTION("""COMPUTED_VALUE"""),"temple")</f>
        <v>temple</v>
      </c>
      <c r="J1126" s="6" t="str">
        <f>IFERROR(__xludf.DUMMYFUNCTION("""COMPUTED_VALUE"""),"hussein")</f>
        <v>hussein</v>
      </c>
      <c r="M1126" s="6"/>
      <c r="P1126" s="6" t="str">
        <f>IFERROR(__xludf.DUMMYFUNCTION("""COMPUTED_VALUE"""),"worship")</f>
        <v>worship</v>
      </c>
      <c r="Q1126" s="6" t="str">
        <f>IFERROR(__xludf.DUMMYFUNCTION("""COMPUTED_VALUE"""),"song")</f>
        <v>song</v>
      </c>
      <c r="S1126" s="6" t="str">
        <f>IFERROR(__xludf.DUMMYFUNCTION("""COMPUTED_VALUE"""),"older")</f>
        <v>older</v>
      </c>
    </row>
    <row r="1127">
      <c r="D1127" s="6"/>
      <c r="H1127" s="6" t="str">
        <f>IFERROR(__xludf.DUMMYFUNCTION("""COMPUTED_VALUE"""),"assumes")</f>
        <v>assumes</v>
      </c>
      <c r="I1127" s="6" t="str">
        <f>IFERROR(__xludf.DUMMYFUNCTION("""COMPUTED_VALUE"""),"scoring")</f>
        <v>scoring</v>
      </c>
      <c r="J1127" s="6" t="str">
        <f>IFERROR(__xludf.DUMMYFUNCTION("""COMPUTED_VALUE"""),"saddam")</f>
        <v>saddam</v>
      </c>
      <c r="M1127" s="6"/>
      <c r="P1127" s="6" t="str">
        <f>IFERROR(__xludf.DUMMYFUNCTION("""COMPUTED_VALUE"""),"concern")</f>
        <v>concern</v>
      </c>
      <c r="Q1127" s="6" t="str">
        <f>IFERROR(__xludf.DUMMYFUNCTION("""COMPUTED_VALUE"""),"editing")</f>
        <v>editing</v>
      </c>
      <c r="S1127" s="6" t="str">
        <f>IFERROR(__xludf.DUMMYFUNCTION("""COMPUTED_VALUE"""),"former")</f>
        <v>former</v>
      </c>
    </row>
    <row r="1128">
      <c r="D1128" s="6"/>
      <c r="H1128" s="6" t="str">
        <f>IFERROR(__xludf.DUMMYFUNCTION("""COMPUTED_VALUE"""),"unmistakable")</f>
        <v>unmistakable</v>
      </c>
      <c r="I1128" s="6" t="str">
        <f>IFERROR(__xludf.DUMMYFUNCTION("""COMPUTED_VALUE"""),"collar")</f>
        <v>collar</v>
      </c>
      <c r="J1128" s="6" t="str">
        <f>IFERROR(__xludf.DUMMYFUNCTION("""COMPUTED_VALUE"""),"operative")</f>
        <v>operative</v>
      </c>
      <c r="M1128" s="6"/>
      <c r="P1128" s="6" t="str">
        <f>IFERROR(__xludf.DUMMYFUNCTION("""COMPUTED_VALUE"""),"thinks")</f>
        <v>thinks</v>
      </c>
      <c r="Q1128" s="6" t="str">
        <f>IFERROR(__xludf.DUMMYFUNCTION("""COMPUTED_VALUE"""),"strength")</f>
        <v>strength</v>
      </c>
      <c r="S1128" s="6" t="str">
        <f>IFERROR(__xludf.DUMMYFUNCTION("""COMPUTED_VALUE"""),"accident")</f>
        <v>accident</v>
      </c>
    </row>
    <row r="1129">
      <c r="D1129" s="6"/>
      <c r="H1129" s="6" t="str">
        <f>IFERROR(__xludf.DUMMYFUNCTION("""COMPUTED_VALUE"""),"capture")</f>
        <v>capture</v>
      </c>
      <c r="I1129" s="6" t="str">
        <f>IFERROR(__xludf.DUMMYFUNCTION("""COMPUTED_VALUE"""),"divisions")</f>
        <v>divisions</v>
      </c>
      <c r="J1129" s="6" t="str">
        <f>IFERROR(__xludf.DUMMYFUNCTION("""COMPUTED_VALUE"""),"irrational")</f>
        <v>irrational</v>
      </c>
      <c r="M1129" s="6"/>
      <c r="P1129" s="6" t="str">
        <f>IFERROR(__xludf.DUMMYFUNCTION("""COMPUTED_VALUE"""),"repeated")</f>
        <v>repeated</v>
      </c>
      <c r="Q1129" s="6" t="str">
        <f>IFERROR(__xludf.DUMMYFUNCTION("""COMPUTED_VALUE"""),"confident")</f>
        <v>confident</v>
      </c>
      <c r="S1129" s="6" t="str">
        <f>IFERROR(__xludf.DUMMYFUNCTION("""COMPUTED_VALUE"""),"somebody")</f>
        <v>somebody</v>
      </c>
    </row>
    <row r="1130">
      <c r="D1130" s="6"/>
      <c r="H1130" s="6" t="str">
        <f>IFERROR(__xludf.DUMMYFUNCTION("""COMPUTED_VALUE"""),"penetrating")</f>
        <v>penetrating</v>
      </c>
      <c r="I1130" s="6" t="str">
        <f>IFERROR(__xludf.DUMMYFUNCTION("""COMPUTED_VALUE"""),"self")</f>
        <v>self</v>
      </c>
      <c r="J1130" s="6" t="str">
        <f>IFERROR(__xludf.DUMMYFUNCTION("""COMPUTED_VALUE"""),"eyelids")</f>
        <v>eyelids</v>
      </c>
      <c r="M1130" s="6"/>
      <c r="P1130" s="6" t="str">
        <f>IFERROR(__xludf.DUMMYFUNCTION("""COMPUTED_VALUE"""),"bear")</f>
        <v>bear</v>
      </c>
      <c r="Q1130" s="6" t="str">
        <f>IFERROR(__xludf.DUMMYFUNCTION("""COMPUTED_VALUE"""),"scripts")</f>
        <v>scripts</v>
      </c>
      <c r="S1130" s="6" t="str">
        <f>IFERROR(__xludf.DUMMYFUNCTION("""COMPUTED_VALUE"""),"steady")</f>
        <v>steady</v>
      </c>
    </row>
    <row r="1131">
      <c r="D1131" s="6"/>
      <c r="H1131" s="6" t="str">
        <f>IFERROR(__xludf.DUMMYFUNCTION("""COMPUTED_VALUE"""),"fascination")</f>
        <v>fascination</v>
      </c>
      <c r="I1131" s="6" t="str">
        <f>IFERROR(__xludf.DUMMYFUNCTION("""COMPUTED_VALUE"""),"graves")</f>
        <v>graves</v>
      </c>
      <c r="J1131" s="6" t="str">
        <f>IFERROR(__xludf.DUMMYFUNCTION("""COMPUTED_VALUE"""),"exposition")</f>
        <v>exposition</v>
      </c>
      <c r="M1131" s="6"/>
      <c r="P1131" s="6" t="str">
        <f>IFERROR(__xludf.DUMMYFUNCTION("""COMPUTED_VALUE"""),"advantage")</f>
        <v>advantage</v>
      </c>
      <c r="Q1131" s="6" t="str">
        <f>IFERROR(__xludf.DUMMYFUNCTION("""COMPUTED_VALUE"""),"abandon")</f>
        <v>abandon</v>
      </c>
      <c r="S1131" s="6" t="str">
        <f>IFERROR(__xludf.DUMMYFUNCTION("""COMPUTED_VALUE"""),"seemingly")</f>
        <v>seemingly</v>
      </c>
    </row>
    <row r="1132">
      <c r="D1132" s="6"/>
      <c r="H1132" s="6" t="str">
        <f>IFERROR(__xludf.DUMMYFUNCTION("""COMPUTED_VALUE"""),"operational")</f>
        <v>operational</v>
      </c>
      <c r="I1132" s="6" t="str">
        <f>IFERROR(__xludf.DUMMYFUNCTION("""COMPUTED_VALUE"""),"generations")</f>
        <v>generations</v>
      </c>
      <c r="J1132" s="6" t="str">
        <f>IFERROR(__xludf.DUMMYFUNCTION("""COMPUTED_VALUE"""),"losing")</f>
        <v>losing</v>
      </c>
      <c r="M1132" s="6"/>
      <c r="P1132" s="6" t="str">
        <f>IFERROR(__xludf.DUMMYFUNCTION("""COMPUTED_VALUE"""),"happens")</f>
        <v>happens</v>
      </c>
      <c r="Q1132" s="6" t="str">
        <f>IFERROR(__xludf.DUMMYFUNCTION("""COMPUTED_VALUE"""),"stephen")</f>
        <v>stephen</v>
      </c>
      <c r="S1132" s="6" t="str">
        <f>IFERROR(__xludf.DUMMYFUNCTION("""COMPUTED_VALUE"""),"boys")</f>
        <v>boys</v>
      </c>
    </row>
    <row r="1133">
      <c r="D1133" s="6"/>
      <c r="H1133" s="6" t="str">
        <f>IFERROR(__xludf.DUMMYFUNCTION("""COMPUTED_VALUE"""),"vague")</f>
        <v>vague</v>
      </c>
      <c r="I1133" s="6" t="str">
        <f>IFERROR(__xludf.DUMMYFUNCTION("""COMPUTED_VALUE"""),"blues")</f>
        <v>blues</v>
      </c>
      <c r="J1133" s="6" t="str">
        <f>IFERROR(__xludf.DUMMYFUNCTION("""COMPUTED_VALUE"""),"chemistry")</f>
        <v>chemistry</v>
      </c>
      <c r="M1133" s="6"/>
      <c r="P1133" s="6">
        <f>IFERROR(__xludf.DUMMYFUNCTION("""COMPUTED_VALUE"""),1899.0)</f>
        <v>1899</v>
      </c>
      <c r="Q1133" s="6" t="str">
        <f>IFERROR(__xludf.DUMMYFUNCTION("""COMPUTED_VALUE"""),"richer")</f>
        <v>richer</v>
      </c>
      <c r="S1133" s="6" t="str">
        <f>IFERROR(__xludf.DUMMYFUNCTION("""COMPUTED_VALUE"""),"naturally")</f>
        <v>naturally</v>
      </c>
    </row>
    <row r="1134">
      <c r="D1134" s="6"/>
      <c r="H1134" s="6" t="str">
        <f>IFERROR(__xludf.DUMMYFUNCTION("""COMPUTED_VALUE"""),"cult")</f>
        <v>cult</v>
      </c>
      <c r="I1134" s="6" t="str">
        <f>IFERROR(__xludf.DUMMYFUNCTION("""COMPUTED_VALUE"""),"refers")</f>
        <v>refers</v>
      </c>
      <c r="J1134" s="6" t="str">
        <f>IFERROR(__xludf.DUMMYFUNCTION("""COMPUTED_VALUE"""),"concludes")</f>
        <v>concludes</v>
      </c>
      <c r="M1134" s="6"/>
      <c r="P1134" s="6" t="str">
        <f>IFERROR(__xludf.DUMMYFUNCTION("""COMPUTED_VALUE"""),"tactics")</f>
        <v>tactics</v>
      </c>
      <c r="Q1134" s="6" t="str">
        <f>IFERROR(__xludf.DUMMYFUNCTION("""COMPUTED_VALUE"""),"randolph")</f>
        <v>randolph</v>
      </c>
      <c r="S1134" s="6" t="str">
        <f>IFERROR(__xludf.DUMMYFUNCTION("""COMPUTED_VALUE"""),"springs")</f>
        <v>springs</v>
      </c>
    </row>
    <row r="1135">
      <c r="D1135" s="6"/>
      <c r="H1135" s="6" t="str">
        <f>IFERROR(__xludf.DUMMYFUNCTION("""COMPUTED_VALUE"""),"undone")</f>
        <v>undone</v>
      </c>
      <c r="I1135" s="6" t="str">
        <f>IFERROR(__xludf.DUMMYFUNCTION("""COMPUTED_VALUE"""),"shadows")</f>
        <v>shadows</v>
      </c>
      <c r="J1135" s="6" t="str">
        <f>IFERROR(__xludf.DUMMYFUNCTION("""COMPUTED_VALUE"""),"control")</f>
        <v>control</v>
      </c>
      <c r="M1135" s="6"/>
      <c r="P1135" s="6" t="str">
        <f>IFERROR(__xludf.DUMMYFUNCTION("""COMPUTED_VALUE"""),"campus")</f>
        <v>campus</v>
      </c>
      <c r="Q1135" s="6" t="str">
        <f>IFERROR(__xludf.DUMMYFUNCTION("""COMPUTED_VALUE"""),"publishing")</f>
        <v>publishing</v>
      </c>
      <c r="S1135" s="6" t="str">
        <f>IFERROR(__xludf.DUMMYFUNCTION("""COMPUTED_VALUE"""),"siege")</f>
        <v>siege</v>
      </c>
    </row>
    <row r="1136">
      <c r="D1136" s="6"/>
      <c r="H1136" s="6" t="str">
        <f>IFERROR(__xludf.DUMMYFUNCTION("""COMPUTED_VALUE"""),"inspiration")</f>
        <v>inspiration</v>
      </c>
      <c r="I1136" s="6" t="str">
        <f>IFERROR(__xludf.DUMMYFUNCTION("""COMPUTED_VALUE"""),"hitler")</f>
        <v>hitler</v>
      </c>
      <c r="J1136" s="6" t="str">
        <f>IFERROR(__xludf.DUMMYFUNCTION("""COMPUTED_VALUE"""),"willis")</f>
        <v>willis</v>
      </c>
      <c r="M1136" s="6"/>
      <c r="P1136" s="6" t="str">
        <f>IFERROR(__xludf.DUMMYFUNCTION("""COMPUTED_VALUE"""),"blanket")</f>
        <v>blanket</v>
      </c>
      <c r="Q1136" s="6" t="str">
        <f>IFERROR(__xludf.DUMMYFUNCTION("""COMPUTED_VALUE"""),"hearst")</f>
        <v>hearst</v>
      </c>
      <c r="S1136" s="6" t="str">
        <f>IFERROR(__xludf.DUMMYFUNCTION("""COMPUTED_VALUE"""),"area")</f>
        <v>area</v>
      </c>
    </row>
    <row r="1137">
      <c r="D1137" s="6"/>
      <c r="H1137" s="6" t="str">
        <f>IFERROR(__xludf.DUMMYFUNCTION("""COMPUTED_VALUE"""),"nicholson")</f>
        <v>nicholson</v>
      </c>
      <c r="I1137" s="6" t="str">
        <f>IFERROR(__xludf.DUMMYFUNCTION("""COMPUTED_VALUE"""),"writings")</f>
        <v>writings</v>
      </c>
      <c r="J1137" s="6" t="str">
        <f>IFERROR(__xludf.DUMMYFUNCTION("""COMPUTED_VALUE"""),"creators")</f>
        <v>creators</v>
      </c>
      <c r="M1137" s="6"/>
      <c r="P1137" s="6" t="str">
        <f>IFERROR(__xludf.DUMMYFUNCTION("""COMPUTED_VALUE"""),"evening")</f>
        <v>evening</v>
      </c>
      <c r="Q1137" s="6" t="str">
        <f>IFERROR(__xludf.DUMMYFUNCTION("""COMPUTED_VALUE"""),"welles")</f>
        <v>welles</v>
      </c>
      <c r="S1137" s="6" t="str">
        <f>IFERROR(__xludf.DUMMYFUNCTION("""COMPUTED_VALUE"""),"imagined")</f>
        <v>imagined</v>
      </c>
    </row>
    <row r="1138">
      <c r="D1138" s="6"/>
      <c r="H1138" s="6" t="str">
        <f>IFERROR(__xludf.DUMMYFUNCTION("""COMPUTED_VALUE"""),"awareness")</f>
        <v>awareness</v>
      </c>
      <c r="I1138" s="6" t="str">
        <f>IFERROR(__xludf.DUMMYFUNCTION("""COMPUTED_VALUE"""),"thirteen")</f>
        <v>thirteen</v>
      </c>
      <c r="J1138" s="6" t="str">
        <f>IFERROR(__xludf.DUMMYFUNCTION("""COMPUTED_VALUE"""),"slap")</f>
        <v>slap</v>
      </c>
      <c r="M1138" s="6"/>
      <c r="P1138" s="6" t="str">
        <f>IFERROR(__xludf.DUMMYFUNCTION("""COMPUTED_VALUE"""),"awkward")</f>
        <v>awkward</v>
      </c>
      <c r="Q1138" s="6" t="str">
        <f>IFERROR(__xludf.DUMMYFUNCTION("""COMPUTED_VALUE"""),"william")</f>
        <v>william</v>
      </c>
      <c r="S1138" s="6" t="str">
        <f>IFERROR(__xludf.DUMMYFUNCTION("""COMPUTED_VALUE"""),"neil")</f>
        <v>neil</v>
      </c>
    </row>
    <row r="1139">
      <c r="D1139" s="6"/>
      <c r="H1139" s="6" t="str">
        <f>IFERROR(__xludf.DUMMYFUNCTION("""COMPUTED_VALUE"""),"mortal")</f>
        <v>mortal</v>
      </c>
      <c r="I1139" s="6" t="str">
        <f>IFERROR(__xludf.DUMMYFUNCTION("""COMPUTED_VALUE"""),"raymond")</f>
        <v>raymond</v>
      </c>
      <c r="J1139" s="6" t="str">
        <f>IFERROR(__xludf.DUMMYFUNCTION("""COMPUTED_VALUE"""),"doomed")</f>
        <v>doomed</v>
      </c>
      <c r="M1139" s="6"/>
      <c r="P1139" s="6" t="str">
        <f>IFERROR(__xludf.DUMMYFUNCTION("""COMPUTED_VALUE"""),"fairy")</f>
        <v>fairy</v>
      </c>
      <c r="Q1139" s="6" t="str">
        <f>IFERROR(__xludf.DUMMYFUNCTION("""COMPUTED_VALUE"""),"wicked")</f>
        <v>wicked</v>
      </c>
      <c r="S1139" s="6" t="str">
        <f>IFERROR(__xludf.DUMMYFUNCTION("""COMPUTED_VALUE"""),"christopher")</f>
        <v>christopher</v>
      </c>
    </row>
    <row r="1140">
      <c r="D1140" s="6"/>
      <c r="H1140" s="6" t="str">
        <f>IFERROR(__xludf.DUMMYFUNCTION("""COMPUTED_VALUE"""),"intent")</f>
        <v>intent</v>
      </c>
      <c r="I1140" s="6" t="str">
        <f>IFERROR(__xludf.DUMMYFUNCTION("""COMPUTED_VALUE"""),"diversity")</f>
        <v>diversity</v>
      </c>
      <c r="J1140" s="6" t="str">
        <f>IFERROR(__xludf.DUMMYFUNCTION("""COMPUTED_VALUE"""),"weep")</f>
        <v>weep</v>
      </c>
      <c r="M1140" s="6"/>
      <c r="P1140" s="6" t="str">
        <f>IFERROR(__xludf.DUMMYFUNCTION("""COMPUTED_VALUE"""),"alabama")</f>
        <v>alabama</v>
      </c>
      <c r="Q1140" s="6" t="str">
        <f>IFERROR(__xludf.DUMMYFUNCTION("""COMPUTED_VALUE"""),"hollow")</f>
        <v>hollow</v>
      </c>
      <c r="S1140" s="6" t="str">
        <f>IFERROR(__xludf.DUMMYFUNCTION("""COMPUTED_VALUE"""),"direct")</f>
        <v>direct</v>
      </c>
    </row>
    <row r="1141">
      <c r="D1141" s="6"/>
      <c r="H1141" s="6" t="str">
        <f>IFERROR(__xludf.DUMMYFUNCTION("""COMPUTED_VALUE"""),"creeping")</f>
        <v>creeping</v>
      </c>
      <c r="I1141" s="6" t="str">
        <f>IFERROR(__xludf.DUMMYFUNCTION("""COMPUTED_VALUE"""),"trials")</f>
        <v>trials</v>
      </c>
      <c r="J1141" s="6" t="str">
        <f>IFERROR(__xludf.DUMMYFUNCTION("""COMPUTED_VALUE"""),"norton")</f>
        <v>norton</v>
      </c>
      <c r="M1141" s="6"/>
      <c r="P1141" s="6" t="str">
        <f>IFERROR(__xludf.DUMMYFUNCTION("""COMPUTED_VALUE"""),"executive")</f>
        <v>executive</v>
      </c>
      <c r="Q1141" s="6" t="str">
        <f>IFERROR(__xludf.DUMMYFUNCTION("""COMPUTED_VALUE"""),"tops")</f>
        <v>tops</v>
      </c>
      <c r="S1141" s="6" t="str">
        <f>IFERROR(__xludf.DUMMYFUNCTION("""COMPUTED_VALUE"""),"scores")</f>
        <v>scores</v>
      </c>
    </row>
    <row r="1142">
      <c r="D1142" s="6"/>
      <c r="H1142" s="6" t="str">
        <f>IFERROR(__xludf.DUMMYFUNCTION("""COMPUTED_VALUE"""),"swear")</f>
        <v>swear</v>
      </c>
      <c r="I1142" s="6" t="str">
        <f>IFERROR(__xludf.DUMMYFUNCTION("""COMPUTED_VALUE"""),"ace")</f>
        <v>ace</v>
      </c>
      <c r="J1142" s="6" t="str">
        <f>IFERROR(__xludf.DUMMYFUNCTION("""COMPUTED_VALUE"""),"illuminating")</f>
        <v>illuminating</v>
      </c>
      <c r="M1142" s="6"/>
      <c r="P1142" s="6" t="str">
        <f>IFERROR(__xludf.DUMMYFUNCTION("""COMPUTED_VALUE"""),"producer")</f>
        <v>producer</v>
      </c>
      <c r="Q1142" s="6" t="str">
        <f>IFERROR(__xludf.DUMMYFUNCTION("""COMPUTED_VALUE"""),"burning")</f>
        <v>burning</v>
      </c>
      <c r="S1142" s="6" t="str">
        <f>IFERROR(__xludf.DUMMYFUNCTION("""COMPUTED_VALUE"""),"mercy")</f>
        <v>mercy</v>
      </c>
    </row>
    <row r="1143">
      <c r="D1143" s="6"/>
      <c r="H1143" s="6" t="str">
        <f>IFERROR(__xludf.DUMMYFUNCTION("""COMPUTED_VALUE"""),"bursts")</f>
        <v>bursts</v>
      </c>
      <c r="I1143" s="6" t="str">
        <f>IFERROR(__xludf.DUMMYFUNCTION("""COMPUTED_VALUE"""),"imposed")</f>
        <v>imposed</v>
      </c>
      <c r="J1143" s="6" t="str">
        <f>IFERROR(__xludf.DUMMYFUNCTION("""COMPUTED_VALUE"""),"jonah")</f>
        <v>jonah</v>
      </c>
      <c r="M1143" s="6"/>
      <c r="P1143" s="6" t="str">
        <f>IFERROR(__xludf.DUMMYFUNCTION("""COMPUTED_VALUE"""),"encourage")</f>
        <v>encourage</v>
      </c>
      <c r="Q1143" s="6" t="str">
        <f>IFERROR(__xludf.DUMMYFUNCTION("""COMPUTED_VALUE"""),"unchanged")</f>
        <v>unchanged</v>
      </c>
      <c r="S1143" s="6" t="str">
        <f>IFERROR(__xludf.DUMMYFUNCTION("""COMPUTED_VALUE"""),"imagine")</f>
        <v>imagine</v>
      </c>
    </row>
    <row r="1144">
      <c r="D1144" s="6"/>
      <c r="H1144" s="6" t="str">
        <f>IFERROR(__xludf.DUMMYFUNCTION("""COMPUTED_VALUE"""),"distinctly")</f>
        <v>distinctly</v>
      </c>
      <c r="I1144" s="6" t="str">
        <f>IFERROR(__xludf.DUMMYFUNCTION("""COMPUTED_VALUE"""),"resources")</f>
        <v>resources</v>
      </c>
      <c r="J1144" s="6" t="str">
        <f>IFERROR(__xludf.DUMMYFUNCTION("""COMPUTED_VALUE"""),"freud")</f>
        <v>freud</v>
      </c>
      <c r="M1144" s="6"/>
      <c r="P1144" s="6" t="str">
        <f>IFERROR(__xludf.DUMMYFUNCTION("""COMPUTED_VALUE"""),"international")</f>
        <v>international</v>
      </c>
      <c r="Q1144" s="6" t="str">
        <f>IFERROR(__xludf.DUMMYFUNCTION("""COMPUTED_VALUE"""),"portrayed")</f>
        <v>portrayed</v>
      </c>
      <c r="S1144" s="6" t="str">
        <f>IFERROR(__xludf.DUMMYFUNCTION("""COMPUTED_VALUE"""),"harm")</f>
        <v>harm</v>
      </c>
    </row>
    <row r="1145">
      <c r="D1145" s="6"/>
      <c r="H1145" s="6" t="str">
        <f>IFERROR(__xludf.DUMMYFUNCTION("""COMPUTED_VALUE"""),"theories")</f>
        <v>theories</v>
      </c>
      <c r="I1145" s="6" t="str">
        <f>IFERROR(__xludf.DUMMYFUNCTION("""COMPUTED_VALUE"""),"triple")</f>
        <v>triple</v>
      </c>
      <c r="J1145" s="6" t="str">
        <f>IFERROR(__xludf.DUMMYFUNCTION("""COMPUTED_VALUE"""),"shining")</f>
        <v>shining</v>
      </c>
      <c r="M1145" s="6"/>
      <c r="P1145" s="6" t="str">
        <f>IFERROR(__xludf.DUMMYFUNCTION("""COMPUTED_VALUE"""),"prime")</f>
        <v>prime</v>
      </c>
      <c r="Q1145" s="6" t="str">
        <f>IFERROR(__xludf.DUMMYFUNCTION("""COMPUTED_VALUE"""),"groundbreaking")</f>
        <v>groundbreaking</v>
      </c>
      <c r="S1145" s="6" t="str">
        <f>IFERROR(__xludf.DUMMYFUNCTION("""COMPUTED_VALUE"""),"singer")</f>
        <v>singer</v>
      </c>
    </row>
    <row r="1146">
      <c r="D1146" s="6"/>
      <c r="H1146" s="6" t="str">
        <f>IFERROR(__xludf.DUMMYFUNCTION("""COMPUTED_VALUE"""),"ominous")</f>
        <v>ominous</v>
      </c>
      <c r="I1146" s="6" t="str">
        <f>IFERROR(__xludf.DUMMYFUNCTION("""COMPUTED_VALUE"""),"nuclear")</f>
        <v>nuclear</v>
      </c>
      <c r="J1146" s="6" t="str">
        <f>IFERROR(__xludf.DUMMYFUNCTION("""COMPUTED_VALUE"""),"static")</f>
        <v>static</v>
      </c>
      <c r="M1146" s="6"/>
      <c r="P1146" s="6" t="str">
        <f>IFERROR(__xludf.DUMMYFUNCTION("""COMPUTED_VALUE"""),"tales")</f>
        <v>tales</v>
      </c>
      <c r="Q1146" s="6" t="str">
        <f>IFERROR(__xludf.DUMMYFUNCTION("""COMPUTED_VALUE"""),"spectacular")</f>
        <v>spectacular</v>
      </c>
      <c r="S1146" s="6" t="str">
        <f>IFERROR(__xludf.DUMMYFUNCTION("""COMPUTED_VALUE"""),"rhythm")</f>
        <v>rhythm</v>
      </c>
    </row>
    <row r="1147">
      <c r="D1147" s="6"/>
      <c r="H1147" s="6" t="str">
        <f>IFERROR(__xludf.DUMMYFUNCTION("""COMPUTED_VALUE"""),"earthly")</f>
        <v>earthly</v>
      </c>
      <c r="I1147" s="6" t="str">
        <f>IFERROR(__xludf.DUMMYFUNCTION("""COMPUTED_VALUE"""),"dave")</f>
        <v>dave</v>
      </c>
      <c r="J1147" s="6" t="str">
        <f>IFERROR(__xludf.DUMMYFUNCTION("""COMPUTED_VALUE"""),"photographed")</f>
        <v>photographed</v>
      </c>
      <c r="M1147" s="6"/>
      <c r="P1147" s="6" t="str">
        <f>IFERROR(__xludf.DUMMYFUNCTION("""COMPUTED_VALUE"""),"deaths")</f>
        <v>deaths</v>
      </c>
      <c r="Q1147" s="6" t="str">
        <f>IFERROR(__xludf.DUMMYFUNCTION("""COMPUTED_VALUE"""),"musicals")</f>
        <v>musicals</v>
      </c>
      <c r="S1147" s="6" t="str">
        <f>IFERROR(__xludf.DUMMYFUNCTION("""COMPUTED_VALUE"""),"treat")</f>
        <v>treat</v>
      </c>
    </row>
    <row r="1148">
      <c r="D1148" s="6"/>
      <c r="H1148" s="6" t="str">
        <f>IFERROR(__xludf.DUMMYFUNCTION("""COMPUTED_VALUE"""),"myers")</f>
        <v>myers</v>
      </c>
      <c r="I1148" s="6" t="str">
        <f>IFERROR(__xludf.DUMMYFUNCTION("""COMPUTED_VALUE"""),"ram")</f>
        <v>ram</v>
      </c>
      <c r="J1148" s="6" t="str">
        <f>IFERROR(__xludf.DUMMYFUNCTION("""COMPUTED_VALUE"""),"mendes")</f>
        <v>mendes</v>
      </c>
      <c r="M1148" s="6"/>
      <c r="P1148" s="6" t="str">
        <f>IFERROR(__xludf.DUMMYFUNCTION("""COMPUTED_VALUE"""),"form")</f>
        <v>form</v>
      </c>
      <c r="Q1148" s="6">
        <f>IFERROR(__xludf.DUMMYFUNCTION("""COMPUTED_VALUE"""),30.0)</f>
        <v>30</v>
      </c>
      <c r="S1148" s="6" t="str">
        <f>IFERROR(__xludf.DUMMYFUNCTION("""COMPUTED_VALUE"""),"within")</f>
        <v>within</v>
      </c>
    </row>
    <row r="1149">
      <c r="D1149" s="6"/>
      <c r="H1149" s="6" t="str">
        <f>IFERROR(__xludf.DUMMYFUNCTION("""COMPUTED_VALUE"""),"counterparts")</f>
        <v>counterparts</v>
      </c>
      <c r="I1149" s="6" t="str">
        <f>IFERROR(__xludf.DUMMYFUNCTION("""COMPUTED_VALUE"""),"illustrated")</f>
        <v>illustrated</v>
      </c>
      <c r="J1149" s="6" t="str">
        <f>IFERROR(__xludf.DUMMYFUNCTION("""COMPUTED_VALUE"""),"unprecedented")</f>
        <v>unprecedented</v>
      </c>
      <c r="M1149" s="6"/>
      <c r="P1149" s="6" t="str">
        <f>IFERROR(__xludf.DUMMYFUNCTION("""COMPUTED_VALUE"""),"photo")</f>
        <v>photo</v>
      </c>
      <c r="Q1149" s="6" t="str">
        <f>IFERROR(__xludf.DUMMYFUNCTION("""COMPUTED_VALUE"""),"sensual")</f>
        <v>sensual</v>
      </c>
      <c r="S1149" s="6" t="str">
        <f>IFERROR(__xludf.DUMMYFUNCTION("""COMPUTED_VALUE"""),"bitter")</f>
        <v>bitter</v>
      </c>
    </row>
    <row r="1150">
      <c r="D1150" s="6"/>
      <c r="H1150" s="6" t="str">
        <f>IFERROR(__xludf.DUMMYFUNCTION("""COMPUTED_VALUE"""),"schizophrenia")</f>
        <v>schizophrenia</v>
      </c>
      <c r="I1150" s="6" t="str">
        <f>IFERROR(__xludf.DUMMYFUNCTION("""COMPUTED_VALUE"""),"vampires")</f>
        <v>vampires</v>
      </c>
      <c r="J1150" s="6" t="str">
        <f>IFERROR(__xludf.DUMMYFUNCTION("""COMPUTED_VALUE"""),"drawing")</f>
        <v>drawing</v>
      </c>
      <c r="M1150" s="6"/>
      <c r="P1150" s="6" t="str">
        <f>IFERROR(__xludf.DUMMYFUNCTION("""COMPUTED_VALUE"""),"missed")</f>
        <v>missed</v>
      </c>
      <c r="Q1150" s="6" t="str">
        <f>IFERROR(__xludf.DUMMYFUNCTION("""COMPUTED_VALUE"""),"updated")</f>
        <v>updated</v>
      </c>
      <c r="S1150" s="6" t="str">
        <f>IFERROR(__xludf.DUMMYFUNCTION("""COMPUTED_VALUE"""),"elder")</f>
        <v>elder</v>
      </c>
    </row>
    <row r="1151">
      <c r="D1151" s="6"/>
      <c r="H1151" s="6" t="str">
        <f>IFERROR(__xludf.DUMMYFUNCTION("""COMPUTED_VALUE"""),"captured")</f>
        <v>captured</v>
      </c>
      <c r="I1151" s="6" t="str">
        <f>IFERROR(__xludf.DUMMYFUNCTION("""COMPUTED_VALUE"""),"lyrics")</f>
        <v>lyrics</v>
      </c>
      <c r="J1151" s="6" t="str">
        <f>IFERROR(__xludf.DUMMYFUNCTION("""COMPUTED_VALUE"""),"arbitrary")</f>
        <v>arbitrary</v>
      </c>
      <c r="M1151" s="6"/>
      <c r="P1151" s="6" t="str">
        <f>IFERROR(__xludf.DUMMYFUNCTION("""COMPUTED_VALUE"""),"refugees")</f>
        <v>refugees</v>
      </c>
      <c r="Q1151" s="6" t="str">
        <f>IFERROR(__xludf.DUMMYFUNCTION("""COMPUTED_VALUE"""),"cerebral")</f>
        <v>cerebral</v>
      </c>
      <c r="S1151" s="6" t="str">
        <f>IFERROR(__xludf.DUMMYFUNCTION("""COMPUTED_VALUE"""),"hughes")</f>
        <v>hughes</v>
      </c>
    </row>
    <row r="1152">
      <c r="D1152" s="6"/>
      <c r="H1152" s="6" t="str">
        <f>IFERROR(__xludf.DUMMYFUNCTION("""COMPUTED_VALUE"""),"warfare")</f>
        <v>warfare</v>
      </c>
      <c r="I1152" s="6" t="str">
        <f>IFERROR(__xludf.DUMMYFUNCTION("""COMPUTED_VALUE"""),"australia")</f>
        <v>australia</v>
      </c>
      <c r="J1152" s="6" t="str">
        <f>IFERROR(__xludf.DUMMYFUNCTION("""COMPUTED_VALUE"""),"darkly")</f>
        <v>darkly</v>
      </c>
      <c r="M1152" s="6"/>
      <c r="P1152" s="6" t="str">
        <f>IFERROR(__xludf.DUMMYFUNCTION("""COMPUTED_VALUE"""),"age")</f>
        <v>age</v>
      </c>
      <c r="Q1152" s="6" t="str">
        <f>IFERROR(__xludf.DUMMYFUNCTION("""COMPUTED_VALUE"""),"forwards")</f>
        <v>forwards</v>
      </c>
      <c r="S1152" s="6" t="str">
        <f>IFERROR(__xludf.DUMMYFUNCTION("""COMPUTED_VALUE"""),"afraid")</f>
        <v>afraid</v>
      </c>
    </row>
    <row r="1153">
      <c r="D1153" s="6"/>
      <c r="H1153" s="6" t="str">
        <f>IFERROR(__xludf.DUMMYFUNCTION("""COMPUTED_VALUE"""),"lets")</f>
        <v>lets</v>
      </c>
      <c r="I1153" s="6" t="str">
        <f>IFERROR(__xludf.DUMMYFUNCTION("""COMPUTED_VALUE"""),"assets")</f>
        <v>assets</v>
      </c>
      <c r="J1153" s="6" t="str">
        <f>IFERROR(__xludf.DUMMYFUNCTION("""COMPUTED_VALUE"""),"accurate")</f>
        <v>accurate</v>
      </c>
      <c r="M1153" s="6"/>
      <c r="P1153" s="6" t="str">
        <f>IFERROR(__xludf.DUMMYFUNCTION("""COMPUTED_VALUE"""),"alien")</f>
        <v>alien</v>
      </c>
      <c r="Q1153" s="6" t="str">
        <f>IFERROR(__xludf.DUMMYFUNCTION("""COMPUTED_VALUE"""),"prism")</f>
        <v>prism</v>
      </c>
      <c r="S1153" s="6" t="str">
        <f>IFERROR(__xludf.DUMMYFUNCTION("""COMPUTED_VALUE"""),"terror")</f>
        <v>terror</v>
      </c>
    </row>
    <row r="1154">
      <c r="D1154" s="6"/>
      <c r="H1154" s="6" t="str">
        <f>IFERROR(__xludf.DUMMYFUNCTION("""COMPUTED_VALUE"""),"primarily")</f>
        <v>primarily</v>
      </c>
      <c r="I1154" s="6"/>
      <c r="J1154" s="6" t="str">
        <f>IFERROR(__xludf.DUMMYFUNCTION("""COMPUTED_VALUE"""),"relevance")</f>
        <v>relevance</v>
      </c>
      <c r="M1154" s="6"/>
      <c r="P1154" s="6" t="str">
        <f>IFERROR(__xludf.DUMMYFUNCTION("""COMPUTED_VALUE"""),"quest")</f>
        <v>quest</v>
      </c>
      <c r="Q1154" s="6" t="str">
        <f>IFERROR(__xludf.DUMMYFUNCTION("""COMPUTED_VALUE"""),"inherently")</f>
        <v>inherently</v>
      </c>
      <c r="S1154" s="6" t="str">
        <f>IFERROR(__xludf.DUMMYFUNCTION("""COMPUTED_VALUE"""),"stop")</f>
        <v>stop</v>
      </c>
    </row>
    <row r="1155">
      <c r="D1155" s="6"/>
      <c r="H1155" s="6" t="str">
        <f>IFERROR(__xludf.DUMMYFUNCTION("""COMPUTED_VALUE"""),"brendan")</f>
        <v>brendan</v>
      </c>
      <c r="I1155" s="6"/>
      <c r="J1155" s="6" t="str">
        <f>IFERROR(__xludf.DUMMYFUNCTION("""COMPUTED_VALUE"""),"derived")</f>
        <v>derived</v>
      </c>
      <c r="M1155" s="6"/>
      <c r="P1155" s="6" t="str">
        <f>IFERROR(__xludf.DUMMYFUNCTION("""COMPUTED_VALUE"""),"substantial")</f>
        <v>substantial</v>
      </c>
      <c r="Q1155" s="6" t="str">
        <f>IFERROR(__xludf.DUMMYFUNCTION("""COMPUTED_VALUE"""),"innocent")</f>
        <v>innocent</v>
      </c>
      <c r="S1155" s="6" t="str">
        <f>IFERROR(__xludf.DUMMYFUNCTION("""COMPUTED_VALUE"""),"occasional")</f>
        <v>occasional</v>
      </c>
    </row>
    <row r="1156">
      <c r="D1156" s="6"/>
      <c r="H1156" s="6" t="str">
        <f>IFERROR(__xludf.DUMMYFUNCTION("""COMPUTED_VALUE"""),"tuned")</f>
        <v>tuned</v>
      </c>
      <c r="I1156" s="6"/>
      <c r="J1156" s="6" t="str">
        <f>IFERROR(__xludf.DUMMYFUNCTION("""COMPUTED_VALUE"""),"victims")</f>
        <v>victims</v>
      </c>
      <c r="M1156" s="6"/>
      <c r="P1156" s="6" t="str">
        <f>IFERROR(__xludf.DUMMYFUNCTION("""COMPUTED_VALUE"""),"varying")</f>
        <v>varying</v>
      </c>
      <c r="Q1156" s="6" t="str">
        <f>IFERROR(__xludf.DUMMYFUNCTION("""COMPUTED_VALUE"""),"betrayal")</f>
        <v>betrayal</v>
      </c>
      <c r="S1156" s="6" t="str">
        <f>IFERROR(__xludf.DUMMYFUNCTION("""COMPUTED_VALUE"""),"smiles")</f>
        <v>smiles</v>
      </c>
    </row>
    <row r="1157">
      <c r="D1157" s="6"/>
      <c r="H1157" s="6" t="str">
        <f>IFERROR(__xludf.DUMMYFUNCTION("""COMPUTED_VALUE"""),"raises")</f>
        <v>raises</v>
      </c>
      <c r="I1157" s="6"/>
      <c r="J1157" s="6" t="str">
        <f>IFERROR(__xludf.DUMMYFUNCTION("""COMPUTED_VALUE"""),"proceedings")</f>
        <v>proceedings</v>
      </c>
      <c r="M1157" s="6"/>
      <c r="P1157" s="6" t="str">
        <f>IFERROR(__xludf.DUMMYFUNCTION("""COMPUTED_VALUE"""),"carries")</f>
        <v>carries</v>
      </c>
      <c r="Q1157" s="6" t="str">
        <f>IFERROR(__xludf.DUMMYFUNCTION("""COMPUTED_VALUE"""),"panic")</f>
        <v>panic</v>
      </c>
      <c r="S1157" s="6" t="str">
        <f>IFERROR(__xludf.DUMMYFUNCTION("""COMPUTED_VALUE"""),"san")</f>
        <v>san</v>
      </c>
    </row>
    <row r="1158">
      <c r="D1158" s="6"/>
      <c r="H1158" s="6" t="str">
        <f>IFERROR(__xludf.DUMMYFUNCTION("""COMPUTED_VALUE"""),"delivering")</f>
        <v>delivering</v>
      </c>
      <c r="I1158" s="6"/>
      <c r="J1158" s="6" t="str">
        <f>IFERROR(__xludf.DUMMYFUNCTION("""COMPUTED_VALUE"""),"solemn")</f>
        <v>solemn</v>
      </c>
      <c r="M1158" s="6"/>
      <c r="P1158" s="6" t="str">
        <f>IFERROR(__xludf.DUMMYFUNCTION("""COMPUTED_VALUE"""),"oliver")</f>
        <v>oliver</v>
      </c>
      <c r="Q1158" s="6" t="str">
        <f>IFERROR(__xludf.DUMMYFUNCTION("""COMPUTED_VALUE"""),"glued")</f>
        <v>glued</v>
      </c>
      <c r="S1158" s="6" t="str">
        <f>IFERROR(__xludf.DUMMYFUNCTION("""COMPUTED_VALUE"""),"naval")</f>
        <v>naval</v>
      </c>
    </row>
    <row r="1159">
      <c r="D1159" s="6"/>
      <c r="H1159" s="6" t="str">
        <f>IFERROR(__xludf.DUMMYFUNCTION("""COMPUTED_VALUE"""),"brink")</f>
        <v>brink</v>
      </c>
      <c r="I1159" s="6"/>
      <c r="J1159" s="6" t="str">
        <f>IFERROR(__xludf.DUMMYFUNCTION("""COMPUTED_VALUE"""),"soldiers")</f>
        <v>soldiers</v>
      </c>
      <c r="M1159" s="6"/>
      <c r="P1159" s="6" t="str">
        <f>IFERROR(__xludf.DUMMYFUNCTION("""COMPUTED_VALUE"""),"dressed")</f>
        <v>dressed</v>
      </c>
      <c r="Q1159" s="6" t="str">
        <f>IFERROR(__xludf.DUMMYFUNCTION("""COMPUTED_VALUE"""),"manage")</f>
        <v>manage</v>
      </c>
      <c r="S1159" s="6" t="str">
        <f>IFERROR(__xludf.DUMMYFUNCTION("""COMPUTED_VALUE"""),"personnel")</f>
        <v>personnel</v>
      </c>
    </row>
    <row r="1160">
      <c r="D1160" s="6"/>
      <c r="H1160" s="6" t="str">
        <f>IFERROR(__xludf.DUMMYFUNCTION("""COMPUTED_VALUE"""),"thick")</f>
        <v>thick</v>
      </c>
      <c r="I1160" s="6"/>
      <c r="J1160" s="6" t="str">
        <f>IFERROR(__xludf.DUMMYFUNCTION("""COMPUTED_VALUE"""),"lawrence")</f>
        <v>lawrence</v>
      </c>
      <c r="M1160" s="6"/>
      <c r="P1160" s="6" t="str">
        <f>IFERROR(__xludf.DUMMYFUNCTION("""COMPUTED_VALUE"""),"ready")</f>
        <v>ready</v>
      </c>
      <c r="Q1160" s="6" t="str">
        <f>IFERROR(__xludf.DUMMYFUNCTION("""COMPUTED_VALUE"""),"pow")</f>
        <v>pow</v>
      </c>
      <c r="S1160" s="6" t="str">
        <f>IFERROR(__xludf.DUMMYFUNCTION("""COMPUTED_VALUE"""),"surely")</f>
        <v>surely</v>
      </c>
    </row>
    <row r="1161">
      <c r="D1161" s="6"/>
      <c r="H1161" s="6" t="str">
        <f>IFERROR(__xludf.DUMMYFUNCTION("""COMPUTED_VALUE"""),"anguish")</f>
        <v>anguish</v>
      </c>
      <c r="I1161" s="6"/>
      <c r="J1161" s="6" t="str">
        <f>IFERROR(__xludf.DUMMYFUNCTION("""COMPUTED_VALUE"""),"textbook")</f>
        <v>textbook</v>
      </c>
      <c r="M1161" s="6"/>
      <c r="P1161" s="6" t="str">
        <f>IFERROR(__xludf.DUMMYFUNCTION("""COMPUTED_VALUE"""),"exposition")</f>
        <v>exposition</v>
      </c>
      <c r="Q1161" s="6" t="str">
        <f>IFERROR(__xludf.DUMMYFUNCTION("""COMPUTED_VALUE"""),"sick")</f>
        <v>sick</v>
      </c>
      <c r="S1161" s="6" t="str">
        <f>IFERROR(__xludf.DUMMYFUNCTION("""COMPUTED_VALUE"""),"trailer")</f>
        <v>trailer</v>
      </c>
    </row>
    <row r="1162">
      <c r="D1162" s="6"/>
      <c r="H1162" s="6" t="str">
        <f>IFERROR(__xludf.DUMMYFUNCTION("""COMPUTED_VALUE"""),"elusive")</f>
        <v>elusive</v>
      </c>
      <c r="I1162" s="6"/>
      <c r="J1162" s="6" t="str">
        <f>IFERROR(__xludf.DUMMYFUNCTION("""COMPUTED_VALUE"""),"tied")</f>
        <v>tied</v>
      </c>
      <c r="M1162" s="6"/>
      <c r="P1162" s="6" t="str">
        <f>IFERROR(__xludf.DUMMYFUNCTION("""COMPUTED_VALUE"""),"directly")</f>
        <v>directly</v>
      </c>
      <c r="Q1162" s="6" t="str">
        <f>IFERROR(__xludf.DUMMYFUNCTION("""COMPUTED_VALUE"""),"odds")</f>
        <v>odds</v>
      </c>
      <c r="S1162" s="6" t="str">
        <f>IFERROR(__xludf.DUMMYFUNCTION("""COMPUTED_VALUE"""),"elaborate")</f>
        <v>elaborate</v>
      </c>
    </row>
    <row r="1163">
      <c r="D1163" s="6"/>
      <c r="H1163" s="6" t="str">
        <f>IFERROR(__xludf.DUMMYFUNCTION("""COMPUTED_VALUE"""),"radical")</f>
        <v>radical</v>
      </c>
      <c r="I1163" s="6"/>
      <c r="J1163" s="6" t="str">
        <f>IFERROR(__xludf.DUMMYFUNCTION("""COMPUTED_VALUE"""),"operatic")</f>
        <v>operatic</v>
      </c>
      <c r="M1163" s="6"/>
      <c r="P1163" s="6" t="str">
        <f>IFERROR(__xludf.DUMMYFUNCTION("""COMPUTED_VALUE"""),"chemistry")</f>
        <v>chemistry</v>
      </c>
      <c r="Q1163" s="6" t="str">
        <f>IFERROR(__xludf.DUMMYFUNCTION("""COMPUTED_VALUE"""),"jolly")</f>
        <v>jolly</v>
      </c>
      <c r="S1163" s="6" t="str">
        <f>IFERROR(__xludf.DUMMYFUNCTION("""COMPUTED_VALUE"""),"pit")</f>
        <v>pit</v>
      </c>
    </row>
    <row r="1164">
      <c r="D1164" s="6"/>
      <c r="H1164" s="6" t="str">
        <f>IFERROR(__xludf.DUMMYFUNCTION("""COMPUTED_VALUE"""),"sterling")</f>
        <v>sterling</v>
      </c>
      <c r="I1164" s="6"/>
      <c r="J1164" s="6" t="str">
        <f>IFERROR(__xludf.DUMMYFUNCTION("""COMPUTED_VALUE"""),"limbs")</f>
        <v>limbs</v>
      </c>
      <c r="M1164" s="6"/>
      <c r="P1164" s="6" t="str">
        <f>IFERROR(__xludf.DUMMYFUNCTION("""COMPUTED_VALUE"""),"dawn")</f>
        <v>dawn</v>
      </c>
      <c r="Q1164" s="6" t="str">
        <f>IFERROR(__xludf.DUMMYFUNCTION("""COMPUTED_VALUE"""),"broadway")</f>
        <v>broadway</v>
      </c>
      <c r="S1164" s="6" t="str">
        <f>IFERROR(__xludf.DUMMYFUNCTION("""COMPUTED_VALUE"""),"corner")</f>
        <v>corner</v>
      </c>
    </row>
    <row r="1165">
      <c r="D1165" s="6"/>
      <c r="H1165" s="6" t="str">
        <f>IFERROR(__xludf.DUMMYFUNCTION("""COMPUTED_VALUE"""),"thrusts")</f>
        <v>thrusts</v>
      </c>
      <c r="I1165" s="6"/>
      <c r="J1165" s="6" t="str">
        <f>IFERROR(__xludf.DUMMYFUNCTION("""COMPUTED_VALUE"""),"suspend")</f>
        <v>suspend</v>
      </c>
      <c r="M1165" s="6"/>
      <c r="P1165" s="6" t="str">
        <f>IFERROR(__xludf.DUMMYFUNCTION("""COMPUTED_VALUE"""),"meaning")</f>
        <v>meaning</v>
      </c>
      <c r="Q1165" s="6" t="str">
        <f>IFERROR(__xludf.DUMMYFUNCTION("""COMPUTED_VALUE"""),"occupation")</f>
        <v>occupation</v>
      </c>
      <c r="S1165" s="6" t="str">
        <f>IFERROR(__xludf.DUMMYFUNCTION("""COMPUTED_VALUE"""),"circuit")</f>
        <v>circuit</v>
      </c>
    </row>
    <row r="1166">
      <c r="D1166" s="6"/>
      <c r="H1166" s="6" t="str">
        <f>IFERROR(__xludf.DUMMYFUNCTION("""COMPUTED_VALUE"""),"backbone")</f>
        <v>backbone</v>
      </c>
      <c r="I1166" s="6"/>
      <c r="J1166" s="6" t="str">
        <f>IFERROR(__xludf.DUMMYFUNCTION("""COMPUTED_VALUE"""),"disbelief")</f>
        <v>disbelief</v>
      </c>
      <c r="M1166" s="6"/>
      <c r="P1166" s="6" t="str">
        <f>IFERROR(__xludf.DUMMYFUNCTION("""COMPUTED_VALUE"""),"patch")</f>
        <v>patch</v>
      </c>
      <c r="Q1166" s="6" t="str">
        <f>IFERROR(__xludf.DUMMYFUNCTION("""COMPUTED_VALUE"""),"cares")</f>
        <v>cares</v>
      </c>
      <c r="S1166" s="6" t="str">
        <f>IFERROR(__xludf.DUMMYFUNCTION("""COMPUTED_VALUE"""),"shop")</f>
        <v>shop</v>
      </c>
    </row>
    <row r="1167">
      <c r="D1167" s="6"/>
      <c r="H1167" s="6">
        <f>IFERROR(__xludf.DUMMYFUNCTION("""COMPUTED_VALUE"""),1993.0)</f>
        <v>1993</v>
      </c>
      <c r="I1167" s="6"/>
      <c r="J1167" s="6" t="str">
        <f>IFERROR(__xludf.DUMMYFUNCTION("""COMPUTED_VALUE"""),"honesty")</f>
        <v>honesty</v>
      </c>
      <c r="M1167" s="6"/>
      <c r="P1167" s="6" t="str">
        <f>IFERROR(__xludf.DUMMYFUNCTION("""COMPUTED_VALUE"""),"bruce")</f>
        <v>bruce</v>
      </c>
      <c r="Q1167" s="6" t="str">
        <f>IFERROR(__xludf.DUMMYFUNCTION("""COMPUTED_VALUE"""),"spirited")</f>
        <v>spirited</v>
      </c>
      <c r="S1167" s="6" t="str">
        <f>IFERROR(__xludf.DUMMYFUNCTION("""COMPUTED_VALUE"""),"allowing")</f>
        <v>allowing</v>
      </c>
    </row>
    <row r="1168">
      <c r="D1168" s="6"/>
      <c r="H1168" s="6" t="str">
        <f>IFERROR(__xludf.DUMMYFUNCTION("""COMPUTED_VALUE"""),"courageous")</f>
        <v>courageous</v>
      </c>
      <c r="I1168" s="6"/>
      <c r="J1168" s="6" t="str">
        <f>IFERROR(__xludf.DUMMYFUNCTION("""COMPUTED_VALUE"""),"traditions")</f>
        <v>traditions</v>
      </c>
      <c r="M1168" s="6"/>
      <c r="P1168" s="6" t="str">
        <f>IFERROR(__xludf.DUMMYFUNCTION("""COMPUTED_VALUE"""),"win")</f>
        <v>win</v>
      </c>
      <c r="Q1168" s="6" t="str">
        <f>IFERROR(__xludf.DUMMYFUNCTION("""COMPUTED_VALUE"""),"awakening")</f>
        <v>awakening</v>
      </c>
      <c r="S1168" s="6" t="str">
        <f>IFERROR(__xludf.DUMMYFUNCTION("""COMPUTED_VALUE"""),"interaction")</f>
        <v>interaction</v>
      </c>
    </row>
    <row r="1169">
      <c r="D1169" s="6"/>
      <c r="H1169" s="6" t="str">
        <f>IFERROR(__xludf.DUMMYFUNCTION("""COMPUTED_VALUE"""),"allegiance")</f>
        <v>allegiance</v>
      </c>
      <c r="I1169" s="6"/>
      <c r="J1169" s="6" t="str">
        <f>IFERROR(__xludf.DUMMYFUNCTION("""COMPUTED_VALUE"""),"pbs")</f>
        <v>pbs</v>
      </c>
      <c r="M1169" s="6"/>
      <c r="P1169" s="6" t="str">
        <f>IFERROR(__xludf.DUMMYFUNCTION("""COMPUTED_VALUE"""),"wrestling")</f>
        <v>wrestling</v>
      </c>
      <c r="Q1169" s="6" t="str">
        <f>IFERROR(__xludf.DUMMYFUNCTION("""COMPUTED_VALUE"""),"fathers")</f>
        <v>fathers</v>
      </c>
      <c r="S1169" s="6" t="str">
        <f>IFERROR(__xludf.DUMMYFUNCTION("""COMPUTED_VALUE"""),"phone")</f>
        <v>phone</v>
      </c>
    </row>
    <row r="1170">
      <c r="D1170" s="6"/>
      <c r="H1170" s="6" t="str">
        <f>IFERROR(__xludf.DUMMYFUNCTION("""COMPUTED_VALUE"""),"pony")</f>
        <v>pony</v>
      </c>
      <c r="I1170" s="6"/>
      <c r="J1170" s="6" t="str">
        <f>IFERROR(__xludf.DUMMYFUNCTION("""COMPUTED_VALUE"""),"contradictory")</f>
        <v>contradictory</v>
      </c>
      <c r="M1170" s="6"/>
      <c r="P1170" s="6" t="str">
        <f>IFERROR(__xludf.DUMMYFUNCTION("""COMPUTED_VALUE"""),"edward")</f>
        <v>edward</v>
      </c>
      <c r="Q1170" s="6" t="str">
        <f>IFERROR(__xludf.DUMMYFUNCTION("""COMPUTED_VALUE"""),"survivors")</f>
        <v>survivors</v>
      </c>
      <c r="S1170" s="6" t="str">
        <f>IFERROR(__xludf.DUMMYFUNCTION("""COMPUTED_VALUE"""),"card")</f>
        <v>card</v>
      </c>
    </row>
    <row r="1171">
      <c r="D1171" s="6"/>
      <c r="H1171" s="6" t="str">
        <f>IFERROR(__xludf.DUMMYFUNCTION("""COMPUTED_VALUE"""),"backlash")</f>
        <v>backlash</v>
      </c>
      <c r="I1171" s="6"/>
      <c r="J1171" s="6" t="str">
        <f>IFERROR(__xludf.DUMMYFUNCTION("""COMPUTED_VALUE"""),"effortlessly")</f>
        <v>effortlessly</v>
      </c>
      <c r="M1171" s="6"/>
      <c r="P1171" s="6" t="str">
        <f>IFERROR(__xludf.DUMMYFUNCTION("""COMPUTED_VALUE"""),"numbers")</f>
        <v>numbers</v>
      </c>
      <c r="Q1171" s="6" t="str">
        <f>IFERROR(__xludf.DUMMYFUNCTION("""COMPUTED_VALUE"""),"wear")</f>
        <v>wear</v>
      </c>
      <c r="S1171" s="6" t="str">
        <f>IFERROR(__xludf.DUMMYFUNCTION("""COMPUTED_VALUE"""),"younger")</f>
        <v>younger</v>
      </c>
    </row>
    <row r="1172">
      <c r="D1172" s="6"/>
      <c r="H1172" s="6" t="str">
        <f>IFERROR(__xludf.DUMMYFUNCTION("""COMPUTED_VALUE"""),"prominently")</f>
        <v>prominently</v>
      </c>
      <c r="I1172" s="6"/>
      <c r="J1172" s="6" t="str">
        <f>IFERROR(__xludf.DUMMYFUNCTION("""COMPUTED_VALUE"""),"sparks")</f>
        <v>sparks</v>
      </c>
      <c r="M1172" s="6"/>
      <c r="P1172" s="6" t="str">
        <f>IFERROR(__xludf.DUMMYFUNCTION("""COMPUTED_VALUE"""),"nation")</f>
        <v>nation</v>
      </c>
      <c r="Q1172" s="6" t="str">
        <f>IFERROR(__xludf.DUMMYFUNCTION("""COMPUTED_VALUE"""),"erotic")</f>
        <v>erotic</v>
      </c>
      <c r="S1172" s="6" t="str">
        <f>IFERROR(__xludf.DUMMYFUNCTION("""COMPUTED_VALUE"""),"sports")</f>
        <v>sports</v>
      </c>
    </row>
    <row r="1173">
      <c r="D1173" s="6"/>
      <c r="H1173" s="6" t="str">
        <f>IFERROR(__xludf.DUMMYFUNCTION("""COMPUTED_VALUE"""),"exceeds")</f>
        <v>exceeds</v>
      </c>
      <c r="I1173" s="6"/>
      <c r="J1173" s="6" t="str">
        <f>IFERROR(__xludf.DUMMYFUNCTION("""COMPUTED_VALUE"""),"cumulative")</f>
        <v>cumulative</v>
      </c>
      <c r="M1173" s="6"/>
      <c r="P1173" s="6" t="str">
        <f>IFERROR(__xludf.DUMMYFUNCTION("""COMPUTED_VALUE"""),"scream")</f>
        <v>scream</v>
      </c>
      <c r="Q1173" s="6" t="str">
        <f>IFERROR(__xludf.DUMMYFUNCTION("""COMPUTED_VALUE"""),"uncanny")</f>
        <v>uncanny</v>
      </c>
      <c r="S1173" s="6" t="str">
        <f>IFERROR(__xludf.DUMMYFUNCTION("""COMPUTED_VALUE"""),"quietly")</f>
        <v>quietly</v>
      </c>
    </row>
    <row r="1174">
      <c r="D1174" s="6"/>
      <c r="H1174" s="6" t="str">
        <f>IFERROR(__xludf.DUMMYFUNCTION("""COMPUTED_VALUE"""),"immersed")</f>
        <v>immersed</v>
      </c>
      <c r="I1174" s="6"/>
      <c r="J1174" s="6" t="str">
        <f>IFERROR(__xludf.DUMMYFUNCTION("""COMPUTED_VALUE"""),"visionary")</f>
        <v>visionary</v>
      </c>
      <c r="M1174" s="6"/>
      <c r="P1174" s="6" t="str">
        <f>IFERROR(__xludf.DUMMYFUNCTION("""COMPUTED_VALUE"""),"considering")</f>
        <v>considering</v>
      </c>
      <c r="Q1174" s="6" t="str">
        <f>IFERROR(__xludf.DUMMYFUNCTION("""COMPUTED_VALUE"""),"cultivation")</f>
        <v>cultivation</v>
      </c>
      <c r="S1174" s="6" t="str">
        <f>IFERROR(__xludf.DUMMYFUNCTION("""COMPUTED_VALUE"""),"savage")</f>
        <v>savage</v>
      </c>
    </row>
    <row r="1175">
      <c r="D1175" s="6"/>
      <c r="H1175" s="6" t="str">
        <f>IFERROR(__xludf.DUMMYFUNCTION("""COMPUTED_VALUE"""),"imagery")</f>
        <v>imagery</v>
      </c>
      <c r="I1175" s="6"/>
      <c r="J1175" s="6" t="str">
        <f>IFERROR(__xludf.DUMMYFUNCTION("""COMPUTED_VALUE"""),"ferrara")</f>
        <v>ferrara</v>
      </c>
      <c r="M1175" s="6"/>
      <c r="P1175" s="6" t="str">
        <f>IFERROR(__xludf.DUMMYFUNCTION("""COMPUTED_VALUE"""),"pronounced")</f>
        <v>pronounced</v>
      </c>
      <c r="Q1175" s="6" t="str">
        <f>IFERROR(__xludf.DUMMYFUNCTION("""COMPUTED_VALUE"""),"access")</f>
        <v>access</v>
      </c>
      <c r="S1175" s="6" t="str">
        <f>IFERROR(__xludf.DUMMYFUNCTION("""COMPUTED_VALUE"""),"dimension")</f>
        <v>dimension</v>
      </c>
    </row>
    <row r="1176">
      <c r="D1176" s="6"/>
      <c r="H1176" s="6" t="str">
        <f>IFERROR(__xludf.DUMMYFUNCTION("""COMPUTED_VALUE"""),"vaguely")</f>
        <v>vaguely</v>
      </c>
      <c r="I1176" s="6"/>
      <c r="J1176" s="6" t="str">
        <f>IFERROR(__xludf.DUMMYFUNCTION("""COMPUTED_VALUE"""),"abel")</f>
        <v>abel</v>
      </c>
      <c r="M1176" s="6"/>
      <c r="P1176" s="6" t="str">
        <f>IFERROR(__xludf.DUMMYFUNCTION("""COMPUTED_VALUE"""),"measure")</f>
        <v>measure</v>
      </c>
      <c r="Q1176" s="6" t="str">
        <f>IFERROR(__xludf.DUMMYFUNCTION("""COMPUTED_VALUE"""),"godfrey")</f>
        <v>godfrey</v>
      </c>
      <c r="S1176" s="6" t="str">
        <f>IFERROR(__xludf.DUMMYFUNCTION("""COMPUTED_VALUE"""),"graphic")</f>
        <v>graphic</v>
      </c>
    </row>
    <row r="1177">
      <c r="D1177" s="6"/>
      <c r="H1177" s="6" t="str">
        <f>IFERROR(__xludf.DUMMYFUNCTION("""COMPUTED_VALUE"""),"intersect")</f>
        <v>intersect</v>
      </c>
      <c r="I1177" s="6"/>
      <c r="J1177" s="6" t="str">
        <f>IFERROR(__xludf.DUMMYFUNCTION("""COMPUTED_VALUE"""),"reliance")</f>
        <v>reliance</v>
      </c>
      <c r="M1177" s="6"/>
      <c r="P1177" s="6" t="str">
        <f>IFERROR(__xludf.DUMMYFUNCTION("""COMPUTED_VALUE"""),"shining")</f>
        <v>shining</v>
      </c>
      <c r="Q1177" s="6" t="str">
        <f>IFERROR(__xludf.DUMMYFUNCTION("""COMPUTED_VALUE"""),"slim")</f>
        <v>slim</v>
      </c>
      <c r="S1177" s="6" t="str">
        <f>IFERROR(__xludf.DUMMYFUNCTION("""COMPUTED_VALUE"""),"hell")</f>
        <v>hell</v>
      </c>
    </row>
    <row r="1178">
      <c r="D1178" s="6"/>
      <c r="H1178" s="6" t="str">
        <f>IFERROR(__xludf.DUMMYFUNCTION("""COMPUTED_VALUE"""),"shimmering")</f>
        <v>shimmering</v>
      </c>
      <c r="I1178" s="6"/>
      <c r="J1178" s="6" t="str">
        <f>IFERROR(__xludf.DUMMYFUNCTION("""COMPUTED_VALUE"""),"weighted")</f>
        <v>weighted</v>
      </c>
      <c r="M1178" s="6"/>
      <c r="P1178" s="6" t="str">
        <f>IFERROR(__xludf.DUMMYFUNCTION("""COMPUTED_VALUE"""),"likes")</f>
        <v>likes</v>
      </c>
      <c r="Q1178" s="6" t="str">
        <f>IFERROR(__xludf.DUMMYFUNCTION("""COMPUTED_VALUE"""),"rode")</f>
        <v>rode</v>
      </c>
      <c r="S1178" s="6" t="str">
        <f>IFERROR(__xludf.DUMMYFUNCTION("""COMPUTED_VALUE"""),"handling")</f>
        <v>handling</v>
      </c>
    </row>
    <row r="1179">
      <c r="D1179" s="6"/>
      <c r="H1179" s="6" t="str">
        <f>IFERROR(__xludf.DUMMYFUNCTION("""COMPUTED_VALUE"""),"pitted")</f>
        <v>pitted</v>
      </c>
      <c r="I1179" s="6"/>
      <c r="J1179" s="6" t="str">
        <f>IFERROR(__xludf.DUMMYFUNCTION("""COMPUTED_VALUE"""),"toilet")</f>
        <v>toilet</v>
      </c>
      <c r="M1179" s="6"/>
      <c r="P1179" s="6" t="str">
        <f>IFERROR(__xludf.DUMMYFUNCTION("""COMPUTED_VALUE"""),"drawing")</f>
        <v>drawing</v>
      </c>
      <c r="Q1179" s="6" t="str">
        <f>IFERROR(__xludf.DUMMYFUNCTION("""COMPUTED_VALUE"""),"zipper")</f>
        <v>zipper</v>
      </c>
      <c r="S1179" s="6" t="str">
        <f>IFERROR(__xludf.DUMMYFUNCTION("""COMPUTED_VALUE"""),"garcia")</f>
        <v>garcia</v>
      </c>
    </row>
    <row r="1180">
      <c r="D1180" s="6"/>
      <c r="H1180" s="6" t="str">
        <f>IFERROR(__xludf.DUMMYFUNCTION("""COMPUTED_VALUE"""),"painting")</f>
        <v>painting</v>
      </c>
      <c r="I1180" s="6"/>
      <c r="J1180" s="6" t="str">
        <f>IFERROR(__xludf.DUMMYFUNCTION("""COMPUTED_VALUE"""),"equation")</f>
        <v>equation</v>
      </c>
      <c r="M1180" s="6"/>
      <c r="P1180" s="6" t="str">
        <f>IFERROR(__xludf.DUMMYFUNCTION("""COMPUTED_VALUE"""),"mistake")</f>
        <v>mistake</v>
      </c>
      <c r="Q1180" s="6" t="str">
        <f>IFERROR(__xludf.DUMMYFUNCTION("""COMPUTED_VALUE"""),"journalism")</f>
        <v>journalism</v>
      </c>
      <c r="S1180" s="6" t="str">
        <f>IFERROR(__xludf.DUMMYFUNCTION("""COMPUTED_VALUE"""),"fees")</f>
        <v>fees</v>
      </c>
    </row>
    <row r="1181">
      <c r="D1181" s="6"/>
      <c r="H1181" s="6" t="str">
        <f>IFERROR(__xludf.DUMMYFUNCTION("""COMPUTED_VALUE"""),"shocks")</f>
        <v>shocks</v>
      </c>
      <c r="I1181" s="6"/>
      <c r="J1181" s="6" t="str">
        <f>IFERROR(__xludf.DUMMYFUNCTION("""COMPUTED_VALUE"""),"molina")</f>
        <v>molina</v>
      </c>
      <c r="M1181" s="6"/>
      <c r="P1181" s="6" t="str">
        <f>IFERROR(__xludf.DUMMYFUNCTION("""COMPUTED_VALUE"""),"assignment")</f>
        <v>assignment</v>
      </c>
      <c r="Q1181" s="6" t="str">
        <f>IFERROR(__xludf.DUMMYFUNCTION("""COMPUTED_VALUE"""),"nonsense")</f>
        <v>nonsense</v>
      </c>
      <c r="S1181" s="6" t="str">
        <f>IFERROR(__xludf.DUMMYFUNCTION("""COMPUTED_VALUE"""),"burn")</f>
        <v>burn</v>
      </c>
    </row>
    <row r="1182">
      <c r="D1182" s="6"/>
      <c r="H1182" s="6" t="str">
        <f>IFERROR(__xludf.DUMMYFUNCTION("""COMPUTED_VALUE"""),"adolescent")</f>
        <v>adolescent</v>
      </c>
      <c r="I1182" s="6"/>
      <c r="J1182" s="6" t="str">
        <f>IFERROR(__xludf.DUMMYFUNCTION("""COMPUTED_VALUE"""),"arresting")</f>
        <v>arresting</v>
      </c>
      <c r="M1182" s="6"/>
      <c r="P1182" s="6" t="str">
        <f>IFERROR(__xludf.DUMMYFUNCTION("""COMPUTED_VALUE"""),"enters")</f>
        <v>enters</v>
      </c>
      <c r="Q1182" s="6" t="str">
        <f>IFERROR(__xludf.DUMMYFUNCTION("""COMPUTED_VALUE"""),"snaps")</f>
        <v>snaps</v>
      </c>
      <c r="S1182" s="6" t="str">
        <f>IFERROR(__xludf.DUMMYFUNCTION("""COMPUTED_VALUE"""),"copy")</f>
        <v>copy</v>
      </c>
    </row>
    <row r="1183">
      <c r="D1183" s="6"/>
      <c r="H1183" s="6" t="str">
        <f>IFERROR(__xludf.DUMMYFUNCTION("""COMPUTED_VALUE"""),"marine")</f>
        <v>marine</v>
      </c>
      <c r="I1183" s="6"/>
      <c r="J1183" s="6" t="str">
        <f>IFERROR(__xludf.DUMMYFUNCTION("""COMPUTED_VALUE"""),"craven")</f>
        <v>craven</v>
      </c>
      <c r="M1183" s="6"/>
      <c r="P1183" s="6" t="str">
        <f>IFERROR(__xludf.DUMMYFUNCTION("""COMPUTED_VALUE"""),"realm")</f>
        <v>realm</v>
      </c>
      <c r="Q1183" s="6" t="str">
        <f>IFERROR(__xludf.DUMMYFUNCTION("""COMPUTED_VALUE"""),"struggle")</f>
        <v>struggle</v>
      </c>
      <c r="S1183" s="6" t="str">
        <f>IFERROR(__xludf.DUMMYFUNCTION("""COMPUTED_VALUE"""),"relationship")</f>
        <v>relationship</v>
      </c>
    </row>
    <row r="1184">
      <c r="D1184" s="6"/>
      <c r="H1184" s="6" t="str">
        <f>IFERROR(__xludf.DUMMYFUNCTION("""COMPUTED_VALUE"""),"padded")</f>
        <v>padded</v>
      </c>
      <c r="I1184" s="6"/>
      <c r="J1184" s="6" t="str">
        <f>IFERROR(__xludf.DUMMYFUNCTION("""COMPUTED_VALUE"""),"soul")</f>
        <v>soul</v>
      </c>
      <c r="M1184" s="6"/>
      <c r="P1184" s="6" t="str">
        <f>IFERROR(__xludf.DUMMYFUNCTION("""COMPUTED_VALUE"""),"admit")</f>
        <v>admit</v>
      </c>
      <c r="Q1184" s="6" t="str">
        <f>IFERROR(__xludf.DUMMYFUNCTION("""COMPUTED_VALUE"""),"convinced")</f>
        <v>convinced</v>
      </c>
      <c r="S1184" s="6" t="str">
        <f>IFERROR(__xludf.DUMMYFUNCTION("""COMPUTED_VALUE"""),"flash")</f>
        <v>flash</v>
      </c>
    </row>
    <row r="1185">
      <c r="D1185" s="6"/>
      <c r="H1185" s="6" t="str">
        <f>IFERROR(__xludf.DUMMYFUNCTION("""COMPUTED_VALUE"""),"propaganda")</f>
        <v>propaganda</v>
      </c>
      <c r="I1185" s="6"/>
      <c r="J1185" s="6" t="str">
        <f>IFERROR(__xludf.DUMMYFUNCTION("""COMPUTED_VALUE"""),"warriors")</f>
        <v>warriors</v>
      </c>
      <c r="M1185" s="6"/>
      <c r="P1185" s="6" t="str">
        <f>IFERROR(__xludf.DUMMYFUNCTION("""COMPUTED_VALUE"""),"accurate")</f>
        <v>accurate</v>
      </c>
      <c r="Q1185" s="6" t="str">
        <f>IFERROR(__xludf.DUMMYFUNCTION("""COMPUTED_VALUE"""),"lucky")</f>
        <v>lucky</v>
      </c>
      <c r="S1185" s="6" t="str">
        <f>IFERROR(__xludf.DUMMYFUNCTION("""COMPUTED_VALUE"""),"wise")</f>
        <v>wise</v>
      </c>
    </row>
    <row r="1186">
      <c r="D1186" s="6"/>
      <c r="H1186" s="6" t="str">
        <f>IFERROR(__xludf.DUMMYFUNCTION("""COMPUTED_VALUE"""),"visuals")</f>
        <v>visuals</v>
      </c>
      <c r="I1186" s="6"/>
      <c r="J1186" s="6" t="str">
        <f>IFERROR(__xludf.DUMMYFUNCTION("""COMPUTED_VALUE"""),"transparent")</f>
        <v>transparent</v>
      </c>
      <c r="M1186" s="6"/>
      <c r="P1186" s="6" t="str">
        <f>IFERROR(__xludf.DUMMYFUNCTION("""COMPUTED_VALUE"""),"wilson")</f>
        <v>wilson</v>
      </c>
      <c r="Q1186" s="6" t="str">
        <f>IFERROR(__xludf.DUMMYFUNCTION("""COMPUTED_VALUE"""),"eye")</f>
        <v>eye</v>
      </c>
      <c r="S1186" s="6" t="str">
        <f>IFERROR(__xludf.DUMMYFUNCTION("""COMPUTED_VALUE"""),"distinguished")</f>
        <v>distinguished</v>
      </c>
    </row>
    <row r="1187">
      <c r="D1187" s="6"/>
      <c r="H1187" s="6" t="str">
        <f>IFERROR(__xludf.DUMMYFUNCTION("""COMPUTED_VALUE"""),"majestic")</f>
        <v>majestic</v>
      </c>
      <c r="I1187" s="6"/>
      <c r="J1187" s="6" t="str">
        <f>IFERROR(__xludf.DUMMYFUNCTION("""COMPUTED_VALUE"""),"hewitt")</f>
        <v>hewitt</v>
      </c>
      <c r="M1187" s="6"/>
      <c r="P1187" s="6" t="str">
        <f>IFERROR(__xludf.DUMMYFUNCTION("""COMPUTED_VALUE"""),"pink")</f>
        <v>pink</v>
      </c>
      <c r="Q1187" s="6" t="str">
        <f>IFERROR(__xludf.DUMMYFUNCTION("""COMPUTED_VALUE"""),"adherents")</f>
        <v>adherents</v>
      </c>
      <c r="S1187" s="6" t="str">
        <f>IFERROR(__xludf.DUMMYFUNCTION("""COMPUTED_VALUE"""),"milk")</f>
        <v>milk</v>
      </c>
    </row>
    <row r="1188">
      <c r="D1188" s="6"/>
      <c r="H1188" s="6" t="str">
        <f>IFERROR(__xludf.DUMMYFUNCTION("""COMPUTED_VALUE"""),"directorial")</f>
        <v>directorial</v>
      </c>
      <c r="I1188" s="6"/>
      <c r="J1188" s="6" t="str">
        <f>IFERROR(__xludf.DUMMYFUNCTION("""COMPUTED_VALUE"""),"inadequate")</f>
        <v>inadequate</v>
      </c>
      <c r="M1188" s="6"/>
      <c r="P1188" s="6" t="str">
        <f>IFERROR(__xludf.DUMMYFUNCTION("""COMPUTED_VALUE"""),"derived")</f>
        <v>derived</v>
      </c>
      <c r="Q1188" s="6" t="str">
        <f>IFERROR(__xludf.DUMMYFUNCTION("""COMPUTED_VALUE"""),"trombone")</f>
        <v>trombone</v>
      </c>
      <c r="S1188" s="6" t="str">
        <f>IFERROR(__xludf.DUMMYFUNCTION("""COMPUTED_VALUE"""),"thousand")</f>
        <v>thousand</v>
      </c>
    </row>
    <row r="1189">
      <c r="D1189" s="6"/>
      <c r="H1189" s="6" t="str">
        <f>IFERROR(__xludf.DUMMYFUNCTION("""COMPUTED_VALUE"""),"treasure")</f>
        <v>treasure</v>
      </c>
      <c r="I1189" s="6"/>
      <c r="J1189" s="6" t="str">
        <f>IFERROR(__xludf.DUMMYFUNCTION("""COMPUTED_VALUE"""),"adrenaline")</f>
        <v>adrenaline</v>
      </c>
      <c r="M1189" s="6"/>
      <c r="P1189" s="6" t="str">
        <f>IFERROR(__xludf.DUMMYFUNCTION("""COMPUTED_VALUE"""),"victims")</f>
        <v>victims</v>
      </c>
      <c r="Q1189" s="6" t="str">
        <f>IFERROR(__xludf.DUMMYFUNCTION("""COMPUTED_VALUE"""),"possess")</f>
        <v>possess</v>
      </c>
      <c r="S1189" s="6" t="str">
        <f>IFERROR(__xludf.DUMMYFUNCTION("""COMPUTED_VALUE"""),"reign")</f>
        <v>reign</v>
      </c>
    </row>
    <row r="1190">
      <c r="D1190" s="6"/>
      <c r="H1190" s="6" t="str">
        <f>IFERROR(__xludf.DUMMYFUNCTION("""COMPUTED_VALUE"""),"concern")</f>
        <v>concern</v>
      </c>
      <c r="I1190" s="6"/>
      <c r="J1190" s="6" t="str">
        <f>IFERROR(__xludf.DUMMYFUNCTION("""COMPUTED_VALUE"""),"preserving")</f>
        <v>preserving</v>
      </c>
      <c r="M1190" s="6"/>
      <c r="P1190" s="6" t="str">
        <f>IFERROR(__xludf.DUMMYFUNCTION("""COMPUTED_VALUE"""),"proceedings")</f>
        <v>proceedings</v>
      </c>
      <c r="Q1190" s="6" t="str">
        <f>IFERROR(__xludf.DUMMYFUNCTION("""COMPUTED_VALUE"""),"embarrassment")</f>
        <v>embarrassment</v>
      </c>
      <c r="S1190" s="6" t="str">
        <f>IFERROR(__xludf.DUMMYFUNCTION("""COMPUTED_VALUE"""),"dragons")</f>
        <v>dragons</v>
      </c>
    </row>
    <row r="1191">
      <c r="D1191" s="6"/>
      <c r="H1191" s="6" t="str">
        <f>IFERROR(__xludf.DUMMYFUNCTION("""COMPUTED_VALUE"""),"puppets")</f>
        <v>puppets</v>
      </c>
      <c r="I1191" s="6"/>
      <c r="J1191" s="6" t="str">
        <f>IFERROR(__xludf.DUMMYFUNCTION("""COMPUTED_VALUE"""),"tendency")</f>
        <v>tendency</v>
      </c>
      <c r="M1191" s="6"/>
      <c r="P1191" s="6" t="str">
        <f>IFERROR(__xludf.DUMMYFUNCTION("""COMPUTED_VALUE"""),"adds")</f>
        <v>adds</v>
      </c>
      <c r="Q1191" s="6" t="str">
        <f>IFERROR(__xludf.DUMMYFUNCTION("""COMPUTED_VALUE"""),"uncomfortably")</f>
        <v>uncomfortably</v>
      </c>
      <c r="S1191" s="6" t="str">
        <f>IFERROR(__xludf.DUMMYFUNCTION("""COMPUTED_VALUE"""),"models")</f>
        <v>models</v>
      </c>
    </row>
    <row r="1192">
      <c r="D1192" s="6"/>
      <c r="H1192" s="6" t="str">
        <f>IFERROR(__xludf.DUMMYFUNCTION("""COMPUTED_VALUE"""),"bear")</f>
        <v>bear</v>
      </c>
      <c r="I1192" s="6"/>
      <c r="J1192" s="6" t="str">
        <f>IFERROR(__xludf.DUMMYFUNCTION("""COMPUTED_VALUE"""),"lectures")</f>
        <v>lectures</v>
      </c>
      <c r="M1192" s="6"/>
      <c r="P1192" s="6" t="str">
        <f>IFERROR(__xludf.DUMMYFUNCTION("""COMPUTED_VALUE"""),"anchor")</f>
        <v>anchor</v>
      </c>
      <c r="Q1192" s="6" t="str">
        <f>IFERROR(__xludf.DUMMYFUNCTION("""COMPUTED_VALUE"""),"figures")</f>
        <v>figures</v>
      </c>
      <c r="S1192" s="6" t="str">
        <f>IFERROR(__xludf.DUMMYFUNCTION("""COMPUTED_VALUE"""),"wearing")</f>
        <v>wearing</v>
      </c>
    </row>
    <row r="1193">
      <c r="D1193" s="6"/>
      <c r="H1193" s="6" t="str">
        <f>IFERROR(__xludf.DUMMYFUNCTION("""COMPUTED_VALUE"""),"advantage")</f>
        <v>advantage</v>
      </c>
      <c r="I1193" s="6"/>
      <c r="J1193" s="6" t="str">
        <f>IFERROR(__xludf.DUMMYFUNCTION("""COMPUTED_VALUE"""),"vh1")</f>
        <v>vh1</v>
      </c>
      <c r="M1193" s="6"/>
      <c r="P1193" s="6" t="str">
        <f>IFERROR(__xludf.DUMMYFUNCTION("""COMPUTED_VALUE"""),"supporting")</f>
        <v>supporting</v>
      </c>
      <c r="Q1193" s="6" t="str">
        <f>IFERROR(__xludf.DUMMYFUNCTION("""COMPUTED_VALUE"""),"imaginative")</f>
        <v>imaginative</v>
      </c>
      <c r="S1193" s="6" t="str">
        <f>IFERROR(__xludf.DUMMYFUNCTION("""COMPUTED_VALUE"""),"bag")</f>
        <v>bag</v>
      </c>
    </row>
    <row r="1194">
      <c r="D1194" s="6"/>
      <c r="H1194" s="6" t="str">
        <f>IFERROR(__xludf.DUMMYFUNCTION("""COMPUTED_VALUE"""),"futile")</f>
        <v>futile</v>
      </c>
      <c r="I1194" s="6"/>
      <c r="J1194" s="6" t="str">
        <f>IFERROR(__xludf.DUMMYFUNCTION("""COMPUTED_VALUE"""),"terrorist")</f>
        <v>terrorist</v>
      </c>
      <c r="M1194" s="6"/>
      <c r="P1194" s="6" t="str">
        <f>IFERROR(__xludf.DUMMYFUNCTION("""COMPUTED_VALUE"""),"improvement")</f>
        <v>improvement</v>
      </c>
      <c r="Q1194" s="6" t="str">
        <f>IFERROR(__xludf.DUMMYFUNCTION("""COMPUTED_VALUE"""),"condensed")</f>
        <v>condensed</v>
      </c>
      <c r="S1194" s="6" t="str">
        <f>IFERROR(__xludf.DUMMYFUNCTION("""COMPUTED_VALUE"""),"grin")</f>
        <v>grin</v>
      </c>
    </row>
    <row r="1195">
      <c r="D1195" s="6"/>
      <c r="H1195" s="6" t="str">
        <f>IFERROR(__xludf.DUMMYFUNCTION("""COMPUTED_VALUE"""),"happens")</f>
        <v>happens</v>
      </c>
      <c r="I1195" s="6"/>
      <c r="J1195" s="6" t="str">
        <f>IFERROR(__xludf.DUMMYFUNCTION("""COMPUTED_VALUE"""),"gaze")</f>
        <v>gaze</v>
      </c>
      <c r="M1195" s="6"/>
      <c r="P1195" s="6" t="str">
        <f>IFERROR(__xludf.DUMMYFUNCTION("""COMPUTED_VALUE"""),"soldiers")</f>
        <v>soldiers</v>
      </c>
      <c r="Q1195" s="6" t="str">
        <f>IFERROR(__xludf.DUMMYFUNCTION("""COMPUTED_VALUE"""),"composition")</f>
        <v>composition</v>
      </c>
      <c r="S1195" s="6" t="str">
        <f>IFERROR(__xludf.DUMMYFUNCTION("""COMPUTED_VALUE"""),"managed")</f>
        <v>managed</v>
      </c>
    </row>
    <row r="1196">
      <c r="D1196" s="6"/>
      <c r="H1196" s="6" t="str">
        <f>IFERROR(__xludf.DUMMYFUNCTION("""COMPUTED_VALUE"""),"misery")</f>
        <v>misery</v>
      </c>
      <c r="I1196" s="6"/>
      <c r="J1196" s="6" t="str">
        <f>IFERROR(__xludf.DUMMYFUNCTION("""COMPUTED_VALUE"""),"chuckles")</f>
        <v>chuckles</v>
      </c>
      <c r="M1196" s="6"/>
      <c r="P1196" s="6" t="str">
        <f>IFERROR(__xludf.DUMMYFUNCTION("""COMPUTED_VALUE"""),"lawrence")</f>
        <v>lawrence</v>
      </c>
      <c r="Q1196" s="6" t="str">
        <f>IFERROR(__xludf.DUMMYFUNCTION("""COMPUTED_VALUE"""),"viewed")</f>
        <v>viewed</v>
      </c>
      <c r="S1196" s="6" t="str">
        <f>IFERROR(__xludf.DUMMYFUNCTION("""COMPUTED_VALUE"""),"hands")</f>
        <v>hands</v>
      </c>
    </row>
    <row r="1197">
      <c r="D1197" s="6"/>
      <c r="H1197" s="6" t="str">
        <f>IFERROR(__xludf.DUMMYFUNCTION("""COMPUTED_VALUE"""),"willingness")</f>
        <v>willingness</v>
      </c>
      <c r="I1197" s="6"/>
      <c r="J1197" s="6" t="str">
        <f>IFERROR(__xludf.DUMMYFUNCTION("""COMPUTED_VALUE"""),"sheridan")</f>
        <v>sheridan</v>
      </c>
      <c r="M1197" s="6"/>
      <c r="P1197" s="6">
        <f>IFERROR(__xludf.DUMMYFUNCTION("""COMPUTED_VALUE"""),51.0)</f>
        <v>51</v>
      </c>
      <c r="Q1197" s="6" t="str">
        <f>IFERROR(__xludf.DUMMYFUNCTION("""COMPUTED_VALUE"""),"angle")</f>
        <v>angle</v>
      </c>
      <c r="S1197" s="6" t="str">
        <f>IFERROR(__xludf.DUMMYFUNCTION("""COMPUTED_VALUE"""),"span")</f>
        <v>span</v>
      </c>
    </row>
    <row r="1198">
      <c r="D1198" s="6"/>
      <c r="H1198" s="6" t="str">
        <f>IFERROR(__xludf.DUMMYFUNCTION("""COMPUTED_VALUE"""),"pity")</f>
        <v>pity</v>
      </c>
      <c r="I1198" s="6"/>
      <c r="J1198" s="6" t="str">
        <f>IFERROR(__xludf.DUMMYFUNCTION("""COMPUTED_VALUE"""),"stylized")</f>
        <v>stylized</v>
      </c>
      <c r="M1198" s="6"/>
      <c r="P1198" s="6" t="str">
        <f>IFERROR(__xludf.DUMMYFUNCTION("""COMPUTED_VALUE"""),"belt")</f>
        <v>belt</v>
      </c>
      <c r="Q1198" s="6" t="str">
        <f>IFERROR(__xludf.DUMMYFUNCTION("""COMPUTED_VALUE"""),"somber")</f>
        <v>somber</v>
      </c>
      <c r="S1198" s="6" t="str">
        <f>IFERROR(__xludf.DUMMYFUNCTION("""COMPUTED_VALUE"""),"held")</f>
        <v>held</v>
      </c>
    </row>
    <row r="1199">
      <c r="D1199" s="6"/>
      <c r="H1199" s="6" t="str">
        <f>IFERROR(__xludf.DUMMYFUNCTION("""COMPUTED_VALUE"""),"campus")</f>
        <v>campus</v>
      </c>
      <c r="I1199" s="6"/>
      <c r="J1199" s="6" t="str">
        <f>IFERROR(__xludf.DUMMYFUNCTION("""COMPUTED_VALUE"""),"hilary")</f>
        <v>hilary</v>
      </c>
      <c r="M1199" s="6"/>
      <c r="P1199" s="6" t="str">
        <f>IFERROR(__xludf.DUMMYFUNCTION("""COMPUTED_VALUE"""),"traditions")</f>
        <v>traditions</v>
      </c>
      <c r="Q1199" s="6" t="str">
        <f>IFERROR(__xludf.DUMMYFUNCTION("""COMPUTED_VALUE"""),"credible")</f>
        <v>credible</v>
      </c>
      <c r="S1199" s="6" t="str">
        <f>IFERROR(__xludf.DUMMYFUNCTION("""COMPUTED_VALUE"""),"odd")</f>
        <v>odd</v>
      </c>
    </row>
    <row r="1200">
      <c r="D1200" s="6"/>
      <c r="H1200" s="6" t="str">
        <f>IFERROR(__xludf.DUMMYFUNCTION("""COMPUTED_VALUE"""),"bertrand")</f>
        <v>bertrand</v>
      </c>
      <c r="I1200" s="6"/>
      <c r="J1200" s="6" t="str">
        <f>IFERROR(__xludf.DUMMYFUNCTION("""COMPUTED_VALUE"""),"birmingham")</f>
        <v>birmingham</v>
      </c>
      <c r="M1200" s="6"/>
      <c r="P1200" s="6" t="str">
        <f>IFERROR(__xludf.DUMMYFUNCTION("""COMPUTED_VALUE"""),"field")</f>
        <v>field</v>
      </c>
      <c r="Q1200" s="6" t="str">
        <f>IFERROR(__xludf.DUMMYFUNCTION("""COMPUTED_VALUE"""),"mature")</f>
        <v>mature</v>
      </c>
      <c r="S1200" s="6" t="str">
        <f>IFERROR(__xludf.DUMMYFUNCTION("""COMPUTED_VALUE"""),"sound")</f>
        <v>sound</v>
      </c>
    </row>
    <row r="1201">
      <c r="D1201" s="6"/>
      <c r="H1201" s="6" t="str">
        <f>IFERROR(__xludf.DUMMYFUNCTION("""COMPUTED_VALUE"""),"wears")</f>
        <v>wears</v>
      </c>
      <c r="I1201" s="6"/>
      <c r="J1201" s="6" t="str">
        <f>IFERROR(__xludf.DUMMYFUNCTION("""COMPUTED_VALUE"""),"disagree")</f>
        <v>disagree</v>
      </c>
      <c r="M1201" s="6"/>
      <c r="P1201" s="6" t="str">
        <f>IFERROR(__xludf.DUMMYFUNCTION("""COMPUTED_VALUE"""),"tongue")</f>
        <v>tongue</v>
      </c>
      <c r="Q1201" s="6" t="str">
        <f>IFERROR(__xludf.DUMMYFUNCTION("""COMPUTED_VALUE"""),"mclaughlin")</f>
        <v>mclaughlin</v>
      </c>
      <c r="S1201" s="6" t="str">
        <f>IFERROR(__xludf.DUMMYFUNCTION("""COMPUTED_VALUE"""),"bodies")</f>
        <v>bodies</v>
      </c>
    </row>
    <row r="1202">
      <c r="D1202" s="6"/>
      <c r="H1202" s="6" t="str">
        <f>IFERROR(__xludf.DUMMYFUNCTION("""COMPUTED_VALUE"""),"intimacy")</f>
        <v>intimacy</v>
      </c>
      <c r="I1202" s="6"/>
      <c r="J1202" s="6" t="str">
        <f>IFERROR(__xludf.DUMMYFUNCTION("""COMPUTED_VALUE"""),"sensitivity")</f>
        <v>sensitivity</v>
      </c>
      <c r="M1202" s="6"/>
      <c r="P1202" s="6" t="str">
        <f>IFERROR(__xludf.DUMMYFUNCTION("""COMPUTED_VALUE"""),"approaches")</f>
        <v>approaches</v>
      </c>
      <c r="Q1202" s="6" t="str">
        <f>IFERROR(__xludf.DUMMYFUNCTION("""COMPUTED_VALUE"""),"scratches")</f>
        <v>scratches</v>
      </c>
      <c r="S1202" s="6" t="str">
        <f>IFERROR(__xludf.DUMMYFUNCTION("""COMPUTED_VALUE"""),"several")</f>
        <v>several</v>
      </c>
    </row>
    <row r="1203">
      <c r="D1203" s="6"/>
      <c r="H1203" s="6" t="str">
        <f>IFERROR(__xludf.DUMMYFUNCTION("""COMPUTED_VALUE"""),"sermon")</f>
        <v>sermon</v>
      </c>
      <c r="I1203" s="6"/>
      <c r="J1203" s="6" t="str">
        <f>IFERROR(__xludf.DUMMYFUNCTION("""COMPUTED_VALUE"""),"muddy")</f>
        <v>muddy</v>
      </c>
      <c r="M1203" s="6"/>
      <c r="P1203" s="6">
        <f>IFERROR(__xludf.DUMMYFUNCTION("""COMPUTED_VALUE"""),50.0)</f>
        <v>50</v>
      </c>
      <c r="Q1203" s="6" t="str">
        <f>IFERROR(__xludf.DUMMYFUNCTION("""COMPUTED_VALUE"""),"commerce")</f>
        <v>commerce</v>
      </c>
      <c r="S1203" s="6" t="str">
        <f>IFERROR(__xludf.DUMMYFUNCTION("""COMPUTED_VALUE"""),"secretary")</f>
        <v>secretary</v>
      </c>
    </row>
    <row r="1204">
      <c r="D1204" s="6"/>
      <c r="H1204" s="6" t="str">
        <f>IFERROR(__xludf.DUMMYFUNCTION("""COMPUTED_VALUE"""),"continuation")</f>
        <v>continuation</v>
      </c>
      <c r="I1204" s="6"/>
      <c r="J1204" s="6" t="str">
        <f>IFERROR(__xludf.DUMMYFUNCTION("""COMPUTED_VALUE"""),"precision")</f>
        <v>precision</v>
      </c>
      <c r="M1204" s="6"/>
      <c r="P1204" s="6" t="str">
        <f>IFERROR(__xludf.DUMMYFUNCTION("""COMPUTED_VALUE"""),"strictly")</f>
        <v>strictly</v>
      </c>
      <c r="Q1204" s="6" t="str">
        <f>IFERROR(__xludf.DUMMYFUNCTION("""COMPUTED_VALUE"""),"subtly")</f>
        <v>subtly</v>
      </c>
      <c r="S1204" s="6" t="str">
        <f>IFERROR(__xludf.DUMMYFUNCTION("""COMPUTED_VALUE"""),"ten")</f>
        <v>ten</v>
      </c>
    </row>
    <row r="1205">
      <c r="D1205" s="6"/>
      <c r="H1205" s="6" t="str">
        <f>IFERROR(__xludf.DUMMYFUNCTION("""COMPUTED_VALUE"""),"sentiments")</f>
        <v>sentiments</v>
      </c>
      <c r="I1205" s="6"/>
      <c r="J1205" s="6" t="str">
        <f>IFERROR(__xludf.DUMMYFUNCTION("""COMPUTED_VALUE"""),"aspirations")</f>
        <v>aspirations</v>
      </c>
      <c r="M1205" s="6"/>
      <c r="P1205" s="6" t="str">
        <f>IFERROR(__xludf.DUMMYFUNCTION("""COMPUTED_VALUE"""),"hammer")</f>
        <v>hammer</v>
      </c>
      <c r="Q1205" s="6" t="str">
        <f>IFERROR(__xludf.DUMMYFUNCTION("""COMPUTED_VALUE"""),"combines")</f>
        <v>combines</v>
      </c>
      <c r="S1205" s="6" t="str">
        <f>IFERROR(__xludf.DUMMYFUNCTION("""COMPUTED_VALUE"""),"boat")</f>
        <v>boat</v>
      </c>
    </row>
    <row r="1206">
      <c r="D1206" s="6"/>
      <c r="H1206" s="6" t="str">
        <f>IFERROR(__xludf.DUMMYFUNCTION("""COMPUTED_VALUE"""),"alabama")</f>
        <v>alabama</v>
      </c>
      <c r="I1206" s="6"/>
      <c r="J1206" s="6" t="str">
        <f>IFERROR(__xludf.DUMMYFUNCTION("""COMPUTED_VALUE"""),"charms")</f>
        <v>charms</v>
      </c>
      <c r="M1206" s="6"/>
      <c r="P1206" s="6" t="str">
        <f>IFERROR(__xludf.DUMMYFUNCTION("""COMPUTED_VALUE"""),"academy")</f>
        <v>academy</v>
      </c>
      <c r="Q1206" s="6" t="str">
        <f>IFERROR(__xludf.DUMMYFUNCTION("""COMPUTED_VALUE"""),"thirst")</f>
        <v>thirst</v>
      </c>
      <c r="S1206" s="6" t="str">
        <f>IFERROR(__xludf.DUMMYFUNCTION("""COMPUTED_VALUE"""),"meets")</f>
        <v>meets</v>
      </c>
    </row>
    <row r="1207">
      <c r="D1207" s="6"/>
      <c r="H1207" s="6" t="str">
        <f>IFERROR(__xludf.DUMMYFUNCTION("""COMPUTED_VALUE"""),"producer")</f>
        <v>producer</v>
      </c>
      <c r="I1207" s="6"/>
      <c r="J1207" s="6" t="str">
        <f>IFERROR(__xludf.DUMMYFUNCTION("""COMPUTED_VALUE"""),"conservative")</f>
        <v>conservative</v>
      </c>
      <c r="M1207" s="6"/>
      <c r="P1207" s="6" t="str">
        <f>IFERROR(__xludf.DUMMYFUNCTION("""COMPUTED_VALUE"""),"equation")</f>
        <v>equation</v>
      </c>
      <c r="Q1207" s="6" t="str">
        <f>IFERROR(__xludf.DUMMYFUNCTION("""COMPUTED_VALUE"""),"ballistic")</f>
        <v>ballistic</v>
      </c>
      <c r="S1207" s="6" t="str">
        <f>IFERROR(__xludf.DUMMYFUNCTION("""COMPUTED_VALUE"""),"indians")</f>
        <v>indians</v>
      </c>
    </row>
    <row r="1208">
      <c r="D1208" s="6"/>
      <c r="H1208" s="6" t="str">
        <f>IFERROR(__xludf.DUMMYFUNCTION("""COMPUTED_VALUE"""),"estranged")</f>
        <v>estranged</v>
      </c>
      <c r="I1208" s="6"/>
      <c r="J1208" s="6" t="str">
        <f>IFERROR(__xludf.DUMMYFUNCTION("""COMPUTED_VALUE"""),"privy")</f>
        <v>privy</v>
      </c>
      <c r="M1208" s="6"/>
      <c r="P1208" s="6" t="str">
        <f>IFERROR(__xludf.DUMMYFUNCTION("""COMPUTED_VALUE"""),"salt")</f>
        <v>salt</v>
      </c>
      <c r="Q1208" s="6" t="str">
        <f>IFERROR(__xludf.DUMMYFUNCTION("""COMPUTED_VALUE"""),"provoke")</f>
        <v>provoke</v>
      </c>
      <c r="S1208" s="6" t="str">
        <f>IFERROR(__xludf.DUMMYFUNCTION("""COMPUTED_VALUE"""),"chain")</f>
        <v>chain</v>
      </c>
    </row>
    <row r="1209">
      <c r="D1209" s="6"/>
      <c r="H1209" s="6" t="str">
        <f>IFERROR(__xludf.DUMMYFUNCTION("""COMPUTED_VALUE"""),"incapable")</f>
        <v>incapable</v>
      </c>
      <c r="I1209" s="6"/>
      <c r="J1209" s="6" t="str">
        <f>IFERROR(__xludf.DUMMYFUNCTION("""COMPUTED_VALUE"""),"garnered")</f>
        <v>garnered</v>
      </c>
      <c r="M1209" s="6"/>
      <c r="P1209" s="6" t="str">
        <f>IFERROR(__xludf.DUMMYFUNCTION("""COMPUTED_VALUE"""),"trumpet")</f>
        <v>trumpet</v>
      </c>
      <c r="Q1209" s="6" t="str">
        <f>IFERROR(__xludf.DUMMYFUNCTION("""COMPUTED_VALUE"""),"older")</f>
        <v>older</v>
      </c>
      <c r="S1209" s="6" t="str">
        <f>IFERROR(__xludf.DUMMYFUNCTION("""COMPUTED_VALUE"""),"forming")</f>
        <v>forming</v>
      </c>
    </row>
    <row r="1210">
      <c r="D1210" s="6"/>
      <c r="H1210" s="6" t="str">
        <f>IFERROR(__xludf.DUMMYFUNCTION("""COMPUTED_VALUE"""),"acclaim")</f>
        <v>acclaim</v>
      </c>
      <c r="I1210" s="6"/>
      <c r="J1210" s="6" t="str">
        <f>IFERROR(__xludf.DUMMYFUNCTION("""COMPUTED_VALUE"""),"underlying")</f>
        <v>underlying</v>
      </c>
      <c r="M1210" s="6"/>
      <c r="P1210" s="6" t="str">
        <f>IFERROR(__xludf.DUMMYFUNCTION("""COMPUTED_VALUE"""),"eighth")</f>
        <v>eighth</v>
      </c>
      <c r="Q1210" s="6" t="str">
        <f>IFERROR(__xludf.DUMMYFUNCTION("""COMPUTED_VALUE"""),"blackout")</f>
        <v>blackout</v>
      </c>
      <c r="S1210" s="6" t="str">
        <f>IFERROR(__xludf.DUMMYFUNCTION("""COMPUTED_VALUE"""),"pick")</f>
        <v>pick</v>
      </c>
    </row>
    <row r="1211">
      <c r="D1211" s="6"/>
      <c r="H1211" s="6" t="str">
        <f>IFERROR(__xludf.DUMMYFUNCTION("""COMPUTED_VALUE"""),"famine")</f>
        <v>famine</v>
      </c>
      <c r="I1211" s="6"/>
      <c r="J1211" s="6" t="str">
        <f>IFERROR(__xludf.DUMMYFUNCTION("""COMPUTED_VALUE"""),"superhero")</f>
        <v>superhero</v>
      </c>
      <c r="M1211" s="6"/>
      <c r="P1211" s="6" t="str">
        <f>IFERROR(__xludf.DUMMYFUNCTION("""COMPUTED_VALUE"""),"soul")</f>
        <v>soul</v>
      </c>
      <c r="Q1211" s="6" t="str">
        <f>IFERROR(__xludf.DUMMYFUNCTION("""COMPUTED_VALUE"""),"collapses")</f>
        <v>collapses</v>
      </c>
      <c r="S1211" s="6" t="str">
        <f>IFERROR(__xludf.DUMMYFUNCTION("""COMPUTED_VALUE"""),"wallace")</f>
        <v>wallace</v>
      </c>
    </row>
    <row r="1212">
      <c r="D1212" s="6"/>
      <c r="H1212" s="6" t="str">
        <f>IFERROR(__xludf.DUMMYFUNCTION("""COMPUTED_VALUE"""),"disguised")</f>
        <v>disguised</v>
      </c>
      <c r="I1212" s="6"/>
      <c r="J1212" s="6" t="str">
        <f>IFERROR(__xludf.DUMMYFUNCTION("""COMPUTED_VALUE"""),"intellect")</f>
        <v>intellect</v>
      </c>
      <c r="M1212" s="6"/>
      <c r="P1212" s="6" t="str">
        <f>IFERROR(__xludf.DUMMYFUNCTION("""COMPUTED_VALUE"""),"warriors")</f>
        <v>warriors</v>
      </c>
      <c r="Q1212" s="6" t="str">
        <f>IFERROR(__xludf.DUMMYFUNCTION("""COMPUTED_VALUE"""),"conceptual")</f>
        <v>conceptual</v>
      </c>
      <c r="S1212" s="6" t="str">
        <f>IFERROR(__xludf.DUMMYFUNCTION("""COMPUTED_VALUE"""),"enormous")</f>
        <v>enormous</v>
      </c>
    </row>
    <row r="1213">
      <c r="D1213" s="6"/>
      <c r="H1213" s="6" t="str">
        <f>IFERROR(__xludf.DUMMYFUNCTION("""COMPUTED_VALUE"""),"troubled")</f>
        <v>troubled</v>
      </c>
      <c r="I1213" s="6"/>
      <c r="J1213" s="6" t="str">
        <f>IFERROR(__xludf.DUMMYFUNCTION("""COMPUTED_VALUE"""),"kissing")</f>
        <v>kissing</v>
      </c>
      <c r="M1213" s="6"/>
      <c r="P1213" s="6" t="str">
        <f>IFERROR(__xludf.DUMMYFUNCTION("""COMPUTED_VALUE"""),"gang")</f>
        <v>gang</v>
      </c>
      <c r="Q1213" s="6" t="str">
        <f>IFERROR(__xludf.DUMMYFUNCTION("""COMPUTED_VALUE"""),"accident")</f>
        <v>accident</v>
      </c>
      <c r="S1213" s="6" t="str">
        <f>IFERROR(__xludf.DUMMYFUNCTION("""COMPUTED_VALUE"""),"cause")</f>
        <v>cause</v>
      </c>
    </row>
    <row r="1214">
      <c r="D1214" s="6"/>
      <c r="H1214" s="6" t="str">
        <f>IFERROR(__xludf.DUMMYFUNCTION("""COMPUTED_VALUE"""),"sly")</f>
        <v>sly</v>
      </c>
      <c r="I1214" s="6"/>
      <c r="J1214" s="6" t="str">
        <f>IFERROR(__xludf.DUMMYFUNCTION("""COMPUTED_VALUE"""),"pencil")</f>
        <v>pencil</v>
      </c>
      <c r="M1214" s="6"/>
      <c r="P1214" s="6" t="str">
        <f>IFERROR(__xludf.DUMMYFUNCTION("""COMPUTED_VALUE"""),"superior")</f>
        <v>superior</v>
      </c>
      <c r="Q1214" s="6" t="str">
        <f>IFERROR(__xludf.DUMMYFUNCTION("""COMPUTED_VALUE"""),"puzzle")</f>
        <v>puzzle</v>
      </c>
      <c r="S1214" s="6" t="str">
        <f>IFERROR(__xludf.DUMMYFUNCTION("""COMPUTED_VALUE"""),"notion")</f>
        <v>notion</v>
      </c>
    </row>
    <row r="1215">
      <c r="D1215" s="6"/>
      <c r="H1215" s="6" t="str">
        <f>IFERROR(__xludf.DUMMYFUNCTION("""COMPUTED_VALUE"""),"emerges")</f>
        <v>emerges</v>
      </c>
      <c r="I1215" s="6"/>
      <c r="J1215" s="6" t="str">
        <f>IFERROR(__xludf.DUMMYFUNCTION("""COMPUTED_VALUE"""),"defiance")</f>
        <v>defiance</v>
      </c>
      <c r="M1215" s="6"/>
      <c r="P1215" s="6" t="str">
        <f>IFERROR(__xludf.DUMMYFUNCTION("""COMPUTED_VALUE"""),"lectures")</f>
        <v>lectures</v>
      </c>
      <c r="Q1215" s="6" t="str">
        <f>IFERROR(__xludf.DUMMYFUNCTION("""COMPUTED_VALUE"""),"sorority")</f>
        <v>sorority</v>
      </c>
      <c r="S1215" s="6" t="str">
        <f>IFERROR(__xludf.DUMMYFUNCTION("""COMPUTED_VALUE"""),"birthday")</f>
        <v>birthday</v>
      </c>
    </row>
    <row r="1216">
      <c r="D1216" s="6"/>
      <c r="H1216" s="6" t="str">
        <f>IFERROR(__xludf.DUMMYFUNCTION("""COMPUTED_VALUE"""),"expands")</f>
        <v>expands</v>
      </c>
      <c r="I1216" s="6"/>
      <c r="J1216" s="6" t="str">
        <f>IFERROR(__xludf.DUMMYFUNCTION("""COMPUTED_VALUE"""),"pollution")</f>
        <v>pollution</v>
      </c>
      <c r="M1216" s="6"/>
      <c r="P1216" s="6" t="str">
        <f>IFERROR(__xludf.DUMMYFUNCTION("""COMPUTED_VALUE"""),"terrorist")</f>
        <v>terrorist</v>
      </c>
      <c r="Q1216" s="6" t="str">
        <f>IFERROR(__xludf.DUMMYFUNCTION("""COMPUTED_VALUE"""),"naturally")</f>
        <v>naturally</v>
      </c>
      <c r="S1216" s="6" t="str">
        <f>IFERROR(__xludf.DUMMYFUNCTION("""COMPUTED_VALUE"""),"technical")</f>
        <v>technical</v>
      </c>
    </row>
    <row r="1217">
      <c r="D1217" s="6"/>
      <c r="H1217" s="6" t="str">
        <f>IFERROR(__xludf.DUMMYFUNCTION("""COMPUTED_VALUE"""),"tales")</f>
        <v>tales</v>
      </c>
      <c r="I1217" s="6"/>
      <c r="J1217" s="6" t="str">
        <f>IFERROR(__xludf.DUMMYFUNCTION("""COMPUTED_VALUE"""),"achieving")</f>
        <v>achieving</v>
      </c>
      <c r="M1217" s="6"/>
      <c r="P1217" s="6" t="str">
        <f>IFERROR(__xludf.DUMMYFUNCTION("""COMPUTED_VALUE"""),"variation")</f>
        <v>variation</v>
      </c>
      <c r="Q1217" s="6" t="str">
        <f>IFERROR(__xludf.DUMMYFUNCTION("""COMPUTED_VALUE"""),"corpse")</f>
        <v>corpse</v>
      </c>
      <c r="S1217" s="6" t="str">
        <f>IFERROR(__xludf.DUMMYFUNCTION("""COMPUTED_VALUE"""),"considered")</f>
        <v>considered</v>
      </c>
    </row>
    <row r="1218">
      <c r="D1218" s="6"/>
      <c r="H1218" s="6" t="str">
        <f>IFERROR(__xludf.DUMMYFUNCTION("""COMPUTED_VALUE"""),"deaths")</f>
        <v>deaths</v>
      </c>
      <c r="I1218" s="6"/>
      <c r="J1218" s="6" t="str">
        <f>IFERROR(__xludf.DUMMYFUNCTION("""COMPUTED_VALUE"""),"famous")</f>
        <v>famous</v>
      </c>
      <c r="M1218" s="6"/>
      <c r="P1218" s="6" t="str">
        <f>IFERROR(__xludf.DUMMYFUNCTION("""COMPUTED_VALUE"""),"gaze")</f>
        <v>gaze</v>
      </c>
      <c r="Q1218" s="6" t="str">
        <f>IFERROR(__xludf.DUMMYFUNCTION("""COMPUTED_VALUE"""),"siege")</f>
        <v>siege</v>
      </c>
      <c r="S1218" s="6" t="str">
        <f>IFERROR(__xludf.DUMMYFUNCTION("""COMPUTED_VALUE"""),"immediately")</f>
        <v>immediately</v>
      </c>
    </row>
    <row r="1219">
      <c r="D1219" s="6"/>
      <c r="H1219" s="6" t="str">
        <f>IFERROR(__xludf.DUMMYFUNCTION("""COMPUTED_VALUE"""),"careers")</f>
        <v>careers</v>
      </c>
      <c r="I1219" s="6"/>
      <c r="J1219" s="6" t="str">
        <f>IFERROR(__xludf.DUMMYFUNCTION("""COMPUTED_VALUE"""),"sorrow")</f>
        <v>sorrow</v>
      </c>
      <c r="M1219" s="6"/>
      <c r="P1219" s="6" t="str">
        <f>IFERROR(__xludf.DUMMYFUNCTION("""COMPUTED_VALUE"""),"album")</f>
        <v>album</v>
      </c>
      <c r="Q1219" s="6" t="str">
        <f>IFERROR(__xludf.DUMMYFUNCTION("""COMPUTED_VALUE"""),"climax")</f>
        <v>climax</v>
      </c>
      <c r="S1219" s="6" t="str">
        <f>IFERROR(__xludf.DUMMYFUNCTION("""COMPUTED_VALUE"""),"letting")</f>
        <v>letting</v>
      </c>
    </row>
    <row r="1220">
      <c r="D1220" s="6"/>
      <c r="H1220" s="6" t="str">
        <f>IFERROR(__xludf.DUMMYFUNCTION("""COMPUTED_VALUE"""),"titus")</f>
        <v>titus</v>
      </c>
      <c r="I1220" s="6"/>
      <c r="J1220" s="6" t="str">
        <f>IFERROR(__xludf.DUMMYFUNCTION("""COMPUTED_VALUE"""),"intensely")</f>
        <v>intensely</v>
      </c>
      <c r="M1220" s="6"/>
      <c r="P1220" s="6" t="str">
        <f>IFERROR(__xludf.DUMMYFUNCTION("""COMPUTED_VALUE"""),"square")</f>
        <v>square</v>
      </c>
      <c r="Q1220" s="6" t="str">
        <f>IFERROR(__xludf.DUMMYFUNCTION("""COMPUTED_VALUE"""),"neil")</f>
        <v>neil</v>
      </c>
      <c r="S1220" s="6" t="str">
        <f>IFERROR(__xludf.DUMMYFUNCTION("""COMPUTED_VALUE"""),"comfortable")</f>
        <v>comfortable</v>
      </c>
    </row>
    <row r="1221">
      <c r="D1221" s="6"/>
      <c r="H1221" s="6" t="str">
        <f>IFERROR(__xludf.DUMMYFUNCTION("""COMPUTED_VALUE"""),"undo")</f>
        <v>undo</v>
      </c>
      <c r="I1221" s="6"/>
      <c r="J1221" s="6" t="str">
        <f>IFERROR(__xludf.DUMMYFUNCTION("""COMPUTED_VALUE"""),"object")</f>
        <v>object</v>
      </c>
      <c r="M1221" s="6"/>
      <c r="P1221" s="6" t="str">
        <f>IFERROR(__xludf.DUMMYFUNCTION("""COMPUTED_VALUE"""),"birmingham")</f>
        <v>birmingham</v>
      </c>
      <c r="Q1221" s="6" t="str">
        <f>IFERROR(__xludf.DUMMYFUNCTION("""COMPUTED_VALUE"""),"jealousy")</f>
        <v>jealousy</v>
      </c>
      <c r="S1221" s="6" t="str">
        <f>IFERROR(__xludf.DUMMYFUNCTION("""COMPUTED_VALUE"""),"carved")</f>
        <v>carved</v>
      </c>
    </row>
    <row r="1222">
      <c r="D1222" s="6"/>
      <c r="H1222" s="6" t="str">
        <f>IFERROR(__xludf.DUMMYFUNCTION("""COMPUTED_VALUE"""),"vastly")</f>
        <v>vastly</v>
      </c>
      <c r="I1222" s="6"/>
      <c r="J1222" s="6" t="str">
        <f>IFERROR(__xludf.DUMMYFUNCTION("""COMPUTED_VALUE"""),"glucose")</f>
        <v>glucose</v>
      </c>
      <c r="M1222" s="6"/>
      <c r="P1222" s="6" t="str">
        <f>IFERROR(__xludf.DUMMYFUNCTION("""COMPUTED_VALUE"""),"rural")</f>
        <v>rural</v>
      </c>
      <c r="Q1222" s="6" t="str">
        <f>IFERROR(__xludf.DUMMYFUNCTION("""COMPUTED_VALUE"""),"tenderly")</f>
        <v>tenderly</v>
      </c>
      <c r="S1222" s="6" t="str">
        <f>IFERROR(__xludf.DUMMYFUNCTION("""COMPUTED_VALUE"""),"slowly")</f>
        <v>slowly</v>
      </c>
    </row>
    <row r="1223">
      <c r="D1223" s="6"/>
      <c r="H1223" s="6" t="str">
        <f>IFERROR(__xludf.DUMMYFUNCTION("""COMPUTED_VALUE"""),"espionage")</f>
        <v>espionage</v>
      </c>
      <c r="I1223" s="6"/>
      <c r="J1223" s="6" t="str">
        <f>IFERROR(__xludf.DUMMYFUNCTION("""COMPUTED_VALUE"""),"revelation")</f>
        <v>revelation</v>
      </c>
      <c r="M1223" s="6"/>
      <c r="P1223" s="6" t="str">
        <f>IFERROR(__xludf.DUMMYFUNCTION("""COMPUTED_VALUE"""),"fires")</f>
        <v>fires</v>
      </c>
      <c r="Q1223" s="6" t="str">
        <f>IFERROR(__xludf.DUMMYFUNCTION("""COMPUTED_VALUE"""),"christopher")</f>
        <v>christopher</v>
      </c>
      <c r="S1223" s="6" t="str">
        <f>IFERROR(__xludf.DUMMYFUNCTION("""COMPUTED_VALUE"""),"gender")</f>
        <v>gender</v>
      </c>
    </row>
    <row r="1224">
      <c r="D1224" s="6"/>
      <c r="H1224" s="6" t="str">
        <f>IFERROR(__xludf.DUMMYFUNCTION("""COMPUTED_VALUE"""),"refugees")</f>
        <v>refugees</v>
      </c>
      <c r="I1224" s="6"/>
      <c r="J1224" s="6" t="str">
        <f>IFERROR(__xludf.DUMMYFUNCTION("""COMPUTED_VALUE"""),"atmospheric")</f>
        <v>atmospheric</v>
      </c>
      <c r="M1224" s="6"/>
      <c r="P1224" s="6" t="str">
        <f>IFERROR(__xludf.DUMMYFUNCTION("""COMPUTED_VALUE"""),"front")</f>
        <v>front</v>
      </c>
      <c r="Q1224" s="6" t="str">
        <f>IFERROR(__xludf.DUMMYFUNCTION("""COMPUTED_VALUE"""),"classify")</f>
        <v>classify</v>
      </c>
      <c r="S1224" s="6" t="str">
        <f>IFERROR(__xludf.DUMMYFUNCTION("""COMPUTED_VALUE"""),"1940s")</f>
        <v>1940s</v>
      </c>
    </row>
    <row r="1225">
      <c r="D1225" s="6"/>
      <c r="H1225" s="6" t="str">
        <f>IFERROR(__xludf.DUMMYFUNCTION("""COMPUTED_VALUE"""),"alien")</f>
        <v>alien</v>
      </c>
      <c r="I1225" s="6"/>
      <c r="J1225" s="6" t="str">
        <f>IFERROR(__xludf.DUMMYFUNCTION("""COMPUTED_VALUE"""),"horizons")</f>
        <v>horizons</v>
      </c>
      <c r="M1225" s="6"/>
      <c r="P1225" s="6" t="str">
        <f>IFERROR(__xludf.DUMMYFUNCTION("""COMPUTED_VALUE"""),"gay")</f>
        <v>gay</v>
      </c>
      <c r="Q1225" s="6" t="str">
        <f>IFERROR(__xludf.DUMMYFUNCTION("""COMPUTED_VALUE"""),"scores")</f>
        <v>scores</v>
      </c>
      <c r="S1225" s="6" t="str">
        <f>IFERROR(__xludf.DUMMYFUNCTION("""COMPUTED_VALUE"""),"nervous")</f>
        <v>nervous</v>
      </c>
    </row>
    <row r="1226">
      <c r="D1226" s="6"/>
      <c r="H1226" s="6" t="str">
        <f>IFERROR(__xludf.DUMMYFUNCTION("""COMPUTED_VALUE"""),"coughed")</f>
        <v>coughed</v>
      </c>
      <c r="I1226" s="6"/>
      <c r="J1226" s="6" t="str">
        <f>IFERROR(__xludf.DUMMYFUNCTION("""COMPUTED_VALUE"""),"accurately")</f>
        <v>accurately</v>
      </c>
      <c r="M1226" s="6"/>
      <c r="P1226" s="6" t="str">
        <f>IFERROR(__xludf.DUMMYFUNCTION("""COMPUTED_VALUE"""),"conservative")</f>
        <v>conservative</v>
      </c>
      <c r="Q1226" s="6" t="str">
        <f>IFERROR(__xludf.DUMMYFUNCTION("""COMPUTED_VALUE"""),"direct")</f>
        <v>direct</v>
      </c>
      <c r="S1226" s="6" t="str">
        <f>IFERROR(__xludf.DUMMYFUNCTION("""COMPUTED_VALUE"""),"pushing")</f>
        <v>pushing</v>
      </c>
    </row>
    <row r="1227">
      <c r="D1227" s="6"/>
      <c r="H1227" s="6" t="str">
        <f>IFERROR(__xludf.DUMMYFUNCTION("""COMPUTED_VALUE"""),"varying")</f>
        <v>varying</v>
      </c>
      <c r="I1227" s="6"/>
      <c r="J1227" s="6" t="str">
        <f>IFERROR(__xludf.DUMMYFUNCTION("""COMPUTED_VALUE"""),"turmoil")</f>
        <v>turmoil</v>
      </c>
      <c r="M1227" s="6"/>
      <c r="P1227" s="6" t="str">
        <f>IFERROR(__xludf.DUMMYFUNCTION("""COMPUTED_VALUE"""),"suspected")</f>
        <v>suspected</v>
      </c>
      <c r="Q1227" s="6" t="str">
        <f>IFERROR(__xludf.DUMMYFUNCTION("""COMPUTED_VALUE"""),"autobiographical")</f>
        <v>autobiographical</v>
      </c>
      <c r="S1227" s="6" t="str">
        <f>IFERROR(__xludf.DUMMYFUNCTION("""COMPUTED_VALUE"""),"conflict")</f>
        <v>conflict</v>
      </c>
    </row>
    <row r="1228">
      <c r="D1228" s="6"/>
      <c r="H1228" s="6" t="str">
        <f>IFERROR(__xludf.DUMMYFUNCTION("""COMPUTED_VALUE"""),"hooks")</f>
        <v>hooks</v>
      </c>
      <c r="I1228" s="6"/>
      <c r="J1228" s="6">
        <f>IFERROR(__xludf.DUMMYFUNCTION("""COMPUTED_VALUE"""),83.0)</f>
        <v>83</v>
      </c>
      <c r="M1228" s="6"/>
      <c r="P1228" s="6" t="str">
        <f>IFERROR(__xludf.DUMMYFUNCTION("""COMPUTED_VALUE"""),"condition")</f>
        <v>condition</v>
      </c>
      <c r="Q1228" s="6" t="str">
        <f>IFERROR(__xludf.DUMMYFUNCTION("""COMPUTED_VALUE"""),"sincerely")</f>
        <v>sincerely</v>
      </c>
      <c r="S1228" s="6" t="str">
        <f>IFERROR(__xludf.DUMMYFUNCTION("""COMPUTED_VALUE"""),"vital")</f>
        <v>vital</v>
      </c>
    </row>
    <row r="1229">
      <c r="D1229" s="6"/>
      <c r="H1229" s="6" t="str">
        <f>IFERROR(__xludf.DUMMYFUNCTION("""COMPUTED_VALUE"""),"carries")</f>
        <v>carries</v>
      </c>
      <c r="I1229" s="6"/>
      <c r="J1229" s="6" t="str">
        <f>IFERROR(__xludf.DUMMYFUNCTION("""COMPUTED_VALUE"""),"hartley")</f>
        <v>hartley</v>
      </c>
      <c r="M1229" s="6"/>
      <c r="P1229" s="6" t="str">
        <f>IFERROR(__xludf.DUMMYFUNCTION("""COMPUTED_VALUE"""),"fool")</f>
        <v>fool</v>
      </c>
      <c r="Q1229" s="6" t="str">
        <f>IFERROR(__xludf.DUMMYFUNCTION("""COMPUTED_VALUE"""),"urgently")</f>
        <v>urgently</v>
      </c>
      <c r="S1229" s="6" t="str">
        <f>IFERROR(__xludf.DUMMYFUNCTION("""COMPUTED_VALUE"""),"although")</f>
        <v>although</v>
      </c>
    </row>
    <row r="1230">
      <c r="D1230" s="6"/>
      <c r="H1230" s="6" t="str">
        <f>IFERROR(__xludf.DUMMYFUNCTION("""COMPUTED_VALUE"""),"oliver")</f>
        <v>oliver</v>
      </c>
      <c r="I1230" s="6"/>
      <c r="J1230" s="6" t="str">
        <f>IFERROR(__xludf.DUMMYFUNCTION("""COMPUTED_VALUE"""),"significance")</f>
        <v>significance</v>
      </c>
      <c r="M1230" s="6"/>
      <c r="P1230" s="6" t="str">
        <f>IFERROR(__xludf.DUMMYFUNCTION("""COMPUTED_VALUE"""),"space")</f>
        <v>space</v>
      </c>
      <c r="Q1230" s="6" t="str">
        <f>IFERROR(__xludf.DUMMYFUNCTION("""COMPUTED_VALUE"""),"workings")</f>
        <v>workings</v>
      </c>
      <c r="S1230" s="6" t="str">
        <f>IFERROR(__xludf.DUMMYFUNCTION("""COMPUTED_VALUE"""),"capacity")</f>
        <v>capacity</v>
      </c>
    </row>
    <row r="1231">
      <c r="D1231" s="6"/>
      <c r="H1231" s="6" t="str">
        <f>IFERROR(__xludf.DUMMYFUNCTION("""COMPUTED_VALUE"""),"irresistible")</f>
        <v>irresistible</v>
      </c>
      <c r="I1231" s="6"/>
      <c r="J1231" s="6" t="str">
        <f>IFERROR(__xludf.DUMMYFUNCTION("""COMPUTED_VALUE"""),"anarchist")</f>
        <v>anarchist</v>
      </c>
      <c r="M1231" s="6"/>
      <c r="P1231" s="6" t="str">
        <f>IFERROR(__xludf.DUMMYFUNCTION("""COMPUTED_VALUE"""),"sought")</f>
        <v>sought</v>
      </c>
      <c r="Q1231" s="6" t="str">
        <f>IFERROR(__xludf.DUMMYFUNCTION("""COMPUTED_VALUE"""),"gaza")</f>
        <v>gaza</v>
      </c>
      <c r="S1231" s="6" t="str">
        <f>IFERROR(__xludf.DUMMYFUNCTION("""COMPUTED_VALUE"""),"shooting")</f>
        <v>shooting</v>
      </c>
    </row>
    <row r="1232">
      <c r="D1232" s="6"/>
      <c r="H1232" s="6" t="str">
        <f>IFERROR(__xludf.DUMMYFUNCTION("""COMPUTED_VALUE"""),"hussein")</f>
        <v>hussein</v>
      </c>
      <c r="I1232" s="6"/>
      <c r="J1232" s="6" t="str">
        <f>IFERROR(__xludf.DUMMYFUNCTION("""COMPUTED_VALUE"""),"meaningless")</f>
        <v>meaningless</v>
      </c>
      <c r="M1232" s="6"/>
      <c r="P1232" s="6" t="str">
        <f>IFERROR(__xludf.DUMMYFUNCTION("""COMPUTED_VALUE"""),"kissing")</f>
        <v>kissing</v>
      </c>
      <c r="Q1232" s="6" t="str">
        <f>IFERROR(__xludf.DUMMYFUNCTION("""COMPUTED_VALUE"""),"virtues")</f>
        <v>virtues</v>
      </c>
      <c r="S1232" s="6" t="str">
        <f>IFERROR(__xludf.DUMMYFUNCTION("""COMPUTED_VALUE"""),"wave")</f>
        <v>wave</v>
      </c>
    </row>
    <row r="1233">
      <c r="D1233" s="6"/>
      <c r="H1233" s="6" t="str">
        <f>IFERROR(__xludf.DUMMYFUNCTION("""COMPUTED_VALUE"""),"saddam")</f>
        <v>saddam</v>
      </c>
      <c r="I1233" s="6"/>
      <c r="J1233" s="6" t="str">
        <f>IFERROR(__xludf.DUMMYFUNCTION("""COMPUTED_VALUE"""),"documentaries")</f>
        <v>documentaries</v>
      </c>
      <c r="M1233" s="6"/>
      <c r="P1233" s="6" t="str">
        <f>IFERROR(__xludf.DUMMYFUNCTION("""COMPUTED_VALUE"""),"chief")</f>
        <v>chief</v>
      </c>
      <c r="Q1233" s="6" t="str">
        <f>IFERROR(__xludf.DUMMYFUNCTION("""COMPUTED_VALUE"""),"harm")</f>
        <v>harm</v>
      </c>
      <c r="S1233" s="6" t="str">
        <f>IFERROR(__xludf.DUMMYFUNCTION("""COMPUTED_VALUE"""),"develop")</f>
        <v>develop</v>
      </c>
    </row>
    <row r="1234">
      <c r="D1234" s="6"/>
      <c r="H1234" s="6" t="str">
        <f>IFERROR(__xludf.DUMMYFUNCTION("""COMPUTED_VALUE"""),"operative")</f>
        <v>operative</v>
      </c>
      <c r="I1234" s="6"/>
      <c r="J1234" s="6" t="str">
        <f>IFERROR(__xludf.DUMMYFUNCTION("""COMPUTED_VALUE"""),"anne")</f>
        <v>anne</v>
      </c>
      <c r="M1234" s="6"/>
      <c r="P1234" s="6" t="str">
        <f>IFERROR(__xludf.DUMMYFUNCTION("""COMPUTED_VALUE"""),"solutions")</f>
        <v>solutions</v>
      </c>
      <c r="Q1234" s="6" t="str">
        <f>IFERROR(__xludf.DUMMYFUNCTION("""COMPUTED_VALUE"""),"abyss")</f>
        <v>abyss</v>
      </c>
      <c r="S1234" s="6" t="str">
        <f>IFERROR(__xludf.DUMMYFUNCTION("""COMPUTED_VALUE"""),"connect")</f>
        <v>connect</v>
      </c>
    </row>
    <row r="1235">
      <c r="D1235" s="6"/>
      <c r="H1235" s="6" t="str">
        <f>IFERROR(__xludf.DUMMYFUNCTION("""COMPUTED_VALUE"""),"exposition")</f>
        <v>exposition</v>
      </c>
      <c r="I1235" s="6"/>
      <c r="J1235" s="6" t="str">
        <f>IFERROR(__xludf.DUMMYFUNCTION("""COMPUTED_VALUE"""),"politically")</f>
        <v>politically</v>
      </c>
      <c r="M1235" s="6"/>
      <c r="P1235" s="6" t="str">
        <f>IFERROR(__xludf.DUMMYFUNCTION("""COMPUTED_VALUE"""),"titled")</f>
        <v>titled</v>
      </c>
      <c r="Q1235" s="6" t="str">
        <f>IFERROR(__xludf.DUMMYFUNCTION("""COMPUTED_VALUE"""),"eroded")</f>
        <v>eroded</v>
      </c>
      <c r="S1235" s="6" t="str">
        <f>IFERROR(__xludf.DUMMYFUNCTION("""COMPUTED_VALUE"""),"onto")</f>
        <v>onto</v>
      </c>
    </row>
    <row r="1236">
      <c r="D1236" s="6"/>
      <c r="H1236" s="6" t="str">
        <f>IFERROR(__xludf.DUMMYFUNCTION("""COMPUTED_VALUE"""),"chemistry")</f>
        <v>chemistry</v>
      </c>
      <c r="I1236" s="6"/>
      <c r="J1236" s="6" t="str">
        <f>IFERROR(__xludf.DUMMYFUNCTION("""COMPUTED_VALUE"""),"mysteries")</f>
        <v>mysteries</v>
      </c>
      <c r="M1236" s="6"/>
      <c r="P1236" s="6" t="str">
        <f>IFERROR(__xludf.DUMMYFUNCTION("""COMPUTED_VALUE"""),"douglas")</f>
        <v>douglas</v>
      </c>
      <c r="Q1236" s="6" t="str">
        <f>IFERROR(__xludf.DUMMYFUNCTION("""COMPUTED_VALUE"""),"rhythm")</f>
        <v>rhythm</v>
      </c>
      <c r="S1236" s="6" t="str">
        <f>IFERROR(__xludf.DUMMYFUNCTION("""COMPUTED_VALUE"""),"interpretation")</f>
        <v>interpretation</v>
      </c>
    </row>
    <row r="1237">
      <c r="D1237" s="6"/>
      <c r="H1237" s="6" t="str">
        <f>IFERROR(__xludf.DUMMYFUNCTION("""COMPUTED_VALUE"""),"concludes")</f>
        <v>concludes</v>
      </c>
      <c r="I1237" s="6"/>
      <c r="J1237" s="6" t="str">
        <f>IFERROR(__xludf.DUMMYFUNCTION("""COMPUTED_VALUE"""),"lodging")</f>
        <v>lodging</v>
      </c>
      <c r="M1237" s="6"/>
      <c r="P1237" s="6" t="str">
        <f>IFERROR(__xludf.DUMMYFUNCTION("""COMPUTED_VALUE"""),"ad")</f>
        <v>ad</v>
      </c>
      <c r="Q1237" s="6" t="str">
        <f>IFERROR(__xludf.DUMMYFUNCTION("""COMPUTED_VALUE"""),"flawed")</f>
        <v>flawed</v>
      </c>
      <c r="S1237" s="6" t="str">
        <f>IFERROR(__xludf.DUMMYFUNCTION("""COMPUTED_VALUE"""),"represents")</f>
        <v>represents</v>
      </c>
    </row>
    <row r="1238">
      <c r="D1238" s="6"/>
      <c r="H1238" s="6" t="str">
        <f>IFERROR(__xludf.DUMMYFUNCTION("""COMPUTED_VALUE"""),"willis")</f>
        <v>willis</v>
      </c>
      <c r="I1238" s="6"/>
      <c r="J1238" s="6" t="str">
        <f>IFERROR(__xludf.DUMMYFUNCTION("""COMPUTED_VALUE"""),"adam")</f>
        <v>adam</v>
      </c>
      <c r="M1238" s="6"/>
      <c r="P1238" s="6">
        <f>IFERROR(__xludf.DUMMYFUNCTION("""COMPUTED_VALUE"""),83.0)</f>
        <v>83</v>
      </c>
      <c r="Q1238" s="6" t="str">
        <f>IFERROR(__xludf.DUMMYFUNCTION("""COMPUTED_VALUE"""),"comprehend")</f>
        <v>comprehend</v>
      </c>
      <c r="S1238" s="6" t="str">
        <f>IFERROR(__xludf.DUMMYFUNCTION("""COMPUTED_VALUE"""),"using")</f>
        <v>using</v>
      </c>
    </row>
    <row r="1239">
      <c r="D1239" s="6"/>
      <c r="H1239" s="6" t="str">
        <f>IFERROR(__xludf.DUMMYFUNCTION("""COMPUTED_VALUE"""),"creators")</f>
        <v>creators</v>
      </c>
      <c r="I1239" s="6"/>
      <c r="J1239" s="6" t="str">
        <f>IFERROR(__xludf.DUMMYFUNCTION("""COMPUTED_VALUE"""),"technologies")</f>
        <v>technologies</v>
      </c>
      <c r="M1239" s="6"/>
      <c r="P1239" s="6" t="str">
        <f>IFERROR(__xludf.DUMMYFUNCTION("""COMPUTED_VALUE"""),"significance")</f>
        <v>significance</v>
      </c>
      <c r="Q1239" s="6" t="str">
        <f>IFERROR(__xludf.DUMMYFUNCTION("""COMPUTED_VALUE"""),"treat")</f>
        <v>treat</v>
      </c>
      <c r="S1239" s="6" t="str">
        <f>IFERROR(__xludf.DUMMYFUNCTION("""COMPUTED_VALUE"""),"emotion")</f>
        <v>emotion</v>
      </c>
    </row>
    <row r="1240">
      <c r="D1240" s="6"/>
      <c r="H1240" s="6" t="str">
        <f>IFERROR(__xludf.DUMMYFUNCTION("""COMPUTED_VALUE"""),"slap")</f>
        <v>slap</v>
      </c>
      <c r="I1240" s="6"/>
      <c r="J1240" s="6" t="str">
        <f>IFERROR(__xludf.DUMMYFUNCTION("""COMPUTED_VALUE"""),"tunnels")</f>
        <v>tunnels</v>
      </c>
      <c r="M1240" s="6"/>
      <c r="P1240" s="6" t="str">
        <f>IFERROR(__xludf.DUMMYFUNCTION("""COMPUTED_VALUE"""),"urge")</f>
        <v>urge</v>
      </c>
      <c r="Q1240" s="6" t="str">
        <f>IFERROR(__xludf.DUMMYFUNCTION("""COMPUTED_VALUE"""),"lifts")</f>
        <v>lifts</v>
      </c>
      <c r="S1240" s="6" t="str">
        <f>IFERROR(__xludf.DUMMYFUNCTION("""COMPUTED_VALUE"""),"flower")</f>
        <v>flower</v>
      </c>
    </row>
    <row r="1241">
      <c r="D1241" s="6"/>
      <c r="H1241" s="6" t="str">
        <f>IFERROR(__xludf.DUMMYFUNCTION("""COMPUTED_VALUE"""),"wrestling")</f>
        <v>wrestling</v>
      </c>
      <c r="I1241" s="6"/>
      <c r="J1241" s="6" t="str">
        <f>IFERROR(__xludf.DUMMYFUNCTION("""COMPUTED_VALUE"""),"attackers")</f>
        <v>attackers</v>
      </c>
      <c r="M1241" s="6"/>
      <c r="P1241" s="6" t="str">
        <f>IFERROR(__xludf.DUMMYFUNCTION("""COMPUTED_VALUE"""),"arrives")</f>
        <v>arrives</v>
      </c>
      <c r="Q1241" s="6" t="str">
        <f>IFERROR(__xludf.DUMMYFUNCTION("""COMPUTED_VALUE"""),"gloss")</f>
        <v>gloss</v>
      </c>
      <c r="S1241" s="6" t="str">
        <f>IFERROR(__xludf.DUMMYFUNCTION("""COMPUTED_VALUE"""),"glow")</f>
        <v>glow</v>
      </c>
    </row>
    <row r="1242">
      <c r="D1242" s="6"/>
      <c r="H1242" s="6" t="str">
        <f>IFERROR(__xludf.DUMMYFUNCTION("""COMPUTED_VALUE"""),"doomed")</f>
        <v>doomed</v>
      </c>
      <c r="I1242" s="6"/>
      <c r="J1242" s="6" t="str">
        <f>IFERROR(__xludf.DUMMYFUNCTION("""COMPUTED_VALUE"""),"anonymous")</f>
        <v>anonymous</v>
      </c>
      <c r="M1242" s="6"/>
      <c r="P1242" s="6" t="str">
        <f>IFERROR(__xludf.DUMMYFUNCTION("""COMPUTED_VALUE"""),"learn")</f>
        <v>learn</v>
      </c>
      <c r="Q1242" s="6" t="str">
        <f>IFERROR(__xludf.DUMMYFUNCTION("""COMPUTED_VALUE"""),"regain")</f>
        <v>regain</v>
      </c>
      <c r="S1242" s="6" t="str">
        <f>IFERROR(__xludf.DUMMYFUNCTION("""COMPUTED_VALUE"""),"bunch")</f>
        <v>bunch</v>
      </c>
    </row>
    <row r="1243">
      <c r="D1243" s="6"/>
      <c r="H1243" s="6" t="str">
        <f>IFERROR(__xludf.DUMMYFUNCTION("""COMPUTED_VALUE"""),"weep")</f>
        <v>weep</v>
      </c>
      <c r="I1243" s="6"/>
      <c r="J1243" s="6" t="str">
        <f>IFERROR(__xludf.DUMMYFUNCTION("""COMPUTED_VALUE"""),"primitive")</f>
        <v>primitive</v>
      </c>
      <c r="M1243" s="6"/>
      <c r="P1243" s="6" t="str">
        <f>IFERROR(__xludf.DUMMYFUNCTION("""COMPUTED_VALUE"""),"productions")</f>
        <v>productions</v>
      </c>
      <c r="Q1243" s="6" t="str">
        <f>IFERROR(__xludf.DUMMYFUNCTION("""COMPUTED_VALUE"""),"conventions")</f>
        <v>conventions</v>
      </c>
      <c r="S1243" s="6" t="str">
        <f>IFERROR(__xludf.DUMMYFUNCTION("""COMPUTED_VALUE"""),"combined")</f>
        <v>combined</v>
      </c>
    </row>
    <row r="1244">
      <c r="D1244" s="6"/>
      <c r="H1244" s="6" t="str">
        <f>IFERROR(__xludf.DUMMYFUNCTION("""COMPUTED_VALUE"""),"norton")</f>
        <v>norton</v>
      </c>
      <c r="I1244" s="6"/>
      <c r="J1244" s="6" t="str">
        <f>IFERROR(__xludf.DUMMYFUNCTION("""COMPUTED_VALUE"""),"laurence")</f>
        <v>laurence</v>
      </c>
      <c r="M1244" s="6"/>
      <c r="P1244" s="6" t="str">
        <f>IFERROR(__xludf.DUMMYFUNCTION("""COMPUTED_VALUE"""),"sink")</f>
        <v>sink</v>
      </c>
      <c r="Q1244" s="6" t="str">
        <f>IFERROR(__xludf.DUMMYFUNCTION("""COMPUTED_VALUE"""),"manipulation")</f>
        <v>manipulation</v>
      </c>
      <c r="S1244" s="6" t="str">
        <f>IFERROR(__xludf.DUMMYFUNCTION("""COMPUTED_VALUE"""),"luck")</f>
        <v>luck</v>
      </c>
    </row>
    <row r="1245">
      <c r="D1245" s="6"/>
      <c r="H1245" s="6" t="str">
        <f>IFERROR(__xludf.DUMMYFUNCTION("""COMPUTED_VALUE"""),"edward")</f>
        <v>edward</v>
      </c>
      <c r="I1245" s="6"/>
      <c r="J1245" s="6" t="str">
        <f>IFERROR(__xludf.DUMMYFUNCTION("""COMPUTED_VALUE"""),"olivier")</f>
        <v>olivier</v>
      </c>
      <c r="M1245" s="6"/>
      <c r="P1245" s="6" t="str">
        <f>IFERROR(__xludf.DUMMYFUNCTION("""COMPUTED_VALUE"""),"shape")</f>
        <v>shape</v>
      </c>
      <c r="Q1245" s="6" t="str">
        <f>IFERROR(__xludf.DUMMYFUNCTION("""COMPUTED_VALUE"""),"optimism")</f>
        <v>optimism</v>
      </c>
      <c r="S1245" s="6" t="str">
        <f>IFERROR(__xludf.DUMMYFUNCTION("""COMPUTED_VALUE"""),"shifted")</f>
        <v>shifted</v>
      </c>
    </row>
    <row r="1246">
      <c r="D1246" s="6"/>
      <c r="H1246" s="6" t="str">
        <f>IFERROR(__xludf.DUMMYFUNCTION("""COMPUTED_VALUE"""),"illuminating")</f>
        <v>illuminating</v>
      </c>
      <c r="I1246" s="6"/>
      <c r="J1246" s="6" t="str">
        <f>IFERROR(__xludf.DUMMYFUNCTION("""COMPUTED_VALUE"""),"gun")</f>
        <v>gun</v>
      </c>
      <c r="M1246" s="6"/>
      <c r="P1246" s="6" t="str">
        <f>IFERROR(__xludf.DUMMYFUNCTION("""COMPUTED_VALUE"""),"bid")</f>
        <v>bid</v>
      </c>
      <c r="Q1246" s="6" t="str">
        <f>IFERROR(__xludf.DUMMYFUNCTION("""COMPUTED_VALUE"""),"hughes")</f>
        <v>hughes</v>
      </c>
      <c r="S1246" s="6" t="str">
        <f>IFERROR(__xludf.DUMMYFUNCTION("""COMPUTED_VALUE"""),"institution")</f>
        <v>institution</v>
      </c>
    </row>
    <row r="1247">
      <c r="D1247" s="6"/>
      <c r="H1247" s="6" t="str">
        <f>IFERROR(__xludf.DUMMYFUNCTION("""COMPUTED_VALUE"""),"camouflage")</f>
        <v>camouflage</v>
      </c>
      <c r="I1247" s="6"/>
      <c r="J1247" s="6" t="str">
        <f>IFERROR(__xludf.DUMMYFUNCTION("""COMPUTED_VALUE"""),"prevalent")</f>
        <v>prevalent</v>
      </c>
      <c r="M1247" s="6"/>
      <c r="P1247" s="6" t="str">
        <f>IFERROR(__xludf.DUMMYFUNCTION("""COMPUTED_VALUE"""),"detailed")</f>
        <v>detailed</v>
      </c>
      <c r="Q1247" s="6" t="str">
        <f>IFERROR(__xludf.DUMMYFUNCTION("""COMPUTED_VALUE"""),"elder")</f>
        <v>elder</v>
      </c>
      <c r="S1247" s="6" t="str">
        <f>IFERROR(__xludf.DUMMYFUNCTION("""COMPUTED_VALUE"""),"girlfriend")</f>
        <v>girlfriend</v>
      </c>
    </row>
    <row r="1248">
      <c r="D1248" s="6"/>
      <c r="H1248" s="6" t="str">
        <f>IFERROR(__xludf.DUMMYFUNCTION("""COMPUTED_VALUE"""),"jonah")</f>
        <v>jonah</v>
      </c>
      <c r="I1248" s="6"/>
      <c r="J1248" s="6" t="str">
        <f>IFERROR(__xludf.DUMMYFUNCTION("""COMPUTED_VALUE"""),"freddie")</f>
        <v>freddie</v>
      </c>
      <c r="M1248" s="6"/>
      <c r="P1248" s="6" t="str">
        <f>IFERROR(__xludf.DUMMYFUNCTION("""COMPUTED_VALUE"""),"dean")</f>
        <v>dean</v>
      </c>
      <c r="Q1248" s="6" t="str">
        <f>IFERROR(__xludf.DUMMYFUNCTION("""COMPUTED_VALUE"""),"sheds")</f>
        <v>sheds</v>
      </c>
      <c r="S1248" s="6" t="str">
        <f>IFERROR(__xludf.DUMMYFUNCTION("""COMPUTED_VALUE"""),"television")</f>
        <v>television</v>
      </c>
    </row>
    <row r="1249">
      <c r="D1249" s="6"/>
      <c r="H1249" s="6" t="str">
        <f>IFERROR(__xludf.DUMMYFUNCTION("""COMPUTED_VALUE"""),"freud")</f>
        <v>freud</v>
      </c>
      <c r="I1249" s="6"/>
      <c r="J1249" s="6" t="str">
        <f>IFERROR(__xludf.DUMMYFUNCTION("""COMPUTED_VALUE"""),"taylor")</f>
        <v>taylor</v>
      </c>
      <c r="M1249" s="6"/>
      <c r="P1249" s="6" t="str">
        <f>IFERROR(__xludf.DUMMYFUNCTION("""COMPUTED_VALUE"""),"hope")</f>
        <v>hope</v>
      </c>
      <c r="Q1249" s="6" t="str">
        <f>IFERROR(__xludf.DUMMYFUNCTION("""COMPUTED_VALUE"""),"terror")</f>
        <v>terror</v>
      </c>
      <c r="S1249" s="6" t="str">
        <f>IFERROR(__xludf.DUMMYFUNCTION("""COMPUTED_VALUE"""),"bright")</f>
        <v>bright</v>
      </c>
    </row>
    <row r="1250">
      <c r="D1250" s="6"/>
      <c r="H1250" s="6" t="str">
        <f>IFERROR(__xludf.DUMMYFUNCTION("""COMPUTED_VALUE"""),"shining")</f>
        <v>shining</v>
      </c>
      <c r="I1250" s="6"/>
      <c r="J1250" s="6" t="str">
        <f>IFERROR(__xludf.DUMMYFUNCTION("""COMPUTED_VALUE"""),"harvard")</f>
        <v>harvard</v>
      </c>
      <c r="M1250" s="6"/>
      <c r="P1250" s="6" t="str">
        <f>IFERROR(__xludf.DUMMYFUNCTION("""COMPUTED_VALUE"""),"mosque")</f>
        <v>mosque</v>
      </c>
      <c r="Q1250" s="6" t="str">
        <f>IFERROR(__xludf.DUMMYFUNCTION("""COMPUTED_VALUE"""),"horrific")</f>
        <v>horrific</v>
      </c>
      <c r="S1250" s="6" t="str">
        <f>IFERROR(__xludf.DUMMYFUNCTION("""COMPUTED_VALUE"""),"recovery")</f>
        <v>recovery</v>
      </c>
    </row>
    <row r="1251">
      <c r="D1251" s="6"/>
      <c r="H1251" s="6" t="str">
        <f>IFERROR(__xludf.DUMMYFUNCTION("""COMPUTED_VALUE"""),"photographed")</f>
        <v>photographed</v>
      </c>
      <c r="I1251" s="6"/>
      <c r="J1251" s="6" t="str">
        <f>IFERROR(__xludf.DUMMYFUNCTION("""COMPUTED_VALUE"""),"encompasses")</f>
        <v>encompasses</v>
      </c>
      <c r="M1251" s="6"/>
      <c r="P1251" s="6" t="str">
        <f>IFERROR(__xludf.DUMMYFUNCTION("""COMPUTED_VALUE"""),"queen")</f>
        <v>queen</v>
      </c>
      <c r="Q1251" s="6" t="str">
        <f>IFERROR(__xludf.DUMMYFUNCTION("""COMPUTED_VALUE"""),"intentions")</f>
        <v>intentions</v>
      </c>
      <c r="S1251" s="6" t="str">
        <f>IFERROR(__xludf.DUMMYFUNCTION("""COMPUTED_VALUE"""),"separation")</f>
        <v>separation</v>
      </c>
    </row>
    <row r="1252">
      <c r="D1252" s="6"/>
      <c r="H1252" s="6" t="str">
        <f>IFERROR(__xludf.DUMMYFUNCTION("""COMPUTED_VALUE"""),"mendes")</f>
        <v>mendes</v>
      </c>
      <c r="I1252" s="6"/>
      <c r="J1252" s="6" t="str">
        <f>IFERROR(__xludf.DUMMYFUNCTION("""COMPUTED_VALUE"""),"reynolds")</f>
        <v>reynolds</v>
      </c>
      <c r="M1252" s="6"/>
      <c r="P1252" s="6" t="str">
        <f>IFERROR(__xludf.DUMMYFUNCTION("""COMPUTED_VALUE"""),"anne")</f>
        <v>anne</v>
      </c>
      <c r="Q1252" s="6" t="str">
        <f>IFERROR(__xludf.DUMMYFUNCTION("""COMPUTED_VALUE"""),"smiles")</f>
        <v>smiles</v>
      </c>
      <c r="S1252" s="6" t="str">
        <f>IFERROR(__xludf.DUMMYFUNCTION("""COMPUTED_VALUE"""),"hated")</f>
        <v>hated</v>
      </c>
    </row>
    <row r="1253">
      <c r="D1253" s="6"/>
      <c r="H1253" s="6" t="str">
        <f>IFERROR(__xludf.DUMMYFUNCTION("""COMPUTED_VALUE"""),"unprecedented")</f>
        <v>unprecedented</v>
      </c>
      <c r="I1253" s="6"/>
      <c r="J1253" s="6" t="str">
        <f>IFERROR(__xludf.DUMMYFUNCTION("""COMPUTED_VALUE"""),"depleted")</f>
        <v>depleted</v>
      </c>
      <c r="M1253" s="6"/>
      <c r="P1253" s="6" t="str">
        <f>IFERROR(__xludf.DUMMYFUNCTION("""COMPUTED_VALUE"""),"technologies")</f>
        <v>technologies</v>
      </c>
      <c r="Q1253" s="6" t="str">
        <f>IFERROR(__xludf.DUMMYFUNCTION("""COMPUTED_VALUE"""),"owes")</f>
        <v>owes</v>
      </c>
      <c r="S1253" s="6" t="str">
        <f>IFERROR(__xludf.DUMMYFUNCTION("""COMPUTED_VALUE"""),"capture")</f>
        <v>capture</v>
      </c>
    </row>
    <row r="1254">
      <c r="D1254" s="6"/>
      <c r="H1254" s="6" t="str">
        <f>IFERROR(__xludf.DUMMYFUNCTION("""COMPUTED_VALUE"""),"battlefield")</f>
        <v>battlefield</v>
      </c>
      <c r="I1254" s="6"/>
      <c r="J1254" s="6" t="str">
        <f>IFERROR(__xludf.DUMMYFUNCTION("""COMPUTED_VALUE"""),"decomposition")</f>
        <v>decomposition</v>
      </c>
      <c r="M1254" s="6"/>
      <c r="P1254" s="6" t="str">
        <f>IFERROR(__xludf.DUMMYFUNCTION("""COMPUTED_VALUE"""),"harvard")</f>
        <v>harvard</v>
      </c>
      <c r="Q1254" s="6" t="str">
        <f>IFERROR(__xludf.DUMMYFUNCTION("""COMPUTED_VALUE"""),"genesis")</f>
        <v>genesis</v>
      </c>
      <c r="S1254" s="6" t="str">
        <f>IFERROR(__xludf.DUMMYFUNCTION("""COMPUTED_VALUE"""),"chaos")</f>
        <v>chaos</v>
      </c>
    </row>
    <row r="1255">
      <c r="D1255" s="6"/>
      <c r="H1255" s="6" t="str">
        <f>IFERROR(__xludf.DUMMYFUNCTION("""COMPUTED_VALUE"""),"drawing")</f>
        <v>drawing</v>
      </c>
      <c r="I1255" s="6"/>
      <c r="J1255" s="6" t="str">
        <f>IFERROR(__xludf.DUMMYFUNCTION("""COMPUTED_VALUE"""),"swaying")</f>
        <v>swaying</v>
      </c>
      <c r="M1255" s="6"/>
      <c r="P1255" s="6" t="str">
        <f>IFERROR(__xludf.DUMMYFUNCTION("""COMPUTED_VALUE"""),"reynolds")</f>
        <v>reynolds</v>
      </c>
      <c r="Q1255" s="6" t="str">
        <f>IFERROR(__xludf.DUMMYFUNCTION("""COMPUTED_VALUE"""),"naval")</f>
        <v>naval</v>
      </c>
      <c r="S1255" s="6" t="str">
        <f>IFERROR(__xludf.DUMMYFUNCTION("""COMPUTED_VALUE"""),"blow")</f>
        <v>blow</v>
      </c>
    </row>
    <row r="1256">
      <c r="D1256" s="6"/>
      <c r="H1256" s="6" t="str">
        <f>IFERROR(__xludf.DUMMYFUNCTION("""COMPUTED_VALUE"""),"arbitrary")</f>
        <v>arbitrary</v>
      </c>
      <c r="I1256" s="6"/>
      <c r="J1256" s="6" t="str">
        <f>IFERROR(__xludf.DUMMYFUNCTION("""COMPUTED_VALUE"""),"gently")</f>
        <v>gently</v>
      </c>
      <c r="M1256" s="6"/>
      <c r="P1256" s="6" t="str">
        <f>IFERROR(__xludf.DUMMYFUNCTION("""COMPUTED_VALUE"""),"aboriginal")</f>
        <v>aboriginal</v>
      </c>
      <c r="Q1256" s="6" t="str">
        <f>IFERROR(__xludf.DUMMYFUNCTION("""COMPUTED_VALUE"""),"frightening")</f>
        <v>frightening</v>
      </c>
      <c r="S1256" s="6" t="str">
        <f>IFERROR(__xludf.DUMMYFUNCTION("""COMPUTED_VALUE"""),"mechanics")</f>
        <v>mechanics</v>
      </c>
    </row>
    <row r="1257">
      <c r="D1257" s="6"/>
      <c r="H1257" s="6" t="str">
        <f>IFERROR(__xludf.DUMMYFUNCTION("""COMPUTED_VALUE"""),"darkly")</f>
        <v>darkly</v>
      </c>
      <c r="I1257" s="6"/>
      <c r="J1257" s="6" t="str">
        <f>IFERROR(__xludf.DUMMYFUNCTION("""COMPUTED_VALUE"""),"strategic")</f>
        <v>strategic</v>
      </c>
      <c r="M1257" s="6"/>
      <c r="P1257" s="6" t="str">
        <f>IFERROR(__xludf.DUMMYFUNCTION("""COMPUTED_VALUE"""),"tomorrow")</f>
        <v>tomorrow</v>
      </c>
      <c r="Q1257" s="6" t="str">
        <f>IFERROR(__xludf.DUMMYFUNCTION("""COMPUTED_VALUE"""),"surely")</f>
        <v>surely</v>
      </c>
      <c r="S1257" s="6" t="str">
        <f>IFERROR(__xludf.DUMMYFUNCTION("""COMPUTED_VALUE"""),"memories")</f>
        <v>memories</v>
      </c>
    </row>
    <row r="1258">
      <c r="D1258" s="6"/>
      <c r="H1258" s="6" t="str">
        <f>IFERROR(__xludf.DUMMYFUNCTION("""COMPUTED_VALUE"""),"enters")</f>
        <v>enters</v>
      </c>
      <c r="I1258" s="6"/>
      <c r="J1258" s="6" t="str">
        <f>IFERROR(__xludf.DUMMYFUNCTION("""COMPUTED_VALUE"""),"helm")</f>
        <v>helm</v>
      </c>
      <c r="M1258" s="6"/>
      <c r="P1258" s="6" t="str">
        <f>IFERROR(__xludf.DUMMYFUNCTION("""COMPUTED_VALUE"""),"forth")</f>
        <v>forth</v>
      </c>
      <c r="Q1258" s="6" t="str">
        <f>IFERROR(__xludf.DUMMYFUNCTION("""COMPUTED_VALUE"""),"amid")</f>
        <v>amid</v>
      </c>
      <c r="S1258" s="6" t="str">
        <f>IFERROR(__xludf.DUMMYFUNCTION("""COMPUTED_VALUE"""),"yesterday")</f>
        <v>yesterday</v>
      </c>
    </row>
    <row r="1259">
      <c r="D1259" s="6"/>
      <c r="H1259" s="6" t="str">
        <f>IFERROR(__xludf.DUMMYFUNCTION("""COMPUTED_VALUE"""),"accurate")</f>
        <v>accurate</v>
      </c>
      <c r="I1259" s="6"/>
      <c r="J1259" s="6" t="str">
        <f>IFERROR(__xludf.DUMMYFUNCTION("""COMPUTED_VALUE"""),"philosophers")</f>
        <v>philosophers</v>
      </c>
      <c r="M1259" s="6"/>
      <c r="P1259" s="6" t="str">
        <f>IFERROR(__xludf.DUMMYFUNCTION("""COMPUTED_VALUE"""),"collected")</f>
        <v>collected</v>
      </c>
      <c r="Q1259" s="6" t="str">
        <f>IFERROR(__xludf.DUMMYFUNCTION("""COMPUTED_VALUE"""),"morality")</f>
        <v>morality</v>
      </c>
      <c r="S1259" s="6" t="str">
        <f>IFERROR(__xludf.DUMMYFUNCTION("""COMPUTED_VALUE"""),"favorite")</f>
        <v>favorite</v>
      </c>
    </row>
    <row r="1260">
      <c r="D1260" s="6"/>
      <c r="H1260" s="6" t="str">
        <f>IFERROR(__xludf.DUMMYFUNCTION("""COMPUTED_VALUE"""),"relevance")</f>
        <v>relevance</v>
      </c>
      <c r="I1260" s="6"/>
      <c r="J1260" s="6" t="str">
        <f>IFERROR(__xludf.DUMMYFUNCTION("""COMPUTED_VALUE"""),"ritchie")</f>
        <v>ritchie</v>
      </c>
      <c r="M1260" s="6"/>
      <c r="P1260" s="6" t="str">
        <f>IFERROR(__xludf.DUMMYFUNCTION("""COMPUTED_VALUE"""),"injuries")</f>
        <v>injuries</v>
      </c>
      <c r="Q1260" s="6" t="str">
        <f>IFERROR(__xludf.DUMMYFUNCTION("""COMPUTED_VALUE"""),"futuristic")</f>
        <v>futuristic</v>
      </c>
      <c r="S1260" s="6" t="str">
        <f>IFERROR(__xludf.DUMMYFUNCTION("""COMPUTED_VALUE"""),"hall")</f>
        <v>hall</v>
      </c>
    </row>
    <row r="1261">
      <c r="D1261" s="6"/>
      <c r="H1261" s="6" t="str">
        <f>IFERROR(__xludf.DUMMYFUNCTION("""COMPUTED_VALUE"""),"daytime")</f>
        <v>daytime</v>
      </c>
      <c r="I1261" s="6"/>
      <c r="J1261" s="6" t="str">
        <f>IFERROR(__xludf.DUMMYFUNCTION("""COMPUTED_VALUE"""),"bonding")</f>
        <v>bonding</v>
      </c>
      <c r="M1261" s="6"/>
      <c r="P1261" s="6" t="str">
        <f>IFERROR(__xludf.DUMMYFUNCTION("""COMPUTED_VALUE"""),"strategic")</f>
        <v>strategic</v>
      </c>
      <c r="Q1261" s="6" t="str">
        <f>IFERROR(__xludf.DUMMYFUNCTION("""COMPUTED_VALUE"""),"autopsy")</f>
        <v>autopsy</v>
      </c>
      <c r="S1261" s="6" t="str">
        <f>IFERROR(__xludf.DUMMYFUNCTION("""COMPUTED_VALUE"""),"heard")</f>
        <v>heard</v>
      </c>
    </row>
    <row r="1262">
      <c r="D1262" s="6"/>
      <c r="H1262" s="6" t="str">
        <f>IFERROR(__xludf.DUMMYFUNCTION("""COMPUTED_VALUE"""),"derived")</f>
        <v>derived</v>
      </c>
      <c r="I1262" s="6"/>
      <c r="J1262" s="6" t="str">
        <f>IFERROR(__xludf.DUMMYFUNCTION("""COMPUTED_VALUE"""),"disciplined")</f>
        <v>disciplined</v>
      </c>
      <c r="M1262" s="6"/>
      <c r="P1262" s="6" t="str">
        <f>IFERROR(__xludf.DUMMYFUNCTION("""COMPUTED_VALUE"""),"extra")</f>
        <v>extra</v>
      </c>
      <c r="Q1262" s="6" t="str">
        <f>IFERROR(__xludf.DUMMYFUNCTION("""COMPUTED_VALUE"""),"corner")</f>
        <v>corner</v>
      </c>
      <c r="S1262" s="6" t="str">
        <f>IFERROR(__xludf.DUMMYFUNCTION("""COMPUTED_VALUE"""),"inspiration")</f>
        <v>inspiration</v>
      </c>
    </row>
    <row r="1263">
      <c r="D1263" s="6"/>
      <c r="H1263" s="6" t="str">
        <f>IFERROR(__xludf.DUMMYFUNCTION("""COMPUTED_VALUE"""),"victims")</f>
        <v>victims</v>
      </c>
      <c r="I1263" s="6"/>
      <c r="J1263" s="6" t="str">
        <f>IFERROR(__xludf.DUMMYFUNCTION("""COMPUTED_VALUE"""),"endurance")</f>
        <v>endurance</v>
      </c>
      <c r="M1263" s="6"/>
      <c r="P1263" s="6" t="str">
        <f>IFERROR(__xludf.DUMMYFUNCTION("""COMPUTED_VALUE"""),"checking")</f>
        <v>checking</v>
      </c>
      <c r="Q1263" s="6" t="str">
        <f>IFERROR(__xludf.DUMMYFUNCTION("""COMPUTED_VALUE"""),"bravery")</f>
        <v>bravery</v>
      </c>
      <c r="S1263" s="6" t="str">
        <f>IFERROR(__xludf.DUMMYFUNCTION("""COMPUTED_VALUE"""),"brush")</f>
        <v>brush</v>
      </c>
    </row>
    <row r="1264">
      <c r="D1264" s="6"/>
      <c r="H1264" s="6" t="str">
        <f>IFERROR(__xludf.DUMMYFUNCTION("""COMPUTED_VALUE"""),"proceedings")</f>
        <v>proceedings</v>
      </c>
      <c r="I1264" s="6"/>
      <c r="J1264" s="6" t="str">
        <f>IFERROR(__xludf.DUMMYFUNCTION("""COMPUTED_VALUE"""),"tightened")</f>
        <v>tightened</v>
      </c>
      <c r="M1264" s="6"/>
      <c r="P1264" s="6" t="str">
        <f>IFERROR(__xludf.DUMMYFUNCTION("""COMPUTED_VALUE"""),"tightened")</f>
        <v>tightened</v>
      </c>
      <c r="Q1264" s="6" t="str">
        <f>IFERROR(__xludf.DUMMYFUNCTION("""COMPUTED_VALUE"""),"circuit")</f>
        <v>circuit</v>
      </c>
      <c r="S1264" s="6" t="str">
        <f>IFERROR(__xludf.DUMMYFUNCTION("""COMPUTED_VALUE"""),"recognize")</f>
        <v>recognize</v>
      </c>
    </row>
    <row r="1265">
      <c r="D1265" s="6"/>
      <c r="H1265" s="6" t="str">
        <f>IFERROR(__xludf.DUMMYFUNCTION("""COMPUTED_VALUE"""),"adds")</f>
        <v>adds</v>
      </c>
      <c r="I1265" s="6"/>
      <c r="J1265" s="6" t="str">
        <f>IFERROR(__xludf.DUMMYFUNCTION("""COMPUTED_VALUE"""),"collaborative")</f>
        <v>collaborative</v>
      </c>
      <c r="M1265" s="6"/>
      <c r="P1265" s="6" t="str">
        <f>IFERROR(__xludf.DUMMYFUNCTION("""COMPUTED_VALUE"""),"ai")</f>
        <v>ai</v>
      </c>
      <c r="Q1265" s="6" t="str">
        <f>IFERROR(__xludf.DUMMYFUNCTION("""COMPUTED_VALUE"""),"minnie")</f>
        <v>minnie</v>
      </c>
      <c r="S1265" s="6" t="str">
        <f>IFERROR(__xludf.DUMMYFUNCTION("""COMPUTED_VALUE"""),"artists")</f>
        <v>artists</v>
      </c>
    </row>
    <row r="1266">
      <c r="D1266" s="6"/>
      <c r="H1266" s="6" t="str">
        <f>IFERROR(__xludf.DUMMYFUNCTION("""COMPUTED_VALUE"""),"solemn")</f>
        <v>solemn</v>
      </c>
      <c r="I1266" s="6"/>
      <c r="J1266" s="6" t="str">
        <f>IFERROR(__xludf.DUMMYFUNCTION("""COMPUTED_VALUE"""),"ai")</f>
        <v>ai</v>
      </c>
      <c r="M1266" s="6"/>
      <c r="P1266" s="6" t="str">
        <f>IFERROR(__xludf.DUMMYFUNCTION("""COMPUTED_VALUE"""),"rival")</f>
        <v>rival</v>
      </c>
      <c r="Q1266" s="6" t="str">
        <f>IFERROR(__xludf.DUMMYFUNCTION("""COMPUTED_VALUE"""),"spontaneous")</f>
        <v>spontaneous</v>
      </c>
      <c r="S1266" s="6" t="str">
        <f>IFERROR(__xludf.DUMMYFUNCTION("""COMPUTED_VALUE"""),"intent")</f>
        <v>intent</v>
      </c>
    </row>
    <row r="1267">
      <c r="D1267" s="6"/>
      <c r="H1267" s="6" t="str">
        <f>IFERROR(__xludf.DUMMYFUNCTION("""COMPUTED_VALUE"""),"improvement")</f>
        <v>improvement</v>
      </c>
      <c r="I1267" s="6"/>
      <c r="J1267" s="6" t="str">
        <f>IFERROR(__xludf.DUMMYFUNCTION("""COMPUTED_VALUE"""),"continuity")</f>
        <v>continuity</v>
      </c>
      <c r="M1267" s="6"/>
      <c r="P1267" s="6" t="str">
        <f>IFERROR(__xludf.DUMMYFUNCTION("""COMPUTED_VALUE"""),"ernest")</f>
        <v>ernest</v>
      </c>
      <c r="Q1267" s="6" t="str">
        <f>IFERROR(__xludf.DUMMYFUNCTION("""COMPUTED_VALUE"""),"interaction")</f>
        <v>interaction</v>
      </c>
      <c r="S1267" s="6" t="str">
        <f>IFERROR(__xludf.DUMMYFUNCTION("""COMPUTED_VALUE"""),"spider")</f>
        <v>spider</v>
      </c>
    </row>
    <row r="1268">
      <c r="D1268" s="6"/>
      <c r="H1268" s="6" t="str">
        <f>IFERROR(__xludf.DUMMYFUNCTION("""COMPUTED_VALUE"""),"soldiers")</f>
        <v>soldiers</v>
      </c>
      <c r="I1268" s="6"/>
      <c r="J1268" s="6" t="str">
        <f>IFERROR(__xludf.DUMMYFUNCTION("""COMPUTED_VALUE"""),"ambrose")</f>
        <v>ambrose</v>
      </c>
      <c r="M1268" s="6"/>
      <c r="P1268" s="6" t="str">
        <f>IFERROR(__xludf.DUMMYFUNCTION("""COMPUTED_VALUE"""),"dozen")</f>
        <v>dozen</v>
      </c>
      <c r="Q1268" s="6" t="str">
        <f>IFERROR(__xludf.DUMMYFUNCTION("""COMPUTED_VALUE"""),"cellular")</f>
        <v>cellular</v>
      </c>
      <c r="S1268" s="6" t="str">
        <f>IFERROR(__xludf.DUMMYFUNCTION("""COMPUTED_VALUE"""),"setting")</f>
        <v>setting</v>
      </c>
    </row>
    <row r="1269">
      <c r="D1269" s="6"/>
      <c r="H1269" s="6" t="str">
        <f>IFERROR(__xludf.DUMMYFUNCTION("""COMPUTED_VALUE"""),"spiked")</f>
        <v>spiked</v>
      </c>
      <c r="I1269" s="6"/>
      <c r="J1269" s="6" t="str">
        <f>IFERROR(__xludf.DUMMYFUNCTION("""COMPUTED_VALUE"""),"leaps")</f>
        <v>leaps</v>
      </c>
      <c r="M1269" s="6"/>
      <c r="P1269" s="6" t="str">
        <f>IFERROR(__xludf.DUMMYFUNCTION("""COMPUTED_VALUE"""),"roles")</f>
        <v>roles</v>
      </c>
      <c r="Q1269" s="6" t="str">
        <f>IFERROR(__xludf.DUMMYFUNCTION("""COMPUTED_VALUE"""),"card")</f>
        <v>card</v>
      </c>
      <c r="S1269" s="6" t="str">
        <f>IFERROR(__xludf.DUMMYFUNCTION("""COMPUTED_VALUE"""),"ideal")</f>
        <v>ideal</v>
      </c>
    </row>
    <row r="1270">
      <c r="D1270" s="6"/>
      <c r="H1270" s="6" t="str">
        <f>IFERROR(__xludf.DUMMYFUNCTION("""COMPUTED_VALUE"""),"lawrence")</f>
        <v>lawrence</v>
      </c>
      <c r="I1270" s="6"/>
      <c r="J1270" s="6" t="str">
        <f>IFERROR(__xludf.DUMMYFUNCTION("""COMPUTED_VALUE"""),"unnamed")</f>
        <v>unnamed</v>
      </c>
      <c r="M1270" s="6"/>
      <c r="P1270" s="6" t="str">
        <f>IFERROR(__xludf.DUMMYFUNCTION("""COMPUTED_VALUE"""),"heights")</f>
        <v>heights</v>
      </c>
      <c r="Q1270" s="6" t="str">
        <f>IFERROR(__xludf.DUMMYFUNCTION("""COMPUTED_VALUE"""),"sports")</f>
        <v>sports</v>
      </c>
      <c r="S1270" s="6" t="str">
        <f>IFERROR(__xludf.DUMMYFUNCTION("""COMPUTED_VALUE"""),"body")</f>
        <v>body</v>
      </c>
    </row>
    <row r="1271">
      <c r="D1271" s="6"/>
      <c r="H1271" s="6" t="str">
        <f>IFERROR(__xludf.DUMMYFUNCTION("""COMPUTED_VALUE"""),"textbook")</f>
        <v>textbook</v>
      </c>
      <c r="I1271" s="6"/>
      <c r="J1271" s="6" t="str">
        <f>IFERROR(__xludf.DUMMYFUNCTION("""COMPUTED_VALUE"""),"stretched")</f>
        <v>stretched</v>
      </c>
      <c r="M1271" s="6"/>
      <c r="P1271" s="6" t="str">
        <f>IFERROR(__xludf.DUMMYFUNCTION("""COMPUTED_VALUE"""),"particular")</f>
        <v>particular</v>
      </c>
      <c r="Q1271" s="6" t="str">
        <f>IFERROR(__xludf.DUMMYFUNCTION("""COMPUTED_VALUE"""),"savage")</f>
        <v>savage</v>
      </c>
      <c r="S1271" s="6" t="str">
        <f>IFERROR(__xludf.DUMMYFUNCTION("""COMPUTED_VALUE"""),"vietnamese")</f>
        <v>vietnamese</v>
      </c>
    </row>
    <row r="1272">
      <c r="D1272" s="6"/>
      <c r="H1272" s="6" t="str">
        <f>IFERROR(__xludf.DUMMYFUNCTION("""COMPUTED_VALUE"""),"barbed")</f>
        <v>barbed</v>
      </c>
      <c r="I1272" s="6"/>
      <c r="J1272" s="6" t="str">
        <f>IFERROR(__xludf.DUMMYFUNCTION("""COMPUTED_VALUE"""),"ambition")</f>
        <v>ambition</v>
      </c>
      <c r="M1272" s="6"/>
      <c r="P1272" s="6" t="str">
        <f>IFERROR(__xludf.DUMMYFUNCTION("""COMPUTED_VALUE"""),"freedom")</f>
        <v>freedom</v>
      </c>
      <c r="Q1272" s="6" t="str">
        <f>IFERROR(__xludf.DUMMYFUNCTION("""COMPUTED_VALUE"""),"cunning")</f>
        <v>cunning</v>
      </c>
      <c r="S1272" s="6" t="str">
        <f>IFERROR(__xludf.DUMMYFUNCTION("""COMPUTED_VALUE"""),"theories")</f>
        <v>theories</v>
      </c>
    </row>
    <row r="1273">
      <c r="D1273" s="6"/>
      <c r="H1273" s="6" t="str">
        <f>IFERROR(__xludf.DUMMYFUNCTION("""COMPUTED_VALUE"""),"riot")</f>
        <v>riot</v>
      </c>
      <c r="I1273" s="6"/>
      <c r="J1273" s="6" t="str">
        <f>IFERROR(__xludf.DUMMYFUNCTION("""COMPUTED_VALUE"""),"improvised")</f>
        <v>improvised</v>
      </c>
      <c r="M1273" s="6"/>
      <c r="P1273" s="6" t="str">
        <f>IFERROR(__xludf.DUMMYFUNCTION("""COMPUTED_VALUE"""),"russell")</f>
        <v>russell</v>
      </c>
      <c r="Q1273" s="6" t="str">
        <f>IFERROR(__xludf.DUMMYFUNCTION("""COMPUTED_VALUE"""),"gaunt")</f>
        <v>gaunt</v>
      </c>
      <c r="S1273" s="6" t="str">
        <f>IFERROR(__xludf.DUMMYFUNCTION("""COMPUTED_VALUE"""),"dragged")</f>
        <v>dragged</v>
      </c>
    </row>
    <row r="1274">
      <c r="D1274" s="6"/>
      <c r="H1274" s="6" t="str">
        <f>IFERROR(__xludf.DUMMYFUNCTION("""COMPUTED_VALUE"""),"operatic")</f>
        <v>operatic</v>
      </c>
      <c r="I1274" s="6"/>
      <c r="J1274" s="6" t="str">
        <f>IFERROR(__xludf.DUMMYFUNCTION("""COMPUTED_VALUE"""),"tapestry")</f>
        <v>tapestry</v>
      </c>
      <c r="M1274" s="6"/>
      <c r="P1274" s="6" t="str">
        <f>IFERROR(__xludf.DUMMYFUNCTION("""COMPUTED_VALUE"""),"excess")</f>
        <v>excess</v>
      </c>
      <c r="Q1274" s="6" t="str">
        <f>IFERROR(__xludf.DUMMYFUNCTION("""COMPUTED_VALUE"""),"dimension")</f>
        <v>dimension</v>
      </c>
      <c r="S1274" s="6" t="str">
        <f>IFERROR(__xludf.DUMMYFUNCTION("""COMPUTED_VALUE"""),"hidden")</f>
        <v>hidden</v>
      </c>
    </row>
    <row r="1275">
      <c r="D1275" s="6"/>
      <c r="H1275" s="6" t="str">
        <f>IFERROR(__xludf.DUMMYFUNCTION("""COMPUTED_VALUE"""),"limbs")</f>
        <v>limbs</v>
      </c>
      <c r="I1275" s="6"/>
      <c r="J1275" s="6" t="str">
        <f>IFERROR(__xludf.DUMMYFUNCTION("""COMPUTED_VALUE"""),"gel")</f>
        <v>gel</v>
      </c>
      <c r="M1275" s="6"/>
      <c r="P1275" s="6" t="str">
        <f>IFERROR(__xludf.DUMMYFUNCTION("""COMPUTED_VALUE"""),"train")</f>
        <v>train</v>
      </c>
      <c r="Q1275" s="6" t="str">
        <f>IFERROR(__xludf.DUMMYFUNCTION("""COMPUTED_VALUE"""),"hell")</f>
        <v>hell</v>
      </c>
      <c r="S1275" s="6" t="str">
        <f>IFERROR(__xludf.DUMMYFUNCTION("""COMPUTED_VALUE"""),"department")</f>
        <v>department</v>
      </c>
    </row>
    <row r="1276">
      <c r="D1276" s="6"/>
      <c r="H1276" s="6" t="str">
        <f>IFERROR(__xludf.DUMMYFUNCTION("""COMPUTED_VALUE"""),"suspend")</f>
        <v>suspend</v>
      </c>
      <c r="I1276" s="6"/>
      <c r="J1276" s="6" t="str">
        <f>IFERROR(__xludf.DUMMYFUNCTION("""COMPUTED_VALUE"""),"roles")</f>
        <v>roles</v>
      </c>
      <c r="M1276" s="6"/>
      <c r="P1276" s="6" t="str">
        <f>IFERROR(__xludf.DUMMYFUNCTION("""COMPUTED_VALUE"""),"origins")</f>
        <v>origins</v>
      </c>
      <c r="Q1276" s="6" t="str">
        <f>IFERROR(__xludf.DUMMYFUNCTION("""COMPUTED_VALUE"""),"wasted")</f>
        <v>wasted</v>
      </c>
      <c r="S1276" s="6" t="str">
        <f>IFERROR(__xludf.DUMMYFUNCTION("""COMPUTED_VALUE"""),"land")</f>
        <v>land</v>
      </c>
    </row>
    <row r="1277">
      <c r="D1277" s="6"/>
      <c r="H1277" s="6" t="str">
        <f>IFERROR(__xludf.DUMMYFUNCTION("""COMPUTED_VALUE"""),"disbelief")</f>
        <v>disbelief</v>
      </c>
      <c r="I1277" s="6"/>
      <c r="J1277" s="6" t="str">
        <f>IFERROR(__xludf.DUMMYFUNCTION("""COMPUTED_VALUE"""),"ambiguity")</f>
        <v>ambiguity</v>
      </c>
      <c r="M1277" s="6"/>
      <c r="P1277" s="6" t="str">
        <f>IFERROR(__xludf.DUMMYFUNCTION("""COMPUTED_VALUE"""),"nazi")</f>
        <v>nazi</v>
      </c>
      <c r="Q1277" s="6" t="str">
        <f>IFERROR(__xludf.DUMMYFUNCTION("""COMPUTED_VALUE"""),"participant")</f>
        <v>participant</v>
      </c>
      <c r="S1277" s="6" t="str">
        <f>IFERROR(__xludf.DUMMYFUNCTION("""COMPUTED_VALUE"""),"captured")</f>
        <v>captured</v>
      </c>
    </row>
    <row r="1278">
      <c r="D1278" s="6"/>
      <c r="H1278" s="6" t="str">
        <f>IFERROR(__xludf.DUMMYFUNCTION("""COMPUTED_VALUE"""),"traditions")</f>
        <v>traditions</v>
      </c>
      <c r="I1278" s="6"/>
      <c r="J1278" s="6" t="str">
        <f>IFERROR(__xludf.DUMMYFUNCTION("""COMPUTED_VALUE"""),"symbolic")</f>
        <v>symbolic</v>
      </c>
      <c r="M1278" s="6"/>
      <c r="P1278" s="6" t="str">
        <f>IFERROR(__xludf.DUMMYFUNCTION("""COMPUTED_VALUE"""),"burst")</f>
        <v>burst</v>
      </c>
      <c r="Q1278" s="6" t="str">
        <f>IFERROR(__xludf.DUMMYFUNCTION("""COMPUTED_VALUE"""),"garcia")</f>
        <v>garcia</v>
      </c>
      <c r="S1278" s="6" t="str">
        <f>IFERROR(__xludf.DUMMYFUNCTION("""COMPUTED_VALUE"""),"equal")</f>
        <v>equal</v>
      </c>
    </row>
    <row r="1279">
      <c r="D1279" s="6"/>
      <c r="H1279" s="6" t="str">
        <f>IFERROR(__xludf.DUMMYFUNCTION("""COMPUTED_VALUE"""),"pbs")</f>
        <v>pbs</v>
      </c>
      <c r="I1279" s="6"/>
      <c r="J1279" s="6" t="str">
        <f>IFERROR(__xludf.DUMMYFUNCTION("""COMPUTED_VALUE"""),"contenders")</f>
        <v>contenders</v>
      </c>
      <c r="M1279" s="6"/>
      <c r="P1279" s="6" t="str">
        <f>IFERROR(__xludf.DUMMYFUNCTION("""COMPUTED_VALUE"""),"crack")</f>
        <v>crack</v>
      </c>
      <c r="Q1279" s="6" t="str">
        <f>IFERROR(__xludf.DUMMYFUNCTION("""COMPUTED_VALUE"""),"fees")</f>
        <v>fees</v>
      </c>
      <c r="S1279" s="6" t="str">
        <f>IFERROR(__xludf.DUMMYFUNCTION("""COMPUTED_VALUE"""),"handful")</f>
        <v>handful</v>
      </c>
    </row>
    <row r="1280">
      <c r="D1280" s="6"/>
      <c r="H1280" s="6" t="str">
        <f>IFERROR(__xludf.DUMMYFUNCTION("""COMPUTED_VALUE"""),"contradictory")</f>
        <v>contradictory</v>
      </c>
      <c r="I1280" s="6"/>
      <c r="J1280" s="6" t="str">
        <f>IFERROR(__xludf.DUMMYFUNCTION("""COMPUTED_VALUE"""),"lean")</f>
        <v>lean</v>
      </c>
      <c r="M1280" s="6"/>
      <c r="P1280" s="6" t="str">
        <f>IFERROR(__xludf.DUMMYFUNCTION("""COMPUTED_VALUE"""),"practiced")</f>
        <v>practiced</v>
      </c>
      <c r="Q1280" s="6" t="str">
        <f>IFERROR(__xludf.DUMMYFUNCTION("""COMPUTED_VALUE"""),"technological")</f>
        <v>technological</v>
      </c>
      <c r="S1280" s="6" t="str">
        <f>IFERROR(__xludf.DUMMYFUNCTION("""COMPUTED_VALUE"""),"realizing")</f>
        <v>realizing</v>
      </c>
    </row>
    <row r="1281">
      <c r="D1281" s="6"/>
      <c r="H1281" s="6" t="str">
        <f>IFERROR(__xludf.DUMMYFUNCTION("""COMPUTED_VALUE"""),"effortlessly")</f>
        <v>effortlessly</v>
      </c>
      <c r="I1281" s="6"/>
      <c r="J1281" s="6" t="str">
        <f>IFERROR(__xludf.DUMMYFUNCTION("""COMPUTED_VALUE"""),"feathers")</f>
        <v>feathers</v>
      </c>
      <c r="M1281" s="6"/>
      <c r="P1281" s="6" t="str">
        <f>IFERROR(__xludf.DUMMYFUNCTION("""COMPUTED_VALUE"""),"replaced")</f>
        <v>replaced</v>
      </c>
      <c r="Q1281" s="6" t="str">
        <f>IFERROR(__xludf.DUMMYFUNCTION("""COMPUTED_VALUE"""),"concentrating")</f>
        <v>concentrating</v>
      </c>
      <c r="S1281" s="6" t="str">
        <f>IFERROR(__xludf.DUMMYFUNCTION("""COMPUTED_VALUE"""),"warfare")</f>
        <v>warfare</v>
      </c>
    </row>
    <row r="1282">
      <c r="D1282" s="6"/>
      <c r="H1282" s="6" t="str">
        <f>IFERROR(__xludf.DUMMYFUNCTION("""COMPUTED_VALUE"""),"straining")</f>
        <v>straining</v>
      </c>
      <c r="I1282" s="6"/>
      <c r="J1282" s="6" t="str">
        <f>IFERROR(__xludf.DUMMYFUNCTION("""COMPUTED_VALUE"""),"exit")</f>
        <v>exit</v>
      </c>
      <c r="M1282" s="6"/>
      <c r="P1282" s="6" t="str">
        <f>IFERROR(__xludf.DUMMYFUNCTION("""COMPUTED_VALUE"""),"hoped")</f>
        <v>hoped</v>
      </c>
      <c r="Q1282" s="6" t="str">
        <f>IFERROR(__xludf.DUMMYFUNCTION("""COMPUTED_VALUE"""),"sadly")</f>
        <v>sadly</v>
      </c>
      <c r="S1282" s="6" t="str">
        <f>IFERROR(__xludf.DUMMYFUNCTION("""COMPUTED_VALUE"""),"vehicle")</f>
        <v>vehicle</v>
      </c>
    </row>
    <row r="1283">
      <c r="D1283" s="6"/>
      <c r="H1283" s="6" t="str">
        <f>IFERROR(__xludf.DUMMYFUNCTION("""COMPUTED_VALUE"""),"sparks")</f>
        <v>sparks</v>
      </c>
      <c r="I1283" s="6"/>
      <c r="J1283" s="6" t="str">
        <f>IFERROR(__xludf.DUMMYFUNCTION("""COMPUTED_VALUE"""),"pleas")</f>
        <v>pleas</v>
      </c>
      <c r="M1283" s="6"/>
      <c r="P1283" s="6" t="str">
        <f>IFERROR(__xludf.DUMMYFUNCTION("""COMPUTED_VALUE"""),"connected")</f>
        <v>connected</v>
      </c>
      <c r="Q1283" s="6" t="str">
        <f>IFERROR(__xludf.DUMMYFUNCTION("""COMPUTED_VALUE"""),"depict")</f>
        <v>depict</v>
      </c>
      <c r="S1283" s="6" t="str">
        <f>IFERROR(__xludf.DUMMYFUNCTION("""COMPUTED_VALUE"""),"thick")</f>
        <v>thick</v>
      </c>
    </row>
    <row r="1284">
      <c r="D1284" s="6"/>
      <c r="H1284" s="6" t="str">
        <f>IFERROR(__xludf.DUMMYFUNCTION("""COMPUTED_VALUE"""),"cumulative")</f>
        <v>cumulative</v>
      </c>
      <c r="I1284" s="6"/>
      <c r="J1284" s="6" t="str">
        <f>IFERROR(__xludf.DUMMYFUNCTION("""COMPUTED_VALUE"""),"irwin")</f>
        <v>irwin</v>
      </c>
      <c r="M1284" s="6"/>
      <c r="P1284" s="6" t="str">
        <f>IFERROR(__xludf.DUMMYFUNCTION("""COMPUTED_VALUE"""),"matters")</f>
        <v>matters</v>
      </c>
      <c r="Q1284" s="6" t="str">
        <f>IFERROR(__xludf.DUMMYFUNCTION("""COMPUTED_VALUE"""),"homosexual")</f>
        <v>homosexual</v>
      </c>
      <c r="S1284" s="6" t="str">
        <f>IFERROR(__xludf.DUMMYFUNCTION("""COMPUTED_VALUE"""),"mother")</f>
        <v>mother</v>
      </c>
    </row>
    <row r="1285">
      <c r="D1285" s="6"/>
      <c r="H1285" s="6" t="str">
        <f>IFERROR(__xludf.DUMMYFUNCTION("""COMPUTED_VALUE"""),"visionary")</f>
        <v>visionary</v>
      </c>
      <c r="I1285" s="6"/>
      <c r="J1285" s="6" t="str">
        <f>IFERROR(__xludf.DUMMYFUNCTION("""COMPUTED_VALUE"""),"procedural")</f>
        <v>procedural</v>
      </c>
      <c r="M1285" s="6"/>
      <c r="P1285" s="6" t="str">
        <f>IFERROR(__xludf.DUMMYFUNCTION("""COMPUTED_VALUE"""),"cop")</f>
        <v>cop</v>
      </c>
      <c r="Q1285" s="6" t="str">
        <f>IFERROR(__xludf.DUMMYFUNCTION("""COMPUTED_VALUE"""),"relationship")</f>
        <v>relationship</v>
      </c>
      <c r="S1285" s="6" t="str">
        <f>IFERROR(__xludf.DUMMYFUNCTION("""COMPUTED_VALUE"""),"cost")</f>
        <v>cost</v>
      </c>
    </row>
    <row r="1286">
      <c r="D1286" s="6"/>
      <c r="H1286" s="6" t="str">
        <f>IFERROR(__xludf.DUMMYFUNCTION("""COMPUTED_VALUE"""),"creed")</f>
        <v>creed</v>
      </c>
      <c r="I1286" s="6"/>
      <c r="J1286" s="6" t="str">
        <f>IFERROR(__xludf.DUMMYFUNCTION("""COMPUTED_VALUE"""),"schneider")</f>
        <v>schneider</v>
      </c>
      <c r="M1286" s="6"/>
      <c r="P1286" s="6" t="str">
        <f>IFERROR(__xludf.DUMMYFUNCTION("""COMPUTED_VALUE"""),"lower")</f>
        <v>lower</v>
      </c>
      <c r="Q1286" s="6" t="str">
        <f>IFERROR(__xludf.DUMMYFUNCTION("""COMPUTED_VALUE"""),"laced")</f>
        <v>laced</v>
      </c>
      <c r="S1286" s="6" t="str">
        <f>IFERROR(__xludf.DUMMYFUNCTION("""COMPUTED_VALUE"""),"radical")</f>
        <v>radical</v>
      </c>
    </row>
    <row r="1287">
      <c r="D1287" s="6"/>
      <c r="H1287" s="6" t="str">
        <f>IFERROR(__xludf.DUMMYFUNCTION("""COMPUTED_VALUE"""),"ferrara")</f>
        <v>ferrara</v>
      </c>
      <c r="I1287" s="6"/>
      <c r="J1287" s="6" t="str">
        <f>IFERROR(__xludf.DUMMYFUNCTION("""COMPUTED_VALUE"""),"crypt")</f>
        <v>crypt</v>
      </c>
      <c r="M1287" s="6"/>
      <c r="P1287" s="6" t="str">
        <f>IFERROR(__xludf.DUMMYFUNCTION("""COMPUTED_VALUE"""),"athlete")</f>
        <v>athlete</v>
      </c>
      <c r="Q1287" s="6" t="str">
        <f>IFERROR(__xludf.DUMMYFUNCTION("""COMPUTED_VALUE"""),"flash")</f>
        <v>flash</v>
      </c>
      <c r="S1287" s="6" t="str">
        <f>IFERROR(__xludf.DUMMYFUNCTION("""COMPUTED_VALUE"""),"tells")</f>
        <v>tells</v>
      </c>
    </row>
    <row r="1288">
      <c r="D1288" s="6"/>
      <c r="H1288" s="6" t="str">
        <f>IFERROR(__xludf.DUMMYFUNCTION("""COMPUTED_VALUE"""),"abel")</f>
        <v>abel</v>
      </c>
      <c r="I1288" s="6"/>
      <c r="J1288" s="6" t="str">
        <f>IFERROR(__xludf.DUMMYFUNCTION("""COMPUTED_VALUE"""),"peek")</f>
        <v>peek</v>
      </c>
      <c r="M1288" s="6"/>
      <c r="P1288" s="6" t="str">
        <f>IFERROR(__xludf.DUMMYFUNCTION("""COMPUTED_VALUE"""),"image")</f>
        <v>image</v>
      </c>
      <c r="Q1288" s="6" t="str">
        <f>IFERROR(__xludf.DUMMYFUNCTION("""COMPUTED_VALUE"""),"wise")</f>
        <v>wise</v>
      </c>
      <c r="S1288" s="6" t="str">
        <f>IFERROR(__xludf.DUMMYFUNCTION("""COMPUTED_VALUE"""),"hook")</f>
        <v>hook</v>
      </c>
    </row>
    <row r="1289">
      <c r="D1289" s="6"/>
      <c r="H1289" s="6" t="str">
        <f>IFERROR(__xludf.DUMMYFUNCTION("""COMPUTED_VALUE"""),"reliance")</f>
        <v>reliance</v>
      </c>
      <c r="I1289" s="6"/>
      <c r="J1289" s="6" t="str">
        <f>IFERROR(__xludf.DUMMYFUNCTION("""COMPUTED_VALUE"""),"protagonist")</f>
        <v>protagonist</v>
      </c>
      <c r="M1289" s="6"/>
      <c r="P1289" s="6" t="str">
        <f>IFERROR(__xludf.DUMMYFUNCTION("""COMPUTED_VALUE"""),"combat")</f>
        <v>combat</v>
      </c>
      <c r="Q1289" s="6" t="str">
        <f>IFERROR(__xludf.DUMMYFUNCTION("""COMPUTED_VALUE"""),"distinguished")</f>
        <v>distinguished</v>
      </c>
      <c r="S1289" s="6">
        <f>IFERROR(__xludf.DUMMYFUNCTION("""COMPUTED_VALUE"""),1993.0)</f>
        <v>1993</v>
      </c>
    </row>
    <row r="1290">
      <c r="D1290" s="6"/>
      <c r="H1290" s="6" t="str">
        <f>IFERROR(__xludf.DUMMYFUNCTION("""COMPUTED_VALUE"""),"weighted")</f>
        <v>weighted</v>
      </c>
      <c r="I1290" s="6"/>
      <c r="J1290" s="6" t="str">
        <f>IFERROR(__xludf.DUMMYFUNCTION("""COMPUTED_VALUE"""),"patriotic")</f>
        <v>patriotic</v>
      </c>
      <c r="M1290" s="6"/>
      <c r="P1290" s="6" t="str">
        <f>IFERROR(__xludf.DUMMYFUNCTION("""COMPUTED_VALUE"""),"drive")</f>
        <v>drive</v>
      </c>
      <c r="Q1290" s="6" t="str">
        <f>IFERROR(__xludf.DUMMYFUNCTION("""COMPUTED_VALUE"""),"projectile")</f>
        <v>projectile</v>
      </c>
      <c r="S1290" s="6" t="str">
        <f>IFERROR(__xludf.DUMMYFUNCTION("""COMPUTED_VALUE"""),"theory")</f>
        <v>theory</v>
      </c>
    </row>
    <row r="1291">
      <c r="D1291" s="6"/>
      <c r="H1291" s="6" t="str">
        <f>IFERROR(__xludf.DUMMYFUNCTION("""COMPUTED_VALUE"""),"toilet")</f>
        <v>toilet</v>
      </c>
      <c r="I1291" s="6"/>
      <c r="J1291" s="6" t="str">
        <f>IFERROR(__xludf.DUMMYFUNCTION("""COMPUTED_VALUE"""),"origins")</f>
        <v>origins</v>
      </c>
      <c r="M1291" s="6"/>
      <c r="P1291" s="6" t="str">
        <f>IFERROR(__xludf.DUMMYFUNCTION("""COMPUTED_VALUE"""),"singing")</f>
        <v>singing</v>
      </c>
      <c r="Q1291" s="6" t="str">
        <f>IFERROR(__xludf.DUMMYFUNCTION("""COMPUTED_VALUE"""),"seizing")</f>
        <v>seizing</v>
      </c>
      <c r="S1291" s="6" t="str">
        <f>IFERROR(__xludf.DUMMYFUNCTION("""COMPUTED_VALUE"""),"wall")</f>
        <v>wall</v>
      </c>
    </row>
    <row r="1292">
      <c r="D1292" s="6"/>
      <c r="H1292" s="6" t="str">
        <f>IFERROR(__xludf.DUMMYFUNCTION("""COMPUTED_VALUE"""),"academy")</f>
        <v>academy</v>
      </c>
      <c r="I1292" s="6"/>
      <c r="J1292" s="6" t="str">
        <f>IFERROR(__xludf.DUMMYFUNCTION("""COMPUTED_VALUE"""),"yiddish")</f>
        <v>yiddish</v>
      </c>
      <c r="M1292" s="6"/>
      <c r="P1292" s="6" t="str">
        <f>IFERROR(__xludf.DUMMYFUNCTION("""COMPUTED_VALUE"""),"scale")</f>
        <v>scale</v>
      </c>
      <c r="Q1292" s="6" t="str">
        <f>IFERROR(__xludf.DUMMYFUNCTION("""COMPUTED_VALUE"""),"thousand")</f>
        <v>thousand</v>
      </c>
      <c r="S1292" s="6" t="str">
        <f>IFERROR(__xludf.DUMMYFUNCTION("""COMPUTED_VALUE"""),"catch")</f>
        <v>catch</v>
      </c>
    </row>
    <row r="1293">
      <c r="D1293" s="6"/>
      <c r="H1293" s="6" t="str">
        <f>IFERROR(__xludf.DUMMYFUNCTION("""COMPUTED_VALUE"""),"equation")</f>
        <v>equation</v>
      </c>
      <c r="I1293" s="6"/>
      <c r="J1293" s="6" t="str">
        <f>IFERROR(__xludf.DUMMYFUNCTION("""COMPUTED_VALUE"""),"annals")</f>
        <v>annals</v>
      </c>
      <c r="M1293" s="6"/>
      <c r="P1293" s="6" t="str">
        <f>IFERROR(__xludf.DUMMYFUNCTION("""COMPUTED_VALUE"""),"near")</f>
        <v>near</v>
      </c>
      <c r="Q1293" s="6" t="str">
        <f>IFERROR(__xludf.DUMMYFUNCTION("""COMPUTED_VALUE"""),"portrays")</f>
        <v>portrays</v>
      </c>
      <c r="S1293" s="6" t="str">
        <f>IFERROR(__xludf.DUMMYFUNCTION("""COMPUTED_VALUE"""),"dedicated")</f>
        <v>dedicated</v>
      </c>
    </row>
    <row r="1294">
      <c r="D1294" s="6"/>
      <c r="H1294" s="6" t="str">
        <f>IFERROR(__xludf.DUMMYFUNCTION("""COMPUTED_VALUE"""),"molina")</f>
        <v>molina</v>
      </c>
      <c r="I1294" s="6"/>
      <c r="J1294" s="6" t="str">
        <f>IFERROR(__xludf.DUMMYFUNCTION("""COMPUTED_VALUE"""),"forceful")</f>
        <v>forceful</v>
      </c>
      <c r="M1294" s="6"/>
      <c r="P1294" s="6" t="str">
        <f>IFERROR(__xludf.DUMMYFUNCTION("""COMPUTED_VALUE"""),"element")</f>
        <v>element</v>
      </c>
      <c r="Q1294" s="6" t="str">
        <f>IFERROR(__xludf.DUMMYFUNCTION("""COMPUTED_VALUE"""),"gratitude")</f>
        <v>gratitude</v>
      </c>
      <c r="S1294" s="6" t="str">
        <f>IFERROR(__xludf.DUMMYFUNCTION("""COMPUTED_VALUE"""),"asian")</f>
        <v>asian</v>
      </c>
    </row>
    <row r="1295">
      <c r="D1295" s="6"/>
      <c r="H1295" s="6" t="str">
        <f>IFERROR(__xludf.DUMMYFUNCTION("""COMPUTED_VALUE"""),"arresting")</f>
        <v>arresting</v>
      </c>
      <c r="I1295" s="6"/>
      <c r="J1295" s="6" t="str">
        <f>IFERROR(__xludf.DUMMYFUNCTION("""COMPUTED_VALUE"""),"innovations")</f>
        <v>innovations</v>
      </c>
      <c r="M1295" s="6"/>
      <c r="P1295" s="6" t="str">
        <f>IFERROR(__xludf.DUMMYFUNCTION("""COMPUTED_VALUE"""),"magical")</f>
        <v>magical</v>
      </c>
      <c r="Q1295" s="6" t="str">
        <f>IFERROR(__xludf.DUMMYFUNCTION("""COMPUTED_VALUE"""),"reign")</f>
        <v>reign</v>
      </c>
      <c r="S1295" s="6" t="str">
        <f>IFERROR(__xludf.DUMMYFUNCTION("""COMPUTED_VALUE"""),"painting")</f>
        <v>painting</v>
      </c>
    </row>
    <row r="1296">
      <c r="D1296" s="6"/>
      <c r="H1296" s="6" t="str">
        <f>IFERROR(__xludf.DUMMYFUNCTION("""COMPUTED_VALUE"""),"craven")</f>
        <v>craven</v>
      </c>
      <c r="I1296" s="6"/>
      <c r="J1296" s="6" t="str">
        <f>IFERROR(__xludf.DUMMYFUNCTION("""COMPUTED_VALUE"""),"despair")</f>
        <v>despair</v>
      </c>
      <c r="M1296" s="6"/>
      <c r="P1296" s="6" t="str">
        <f>IFERROR(__xludf.DUMMYFUNCTION("""COMPUTED_VALUE"""),"flag")</f>
        <v>flag</v>
      </c>
      <c r="Q1296" s="6" t="str">
        <f>IFERROR(__xludf.DUMMYFUNCTION("""COMPUTED_VALUE"""),"dragons")</f>
        <v>dragons</v>
      </c>
      <c r="S1296" s="6" t="str">
        <f>IFERROR(__xludf.DUMMYFUNCTION("""COMPUTED_VALUE"""),"marine")</f>
        <v>marine</v>
      </c>
    </row>
    <row r="1297">
      <c r="D1297" s="6"/>
      <c r="H1297" s="6" t="str">
        <f>IFERROR(__xludf.DUMMYFUNCTION("""COMPUTED_VALUE"""),"soul")</f>
        <v>soul</v>
      </c>
      <c r="I1297" s="6"/>
      <c r="J1297" s="6" t="str">
        <f>IFERROR(__xludf.DUMMYFUNCTION("""COMPUTED_VALUE"""),"replaced")</f>
        <v>replaced</v>
      </c>
      <c r="M1297" s="6"/>
      <c r="P1297" s="6" t="str">
        <f>IFERROR(__xludf.DUMMYFUNCTION("""COMPUTED_VALUE"""),"mechanical")</f>
        <v>mechanical</v>
      </c>
      <c r="Q1297" s="6" t="str">
        <f>IFERROR(__xludf.DUMMYFUNCTION("""COMPUTED_VALUE"""),"models")</f>
        <v>models</v>
      </c>
      <c r="S1297" s="6" t="str">
        <f>IFERROR(__xludf.DUMMYFUNCTION("""COMPUTED_VALUE"""),"wife")</f>
        <v>wife</v>
      </c>
    </row>
    <row r="1298">
      <c r="D1298" s="6"/>
      <c r="H1298" s="6" t="str">
        <f>IFERROR(__xludf.DUMMYFUNCTION("""COMPUTED_VALUE"""),"warriors")</f>
        <v>warriors</v>
      </c>
      <c r="I1298" s="6"/>
      <c r="J1298" s="6" t="str">
        <f>IFERROR(__xludf.DUMMYFUNCTION("""COMPUTED_VALUE"""),"executives")</f>
        <v>executives</v>
      </c>
      <c r="M1298" s="6"/>
      <c r="P1298" s="6" t="str">
        <f>IFERROR(__xludf.DUMMYFUNCTION("""COMPUTED_VALUE"""),"japan")</f>
        <v>japan</v>
      </c>
      <c r="Q1298" s="6" t="str">
        <f>IFERROR(__xludf.DUMMYFUNCTION("""COMPUTED_VALUE"""),"bag")</f>
        <v>bag</v>
      </c>
      <c r="S1298" s="6" t="str">
        <f>IFERROR(__xludf.DUMMYFUNCTION("""COMPUTED_VALUE"""),"martin")</f>
        <v>martin</v>
      </c>
    </row>
    <row r="1299">
      <c r="D1299" s="6"/>
      <c r="H1299" s="6" t="str">
        <f>IFERROR(__xludf.DUMMYFUNCTION("""COMPUTED_VALUE"""),"transparent")</f>
        <v>transparent</v>
      </c>
      <c r="I1299" s="6"/>
      <c r="J1299" s="6" t="str">
        <f>IFERROR(__xludf.DUMMYFUNCTION("""COMPUTED_VALUE"""),"hoped")</f>
        <v>hoped</v>
      </c>
      <c r="M1299" s="6"/>
      <c r="P1299" s="6" t="str">
        <f>IFERROR(__xludf.DUMMYFUNCTION("""COMPUTED_VALUE"""),"aids")</f>
        <v>aids</v>
      </c>
      <c r="Q1299" s="6" t="str">
        <f>IFERROR(__xludf.DUMMYFUNCTION("""COMPUTED_VALUE"""),"grin")</f>
        <v>grin</v>
      </c>
      <c r="S1299" s="6" t="str">
        <f>IFERROR(__xludf.DUMMYFUNCTION("""COMPUTED_VALUE"""),"granted")</f>
        <v>granted</v>
      </c>
    </row>
    <row r="1300">
      <c r="D1300" s="6"/>
      <c r="H1300" s="6" t="str">
        <f>IFERROR(__xludf.DUMMYFUNCTION("""COMPUTED_VALUE"""),"mick")</f>
        <v>mick</v>
      </c>
      <c r="I1300" s="6"/>
      <c r="J1300" s="6" t="str">
        <f>IFERROR(__xludf.DUMMYFUNCTION("""COMPUTED_VALUE"""),"illustrating")</f>
        <v>illustrating</v>
      </c>
      <c r="M1300" s="6"/>
      <c r="P1300" s="6">
        <f>IFERROR(__xludf.DUMMYFUNCTION("""COMPUTED_VALUE"""),1986.0)</f>
        <v>1986</v>
      </c>
      <c r="Q1300" s="6" t="str">
        <f>IFERROR(__xludf.DUMMYFUNCTION("""COMPUTED_VALUE"""),"managed")</f>
        <v>managed</v>
      </c>
      <c r="S1300" s="6" t="str">
        <f>IFERROR(__xludf.DUMMYFUNCTION("""COMPUTED_VALUE"""),"empire")</f>
        <v>empire</v>
      </c>
    </row>
    <row r="1301">
      <c r="D1301" s="6"/>
      <c r="H1301" s="6" t="str">
        <f>IFERROR(__xludf.DUMMYFUNCTION("""COMPUTED_VALUE"""),"hewitt")</f>
        <v>hewitt</v>
      </c>
      <c r="I1301" s="6"/>
      <c r="J1301" s="6" t="str">
        <f>IFERROR(__xludf.DUMMYFUNCTION("""COMPUTED_VALUE"""),"whale")</f>
        <v>whale</v>
      </c>
      <c r="M1301" s="6"/>
      <c r="P1301" s="6" t="str">
        <f>IFERROR(__xludf.DUMMYFUNCTION("""COMPUTED_VALUE"""),"anywhere")</f>
        <v>anywhere</v>
      </c>
      <c r="Q1301" s="6" t="str">
        <f>IFERROR(__xludf.DUMMYFUNCTION("""COMPUTED_VALUE"""),"corrupt")</f>
        <v>corrupt</v>
      </c>
      <c r="S1301" s="6" t="str">
        <f>IFERROR(__xludf.DUMMYFUNCTION("""COMPUTED_VALUE"""),"strikes")</f>
        <v>strikes</v>
      </c>
    </row>
    <row r="1302">
      <c r="D1302" s="6"/>
      <c r="H1302" s="6" t="str">
        <f>IFERROR(__xludf.DUMMYFUNCTION("""COMPUTED_VALUE"""),"inadequate")</f>
        <v>inadequate</v>
      </c>
      <c r="I1302" s="6"/>
      <c r="J1302" s="6" t="str">
        <f>IFERROR(__xludf.DUMMYFUNCTION("""COMPUTED_VALUE"""),"bitterly")</f>
        <v>bitterly</v>
      </c>
      <c r="M1302" s="6"/>
      <c r="P1302" s="6" t="str">
        <f>IFERROR(__xludf.DUMMYFUNCTION("""COMPUTED_VALUE"""),"born")</f>
        <v>born</v>
      </c>
      <c r="Q1302" s="6" t="str">
        <f>IFERROR(__xludf.DUMMYFUNCTION("""COMPUTED_VALUE"""),"myself")</f>
        <v>myself</v>
      </c>
      <c r="S1302" s="6" t="str">
        <f>IFERROR(__xludf.DUMMYFUNCTION("""COMPUTED_VALUE"""),"resident")</f>
        <v>resident</v>
      </c>
    </row>
    <row r="1303">
      <c r="D1303" s="6"/>
      <c r="H1303" s="6" t="str">
        <f>IFERROR(__xludf.DUMMYFUNCTION("""COMPUTED_VALUE"""),"adrenaline")</f>
        <v>adrenaline</v>
      </c>
      <c r="I1303" s="6"/>
      <c r="J1303" s="6" t="str">
        <f>IFERROR(__xludf.DUMMYFUNCTION("""COMPUTED_VALUE"""),"lower")</f>
        <v>lower</v>
      </c>
      <c r="M1303" s="6"/>
      <c r="P1303" s="6" t="str">
        <f>IFERROR(__xludf.DUMMYFUNCTION("""COMPUTED_VALUE"""),"hug")</f>
        <v>hug</v>
      </c>
      <c r="Q1303" s="6" t="str">
        <f>IFERROR(__xludf.DUMMYFUNCTION("""COMPUTED_VALUE"""),"satan")</f>
        <v>satan</v>
      </c>
      <c r="S1303" s="6" t="str">
        <f>IFERROR(__xludf.DUMMYFUNCTION("""COMPUTED_VALUE"""),"experienced")</f>
        <v>experienced</v>
      </c>
    </row>
    <row r="1304">
      <c r="D1304" s="6"/>
      <c r="H1304" s="6" t="str">
        <f>IFERROR(__xludf.DUMMYFUNCTION("""COMPUTED_VALUE"""),"giggle")</f>
        <v>giggle</v>
      </c>
      <c r="I1304" s="6"/>
      <c r="J1304" s="6" t="str">
        <f>IFERROR(__xludf.DUMMYFUNCTION("""COMPUTED_VALUE"""),"admitting")</f>
        <v>admitting</v>
      </c>
      <c r="M1304" s="6"/>
      <c r="P1304" s="6" t="str">
        <f>IFERROR(__xludf.DUMMYFUNCTION("""COMPUTED_VALUE"""),"victim")</f>
        <v>victim</v>
      </c>
      <c r="Q1304" s="6" t="str">
        <f>IFERROR(__xludf.DUMMYFUNCTION("""COMPUTED_VALUE"""),"disguise")</f>
        <v>disguise</v>
      </c>
      <c r="S1304" s="6" t="str">
        <f>IFERROR(__xludf.DUMMYFUNCTION("""COMPUTED_VALUE"""),"rivals")</f>
        <v>rivals</v>
      </c>
    </row>
    <row r="1305">
      <c r="D1305" s="6"/>
      <c r="H1305" s="6" t="str">
        <f>IFERROR(__xludf.DUMMYFUNCTION("""COMPUTED_VALUE"""),"gang")</f>
        <v>gang</v>
      </c>
      <c r="I1305" s="6"/>
      <c r="J1305" s="6" t="str">
        <f>IFERROR(__xludf.DUMMYFUNCTION("""COMPUTED_VALUE"""),"athlete")</f>
        <v>athlete</v>
      </c>
      <c r="M1305" s="6"/>
      <c r="P1305" s="6" t="str">
        <f>IFERROR(__xludf.DUMMYFUNCTION("""COMPUTED_VALUE"""),"symbols")</f>
        <v>symbols</v>
      </c>
      <c r="Q1305" s="6" t="str">
        <f>IFERROR(__xludf.DUMMYFUNCTION("""COMPUTED_VALUE"""),"sane")</f>
        <v>sane</v>
      </c>
      <c r="S1305" s="6" t="str">
        <f>IFERROR(__xludf.DUMMYFUNCTION("""COMPUTED_VALUE"""),"repeated")</f>
        <v>repeated</v>
      </c>
    </row>
    <row r="1306">
      <c r="D1306" s="6"/>
      <c r="H1306" s="6" t="str">
        <f>IFERROR(__xludf.DUMMYFUNCTION("""COMPUTED_VALUE"""),"preserving")</f>
        <v>preserving</v>
      </c>
      <c r="I1306" s="6"/>
      <c r="J1306" s="6" t="str">
        <f>IFERROR(__xludf.DUMMYFUNCTION("""COMPUTED_VALUE"""),"ambiguous")</f>
        <v>ambiguous</v>
      </c>
      <c r="M1306" s="6"/>
      <c r="P1306" s="6" t="str">
        <f>IFERROR(__xludf.DUMMYFUNCTION("""COMPUTED_VALUE"""),"factors")</f>
        <v>factors</v>
      </c>
      <c r="Q1306" s="6" t="str">
        <f>IFERROR(__xludf.DUMMYFUNCTION("""COMPUTED_VALUE"""),"span")</f>
        <v>span</v>
      </c>
      <c r="S1306" s="6" t="str">
        <f>IFERROR(__xludf.DUMMYFUNCTION("""COMPUTED_VALUE"""),"bear")</f>
        <v>bear</v>
      </c>
    </row>
    <row r="1307">
      <c r="D1307" s="6"/>
      <c r="H1307" s="6" t="str">
        <f>IFERROR(__xludf.DUMMYFUNCTION("""COMPUTED_VALUE"""),"tendency")</f>
        <v>tendency</v>
      </c>
      <c r="I1307" s="6"/>
      <c r="J1307" s="6" t="str">
        <f>IFERROR(__xludf.DUMMYFUNCTION("""COMPUTED_VALUE"""),"combat")</f>
        <v>combat</v>
      </c>
      <c r="M1307" s="6"/>
      <c r="P1307" s="6" t="str">
        <f>IFERROR(__xludf.DUMMYFUNCTION("""COMPUTED_VALUE"""),"resistance")</f>
        <v>resistance</v>
      </c>
      <c r="Q1307" s="6" t="str">
        <f>IFERROR(__xludf.DUMMYFUNCTION("""COMPUTED_VALUE"""),"held")</f>
        <v>held</v>
      </c>
      <c r="S1307" s="6" t="str">
        <f>IFERROR(__xludf.DUMMYFUNCTION("""COMPUTED_VALUE"""),"advantage")</f>
        <v>advantage</v>
      </c>
    </row>
    <row r="1308">
      <c r="D1308" s="6"/>
      <c r="H1308" s="6" t="str">
        <f>IFERROR(__xludf.DUMMYFUNCTION("""COMPUTED_VALUE"""),"lectures")</f>
        <v>lectures</v>
      </c>
      <c r="I1308" s="6"/>
      <c r="J1308" s="6" t="str">
        <f>IFERROR(__xludf.DUMMYFUNCTION("""COMPUTED_VALUE"""),"expose")</f>
        <v>expose</v>
      </c>
      <c r="M1308" s="6"/>
      <c r="P1308" s="6" t="str">
        <f>IFERROR(__xludf.DUMMYFUNCTION("""COMPUTED_VALUE"""),"championship")</f>
        <v>championship</v>
      </c>
      <c r="Q1308" s="6" t="str">
        <f>IFERROR(__xludf.DUMMYFUNCTION("""COMPUTED_VALUE"""),"odd")</f>
        <v>odd</v>
      </c>
      <c r="S1308" s="6" t="str">
        <f>IFERROR(__xludf.DUMMYFUNCTION("""COMPUTED_VALUE"""),"happens")</f>
        <v>happens</v>
      </c>
    </row>
    <row r="1309">
      <c r="D1309" s="6"/>
      <c r="H1309" s="6" t="str">
        <f>IFERROR(__xludf.DUMMYFUNCTION("""COMPUTED_VALUE"""),"vh1")</f>
        <v>vh1</v>
      </c>
      <c r="I1309" s="6"/>
      <c r="J1309" s="6" t="str">
        <f>IFERROR(__xludf.DUMMYFUNCTION("""COMPUTED_VALUE"""),"prejudice")</f>
        <v>prejudice</v>
      </c>
      <c r="M1309" s="6"/>
      <c r="P1309" s="6" t="str">
        <f>IFERROR(__xludf.DUMMYFUNCTION("""COMPUTED_VALUE"""),"athletes")</f>
        <v>athletes</v>
      </c>
      <c r="Q1309" s="6" t="str">
        <f>IFERROR(__xludf.DUMMYFUNCTION("""COMPUTED_VALUE"""),"sound")</f>
        <v>sound</v>
      </c>
      <c r="S1309" s="6">
        <f>IFERROR(__xludf.DUMMYFUNCTION("""COMPUTED_VALUE"""),1899.0)</f>
        <v>1899</v>
      </c>
    </row>
    <row r="1310">
      <c r="D1310" s="6"/>
      <c r="H1310" s="6" t="str">
        <f>IFERROR(__xludf.DUMMYFUNCTION("""COMPUTED_VALUE"""),"terrorist")</f>
        <v>terrorist</v>
      </c>
      <c r="I1310" s="6"/>
      <c r="J1310" s="6" t="str">
        <f>IFERROR(__xludf.DUMMYFUNCTION("""COMPUTED_VALUE"""),"screenwriter")</f>
        <v>screenwriter</v>
      </c>
      <c r="M1310" s="6"/>
      <c r="P1310" s="6" t="str">
        <f>IFERROR(__xludf.DUMMYFUNCTION("""COMPUTED_VALUE"""),"roots")</f>
        <v>roots</v>
      </c>
      <c r="Q1310" s="6" t="str">
        <f>IFERROR(__xludf.DUMMYFUNCTION("""COMPUTED_VALUE"""),"settles")</f>
        <v>settles</v>
      </c>
      <c r="S1310" s="6" t="str">
        <f>IFERROR(__xludf.DUMMYFUNCTION("""COMPUTED_VALUE"""),"realized")</f>
        <v>realized</v>
      </c>
    </row>
    <row r="1311">
      <c r="D1311" s="6"/>
      <c r="H1311" s="6" t="str">
        <f>IFERROR(__xludf.DUMMYFUNCTION("""COMPUTED_VALUE"""),"gaze")</f>
        <v>gaze</v>
      </c>
      <c r="I1311" s="6"/>
      <c r="J1311" s="6" t="str">
        <f>IFERROR(__xludf.DUMMYFUNCTION("""COMPUTED_VALUE"""),"enigma")</f>
        <v>enigma</v>
      </c>
      <c r="M1311" s="6"/>
      <c r="P1311" s="6" t="str">
        <f>IFERROR(__xludf.DUMMYFUNCTION("""COMPUTED_VALUE"""),"labor")</f>
        <v>labor</v>
      </c>
      <c r="Q1311" s="6" t="str">
        <f>IFERROR(__xludf.DUMMYFUNCTION("""COMPUTED_VALUE"""),"profound")</f>
        <v>profound</v>
      </c>
      <c r="S1311" s="6" t="str">
        <f>IFERROR(__xludf.DUMMYFUNCTION("""COMPUTED_VALUE"""),"innovative")</f>
        <v>innovative</v>
      </c>
    </row>
    <row r="1312">
      <c r="D1312" s="6"/>
      <c r="H1312" s="6" t="str">
        <f>IFERROR(__xludf.DUMMYFUNCTION("""COMPUTED_VALUE"""),"chuckles")</f>
        <v>chuckles</v>
      </c>
      <c r="I1312" s="6"/>
      <c r="J1312" s="6" t="str">
        <f>IFERROR(__xludf.DUMMYFUNCTION("""COMPUTED_VALUE"""),"chiefly")</f>
        <v>chiefly</v>
      </c>
      <c r="M1312" s="6"/>
      <c r="P1312" s="6" t="str">
        <f>IFERROR(__xludf.DUMMYFUNCTION("""COMPUTED_VALUE"""),"published")</f>
        <v>published</v>
      </c>
      <c r="Q1312" s="6" t="str">
        <f>IFERROR(__xludf.DUMMYFUNCTION("""COMPUTED_VALUE"""),"compressed")</f>
        <v>compressed</v>
      </c>
      <c r="S1312" s="6" t="str">
        <f>IFERROR(__xludf.DUMMYFUNCTION("""COMPUTED_VALUE"""),"conduct")</f>
        <v>conduct</v>
      </c>
    </row>
    <row r="1313">
      <c r="D1313" s="6"/>
      <c r="H1313" s="6" t="str">
        <f>IFERROR(__xludf.DUMMYFUNCTION("""COMPUTED_VALUE"""),"sheridan")</f>
        <v>sheridan</v>
      </c>
      <c r="I1313" s="6"/>
      <c r="J1313" s="6" t="str">
        <f>IFERROR(__xludf.DUMMYFUNCTION("""COMPUTED_VALUE"""),"yearning")</f>
        <v>yearning</v>
      </c>
      <c r="M1313" s="6"/>
      <c r="P1313" s="6" t="str">
        <f>IFERROR(__xludf.DUMMYFUNCTION("""COMPUTED_VALUE"""),"canon")</f>
        <v>canon</v>
      </c>
      <c r="Q1313" s="6" t="str">
        <f>IFERROR(__xludf.DUMMYFUNCTION("""COMPUTED_VALUE"""),"catalyst")</f>
        <v>catalyst</v>
      </c>
      <c r="S1313" s="6" t="str">
        <f>IFERROR(__xludf.DUMMYFUNCTION("""COMPUTED_VALUE"""),"statements")</f>
        <v>statements</v>
      </c>
    </row>
    <row r="1314">
      <c r="D1314" s="6"/>
      <c r="H1314" s="6" t="str">
        <f>IFERROR(__xludf.DUMMYFUNCTION("""COMPUTED_VALUE"""),"stylized")</f>
        <v>stylized</v>
      </c>
      <c r="I1314" s="6"/>
      <c r="J1314" s="6" t="str">
        <f>IFERROR(__xludf.DUMMYFUNCTION("""COMPUTED_VALUE"""),"captain")</f>
        <v>captain</v>
      </c>
      <c r="M1314" s="6"/>
      <c r="P1314" s="6" t="str">
        <f>IFERROR(__xludf.DUMMYFUNCTION("""COMPUTED_VALUE"""),"grown")</f>
        <v>grown</v>
      </c>
      <c r="Q1314" s="6" t="str">
        <f>IFERROR(__xludf.DUMMYFUNCTION("""COMPUTED_VALUE"""),"restrictive")</f>
        <v>restrictive</v>
      </c>
      <c r="S1314" s="6" t="str">
        <f>IFERROR(__xludf.DUMMYFUNCTION("""COMPUTED_VALUE"""),"blanket")</f>
        <v>blanket</v>
      </c>
    </row>
    <row r="1315">
      <c r="D1315" s="6"/>
      <c r="H1315" s="6" t="str">
        <f>IFERROR(__xludf.DUMMYFUNCTION("""COMPUTED_VALUE"""),"hilary")</f>
        <v>hilary</v>
      </c>
      <c r="I1315" s="6"/>
      <c r="J1315" s="6" t="str">
        <f>IFERROR(__xludf.DUMMYFUNCTION("""COMPUTED_VALUE"""),"near")</f>
        <v>near</v>
      </c>
      <c r="M1315" s="6"/>
      <c r="P1315" s="6" t="str">
        <f>IFERROR(__xludf.DUMMYFUNCTION("""COMPUTED_VALUE"""),"flesh")</f>
        <v>flesh</v>
      </c>
      <c r="Q1315" s="6" t="str">
        <f>IFERROR(__xludf.DUMMYFUNCTION("""COMPUTED_VALUE"""),"dubious")</f>
        <v>dubious</v>
      </c>
      <c r="S1315" s="6" t="str">
        <f>IFERROR(__xludf.DUMMYFUNCTION("""COMPUTED_VALUE"""),"kiss")</f>
        <v>kiss</v>
      </c>
    </row>
    <row r="1316">
      <c r="D1316" s="6"/>
      <c r="H1316" s="6" t="str">
        <f>IFERROR(__xludf.DUMMYFUNCTION("""COMPUTED_VALUE"""),"birmingham")</f>
        <v>birmingham</v>
      </c>
      <c r="I1316" s="6"/>
      <c r="J1316" s="6" t="str">
        <f>IFERROR(__xludf.DUMMYFUNCTION("""COMPUTED_VALUE"""),"framing")</f>
        <v>framing</v>
      </c>
      <c r="M1316" s="6"/>
      <c r="P1316" s="6" t="str">
        <f>IFERROR(__xludf.DUMMYFUNCTION("""COMPUTED_VALUE"""),"illness")</f>
        <v>illness</v>
      </c>
      <c r="Q1316" s="6" t="str">
        <f>IFERROR(__xludf.DUMMYFUNCTION("""COMPUTED_VALUE"""),"bodies")</f>
        <v>bodies</v>
      </c>
      <c r="S1316" s="6" t="str">
        <f>IFERROR(__xludf.DUMMYFUNCTION("""COMPUTED_VALUE"""),"saving")</f>
        <v>saving</v>
      </c>
    </row>
    <row r="1317">
      <c r="D1317" s="6"/>
      <c r="H1317" s="6" t="str">
        <f>IFERROR(__xludf.DUMMYFUNCTION("""COMPUTED_VALUE"""),"sensitivity")</f>
        <v>sensitivity</v>
      </c>
      <c r="I1317" s="6"/>
      <c r="J1317" s="6" t="str">
        <f>IFERROR(__xludf.DUMMYFUNCTION("""COMPUTED_VALUE"""),"alternately")</f>
        <v>alternately</v>
      </c>
      <c r="M1317" s="6"/>
      <c r="P1317" s="6" t="str">
        <f>IFERROR(__xludf.DUMMYFUNCTION("""COMPUTED_VALUE"""),"jordan")</f>
        <v>jordan</v>
      </c>
      <c r="Q1317" s="6" t="str">
        <f>IFERROR(__xludf.DUMMYFUNCTION("""COMPUTED_VALUE"""),"secretary")</f>
        <v>secretary</v>
      </c>
      <c r="S1317" s="6" t="str">
        <f>IFERROR(__xludf.DUMMYFUNCTION("""COMPUTED_VALUE"""),"awkward")</f>
        <v>awkward</v>
      </c>
    </row>
    <row r="1318">
      <c r="D1318" s="6"/>
      <c r="H1318" s="6" t="str">
        <f>IFERROR(__xludf.DUMMYFUNCTION("""COMPUTED_VALUE"""),"precision")</f>
        <v>precision</v>
      </c>
      <c r="I1318" s="6"/>
      <c r="J1318" s="6" t="str">
        <f>IFERROR(__xludf.DUMMYFUNCTION("""COMPUTED_VALUE"""),"hopeful")</f>
        <v>hopeful</v>
      </c>
      <c r="M1318" s="6"/>
      <c r="P1318" s="6" t="str">
        <f>IFERROR(__xludf.DUMMYFUNCTION("""COMPUTED_VALUE"""),"controversy")</f>
        <v>controversy</v>
      </c>
      <c r="Q1318" s="6" t="str">
        <f>IFERROR(__xludf.DUMMYFUNCTION("""COMPUTED_VALUE"""),"stepmother")</f>
        <v>stepmother</v>
      </c>
      <c r="S1318" s="6" t="str">
        <f>IFERROR(__xludf.DUMMYFUNCTION("""COMPUTED_VALUE"""),"received")</f>
        <v>received</v>
      </c>
    </row>
    <row r="1319">
      <c r="D1319" s="6"/>
      <c r="H1319" s="6" t="str">
        <f>IFERROR(__xludf.DUMMYFUNCTION("""COMPUTED_VALUE"""),"aspirations")</f>
        <v>aspirations</v>
      </c>
      <c r="I1319" s="6"/>
      <c r="J1319" s="6" t="str">
        <f>IFERROR(__xludf.DUMMYFUNCTION("""COMPUTED_VALUE"""),"mechanical")</f>
        <v>mechanical</v>
      </c>
      <c r="M1319" s="6"/>
      <c r="P1319" s="6" t="str">
        <f>IFERROR(__xludf.DUMMYFUNCTION("""COMPUTED_VALUE"""),"monsters")</f>
        <v>monsters</v>
      </c>
      <c r="Q1319" s="6" t="str">
        <f>IFERROR(__xludf.DUMMYFUNCTION("""COMPUTED_VALUE"""),"inevitable")</f>
        <v>inevitable</v>
      </c>
      <c r="S1319" s="6" t="str">
        <f>IFERROR(__xludf.DUMMYFUNCTION("""COMPUTED_VALUE"""),"blonde")</f>
        <v>blonde</v>
      </c>
    </row>
    <row r="1320">
      <c r="D1320" s="6"/>
      <c r="H1320" s="6" t="str">
        <f>IFERROR(__xludf.DUMMYFUNCTION("""COMPUTED_VALUE"""),"charms")</f>
        <v>charms</v>
      </c>
      <c r="I1320" s="6"/>
      <c r="J1320" s="6" t="str">
        <f>IFERROR(__xludf.DUMMYFUNCTION("""COMPUTED_VALUE"""),"compatible")</f>
        <v>compatible</v>
      </c>
      <c r="M1320" s="6"/>
      <c r="P1320" s="6" t="str">
        <f>IFERROR(__xludf.DUMMYFUNCTION("""COMPUTED_VALUE"""),"rally")</f>
        <v>rally</v>
      </c>
      <c r="Q1320" s="6" t="str">
        <f>IFERROR(__xludf.DUMMYFUNCTION("""COMPUTED_VALUE"""),"incarnation")</f>
        <v>incarnation</v>
      </c>
      <c r="S1320" s="6" t="str">
        <f>IFERROR(__xludf.DUMMYFUNCTION("""COMPUTED_VALUE"""),"abroad")</f>
        <v>abroad</v>
      </c>
    </row>
    <row r="1321">
      <c r="D1321" s="6"/>
      <c r="H1321" s="6" t="str">
        <f>IFERROR(__xludf.DUMMYFUNCTION("""COMPUTED_VALUE"""),"gay")</f>
        <v>gay</v>
      </c>
      <c r="I1321" s="6"/>
      <c r="J1321" s="6" t="str">
        <f>IFERROR(__xludf.DUMMYFUNCTION("""COMPUTED_VALUE"""),"depiction")</f>
        <v>depiction</v>
      </c>
      <c r="M1321" s="6"/>
      <c r="P1321" s="6" t="str">
        <f>IFERROR(__xludf.DUMMYFUNCTION("""COMPUTED_VALUE"""),"dimensions")</f>
        <v>dimensions</v>
      </c>
      <c r="Q1321" s="6" t="str">
        <f>IFERROR(__xludf.DUMMYFUNCTION("""COMPUTED_VALUE"""),"indians")</f>
        <v>indians</v>
      </c>
      <c r="S1321" s="6" t="str">
        <f>IFERROR(__xludf.DUMMYFUNCTION("""COMPUTED_VALUE"""),"impact")</f>
        <v>impact</v>
      </c>
    </row>
    <row r="1322">
      <c r="D1322" s="6"/>
      <c r="H1322" s="6" t="str">
        <f>IFERROR(__xludf.DUMMYFUNCTION("""COMPUTED_VALUE"""),"conservative")</f>
        <v>conservative</v>
      </c>
      <c r="I1322" s="6"/>
      <c r="J1322" s="6" t="str">
        <f>IFERROR(__xludf.DUMMYFUNCTION("""COMPUTED_VALUE"""),"embraced")</f>
        <v>embraced</v>
      </c>
      <c r="M1322" s="6"/>
      <c r="P1322" s="6" t="str">
        <f>IFERROR(__xludf.DUMMYFUNCTION("""COMPUTED_VALUE"""),"disease")</f>
        <v>disease</v>
      </c>
      <c r="Q1322" s="6" t="str">
        <f>IFERROR(__xludf.DUMMYFUNCTION("""COMPUTED_VALUE"""),"ten")</f>
        <v>ten</v>
      </c>
      <c r="S1322" s="6" t="str">
        <f>IFERROR(__xludf.DUMMYFUNCTION("""COMPUTED_VALUE"""),"tales")</f>
        <v>tales</v>
      </c>
    </row>
    <row r="1323">
      <c r="D1323" s="6"/>
      <c r="H1323" s="6" t="str">
        <f>IFERROR(__xludf.DUMMYFUNCTION("""COMPUTED_VALUE"""),"suspected")</f>
        <v>suspected</v>
      </c>
      <c r="I1323" s="6"/>
      <c r="J1323" s="6" t="str">
        <f>IFERROR(__xludf.DUMMYFUNCTION("""COMPUTED_VALUE"""),"aids")</f>
        <v>aids</v>
      </c>
      <c r="M1323" s="6"/>
      <c r="P1323" s="6" t="str">
        <f>IFERROR(__xludf.DUMMYFUNCTION("""COMPUTED_VALUE"""),"classification")</f>
        <v>classification</v>
      </c>
      <c r="Q1323" s="6" t="str">
        <f>IFERROR(__xludf.DUMMYFUNCTION("""COMPUTED_VALUE"""),"chain")</f>
        <v>chain</v>
      </c>
      <c r="S1323" s="6" t="str">
        <f>IFERROR(__xludf.DUMMYFUNCTION("""COMPUTED_VALUE"""),"deaths")</f>
        <v>deaths</v>
      </c>
    </row>
    <row r="1324">
      <c r="D1324" s="6"/>
      <c r="H1324" s="6" t="str">
        <f>IFERROR(__xludf.DUMMYFUNCTION("""COMPUTED_VALUE"""),"privy")</f>
        <v>privy</v>
      </c>
      <c r="I1324" s="6"/>
      <c r="J1324" s="6" t="str">
        <f>IFERROR(__xludf.DUMMYFUNCTION("""COMPUTED_VALUE"""),"realities")</f>
        <v>realities</v>
      </c>
      <c r="M1324" s="6"/>
      <c r="P1324" s="6" t="str">
        <f>IFERROR(__xludf.DUMMYFUNCTION("""COMPUTED_VALUE"""),"revenge")</f>
        <v>revenge</v>
      </c>
      <c r="Q1324" s="6" t="str">
        <f>IFERROR(__xludf.DUMMYFUNCTION("""COMPUTED_VALUE"""),"forming")</f>
        <v>forming</v>
      </c>
      <c r="S1324" s="6" t="str">
        <f>IFERROR(__xludf.DUMMYFUNCTION("""COMPUTED_VALUE"""),"snow")</f>
        <v>snow</v>
      </c>
    </row>
    <row r="1325">
      <c r="D1325" s="6"/>
      <c r="H1325" s="6" t="str">
        <f>IFERROR(__xludf.DUMMYFUNCTION("""COMPUTED_VALUE"""),"garnered")</f>
        <v>garnered</v>
      </c>
      <c r="I1325" s="6"/>
      <c r="J1325" s="6" t="str">
        <f>IFERROR(__xludf.DUMMYFUNCTION("""COMPUTED_VALUE"""),"pitched")</f>
        <v>pitched</v>
      </c>
      <c r="M1325" s="6"/>
      <c r="P1325" s="6" t="str">
        <f>IFERROR(__xludf.DUMMYFUNCTION("""COMPUTED_VALUE"""),"cheek")</f>
        <v>cheek</v>
      </c>
      <c r="Q1325" s="6" t="str">
        <f>IFERROR(__xludf.DUMMYFUNCTION("""COMPUTED_VALUE"""),"distinguishing")</f>
        <v>distinguishing</v>
      </c>
      <c r="S1325" s="6" t="str">
        <f>IFERROR(__xludf.DUMMYFUNCTION("""COMPUTED_VALUE"""),"form")</f>
        <v>form</v>
      </c>
    </row>
    <row r="1326">
      <c r="D1326" s="6"/>
      <c r="H1326" s="6" t="str">
        <f>IFERROR(__xludf.DUMMYFUNCTION("""COMPUTED_VALUE"""),"fool")</f>
        <v>fool</v>
      </c>
      <c r="I1326" s="6"/>
      <c r="J1326" s="6" t="str">
        <f>IFERROR(__xludf.DUMMYFUNCTION("""COMPUTED_VALUE"""),"repetition")</f>
        <v>repetition</v>
      </c>
      <c r="M1326" s="6"/>
      <c r="P1326" s="6" t="str">
        <f>IFERROR(__xludf.DUMMYFUNCTION("""COMPUTED_VALUE"""),"references")</f>
        <v>references</v>
      </c>
      <c r="Q1326" s="6" t="str">
        <f>IFERROR(__xludf.DUMMYFUNCTION("""COMPUTED_VALUE"""),"wallace")</f>
        <v>wallace</v>
      </c>
      <c r="S1326" s="6" t="str">
        <f>IFERROR(__xludf.DUMMYFUNCTION("""COMPUTED_VALUE"""),"missed")</f>
        <v>missed</v>
      </c>
    </row>
    <row r="1327">
      <c r="D1327" s="6"/>
      <c r="H1327" s="6" t="str">
        <f>IFERROR(__xludf.DUMMYFUNCTION("""COMPUTED_VALUE"""),"underlying")</f>
        <v>underlying</v>
      </c>
      <c r="I1327" s="6"/>
      <c r="J1327" s="6" t="str">
        <f>IFERROR(__xludf.DUMMYFUNCTION("""COMPUTED_VALUE"""),"agile")</f>
        <v>agile</v>
      </c>
      <c r="M1327" s="6"/>
      <c r="P1327" s="6" t="str">
        <f>IFERROR(__xludf.DUMMYFUNCTION("""COMPUTED_VALUE"""),"clouds")</f>
        <v>clouds</v>
      </c>
      <c r="Q1327" s="6" t="str">
        <f>IFERROR(__xludf.DUMMYFUNCTION("""COMPUTED_VALUE"""),"transparency")</f>
        <v>transparency</v>
      </c>
      <c r="S1327" s="6" t="str">
        <f>IFERROR(__xludf.DUMMYFUNCTION("""COMPUTED_VALUE"""),"refugees")</f>
        <v>refugees</v>
      </c>
    </row>
    <row r="1328">
      <c r="D1328" s="6"/>
      <c r="H1328" s="6" t="str">
        <f>IFERROR(__xludf.DUMMYFUNCTION("""COMPUTED_VALUE"""),"superhero")</f>
        <v>superhero</v>
      </c>
      <c r="I1328" s="6"/>
      <c r="J1328" s="6" t="str">
        <f>IFERROR(__xludf.DUMMYFUNCTION("""COMPUTED_VALUE"""),"proficient")</f>
        <v>proficient</v>
      </c>
      <c r="M1328" s="6"/>
      <c r="P1328" s="6" t="str">
        <f>IFERROR(__xludf.DUMMYFUNCTION("""COMPUTED_VALUE"""),"opened")</f>
        <v>opened</v>
      </c>
      <c r="Q1328" s="6" t="str">
        <f>IFERROR(__xludf.DUMMYFUNCTION("""COMPUTED_VALUE"""),"enormous")</f>
        <v>enormous</v>
      </c>
      <c r="S1328" s="6" t="str">
        <f>IFERROR(__xludf.DUMMYFUNCTION("""COMPUTED_VALUE"""),"age")</f>
        <v>age</v>
      </c>
    </row>
    <row r="1329">
      <c r="D1329" s="6"/>
      <c r="H1329" s="6" t="str">
        <f>IFERROR(__xludf.DUMMYFUNCTION("""COMPUTED_VALUE"""),"intellect")</f>
        <v>intellect</v>
      </c>
      <c r="I1329" s="6"/>
      <c r="J1329" s="6" t="str">
        <f>IFERROR(__xludf.DUMMYFUNCTION("""COMPUTED_VALUE"""),"denial")</f>
        <v>denial</v>
      </c>
      <c r="M1329" s="6"/>
      <c r="P1329" s="6" t="str">
        <f>IFERROR(__xludf.DUMMYFUNCTION("""COMPUTED_VALUE"""),"composed")</f>
        <v>composed</v>
      </c>
      <c r="Q1329" s="6" t="str">
        <f>IFERROR(__xludf.DUMMYFUNCTION("""COMPUTED_VALUE"""),"hampered")</f>
        <v>hampered</v>
      </c>
      <c r="S1329" s="6" t="str">
        <f>IFERROR(__xludf.DUMMYFUNCTION("""COMPUTED_VALUE"""),"failed")</f>
        <v>failed</v>
      </c>
    </row>
    <row r="1330">
      <c r="D1330" s="6"/>
      <c r="H1330" s="6" t="str">
        <f>IFERROR(__xludf.DUMMYFUNCTION("""COMPUTED_VALUE"""),"kissing")</f>
        <v>kissing</v>
      </c>
      <c r="I1330" s="6"/>
      <c r="J1330" s="6" t="str">
        <f>IFERROR(__xludf.DUMMYFUNCTION("""COMPUTED_VALUE"""),"factors")</f>
        <v>factors</v>
      </c>
      <c r="M1330" s="6"/>
      <c r="P1330" s="6" t="str">
        <f>IFERROR(__xludf.DUMMYFUNCTION("""COMPUTED_VALUE"""),"rejected")</f>
        <v>rejected</v>
      </c>
      <c r="Q1330" s="6" t="str">
        <f>IFERROR(__xludf.DUMMYFUNCTION("""COMPUTED_VALUE"""),"notion")</f>
        <v>notion</v>
      </c>
      <c r="S1330" s="6" t="str">
        <f>IFERROR(__xludf.DUMMYFUNCTION("""COMPUTED_VALUE"""),"presented")</f>
        <v>presented</v>
      </c>
    </row>
    <row r="1331">
      <c r="D1331" s="6"/>
      <c r="H1331" s="6" t="str">
        <f>IFERROR(__xludf.DUMMYFUNCTION("""COMPUTED_VALUE"""),"stein")</f>
        <v>stein</v>
      </c>
      <c r="I1331" s="6"/>
      <c r="J1331" s="6" t="str">
        <f>IFERROR(__xludf.DUMMYFUNCTION("""COMPUTED_VALUE"""),"paxton")</f>
        <v>paxton</v>
      </c>
      <c r="M1331" s="6"/>
      <c r="P1331" s="6" t="str">
        <f>IFERROR(__xludf.DUMMYFUNCTION("""COMPUTED_VALUE"""),"suggests")</f>
        <v>suggests</v>
      </c>
      <c r="Q1331" s="6" t="str">
        <f>IFERROR(__xludf.DUMMYFUNCTION("""COMPUTED_VALUE"""),"possesses")</f>
        <v>possesses</v>
      </c>
      <c r="S1331" s="6" t="str">
        <f>IFERROR(__xludf.DUMMYFUNCTION("""COMPUTED_VALUE"""),"understanding")</f>
        <v>understanding</v>
      </c>
    </row>
    <row r="1332">
      <c r="D1332" s="6"/>
      <c r="H1332" s="6" t="str">
        <f>IFERROR(__xludf.DUMMYFUNCTION("""COMPUTED_VALUE"""),"pencil")</f>
        <v>pencil</v>
      </c>
      <c r="I1332" s="6"/>
      <c r="J1332" s="6" t="str">
        <f>IFERROR(__xludf.DUMMYFUNCTION("""COMPUTED_VALUE"""),"resistance")</f>
        <v>resistance</v>
      </c>
      <c r="M1332" s="6"/>
      <c r="P1332" s="6" t="str">
        <f>IFERROR(__xludf.DUMMYFUNCTION("""COMPUTED_VALUE"""),"perform")</f>
        <v>perform</v>
      </c>
      <c r="Q1332" s="6" t="str">
        <f>IFERROR(__xludf.DUMMYFUNCTION("""COMPUTED_VALUE"""),"proficiency")</f>
        <v>proficiency</v>
      </c>
      <c r="S1332" s="6" t="str">
        <f>IFERROR(__xludf.DUMMYFUNCTION("""COMPUTED_VALUE"""),"creature")</f>
        <v>creature</v>
      </c>
    </row>
    <row r="1333">
      <c r="D1333" s="6"/>
      <c r="H1333" s="6" t="str">
        <f>IFERROR(__xludf.DUMMYFUNCTION("""COMPUTED_VALUE"""),"defiance")</f>
        <v>defiance</v>
      </c>
      <c r="I1333" s="6"/>
      <c r="J1333" s="6" t="str">
        <f>IFERROR(__xludf.DUMMYFUNCTION("""COMPUTED_VALUE"""),"levy")</f>
        <v>levy</v>
      </c>
      <c r="M1333" s="6"/>
      <c r="P1333" s="6" t="str">
        <f>IFERROR(__xludf.DUMMYFUNCTION("""COMPUTED_VALUE"""),"principles")</f>
        <v>principles</v>
      </c>
      <c r="Q1333" s="6" t="str">
        <f>IFERROR(__xludf.DUMMYFUNCTION("""COMPUTED_VALUE"""),"technical")</f>
        <v>technical</v>
      </c>
      <c r="S1333" s="6" t="str">
        <f>IFERROR(__xludf.DUMMYFUNCTION("""COMPUTED_VALUE"""),"alien")</f>
        <v>alien</v>
      </c>
    </row>
    <row r="1334">
      <c r="D1334" s="6"/>
      <c r="H1334" s="6" t="str">
        <f>IFERROR(__xludf.DUMMYFUNCTION("""COMPUTED_VALUE"""),"pollution")</f>
        <v>pollution</v>
      </c>
      <c r="I1334" s="6"/>
      <c r="J1334" s="6" t="str">
        <f>IFERROR(__xludf.DUMMYFUNCTION("""COMPUTED_VALUE"""),"forster")</f>
        <v>forster</v>
      </c>
      <c r="M1334" s="6"/>
      <c r="P1334" s="6">
        <f>IFERROR(__xludf.DUMMYFUNCTION("""COMPUTED_VALUE"""),1938.0)</f>
        <v>1938</v>
      </c>
      <c r="Q1334" s="6" t="str">
        <f>IFERROR(__xludf.DUMMYFUNCTION("""COMPUTED_VALUE"""),"contradiction")</f>
        <v>contradiction</v>
      </c>
      <c r="S1334" s="6" t="str">
        <f>IFERROR(__xludf.DUMMYFUNCTION("""COMPUTED_VALUE"""),"substantial")</f>
        <v>substantial</v>
      </c>
    </row>
    <row r="1335">
      <c r="D1335" s="6"/>
      <c r="H1335" s="6" t="str">
        <f>IFERROR(__xludf.DUMMYFUNCTION("""COMPUTED_VALUE"""),"achieving")</f>
        <v>achieving</v>
      </c>
      <c r="I1335" s="6"/>
      <c r="J1335" s="6" t="str">
        <f>IFERROR(__xludf.DUMMYFUNCTION("""COMPUTED_VALUE"""),"vin")</f>
        <v>vin</v>
      </c>
      <c r="M1335" s="6"/>
      <c r="P1335" s="6" t="str">
        <f>IFERROR(__xludf.DUMMYFUNCTION("""COMPUTED_VALUE"""),"nicolas")</f>
        <v>nicolas</v>
      </c>
      <c r="Q1335" s="6" t="str">
        <f>IFERROR(__xludf.DUMMYFUNCTION("""COMPUTED_VALUE"""),"searing")</f>
        <v>searing</v>
      </c>
      <c r="S1335" s="6" t="str">
        <f>IFERROR(__xludf.DUMMYFUNCTION("""COMPUTED_VALUE"""),"oliver")</f>
        <v>oliver</v>
      </c>
    </row>
    <row r="1336">
      <c r="D1336" s="6"/>
      <c r="H1336" s="6" t="str">
        <f>IFERROR(__xludf.DUMMYFUNCTION("""COMPUTED_VALUE"""),"sorrow")</f>
        <v>sorrow</v>
      </c>
      <c r="I1336" s="6"/>
      <c r="J1336" s="6" t="str">
        <f>IFERROR(__xludf.DUMMYFUNCTION("""COMPUTED_VALUE"""),"furiously")</f>
        <v>furiously</v>
      </c>
      <c r="M1336" s="6"/>
      <c r="P1336" s="6" t="str">
        <f>IFERROR(__xludf.DUMMYFUNCTION("""COMPUTED_VALUE"""),"cage")</f>
        <v>cage</v>
      </c>
      <c r="Q1336" s="6" t="str">
        <f>IFERROR(__xludf.DUMMYFUNCTION("""COMPUTED_VALUE"""),"letting")</f>
        <v>letting</v>
      </c>
      <c r="S1336" s="6" t="str">
        <f>IFERROR(__xludf.DUMMYFUNCTION("""COMPUTED_VALUE"""),"lens")</f>
        <v>lens</v>
      </c>
    </row>
    <row r="1337">
      <c r="D1337" s="6"/>
      <c r="H1337" s="6" t="str">
        <f>IFERROR(__xludf.DUMMYFUNCTION("""COMPUTED_VALUE"""),"intensely")</f>
        <v>intensely</v>
      </c>
      <c r="I1337" s="6"/>
      <c r="J1337" s="6" t="str">
        <f>IFERROR(__xludf.DUMMYFUNCTION("""COMPUTED_VALUE"""),"banged")</f>
        <v>banged</v>
      </c>
      <c r="M1337" s="6"/>
      <c r="P1337" s="6" t="str">
        <f>IFERROR(__xludf.DUMMYFUNCTION("""COMPUTED_VALUE"""),"phenomenon")</f>
        <v>phenomenon</v>
      </c>
      <c r="Q1337" s="6" t="str">
        <f>IFERROR(__xludf.DUMMYFUNCTION("""COMPUTED_VALUE"""),"fearless")</f>
        <v>fearless</v>
      </c>
      <c r="S1337" s="6" t="str">
        <f>IFERROR(__xludf.DUMMYFUNCTION("""COMPUTED_VALUE"""),"dressed")</f>
        <v>dressed</v>
      </c>
    </row>
    <row r="1338">
      <c r="D1338" s="6"/>
      <c r="H1338" s="6" t="str">
        <f>IFERROR(__xludf.DUMMYFUNCTION("""COMPUTED_VALUE"""),"glucose")</f>
        <v>glucose</v>
      </c>
      <c r="I1338" s="6"/>
      <c r="J1338" s="6" t="str">
        <f>IFERROR(__xludf.DUMMYFUNCTION("""COMPUTED_VALUE"""),"screenings")</f>
        <v>screenings</v>
      </c>
      <c r="M1338" s="6"/>
      <c r="P1338" s="6" t="str">
        <f>IFERROR(__xludf.DUMMYFUNCTION("""COMPUTED_VALUE"""),"diary")</f>
        <v>diary</v>
      </c>
      <c r="Q1338" s="6" t="str">
        <f>IFERROR(__xludf.DUMMYFUNCTION("""COMPUTED_VALUE"""),"carved")</f>
        <v>carved</v>
      </c>
      <c r="S1338" s="6" t="str">
        <f>IFERROR(__xludf.DUMMYFUNCTION("""COMPUTED_VALUE"""),"exposition")</f>
        <v>exposition</v>
      </c>
    </row>
    <row r="1339">
      <c r="D1339" s="6"/>
      <c r="H1339" s="6" t="str">
        <f>IFERROR(__xludf.DUMMYFUNCTION("""COMPUTED_VALUE"""),"revelation")</f>
        <v>revelation</v>
      </c>
      <c r="I1339" s="6"/>
      <c r="J1339" s="6" t="str">
        <f>IFERROR(__xludf.DUMMYFUNCTION("""COMPUTED_VALUE"""),"canon")</f>
        <v>canon</v>
      </c>
      <c r="M1339" s="6"/>
      <c r="P1339" s="6" t="str">
        <f>IFERROR(__xludf.DUMMYFUNCTION("""COMPUTED_VALUE"""),"key")</f>
        <v>key</v>
      </c>
      <c r="Q1339" s="6" t="str">
        <f>IFERROR(__xludf.DUMMYFUNCTION("""COMPUTED_VALUE"""),"niche")</f>
        <v>niche</v>
      </c>
      <c r="S1339" s="6" t="str">
        <f>IFERROR(__xludf.DUMMYFUNCTION("""COMPUTED_VALUE"""),"losing")</f>
        <v>losing</v>
      </c>
    </row>
    <row r="1340">
      <c r="D1340" s="6"/>
      <c r="H1340" s="6" t="str">
        <f>IFERROR(__xludf.DUMMYFUNCTION("""COMPUTED_VALUE"""),"atmospheric")</f>
        <v>atmospheric</v>
      </c>
      <c r="I1340" s="6"/>
      <c r="J1340" s="6" t="str">
        <f>IFERROR(__xludf.DUMMYFUNCTION("""COMPUTED_VALUE"""),"grown")</f>
        <v>grown</v>
      </c>
      <c r="M1340" s="6"/>
      <c r="P1340" s="6" t="str">
        <f>IFERROR(__xludf.DUMMYFUNCTION("""COMPUTED_VALUE"""),"murders")</f>
        <v>murders</v>
      </c>
      <c r="Q1340" s="6" t="str">
        <f>IFERROR(__xludf.DUMMYFUNCTION("""COMPUTED_VALUE"""),"slowly")</f>
        <v>slowly</v>
      </c>
      <c r="S1340" s="6" t="str">
        <f>IFERROR(__xludf.DUMMYFUNCTION("""COMPUTED_VALUE"""),"directly")</f>
        <v>directly</v>
      </c>
    </row>
    <row r="1341">
      <c r="D1341" s="6"/>
      <c r="H1341" s="6" t="str">
        <f>IFERROR(__xludf.DUMMYFUNCTION("""COMPUTED_VALUE"""),"horizons")</f>
        <v>horizons</v>
      </c>
      <c r="I1341" s="6"/>
      <c r="J1341" s="6" t="str">
        <f>IFERROR(__xludf.DUMMYFUNCTION("""COMPUTED_VALUE"""),"flesh")</f>
        <v>flesh</v>
      </c>
      <c r="M1341" s="6"/>
      <c r="P1341" s="6" t="str">
        <f>IFERROR(__xludf.DUMMYFUNCTION("""COMPUTED_VALUE"""),"serial")</f>
        <v>serial</v>
      </c>
      <c r="Q1341" s="6" t="str">
        <f>IFERROR(__xludf.DUMMYFUNCTION("""COMPUTED_VALUE"""),"sophomore")</f>
        <v>sophomore</v>
      </c>
      <c r="S1341" s="6" t="str">
        <f>IFERROR(__xludf.DUMMYFUNCTION("""COMPUTED_VALUE"""),"chemistry")</f>
        <v>chemistry</v>
      </c>
    </row>
    <row r="1342">
      <c r="D1342" s="6"/>
      <c r="H1342" s="6" t="str">
        <f>IFERROR(__xludf.DUMMYFUNCTION("""COMPUTED_VALUE"""),"boredom")</f>
        <v>boredom</v>
      </c>
      <c r="I1342" s="6"/>
      <c r="J1342" s="6" t="str">
        <f>IFERROR(__xludf.DUMMYFUNCTION("""COMPUTED_VALUE"""),"capturing")</f>
        <v>capturing</v>
      </c>
      <c r="M1342" s="6"/>
      <c r="P1342" s="6" t="str">
        <f>IFERROR(__xludf.DUMMYFUNCTION("""COMPUTED_VALUE"""),"breathing")</f>
        <v>breathing</v>
      </c>
      <c r="Q1342" s="6" t="str">
        <f>IFERROR(__xludf.DUMMYFUNCTION("""COMPUTED_VALUE"""),"slump")</f>
        <v>slump</v>
      </c>
      <c r="S1342" s="6" t="str">
        <f>IFERROR(__xludf.DUMMYFUNCTION("""COMPUTED_VALUE"""),"ralph")</f>
        <v>ralph</v>
      </c>
    </row>
    <row r="1343">
      <c r="D1343" s="6"/>
      <c r="H1343" s="6" t="str">
        <f>IFERROR(__xludf.DUMMYFUNCTION("""COMPUTED_VALUE"""),"insistence")</f>
        <v>insistence</v>
      </c>
      <c r="I1343" s="6"/>
      <c r="J1343" s="6" t="str">
        <f>IFERROR(__xludf.DUMMYFUNCTION("""COMPUTED_VALUE"""),"fantasies")</f>
        <v>fantasies</v>
      </c>
      <c r="M1343" s="6"/>
      <c r="P1343" s="6" t="str">
        <f>IFERROR(__xludf.DUMMYFUNCTION("""COMPUTED_VALUE"""),"embrace")</f>
        <v>embrace</v>
      </c>
      <c r="Q1343" s="6" t="str">
        <f>IFERROR(__xludf.DUMMYFUNCTION("""COMPUTED_VALUE"""),"tug")</f>
        <v>tug</v>
      </c>
      <c r="S1343" s="6" t="str">
        <f>IFERROR(__xludf.DUMMYFUNCTION("""COMPUTED_VALUE"""),"dawn")</f>
        <v>dawn</v>
      </c>
    </row>
    <row r="1344">
      <c r="D1344" s="6"/>
      <c r="H1344" s="6" t="str">
        <f>IFERROR(__xludf.DUMMYFUNCTION("""COMPUTED_VALUE"""),"accurately")</f>
        <v>accurately</v>
      </c>
      <c r="I1344" s="6"/>
      <c r="J1344" s="6" t="str">
        <f>IFERROR(__xludf.DUMMYFUNCTION("""COMPUTED_VALUE"""),"illness")</f>
        <v>illness</v>
      </c>
      <c r="M1344" s="6"/>
      <c r="P1344" s="6" t="str">
        <f>IFERROR(__xludf.DUMMYFUNCTION("""COMPUTED_VALUE"""),"media")</f>
        <v>media</v>
      </c>
      <c r="Q1344" s="6" t="str">
        <f>IFERROR(__xludf.DUMMYFUNCTION("""COMPUTED_VALUE"""),"gender")</f>
        <v>gender</v>
      </c>
      <c r="S1344" s="6" t="str">
        <f>IFERROR(__xludf.DUMMYFUNCTION("""COMPUTED_VALUE"""),"meaning")</f>
        <v>meaning</v>
      </c>
    </row>
    <row r="1345">
      <c r="D1345" s="6"/>
      <c r="H1345" s="6" t="str">
        <f>IFERROR(__xludf.DUMMYFUNCTION("""COMPUTED_VALUE"""),"turmoil")</f>
        <v>turmoil</v>
      </c>
      <c r="I1345" s="6"/>
      <c r="J1345" s="6" t="str">
        <f>IFERROR(__xludf.DUMMYFUNCTION("""COMPUTED_VALUE"""),"metaphysical")</f>
        <v>metaphysical</v>
      </c>
      <c r="M1345" s="6"/>
      <c r="P1345" s="6" t="str">
        <f>IFERROR(__xludf.DUMMYFUNCTION("""COMPUTED_VALUE"""),"forum")</f>
        <v>forum</v>
      </c>
      <c r="Q1345" s="6" t="str">
        <f>IFERROR(__xludf.DUMMYFUNCTION("""COMPUTED_VALUE"""),"1940s")</f>
        <v>1940s</v>
      </c>
      <c r="S1345" s="6" t="str">
        <f>IFERROR(__xludf.DUMMYFUNCTION("""COMPUTED_VALUE"""),"control")</f>
        <v>control</v>
      </c>
    </row>
    <row r="1346">
      <c r="D1346" s="6"/>
      <c r="H1346" s="6">
        <f>IFERROR(__xludf.DUMMYFUNCTION("""COMPUTED_VALUE"""),83.0)</f>
        <v>83</v>
      </c>
      <c r="I1346" s="6"/>
      <c r="J1346" s="6" t="str">
        <f>IFERROR(__xludf.DUMMYFUNCTION("""COMPUTED_VALUE"""),"collectively")</f>
        <v>collectively</v>
      </c>
      <c r="M1346" s="6"/>
      <c r="P1346" s="6" t="str">
        <f>IFERROR(__xludf.DUMMYFUNCTION("""COMPUTED_VALUE"""),"breaking")</f>
        <v>breaking</v>
      </c>
      <c r="Q1346" s="6" t="str">
        <f>IFERROR(__xludf.DUMMYFUNCTION("""COMPUTED_VALUE"""),"70s")</f>
        <v>70s</v>
      </c>
      <c r="S1346" s="6" t="str">
        <f>IFERROR(__xludf.DUMMYFUNCTION("""COMPUTED_VALUE"""),"patch")</f>
        <v>patch</v>
      </c>
    </row>
    <row r="1347">
      <c r="D1347" s="6"/>
      <c r="H1347" s="6" t="str">
        <f>IFERROR(__xludf.DUMMYFUNCTION("""COMPUTED_VALUE"""),"hartley")</f>
        <v>hartley</v>
      </c>
      <c r="I1347" s="6"/>
      <c r="J1347" s="6" t="str">
        <f>IFERROR(__xludf.DUMMYFUNCTION("""COMPUTED_VALUE"""),"echoes")</f>
        <v>echoes</v>
      </c>
      <c r="M1347" s="6"/>
      <c r="P1347" s="6" t="str">
        <f>IFERROR(__xludf.DUMMYFUNCTION("""COMPUTED_VALUE"""),"tenor")</f>
        <v>tenor</v>
      </c>
      <c r="Q1347" s="6" t="str">
        <f>IFERROR(__xludf.DUMMYFUNCTION("""COMPUTED_VALUE"""),"prophet")</f>
        <v>prophet</v>
      </c>
      <c r="S1347" s="6" t="str">
        <f>IFERROR(__xludf.DUMMYFUNCTION("""COMPUTED_VALUE"""),"bruce")</f>
        <v>bruce</v>
      </c>
    </row>
    <row r="1348">
      <c r="D1348" s="6"/>
      <c r="H1348" s="6" t="str">
        <f>IFERROR(__xludf.DUMMYFUNCTION("""COMPUTED_VALUE"""),"reminder")</f>
        <v>reminder</v>
      </c>
      <c r="I1348" s="6"/>
      <c r="J1348" s="6" t="str">
        <f>IFERROR(__xludf.DUMMYFUNCTION("""COMPUTED_VALUE"""),"canadians")</f>
        <v>canadians</v>
      </c>
      <c r="M1348" s="6"/>
      <c r="P1348" s="6" t="str">
        <f>IFERROR(__xludf.DUMMYFUNCTION("""COMPUTED_VALUE"""),"debate")</f>
        <v>debate</v>
      </c>
      <c r="Q1348" s="6" t="str">
        <f>IFERROR(__xludf.DUMMYFUNCTION("""COMPUTED_VALUE"""),"conflict")</f>
        <v>conflict</v>
      </c>
      <c r="S1348" s="6" t="str">
        <f>IFERROR(__xludf.DUMMYFUNCTION("""COMPUTED_VALUE"""),"win")</f>
        <v>win</v>
      </c>
    </row>
    <row r="1349">
      <c r="D1349" s="6"/>
      <c r="H1349" s="6" t="str">
        <f>IFERROR(__xludf.DUMMYFUNCTION("""COMPUTED_VALUE"""),"significance")</f>
        <v>significance</v>
      </c>
      <c r="I1349" s="6"/>
      <c r="J1349" s="6" t="str">
        <f>IFERROR(__xludf.DUMMYFUNCTION("""COMPUTED_VALUE"""),"calculated")</f>
        <v>calculated</v>
      </c>
      <c r="M1349" s="6"/>
      <c r="P1349" s="6" t="str">
        <f>IFERROR(__xludf.DUMMYFUNCTION("""COMPUTED_VALUE"""),"wind")</f>
        <v>wind</v>
      </c>
      <c r="Q1349" s="6" t="str">
        <f>IFERROR(__xludf.DUMMYFUNCTION("""COMPUTED_VALUE"""),"vital")</f>
        <v>vital</v>
      </c>
      <c r="S1349" s="6" t="str">
        <f>IFERROR(__xludf.DUMMYFUNCTION("""COMPUTED_VALUE"""),"numbers")</f>
        <v>numbers</v>
      </c>
    </row>
    <row r="1350">
      <c r="D1350" s="6"/>
      <c r="H1350" s="6" t="str">
        <f>IFERROR(__xludf.DUMMYFUNCTION("""COMPUTED_VALUE"""),"anarchist")</f>
        <v>anarchist</v>
      </c>
      <c r="I1350" s="6"/>
      <c r="J1350" s="6" t="str">
        <f>IFERROR(__xludf.DUMMYFUNCTION("""COMPUTED_VALUE"""),"rally")</f>
        <v>rally</v>
      </c>
      <c r="M1350" s="6"/>
      <c r="P1350" s="6" t="str">
        <f>IFERROR(__xludf.DUMMYFUNCTION("""COMPUTED_VALUE"""),"molly")</f>
        <v>molly</v>
      </c>
      <c r="Q1350" s="6" t="str">
        <f>IFERROR(__xludf.DUMMYFUNCTION("""COMPUTED_VALUE"""),"recalls")</f>
        <v>recalls</v>
      </c>
      <c r="S1350" s="6" t="str">
        <f>IFERROR(__xludf.DUMMYFUNCTION("""COMPUTED_VALUE"""),"recognized")</f>
        <v>recognized</v>
      </c>
    </row>
    <row r="1351">
      <c r="D1351" s="6"/>
      <c r="H1351" s="6" t="str">
        <f>IFERROR(__xludf.DUMMYFUNCTION("""COMPUTED_VALUE"""),"seductive")</f>
        <v>seductive</v>
      </c>
      <c r="I1351" s="6"/>
      <c r="J1351" s="6" t="str">
        <f>IFERROR(__xludf.DUMMYFUNCTION("""COMPUTED_VALUE"""),"psychotic")</f>
        <v>psychotic</v>
      </c>
      <c r="M1351" s="6"/>
      <c r="P1351" s="6" t="str">
        <f>IFERROR(__xludf.DUMMYFUNCTION("""COMPUTED_VALUE"""),"successor")</f>
        <v>successor</v>
      </c>
      <c r="Q1351" s="6" t="str">
        <f>IFERROR(__xludf.DUMMYFUNCTION("""COMPUTED_VALUE"""),"sweetly")</f>
        <v>sweetly</v>
      </c>
      <c r="S1351" s="6" t="str">
        <f>IFERROR(__xludf.DUMMYFUNCTION("""COMPUTED_VALUE"""),"pronounced")</f>
        <v>pronounced</v>
      </c>
    </row>
    <row r="1352">
      <c r="D1352" s="6"/>
      <c r="H1352" s="6" t="str">
        <f>IFERROR(__xludf.DUMMYFUNCTION("""COMPUTED_VALUE"""),"meaningless")</f>
        <v>meaningless</v>
      </c>
      <c r="I1352" s="6"/>
      <c r="J1352" s="6" t="str">
        <f>IFERROR(__xludf.DUMMYFUNCTION("""COMPUTED_VALUE"""),"dimensions")</f>
        <v>dimensions</v>
      </c>
      <c r="M1352" s="6"/>
      <c r="P1352" s="6" t="str">
        <f>IFERROR(__xludf.DUMMYFUNCTION("""COMPUTED_VALUE"""),"successfully")</f>
        <v>successfully</v>
      </c>
      <c r="Q1352" s="6" t="str">
        <f>IFERROR(__xludf.DUMMYFUNCTION("""COMPUTED_VALUE"""),"infectious")</f>
        <v>infectious</v>
      </c>
      <c r="S1352" s="6" t="str">
        <f>IFERROR(__xludf.DUMMYFUNCTION("""COMPUTED_VALUE"""),"garden")</f>
        <v>garden</v>
      </c>
    </row>
    <row r="1353">
      <c r="D1353" s="6"/>
      <c r="H1353" s="6" t="str">
        <f>IFERROR(__xludf.DUMMYFUNCTION("""COMPUTED_VALUE"""),"sink")</f>
        <v>sink</v>
      </c>
      <c r="I1353" s="6"/>
      <c r="J1353" s="6" t="str">
        <f>IFERROR(__xludf.DUMMYFUNCTION("""COMPUTED_VALUE"""),"devastation")</f>
        <v>devastation</v>
      </c>
      <c r="M1353" s="6"/>
      <c r="P1353" s="6">
        <f>IFERROR(__xludf.DUMMYFUNCTION("""COMPUTED_VALUE"""),60.0)</f>
        <v>60</v>
      </c>
      <c r="Q1353" s="6" t="str">
        <f>IFERROR(__xludf.DUMMYFUNCTION("""COMPUTED_VALUE"""),"brooding")</f>
        <v>brooding</v>
      </c>
      <c r="S1353" s="6" t="str">
        <f>IFERROR(__xludf.DUMMYFUNCTION("""COMPUTED_VALUE"""),"fair")</f>
        <v>fair</v>
      </c>
    </row>
    <row r="1354">
      <c r="D1354" s="6"/>
      <c r="H1354" s="6" t="str">
        <f>IFERROR(__xludf.DUMMYFUNCTION("""COMPUTED_VALUE"""),"bid")</f>
        <v>bid</v>
      </c>
      <c r="I1354" s="6"/>
      <c r="J1354" s="6" t="str">
        <f>IFERROR(__xludf.DUMMYFUNCTION("""COMPUTED_VALUE"""),"portraying")</f>
        <v>portraying</v>
      </c>
      <c r="M1354" s="6"/>
      <c r="P1354" s="6" t="str">
        <f>IFERROR(__xludf.DUMMYFUNCTION("""COMPUTED_VALUE"""),"chest")</f>
        <v>chest</v>
      </c>
      <c r="Q1354" s="6" t="str">
        <f>IFERROR(__xludf.DUMMYFUNCTION("""COMPUTED_VALUE"""),"superhuman")</f>
        <v>superhuman</v>
      </c>
      <c r="S1354" s="6" t="str">
        <f>IFERROR(__xludf.DUMMYFUNCTION("""COMPUTED_VALUE"""),"shining")</f>
        <v>shining</v>
      </c>
    </row>
    <row r="1355">
      <c r="D1355" s="6"/>
      <c r="H1355" s="6" t="str">
        <f>IFERROR(__xludf.DUMMYFUNCTION("""COMPUTED_VALUE"""),"detailed")</f>
        <v>detailed</v>
      </c>
      <c r="I1355" s="6"/>
      <c r="J1355" s="6" t="str">
        <f>IFERROR(__xludf.DUMMYFUNCTION("""COMPUTED_VALUE"""),"classification")</f>
        <v>classification</v>
      </c>
      <c r="M1355" s="6"/>
      <c r="P1355" s="6" t="str">
        <f>IFERROR(__xludf.DUMMYFUNCTION("""COMPUTED_VALUE"""),"rap")</f>
        <v>rap</v>
      </c>
      <c r="Q1355" s="6" t="str">
        <f>IFERROR(__xludf.DUMMYFUNCTION("""COMPUTED_VALUE"""),"withstand")</f>
        <v>withstand</v>
      </c>
      <c r="S1355" s="6" t="str">
        <f>IFERROR(__xludf.DUMMYFUNCTION("""COMPUTED_VALUE"""),"drawing")</f>
        <v>drawing</v>
      </c>
    </row>
    <row r="1356">
      <c r="D1356" s="6"/>
      <c r="H1356" s="6" t="str">
        <f>IFERROR(__xludf.DUMMYFUNCTION("""COMPUTED_VALUE"""),"documentaries")</f>
        <v>documentaries</v>
      </c>
      <c r="I1356" s="6"/>
      <c r="J1356" s="6" t="str">
        <f>IFERROR(__xludf.DUMMYFUNCTION("""COMPUTED_VALUE"""),"revenge")</f>
        <v>revenge</v>
      </c>
      <c r="M1356" s="6"/>
      <c r="P1356" s="6" t="str">
        <f>IFERROR(__xludf.DUMMYFUNCTION("""COMPUTED_VALUE"""),"promotion")</f>
        <v>promotion</v>
      </c>
      <c r="Q1356" s="6" t="str">
        <f>IFERROR(__xludf.DUMMYFUNCTION("""COMPUTED_VALUE"""),"capacity")</f>
        <v>capacity</v>
      </c>
      <c r="S1356" s="6" t="str">
        <f>IFERROR(__xludf.DUMMYFUNCTION("""COMPUTED_VALUE"""),"sees")</f>
        <v>sees</v>
      </c>
    </row>
    <row r="1357">
      <c r="D1357" s="6"/>
      <c r="H1357" s="6" t="str">
        <f>IFERROR(__xludf.DUMMYFUNCTION("""COMPUTED_VALUE"""),"anne")</f>
        <v>anne</v>
      </c>
      <c r="I1357" s="6"/>
      <c r="J1357" s="6" t="str">
        <f>IFERROR(__xludf.DUMMYFUNCTION("""COMPUTED_VALUE"""),"sundance")</f>
        <v>sundance</v>
      </c>
      <c r="M1357" s="6"/>
      <c r="P1357" s="6" t="str">
        <f>IFERROR(__xludf.DUMMYFUNCTION("""COMPUTED_VALUE"""),"bow")</f>
        <v>bow</v>
      </c>
      <c r="Q1357" s="6" t="str">
        <f>IFERROR(__xludf.DUMMYFUNCTION("""COMPUTED_VALUE"""),"conspicuous")</f>
        <v>conspicuous</v>
      </c>
      <c r="S1357" s="6" t="str">
        <f>IFERROR(__xludf.DUMMYFUNCTION("""COMPUTED_VALUE"""),"easier")</f>
        <v>easier</v>
      </c>
    </row>
    <row r="1358">
      <c r="D1358" s="6"/>
      <c r="H1358" s="6" t="str">
        <f>IFERROR(__xludf.DUMMYFUNCTION("""COMPUTED_VALUE"""),"sway")</f>
        <v>sway</v>
      </c>
      <c r="I1358" s="6"/>
      <c r="J1358" s="6" t="str">
        <f>IFERROR(__xludf.DUMMYFUNCTION("""COMPUTED_VALUE"""),"phillip")</f>
        <v>phillip</v>
      </c>
      <c r="M1358" s="6"/>
      <c r="P1358" s="6" t="str">
        <f>IFERROR(__xludf.DUMMYFUNCTION("""COMPUTED_VALUE"""),"notable")</f>
        <v>notable</v>
      </c>
      <c r="Q1358" s="6" t="str">
        <f>IFERROR(__xludf.DUMMYFUNCTION("""COMPUTED_VALUE"""),"develop")</f>
        <v>develop</v>
      </c>
      <c r="S1358" s="6" t="str">
        <f>IFERROR(__xludf.DUMMYFUNCTION("""COMPUTED_VALUE"""),"venture")</f>
        <v>venture</v>
      </c>
    </row>
    <row r="1359">
      <c r="D1359" s="6"/>
      <c r="H1359" s="6" t="str">
        <f>IFERROR(__xludf.DUMMYFUNCTION("""COMPUTED_VALUE"""),"politically")</f>
        <v>politically</v>
      </c>
      <c r="I1359" s="6"/>
      <c r="J1359" s="6" t="str">
        <f>IFERROR(__xludf.DUMMYFUNCTION("""COMPUTED_VALUE"""),"references")</f>
        <v>references</v>
      </c>
      <c r="M1359" s="6"/>
      <c r="P1359" s="6" t="str">
        <f>IFERROR(__xludf.DUMMYFUNCTION("""COMPUTED_VALUE"""),"cartoon")</f>
        <v>cartoon</v>
      </c>
      <c r="Q1359" s="6" t="str">
        <f>IFERROR(__xludf.DUMMYFUNCTION("""COMPUTED_VALUE"""),"timing")</f>
        <v>timing</v>
      </c>
      <c r="S1359" s="6" t="str">
        <f>IFERROR(__xludf.DUMMYFUNCTION("""COMPUTED_VALUE"""),"realm")</f>
        <v>realm</v>
      </c>
    </row>
    <row r="1360">
      <c r="D1360" s="6"/>
      <c r="H1360" s="6" t="str">
        <f>IFERROR(__xludf.DUMMYFUNCTION("""COMPUTED_VALUE"""),"mysteries")</f>
        <v>mysteries</v>
      </c>
      <c r="I1360" s="6"/>
      <c r="J1360" s="6" t="str">
        <f>IFERROR(__xludf.DUMMYFUNCTION("""COMPUTED_VALUE"""),"skyscraper")</f>
        <v>skyscraper</v>
      </c>
      <c r="M1360" s="6"/>
      <c r="P1360" s="6" t="str">
        <f>IFERROR(__xludf.DUMMYFUNCTION("""COMPUTED_VALUE"""),"stopped")</f>
        <v>stopped</v>
      </c>
      <c r="Q1360" s="6" t="str">
        <f>IFERROR(__xludf.DUMMYFUNCTION("""COMPUTED_VALUE"""),"connect")</f>
        <v>connect</v>
      </c>
      <c r="S1360" s="6" t="str">
        <f>IFERROR(__xludf.DUMMYFUNCTION("""COMPUTED_VALUE"""),"allowed")</f>
        <v>allowed</v>
      </c>
    </row>
    <row r="1361">
      <c r="D1361" s="6"/>
      <c r="H1361" s="6" t="str">
        <f>IFERROR(__xludf.DUMMYFUNCTION("""COMPUTED_VALUE"""),"technologies")</f>
        <v>technologies</v>
      </c>
      <c r="I1361" s="6"/>
      <c r="J1361" s="6" t="str">
        <f>IFERROR(__xludf.DUMMYFUNCTION("""COMPUTED_VALUE"""),"clouds")</f>
        <v>clouds</v>
      </c>
      <c r="M1361" s="6"/>
      <c r="P1361" s="6">
        <f>IFERROR(__xludf.DUMMYFUNCTION("""COMPUTED_VALUE"""),66.0)</f>
        <v>66</v>
      </c>
      <c r="Q1361" s="6" t="str">
        <f>IFERROR(__xludf.DUMMYFUNCTION("""COMPUTED_VALUE"""),"weaponry")</f>
        <v>weaponry</v>
      </c>
      <c r="S1361" s="6" t="str">
        <f>IFERROR(__xludf.DUMMYFUNCTION("""COMPUTED_VALUE"""),"gold")</f>
        <v>gold</v>
      </c>
    </row>
    <row r="1362">
      <c r="D1362" s="6"/>
      <c r="H1362" s="6" t="str">
        <f>IFERROR(__xludf.DUMMYFUNCTION("""COMPUTED_VALUE"""),"tunnels")</f>
        <v>tunnels</v>
      </c>
      <c r="I1362" s="6"/>
      <c r="J1362" s="6" t="str">
        <f>IFERROR(__xludf.DUMMYFUNCTION("""COMPUTED_VALUE"""),"narration")</f>
        <v>narration</v>
      </c>
      <c r="M1362" s="6"/>
      <c r="P1362" s="6" t="str">
        <f>IFERROR(__xludf.DUMMYFUNCTION("""COMPUTED_VALUE"""),"severe")</f>
        <v>severe</v>
      </c>
      <c r="Q1362" s="6" t="str">
        <f>IFERROR(__xludf.DUMMYFUNCTION("""COMPUTED_VALUE"""),"dungeons")</f>
        <v>dungeons</v>
      </c>
      <c r="S1362" s="6" t="str">
        <f>IFERROR(__xludf.DUMMYFUNCTION("""COMPUTED_VALUE"""),"accurate")</f>
        <v>accurate</v>
      </c>
    </row>
    <row r="1363">
      <c r="D1363" s="6"/>
      <c r="H1363" s="6" t="str">
        <f>IFERROR(__xludf.DUMMYFUNCTION("""COMPUTED_VALUE"""),"attackers")</f>
        <v>attackers</v>
      </c>
      <c r="I1363" s="6"/>
      <c r="J1363" s="6" t="str">
        <f>IFERROR(__xludf.DUMMYFUNCTION("""COMPUTED_VALUE"""),"prolonged")</f>
        <v>prolonged</v>
      </c>
      <c r="M1363" s="6"/>
      <c r="P1363" s="6" t="str">
        <f>IFERROR(__xludf.DUMMYFUNCTION("""COMPUTED_VALUE"""),"egypt")</f>
        <v>egypt</v>
      </c>
      <c r="Q1363" s="6" t="str">
        <f>IFERROR(__xludf.DUMMYFUNCTION("""COMPUTED_VALUE"""),"definitions")</f>
        <v>definitions</v>
      </c>
      <c r="S1363" s="6" t="str">
        <f>IFERROR(__xludf.DUMMYFUNCTION("""COMPUTED_VALUE"""),"wilson")</f>
        <v>wilson</v>
      </c>
    </row>
    <row r="1364">
      <c r="D1364" s="6"/>
      <c r="H1364" s="6" t="str">
        <f>IFERROR(__xludf.DUMMYFUNCTION("""COMPUTED_VALUE"""),"anonymous")</f>
        <v>anonymous</v>
      </c>
      <c r="I1364" s="6"/>
      <c r="J1364" s="6" t="str">
        <f>IFERROR(__xludf.DUMMYFUNCTION("""COMPUTED_VALUE"""),"record")</f>
        <v>record</v>
      </c>
      <c r="M1364" s="6"/>
      <c r="P1364" s="6" t="str">
        <f>IFERROR(__xludf.DUMMYFUNCTION("""COMPUTED_VALUE"""),"prince")</f>
        <v>prince</v>
      </c>
      <c r="Q1364" s="6" t="str">
        <f>IFERROR(__xludf.DUMMYFUNCTION("""COMPUTED_VALUE"""),"thud")</f>
        <v>thud</v>
      </c>
      <c r="S1364" s="6" t="str">
        <f>IFERROR(__xludf.DUMMYFUNCTION("""COMPUTED_VALUE"""),"knowing")</f>
        <v>knowing</v>
      </c>
    </row>
    <row r="1365">
      <c r="D1365" s="6"/>
      <c r="H1365" s="6" t="str">
        <f>IFERROR(__xludf.DUMMYFUNCTION("""COMPUTED_VALUE"""),"primitive")</f>
        <v>primitive</v>
      </c>
      <c r="I1365" s="6"/>
      <c r="J1365" s="6" t="str">
        <f>IFERROR(__xludf.DUMMYFUNCTION("""COMPUTED_VALUE"""),"junk")</f>
        <v>junk</v>
      </c>
      <c r="M1365" s="6"/>
      <c r="P1365" s="6" t="str">
        <f>IFERROR(__xludf.DUMMYFUNCTION("""COMPUTED_VALUE"""),"racial")</f>
        <v>racial</v>
      </c>
      <c r="Q1365" s="6" t="str">
        <f>IFERROR(__xludf.DUMMYFUNCTION("""COMPUTED_VALUE"""),"supposedly")</f>
        <v>supposedly</v>
      </c>
      <c r="S1365" s="6" t="str">
        <f>IFERROR(__xludf.DUMMYFUNCTION("""COMPUTED_VALUE"""),"appreciate")</f>
        <v>appreciate</v>
      </c>
    </row>
    <row r="1366">
      <c r="D1366" s="6"/>
      <c r="H1366" s="6" t="str">
        <f>IFERROR(__xludf.DUMMYFUNCTION("""COMPUTED_VALUE"""),"laurence")</f>
        <v>laurence</v>
      </c>
      <c r="I1366" s="6"/>
      <c r="J1366" s="6" t="str">
        <f>IFERROR(__xludf.DUMMYFUNCTION("""COMPUTED_VALUE"""),"rejected")</f>
        <v>rejected</v>
      </c>
      <c r="M1366" s="6"/>
      <c r="P1366" s="6" t="str">
        <f>IFERROR(__xludf.DUMMYFUNCTION("""COMPUTED_VALUE"""),"pants")</f>
        <v>pants</v>
      </c>
      <c r="Q1366" s="6" t="str">
        <f>IFERROR(__xludf.DUMMYFUNCTION("""COMPUTED_VALUE"""),"interpretation")</f>
        <v>interpretation</v>
      </c>
      <c r="S1366" s="6" t="str">
        <f>IFERROR(__xludf.DUMMYFUNCTION("""COMPUTED_VALUE"""),"pink")</f>
        <v>pink</v>
      </c>
    </row>
    <row r="1367">
      <c r="D1367" s="6"/>
      <c r="H1367" s="6" t="str">
        <f>IFERROR(__xludf.DUMMYFUNCTION("""COMPUTED_VALUE"""),"olivier")</f>
        <v>olivier</v>
      </c>
      <c r="I1367" s="6"/>
      <c r="J1367" s="6" t="str">
        <f>IFERROR(__xludf.DUMMYFUNCTION("""COMPUTED_VALUE"""),"richly")</f>
        <v>richly</v>
      </c>
      <c r="M1367" s="6"/>
      <c r="P1367" s="6" t="str">
        <f>IFERROR(__xludf.DUMMYFUNCTION("""COMPUTED_VALUE"""),"harrison")</f>
        <v>harrison</v>
      </c>
      <c r="Q1367" s="6" t="str">
        <f>IFERROR(__xludf.DUMMYFUNCTION("""COMPUTED_VALUE"""),"lyrical")</f>
        <v>lyrical</v>
      </c>
      <c r="S1367" s="6" t="str">
        <f>IFERROR(__xludf.DUMMYFUNCTION("""COMPUTED_VALUE"""),"derived")</f>
        <v>derived</v>
      </c>
    </row>
    <row r="1368">
      <c r="D1368" s="6"/>
      <c r="H1368" s="6" t="str">
        <f>IFERROR(__xludf.DUMMYFUNCTION("""COMPUTED_VALUE"""),"freddie")</f>
        <v>freddie</v>
      </c>
      <c r="I1368" s="6"/>
      <c r="J1368" s="6" t="str">
        <f>IFERROR(__xludf.DUMMYFUNCTION("""COMPUTED_VALUE"""),"flatly")</f>
        <v>flatly</v>
      </c>
      <c r="M1368" s="21"/>
      <c r="P1368" s="6" t="str">
        <f>IFERROR(__xludf.DUMMYFUNCTION("""COMPUTED_VALUE"""),"willie")</f>
        <v>willie</v>
      </c>
      <c r="Q1368" s="6" t="str">
        <f>IFERROR(__xludf.DUMMYFUNCTION("""COMPUTED_VALUE"""),"blockbuster")</f>
        <v>blockbuster</v>
      </c>
      <c r="S1368" s="6" t="str">
        <f>IFERROR(__xludf.DUMMYFUNCTION("""COMPUTED_VALUE"""),"victims")</f>
        <v>victims</v>
      </c>
    </row>
    <row r="1369">
      <c r="D1369" s="6"/>
      <c r="H1369" s="6" t="str">
        <f>IFERROR(__xludf.DUMMYFUNCTION("""COMPUTED_VALUE"""),"harvard")</f>
        <v>harvard</v>
      </c>
      <c r="I1369" s="6"/>
      <c r="J1369" s="6" t="str">
        <f>IFERROR(__xludf.DUMMYFUNCTION("""COMPUTED_VALUE"""),"principles")</f>
        <v>principles</v>
      </c>
      <c r="M1369" s="6"/>
      <c r="P1369" s="6" t="str">
        <f>IFERROR(__xludf.DUMMYFUNCTION("""COMPUTED_VALUE"""),"gift")</f>
        <v>gift</v>
      </c>
      <c r="Q1369" s="6" t="str">
        <f>IFERROR(__xludf.DUMMYFUNCTION("""COMPUTED_VALUE"""),"exploitation")</f>
        <v>exploitation</v>
      </c>
      <c r="S1369" s="6" t="str">
        <f>IFERROR(__xludf.DUMMYFUNCTION("""COMPUTED_VALUE"""),"proceedings")</f>
        <v>proceedings</v>
      </c>
    </row>
    <row r="1370">
      <c r="D1370" s="6"/>
      <c r="H1370" s="6" t="str">
        <f>IFERROR(__xludf.DUMMYFUNCTION("""COMPUTED_VALUE"""),"encompasses")</f>
        <v>encompasses</v>
      </c>
      <c r="I1370" s="6"/>
      <c r="J1370" s="6" t="str">
        <f>IFERROR(__xludf.DUMMYFUNCTION("""COMPUTED_VALUE"""),"atrocities")</f>
        <v>atrocities</v>
      </c>
      <c r="M1370" s="6"/>
      <c r="P1370" s="6" t="str">
        <f>IFERROR(__xludf.DUMMYFUNCTION("""COMPUTED_VALUE"""),"physical")</f>
        <v>physical</v>
      </c>
      <c r="Q1370" s="6" t="str">
        <f>IFERROR(__xludf.DUMMYFUNCTION("""COMPUTED_VALUE"""),"emotion")</f>
        <v>emotion</v>
      </c>
      <c r="S1370" s="6" t="str">
        <f>IFERROR(__xludf.DUMMYFUNCTION("""COMPUTED_VALUE"""),"regret")</f>
        <v>regret</v>
      </c>
    </row>
    <row r="1371">
      <c r="D1371" s="6"/>
      <c r="H1371" s="6" t="str">
        <f>IFERROR(__xludf.DUMMYFUNCTION("""COMPUTED_VALUE"""),"contender")</f>
        <v>contender</v>
      </c>
      <c r="I1371" s="6"/>
      <c r="J1371" s="6" t="str">
        <f>IFERROR(__xludf.DUMMYFUNCTION("""COMPUTED_VALUE"""),"mythology")</f>
        <v>mythology</v>
      </c>
      <c r="M1371" s="6"/>
      <c r="P1371" s="6" t="str">
        <f>IFERROR(__xludf.DUMMYFUNCTION("""COMPUTED_VALUE"""),"evans")</f>
        <v>evans</v>
      </c>
      <c r="Q1371" s="6" t="str">
        <f>IFERROR(__xludf.DUMMYFUNCTION("""COMPUTED_VALUE"""),"flower")</f>
        <v>flower</v>
      </c>
      <c r="S1371" s="6" t="str">
        <f>IFERROR(__xludf.DUMMYFUNCTION("""COMPUTED_VALUE"""),"anchor")</f>
        <v>anchor</v>
      </c>
    </row>
    <row r="1372">
      <c r="D1372" s="6"/>
      <c r="H1372" s="6" t="str">
        <f>IFERROR(__xludf.DUMMYFUNCTION("""COMPUTED_VALUE"""),"reynolds")</f>
        <v>reynolds</v>
      </c>
      <c r="I1372" s="6"/>
      <c r="J1372" s="6" t="str">
        <f>IFERROR(__xludf.DUMMYFUNCTION("""COMPUTED_VALUE"""),"benefited")</f>
        <v>benefited</v>
      </c>
      <c r="M1372" s="6"/>
      <c r="P1372" s="6" t="str">
        <f>IFERROR(__xludf.DUMMYFUNCTION("""COMPUTED_VALUE"""),"archive")</f>
        <v>archive</v>
      </c>
      <c r="Q1372" s="6" t="str">
        <f>IFERROR(__xludf.DUMMYFUNCTION("""COMPUTED_VALUE"""),"purge")</f>
        <v>purge</v>
      </c>
      <c r="S1372" s="6">
        <f>IFERROR(__xludf.DUMMYFUNCTION("""COMPUTED_VALUE"""),11.0)</f>
        <v>11</v>
      </c>
    </row>
    <row r="1373">
      <c r="D1373" s="6"/>
      <c r="H1373" s="6" t="str">
        <f>IFERROR(__xludf.DUMMYFUNCTION("""COMPUTED_VALUE"""),"depleted")</f>
        <v>depleted</v>
      </c>
      <c r="I1373" s="6"/>
      <c r="J1373" s="6" t="str">
        <f>IFERROR(__xludf.DUMMYFUNCTION("""COMPUTED_VALUE"""),"directs")</f>
        <v>directs</v>
      </c>
      <c r="M1373" s="6"/>
      <c r="P1373" s="6" t="str">
        <f>IFERROR(__xludf.DUMMYFUNCTION("""COMPUTED_VALUE"""),"specific")</f>
        <v>specific</v>
      </c>
      <c r="Q1373" s="6" t="str">
        <f>IFERROR(__xludf.DUMMYFUNCTION("""COMPUTED_VALUE"""),"triumph")</f>
        <v>triumph</v>
      </c>
      <c r="S1373" s="6" t="str">
        <f>IFERROR(__xludf.DUMMYFUNCTION("""COMPUTED_VALUE"""),"weeks")</f>
        <v>weeks</v>
      </c>
    </row>
    <row r="1374">
      <c r="D1374" s="6"/>
      <c r="H1374" s="6" t="str">
        <f>IFERROR(__xludf.DUMMYFUNCTION("""COMPUTED_VALUE"""),"decomposition")</f>
        <v>decomposition</v>
      </c>
      <c r="I1374" s="6"/>
      <c r="J1374" s="6">
        <f>IFERROR(__xludf.DUMMYFUNCTION("""COMPUTED_VALUE"""),1938.0)</f>
        <v>1938</v>
      </c>
      <c r="M1374" s="6"/>
      <c r="P1374" s="6" t="str">
        <f>IFERROR(__xludf.DUMMYFUNCTION("""COMPUTED_VALUE"""),"portions")</f>
        <v>portions</v>
      </c>
      <c r="Q1374" s="6" t="str">
        <f>IFERROR(__xludf.DUMMYFUNCTION("""COMPUTED_VALUE"""),"glow")</f>
        <v>glow</v>
      </c>
      <c r="S1374" s="6" t="str">
        <f>IFERROR(__xludf.DUMMYFUNCTION("""COMPUTED_VALUE"""),"soldiers")</f>
        <v>soldiers</v>
      </c>
    </row>
    <row r="1375">
      <c r="D1375" s="6"/>
      <c r="H1375" s="6" t="str">
        <f>IFERROR(__xludf.DUMMYFUNCTION("""COMPUTED_VALUE"""),"swaying")</f>
        <v>swaying</v>
      </c>
      <c r="I1375" s="6"/>
      <c r="J1375" s="6" t="str">
        <f>IFERROR(__xludf.DUMMYFUNCTION("""COMPUTED_VALUE"""),"holden")</f>
        <v>holden</v>
      </c>
      <c r="M1375" s="6"/>
      <c r="P1375" s="6" t="str">
        <f>IFERROR(__xludf.DUMMYFUNCTION("""COMPUTED_VALUE"""),"band")</f>
        <v>band</v>
      </c>
      <c r="Q1375" s="6" t="str">
        <f>IFERROR(__xludf.DUMMYFUNCTION("""COMPUTED_VALUE"""),"bunch")</f>
        <v>bunch</v>
      </c>
      <c r="S1375" s="6" t="str">
        <f>IFERROR(__xludf.DUMMYFUNCTION("""COMPUTED_VALUE"""),"lawrence")</f>
        <v>lawrence</v>
      </c>
    </row>
    <row r="1376">
      <c r="D1376" s="6"/>
      <c r="H1376" s="6" t="str">
        <f>IFERROR(__xludf.DUMMYFUNCTION("""COMPUTED_VALUE"""),"strategic")</f>
        <v>strategic</v>
      </c>
      <c r="I1376" s="6"/>
      <c r="J1376" s="6" t="str">
        <f>IFERROR(__xludf.DUMMYFUNCTION("""COMPUTED_VALUE"""),"leaping")</f>
        <v>leaping</v>
      </c>
      <c r="M1376" s="6"/>
      <c r="P1376" s="6" t="str">
        <f>IFERROR(__xludf.DUMMYFUNCTION("""COMPUTED_VALUE"""),"21st")</f>
        <v>21st</v>
      </c>
      <c r="Q1376" s="6" t="str">
        <f>IFERROR(__xludf.DUMMYFUNCTION("""COMPUTED_VALUE"""),"marvelous")</f>
        <v>marvelous</v>
      </c>
      <c r="S1376" s="6" t="str">
        <f>IFERROR(__xludf.DUMMYFUNCTION("""COMPUTED_VALUE"""),"die")</f>
        <v>die</v>
      </c>
    </row>
    <row r="1377">
      <c r="D1377" s="6"/>
      <c r="H1377" s="6" t="str">
        <f>IFERROR(__xludf.DUMMYFUNCTION("""COMPUTED_VALUE"""),"helm")</f>
        <v>helm</v>
      </c>
      <c r="I1377" s="6"/>
      <c r="J1377" s="6" t="str">
        <f>IFERROR(__xludf.DUMMYFUNCTION("""COMPUTED_VALUE"""),"nicolas")</f>
        <v>nicolas</v>
      </c>
      <c r="M1377" s="6"/>
      <c r="P1377" s="6" t="str">
        <f>IFERROR(__xludf.DUMMYFUNCTION("""COMPUTED_VALUE"""),"tense")</f>
        <v>tense</v>
      </c>
      <c r="Q1377" s="6" t="str">
        <f>IFERROR(__xludf.DUMMYFUNCTION("""COMPUTED_VALUE"""),"shifted")</f>
        <v>shifted</v>
      </c>
      <c r="S1377" s="6" t="str">
        <f>IFERROR(__xludf.DUMMYFUNCTION("""COMPUTED_VALUE"""),"tied")</f>
        <v>tied</v>
      </c>
    </row>
    <row r="1378">
      <c r="D1378" s="6"/>
      <c r="H1378" s="6" t="str">
        <f>IFERROR(__xludf.DUMMYFUNCTION("""COMPUTED_VALUE"""),"philosophers")</f>
        <v>philosophers</v>
      </c>
      <c r="I1378" s="6"/>
      <c r="J1378" s="6" t="str">
        <f>IFERROR(__xludf.DUMMYFUNCTION("""COMPUTED_VALUE"""),"paranoia")</f>
        <v>paranoia</v>
      </c>
      <c r="M1378" s="6"/>
      <c r="P1378" s="6" t="str">
        <f>IFERROR(__xludf.DUMMYFUNCTION("""COMPUTED_VALUE"""),"string")</f>
        <v>string</v>
      </c>
      <c r="Q1378" s="6" t="str">
        <f>IFERROR(__xludf.DUMMYFUNCTION("""COMPUTED_VALUE"""),"institution")</f>
        <v>institution</v>
      </c>
      <c r="S1378" s="6" t="str">
        <f>IFERROR(__xludf.DUMMYFUNCTION("""COMPUTED_VALUE"""),"common")</f>
        <v>common</v>
      </c>
    </row>
    <row r="1379">
      <c r="D1379" s="6"/>
      <c r="H1379" s="6" t="str">
        <f>IFERROR(__xludf.DUMMYFUNCTION("""COMPUTED_VALUE"""),"ritchie")</f>
        <v>ritchie</v>
      </c>
      <c r="I1379" s="6"/>
      <c r="J1379" s="6" t="str">
        <f>IFERROR(__xludf.DUMMYFUNCTION("""COMPUTED_VALUE"""),"confronting")</f>
        <v>confronting</v>
      </c>
      <c r="M1379" s="6"/>
      <c r="P1379" s="6" t="str">
        <f>IFERROR(__xludf.DUMMYFUNCTION("""COMPUTED_VALUE"""),"horse")</f>
        <v>horse</v>
      </c>
      <c r="Q1379" s="6" t="str">
        <f>IFERROR(__xludf.DUMMYFUNCTION("""COMPUTED_VALUE"""),"proposes")</f>
        <v>proposes</v>
      </c>
      <c r="S1379" s="6" t="str">
        <f>IFERROR(__xludf.DUMMYFUNCTION("""COMPUTED_VALUE"""),"traditions")</f>
        <v>traditions</v>
      </c>
    </row>
    <row r="1380">
      <c r="D1380" s="6"/>
      <c r="H1380" s="6" t="str">
        <f>IFERROR(__xludf.DUMMYFUNCTION("""COMPUTED_VALUE"""),"bonding")</f>
        <v>bonding</v>
      </c>
      <c r="I1380" s="6"/>
      <c r="J1380" s="6" t="str">
        <f>IFERROR(__xludf.DUMMYFUNCTION("""COMPUTED_VALUE"""),"phenomenon")</f>
        <v>phenomenon</v>
      </c>
      <c r="M1380" s="6"/>
      <c r="P1380" s="6" t="str">
        <f>IFERROR(__xludf.DUMMYFUNCTION("""COMPUTED_VALUE"""),"sleep")</f>
        <v>sleep</v>
      </c>
      <c r="Q1380" s="6" t="str">
        <f>IFERROR(__xludf.DUMMYFUNCTION("""COMPUTED_VALUE"""),"mistress")</f>
        <v>mistress</v>
      </c>
      <c r="S1380" s="6" t="str">
        <f>IFERROR(__xludf.DUMMYFUNCTION("""COMPUTED_VALUE"""),"efficient")</f>
        <v>efficient</v>
      </c>
    </row>
    <row r="1381">
      <c r="D1381" s="6"/>
      <c r="H1381" s="6" t="str">
        <f>IFERROR(__xludf.DUMMYFUNCTION("""COMPUTED_VALUE"""),"miniseries")</f>
        <v>miniseries</v>
      </c>
      <c r="I1381" s="6"/>
      <c r="J1381" s="6" t="str">
        <f>IFERROR(__xludf.DUMMYFUNCTION("""COMPUTED_VALUE"""),"viewpoint")</f>
        <v>viewpoint</v>
      </c>
      <c r="M1381" s="6"/>
      <c r="P1381" s="6" t="str">
        <f>IFERROR(__xludf.DUMMYFUNCTION("""COMPUTED_VALUE"""),"malcolm")</f>
        <v>malcolm</v>
      </c>
      <c r="Q1381" s="6" t="str">
        <f>IFERROR(__xludf.DUMMYFUNCTION("""COMPUTED_VALUE"""),"breakthrough")</f>
        <v>breakthrough</v>
      </c>
      <c r="S1381" s="6" t="str">
        <f>IFERROR(__xludf.DUMMYFUNCTION("""COMPUTED_VALUE"""),"field")</f>
        <v>field</v>
      </c>
    </row>
    <row r="1382">
      <c r="D1382" s="6"/>
      <c r="H1382" s="6" t="str">
        <f>IFERROR(__xludf.DUMMYFUNCTION("""COMPUTED_VALUE"""),"disciplined")</f>
        <v>disciplined</v>
      </c>
      <c r="I1382" s="6"/>
      <c r="J1382" s="6" t="str">
        <f>IFERROR(__xludf.DUMMYFUNCTION("""COMPUTED_VALUE"""),"content")</f>
        <v>content</v>
      </c>
      <c r="M1382" s="6"/>
      <c r="P1382" s="6" t="str">
        <f>IFERROR(__xludf.DUMMYFUNCTION("""COMPUTED_VALUE"""),"roman")</f>
        <v>roman</v>
      </c>
      <c r="Q1382" s="6" t="str">
        <f>IFERROR(__xludf.DUMMYFUNCTION("""COMPUTED_VALUE"""),"cheering")</f>
        <v>cheering</v>
      </c>
      <c r="S1382" s="6" t="str">
        <f>IFERROR(__xludf.DUMMYFUNCTION("""COMPUTED_VALUE"""),"medicine")</f>
        <v>medicine</v>
      </c>
    </row>
    <row r="1383">
      <c r="D1383" s="6"/>
      <c r="H1383" s="6" t="str">
        <f>IFERROR(__xludf.DUMMYFUNCTION("""COMPUTED_VALUE"""),"ironic")</f>
        <v>ironic</v>
      </c>
      <c r="I1383" s="6"/>
      <c r="J1383" s="6" t="str">
        <f>IFERROR(__xludf.DUMMYFUNCTION("""COMPUTED_VALUE"""),"diary")</f>
        <v>diary</v>
      </c>
      <c r="M1383" s="6"/>
      <c r="P1383" s="6" t="str">
        <f>IFERROR(__xludf.DUMMYFUNCTION("""COMPUTED_VALUE"""),"iran")</f>
        <v>iran</v>
      </c>
      <c r="Q1383" s="6" t="str">
        <f>IFERROR(__xludf.DUMMYFUNCTION("""COMPUTED_VALUE"""),"assumes")</f>
        <v>assumes</v>
      </c>
      <c r="S1383" s="6" t="str">
        <f>IFERROR(__xludf.DUMMYFUNCTION("""COMPUTED_VALUE"""),"turning")</f>
        <v>turning</v>
      </c>
    </row>
    <row r="1384">
      <c r="D1384" s="6"/>
      <c r="H1384" s="6" t="str">
        <f>IFERROR(__xludf.DUMMYFUNCTION("""COMPUTED_VALUE"""),"endurance")</f>
        <v>endurance</v>
      </c>
      <c r="I1384" s="6"/>
      <c r="J1384" s="6" t="str">
        <f>IFERROR(__xludf.DUMMYFUNCTION("""COMPUTED_VALUE"""),"mild")</f>
        <v>mild</v>
      </c>
      <c r="M1384" s="6"/>
      <c r="P1384" s="6" t="str">
        <f>IFERROR(__xludf.DUMMYFUNCTION("""COMPUTED_VALUE"""),"california")</f>
        <v>california</v>
      </c>
      <c r="Q1384" s="6" t="str">
        <f>IFERROR(__xludf.DUMMYFUNCTION("""COMPUTED_VALUE"""),"bright")</f>
        <v>bright</v>
      </c>
      <c r="S1384" s="6" t="str">
        <f>IFERROR(__xludf.DUMMYFUNCTION("""COMPUTED_VALUE"""),"tongue")</f>
        <v>tongue</v>
      </c>
    </row>
    <row r="1385">
      <c r="D1385" s="6"/>
      <c r="H1385" s="6" t="str">
        <f>IFERROR(__xludf.DUMMYFUNCTION("""COMPUTED_VALUE"""),"tightened")</f>
        <v>tightened</v>
      </c>
      <c r="I1385" s="6"/>
      <c r="J1385" s="6" t="str">
        <f>IFERROR(__xludf.DUMMYFUNCTION("""COMPUTED_VALUE"""),"stays")</f>
        <v>stays</v>
      </c>
      <c r="M1385" s="6"/>
      <c r="P1385" s="6" t="str">
        <f>IFERROR(__xludf.DUMMYFUNCTION("""COMPUTED_VALUE"""),"award")</f>
        <v>award</v>
      </c>
      <c r="Q1385" s="6" t="str">
        <f>IFERROR(__xludf.DUMMYFUNCTION("""COMPUTED_VALUE"""),"recovery")</f>
        <v>recovery</v>
      </c>
      <c r="S1385" s="6" t="str">
        <f>IFERROR(__xludf.DUMMYFUNCTION("""COMPUTED_VALUE"""),"approaches")</f>
        <v>approaches</v>
      </c>
    </row>
    <row r="1386">
      <c r="D1386" s="6"/>
      <c r="H1386" s="6" t="str">
        <f>IFERROR(__xludf.DUMMYFUNCTION("""COMPUTED_VALUE"""),"collaborative")</f>
        <v>collaborative</v>
      </c>
      <c r="I1386" s="6"/>
      <c r="J1386" s="6" t="str">
        <f>IFERROR(__xludf.DUMMYFUNCTION("""COMPUTED_VALUE"""),"fuels")</f>
        <v>fuels</v>
      </c>
      <c r="M1386" s="6"/>
      <c r="P1386" s="6" t="str">
        <f>IFERROR(__xludf.DUMMYFUNCTION("""COMPUTED_VALUE"""),"appearing")</f>
        <v>appearing</v>
      </c>
      <c r="Q1386" s="6" t="str">
        <f>IFERROR(__xludf.DUMMYFUNCTION("""COMPUTED_VALUE"""),"unmistakable")</f>
        <v>unmistakable</v>
      </c>
      <c r="S1386" s="6" t="str">
        <f>IFERROR(__xludf.DUMMYFUNCTION("""COMPUTED_VALUE"""),"daughter")</f>
        <v>daughter</v>
      </c>
    </row>
    <row r="1387">
      <c r="D1387" s="6"/>
      <c r="H1387" s="6" t="str">
        <f>IFERROR(__xludf.DUMMYFUNCTION("""COMPUTED_VALUE"""),"ai")</f>
        <v>ai</v>
      </c>
      <c r="I1387" s="6"/>
      <c r="J1387" s="6" t="str">
        <f>IFERROR(__xludf.DUMMYFUNCTION("""COMPUTED_VALUE"""),"freighter")</f>
        <v>freighter</v>
      </c>
      <c r="M1387" s="6"/>
      <c r="P1387" s="6" t="str">
        <f>IFERROR(__xludf.DUMMYFUNCTION("""COMPUTED_VALUE"""),"struck")</f>
        <v>struck</v>
      </c>
      <c r="Q1387" s="6" t="str">
        <f>IFERROR(__xludf.DUMMYFUNCTION("""COMPUTED_VALUE"""),"capture")</f>
        <v>capture</v>
      </c>
      <c r="S1387" s="6" t="str">
        <f>IFERROR(__xludf.DUMMYFUNCTION("""COMPUTED_VALUE"""),"students")</f>
        <v>students</v>
      </c>
    </row>
    <row r="1388">
      <c r="D1388" s="6"/>
      <c r="H1388" s="6" t="str">
        <f>IFERROR(__xludf.DUMMYFUNCTION("""COMPUTED_VALUE"""),"continuity")</f>
        <v>continuity</v>
      </c>
      <c r="I1388" s="6"/>
      <c r="J1388" s="6" t="str">
        <f>IFERROR(__xludf.DUMMYFUNCTION("""COMPUTED_VALUE"""),"stretches")</f>
        <v>stretches</v>
      </c>
      <c r="M1388" s="6"/>
      <c r="P1388" s="6" t="str">
        <f>IFERROR(__xludf.DUMMYFUNCTION("""COMPUTED_VALUE"""),"chronicle")</f>
        <v>chronicle</v>
      </c>
      <c r="Q1388" s="6" t="str">
        <f>IFERROR(__xludf.DUMMYFUNCTION("""COMPUTED_VALUE"""),"chaos")</f>
        <v>chaos</v>
      </c>
      <c r="S1388" s="6" t="str">
        <f>IFERROR(__xludf.DUMMYFUNCTION("""COMPUTED_VALUE"""),"confused")</f>
        <v>confused</v>
      </c>
    </row>
    <row r="1389">
      <c r="D1389" s="6"/>
      <c r="H1389" s="6" t="str">
        <f>IFERROR(__xludf.DUMMYFUNCTION("""COMPUTED_VALUE"""),"ambrose")</f>
        <v>ambrose</v>
      </c>
      <c r="I1389" s="6"/>
      <c r="J1389" s="6" t="str">
        <f>IFERROR(__xludf.DUMMYFUNCTION("""COMPUTED_VALUE"""),"clown")</f>
        <v>clown</v>
      </c>
      <c r="M1389" s="6"/>
      <c r="P1389" s="6" t="str">
        <f>IFERROR(__xludf.DUMMYFUNCTION("""COMPUTED_VALUE"""),"parker")</f>
        <v>parker</v>
      </c>
      <c r="Q1389" s="6" t="str">
        <f>IFERROR(__xludf.DUMMYFUNCTION("""COMPUTED_VALUE"""),"penetrating")</f>
        <v>penetrating</v>
      </c>
      <c r="S1389" s="6" t="str">
        <f>IFERROR(__xludf.DUMMYFUNCTION("""COMPUTED_VALUE"""),"necessary")</f>
        <v>necessary</v>
      </c>
    </row>
    <row r="1390">
      <c r="D1390" s="6"/>
      <c r="H1390" s="6" t="str">
        <f>IFERROR(__xludf.DUMMYFUNCTION("""COMPUTED_VALUE"""),"leaps")</f>
        <v>leaps</v>
      </c>
      <c r="I1390" s="6"/>
      <c r="J1390" s="6" t="str">
        <f>IFERROR(__xludf.DUMMYFUNCTION("""COMPUTED_VALUE"""),"ecstasy")</f>
        <v>ecstasy</v>
      </c>
      <c r="M1390" s="6"/>
      <c r="P1390" s="6" t="str">
        <f>IFERROR(__xludf.DUMMYFUNCTION("""COMPUTED_VALUE"""),"evolved")</f>
        <v>evolved</v>
      </c>
      <c r="Q1390" s="6" t="str">
        <f>IFERROR(__xludf.DUMMYFUNCTION("""COMPUTED_VALUE"""),"fascination")</f>
        <v>fascination</v>
      </c>
      <c r="S1390" s="6" t="str">
        <f>IFERROR(__xludf.DUMMYFUNCTION("""COMPUTED_VALUE"""),"equation")</f>
        <v>equation</v>
      </c>
    </row>
    <row r="1391">
      <c r="D1391" s="6"/>
      <c r="H1391" s="6" t="str">
        <f>IFERROR(__xludf.DUMMYFUNCTION("""COMPUTED_VALUE"""),"unnamed")</f>
        <v>unnamed</v>
      </c>
      <c r="I1391" s="6"/>
      <c r="J1391" s="6" t="str">
        <f>IFERROR(__xludf.DUMMYFUNCTION("""COMPUTED_VALUE"""),"wonders")</f>
        <v>wonders</v>
      </c>
      <c r="M1391" s="6"/>
      <c r="P1391" s="6" t="str">
        <f>IFERROR(__xludf.DUMMYFUNCTION("""COMPUTED_VALUE"""),"runner")</f>
        <v>runner</v>
      </c>
      <c r="Q1391" s="6" t="str">
        <f>IFERROR(__xludf.DUMMYFUNCTION("""COMPUTED_VALUE"""),"mechanics")</f>
        <v>mechanics</v>
      </c>
      <c r="S1391" s="6" t="str">
        <f>IFERROR(__xludf.DUMMYFUNCTION("""COMPUTED_VALUE"""),"adams")</f>
        <v>adams</v>
      </c>
    </row>
    <row r="1392">
      <c r="D1392" s="6"/>
      <c r="H1392" s="6" t="str">
        <f>IFERROR(__xludf.DUMMYFUNCTION("""COMPUTED_VALUE"""),"ambition")</f>
        <v>ambition</v>
      </c>
      <c r="I1392" s="6"/>
      <c r="J1392" s="6" t="str">
        <f>IFERROR(__xludf.DUMMYFUNCTION("""COMPUTED_VALUE"""),"emphasizes")</f>
        <v>emphasizes</v>
      </c>
      <c r="M1392" s="6"/>
      <c r="P1392" s="6" t="str">
        <f>IFERROR(__xludf.DUMMYFUNCTION("""COMPUTED_VALUE"""),"cousin")</f>
        <v>cousin</v>
      </c>
      <c r="Q1392" s="6" t="str">
        <f>IFERROR(__xludf.DUMMYFUNCTION("""COMPUTED_VALUE"""),"undone")</f>
        <v>undone</v>
      </c>
      <c r="S1392" s="6" t="str">
        <f>IFERROR(__xludf.DUMMYFUNCTION("""COMPUTED_VALUE"""),"soul")</f>
        <v>soul</v>
      </c>
    </row>
    <row r="1393">
      <c r="D1393" s="6"/>
      <c r="H1393" s="6" t="str">
        <f>IFERROR(__xludf.DUMMYFUNCTION("""COMPUTED_VALUE"""),"improvised")</f>
        <v>improvised</v>
      </c>
      <c r="I1393" s="6"/>
      <c r="J1393" s="6" t="str">
        <f>IFERROR(__xludf.DUMMYFUNCTION("""COMPUTED_VALUE"""),"sessions")</f>
        <v>sessions</v>
      </c>
      <c r="M1393" s="6"/>
      <c r="P1393" s="6" t="str">
        <f>IFERROR(__xludf.DUMMYFUNCTION("""COMPUTED_VALUE"""),"integrated")</f>
        <v>integrated</v>
      </c>
      <c r="Q1393" s="6" t="str">
        <f>IFERROR(__xludf.DUMMYFUNCTION("""COMPUTED_VALUE"""),"hall")</f>
        <v>hall</v>
      </c>
      <c r="S1393" s="6" t="str">
        <f>IFERROR(__xludf.DUMMYFUNCTION("""COMPUTED_VALUE"""),"warriors")</f>
        <v>warriors</v>
      </c>
    </row>
    <row r="1394">
      <c r="D1394" s="6"/>
      <c r="H1394" s="6" t="str">
        <f>IFERROR(__xludf.DUMMYFUNCTION("""COMPUTED_VALUE"""),"tapestry")</f>
        <v>tapestry</v>
      </c>
      <c r="I1394" s="6"/>
      <c r="J1394" s="6" t="str">
        <f>IFERROR(__xludf.DUMMYFUNCTION("""COMPUTED_VALUE"""),"conception")</f>
        <v>conception</v>
      </c>
      <c r="M1394" s="6"/>
      <c r="P1394" s="6" t="str">
        <f>IFERROR(__xludf.DUMMYFUNCTION("""COMPUTED_VALUE"""),"store")</f>
        <v>store</v>
      </c>
      <c r="Q1394" s="6" t="str">
        <f>IFERROR(__xludf.DUMMYFUNCTION("""COMPUTED_VALUE"""),"inspiration")</f>
        <v>inspiration</v>
      </c>
      <c r="S1394" s="6" t="str">
        <f>IFERROR(__xludf.DUMMYFUNCTION("""COMPUTED_VALUE"""),"lectures")</f>
        <v>lectures</v>
      </c>
    </row>
    <row r="1395">
      <c r="D1395" s="6"/>
      <c r="H1395" s="6" t="str">
        <f>IFERROR(__xludf.DUMMYFUNCTION("""COMPUTED_VALUE"""),"roles")</f>
        <v>roles</v>
      </c>
      <c r="I1395" s="6"/>
      <c r="J1395" s="6" t="str">
        <f>IFERROR(__xludf.DUMMYFUNCTION("""COMPUTED_VALUE"""),"accomplishment")</f>
        <v>accomplishment</v>
      </c>
      <c r="M1395" s="6"/>
      <c r="P1395" s="6" t="str">
        <f>IFERROR(__xludf.DUMMYFUNCTION("""COMPUTED_VALUE"""),"characterized")</f>
        <v>characterized</v>
      </c>
      <c r="Q1395" s="6" t="str">
        <f>IFERROR(__xludf.DUMMYFUNCTION("""COMPUTED_VALUE"""),"nicholson")</f>
        <v>nicholson</v>
      </c>
      <c r="S1395" s="6" t="str">
        <f>IFERROR(__xludf.DUMMYFUNCTION("""COMPUTED_VALUE"""),"terrorist")</f>
        <v>terrorist</v>
      </c>
    </row>
    <row r="1396">
      <c r="D1396" s="6"/>
      <c r="H1396" s="6" t="str">
        <f>IFERROR(__xludf.DUMMYFUNCTION("""COMPUTED_VALUE"""),"ambiguity")</f>
        <v>ambiguity</v>
      </c>
      <c r="I1396" s="6"/>
      <c r="J1396" s="6" t="str">
        <f>IFERROR(__xludf.DUMMYFUNCTION("""COMPUTED_VALUE"""),"evelyn")</f>
        <v>evelyn</v>
      </c>
      <c r="M1396" s="6"/>
      <c r="P1396" s="6" t="str">
        <f>IFERROR(__xludf.DUMMYFUNCTION("""COMPUTED_VALUE"""),"pre")</f>
        <v>pre</v>
      </c>
      <c r="Q1396" s="6" t="str">
        <f>IFERROR(__xludf.DUMMYFUNCTION("""COMPUTED_VALUE"""),"brush")</f>
        <v>brush</v>
      </c>
      <c r="S1396" s="6" t="str">
        <f>IFERROR(__xludf.DUMMYFUNCTION("""COMPUTED_VALUE"""),"gaze")</f>
        <v>gaze</v>
      </c>
    </row>
    <row r="1397">
      <c r="D1397" s="6"/>
      <c r="H1397" s="6" t="str">
        <f>IFERROR(__xludf.DUMMYFUNCTION("""COMPUTED_VALUE"""),"symbolic")</f>
        <v>symbolic</v>
      </c>
      <c r="I1397" s="6"/>
      <c r="J1397" s="6" t="str">
        <f>IFERROR(__xludf.DUMMYFUNCTION("""COMPUTED_VALUE"""),"embrace")</f>
        <v>embrace</v>
      </c>
      <c r="M1397" s="6"/>
      <c r="P1397" s="6" t="str">
        <f>IFERROR(__xludf.DUMMYFUNCTION("""COMPUTED_VALUE"""),"post")</f>
        <v>post</v>
      </c>
      <c r="Q1397" s="6" t="str">
        <f>IFERROR(__xludf.DUMMYFUNCTION("""COMPUTED_VALUE"""),"relies")</f>
        <v>relies</v>
      </c>
      <c r="S1397" s="6" t="str">
        <f>IFERROR(__xludf.DUMMYFUNCTION("""COMPUTED_VALUE"""),"album")</f>
        <v>album</v>
      </c>
    </row>
    <row r="1398">
      <c r="D1398" s="6"/>
      <c r="H1398" s="6" t="str">
        <f>IFERROR(__xludf.DUMMYFUNCTION("""COMPUTED_VALUE"""),"assert")</f>
        <v>assert</v>
      </c>
      <c r="I1398" s="6"/>
      <c r="J1398" s="6" t="str">
        <f>IFERROR(__xludf.DUMMYFUNCTION("""COMPUTED_VALUE"""),"sonny")</f>
        <v>sonny</v>
      </c>
      <c r="M1398" s="6"/>
      <c r="P1398" s="6" t="str">
        <f>IFERROR(__xludf.DUMMYFUNCTION("""COMPUTED_VALUE"""),"bronze")</f>
        <v>bronze</v>
      </c>
      <c r="Q1398" s="6" t="str">
        <f>IFERROR(__xludf.DUMMYFUNCTION("""COMPUTED_VALUE"""),"ache")</f>
        <v>ache</v>
      </c>
      <c r="S1398" s="6" t="str">
        <f>IFERROR(__xludf.DUMMYFUNCTION("""COMPUTED_VALUE"""),"square")</f>
        <v>square</v>
      </c>
    </row>
    <row r="1399">
      <c r="D1399" s="6"/>
      <c r="H1399" s="6" t="str">
        <f>IFERROR(__xludf.DUMMYFUNCTION("""COMPUTED_VALUE"""),"contenders")</f>
        <v>contenders</v>
      </c>
      <c r="I1399" s="6"/>
      <c r="J1399" s="6" t="str">
        <f>IFERROR(__xludf.DUMMYFUNCTION("""COMPUTED_VALUE"""),"station")</f>
        <v>station</v>
      </c>
      <c r="M1399" s="6"/>
      <c r="P1399" s="6" t="str">
        <f>IFERROR(__xludf.DUMMYFUNCTION("""COMPUTED_VALUE"""),"nick")</f>
        <v>nick</v>
      </c>
      <c r="Q1399" s="6" t="str">
        <f>IFERROR(__xludf.DUMMYFUNCTION("""COMPUTED_VALUE"""),"intent")</f>
        <v>intent</v>
      </c>
      <c r="S1399" s="6" t="str">
        <f>IFERROR(__xludf.DUMMYFUNCTION("""COMPUTED_VALUE"""),"rural")</f>
        <v>rural</v>
      </c>
    </row>
    <row r="1400">
      <c r="D1400" s="6"/>
      <c r="H1400" s="6" t="str">
        <f>IFERROR(__xludf.DUMMYFUNCTION("""COMPUTED_VALUE"""),"freedom")</f>
        <v>freedom</v>
      </c>
      <c r="I1400" s="6"/>
      <c r="J1400" s="6" t="str">
        <f>IFERROR(__xludf.DUMMYFUNCTION("""COMPUTED_VALUE"""),"delicately")</f>
        <v>delicately</v>
      </c>
      <c r="M1400" s="6"/>
      <c r="P1400" s="6" t="str">
        <f>IFERROR(__xludf.DUMMYFUNCTION("""COMPUTED_VALUE"""),"signals")</f>
        <v>signals</v>
      </c>
      <c r="Q1400" s="6" t="str">
        <f>IFERROR(__xludf.DUMMYFUNCTION("""COMPUTED_VALUE"""),"creeping")</f>
        <v>creeping</v>
      </c>
      <c r="S1400" s="6" t="str">
        <f>IFERROR(__xludf.DUMMYFUNCTION("""COMPUTED_VALUE"""),"birmingham")</f>
        <v>birmingham</v>
      </c>
    </row>
    <row r="1401">
      <c r="D1401" s="6"/>
      <c r="H1401" s="6" t="str">
        <f>IFERROR(__xludf.DUMMYFUNCTION("""COMPUTED_VALUE"""),"donovan")</f>
        <v>donovan</v>
      </c>
      <c r="I1401" s="6"/>
      <c r="J1401" s="6" t="str">
        <f>IFERROR(__xludf.DUMMYFUNCTION("""COMPUTED_VALUE"""),"memoir")</f>
        <v>memoir</v>
      </c>
      <c r="M1401" s="6"/>
      <c r="P1401" s="6" t="str">
        <f>IFERROR(__xludf.DUMMYFUNCTION("""COMPUTED_VALUE"""),"background")</f>
        <v>background</v>
      </c>
      <c r="Q1401" s="6" t="str">
        <f>IFERROR(__xludf.DUMMYFUNCTION("""COMPUTED_VALUE"""),"economical")</f>
        <v>economical</v>
      </c>
      <c r="S1401" s="6" t="str">
        <f>IFERROR(__xludf.DUMMYFUNCTION("""COMPUTED_VALUE"""),"expecting")</f>
        <v>expecting</v>
      </c>
    </row>
    <row r="1402">
      <c r="D1402" s="6"/>
      <c r="H1402" s="6" t="str">
        <f>IFERROR(__xludf.DUMMYFUNCTION("""COMPUTED_VALUE"""),"irwin")</f>
        <v>irwin</v>
      </c>
      <c r="I1402" s="6"/>
      <c r="J1402" s="6" t="str">
        <f>IFERROR(__xludf.DUMMYFUNCTION("""COMPUTED_VALUE"""),"scarcely")</f>
        <v>scarcely</v>
      </c>
      <c r="M1402" s="6"/>
      <c r="P1402" s="6" t="str">
        <f>IFERROR(__xludf.DUMMYFUNCTION("""COMPUTED_VALUE"""),"traffic")</f>
        <v>traffic</v>
      </c>
      <c r="Q1402" s="6" t="str">
        <f>IFERROR(__xludf.DUMMYFUNCTION("""COMPUTED_VALUE"""),"distinctly")</f>
        <v>distinctly</v>
      </c>
      <c r="S1402" s="6" t="str">
        <f>IFERROR(__xludf.DUMMYFUNCTION("""COMPUTED_VALUE"""),"guy")</f>
        <v>guy</v>
      </c>
    </row>
    <row r="1403">
      <c r="D1403" s="6"/>
      <c r="H1403" s="6" t="str">
        <f>IFERROR(__xludf.DUMMYFUNCTION("""COMPUTED_VALUE"""),"procedural")</f>
        <v>procedural</v>
      </c>
      <c r="I1403" s="6"/>
      <c r="J1403" s="6" t="str">
        <f>IFERROR(__xludf.DUMMYFUNCTION("""COMPUTED_VALUE"""),"expressive")</f>
        <v>expressive</v>
      </c>
      <c r="M1403" s="6"/>
      <c r="P1403" s="6" t="str">
        <f>IFERROR(__xludf.DUMMYFUNCTION("""COMPUTED_VALUE"""),"engaged")</f>
        <v>engaged</v>
      </c>
      <c r="Q1403" s="6" t="str">
        <f>IFERROR(__xludf.DUMMYFUNCTION("""COMPUTED_VALUE"""),"ideal")</f>
        <v>ideal</v>
      </c>
      <c r="S1403" s="6" t="str">
        <f>IFERROR(__xludf.DUMMYFUNCTION("""COMPUTED_VALUE"""),"flight")</f>
        <v>flight</v>
      </c>
    </row>
    <row r="1404">
      <c r="D1404" s="6"/>
      <c r="H1404" s="6" t="str">
        <f>IFERROR(__xludf.DUMMYFUNCTION("""COMPUTED_VALUE"""),"schneider")</f>
        <v>schneider</v>
      </c>
      <c r="I1404" s="6"/>
      <c r="J1404" s="6" t="str">
        <f>IFERROR(__xludf.DUMMYFUNCTION("""COMPUTED_VALUE"""),"provoked")</f>
        <v>provoked</v>
      </c>
      <c r="M1404" s="6"/>
      <c r="P1404" s="6">
        <f>IFERROR(__xludf.DUMMYFUNCTION("""COMPUTED_VALUE"""),1958.0)</f>
        <v>1958</v>
      </c>
      <c r="Q1404" s="6" t="str">
        <f>IFERROR(__xludf.DUMMYFUNCTION("""COMPUTED_VALUE"""),"body")</f>
        <v>body</v>
      </c>
      <c r="S1404" s="6" t="str">
        <f>IFERROR(__xludf.DUMMYFUNCTION("""COMPUTED_VALUE"""),"deliberately")</f>
        <v>deliberately</v>
      </c>
    </row>
    <row r="1405">
      <c r="D1405" s="6"/>
      <c r="H1405" s="6" t="str">
        <f>IFERROR(__xludf.DUMMYFUNCTION("""COMPUTED_VALUE"""),"crypt")</f>
        <v>crypt</v>
      </c>
      <c r="I1405" s="6"/>
      <c r="J1405" s="6" t="str">
        <f>IFERROR(__xludf.DUMMYFUNCTION("""COMPUTED_VALUE"""),"tenor")</f>
        <v>tenor</v>
      </c>
      <c r="M1405" s="6"/>
      <c r="P1405" s="6" t="str">
        <f>IFERROR(__xludf.DUMMYFUNCTION("""COMPUTED_VALUE"""),"races")</f>
        <v>races</v>
      </c>
      <c r="Q1405" s="6" t="str">
        <f>IFERROR(__xludf.DUMMYFUNCTION("""COMPUTED_VALUE"""),"theories")</f>
        <v>theories</v>
      </c>
      <c r="S1405" s="6" t="str">
        <f>IFERROR(__xludf.DUMMYFUNCTION("""COMPUTED_VALUE"""),"possibly")</f>
        <v>possibly</v>
      </c>
    </row>
    <row r="1406">
      <c r="D1406" s="6"/>
      <c r="H1406" s="6" t="str">
        <f>IFERROR(__xludf.DUMMYFUNCTION("""COMPUTED_VALUE"""),"peek")</f>
        <v>peek</v>
      </c>
      <c r="I1406" s="6"/>
      <c r="J1406" s="6" t="str">
        <f>IFERROR(__xludf.DUMMYFUNCTION("""COMPUTED_VALUE"""),"mourning")</f>
        <v>mourning</v>
      </c>
      <c r="M1406" s="6"/>
      <c r="P1406" s="6" t="str">
        <f>IFERROR(__xludf.DUMMYFUNCTION("""COMPUTED_VALUE"""),"luther")</f>
        <v>luther</v>
      </c>
      <c r="Q1406" s="6" t="str">
        <f>IFERROR(__xludf.DUMMYFUNCTION("""COMPUTED_VALUE"""),"ominous")</f>
        <v>ominous</v>
      </c>
      <c r="S1406" s="6" t="str">
        <f>IFERROR(__xludf.DUMMYFUNCTION("""COMPUTED_VALUE"""),"front")</f>
        <v>front</v>
      </c>
    </row>
    <row r="1407">
      <c r="D1407" s="6"/>
      <c r="H1407" s="6" t="str">
        <f>IFERROR(__xludf.DUMMYFUNCTION("""COMPUTED_VALUE"""),"protagonist")</f>
        <v>protagonist</v>
      </c>
      <c r="I1407" s="6"/>
      <c r="J1407" s="6" t="str">
        <f>IFERROR(__xludf.DUMMYFUNCTION("""COMPUTED_VALUE"""),"adultery")</f>
        <v>adultery</v>
      </c>
      <c r="M1407" s="6"/>
      <c r="P1407" s="6" t="str">
        <f>IFERROR(__xludf.DUMMYFUNCTION("""COMPUTED_VALUE"""),"doctorate")</f>
        <v>doctorate</v>
      </c>
      <c r="Q1407" s="6" t="str">
        <f>IFERROR(__xludf.DUMMYFUNCTION("""COMPUTED_VALUE"""),"earthly")</f>
        <v>earthly</v>
      </c>
      <c r="S1407" s="6" t="str">
        <f>IFERROR(__xludf.DUMMYFUNCTION("""COMPUTED_VALUE"""),"thirty")</f>
        <v>thirty</v>
      </c>
    </row>
    <row r="1408">
      <c r="D1408" s="6"/>
      <c r="H1408" s="6" t="str">
        <f>IFERROR(__xludf.DUMMYFUNCTION("""COMPUTED_VALUE"""),"patriotic")</f>
        <v>patriotic</v>
      </c>
      <c r="I1408" s="6"/>
      <c r="J1408" s="6" t="str">
        <f>IFERROR(__xludf.DUMMYFUNCTION("""COMPUTED_VALUE"""),"rampant")</f>
        <v>rampant</v>
      </c>
      <c r="M1408" s="6"/>
      <c r="P1408" s="6" t="str">
        <f>IFERROR(__xludf.DUMMYFUNCTION("""COMPUTED_VALUE"""),"mid")</f>
        <v>mid</v>
      </c>
      <c r="Q1408" s="6" t="str">
        <f>IFERROR(__xludf.DUMMYFUNCTION("""COMPUTED_VALUE"""),"costly")</f>
        <v>costly</v>
      </c>
      <c r="S1408" s="6" t="str">
        <f>IFERROR(__xludf.DUMMYFUNCTION("""COMPUTED_VALUE"""),"conservative")</f>
        <v>conservative</v>
      </c>
    </row>
    <row r="1409">
      <c r="D1409" s="6"/>
      <c r="H1409" s="6" t="str">
        <f>IFERROR(__xludf.DUMMYFUNCTION("""COMPUTED_VALUE"""),"hardened")</f>
        <v>hardened</v>
      </c>
      <c r="I1409" s="6"/>
      <c r="J1409" s="6" t="str">
        <f>IFERROR(__xludf.DUMMYFUNCTION("""COMPUTED_VALUE"""),"kingsley")</f>
        <v>kingsley</v>
      </c>
      <c r="M1409" s="6"/>
      <c r="P1409" s="6" t="str">
        <f>IFERROR(__xludf.DUMMYFUNCTION("""COMPUTED_VALUE"""),"insane")</f>
        <v>insane</v>
      </c>
      <c r="Q1409" s="6" t="str">
        <f>IFERROR(__xludf.DUMMYFUNCTION("""COMPUTED_VALUE"""),"land")</f>
        <v>land</v>
      </c>
      <c r="S1409" s="6" t="str">
        <f>IFERROR(__xludf.DUMMYFUNCTION("""COMPUTED_VALUE"""),"condition")</f>
        <v>condition</v>
      </c>
    </row>
    <row r="1410">
      <c r="D1410" s="6"/>
      <c r="H1410" s="6" t="str">
        <f>IFERROR(__xludf.DUMMYFUNCTION("""COMPUTED_VALUE"""),"origins")</f>
        <v>origins</v>
      </c>
      <c r="I1410" s="6"/>
      <c r="J1410" s="6" t="str">
        <f>IFERROR(__xludf.DUMMYFUNCTION("""COMPUTED_VALUE"""),"successor")</f>
        <v>successor</v>
      </c>
      <c r="M1410" s="6"/>
      <c r="P1410" s="6" t="str">
        <f>IFERROR(__xludf.DUMMYFUNCTION("""COMPUTED_VALUE"""),"prison")</f>
        <v>prison</v>
      </c>
      <c r="Q1410" s="6" t="str">
        <f>IFERROR(__xludf.DUMMYFUNCTION("""COMPUTED_VALUE"""),"counterparts")</f>
        <v>counterparts</v>
      </c>
      <c r="S1410" s="6" t="str">
        <f>IFERROR(__xludf.DUMMYFUNCTION("""COMPUTED_VALUE"""),"space")</f>
        <v>space</v>
      </c>
    </row>
    <row r="1411">
      <c r="D1411" s="6"/>
      <c r="H1411" s="6" t="str">
        <f>IFERROR(__xludf.DUMMYFUNCTION("""COMPUTED_VALUE"""),"nazi")</f>
        <v>nazi</v>
      </c>
      <c r="I1411" s="6"/>
      <c r="J1411" s="6" t="str">
        <f>IFERROR(__xludf.DUMMYFUNCTION("""COMPUTED_VALUE"""),"shear")</f>
        <v>shear</v>
      </c>
      <c r="M1411" s="6"/>
      <c r="P1411" s="6" t="str">
        <f>IFERROR(__xludf.DUMMYFUNCTION("""COMPUTED_VALUE"""),"discovery")</f>
        <v>discovery</v>
      </c>
      <c r="Q1411" s="6" t="str">
        <f>IFERROR(__xludf.DUMMYFUNCTION("""COMPUTED_VALUE"""),"schizophrenia")</f>
        <v>schizophrenia</v>
      </c>
      <c r="S1411" s="6" t="str">
        <f>IFERROR(__xludf.DUMMYFUNCTION("""COMPUTED_VALUE"""),"sought")</f>
        <v>sought</v>
      </c>
    </row>
    <row r="1412">
      <c r="D1412" s="6"/>
      <c r="H1412" s="6" t="str">
        <f>IFERROR(__xludf.DUMMYFUNCTION("""COMPUTED_VALUE"""),"yiddish")</f>
        <v>yiddish</v>
      </c>
      <c r="I1412" s="6"/>
      <c r="J1412" s="6" t="str">
        <f>IFERROR(__xludf.DUMMYFUNCTION("""COMPUTED_VALUE"""),"hack")</f>
        <v>hack</v>
      </c>
      <c r="M1412" s="6"/>
      <c r="P1412" s="6" t="str">
        <f>IFERROR(__xludf.DUMMYFUNCTION("""COMPUTED_VALUE"""),"reveal")</f>
        <v>reveal</v>
      </c>
      <c r="Q1412" s="6" t="str">
        <f>IFERROR(__xludf.DUMMYFUNCTION("""COMPUTED_VALUE"""),"captured")</f>
        <v>captured</v>
      </c>
      <c r="S1412" s="6" t="str">
        <f>IFERROR(__xludf.DUMMYFUNCTION("""COMPUTED_VALUE"""),"simultaneously")</f>
        <v>simultaneously</v>
      </c>
    </row>
    <row r="1413">
      <c r="D1413" s="6"/>
      <c r="H1413" s="6" t="str">
        <f>IFERROR(__xludf.DUMMYFUNCTION("""COMPUTED_VALUE"""),"bouncing")</f>
        <v>bouncing</v>
      </c>
      <c r="I1413" s="6"/>
      <c r="J1413" s="6" t="str">
        <f>IFERROR(__xludf.DUMMYFUNCTION("""COMPUTED_VALUE"""),"bitten")</f>
        <v>bitten</v>
      </c>
      <c r="M1413" s="6"/>
      <c r="P1413" s="6" t="str">
        <f>IFERROR(__xludf.DUMMYFUNCTION("""COMPUTED_VALUE"""),"effectively")</f>
        <v>effectively</v>
      </c>
      <c r="Q1413" s="6" t="str">
        <f>IFERROR(__xludf.DUMMYFUNCTION("""COMPUTED_VALUE"""),"warfare")</f>
        <v>warfare</v>
      </c>
      <c r="S1413" s="6" t="str">
        <f>IFERROR(__xludf.DUMMYFUNCTION("""COMPUTED_VALUE"""),"seattle")</f>
        <v>seattle</v>
      </c>
    </row>
    <row r="1414">
      <c r="D1414" s="6"/>
      <c r="H1414" s="6" t="str">
        <f>IFERROR(__xludf.DUMMYFUNCTION("""COMPUTED_VALUE"""),"practiced")</f>
        <v>practiced</v>
      </c>
      <c r="I1414" s="6"/>
      <c r="J1414" s="6" t="str">
        <f>IFERROR(__xludf.DUMMYFUNCTION("""COMPUTED_VALUE"""),"volatile")</f>
        <v>volatile</v>
      </c>
      <c r="M1414" s="6"/>
      <c r="P1414" s="6" t="str">
        <f>IFERROR(__xludf.DUMMYFUNCTION("""COMPUTED_VALUE"""),"edition")</f>
        <v>edition</v>
      </c>
      <c r="Q1414" s="6" t="str">
        <f>IFERROR(__xludf.DUMMYFUNCTION("""COMPUTED_VALUE"""),"lets")</f>
        <v>lets</v>
      </c>
      <c r="S1414" s="6" t="str">
        <f>IFERROR(__xludf.DUMMYFUNCTION("""COMPUTED_VALUE"""),"kissing")</f>
        <v>kissing</v>
      </c>
    </row>
    <row r="1415">
      <c r="D1415" s="6"/>
      <c r="H1415" s="6" t="str">
        <f>IFERROR(__xludf.DUMMYFUNCTION("""COMPUTED_VALUE"""),"annals")</f>
        <v>annals</v>
      </c>
      <c r="I1415" s="6"/>
      <c r="J1415" s="6" t="str">
        <f>IFERROR(__xludf.DUMMYFUNCTION("""COMPUTED_VALUE"""),"resolutions")</f>
        <v>resolutions</v>
      </c>
      <c r="M1415" s="6"/>
      <c r="P1415" s="6" t="str">
        <f>IFERROR(__xludf.DUMMYFUNCTION("""COMPUTED_VALUE"""),"proof")</f>
        <v>proof</v>
      </c>
      <c r="Q1415" s="6" t="str">
        <f>IFERROR(__xludf.DUMMYFUNCTION("""COMPUTED_VALUE"""),"brendan")</f>
        <v>brendan</v>
      </c>
      <c r="S1415" s="6" t="str">
        <f>IFERROR(__xludf.DUMMYFUNCTION("""COMPUTED_VALUE"""),"electric")</f>
        <v>electric</v>
      </c>
    </row>
    <row r="1416">
      <c r="D1416" s="6"/>
      <c r="H1416" s="6" t="str">
        <f>IFERROR(__xludf.DUMMYFUNCTION("""COMPUTED_VALUE"""),"forceful")</f>
        <v>forceful</v>
      </c>
      <c r="I1416" s="6"/>
      <c r="J1416" s="6" t="str">
        <f>IFERROR(__xludf.DUMMYFUNCTION("""COMPUTED_VALUE"""),"haynes")</f>
        <v>haynes</v>
      </c>
      <c r="M1416" s="6"/>
      <c r="P1416" s="6" t="str">
        <f>IFERROR(__xludf.DUMMYFUNCTION("""COMPUTED_VALUE"""),"concentration")</f>
        <v>concentration</v>
      </c>
      <c r="Q1416" s="6" t="str">
        <f>IFERROR(__xludf.DUMMYFUNCTION("""COMPUTED_VALUE"""),"tuned")</f>
        <v>tuned</v>
      </c>
      <c r="S1416" s="6" t="str">
        <f>IFERROR(__xludf.DUMMYFUNCTION("""COMPUTED_VALUE"""),"chief")</f>
        <v>chief</v>
      </c>
    </row>
    <row r="1417">
      <c r="D1417" s="6"/>
      <c r="H1417" s="6" t="str">
        <f>IFERROR(__xludf.DUMMYFUNCTION("""COMPUTED_VALUE"""),"innovations")</f>
        <v>innovations</v>
      </c>
      <c r="I1417" s="6"/>
      <c r="J1417" s="6" t="str">
        <f>IFERROR(__xludf.DUMMYFUNCTION("""COMPUTED_VALUE"""),"rhetoric")</f>
        <v>rhetoric</v>
      </c>
      <c r="M1417" s="6"/>
      <c r="P1417" s="6" t="str">
        <f>IFERROR(__xludf.DUMMYFUNCTION("""COMPUTED_VALUE"""),"competing")</f>
        <v>competing</v>
      </c>
      <c r="Q1417" s="6" t="str">
        <f>IFERROR(__xludf.DUMMYFUNCTION("""COMPUTED_VALUE"""),"raises")</f>
        <v>raises</v>
      </c>
      <c r="S1417" s="6" t="str">
        <f>IFERROR(__xludf.DUMMYFUNCTION("""COMPUTED_VALUE"""),"famous")</f>
        <v>famous</v>
      </c>
    </row>
    <row r="1418">
      <c r="D1418" s="6"/>
      <c r="H1418" s="6" t="str">
        <f>IFERROR(__xludf.DUMMYFUNCTION("""COMPUTED_VALUE"""),"despair")</f>
        <v>despair</v>
      </c>
      <c r="I1418" s="6"/>
      <c r="J1418" s="6" t="str">
        <f>IFERROR(__xludf.DUMMYFUNCTION("""COMPUTED_VALUE"""),"wartime")</f>
        <v>wartime</v>
      </c>
      <c r="M1418" s="6"/>
      <c r="P1418" s="6" t="str">
        <f>IFERROR(__xludf.DUMMYFUNCTION("""COMPUTED_VALUE"""),"neutral")</f>
        <v>neutral</v>
      </c>
      <c r="Q1418" s="6" t="str">
        <f>IFERROR(__xludf.DUMMYFUNCTION("""COMPUTED_VALUE"""),"brink")</f>
        <v>brink</v>
      </c>
      <c r="S1418" s="6" t="str">
        <f>IFERROR(__xludf.DUMMYFUNCTION("""COMPUTED_VALUE"""),"object")</f>
        <v>object</v>
      </c>
    </row>
    <row r="1419">
      <c r="D1419" s="6"/>
      <c r="H1419" s="6" t="str">
        <f>IFERROR(__xludf.DUMMYFUNCTION("""COMPUTED_VALUE"""),"replaced")</f>
        <v>replaced</v>
      </c>
      <c r="I1419" s="6"/>
      <c r="J1419" s="6" t="str">
        <f>IFERROR(__xludf.DUMMYFUNCTION("""COMPUTED_VALUE"""),"downward")</f>
        <v>downward</v>
      </c>
      <c r="M1419" s="6"/>
      <c r="P1419" s="6" t="str">
        <f>IFERROR(__xludf.DUMMYFUNCTION("""COMPUTED_VALUE"""),"singh")</f>
        <v>singh</v>
      </c>
      <c r="Q1419" s="6" t="str">
        <f>IFERROR(__xludf.DUMMYFUNCTION("""COMPUTED_VALUE"""),"thick")</f>
        <v>thick</v>
      </c>
      <c r="S1419" s="6" t="str">
        <f>IFERROR(__xludf.DUMMYFUNCTION("""COMPUTED_VALUE"""),"believed")</f>
        <v>believed</v>
      </c>
    </row>
    <row r="1420">
      <c r="D1420" s="6"/>
      <c r="H1420" s="6" t="str">
        <f>IFERROR(__xludf.DUMMYFUNCTION("""COMPUTED_VALUE"""),"executives")</f>
        <v>executives</v>
      </c>
      <c r="I1420" s="6"/>
      <c r="J1420" s="6" t="str">
        <f>IFERROR(__xludf.DUMMYFUNCTION("""COMPUTED_VALUE"""),"inclination")</f>
        <v>inclination</v>
      </c>
      <c r="M1420" s="6"/>
      <c r="P1420" s="6" t="str">
        <f>IFERROR(__xludf.DUMMYFUNCTION("""COMPUTED_VALUE"""),"stakes")</f>
        <v>stakes</v>
      </c>
      <c r="Q1420" s="6" t="str">
        <f>IFERROR(__xludf.DUMMYFUNCTION("""COMPUTED_VALUE"""),"anguish")</f>
        <v>anguish</v>
      </c>
      <c r="S1420" s="6" t="str">
        <f>IFERROR(__xludf.DUMMYFUNCTION("""COMPUTED_VALUE"""),"titled")</f>
        <v>titled</v>
      </c>
    </row>
    <row r="1421">
      <c r="D1421" s="6"/>
      <c r="H1421" s="6" t="str">
        <f>IFERROR(__xludf.DUMMYFUNCTION("""COMPUTED_VALUE"""),"hoped")</f>
        <v>hoped</v>
      </c>
      <c r="I1421" s="6"/>
      <c r="J1421" s="6" t="str">
        <f>IFERROR(__xludf.DUMMYFUNCTION("""COMPUTED_VALUE"""),"hannibal")</f>
        <v>hannibal</v>
      </c>
      <c r="M1421" s="6"/>
      <c r="P1421" s="6" t="str">
        <f>IFERROR(__xludf.DUMMYFUNCTION("""COMPUTED_VALUE"""),"ran")</f>
        <v>ran</v>
      </c>
      <c r="Q1421" s="6" t="str">
        <f>IFERROR(__xludf.DUMMYFUNCTION("""COMPUTED_VALUE"""),"elusive")</f>
        <v>elusive</v>
      </c>
      <c r="S1421" s="6" t="str">
        <f>IFERROR(__xludf.DUMMYFUNCTION("""COMPUTED_VALUE"""),"choices")</f>
        <v>choices</v>
      </c>
    </row>
    <row r="1422">
      <c r="D1422" s="6"/>
      <c r="H1422" s="6" t="str">
        <f>IFERROR(__xludf.DUMMYFUNCTION("""COMPUTED_VALUE"""),"clint")</f>
        <v>clint</v>
      </c>
      <c r="I1422" s="6"/>
      <c r="J1422" s="6" t="str">
        <f>IFERROR(__xludf.DUMMYFUNCTION("""COMPUTED_VALUE"""),"whimper")</f>
        <v>whimper</v>
      </c>
      <c r="M1422" s="6"/>
      <c r="P1422" s="6" t="str">
        <f>IFERROR(__xludf.DUMMYFUNCTION("""COMPUTED_VALUE"""),"lights")</f>
        <v>lights</v>
      </c>
      <c r="Q1422" s="6" t="str">
        <f>IFERROR(__xludf.DUMMYFUNCTION("""COMPUTED_VALUE"""),"scares")</f>
        <v>scares</v>
      </c>
      <c r="S1422" s="6" t="str">
        <f>IFERROR(__xludf.DUMMYFUNCTION("""COMPUTED_VALUE"""),"baseball")</f>
        <v>baseball</v>
      </c>
    </row>
    <row r="1423">
      <c r="D1423" s="6"/>
      <c r="H1423" s="6" t="str">
        <f>IFERROR(__xludf.DUMMYFUNCTION("""COMPUTED_VALUE"""),"illustrating")</f>
        <v>illustrating</v>
      </c>
      <c r="I1423" s="6"/>
      <c r="J1423" s="6" t="str">
        <f>IFERROR(__xludf.DUMMYFUNCTION("""COMPUTED_VALUE"""),"permitting")</f>
        <v>permitting</v>
      </c>
      <c r="M1423" s="6"/>
      <c r="P1423" s="6" t="str">
        <f>IFERROR(__xludf.DUMMYFUNCTION("""COMPUTED_VALUE"""),"tucker")</f>
        <v>tucker</v>
      </c>
      <c r="Q1423" s="6" t="str">
        <f>IFERROR(__xludf.DUMMYFUNCTION("""COMPUTED_VALUE"""),"radical")</f>
        <v>radical</v>
      </c>
      <c r="S1423" s="6" t="str">
        <f>IFERROR(__xludf.DUMMYFUNCTION("""COMPUTED_VALUE"""),"ad")</f>
        <v>ad</v>
      </c>
    </row>
    <row r="1424">
      <c r="D1424" s="6"/>
      <c r="H1424" s="6" t="str">
        <f>IFERROR(__xludf.DUMMYFUNCTION("""COMPUTED_VALUE"""),"whale")</f>
        <v>whale</v>
      </c>
      <c r="I1424" s="6"/>
      <c r="J1424" s="6" t="str">
        <f>IFERROR(__xludf.DUMMYFUNCTION("""COMPUTED_VALUE"""),"repeatedly")</f>
        <v>repeatedly</v>
      </c>
      <c r="M1424" s="6"/>
      <c r="P1424" s="6">
        <f>IFERROR(__xludf.DUMMYFUNCTION("""COMPUTED_VALUE"""),94.0)</f>
        <v>94</v>
      </c>
      <c r="Q1424" s="6" t="str">
        <f>IFERROR(__xludf.DUMMYFUNCTION("""COMPUTED_VALUE"""),"sterling")</f>
        <v>sterling</v>
      </c>
      <c r="S1424" s="6" t="str">
        <f>IFERROR(__xludf.DUMMYFUNCTION("""COMPUTED_VALUE"""),"succeed")</f>
        <v>succeed</v>
      </c>
    </row>
    <row r="1425">
      <c r="D1425" s="6"/>
      <c r="H1425" s="6" t="str">
        <f>IFERROR(__xludf.DUMMYFUNCTION("""COMPUTED_VALUE"""),"bitterly")</f>
        <v>bitterly</v>
      </c>
      <c r="I1425" s="6"/>
      <c r="J1425" s="6" t="str">
        <f>IFERROR(__xludf.DUMMYFUNCTION("""COMPUTED_VALUE"""),"stopped")</f>
        <v>stopped</v>
      </c>
      <c r="M1425" s="6"/>
      <c r="P1425" s="6" t="str">
        <f>IFERROR(__xludf.DUMMYFUNCTION("""COMPUTED_VALUE"""),"criticism")</f>
        <v>criticism</v>
      </c>
      <c r="Q1425" s="6" t="str">
        <f>IFERROR(__xludf.DUMMYFUNCTION("""COMPUTED_VALUE"""),"thrusts")</f>
        <v>thrusts</v>
      </c>
      <c r="S1425" s="6">
        <f>IFERROR(__xludf.DUMMYFUNCTION("""COMPUTED_VALUE"""),83.0)</f>
        <v>83</v>
      </c>
    </row>
    <row r="1426">
      <c r="D1426" s="6"/>
      <c r="H1426" s="6" t="str">
        <f>IFERROR(__xludf.DUMMYFUNCTION("""COMPUTED_VALUE"""),"lower")</f>
        <v>lower</v>
      </c>
      <c r="I1426" s="6"/>
      <c r="J1426" s="6" t="str">
        <f>IFERROR(__xludf.DUMMYFUNCTION("""COMPUTED_VALUE"""),"unnoticed")</f>
        <v>unnoticed</v>
      </c>
      <c r="M1426" s="6"/>
      <c r="P1426" s="6" t="str">
        <f>IFERROR(__xludf.DUMMYFUNCTION("""COMPUTED_VALUE"""),"versions")</f>
        <v>versions</v>
      </c>
      <c r="Q1426" s="6" t="str">
        <f>IFERROR(__xludf.DUMMYFUNCTION("""COMPUTED_VALUE"""),"backbone")</f>
        <v>backbone</v>
      </c>
      <c r="S1426" s="6" t="str">
        <f>IFERROR(__xludf.DUMMYFUNCTION("""COMPUTED_VALUE"""),"returns")</f>
        <v>returns</v>
      </c>
    </row>
    <row r="1427">
      <c r="D1427" s="6"/>
      <c r="H1427" s="6" t="str">
        <f>IFERROR(__xludf.DUMMYFUNCTION("""COMPUTED_VALUE"""),"athlete")</f>
        <v>athlete</v>
      </c>
      <c r="I1427" s="6"/>
      <c r="J1427" s="6" t="str">
        <f>IFERROR(__xludf.DUMMYFUNCTION("""COMPUTED_VALUE"""),"unconventional")</f>
        <v>unconventional</v>
      </c>
      <c r="M1427" s="6"/>
      <c r="P1427" s="6" t="str">
        <f>IFERROR(__xludf.DUMMYFUNCTION("""COMPUTED_VALUE"""),"powers")</f>
        <v>powers</v>
      </c>
      <c r="Q1427" s="6" t="str">
        <f>IFERROR(__xludf.DUMMYFUNCTION("""COMPUTED_VALUE"""),"hook")</f>
        <v>hook</v>
      </c>
      <c r="S1427" s="6" t="str">
        <f>IFERROR(__xludf.DUMMYFUNCTION("""COMPUTED_VALUE"""),"significance")</f>
        <v>significance</v>
      </c>
    </row>
    <row r="1428">
      <c r="D1428" s="6"/>
      <c r="H1428" s="6" t="str">
        <f>IFERROR(__xludf.DUMMYFUNCTION("""COMPUTED_VALUE"""),"ambiguous")</f>
        <v>ambiguous</v>
      </c>
      <c r="I1428" s="6"/>
      <c r="J1428" s="6" t="str">
        <f>IFERROR(__xludf.DUMMYFUNCTION("""COMPUTED_VALUE"""),"turbulent")</f>
        <v>turbulent</v>
      </c>
      <c r="M1428" s="6"/>
      <c r="P1428" s="6" t="str">
        <f>IFERROR(__xludf.DUMMYFUNCTION("""COMPUTED_VALUE"""),"multiple")</f>
        <v>multiple</v>
      </c>
      <c r="Q1428" s="6">
        <f>IFERROR(__xludf.DUMMYFUNCTION("""COMPUTED_VALUE"""),1993.0)</f>
        <v>1993</v>
      </c>
      <c r="S1428" s="6" t="str">
        <f>IFERROR(__xludf.DUMMYFUNCTION("""COMPUTED_VALUE"""),"destroy")</f>
        <v>destroy</v>
      </c>
    </row>
    <row r="1429">
      <c r="D1429" s="6"/>
      <c r="H1429" s="6" t="str">
        <f>IFERROR(__xludf.DUMMYFUNCTION("""COMPUTED_VALUE"""),"combat")</f>
        <v>combat</v>
      </c>
      <c r="I1429" s="6"/>
      <c r="J1429" s="6" t="str">
        <f>IFERROR(__xludf.DUMMYFUNCTION("""COMPUTED_VALUE"""),"egypt")</f>
        <v>egypt</v>
      </c>
      <c r="M1429" s="6"/>
      <c r="P1429" s="6" t="str">
        <f>IFERROR(__xludf.DUMMYFUNCTION("""COMPUTED_VALUE"""),"segment")</f>
        <v>segment</v>
      </c>
      <c r="Q1429" s="6" t="str">
        <f>IFERROR(__xludf.DUMMYFUNCTION("""COMPUTED_VALUE"""),"courageous")</f>
        <v>courageous</v>
      </c>
      <c r="S1429" s="6" t="str">
        <f>IFERROR(__xludf.DUMMYFUNCTION("""COMPUTED_VALUE"""),"learn")</f>
        <v>learn</v>
      </c>
    </row>
    <row r="1430">
      <c r="D1430" s="6"/>
      <c r="H1430" s="6" t="str">
        <f>IFERROR(__xludf.DUMMYFUNCTION("""COMPUTED_VALUE"""),"expose")</f>
        <v>expose</v>
      </c>
      <c r="I1430" s="6"/>
      <c r="J1430" s="6" t="str">
        <f>IFERROR(__xludf.DUMMYFUNCTION("""COMPUTED_VALUE"""),"twenty")</f>
        <v>twenty</v>
      </c>
      <c r="M1430" s="6"/>
      <c r="P1430" s="6" t="str">
        <f>IFERROR(__xludf.DUMMYFUNCTION("""COMPUTED_VALUE"""),"jet")</f>
        <v>jet</v>
      </c>
      <c r="Q1430" s="6" t="str">
        <f>IFERROR(__xludf.DUMMYFUNCTION("""COMPUTED_VALUE"""),"allegiance")</f>
        <v>allegiance</v>
      </c>
      <c r="S1430" s="6" t="str">
        <f>IFERROR(__xludf.DUMMYFUNCTION("""COMPUTED_VALUE"""),"margin")</f>
        <v>margin</v>
      </c>
    </row>
    <row r="1431">
      <c r="D1431" s="6"/>
      <c r="H1431" s="6" t="str">
        <f>IFERROR(__xludf.DUMMYFUNCTION("""COMPUTED_VALUE"""),"prejudice")</f>
        <v>prejudice</v>
      </c>
      <c r="I1431" s="6"/>
      <c r="J1431" s="6" t="str">
        <f>IFERROR(__xludf.DUMMYFUNCTION("""COMPUTED_VALUE"""),"homicide")</f>
        <v>homicide</v>
      </c>
      <c r="M1431" s="6"/>
      <c r="P1431" s="6" t="str">
        <f>IFERROR(__xludf.DUMMYFUNCTION("""COMPUTED_VALUE"""),"fictional")</f>
        <v>fictional</v>
      </c>
      <c r="Q1431" s="6" t="str">
        <f>IFERROR(__xludf.DUMMYFUNCTION("""COMPUTED_VALUE"""),"backlash")</f>
        <v>backlash</v>
      </c>
      <c r="S1431" s="6" t="str">
        <f>IFERROR(__xludf.DUMMYFUNCTION("""COMPUTED_VALUE"""),"productions")</f>
        <v>productions</v>
      </c>
    </row>
    <row r="1432">
      <c r="D1432" s="6"/>
      <c r="H1432" s="6" t="str">
        <f>IFERROR(__xludf.DUMMYFUNCTION("""COMPUTED_VALUE"""),"screenwriter")</f>
        <v>screenwriter</v>
      </c>
      <c r="I1432" s="6"/>
      <c r="J1432" s="6" t="str">
        <f>IFERROR(__xludf.DUMMYFUNCTION("""COMPUTED_VALUE"""),"cinderella")</f>
        <v>cinderella</v>
      </c>
      <c r="M1432" s="6"/>
      <c r="P1432" s="6" t="str">
        <f>IFERROR(__xludf.DUMMYFUNCTION("""COMPUTED_VALUE"""),"roster")</f>
        <v>roster</v>
      </c>
      <c r="Q1432" s="6" t="str">
        <f>IFERROR(__xludf.DUMMYFUNCTION("""COMPUTED_VALUE"""),"prominently")</f>
        <v>prominently</v>
      </c>
      <c r="S1432" s="6" t="str">
        <f>IFERROR(__xludf.DUMMYFUNCTION("""COMPUTED_VALUE"""),"sugar")</f>
        <v>sugar</v>
      </c>
    </row>
    <row r="1433">
      <c r="D1433" s="6"/>
      <c r="H1433" s="6" t="str">
        <f>IFERROR(__xludf.DUMMYFUNCTION("""COMPUTED_VALUE"""),"enigma")</f>
        <v>enigma</v>
      </c>
      <c r="I1433" s="6"/>
      <c r="J1433" s="6" t="str">
        <f>IFERROR(__xludf.DUMMYFUNCTION("""COMPUTED_VALUE"""),"harrison")</f>
        <v>harrison</v>
      </c>
      <c r="M1433" s="6"/>
      <c r="P1433" s="6" t="str">
        <f>IFERROR(__xludf.DUMMYFUNCTION("""COMPUTED_VALUE"""),"afford")</f>
        <v>afford</v>
      </c>
      <c r="Q1433" s="6" t="str">
        <f>IFERROR(__xludf.DUMMYFUNCTION("""COMPUTED_VALUE"""),"imagery")</f>
        <v>imagery</v>
      </c>
      <c r="S1433" s="6" t="str">
        <f>IFERROR(__xludf.DUMMYFUNCTION("""COMPUTED_VALUE"""),"hope")</f>
        <v>hope</v>
      </c>
    </row>
    <row r="1434">
      <c r="D1434" s="6"/>
      <c r="H1434" s="6" t="str">
        <f>IFERROR(__xludf.DUMMYFUNCTION("""COMPUTED_VALUE"""),"chiefly")</f>
        <v>chiefly</v>
      </c>
      <c r="I1434" s="6"/>
      <c r="J1434" s="6" t="str">
        <f>IFERROR(__xludf.DUMMYFUNCTION("""COMPUTED_VALUE"""),"evolve")</f>
        <v>evolve</v>
      </c>
      <c r="M1434" s="6"/>
      <c r="P1434" s="6" t="str">
        <f>IFERROR(__xludf.DUMMYFUNCTION("""COMPUTED_VALUE"""),"gregory")</f>
        <v>gregory</v>
      </c>
      <c r="Q1434" s="6" t="str">
        <f>IFERROR(__xludf.DUMMYFUNCTION("""COMPUTED_VALUE"""),"wall")</f>
        <v>wall</v>
      </c>
      <c r="S1434" s="6" t="str">
        <f>IFERROR(__xludf.DUMMYFUNCTION("""COMPUTED_VALUE"""),"delhi")</f>
        <v>delhi</v>
      </c>
    </row>
    <row r="1435">
      <c r="D1435" s="6"/>
      <c r="H1435" s="6" t="str">
        <f>IFERROR(__xludf.DUMMYFUNCTION("""COMPUTED_VALUE"""),"yearning")</f>
        <v>yearning</v>
      </c>
      <c r="I1435" s="6"/>
      <c r="J1435" s="6" t="str">
        <f>IFERROR(__xludf.DUMMYFUNCTION("""COMPUTED_VALUE"""),"jumps")</f>
        <v>jumps</v>
      </c>
      <c r="M1435" s="6"/>
      <c r="P1435" s="6" t="str">
        <f>IFERROR(__xludf.DUMMYFUNCTION("""COMPUTED_VALUE"""),"engineering")</f>
        <v>engineering</v>
      </c>
      <c r="Q1435" s="6" t="str">
        <f>IFERROR(__xludf.DUMMYFUNCTION("""COMPUTED_VALUE"""),"suited")</f>
        <v>suited</v>
      </c>
      <c r="S1435" s="6" t="str">
        <f>IFERROR(__xludf.DUMMYFUNCTION("""COMPUTED_VALUE"""),"mosque")</f>
        <v>mosque</v>
      </c>
    </row>
    <row r="1436">
      <c r="D1436" s="6"/>
      <c r="H1436" s="6" t="str">
        <f>IFERROR(__xludf.DUMMYFUNCTION("""COMPUTED_VALUE"""),"singing")</f>
        <v>singing</v>
      </c>
      <c r="I1436" s="6"/>
      <c r="J1436" s="6" t="str">
        <f>IFERROR(__xludf.DUMMYFUNCTION("""COMPUTED_VALUE"""),"engages")</f>
        <v>engages</v>
      </c>
      <c r="M1436" s="6"/>
      <c r="P1436" s="6" t="str">
        <f>IFERROR(__xludf.DUMMYFUNCTION("""COMPUTED_VALUE"""),"stroke")</f>
        <v>stroke</v>
      </c>
      <c r="Q1436" s="6" t="str">
        <f>IFERROR(__xludf.DUMMYFUNCTION("""COMPUTED_VALUE"""),"intersect")</f>
        <v>intersect</v>
      </c>
      <c r="S1436" s="6" t="str">
        <f>IFERROR(__xludf.DUMMYFUNCTION("""COMPUTED_VALUE"""),"queen")</f>
        <v>queen</v>
      </c>
    </row>
    <row r="1437">
      <c r="D1437" s="6"/>
      <c r="H1437" s="6" t="str">
        <f>IFERROR(__xludf.DUMMYFUNCTION("""COMPUTED_VALUE"""),"lifeless")</f>
        <v>lifeless</v>
      </c>
      <c r="I1437" s="6"/>
      <c r="J1437" s="6" t="str">
        <f>IFERROR(__xludf.DUMMYFUNCTION("""COMPUTED_VALUE"""),"walt")</f>
        <v>walt</v>
      </c>
      <c r="M1437" s="6"/>
      <c r="P1437" s="6" t="str">
        <f>IFERROR(__xludf.DUMMYFUNCTION("""COMPUTED_VALUE"""),"nominated")</f>
        <v>nominated</v>
      </c>
      <c r="Q1437" s="6" t="str">
        <f>IFERROR(__xludf.DUMMYFUNCTION("""COMPUTED_VALUE"""),"dedicated")</f>
        <v>dedicated</v>
      </c>
      <c r="S1437" s="6" t="str">
        <f>IFERROR(__xludf.DUMMYFUNCTION("""COMPUTED_VALUE"""),"anne")</f>
        <v>anne</v>
      </c>
    </row>
    <row r="1438">
      <c r="D1438" s="6"/>
      <c r="H1438" s="6" t="str">
        <f>IFERROR(__xludf.DUMMYFUNCTION("""COMPUTED_VALUE"""),"near")</f>
        <v>near</v>
      </c>
      <c r="I1438" s="6"/>
      <c r="J1438" s="6" t="str">
        <f>IFERROR(__xludf.DUMMYFUNCTION("""COMPUTED_VALUE"""),"deepest")</f>
        <v>deepest</v>
      </c>
      <c r="M1438" s="6"/>
      <c r="P1438" s="6" t="str">
        <f>IFERROR(__xludf.DUMMYFUNCTION("""COMPUTED_VALUE"""),"economics")</f>
        <v>economics</v>
      </c>
      <c r="Q1438" s="6" t="str">
        <f>IFERROR(__xludf.DUMMYFUNCTION("""COMPUTED_VALUE"""),"pitted")</f>
        <v>pitted</v>
      </c>
      <c r="S1438" s="6" t="str">
        <f>IFERROR(__xludf.DUMMYFUNCTION("""COMPUTED_VALUE"""),"super")</f>
        <v>super</v>
      </c>
    </row>
    <row r="1439">
      <c r="D1439" s="6"/>
      <c r="H1439" s="6" t="str">
        <f>IFERROR(__xludf.DUMMYFUNCTION("""COMPUTED_VALUE"""),"framing")</f>
        <v>framing</v>
      </c>
      <c r="I1439" s="6"/>
      <c r="J1439" s="6" t="str">
        <f>IFERROR(__xludf.DUMMYFUNCTION("""COMPUTED_VALUE"""),"overlapping")</f>
        <v>overlapping</v>
      </c>
      <c r="M1439" s="6"/>
      <c r="P1439" s="6" t="str">
        <f>IFERROR(__xludf.DUMMYFUNCTION("""COMPUTED_VALUE"""),"followers")</f>
        <v>followers</v>
      </c>
      <c r="Q1439" s="6" t="str">
        <f>IFERROR(__xludf.DUMMYFUNCTION("""COMPUTED_VALUE"""),"shimmering")</f>
        <v>shimmering</v>
      </c>
      <c r="S1439" s="6" t="str">
        <f>IFERROR(__xludf.DUMMYFUNCTION("""COMPUTED_VALUE"""),"adam")</f>
        <v>adam</v>
      </c>
    </row>
    <row r="1440">
      <c r="D1440" s="6"/>
      <c r="H1440" s="6" t="str">
        <f>IFERROR(__xludf.DUMMYFUNCTION("""COMPUTED_VALUE"""),"alternately")</f>
        <v>alternately</v>
      </c>
      <c r="I1440" s="6"/>
      <c r="J1440" s="6" t="str">
        <f>IFERROR(__xludf.DUMMYFUNCTION("""COMPUTED_VALUE"""),"collateral")</f>
        <v>collateral</v>
      </c>
      <c r="M1440" s="6"/>
      <c r="P1440" s="6" t="str">
        <f>IFERROR(__xludf.DUMMYFUNCTION("""COMPUTED_VALUE"""),"circumstances")</f>
        <v>circumstances</v>
      </c>
      <c r="Q1440" s="6" t="str">
        <f>IFERROR(__xludf.DUMMYFUNCTION("""COMPUTED_VALUE"""),"asian")</f>
        <v>asian</v>
      </c>
      <c r="S1440" s="6" t="str">
        <f>IFERROR(__xludf.DUMMYFUNCTION("""COMPUTED_VALUE"""),"technologies")</f>
        <v>technologies</v>
      </c>
    </row>
    <row r="1441">
      <c r="D1441" s="6"/>
      <c r="H1441" s="6" t="str">
        <f>IFERROR(__xludf.DUMMYFUNCTION("""COMPUTED_VALUE"""),"hopeful")</f>
        <v>hopeful</v>
      </c>
      <c r="I1441" s="6"/>
      <c r="J1441" s="6" t="str">
        <f>IFERROR(__xludf.DUMMYFUNCTION("""COMPUTED_VALUE"""),"specific")</f>
        <v>specific</v>
      </c>
      <c r="M1441" s="6"/>
      <c r="P1441" s="6" t="str">
        <f>IFERROR(__xludf.DUMMYFUNCTION("""COMPUTED_VALUE"""),"graphics")</f>
        <v>graphics</v>
      </c>
      <c r="Q1441" s="6" t="str">
        <f>IFERROR(__xludf.DUMMYFUNCTION("""COMPUTED_VALUE"""),"painting")</f>
        <v>painting</v>
      </c>
      <c r="S1441" s="6" t="str">
        <f>IFERROR(__xludf.DUMMYFUNCTION("""COMPUTED_VALUE"""),"technique")</f>
        <v>technique</v>
      </c>
    </row>
    <row r="1442">
      <c r="D1442" s="6"/>
      <c r="H1442" s="6" t="str">
        <f>IFERROR(__xludf.DUMMYFUNCTION("""COMPUTED_VALUE"""),"apparatus")</f>
        <v>apparatus</v>
      </c>
      <c r="I1442" s="6"/>
      <c r="J1442" s="6" t="str">
        <f>IFERROR(__xludf.DUMMYFUNCTION("""COMPUTED_VALUE"""),"stills")</f>
        <v>stills</v>
      </c>
      <c r="M1442" s="6"/>
      <c r="P1442" s="6" t="str">
        <f>IFERROR(__xludf.DUMMYFUNCTION("""COMPUTED_VALUE"""),"library")</f>
        <v>library</v>
      </c>
      <c r="Q1442" s="6" t="str">
        <f>IFERROR(__xludf.DUMMYFUNCTION("""COMPUTED_VALUE"""),"adolescent")</f>
        <v>adolescent</v>
      </c>
      <c r="S1442" s="6" t="str">
        <f>IFERROR(__xludf.DUMMYFUNCTION("""COMPUTED_VALUE"""),"gun")</f>
        <v>gun</v>
      </c>
    </row>
    <row r="1443">
      <c r="D1443" s="6"/>
      <c r="H1443" s="6" t="str">
        <f>IFERROR(__xludf.DUMMYFUNCTION("""COMPUTED_VALUE"""),"mechanical")</f>
        <v>mechanical</v>
      </c>
      <c r="I1443" s="6"/>
      <c r="J1443" s="6" t="str">
        <f>IFERROR(__xludf.DUMMYFUNCTION("""COMPUTED_VALUE"""),"grasp")</f>
        <v>grasp</v>
      </c>
      <c r="M1443" s="6"/>
      <c r="P1443" s="6" t="str">
        <f>IFERROR(__xludf.DUMMYFUNCTION("""COMPUTED_VALUE"""),"damaged")</f>
        <v>damaged</v>
      </c>
      <c r="Q1443" s="6" t="str">
        <f>IFERROR(__xludf.DUMMYFUNCTION("""COMPUTED_VALUE"""),"shocks")</f>
        <v>shocks</v>
      </c>
      <c r="S1443" s="6" t="str">
        <f>IFERROR(__xludf.DUMMYFUNCTION("""COMPUTED_VALUE"""),"taylor")</f>
        <v>taylor</v>
      </c>
    </row>
    <row r="1444">
      <c r="D1444" s="6"/>
      <c r="H1444" s="6" t="str">
        <f>IFERROR(__xludf.DUMMYFUNCTION("""COMPUTED_VALUE"""),"compatible")</f>
        <v>compatible</v>
      </c>
      <c r="I1444" s="6"/>
      <c r="J1444" s="6" t="str">
        <f>IFERROR(__xludf.DUMMYFUNCTION("""COMPUTED_VALUE"""),"insignificant")</f>
        <v>insignificant</v>
      </c>
      <c r="M1444" s="6"/>
      <c r="P1444" s="6" t="str">
        <f>IFERROR(__xludf.DUMMYFUNCTION("""COMPUTED_VALUE"""),"thrust")</f>
        <v>thrust</v>
      </c>
      <c r="Q1444" s="6" t="str">
        <f>IFERROR(__xludf.DUMMYFUNCTION("""COMPUTED_VALUE"""),"marine")</f>
        <v>marine</v>
      </c>
      <c r="S1444" s="6" t="str">
        <f>IFERROR(__xludf.DUMMYFUNCTION("""COMPUTED_VALUE"""),"harvard")</f>
        <v>harvard</v>
      </c>
    </row>
    <row r="1445">
      <c r="D1445" s="6"/>
      <c r="H1445" s="6" t="str">
        <f>IFERROR(__xludf.DUMMYFUNCTION("""COMPUTED_VALUE"""),"depiction")</f>
        <v>depiction</v>
      </c>
      <c r="I1445" s="6"/>
      <c r="J1445" s="6" t="str">
        <f>IFERROR(__xludf.DUMMYFUNCTION("""COMPUTED_VALUE"""),"examines")</f>
        <v>examines</v>
      </c>
      <c r="M1445" s="6"/>
      <c r="P1445" s="6" t="str">
        <f>IFERROR(__xludf.DUMMYFUNCTION("""COMPUTED_VALUE"""),"teeth")</f>
        <v>teeth</v>
      </c>
      <c r="Q1445" s="6" t="str">
        <f>IFERROR(__xludf.DUMMYFUNCTION("""COMPUTED_VALUE"""),"padded")</f>
        <v>padded</v>
      </c>
      <c r="S1445" s="6" t="str">
        <f>IFERROR(__xludf.DUMMYFUNCTION("""COMPUTED_VALUE"""),"reynolds")</f>
        <v>reynolds</v>
      </c>
    </row>
    <row r="1446">
      <c r="D1446" s="6"/>
      <c r="H1446" s="6" t="str">
        <f>IFERROR(__xludf.DUMMYFUNCTION("""COMPUTED_VALUE"""),"embraced")</f>
        <v>embraced</v>
      </c>
      <c r="I1446" s="6"/>
      <c r="J1446" s="6" t="str">
        <f>IFERROR(__xludf.DUMMYFUNCTION("""COMPUTED_VALUE"""),"explores")</f>
        <v>explores</v>
      </c>
      <c r="M1446" s="6"/>
      <c r="P1446" s="6" t="str">
        <f>IFERROR(__xludf.DUMMYFUNCTION("""COMPUTED_VALUE"""),"hey")</f>
        <v>hey</v>
      </c>
      <c r="Q1446" s="6" t="str">
        <f>IFERROR(__xludf.DUMMYFUNCTION("""COMPUTED_VALUE"""),"standardized")</f>
        <v>standardized</v>
      </c>
      <c r="S1446" s="6" t="str">
        <f>IFERROR(__xludf.DUMMYFUNCTION("""COMPUTED_VALUE"""),"aboriginal")</f>
        <v>aboriginal</v>
      </c>
    </row>
    <row r="1447">
      <c r="D1447" s="6"/>
      <c r="H1447" s="6" t="str">
        <f>IFERROR(__xludf.DUMMYFUNCTION("""COMPUTED_VALUE"""),"aids")</f>
        <v>aids</v>
      </c>
      <c r="I1447" s="6"/>
      <c r="J1447" s="6" t="str">
        <f>IFERROR(__xludf.DUMMYFUNCTION("""COMPUTED_VALUE"""),"torpedo")</f>
        <v>torpedo</v>
      </c>
      <c r="M1447" s="6"/>
      <c r="P1447" s="6">
        <f>IFERROR(__xludf.DUMMYFUNCTION("""COMPUTED_VALUE"""),2001.0)</f>
        <v>2001</v>
      </c>
      <c r="Q1447" s="6" t="str">
        <f>IFERROR(__xludf.DUMMYFUNCTION("""COMPUTED_VALUE"""),"propaganda")</f>
        <v>propaganda</v>
      </c>
      <c r="S1447" s="6" t="str">
        <f>IFERROR(__xludf.DUMMYFUNCTION("""COMPUTED_VALUE"""),"tomorrow")</f>
        <v>tomorrow</v>
      </c>
    </row>
    <row r="1448">
      <c r="D1448" s="6"/>
      <c r="H1448" s="6" t="str">
        <f>IFERROR(__xludf.DUMMYFUNCTION("""COMPUTED_VALUE"""),"realities")</f>
        <v>realities</v>
      </c>
      <c r="I1448" s="6"/>
      <c r="J1448" s="6" t="str">
        <f>IFERROR(__xludf.DUMMYFUNCTION("""COMPUTED_VALUE"""),"exploit")</f>
        <v>exploit</v>
      </c>
      <c r="M1448" s="6"/>
      <c r="P1448" s="6" t="str">
        <f>IFERROR(__xludf.DUMMYFUNCTION("""COMPUTED_VALUE"""),"participants")</f>
        <v>participants</v>
      </c>
      <c r="Q1448" s="6" t="str">
        <f>IFERROR(__xludf.DUMMYFUNCTION("""COMPUTED_VALUE"""),"granted")</f>
        <v>granted</v>
      </c>
      <c r="S1448" s="6" t="str">
        <f>IFERROR(__xludf.DUMMYFUNCTION("""COMPUTED_VALUE"""),"gently")</f>
        <v>gently</v>
      </c>
    </row>
    <row r="1449">
      <c r="D1449" s="6"/>
      <c r="H1449" s="6" t="str">
        <f>IFERROR(__xludf.DUMMYFUNCTION("""COMPUTED_VALUE"""),"fide")</f>
        <v>fide</v>
      </c>
      <c r="I1449" s="6"/>
      <c r="J1449" s="6" t="str">
        <f>IFERROR(__xludf.DUMMYFUNCTION("""COMPUTED_VALUE"""),"confidence")</f>
        <v>confidence</v>
      </c>
      <c r="M1449" s="6"/>
      <c r="P1449" s="6" t="str">
        <f>IFERROR(__xludf.DUMMYFUNCTION("""COMPUTED_VALUE"""),"franklin")</f>
        <v>franklin</v>
      </c>
      <c r="Q1449" s="6" t="str">
        <f>IFERROR(__xludf.DUMMYFUNCTION("""COMPUTED_VALUE"""),"visuals")</f>
        <v>visuals</v>
      </c>
      <c r="S1449" s="6" t="str">
        <f>IFERROR(__xludf.DUMMYFUNCTION("""COMPUTED_VALUE"""),"forth")</f>
        <v>forth</v>
      </c>
    </row>
    <row r="1450">
      <c r="D1450" s="6"/>
      <c r="H1450" s="6" t="str">
        <f>IFERROR(__xludf.DUMMYFUNCTION("""COMPUTED_VALUE"""),"born")</f>
        <v>born</v>
      </c>
      <c r="I1450" s="6"/>
      <c r="J1450" s="6" t="str">
        <f>IFERROR(__xludf.DUMMYFUNCTION("""COMPUTED_VALUE"""),"holocaust")</f>
        <v>holocaust</v>
      </c>
      <c r="M1450" s="6"/>
      <c r="P1450" s="6" t="str">
        <f>IFERROR(__xludf.DUMMYFUNCTION("""COMPUTED_VALUE"""),"carl")</f>
        <v>carl</v>
      </c>
      <c r="Q1450" s="6" t="str">
        <f>IFERROR(__xludf.DUMMYFUNCTION("""COMPUTED_VALUE"""),"majestic")</f>
        <v>majestic</v>
      </c>
      <c r="S1450" s="6" t="str">
        <f>IFERROR(__xludf.DUMMYFUNCTION("""COMPUTED_VALUE"""),"injuries")</f>
        <v>injuries</v>
      </c>
    </row>
    <row r="1451">
      <c r="D1451" s="6"/>
      <c r="H1451" s="6" t="str">
        <f>IFERROR(__xludf.DUMMYFUNCTION("""COMPUTED_VALUE"""),"hug")</f>
        <v>hug</v>
      </c>
      <c r="I1451" s="6"/>
      <c r="J1451" s="6" t="str">
        <f>IFERROR(__xludf.DUMMYFUNCTION("""COMPUTED_VALUE"""),"streamed")</f>
        <v>streamed</v>
      </c>
      <c r="M1451" s="6"/>
      <c r="P1451" s="6" t="str">
        <f>IFERROR(__xludf.DUMMYFUNCTION("""COMPUTED_VALUE"""),"jon")</f>
        <v>jon</v>
      </c>
      <c r="Q1451" s="6" t="str">
        <f>IFERROR(__xludf.DUMMYFUNCTION("""COMPUTED_VALUE"""),"upbeat")</f>
        <v>upbeat</v>
      </c>
      <c r="S1451" s="6" t="str">
        <f>IFERROR(__xludf.DUMMYFUNCTION("""COMPUTED_VALUE"""),"strategic")</f>
        <v>strategic</v>
      </c>
    </row>
    <row r="1452">
      <c r="D1452" s="6"/>
      <c r="H1452" s="6" t="str">
        <f>IFERROR(__xludf.DUMMYFUNCTION("""COMPUTED_VALUE"""),"repetition")</f>
        <v>repetition</v>
      </c>
      <c r="I1452" s="6"/>
      <c r="J1452" s="6" t="str">
        <f>IFERROR(__xludf.DUMMYFUNCTION("""COMPUTED_VALUE"""),"iran")</f>
        <v>iran</v>
      </c>
      <c r="M1452" s="6"/>
      <c r="P1452" s="6" t="str">
        <f>IFERROR(__xludf.DUMMYFUNCTION("""COMPUTED_VALUE"""),"dad")</f>
        <v>dad</v>
      </c>
      <c r="Q1452" s="6" t="str">
        <f>IFERROR(__xludf.DUMMYFUNCTION("""COMPUTED_VALUE"""),"directorial")</f>
        <v>directorial</v>
      </c>
      <c r="S1452" s="6" t="str">
        <f>IFERROR(__xludf.DUMMYFUNCTION("""COMPUTED_VALUE"""),"hundreds")</f>
        <v>hundreds</v>
      </c>
    </row>
    <row r="1453">
      <c r="D1453" s="6"/>
      <c r="H1453" s="6" t="str">
        <f>IFERROR(__xludf.DUMMYFUNCTION("""COMPUTED_VALUE"""),"rivalry")</f>
        <v>rivalry</v>
      </c>
      <c r="I1453" s="6"/>
      <c r="J1453" s="6" t="str">
        <f>IFERROR(__xludf.DUMMYFUNCTION("""COMPUTED_VALUE"""),"facades")</f>
        <v>facades</v>
      </c>
      <c r="M1453" s="6"/>
      <c r="P1453" s="6" t="str">
        <f>IFERROR(__xludf.DUMMYFUNCTION("""COMPUTED_VALUE"""),"zhang")</f>
        <v>zhang</v>
      </c>
      <c r="Q1453" s="6" t="str">
        <f>IFERROR(__xludf.DUMMYFUNCTION("""COMPUTED_VALUE"""),"repeated")</f>
        <v>repeated</v>
      </c>
      <c r="S1453" s="6" t="str">
        <f>IFERROR(__xludf.DUMMYFUNCTION("""COMPUTED_VALUE"""),"tightened")</f>
        <v>tightened</v>
      </c>
    </row>
    <row r="1454">
      <c r="D1454" s="6"/>
      <c r="H1454" s="6" t="str">
        <f>IFERROR(__xludf.DUMMYFUNCTION("""COMPUTED_VALUE"""),"agile")</f>
        <v>agile</v>
      </c>
      <c r="I1454" s="6"/>
      <c r="J1454" s="6" t="str">
        <f>IFERROR(__xludf.DUMMYFUNCTION("""COMPUTED_VALUE"""),"anchors")</f>
        <v>anchors</v>
      </c>
      <c r="M1454" s="6"/>
      <c r="P1454" s="6" t="str">
        <f>IFERROR(__xludf.DUMMYFUNCTION("""COMPUTED_VALUE"""),"ed")</f>
        <v>ed</v>
      </c>
      <c r="Q1454" s="6" t="str">
        <f>IFERROR(__xludf.DUMMYFUNCTION("""COMPUTED_VALUE"""),"puppets")</f>
        <v>puppets</v>
      </c>
      <c r="S1454" s="6">
        <f>IFERROR(__xludf.DUMMYFUNCTION("""COMPUTED_VALUE"""),13.0)</f>
        <v>13</v>
      </c>
    </row>
    <row r="1455">
      <c r="D1455" s="6"/>
      <c r="H1455" s="6" t="str">
        <f>IFERROR(__xludf.DUMMYFUNCTION("""COMPUTED_VALUE"""),"proficient")</f>
        <v>proficient</v>
      </c>
      <c r="I1455" s="6"/>
      <c r="J1455" s="6" t="str">
        <f>IFERROR(__xludf.DUMMYFUNCTION("""COMPUTED_VALUE"""),"expects")</f>
        <v>expects</v>
      </c>
      <c r="M1455" s="6"/>
      <c r="P1455" s="6" t="str">
        <f>IFERROR(__xludf.DUMMYFUNCTION("""COMPUTED_VALUE"""),"determination")</f>
        <v>determination</v>
      </c>
      <c r="Q1455" s="6" t="str">
        <f>IFERROR(__xludf.DUMMYFUNCTION("""COMPUTED_VALUE"""),"bear")</f>
        <v>bear</v>
      </c>
      <c r="S1455" s="6" t="str">
        <f>IFERROR(__xludf.DUMMYFUNCTION("""COMPUTED_VALUE"""),"ai")</f>
        <v>ai</v>
      </c>
    </row>
    <row r="1456">
      <c r="D1456" s="6"/>
      <c r="H1456" s="6" t="str">
        <f>IFERROR(__xludf.DUMMYFUNCTION("""COMPUTED_VALUE"""),"victim")</f>
        <v>victim</v>
      </c>
      <c r="I1456" s="6"/>
      <c r="J1456" s="6" t="str">
        <f>IFERROR(__xludf.DUMMYFUNCTION("""COMPUTED_VALUE"""),"gloom")</f>
        <v>gloom</v>
      </c>
      <c r="M1456" s="6"/>
      <c r="P1456" s="6" t="str">
        <f>IFERROR(__xludf.DUMMYFUNCTION("""COMPUTED_VALUE"""),"scientists")</f>
        <v>scientists</v>
      </c>
      <c r="Q1456" s="6" t="str">
        <f>IFERROR(__xludf.DUMMYFUNCTION("""COMPUTED_VALUE"""),"advantage")</f>
        <v>advantage</v>
      </c>
      <c r="S1456" s="6" t="str">
        <f>IFERROR(__xludf.DUMMYFUNCTION("""COMPUTED_VALUE"""),"unit")</f>
        <v>unit</v>
      </c>
    </row>
    <row r="1457">
      <c r="D1457" s="6"/>
      <c r="H1457" s="6" t="str">
        <f>IFERROR(__xludf.DUMMYFUNCTION("""COMPUTED_VALUE"""),"denial")</f>
        <v>denial</v>
      </c>
      <c r="I1457" s="6"/>
      <c r="J1457" s="6" t="str">
        <f>IFERROR(__xludf.DUMMYFUNCTION("""COMPUTED_VALUE"""),"throbbing")</f>
        <v>throbbing</v>
      </c>
      <c r="M1457" s="6"/>
      <c r="P1457" s="6">
        <f>IFERROR(__xludf.DUMMYFUNCTION("""COMPUTED_VALUE"""),1952.0)</f>
        <v>1952</v>
      </c>
      <c r="Q1457" s="6" t="str">
        <f>IFERROR(__xludf.DUMMYFUNCTION("""COMPUTED_VALUE"""),"futile")</f>
        <v>futile</v>
      </c>
      <c r="S1457" s="6" t="str">
        <f>IFERROR(__xludf.DUMMYFUNCTION("""COMPUTED_VALUE"""),"sight")</f>
        <v>sight</v>
      </c>
    </row>
    <row r="1458">
      <c r="D1458" s="6"/>
      <c r="H1458" s="6" t="str">
        <f>IFERROR(__xludf.DUMMYFUNCTION("""COMPUTED_VALUE"""),"factors")</f>
        <v>factors</v>
      </c>
      <c r="I1458" s="6"/>
      <c r="J1458" s="6" t="str">
        <f>IFERROR(__xludf.DUMMYFUNCTION("""COMPUTED_VALUE"""),"myth")</f>
        <v>myth</v>
      </c>
      <c r="M1458" s="6"/>
      <c r="P1458" s="6" t="str">
        <f>IFERROR(__xludf.DUMMYFUNCTION("""COMPUTED_VALUE"""),"educational")</f>
        <v>educational</v>
      </c>
      <c r="Q1458" s="6" t="str">
        <f>IFERROR(__xludf.DUMMYFUNCTION("""COMPUTED_VALUE"""),"happens")</f>
        <v>happens</v>
      </c>
      <c r="S1458" s="6" t="str">
        <f>IFERROR(__xludf.DUMMYFUNCTION("""COMPUTED_VALUE"""),"stretched")</f>
        <v>stretched</v>
      </c>
    </row>
    <row r="1459">
      <c r="D1459" s="6"/>
      <c r="H1459" s="6" t="str">
        <f>IFERROR(__xludf.DUMMYFUNCTION("""COMPUTED_VALUE"""),"paxton")</f>
        <v>paxton</v>
      </c>
      <c r="I1459" s="6"/>
      <c r="J1459" s="6" t="str">
        <f>IFERROR(__xludf.DUMMYFUNCTION("""COMPUTED_VALUE"""),"heroic")</f>
        <v>heroic</v>
      </c>
      <c r="M1459" s="6"/>
      <c r="P1459" s="6" t="str">
        <f>IFERROR(__xludf.DUMMYFUNCTION("""COMPUTED_VALUE"""),"monument")</f>
        <v>monument</v>
      </c>
      <c r="Q1459" s="6">
        <f>IFERROR(__xludf.DUMMYFUNCTION("""COMPUTED_VALUE"""),1899.0)</f>
        <v>1899</v>
      </c>
      <c r="S1459" s="6" t="str">
        <f>IFERROR(__xludf.DUMMYFUNCTION("""COMPUTED_VALUE"""),"brief")</f>
        <v>brief</v>
      </c>
    </row>
    <row r="1460">
      <c r="D1460" s="6"/>
      <c r="H1460" s="6" t="str">
        <f>IFERROR(__xludf.DUMMYFUNCTION("""COMPUTED_VALUE"""),"resistance")</f>
        <v>resistance</v>
      </c>
      <c r="I1460" s="6"/>
      <c r="J1460" s="6" t="str">
        <f>IFERROR(__xludf.DUMMYFUNCTION("""COMPUTED_VALUE"""),"sprung")</f>
        <v>sprung</v>
      </c>
      <c r="M1460" s="6"/>
      <c r="P1460" s="6" t="str">
        <f>IFERROR(__xludf.DUMMYFUNCTION("""COMPUTED_VALUE"""),"minority")</f>
        <v>minority</v>
      </c>
      <c r="Q1460" s="6" t="str">
        <f>IFERROR(__xludf.DUMMYFUNCTION("""COMPUTED_VALUE"""),"willingness")</f>
        <v>willingness</v>
      </c>
      <c r="S1460" s="6" t="str">
        <f>IFERROR(__xludf.DUMMYFUNCTION("""COMPUTED_VALUE"""),"ernest")</f>
        <v>ernest</v>
      </c>
    </row>
    <row r="1461">
      <c r="D1461" s="6"/>
      <c r="H1461" s="6" t="str">
        <f>IFERROR(__xludf.DUMMYFUNCTION("""COMPUTED_VALUE"""),"levy")</f>
        <v>levy</v>
      </c>
      <c r="I1461" s="6"/>
      <c r="J1461" s="6" t="str">
        <f>IFERROR(__xludf.DUMMYFUNCTION("""COMPUTED_VALUE"""),"golden")</f>
        <v>golden</v>
      </c>
      <c r="M1461" s="6"/>
      <c r="P1461" s="6" t="str">
        <f>IFERROR(__xludf.DUMMYFUNCTION("""COMPUTED_VALUE"""),"spine")</f>
        <v>spine</v>
      </c>
      <c r="Q1461" s="6" t="str">
        <f>IFERROR(__xludf.DUMMYFUNCTION("""COMPUTED_VALUE"""),"wander")</f>
        <v>wander</v>
      </c>
      <c r="S1461" s="6" t="str">
        <f>IFERROR(__xludf.DUMMYFUNCTION("""COMPUTED_VALUE"""),"roles")</f>
        <v>roles</v>
      </c>
    </row>
    <row r="1462">
      <c r="D1462" s="6"/>
      <c r="H1462" s="6" t="str">
        <f>IFERROR(__xludf.DUMMYFUNCTION("""COMPUTED_VALUE"""),"forster")</f>
        <v>forster</v>
      </c>
      <c r="I1462" s="6"/>
      <c r="J1462" s="6" t="str">
        <f>IFERROR(__xludf.DUMMYFUNCTION("""COMPUTED_VALUE"""),"expressions")</f>
        <v>expressions</v>
      </c>
      <c r="M1462" s="6"/>
      <c r="P1462" s="6" t="str">
        <f>IFERROR(__xludf.DUMMYFUNCTION("""COMPUTED_VALUE"""),"environmental")</f>
        <v>environmental</v>
      </c>
      <c r="Q1462" s="6" t="str">
        <f>IFERROR(__xludf.DUMMYFUNCTION("""COMPUTED_VALUE"""),"warped")</f>
        <v>warped</v>
      </c>
      <c r="S1462" s="6" t="str">
        <f>IFERROR(__xludf.DUMMYFUNCTION("""COMPUTED_VALUE"""),"heights")</f>
        <v>heights</v>
      </c>
    </row>
    <row r="1463">
      <c r="D1463" s="6"/>
      <c r="H1463" s="6" t="str">
        <f>IFERROR(__xludf.DUMMYFUNCTION("""COMPUTED_VALUE"""),"vin")</f>
        <v>vin</v>
      </c>
      <c r="I1463" s="6"/>
      <c r="J1463" s="6" t="str">
        <f>IFERROR(__xludf.DUMMYFUNCTION("""COMPUTED_VALUE"""),"chord")</f>
        <v>chord</v>
      </c>
      <c r="M1463" s="6"/>
      <c r="P1463" s="6" t="str">
        <f>IFERROR(__xludf.DUMMYFUNCTION("""COMPUTED_VALUE"""),"mine")</f>
        <v>mine</v>
      </c>
      <c r="Q1463" s="6" t="str">
        <f>IFERROR(__xludf.DUMMYFUNCTION("""COMPUTED_VALUE"""),"bertrand")</f>
        <v>bertrand</v>
      </c>
      <c r="S1463" s="6" t="str">
        <f>IFERROR(__xludf.DUMMYFUNCTION("""COMPUTED_VALUE"""),"executed")</f>
        <v>executed</v>
      </c>
    </row>
    <row r="1464">
      <c r="D1464" s="6"/>
      <c r="H1464" s="6" t="str">
        <f>IFERROR(__xludf.DUMMYFUNCTION("""COMPUTED_VALUE"""),"furiously")</f>
        <v>furiously</v>
      </c>
      <c r="I1464" s="6"/>
      <c r="J1464" s="6" t="str">
        <f>IFERROR(__xludf.DUMMYFUNCTION("""COMPUTED_VALUE"""),"chronicle")</f>
        <v>chronicle</v>
      </c>
      <c r="M1464" s="6"/>
      <c r="P1464" s="6" t="str">
        <f>IFERROR(__xludf.DUMMYFUNCTION("""COMPUTED_VALUE"""),"alfred")</f>
        <v>alfred</v>
      </c>
      <c r="Q1464" s="6" t="str">
        <f>IFERROR(__xludf.DUMMYFUNCTION("""COMPUTED_VALUE"""),"wears")</f>
        <v>wears</v>
      </c>
      <c r="S1464" s="6" t="str">
        <f>IFERROR(__xludf.DUMMYFUNCTION("""COMPUTED_VALUE"""),"tough")</f>
        <v>tough</v>
      </c>
    </row>
    <row r="1465">
      <c r="D1465" s="6"/>
      <c r="H1465" s="6" t="str">
        <f>IFERROR(__xludf.DUMMYFUNCTION("""COMPUTED_VALUE"""),"brains")</f>
        <v>brains</v>
      </c>
      <c r="I1465" s="6"/>
      <c r="J1465" s="6" t="str">
        <f>IFERROR(__xludf.DUMMYFUNCTION("""COMPUTED_VALUE"""),"flowering")</f>
        <v>flowering</v>
      </c>
      <c r="M1465" s="6"/>
      <c r="P1465" s="6" t="str">
        <f>IFERROR(__xludf.DUMMYFUNCTION("""COMPUTED_VALUE"""),"drinking")</f>
        <v>drinking</v>
      </c>
      <c r="Q1465" s="6" t="str">
        <f>IFERROR(__xludf.DUMMYFUNCTION("""COMPUTED_VALUE"""),"intimacy")</f>
        <v>intimacy</v>
      </c>
      <c r="S1465" s="6" t="str">
        <f>IFERROR(__xludf.DUMMYFUNCTION("""COMPUTED_VALUE"""),"lean")</f>
        <v>lean</v>
      </c>
    </row>
    <row r="1466">
      <c r="D1466" s="6"/>
      <c r="H1466" s="6" t="str">
        <f>IFERROR(__xludf.DUMMYFUNCTION("""COMPUTED_VALUE"""),"athletes")</f>
        <v>athletes</v>
      </c>
      <c r="I1466" s="6"/>
      <c r="J1466" s="6" t="str">
        <f>IFERROR(__xludf.DUMMYFUNCTION("""COMPUTED_VALUE"""),"testosterone")</f>
        <v>testosterone</v>
      </c>
      <c r="M1466" s="6"/>
      <c r="P1466" s="6" t="str">
        <f>IFERROR(__xludf.DUMMYFUNCTION("""COMPUTED_VALUE"""),"shakespeare")</f>
        <v>shakespeare</v>
      </c>
      <c r="Q1466" s="6" t="str">
        <f>IFERROR(__xludf.DUMMYFUNCTION("""COMPUTED_VALUE"""),"sermon")</f>
        <v>sermon</v>
      </c>
      <c r="S1466" s="6" t="str">
        <f>IFERROR(__xludf.DUMMYFUNCTION("""COMPUTED_VALUE"""),"russell")</f>
        <v>russell</v>
      </c>
    </row>
    <row r="1467">
      <c r="D1467" s="6"/>
      <c r="H1467" s="6" t="str">
        <f>IFERROR(__xludf.DUMMYFUNCTION("""COMPUTED_VALUE"""),"banged")</f>
        <v>banged</v>
      </c>
      <c r="I1467" s="6"/>
      <c r="J1467" s="6" t="str">
        <f>IFERROR(__xludf.DUMMYFUNCTION("""COMPUTED_VALUE"""),"serials")</f>
        <v>serials</v>
      </c>
      <c r="M1467" s="6"/>
      <c r="P1467" s="6" t="str">
        <f>IFERROR(__xludf.DUMMYFUNCTION("""COMPUTED_VALUE"""),"companion")</f>
        <v>companion</v>
      </c>
      <c r="Q1467" s="6" t="str">
        <f>IFERROR(__xludf.DUMMYFUNCTION("""COMPUTED_VALUE"""),"blanket")</f>
        <v>blanket</v>
      </c>
      <c r="S1467" s="6" t="str">
        <f>IFERROR(__xludf.DUMMYFUNCTION("""COMPUTED_VALUE"""),"exit")</f>
        <v>exit</v>
      </c>
    </row>
    <row r="1468">
      <c r="D1468" s="6"/>
      <c r="H1468" s="6" t="str">
        <f>IFERROR(__xludf.DUMMYFUNCTION("""COMPUTED_VALUE"""),"screenings")</f>
        <v>screenings</v>
      </c>
      <c r="I1468" s="6"/>
      <c r="J1468" s="6" t="str">
        <f>IFERROR(__xludf.DUMMYFUNCTION("""COMPUTED_VALUE"""),"slender")</f>
        <v>slender</v>
      </c>
      <c r="M1468" s="6"/>
      <c r="P1468" s="6" t="str">
        <f>IFERROR(__xludf.DUMMYFUNCTION("""COMPUTED_VALUE"""),"lucas")</f>
        <v>lucas</v>
      </c>
      <c r="Q1468" s="6" t="str">
        <f>IFERROR(__xludf.DUMMYFUNCTION("""COMPUTED_VALUE"""),"bordering")</f>
        <v>bordering</v>
      </c>
      <c r="S1468" s="6" t="str">
        <f>IFERROR(__xludf.DUMMYFUNCTION("""COMPUTED_VALUE"""),"strip")</f>
        <v>strip</v>
      </c>
    </row>
    <row r="1469">
      <c r="D1469" s="6"/>
      <c r="H1469" s="6" t="str">
        <f>IFERROR(__xludf.DUMMYFUNCTION("""COMPUTED_VALUE"""),"canon")</f>
        <v>canon</v>
      </c>
      <c r="I1469" s="6"/>
      <c r="J1469" s="6" t="str">
        <f>IFERROR(__xludf.DUMMYFUNCTION("""COMPUTED_VALUE"""),"kaufman")</f>
        <v>kaufman</v>
      </c>
      <c r="M1469" s="6"/>
      <c r="P1469" s="6" t="str">
        <f>IFERROR(__xludf.DUMMYFUNCTION("""COMPUTED_VALUE"""),"fighters")</f>
        <v>fighters</v>
      </c>
      <c r="Q1469" s="6" t="str">
        <f>IFERROR(__xludf.DUMMYFUNCTION("""COMPUTED_VALUE"""),"beloved")</f>
        <v>beloved</v>
      </c>
      <c r="S1469" s="6" t="str">
        <f>IFERROR(__xludf.DUMMYFUNCTION("""COMPUTED_VALUE"""),"steve")</f>
        <v>steve</v>
      </c>
    </row>
    <row r="1470">
      <c r="D1470" s="6"/>
      <c r="H1470" s="6" t="str">
        <f>IFERROR(__xludf.DUMMYFUNCTION("""COMPUTED_VALUE"""),"grown")</f>
        <v>grown</v>
      </c>
      <c r="I1470" s="6"/>
      <c r="J1470" s="6" t="str">
        <f>IFERROR(__xludf.DUMMYFUNCTION("""COMPUTED_VALUE"""),"masculine")</f>
        <v>masculine</v>
      </c>
      <c r="M1470" s="6"/>
      <c r="P1470" s="6" t="str">
        <f>IFERROR(__xludf.DUMMYFUNCTION("""COMPUTED_VALUE"""),"buried")</f>
        <v>buried</v>
      </c>
      <c r="Q1470" s="6" t="str">
        <f>IFERROR(__xludf.DUMMYFUNCTION("""COMPUTED_VALUE"""),"continuation")</f>
        <v>continuation</v>
      </c>
      <c r="S1470" s="6" t="str">
        <f>IFERROR(__xludf.DUMMYFUNCTION("""COMPUTED_VALUE"""),"celebrate")</f>
        <v>celebrate</v>
      </c>
    </row>
    <row r="1471">
      <c r="D1471" s="6"/>
      <c r="H1471" s="6" t="str">
        <f>IFERROR(__xludf.DUMMYFUNCTION("""COMPUTED_VALUE"""),"flesh")</f>
        <v>flesh</v>
      </c>
      <c r="I1471" s="6"/>
      <c r="J1471" s="6" t="str">
        <f>IFERROR(__xludf.DUMMYFUNCTION("""COMPUTED_VALUE"""),"lecture")</f>
        <v>lecture</v>
      </c>
      <c r="M1471" s="6"/>
      <c r="P1471" s="6" t="str">
        <f>IFERROR(__xludf.DUMMYFUNCTION("""COMPUTED_VALUE"""),"copenhagen")</f>
        <v>copenhagen</v>
      </c>
      <c r="Q1471" s="6" t="str">
        <f>IFERROR(__xludf.DUMMYFUNCTION("""COMPUTED_VALUE"""),"logical")</f>
        <v>logical</v>
      </c>
      <c r="S1471" s="6" t="str">
        <f>IFERROR(__xludf.DUMMYFUNCTION("""COMPUTED_VALUE"""),"origins")</f>
        <v>origins</v>
      </c>
    </row>
    <row r="1472">
      <c r="D1472" s="6"/>
      <c r="H1472" s="6" t="str">
        <f>IFERROR(__xludf.DUMMYFUNCTION("""COMPUTED_VALUE"""),"drastic")</f>
        <v>drastic</v>
      </c>
      <c r="I1472" s="6"/>
      <c r="J1472" s="6" t="str">
        <f>IFERROR(__xludf.DUMMYFUNCTION("""COMPUTED_VALUE"""),"humanist")</f>
        <v>humanist</v>
      </c>
      <c r="M1472" s="6"/>
      <c r="P1472" s="6" t="str">
        <f>IFERROR(__xludf.DUMMYFUNCTION("""COMPUTED_VALUE"""),"associated")</f>
        <v>associated</v>
      </c>
      <c r="Q1472" s="6" t="str">
        <f>IFERROR(__xludf.DUMMYFUNCTION("""COMPUTED_VALUE"""),"awkward")</f>
        <v>awkward</v>
      </c>
      <c r="S1472" s="6" t="str">
        <f>IFERROR(__xludf.DUMMYFUNCTION("""COMPUTED_VALUE"""),"burst")</f>
        <v>burst</v>
      </c>
    </row>
    <row r="1473">
      <c r="D1473" s="6"/>
      <c r="H1473" s="6" t="str">
        <f>IFERROR(__xludf.DUMMYFUNCTION("""COMPUTED_VALUE"""),"capturing")</f>
        <v>capturing</v>
      </c>
      <c r="I1473" s="6"/>
      <c r="J1473" s="6" t="str">
        <f>IFERROR(__xludf.DUMMYFUNCTION("""COMPUTED_VALUE"""),"adaptations")</f>
        <v>adaptations</v>
      </c>
      <c r="M1473" s="6"/>
      <c r="P1473" s="6" t="str">
        <f>IFERROR(__xludf.DUMMYFUNCTION("""COMPUTED_VALUE"""),"peace")</f>
        <v>peace</v>
      </c>
      <c r="Q1473" s="6" t="str">
        <f>IFERROR(__xludf.DUMMYFUNCTION("""COMPUTED_VALUE"""),"sentiments")</f>
        <v>sentiments</v>
      </c>
      <c r="S1473" s="6" t="str">
        <f>IFERROR(__xludf.DUMMYFUNCTION("""COMPUTED_VALUE"""),"sub")</f>
        <v>sub</v>
      </c>
    </row>
    <row r="1474">
      <c r="D1474" s="6"/>
      <c r="H1474" s="6" t="str">
        <f>IFERROR(__xludf.DUMMYFUNCTION("""COMPUTED_VALUE"""),"fantasies")</f>
        <v>fantasies</v>
      </c>
      <c r="I1474" s="6"/>
      <c r="J1474" s="6" t="str">
        <f>IFERROR(__xludf.DUMMYFUNCTION("""COMPUTED_VALUE"""),"satin")</f>
        <v>satin</v>
      </c>
      <c r="M1474" s="6"/>
      <c r="P1474" s="6" t="str">
        <f>IFERROR(__xludf.DUMMYFUNCTION("""COMPUTED_VALUE"""),"eventual")</f>
        <v>eventual</v>
      </c>
      <c r="Q1474" s="6" t="str">
        <f>IFERROR(__xludf.DUMMYFUNCTION("""COMPUTED_VALUE"""),"wasting")</f>
        <v>wasting</v>
      </c>
      <c r="S1474" s="6" t="str">
        <f>IFERROR(__xludf.DUMMYFUNCTION("""COMPUTED_VALUE"""),"town")</f>
        <v>town</v>
      </c>
    </row>
    <row r="1475">
      <c r="D1475" s="6"/>
      <c r="H1475" s="6" t="str">
        <f>IFERROR(__xludf.DUMMYFUNCTION("""COMPUTED_VALUE"""),"illness")</f>
        <v>illness</v>
      </c>
      <c r="I1475" s="6"/>
      <c r="J1475" s="6" t="str">
        <f>IFERROR(__xludf.DUMMYFUNCTION("""COMPUTED_VALUE"""),"integrated")</f>
        <v>integrated</v>
      </c>
      <c r="M1475" s="6"/>
      <c r="P1475" s="6" t="str">
        <f>IFERROR(__xludf.DUMMYFUNCTION("""COMPUTED_VALUE"""),"initial")</f>
        <v>initial</v>
      </c>
      <c r="Q1475" s="6" t="str">
        <f>IFERROR(__xludf.DUMMYFUNCTION("""COMPUTED_VALUE"""),"estranged")</f>
        <v>estranged</v>
      </c>
      <c r="S1475" s="6" t="str">
        <f>IFERROR(__xludf.DUMMYFUNCTION("""COMPUTED_VALUE"""),"formal")</f>
        <v>formal</v>
      </c>
    </row>
    <row r="1476">
      <c r="D1476" s="6"/>
      <c r="H1476" s="6" t="str">
        <f>IFERROR(__xludf.DUMMYFUNCTION("""COMPUTED_VALUE"""),"metaphysical")</f>
        <v>metaphysical</v>
      </c>
      <c r="I1476" s="6"/>
      <c r="J1476" s="6" t="str">
        <f>IFERROR(__xludf.DUMMYFUNCTION("""COMPUTED_VALUE"""),"speculative")</f>
        <v>speculative</v>
      </c>
      <c r="M1476" s="6"/>
      <c r="P1476" s="6" t="str">
        <f>IFERROR(__xludf.DUMMYFUNCTION("""COMPUTED_VALUE"""),"heavyweight")</f>
        <v>heavyweight</v>
      </c>
      <c r="Q1476" s="6" t="str">
        <f>IFERROR(__xludf.DUMMYFUNCTION("""COMPUTED_VALUE"""),"acclaim")</f>
        <v>acclaim</v>
      </c>
      <c r="S1476" s="6" t="str">
        <f>IFERROR(__xludf.DUMMYFUNCTION("""COMPUTED_VALUE"""),"accessible")</f>
        <v>accessible</v>
      </c>
    </row>
    <row r="1477">
      <c r="D1477" s="6"/>
      <c r="H1477" s="6" t="str">
        <f>IFERROR(__xludf.DUMMYFUNCTION("""COMPUTED_VALUE"""),"echoes")</f>
        <v>echoes</v>
      </c>
      <c r="I1477" s="6"/>
      <c r="J1477" s="6" t="str">
        <f>IFERROR(__xludf.DUMMYFUNCTION("""COMPUTED_VALUE"""),"store")</f>
        <v>store</v>
      </c>
      <c r="M1477" s="6"/>
      <c r="P1477" s="6" t="str">
        <f>IFERROR(__xludf.DUMMYFUNCTION("""COMPUTED_VALUE"""),"burns")</f>
        <v>burns</v>
      </c>
      <c r="Q1477" s="6" t="str">
        <f>IFERROR(__xludf.DUMMYFUNCTION("""COMPUTED_VALUE"""),"famine")</f>
        <v>famine</v>
      </c>
      <c r="S1477" s="6" t="str">
        <f>IFERROR(__xludf.DUMMYFUNCTION("""COMPUTED_VALUE"""),"replaced")</f>
        <v>replaced</v>
      </c>
    </row>
    <row r="1478">
      <c r="D1478" s="6"/>
      <c r="H1478" s="6" t="str">
        <f>IFERROR(__xludf.DUMMYFUNCTION("""COMPUTED_VALUE"""),"canadians")</f>
        <v>canadians</v>
      </c>
      <c r="I1478" s="6"/>
      <c r="J1478" s="6" t="str">
        <f>IFERROR(__xludf.DUMMYFUNCTION("""COMPUTED_VALUE"""),"characterized")</f>
        <v>characterized</v>
      </c>
      <c r="M1478" s="6"/>
      <c r="P1478" s="6" t="str">
        <f>IFERROR(__xludf.DUMMYFUNCTION("""COMPUTED_VALUE"""),"globe")</f>
        <v>globe</v>
      </c>
      <c r="Q1478" s="6" t="str">
        <f>IFERROR(__xludf.DUMMYFUNCTION("""COMPUTED_VALUE"""),"devastated")</f>
        <v>devastated</v>
      </c>
      <c r="S1478" s="6" t="str">
        <f>IFERROR(__xludf.DUMMYFUNCTION("""COMPUTED_VALUE"""),"sucked")</f>
        <v>sucked</v>
      </c>
    </row>
    <row r="1479">
      <c r="D1479" s="6"/>
      <c r="H1479" s="6" t="str">
        <f>IFERROR(__xludf.DUMMYFUNCTION("""COMPUTED_VALUE"""),"monsters")</f>
        <v>monsters</v>
      </c>
      <c r="I1479" s="6"/>
      <c r="J1479" s="6" t="str">
        <f>IFERROR(__xludf.DUMMYFUNCTION("""COMPUTED_VALUE"""),"cardiac")</f>
        <v>cardiac</v>
      </c>
      <c r="M1479" s="6"/>
      <c r="P1479" s="6" t="str">
        <f>IFERROR(__xludf.DUMMYFUNCTION("""COMPUTED_VALUE"""),"assault")</f>
        <v>assault</v>
      </c>
      <c r="Q1479" s="6" t="str">
        <f>IFERROR(__xludf.DUMMYFUNCTION("""COMPUTED_VALUE"""),"disguised")</f>
        <v>disguised</v>
      </c>
      <c r="S1479" s="6" t="str">
        <f>IFERROR(__xludf.DUMMYFUNCTION("""COMPUTED_VALUE"""),"hoped")</f>
        <v>hoped</v>
      </c>
    </row>
    <row r="1480">
      <c r="D1480" s="6"/>
      <c r="H1480" s="6" t="str">
        <f>IFERROR(__xludf.DUMMYFUNCTION("""COMPUTED_VALUE"""),"rally")</f>
        <v>rally</v>
      </c>
      <c r="I1480" s="6"/>
      <c r="J1480" s="6" t="str">
        <f>IFERROR(__xludf.DUMMYFUNCTION("""COMPUTED_VALUE"""),"marquis")</f>
        <v>marquis</v>
      </c>
      <c r="M1480" s="6"/>
      <c r="P1480" s="6" t="str">
        <f>IFERROR(__xludf.DUMMYFUNCTION("""COMPUTED_VALUE"""),"catholic")</f>
        <v>catholic</v>
      </c>
      <c r="Q1480" s="6" t="str">
        <f>IFERROR(__xludf.DUMMYFUNCTION("""COMPUTED_VALUE"""),"troubled")</f>
        <v>troubled</v>
      </c>
      <c r="S1480" s="6" t="str">
        <f>IFERROR(__xludf.DUMMYFUNCTION("""COMPUTED_VALUE"""),"trip")</f>
        <v>trip</v>
      </c>
    </row>
    <row r="1481">
      <c r="D1481" s="6"/>
      <c r="H1481" s="6" t="str">
        <f>IFERROR(__xludf.DUMMYFUNCTION("""COMPUTED_VALUE"""),"psychotic")</f>
        <v>psychotic</v>
      </c>
      <c r="I1481" s="6"/>
      <c r="J1481" s="6" t="str">
        <f>IFERROR(__xludf.DUMMYFUNCTION("""COMPUTED_VALUE"""),"menace")</f>
        <v>menace</v>
      </c>
      <c r="M1481" s="6"/>
      <c r="P1481" s="6" t="str">
        <f>IFERROR(__xludf.DUMMYFUNCTION("""COMPUTED_VALUE"""),"tenth")</f>
        <v>tenth</v>
      </c>
      <c r="Q1481" s="6" t="str">
        <f>IFERROR(__xludf.DUMMYFUNCTION("""COMPUTED_VALUE"""),"sly")</f>
        <v>sly</v>
      </c>
      <c r="S1481" s="6" t="str">
        <f>IFERROR(__xludf.DUMMYFUNCTION("""COMPUTED_VALUE"""),"matters")</f>
        <v>matters</v>
      </c>
    </row>
    <row r="1482">
      <c r="D1482" s="6"/>
      <c r="H1482" s="6" t="str">
        <f>IFERROR(__xludf.DUMMYFUNCTION("""COMPUTED_VALUE"""),"generating")</f>
        <v>generating</v>
      </c>
      <c r="I1482" s="6"/>
      <c r="J1482" s="6" t="str">
        <f>IFERROR(__xludf.DUMMYFUNCTION("""COMPUTED_VALUE"""),"yank")</f>
        <v>yank</v>
      </c>
      <c r="M1482" s="6"/>
      <c r="P1482" s="6" t="str">
        <f>IFERROR(__xludf.DUMMYFUNCTION("""COMPUTED_VALUE"""),"inhabitants")</f>
        <v>inhabitants</v>
      </c>
      <c r="Q1482" s="6" t="str">
        <f>IFERROR(__xludf.DUMMYFUNCTION("""COMPUTED_VALUE"""),"emerges")</f>
        <v>emerges</v>
      </c>
      <c r="S1482" s="6" t="str">
        <f>IFERROR(__xludf.DUMMYFUNCTION("""COMPUTED_VALUE"""),"lower")</f>
        <v>lower</v>
      </c>
    </row>
    <row r="1483">
      <c r="D1483" s="6"/>
      <c r="H1483" s="6" t="str">
        <f>IFERROR(__xludf.DUMMYFUNCTION("""COMPUTED_VALUE"""),"dimensions")</f>
        <v>dimensions</v>
      </c>
      <c r="I1483" s="6"/>
      <c r="J1483" s="6" t="str">
        <f>IFERROR(__xludf.DUMMYFUNCTION("""COMPUTED_VALUE"""),"intro")</f>
        <v>intro</v>
      </c>
      <c r="M1483" s="6"/>
      <c r="P1483" s="6" t="str">
        <f>IFERROR(__xludf.DUMMYFUNCTION("""COMPUTED_VALUE"""),"franco")</f>
        <v>franco</v>
      </c>
      <c r="Q1483" s="6" t="str">
        <f>IFERROR(__xludf.DUMMYFUNCTION("""COMPUTED_VALUE"""),"expands")</f>
        <v>expands</v>
      </c>
      <c r="S1483" s="6" t="str">
        <f>IFERROR(__xludf.DUMMYFUNCTION("""COMPUTED_VALUE"""),"athlete")</f>
        <v>athlete</v>
      </c>
    </row>
    <row r="1484">
      <c r="D1484" s="6"/>
      <c r="H1484" s="6" t="str">
        <f>IFERROR(__xludf.DUMMYFUNCTION("""COMPUTED_VALUE"""),"rigid")</f>
        <v>rigid</v>
      </c>
      <c r="I1484" s="6"/>
      <c r="J1484" s="6" t="str">
        <f>IFERROR(__xludf.DUMMYFUNCTION("""COMPUTED_VALUE"""),"topical")</f>
        <v>topical</v>
      </c>
      <c r="M1484" s="6"/>
      <c r="P1484" s="6" t="str">
        <f>IFERROR(__xludf.DUMMYFUNCTION("""COMPUTED_VALUE"""),"christianity")</f>
        <v>christianity</v>
      </c>
      <c r="Q1484" s="6" t="str">
        <f>IFERROR(__xludf.DUMMYFUNCTION("""COMPUTED_VALUE"""),"tales")</f>
        <v>tales</v>
      </c>
      <c r="S1484" s="6" t="str">
        <f>IFERROR(__xludf.DUMMYFUNCTION("""COMPUTED_VALUE"""),"combat")</f>
        <v>combat</v>
      </c>
    </row>
    <row r="1485">
      <c r="D1485" s="6"/>
      <c r="H1485" s="6" t="str">
        <f>IFERROR(__xludf.DUMMYFUNCTION("""COMPUTED_VALUE"""),"devastation")</f>
        <v>devastation</v>
      </c>
      <c r="I1485" s="6"/>
      <c r="J1485" s="6" t="str">
        <f>IFERROR(__xludf.DUMMYFUNCTION("""COMPUTED_VALUE"""),"manifesto")</f>
        <v>manifesto</v>
      </c>
      <c r="M1485" s="6"/>
      <c r="P1485" s="6" t="str">
        <f>IFERROR(__xludf.DUMMYFUNCTION("""COMPUTED_VALUE"""),"robinson")</f>
        <v>robinson</v>
      </c>
      <c r="Q1485" s="6" t="str">
        <f>IFERROR(__xludf.DUMMYFUNCTION("""COMPUTED_VALUE"""),"deaths")</f>
        <v>deaths</v>
      </c>
      <c r="S1485" s="6" t="str">
        <f>IFERROR(__xludf.DUMMYFUNCTION("""COMPUTED_VALUE"""),"winner")</f>
        <v>winner</v>
      </c>
    </row>
    <row r="1486">
      <c r="D1486" s="6"/>
      <c r="H1486" s="6" t="str">
        <f>IFERROR(__xludf.DUMMYFUNCTION("""COMPUTED_VALUE"""),"portraying")</f>
        <v>portraying</v>
      </c>
      <c r="I1486" s="6"/>
      <c r="J1486" s="6" t="str">
        <f>IFERROR(__xludf.DUMMYFUNCTION("""COMPUTED_VALUE"""),"swiftly")</f>
        <v>swiftly</v>
      </c>
      <c r="M1486" s="6"/>
      <c r="P1486" s="6" t="str">
        <f>IFERROR(__xludf.DUMMYFUNCTION("""COMPUTED_VALUE"""),"stripped")</f>
        <v>stripped</v>
      </c>
      <c r="Q1486" s="6" t="str">
        <f>IFERROR(__xludf.DUMMYFUNCTION("""COMPUTED_VALUE"""),"bump")</f>
        <v>bump</v>
      </c>
      <c r="S1486" s="6" t="str">
        <f>IFERROR(__xludf.DUMMYFUNCTION("""COMPUTED_VALUE"""),"captain")</f>
        <v>captain</v>
      </c>
    </row>
    <row r="1487">
      <c r="D1487" s="6"/>
      <c r="H1487" s="6" t="str">
        <f>IFERROR(__xludf.DUMMYFUNCTION("""COMPUTED_VALUE"""),"disease")</f>
        <v>disease</v>
      </c>
      <c r="I1487" s="6"/>
      <c r="J1487" s="6" t="str">
        <f>IFERROR(__xludf.DUMMYFUNCTION("""COMPUTED_VALUE"""),"wanderers")</f>
        <v>wanderers</v>
      </c>
      <c r="M1487" s="6"/>
      <c r="P1487" s="6" t="str">
        <f>IFERROR(__xludf.DUMMYFUNCTION("""COMPUTED_VALUE"""),"sat")</f>
        <v>sat</v>
      </c>
      <c r="Q1487" s="6" t="str">
        <f>IFERROR(__xludf.DUMMYFUNCTION("""COMPUTED_VALUE"""),"form")</f>
        <v>form</v>
      </c>
      <c r="S1487" s="6" t="str">
        <f>IFERROR(__xludf.DUMMYFUNCTION("""COMPUTED_VALUE"""),"raise")</f>
        <v>raise</v>
      </c>
    </row>
    <row r="1488">
      <c r="D1488" s="6"/>
      <c r="H1488" s="6" t="str">
        <f>IFERROR(__xludf.DUMMYFUNCTION("""COMPUTED_VALUE"""),"classification")</f>
        <v>classification</v>
      </c>
      <c r="I1488" s="6"/>
      <c r="J1488" s="6" t="str">
        <f>IFERROR(__xludf.DUMMYFUNCTION("""COMPUTED_VALUE"""),"equilibrium")</f>
        <v>equilibrium</v>
      </c>
      <c r="M1488" s="6"/>
      <c r="P1488" s="6" t="str">
        <f>IFERROR(__xludf.DUMMYFUNCTION("""COMPUTED_VALUE"""),"horses")</f>
        <v>horses</v>
      </c>
      <c r="Q1488" s="6" t="str">
        <f>IFERROR(__xludf.DUMMYFUNCTION("""COMPUTED_VALUE"""),"doris")</f>
        <v>doris</v>
      </c>
      <c r="S1488" s="6" t="str">
        <f>IFERROR(__xludf.DUMMYFUNCTION("""COMPUTED_VALUE"""),"near")</f>
        <v>near</v>
      </c>
    </row>
    <row r="1489">
      <c r="D1489" s="6"/>
      <c r="H1489" s="6" t="str">
        <f>IFERROR(__xludf.DUMMYFUNCTION("""COMPUTED_VALUE"""),"revenge")</f>
        <v>revenge</v>
      </c>
      <c r="I1489" s="6"/>
      <c r="J1489" s="6" t="str">
        <f>IFERROR(__xludf.DUMMYFUNCTION("""COMPUTED_VALUE"""),"calculating")</f>
        <v>calculating</v>
      </c>
      <c r="M1489" s="6"/>
      <c r="P1489" s="6" t="str">
        <f>IFERROR(__xludf.DUMMYFUNCTION("""COMPUTED_VALUE"""),"partnership")</f>
        <v>partnership</v>
      </c>
      <c r="Q1489" s="6" t="str">
        <f>IFERROR(__xludf.DUMMYFUNCTION("""COMPUTED_VALUE"""),"cultivated")</f>
        <v>cultivated</v>
      </c>
      <c r="S1489" s="6" t="str">
        <f>IFERROR(__xludf.DUMMYFUNCTION("""COMPUTED_VALUE"""),"brooks")</f>
        <v>brooks</v>
      </c>
    </row>
    <row r="1490">
      <c r="D1490" s="6"/>
      <c r="H1490" s="6" t="str">
        <f>IFERROR(__xludf.DUMMYFUNCTION("""COMPUTED_VALUE"""),"sundance")</f>
        <v>sundance</v>
      </c>
      <c r="I1490" s="6"/>
      <c r="J1490" s="6">
        <f>IFERROR(__xludf.DUMMYFUNCTION("""COMPUTED_VALUE"""),295.0)</f>
        <v>295</v>
      </c>
      <c r="M1490" s="6"/>
      <c r="P1490" s="6" t="str">
        <f>IFERROR(__xludf.DUMMYFUNCTION("""COMPUTED_VALUE"""),"glass")</f>
        <v>glass</v>
      </c>
      <c r="Q1490" s="6" t="str">
        <f>IFERROR(__xludf.DUMMYFUNCTION("""COMPUTED_VALUE"""),"careers")</f>
        <v>careers</v>
      </c>
      <c r="S1490" s="6" t="str">
        <f>IFERROR(__xludf.DUMMYFUNCTION("""COMPUTED_VALUE"""),"magical")</f>
        <v>magical</v>
      </c>
    </row>
    <row r="1491">
      <c r="D1491" s="6"/>
      <c r="H1491" s="6" t="str">
        <f>IFERROR(__xludf.DUMMYFUNCTION("""COMPUTED_VALUE"""),"smirk")</f>
        <v>smirk</v>
      </c>
      <c r="I1491" s="6"/>
      <c r="J1491" s="6">
        <f>IFERROR(__xludf.DUMMYFUNCTION("""COMPUTED_VALUE"""),1958.0)</f>
        <v>1958</v>
      </c>
      <c r="M1491" s="6"/>
      <c r="P1491" s="6" t="str">
        <f>IFERROR(__xludf.DUMMYFUNCTION("""COMPUTED_VALUE"""),"bet")</f>
        <v>bet</v>
      </c>
      <c r="Q1491" s="6" t="str">
        <f>IFERROR(__xludf.DUMMYFUNCTION("""COMPUTED_VALUE"""),"titus")</f>
        <v>titus</v>
      </c>
      <c r="S1491" s="6" t="str">
        <f>IFERROR(__xludf.DUMMYFUNCTION("""COMPUTED_VALUE"""),"flowers")</f>
        <v>flowers</v>
      </c>
    </row>
    <row r="1492">
      <c r="D1492" s="6"/>
      <c r="H1492" s="6" t="str">
        <f>IFERROR(__xludf.DUMMYFUNCTION("""COMPUTED_VALUE"""),"phillip")</f>
        <v>phillip</v>
      </c>
      <c r="I1492" s="6"/>
      <c r="J1492" s="6" t="str">
        <f>IFERROR(__xludf.DUMMYFUNCTION("""COMPUTED_VALUE"""),"fingered")</f>
        <v>fingered</v>
      </c>
      <c r="M1492" s="6"/>
      <c r="P1492" s="6" t="str">
        <f>IFERROR(__xludf.DUMMYFUNCTION("""COMPUTED_VALUE"""),"practices")</f>
        <v>practices</v>
      </c>
      <c r="Q1492" s="6" t="str">
        <f>IFERROR(__xludf.DUMMYFUNCTION("""COMPUTED_VALUE"""),"vastly")</f>
        <v>vastly</v>
      </c>
      <c r="S1492" s="6" t="str">
        <f>IFERROR(__xludf.DUMMYFUNCTION("""COMPUTED_VALUE"""),"al")</f>
        <v>al</v>
      </c>
    </row>
    <row r="1493">
      <c r="D1493" s="6"/>
      <c r="H1493" s="6" t="str">
        <f>IFERROR(__xludf.DUMMYFUNCTION("""COMPUTED_VALUE"""),"references")</f>
        <v>references</v>
      </c>
      <c r="I1493" s="6"/>
      <c r="J1493" s="6" t="str">
        <f>IFERROR(__xludf.DUMMYFUNCTION("""COMPUTED_VALUE"""),"curiously")</f>
        <v>curiously</v>
      </c>
      <c r="M1493" s="6"/>
      <c r="P1493" s="6" t="str">
        <f>IFERROR(__xludf.DUMMYFUNCTION("""COMPUTED_VALUE"""),"arrest")</f>
        <v>arrest</v>
      </c>
      <c r="Q1493" s="6" t="str">
        <f>IFERROR(__xludf.DUMMYFUNCTION("""COMPUTED_VALUE"""),"missed")</f>
        <v>missed</v>
      </c>
      <c r="S1493" s="6" t="str">
        <f>IFERROR(__xludf.DUMMYFUNCTION("""COMPUTED_VALUE"""),"flag")</f>
        <v>flag</v>
      </c>
    </row>
    <row r="1494">
      <c r="D1494" s="6"/>
      <c r="H1494" s="6" t="str">
        <f>IFERROR(__xludf.DUMMYFUNCTION("""COMPUTED_VALUE"""),"skyscraper")</f>
        <v>skyscraper</v>
      </c>
      <c r="I1494" s="6"/>
      <c r="J1494" s="6" t="str">
        <f>IFERROR(__xludf.DUMMYFUNCTION("""COMPUTED_VALUE"""),"characterization")</f>
        <v>characterization</v>
      </c>
      <c r="M1494" s="6"/>
      <c r="P1494" s="6" t="str">
        <f>IFERROR(__xludf.DUMMYFUNCTION("""COMPUTED_VALUE"""),"bed")</f>
        <v>bed</v>
      </c>
      <c r="Q1494" s="6" t="str">
        <f>IFERROR(__xludf.DUMMYFUNCTION("""COMPUTED_VALUE"""),"espionage")</f>
        <v>espionage</v>
      </c>
      <c r="S1494" s="6" t="str">
        <f>IFERROR(__xludf.DUMMYFUNCTION("""COMPUTED_VALUE"""),"12th")</f>
        <v>12th</v>
      </c>
    </row>
    <row r="1495">
      <c r="D1495" s="6"/>
      <c r="H1495" s="6" t="str">
        <f>IFERROR(__xludf.DUMMYFUNCTION("""COMPUTED_VALUE"""),"clouds")</f>
        <v>clouds</v>
      </c>
      <c r="I1495" s="6"/>
      <c r="J1495" s="6" t="str">
        <f>IFERROR(__xludf.DUMMYFUNCTION("""COMPUTED_VALUE"""),"confidently")</f>
        <v>confidently</v>
      </c>
      <c r="M1495" s="6"/>
      <c r="P1495" s="6" t="str">
        <f>IFERROR(__xludf.DUMMYFUNCTION("""COMPUTED_VALUE"""),"satisfaction")</f>
        <v>satisfaction</v>
      </c>
      <c r="Q1495" s="6" t="str">
        <f>IFERROR(__xludf.DUMMYFUNCTION("""COMPUTED_VALUE"""),"refugees")</f>
        <v>refugees</v>
      </c>
      <c r="S1495" s="6" t="str">
        <f>IFERROR(__xludf.DUMMYFUNCTION("""COMPUTED_VALUE"""),"mechanical")</f>
        <v>mechanical</v>
      </c>
    </row>
    <row r="1496">
      <c r="D1496" s="6"/>
      <c r="H1496" s="6" t="str">
        <f>IFERROR(__xludf.DUMMYFUNCTION("""COMPUTED_VALUE"""),"narration")</f>
        <v>narration</v>
      </c>
      <c r="I1496" s="6"/>
      <c r="J1496" s="6" t="str">
        <f>IFERROR(__xludf.DUMMYFUNCTION("""COMPUTED_VALUE"""),"doctorate")</f>
        <v>doctorate</v>
      </c>
      <c r="M1496" s="6"/>
      <c r="P1496" s="6" t="str">
        <f>IFERROR(__xludf.DUMMYFUNCTION("""COMPUTED_VALUE"""),"appeals")</f>
        <v>appeals</v>
      </c>
      <c r="Q1496" s="6" t="str">
        <f>IFERROR(__xludf.DUMMYFUNCTION("""COMPUTED_VALUE"""),"age")</f>
        <v>age</v>
      </c>
      <c r="S1496" s="6" t="str">
        <f>IFERROR(__xludf.DUMMYFUNCTION("""COMPUTED_VALUE"""),"japan")</f>
        <v>japan</v>
      </c>
    </row>
    <row r="1497">
      <c r="D1497" s="6"/>
      <c r="H1497" s="6" t="str">
        <f>IFERROR(__xludf.DUMMYFUNCTION("""COMPUTED_VALUE"""),"prolonged")</f>
        <v>prolonged</v>
      </c>
      <c r="I1497" s="6"/>
      <c r="J1497" s="6" t="str">
        <f>IFERROR(__xludf.DUMMYFUNCTION("""COMPUTED_VALUE"""),"telescope")</f>
        <v>telescope</v>
      </c>
      <c r="M1497" s="6"/>
      <c r="P1497" s="6" t="str">
        <f>IFERROR(__xludf.DUMMYFUNCTION("""COMPUTED_VALUE"""),"arc")</f>
        <v>arc</v>
      </c>
      <c r="Q1497" s="6" t="str">
        <f>IFERROR(__xludf.DUMMYFUNCTION("""COMPUTED_VALUE"""),"alien")</f>
        <v>alien</v>
      </c>
      <c r="S1497" s="6" t="str">
        <f>IFERROR(__xludf.DUMMYFUNCTION("""COMPUTED_VALUE"""),"aids")</f>
        <v>aids</v>
      </c>
    </row>
    <row r="1498">
      <c r="D1498" s="6"/>
      <c r="H1498" s="6" t="str">
        <f>IFERROR(__xludf.DUMMYFUNCTION("""COMPUTED_VALUE"""),"opened")</f>
        <v>opened</v>
      </c>
      <c r="I1498" s="6"/>
      <c r="J1498" s="6" t="str">
        <f>IFERROR(__xludf.DUMMYFUNCTION("""COMPUTED_VALUE"""),"analytical")</f>
        <v>analytical</v>
      </c>
      <c r="M1498" s="6"/>
      <c r="P1498" s="6" t="str">
        <f>IFERROR(__xludf.DUMMYFUNCTION("""COMPUTED_VALUE"""),"catching")</f>
        <v>catching</v>
      </c>
      <c r="Q1498" s="6" t="str">
        <f>IFERROR(__xludf.DUMMYFUNCTION("""COMPUTED_VALUE"""),"substantial")</f>
        <v>substantial</v>
      </c>
      <c r="S1498" s="6" t="str">
        <f>IFERROR(__xludf.DUMMYFUNCTION("""COMPUTED_VALUE"""),"pitched")</f>
        <v>pitched</v>
      </c>
    </row>
    <row r="1499">
      <c r="D1499" s="6"/>
      <c r="H1499" s="6" t="str">
        <f>IFERROR(__xludf.DUMMYFUNCTION("""COMPUTED_VALUE"""),"literal")</f>
        <v>literal</v>
      </c>
      <c r="I1499" s="6"/>
      <c r="J1499" s="6" t="str">
        <f>IFERROR(__xludf.DUMMYFUNCTION("""COMPUTED_VALUE"""),"transforms")</f>
        <v>transforms</v>
      </c>
      <c r="M1499" s="6"/>
      <c r="P1499" s="6" t="str">
        <f>IFERROR(__xludf.DUMMYFUNCTION("""COMPUTED_VALUE"""),"metropolitan")</f>
        <v>metropolitan</v>
      </c>
      <c r="Q1499" s="6" t="str">
        <f>IFERROR(__xludf.DUMMYFUNCTION("""COMPUTED_VALUE"""),"coughed")</f>
        <v>coughed</v>
      </c>
      <c r="S1499" s="6" t="str">
        <f>IFERROR(__xludf.DUMMYFUNCTION("""COMPUTED_VALUE"""),"knowledge")</f>
        <v>knowledge</v>
      </c>
    </row>
    <row r="1500">
      <c r="D1500" s="6"/>
      <c r="H1500" s="6" t="str">
        <f>IFERROR(__xludf.DUMMYFUNCTION("""COMPUTED_VALUE"""),"rejected")</f>
        <v>rejected</v>
      </c>
      <c r="I1500" s="6"/>
      <c r="J1500" s="6" t="str">
        <f>IFERROR(__xludf.DUMMYFUNCTION("""COMPUTED_VALUE"""),"undertaking")</f>
        <v>undertaking</v>
      </c>
      <c r="M1500" s="6"/>
      <c r="P1500" s="6" t="str">
        <f>IFERROR(__xludf.DUMMYFUNCTION("""COMPUTED_VALUE"""),"holmes")</f>
        <v>holmes</v>
      </c>
      <c r="Q1500" s="6" t="str">
        <f>IFERROR(__xludf.DUMMYFUNCTION("""COMPUTED_VALUE"""),"hooks")</f>
        <v>hooks</v>
      </c>
      <c r="S1500" s="6" t="str">
        <f>IFERROR(__xludf.DUMMYFUNCTION("""COMPUTED_VALUE"""),"league")</f>
        <v>league</v>
      </c>
    </row>
    <row r="1501">
      <c r="D1501" s="6"/>
      <c r="H1501" s="6" t="str">
        <f>IFERROR(__xludf.DUMMYFUNCTION("""COMPUTED_VALUE"""),"suggests")</f>
        <v>suggests</v>
      </c>
      <c r="I1501" s="6"/>
      <c r="J1501" s="6" t="str">
        <f>IFERROR(__xludf.DUMMYFUNCTION("""COMPUTED_VALUE"""),"effectively")</f>
        <v>effectively</v>
      </c>
      <c r="M1501" s="6"/>
      <c r="P1501" s="6" t="str">
        <f>IFERROR(__xludf.DUMMYFUNCTION("""COMPUTED_VALUE"""),"senses")</f>
        <v>senses</v>
      </c>
      <c r="Q1501" s="6" t="str">
        <f>IFERROR(__xludf.DUMMYFUNCTION("""COMPUTED_VALUE"""),"oliver")</f>
        <v>oliver</v>
      </c>
      <c r="S1501" s="6" t="str">
        <f>IFERROR(__xludf.DUMMYFUNCTION("""COMPUTED_VALUE"""),"symbols")</f>
        <v>symbols</v>
      </c>
    </row>
    <row r="1502">
      <c r="D1502" s="6"/>
      <c r="H1502" s="6" t="str">
        <f>IFERROR(__xludf.DUMMYFUNCTION("""COMPUTED_VALUE"""),"richly")</f>
        <v>richly</v>
      </c>
      <c r="I1502" s="6"/>
      <c r="J1502" s="6" t="str">
        <f>IFERROR(__xludf.DUMMYFUNCTION("""COMPUTED_VALUE"""),"concentration")</f>
        <v>concentration</v>
      </c>
      <c r="M1502" s="6"/>
      <c r="P1502" s="6" t="str">
        <f>IFERROR(__xludf.DUMMYFUNCTION("""COMPUTED_VALUE"""),"goods")</f>
        <v>goods</v>
      </c>
      <c r="Q1502" s="6" t="str">
        <f>IFERROR(__xludf.DUMMYFUNCTION("""COMPUTED_VALUE"""),"irresistible")</f>
        <v>irresistible</v>
      </c>
      <c r="S1502" s="6" t="str">
        <f>IFERROR(__xludf.DUMMYFUNCTION("""COMPUTED_VALUE"""),"factors")</f>
        <v>factors</v>
      </c>
    </row>
    <row r="1503">
      <c r="D1503" s="6"/>
      <c r="H1503" s="6" t="str">
        <f>IFERROR(__xludf.DUMMYFUNCTION("""COMPUTED_VALUE"""),"flatly")</f>
        <v>flatly</v>
      </c>
      <c r="I1503" s="6"/>
      <c r="J1503" s="6" t="str">
        <f>IFERROR(__xludf.DUMMYFUNCTION("""COMPUTED_VALUE"""),"prank")</f>
        <v>prank</v>
      </c>
      <c r="M1503" s="6"/>
      <c r="P1503" s="6" t="str">
        <f>IFERROR(__xludf.DUMMYFUNCTION("""COMPUTED_VALUE"""),"journalist")</f>
        <v>journalist</v>
      </c>
      <c r="Q1503" s="6" t="str">
        <f>IFERROR(__xludf.DUMMYFUNCTION("""COMPUTED_VALUE"""),"dressed")</f>
        <v>dressed</v>
      </c>
      <c r="S1503" s="6" t="str">
        <f>IFERROR(__xludf.DUMMYFUNCTION("""COMPUTED_VALUE"""),"resistance")</f>
        <v>resistance</v>
      </c>
    </row>
    <row r="1504">
      <c r="D1504" s="6"/>
      <c r="H1504" s="6" t="str">
        <f>IFERROR(__xludf.DUMMYFUNCTION("""COMPUTED_VALUE"""),"principles")</f>
        <v>principles</v>
      </c>
      <c r="I1504" s="6"/>
      <c r="J1504" s="6" t="str">
        <f>IFERROR(__xludf.DUMMYFUNCTION("""COMPUTED_VALUE"""),"guiding")</f>
        <v>guiding</v>
      </c>
      <c r="M1504" s="6"/>
      <c r="P1504" s="6" t="str">
        <f>IFERROR(__xludf.DUMMYFUNCTION("""COMPUTED_VALUE"""),"venice")</f>
        <v>venice</v>
      </c>
      <c r="Q1504" s="6" t="str">
        <f>IFERROR(__xludf.DUMMYFUNCTION("""COMPUTED_VALUE"""),"hussein")</f>
        <v>hussein</v>
      </c>
      <c r="S1504" s="6" t="str">
        <f>IFERROR(__xludf.DUMMYFUNCTION("""COMPUTED_VALUE"""),"artistic")</f>
        <v>artistic</v>
      </c>
    </row>
    <row r="1505">
      <c r="D1505" s="6"/>
      <c r="H1505" s="6" t="str">
        <f>IFERROR(__xludf.DUMMYFUNCTION("""COMPUTED_VALUE"""),"atrocities")</f>
        <v>atrocities</v>
      </c>
      <c r="I1505" s="6"/>
      <c r="J1505" s="6" t="str">
        <f>IFERROR(__xludf.DUMMYFUNCTION("""COMPUTED_VALUE"""),"chases")</f>
        <v>chases</v>
      </c>
      <c r="M1505" s="6"/>
      <c r="P1505" s="6" t="str">
        <f>IFERROR(__xludf.DUMMYFUNCTION("""COMPUTED_VALUE"""),"pursued")</f>
        <v>pursued</v>
      </c>
      <c r="Q1505" s="6" t="str">
        <f>IFERROR(__xludf.DUMMYFUNCTION("""COMPUTED_VALUE"""),"saddam")</f>
        <v>saddam</v>
      </c>
      <c r="S1505" s="6" t="str">
        <f>IFERROR(__xludf.DUMMYFUNCTION("""COMPUTED_VALUE"""),"championship")</f>
        <v>championship</v>
      </c>
    </row>
    <row r="1506">
      <c r="D1506" s="6"/>
      <c r="H1506" s="6" t="str">
        <f>IFERROR(__xludf.DUMMYFUNCTION("""COMPUTED_VALUE"""),"mythology")</f>
        <v>mythology</v>
      </c>
      <c r="I1506" s="6"/>
      <c r="J1506" s="6" t="str">
        <f>IFERROR(__xludf.DUMMYFUNCTION("""COMPUTED_VALUE"""),"tucker")</f>
        <v>tucker</v>
      </c>
      <c r="M1506" s="6"/>
      <c r="P1506" s="6" t="str">
        <f>IFERROR(__xludf.DUMMYFUNCTION("""COMPUTED_VALUE"""),"stevens")</f>
        <v>stevens</v>
      </c>
      <c r="Q1506" s="6" t="str">
        <f>IFERROR(__xludf.DUMMYFUNCTION("""COMPUTED_VALUE"""),"operative")</f>
        <v>operative</v>
      </c>
      <c r="S1506" s="6" t="str">
        <f>IFERROR(__xludf.DUMMYFUNCTION("""COMPUTED_VALUE"""),"labor")</f>
        <v>labor</v>
      </c>
    </row>
    <row r="1507">
      <c r="D1507" s="6"/>
      <c r="H1507" s="6" t="str">
        <f>IFERROR(__xludf.DUMMYFUNCTION("""COMPUTED_VALUE"""),"benefited")</f>
        <v>benefited</v>
      </c>
      <c r="I1507" s="6"/>
      <c r="J1507" s="6" t="str">
        <f>IFERROR(__xludf.DUMMYFUNCTION("""COMPUTED_VALUE"""),"italics")</f>
        <v>italics</v>
      </c>
      <c r="M1507" s="6"/>
      <c r="P1507" s="6" t="str">
        <f>IFERROR(__xludf.DUMMYFUNCTION("""COMPUTED_VALUE"""),"playstation")</f>
        <v>playstation</v>
      </c>
      <c r="Q1507" s="6" t="str">
        <f>IFERROR(__xludf.DUMMYFUNCTION("""COMPUTED_VALUE"""),"exposition")</f>
        <v>exposition</v>
      </c>
      <c r="S1507" s="6" t="str">
        <f>IFERROR(__xludf.DUMMYFUNCTION("""COMPUTED_VALUE"""),"published")</f>
        <v>published</v>
      </c>
    </row>
    <row r="1508">
      <c r="D1508" s="6"/>
      <c r="H1508" s="6" t="str">
        <f>IFERROR(__xludf.DUMMYFUNCTION("""COMPUTED_VALUE"""),"directs")</f>
        <v>directs</v>
      </c>
      <c r="I1508" s="6"/>
      <c r="J1508" s="6" t="str">
        <f>IFERROR(__xludf.DUMMYFUNCTION("""COMPUTED_VALUE"""),"attach")</f>
        <v>attach</v>
      </c>
      <c r="M1508" s="6"/>
      <c r="P1508" s="6" t="str">
        <f>IFERROR(__xludf.DUMMYFUNCTION("""COMPUTED_VALUE"""),"mtv")</f>
        <v>mtv</v>
      </c>
      <c r="Q1508" s="6" t="str">
        <f>IFERROR(__xludf.DUMMYFUNCTION("""COMPUTED_VALUE"""),"directly")</f>
        <v>directly</v>
      </c>
      <c r="S1508" s="6" t="str">
        <f>IFERROR(__xludf.DUMMYFUNCTION("""COMPUTED_VALUE"""),"escort")</f>
        <v>escort</v>
      </c>
    </row>
    <row r="1509">
      <c r="D1509" s="6"/>
      <c r="H1509" s="6">
        <f>IFERROR(__xludf.DUMMYFUNCTION("""COMPUTED_VALUE"""),1938.0)</f>
        <v>1938</v>
      </c>
      <c r="I1509" s="6"/>
      <c r="J1509" s="6" t="str">
        <f>IFERROR(__xludf.DUMMYFUNCTION("""COMPUTED_VALUE"""),"wilde")</f>
        <v>wilde</v>
      </c>
      <c r="M1509" s="6"/>
      <c r="P1509" s="6">
        <f>IFERROR(__xludf.DUMMYFUNCTION("""COMPUTED_VALUE"""),1960.0)</f>
        <v>1960</v>
      </c>
      <c r="Q1509" s="6" t="str">
        <f>IFERROR(__xludf.DUMMYFUNCTION("""COMPUTED_VALUE"""),"scribe")</f>
        <v>scribe</v>
      </c>
      <c r="S1509" s="6" t="str">
        <f>IFERROR(__xludf.DUMMYFUNCTION("""COMPUTED_VALUE"""),"canon")</f>
        <v>canon</v>
      </c>
    </row>
    <row r="1510">
      <c r="D1510" s="6"/>
      <c r="H1510" s="6" t="str">
        <f>IFERROR(__xludf.DUMMYFUNCTION("""COMPUTED_VALUE"""),"holden")</f>
        <v>holden</v>
      </c>
      <c r="I1510" s="6"/>
      <c r="J1510" s="6" t="str">
        <f>IFERROR(__xludf.DUMMYFUNCTION("""COMPUTED_VALUE"""),"empowerment")</f>
        <v>empowerment</v>
      </c>
      <c r="M1510" s="6"/>
      <c r="P1510" s="6" t="str">
        <f>IFERROR(__xludf.DUMMYFUNCTION("""COMPUTED_VALUE"""),"ethan")</f>
        <v>ethan</v>
      </c>
      <c r="Q1510" s="6" t="str">
        <f>IFERROR(__xludf.DUMMYFUNCTION("""COMPUTED_VALUE"""),"chemistry")</f>
        <v>chemistry</v>
      </c>
      <c r="S1510" s="6" t="str">
        <f>IFERROR(__xludf.DUMMYFUNCTION("""COMPUTED_VALUE"""),"grown")</f>
        <v>grown</v>
      </c>
    </row>
    <row r="1511">
      <c r="D1511" s="6"/>
      <c r="H1511" s="6" t="str">
        <f>IFERROR(__xludf.DUMMYFUNCTION("""COMPUTED_VALUE"""),"leaping")</f>
        <v>leaping</v>
      </c>
      <c r="I1511" s="6"/>
      <c r="J1511" s="6" t="str">
        <f>IFERROR(__xludf.DUMMYFUNCTION("""COMPUTED_VALUE"""),"established")</f>
        <v>established</v>
      </c>
      <c r="M1511" s="6"/>
      <c r="P1511" s="6" t="str">
        <f>IFERROR(__xludf.DUMMYFUNCTION("""COMPUTED_VALUE"""),"acquire")</f>
        <v>acquire</v>
      </c>
      <c r="Q1511" s="6" t="str">
        <f>IFERROR(__xludf.DUMMYFUNCTION("""COMPUTED_VALUE"""),"concludes")</f>
        <v>concludes</v>
      </c>
      <c r="S1511" s="6" t="str">
        <f>IFERROR(__xludf.DUMMYFUNCTION("""COMPUTED_VALUE"""),"flesh")</f>
        <v>flesh</v>
      </c>
    </row>
    <row r="1512">
      <c r="D1512" s="6"/>
      <c r="H1512" s="6" t="str">
        <f>IFERROR(__xludf.DUMMYFUNCTION("""COMPUTED_VALUE"""),"traits")</f>
        <v>traits</v>
      </c>
      <c r="I1512" s="6"/>
      <c r="J1512" s="6" t="str">
        <f>IFERROR(__xludf.DUMMYFUNCTION("""COMPUTED_VALUE"""),"passions")</f>
        <v>passions</v>
      </c>
      <c r="M1512" s="6"/>
      <c r="P1512" s="6" t="str">
        <f>IFERROR(__xludf.DUMMYFUNCTION("""COMPUTED_VALUE"""),"welsh")</f>
        <v>welsh</v>
      </c>
      <c r="Q1512" s="6" t="str">
        <f>IFERROR(__xludf.DUMMYFUNCTION("""COMPUTED_VALUE"""),"dawn")</f>
        <v>dawn</v>
      </c>
      <c r="S1512" s="6" t="str">
        <f>IFERROR(__xludf.DUMMYFUNCTION("""COMPUTED_VALUE"""),"illness")</f>
        <v>illness</v>
      </c>
    </row>
    <row r="1513">
      <c r="D1513" s="6"/>
      <c r="H1513" s="6" t="str">
        <f>IFERROR(__xludf.DUMMYFUNCTION("""COMPUTED_VALUE"""),"gore")</f>
        <v>gore</v>
      </c>
      <c r="I1513" s="6"/>
      <c r="J1513" s="6" t="str">
        <f>IFERROR(__xludf.DUMMYFUNCTION("""COMPUTED_VALUE"""),"assassin")</f>
        <v>assassin</v>
      </c>
      <c r="M1513" s="6"/>
      <c r="P1513" s="6" t="str">
        <f>IFERROR(__xludf.DUMMYFUNCTION("""COMPUTED_VALUE"""),"rounded")</f>
        <v>rounded</v>
      </c>
      <c r="Q1513" s="6" t="str">
        <f>IFERROR(__xludf.DUMMYFUNCTION("""COMPUTED_VALUE"""),"crisp")</f>
        <v>crisp</v>
      </c>
      <c r="S1513" s="6" t="str">
        <f>IFERROR(__xludf.DUMMYFUNCTION("""COMPUTED_VALUE"""),"controversy")</f>
        <v>controversy</v>
      </c>
    </row>
    <row r="1514">
      <c r="D1514" s="6"/>
      <c r="H1514" s="6" t="str">
        <f>IFERROR(__xludf.DUMMYFUNCTION("""COMPUTED_VALUE"""),"nicolas")</f>
        <v>nicolas</v>
      </c>
      <c r="I1514" s="6"/>
      <c r="J1514" s="6" t="str">
        <f>IFERROR(__xludf.DUMMYFUNCTION("""COMPUTED_VALUE"""),"seduce")</f>
        <v>seduce</v>
      </c>
      <c r="M1514" s="6"/>
      <c r="P1514" s="6" t="str">
        <f>IFERROR(__xludf.DUMMYFUNCTION("""COMPUTED_VALUE"""),"rape")</f>
        <v>rape</v>
      </c>
      <c r="Q1514" s="6" t="str">
        <f>IFERROR(__xludf.DUMMYFUNCTION("""COMPUTED_VALUE"""),"meaning")</f>
        <v>meaning</v>
      </c>
      <c r="S1514" s="6" t="str">
        <f>IFERROR(__xludf.DUMMYFUNCTION("""COMPUTED_VALUE"""),"rally")</f>
        <v>rally</v>
      </c>
    </row>
    <row r="1515">
      <c r="D1515" s="6"/>
      <c r="H1515" s="6" t="str">
        <f>IFERROR(__xludf.DUMMYFUNCTION("""COMPUTED_VALUE"""),"cage")</f>
        <v>cage</v>
      </c>
      <c r="I1515" s="6"/>
      <c r="J1515" s="6" t="str">
        <f>IFERROR(__xludf.DUMMYFUNCTION("""COMPUTED_VALUE"""),"segment")</f>
        <v>segment</v>
      </c>
      <c r="M1515" s="6"/>
      <c r="P1515" s="6" t="str">
        <f>IFERROR(__xludf.DUMMYFUNCTION("""COMPUTED_VALUE"""),"stuart")</f>
        <v>stuart</v>
      </c>
      <c r="Q1515" s="6" t="str">
        <f>IFERROR(__xludf.DUMMYFUNCTION("""COMPUTED_VALUE"""),"patch")</f>
        <v>patch</v>
      </c>
      <c r="S1515" s="6" t="str">
        <f>IFERROR(__xludf.DUMMYFUNCTION("""COMPUTED_VALUE"""),"dimensions")</f>
        <v>dimensions</v>
      </c>
    </row>
    <row r="1516">
      <c r="D1516" s="6"/>
      <c r="H1516" s="6" t="str">
        <f>IFERROR(__xludf.DUMMYFUNCTION("""COMPUTED_VALUE"""),"paranoia")</f>
        <v>paranoia</v>
      </c>
      <c r="I1516" s="6"/>
      <c r="J1516" s="6" t="str">
        <f>IFERROR(__xludf.DUMMYFUNCTION("""COMPUTED_VALUE"""),"vittorio")</f>
        <v>vittorio</v>
      </c>
      <c r="M1516" s="6"/>
      <c r="P1516" s="6" t="str">
        <f>IFERROR(__xludf.DUMMYFUNCTION("""COMPUTED_VALUE"""),"believing")</f>
        <v>believing</v>
      </c>
      <c r="Q1516" s="6" t="str">
        <f>IFERROR(__xludf.DUMMYFUNCTION("""COMPUTED_VALUE"""),"willis")</f>
        <v>willis</v>
      </c>
      <c r="S1516" s="6" t="str">
        <f>IFERROR(__xludf.DUMMYFUNCTION("""COMPUTED_VALUE"""),"classification")</f>
        <v>classification</v>
      </c>
    </row>
    <row r="1517">
      <c r="D1517" s="6"/>
      <c r="H1517" s="6" t="str">
        <f>IFERROR(__xludf.DUMMYFUNCTION("""COMPUTED_VALUE"""),"confronting")</f>
        <v>confronting</v>
      </c>
      <c r="I1517" s="6"/>
      <c r="J1517" s="6" t="str">
        <f>IFERROR(__xludf.DUMMYFUNCTION("""COMPUTED_VALUE"""),"purity")</f>
        <v>purity</v>
      </c>
      <c r="M1517" s="6"/>
      <c r="P1517" s="6" t="str">
        <f>IFERROR(__xludf.DUMMYFUNCTION("""COMPUTED_VALUE"""),"lo")</f>
        <v>lo</v>
      </c>
      <c r="Q1517" s="6" t="str">
        <f>IFERROR(__xludf.DUMMYFUNCTION("""COMPUTED_VALUE"""),"bruce")</f>
        <v>bruce</v>
      </c>
      <c r="S1517" s="6" t="str">
        <f>IFERROR(__xludf.DUMMYFUNCTION("""COMPUTED_VALUE"""),"revenge")</f>
        <v>revenge</v>
      </c>
    </row>
    <row r="1518">
      <c r="D1518" s="6"/>
      <c r="H1518" s="6" t="str">
        <f>IFERROR(__xludf.DUMMYFUNCTION("""COMPUTED_VALUE"""),"phenomenon")</f>
        <v>phenomenon</v>
      </c>
      <c r="I1518" s="6"/>
      <c r="J1518" s="6" t="str">
        <f>IFERROR(__xludf.DUMMYFUNCTION("""COMPUTED_VALUE"""),"fictional")</f>
        <v>fictional</v>
      </c>
      <c r="M1518" s="6"/>
      <c r="P1518" s="6" t="str">
        <f>IFERROR(__xludf.DUMMYFUNCTION("""COMPUTED_VALUE"""),"philip")</f>
        <v>philip</v>
      </c>
      <c r="Q1518" s="6" t="str">
        <f>IFERROR(__xludf.DUMMYFUNCTION("""COMPUTED_VALUE"""),"win")</f>
        <v>win</v>
      </c>
      <c r="S1518" s="6" t="str">
        <f>IFERROR(__xludf.DUMMYFUNCTION("""COMPUTED_VALUE"""),"cheek")</f>
        <v>cheek</v>
      </c>
    </row>
    <row r="1519">
      <c r="D1519" s="6"/>
      <c r="H1519" s="6" t="str">
        <f>IFERROR(__xludf.DUMMYFUNCTION("""COMPUTED_VALUE"""),"viewpoint")</f>
        <v>viewpoint</v>
      </c>
      <c r="I1519" s="6"/>
      <c r="J1519" s="6" t="str">
        <f>IFERROR(__xludf.DUMMYFUNCTION("""COMPUTED_VALUE"""),"roster")</f>
        <v>roster</v>
      </c>
      <c r="M1519" s="6"/>
      <c r="P1519" s="6" t="str">
        <f>IFERROR(__xludf.DUMMYFUNCTION("""COMPUTED_VALUE"""),"ensure")</f>
        <v>ensure</v>
      </c>
      <c r="Q1519" s="6" t="str">
        <f>IFERROR(__xludf.DUMMYFUNCTION("""COMPUTED_VALUE"""),"creators")</f>
        <v>creators</v>
      </c>
      <c r="S1519" s="6" t="str">
        <f>IFERROR(__xludf.DUMMYFUNCTION("""COMPUTED_VALUE"""),"references")</f>
        <v>references</v>
      </c>
    </row>
    <row r="1520">
      <c r="D1520" s="6"/>
      <c r="H1520" s="6" t="str">
        <f>IFERROR(__xludf.DUMMYFUNCTION("""COMPUTED_VALUE"""),"diary")</f>
        <v>diary</v>
      </c>
      <c r="I1520" s="6"/>
      <c r="J1520" s="6" t="str">
        <f>IFERROR(__xludf.DUMMYFUNCTION("""COMPUTED_VALUE"""),"velocity")</f>
        <v>velocity</v>
      </c>
      <c r="M1520" s="6"/>
      <c r="P1520" s="6" t="str">
        <f>IFERROR(__xludf.DUMMYFUNCTION("""COMPUTED_VALUE"""),"referred")</f>
        <v>referred</v>
      </c>
      <c r="Q1520" s="6" t="str">
        <f>IFERROR(__xludf.DUMMYFUNCTION("""COMPUTED_VALUE"""),"slap")</f>
        <v>slap</v>
      </c>
      <c r="S1520" s="6" t="str">
        <f>IFERROR(__xludf.DUMMYFUNCTION("""COMPUTED_VALUE"""),"jersey")</f>
        <v>jersey</v>
      </c>
    </row>
    <row r="1521">
      <c r="D1521" s="6"/>
      <c r="H1521" s="6" t="str">
        <f>IFERROR(__xludf.DUMMYFUNCTION("""COMPUTED_VALUE"""),"leap")</f>
        <v>leap</v>
      </c>
      <c r="I1521" s="6"/>
      <c r="J1521" s="6" t="str">
        <f>IFERROR(__xludf.DUMMYFUNCTION("""COMPUTED_VALUE"""),"stroke")</f>
        <v>stroke</v>
      </c>
      <c r="M1521" s="6"/>
      <c r="P1521" s="6" t="str">
        <f>IFERROR(__xludf.DUMMYFUNCTION("""COMPUTED_VALUE"""),"ivan")</f>
        <v>ivan</v>
      </c>
      <c r="Q1521" s="6" t="str">
        <f>IFERROR(__xludf.DUMMYFUNCTION("""COMPUTED_VALUE"""),"doomed")</f>
        <v>doomed</v>
      </c>
      <c r="S1521" s="6" t="str">
        <f>IFERROR(__xludf.DUMMYFUNCTION("""COMPUTED_VALUE"""),"clouds")</f>
        <v>clouds</v>
      </c>
    </row>
    <row r="1522">
      <c r="D1522" s="6"/>
      <c r="H1522" s="6" t="str">
        <f>IFERROR(__xludf.DUMMYFUNCTION("""COMPUTED_VALUE"""),"fuels")</f>
        <v>fuels</v>
      </c>
      <c r="I1522" s="6"/>
      <c r="J1522" s="6" t="str">
        <f>IFERROR(__xludf.DUMMYFUNCTION("""COMPUTED_VALUE"""),"nominated")</f>
        <v>nominated</v>
      </c>
      <c r="M1522" s="6"/>
      <c r="P1522" s="6">
        <f>IFERROR(__xludf.DUMMYFUNCTION("""COMPUTED_VALUE"""),1957.0)</f>
        <v>1957</v>
      </c>
      <c r="Q1522" s="6" t="str">
        <f>IFERROR(__xludf.DUMMYFUNCTION("""COMPUTED_VALUE"""),"weep")</f>
        <v>weep</v>
      </c>
      <c r="S1522" s="6" t="str">
        <f>IFERROR(__xludf.DUMMYFUNCTION("""COMPUTED_VALUE"""),"record")</f>
        <v>record</v>
      </c>
    </row>
    <row r="1523">
      <c r="D1523" s="6"/>
      <c r="H1523" s="6" t="str">
        <f>IFERROR(__xludf.DUMMYFUNCTION("""COMPUTED_VALUE"""),"freighter")</f>
        <v>freighter</v>
      </c>
      <c r="I1523" s="6"/>
      <c r="J1523" s="6" t="str">
        <f>IFERROR(__xludf.DUMMYFUNCTION("""COMPUTED_VALUE"""),"conrad")</f>
        <v>conrad</v>
      </c>
      <c r="M1523" s="6"/>
      <c r="P1523" s="6" t="str">
        <f>IFERROR(__xludf.DUMMYFUNCTION("""COMPUTED_VALUE"""),"tall")</f>
        <v>tall</v>
      </c>
      <c r="Q1523" s="6" t="str">
        <f>IFERROR(__xludf.DUMMYFUNCTION("""COMPUTED_VALUE"""),"norton")</f>
        <v>norton</v>
      </c>
      <c r="S1523" s="6" t="str">
        <f>IFERROR(__xludf.DUMMYFUNCTION("""COMPUTED_VALUE"""),"composed")</f>
        <v>composed</v>
      </c>
    </row>
    <row r="1524">
      <c r="D1524" s="6"/>
      <c r="H1524" s="6" t="str">
        <f>IFERROR(__xludf.DUMMYFUNCTION("""COMPUTED_VALUE"""),"stretches")</f>
        <v>stretches</v>
      </c>
      <c r="I1524" s="6"/>
      <c r="J1524" s="6" t="str">
        <f>IFERROR(__xludf.DUMMYFUNCTION("""COMPUTED_VALUE"""),"chen")</f>
        <v>chen</v>
      </c>
      <c r="M1524" s="6"/>
      <c r="P1524" s="6" t="str">
        <f>IFERROR(__xludf.DUMMYFUNCTION("""COMPUTED_VALUE"""),"retiring")</f>
        <v>retiring</v>
      </c>
      <c r="Q1524" s="6" t="str">
        <f>IFERROR(__xludf.DUMMYFUNCTION("""COMPUTED_VALUE"""),"numbers")</f>
        <v>numbers</v>
      </c>
      <c r="S1524" s="6" t="str">
        <f>IFERROR(__xludf.DUMMYFUNCTION("""COMPUTED_VALUE"""),"rejected")</f>
        <v>rejected</v>
      </c>
    </row>
    <row r="1525">
      <c r="D1525" s="6"/>
      <c r="H1525" s="6" t="str">
        <f>IFERROR(__xludf.DUMMYFUNCTION("""COMPUTED_VALUE"""),"ecstasy")</f>
        <v>ecstasy</v>
      </c>
      <c r="I1525" s="6"/>
      <c r="J1525" s="6" t="str">
        <f>IFERROR(__xludf.DUMMYFUNCTION("""COMPUTED_VALUE"""),"ardent")</f>
        <v>ardent</v>
      </c>
      <c r="M1525" s="6"/>
      <c r="P1525" s="6">
        <f>IFERROR(__xludf.DUMMYFUNCTION("""COMPUTED_VALUE"""),87.0)</f>
        <v>87</v>
      </c>
      <c r="Q1525" s="6" t="str">
        <f>IFERROR(__xludf.DUMMYFUNCTION("""COMPUTED_VALUE"""),"illuminating")</f>
        <v>illuminating</v>
      </c>
      <c r="S1525" s="6" t="str">
        <f>IFERROR(__xludf.DUMMYFUNCTION("""COMPUTED_VALUE"""),"perform")</f>
        <v>perform</v>
      </c>
    </row>
    <row r="1526">
      <c r="D1526" s="6"/>
      <c r="H1526" s="6" t="str">
        <f>IFERROR(__xludf.DUMMYFUNCTION("""COMPUTED_VALUE"""),"wonders")</f>
        <v>wonders</v>
      </c>
      <c r="I1526" s="6"/>
      <c r="J1526" s="6" t="str">
        <f>IFERROR(__xludf.DUMMYFUNCTION("""COMPUTED_VALUE"""),"backstage")</f>
        <v>backstage</v>
      </c>
      <c r="M1526" s="6"/>
      <c r="P1526" s="6" t="str">
        <f>IFERROR(__xludf.DUMMYFUNCTION("""COMPUTED_VALUE"""),"experimental")</f>
        <v>experimental</v>
      </c>
      <c r="Q1526" s="6" t="str">
        <f>IFERROR(__xludf.DUMMYFUNCTION("""COMPUTED_VALUE"""),"jonah")</f>
        <v>jonah</v>
      </c>
      <c r="S1526" s="6" t="str">
        <f>IFERROR(__xludf.DUMMYFUNCTION("""COMPUTED_VALUE"""),"principles")</f>
        <v>principles</v>
      </c>
    </row>
    <row r="1527">
      <c r="D1527" s="6"/>
      <c r="H1527" s="6" t="str">
        <f>IFERROR(__xludf.DUMMYFUNCTION("""COMPUTED_VALUE"""),"emphasizes")</f>
        <v>emphasizes</v>
      </c>
      <c r="I1527" s="6"/>
      <c r="J1527" s="6" t="str">
        <f>IFERROR(__xludf.DUMMYFUNCTION("""COMPUTED_VALUE"""),"pivotal")</f>
        <v>pivotal</v>
      </c>
      <c r="M1527" s="6"/>
      <c r="P1527" s="6" t="str">
        <f>IFERROR(__xludf.DUMMYFUNCTION("""COMPUTED_VALUE"""),"pan")</f>
        <v>pan</v>
      </c>
      <c r="Q1527" s="6" t="str">
        <f>IFERROR(__xludf.DUMMYFUNCTION("""COMPUTED_VALUE"""),"pronounced")</f>
        <v>pronounced</v>
      </c>
      <c r="S1527" s="6">
        <f>IFERROR(__xludf.DUMMYFUNCTION("""COMPUTED_VALUE"""),1938.0)</f>
        <v>1938</v>
      </c>
    </row>
    <row r="1528">
      <c r="D1528" s="6"/>
      <c r="H1528" s="6" t="str">
        <f>IFERROR(__xludf.DUMMYFUNCTION("""COMPUTED_VALUE"""),"conception")</f>
        <v>conception</v>
      </c>
      <c r="I1528" s="6"/>
      <c r="J1528" s="6" t="str">
        <f>IFERROR(__xludf.DUMMYFUNCTION("""COMPUTED_VALUE"""),"comparisons")</f>
        <v>comparisons</v>
      </c>
      <c r="M1528" s="6"/>
      <c r="P1528" s="6" t="str">
        <f>IFERROR(__xludf.DUMMYFUNCTION("""COMPUTED_VALUE"""),"reaches")</f>
        <v>reaches</v>
      </c>
      <c r="Q1528" s="6" t="str">
        <f>IFERROR(__xludf.DUMMYFUNCTION("""COMPUTED_VALUE"""),"freud")</f>
        <v>freud</v>
      </c>
      <c r="S1528" s="6" t="str">
        <f>IFERROR(__xludf.DUMMYFUNCTION("""COMPUTED_VALUE"""),"lying")</f>
        <v>lying</v>
      </c>
    </row>
    <row r="1529">
      <c r="D1529" s="6"/>
      <c r="H1529" s="6" t="str">
        <f>IFERROR(__xludf.DUMMYFUNCTION("""COMPUTED_VALUE"""),"evelyn")</f>
        <v>evelyn</v>
      </c>
      <c r="I1529" s="6"/>
      <c r="J1529" s="6" t="str">
        <f>IFERROR(__xludf.DUMMYFUNCTION("""COMPUTED_VALUE"""),"followers")</f>
        <v>followers</v>
      </c>
      <c r="M1529" s="6"/>
      <c r="P1529" s="6" t="str">
        <f>IFERROR(__xludf.DUMMYFUNCTION("""COMPUTED_VALUE"""),"crisis")</f>
        <v>crisis</v>
      </c>
      <c r="Q1529" s="6" t="str">
        <f>IFERROR(__xludf.DUMMYFUNCTION("""COMPUTED_VALUE"""),"shining")</f>
        <v>shining</v>
      </c>
      <c r="S1529" s="6" t="str">
        <f>IFERROR(__xludf.DUMMYFUNCTION("""COMPUTED_VALUE"""),"nicolas")</f>
        <v>nicolas</v>
      </c>
    </row>
    <row r="1530">
      <c r="D1530" s="6"/>
      <c r="H1530" s="6" t="str">
        <f>IFERROR(__xludf.DUMMYFUNCTION("""COMPUTED_VALUE"""),"embrace")</f>
        <v>embrace</v>
      </c>
      <c r="I1530" s="6"/>
      <c r="J1530" s="6" t="str">
        <f>IFERROR(__xludf.DUMMYFUNCTION("""COMPUTED_VALUE"""),"stark")</f>
        <v>stark</v>
      </c>
      <c r="M1530" s="6"/>
      <c r="P1530" s="6" t="str">
        <f>IFERROR(__xludf.DUMMYFUNCTION("""COMPUTED_VALUE"""),"sullivan")</f>
        <v>sullivan</v>
      </c>
      <c r="Q1530" s="6" t="str">
        <f>IFERROR(__xludf.DUMMYFUNCTION("""COMPUTED_VALUE"""),"mendes")</f>
        <v>mendes</v>
      </c>
      <c r="S1530" s="6" t="str">
        <f>IFERROR(__xludf.DUMMYFUNCTION("""COMPUTED_VALUE"""),"phenomenon")</f>
        <v>phenomenon</v>
      </c>
    </row>
    <row r="1531">
      <c r="D1531" s="6"/>
      <c r="H1531" s="6" t="str">
        <f>IFERROR(__xludf.DUMMYFUNCTION("""COMPUTED_VALUE"""),"sonny")</f>
        <v>sonny</v>
      </c>
      <c r="I1531" s="6"/>
      <c r="J1531" s="6" t="str">
        <f>IFERROR(__xludf.DUMMYFUNCTION("""COMPUTED_VALUE"""),"bodily")</f>
        <v>bodily</v>
      </c>
      <c r="M1531" s="6"/>
      <c r="P1531" s="6" t="str">
        <f>IFERROR(__xludf.DUMMYFUNCTION("""COMPUTED_VALUE"""),"servants")</f>
        <v>servants</v>
      </c>
      <c r="Q1531" s="6" t="str">
        <f>IFERROR(__xludf.DUMMYFUNCTION("""COMPUTED_VALUE"""),"photographed")</f>
        <v>photographed</v>
      </c>
      <c r="S1531" s="6" t="str">
        <f>IFERROR(__xludf.DUMMYFUNCTION("""COMPUTED_VALUE"""),"eventually")</f>
        <v>eventually</v>
      </c>
    </row>
    <row r="1532">
      <c r="D1532" s="6"/>
      <c r="H1532" s="6" t="str">
        <f>IFERROR(__xludf.DUMMYFUNCTION("""COMPUTED_VALUE"""),"delicately")</f>
        <v>delicately</v>
      </c>
      <c r="I1532" s="6"/>
      <c r="J1532" s="6" t="str">
        <f>IFERROR(__xludf.DUMMYFUNCTION("""COMPUTED_VALUE"""),"proving")</f>
        <v>proving</v>
      </c>
      <c r="M1532" s="6"/>
      <c r="P1532" s="6">
        <f>IFERROR(__xludf.DUMMYFUNCTION("""COMPUTED_VALUE"""),1933.0)</f>
        <v>1933</v>
      </c>
      <c r="Q1532" s="6" t="str">
        <f>IFERROR(__xludf.DUMMYFUNCTION("""COMPUTED_VALUE"""),"unprecedented")</f>
        <v>unprecedented</v>
      </c>
      <c r="S1532" s="6" t="str">
        <f>IFERROR(__xludf.DUMMYFUNCTION("""COMPUTED_VALUE"""),"content")</f>
        <v>content</v>
      </c>
    </row>
    <row r="1533">
      <c r="D1533" s="6"/>
      <c r="H1533" s="6" t="str">
        <f>IFERROR(__xludf.DUMMYFUNCTION("""COMPUTED_VALUE"""),"media")</f>
        <v>media</v>
      </c>
      <c r="I1533" s="6"/>
      <c r="J1533" s="6" t="str">
        <f>IFERROR(__xludf.DUMMYFUNCTION("""COMPUTED_VALUE"""),"fling")</f>
        <v>fling</v>
      </c>
      <c r="M1533" s="6"/>
      <c r="P1533" s="6" t="str">
        <f>IFERROR(__xludf.DUMMYFUNCTION("""COMPUTED_VALUE"""),"error")</f>
        <v>error</v>
      </c>
      <c r="Q1533" s="6" t="str">
        <f>IFERROR(__xludf.DUMMYFUNCTION("""COMPUTED_VALUE"""),"drawing")</f>
        <v>drawing</v>
      </c>
      <c r="S1533" s="6" t="str">
        <f>IFERROR(__xludf.DUMMYFUNCTION("""COMPUTED_VALUE"""),"diary")</f>
        <v>diary</v>
      </c>
    </row>
    <row r="1534">
      <c r="D1534" s="6"/>
      <c r="H1534" s="6" t="str">
        <f>IFERROR(__xludf.DUMMYFUNCTION("""COMPUTED_VALUE"""),"memoir")</f>
        <v>memoir</v>
      </c>
      <c r="I1534" s="6"/>
      <c r="J1534" s="6" t="str">
        <f>IFERROR(__xludf.DUMMYFUNCTION("""COMPUTED_VALUE"""),"fleeting")</f>
        <v>fleeting</v>
      </c>
      <c r="M1534" s="6"/>
      <c r="P1534" s="6" t="str">
        <f>IFERROR(__xludf.DUMMYFUNCTION("""COMPUTED_VALUE"""),"collaboration")</f>
        <v>collaboration</v>
      </c>
      <c r="Q1534" s="6" t="str">
        <f>IFERROR(__xludf.DUMMYFUNCTION("""COMPUTED_VALUE"""),"arbitrary")</f>
        <v>arbitrary</v>
      </c>
      <c r="S1534" s="6" t="str">
        <f>IFERROR(__xludf.DUMMYFUNCTION("""COMPUTED_VALUE"""),"six")</f>
        <v>six</v>
      </c>
    </row>
    <row r="1535">
      <c r="D1535" s="6"/>
      <c r="H1535" s="6" t="str">
        <f>IFERROR(__xludf.DUMMYFUNCTION("""COMPUTED_VALUE"""),"sublime")</f>
        <v>sublime</v>
      </c>
      <c r="I1535" s="6"/>
      <c r="J1535" s="6" t="str">
        <f>IFERROR(__xludf.DUMMYFUNCTION("""COMPUTED_VALUE"""),"thrust")</f>
        <v>thrust</v>
      </c>
      <c r="M1535" s="6"/>
      <c r="P1535" s="6" t="str">
        <f>IFERROR(__xludf.DUMMYFUNCTION("""COMPUTED_VALUE"""),"notably")</f>
        <v>notably</v>
      </c>
      <c r="Q1535" s="6" t="str">
        <f>IFERROR(__xludf.DUMMYFUNCTION("""COMPUTED_VALUE"""),"labeled")</f>
        <v>labeled</v>
      </c>
      <c r="S1535" s="6" t="str">
        <f>IFERROR(__xludf.DUMMYFUNCTION("""COMPUTED_VALUE"""),"key")</f>
        <v>key</v>
      </c>
    </row>
    <row r="1536">
      <c r="D1536" s="6"/>
      <c r="H1536" s="6" t="str">
        <f>IFERROR(__xludf.DUMMYFUNCTION("""COMPUTED_VALUE"""),"scarcely")</f>
        <v>scarcely</v>
      </c>
      <c r="I1536" s="6"/>
      <c r="J1536" s="6" t="str">
        <f>IFERROR(__xludf.DUMMYFUNCTION("""COMPUTED_VALUE"""),"substantive")</f>
        <v>substantive</v>
      </c>
      <c r="M1536" s="6"/>
      <c r="P1536" s="6" t="str">
        <f>IFERROR(__xludf.DUMMYFUNCTION("""COMPUTED_VALUE"""),"sustained")</f>
        <v>sustained</v>
      </c>
      <c r="Q1536" s="6" t="str">
        <f>IFERROR(__xludf.DUMMYFUNCTION("""COMPUTED_VALUE"""),"darkly")</f>
        <v>darkly</v>
      </c>
      <c r="S1536" s="6" t="str">
        <f>IFERROR(__xludf.DUMMYFUNCTION("""COMPUTED_VALUE"""),"sessions")</f>
        <v>sessions</v>
      </c>
    </row>
    <row r="1537">
      <c r="D1537" s="6"/>
      <c r="H1537" s="6" t="str">
        <f>IFERROR(__xludf.DUMMYFUNCTION("""COMPUTED_VALUE"""),"expressive")</f>
        <v>expressive</v>
      </c>
      <c r="I1537" s="6"/>
      <c r="J1537" s="6" t="str">
        <f>IFERROR(__xludf.DUMMYFUNCTION("""COMPUTED_VALUE"""),"teeth")</f>
        <v>teeth</v>
      </c>
      <c r="M1537" s="6"/>
      <c r="P1537" s="6" t="str">
        <f>IFERROR(__xludf.DUMMYFUNCTION("""COMPUTED_VALUE"""),"electoral")</f>
        <v>electoral</v>
      </c>
      <c r="Q1537" s="6" t="str">
        <f>IFERROR(__xludf.DUMMYFUNCTION("""COMPUTED_VALUE"""),"realm")</f>
        <v>realm</v>
      </c>
      <c r="S1537" s="6" t="str">
        <f>IFERROR(__xludf.DUMMYFUNCTION("""COMPUTED_VALUE"""),"serial")</f>
        <v>serial</v>
      </c>
    </row>
    <row r="1538">
      <c r="D1538" s="6"/>
      <c r="H1538" s="6" t="str">
        <f>IFERROR(__xludf.DUMMYFUNCTION("""COMPUTED_VALUE"""),"provoked")</f>
        <v>provoked</v>
      </c>
      <c r="I1538" s="6"/>
      <c r="J1538" s="6" t="str">
        <f>IFERROR(__xludf.DUMMYFUNCTION("""COMPUTED_VALUE"""),"binary")</f>
        <v>binary</v>
      </c>
      <c r="M1538" s="6"/>
      <c r="P1538" s="6" t="str">
        <f>IFERROR(__xludf.DUMMYFUNCTION("""COMPUTED_VALUE"""),"instrument")</f>
        <v>instrument</v>
      </c>
      <c r="Q1538" s="6" t="str">
        <f>IFERROR(__xludf.DUMMYFUNCTION("""COMPUTED_VALUE"""),"fencing")</f>
        <v>fencing</v>
      </c>
      <c r="S1538" s="6" t="str">
        <f>IFERROR(__xludf.DUMMYFUNCTION("""COMPUTED_VALUE"""),"murders")</f>
        <v>murders</v>
      </c>
    </row>
    <row r="1539">
      <c r="D1539" s="6"/>
      <c r="H1539" s="6" t="str">
        <f>IFERROR(__xludf.DUMMYFUNCTION("""COMPUTED_VALUE"""),"tenor")</f>
        <v>tenor</v>
      </c>
      <c r="I1539" s="6"/>
      <c r="J1539" s="6" t="str">
        <f>IFERROR(__xludf.DUMMYFUNCTION("""COMPUTED_VALUE"""),"goldman")</f>
        <v>goldman</v>
      </c>
      <c r="M1539" s="6"/>
      <c r="P1539" s="6" t="str">
        <f>IFERROR(__xludf.DUMMYFUNCTION("""COMPUTED_VALUE"""),"reportedly")</f>
        <v>reportedly</v>
      </c>
      <c r="Q1539" s="6" t="str">
        <f>IFERROR(__xludf.DUMMYFUNCTION("""COMPUTED_VALUE"""),"accurate")</f>
        <v>accurate</v>
      </c>
      <c r="S1539" s="6" t="str">
        <f>IFERROR(__xludf.DUMMYFUNCTION("""COMPUTED_VALUE"""),"embrace")</f>
        <v>embrace</v>
      </c>
    </row>
    <row r="1540">
      <c r="D1540" s="6"/>
      <c r="H1540" s="6" t="str">
        <f>IFERROR(__xludf.DUMMYFUNCTION("""COMPUTED_VALUE"""),"mourning")</f>
        <v>mourning</v>
      </c>
      <c r="I1540" s="6"/>
      <c r="J1540" s="6" t="str">
        <f>IFERROR(__xludf.DUMMYFUNCTION("""COMPUTED_VALUE"""),"shapiro")</f>
        <v>shapiro</v>
      </c>
      <c r="M1540" s="6"/>
      <c r="P1540" s="6" t="str">
        <f>IFERROR(__xludf.DUMMYFUNCTION("""COMPUTED_VALUE"""),"dimensional")</f>
        <v>dimensional</v>
      </c>
      <c r="Q1540" s="6" t="str">
        <f>IFERROR(__xludf.DUMMYFUNCTION("""COMPUTED_VALUE"""),"relevance")</f>
        <v>relevance</v>
      </c>
      <c r="S1540" s="6" t="str">
        <f>IFERROR(__xludf.DUMMYFUNCTION("""COMPUTED_VALUE"""),"station")</f>
        <v>station</v>
      </c>
    </row>
    <row r="1541">
      <c r="D1541" s="6"/>
      <c r="H1541" s="6" t="str">
        <f>IFERROR(__xludf.DUMMYFUNCTION("""COMPUTED_VALUE"""),"adultery")</f>
        <v>adultery</v>
      </c>
      <c r="I1541" s="6"/>
      <c r="J1541" s="6" t="str">
        <f>IFERROR(__xludf.DUMMYFUNCTION("""COMPUTED_VALUE"""),"participants")</f>
        <v>participants</v>
      </c>
      <c r="M1541" s="6"/>
      <c r="P1541" s="6" t="str">
        <f>IFERROR(__xludf.DUMMYFUNCTION("""COMPUTED_VALUE"""),"byzantine")</f>
        <v>byzantine</v>
      </c>
      <c r="Q1541" s="6" t="str">
        <f>IFERROR(__xludf.DUMMYFUNCTION("""COMPUTED_VALUE"""),"texture")</f>
        <v>texture</v>
      </c>
      <c r="S1541" s="6" t="str">
        <f>IFERROR(__xludf.DUMMYFUNCTION("""COMPUTED_VALUE"""),"hearing")</f>
        <v>hearing</v>
      </c>
    </row>
    <row r="1542">
      <c r="D1542" s="6"/>
      <c r="H1542" s="6" t="str">
        <f>IFERROR(__xludf.DUMMYFUNCTION("""COMPUTED_VALUE"""),"rampant")</f>
        <v>rampant</v>
      </c>
      <c r="I1542" s="6"/>
      <c r="J1542" s="6" t="str">
        <f>IFERROR(__xludf.DUMMYFUNCTION("""COMPUTED_VALUE"""),"franklin")</f>
        <v>franklin</v>
      </c>
      <c r="M1542" s="6"/>
      <c r="P1542" s="6" t="str">
        <f>IFERROR(__xludf.DUMMYFUNCTION("""COMPUTED_VALUE"""),"stability")</f>
        <v>stability</v>
      </c>
      <c r="Q1542" s="6" t="str">
        <f>IFERROR(__xludf.DUMMYFUNCTION("""COMPUTED_VALUE"""),"wilson")</f>
        <v>wilson</v>
      </c>
      <c r="S1542" s="6" t="str">
        <f>IFERROR(__xludf.DUMMYFUNCTION("""COMPUTED_VALUE"""),"forum")</f>
        <v>forum</v>
      </c>
    </row>
    <row r="1543">
      <c r="D1543" s="6"/>
      <c r="H1543" s="6" t="str">
        <f>IFERROR(__xludf.DUMMYFUNCTION("""COMPUTED_VALUE"""),"kingsley")</f>
        <v>kingsley</v>
      </c>
      <c r="I1543" s="6"/>
      <c r="J1543" s="6" t="str">
        <f>IFERROR(__xludf.DUMMYFUNCTION("""COMPUTED_VALUE"""),"carl")</f>
        <v>carl</v>
      </c>
      <c r="M1543" s="6"/>
      <c r="P1543" s="6" t="str">
        <f>IFERROR(__xludf.DUMMYFUNCTION("""COMPUTED_VALUE"""),"pc")</f>
        <v>pc</v>
      </c>
      <c r="Q1543" s="6" t="str">
        <f>IFERROR(__xludf.DUMMYFUNCTION("""COMPUTED_VALUE"""),"pink")</f>
        <v>pink</v>
      </c>
      <c r="S1543" s="6" t="str">
        <f>IFERROR(__xludf.DUMMYFUNCTION("""COMPUTED_VALUE"""),"basis")</f>
        <v>basis</v>
      </c>
    </row>
    <row r="1544">
      <c r="D1544" s="6"/>
      <c r="H1544" s="6" t="str">
        <f>IFERROR(__xludf.DUMMYFUNCTION("""COMPUTED_VALUE"""),"modeled")</f>
        <v>modeled</v>
      </c>
      <c r="I1544" s="6"/>
      <c r="J1544" s="6" t="str">
        <f>IFERROR(__xludf.DUMMYFUNCTION("""COMPUTED_VALUE"""),"relic")</f>
        <v>relic</v>
      </c>
      <c r="M1544" s="6"/>
      <c r="P1544" s="6" t="str">
        <f>IFERROR(__xludf.DUMMYFUNCTION("""COMPUTED_VALUE"""),"percussion")</f>
        <v>percussion</v>
      </c>
      <c r="Q1544" s="6" t="str">
        <f>IFERROR(__xludf.DUMMYFUNCTION("""COMPUTED_VALUE"""),"derived")</f>
        <v>derived</v>
      </c>
      <c r="S1544" s="6" t="str">
        <f>IFERROR(__xludf.DUMMYFUNCTION("""COMPUTED_VALUE"""),"cure")</f>
        <v>cure</v>
      </c>
    </row>
    <row r="1545">
      <c r="D1545" s="6"/>
      <c r="H1545" s="6" t="str">
        <f>IFERROR(__xludf.DUMMYFUNCTION("""COMPUTED_VALUE"""),"successor")</f>
        <v>successor</v>
      </c>
      <c r="I1545" s="6"/>
      <c r="J1545" s="6" t="str">
        <f>IFERROR(__xludf.DUMMYFUNCTION("""COMPUTED_VALUE"""),"turks")</f>
        <v>turks</v>
      </c>
      <c r="M1545" s="6"/>
      <c r="P1545" s="6" t="str">
        <f>IFERROR(__xludf.DUMMYFUNCTION("""COMPUTED_VALUE"""),"ninth")</f>
        <v>ninth</v>
      </c>
      <c r="Q1545" s="6" t="str">
        <f>IFERROR(__xludf.DUMMYFUNCTION("""COMPUTED_VALUE"""),"tormented")</f>
        <v>tormented</v>
      </c>
      <c r="S1545" s="6" t="str">
        <f>IFERROR(__xludf.DUMMYFUNCTION("""COMPUTED_VALUE"""),"tenor")</f>
        <v>tenor</v>
      </c>
    </row>
    <row r="1546">
      <c r="D1546" s="6"/>
      <c r="H1546" s="6" t="str">
        <f>IFERROR(__xludf.DUMMYFUNCTION("""COMPUTED_VALUE"""),"rewards")</f>
        <v>rewards</v>
      </c>
      <c r="I1546" s="6"/>
      <c r="J1546" s="6" t="str">
        <f>IFERROR(__xludf.DUMMYFUNCTION("""COMPUTED_VALUE"""),"sap")</f>
        <v>sap</v>
      </c>
      <c r="M1546" s="6"/>
      <c r="P1546" s="6" t="str">
        <f>IFERROR(__xludf.DUMMYFUNCTION("""COMPUTED_VALUE"""),"map")</f>
        <v>map</v>
      </c>
      <c r="Q1546" s="6" t="str">
        <f>IFERROR(__xludf.DUMMYFUNCTION("""COMPUTED_VALUE"""),"victims")</f>
        <v>victims</v>
      </c>
      <c r="S1546" s="6" t="str">
        <f>IFERROR(__xludf.DUMMYFUNCTION("""COMPUTED_VALUE"""),"molly")</f>
        <v>molly</v>
      </c>
    </row>
    <row r="1547">
      <c r="D1547" s="6"/>
      <c r="H1547" s="6" t="str">
        <f>IFERROR(__xludf.DUMMYFUNCTION("""COMPUTED_VALUE"""),"shear")</f>
        <v>shear</v>
      </c>
      <c r="I1547" s="6"/>
      <c r="J1547" s="6" t="str">
        <f>IFERROR(__xludf.DUMMYFUNCTION("""COMPUTED_VALUE"""),"dad")</f>
        <v>dad</v>
      </c>
      <c r="M1547" s="6"/>
      <c r="P1547" s="6" t="str">
        <f>IFERROR(__xludf.DUMMYFUNCTION("""COMPUTED_VALUE"""),"torn")</f>
        <v>torn</v>
      </c>
      <c r="Q1547" s="6" t="str">
        <f>IFERROR(__xludf.DUMMYFUNCTION("""COMPUTED_VALUE"""),"proceedings")</f>
        <v>proceedings</v>
      </c>
      <c r="S1547" s="6" t="str">
        <f>IFERROR(__xludf.DUMMYFUNCTION("""COMPUTED_VALUE"""),"successor")</f>
        <v>successor</v>
      </c>
    </row>
    <row r="1548">
      <c r="D1548" s="6"/>
      <c r="H1548" s="6" t="str">
        <f>IFERROR(__xludf.DUMMYFUNCTION("""COMPUTED_VALUE"""),"hack")</f>
        <v>hack</v>
      </c>
      <c r="I1548" s="6"/>
      <c r="J1548" s="6" t="str">
        <f>IFERROR(__xludf.DUMMYFUNCTION("""COMPUTED_VALUE"""),"vain")</f>
        <v>vain</v>
      </c>
      <c r="M1548" s="6"/>
      <c r="P1548" s="6" t="str">
        <f>IFERROR(__xludf.DUMMYFUNCTION("""COMPUTED_VALUE"""),"monday")</f>
        <v>monday</v>
      </c>
      <c r="Q1548" s="6" t="str">
        <f>IFERROR(__xludf.DUMMYFUNCTION("""COMPUTED_VALUE"""),"solemn")</f>
        <v>solemn</v>
      </c>
      <c r="S1548" s="6" t="str">
        <f>IFERROR(__xludf.DUMMYFUNCTION("""COMPUTED_VALUE"""),"chest")</f>
        <v>chest</v>
      </c>
    </row>
    <row r="1549">
      <c r="D1549" s="6"/>
      <c r="H1549" s="6" t="str">
        <f>IFERROR(__xludf.DUMMYFUNCTION("""COMPUTED_VALUE"""),"volatile")</f>
        <v>volatile</v>
      </c>
      <c r="I1549" s="6"/>
      <c r="J1549" s="6" t="str">
        <f>IFERROR(__xludf.DUMMYFUNCTION("""COMPUTED_VALUE"""),"zhang")</f>
        <v>zhang</v>
      </c>
      <c r="M1549" s="6"/>
      <c r="P1549" s="6" t="str">
        <f>IFERROR(__xludf.DUMMYFUNCTION("""COMPUTED_VALUE"""),"prisoners")</f>
        <v>prisoners</v>
      </c>
      <c r="Q1549" s="6" t="str">
        <f>IFERROR(__xludf.DUMMYFUNCTION("""COMPUTED_VALUE"""),"anchor")</f>
        <v>anchor</v>
      </c>
      <c r="S1549" s="6" t="str">
        <f>IFERROR(__xludf.DUMMYFUNCTION("""COMPUTED_VALUE"""),"kitchen")</f>
        <v>kitchen</v>
      </c>
    </row>
    <row r="1550">
      <c r="D1550" s="6"/>
      <c r="H1550" s="6" t="str">
        <f>IFERROR(__xludf.DUMMYFUNCTION("""COMPUTED_VALUE"""),"indefinitely")</f>
        <v>indefinitely</v>
      </c>
      <c r="I1550" s="6"/>
      <c r="J1550" s="6" t="str">
        <f>IFERROR(__xludf.DUMMYFUNCTION("""COMPUTED_VALUE"""),"knockout")</f>
        <v>knockout</v>
      </c>
      <c r="M1550" s="6"/>
      <c r="P1550" s="6" t="str">
        <f>IFERROR(__xludf.DUMMYFUNCTION("""COMPUTED_VALUE"""),"founders")</f>
        <v>founders</v>
      </c>
      <c r="Q1550" s="6" t="str">
        <f>IFERROR(__xludf.DUMMYFUNCTION("""COMPUTED_VALUE"""),"audrey")</f>
        <v>audrey</v>
      </c>
      <c r="S1550" s="6" t="str">
        <f>IFERROR(__xludf.DUMMYFUNCTION("""COMPUTED_VALUE"""),"bow")</f>
        <v>bow</v>
      </c>
    </row>
    <row r="1551">
      <c r="D1551" s="6"/>
      <c r="H1551" s="6" t="str">
        <f>IFERROR(__xludf.DUMMYFUNCTION("""COMPUTED_VALUE"""),"resolutions")</f>
        <v>resolutions</v>
      </c>
      <c r="I1551" s="6"/>
      <c r="J1551" s="6" t="str">
        <f>IFERROR(__xludf.DUMMYFUNCTION("""COMPUTED_VALUE"""),"wryly")</f>
        <v>wryly</v>
      </c>
      <c r="M1551" s="6"/>
      <c r="P1551" s="6">
        <f>IFERROR(__xludf.DUMMYFUNCTION("""COMPUTED_VALUE"""),1975.0)</f>
        <v>1975</v>
      </c>
      <c r="Q1551" s="6" t="str">
        <f>IFERROR(__xludf.DUMMYFUNCTION("""COMPUTED_VALUE"""),"soldiers")</f>
        <v>soldiers</v>
      </c>
      <c r="S1551" s="6" t="str">
        <f>IFERROR(__xludf.DUMMYFUNCTION("""COMPUTED_VALUE"""),"rap")</f>
        <v>rap</v>
      </c>
    </row>
    <row r="1552">
      <c r="D1552" s="6"/>
      <c r="H1552" s="6" t="str">
        <f>IFERROR(__xludf.DUMMYFUNCTION("""COMPUTED_VALUE"""),"haynes")</f>
        <v>haynes</v>
      </c>
      <c r="I1552" s="6"/>
      <c r="J1552" s="6" t="str">
        <f>IFERROR(__xludf.DUMMYFUNCTION("""COMPUTED_VALUE"""),"fable")</f>
        <v>fable</v>
      </c>
      <c r="M1552" s="6"/>
      <c r="P1552" s="6" t="str">
        <f>IFERROR(__xludf.DUMMYFUNCTION("""COMPUTED_VALUE"""),"derek")</f>
        <v>derek</v>
      </c>
      <c r="Q1552" s="6" t="str">
        <f>IFERROR(__xludf.DUMMYFUNCTION("""COMPUTED_VALUE"""),"lawrence")</f>
        <v>lawrence</v>
      </c>
      <c r="S1552" s="6" t="str">
        <f>IFERROR(__xludf.DUMMYFUNCTION("""COMPUTED_VALUE"""),"repeatedly")</f>
        <v>repeatedly</v>
      </c>
    </row>
    <row r="1553">
      <c r="D1553" s="6"/>
      <c r="H1553" s="6" t="str">
        <f>IFERROR(__xludf.DUMMYFUNCTION("""COMPUTED_VALUE"""),"rhetoric")</f>
        <v>rhetoric</v>
      </c>
      <c r="I1553" s="6"/>
      <c r="J1553" s="6" t="str">
        <f>IFERROR(__xludf.DUMMYFUNCTION("""COMPUTED_VALUE"""),"undertaken")</f>
        <v>undertaken</v>
      </c>
      <c r="M1553" s="6"/>
      <c r="P1553" s="6" t="str">
        <f>IFERROR(__xludf.DUMMYFUNCTION("""COMPUTED_VALUE"""),"sources")</f>
        <v>sources</v>
      </c>
      <c r="Q1553" s="6" t="str">
        <f>IFERROR(__xludf.DUMMYFUNCTION("""COMPUTED_VALUE"""),"textbook")</f>
        <v>textbook</v>
      </c>
      <c r="S1553" s="6" t="str">
        <f>IFERROR(__xludf.DUMMYFUNCTION("""COMPUTED_VALUE"""),"stopped")</f>
        <v>stopped</v>
      </c>
    </row>
    <row r="1554">
      <c r="D1554" s="6"/>
      <c r="H1554" s="6" t="str">
        <f>IFERROR(__xludf.DUMMYFUNCTION("""COMPUTED_VALUE"""),"wartime")</f>
        <v>wartime</v>
      </c>
      <c r="I1554" s="6"/>
      <c r="J1554" s="6" t="str">
        <f>IFERROR(__xludf.DUMMYFUNCTION("""COMPUTED_VALUE"""),"determination")</f>
        <v>determination</v>
      </c>
      <c r="M1554" s="6"/>
      <c r="P1554" s="6" t="str">
        <f>IFERROR(__xludf.DUMMYFUNCTION("""COMPUTED_VALUE"""),"mentioned")</f>
        <v>mentioned</v>
      </c>
      <c r="Q1554" s="6" t="str">
        <f>IFERROR(__xludf.DUMMYFUNCTION("""COMPUTED_VALUE"""),"loosely")</f>
        <v>loosely</v>
      </c>
      <c r="S1554" s="6" t="str">
        <f>IFERROR(__xludf.DUMMYFUNCTION("""COMPUTED_VALUE"""),"egypt")</f>
        <v>egypt</v>
      </c>
    </row>
    <row r="1555">
      <c r="D1555" s="6"/>
      <c r="H1555" s="6" t="str">
        <f>IFERROR(__xludf.DUMMYFUNCTION("""COMPUTED_VALUE"""),"downward")</f>
        <v>downward</v>
      </c>
      <c r="I1555" s="6"/>
      <c r="J1555" s="6" t="str">
        <f>IFERROR(__xludf.DUMMYFUNCTION("""COMPUTED_VALUE"""),"surrounding")</f>
        <v>surrounding</v>
      </c>
      <c r="M1555" s="6"/>
      <c r="P1555" s="6">
        <f>IFERROR(__xludf.DUMMYFUNCTION("""COMPUTED_VALUE"""),1973.0)</f>
        <v>1973</v>
      </c>
      <c r="Q1555" s="6" t="str">
        <f>IFERROR(__xludf.DUMMYFUNCTION("""COMPUTED_VALUE"""),"operatic")</f>
        <v>operatic</v>
      </c>
      <c r="S1555" s="6" t="str">
        <f>IFERROR(__xludf.DUMMYFUNCTION("""COMPUTED_VALUE"""),"twenty")</f>
        <v>twenty</v>
      </c>
    </row>
    <row r="1556">
      <c r="D1556" s="6"/>
      <c r="H1556" s="6" t="str">
        <f>IFERROR(__xludf.DUMMYFUNCTION("""COMPUTED_VALUE"""),"inclination")</f>
        <v>inclination</v>
      </c>
      <c r="I1556" s="6"/>
      <c r="J1556" s="6" t="str">
        <f>IFERROR(__xludf.DUMMYFUNCTION("""COMPUTED_VALUE"""),"scientists")</f>
        <v>scientists</v>
      </c>
      <c r="M1556" s="6"/>
      <c r="P1556" s="6" t="str">
        <f>IFERROR(__xludf.DUMMYFUNCTION("""COMPUTED_VALUE"""),"negative")</f>
        <v>negative</v>
      </c>
      <c r="Q1556" s="6" t="str">
        <f>IFERROR(__xludf.DUMMYFUNCTION("""COMPUTED_VALUE"""),"limbs")</f>
        <v>limbs</v>
      </c>
      <c r="S1556" s="6" t="str">
        <f>IFERROR(__xludf.DUMMYFUNCTION("""COMPUTED_VALUE"""),"entry")</f>
        <v>entry</v>
      </c>
    </row>
    <row r="1557">
      <c r="D1557" s="6"/>
      <c r="H1557" s="6" t="str">
        <f>IFERROR(__xludf.DUMMYFUNCTION("""COMPUTED_VALUE"""),"hannibal")</f>
        <v>hannibal</v>
      </c>
      <c r="I1557" s="6"/>
      <c r="J1557" s="6" t="str">
        <f>IFERROR(__xludf.DUMMYFUNCTION("""COMPUTED_VALUE"""),"craftsmen")</f>
        <v>craftsmen</v>
      </c>
      <c r="M1557" s="6"/>
      <c r="P1557" s="6" t="str">
        <f>IFERROR(__xludf.DUMMYFUNCTION("""COMPUTED_VALUE"""),"grave")</f>
        <v>grave</v>
      </c>
      <c r="Q1557" s="6" t="str">
        <f>IFERROR(__xludf.DUMMYFUNCTION("""COMPUTED_VALUE"""),"disbelief")</f>
        <v>disbelief</v>
      </c>
      <c r="S1557" s="6" t="str">
        <f>IFERROR(__xludf.DUMMYFUNCTION("""COMPUTED_VALUE"""),"pants")</f>
        <v>pants</v>
      </c>
    </row>
    <row r="1558">
      <c r="D1558" s="6"/>
      <c r="H1558" s="6" t="str">
        <f>IFERROR(__xludf.DUMMYFUNCTION("""COMPUTED_VALUE"""),"terrified")</f>
        <v>terrified</v>
      </c>
      <c r="I1558" s="6"/>
      <c r="J1558" s="6" t="str">
        <f>IFERROR(__xludf.DUMMYFUNCTION("""COMPUTED_VALUE"""),"acclaimed")</f>
        <v>acclaimed</v>
      </c>
      <c r="M1558" s="6"/>
      <c r="P1558" s="6" t="str">
        <f>IFERROR(__xludf.DUMMYFUNCTION("""COMPUTED_VALUE"""),"jaw")</f>
        <v>jaw</v>
      </c>
      <c r="Q1558" s="6" t="str">
        <f>IFERROR(__xludf.DUMMYFUNCTION("""COMPUTED_VALUE"""),"suspend")</f>
        <v>suspend</v>
      </c>
      <c r="S1558" s="6" t="str">
        <f>IFERROR(__xludf.DUMMYFUNCTION("""COMPUTED_VALUE"""),"harrison")</f>
        <v>harrison</v>
      </c>
    </row>
    <row r="1559">
      <c r="D1559" s="6"/>
      <c r="H1559" s="6" t="str">
        <f>IFERROR(__xludf.DUMMYFUNCTION("""COMPUTED_VALUE"""),"whimper")</f>
        <v>whimper</v>
      </c>
      <c r="I1559" s="6"/>
      <c r="J1559" s="6">
        <f>IFERROR(__xludf.DUMMYFUNCTION("""COMPUTED_VALUE"""),1952.0)</f>
        <v>1952</v>
      </c>
      <c r="M1559" s="6"/>
      <c r="P1559" s="6" t="str">
        <f>IFERROR(__xludf.DUMMYFUNCTION("""COMPUTED_VALUE"""),"dear")</f>
        <v>dear</v>
      </c>
      <c r="Q1559" s="6" t="str">
        <f>IFERROR(__xludf.DUMMYFUNCTION("""COMPUTED_VALUE"""),"traditions")</f>
        <v>traditions</v>
      </c>
      <c r="S1559" s="6" t="str">
        <f>IFERROR(__xludf.DUMMYFUNCTION("""COMPUTED_VALUE"""),"willie")</f>
        <v>willie</v>
      </c>
    </row>
    <row r="1560">
      <c r="D1560" s="6"/>
      <c r="H1560" s="6" t="str">
        <f>IFERROR(__xludf.DUMMYFUNCTION("""COMPUTED_VALUE"""),"tract")</f>
        <v>tract</v>
      </c>
      <c r="I1560" s="6"/>
      <c r="J1560" s="6" t="str">
        <f>IFERROR(__xludf.DUMMYFUNCTION("""COMPUTED_VALUE"""),"icon")</f>
        <v>icon</v>
      </c>
      <c r="M1560" s="6"/>
      <c r="P1560" s="6" t="str">
        <f>IFERROR(__xludf.DUMMYFUNCTION("""COMPUTED_VALUE"""),"circles")</f>
        <v>circles</v>
      </c>
      <c r="Q1560" s="6" t="str">
        <f>IFERROR(__xludf.DUMMYFUNCTION("""COMPUTED_VALUE"""),"curling")</f>
        <v>curling</v>
      </c>
      <c r="S1560" s="6" t="str">
        <f>IFERROR(__xludf.DUMMYFUNCTION("""COMPUTED_VALUE"""),"wondering")</f>
        <v>wondering</v>
      </c>
    </row>
    <row r="1561">
      <c r="D1561" s="6"/>
      <c r="H1561" s="6" t="str">
        <f>IFERROR(__xludf.DUMMYFUNCTION("""COMPUTED_VALUE"""),"permitting")</f>
        <v>permitting</v>
      </c>
      <c r="I1561" s="6"/>
      <c r="J1561" s="6" t="str">
        <f>IFERROR(__xludf.DUMMYFUNCTION("""COMPUTED_VALUE"""),"unified")</f>
        <v>unified</v>
      </c>
      <c r="M1561" s="6"/>
      <c r="P1561" s="6" t="str">
        <f>IFERROR(__xludf.DUMMYFUNCTION("""COMPUTED_VALUE"""),"losses")</f>
        <v>losses</v>
      </c>
      <c r="Q1561" s="6" t="str">
        <f>IFERROR(__xludf.DUMMYFUNCTION("""COMPUTED_VALUE"""),"pbs")</f>
        <v>pbs</v>
      </c>
      <c r="S1561" s="6" t="str">
        <f>IFERROR(__xludf.DUMMYFUNCTION("""COMPUTED_VALUE"""),"specific")</f>
        <v>specific</v>
      </c>
    </row>
    <row r="1562">
      <c r="D1562" s="6"/>
      <c r="H1562" s="6" t="str">
        <f>IFERROR(__xludf.DUMMYFUNCTION("""COMPUTED_VALUE"""),"cartoon")</f>
        <v>cartoon</v>
      </c>
      <c r="I1562" s="6"/>
      <c r="J1562" s="6" t="str">
        <f>IFERROR(__xludf.DUMMYFUNCTION("""COMPUTED_VALUE"""),"ladder")</f>
        <v>ladder</v>
      </c>
      <c r="M1562" s="6"/>
      <c r="P1562" s="6" t="str">
        <f>IFERROR(__xludf.DUMMYFUNCTION("""COMPUTED_VALUE"""),"controlling")</f>
        <v>controlling</v>
      </c>
      <c r="Q1562" s="6" t="str">
        <f>IFERROR(__xludf.DUMMYFUNCTION("""COMPUTED_VALUE"""),"field")</f>
        <v>field</v>
      </c>
      <c r="S1562" s="6" t="str">
        <f>IFERROR(__xludf.DUMMYFUNCTION("""COMPUTED_VALUE"""),"portions")</f>
        <v>portions</v>
      </c>
    </row>
    <row r="1563">
      <c r="D1563" s="6"/>
      <c r="H1563" s="6">
        <f>IFERROR(__xludf.DUMMYFUNCTION("""COMPUTED_VALUE"""),66.0)</f>
        <v>66</v>
      </c>
      <c r="I1563" s="6"/>
      <c r="J1563" s="6" t="str">
        <f>IFERROR(__xludf.DUMMYFUNCTION("""COMPUTED_VALUE"""),"libretto")</f>
        <v>libretto</v>
      </c>
      <c r="M1563" s="6"/>
      <c r="P1563" s="6" t="str">
        <f>IFERROR(__xludf.DUMMYFUNCTION("""COMPUTED_VALUE"""),"guardian")</f>
        <v>guardian</v>
      </c>
      <c r="Q1563" s="6" t="str">
        <f>IFERROR(__xludf.DUMMYFUNCTION("""COMPUTED_VALUE"""),"merits")</f>
        <v>merits</v>
      </c>
      <c r="S1563" s="6" t="str">
        <f>IFERROR(__xludf.DUMMYFUNCTION("""COMPUTED_VALUE"""),"band")</f>
        <v>band</v>
      </c>
    </row>
    <row r="1564">
      <c r="D1564" s="6"/>
      <c r="H1564" s="6" t="str">
        <f>IFERROR(__xludf.DUMMYFUNCTION("""COMPUTED_VALUE"""),"stopped")</f>
        <v>stopped</v>
      </c>
      <c r="I1564" s="6"/>
      <c r="J1564" s="6" t="str">
        <f>IFERROR(__xludf.DUMMYFUNCTION("""COMPUTED_VALUE"""),"defeated")</f>
        <v>defeated</v>
      </c>
      <c r="M1564" s="6"/>
      <c r="P1564" s="6" t="str">
        <f>IFERROR(__xludf.DUMMYFUNCTION("""COMPUTED_VALUE"""),"iranian")</f>
        <v>iranian</v>
      </c>
      <c r="Q1564" s="6" t="str">
        <f>IFERROR(__xludf.DUMMYFUNCTION("""COMPUTED_VALUE"""),"dreadful")</f>
        <v>dreadful</v>
      </c>
      <c r="S1564" s="6" t="str">
        <f>IFERROR(__xludf.DUMMYFUNCTION("""COMPUTED_VALUE"""),"horse")</f>
        <v>horse</v>
      </c>
    </row>
    <row r="1565">
      <c r="D1565" s="6"/>
      <c r="H1565" s="6" t="str">
        <f>IFERROR(__xludf.DUMMYFUNCTION("""COMPUTED_VALUE"""),"unnoticed")</f>
        <v>unnoticed</v>
      </c>
      <c r="I1565" s="6"/>
      <c r="J1565" s="6" t="str">
        <f>IFERROR(__xludf.DUMMYFUNCTION("""COMPUTED_VALUE"""),"monument")</f>
        <v>monument</v>
      </c>
      <c r="M1565" s="6"/>
      <c r="P1565" s="6" t="str">
        <f>IFERROR(__xludf.DUMMYFUNCTION("""COMPUTED_VALUE"""),"daniel")</f>
        <v>daniel</v>
      </c>
      <c r="Q1565" s="6" t="str">
        <f>IFERROR(__xludf.DUMMYFUNCTION("""COMPUTED_VALUE"""),"elephant")</f>
        <v>elephant</v>
      </c>
      <c r="S1565" s="6" t="str">
        <f>IFERROR(__xludf.DUMMYFUNCTION("""COMPUTED_VALUE"""),"torpedo")</f>
        <v>torpedo</v>
      </c>
    </row>
    <row r="1566">
      <c r="D1566" s="6"/>
      <c r="H1566" s="6" t="str">
        <f>IFERROR(__xludf.DUMMYFUNCTION("""COMPUTED_VALUE"""),"unconventional")</f>
        <v>unconventional</v>
      </c>
      <c r="I1566" s="6"/>
      <c r="J1566" s="6" t="str">
        <f>IFERROR(__xludf.DUMMYFUNCTION("""COMPUTED_VALUE"""),"minority")</f>
        <v>minority</v>
      </c>
      <c r="M1566" s="6"/>
      <c r="P1566" s="6" t="str">
        <f>IFERROR(__xludf.DUMMYFUNCTION("""COMPUTED_VALUE"""),"1930s")</f>
        <v>1930s</v>
      </c>
      <c r="Q1566" s="6" t="str">
        <f>IFERROR(__xludf.DUMMYFUNCTION("""COMPUTED_VALUE"""),"contradictory")</f>
        <v>contradictory</v>
      </c>
      <c r="S1566" s="6" t="str">
        <f>IFERROR(__xludf.DUMMYFUNCTION("""COMPUTED_VALUE"""),"confidence")</f>
        <v>confidence</v>
      </c>
    </row>
    <row r="1567">
      <c r="D1567" s="6"/>
      <c r="H1567" s="6" t="str">
        <f>IFERROR(__xludf.DUMMYFUNCTION("""COMPUTED_VALUE"""),"turbulent")</f>
        <v>turbulent</v>
      </c>
      <c r="I1567" s="6"/>
      <c r="J1567" s="6" t="str">
        <f>IFERROR(__xludf.DUMMYFUNCTION("""COMPUTED_VALUE"""),"spine")</f>
        <v>spine</v>
      </c>
      <c r="M1567" s="6"/>
      <c r="P1567" s="6" t="str">
        <f>IFERROR(__xludf.DUMMYFUNCTION("""COMPUTED_VALUE"""),"influential")</f>
        <v>influential</v>
      </c>
      <c r="Q1567" s="6" t="str">
        <f>IFERROR(__xludf.DUMMYFUNCTION("""COMPUTED_VALUE"""),"endings")</f>
        <v>endings</v>
      </c>
      <c r="S1567" s="6" t="str">
        <f>IFERROR(__xludf.DUMMYFUNCTION("""COMPUTED_VALUE"""),"malcolm")</f>
        <v>malcolm</v>
      </c>
    </row>
    <row r="1568">
      <c r="D1568" s="6"/>
      <c r="H1568" s="6" t="str">
        <f>IFERROR(__xludf.DUMMYFUNCTION("""COMPUTED_VALUE"""),"egypt")</f>
        <v>egypt</v>
      </c>
      <c r="I1568" s="6"/>
      <c r="J1568" s="6" t="str">
        <f>IFERROR(__xludf.DUMMYFUNCTION("""COMPUTED_VALUE"""),"shivers")</f>
        <v>shivers</v>
      </c>
      <c r="M1568" s="6"/>
      <c r="P1568" s="6" t="str">
        <f>IFERROR(__xludf.DUMMYFUNCTION("""COMPUTED_VALUE"""),"guilt")</f>
        <v>guilt</v>
      </c>
      <c r="Q1568" s="6" t="str">
        <f>IFERROR(__xludf.DUMMYFUNCTION("""COMPUTED_VALUE"""),"tongue")</f>
        <v>tongue</v>
      </c>
      <c r="S1568" s="6" t="str">
        <f>IFERROR(__xludf.DUMMYFUNCTION("""COMPUTED_VALUE"""),"roman")</f>
        <v>roman</v>
      </c>
    </row>
    <row r="1569">
      <c r="D1569" s="6"/>
      <c r="H1569" s="6" t="str">
        <f>IFERROR(__xludf.DUMMYFUNCTION("""COMPUTED_VALUE"""),"racial")</f>
        <v>racial</v>
      </c>
      <c r="I1569" s="6"/>
      <c r="J1569" s="6" t="str">
        <f>IFERROR(__xludf.DUMMYFUNCTION("""COMPUTED_VALUE"""),"environmental")</f>
        <v>environmental</v>
      </c>
      <c r="M1569" s="6"/>
      <c r="P1569" s="6" t="str">
        <f>IFERROR(__xludf.DUMMYFUNCTION("""COMPUTED_VALUE"""),"conflicts")</f>
        <v>conflicts</v>
      </c>
      <c r="Q1569" s="6" t="str">
        <f>IFERROR(__xludf.DUMMYFUNCTION("""COMPUTED_VALUE"""),"bergman")</f>
        <v>bergman</v>
      </c>
      <c r="S1569" s="6" t="str">
        <f>IFERROR(__xludf.DUMMYFUNCTION("""COMPUTED_VALUE"""),"iran")</f>
        <v>iran</v>
      </c>
    </row>
    <row r="1570">
      <c r="D1570" s="6"/>
      <c r="H1570" s="6" t="str">
        <f>IFERROR(__xludf.DUMMYFUNCTION("""COMPUTED_VALUE"""),"homicide")</f>
        <v>homicide</v>
      </c>
      <c r="I1570" s="6"/>
      <c r="J1570" s="6" t="str">
        <f>IFERROR(__xludf.DUMMYFUNCTION("""COMPUTED_VALUE"""),"fleeing")</f>
        <v>fleeing</v>
      </c>
      <c r="M1570" s="6"/>
      <c r="P1570" s="6" t="str">
        <f>IFERROR(__xludf.DUMMYFUNCTION("""COMPUTED_VALUE"""),"seventeen")</f>
        <v>seventeen</v>
      </c>
      <c r="Q1570" s="6" t="str">
        <f>IFERROR(__xludf.DUMMYFUNCTION("""COMPUTED_VALUE"""),"approaches")</f>
        <v>approaches</v>
      </c>
      <c r="S1570" s="6" t="str">
        <f>IFERROR(__xludf.DUMMYFUNCTION("""COMPUTED_VALUE"""),"stone")</f>
        <v>stone</v>
      </c>
    </row>
    <row r="1571">
      <c r="D1571" s="6"/>
      <c r="H1571" s="6" t="str">
        <f>IFERROR(__xludf.DUMMYFUNCTION("""COMPUTED_VALUE"""),"cinderella")</f>
        <v>cinderella</v>
      </c>
      <c r="I1571" s="6"/>
      <c r="J1571" s="6" t="str">
        <f>IFERROR(__xludf.DUMMYFUNCTION("""COMPUTED_VALUE"""),"ramsay")</f>
        <v>ramsay</v>
      </c>
      <c r="M1571" s="6"/>
      <c r="P1571" s="6" t="str">
        <f>IFERROR(__xludf.DUMMYFUNCTION("""COMPUTED_VALUE"""),"austrian")</f>
        <v>austrian</v>
      </c>
      <c r="Q1571" s="6" t="str">
        <f>IFERROR(__xludf.DUMMYFUNCTION("""COMPUTED_VALUE"""),"effortlessly")</f>
        <v>effortlessly</v>
      </c>
      <c r="S1571" s="6" t="str">
        <f>IFERROR(__xludf.DUMMYFUNCTION("""COMPUTED_VALUE"""),"golden")</f>
        <v>golden</v>
      </c>
    </row>
    <row r="1572">
      <c r="D1572" s="6"/>
      <c r="H1572" s="6" t="str">
        <f>IFERROR(__xludf.DUMMYFUNCTION("""COMPUTED_VALUE"""),"harrison")</f>
        <v>harrison</v>
      </c>
      <c r="I1572" s="6"/>
      <c r="J1572" s="6" t="str">
        <f>IFERROR(__xludf.DUMMYFUNCTION("""COMPUTED_VALUE"""),"converts")</f>
        <v>converts</v>
      </c>
      <c r="M1572" s="6"/>
      <c r="P1572" s="6" t="str">
        <f>IFERROR(__xludf.DUMMYFUNCTION("""COMPUTED_VALUE"""),"1950s")</f>
        <v>1950s</v>
      </c>
      <c r="Q1572" s="6" t="str">
        <f>IFERROR(__xludf.DUMMYFUNCTION("""COMPUTED_VALUE"""),"sparks")</f>
        <v>sparks</v>
      </c>
      <c r="S1572" s="6" t="str">
        <f>IFERROR(__xludf.DUMMYFUNCTION("""COMPUTED_VALUE"""),"california")</f>
        <v>california</v>
      </c>
    </row>
    <row r="1573">
      <c r="D1573" s="6"/>
      <c r="H1573" s="6" t="str">
        <f>IFERROR(__xludf.DUMMYFUNCTION("""COMPUTED_VALUE"""),"evolve")</f>
        <v>evolve</v>
      </c>
      <c r="I1573" s="6"/>
      <c r="J1573" s="6" t="str">
        <f>IFERROR(__xludf.DUMMYFUNCTION("""COMPUTED_VALUE"""),"fade")</f>
        <v>fade</v>
      </c>
      <c r="M1573" s="6"/>
      <c r="P1573" s="6" t="str">
        <f>IFERROR(__xludf.DUMMYFUNCTION("""COMPUTED_VALUE"""),"throat")</f>
        <v>throat</v>
      </c>
      <c r="Q1573" s="6" t="str">
        <f>IFERROR(__xludf.DUMMYFUNCTION("""COMPUTED_VALUE"""),"cumulative")</f>
        <v>cumulative</v>
      </c>
      <c r="S1573" s="6" t="str">
        <f>IFERROR(__xludf.DUMMYFUNCTION("""COMPUTED_VALUE"""),"chronicle")</f>
        <v>chronicle</v>
      </c>
    </row>
    <row r="1574">
      <c r="D1574" s="6"/>
      <c r="H1574" s="6" t="str">
        <f>IFERROR(__xludf.DUMMYFUNCTION("""COMPUTED_VALUE"""),"jumps")</f>
        <v>jumps</v>
      </c>
      <c r="I1574" s="6"/>
      <c r="J1574" s="6" t="str">
        <f>IFERROR(__xludf.DUMMYFUNCTION("""COMPUTED_VALUE"""),"encompassing")</f>
        <v>encompassing</v>
      </c>
      <c r="M1574" s="6"/>
      <c r="P1574" s="6" t="str">
        <f>IFERROR(__xludf.DUMMYFUNCTION("""COMPUTED_VALUE"""),"wash")</f>
        <v>wash</v>
      </c>
      <c r="Q1574" s="6" t="str">
        <f>IFERROR(__xludf.DUMMYFUNCTION("""COMPUTED_VALUE"""),"visionary")</f>
        <v>visionary</v>
      </c>
      <c r="S1574" s="6" t="str">
        <f>IFERROR(__xludf.DUMMYFUNCTION("""COMPUTED_VALUE"""),"couch")</f>
        <v>couch</v>
      </c>
    </row>
    <row r="1575">
      <c r="D1575" s="6"/>
      <c r="H1575" s="6" t="str">
        <f>IFERROR(__xludf.DUMMYFUNCTION("""COMPUTED_VALUE"""),"engages")</f>
        <v>engages</v>
      </c>
      <c r="I1575" s="6"/>
      <c r="J1575" s="6" t="str">
        <f>IFERROR(__xludf.DUMMYFUNCTION("""COMPUTED_VALUE"""),"favorably")</f>
        <v>favorably</v>
      </c>
      <c r="M1575" s="6"/>
      <c r="P1575" s="6" t="str">
        <f>IFERROR(__xludf.DUMMYFUNCTION("""COMPUTED_VALUE"""),"depicted")</f>
        <v>depicted</v>
      </c>
      <c r="Q1575" s="6" t="str">
        <f>IFERROR(__xludf.DUMMYFUNCTION("""COMPUTED_VALUE"""),"ferrara")</f>
        <v>ferrara</v>
      </c>
      <c r="S1575" s="6" t="str">
        <f>IFERROR(__xludf.DUMMYFUNCTION("""COMPUTED_VALUE"""),"cousin")</f>
        <v>cousin</v>
      </c>
    </row>
    <row r="1576">
      <c r="D1576" s="6"/>
      <c r="H1576" s="6" t="str">
        <f>IFERROR(__xludf.DUMMYFUNCTION("""COMPUTED_VALUE"""),"walt")</f>
        <v>walt</v>
      </c>
      <c r="I1576" s="6"/>
      <c r="J1576" s="6" t="str">
        <f>IFERROR(__xludf.DUMMYFUNCTION("""COMPUTED_VALUE"""),"clare")</f>
        <v>clare</v>
      </c>
      <c r="M1576" s="6"/>
      <c r="P1576" s="6" t="str">
        <f>IFERROR(__xludf.DUMMYFUNCTION("""COMPUTED_VALUE"""),"columbia")</f>
        <v>columbia</v>
      </c>
      <c r="Q1576" s="6" t="str">
        <f>IFERROR(__xludf.DUMMYFUNCTION("""COMPUTED_VALUE"""),"abel")</f>
        <v>abel</v>
      </c>
      <c r="S1576" s="6" t="str">
        <f>IFERROR(__xludf.DUMMYFUNCTION("""COMPUTED_VALUE"""),"fellow")</f>
        <v>fellow</v>
      </c>
    </row>
    <row r="1577">
      <c r="D1577" s="6"/>
      <c r="H1577" s="6" t="str">
        <f>IFERROR(__xludf.DUMMYFUNCTION("""COMPUTED_VALUE"""),"discontent")</f>
        <v>discontent</v>
      </c>
      <c r="I1577" s="6"/>
      <c r="J1577" s="6">
        <f>IFERROR(__xludf.DUMMYFUNCTION("""COMPUTED_VALUE"""),146.0)</f>
        <v>146</v>
      </c>
      <c r="M1577" s="6"/>
      <c r="P1577" s="6" t="str">
        <f>IFERROR(__xludf.DUMMYFUNCTION("""COMPUTED_VALUE"""),"sharing")</f>
        <v>sharing</v>
      </c>
      <c r="Q1577" s="6" t="str">
        <f>IFERROR(__xludf.DUMMYFUNCTION("""COMPUTED_VALUE"""),"reliance")</f>
        <v>reliance</v>
      </c>
      <c r="S1577" s="6" t="str">
        <f>IFERROR(__xludf.DUMMYFUNCTION("""COMPUTED_VALUE"""),"lecture")</f>
        <v>lecture</v>
      </c>
    </row>
    <row r="1578">
      <c r="D1578" s="6"/>
      <c r="H1578" s="6" t="str">
        <f>IFERROR(__xludf.DUMMYFUNCTION("""COMPUTED_VALUE"""),"deepest")</f>
        <v>deepest</v>
      </c>
      <c r="I1578" s="6"/>
      <c r="J1578" s="6" t="str">
        <f>IFERROR(__xludf.DUMMYFUNCTION("""COMPUTED_VALUE"""),"alfred")</f>
        <v>alfred</v>
      </c>
      <c r="M1578" s="6"/>
      <c r="P1578" s="6" t="str">
        <f>IFERROR(__xludf.DUMMYFUNCTION("""COMPUTED_VALUE"""),"freight")</f>
        <v>freight</v>
      </c>
      <c r="Q1578" s="6" t="str">
        <f>IFERROR(__xludf.DUMMYFUNCTION("""COMPUTED_VALUE"""),"weighted")</f>
        <v>weighted</v>
      </c>
      <c r="S1578" s="6" t="str">
        <f>IFERROR(__xludf.DUMMYFUNCTION("""COMPUTED_VALUE"""),"und")</f>
        <v>und</v>
      </c>
    </row>
    <row r="1579">
      <c r="D1579" s="6"/>
      <c r="H1579" s="6" t="str">
        <f>IFERROR(__xludf.DUMMYFUNCTION("""COMPUTED_VALUE"""),"physical")</f>
        <v>physical</v>
      </c>
      <c r="I1579" s="6"/>
      <c r="J1579" s="6" t="str">
        <f>IFERROR(__xludf.DUMMYFUNCTION("""COMPUTED_VALUE"""),"hitchcock")</f>
        <v>hitchcock</v>
      </c>
      <c r="M1579" s="6"/>
      <c r="P1579" s="6" t="str">
        <f>IFERROR(__xludf.DUMMYFUNCTION("""COMPUTED_VALUE"""),"destruction")</f>
        <v>destruction</v>
      </c>
      <c r="Q1579" s="6" t="str">
        <f>IFERROR(__xludf.DUMMYFUNCTION("""COMPUTED_VALUE"""),"toilet")</f>
        <v>toilet</v>
      </c>
      <c r="S1579" s="6" t="str">
        <f>IFERROR(__xludf.DUMMYFUNCTION("""COMPUTED_VALUE"""),"integrated")</f>
        <v>integrated</v>
      </c>
    </row>
    <row r="1580">
      <c r="D1580" s="6"/>
      <c r="H1580" s="6" t="str">
        <f>IFERROR(__xludf.DUMMYFUNCTION("""COMPUTED_VALUE"""),"evans")</f>
        <v>evans</v>
      </c>
      <c r="I1580" s="6"/>
      <c r="J1580" s="6" t="str">
        <f>IFERROR(__xludf.DUMMYFUNCTION("""COMPUTED_VALUE"""),"fontaine")</f>
        <v>fontaine</v>
      </c>
      <c r="M1580" s="6"/>
      <c r="P1580" s="6" t="str">
        <f>IFERROR(__xludf.DUMMYFUNCTION("""COMPUTED_VALUE"""),"pa")</f>
        <v>pa</v>
      </c>
      <c r="Q1580" s="6" t="str">
        <f>IFERROR(__xludf.DUMMYFUNCTION("""COMPUTED_VALUE"""),"equation")</f>
        <v>equation</v>
      </c>
      <c r="S1580" s="6" t="str">
        <f>IFERROR(__xludf.DUMMYFUNCTION("""COMPUTED_VALUE"""),"store")</f>
        <v>store</v>
      </c>
    </row>
    <row r="1581">
      <c r="D1581" s="6"/>
      <c r="H1581" s="6" t="str">
        <f>IFERROR(__xludf.DUMMYFUNCTION("""COMPUTED_VALUE"""),"overlapping")</f>
        <v>overlapping</v>
      </c>
      <c r="I1581" s="6"/>
      <c r="J1581" s="6" t="str">
        <f>IFERROR(__xludf.DUMMYFUNCTION("""COMPUTED_VALUE"""),"shakespeare")</f>
        <v>shakespeare</v>
      </c>
      <c r="M1581" s="6"/>
      <c r="P1581" s="6" t="str">
        <f>IFERROR(__xludf.DUMMYFUNCTION("""COMPUTED_VALUE"""),"provincial")</f>
        <v>provincial</v>
      </c>
      <c r="Q1581" s="6">
        <f>IFERROR(__xludf.DUMMYFUNCTION("""COMPUTED_VALUE"""),3.0)</f>
        <v>3</v>
      </c>
      <c r="S1581" s="6" t="str">
        <f>IFERROR(__xludf.DUMMYFUNCTION("""COMPUTED_VALUE"""),"pre")</f>
        <v>pre</v>
      </c>
    </row>
    <row r="1582">
      <c r="D1582" s="6"/>
      <c r="H1582" s="6" t="str">
        <f>IFERROR(__xludf.DUMMYFUNCTION("""COMPUTED_VALUE"""),"collateral")</f>
        <v>collateral</v>
      </c>
      <c r="I1582" s="6"/>
      <c r="J1582" s="6" t="str">
        <f>IFERROR(__xludf.DUMMYFUNCTION("""COMPUTED_VALUE"""),"weakly")</f>
        <v>weakly</v>
      </c>
      <c r="M1582" s="6"/>
      <c r="P1582" s="6" t="str">
        <f>IFERROR(__xludf.DUMMYFUNCTION("""COMPUTED_VALUE"""),"joins")</f>
        <v>joins</v>
      </c>
      <c r="Q1582" s="6" t="str">
        <f>IFERROR(__xludf.DUMMYFUNCTION("""COMPUTED_VALUE"""),"molina")</f>
        <v>molina</v>
      </c>
      <c r="S1582" s="6" t="str">
        <f>IFERROR(__xludf.DUMMYFUNCTION("""COMPUTED_VALUE"""),"characterized")</f>
        <v>characterized</v>
      </c>
    </row>
    <row r="1583">
      <c r="D1583" s="6"/>
      <c r="H1583" s="6" t="str">
        <f>IFERROR(__xludf.DUMMYFUNCTION("""COMPUTED_VALUE"""),"archive")</f>
        <v>archive</v>
      </c>
      <c r="I1583" s="6"/>
      <c r="J1583" s="6" t="str">
        <f>IFERROR(__xludf.DUMMYFUNCTION("""COMPUTED_VALUE"""),"clyde")</f>
        <v>clyde</v>
      </c>
      <c r="M1583" s="6"/>
      <c r="P1583" s="6" t="str">
        <f>IFERROR(__xludf.DUMMYFUNCTION("""COMPUTED_VALUE"""),"fraser")</f>
        <v>fraser</v>
      </c>
      <c r="Q1583" s="6" t="str">
        <f>IFERROR(__xludf.DUMMYFUNCTION("""COMPUTED_VALUE"""),"kang")</f>
        <v>kang</v>
      </c>
      <c r="S1583" s="6" t="str">
        <f>IFERROR(__xludf.DUMMYFUNCTION("""COMPUTED_VALUE"""),"bronze")</f>
        <v>bronze</v>
      </c>
    </row>
    <row r="1584">
      <c r="D1584" s="6"/>
      <c r="H1584" s="6" t="str">
        <f>IFERROR(__xludf.DUMMYFUNCTION("""COMPUTED_VALUE"""),"specific")</f>
        <v>specific</v>
      </c>
      <c r="I1584" s="6"/>
      <c r="J1584" s="6" t="str">
        <f>IFERROR(__xludf.DUMMYFUNCTION("""COMPUTED_VALUE"""),"wreck")</f>
        <v>wreck</v>
      </c>
      <c r="M1584" s="6"/>
      <c r="P1584" s="6" t="str">
        <f>IFERROR(__xludf.DUMMYFUNCTION("""COMPUTED_VALUE"""),"anton")</f>
        <v>anton</v>
      </c>
      <c r="Q1584" s="6" t="str">
        <f>IFERROR(__xludf.DUMMYFUNCTION("""COMPUTED_VALUE"""),"arresting")</f>
        <v>arresting</v>
      </c>
      <c r="S1584" s="6" t="str">
        <f>IFERROR(__xludf.DUMMYFUNCTION("""COMPUTED_VALUE"""),"relating")</f>
        <v>relating</v>
      </c>
    </row>
    <row r="1585">
      <c r="D1585" s="6"/>
      <c r="H1585" s="6" t="str">
        <f>IFERROR(__xludf.DUMMYFUNCTION("""COMPUTED_VALUE"""),"stills")</f>
        <v>stills</v>
      </c>
      <c r="I1585" s="6"/>
      <c r="J1585" s="6" t="str">
        <f>IFERROR(__xludf.DUMMYFUNCTION("""COMPUTED_VALUE"""),"curves")</f>
        <v>curves</v>
      </c>
      <c r="M1585" s="6"/>
      <c r="P1585" s="6" t="str">
        <f>IFERROR(__xludf.DUMMYFUNCTION("""COMPUTED_VALUE"""),"fellowship")</f>
        <v>fellowship</v>
      </c>
      <c r="Q1585" s="6" t="str">
        <f>IFERROR(__xludf.DUMMYFUNCTION("""COMPUTED_VALUE"""),"idol")</f>
        <v>idol</v>
      </c>
      <c r="S1585" s="6" t="str">
        <f>IFERROR(__xludf.DUMMYFUNCTION("""COMPUTED_VALUE"""),"prepare")</f>
        <v>prepare</v>
      </c>
    </row>
    <row r="1586">
      <c r="D1586" s="6"/>
      <c r="H1586" s="6" t="str">
        <f>IFERROR(__xludf.DUMMYFUNCTION("""COMPUTED_VALUE"""),"grasp")</f>
        <v>grasp</v>
      </c>
      <c r="I1586" s="6"/>
      <c r="J1586" s="6" t="str">
        <f>IFERROR(__xludf.DUMMYFUNCTION("""COMPUTED_VALUE"""),"fashioned")</f>
        <v>fashioned</v>
      </c>
      <c r="M1586" s="6"/>
      <c r="P1586" s="6" t="str">
        <f>IFERROR(__xludf.DUMMYFUNCTION("""COMPUTED_VALUE"""),"framework")</f>
        <v>framework</v>
      </c>
      <c r="Q1586" s="6" t="str">
        <f>IFERROR(__xludf.DUMMYFUNCTION("""COMPUTED_VALUE"""),"craven")</f>
        <v>craven</v>
      </c>
      <c r="S1586" s="6">
        <f>IFERROR(__xludf.DUMMYFUNCTION("""COMPUTED_VALUE"""),1958.0)</f>
        <v>1958</v>
      </c>
    </row>
    <row r="1587">
      <c r="D1587" s="6"/>
      <c r="H1587" s="6" t="str">
        <f>IFERROR(__xludf.DUMMYFUNCTION("""COMPUTED_VALUE"""),"insignificant")</f>
        <v>insignificant</v>
      </c>
      <c r="I1587" s="6"/>
      <c r="J1587" s="6" t="str">
        <f>IFERROR(__xludf.DUMMYFUNCTION("""COMPUTED_VALUE"""),"strains")</f>
        <v>strains</v>
      </c>
      <c r="M1587" s="6"/>
      <c r="P1587" s="6" t="str">
        <f>IFERROR(__xludf.DUMMYFUNCTION("""COMPUTED_VALUE"""),"detective")</f>
        <v>detective</v>
      </c>
      <c r="Q1587" s="6" t="str">
        <f>IFERROR(__xludf.DUMMYFUNCTION("""COMPUTED_VALUE"""),"soul")</f>
        <v>soul</v>
      </c>
      <c r="S1587" s="6" t="str">
        <f>IFERROR(__xludf.DUMMYFUNCTION("""COMPUTED_VALUE"""),"races")</f>
        <v>races</v>
      </c>
    </row>
    <row r="1588">
      <c r="D1588" s="6"/>
      <c r="H1588" s="6" t="str">
        <f>IFERROR(__xludf.DUMMYFUNCTION("""COMPUTED_VALUE"""),"examines")</f>
        <v>examines</v>
      </c>
      <c r="I1588" s="6"/>
      <c r="J1588" s="6" t="str">
        <f>IFERROR(__xludf.DUMMYFUNCTION("""COMPUTED_VALUE"""),"jolt")</f>
        <v>jolt</v>
      </c>
      <c r="M1588" s="6"/>
      <c r="P1588" s="6" t="str">
        <f>IFERROR(__xludf.DUMMYFUNCTION("""COMPUTED_VALUE"""),"scoring")</f>
        <v>scoring</v>
      </c>
      <c r="Q1588" s="6" t="str">
        <f>IFERROR(__xludf.DUMMYFUNCTION("""COMPUTED_VALUE"""),"warriors")</f>
        <v>warriors</v>
      </c>
      <c r="S1588" s="6" t="str">
        <f>IFERROR(__xludf.DUMMYFUNCTION("""COMPUTED_VALUE"""),"loving")</f>
        <v>loving</v>
      </c>
    </row>
    <row r="1589">
      <c r="D1589" s="6"/>
      <c r="H1589" s="6" t="str">
        <f>IFERROR(__xludf.DUMMYFUNCTION("""COMPUTED_VALUE"""),"tense")</f>
        <v>tense</v>
      </c>
      <c r="I1589" s="6"/>
      <c r="J1589" s="6" t="str">
        <f>IFERROR(__xludf.DUMMYFUNCTION("""COMPUTED_VALUE"""),"juliet")</f>
        <v>juliet</v>
      </c>
      <c r="M1589" s="6"/>
      <c r="P1589" s="6" t="str">
        <f>IFERROR(__xludf.DUMMYFUNCTION("""COMPUTED_VALUE"""),"sword")</f>
        <v>sword</v>
      </c>
      <c r="Q1589" s="6" t="str">
        <f>IFERROR(__xludf.DUMMYFUNCTION("""COMPUTED_VALUE"""),"transparent")</f>
        <v>transparent</v>
      </c>
      <c r="S1589" s="6" t="str">
        <f>IFERROR(__xludf.DUMMYFUNCTION("""COMPUTED_VALUE"""),"luther")</f>
        <v>luther</v>
      </c>
    </row>
    <row r="1590">
      <c r="D1590" s="6"/>
      <c r="H1590" s="6" t="str">
        <f>IFERROR(__xludf.DUMMYFUNCTION("""COMPUTED_VALUE"""),"dismay")</f>
        <v>dismay</v>
      </c>
      <c r="I1590" s="6"/>
      <c r="J1590" s="6" t="str">
        <f>IFERROR(__xludf.DUMMYFUNCTION("""COMPUTED_VALUE"""),"exchanges")</f>
        <v>exchanges</v>
      </c>
      <c r="M1590" s="6"/>
      <c r="P1590" s="6" t="str">
        <f>IFERROR(__xludf.DUMMYFUNCTION("""COMPUTED_VALUE"""),"parent")</f>
        <v>parent</v>
      </c>
      <c r="Q1590" s="6" t="str">
        <f>IFERROR(__xludf.DUMMYFUNCTION("""COMPUTED_VALUE"""),"relate")</f>
        <v>relate</v>
      </c>
      <c r="S1590" s="6" t="str">
        <f>IFERROR(__xludf.DUMMYFUNCTION("""COMPUTED_VALUE"""),"frequent")</f>
        <v>frequent</v>
      </c>
    </row>
    <row r="1591">
      <c r="D1591" s="6"/>
      <c r="H1591" s="6" t="str">
        <f>IFERROR(__xludf.DUMMYFUNCTION("""COMPUTED_VALUE"""),"explores")</f>
        <v>explores</v>
      </c>
      <c r="I1591" s="6"/>
      <c r="J1591" s="6" t="str">
        <f>IFERROR(__xludf.DUMMYFUNCTION("""COMPUTED_VALUE"""),"staggered")</f>
        <v>staggered</v>
      </c>
      <c r="M1591" s="6"/>
      <c r="P1591" s="6" t="str">
        <f>IFERROR(__xludf.DUMMYFUNCTION("""COMPUTED_VALUE"""),"brow")</f>
        <v>brow</v>
      </c>
      <c r="Q1591" s="6" t="str">
        <f>IFERROR(__xludf.DUMMYFUNCTION("""COMPUTED_VALUE"""),"accidental")</f>
        <v>accidental</v>
      </c>
      <c r="S1591" s="6" t="str">
        <f>IFERROR(__xludf.DUMMYFUNCTION("""COMPUTED_VALUE"""),"doctorate")</f>
        <v>doctorate</v>
      </c>
    </row>
    <row r="1592">
      <c r="D1592" s="6"/>
      <c r="H1592" s="6" t="str">
        <f>IFERROR(__xludf.DUMMYFUNCTION("""COMPUTED_VALUE"""),"reinforcement")</f>
        <v>reinforcement</v>
      </c>
      <c r="I1592" s="6"/>
      <c r="J1592" s="6" t="str">
        <f>IFERROR(__xludf.DUMMYFUNCTION("""COMPUTED_VALUE"""),"suspects")</f>
        <v>suspects</v>
      </c>
      <c r="M1592" s="6"/>
      <c r="P1592" s="6" t="str">
        <f>IFERROR(__xludf.DUMMYFUNCTION("""COMPUTED_VALUE"""),"divisions")</f>
        <v>divisions</v>
      </c>
      <c r="Q1592" s="6" t="str">
        <f>IFERROR(__xludf.DUMMYFUNCTION("""COMPUTED_VALUE"""),"hewitt")</f>
        <v>hewitt</v>
      </c>
      <c r="S1592" s="6" t="str">
        <f>IFERROR(__xludf.DUMMYFUNCTION("""COMPUTED_VALUE"""),"mid")</f>
        <v>mid</v>
      </c>
    </row>
    <row r="1593">
      <c r="D1593" s="6"/>
      <c r="H1593" s="6" t="str">
        <f>IFERROR(__xludf.DUMMYFUNCTION("""COMPUTED_VALUE"""),"distinguish")</f>
        <v>distinguish</v>
      </c>
      <c r="I1593" s="6"/>
      <c r="J1593" s="6" t="str">
        <f>IFERROR(__xludf.DUMMYFUNCTION("""COMPUTED_VALUE"""),"forcefully")</f>
        <v>forcefully</v>
      </c>
      <c r="M1593" s="6"/>
      <c r="P1593" s="6" t="str">
        <f>IFERROR(__xludf.DUMMYFUNCTION("""COMPUTED_VALUE"""),"graves")</f>
        <v>graves</v>
      </c>
      <c r="Q1593" s="6" t="str">
        <f>IFERROR(__xludf.DUMMYFUNCTION("""COMPUTED_VALUE"""),"inadequate")</f>
        <v>inadequate</v>
      </c>
      <c r="S1593" s="6" t="str">
        <f>IFERROR(__xludf.DUMMYFUNCTION("""COMPUTED_VALUE"""),"insane")</f>
        <v>insane</v>
      </c>
    </row>
    <row r="1594">
      <c r="D1594" s="6"/>
      <c r="H1594" s="6" t="str">
        <f>IFERROR(__xludf.DUMMYFUNCTION("""COMPUTED_VALUE"""),"exploit")</f>
        <v>exploit</v>
      </c>
      <c r="I1594" s="6"/>
      <c r="J1594" s="6" t="str">
        <f>IFERROR(__xludf.DUMMYFUNCTION("""COMPUTED_VALUE"""),"combustion")</f>
        <v>combustion</v>
      </c>
      <c r="M1594" s="6"/>
      <c r="P1594" s="6" t="str">
        <f>IFERROR(__xludf.DUMMYFUNCTION("""COMPUTED_VALUE"""),"generations")</f>
        <v>generations</v>
      </c>
      <c r="Q1594" s="6" t="str">
        <f>IFERROR(__xludf.DUMMYFUNCTION("""COMPUTED_VALUE"""),"adrenaline")</f>
        <v>adrenaline</v>
      </c>
      <c r="S1594" s="6" t="str">
        <f>IFERROR(__xludf.DUMMYFUNCTION("""COMPUTED_VALUE"""),"aggressive")</f>
        <v>aggressive</v>
      </c>
    </row>
    <row r="1595">
      <c r="D1595" s="6"/>
      <c r="H1595" s="6" t="str">
        <f>IFERROR(__xludf.DUMMYFUNCTION("""COMPUTED_VALUE"""),"holocaust")</f>
        <v>holocaust</v>
      </c>
      <c r="I1595" s="6"/>
      <c r="J1595" s="6" t="str">
        <f>IFERROR(__xludf.DUMMYFUNCTION("""COMPUTED_VALUE"""),"sketches")</f>
        <v>sketches</v>
      </c>
      <c r="M1595" s="6"/>
      <c r="P1595" s="6" t="str">
        <f>IFERROR(__xludf.DUMMYFUNCTION("""COMPUTED_VALUE"""),"enemies")</f>
        <v>enemies</v>
      </c>
      <c r="Q1595" s="6" t="str">
        <f>IFERROR(__xludf.DUMMYFUNCTION("""COMPUTED_VALUE"""),"preserving")</f>
        <v>preserving</v>
      </c>
      <c r="S1595" s="6" t="str">
        <f>IFERROR(__xludf.DUMMYFUNCTION("""COMPUTED_VALUE"""),"prison")</f>
        <v>prison</v>
      </c>
    </row>
    <row r="1596">
      <c r="D1596" s="6"/>
      <c r="H1596" s="6" t="str">
        <f>IFERROR(__xludf.DUMMYFUNCTION("""COMPUTED_VALUE"""),"streamed")</f>
        <v>streamed</v>
      </c>
      <c r="I1596" s="6"/>
      <c r="J1596" s="6" t="str">
        <f>IFERROR(__xludf.DUMMYFUNCTION("""COMPUTED_VALUE"""),"barlow")</f>
        <v>barlow</v>
      </c>
      <c r="M1596" s="6"/>
      <c r="P1596" s="6" t="str">
        <f>IFERROR(__xludf.DUMMYFUNCTION("""COMPUTED_VALUE"""),"theological")</f>
        <v>theological</v>
      </c>
      <c r="Q1596" s="6" t="str">
        <f>IFERROR(__xludf.DUMMYFUNCTION("""COMPUTED_VALUE"""),"tendency")</f>
        <v>tendency</v>
      </c>
      <c r="S1596" s="6">
        <f>IFERROR(__xludf.DUMMYFUNCTION("""COMPUTED_VALUE"""),25.0)</f>
        <v>25</v>
      </c>
    </row>
    <row r="1597">
      <c r="D1597" s="6"/>
      <c r="H1597" s="6" t="str">
        <f>IFERROR(__xludf.DUMMYFUNCTION("""COMPUTED_VALUE"""),"iran")</f>
        <v>iran</v>
      </c>
      <c r="I1597" s="6"/>
      <c r="J1597" s="6" t="str">
        <f>IFERROR(__xludf.DUMMYFUNCTION("""COMPUTED_VALUE"""),"buried")</f>
        <v>buried</v>
      </c>
      <c r="M1597" s="6"/>
      <c r="P1597" s="6" t="str">
        <f>IFERROR(__xludf.DUMMYFUNCTION("""COMPUTED_VALUE"""),"hitler")</f>
        <v>hitler</v>
      </c>
      <c r="Q1597" s="6" t="str">
        <f>IFERROR(__xludf.DUMMYFUNCTION("""COMPUTED_VALUE"""),"lectures")</f>
        <v>lectures</v>
      </c>
      <c r="S1597" s="6" t="str">
        <f>IFERROR(__xludf.DUMMYFUNCTION("""COMPUTED_VALUE"""),"effectively")</f>
        <v>effectively</v>
      </c>
    </row>
    <row r="1598">
      <c r="D1598" s="6"/>
      <c r="H1598" s="6" t="str">
        <f>IFERROR(__xludf.DUMMYFUNCTION("""COMPUTED_VALUE"""),"facades")</f>
        <v>facades</v>
      </c>
      <c r="I1598" s="6"/>
      <c r="J1598" s="6" t="str">
        <f>IFERROR(__xludf.DUMMYFUNCTION("""COMPUTED_VALUE"""),"coping")</f>
        <v>coping</v>
      </c>
      <c r="M1598" s="6"/>
      <c r="P1598" s="6" t="str">
        <f>IFERROR(__xludf.DUMMYFUNCTION("""COMPUTED_VALUE"""),"writings")</f>
        <v>writings</v>
      </c>
      <c r="Q1598" s="6" t="str">
        <f>IFERROR(__xludf.DUMMYFUNCTION("""COMPUTED_VALUE"""),"vh1")</f>
        <v>vh1</v>
      </c>
      <c r="S1598" s="6" t="str">
        <f>IFERROR(__xludf.DUMMYFUNCTION("""COMPUTED_VALUE"""),"proof")</f>
        <v>proof</v>
      </c>
    </row>
    <row r="1599">
      <c r="D1599" s="6"/>
      <c r="H1599" s="6" t="str">
        <f>IFERROR(__xludf.DUMMYFUNCTION("""COMPUTED_VALUE"""),"anchors")</f>
        <v>anchors</v>
      </c>
      <c r="I1599" s="6"/>
      <c r="J1599" s="6" t="str">
        <f>IFERROR(__xludf.DUMMYFUNCTION("""COMPUTED_VALUE"""),"winger")</f>
        <v>winger</v>
      </c>
      <c r="M1599" s="6"/>
      <c r="P1599" s="6" t="str">
        <f>IFERROR(__xludf.DUMMYFUNCTION("""COMPUTED_VALUE"""),"clinical")</f>
        <v>clinical</v>
      </c>
      <c r="Q1599" s="6" t="str">
        <f>IFERROR(__xludf.DUMMYFUNCTION("""COMPUTED_VALUE"""),"terrorist")</f>
        <v>terrorist</v>
      </c>
      <c r="S1599" s="6" t="str">
        <f>IFERROR(__xludf.DUMMYFUNCTION("""COMPUTED_VALUE"""),"concentration")</f>
        <v>concentration</v>
      </c>
    </row>
    <row r="1600">
      <c r="D1600" s="6"/>
      <c r="H1600" s="6" t="str">
        <f>IFERROR(__xludf.DUMMYFUNCTION("""COMPUTED_VALUE"""),"expects")</f>
        <v>expects</v>
      </c>
      <c r="I1600" s="6"/>
      <c r="J1600" s="6" t="str">
        <f>IFERROR(__xludf.DUMMYFUNCTION("""COMPUTED_VALUE"""),"eccentric")</f>
        <v>eccentric</v>
      </c>
      <c r="M1600" s="6"/>
      <c r="P1600" s="6">
        <f>IFERROR(__xludf.DUMMYFUNCTION("""COMPUTED_VALUE"""),1962.0)</f>
        <v>1962</v>
      </c>
      <c r="Q1600" s="6" t="str">
        <f>IFERROR(__xludf.DUMMYFUNCTION("""COMPUTED_VALUE"""),"gaze")</f>
        <v>gaze</v>
      </c>
      <c r="S1600" s="6" t="str">
        <f>IFERROR(__xludf.DUMMYFUNCTION("""COMPUTED_VALUE"""),"lawyers")</f>
        <v>lawyers</v>
      </c>
    </row>
    <row r="1601">
      <c r="D1601" s="6"/>
      <c r="H1601" s="6" t="str">
        <f>IFERROR(__xludf.DUMMYFUNCTION("""COMPUTED_VALUE"""),"gloom")</f>
        <v>gloom</v>
      </c>
      <c r="I1601" s="6"/>
      <c r="J1601" s="6" t="str">
        <f>IFERROR(__xludf.DUMMYFUNCTION("""COMPUTED_VALUE"""),"reagan")</f>
        <v>reagan</v>
      </c>
      <c r="M1601" s="6"/>
      <c r="P1601" s="6">
        <f>IFERROR(__xludf.DUMMYFUNCTION("""COMPUTED_VALUE"""),1987.0)</f>
        <v>1987</v>
      </c>
      <c r="Q1601" s="6" t="str">
        <f>IFERROR(__xludf.DUMMYFUNCTION("""COMPUTED_VALUE"""),"chuckles")</f>
        <v>chuckles</v>
      </c>
      <c r="S1601" s="6" t="str">
        <f>IFERROR(__xludf.DUMMYFUNCTION("""COMPUTED_VALUE"""),"pot")</f>
        <v>pot</v>
      </c>
    </row>
    <row r="1602">
      <c r="D1602" s="6"/>
      <c r="H1602" s="6" t="str">
        <f>IFERROR(__xludf.DUMMYFUNCTION("""COMPUTED_VALUE"""),"hideous")</f>
        <v>hideous</v>
      </c>
      <c r="I1602" s="6"/>
      <c r="J1602" s="6" t="str">
        <f>IFERROR(__xludf.DUMMYFUNCTION("""COMPUTED_VALUE"""),"damon")</f>
        <v>damon</v>
      </c>
      <c r="M1602" s="6"/>
      <c r="P1602" s="6" t="str">
        <f>IFERROR(__xludf.DUMMYFUNCTION("""COMPUTED_VALUE"""),"commune")</f>
        <v>commune</v>
      </c>
      <c r="Q1602" s="6" t="str">
        <f>IFERROR(__xludf.DUMMYFUNCTION("""COMPUTED_VALUE"""),"album")</f>
        <v>album</v>
      </c>
      <c r="S1602" s="6" t="str">
        <f>IFERROR(__xludf.DUMMYFUNCTION("""COMPUTED_VALUE"""),"stakes")</f>
        <v>stakes</v>
      </c>
    </row>
    <row r="1603">
      <c r="D1603" s="6"/>
      <c r="H1603" s="6" t="str">
        <f>IFERROR(__xludf.DUMMYFUNCTION("""COMPUTED_VALUE"""),"throbbing")</f>
        <v>throbbing</v>
      </c>
      <c r="I1603" s="6"/>
      <c r="J1603" s="6">
        <f>IFERROR(__xludf.DUMMYFUNCTION("""COMPUTED_VALUE"""),163.0)</f>
        <v>163</v>
      </c>
      <c r="M1603" s="6"/>
      <c r="P1603" s="6" t="str">
        <f>IFERROR(__xludf.DUMMYFUNCTION("""COMPUTED_VALUE"""),"casualties")</f>
        <v>casualties</v>
      </c>
      <c r="Q1603" s="6" t="str">
        <f>IFERROR(__xludf.DUMMYFUNCTION("""COMPUTED_VALUE"""),"sheridan")</f>
        <v>sheridan</v>
      </c>
      <c r="S1603" s="6" t="str">
        <f>IFERROR(__xludf.DUMMYFUNCTION("""COMPUTED_VALUE"""),"ran")</f>
        <v>ran</v>
      </c>
    </row>
    <row r="1604">
      <c r="D1604" s="6"/>
      <c r="H1604" s="6" t="str">
        <f>IFERROR(__xludf.DUMMYFUNCTION("""COMPUTED_VALUE"""),"myth")</f>
        <v>myth</v>
      </c>
      <c r="I1604" s="6"/>
      <c r="J1604" s="6" t="str">
        <f>IFERROR(__xludf.DUMMYFUNCTION("""COMPUTED_VALUE"""),"iii")</f>
        <v>iii</v>
      </c>
      <c r="M1604" s="6"/>
      <c r="P1604" s="6" t="str">
        <f>IFERROR(__xludf.DUMMYFUNCTION("""COMPUTED_VALUE"""),"expansion")</f>
        <v>expansion</v>
      </c>
      <c r="Q1604" s="6" t="str">
        <f>IFERROR(__xludf.DUMMYFUNCTION("""COMPUTED_VALUE"""),"stylized")</f>
        <v>stylized</v>
      </c>
      <c r="S1604" s="6" t="str">
        <f>IFERROR(__xludf.DUMMYFUNCTION("""COMPUTED_VALUE"""),"answer")</f>
        <v>answer</v>
      </c>
    </row>
    <row r="1605">
      <c r="D1605" s="6"/>
      <c r="H1605" s="6" t="str">
        <f>IFERROR(__xludf.DUMMYFUNCTION("""COMPUTED_VALUE"""),"heroic")</f>
        <v>heroic</v>
      </c>
      <c r="I1605" s="6"/>
      <c r="J1605" s="6" t="str">
        <f>IFERROR(__xludf.DUMMYFUNCTION("""COMPUTED_VALUE"""),"proposal")</f>
        <v>proposal</v>
      </c>
      <c r="M1605" s="6"/>
      <c r="P1605" s="6" t="str">
        <f>IFERROR(__xludf.DUMMYFUNCTION("""COMPUTED_VALUE"""),"compositions")</f>
        <v>compositions</v>
      </c>
      <c r="Q1605" s="6" t="str">
        <f>IFERROR(__xludf.DUMMYFUNCTION("""COMPUTED_VALUE"""),"appropriated")</f>
        <v>appropriated</v>
      </c>
      <c r="S1605" s="6" t="str">
        <f>IFERROR(__xludf.DUMMYFUNCTION("""COMPUTED_VALUE"""),"er")</f>
        <v>er</v>
      </c>
    </row>
    <row r="1606">
      <c r="D1606" s="6"/>
      <c r="H1606" s="6" t="str">
        <f>IFERROR(__xludf.DUMMYFUNCTION("""COMPUTED_VALUE"""),"sprung")</f>
        <v>sprung</v>
      </c>
      <c r="I1606" s="6"/>
      <c r="J1606" s="6" t="str">
        <f>IFERROR(__xludf.DUMMYFUNCTION("""COMPUTED_VALUE"""),"eventual")</f>
        <v>eventual</v>
      </c>
      <c r="M1606" s="6"/>
      <c r="P1606" s="6" t="str">
        <f>IFERROR(__xludf.DUMMYFUNCTION("""COMPUTED_VALUE"""),"rose")</f>
        <v>rose</v>
      </c>
      <c r="Q1606" s="6" t="str">
        <f>IFERROR(__xludf.DUMMYFUNCTION("""COMPUTED_VALUE"""),"square")</f>
        <v>square</v>
      </c>
      <c r="S1606" s="6" t="str">
        <f>IFERROR(__xludf.DUMMYFUNCTION("""COMPUTED_VALUE"""),"mud")</f>
        <v>mud</v>
      </c>
    </row>
    <row r="1607">
      <c r="D1607" s="6"/>
      <c r="H1607" s="6" t="str">
        <f>IFERROR(__xludf.DUMMYFUNCTION("""COMPUTED_VALUE"""),"humidity")</f>
        <v>humidity</v>
      </c>
      <c r="I1607" s="6"/>
      <c r="J1607" s="6" t="str">
        <f>IFERROR(__xludf.DUMMYFUNCTION("""COMPUTED_VALUE"""),"commands")</f>
        <v>commands</v>
      </c>
      <c r="M1607" s="6"/>
      <c r="P1607" s="6" t="str">
        <f>IFERROR(__xludf.DUMMYFUNCTION("""COMPUTED_VALUE"""),"kane")</f>
        <v>kane</v>
      </c>
      <c r="Q1607" s="6" t="str">
        <f>IFERROR(__xludf.DUMMYFUNCTION("""COMPUTED_VALUE"""),"hilary")</f>
        <v>hilary</v>
      </c>
      <c r="S1607" s="6" t="str">
        <f>IFERROR(__xludf.DUMMYFUNCTION("""COMPUTED_VALUE"""),"tucker")</f>
        <v>tucker</v>
      </c>
    </row>
    <row r="1608">
      <c r="D1608" s="6"/>
      <c r="H1608" s="6" t="str">
        <f>IFERROR(__xludf.DUMMYFUNCTION("""COMPUTED_VALUE"""),"expressions")</f>
        <v>expressions</v>
      </c>
      <c r="I1608" s="6"/>
      <c r="J1608" s="6" t="str">
        <f>IFERROR(__xludf.DUMMYFUNCTION("""COMPUTED_VALUE"""),"heavyweight")</f>
        <v>heavyweight</v>
      </c>
      <c r="M1608" s="6"/>
      <c r="P1608" s="6" t="str">
        <f>IFERROR(__xludf.DUMMYFUNCTION("""COMPUTED_VALUE"""),"china")</f>
        <v>china</v>
      </c>
      <c r="Q1608" s="6" t="str">
        <f>IFERROR(__xludf.DUMMYFUNCTION("""COMPUTED_VALUE"""),"birmingham")</f>
        <v>birmingham</v>
      </c>
      <c r="S1608" s="6">
        <f>IFERROR(__xludf.DUMMYFUNCTION("""COMPUTED_VALUE"""),94.0)</f>
        <v>94</v>
      </c>
    </row>
    <row r="1609">
      <c r="D1609" s="6"/>
      <c r="H1609" s="6" t="str">
        <f>IFERROR(__xludf.DUMMYFUNCTION("""COMPUTED_VALUE"""),"appearing")</f>
        <v>appearing</v>
      </c>
      <c r="I1609" s="6"/>
      <c r="J1609" s="6" t="str">
        <f>IFERROR(__xludf.DUMMYFUNCTION("""COMPUTED_VALUE"""),"endangered")</f>
        <v>endangered</v>
      </c>
      <c r="M1609" s="6"/>
      <c r="P1609" s="6" t="str">
        <f>IFERROR(__xludf.DUMMYFUNCTION("""COMPUTED_VALUE"""),"ram")</f>
        <v>ram</v>
      </c>
      <c r="Q1609" s="6" t="str">
        <f>IFERROR(__xludf.DUMMYFUNCTION("""COMPUTED_VALUE"""),"rural")</f>
        <v>rural</v>
      </c>
      <c r="S1609" s="6" t="str">
        <f>IFERROR(__xludf.DUMMYFUNCTION("""COMPUTED_VALUE"""),"attempted")</f>
        <v>attempted</v>
      </c>
    </row>
    <row r="1610">
      <c r="D1610" s="6"/>
      <c r="H1610" s="6" t="str">
        <f>IFERROR(__xludf.DUMMYFUNCTION("""COMPUTED_VALUE"""),"award")</f>
        <v>award</v>
      </c>
      <c r="I1610" s="6"/>
      <c r="J1610" s="6" t="str">
        <f>IFERROR(__xludf.DUMMYFUNCTION("""COMPUTED_VALUE"""),"unpaid")</f>
        <v>unpaid</v>
      </c>
      <c r="M1610" s="6"/>
      <c r="P1610" s="6" t="str">
        <f>IFERROR(__xludf.DUMMYFUNCTION("""COMPUTED_VALUE"""),"australia")</f>
        <v>australia</v>
      </c>
      <c r="Q1610" s="6" t="str">
        <f>IFERROR(__xludf.DUMMYFUNCTION("""COMPUTED_VALUE"""),"sensitivity")</f>
        <v>sensitivity</v>
      </c>
      <c r="S1610" s="6" t="str">
        <f>IFERROR(__xludf.DUMMYFUNCTION("""COMPUTED_VALUE"""),"established")</f>
        <v>established</v>
      </c>
    </row>
    <row r="1611">
      <c r="D1611" s="6"/>
      <c r="H1611" s="6" t="str">
        <f>IFERROR(__xludf.DUMMYFUNCTION("""COMPUTED_VALUE"""),"televised")</f>
        <v>televised</v>
      </c>
      <c r="I1611" s="6"/>
      <c r="J1611" s="6" t="str">
        <f>IFERROR(__xludf.DUMMYFUNCTION("""COMPUTED_VALUE"""),"chaplin")</f>
        <v>chaplin</v>
      </c>
      <c r="M1611" s="6"/>
      <c r="P1611" s="6" t="str">
        <f>IFERROR(__xludf.DUMMYFUNCTION("""COMPUTED_VALUE"""),"assets")</f>
        <v>assets</v>
      </c>
      <c r="Q1611" s="6" t="str">
        <f>IFERROR(__xludf.DUMMYFUNCTION("""COMPUTED_VALUE"""),"utilizing")</f>
        <v>utilizing</v>
      </c>
      <c r="S1611" s="6" t="str">
        <f>IFERROR(__xludf.DUMMYFUNCTION("""COMPUTED_VALUE"""),"powers")</f>
        <v>powers</v>
      </c>
    </row>
    <row r="1612">
      <c r="D1612" s="6"/>
      <c r="H1612" s="6" t="str">
        <f>IFERROR(__xludf.DUMMYFUNCTION("""COMPUTED_VALUE"""),"chord")</f>
        <v>chord</v>
      </c>
      <c r="I1612" s="6"/>
      <c r="J1612" s="6" t="str">
        <f>IFERROR(__xludf.DUMMYFUNCTION("""COMPUTED_VALUE"""),"fiercely")</f>
        <v>fiercely</v>
      </c>
      <c r="M1612" s="6"/>
      <c r="P1612" s="6"/>
      <c r="Q1612" s="6" t="str">
        <f>IFERROR(__xludf.DUMMYFUNCTION("""COMPUTED_VALUE"""),"precision")</f>
        <v>precision</v>
      </c>
      <c r="S1612" s="6" t="str">
        <f>IFERROR(__xludf.DUMMYFUNCTION("""COMPUTED_VALUE"""),"segment")</f>
        <v>segment</v>
      </c>
    </row>
    <row r="1613">
      <c r="D1613" s="6"/>
      <c r="H1613" s="6" t="str">
        <f>IFERROR(__xludf.DUMMYFUNCTION("""COMPUTED_VALUE"""),"morals")</f>
        <v>morals</v>
      </c>
      <c r="I1613" s="6"/>
      <c r="J1613" s="6" t="str">
        <f>IFERROR(__xludf.DUMMYFUNCTION("""COMPUTED_VALUE"""),"exhaustion")</f>
        <v>exhaustion</v>
      </c>
      <c r="M1613" s="6"/>
      <c r="P1613" s="6"/>
      <c r="Q1613" s="6" t="str">
        <f>IFERROR(__xludf.DUMMYFUNCTION("""COMPUTED_VALUE"""),"front")</f>
        <v>front</v>
      </c>
      <c r="S1613" s="6" t="str">
        <f>IFERROR(__xludf.DUMMYFUNCTION("""COMPUTED_VALUE"""),"fictional")</f>
        <v>fictional</v>
      </c>
    </row>
    <row r="1614">
      <c r="D1614" s="6"/>
      <c r="H1614" s="6" t="str">
        <f>IFERROR(__xludf.DUMMYFUNCTION("""COMPUTED_VALUE"""),"chronicle")</f>
        <v>chronicle</v>
      </c>
      <c r="I1614" s="6"/>
      <c r="J1614" s="6" t="str">
        <f>IFERROR(__xludf.DUMMYFUNCTION("""COMPUTED_VALUE"""),"installment")</f>
        <v>installment</v>
      </c>
      <c r="M1614" s="6"/>
      <c r="P1614" s="6"/>
      <c r="Q1614" s="6" t="str">
        <f>IFERROR(__xludf.DUMMYFUNCTION("""COMPUTED_VALUE"""),"aspirations")</f>
        <v>aspirations</v>
      </c>
      <c r="S1614" s="6" t="str">
        <f>IFERROR(__xludf.DUMMYFUNCTION("""COMPUTED_VALUE"""),"roster")</f>
        <v>roster</v>
      </c>
    </row>
    <row r="1615">
      <c r="D1615" s="6"/>
      <c r="H1615" s="6" t="str">
        <f>IFERROR(__xludf.DUMMYFUNCTION("""COMPUTED_VALUE"""),"parker")</f>
        <v>parker</v>
      </c>
      <c r="I1615" s="6"/>
      <c r="J1615" s="6" t="str">
        <f>IFERROR(__xludf.DUMMYFUNCTION("""COMPUTED_VALUE"""),"grenade")</f>
        <v>grenade</v>
      </c>
      <c r="M1615" s="6"/>
      <c r="P1615" s="6"/>
      <c r="Q1615" s="6" t="str">
        <f>IFERROR(__xludf.DUMMYFUNCTION("""COMPUTED_VALUE"""),"charms")</f>
        <v>charms</v>
      </c>
      <c r="S1615" s="6" t="str">
        <f>IFERROR(__xludf.DUMMYFUNCTION("""COMPUTED_VALUE"""),"gregory")</f>
        <v>gregory</v>
      </c>
    </row>
    <row r="1616">
      <c r="D1616" s="6"/>
      <c r="H1616" s="6" t="str">
        <f>IFERROR(__xludf.DUMMYFUNCTION("""COMPUTED_VALUE"""),"flowering")</f>
        <v>flowering</v>
      </c>
      <c r="I1616" s="6"/>
      <c r="J1616" s="6" t="str">
        <f>IFERROR(__xludf.DUMMYFUNCTION("""COMPUTED_VALUE"""),"discoveries")</f>
        <v>discoveries</v>
      </c>
      <c r="M1616" s="6"/>
      <c r="P1616" s="6"/>
      <c r="Q1616" s="6" t="str">
        <f>IFERROR(__xludf.DUMMYFUNCTION("""COMPUTED_VALUE"""),"conservative")</f>
        <v>conservative</v>
      </c>
      <c r="S1616" s="6" t="str">
        <f>IFERROR(__xludf.DUMMYFUNCTION("""COMPUTED_VALUE"""),"stroke")</f>
        <v>stroke</v>
      </c>
    </row>
    <row r="1617">
      <c r="D1617" s="6"/>
      <c r="H1617" s="6" t="str">
        <f>IFERROR(__xludf.DUMMYFUNCTION("""COMPUTED_VALUE"""),"testosterone")</f>
        <v>testosterone</v>
      </c>
      <c r="I1617" s="6"/>
      <c r="J1617" s="6" t="str">
        <f>IFERROR(__xludf.DUMMYFUNCTION("""COMPUTED_VALUE"""),"inhabitants")</f>
        <v>inhabitants</v>
      </c>
      <c r="M1617" s="6"/>
      <c r="P1617" s="6"/>
      <c r="Q1617" s="6" t="str">
        <f>IFERROR(__xludf.DUMMYFUNCTION("""COMPUTED_VALUE"""),"garnered")</f>
        <v>garnered</v>
      </c>
      <c r="S1617" s="6" t="str">
        <f>IFERROR(__xludf.DUMMYFUNCTION("""COMPUTED_VALUE"""),"nominated")</f>
        <v>nominated</v>
      </c>
    </row>
    <row r="1618">
      <c r="D1618" s="6"/>
      <c r="H1618" s="6" t="str">
        <f>IFERROR(__xludf.DUMMYFUNCTION("""COMPUTED_VALUE"""),"serials")</f>
        <v>serials</v>
      </c>
      <c r="I1618" s="6"/>
      <c r="J1618" s="6" t="str">
        <f>IFERROR(__xludf.DUMMYFUNCTION("""COMPUTED_VALUE"""),"christianity")</f>
        <v>christianity</v>
      </c>
      <c r="M1618" s="6"/>
      <c r="P1618" s="6"/>
      <c r="Q1618" s="6" t="str">
        <f>IFERROR(__xludf.DUMMYFUNCTION("""COMPUTED_VALUE"""),"condition")</f>
        <v>condition</v>
      </c>
      <c r="S1618" s="6" t="str">
        <f>IFERROR(__xludf.DUMMYFUNCTION("""COMPUTED_VALUE"""),"chen")</f>
        <v>chen</v>
      </c>
    </row>
    <row r="1619">
      <c r="D1619" s="6"/>
      <c r="H1619" s="6" t="str">
        <f>IFERROR(__xludf.DUMMYFUNCTION("""COMPUTED_VALUE"""),"slender")</f>
        <v>slender</v>
      </c>
      <c r="I1619" s="6"/>
      <c r="J1619" s="6" t="str">
        <f>IFERROR(__xludf.DUMMYFUNCTION("""COMPUTED_VALUE"""),"activism")</f>
        <v>activism</v>
      </c>
      <c r="M1619" s="6"/>
      <c r="P1619" s="6"/>
      <c r="Q1619" s="6" t="str">
        <f>IFERROR(__xludf.DUMMYFUNCTION("""COMPUTED_VALUE"""),"privy")</f>
        <v>privy</v>
      </c>
      <c r="S1619" s="6" t="str">
        <f>IFERROR(__xludf.DUMMYFUNCTION("""COMPUTED_VALUE"""),"economics")</f>
        <v>economics</v>
      </c>
    </row>
    <row r="1620">
      <c r="D1620" s="6"/>
      <c r="H1620" s="6" t="str">
        <f>IFERROR(__xludf.DUMMYFUNCTION("""COMPUTED_VALUE"""),"kaufman")</f>
        <v>kaufman</v>
      </c>
      <c r="I1620" s="6"/>
      <c r="J1620" s="6" t="str">
        <f>IFERROR(__xludf.DUMMYFUNCTION("""COMPUTED_VALUE"""),"walsh")</f>
        <v>walsh</v>
      </c>
      <c r="M1620" s="6"/>
      <c r="P1620" s="6"/>
      <c r="Q1620" s="6" t="str">
        <f>IFERROR(__xludf.DUMMYFUNCTION("""COMPUTED_VALUE"""),"underlying")</f>
        <v>underlying</v>
      </c>
      <c r="S1620" s="6" t="str">
        <f>IFERROR(__xludf.DUMMYFUNCTION("""COMPUTED_VALUE"""),"followers")</f>
        <v>followers</v>
      </c>
    </row>
    <row r="1621">
      <c r="D1621" s="6"/>
      <c r="H1621" s="6" t="str">
        <f>IFERROR(__xludf.DUMMYFUNCTION("""COMPUTED_VALUE"""),"masculine")</f>
        <v>masculine</v>
      </c>
      <c r="I1621" s="6"/>
      <c r="J1621" s="6" t="str">
        <f>IFERROR(__xludf.DUMMYFUNCTION("""COMPUTED_VALUE"""),"eileen")</f>
        <v>eileen</v>
      </c>
      <c r="M1621" s="6"/>
      <c r="P1621" s="6"/>
      <c r="Q1621" s="6" t="str">
        <f>IFERROR(__xludf.DUMMYFUNCTION("""COMPUTED_VALUE"""),"space")</f>
        <v>space</v>
      </c>
      <c r="S1621" s="6" t="str">
        <f>IFERROR(__xludf.DUMMYFUNCTION("""COMPUTED_VALUE"""),"stark")</f>
        <v>stark</v>
      </c>
    </row>
    <row r="1622">
      <c r="D1622" s="6"/>
      <c r="H1622" s="6" t="str">
        <f>IFERROR(__xludf.DUMMYFUNCTION("""COMPUTED_VALUE"""),"humanist")</f>
        <v>humanist</v>
      </c>
      <c r="I1622" s="6"/>
      <c r="J1622" s="6" t="str">
        <f>IFERROR(__xludf.DUMMYFUNCTION("""COMPUTED_VALUE"""),"taut")</f>
        <v>taut</v>
      </c>
      <c r="M1622" s="6"/>
      <c r="P1622" s="6"/>
      <c r="Q1622" s="6" t="str">
        <f>IFERROR(__xludf.DUMMYFUNCTION("""COMPUTED_VALUE"""),"sought")</f>
        <v>sought</v>
      </c>
      <c r="S1622" s="6" t="str">
        <f>IFERROR(__xludf.DUMMYFUNCTION("""COMPUTED_VALUE"""),"insurance")</f>
        <v>insurance</v>
      </c>
    </row>
    <row r="1623">
      <c r="D1623" s="6"/>
      <c r="H1623" s="6" t="str">
        <f>IFERROR(__xludf.DUMMYFUNCTION("""COMPUTED_VALUE"""),"adaptations")</f>
        <v>adaptations</v>
      </c>
      <c r="I1623" s="6"/>
      <c r="J1623" s="6" t="str">
        <f>IFERROR(__xludf.DUMMYFUNCTION("""COMPUTED_VALUE"""),"discreet")</f>
        <v>discreet</v>
      </c>
      <c r="M1623" s="6"/>
      <c r="P1623" s="6"/>
      <c r="Q1623" s="6" t="str">
        <f>IFERROR(__xludf.DUMMYFUNCTION("""COMPUTED_VALUE"""),"superhero")</f>
        <v>superhero</v>
      </c>
      <c r="S1623" s="6" t="str">
        <f>IFERROR(__xludf.DUMMYFUNCTION("""COMPUTED_VALUE"""),"del")</f>
        <v>del</v>
      </c>
    </row>
    <row r="1624">
      <c r="D1624" s="6"/>
      <c r="H1624" s="6" t="str">
        <f>IFERROR(__xludf.DUMMYFUNCTION("""COMPUTED_VALUE"""),"satin")</f>
        <v>satin</v>
      </c>
      <c r="I1624" s="6"/>
      <c r="J1624" s="6" t="str">
        <f>IFERROR(__xludf.DUMMYFUNCTION("""COMPUTED_VALUE"""),"partnership")</f>
        <v>partnership</v>
      </c>
      <c r="M1624" s="6"/>
      <c r="P1624" s="6"/>
      <c r="Q1624" s="6" t="str">
        <f>IFERROR(__xludf.DUMMYFUNCTION("""COMPUTED_VALUE"""),"intellect")</f>
        <v>intellect</v>
      </c>
      <c r="S1624" s="6" t="str">
        <f>IFERROR(__xludf.DUMMYFUNCTION("""COMPUTED_VALUE"""),"library")</f>
        <v>library</v>
      </c>
    </row>
    <row r="1625">
      <c r="D1625" s="6"/>
      <c r="H1625" s="6" t="str">
        <f>IFERROR(__xludf.DUMMYFUNCTION("""COMPUTED_VALUE"""),"integrated")</f>
        <v>integrated</v>
      </c>
      <c r="I1625" s="6"/>
      <c r="J1625" s="6" t="str">
        <f>IFERROR(__xludf.DUMMYFUNCTION("""COMPUTED_VALUE"""),"mined")</f>
        <v>mined</v>
      </c>
      <c r="M1625" s="6"/>
      <c r="P1625" s="6"/>
      <c r="Q1625" s="6" t="str">
        <f>IFERROR(__xludf.DUMMYFUNCTION("""COMPUTED_VALUE"""),"kissing")</f>
        <v>kissing</v>
      </c>
      <c r="S1625" s="6" t="str">
        <f>IFERROR(__xludf.DUMMYFUNCTION("""COMPUTED_VALUE"""),"dust")</f>
        <v>dust</v>
      </c>
    </row>
    <row r="1626">
      <c r="D1626" s="6"/>
      <c r="H1626" s="6" t="str">
        <f>IFERROR(__xludf.DUMMYFUNCTION("""COMPUTED_VALUE"""),"speculative")</f>
        <v>speculative</v>
      </c>
      <c r="I1626" s="6"/>
      <c r="J1626" s="6" t="str">
        <f>IFERROR(__xludf.DUMMYFUNCTION("""COMPUTED_VALUE"""),"glass")</f>
        <v>glass</v>
      </c>
      <c r="M1626" s="6"/>
      <c r="P1626" s="6"/>
      <c r="Q1626" s="6" t="str">
        <f>IFERROR(__xludf.DUMMYFUNCTION("""COMPUTED_VALUE"""),"pencil")</f>
        <v>pencil</v>
      </c>
      <c r="S1626" s="6" t="str">
        <f>IFERROR(__xludf.DUMMYFUNCTION("""COMPUTED_VALUE"""),"regard")</f>
        <v>regard</v>
      </c>
    </row>
    <row r="1627">
      <c r="D1627" s="6"/>
      <c r="H1627" s="6" t="str">
        <f>IFERROR(__xludf.DUMMYFUNCTION("""COMPUTED_VALUE"""),"successes")</f>
        <v>successes</v>
      </c>
      <c r="I1627" s="6"/>
      <c r="J1627" s="6" t="str">
        <f>IFERROR(__xludf.DUMMYFUNCTION("""COMPUTED_VALUE"""),"tabloid")</f>
        <v>tabloid</v>
      </c>
      <c r="M1627" s="6"/>
      <c r="P1627" s="6"/>
      <c r="Q1627" s="6" t="str">
        <f>IFERROR(__xludf.DUMMYFUNCTION("""COMPUTED_VALUE"""),"stuffing")</f>
        <v>stuffing</v>
      </c>
      <c r="S1627" s="6" t="str">
        <f>IFERROR(__xludf.DUMMYFUNCTION("""COMPUTED_VALUE"""),"damaged")</f>
        <v>damaged</v>
      </c>
    </row>
    <row r="1628">
      <c r="D1628" s="6"/>
      <c r="H1628" s="6" t="str">
        <f>IFERROR(__xludf.DUMMYFUNCTION("""COMPUTED_VALUE"""),"store")</f>
        <v>store</v>
      </c>
      <c r="I1628" s="6"/>
      <c r="J1628" s="6" t="str">
        <f>IFERROR(__xludf.DUMMYFUNCTION("""COMPUTED_VALUE"""),"mystical")</f>
        <v>mystical</v>
      </c>
      <c r="M1628" s="6"/>
      <c r="P1628" s="6"/>
      <c r="Q1628" s="6" t="str">
        <f>IFERROR(__xludf.DUMMYFUNCTION("""COMPUTED_VALUE"""),"defiance")</f>
        <v>defiance</v>
      </c>
      <c r="S1628" s="6" t="str">
        <f>IFERROR(__xludf.DUMMYFUNCTION("""COMPUTED_VALUE"""),"thrust")</f>
        <v>thrust</v>
      </c>
    </row>
    <row r="1629">
      <c r="D1629" s="6"/>
      <c r="H1629" s="6" t="str">
        <f>IFERROR(__xludf.DUMMYFUNCTION("""COMPUTED_VALUE"""),"characterized")</f>
        <v>characterized</v>
      </c>
      <c r="I1629" s="6"/>
      <c r="J1629" s="6" t="str">
        <f>IFERROR(__xludf.DUMMYFUNCTION("""COMPUTED_VALUE"""),"derive")</f>
        <v>derive</v>
      </c>
      <c r="M1629" s="6"/>
      <c r="P1629" s="6"/>
      <c r="Q1629" s="6" t="str">
        <f>IFERROR(__xludf.DUMMYFUNCTION("""COMPUTED_VALUE"""),"pollution")</f>
        <v>pollution</v>
      </c>
      <c r="S1629" s="6" t="str">
        <f>IFERROR(__xludf.DUMMYFUNCTION("""COMPUTED_VALUE"""),"teeth")</f>
        <v>teeth</v>
      </c>
    </row>
    <row r="1630">
      <c r="D1630" s="6"/>
      <c r="H1630" s="6" t="str">
        <f>IFERROR(__xludf.DUMMYFUNCTION("""COMPUTED_VALUE"""),"post")</f>
        <v>post</v>
      </c>
      <c r="I1630" s="6"/>
      <c r="J1630" s="6" t="str">
        <f>IFERROR(__xludf.DUMMYFUNCTION("""COMPUTED_VALUE"""),"tinged")</f>
        <v>tinged</v>
      </c>
      <c r="M1630" s="6"/>
      <c r="P1630" s="6"/>
      <c r="Q1630" s="6" t="str">
        <f>IFERROR(__xludf.DUMMYFUNCTION("""COMPUTED_VALUE"""),"achieving")</f>
        <v>achieving</v>
      </c>
      <c r="S1630" s="6" t="str">
        <f>IFERROR(__xludf.DUMMYFUNCTION("""COMPUTED_VALUE"""),"angel")</f>
        <v>angel</v>
      </c>
    </row>
    <row r="1631">
      <c r="D1631" s="6"/>
      <c r="H1631" s="6" t="str">
        <f>IFERROR(__xludf.DUMMYFUNCTION("""COMPUTED_VALUE"""),"cardiac")</f>
        <v>cardiac</v>
      </c>
      <c r="I1631" s="6"/>
      <c r="J1631" s="6" t="str">
        <f>IFERROR(__xludf.DUMMYFUNCTION("""COMPUTED_VALUE"""),"manipulating")</f>
        <v>manipulating</v>
      </c>
      <c r="M1631" s="6"/>
      <c r="P1631" s="6"/>
      <c r="Q1631" s="6" t="str">
        <f>IFERROR(__xludf.DUMMYFUNCTION("""COMPUTED_VALUE"""),"chief")</f>
        <v>chief</v>
      </c>
      <c r="S1631" s="6" t="str">
        <f>IFERROR(__xludf.DUMMYFUNCTION("""COMPUTED_VALUE"""),"crossed")</f>
        <v>crossed</v>
      </c>
    </row>
    <row r="1632">
      <c r="D1632" s="6"/>
      <c r="H1632" s="6" t="str">
        <f>IFERROR(__xludf.DUMMYFUNCTION("""COMPUTED_VALUE"""),"marquis")</f>
        <v>marquis</v>
      </c>
      <c r="I1632" s="6"/>
      <c r="J1632" s="6" t="str">
        <f>IFERROR(__xludf.DUMMYFUNCTION("""COMPUTED_VALUE"""),"barry")</f>
        <v>barry</v>
      </c>
      <c r="M1632" s="6"/>
      <c r="P1632" s="6"/>
      <c r="Q1632" s="6" t="str">
        <f>IFERROR(__xludf.DUMMYFUNCTION("""COMPUTED_VALUE"""),"impress")</f>
        <v>impress</v>
      </c>
      <c r="S1632" s="6" t="str">
        <f>IFERROR(__xludf.DUMMYFUNCTION("""COMPUTED_VALUE"""),"participants")</f>
        <v>participants</v>
      </c>
    </row>
    <row r="1633">
      <c r="D1633" s="6"/>
      <c r="H1633" s="6" t="str">
        <f>IFERROR(__xludf.DUMMYFUNCTION("""COMPUTED_VALUE"""),"menace")</f>
        <v>menace</v>
      </c>
      <c r="I1633" s="6"/>
      <c r="J1633" s="6" t="str">
        <f>IFERROR(__xludf.DUMMYFUNCTION("""COMPUTED_VALUE"""),"hypothesis")</f>
        <v>hypothesis</v>
      </c>
      <c r="M1633" s="6"/>
      <c r="P1633" s="6"/>
      <c r="Q1633" s="6" t="str">
        <f>IFERROR(__xludf.DUMMYFUNCTION("""COMPUTED_VALUE"""),"sorrow")</f>
        <v>sorrow</v>
      </c>
      <c r="S1633" s="6" t="str">
        <f>IFERROR(__xludf.DUMMYFUNCTION("""COMPUTED_VALUE"""),"partly")</f>
        <v>partly</v>
      </c>
    </row>
    <row r="1634">
      <c r="D1634" s="6"/>
      <c r="H1634" s="6" t="str">
        <f>IFERROR(__xludf.DUMMYFUNCTION("""COMPUTED_VALUE"""),"nerves")</f>
        <v>nerves</v>
      </c>
      <c r="I1634" s="6"/>
      <c r="J1634" s="6" t="str">
        <f>IFERROR(__xludf.DUMMYFUNCTION("""COMPUTED_VALUE"""),"elemental")</f>
        <v>elemental</v>
      </c>
      <c r="M1634" s="6"/>
      <c r="P1634" s="6"/>
      <c r="Q1634" s="6" t="str">
        <f>IFERROR(__xludf.DUMMYFUNCTION("""COMPUTED_VALUE"""),"intensely")</f>
        <v>intensely</v>
      </c>
      <c r="S1634" s="6" t="str">
        <f>IFERROR(__xludf.DUMMYFUNCTION("""COMPUTED_VALUE"""),"carl")</f>
        <v>carl</v>
      </c>
    </row>
    <row r="1635">
      <c r="D1635" s="6"/>
      <c r="H1635" s="6" t="str">
        <f>IFERROR(__xludf.DUMMYFUNCTION("""COMPUTED_VALUE"""),"yank")</f>
        <v>yank</v>
      </c>
      <c r="I1635" s="6"/>
      <c r="J1635" s="6">
        <f>IFERROR(__xludf.DUMMYFUNCTION("""COMPUTED_VALUE"""),18.0)</f>
        <v>18</v>
      </c>
      <c r="M1635" s="6"/>
      <c r="P1635" s="6"/>
      <c r="Q1635" s="6" t="str">
        <f>IFERROR(__xludf.DUMMYFUNCTION("""COMPUTED_VALUE"""),"glucose")</f>
        <v>glucose</v>
      </c>
      <c r="S1635" s="6" t="str">
        <f>IFERROR(__xludf.DUMMYFUNCTION("""COMPUTED_VALUE"""),"franklin")</f>
        <v>franklin</v>
      </c>
    </row>
    <row r="1636">
      <c r="D1636" s="6"/>
      <c r="H1636" s="6" t="str">
        <f>IFERROR(__xludf.DUMMYFUNCTION("""COMPUTED_VALUE"""),"leash")</f>
        <v>leash</v>
      </c>
      <c r="I1636" s="6"/>
      <c r="J1636" s="6" t="str">
        <f>IFERROR(__xludf.DUMMYFUNCTION("""COMPUTED_VALUE"""),"needy")</f>
        <v>needy</v>
      </c>
      <c r="M1636" s="6"/>
      <c r="P1636" s="6"/>
      <c r="Q1636" s="6" t="str">
        <f>IFERROR(__xludf.DUMMYFUNCTION("""COMPUTED_VALUE"""),"revelation")</f>
        <v>revelation</v>
      </c>
      <c r="S1636" s="6" t="str">
        <f>IFERROR(__xludf.DUMMYFUNCTION("""COMPUTED_VALUE"""),"jon")</f>
        <v>jon</v>
      </c>
    </row>
    <row r="1637">
      <c r="D1637" s="6"/>
      <c r="H1637" s="6" t="str">
        <f>IFERROR(__xludf.DUMMYFUNCTION("""COMPUTED_VALUE"""),"signals")</f>
        <v>signals</v>
      </c>
      <c r="I1637" s="6"/>
      <c r="J1637" s="6" t="str">
        <f>IFERROR(__xludf.DUMMYFUNCTION("""COMPUTED_VALUE"""),"prostitute")</f>
        <v>prostitute</v>
      </c>
      <c r="M1637" s="6"/>
      <c r="P1637" s="6"/>
      <c r="Q1637" s="6" t="str">
        <f>IFERROR(__xludf.DUMMYFUNCTION("""COMPUTED_VALUE"""),"atmospheric")</f>
        <v>atmospheric</v>
      </c>
      <c r="S1637" s="6" t="str">
        <f>IFERROR(__xludf.DUMMYFUNCTION("""COMPUTED_VALUE"""),"miller")</f>
        <v>miller</v>
      </c>
    </row>
    <row r="1638">
      <c r="D1638" s="6"/>
      <c r="H1638" s="6" t="str">
        <f>IFERROR(__xludf.DUMMYFUNCTION("""COMPUTED_VALUE"""),"intro")</f>
        <v>intro</v>
      </c>
      <c r="I1638" s="6"/>
      <c r="J1638" s="6" t="str">
        <f>IFERROR(__xludf.DUMMYFUNCTION("""COMPUTED_VALUE"""),"radioactive")</f>
        <v>radioactive</v>
      </c>
      <c r="M1638" s="6"/>
      <c r="P1638" s="6"/>
      <c r="Q1638" s="6" t="str">
        <f>IFERROR(__xludf.DUMMYFUNCTION("""COMPUTED_VALUE"""),"horizons")</f>
        <v>horizons</v>
      </c>
      <c r="S1638" s="6" t="str">
        <f>IFERROR(__xludf.DUMMYFUNCTION("""COMPUTED_VALUE"""),"dad")</f>
        <v>dad</v>
      </c>
    </row>
    <row r="1639">
      <c r="D1639" s="6"/>
      <c r="H1639" s="6" t="str">
        <f>IFERROR(__xludf.DUMMYFUNCTION("""COMPUTED_VALUE"""),"topical")</f>
        <v>topical</v>
      </c>
      <c r="I1639" s="6"/>
      <c r="J1639" s="6" t="str">
        <f>IFERROR(__xludf.DUMMYFUNCTION("""COMPUTED_VALUE"""),"destructive")</f>
        <v>destructive</v>
      </c>
      <c r="M1639" s="6"/>
      <c r="P1639" s="6"/>
      <c r="Q1639" s="6" t="str">
        <f>IFERROR(__xludf.DUMMYFUNCTION("""COMPUTED_VALUE"""),"accurately")</f>
        <v>accurately</v>
      </c>
      <c r="S1639" s="6" t="str">
        <f>IFERROR(__xludf.DUMMYFUNCTION("""COMPUTED_VALUE"""),"zhang")</f>
        <v>zhang</v>
      </c>
    </row>
    <row r="1640">
      <c r="D1640" s="6"/>
      <c r="H1640" s="6" t="str">
        <f>IFERROR(__xludf.DUMMYFUNCTION("""COMPUTED_VALUE"""),"manifesto")</f>
        <v>manifesto</v>
      </c>
      <c r="I1640" s="6"/>
      <c r="J1640" s="6" t="str">
        <f>IFERROR(__xludf.DUMMYFUNCTION("""COMPUTED_VALUE"""),"demonic")</f>
        <v>demonic</v>
      </c>
      <c r="M1640" s="6"/>
      <c r="P1640" s="6"/>
      <c r="Q1640" s="6" t="str">
        <f>IFERROR(__xludf.DUMMYFUNCTION("""COMPUTED_VALUE"""),"titled")</f>
        <v>titled</v>
      </c>
      <c r="S1640" s="6" t="str">
        <f>IFERROR(__xludf.DUMMYFUNCTION("""COMPUTED_VALUE"""),"ed")</f>
        <v>ed</v>
      </c>
    </row>
    <row r="1641">
      <c r="D1641" s="6"/>
      <c r="H1641" s="6" t="str">
        <f>IFERROR(__xludf.DUMMYFUNCTION("""COMPUTED_VALUE"""),"duel")</f>
        <v>duel</v>
      </c>
      <c r="I1641" s="6"/>
      <c r="J1641" s="6" t="str">
        <f>IFERROR(__xludf.DUMMYFUNCTION("""COMPUTED_VALUE"""),"poking")</f>
        <v>poking</v>
      </c>
      <c r="M1641" s="6"/>
      <c r="P1641" s="6"/>
      <c r="Q1641" s="6" t="str">
        <f>IFERROR(__xludf.DUMMYFUNCTION("""COMPUTED_VALUE"""),"turmoil")</f>
        <v>turmoil</v>
      </c>
      <c r="S1641" s="6" t="str">
        <f>IFERROR(__xludf.DUMMYFUNCTION("""COMPUTED_VALUE"""),"observed")</f>
        <v>observed</v>
      </c>
    </row>
    <row r="1642">
      <c r="D1642" s="6"/>
      <c r="H1642" s="6" t="str">
        <f>IFERROR(__xludf.DUMMYFUNCTION("""COMPUTED_VALUE"""),"swiftly")</f>
        <v>swiftly</v>
      </c>
      <c r="I1642" s="6"/>
      <c r="J1642" s="6" t="str">
        <f>IFERROR(__xludf.DUMMYFUNCTION("""COMPUTED_VALUE"""),"holmes")</f>
        <v>holmes</v>
      </c>
      <c r="M1642" s="6"/>
      <c r="P1642" s="6"/>
      <c r="Q1642" s="6" t="str">
        <f>IFERROR(__xludf.DUMMYFUNCTION("""COMPUTED_VALUE"""),"ad")</f>
        <v>ad</v>
      </c>
      <c r="S1642" s="6" t="str">
        <f>IFERROR(__xludf.DUMMYFUNCTION("""COMPUTED_VALUE"""),"lies")</f>
        <v>lies</v>
      </c>
    </row>
    <row r="1643">
      <c r="D1643" s="6"/>
      <c r="H1643" s="6" t="str">
        <f>IFERROR(__xludf.DUMMYFUNCTION("""COMPUTED_VALUE"""),"wanderers")</f>
        <v>wanderers</v>
      </c>
      <c r="I1643" s="6"/>
      <c r="J1643" s="6" t="str">
        <f>IFERROR(__xludf.DUMMYFUNCTION("""COMPUTED_VALUE"""),"convictions")</f>
        <v>convictions</v>
      </c>
      <c r="M1643" s="6"/>
      <c r="P1643" s="6"/>
      <c r="Q1643" s="6">
        <f>IFERROR(__xludf.DUMMYFUNCTION("""COMPUTED_VALUE"""),83.0)</f>
        <v>83</v>
      </c>
      <c r="S1643" s="6" t="str">
        <f>IFERROR(__xludf.DUMMYFUNCTION("""COMPUTED_VALUE"""),"determination")</f>
        <v>determination</v>
      </c>
    </row>
    <row r="1644">
      <c r="D1644" s="6"/>
      <c r="H1644" s="6" t="str">
        <f>IFERROR(__xludf.DUMMYFUNCTION("""COMPUTED_VALUE"""),"equilibrium")</f>
        <v>equilibrium</v>
      </c>
      <c r="I1644" s="6"/>
      <c r="J1644" s="6" t="str">
        <f>IFERROR(__xludf.DUMMYFUNCTION("""COMPUTED_VALUE"""),"populace")</f>
        <v>populace</v>
      </c>
      <c r="M1644" s="6"/>
      <c r="P1644" s="6"/>
      <c r="Q1644" s="6" t="str">
        <f>IFERROR(__xludf.DUMMYFUNCTION("""COMPUTED_VALUE"""),"hartley")</f>
        <v>hartley</v>
      </c>
      <c r="S1644" s="6" t="str">
        <f>IFERROR(__xludf.DUMMYFUNCTION("""COMPUTED_VALUE"""),"became")</f>
        <v>became</v>
      </c>
    </row>
    <row r="1645">
      <c r="D1645" s="6"/>
      <c r="H1645" s="6" t="str">
        <f>IFERROR(__xludf.DUMMYFUNCTION("""COMPUTED_VALUE"""),"calculating")</f>
        <v>calculating</v>
      </c>
      <c r="I1645" s="6"/>
      <c r="J1645" s="6" t="str">
        <f>IFERROR(__xludf.DUMMYFUNCTION("""COMPUTED_VALUE"""),"journalist")</f>
        <v>journalist</v>
      </c>
      <c r="M1645" s="6"/>
      <c r="P1645" s="6"/>
      <c r="Q1645" s="6" t="str">
        <f>IFERROR(__xludf.DUMMYFUNCTION("""COMPUTED_VALUE"""),"resembling")</f>
        <v>resembling</v>
      </c>
      <c r="S1645" s="6" t="str">
        <f>IFERROR(__xludf.DUMMYFUNCTION("""COMPUTED_VALUE"""),"surrounding")</f>
        <v>surrounding</v>
      </c>
    </row>
    <row r="1646">
      <c r="D1646" s="6"/>
      <c r="H1646" s="6" t="str">
        <f>IFERROR(__xludf.DUMMYFUNCTION("""COMPUTED_VALUE"""),"criticizing")</f>
        <v>criticizing</v>
      </c>
      <c r="I1646" s="6"/>
      <c r="J1646" s="6" t="str">
        <f>IFERROR(__xludf.DUMMYFUNCTION("""COMPUTED_VALUE"""),"excursion")</f>
        <v>excursion</v>
      </c>
      <c r="M1646" s="6"/>
      <c r="P1646" s="6"/>
      <c r="Q1646" s="6" t="str">
        <f>IFERROR(__xludf.DUMMYFUNCTION("""COMPUTED_VALUE"""),"significance")</f>
        <v>significance</v>
      </c>
      <c r="S1646" s="6" t="str">
        <f>IFERROR(__xludf.DUMMYFUNCTION("""COMPUTED_VALUE"""),"scientists")</f>
        <v>scientists</v>
      </c>
    </row>
    <row r="1647">
      <c r="D1647" s="6"/>
      <c r="H1647" s="6">
        <f>IFERROR(__xludf.DUMMYFUNCTION("""COMPUTED_VALUE"""),295.0)</f>
        <v>295</v>
      </c>
      <c r="I1647" s="6"/>
      <c r="J1647" s="6" t="str">
        <f>IFERROR(__xludf.DUMMYFUNCTION("""COMPUTED_VALUE"""),"exasperated")</f>
        <v>exasperated</v>
      </c>
      <c r="M1647" s="6"/>
      <c r="P1647" s="6"/>
      <c r="Q1647" s="6" t="str">
        <f>IFERROR(__xludf.DUMMYFUNCTION("""COMPUTED_VALUE"""),"anarchist")</f>
        <v>anarchist</v>
      </c>
      <c r="S1647" s="6">
        <f>IFERROR(__xludf.DUMMYFUNCTION("""COMPUTED_VALUE"""),1952.0)</f>
        <v>1952</v>
      </c>
    </row>
    <row r="1648">
      <c r="D1648" s="6"/>
      <c r="H1648" s="6">
        <f>IFERROR(__xludf.DUMMYFUNCTION("""COMPUTED_VALUE"""),1958.0)</f>
        <v>1958</v>
      </c>
      <c r="I1648" s="6"/>
      <c r="J1648" s="6" t="str">
        <f>IFERROR(__xludf.DUMMYFUNCTION("""COMPUTED_VALUE"""),"venice")</f>
        <v>venice</v>
      </c>
      <c r="M1648" s="6"/>
      <c r="P1648" s="6"/>
      <c r="Q1648" s="6" t="str">
        <f>IFERROR(__xludf.DUMMYFUNCTION("""COMPUTED_VALUE"""),"learn")</f>
        <v>learn</v>
      </c>
      <c r="S1648" s="6" t="str">
        <f>IFERROR(__xludf.DUMMYFUNCTION("""COMPUTED_VALUE"""),"killing")</f>
        <v>killing</v>
      </c>
    </row>
    <row r="1649">
      <c r="D1649" s="6"/>
      <c r="H1649" s="6" t="str">
        <f>IFERROR(__xludf.DUMMYFUNCTION("""COMPUTED_VALUE"""),"fingered")</f>
        <v>fingered</v>
      </c>
      <c r="I1649" s="6"/>
      <c r="J1649" s="6" t="str">
        <f>IFERROR(__xludf.DUMMYFUNCTION("""COMPUTED_VALUE"""),"mika")</f>
        <v>mika</v>
      </c>
      <c r="M1649" s="6"/>
      <c r="P1649" s="6"/>
      <c r="Q1649" s="6" t="str">
        <f>IFERROR(__xludf.DUMMYFUNCTION("""COMPUTED_VALUE"""),"productions")</f>
        <v>productions</v>
      </c>
      <c r="S1649" s="6" t="str">
        <f>IFERROR(__xludf.DUMMYFUNCTION("""COMPUTED_VALUE"""),"defeated")</f>
        <v>defeated</v>
      </c>
    </row>
    <row r="1650">
      <c r="D1650" s="6"/>
      <c r="H1650" s="6" t="str">
        <f>IFERROR(__xludf.DUMMYFUNCTION("""COMPUTED_VALUE"""),"curiously")</f>
        <v>curiously</v>
      </c>
      <c r="I1650" s="6"/>
      <c r="J1650" s="6" t="str">
        <f>IFERROR(__xludf.DUMMYFUNCTION("""COMPUTED_VALUE"""),"fallon")</f>
        <v>fallon</v>
      </c>
      <c r="M1650" s="6"/>
      <c r="P1650" s="6"/>
      <c r="Q1650" s="6" t="str">
        <f>IFERROR(__xludf.DUMMYFUNCTION("""COMPUTED_VALUE"""),"meaningless")</f>
        <v>meaningless</v>
      </c>
      <c r="S1650" s="6" t="str">
        <f>IFERROR(__xludf.DUMMYFUNCTION("""COMPUTED_VALUE"""),"monument")</f>
        <v>monument</v>
      </c>
    </row>
    <row r="1651">
      <c r="D1651" s="6"/>
      <c r="H1651" s="6" t="str">
        <f>IFERROR(__xludf.DUMMYFUNCTION("""COMPUTED_VALUE"""),"characterization")</f>
        <v>characterization</v>
      </c>
      <c r="I1651" s="6"/>
      <c r="J1651" s="6" t="str">
        <f>IFERROR(__xludf.DUMMYFUNCTION("""COMPUTED_VALUE"""),"forgiveness")</f>
        <v>forgiveness</v>
      </c>
      <c r="M1651" s="6"/>
      <c r="P1651" s="6"/>
      <c r="Q1651" s="6" t="str">
        <f>IFERROR(__xludf.DUMMYFUNCTION("""COMPUTED_VALUE"""),"leone")</f>
        <v>leone</v>
      </c>
      <c r="S1651" s="6" t="str">
        <f>IFERROR(__xludf.DUMMYFUNCTION("""COMPUTED_VALUE"""),"minority")</f>
        <v>minority</v>
      </c>
    </row>
    <row r="1652">
      <c r="D1652" s="6"/>
      <c r="H1652" s="6" t="str">
        <f>IFERROR(__xludf.DUMMYFUNCTION("""COMPUTED_VALUE"""),"orchestrated")</f>
        <v>orchestrated</v>
      </c>
      <c r="I1652" s="6"/>
      <c r="J1652" s="6" t="str">
        <f>IFERROR(__xludf.DUMMYFUNCTION("""COMPUTED_VALUE"""),"cinematographer")</f>
        <v>cinematographer</v>
      </c>
      <c r="M1652" s="6"/>
      <c r="P1652" s="6"/>
      <c r="Q1652" s="6" t="str">
        <f>IFERROR(__xludf.DUMMYFUNCTION("""COMPUTED_VALUE"""),"cloudy")</f>
        <v>cloudy</v>
      </c>
      <c r="S1652" s="6" t="str">
        <f>IFERROR(__xludf.DUMMYFUNCTION("""COMPUTED_VALUE"""),"spine")</f>
        <v>spine</v>
      </c>
    </row>
    <row r="1653">
      <c r="D1653" s="6"/>
      <c r="H1653" s="6" t="str">
        <f>IFERROR(__xludf.DUMMYFUNCTION("""COMPUTED_VALUE"""),"confidently")</f>
        <v>confidently</v>
      </c>
      <c r="I1653" s="6"/>
      <c r="J1653" s="6" t="str">
        <f>IFERROR(__xludf.DUMMYFUNCTION("""COMPUTED_VALUE"""),"stevens")</f>
        <v>stevens</v>
      </c>
      <c r="M1653" s="6"/>
      <c r="P1653" s="6"/>
      <c r="Q1653" s="6" t="str">
        <f>IFERROR(__xludf.DUMMYFUNCTION("""COMPUTED_VALUE"""),"hope")</f>
        <v>hope</v>
      </c>
      <c r="S1653" s="6" t="str">
        <f>IFERROR(__xludf.DUMMYFUNCTION("""COMPUTED_VALUE"""),"environmental")</f>
        <v>environmental</v>
      </c>
    </row>
    <row r="1654">
      <c r="D1654" s="6"/>
      <c r="H1654" s="6" t="str">
        <f>IFERROR(__xludf.DUMMYFUNCTION("""COMPUTED_VALUE"""),"doctorate")</f>
        <v>doctorate</v>
      </c>
      <c r="I1654" s="6"/>
      <c r="J1654" s="6" t="str">
        <f>IFERROR(__xludf.DUMMYFUNCTION("""COMPUTED_VALUE"""),"mtv")</f>
        <v>mtv</v>
      </c>
      <c r="M1654" s="6"/>
      <c r="P1654" s="6"/>
      <c r="Q1654" s="6" t="str">
        <f>IFERROR(__xludf.DUMMYFUNCTION("""COMPUTED_VALUE"""),"documentaries")</f>
        <v>documentaries</v>
      </c>
      <c r="S1654" s="6" t="str">
        <f>IFERROR(__xludf.DUMMYFUNCTION("""COMPUTED_VALUE"""),"oh")</f>
        <v>oh</v>
      </c>
    </row>
    <row r="1655">
      <c r="D1655" s="6"/>
      <c r="H1655" s="6" t="str">
        <f>IFERROR(__xludf.DUMMYFUNCTION("""COMPUTED_VALUE"""),"telescope")</f>
        <v>telescope</v>
      </c>
      <c r="I1655" s="6"/>
      <c r="J1655" s="6" t="str">
        <f>IFERROR(__xludf.DUMMYFUNCTION("""COMPUTED_VALUE"""),"hysteria")</f>
        <v>hysteria</v>
      </c>
      <c r="M1655" s="6"/>
      <c r="P1655" s="6"/>
      <c r="Q1655" s="6" t="str">
        <f>IFERROR(__xludf.DUMMYFUNCTION("""COMPUTED_VALUE"""),"peas")</f>
        <v>peas</v>
      </c>
      <c r="S1655" s="6" t="str">
        <f>IFERROR(__xludf.DUMMYFUNCTION("""COMPUTED_VALUE"""),"squeezed")</f>
        <v>squeezed</v>
      </c>
    </row>
    <row r="1656">
      <c r="D1656" s="6"/>
      <c r="H1656" s="6" t="str">
        <f>IFERROR(__xludf.DUMMYFUNCTION("""COMPUTED_VALUE"""),"analytical")</f>
        <v>analytical</v>
      </c>
      <c r="I1656" s="6"/>
      <c r="J1656" s="6" t="str">
        <f>IFERROR(__xludf.DUMMYFUNCTION("""COMPUTED_VALUE"""),"conan")</f>
        <v>conan</v>
      </c>
      <c r="M1656" s="6"/>
      <c r="P1656" s="6"/>
      <c r="Q1656" s="6" t="str">
        <f>IFERROR(__xludf.DUMMYFUNCTION("""COMPUTED_VALUE"""),"mosque")</f>
        <v>mosque</v>
      </c>
      <c r="S1656" s="6" t="str">
        <f>IFERROR(__xludf.DUMMYFUNCTION("""COMPUTED_VALUE"""),"twelve")</f>
        <v>twelve</v>
      </c>
    </row>
    <row r="1657">
      <c r="D1657" s="6"/>
      <c r="H1657" s="6" t="str">
        <f>IFERROR(__xludf.DUMMYFUNCTION("""COMPUTED_VALUE"""),"transforms")</f>
        <v>transforms</v>
      </c>
      <c r="I1657" s="6"/>
      <c r="J1657" s="6" t="str">
        <f>IFERROR(__xludf.DUMMYFUNCTION("""COMPUTED_VALUE"""),"resentment")</f>
        <v>resentment</v>
      </c>
      <c r="M1657" s="6"/>
      <c r="P1657" s="6"/>
      <c r="Q1657" s="6" t="str">
        <f>IFERROR(__xludf.DUMMYFUNCTION("""COMPUTED_VALUE"""),"glimpse")</f>
        <v>glimpse</v>
      </c>
      <c r="S1657" s="6" t="str">
        <f>IFERROR(__xludf.DUMMYFUNCTION("""COMPUTED_VALUE"""),"alfred")</f>
        <v>alfred</v>
      </c>
    </row>
    <row r="1658">
      <c r="D1658" s="6"/>
      <c r="H1658" s="6" t="str">
        <f>IFERROR(__xludf.DUMMYFUNCTION("""COMPUTED_VALUE"""),"undertaking")</f>
        <v>undertaking</v>
      </c>
      <c r="I1658" s="6"/>
      <c r="J1658" s="6" t="str">
        <f>IFERROR(__xludf.DUMMYFUNCTION("""COMPUTED_VALUE"""),"hypnotic")</f>
        <v>hypnotic</v>
      </c>
      <c r="M1658" s="6"/>
      <c r="P1658" s="6"/>
      <c r="Q1658" s="6" t="str">
        <f>IFERROR(__xludf.DUMMYFUNCTION("""COMPUTED_VALUE"""),"queen")</f>
        <v>queen</v>
      </c>
      <c r="S1658" s="6" t="str">
        <f>IFERROR(__xludf.DUMMYFUNCTION("""COMPUTED_VALUE"""),"shakespeare")</f>
        <v>shakespeare</v>
      </c>
    </row>
    <row r="1659">
      <c r="D1659" s="6"/>
      <c r="H1659" s="6" t="str">
        <f>IFERROR(__xludf.DUMMYFUNCTION("""COMPUTED_VALUE"""),"discovery")</f>
        <v>discovery</v>
      </c>
      <c r="I1659" s="6"/>
      <c r="J1659" s="6" t="str">
        <f>IFERROR(__xludf.DUMMYFUNCTION("""COMPUTED_VALUE"""),"welsh")</f>
        <v>welsh</v>
      </c>
      <c r="M1659" s="6"/>
      <c r="P1659" s="6"/>
      <c r="Q1659" s="6" t="str">
        <f>IFERROR(__xludf.DUMMYFUNCTION("""COMPUTED_VALUE"""),"anne")</f>
        <v>anne</v>
      </c>
      <c r="S1659" s="6" t="str">
        <f>IFERROR(__xludf.DUMMYFUNCTION("""COMPUTED_VALUE"""),"companion")</f>
        <v>companion</v>
      </c>
    </row>
    <row r="1660">
      <c r="D1660" s="6"/>
      <c r="H1660" s="6" t="str">
        <f>IFERROR(__xludf.DUMMYFUNCTION("""COMPUTED_VALUE"""),"effectively")</f>
        <v>effectively</v>
      </c>
      <c r="I1660" s="6"/>
      <c r="J1660" s="6" t="str">
        <f>IFERROR(__xludf.DUMMYFUNCTION("""COMPUTED_VALUE"""),"goose")</f>
        <v>goose</v>
      </c>
      <c r="M1660" s="6"/>
      <c r="P1660" s="6"/>
      <c r="Q1660" s="6" t="str">
        <f>IFERROR(__xludf.DUMMYFUNCTION("""COMPUTED_VALUE"""),"sylvie")</f>
        <v>sylvie</v>
      </c>
      <c r="S1660" s="6" t="str">
        <f>IFERROR(__xludf.DUMMYFUNCTION("""COMPUTED_VALUE"""),"beach")</f>
        <v>beach</v>
      </c>
    </row>
    <row r="1661">
      <c r="D1661" s="6"/>
      <c r="H1661" s="6" t="str">
        <f>IFERROR(__xludf.DUMMYFUNCTION("""COMPUTED_VALUE"""),"concentration")</f>
        <v>concentration</v>
      </c>
      <c r="I1661" s="6"/>
      <c r="J1661" s="6" t="str">
        <f>IFERROR(__xludf.DUMMYFUNCTION("""COMPUTED_VALUE"""),"stuart")</f>
        <v>stuart</v>
      </c>
      <c r="M1661" s="6"/>
      <c r="P1661" s="6"/>
      <c r="Q1661" s="6" t="str">
        <f>IFERROR(__xludf.DUMMYFUNCTION("""COMPUTED_VALUE"""),"politically")</f>
        <v>politically</v>
      </c>
      <c r="S1661" s="6" t="str">
        <f>IFERROR(__xludf.DUMMYFUNCTION("""COMPUTED_VALUE"""),"causes")</f>
        <v>causes</v>
      </c>
    </row>
    <row r="1662">
      <c r="D1662" s="6"/>
      <c r="H1662" s="6" t="str">
        <f>IFERROR(__xludf.DUMMYFUNCTION("""COMPUTED_VALUE"""),"neutral")</f>
        <v>neutral</v>
      </c>
      <c r="I1662" s="6"/>
      <c r="J1662" s="6" t="str">
        <f>IFERROR(__xludf.DUMMYFUNCTION("""COMPUTED_VALUE"""),"siegel")</f>
        <v>siegel</v>
      </c>
      <c r="M1662" s="6"/>
      <c r="P1662" s="6"/>
      <c r="Q1662" s="6" t="str">
        <f>IFERROR(__xludf.DUMMYFUNCTION("""COMPUTED_VALUE"""),"eponymous")</f>
        <v>eponymous</v>
      </c>
      <c r="S1662" s="6" t="str">
        <f>IFERROR(__xludf.DUMMYFUNCTION("""COMPUTED_VALUE"""),"buried")</f>
        <v>buried</v>
      </c>
    </row>
    <row r="1663">
      <c r="D1663" s="6"/>
      <c r="H1663" s="6" t="str">
        <f>IFERROR(__xludf.DUMMYFUNCTION("""COMPUTED_VALUE"""),"singh")</f>
        <v>singh</v>
      </c>
      <c r="I1663" s="6"/>
      <c r="J1663" s="6" t="str">
        <f>IFERROR(__xludf.DUMMYFUNCTION("""COMPUTED_VALUE"""),"parochial")</f>
        <v>parochial</v>
      </c>
      <c r="M1663" s="6"/>
      <c r="P1663" s="6"/>
      <c r="Q1663" s="6" t="str">
        <f>IFERROR(__xludf.DUMMYFUNCTION("""COMPUTED_VALUE"""),"mysteries")</f>
        <v>mysteries</v>
      </c>
      <c r="S1663" s="6" t="str">
        <f>IFERROR(__xludf.DUMMYFUNCTION("""COMPUTED_VALUE"""),"lit")</f>
        <v>lit</v>
      </c>
    </row>
    <row r="1664">
      <c r="D1664" s="6"/>
      <c r="H1664" s="6" t="str">
        <f>IFERROR(__xludf.DUMMYFUNCTION("""COMPUTED_VALUE"""),"acknowledges")</f>
        <v>acknowledges</v>
      </c>
      <c r="I1664" s="6"/>
      <c r="J1664" s="6" t="str">
        <f>IFERROR(__xludf.DUMMYFUNCTION("""COMPUTED_VALUE"""),"friendships")</f>
        <v>friendships</v>
      </c>
      <c r="M1664" s="6"/>
      <c r="P1664" s="6"/>
      <c r="Q1664" s="6" t="str">
        <f>IFERROR(__xludf.DUMMYFUNCTION("""COMPUTED_VALUE"""),"attackers")</f>
        <v>attackers</v>
      </c>
      <c r="S1664" s="6" t="str">
        <f>IFERROR(__xludf.DUMMYFUNCTION("""COMPUTED_VALUE"""),"iii")</f>
        <v>iii</v>
      </c>
    </row>
    <row r="1665">
      <c r="D1665" s="6"/>
      <c r="H1665" s="6" t="str">
        <f>IFERROR(__xludf.DUMMYFUNCTION("""COMPUTED_VALUE"""),"chases")</f>
        <v>chases</v>
      </c>
      <c r="I1665" s="6"/>
      <c r="J1665" s="6" t="str">
        <f>IFERROR(__xludf.DUMMYFUNCTION("""COMPUTED_VALUE"""),"philip")</f>
        <v>philip</v>
      </c>
      <c r="M1665" s="6"/>
      <c r="P1665" s="6"/>
      <c r="Q1665" s="6" t="str">
        <f>IFERROR(__xludf.DUMMYFUNCTION("""COMPUTED_VALUE"""),"tunnels")</f>
        <v>tunnels</v>
      </c>
      <c r="S1665" s="6" t="str">
        <f>IFERROR(__xludf.DUMMYFUNCTION("""COMPUTED_VALUE"""),"proposal")</f>
        <v>proposal</v>
      </c>
    </row>
    <row r="1666">
      <c r="D1666" s="6"/>
      <c r="H1666" s="6" t="str">
        <f>IFERROR(__xludf.DUMMYFUNCTION("""COMPUTED_VALUE"""),"tucker")</f>
        <v>tucker</v>
      </c>
      <c r="I1666" s="6"/>
      <c r="J1666" s="6" t="str">
        <f>IFERROR(__xludf.DUMMYFUNCTION("""COMPUTED_VALUE"""),"fragmented")</f>
        <v>fragmented</v>
      </c>
      <c r="M1666" s="6"/>
      <c r="P1666" s="6"/>
      <c r="Q1666" s="6" t="str">
        <f>IFERROR(__xludf.DUMMYFUNCTION("""COMPUTED_VALUE"""),"anonymous")</f>
        <v>anonymous</v>
      </c>
      <c r="S1666" s="6" t="str">
        <f>IFERROR(__xludf.DUMMYFUNCTION("""COMPUTED_VALUE"""),"peace")</f>
        <v>peace</v>
      </c>
    </row>
    <row r="1667">
      <c r="D1667" s="6"/>
      <c r="H1667" s="6" t="str">
        <f>IFERROR(__xludf.DUMMYFUNCTION("""COMPUTED_VALUE"""),"sci")</f>
        <v>sci</v>
      </c>
      <c r="I1667" s="6"/>
      <c r="J1667" s="6" t="str">
        <f>IFERROR(__xludf.DUMMYFUNCTION("""COMPUTED_VALUE"""),"enhancing")</f>
        <v>enhancing</v>
      </c>
      <c r="M1667" s="6"/>
      <c r="P1667" s="6"/>
      <c r="Q1667" s="6" t="str">
        <f>IFERROR(__xludf.DUMMYFUNCTION("""COMPUTED_VALUE"""),"technologies")</f>
        <v>technologies</v>
      </c>
      <c r="S1667" s="6" t="str">
        <f>IFERROR(__xludf.DUMMYFUNCTION("""COMPUTED_VALUE"""),"east")</f>
        <v>east</v>
      </c>
    </row>
    <row r="1668">
      <c r="D1668" s="6"/>
      <c r="H1668" s="6" t="str">
        <f>IFERROR(__xludf.DUMMYFUNCTION("""COMPUTED_VALUE"""),"italics")</f>
        <v>italics</v>
      </c>
      <c r="I1668" s="6"/>
      <c r="J1668" s="6" t="str">
        <f>IFERROR(__xludf.DUMMYFUNCTION("""COMPUTED_VALUE"""),"feral")</f>
        <v>feral</v>
      </c>
      <c r="M1668" s="6"/>
      <c r="P1668" s="6"/>
      <c r="Q1668" s="6" t="str">
        <f>IFERROR(__xludf.DUMMYFUNCTION("""COMPUTED_VALUE"""),"primitive")</f>
        <v>primitive</v>
      </c>
      <c r="S1668" s="6" t="str">
        <f>IFERROR(__xludf.DUMMYFUNCTION("""COMPUTED_VALUE"""),"eventual")</f>
        <v>eventual</v>
      </c>
    </row>
    <row r="1669">
      <c r="D1669" s="6"/>
      <c r="H1669" s="6" t="str">
        <f>IFERROR(__xludf.DUMMYFUNCTION("""COMPUTED_VALUE"""),"attach")</f>
        <v>attach</v>
      </c>
      <c r="I1669" s="6"/>
      <c r="J1669" s="6" t="str">
        <f>IFERROR(__xludf.DUMMYFUNCTION("""COMPUTED_VALUE"""),"uncomfortable")</f>
        <v>uncomfortable</v>
      </c>
      <c r="M1669" s="6"/>
      <c r="P1669" s="6"/>
      <c r="Q1669" s="6" t="str">
        <f>IFERROR(__xludf.DUMMYFUNCTION("""COMPUTED_VALUE"""),"olivier")</f>
        <v>olivier</v>
      </c>
      <c r="S1669" s="6" t="str">
        <f>IFERROR(__xludf.DUMMYFUNCTION("""COMPUTED_VALUE"""),"heavyweight")</f>
        <v>heavyweight</v>
      </c>
    </row>
    <row r="1670">
      <c r="D1670" s="6"/>
      <c r="H1670" s="6" t="str">
        <f>IFERROR(__xludf.DUMMYFUNCTION("""COMPUTED_VALUE"""),"wilde")</f>
        <v>wilde</v>
      </c>
      <c r="I1670" s="6"/>
      <c r="J1670" s="6" t="str">
        <f>IFERROR(__xludf.DUMMYFUNCTION("""COMPUTED_VALUE"""),"decommissioned")</f>
        <v>decommissioned</v>
      </c>
      <c r="M1670" s="6"/>
      <c r="P1670" s="6"/>
      <c r="Q1670" s="6" t="str">
        <f>IFERROR(__xludf.DUMMYFUNCTION("""COMPUTED_VALUE"""),"laurence")</f>
        <v>laurence</v>
      </c>
      <c r="S1670" s="6" t="str">
        <f>IFERROR(__xludf.DUMMYFUNCTION("""COMPUTED_VALUE"""),"burns")</f>
        <v>burns</v>
      </c>
    </row>
    <row r="1671">
      <c r="D1671" s="6"/>
      <c r="H1671" s="6" t="str">
        <f>IFERROR(__xludf.DUMMYFUNCTION("""COMPUTED_VALUE"""),"empowerment")</f>
        <v>empowerment</v>
      </c>
      <c r="I1671" s="6"/>
      <c r="J1671" s="6" t="str">
        <f>IFERROR(__xludf.DUMMYFUNCTION("""COMPUTED_VALUE"""),"humiliated")</f>
        <v>humiliated</v>
      </c>
      <c r="M1671" s="6"/>
      <c r="P1671" s="6"/>
      <c r="Q1671" s="6" t="str">
        <f>IFERROR(__xludf.DUMMYFUNCTION("""COMPUTED_VALUE"""),"groan")</f>
        <v>groan</v>
      </c>
      <c r="S1671" s="6" t="str">
        <f>IFERROR(__xludf.DUMMYFUNCTION("""COMPUTED_VALUE"""),"foot")</f>
        <v>foot</v>
      </c>
    </row>
    <row r="1672">
      <c r="D1672" s="6"/>
      <c r="H1672" s="6" t="str">
        <f>IFERROR(__xludf.DUMMYFUNCTION("""COMPUTED_VALUE"""),"outrage")</f>
        <v>outrage</v>
      </c>
      <c r="I1672" s="6"/>
      <c r="J1672" s="6">
        <f>IFERROR(__xludf.DUMMYFUNCTION("""COMPUTED_VALUE"""),451.0)</f>
        <v>451</v>
      </c>
      <c r="M1672" s="6"/>
      <c r="P1672" s="6"/>
      <c r="Q1672" s="6" t="str">
        <f>IFERROR(__xludf.DUMMYFUNCTION("""COMPUTED_VALUE"""),"confined")</f>
        <v>confined</v>
      </c>
      <c r="S1672" s="6" t="str">
        <f>IFERROR(__xludf.DUMMYFUNCTION("""COMPUTED_VALUE"""),"tenth")</f>
        <v>tenth</v>
      </c>
    </row>
    <row r="1673">
      <c r="D1673" s="6"/>
      <c r="H1673" s="6" t="str">
        <f>IFERROR(__xludf.DUMMYFUNCTION("""COMPUTED_VALUE"""),"passions")</f>
        <v>passions</v>
      </c>
      <c r="I1673" s="6"/>
      <c r="J1673" s="6" t="str">
        <f>IFERROR(__xludf.DUMMYFUNCTION("""COMPUTED_VALUE"""),"numb")</f>
        <v>numb</v>
      </c>
      <c r="M1673" s="6"/>
      <c r="P1673" s="6"/>
      <c r="Q1673" s="6" t="str">
        <f>IFERROR(__xludf.DUMMYFUNCTION("""COMPUTED_VALUE"""),"freddie")</f>
        <v>freddie</v>
      </c>
      <c r="S1673" s="6" t="str">
        <f>IFERROR(__xludf.DUMMYFUNCTION("""COMPUTED_VALUE"""),"inhabitants")</f>
        <v>inhabitants</v>
      </c>
    </row>
    <row r="1674">
      <c r="D1674" s="6"/>
      <c r="H1674" s="6" t="str">
        <f>IFERROR(__xludf.DUMMYFUNCTION("""COMPUTED_VALUE"""),"assassin")</f>
        <v>assassin</v>
      </c>
      <c r="I1674" s="6"/>
      <c r="J1674" s="6">
        <f>IFERROR(__xludf.DUMMYFUNCTION("""COMPUTED_VALUE"""),1957.0)</f>
        <v>1957</v>
      </c>
      <c r="M1674" s="6"/>
      <c r="P1674" s="6"/>
      <c r="Q1674" s="6" t="str">
        <f>IFERROR(__xludf.DUMMYFUNCTION("""COMPUTED_VALUE"""),"harvard")</f>
        <v>harvard</v>
      </c>
      <c r="S1674" s="6" t="str">
        <f>IFERROR(__xludf.DUMMYFUNCTION("""COMPUTED_VALUE"""),"christianity")</f>
        <v>christianity</v>
      </c>
    </row>
    <row r="1675">
      <c r="D1675" s="6"/>
      <c r="H1675" s="6" t="str">
        <f>IFERROR(__xludf.DUMMYFUNCTION("""COMPUTED_VALUE"""),"seduce")</f>
        <v>seduce</v>
      </c>
      <c r="I1675" s="6"/>
      <c r="J1675" s="6" t="str">
        <f>IFERROR(__xludf.DUMMYFUNCTION("""COMPUTED_VALUE"""),"consciously")</f>
        <v>consciously</v>
      </c>
      <c r="M1675" s="6"/>
      <c r="P1675" s="6"/>
      <c r="Q1675" s="6" t="str">
        <f>IFERROR(__xludf.DUMMYFUNCTION("""COMPUTED_VALUE"""),"encompasses")</f>
        <v>encompasses</v>
      </c>
      <c r="S1675" s="6" t="str">
        <f>IFERROR(__xludf.DUMMYFUNCTION("""COMPUTED_VALUE"""),"local")</f>
        <v>local</v>
      </c>
    </row>
    <row r="1676">
      <c r="D1676" s="6"/>
      <c r="H1676" s="6" t="str">
        <f>IFERROR(__xludf.DUMMYFUNCTION("""COMPUTED_VALUE"""),"segment")</f>
        <v>segment</v>
      </c>
      <c r="I1676" s="6"/>
      <c r="J1676" s="6" t="str">
        <f>IFERROR(__xludf.DUMMYFUNCTION("""COMPUTED_VALUE"""),"asphalt")</f>
        <v>asphalt</v>
      </c>
      <c r="M1676" s="6"/>
      <c r="P1676" s="6"/>
      <c r="Q1676" s="6" t="str">
        <f>IFERROR(__xludf.DUMMYFUNCTION("""COMPUTED_VALUE"""),"newfoundland")</f>
        <v>newfoundland</v>
      </c>
      <c r="S1676" s="6" t="str">
        <f>IFERROR(__xludf.DUMMYFUNCTION("""COMPUTED_VALUE"""),"sat")</f>
        <v>sat</v>
      </c>
    </row>
    <row r="1677">
      <c r="D1677" s="6"/>
      <c r="H1677" s="6" t="str">
        <f>IFERROR(__xludf.DUMMYFUNCTION("""COMPUTED_VALUE"""),"vittorio")</f>
        <v>vittorio</v>
      </c>
      <c r="I1677" s="6"/>
      <c r="J1677" s="6" t="str">
        <f>IFERROR(__xludf.DUMMYFUNCTION("""COMPUTED_VALUE"""),"cho")</f>
        <v>cho</v>
      </c>
      <c r="M1677" s="6"/>
      <c r="P1677" s="6"/>
      <c r="Q1677" s="6" t="str">
        <f>IFERROR(__xludf.DUMMYFUNCTION("""COMPUTED_VALUE"""),"reynolds")</f>
        <v>reynolds</v>
      </c>
      <c r="S1677" s="6" t="str">
        <f>IFERROR(__xludf.DUMMYFUNCTION("""COMPUTED_VALUE"""),"pretend")</f>
        <v>pretend</v>
      </c>
    </row>
    <row r="1678">
      <c r="D1678" s="6"/>
      <c r="H1678" s="6" t="str">
        <f>IFERROR(__xludf.DUMMYFUNCTION("""COMPUTED_VALUE"""),"nash")</f>
        <v>nash</v>
      </c>
      <c r="I1678" s="6"/>
      <c r="J1678" s="6" t="str">
        <f>IFERROR(__xludf.DUMMYFUNCTION("""COMPUTED_VALUE"""),"grim")</f>
        <v>grim</v>
      </c>
      <c r="M1678" s="6"/>
      <c r="P1678" s="6"/>
      <c r="Q1678" s="6" t="str">
        <f>IFERROR(__xludf.DUMMYFUNCTION("""COMPUTED_VALUE"""),"shapes")</f>
        <v>shapes</v>
      </c>
      <c r="S1678" s="6" t="str">
        <f>IFERROR(__xludf.DUMMYFUNCTION("""COMPUTED_VALUE"""),"horses")</f>
        <v>horses</v>
      </c>
    </row>
    <row r="1679">
      <c r="D1679" s="6"/>
      <c r="H1679" s="6" t="str">
        <f>IFERROR(__xludf.DUMMYFUNCTION("""COMPUTED_VALUE"""),"purity")</f>
        <v>purity</v>
      </c>
      <c r="I1679" s="6"/>
      <c r="J1679" s="6" t="str">
        <f>IFERROR(__xludf.DUMMYFUNCTION("""COMPUTED_VALUE"""),"retiring")</f>
        <v>retiring</v>
      </c>
      <c r="M1679" s="6"/>
      <c r="P1679" s="6"/>
      <c r="Q1679" s="6" t="str">
        <f>IFERROR(__xludf.DUMMYFUNCTION("""COMPUTED_VALUE"""),"aboriginal")</f>
        <v>aboriginal</v>
      </c>
      <c r="S1679" s="6" t="str">
        <f>IFERROR(__xludf.DUMMYFUNCTION("""COMPUTED_VALUE"""),"partnership")</f>
        <v>partnership</v>
      </c>
    </row>
    <row r="1680">
      <c r="D1680" s="6"/>
      <c r="H1680" s="6" t="str">
        <f>IFERROR(__xludf.DUMMYFUNCTION("""COMPUTED_VALUE"""),"psycho")</f>
        <v>psycho</v>
      </c>
      <c r="I1680" s="6"/>
      <c r="J1680" s="6" t="str">
        <f>IFERROR(__xludf.DUMMYFUNCTION("""COMPUTED_VALUE"""),"tolkien")</f>
        <v>tolkien</v>
      </c>
      <c r="M1680" s="6"/>
      <c r="P1680" s="6"/>
      <c r="Q1680" s="6" t="str">
        <f>IFERROR(__xludf.DUMMYFUNCTION("""COMPUTED_VALUE"""),"tomorrow")</f>
        <v>tomorrow</v>
      </c>
      <c r="S1680" s="6" t="str">
        <f>IFERROR(__xludf.DUMMYFUNCTION("""COMPUTED_VALUE"""),"glass")</f>
        <v>glass</v>
      </c>
    </row>
    <row r="1681">
      <c r="D1681" s="6"/>
      <c r="H1681" s="6" t="str">
        <f>IFERROR(__xludf.DUMMYFUNCTION("""COMPUTED_VALUE"""),"fictional")</f>
        <v>fictional</v>
      </c>
      <c r="I1681" s="6"/>
      <c r="J1681" s="6" t="str">
        <f>IFERROR(__xludf.DUMMYFUNCTION("""COMPUTED_VALUE"""),"longtime")</f>
        <v>longtime</v>
      </c>
      <c r="M1681" s="6"/>
      <c r="P1681" s="6"/>
      <c r="Q1681" s="6" t="str">
        <f>IFERROR(__xludf.DUMMYFUNCTION("""COMPUTED_VALUE"""),"depleted")</f>
        <v>depleted</v>
      </c>
      <c r="S1681" s="6" t="str">
        <f>IFERROR(__xludf.DUMMYFUNCTION("""COMPUTED_VALUE"""),"participate")</f>
        <v>participate</v>
      </c>
    </row>
    <row r="1682">
      <c r="D1682" s="6"/>
      <c r="H1682" s="6" t="str">
        <f>IFERROR(__xludf.DUMMYFUNCTION("""COMPUTED_VALUE"""),"roster")</f>
        <v>roster</v>
      </c>
      <c r="I1682" s="6"/>
      <c r="J1682" s="6" t="str">
        <f>IFERROR(__xludf.DUMMYFUNCTION("""COMPUTED_VALUE"""),"twisting")</f>
        <v>twisting</v>
      </c>
      <c r="M1682" s="6"/>
      <c r="P1682" s="6"/>
      <c r="Q1682" s="6" t="str">
        <f>IFERROR(__xludf.DUMMYFUNCTION("""COMPUTED_VALUE"""),"decomposition")</f>
        <v>decomposition</v>
      </c>
      <c r="S1682" s="6" t="str">
        <f>IFERROR(__xludf.DUMMYFUNCTION("""COMPUTED_VALUE"""),"practices")</f>
        <v>practices</v>
      </c>
    </row>
    <row r="1683">
      <c r="D1683" s="6"/>
      <c r="H1683" s="6" t="str">
        <f>IFERROR(__xludf.DUMMYFUNCTION("""COMPUTED_VALUE"""),"afford")</f>
        <v>afford</v>
      </c>
      <c r="I1683" s="6"/>
      <c r="J1683" s="6" t="str">
        <f>IFERROR(__xludf.DUMMYFUNCTION("""COMPUTED_VALUE"""),"littered")</f>
        <v>littered</v>
      </c>
      <c r="M1683" s="6"/>
      <c r="P1683" s="6"/>
      <c r="Q1683" s="6" t="str">
        <f>IFERROR(__xludf.DUMMYFUNCTION("""COMPUTED_VALUE"""),"swaying")</f>
        <v>swaying</v>
      </c>
      <c r="S1683" s="6" t="str">
        <f>IFERROR(__xludf.DUMMYFUNCTION("""COMPUTED_VALUE"""),"bed")</f>
        <v>bed</v>
      </c>
    </row>
    <row r="1684">
      <c r="D1684" s="6"/>
      <c r="H1684" s="6" t="str">
        <f>IFERROR(__xludf.DUMMYFUNCTION("""COMPUTED_VALUE"""),"velocity")</f>
        <v>velocity</v>
      </c>
      <c r="I1684" s="6"/>
      <c r="J1684" s="6" t="str">
        <f>IFERROR(__xludf.DUMMYFUNCTION("""COMPUTED_VALUE"""),"methodology")</f>
        <v>methodology</v>
      </c>
      <c r="M1684" s="6"/>
      <c r="P1684" s="6"/>
      <c r="Q1684" s="6" t="str">
        <f>IFERROR(__xludf.DUMMYFUNCTION("""COMPUTED_VALUE"""),"forth")</f>
        <v>forth</v>
      </c>
      <c r="S1684" s="6" t="str">
        <f>IFERROR(__xludf.DUMMYFUNCTION("""COMPUTED_VALUE"""),"latter")</f>
        <v>latter</v>
      </c>
    </row>
    <row r="1685">
      <c r="D1685" s="6"/>
      <c r="H1685" s="6" t="str">
        <f>IFERROR(__xludf.DUMMYFUNCTION("""COMPUTED_VALUE"""),"stroke")</f>
        <v>stroke</v>
      </c>
      <c r="I1685" s="6"/>
      <c r="J1685" s="6" t="str">
        <f>IFERROR(__xludf.DUMMYFUNCTION("""COMPUTED_VALUE"""),"cleavage")</f>
        <v>cleavage</v>
      </c>
      <c r="M1685" s="6"/>
      <c r="P1685" s="6"/>
      <c r="Q1685" s="6" t="str">
        <f>IFERROR(__xludf.DUMMYFUNCTION("""COMPUTED_VALUE"""),"accompanying")</f>
        <v>accompanying</v>
      </c>
      <c r="S1685" s="6" t="str">
        <f>IFERROR(__xludf.DUMMYFUNCTION("""COMPUTED_VALUE"""),"remembered")</f>
        <v>remembered</v>
      </c>
    </row>
    <row r="1686">
      <c r="D1686" s="6"/>
      <c r="H1686" s="6" t="str">
        <f>IFERROR(__xludf.DUMMYFUNCTION("""COMPUTED_VALUE"""),"improves")</f>
        <v>improves</v>
      </c>
      <c r="I1686" s="6"/>
      <c r="J1686" s="6" t="str">
        <f>IFERROR(__xludf.DUMMYFUNCTION("""COMPUTED_VALUE"""),"inhabit")</f>
        <v>inhabit</v>
      </c>
      <c r="M1686" s="6"/>
      <c r="P1686" s="6"/>
      <c r="Q1686" s="6" t="str">
        <f>IFERROR(__xludf.DUMMYFUNCTION("""COMPUTED_VALUE"""),"injuries")</f>
        <v>injuries</v>
      </c>
      <c r="S1686" s="6" t="str">
        <f>IFERROR(__xludf.DUMMYFUNCTION("""COMPUTED_VALUE"""),"7th")</f>
        <v>7th</v>
      </c>
    </row>
    <row r="1687">
      <c r="D1687" s="6"/>
      <c r="H1687" s="6" t="str">
        <f>IFERROR(__xludf.DUMMYFUNCTION("""COMPUTED_VALUE"""),"nominated")</f>
        <v>nominated</v>
      </c>
      <c r="I1687" s="6"/>
      <c r="J1687" s="6" t="str">
        <f>IFERROR(__xludf.DUMMYFUNCTION("""COMPUTED_VALUE"""),"predict")</f>
        <v>predict</v>
      </c>
      <c r="M1687" s="6"/>
      <c r="P1687" s="6"/>
      <c r="Q1687" s="6" t="str">
        <f>IFERROR(__xludf.DUMMYFUNCTION("""COMPUTED_VALUE"""),"strategic")</f>
        <v>strategic</v>
      </c>
      <c r="S1687" s="6" t="str">
        <f>IFERROR(__xludf.DUMMYFUNCTION("""COMPUTED_VALUE"""),"barry")</f>
        <v>barry</v>
      </c>
    </row>
    <row r="1688">
      <c r="D1688" s="6"/>
      <c r="H1688" s="6" t="str">
        <f>IFERROR(__xludf.DUMMYFUNCTION("""COMPUTED_VALUE"""),"conrad")</f>
        <v>conrad</v>
      </c>
      <c r="I1688" s="6"/>
      <c r="J1688" s="6" t="str">
        <f>IFERROR(__xludf.DUMMYFUNCTION("""COMPUTED_VALUE"""),"villains")</f>
        <v>villains</v>
      </c>
      <c r="M1688" s="6"/>
      <c r="P1688" s="6"/>
      <c r="Q1688" s="6" t="str">
        <f>IFERROR(__xludf.DUMMYFUNCTION("""COMPUTED_VALUE"""),"helm")</f>
        <v>helm</v>
      </c>
      <c r="S1688" s="6">
        <f>IFERROR(__xludf.DUMMYFUNCTION("""COMPUTED_VALUE"""),18.0)</f>
        <v>18</v>
      </c>
    </row>
    <row r="1689">
      <c r="D1689" s="6"/>
      <c r="H1689" s="6" t="str">
        <f>IFERROR(__xludf.DUMMYFUNCTION("""COMPUTED_VALUE"""),"ardent")</f>
        <v>ardent</v>
      </c>
      <c r="I1689" s="6"/>
      <c r="J1689" s="6" t="str">
        <f>IFERROR(__xludf.DUMMYFUNCTION("""COMPUTED_VALUE"""),"servants")</f>
        <v>servants</v>
      </c>
      <c r="M1689" s="6"/>
      <c r="P1689" s="6"/>
      <c r="Q1689" s="6" t="str">
        <f>IFERROR(__xludf.DUMMYFUNCTION("""COMPUTED_VALUE"""),"philosophers")</f>
        <v>philosophers</v>
      </c>
      <c r="S1689" s="6" t="str">
        <f>IFERROR(__xludf.DUMMYFUNCTION("""COMPUTED_VALUE"""),"worried")</f>
        <v>worried</v>
      </c>
    </row>
    <row r="1690">
      <c r="D1690" s="6"/>
      <c r="H1690" s="6" t="str">
        <f>IFERROR(__xludf.DUMMYFUNCTION("""COMPUTED_VALUE"""),"backstage")</f>
        <v>backstage</v>
      </c>
      <c r="I1690" s="6"/>
      <c r="J1690" s="6" t="str">
        <f>IFERROR(__xludf.DUMMYFUNCTION("""COMPUTED_VALUE"""),"remembrance")</f>
        <v>remembrance</v>
      </c>
      <c r="M1690" s="6"/>
      <c r="P1690" s="6"/>
      <c r="Q1690" s="6" t="str">
        <f>IFERROR(__xludf.DUMMYFUNCTION("""COMPUTED_VALUE"""),"ritchie")</f>
        <v>ritchie</v>
      </c>
      <c r="S1690" s="6" t="str">
        <f>IFERROR(__xludf.DUMMYFUNCTION("""COMPUTED_VALUE"""),"terminal")</f>
        <v>terminal</v>
      </c>
    </row>
    <row r="1691">
      <c r="D1691" s="6"/>
      <c r="H1691" s="6" t="str">
        <f>IFERROR(__xludf.DUMMYFUNCTION("""COMPUTED_VALUE"""),"pivotal")</f>
        <v>pivotal</v>
      </c>
      <c r="I1691" s="6"/>
      <c r="J1691" s="6" t="str">
        <f>IFERROR(__xludf.DUMMYFUNCTION("""COMPUTED_VALUE"""),"error")</f>
        <v>error</v>
      </c>
      <c r="M1691" s="6"/>
      <c r="P1691" s="6"/>
      <c r="Q1691" s="6" t="str">
        <f>IFERROR(__xludf.DUMMYFUNCTION("""COMPUTED_VALUE"""),"bonding")</f>
        <v>bonding</v>
      </c>
      <c r="S1691" s="6" t="str">
        <f>IFERROR(__xludf.DUMMYFUNCTION("""COMPUTED_VALUE"""),"mode")</f>
        <v>mode</v>
      </c>
    </row>
    <row r="1692">
      <c r="D1692" s="6"/>
      <c r="H1692" s="6" t="str">
        <f>IFERROR(__xludf.DUMMYFUNCTION("""COMPUTED_VALUE"""),"comparisons")</f>
        <v>comparisons</v>
      </c>
      <c r="I1692" s="6"/>
      <c r="J1692" s="6" t="str">
        <f>IFERROR(__xludf.DUMMYFUNCTION("""COMPUTED_VALUE"""),"germanic")</f>
        <v>germanic</v>
      </c>
      <c r="M1692" s="6"/>
      <c r="P1692" s="6"/>
      <c r="Q1692" s="6" t="str">
        <f>IFERROR(__xludf.DUMMYFUNCTION("""COMPUTED_VALUE"""),"governmental")</f>
        <v>governmental</v>
      </c>
      <c r="S1692" s="6" t="str">
        <f>IFERROR(__xludf.DUMMYFUNCTION("""COMPUTED_VALUE"""),"reverse")</f>
        <v>reverse</v>
      </c>
    </row>
    <row r="1693">
      <c r="D1693" s="6"/>
      <c r="H1693" s="6" t="str">
        <f>IFERROR(__xludf.DUMMYFUNCTION("""COMPUTED_VALUE"""),"followers")</f>
        <v>followers</v>
      </c>
      <c r="I1693" s="6"/>
      <c r="J1693" s="6" t="str">
        <f>IFERROR(__xludf.DUMMYFUNCTION("""COMPUTED_VALUE"""),"keel")</f>
        <v>keel</v>
      </c>
      <c r="M1693" s="6"/>
      <c r="P1693" s="6"/>
      <c r="Q1693" s="6" t="str">
        <f>IFERROR(__xludf.DUMMYFUNCTION("""COMPUTED_VALUE"""),"disciplined")</f>
        <v>disciplined</v>
      </c>
      <c r="S1693" s="6" t="str">
        <f>IFERROR(__xludf.DUMMYFUNCTION("""COMPUTED_VALUE"""),"metropolitan")</f>
        <v>metropolitan</v>
      </c>
    </row>
    <row r="1694">
      <c r="D1694" s="6"/>
      <c r="H1694" s="6" t="str">
        <f>IFERROR(__xludf.DUMMYFUNCTION("""COMPUTED_VALUE"""),"crocodile")</f>
        <v>crocodile</v>
      </c>
      <c r="I1694" s="6"/>
      <c r="J1694" s="6" t="str">
        <f>IFERROR(__xludf.DUMMYFUNCTION("""COMPUTED_VALUE"""),"tolerance")</f>
        <v>tolerance</v>
      </c>
      <c r="M1694" s="6"/>
      <c r="P1694" s="6"/>
      <c r="Q1694" s="6" t="str">
        <f>IFERROR(__xludf.DUMMYFUNCTION("""COMPUTED_VALUE"""),"endurance")</f>
        <v>endurance</v>
      </c>
      <c r="S1694" s="6" t="str">
        <f>IFERROR(__xludf.DUMMYFUNCTION("""COMPUTED_VALUE"""),"holmes")</f>
        <v>holmes</v>
      </c>
    </row>
    <row r="1695">
      <c r="D1695" s="6"/>
      <c r="H1695" s="6" t="str">
        <f>IFERROR(__xludf.DUMMYFUNCTION("""COMPUTED_VALUE"""),"bodily")</f>
        <v>bodily</v>
      </c>
      <c r="I1695" s="6"/>
      <c r="J1695" s="6" t="str">
        <f>IFERROR(__xludf.DUMMYFUNCTION("""COMPUTED_VALUE"""),"prowess")</f>
        <v>prowess</v>
      </c>
      <c r="M1695" s="6"/>
      <c r="P1695" s="6"/>
      <c r="Q1695" s="6" t="str">
        <f>IFERROR(__xludf.DUMMYFUNCTION("""COMPUTED_VALUE"""),"tightened")</f>
        <v>tightened</v>
      </c>
      <c r="S1695" s="6" t="str">
        <f>IFERROR(__xludf.DUMMYFUNCTION("""COMPUTED_VALUE"""),"senses")</f>
        <v>senses</v>
      </c>
    </row>
    <row r="1696">
      <c r="D1696" s="6"/>
      <c r="H1696" s="6" t="str">
        <f>IFERROR(__xludf.DUMMYFUNCTION("""COMPUTED_VALUE"""),"fling")</f>
        <v>fling</v>
      </c>
      <c r="I1696" s="6"/>
      <c r="J1696" s="6" t="str">
        <f>IFERROR(__xludf.DUMMYFUNCTION("""COMPUTED_VALUE"""),"preaching")</f>
        <v>preaching</v>
      </c>
      <c r="M1696" s="6"/>
      <c r="P1696" s="6"/>
      <c r="Q1696" s="6" t="str">
        <f>IFERROR(__xludf.DUMMYFUNCTION("""COMPUTED_VALUE"""),"collaborative")</f>
        <v>collaborative</v>
      </c>
      <c r="S1696" s="6" t="str">
        <f>IFERROR(__xludf.DUMMYFUNCTION("""COMPUTED_VALUE"""),"massive")</f>
        <v>massive</v>
      </c>
    </row>
    <row r="1697">
      <c r="D1697" s="6"/>
      <c r="H1697" s="6" t="str">
        <f>IFERROR(__xludf.DUMMYFUNCTION("""COMPUTED_VALUE"""),"fleeting")</f>
        <v>fleeting</v>
      </c>
      <c r="I1697" s="6"/>
      <c r="J1697" s="6" t="str">
        <f>IFERROR(__xludf.DUMMYFUNCTION("""COMPUTED_VALUE"""),"reportedly")</f>
        <v>reportedly</v>
      </c>
      <c r="M1697" s="6"/>
      <c r="P1697" s="6"/>
      <c r="Q1697" s="6" t="str">
        <f>IFERROR(__xludf.DUMMYFUNCTION("""COMPUTED_VALUE"""),"ai")</f>
        <v>ai</v>
      </c>
      <c r="S1697" s="6" t="str">
        <f>IFERROR(__xludf.DUMMYFUNCTION("""COMPUTED_VALUE"""),"journalist")</f>
        <v>journalist</v>
      </c>
    </row>
    <row r="1698">
      <c r="D1698" s="6"/>
      <c r="H1698" s="6" t="str">
        <f>IFERROR(__xludf.DUMMYFUNCTION("""COMPUTED_VALUE"""),"thrust")</f>
        <v>thrust</v>
      </c>
      <c r="I1698" s="6"/>
      <c r="J1698" s="6" t="str">
        <f>IFERROR(__xludf.DUMMYFUNCTION("""COMPUTED_VALUE"""),"dimensional")</f>
        <v>dimensional</v>
      </c>
      <c r="M1698" s="6"/>
      <c r="P1698" s="6"/>
      <c r="Q1698" s="6" t="str">
        <f>IFERROR(__xludf.DUMMYFUNCTION("""COMPUTED_VALUE"""),"continuity")</f>
        <v>continuity</v>
      </c>
      <c r="S1698" s="6" t="str">
        <f>IFERROR(__xludf.DUMMYFUNCTION("""COMPUTED_VALUE"""),"venice")</f>
        <v>venice</v>
      </c>
    </row>
    <row r="1699">
      <c r="D1699" s="6"/>
      <c r="H1699" s="6" t="str">
        <f>IFERROR(__xludf.DUMMYFUNCTION("""COMPUTED_VALUE"""),"substantive")</f>
        <v>substantive</v>
      </c>
      <c r="I1699" s="6"/>
      <c r="J1699" s="6" t="str">
        <f>IFERROR(__xludf.DUMMYFUNCTION("""COMPUTED_VALUE"""),"tackled")</f>
        <v>tackled</v>
      </c>
      <c r="M1699" s="6"/>
      <c r="P1699" s="6"/>
      <c r="Q1699" s="6" t="str">
        <f>IFERROR(__xludf.DUMMYFUNCTION("""COMPUTED_VALUE"""),"ambrose")</f>
        <v>ambrose</v>
      </c>
      <c r="S1699" s="6" t="str">
        <f>IFERROR(__xludf.DUMMYFUNCTION("""COMPUTED_VALUE"""),"stevens")</f>
        <v>stevens</v>
      </c>
    </row>
    <row r="1700">
      <c r="D1700" s="6"/>
      <c r="H1700" s="6" t="str">
        <f>IFERROR(__xludf.DUMMYFUNCTION("""COMPUTED_VALUE"""),"teeth")</f>
        <v>teeth</v>
      </c>
      <c r="I1700" s="6"/>
      <c r="J1700" s="6" t="str">
        <f>IFERROR(__xludf.DUMMYFUNCTION("""COMPUTED_VALUE"""),"byzantine")</f>
        <v>byzantine</v>
      </c>
      <c r="M1700" s="6"/>
      <c r="P1700" s="6"/>
      <c r="Q1700" s="6" t="str">
        <f>IFERROR(__xludf.DUMMYFUNCTION("""COMPUTED_VALUE"""),"leaps")</f>
        <v>leaps</v>
      </c>
      <c r="S1700" s="6" t="str">
        <f>IFERROR(__xludf.DUMMYFUNCTION("""COMPUTED_VALUE"""),"available")</f>
        <v>available</v>
      </c>
    </row>
    <row r="1701">
      <c r="D1701" s="6"/>
      <c r="H1701" s="6" t="str">
        <f>IFERROR(__xludf.DUMMYFUNCTION("""COMPUTED_VALUE"""),"binary")</f>
        <v>binary</v>
      </c>
      <c r="I1701" s="6"/>
      <c r="J1701" s="6" t="str">
        <f>IFERROR(__xludf.DUMMYFUNCTION("""COMPUTED_VALUE"""),"barrie")</f>
        <v>barrie</v>
      </c>
      <c r="M1701" s="6"/>
      <c r="P1701" s="6"/>
      <c r="Q1701" s="6" t="str">
        <f>IFERROR(__xludf.DUMMYFUNCTION("""COMPUTED_VALUE"""),"unnamed")</f>
        <v>unnamed</v>
      </c>
      <c r="S1701" s="6" t="str">
        <f>IFERROR(__xludf.DUMMYFUNCTION("""COMPUTED_VALUE"""),"mtv")</f>
        <v>mtv</v>
      </c>
    </row>
    <row r="1702">
      <c r="D1702" s="6"/>
      <c r="H1702" s="6" t="str">
        <f>IFERROR(__xludf.DUMMYFUNCTION("""COMPUTED_VALUE"""),"messenger")</f>
        <v>messenger</v>
      </c>
      <c r="I1702" s="6"/>
      <c r="J1702" s="6" t="str">
        <f>IFERROR(__xludf.DUMMYFUNCTION("""COMPUTED_VALUE"""),"marching")</f>
        <v>marching</v>
      </c>
      <c r="M1702" s="6"/>
      <c r="P1702" s="6"/>
      <c r="Q1702" s="6" t="str">
        <f>IFERROR(__xludf.DUMMYFUNCTION("""COMPUTED_VALUE"""),"sexes")</f>
        <v>sexes</v>
      </c>
      <c r="S1702" s="6" t="str">
        <f>IFERROR(__xludf.DUMMYFUNCTION("""COMPUTED_VALUE"""),"playstation")</f>
        <v>playstation</v>
      </c>
    </row>
    <row r="1703">
      <c r="D1703" s="6"/>
      <c r="H1703" s="6" t="str">
        <f>IFERROR(__xludf.DUMMYFUNCTION("""COMPUTED_VALUE"""),"goldman")</f>
        <v>goldman</v>
      </c>
      <c r="I1703" s="6"/>
      <c r="J1703" s="6" t="str">
        <f>IFERROR(__xludf.DUMMYFUNCTION("""COMPUTED_VALUE"""),"percussion")</f>
        <v>percussion</v>
      </c>
      <c r="M1703" s="6"/>
      <c r="P1703" s="6"/>
      <c r="Q1703" s="6" t="str">
        <f>IFERROR(__xludf.DUMMYFUNCTION("""COMPUTED_VALUE"""),"ambition")</f>
        <v>ambition</v>
      </c>
      <c r="S1703" s="6" t="str">
        <f>IFERROR(__xludf.DUMMYFUNCTION("""COMPUTED_VALUE"""),"ethan")</f>
        <v>ethan</v>
      </c>
    </row>
    <row r="1704">
      <c r="D1704" s="6"/>
      <c r="H1704" s="6" t="str">
        <f>IFERROR(__xludf.DUMMYFUNCTION("""COMPUTED_VALUE"""),"shapiro")</f>
        <v>shapiro</v>
      </c>
      <c r="I1704" s="6"/>
      <c r="J1704" s="6" t="str">
        <f>IFERROR(__xludf.DUMMYFUNCTION("""COMPUTED_VALUE"""),"ninth")</f>
        <v>ninth</v>
      </c>
      <c r="M1704" s="6"/>
      <c r="P1704" s="6"/>
      <c r="Q1704" s="6" t="str">
        <f>IFERROR(__xludf.DUMMYFUNCTION("""COMPUTED_VALUE"""),"abdul")</f>
        <v>abdul</v>
      </c>
      <c r="S1704" s="6" t="str">
        <f>IFERROR(__xludf.DUMMYFUNCTION("""COMPUTED_VALUE"""),"acquire")</f>
        <v>acquire</v>
      </c>
    </row>
    <row r="1705">
      <c r="D1705" s="6"/>
      <c r="H1705" s="6" t="str">
        <f>IFERROR(__xludf.DUMMYFUNCTION("""COMPUTED_VALUE"""),"participants")</f>
        <v>participants</v>
      </c>
      <c r="I1705" s="6"/>
      <c r="J1705" s="6" t="str">
        <f>IFERROR(__xludf.DUMMYFUNCTION("""COMPUTED_VALUE"""),"develops")</f>
        <v>develops</v>
      </c>
      <c r="M1705" s="6"/>
      <c r="P1705" s="6"/>
      <c r="Q1705" s="6" t="str">
        <f>IFERROR(__xludf.DUMMYFUNCTION("""COMPUTED_VALUE"""),"malik")</f>
        <v>malik</v>
      </c>
      <c r="S1705" s="6" t="str">
        <f>IFERROR(__xludf.DUMMYFUNCTION("""COMPUTED_VALUE"""),"welsh")</f>
        <v>welsh</v>
      </c>
    </row>
    <row r="1706">
      <c r="D1706" s="6"/>
      <c r="H1706" s="6" t="str">
        <f>IFERROR(__xludf.DUMMYFUNCTION("""COMPUTED_VALUE"""),"franklin")</f>
        <v>franklin</v>
      </c>
      <c r="I1706" s="6"/>
      <c r="J1706" s="6" t="str">
        <f>IFERROR(__xludf.DUMMYFUNCTION("""COMPUTED_VALUE"""),"ballot")</f>
        <v>ballot</v>
      </c>
      <c r="M1706" s="6"/>
      <c r="P1706" s="6"/>
      <c r="Q1706" s="6" t="str">
        <f>IFERROR(__xludf.DUMMYFUNCTION("""COMPUTED_VALUE"""),"ernest")</f>
        <v>ernest</v>
      </c>
      <c r="S1706" s="6" t="str">
        <f>IFERROR(__xludf.DUMMYFUNCTION("""COMPUTED_VALUE"""),"rape")</f>
        <v>rape</v>
      </c>
    </row>
    <row r="1707">
      <c r="D1707" s="6"/>
      <c r="H1707" s="6" t="str">
        <f>IFERROR(__xludf.DUMMYFUNCTION("""COMPUTED_VALUE"""),"carl")</f>
        <v>carl</v>
      </c>
      <c r="I1707" s="6"/>
      <c r="J1707" s="6" t="str">
        <f>IFERROR(__xludf.DUMMYFUNCTION("""COMPUTED_VALUE"""),"cheered")</f>
        <v>cheered</v>
      </c>
      <c r="M1707" s="6"/>
      <c r="P1707" s="6"/>
      <c r="Q1707" s="6" t="str">
        <f>IFERROR(__xludf.DUMMYFUNCTION("""COMPUTED_VALUE"""),"abbott")</f>
        <v>abbott</v>
      </c>
      <c r="S1707" s="6" t="str">
        <f>IFERROR(__xludf.DUMMYFUNCTION("""COMPUTED_VALUE"""),"stuart")</f>
        <v>stuart</v>
      </c>
    </row>
    <row r="1708">
      <c r="D1708" s="6"/>
      <c r="H1708" s="6" t="str">
        <f>IFERROR(__xludf.DUMMYFUNCTION("""COMPUTED_VALUE"""),"relic")</f>
        <v>relic</v>
      </c>
      <c r="I1708" s="6"/>
      <c r="J1708" s="6" t="str">
        <f>IFERROR(__xludf.DUMMYFUNCTION("""COMPUTED_VALUE"""),"integrating")</f>
        <v>integrating</v>
      </c>
      <c r="M1708" s="6"/>
      <c r="P1708" s="6"/>
      <c r="Q1708" s="6" t="str">
        <f>IFERROR(__xludf.DUMMYFUNCTION("""COMPUTED_VALUE"""),"improvised")</f>
        <v>improvised</v>
      </c>
      <c r="S1708" s="6" t="str">
        <f>IFERROR(__xludf.DUMMYFUNCTION("""COMPUTED_VALUE"""),"believing")</f>
        <v>believing</v>
      </c>
    </row>
    <row r="1709">
      <c r="D1709" s="6"/>
      <c r="H1709" s="6" t="str">
        <f>IFERROR(__xludf.DUMMYFUNCTION("""COMPUTED_VALUE"""),"turks")</f>
        <v>turks</v>
      </c>
      <c r="I1709" s="6"/>
      <c r="J1709" s="6" t="str">
        <f>IFERROR(__xludf.DUMMYFUNCTION("""COMPUTED_VALUE"""),"nouvelle")</f>
        <v>nouvelle</v>
      </c>
      <c r="M1709" s="6"/>
      <c r="P1709" s="6"/>
      <c r="Q1709" s="6" t="str">
        <f>IFERROR(__xludf.DUMMYFUNCTION("""COMPUTED_VALUE"""),"tapestry")</f>
        <v>tapestry</v>
      </c>
      <c r="S1709" s="6" t="str">
        <f>IFERROR(__xludf.DUMMYFUNCTION("""COMPUTED_VALUE"""),"lo")</f>
        <v>lo</v>
      </c>
    </row>
    <row r="1710">
      <c r="D1710" s="6"/>
      <c r="H1710" s="6" t="str">
        <f>IFERROR(__xludf.DUMMYFUNCTION("""COMPUTED_VALUE"""),"sap")</f>
        <v>sap</v>
      </c>
      <c r="I1710" s="6"/>
      <c r="J1710" s="6" t="str">
        <f>IFERROR(__xludf.DUMMYFUNCTION("""COMPUTED_VALUE"""),"bluff")</f>
        <v>bluff</v>
      </c>
      <c r="M1710" s="6"/>
      <c r="P1710" s="6"/>
      <c r="Q1710" s="6" t="str">
        <f>IFERROR(__xludf.DUMMYFUNCTION("""COMPUTED_VALUE"""),"roles")</f>
        <v>roles</v>
      </c>
      <c r="S1710" s="6" t="str">
        <f>IFERROR(__xludf.DUMMYFUNCTION("""COMPUTED_VALUE"""),"butt")</f>
        <v>butt</v>
      </c>
    </row>
    <row r="1711">
      <c r="D1711" s="6"/>
      <c r="H1711" s="6" t="str">
        <f>IFERROR(__xludf.DUMMYFUNCTION("""COMPUTED_VALUE"""),"dad")</f>
        <v>dad</v>
      </c>
      <c r="I1711" s="6"/>
      <c r="J1711" s="6" t="str">
        <f>IFERROR(__xludf.DUMMYFUNCTION("""COMPUTED_VALUE"""),"wreckage")</f>
        <v>wreckage</v>
      </c>
      <c r="M1711" s="6"/>
      <c r="P1711" s="6"/>
      <c r="Q1711" s="6" t="str">
        <f>IFERROR(__xludf.DUMMYFUNCTION("""COMPUTED_VALUE"""),"heights")</f>
        <v>heights</v>
      </c>
      <c r="S1711" s="6" t="str">
        <f>IFERROR(__xludf.DUMMYFUNCTION("""COMPUTED_VALUE"""),"philip")</f>
        <v>philip</v>
      </c>
    </row>
    <row r="1712">
      <c r="D1712" s="6"/>
      <c r="H1712" s="6" t="str">
        <f>IFERROR(__xludf.DUMMYFUNCTION("""COMPUTED_VALUE"""),"vain")</f>
        <v>vain</v>
      </c>
      <c r="I1712" s="6"/>
      <c r="J1712" s="6" t="str">
        <f>IFERROR(__xludf.DUMMYFUNCTION("""COMPUTED_VALUE"""),"interrogation")</f>
        <v>interrogation</v>
      </c>
      <c r="M1712" s="6"/>
      <c r="P1712" s="6"/>
      <c r="Q1712" s="6" t="str">
        <f>IFERROR(__xludf.DUMMYFUNCTION("""COMPUTED_VALUE"""),"mischievous")</f>
        <v>mischievous</v>
      </c>
      <c r="S1712" s="6" t="str">
        <f>IFERROR(__xludf.DUMMYFUNCTION("""COMPUTED_VALUE"""),"uncomfortable")</f>
        <v>uncomfortable</v>
      </c>
    </row>
    <row r="1713">
      <c r="D1713" s="6"/>
      <c r="H1713" s="6" t="str">
        <f>IFERROR(__xludf.DUMMYFUNCTION("""COMPUTED_VALUE"""),"zhang")</f>
        <v>zhang</v>
      </c>
      <c r="I1713" s="6"/>
      <c r="J1713" s="6" t="str">
        <f>IFERROR(__xludf.DUMMYFUNCTION("""COMPUTED_VALUE"""),"huskies")</f>
        <v>huskies</v>
      </c>
      <c r="M1713" s="6"/>
      <c r="P1713" s="6"/>
      <c r="Q1713" s="6" t="str">
        <f>IFERROR(__xludf.DUMMYFUNCTION("""COMPUTED_VALUE"""),"ambiguity")</f>
        <v>ambiguity</v>
      </c>
      <c r="S1713" s="6" t="str">
        <f>IFERROR(__xludf.DUMMYFUNCTION("""COMPUTED_VALUE"""),"retreat")</f>
        <v>retreat</v>
      </c>
    </row>
    <row r="1714">
      <c r="D1714" s="6"/>
      <c r="H1714" s="6" t="str">
        <f>IFERROR(__xludf.DUMMYFUNCTION("""COMPUTED_VALUE"""),"knockout")</f>
        <v>knockout</v>
      </c>
      <c r="I1714" s="6"/>
      <c r="J1714" s="6" t="str">
        <f>IFERROR(__xludf.DUMMYFUNCTION("""COMPUTED_VALUE"""),"discarded")</f>
        <v>discarded</v>
      </c>
      <c r="M1714" s="6"/>
      <c r="P1714" s="6"/>
      <c r="Q1714" s="6" t="str">
        <f>IFERROR(__xludf.DUMMYFUNCTION("""COMPUTED_VALUE"""),"symbolic")</f>
        <v>symbolic</v>
      </c>
      <c r="S1714" s="6" t="str">
        <f>IFERROR(__xludf.DUMMYFUNCTION("""COMPUTED_VALUE"""),"amusement")</f>
        <v>amusement</v>
      </c>
    </row>
    <row r="1715">
      <c r="D1715" s="6"/>
      <c r="H1715" s="6" t="str">
        <f>IFERROR(__xludf.DUMMYFUNCTION("""COMPUTED_VALUE"""),"wryly")</f>
        <v>wryly</v>
      </c>
      <c r="I1715" s="6"/>
      <c r="J1715" s="6" t="str">
        <f>IFERROR(__xludf.DUMMYFUNCTION("""COMPUTED_VALUE"""),"humming")</f>
        <v>humming</v>
      </c>
      <c r="M1715" s="6"/>
      <c r="P1715" s="6"/>
      <c r="Q1715" s="6" t="str">
        <f>IFERROR(__xludf.DUMMYFUNCTION("""COMPUTED_VALUE"""),"contenders")</f>
        <v>contenders</v>
      </c>
      <c r="S1715" s="6" t="str">
        <f>IFERROR(__xludf.DUMMYFUNCTION("""COMPUTED_VALUE"""),"ivan")</f>
        <v>ivan</v>
      </c>
    </row>
    <row r="1716">
      <c r="D1716" s="6"/>
      <c r="H1716" s="6" t="str">
        <f>IFERROR(__xludf.DUMMYFUNCTION("""COMPUTED_VALUE"""),"fable")</f>
        <v>fable</v>
      </c>
      <c r="I1716" s="6"/>
      <c r="J1716" s="6" t="str">
        <f>IFERROR(__xludf.DUMMYFUNCTION("""COMPUTED_VALUE"""),"ticking")</f>
        <v>ticking</v>
      </c>
      <c r="M1716" s="6"/>
      <c r="P1716" s="6"/>
      <c r="Q1716" s="6" t="str">
        <f>IFERROR(__xludf.DUMMYFUNCTION("""COMPUTED_VALUE"""),"russell")</f>
        <v>russell</v>
      </c>
      <c r="S1716" s="6">
        <f>IFERROR(__xludf.DUMMYFUNCTION("""COMPUTED_VALUE"""),1957.0)</f>
        <v>1957</v>
      </c>
    </row>
    <row r="1717">
      <c r="D1717" s="6"/>
      <c r="H1717" s="6" t="str">
        <f>IFERROR(__xludf.DUMMYFUNCTION("""COMPUTED_VALUE"""),"undertaken")</f>
        <v>undertaken</v>
      </c>
      <c r="I1717" s="6"/>
      <c r="J1717" s="6" t="str">
        <f>IFERROR(__xludf.DUMMYFUNCTION("""COMPUTED_VALUE"""),"millennium")</f>
        <v>millennium</v>
      </c>
      <c r="M1717" s="6"/>
      <c r="P1717" s="6"/>
      <c r="Q1717" s="6" t="str">
        <f>IFERROR(__xludf.DUMMYFUNCTION("""COMPUTED_VALUE"""),"irwin")</f>
        <v>irwin</v>
      </c>
      <c r="S1717" s="6" t="str">
        <f>IFERROR(__xludf.DUMMYFUNCTION("""COMPUTED_VALUE"""),"tall")</f>
        <v>tall</v>
      </c>
    </row>
    <row r="1718">
      <c r="D1718" s="6"/>
      <c r="H1718" s="6" t="str">
        <f>IFERROR(__xludf.DUMMYFUNCTION("""COMPUTED_VALUE"""),"determination")</f>
        <v>determination</v>
      </c>
      <c r="I1718" s="6"/>
      <c r="J1718" s="6" t="str">
        <f>IFERROR(__xludf.DUMMYFUNCTION("""COMPUTED_VALUE"""),"overview")</f>
        <v>overview</v>
      </c>
      <c r="M1718" s="6"/>
      <c r="P1718" s="6"/>
      <c r="Q1718" s="6" t="str">
        <f>IFERROR(__xludf.DUMMYFUNCTION("""COMPUTED_VALUE"""),"procedural")</f>
        <v>procedural</v>
      </c>
      <c r="S1718" s="6" t="str">
        <f>IFERROR(__xludf.DUMMYFUNCTION("""COMPUTED_VALUE"""),"retiring")</f>
        <v>retiring</v>
      </c>
    </row>
    <row r="1719">
      <c r="D1719" s="6"/>
      <c r="H1719" s="6" t="str">
        <f>IFERROR(__xludf.DUMMYFUNCTION("""COMPUTED_VALUE"""),"scientists")</f>
        <v>scientists</v>
      </c>
      <c r="I1719" s="6"/>
      <c r="J1719" s="6" t="str">
        <f>IFERROR(__xludf.DUMMYFUNCTION("""COMPUTED_VALUE"""),"clash")</f>
        <v>clash</v>
      </c>
      <c r="M1719" s="6"/>
      <c r="P1719" s="6"/>
      <c r="Q1719" s="6" t="str">
        <f>IFERROR(__xludf.DUMMYFUNCTION("""COMPUTED_VALUE"""),"schneider")</f>
        <v>schneider</v>
      </c>
      <c r="S1719" s="6" t="str">
        <f>IFERROR(__xludf.DUMMYFUNCTION("""COMPUTED_VALUE"""),"pan")</f>
        <v>pan</v>
      </c>
    </row>
    <row r="1720">
      <c r="D1720" s="6"/>
      <c r="H1720" s="6" t="str">
        <f>IFERROR(__xludf.DUMMYFUNCTION("""COMPUTED_VALUE"""),"marilyn")</f>
        <v>marilyn</v>
      </c>
      <c r="I1720" s="6"/>
      <c r="J1720" s="6" t="str">
        <f>IFERROR(__xludf.DUMMYFUNCTION("""COMPUTED_VALUE"""),"prisoners")</f>
        <v>prisoners</v>
      </c>
      <c r="M1720" s="6"/>
      <c r="P1720" s="6"/>
      <c r="Q1720" s="6" t="str">
        <f>IFERROR(__xludf.DUMMYFUNCTION("""COMPUTED_VALUE"""),"crypt")</f>
        <v>crypt</v>
      </c>
      <c r="S1720" s="6" t="str">
        <f>IFERROR(__xludf.DUMMYFUNCTION("""COMPUTED_VALUE"""),"crisis")</f>
        <v>crisis</v>
      </c>
    </row>
    <row r="1721">
      <c r="D1721" s="6"/>
      <c r="H1721" s="6" t="str">
        <f>IFERROR(__xludf.DUMMYFUNCTION("""COMPUTED_VALUE"""),"craftsmen")</f>
        <v>craftsmen</v>
      </c>
      <c r="I1721" s="6"/>
      <c r="J1721" s="6" t="str">
        <f>IFERROR(__xludf.DUMMYFUNCTION("""COMPUTED_VALUE"""),"prolific")</f>
        <v>prolific</v>
      </c>
      <c r="M1721" s="6"/>
      <c r="P1721" s="6"/>
      <c r="Q1721" s="6" t="str">
        <f>IFERROR(__xludf.DUMMYFUNCTION("""COMPUTED_VALUE"""),"mist")</f>
        <v>mist</v>
      </c>
      <c r="S1721" s="6" t="str">
        <f>IFERROR(__xludf.DUMMYFUNCTION("""COMPUTED_VALUE"""),"sullivan")</f>
        <v>sullivan</v>
      </c>
    </row>
    <row r="1722">
      <c r="D1722" s="6"/>
      <c r="H1722" s="6" t="str">
        <f>IFERROR(__xludf.DUMMYFUNCTION("""COMPUTED_VALUE"""),"acclaimed")</f>
        <v>acclaimed</v>
      </c>
      <c r="I1722" s="6"/>
      <c r="J1722" s="6" t="str">
        <f>IFERROR(__xludf.DUMMYFUNCTION("""COMPUTED_VALUE"""),"lunar")</f>
        <v>lunar</v>
      </c>
      <c r="M1722" s="6"/>
      <c r="P1722" s="6"/>
      <c r="Q1722" s="6" t="str">
        <f>IFERROR(__xludf.DUMMYFUNCTION("""COMPUTED_VALUE"""),"peek")</f>
        <v>peek</v>
      </c>
      <c r="S1722" s="6" t="str">
        <f>IFERROR(__xludf.DUMMYFUNCTION("""COMPUTED_VALUE"""),"secret")</f>
        <v>secret</v>
      </c>
    </row>
    <row r="1723">
      <c r="D1723" s="6"/>
      <c r="H1723" s="6">
        <f>IFERROR(__xludf.DUMMYFUNCTION("""COMPUTED_VALUE"""),1952.0)</f>
        <v>1952</v>
      </c>
      <c r="I1723" s="6"/>
      <c r="J1723" s="6" t="str">
        <f>IFERROR(__xludf.DUMMYFUNCTION("""COMPUTED_VALUE"""),"capability")</f>
        <v>capability</v>
      </c>
      <c r="M1723" s="6"/>
      <c r="P1723" s="6"/>
      <c r="Q1723" s="6" t="str">
        <f>IFERROR(__xludf.DUMMYFUNCTION("""COMPUTED_VALUE"""),"protagonist")</f>
        <v>protagonist</v>
      </c>
      <c r="S1723" s="6" t="str">
        <f>IFERROR(__xludf.DUMMYFUNCTION("""COMPUTED_VALUE"""),"servants")</f>
        <v>servants</v>
      </c>
    </row>
    <row r="1724">
      <c r="D1724" s="6"/>
      <c r="H1724" s="6" t="str">
        <f>IFERROR(__xludf.DUMMYFUNCTION("""COMPUTED_VALUE"""),"icon")</f>
        <v>icon</v>
      </c>
      <c r="I1724" s="6"/>
      <c r="J1724" s="6" t="str">
        <f>IFERROR(__xludf.DUMMYFUNCTION("""COMPUTED_VALUE"""),"gifford")</f>
        <v>gifford</v>
      </c>
      <c r="M1724" s="6"/>
      <c r="P1724" s="6"/>
      <c r="Q1724" s="6" t="str">
        <f>IFERROR(__xludf.DUMMYFUNCTION("""COMPUTED_VALUE"""),"patriotic")</f>
        <v>patriotic</v>
      </c>
      <c r="S1724" s="6" t="str">
        <f>IFERROR(__xludf.DUMMYFUNCTION("""COMPUTED_VALUE"""),"gas")</f>
        <v>gas</v>
      </c>
    </row>
    <row r="1725">
      <c r="D1725" s="6"/>
      <c r="H1725" s="6" t="str">
        <f>IFERROR(__xludf.DUMMYFUNCTION("""COMPUTED_VALUE"""),"unaffected")</f>
        <v>unaffected</v>
      </c>
      <c r="I1725" s="6"/>
      <c r="J1725" s="6" t="str">
        <f>IFERROR(__xludf.DUMMYFUNCTION("""COMPUTED_VALUE"""),"disturbance")</f>
        <v>disturbance</v>
      </c>
      <c r="M1725" s="6"/>
      <c r="P1725" s="6"/>
      <c r="Q1725" s="6" t="str">
        <f>IFERROR(__xludf.DUMMYFUNCTION("""COMPUTED_VALUE"""),"origins")</f>
        <v>origins</v>
      </c>
      <c r="S1725" s="6" t="str">
        <f>IFERROR(__xludf.DUMMYFUNCTION("""COMPUTED_VALUE"""),"error")</f>
        <v>error</v>
      </c>
    </row>
    <row r="1726">
      <c r="D1726" s="6"/>
      <c r="H1726" s="6" t="str">
        <f>IFERROR(__xludf.DUMMYFUNCTION("""COMPUTED_VALUE"""),"minded")</f>
        <v>minded</v>
      </c>
      <c r="I1726" s="6"/>
      <c r="J1726" s="6" t="str">
        <f>IFERROR(__xludf.DUMMYFUNCTION("""COMPUTED_VALUE"""),"bender")</f>
        <v>bender</v>
      </c>
      <c r="M1726" s="6"/>
      <c r="P1726" s="6"/>
      <c r="Q1726" s="6" t="str">
        <f>IFERROR(__xludf.DUMMYFUNCTION("""COMPUTED_VALUE"""),"yiddish")</f>
        <v>yiddish</v>
      </c>
      <c r="S1726" s="6" t="str">
        <f>IFERROR(__xludf.DUMMYFUNCTION("""COMPUTED_VALUE"""),"electoral")</f>
        <v>electoral</v>
      </c>
    </row>
    <row r="1727">
      <c r="D1727" s="6"/>
      <c r="H1727" s="6" t="str">
        <f>IFERROR(__xludf.DUMMYFUNCTION("""COMPUTED_VALUE"""),"unified")</f>
        <v>unified</v>
      </c>
      <c r="I1727" s="6"/>
      <c r="J1727" s="6" t="str">
        <f>IFERROR(__xludf.DUMMYFUNCTION("""COMPUTED_VALUE"""),"precedent")</f>
        <v>precedent</v>
      </c>
      <c r="M1727" s="6"/>
      <c r="P1727" s="6"/>
      <c r="Q1727" s="6" t="str">
        <f>IFERROR(__xludf.DUMMYFUNCTION("""COMPUTED_VALUE"""),"burst")</f>
        <v>burst</v>
      </c>
      <c r="S1727" s="6" t="str">
        <f>IFERROR(__xludf.DUMMYFUNCTION("""COMPUTED_VALUE"""),"reportedly")</f>
        <v>reportedly</v>
      </c>
    </row>
    <row r="1728">
      <c r="D1728" s="6"/>
      <c r="H1728" s="6" t="str">
        <f>IFERROR(__xludf.DUMMYFUNCTION("""COMPUTED_VALUE"""),"ladder")</f>
        <v>ladder</v>
      </c>
      <c r="I1728" s="6"/>
      <c r="J1728" s="6" t="str">
        <f>IFERROR(__xludf.DUMMYFUNCTION("""COMPUTED_VALUE"""),"catastrophic")</f>
        <v>catastrophic</v>
      </c>
      <c r="M1728" s="6"/>
      <c r="P1728" s="6"/>
      <c r="Q1728" s="6" t="str">
        <f>IFERROR(__xludf.DUMMYFUNCTION("""COMPUTED_VALUE"""),"weary")</f>
        <v>weary</v>
      </c>
      <c r="S1728" s="6" t="str">
        <f>IFERROR(__xludf.DUMMYFUNCTION("""COMPUTED_VALUE"""),"dimensional")</f>
        <v>dimensional</v>
      </c>
    </row>
    <row r="1729">
      <c r="D1729" s="6"/>
      <c r="H1729" s="6" t="str">
        <f>IFERROR(__xludf.DUMMYFUNCTION("""COMPUTED_VALUE"""),"libretto")</f>
        <v>libretto</v>
      </c>
      <c r="I1729" s="6"/>
      <c r="J1729" s="6" t="str">
        <f>IFERROR(__xludf.DUMMYFUNCTION("""COMPUTED_VALUE"""),"pact")</f>
        <v>pact</v>
      </c>
      <c r="M1729" s="6"/>
      <c r="P1729" s="6"/>
      <c r="Q1729" s="6" t="str">
        <f>IFERROR(__xludf.DUMMYFUNCTION("""COMPUTED_VALUE"""),"annals")</f>
        <v>annals</v>
      </c>
      <c r="S1729" s="6" t="str">
        <f>IFERROR(__xludf.DUMMYFUNCTION("""COMPUTED_VALUE"""),"byzantine")</f>
        <v>byzantine</v>
      </c>
    </row>
    <row r="1730">
      <c r="D1730" s="6"/>
      <c r="H1730" s="6" t="str">
        <f>IFERROR(__xludf.DUMMYFUNCTION("""COMPUTED_VALUE"""),"monument")</f>
        <v>monument</v>
      </c>
      <c r="I1730" s="6"/>
      <c r="J1730" s="6" t="str">
        <f>IFERROR(__xludf.DUMMYFUNCTION("""COMPUTED_VALUE"""),"grave")</f>
        <v>grave</v>
      </c>
      <c r="M1730" s="6"/>
      <c r="P1730" s="6"/>
      <c r="Q1730" s="6" t="str">
        <f>IFERROR(__xludf.DUMMYFUNCTION("""COMPUTED_VALUE"""),"forceful")</f>
        <v>forceful</v>
      </c>
      <c r="S1730" s="6" t="str">
        <f>IFERROR(__xludf.DUMMYFUNCTION("""COMPUTED_VALUE"""),"mass")</f>
        <v>mass</v>
      </c>
    </row>
    <row r="1731">
      <c r="D1731" s="6"/>
      <c r="H1731" s="6" t="str">
        <f>IFERROR(__xludf.DUMMYFUNCTION("""COMPUTED_VALUE"""),"minority")</f>
        <v>minority</v>
      </c>
      <c r="I1731" s="6"/>
      <c r="J1731" s="6" t="str">
        <f>IFERROR(__xludf.DUMMYFUNCTION("""COMPUTED_VALUE"""),"crushing")</f>
        <v>crushing</v>
      </c>
      <c r="M1731" s="6"/>
      <c r="P1731" s="6"/>
      <c r="Q1731" s="6" t="str">
        <f>IFERROR(__xludf.DUMMYFUNCTION("""COMPUTED_VALUE"""),"innovations")</f>
        <v>innovations</v>
      </c>
      <c r="S1731" s="6" t="str">
        <f>IFERROR(__xludf.DUMMYFUNCTION("""COMPUTED_VALUE"""),"pc")</f>
        <v>pc</v>
      </c>
    </row>
    <row r="1732">
      <c r="D1732" s="6"/>
      <c r="H1732" s="6" t="str">
        <f>IFERROR(__xludf.DUMMYFUNCTION("""COMPUTED_VALUE"""),"spine")</f>
        <v>spine</v>
      </c>
      <c r="I1732" s="6"/>
      <c r="J1732" s="6" t="str">
        <f>IFERROR(__xludf.DUMMYFUNCTION("""COMPUTED_VALUE"""),"split")</f>
        <v>split</v>
      </c>
      <c r="M1732" s="6"/>
      <c r="P1732" s="6"/>
      <c r="Q1732" s="6" t="str">
        <f>IFERROR(__xludf.DUMMYFUNCTION("""COMPUTED_VALUE"""),"despair")</f>
        <v>despair</v>
      </c>
      <c r="S1732" s="6" t="str">
        <f>IFERROR(__xludf.DUMMYFUNCTION("""COMPUTED_VALUE"""),"stability")</f>
        <v>stability</v>
      </c>
    </row>
    <row r="1733">
      <c r="D1733" s="6"/>
      <c r="H1733" s="6" t="str">
        <f>IFERROR(__xludf.DUMMYFUNCTION("""COMPUTED_VALUE"""),"shivers")</f>
        <v>shivers</v>
      </c>
      <c r="I1733" s="6"/>
      <c r="J1733" s="6" t="str">
        <f>IFERROR(__xludf.DUMMYFUNCTION("""COMPUTED_VALUE"""),"fragment")</f>
        <v>fragment</v>
      </c>
      <c r="M1733" s="6"/>
      <c r="P1733" s="6"/>
      <c r="Q1733" s="6" t="str">
        <f>IFERROR(__xludf.DUMMYFUNCTION("""COMPUTED_VALUE"""),"pardon")</f>
        <v>pardon</v>
      </c>
      <c r="S1733" s="6" t="str">
        <f>IFERROR(__xludf.DUMMYFUNCTION("""COMPUTED_VALUE"""),"percussion")</f>
        <v>percussion</v>
      </c>
    </row>
    <row r="1734">
      <c r="D1734" s="6"/>
      <c r="H1734" s="6" t="str">
        <f>IFERROR(__xludf.DUMMYFUNCTION("""COMPUTED_VALUE"""),"environmental")</f>
        <v>environmental</v>
      </c>
      <c r="I1734" s="6"/>
      <c r="J1734" s="6" t="str">
        <f>IFERROR(__xludf.DUMMYFUNCTION("""COMPUTED_VALUE"""),"pornographic")</f>
        <v>pornographic</v>
      </c>
      <c r="M1734" s="6"/>
      <c r="P1734" s="6"/>
      <c r="Q1734" s="6" t="str">
        <f>IFERROR(__xludf.DUMMYFUNCTION("""COMPUTED_VALUE"""),"pun")</f>
        <v>pun</v>
      </c>
      <c r="S1734" s="6" t="str">
        <f>IFERROR(__xludf.DUMMYFUNCTION("""COMPUTED_VALUE"""),"brass")</f>
        <v>brass</v>
      </c>
    </row>
    <row r="1735">
      <c r="D1735" s="6"/>
      <c r="H1735" s="6" t="str">
        <f>IFERROR(__xludf.DUMMYFUNCTION("""COMPUTED_VALUE"""),"fleeing")</f>
        <v>fleeing</v>
      </c>
      <c r="I1735" s="6"/>
      <c r="J1735" s="6" t="str">
        <f>IFERROR(__xludf.DUMMYFUNCTION("""COMPUTED_VALUE"""),"frontal")</f>
        <v>frontal</v>
      </c>
      <c r="M1735" s="6"/>
      <c r="P1735" s="6"/>
      <c r="Q1735" s="6" t="str">
        <f>IFERROR(__xludf.DUMMYFUNCTION("""COMPUTED_VALUE"""),"replaced")</f>
        <v>replaced</v>
      </c>
      <c r="S1735" s="6" t="str">
        <f>IFERROR(__xludf.DUMMYFUNCTION("""COMPUTED_VALUE"""),"ninth")</f>
        <v>ninth</v>
      </c>
    </row>
    <row r="1736">
      <c r="D1736" s="6"/>
      <c r="H1736" s="6" t="str">
        <f>IFERROR(__xludf.DUMMYFUNCTION("""COMPUTED_VALUE"""),"ramsay")</f>
        <v>ramsay</v>
      </c>
      <c r="I1736" s="6"/>
      <c r="J1736" s="6" t="str">
        <f>IFERROR(__xludf.DUMMYFUNCTION("""COMPUTED_VALUE"""),"fused")</f>
        <v>fused</v>
      </c>
      <c r="M1736" s="6"/>
      <c r="P1736" s="6"/>
      <c r="Q1736" s="6" t="str">
        <f>IFERROR(__xludf.DUMMYFUNCTION("""COMPUTED_VALUE"""),"executives")</f>
        <v>executives</v>
      </c>
      <c r="S1736" s="6" t="str">
        <f>IFERROR(__xludf.DUMMYFUNCTION("""COMPUTED_VALUE"""),"map")</f>
        <v>map</v>
      </c>
    </row>
    <row r="1737">
      <c r="D1737" s="6"/>
      <c r="H1737" s="6" t="str">
        <f>IFERROR(__xludf.DUMMYFUNCTION("""COMPUTED_VALUE"""),"converts")</f>
        <v>converts</v>
      </c>
      <c r="I1737" s="6"/>
      <c r="J1737" s="6" t="str">
        <f>IFERROR(__xludf.DUMMYFUNCTION("""COMPUTED_VALUE"""),"losses")</f>
        <v>losses</v>
      </c>
      <c r="M1737" s="6"/>
      <c r="P1737" s="6"/>
      <c r="Q1737" s="6" t="str">
        <f>IFERROR(__xludf.DUMMYFUNCTION("""COMPUTED_VALUE"""),"hoped")</f>
        <v>hoped</v>
      </c>
      <c r="S1737" s="6" t="str">
        <f>IFERROR(__xludf.DUMMYFUNCTION("""COMPUTED_VALUE"""),"torn")</f>
        <v>torn</v>
      </c>
    </row>
    <row r="1738">
      <c r="D1738" s="6"/>
      <c r="H1738" s="6" t="str">
        <f>IFERROR(__xludf.DUMMYFUNCTION("""COMPUTED_VALUE"""),"encompassing")</f>
        <v>encompassing</v>
      </c>
      <c r="I1738" s="6"/>
      <c r="J1738" s="6" t="str">
        <f>IFERROR(__xludf.DUMMYFUNCTION("""COMPUTED_VALUE"""),"broader")</f>
        <v>broader</v>
      </c>
      <c r="M1738" s="6"/>
      <c r="P1738" s="6"/>
      <c r="Q1738" s="6" t="str">
        <f>IFERROR(__xludf.DUMMYFUNCTION("""COMPUTED_VALUE"""),"commended")</f>
        <v>commended</v>
      </c>
      <c r="S1738" s="6" t="str">
        <f>IFERROR(__xludf.DUMMYFUNCTION("""COMPUTED_VALUE"""),"invented")</f>
        <v>invented</v>
      </c>
    </row>
    <row r="1739">
      <c r="D1739" s="6"/>
      <c r="H1739" s="6" t="str">
        <f>IFERROR(__xludf.DUMMYFUNCTION("""COMPUTED_VALUE"""),"favorably")</f>
        <v>favorably</v>
      </c>
      <c r="I1739" s="6"/>
      <c r="J1739" s="6" t="str">
        <f>IFERROR(__xludf.DUMMYFUNCTION("""COMPUTED_VALUE"""),"bestowed")</f>
        <v>bestowed</v>
      </c>
      <c r="M1739" s="6"/>
      <c r="P1739" s="6"/>
      <c r="Q1739" s="6" t="str">
        <f>IFERROR(__xludf.DUMMYFUNCTION("""COMPUTED_VALUE"""),"illustrating")</f>
        <v>illustrating</v>
      </c>
      <c r="S1739" s="6" t="str">
        <f>IFERROR(__xludf.DUMMYFUNCTION("""COMPUTED_VALUE"""),"shoes")</f>
        <v>shoes</v>
      </c>
    </row>
    <row r="1740">
      <c r="D1740" s="6"/>
      <c r="H1740" s="6" t="str">
        <f>IFERROR(__xludf.DUMMYFUNCTION("""COMPUTED_VALUE"""),"hurts")</f>
        <v>hurts</v>
      </c>
      <c r="I1740" s="6"/>
      <c r="J1740" s="6" t="str">
        <f>IFERROR(__xludf.DUMMYFUNCTION("""COMPUTED_VALUE"""),"waldo")</f>
        <v>waldo</v>
      </c>
      <c r="M1740" s="6"/>
      <c r="P1740" s="6"/>
      <c r="Q1740" s="6" t="str">
        <f>IFERROR(__xludf.DUMMYFUNCTION("""COMPUTED_VALUE"""),"matters")</f>
        <v>matters</v>
      </c>
      <c r="S1740" s="6" t="str">
        <f>IFERROR(__xludf.DUMMYFUNCTION("""COMPUTED_VALUE"""),"section")</f>
        <v>section</v>
      </c>
    </row>
    <row r="1741">
      <c r="D1741" s="6"/>
      <c r="H1741" s="6" t="str">
        <f>IFERROR(__xludf.DUMMYFUNCTION("""COMPUTED_VALUE"""),"clare")</f>
        <v>clare</v>
      </c>
      <c r="I1741" s="6"/>
      <c r="J1741" s="6" t="str">
        <f>IFERROR(__xludf.DUMMYFUNCTION("""COMPUTED_VALUE"""),"confront")</f>
        <v>confront</v>
      </c>
      <c r="M1741" s="6"/>
      <c r="P1741" s="6"/>
      <c r="Q1741" s="6" t="str">
        <f>IFERROR(__xludf.DUMMYFUNCTION("""COMPUTED_VALUE"""),"whale")</f>
        <v>whale</v>
      </c>
      <c r="S1741" s="6" t="str">
        <f>IFERROR(__xludf.DUMMYFUNCTION("""COMPUTED_VALUE"""),"monday")</f>
        <v>monday</v>
      </c>
    </row>
    <row r="1742">
      <c r="D1742" s="6"/>
      <c r="H1742" s="6">
        <f>IFERROR(__xludf.DUMMYFUNCTION("""COMPUTED_VALUE"""),146.0)</f>
        <v>146</v>
      </c>
      <c r="I1742" s="6"/>
      <c r="J1742" s="6" t="str">
        <f>IFERROR(__xludf.DUMMYFUNCTION("""COMPUTED_VALUE"""),"familiarity")</f>
        <v>familiarity</v>
      </c>
      <c r="M1742" s="6"/>
      <c r="P1742" s="6"/>
      <c r="Q1742" s="6" t="str">
        <f>IFERROR(__xludf.DUMMYFUNCTION("""COMPUTED_VALUE"""),"michele")</f>
        <v>michele</v>
      </c>
      <c r="S1742" s="6" t="str">
        <f>IFERROR(__xludf.DUMMYFUNCTION("""COMPUTED_VALUE"""),"prisoners")</f>
        <v>prisoners</v>
      </c>
    </row>
    <row r="1743">
      <c r="D1743" s="6"/>
      <c r="H1743" s="6" t="str">
        <f>IFERROR(__xludf.DUMMYFUNCTION("""COMPUTED_VALUE"""),"muse")</f>
        <v>muse</v>
      </c>
      <c r="I1743" s="6"/>
      <c r="J1743" s="6" t="str">
        <f>IFERROR(__xludf.DUMMYFUNCTION("""COMPUTED_VALUE"""),"carmichael")</f>
        <v>carmichael</v>
      </c>
      <c r="M1743" s="6"/>
      <c r="P1743" s="6"/>
      <c r="Q1743" s="6" t="str">
        <f>IFERROR(__xludf.DUMMYFUNCTION("""COMPUTED_VALUE"""),"bitterly")</f>
        <v>bitterly</v>
      </c>
      <c r="S1743" s="6">
        <f>IFERROR(__xludf.DUMMYFUNCTION("""COMPUTED_VALUE"""),1973.0)</f>
        <v>1973</v>
      </c>
    </row>
    <row r="1744">
      <c r="D1744" s="6"/>
      <c r="H1744" s="6" t="str">
        <f>IFERROR(__xludf.DUMMYFUNCTION("""COMPUTED_VALUE"""),"weighs")</f>
        <v>weighs</v>
      </c>
      <c r="I1744" s="6"/>
      <c r="J1744" s="6" t="str">
        <f>IFERROR(__xludf.DUMMYFUNCTION("""COMPUTED_VALUE"""),"victorious")</f>
        <v>victorious</v>
      </c>
      <c r="M1744" s="6"/>
      <c r="P1744" s="6"/>
      <c r="Q1744" s="6" t="str">
        <f>IFERROR(__xludf.DUMMYFUNCTION("""COMPUTED_VALUE"""),"lower")</f>
        <v>lower</v>
      </c>
      <c r="S1744" s="6" t="str">
        <f>IFERROR(__xludf.DUMMYFUNCTION("""COMPUTED_VALUE"""),"roy")</f>
        <v>roy</v>
      </c>
    </row>
    <row r="1745">
      <c r="D1745" s="6"/>
      <c r="H1745" s="6" t="str">
        <f>IFERROR(__xludf.DUMMYFUNCTION("""COMPUTED_VALUE"""),"alfred")</f>
        <v>alfred</v>
      </c>
      <c r="I1745" s="6"/>
      <c r="J1745" s="6" t="str">
        <f>IFERROR(__xludf.DUMMYFUNCTION("""COMPUTED_VALUE"""),"revolutionaries")</f>
        <v>revolutionaries</v>
      </c>
      <c r="M1745" s="6"/>
      <c r="P1745" s="6"/>
      <c r="Q1745" s="6" t="str">
        <f>IFERROR(__xludf.DUMMYFUNCTION("""COMPUTED_VALUE"""),"athlete")</f>
        <v>athlete</v>
      </c>
      <c r="S1745" s="6" t="str">
        <f>IFERROR(__xludf.DUMMYFUNCTION("""COMPUTED_VALUE"""),"grave")</f>
        <v>grave</v>
      </c>
    </row>
    <row r="1746">
      <c r="D1746" s="6"/>
      <c r="H1746" s="6" t="str">
        <f>IFERROR(__xludf.DUMMYFUNCTION("""COMPUTED_VALUE"""),"hitchcock")</f>
        <v>hitchcock</v>
      </c>
      <c r="I1746" s="6"/>
      <c r="J1746" s="6" t="str">
        <f>IFERROR(__xludf.DUMMYFUNCTION("""COMPUTED_VALUE"""),"exiled")</f>
        <v>exiled</v>
      </c>
      <c r="M1746" s="6"/>
      <c r="P1746" s="6"/>
      <c r="Q1746" s="6" t="str">
        <f>IFERROR(__xludf.DUMMYFUNCTION("""COMPUTED_VALUE"""),"splash")</f>
        <v>splash</v>
      </c>
      <c r="S1746" s="6" t="str">
        <f>IFERROR(__xludf.DUMMYFUNCTION("""COMPUTED_VALUE"""),"jaw")</f>
        <v>jaw</v>
      </c>
    </row>
    <row r="1747">
      <c r="D1747" s="6"/>
      <c r="H1747" s="6" t="str">
        <f>IFERROR(__xludf.DUMMYFUNCTION("""COMPUTED_VALUE"""),"fontaine")</f>
        <v>fontaine</v>
      </c>
      <c r="I1747" s="6"/>
      <c r="J1747" s="6" t="str">
        <f>IFERROR(__xludf.DUMMYFUNCTION("""COMPUTED_VALUE"""),"aristocracy")</f>
        <v>aristocracy</v>
      </c>
      <c r="M1747" s="6"/>
      <c r="P1747" s="6"/>
      <c r="Q1747" s="6" t="str">
        <f>IFERROR(__xludf.DUMMYFUNCTION("""COMPUTED_VALUE"""),"ambiguous")</f>
        <v>ambiguous</v>
      </c>
      <c r="S1747" s="6" t="str">
        <f>IFERROR(__xludf.DUMMYFUNCTION("""COMPUTED_VALUE"""),"split")</f>
        <v>split</v>
      </c>
    </row>
    <row r="1748">
      <c r="D1748" s="6"/>
      <c r="H1748" s="6" t="str">
        <f>IFERROR(__xludf.DUMMYFUNCTION("""COMPUTED_VALUE"""),"shakespeare")</f>
        <v>shakespeare</v>
      </c>
      <c r="I1748" s="6"/>
      <c r="J1748" s="6" t="str">
        <f>IFERROR(__xludf.DUMMYFUNCTION("""COMPUTED_VALUE"""),"hounds")</f>
        <v>hounds</v>
      </c>
      <c r="M1748" s="6"/>
      <c r="P1748" s="6"/>
      <c r="Q1748" s="6" t="str">
        <f>IFERROR(__xludf.DUMMYFUNCTION("""COMPUTED_VALUE"""),"combat")</f>
        <v>combat</v>
      </c>
      <c r="S1748" s="6" t="str">
        <f>IFERROR(__xludf.DUMMYFUNCTION("""COMPUTED_VALUE"""),"dear")</f>
        <v>dear</v>
      </c>
    </row>
    <row r="1749">
      <c r="D1749" s="6"/>
      <c r="H1749" s="6" t="str">
        <f>IFERROR(__xludf.DUMMYFUNCTION("""COMPUTED_VALUE"""),"weakly")</f>
        <v>weakly</v>
      </c>
      <c r="I1749" s="6"/>
      <c r="J1749" s="6" t="str">
        <f>IFERROR(__xludf.DUMMYFUNCTION("""COMPUTED_VALUE"""),"iranian")</f>
        <v>iranian</v>
      </c>
      <c r="M1749" s="6"/>
      <c r="P1749" s="6"/>
      <c r="Q1749" s="6" t="str">
        <f>IFERROR(__xludf.DUMMYFUNCTION("""COMPUTED_VALUE"""),"expose")</f>
        <v>expose</v>
      </c>
      <c r="S1749" s="6" t="str">
        <f>IFERROR(__xludf.DUMMYFUNCTION("""COMPUTED_VALUE"""),"losses")</f>
        <v>losses</v>
      </c>
    </row>
    <row r="1750">
      <c r="D1750" s="6"/>
      <c r="H1750" s="6" t="str">
        <f>IFERROR(__xludf.DUMMYFUNCTION("""COMPUTED_VALUE"""),"clyde")</f>
        <v>clyde</v>
      </c>
      <c r="I1750" s="6"/>
      <c r="J1750" s="6" t="str">
        <f>IFERROR(__xludf.DUMMYFUNCTION("""COMPUTED_VALUE"""),"fledgling")</f>
        <v>fledgling</v>
      </c>
      <c r="M1750" s="6"/>
      <c r="P1750" s="6"/>
      <c r="Q1750" s="6" t="str">
        <f>IFERROR(__xludf.DUMMYFUNCTION("""COMPUTED_VALUE"""),"prejudice")</f>
        <v>prejudice</v>
      </c>
      <c r="S1750" s="6" t="str">
        <f>IFERROR(__xludf.DUMMYFUNCTION("""COMPUTED_VALUE"""),"concrete")</f>
        <v>concrete</v>
      </c>
    </row>
    <row r="1751">
      <c r="D1751" s="6"/>
      <c r="H1751" s="6" t="str">
        <f>IFERROR(__xludf.DUMMYFUNCTION("""COMPUTED_VALUE"""),"curves")</f>
        <v>curves</v>
      </c>
      <c r="I1751" s="6"/>
      <c r="J1751" s="6" t="str">
        <f>IFERROR(__xludf.DUMMYFUNCTION("""COMPUTED_VALUE"""),"presiding")</f>
        <v>presiding</v>
      </c>
      <c r="M1751" s="6"/>
      <c r="P1751" s="6"/>
      <c r="Q1751" s="6" t="str">
        <f>IFERROR(__xludf.DUMMYFUNCTION("""COMPUTED_VALUE"""),"enigma")</f>
        <v>enigma</v>
      </c>
      <c r="S1751" s="6" t="str">
        <f>IFERROR(__xludf.DUMMYFUNCTION("""COMPUTED_VALUE"""),"drawings")</f>
        <v>drawings</v>
      </c>
    </row>
    <row r="1752">
      <c r="D1752" s="6"/>
      <c r="H1752" s="6" t="str">
        <f>IFERROR(__xludf.DUMMYFUNCTION("""COMPUTED_VALUE"""),"fashioned")</f>
        <v>fashioned</v>
      </c>
      <c r="I1752" s="6"/>
      <c r="J1752" s="6" t="str">
        <f>IFERROR(__xludf.DUMMYFUNCTION("""COMPUTED_VALUE"""),"macbeth")</f>
        <v>macbeth</v>
      </c>
      <c r="M1752" s="6"/>
      <c r="P1752" s="6"/>
      <c r="Q1752" s="6" t="str">
        <f>IFERROR(__xludf.DUMMYFUNCTION("""COMPUTED_VALUE"""),"screenwriter")</f>
        <v>screenwriter</v>
      </c>
      <c r="S1752" s="6" t="str">
        <f>IFERROR(__xludf.DUMMYFUNCTION("""COMPUTED_VALUE"""),"iranian")</f>
        <v>iranian</v>
      </c>
    </row>
    <row r="1753">
      <c r="D1753" s="6"/>
      <c r="H1753" s="6" t="str">
        <f>IFERROR(__xludf.DUMMYFUNCTION("""COMPUTED_VALUE"""),"strains")</f>
        <v>strains</v>
      </c>
      <c r="I1753" s="6"/>
      <c r="J1753" s="6" t="str">
        <f>IFERROR(__xludf.DUMMYFUNCTION("""COMPUTED_VALUE"""),"conflicts")</f>
        <v>conflicts</v>
      </c>
      <c r="M1753" s="6"/>
      <c r="P1753" s="6"/>
      <c r="Q1753" s="6" t="str">
        <f>IFERROR(__xludf.DUMMYFUNCTION("""COMPUTED_VALUE"""),"reversal")</f>
        <v>reversal</v>
      </c>
      <c r="S1753" s="6" t="str">
        <f>IFERROR(__xludf.DUMMYFUNCTION("""COMPUTED_VALUE"""),"defend")</f>
        <v>defend</v>
      </c>
    </row>
    <row r="1754">
      <c r="D1754" s="6"/>
      <c r="H1754" s="6" t="str">
        <f>IFERROR(__xludf.DUMMYFUNCTION("""COMPUTED_VALUE"""),"lucas")</f>
        <v>lucas</v>
      </c>
      <c r="I1754" s="6"/>
      <c r="J1754" s="6" t="str">
        <f>IFERROR(__xludf.DUMMYFUNCTION("""COMPUTED_VALUE"""),"uniquely")</f>
        <v>uniquely</v>
      </c>
      <c r="M1754" s="6"/>
      <c r="P1754" s="6"/>
      <c r="Q1754" s="6" t="str">
        <f>IFERROR(__xludf.DUMMYFUNCTION("""COMPUTED_VALUE"""),"kazan")</f>
        <v>kazan</v>
      </c>
      <c r="S1754" s="6" t="str">
        <f>IFERROR(__xludf.DUMMYFUNCTION("""COMPUTED_VALUE"""),"1930s")</f>
        <v>1930s</v>
      </c>
    </row>
    <row r="1755">
      <c r="D1755" s="6"/>
      <c r="H1755" s="6" t="str">
        <f>IFERROR(__xludf.DUMMYFUNCTION("""COMPUTED_VALUE"""),"jolt")</f>
        <v>jolt</v>
      </c>
      <c r="I1755" s="6"/>
      <c r="J1755" s="6" t="str">
        <f>IFERROR(__xludf.DUMMYFUNCTION("""COMPUTED_VALUE"""),"joan")</f>
        <v>joan</v>
      </c>
      <c r="M1755" s="6"/>
      <c r="P1755" s="6"/>
      <c r="Q1755" s="6" t="str">
        <f>IFERROR(__xludf.DUMMYFUNCTION("""COMPUTED_VALUE"""),"chiefly")</f>
        <v>chiefly</v>
      </c>
      <c r="S1755" s="6" t="str">
        <f>IFERROR(__xludf.DUMMYFUNCTION("""COMPUTED_VALUE"""),"davis")</f>
        <v>davis</v>
      </c>
    </row>
    <row r="1756">
      <c r="D1756" s="6"/>
      <c r="H1756" s="6" t="str">
        <f>IFERROR(__xludf.DUMMYFUNCTION("""COMPUTED_VALUE"""),"juliet")</f>
        <v>juliet</v>
      </c>
      <c r="I1756" s="6"/>
      <c r="J1756" s="6" t="str">
        <f>IFERROR(__xludf.DUMMYFUNCTION("""COMPUTED_VALUE"""),"pinnacle")</f>
        <v>pinnacle</v>
      </c>
      <c r="M1756" s="6"/>
      <c r="P1756" s="6"/>
      <c r="Q1756" s="6" t="str">
        <f>IFERROR(__xludf.DUMMYFUNCTION("""COMPUTED_VALUE"""),"yearning")</f>
        <v>yearning</v>
      </c>
      <c r="S1756" s="6" t="str">
        <f>IFERROR(__xludf.DUMMYFUNCTION("""COMPUTED_VALUE"""),"conflicts")</f>
        <v>conflicts</v>
      </c>
    </row>
    <row r="1757">
      <c r="D1757" s="6"/>
      <c r="H1757" s="6" t="str">
        <f>IFERROR(__xludf.DUMMYFUNCTION("""COMPUTED_VALUE"""),"fighters")</f>
        <v>fighters</v>
      </c>
      <c r="I1757" s="6"/>
      <c r="J1757" s="6" t="str">
        <f>IFERROR(__xludf.DUMMYFUNCTION("""COMPUTED_VALUE"""),"probation")</f>
        <v>probation</v>
      </c>
      <c r="M1757" s="6"/>
      <c r="P1757" s="6"/>
      <c r="Q1757" s="6" t="str">
        <f>IFERROR(__xludf.DUMMYFUNCTION("""COMPUTED_VALUE"""),"near")</f>
        <v>near</v>
      </c>
      <c r="S1757" s="6" t="str">
        <f>IFERROR(__xludf.DUMMYFUNCTION("""COMPUTED_VALUE"""),"seventeen")</f>
        <v>seventeen</v>
      </c>
    </row>
    <row r="1758">
      <c r="D1758" s="6"/>
      <c r="H1758" s="6" t="str">
        <f>IFERROR(__xludf.DUMMYFUNCTION("""COMPUTED_VALUE"""),"exchanges")</f>
        <v>exchanges</v>
      </c>
      <c r="I1758" s="6"/>
      <c r="J1758" s="6" t="str">
        <f>IFERROR(__xludf.DUMMYFUNCTION("""COMPUTED_VALUE"""),"mankind")</f>
        <v>mankind</v>
      </c>
      <c r="M1758" s="6"/>
      <c r="P1758" s="6"/>
      <c r="Q1758" s="6" t="str">
        <f>IFERROR(__xludf.DUMMYFUNCTION("""COMPUTED_VALUE"""),"framing")</f>
        <v>framing</v>
      </c>
      <c r="S1758" s="6" t="str">
        <f>IFERROR(__xludf.DUMMYFUNCTION("""COMPUTED_VALUE"""),"austrian")</f>
        <v>austrian</v>
      </c>
    </row>
    <row r="1759">
      <c r="D1759" s="6"/>
      <c r="H1759" s="6" t="str">
        <f>IFERROR(__xludf.DUMMYFUNCTION("""COMPUTED_VALUE"""),"staggered")</f>
        <v>staggered</v>
      </c>
      <c r="I1759" s="6"/>
      <c r="J1759" s="6" t="str">
        <f>IFERROR(__xludf.DUMMYFUNCTION("""COMPUTED_VALUE"""),"wasp")</f>
        <v>wasp</v>
      </c>
      <c r="M1759" s="6"/>
      <c r="P1759" s="6"/>
      <c r="Q1759" s="6" t="str">
        <f>IFERROR(__xludf.DUMMYFUNCTION("""COMPUTED_VALUE"""),"spreads")</f>
        <v>spreads</v>
      </c>
      <c r="S1759" s="6" t="str">
        <f>IFERROR(__xludf.DUMMYFUNCTION("""COMPUTED_VALUE"""),"doc")</f>
        <v>doc</v>
      </c>
    </row>
    <row r="1760">
      <c r="D1760" s="6"/>
      <c r="H1760" s="6" t="str">
        <f>IFERROR(__xludf.DUMMYFUNCTION("""COMPUTED_VALUE"""),"suspects")</f>
        <v>suspects</v>
      </c>
      <c r="I1760" s="6"/>
      <c r="J1760" s="6" t="str">
        <f>IFERROR(__xludf.DUMMYFUNCTION("""COMPUTED_VALUE"""),"weber")</f>
        <v>weber</v>
      </c>
      <c r="M1760" s="6"/>
      <c r="P1760" s="6"/>
      <c r="Q1760" s="6" t="str">
        <f>IFERROR(__xludf.DUMMYFUNCTION("""COMPUTED_VALUE"""),"rumor")</f>
        <v>rumor</v>
      </c>
      <c r="S1760" s="6" t="str">
        <f>IFERROR(__xludf.DUMMYFUNCTION("""COMPUTED_VALUE"""),"joan")</f>
        <v>joan</v>
      </c>
    </row>
    <row r="1761">
      <c r="D1761" s="6"/>
      <c r="H1761" s="6" t="str">
        <f>IFERROR(__xludf.DUMMYFUNCTION("""COMPUTED_VALUE"""),"invincible")</f>
        <v>invincible</v>
      </c>
      <c r="I1761" s="6"/>
      <c r="J1761" s="6" t="str">
        <f>IFERROR(__xludf.DUMMYFUNCTION("""COMPUTED_VALUE"""),"stud")</f>
        <v>stud</v>
      </c>
      <c r="M1761" s="6"/>
      <c r="P1761" s="6"/>
      <c r="Q1761" s="6" t="str">
        <f>IFERROR(__xludf.DUMMYFUNCTION("""COMPUTED_VALUE"""),"magical")</f>
        <v>magical</v>
      </c>
      <c r="S1761" s="6" t="str">
        <f>IFERROR(__xludf.DUMMYFUNCTION("""COMPUTED_VALUE"""),"throat")</f>
        <v>throat</v>
      </c>
    </row>
    <row r="1762">
      <c r="D1762" s="6"/>
      <c r="H1762" s="6" t="str">
        <f>IFERROR(__xludf.DUMMYFUNCTION("""COMPUTED_VALUE"""),"forcefully")</f>
        <v>forcefully</v>
      </c>
      <c r="I1762" s="6"/>
      <c r="J1762" s="6" t="str">
        <f>IFERROR(__xludf.DUMMYFUNCTION("""COMPUTED_VALUE"""),"terrorism")</f>
        <v>terrorism</v>
      </c>
      <c r="M1762" s="6"/>
      <c r="P1762" s="6"/>
      <c r="Q1762" s="6" t="str">
        <f>IFERROR(__xludf.DUMMYFUNCTION("""COMPUTED_VALUE"""),"alternately")</f>
        <v>alternately</v>
      </c>
      <c r="S1762" s="6" t="str">
        <f>IFERROR(__xludf.DUMMYFUNCTION("""COMPUTED_VALUE"""),"solo")</f>
        <v>solo</v>
      </c>
    </row>
    <row r="1763">
      <c r="D1763" s="6"/>
      <c r="H1763" s="6" t="str">
        <f>IFERROR(__xludf.DUMMYFUNCTION("""COMPUTED_VALUE"""),"combustion")</f>
        <v>combustion</v>
      </c>
      <c r="I1763" s="6"/>
      <c r="J1763" s="6" t="str">
        <f>IFERROR(__xludf.DUMMYFUNCTION("""COMPUTED_VALUE"""),"sociology")</f>
        <v>sociology</v>
      </c>
      <c r="M1763" s="6"/>
      <c r="P1763" s="6"/>
      <c r="Q1763" s="6" t="str">
        <f>IFERROR(__xludf.DUMMYFUNCTION("""COMPUTED_VALUE"""),"hopeful")</f>
        <v>hopeful</v>
      </c>
      <c r="S1763" s="6" t="str">
        <f>IFERROR(__xludf.DUMMYFUNCTION("""COMPUTED_VALUE"""),"wash")</f>
        <v>wash</v>
      </c>
    </row>
    <row r="1764">
      <c r="D1764" s="6"/>
      <c r="H1764" s="6" t="str">
        <f>IFERROR(__xludf.DUMMYFUNCTION("""COMPUTED_VALUE"""),"barlow")</f>
        <v>barlow</v>
      </c>
      <c r="I1764" s="6"/>
      <c r="J1764" s="6" t="str">
        <f>IFERROR(__xludf.DUMMYFUNCTION("""COMPUTED_VALUE"""),"solo")</f>
        <v>solo</v>
      </c>
      <c r="M1764" s="6"/>
      <c r="P1764" s="6"/>
      <c r="Q1764" s="6" t="str">
        <f>IFERROR(__xludf.DUMMYFUNCTION("""COMPUTED_VALUE"""),"flag")</f>
        <v>flag</v>
      </c>
      <c r="S1764" s="6" t="str">
        <f>IFERROR(__xludf.DUMMYFUNCTION("""COMPUTED_VALUE"""),"depicted")</f>
        <v>depicted</v>
      </c>
    </row>
    <row r="1765">
      <c r="D1765" s="6"/>
      <c r="H1765" s="6" t="str">
        <f>IFERROR(__xludf.DUMMYFUNCTION("""COMPUTED_VALUE"""),"buried")</f>
        <v>buried</v>
      </c>
      <c r="I1765" s="6"/>
      <c r="J1765" s="6" t="str">
        <f>IFERROR(__xludf.DUMMYFUNCTION("""COMPUTED_VALUE"""),"hazy")</f>
        <v>hazy</v>
      </c>
      <c r="M1765" s="6"/>
      <c r="P1765" s="6"/>
      <c r="Q1765" s="6" t="str">
        <f>IFERROR(__xludf.DUMMYFUNCTION("""COMPUTED_VALUE"""),"mechanical")</f>
        <v>mechanical</v>
      </c>
      <c r="S1765" s="6" t="str">
        <f>IFERROR(__xludf.DUMMYFUNCTION("""COMPUTED_VALUE"""),"sharing")</f>
        <v>sharing</v>
      </c>
    </row>
    <row r="1766">
      <c r="D1766" s="6"/>
      <c r="H1766" s="6" t="str">
        <f>IFERROR(__xludf.DUMMYFUNCTION("""COMPUTED_VALUE"""),"copenhagen")</f>
        <v>copenhagen</v>
      </c>
      <c r="I1766" s="6"/>
      <c r="J1766" s="6" t="str">
        <f>IFERROR(__xludf.DUMMYFUNCTION("""COMPUTED_VALUE"""),"debts")</f>
        <v>debts</v>
      </c>
      <c r="M1766" s="6"/>
      <c r="P1766" s="6"/>
      <c r="Q1766" s="6" t="str">
        <f>IFERROR(__xludf.DUMMYFUNCTION("""COMPUTED_VALUE"""),"compatible")</f>
        <v>compatible</v>
      </c>
      <c r="S1766" s="6" t="str">
        <f>IFERROR(__xludf.DUMMYFUNCTION("""COMPUTED_VALUE"""),"freight")</f>
        <v>freight</v>
      </c>
    </row>
    <row r="1767">
      <c r="D1767" s="6"/>
      <c r="H1767" s="6" t="str">
        <f>IFERROR(__xludf.DUMMYFUNCTION("""COMPUTED_VALUE"""),"coping")</f>
        <v>coping</v>
      </c>
      <c r="I1767" s="6"/>
      <c r="J1767" s="6" t="str">
        <f>IFERROR(__xludf.DUMMYFUNCTION("""COMPUTED_VALUE"""),"destruction")</f>
        <v>destruction</v>
      </c>
      <c r="M1767" s="6"/>
      <c r="P1767" s="6"/>
      <c r="Q1767" s="6" t="str">
        <f>IFERROR(__xludf.DUMMYFUNCTION("""COMPUTED_VALUE"""),"depiction")</f>
        <v>depiction</v>
      </c>
      <c r="S1767" s="6" t="str">
        <f>IFERROR(__xludf.DUMMYFUNCTION("""COMPUTED_VALUE"""),"destruction")</f>
        <v>destruction</v>
      </c>
    </row>
    <row r="1768">
      <c r="D1768" s="6"/>
      <c r="H1768" s="6" t="str">
        <f>IFERROR(__xludf.DUMMYFUNCTION("""COMPUTED_VALUE"""),"winger")</f>
        <v>winger</v>
      </c>
      <c r="I1768" s="6"/>
      <c r="J1768" s="6" t="str">
        <f>IFERROR(__xludf.DUMMYFUNCTION("""COMPUTED_VALUE"""),"gracefully")</f>
        <v>gracefully</v>
      </c>
      <c r="M1768" s="6"/>
      <c r="P1768" s="6"/>
      <c r="Q1768" s="6" t="str">
        <f>IFERROR(__xludf.DUMMYFUNCTION("""COMPUTED_VALUE"""),"japan")</f>
        <v>japan</v>
      </c>
      <c r="S1768" s="6">
        <f>IFERROR(__xludf.DUMMYFUNCTION("""COMPUTED_VALUE"""),88.0)</f>
        <v>88</v>
      </c>
    </row>
    <row r="1769">
      <c r="D1769" s="6"/>
      <c r="H1769" s="6" t="str">
        <f>IFERROR(__xludf.DUMMYFUNCTION("""COMPUTED_VALUE"""),"cloak")</f>
        <v>cloak</v>
      </c>
      <c r="I1769" s="6"/>
      <c r="J1769" s="6" t="str">
        <f>IFERROR(__xludf.DUMMYFUNCTION("""COMPUTED_VALUE"""),"moat")</f>
        <v>moat</v>
      </c>
      <c r="M1769" s="6"/>
      <c r="P1769" s="6"/>
      <c r="Q1769" s="6" t="str">
        <f>IFERROR(__xludf.DUMMYFUNCTION("""COMPUTED_VALUE"""),"embraced")</f>
        <v>embraced</v>
      </c>
      <c r="S1769" s="6" t="str">
        <f>IFERROR(__xludf.DUMMYFUNCTION("""COMPUTED_VALUE"""),"simpson")</f>
        <v>simpson</v>
      </c>
    </row>
    <row r="1770">
      <c r="D1770" s="6"/>
      <c r="H1770" s="6" t="str">
        <f>IFERROR(__xludf.DUMMYFUNCTION("""COMPUTED_VALUE"""),"eccentric")</f>
        <v>eccentric</v>
      </c>
      <c r="I1770" s="6"/>
      <c r="J1770" s="6" t="str">
        <f>IFERROR(__xludf.DUMMYFUNCTION("""COMPUTED_VALUE"""),"bourgeois")</f>
        <v>bourgeois</v>
      </c>
      <c r="M1770" s="6"/>
      <c r="P1770" s="6"/>
      <c r="Q1770" s="6" t="str">
        <f>IFERROR(__xludf.DUMMYFUNCTION("""COMPUTED_VALUE"""),"realities")</f>
        <v>realities</v>
      </c>
      <c r="S1770" s="6" t="str">
        <f>IFERROR(__xludf.DUMMYFUNCTION("""COMPUTED_VALUE"""),"provincial")</f>
        <v>provincial</v>
      </c>
    </row>
    <row r="1771">
      <c r="D1771" s="6"/>
      <c r="H1771" s="6" t="str">
        <f>IFERROR(__xludf.DUMMYFUNCTION("""COMPUTED_VALUE"""),"reagan")</f>
        <v>reagan</v>
      </c>
      <c r="I1771" s="6"/>
      <c r="J1771" s="6" t="str">
        <f>IFERROR(__xludf.DUMMYFUNCTION("""COMPUTED_VALUE"""),"provincial")</f>
        <v>provincial</v>
      </c>
      <c r="M1771" s="6"/>
      <c r="P1771" s="6"/>
      <c r="Q1771" s="6" t="str">
        <f>IFERROR(__xludf.DUMMYFUNCTION("""COMPUTED_VALUE"""),"aids")</f>
        <v>aids</v>
      </c>
      <c r="S1771" s="6" t="str">
        <f>IFERROR(__xludf.DUMMYFUNCTION("""COMPUTED_VALUE"""),"suffered")</f>
        <v>suffered</v>
      </c>
    </row>
    <row r="1772">
      <c r="D1772" s="6"/>
      <c r="H1772" s="6" t="str">
        <f>IFERROR(__xludf.DUMMYFUNCTION("""COMPUTED_VALUE"""),"damon")</f>
        <v>damon</v>
      </c>
      <c r="I1772" s="6"/>
      <c r="J1772" s="6" t="str">
        <f>IFERROR(__xludf.DUMMYFUNCTION("""COMPUTED_VALUE"""),"contrasting")</f>
        <v>contrasting</v>
      </c>
      <c r="M1772" s="6"/>
      <c r="P1772" s="6"/>
      <c r="Q1772" s="6" t="str">
        <f>IFERROR(__xludf.DUMMYFUNCTION("""COMPUTED_VALUE"""),"harlem")</f>
        <v>harlem</v>
      </c>
      <c r="S1772" s="6" t="str">
        <f>IFERROR(__xludf.DUMMYFUNCTION("""COMPUTED_VALUE"""),"fraser")</f>
        <v>fraser</v>
      </c>
    </row>
    <row r="1773">
      <c r="D1773" s="6"/>
      <c r="H1773" s="6">
        <f>IFERROR(__xludf.DUMMYFUNCTION("""COMPUTED_VALUE"""),163.0)</f>
        <v>163</v>
      </c>
      <c r="I1773" s="6"/>
      <c r="J1773" s="6" t="str">
        <f>IFERROR(__xludf.DUMMYFUNCTION("""COMPUTED_VALUE"""),"demographic")</f>
        <v>demographic</v>
      </c>
      <c r="M1773" s="6"/>
      <c r="P1773" s="6"/>
      <c r="Q1773" s="6" t="str">
        <f>IFERROR(__xludf.DUMMYFUNCTION("""COMPUTED_VALUE"""),"repetition")</f>
        <v>repetition</v>
      </c>
      <c r="S1773" s="6" t="str">
        <f>IFERROR(__xludf.DUMMYFUNCTION("""COMPUTED_VALUE"""),"admitted")</f>
        <v>admitted</v>
      </c>
    </row>
    <row r="1774">
      <c r="D1774" s="6"/>
      <c r="H1774" s="6" t="str">
        <f>IFERROR(__xludf.DUMMYFUNCTION("""COMPUTED_VALUE"""),"eventual")</f>
        <v>eventual</v>
      </c>
      <c r="I1774" s="6"/>
      <c r="J1774" s="6" t="str">
        <f>IFERROR(__xludf.DUMMYFUNCTION("""COMPUTED_VALUE"""),"explosions")</f>
        <v>explosions</v>
      </c>
      <c r="M1774" s="6"/>
      <c r="P1774" s="6"/>
      <c r="Q1774" s="6" t="str">
        <f>IFERROR(__xludf.DUMMYFUNCTION("""COMPUTED_VALUE"""),"etched")</f>
        <v>etched</v>
      </c>
      <c r="S1774" s="6" t="str">
        <f>IFERROR(__xludf.DUMMYFUNCTION("""COMPUTED_VALUE"""),"crash")</f>
        <v>crash</v>
      </c>
    </row>
    <row r="1775">
      <c r="D1775" s="6"/>
      <c r="H1775" s="6" t="str">
        <f>IFERROR(__xludf.DUMMYFUNCTION("""COMPUTED_VALUE"""),"commands")</f>
        <v>commands</v>
      </c>
      <c r="I1775" s="6"/>
      <c r="J1775" s="6" t="str">
        <f>IFERROR(__xludf.DUMMYFUNCTION("""COMPUTED_VALUE"""),"landscapes")</f>
        <v>landscapes</v>
      </c>
      <c r="M1775" s="6"/>
      <c r="P1775" s="6"/>
      <c r="Q1775" s="6" t="str">
        <f>IFERROR(__xludf.DUMMYFUNCTION("""COMPUTED_VALUE"""),"agile")</f>
        <v>agile</v>
      </c>
      <c r="S1775" s="6" t="str">
        <f>IFERROR(__xludf.DUMMYFUNCTION("""COMPUTED_VALUE"""),"inc")</f>
        <v>inc</v>
      </c>
    </row>
    <row r="1776">
      <c r="D1776" s="6"/>
      <c r="H1776" s="6" t="str">
        <f>IFERROR(__xludf.DUMMYFUNCTION("""COMPUTED_VALUE"""),"heavyweight")</f>
        <v>heavyweight</v>
      </c>
      <c r="I1776" s="6"/>
      <c r="J1776" s="6" t="str">
        <f>IFERROR(__xludf.DUMMYFUNCTION("""COMPUTED_VALUE"""),"lore")</f>
        <v>lore</v>
      </c>
      <c r="M1776" s="6"/>
      <c r="P1776" s="6"/>
      <c r="Q1776" s="6" t="str">
        <f>IFERROR(__xludf.DUMMYFUNCTION("""COMPUTED_VALUE"""),"proficient")</f>
        <v>proficient</v>
      </c>
      <c r="S1776" s="6" t="str">
        <f>IFERROR(__xludf.DUMMYFUNCTION("""COMPUTED_VALUE"""),"framework")</f>
        <v>framework</v>
      </c>
    </row>
    <row r="1777">
      <c r="D1777" s="6"/>
      <c r="H1777" s="6" t="str">
        <f>IFERROR(__xludf.DUMMYFUNCTION("""COMPUTED_VALUE"""),"endangered")</f>
        <v>endangered</v>
      </c>
      <c r="I1777" s="6"/>
      <c r="J1777" s="6" t="str">
        <f>IFERROR(__xludf.DUMMYFUNCTION("""COMPUTED_VALUE"""),"terrorists")</f>
        <v>terrorists</v>
      </c>
      <c r="M1777" s="6"/>
      <c r="P1777" s="6"/>
      <c r="Q1777" s="6" t="str">
        <f>IFERROR(__xludf.DUMMYFUNCTION("""COMPUTED_VALUE"""),"tuck")</f>
        <v>tuck</v>
      </c>
      <c r="S1777" s="6" t="str">
        <f>IFERROR(__xludf.DUMMYFUNCTION("""COMPUTED_VALUE"""),"appropriate")</f>
        <v>appropriate</v>
      </c>
    </row>
    <row r="1778">
      <c r="D1778" s="6"/>
      <c r="H1778" s="6" t="str">
        <f>IFERROR(__xludf.DUMMYFUNCTION("""COMPUTED_VALUE"""),"unpaid")</f>
        <v>unpaid</v>
      </c>
      <c r="I1778" s="6"/>
      <c r="J1778" s="6" t="str">
        <f>IFERROR(__xludf.DUMMYFUNCTION("""COMPUTED_VALUE"""),"introduces")</f>
        <v>introduces</v>
      </c>
      <c r="M1778" s="6"/>
      <c r="P1778" s="6"/>
      <c r="Q1778" s="6" t="str">
        <f>IFERROR(__xludf.DUMMYFUNCTION("""COMPUTED_VALUE"""),"symbols")</f>
        <v>symbols</v>
      </c>
      <c r="S1778" s="6" t="str">
        <f>IFERROR(__xludf.DUMMYFUNCTION("""COMPUTED_VALUE"""),"scoring")</f>
        <v>scoring</v>
      </c>
    </row>
    <row r="1779">
      <c r="D1779" s="6"/>
      <c r="H1779" s="6" t="str">
        <f>IFERROR(__xludf.DUMMYFUNCTION("""COMPUTED_VALUE"""),"rash")</f>
        <v>rash</v>
      </c>
      <c r="I1779" s="6"/>
      <c r="J1779" s="6" t="str">
        <f>IFERROR(__xludf.DUMMYFUNCTION("""COMPUTED_VALUE"""),"thinkers")</f>
        <v>thinkers</v>
      </c>
      <c r="M1779" s="6"/>
      <c r="P1779" s="6"/>
      <c r="Q1779" s="6" t="str">
        <f>IFERROR(__xludf.DUMMYFUNCTION("""COMPUTED_VALUE"""),"denial")</f>
        <v>denial</v>
      </c>
      <c r="S1779" s="6" t="str">
        <f>IFERROR(__xludf.DUMMYFUNCTION("""COMPUTED_VALUE"""),"everybody")</f>
        <v>everybody</v>
      </c>
    </row>
    <row r="1780">
      <c r="D1780" s="6"/>
      <c r="H1780" s="6" t="str">
        <f>IFERROR(__xludf.DUMMYFUNCTION("""COMPUTED_VALUE"""),"chaplin")</f>
        <v>chaplin</v>
      </c>
      <c r="I1780" s="6"/>
      <c r="J1780" s="6" t="str">
        <f>IFERROR(__xludf.DUMMYFUNCTION("""COMPUTED_VALUE"""),"orbits")</f>
        <v>orbits</v>
      </c>
      <c r="M1780" s="6"/>
      <c r="P1780" s="6"/>
      <c r="Q1780" s="6" t="str">
        <f>IFERROR(__xludf.DUMMYFUNCTION("""COMPUTED_VALUE"""),"wow")</f>
        <v>wow</v>
      </c>
      <c r="S1780" s="6" t="str">
        <f>IFERROR(__xludf.DUMMYFUNCTION("""COMPUTED_VALUE"""),"divisions")</f>
        <v>divisions</v>
      </c>
    </row>
    <row r="1781">
      <c r="D1781" s="6"/>
      <c r="H1781" s="6" t="str">
        <f>IFERROR(__xludf.DUMMYFUNCTION("""COMPUTED_VALUE"""),"fiercely")</f>
        <v>fiercely</v>
      </c>
      <c r="I1781" s="6"/>
      <c r="J1781" s="6" t="str">
        <f>IFERROR(__xludf.DUMMYFUNCTION("""COMPUTED_VALUE"""),"reassure")</f>
        <v>reassure</v>
      </c>
      <c r="M1781" s="6"/>
      <c r="P1781" s="6"/>
      <c r="Q1781" s="6" t="str">
        <f>IFERROR(__xludf.DUMMYFUNCTION("""COMPUTED_VALUE"""),"factors")</f>
        <v>factors</v>
      </c>
      <c r="S1781" s="6" t="str">
        <f>IFERROR(__xludf.DUMMYFUNCTION("""COMPUTED_VALUE"""),"faced")</f>
        <v>faced</v>
      </c>
    </row>
    <row r="1782">
      <c r="D1782" s="6"/>
      <c r="H1782" s="6" t="str">
        <f>IFERROR(__xludf.DUMMYFUNCTION("""COMPUTED_VALUE"""),"assault")</f>
        <v>assault</v>
      </c>
      <c r="I1782" s="6"/>
      <c r="J1782" s="6" t="str">
        <f>IFERROR(__xludf.DUMMYFUNCTION("""COMPUTED_VALUE"""),"ragged")</f>
        <v>ragged</v>
      </c>
      <c r="M1782" s="6"/>
      <c r="P1782" s="6"/>
      <c r="Q1782" s="6" t="str">
        <f>IFERROR(__xludf.DUMMYFUNCTION("""COMPUTED_VALUE"""),"paxton")</f>
        <v>paxton</v>
      </c>
      <c r="S1782" s="6" t="str">
        <f>IFERROR(__xludf.DUMMYFUNCTION("""COMPUTED_VALUE"""),"blues")</f>
        <v>blues</v>
      </c>
    </row>
    <row r="1783">
      <c r="D1783" s="6"/>
      <c r="H1783" s="6" t="str">
        <f>IFERROR(__xludf.DUMMYFUNCTION("""COMPUTED_VALUE"""),"exhaustion")</f>
        <v>exhaustion</v>
      </c>
      <c r="I1783" s="6"/>
      <c r="J1783" s="6" t="str">
        <f>IFERROR(__xludf.DUMMYFUNCTION("""COMPUTED_VALUE"""),"enacted")</f>
        <v>enacted</v>
      </c>
      <c r="M1783" s="6"/>
      <c r="P1783" s="6"/>
      <c r="Q1783" s="6" t="str">
        <f>IFERROR(__xludf.DUMMYFUNCTION("""COMPUTED_VALUE"""),"resistance")</f>
        <v>resistance</v>
      </c>
      <c r="S1783" s="6" t="str">
        <f>IFERROR(__xludf.DUMMYFUNCTION("""COMPUTED_VALUE"""),"enemies")</f>
        <v>enemies</v>
      </c>
    </row>
    <row r="1784">
      <c r="D1784" s="6"/>
      <c r="H1784" s="6" t="str">
        <f>IFERROR(__xludf.DUMMYFUNCTION("""COMPUTED_VALUE"""),"installment")</f>
        <v>installment</v>
      </c>
      <c r="I1784" s="6"/>
      <c r="J1784" s="6" t="str">
        <f>IFERROR(__xludf.DUMMYFUNCTION("""COMPUTED_VALUE"""),"annex")</f>
        <v>annex</v>
      </c>
      <c r="M1784" s="6"/>
      <c r="P1784" s="6"/>
      <c r="Q1784" s="6" t="str">
        <f>IFERROR(__xludf.DUMMYFUNCTION("""COMPUTED_VALUE"""),"forster")</f>
        <v>forster</v>
      </c>
      <c r="S1784" s="6" t="str">
        <f>IFERROR(__xludf.DUMMYFUNCTION("""COMPUTED_VALUE"""),"refers")</f>
        <v>refers</v>
      </c>
    </row>
    <row r="1785">
      <c r="D1785" s="6"/>
      <c r="H1785" s="6" t="str">
        <f>IFERROR(__xludf.DUMMYFUNCTION("""COMPUTED_VALUE"""),"grenade")</f>
        <v>grenade</v>
      </c>
      <c r="I1785" s="6"/>
      <c r="J1785" s="6" t="str">
        <f>IFERROR(__xludf.DUMMYFUNCTION("""COMPUTED_VALUE"""),"overture")</f>
        <v>overture</v>
      </c>
      <c r="M1785" s="6"/>
      <c r="P1785" s="6"/>
      <c r="Q1785" s="6" t="str">
        <f>IFERROR(__xludf.DUMMYFUNCTION("""COMPUTED_VALUE"""),"levy")</f>
        <v>levy</v>
      </c>
      <c r="S1785" s="6" t="str">
        <f>IFERROR(__xludf.DUMMYFUNCTION("""COMPUTED_VALUE"""),"theological")</f>
        <v>theological</v>
      </c>
    </row>
    <row r="1786">
      <c r="D1786" s="6"/>
      <c r="H1786" s="6" t="str">
        <f>IFERROR(__xludf.DUMMYFUNCTION("""COMPUTED_VALUE"""),"discoveries")</f>
        <v>discoveries</v>
      </c>
      <c r="I1786" s="6"/>
      <c r="J1786" s="6" t="str">
        <f>IFERROR(__xludf.DUMMYFUNCTION("""COMPUTED_VALUE"""),"framework")</f>
        <v>framework</v>
      </c>
      <c r="M1786" s="6"/>
      <c r="P1786" s="6"/>
      <c r="Q1786" s="6" t="str">
        <f>IFERROR(__xludf.DUMMYFUNCTION("""COMPUTED_VALUE"""),"championship")</f>
        <v>championship</v>
      </c>
      <c r="S1786" s="6" t="str">
        <f>IFERROR(__xludf.DUMMYFUNCTION("""COMPUTED_VALUE"""),"hitler")</f>
        <v>hitler</v>
      </c>
    </row>
    <row r="1787">
      <c r="D1787" s="6"/>
      <c r="H1787" s="6" t="str">
        <f>IFERROR(__xludf.DUMMYFUNCTION("""COMPUTED_VALUE"""),"inhabitants")</f>
        <v>inhabitants</v>
      </c>
      <c r="I1787" s="6"/>
      <c r="J1787" s="6" t="str">
        <f>IFERROR(__xludf.DUMMYFUNCTION("""COMPUTED_VALUE"""),"naive")</f>
        <v>naive</v>
      </c>
      <c r="M1787" s="6"/>
      <c r="P1787" s="6"/>
      <c r="Q1787" s="6" t="str">
        <f>IFERROR(__xludf.DUMMYFUNCTION("""COMPUTED_VALUE"""),"stroked")</f>
        <v>stroked</v>
      </c>
      <c r="S1787" s="6" t="str">
        <f>IFERROR(__xludf.DUMMYFUNCTION("""COMPUTED_VALUE"""),"writings")</f>
        <v>writings</v>
      </c>
    </row>
    <row r="1788">
      <c r="D1788" s="6"/>
      <c r="H1788" s="6" t="str">
        <f>IFERROR(__xludf.DUMMYFUNCTION("""COMPUTED_VALUE"""),"franco")</f>
        <v>franco</v>
      </c>
      <c r="I1788" s="6"/>
      <c r="J1788" s="6" t="str">
        <f>IFERROR(__xludf.DUMMYFUNCTION("""COMPUTED_VALUE"""),"lullaby")</f>
        <v>lullaby</v>
      </c>
      <c r="M1788" s="6"/>
      <c r="P1788" s="6"/>
      <c r="Q1788" s="6" t="str">
        <f>IFERROR(__xludf.DUMMYFUNCTION("""COMPUTED_VALUE"""),"strokes")</f>
        <v>strokes</v>
      </c>
      <c r="S1788" s="6">
        <f>IFERROR(__xludf.DUMMYFUNCTION("""COMPUTED_VALUE"""),1962.0)</f>
        <v>1962</v>
      </c>
    </row>
    <row r="1789">
      <c r="D1789" s="6"/>
      <c r="H1789" s="6" t="str">
        <f>IFERROR(__xludf.DUMMYFUNCTION("""COMPUTED_VALUE"""),"seas")</f>
        <v>seas</v>
      </c>
      <c r="I1789" s="6"/>
      <c r="J1789" s="6" t="str">
        <f>IFERROR(__xludf.DUMMYFUNCTION("""COMPUTED_VALUE"""),"scoring")</f>
        <v>scoring</v>
      </c>
      <c r="M1789" s="6"/>
      <c r="P1789" s="6"/>
      <c r="Q1789" s="6" t="str">
        <f>IFERROR(__xludf.DUMMYFUNCTION("""COMPUTED_VALUE"""),"vin")</f>
        <v>vin</v>
      </c>
      <c r="S1789" s="6" t="str">
        <f>IFERROR(__xludf.DUMMYFUNCTION("""COMPUTED_VALUE"""),"thirteen")</f>
        <v>thirteen</v>
      </c>
    </row>
    <row r="1790">
      <c r="D1790" s="6"/>
      <c r="H1790" s="6" t="str">
        <f>IFERROR(__xludf.DUMMYFUNCTION("""COMPUTED_VALUE"""),"christianity")</f>
        <v>christianity</v>
      </c>
      <c r="I1790" s="6"/>
      <c r="J1790" s="6" t="str">
        <f>IFERROR(__xludf.DUMMYFUNCTION("""COMPUTED_VALUE"""),"pearce")</f>
        <v>pearce</v>
      </c>
      <c r="M1790" s="6"/>
      <c r="P1790" s="6"/>
      <c r="Q1790" s="6" t="str">
        <f>IFERROR(__xludf.DUMMYFUNCTION("""COMPUTED_VALUE"""),"furiously")</f>
        <v>furiously</v>
      </c>
      <c r="S1790" s="6" t="str">
        <f>IFERROR(__xludf.DUMMYFUNCTION("""COMPUTED_VALUE"""),"pet")</f>
        <v>pet</v>
      </c>
    </row>
    <row r="1791">
      <c r="D1791" s="6"/>
      <c r="H1791" s="6" t="str">
        <f>IFERROR(__xludf.DUMMYFUNCTION("""COMPUTED_VALUE"""),"activism")</f>
        <v>activism</v>
      </c>
      <c r="I1791" s="6"/>
      <c r="J1791" s="6" t="str">
        <f>IFERROR(__xludf.DUMMYFUNCTION("""COMPUTED_VALUE"""),"ke")</f>
        <v>ke</v>
      </c>
      <c r="M1791" s="6"/>
      <c r="P1791" s="6"/>
      <c r="Q1791" s="6" t="str">
        <f>IFERROR(__xludf.DUMMYFUNCTION("""COMPUTED_VALUE"""),"banged")</f>
        <v>banged</v>
      </c>
      <c r="S1791" s="6" t="str">
        <f>IFERROR(__xludf.DUMMYFUNCTION("""COMPUTED_VALUE"""),"bath")</f>
        <v>bath</v>
      </c>
    </row>
    <row r="1792">
      <c r="D1792" s="6"/>
      <c r="H1792" s="6" t="str">
        <f>IFERROR(__xludf.DUMMYFUNCTION("""COMPUTED_VALUE"""),"salvage")</f>
        <v>salvage</v>
      </c>
      <c r="I1792" s="6"/>
      <c r="J1792" s="6" t="str">
        <f>IFERROR(__xludf.DUMMYFUNCTION("""COMPUTED_VALUE"""),"forefront")</f>
        <v>forefront</v>
      </c>
      <c r="M1792" s="6"/>
      <c r="P1792" s="6"/>
      <c r="Q1792" s="6" t="str">
        <f>IFERROR(__xludf.DUMMYFUNCTION("""COMPUTED_VALUE"""),"labor")</f>
        <v>labor</v>
      </c>
      <c r="S1792" s="6" t="str">
        <f>IFERROR(__xludf.DUMMYFUNCTION("""COMPUTED_VALUE"""),"casualties")</f>
        <v>casualties</v>
      </c>
    </row>
    <row r="1793">
      <c r="D1793" s="6"/>
      <c r="H1793" s="6" t="str">
        <f>IFERROR(__xludf.DUMMYFUNCTION("""COMPUTED_VALUE"""),"walsh")</f>
        <v>walsh</v>
      </c>
      <c r="I1793" s="6"/>
      <c r="J1793" s="6" t="str">
        <f>IFERROR(__xludf.DUMMYFUNCTION("""COMPUTED_VALUE"""),"divisions")</f>
        <v>divisions</v>
      </c>
      <c r="M1793" s="6"/>
      <c r="P1793" s="6"/>
      <c r="Q1793" s="6" t="str">
        <f>IFERROR(__xludf.DUMMYFUNCTION("""COMPUTED_VALUE"""),"posthumously")</f>
        <v>posthumously</v>
      </c>
      <c r="S1793" s="6" t="str">
        <f>IFERROR(__xludf.DUMMYFUNCTION("""COMPUTED_VALUE"""),"expansion")</f>
        <v>expansion</v>
      </c>
    </row>
    <row r="1794">
      <c r="D1794" s="6"/>
      <c r="H1794" s="6" t="str">
        <f>IFERROR(__xludf.DUMMYFUNCTION("""COMPUTED_VALUE"""),"eileen")</f>
        <v>eileen</v>
      </c>
      <c r="I1794" s="6"/>
      <c r="J1794" s="6" t="str">
        <f>IFERROR(__xludf.DUMMYFUNCTION("""COMPUTED_VALUE"""),"nonfiction")</f>
        <v>nonfiction</v>
      </c>
      <c r="M1794" s="6"/>
      <c r="P1794" s="6"/>
      <c r="Q1794" s="6" t="str">
        <f>IFERROR(__xludf.DUMMYFUNCTION("""COMPUTED_VALUE"""),"published")</f>
        <v>published</v>
      </c>
      <c r="S1794" s="6" t="str">
        <f>IFERROR(__xludf.DUMMYFUNCTION("""COMPUTED_VALUE"""),"compositions")</f>
        <v>compositions</v>
      </c>
    </row>
    <row r="1795">
      <c r="D1795" s="6"/>
      <c r="H1795" s="6" t="str">
        <f>IFERROR(__xludf.DUMMYFUNCTION("""COMPUTED_VALUE"""),"taut")</f>
        <v>taut</v>
      </c>
      <c r="I1795" s="6"/>
      <c r="J1795" s="6" t="str">
        <f>IFERROR(__xludf.DUMMYFUNCTION("""COMPUTED_VALUE"""),"effectiveness")</f>
        <v>effectiveness</v>
      </c>
      <c r="M1795" s="6"/>
      <c r="P1795" s="6"/>
      <c r="Q1795" s="6" t="str">
        <f>IFERROR(__xludf.DUMMYFUNCTION("""COMPUTED_VALUE"""),"screenings")</f>
        <v>screenings</v>
      </c>
      <c r="S1795" s="6" t="str">
        <f>IFERROR(__xludf.DUMMYFUNCTION("""COMPUTED_VALUE"""),"palm")</f>
        <v>palm</v>
      </c>
    </row>
    <row r="1796">
      <c r="D1796" s="6"/>
      <c r="H1796" s="6" t="str">
        <f>IFERROR(__xludf.DUMMYFUNCTION("""COMPUTED_VALUE"""),"robinson")</f>
        <v>robinson</v>
      </c>
      <c r="I1796" s="6"/>
      <c r="J1796" s="6" t="str">
        <f>IFERROR(__xludf.DUMMYFUNCTION("""COMPUTED_VALUE"""),"configurations")</f>
        <v>configurations</v>
      </c>
      <c r="M1796" s="6"/>
      <c r="P1796" s="6"/>
      <c r="Q1796" s="6" t="str">
        <f>IFERROR(__xludf.DUMMYFUNCTION("""COMPUTED_VALUE"""),"canon")</f>
        <v>canon</v>
      </c>
      <c r="S1796" s="6" t="str">
        <f>IFERROR(__xludf.DUMMYFUNCTION("""COMPUTED_VALUE"""),"rose")</f>
        <v>rose</v>
      </c>
    </row>
    <row r="1797">
      <c r="D1797" s="6"/>
      <c r="H1797" s="6" t="str">
        <f>IFERROR(__xludf.DUMMYFUNCTION("""COMPUTED_VALUE"""),"discreet")</f>
        <v>discreet</v>
      </c>
      <c r="I1797" s="6"/>
      <c r="J1797" s="6" t="str">
        <f>IFERROR(__xludf.DUMMYFUNCTION("""COMPUTED_VALUE"""),"contentious")</f>
        <v>contentious</v>
      </c>
      <c r="M1797" s="6"/>
      <c r="P1797" s="6"/>
      <c r="Q1797" s="6" t="str">
        <f>IFERROR(__xludf.DUMMYFUNCTION("""COMPUTED_VALUE"""),"grown")</f>
        <v>grown</v>
      </c>
      <c r="S1797" s="6" t="str">
        <f>IFERROR(__xludf.DUMMYFUNCTION("""COMPUTED_VALUE"""),"kane")</f>
        <v>kane</v>
      </c>
    </row>
    <row r="1798">
      <c r="D1798" s="6"/>
      <c r="H1798" s="6" t="str">
        <f>IFERROR(__xludf.DUMMYFUNCTION("""COMPUTED_VALUE"""),"partnership")</f>
        <v>partnership</v>
      </c>
      <c r="I1798" s="6"/>
      <c r="J1798" s="6" t="str">
        <f>IFERROR(__xludf.DUMMYFUNCTION("""COMPUTED_VALUE"""),"apocalypse")</f>
        <v>apocalypse</v>
      </c>
      <c r="M1798" s="6"/>
      <c r="P1798" s="6"/>
      <c r="Q1798" s="6" t="str">
        <f>IFERROR(__xludf.DUMMYFUNCTION("""COMPUTED_VALUE"""),"flesh")</f>
        <v>flesh</v>
      </c>
      <c r="S1798" s="6" t="str">
        <f>IFERROR(__xludf.DUMMYFUNCTION("""COMPUTED_VALUE"""),"rough")</f>
        <v>rough</v>
      </c>
    </row>
    <row r="1799">
      <c r="D1799" s="6"/>
      <c r="H1799" s="6" t="str">
        <f>IFERROR(__xludf.DUMMYFUNCTION("""COMPUTED_VALUE"""),"mined")</f>
        <v>mined</v>
      </c>
      <c r="I1799" s="6"/>
      <c r="J1799" s="6" t="str">
        <f>IFERROR(__xludf.DUMMYFUNCTION("""COMPUTED_VALUE"""),"juice")</f>
        <v>juice</v>
      </c>
      <c r="M1799" s="6"/>
      <c r="P1799" s="6"/>
      <c r="Q1799" s="6" t="str">
        <f>IFERROR(__xludf.DUMMYFUNCTION("""COMPUTED_VALUE"""),"capturing")</f>
        <v>capturing</v>
      </c>
      <c r="S1799" s="6" t="str">
        <f>IFERROR(__xludf.DUMMYFUNCTION("""COMPUTED_VALUE"""),"china")</f>
        <v>china</v>
      </c>
    </row>
    <row r="1800">
      <c r="D1800" s="6"/>
      <c r="H1800" s="6" t="str">
        <f>IFERROR(__xludf.DUMMYFUNCTION("""COMPUTED_VALUE"""),"glass")</f>
        <v>glass</v>
      </c>
      <c r="I1800" s="6"/>
      <c r="J1800" s="6" t="str">
        <f>IFERROR(__xludf.DUMMYFUNCTION("""COMPUTED_VALUE"""),"deeds")</f>
        <v>deeds</v>
      </c>
      <c r="M1800" s="6"/>
      <c r="P1800" s="6"/>
      <c r="Q1800" s="6" t="str">
        <f>IFERROR(__xludf.DUMMYFUNCTION("""COMPUTED_VALUE"""),"fantasies")</f>
        <v>fantasies</v>
      </c>
      <c r="S1800" s="6" t="str">
        <f>IFERROR(__xludf.DUMMYFUNCTION("""COMPUTED_VALUE"""),"aim")</f>
        <v>aim</v>
      </c>
    </row>
    <row r="1801">
      <c r="D1801" s="6"/>
      <c r="H1801" s="6" t="str">
        <f>IFERROR(__xludf.DUMMYFUNCTION("""COMPUTED_VALUE"""),"tabloid")</f>
        <v>tabloid</v>
      </c>
      <c r="I1801" s="6"/>
      <c r="J1801" s="6" t="str">
        <f>IFERROR(__xludf.DUMMYFUNCTION("""COMPUTED_VALUE"""),"principals")</f>
        <v>principals</v>
      </c>
      <c r="M1801" s="6"/>
      <c r="P1801" s="6"/>
      <c r="Q1801" s="6" t="str">
        <f>IFERROR(__xludf.DUMMYFUNCTION("""COMPUTED_VALUE"""),"illness")</f>
        <v>illness</v>
      </c>
      <c r="S1801" s="6" t="str">
        <f>IFERROR(__xludf.DUMMYFUNCTION("""COMPUTED_VALUE"""),"ram")</f>
        <v>ram</v>
      </c>
    </row>
    <row r="1802">
      <c r="D1802" s="6"/>
      <c r="H1802" s="6" t="str">
        <f>IFERROR(__xludf.DUMMYFUNCTION("""COMPUTED_VALUE"""),"mystical")</f>
        <v>mystical</v>
      </c>
      <c r="I1802" s="6"/>
      <c r="J1802" s="6" t="str">
        <f>IFERROR(__xludf.DUMMYFUNCTION("""COMPUTED_VALUE"""),"blues")</f>
        <v>blues</v>
      </c>
      <c r="M1802" s="6"/>
      <c r="P1802" s="6"/>
      <c r="Q1802" s="6" t="str">
        <f>IFERROR(__xludf.DUMMYFUNCTION("""COMPUTED_VALUE"""),"metaphysical")</f>
        <v>metaphysical</v>
      </c>
      <c r="S1802" s="6" t="str">
        <f>IFERROR(__xludf.DUMMYFUNCTION("""COMPUTED_VALUE"""),"australia")</f>
        <v>australia</v>
      </c>
    </row>
    <row r="1803">
      <c r="D1803" s="6"/>
      <c r="H1803" s="6" t="str">
        <f>IFERROR(__xludf.DUMMYFUNCTION("""COMPUTED_VALUE"""),"darkest")</f>
        <v>darkest</v>
      </c>
      <c r="I1803" s="6"/>
      <c r="J1803" s="6" t="str">
        <f>IFERROR(__xludf.DUMMYFUNCTION("""COMPUTED_VALUE"""),"valiant")</f>
        <v>valiant</v>
      </c>
      <c r="M1803" s="6"/>
      <c r="P1803" s="6"/>
      <c r="Q1803" s="6" t="str">
        <f>IFERROR(__xludf.DUMMYFUNCTION("""COMPUTED_VALUE"""),"echoes")</f>
        <v>echoes</v>
      </c>
    </row>
    <row r="1804">
      <c r="D1804" s="6"/>
      <c r="H1804" s="6" t="str">
        <f>IFERROR(__xludf.DUMMYFUNCTION("""COMPUTED_VALUE"""),"derive")</f>
        <v>derive</v>
      </c>
      <c r="I1804" s="6"/>
      <c r="J1804" s="6" t="str">
        <f>IFERROR(__xludf.DUMMYFUNCTION("""COMPUTED_VALUE"""),"springer")</f>
        <v>springer</v>
      </c>
      <c r="M1804" s="6"/>
      <c r="P1804" s="6"/>
      <c r="Q1804" s="6" t="str">
        <f>IFERROR(__xludf.DUMMYFUNCTION("""COMPUTED_VALUE"""),"canadians")</f>
        <v>canadians</v>
      </c>
    </row>
    <row r="1805">
      <c r="D1805" s="6"/>
      <c r="H1805" s="6" t="str">
        <f>IFERROR(__xludf.DUMMYFUNCTION("""COMPUTED_VALUE"""),"saga")</f>
        <v>saga</v>
      </c>
      <c r="I1805" s="6"/>
      <c r="J1805" s="6" t="str">
        <f>IFERROR(__xludf.DUMMYFUNCTION("""COMPUTED_VALUE"""),"refers")</f>
        <v>refers</v>
      </c>
      <c r="M1805" s="6"/>
      <c r="P1805" s="6"/>
      <c r="Q1805" s="6" t="str">
        <f>IFERROR(__xludf.DUMMYFUNCTION("""COMPUTED_VALUE"""),"controversy")</f>
        <v>controversy</v>
      </c>
    </row>
    <row r="1806">
      <c r="D1806" s="6"/>
      <c r="H1806" s="6" t="str">
        <f>IFERROR(__xludf.DUMMYFUNCTION("""COMPUTED_VALUE"""),"tinged")</f>
        <v>tinged</v>
      </c>
      <c r="I1806" s="6"/>
      <c r="J1806" s="6" t="str">
        <f>IFERROR(__xludf.DUMMYFUNCTION("""COMPUTED_VALUE"""),"hitler")</f>
        <v>hitler</v>
      </c>
      <c r="M1806" s="6"/>
      <c r="P1806" s="6"/>
      <c r="Q1806" s="6" t="str">
        <f>IFERROR(__xludf.DUMMYFUNCTION("""COMPUTED_VALUE"""),"rally")</f>
        <v>rally</v>
      </c>
    </row>
    <row r="1807">
      <c r="D1807" s="6"/>
      <c r="H1807" s="6" t="str">
        <f>IFERROR(__xludf.DUMMYFUNCTION("""COMPUTED_VALUE"""),"arrest")</f>
        <v>arrest</v>
      </c>
      <c r="I1807" s="6"/>
      <c r="J1807" s="6" t="str">
        <f>IFERROR(__xludf.DUMMYFUNCTION("""COMPUTED_VALUE"""),"alexandre")</f>
        <v>alexandre</v>
      </c>
      <c r="M1807" s="6"/>
      <c r="P1807" s="6"/>
      <c r="Q1807" s="6" t="str">
        <f>IFERROR(__xludf.DUMMYFUNCTION("""COMPUTED_VALUE"""),"psychotic")</f>
        <v>psychotic</v>
      </c>
    </row>
    <row r="1808">
      <c r="D1808" s="6"/>
      <c r="H1808" s="6" t="str">
        <f>IFERROR(__xludf.DUMMYFUNCTION("""COMPUTED_VALUE"""),"distances")</f>
        <v>distances</v>
      </c>
      <c r="I1808" s="6"/>
      <c r="J1808" s="6" t="str">
        <f>IFERROR(__xludf.DUMMYFUNCTION("""COMPUTED_VALUE"""),"writings")</f>
        <v>writings</v>
      </c>
      <c r="M1808" s="6"/>
      <c r="P1808" s="6"/>
      <c r="Q1808" s="6" t="str">
        <f>IFERROR(__xludf.DUMMYFUNCTION("""COMPUTED_VALUE"""),"cabins")</f>
        <v>cabins</v>
      </c>
    </row>
    <row r="1809">
      <c r="D1809" s="6"/>
      <c r="H1809" s="6" t="str">
        <f>IFERROR(__xludf.DUMMYFUNCTION("""COMPUTED_VALUE"""),"appeals")</f>
        <v>appeals</v>
      </c>
      <c r="I1809" s="6"/>
      <c r="J1809" s="6" t="str">
        <f>IFERROR(__xludf.DUMMYFUNCTION("""COMPUTED_VALUE"""),"jagger")</f>
        <v>jagger</v>
      </c>
      <c r="M1809" s="6"/>
      <c r="P1809" s="6"/>
      <c r="Q1809" s="6" t="str">
        <f>IFERROR(__xludf.DUMMYFUNCTION("""COMPUTED_VALUE"""),"astronauts")</f>
        <v>astronauts</v>
      </c>
    </row>
    <row r="1810">
      <c r="D1810" s="6"/>
      <c r="H1810" s="6" t="str">
        <f>IFERROR(__xludf.DUMMYFUNCTION("""COMPUTED_VALUE"""),"manipulating")</f>
        <v>manipulating</v>
      </c>
      <c r="I1810" s="6"/>
      <c r="J1810" s="6" t="str">
        <f>IFERROR(__xludf.DUMMYFUNCTION("""COMPUTED_VALUE"""),"afterlife")</f>
        <v>afterlife</v>
      </c>
      <c r="M1810" s="6"/>
      <c r="P1810" s="6"/>
      <c r="Q1810" s="6" t="str">
        <f>IFERROR(__xludf.DUMMYFUNCTION("""COMPUTED_VALUE"""),"dimensions")</f>
        <v>dimensions</v>
      </c>
    </row>
    <row r="1811">
      <c r="D1811" s="6"/>
      <c r="H1811" s="6" t="str">
        <f>IFERROR(__xludf.DUMMYFUNCTION("""COMPUTED_VALUE"""),"hypothesis")</f>
        <v>hypothesis</v>
      </c>
      <c r="I1811" s="6"/>
      <c r="J1811" s="6" t="str">
        <f>IFERROR(__xludf.DUMMYFUNCTION("""COMPUTED_VALUE"""),"thirteen")</f>
        <v>thirteen</v>
      </c>
      <c r="M1811" s="6"/>
      <c r="P1811" s="6"/>
      <c r="Q1811" s="6" t="str">
        <f>IFERROR(__xludf.DUMMYFUNCTION("""COMPUTED_VALUE"""),"devastation")</f>
        <v>devastation</v>
      </c>
    </row>
    <row r="1812">
      <c r="D1812" s="6"/>
      <c r="H1812" s="6" t="str">
        <f>IFERROR(__xludf.DUMMYFUNCTION("""COMPUTED_VALUE"""),"elemental")</f>
        <v>elemental</v>
      </c>
      <c r="I1812" s="6"/>
      <c r="J1812" s="6" t="str">
        <f>IFERROR(__xludf.DUMMYFUNCTION("""COMPUTED_VALUE"""),"documenting")</f>
        <v>documenting</v>
      </c>
      <c r="M1812" s="6"/>
      <c r="P1812" s="6"/>
      <c r="Q1812" s="6" t="str">
        <f>IFERROR(__xludf.DUMMYFUNCTION("""COMPUTED_VALUE"""),"portraying")</f>
        <v>portraying</v>
      </c>
    </row>
    <row r="1813">
      <c r="D1813" s="6"/>
      <c r="H1813" s="6" t="str">
        <f>IFERROR(__xludf.DUMMYFUNCTION("""COMPUTED_VALUE"""),"arc")</f>
        <v>arc</v>
      </c>
      <c r="I1813" s="6"/>
      <c r="J1813" s="6" t="str">
        <f>IFERROR(__xludf.DUMMYFUNCTION("""COMPUTED_VALUE"""),"fragile")</f>
        <v>fragile</v>
      </c>
      <c r="M1813" s="6"/>
      <c r="P1813" s="6"/>
      <c r="Q1813" s="6" t="str">
        <f>IFERROR(__xludf.DUMMYFUNCTION("""COMPUTED_VALUE"""),"classification")</f>
        <v>classification</v>
      </c>
    </row>
    <row r="1814">
      <c r="D1814" s="6"/>
      <c r="H1814" s="6" t="str">
        <f>IFERROR(__xludf.DUMMYFUNCTION("""COMPUTED_VALUE"""),"needy")</f>
        <v>needy</v>
      </c>
      <c r="I1814" s="6"/>
      <c r="J1814" s="6" t="str">
        <f>IFERROR(__xludf.DUMMYFUNCTION("""COMPUTED_VALUE"""),"traces")</f>
        <v>traces</v>
      </c>
      <c r="M1814" s="6"/>
      <c r="P1814" s="6"/>
      <c r="Q1814" s="6" t="str">
        <f>IFERROR(__xludf.DUMMYFUNCTION("""COMPUTED_VALUE"""),"revenge")</f>
        <v>revenge</v>
      </c>
    </row>
    <row r="1815">
      <c r="D1815" s="6"/>
      <c r="H1815" s="6" t="str">
        <f>IFERROR(__xludf.DUMMYFUNCTION("""COMPUTED_VALUE"""),"prostitute")</f>
        <v>prostitute</v>
      </c>
      <c r="I1815" s="6"/>
      <c r="J1815" s="6" t="str">
        <f>IFERROR(__xludf.DUMMYFUNCTION("""COMPUTED_VALUE"""),"pedestal")</f>
        <v>pedestal</v>
      </c>
      <c r="M1815" s="6"/>
      <c r="P1815" s="6"/>
      <c r="Q1815" s="6" t="str">
        <f>IFERROR(__xludf.DUMMYFUNCTION("""COMPUTED_VALUE"""),"cheek")</f>
        <v>cheek</v>
      </c>
    </row>
    <row r="1816">
      <c r="D1816" s="6"/>
      <c r="H1816" s="6" t="str">
        <f>IFERROR(__xludf.DUMMYFUNCTION("""COMPUTED_VALUE"""),"radioactive")</f>
        <v>radioactive</v>
      </c>
      <c r="I1816" s="6"/>
      <c r="J1816" s="6" t="str">
        <f>IFERROR(__xludf.DUMMYFUNCTION("""COMPUTED_VALUE"""),"paralyzed")</f>
        <v>paralyzed</v>
      </c>
      <c r="M1816" s="6"/>
      <c r="P1816" s="6"/>
      <c r="Q1816" s="6" t="str">
        <f>IFERROR(__xludf.DUMMYFUNCTION("""COMPUTED_VALUE"""),"ham")</f>
        <v>ham</v>
      </c>
    </row>
    <row r="1817">
      <c r="D1817" s="6"/>
      <c r="H1817" s="6" t="str">
        <f>IFERROR(__xludf.DUMMYFUNCTION("""COMPUTED_VALUE"""),"destructive")</f>
        <v>destructive</v>
      </c>
      <c r="I1817" s="6"/>
      <c r="J1817" s="6" t="str">
        <f>IFERROR(__xludf.DUMMYFUNCTION("""COMPUTED_VALUE"""),"werner")</f>
        <v>werner</v>
      </c>
      <c r="M1817" s="6"/>
      <c r="P1817" s="6"/>
      <c r="Q1817" s="6" t="str">
        <f>IFERROR(__xludf.DUMMYFUNCTION("""COMPUTED_VALUE"""),"sundance")</f>
        <v>sundance</v>
      </c>
    </row>
    <row r="1818">
      <c r="D1818" s="6"/>
      <c r="H1818" s="6" t="str">
        <f>IFERROR(__xludf.DUMMYFUNCTION("""COMPUTED_VALUE"""),"demonic")</f>
        <v>demonic</v>
      </c>
      <c r="I1818" s="6"/>
      <c r="J1818" s="6" t="str">
        <f>IFERROR(__xludf.DUMMYFUNCTION("""COMPUTED_VALUE"""),"brutality")</f>
        <v>brutality</v>
      </c>
      <c r="M1818" s="6"/>
      <c r="P1818" s="6"/>
      <c r="Q1818" s="6" t="str">
        <f>IFERROR(__xludf.DUMMYFUNCTION("""COMPUTED_VALUE"""),"phillip")</f>
        <v>phillip</v>
      </c>
    </row>
    <row r="1819">
      <c r="D1819" s="6"/>
      <c r="H1819" s="6" t="str">
        <f>IFERROR(__xludf.DUMMYFUNCTION("""COMPUTED_VALUE"""),"crane")</f>
        <v>crane</v>
      </c>
      <c r="I1819" s="6"/>
      <c r="J1819" s="6" t="str">
        <f>IFERROR(__xludf.DUMMYFUNCTION("""COMPUTED_VALUE"""),"impetus")</f>
        <v>impetus</v>
      </c>
      <c r="M1819" s="6"/>
      <c r="P1819" s="6"/>
      <c r="Q1819" s="6" t="str">
        <f>IFERROR(__xludf.DUMMYFUNCTION("""COMPUTED_VALUE"""),"references")</f>
        <v>references</v>
      </c>
    </row>
    <row r="1820">
      <c r="D1820" s="6"/>
      <c r="H1820" s="6" t="str">
        <f>IFERROR(__xludf.DUMMYFUNCTION("""COMPUTED_VALUE"""),"poking")</f>
        <v>poking</v>
      </c>
      <c r="I1820" s="6"/>
      <c r="J1820" s="6" t="str">
        <f>IFERROR(__xludf.DUMMYFUNCTION("""COMPUTED_VALUE"""),"castro")</f>
        <v>castro</v>
      </c>
      <c r="M1820" s="6"/>
      <c r="P1820" s="6"/>
      <c r="Q1820" s="6" t="str">
        <f>IFERROR(__xludf.DUMMYFUNCTION("""COMPUTED_VALUE"""),"skyscraper")</f>
        <v>skyscraper</v>
      </c>
    </row>
    <row r="1821">
      <c r="D1821" s="6"/>
      <c r="H1821" s="6" t="str">
        <f>IFERROR(__xludf.DUMMYFUNCTION("""COMPUTED_VALUE"""),"holmes")</f>
        <v>holmes</v>
      </c>
      <c r="I1821" s="6"/>
      <c r="J1821" s="6" t="str">
        <f>IFERROR(__xludf.DUMMYFUNCTION("""COMPUTED_VALUE"""),"critique")</f>
        <v>critique</v>
      </c>
      <c r="M1821" s="6"/>
      <c r="P1821" s="6"/>
      <c r="Q1821" s="6" t="str">
        <f>IFERROR(__xludf.DUMMYFUNCTION("""COMPUTED_VALUE"""),"clouds")</f>
        <v>clouds</v>
      </c>
    </row>
    <row r="1822">
      <c r="D1822" s="6"/>
      <c r="H1822" s="6" t="str">
        <f>IFERROR(__xludf.DUMMYFUNCTION("""COMPUTED_VALUE"""),"convictions")</f>
        <v>convictions</v>
      </c>
      <c r="I1822" s="6"/>
      <c r="J1822" s="6" t="str">
        <f>IFERROR(__xludf.DUMMYFUNCTION("""COMPUTED_VALUE"""),"prologue")</f>
        <v>prologue</v>
      </c>
      <c r="M1822" s="6"/>
      <c r="P1822" s="6"/>
      <c r="Q1822" s="6" t="str">
        <f>IFERROR(__xludf.DUMMYFUNCTION("""COMPUTED_VALUE"""),"narration")</f>
        <v>narration</v>
      </c>
    </row>
    <row r="1823">
      <c r="D1823" s="6"/>
      <c r="H1823" s="6" t="str">
        <f>IFERROR(__xludf.DUMMYFUNCTION("""COMPUTED_VALUE"""),"populace")</f>
        <v>populace</v>
      </c>
      <c r="I1823" s="6"/>
      <c r="J1823" s="6" t="str">
        <f>IFERROR(__xludf.DUMMYFUNCTION("""COMPUTED_VALUE"""),"antonia")</f>
        <v>antonia</v>
      </c>
      <c r="M1823" s="6"/>
      <c r="P1823" s="6"/>
      <c r="Q1823" s="6" t="str">
        <f>IFERROR(__xludf.DUMMYFUNCTION("""COMPUTED_VALUE"""),"prolonged")</f>
        <v>prolonged</v>
      </c>
    </row>
    <row r="1824">
      <c r="D1824" s="6"/>
      <c r="H1824" s="6" t="str">
        <f>IFERROR(__xludf.DUMMYFUNCTION("""COMPUTED_VALUE"""),"disastrous")</f>
        <v>disastrous</v>
      </c>
      <c r="I1824" s="6"/>
      <c r="J1824" s="6" t="str">
        <f>IFERROR(__xludf.DUMMYFUNCTION("""COMPUTED_VALUE"""),"enlightenment")</f>
        <v>enlightenment</v>
      </c>
      <c r="M1824" s="6"/>
      <c r="P1824" s="6"/>
      <c r="Q1824" s="6" t="str">
        <f>IFERROR(__xludf.DUMMYFUNCTION("""COMPUTED_VALUE"""),"composed")</f>
        <v>composed</v>
      </c>
    </row>
    <row r="1825">
      <c r="D1825" s="6"/>
      <c r="H1825" s="6" t="str">
        <f>IFERROR(__xludf.DUMMYFUNCTION("""COMPUTED_VALUE"""),"behave")</f>
        <v>behave</v>
      </c>
      <c r="I1825" s="6"/>
      <c r="J1825" s="6" t="str">
        <f>IFERROR(__xludf.DUMMYFUNCTION("""COMPUTED_VALUE"""),"thoughtfully")</f>
        <v>thoughtfully</v>
      </c>
      <c r="M1825" s="6"/>
      <c r="P1825" s="6"/>
      <c r="Q1825" s="6" t="str">
        <f>IFERROR(__xludf.DUMMYFUNCTION("""COMPUTED_VALUE"""),"rejected")</f>
        <v>rejected</v>
      </c>
    </row>
    <row r="1826">
      <c r="D1826" s="6"/>
      <c r="H1826" s="6" t="str">
        <f>IFERROR(__xludf.DUMMYFUNCTION("""COMPUTED_VALUE"""),"journalist")</f>
        <v>journalist</v>
      </c>
      <c r="I1826" s="6"/>
      <c r="J1826" s="6" t="str">
        <f>IFERROR(__xludf.DUMMYFUNCTION("""COMPUTED_VALUE"""),"critically")</f>
        <v>critically</v>
      </c>
      <c r="M1826" s="6"/>
      <c r="P1826" s="6"/>
      <c r="Q1826" s="6" t="str">
        <f>IFERROR(__xludf.DUMMYFUNCTION("""COMPUTED_VALUE"""),"richly")</f>
        <v>richly</v>
      </c>
    </row>
    <row r="1827">
      <c r="D1827" s="6"/>
      <c r="H1827" s="6" t="str">
        <f>IFERROR(__xludf.DUMMYFUNCTION("""COMPUTED_VALUE"""),"exasperated")</f>
        <v>exasperated</v>
      </c>
      <c r="I1827" s="6"/>
      <c r="J1827" s="6" t="str">
        <f>IFERROR(__xludf.DUMMYFUNCTION("""COMPUTED_VALUE"""),"leigh")</f>
        <v>leigh</v>
      </c>
      <c r="M1827" s="6"/>
      <c r="P1827" s="6"/>
      <c r="Q1827" s="6" t="str">
        <f>IFERROR(__xludf.DUMMYFUNCTION("""COMPUTED_VALUE"""),"perform")</f>
        <v>perform</v>
      </c>
    </row>
    <row r="1828">
      <c r="D1828" s="6"/>
      <c r="H1828" s="6" t="str">
        <f>IFERROR(__xludf.DUMMYFUNCTION("""COMPUTED_VALUE"""),"venice")</f>
        <v>venice</v>
      </c>
      <c r="I1828" s="6"/>
      <c r="J1828" s="6" t="str">
        <f>IFERROR(__xludf.DUMMYFUNCTION("""COMPUTED_VALUE"""),"ram")</f>
        <v>ram</v>
      </c>
      <c r="M1828" s="6"/>
      <c r="P1828" s="6"/>
      <c r="Q1828" s="6" t="str">
        <f>IFERROR(__xludf.DUMMYFUNCTION("""COMPUTED_VALUE"""),"flatly")</f>
        <v>flatly</v>
      </c>
    </row>
    <row r="1829">
      <c r="D1829" s="6"/>
      <c r="H1829" s="6" t="str">
        <f>IFERROR(__xludf.DUMMYFUNCTION("""COMPUTED_VALUE"""),"mika")</f>
        <v>mika</v>
      </c>
      <c r="I1829" s="6"/>
      <c r="J1829" s="6" t="str">
        <f>IFERROR(__xludf.DUMMYFUNCTION("""COMPUTED_VALUE"""),"ransom")</f>
        <v>ransom</v>
      </c>
      <c r="M1829" s="6"/>
      <c r="P1829" s="6"/>
      <c r="Q1829" s="6" t="str">
        <f>IFERROR(__xludf.DUMMYFUNCTION("""COMPUTED_VALUE"""),"kendall")</f>
        <v>kendall</v>
      </c>
    </row>
    <row r="1830">
      <c r="D1830" s="6"/>
      <c r="H1830" s="6" t="str">
        <f>IFERROR(__xludf.DUMMYFUNCTION("""COMPUTED_VALUE"""),"fallon")</f>
        <v>fallon</v>
      </c>
      <c r="I1830" s="6"/>
      <c r="J1830" s="6" t="str">
        <f>IFERROR(__xludf.DUMMYFUNCTION("""COMPUTED_VALUE"""),"lucia")</f>
        <v>lucia</v>
      </c>
      <c r="M1830" s="6"/>
      <c r="P1830" s="6"/>
      <c r="Q1830" s="6" t="str">
        <f>IFERROR(__xludf.DUMMYFUNCTION("""COMPUTED_VALUE"""),"principles")</f>
        <v>principles</v>
      </c>
    </row>
    <row r="1831">
      <c r="D1831" s="6"/>
      <c r="H1831" s="6" t="str">
        <f>IFERROR(__xludf.DUMMYFUNCTION("""COMPUTED_VALUE"""),"forgiveness")</f>
        <v>forgiveness</v>
      </c>
      <c r="I1831" s="6"/>
      <c r="J1831" s="6" t="str">
        <f>IFERROR(__xludf.DUMMYFUNCTION("""COMPUTED_VALUE"""),"heartbreak")</f>
        <v>heartbreak</v>
      </c>
      <c r="M1831" s="6"/>
      <c r="P1831" s="6"/>
      <c r="Q1831" s="6" t="str">
        <f>IFERROR(__xludf.DUMMYFUNCTION("""COMPUTED_VALUE"""),"smackdown")</f>
        <v>smackdown</v>
      </c>
    </row>
    <row r="1832">
      <c r="D1832" s="6"/>
      <c r="H1832" s="6" t="str">
        <f>IFERROR(__xludf.DUMMYFUNCTION("""COMPUTED_VALUE"""),"prose")</f>
        <v>prose</v>
      </c>
      <c r="I1832" s="6"/>
      <c r="J1832" s="6" t="str">
        <f>IFERROR(__xludf.DUMMYFUNCTION("""COMPUTED_VALUE"""),"liner")</f>
        <v>liner</v>
      </c>
      <c r="M1832" s="6"/>
      <c r="P1832" s="6"/>
      <c r="Q1832" s="6" t="str">
        <f>IFERROR(__xludf.DUMMYFUNCTION("""COMPUTED_VALUE"""),"atrocities")</f>
        <v>atrocities</v>
      </c>
    </row>
    <row r="1833">
      <c r="D1833" s="6"/>
      <c r="H1833" s="6" t="str">
        <f>IFERROR(__xludf.DUMMYFUNCTION("""COMPUTED_VALUE"""),"cinematographer")</f>
        <v>cinematographer</v>
      </c>
      <c r="I1833" s="6"/>
      <c r="J1833" s="6" t="str">
        <f>IFERROR(__xludf.DUMMYFUNCTION("""COMPUTED_VALUE"""),"australia")</f>
        <v>australia</v>
      </c>
      <c r="M1833" s="6"/>
      <c r="P1833" s="6"/>
      <c r="Q1833" s="6" t="str">
        <f>IFERROR(__xludf.DUMMYFUNCTION("""COMPUTED_VALUE"""),"mythology")</f>
        <v>mythology</v>
      </c>
    </row>
    <row r="1834">
      <c r="D1834" s="6"/>
      <c r="H1834" s="6" t="str">
        <f>IFERROR(__xludf.DUMMYFUNCTION("""COMPUTED_VALUE"""),"stevens")</f>
        <v>stevens</v>
      </c>
      <c r="I1834" s="6"/>
      <c r="J1834" s="6" t="str">
        <f>IFERROR(__xludf.DUMMYFUNCTION("""COMPUTED_VALUE"""),"stitch")</f>
        <v>stitch</v>
      </c>
      <c r="M1834" s="6"/>
      <c r="P1834" s="6"/>
      <c r="Q1834" s="6" t="str">
        <f>IFERROR(__xludf.DUMMYFUNCTION("""COMPUTED_VALUE"""),"benefited")</f>
        <v>benefited</v>
      </c>
    </row>
    <row r="1835">
      <c r="D1835" s="6"/>
      <c r="H1835" s="6" t="str">
        <f>IFERROR(__xludf.DUMMYFUNCTION("""COMPUTED_VALUE"""),"mtv")</f>
        <v>mtv</v>
      </c>
      <c r="I1835" s="6"/>
      <c r="M1835" s="6"/>
      <c r="P1835" s="6"/>
      <c r="Q1835" s="6" t="str">
        <f>IFERROR(__xludf.DUMMYFUNCTION("""COMPUTED_VALUE"""),"directs")</f>
        <v>directs</v>
      </c>
    </row>
    <row r="1836">
      <c r="D1836" s="6"/>
      <c r="H1836" s="6" t="str">
        <f>IFERROR(__xludf.DUMMYFUNCTION("""COMPUTED_VALUE"""),"hysteria")</f>
        <v>hysteria</v>
      </c>
      <c r="I1836" s="6"/>
      <c r="M1836" s="6"/>
      <c r="P1836" s="6"/>
      <c r="Q1836" s="6" t="str">
        <f>IFERROR(__xludf.DUMMYFUNCTION("""COMPUTED_VALUE"""),"snap")</f>
        <v>snap</v>
      </c>
    </row>
    <row r="1837">
      <c r="D1837" s="6"/>
      <c r="H1837" s="6" t="str">
        <f>IFERROR(__xludf.DUMMYFUNCTION("""COMPUTED_VALUE"""),"resentment")</f>
        <v>resentment</v>
      </c>
      <c r="I1837" s="6"/>
      <c r="M1837" s="6"/>
      <c r="P1837" s="6"/>
      <c r="Q1837" s="6" t="str">
        <f>IFERROR(__xludf.DUMMYFUNCTION("""COMPUTED_VALUE"""),"extravagant")</f>
        <v>extravagant</v>
      </c>
    </row>
    <row r="1838">
      <c r="D1838" s="6"/>
      <c r="H1838" s="6" t="str">
        <f>IFERROR(__xludf.DUMMYFUNCTION("""COMPUTED_VALUE"""),"cadence")</f>
        <v>cadence</v>
      </c>
      <c r="I1838" s="6"/>
      <c r="M1838" s="6"/>
      <c r="P1838" s="6"/>
      <c r="Q1838" s="6">
        <f>IFERROR(__xludf.DUMMYFUNCTION("""COMPUTED_VALUE"""),1938.0)</f>
        <v>1938</v>
      </c>
    </row>
    <row r="1839">
      <c r="D1839" s="6"/>
      <c r="H1839" s="6" t="str">
        <f>IFERROR(__xludf.DUMMYFUNCTION("""COMPUTED_VALUE"""),"hypnotic")</f>
        <v>hypnotic</v>
      </c>
      <c r="I1839" s="6"/>
      <c r="M1839" s="6"/>
      <c r="P1839" s="6"/>
      <c r="Q1839" s="6" t="str">
        <f>IFERROR(__xludf.DUMMYFUNCTION("""COMPUTED_VALUE"""),"holden")</f>
        <v>holden</v>
      </c>
    </row>
    <row r="1840">
      <c r="D1840" s="6"/>
      <c r="H1840" s="6" t="str">
        <f>IFERROR(__xludf.DUMMYFUNCTION("""COMPUTED_VALUE"""),"welsh")</f>
        <v>welsh</v>
      </c>
      <c r="I1840" s="6"/>
      <c r="M1840" s="6"/>
      <c r="P1840" s="6"/>
      <c r="Q1840" s="6" t="str">
        <f>IFERROR(__xludf.DUMMYFUNCTION("""COMPUTED_VALUE"""),"wince")</f>
        <v>wince</v>
      </c>
    </row>
    <row r="1841">
      <c r="D1841" s="6"/>
      <c r="H1841" s="6" t="str">
        <f>IFERROR(__xludf.DUMMYFUNCTION("""COMPUTED_VALUE"""),"rounded")</f>
        <v>rounded</v>
      </c>
      <c r="I1841" s="6"/>
      <c r="M1841" s="6"/>
      <c r="P1841" s="6"/>
      <c r="Q1841" s="6" t="str">
        <f>IFERROR(__xludf.DUMMYFUNCTION("""COMPUTED_VALUE"""),"leaping")</f>
        <v>leaping</v>
      </c>
    </row>
    <row r="1842">
      <c r="D1842" s="6"/>
      <c r="H1842" s="6" t="str">
        <f>IFERROR(__xludf.DUMMYFUNCTION("""COMPUTED_VALUE"""),"goose")</f>
        <v>goose</v>
      </c>
      <c r="I1842" s="6"/>
      <c r="M1842" s="6"/>
      <c r="P1842" s="6"/>
      <c r="Q1842" s="6" t="str">
        <f>IFERROR(__xludf.DUMMYFUNCTION("""COMPUTED_VALUE"""),"oppressive")</f>
        <v>oppressive</v>
      </c>
    </row>
    <row r="1843">
      <c r="D1843" s="6"/>
      <c r="H1843" s="6" t="str">
        <f>IFERROR(__xludf.DUMMYFUNCTION("""COMPUTED_VALUE"""),"stuart")</f>
        <v>stuart</v>
      </c>
      <c r="I1843" s="6"/>
      <c r="M1843" s="6"/>
      <c r="P1843" s="6"/>
      <c r="Q1843" s="6" t="str">
        <f>IFERROR(__xludf.DUMMYFUNCTION("""COMPUTED_VALUE"""),"nicolas")</f>
        <v>nicolas</v>
      </c>
    </row>
    <row r="1844">
      <c r="D1844" s="6"/>
      <c r="H1844" s="6" t="str">
        <f>IFERROR(__xludf.DUMMYFUNCTION("""COMPUTED_VALUE"""),"siegel")</f>
        <v>siegel</v>
      </c>
      <c r="I1844" s="6"/>
      <c r="M1844" s="6"/>
      <c r="P1844" s="6"/>
      <c r="Q1844" s="6" t="str">
        <f>IFERROR(__xludf.DUMMYFUNCTION("""COMPUTED_VALUE"""),"confronting")</f>
        <v>confronting</v>
      </c>
    </row>
    <row r="1845">
      <c r="D1845" s="6"/>
      <c r="H1845" s="6" t="str">
        <f>IFERROR(__xludf.DUMMYFUNCTION("""COMPUTED_VALUE"""),"parochial")</f>
        <v>parochial</v>
      </c>
      <c r="I1845" s="6"/>
      <c r="M1845" s="6"/>
      <c r="P1845" s="6"/>
      <c r="Q1845" s="6" t="str">
        <f>IFERROR(__xludf.DUMMYFUNCTION("""COMPUTED_VALUE"""),"paranoia")</f>
        <v>paranoia</v>
      </c>
    </row>
    <row r="1846">
      <c r="D1846" s="6"/>
      <c r="H1846" s="6" t="str">
        <f>IFERROR(__xludf.DUMMYFUNCTION("""COMPUTED_VALUE"""),"friendships")</f>
        <v>friendships</v>
      </c>
      <c r="I1846" s="6"/>
      <c r="M1846" s="6"/>
      <c r="P1846" s="6"/>
      <c r="Q1846" s="6" t="str">
        <f>IFERROR(__xludf.DUMMYFUNCTION("""COMPUTED_VALUE"""),"phenomenon")</f>
        <v>phenomenon</v>
      </c>
    </row>
    <row r="1847">
      <c r="D1847" s="6"/>
      <c r="H1847" s="6" t="str">
        <f>IFERROR(__xludf.DUMMYFUNCTION("""COMPUTED_VALUE"""),"philip")</f>
        <v>philip</v>
      </c>
      <c r="I1847" s="6"/>
      <c r="M1847" s="6"/>
      <c r="P1847" s="6"/>
      <c r="Q1847" s="6" t="str">
        <f>IFERROR(__xludf.DUMMYFUNCTION("""COMPUTED_VALUE"""),"viewpoint")</f>
        <v>viewpoint</v>
      </c>
    </row>
    <row r="1848">
      <c r="D1848" s="6"/>
      <c r="H1848" s="6" t="str">
        <f>IFERROR(__xludf.DUMMYFUNCTION("""COMPUTED_VALUE"""),"ensure")</f>
        <v>ensure</v>
      </c>
      <c r="I1848" s="6"/>
      <c r="M1848" s="6"/>
      <c r="P1848" s="6"/>
      <c r="Q1848" s="6" t="str">
        <f>IFERROR(__xludf.DUMMYFUNCTION("""COMPUTED_VALUE"""),"diary")</f>
        <v>diary</v>
      </c>
    </row>
    <row r="1849">
      <c r="D1849" s="6"/>
      <c r="H1849" s="6" t="str">
        <f>IFERROR(__xludf.DUMMYFUNCTION("""COMPUTED_VALUE"""),"fragmented")</f>
        <v>fragmented</v>
      </c>
      <c r="I1849" s="6"/>
      <c r="M1849" s="6"/>
      <c r="P1849" s="6"/>
      <c r="Q1849" s="6" t="str">
        <f>IFERROR(__xludf.DUMMYFUNCTION("""COMPUTED_VALUE"""),"fuels")</f>
        <v>fuels</v>
      </c>
    </row>
    <row r="1850">
      <c r="D1850" s="6"/>
      <c r="H1850" s="6" t="str">
        <f>IFERROR(__xludf.DUMMYFUNCTION("""COMPUTED_VALUE"""),"enhancing")</f>
        <v>enhancing</v>
      </c>
      <c r="I1850" s="6"/>
      <c r="M1850" s="6"/>
      <c r="P1850" s="6"/>
      <c r="Q1850" s="6" t="str">
        <f>IFERROR(__xludf.DUMMYFUNCTION("""COMPUTED_VALUE"""),"freighter")</f>
        <v>freighter</v>
      </c>
    </row>
    <row r="1851">
      <c r="D1851" s="6"/>
      <c r="H1851" s="6" t="str">
        <f>IFERROR(__xludf.DUMMYFUNCTION("""COMPUTED_VALUE"""),"feral")</f>
        <v>feral</v>
      </c>
      <c r="I1851" s="6"/>
      <c r="M1851" s="6"/>
      <c r="P1851" s="6"/>
      <c r="Q1851" s="6" t="str">
        <f>IFERROR(__xludf.DUMMYFUNCTION("""COMPUTED_VALUE"""),"backdrop")</f>
        <v>backdrop</v>
      </c>
    </row>
    <row r="1852">
      <c r="D1852" s="6"/>
      <c r="H1852" s="6" t="str">
        <f>IFERROR(__xludf.DUMMYFUNCTION("""COMPUTED_VALUE"""),"decommissioned")</f>
        <v>decommissioned</v>
      </c>
      <c r="I1852" s="6"/>
      <c r="M1852" s="6"/>
      <c r="P1852" s="6"/>
      <c r="Q1852" s="6" t="str">
        <f>IFERROR(__xludf.DUMMYFUNCTION("""COMPUTED_VALUE"""),"stretches")</f>
        <v>stretches</v>
      </c>
    </row>
    <row r="1853">
      <c r="D1853" s="6"/>
      <c r="H1853" s="6" t="str">
        <f>IFERROR(__xludf.DUMMYFUNCTION("""COMPUTED_VALUE"""),"forbidden")</f>
        <v>forbidden</v>
      </c>
      <c r="I1853" s="6"/>
      <c r="M1853" s="6"/>
      <c r="P1853" s="6"/>
      <c r="Q1853" s="6" t="str">
        <f>IFERROR(__xludf.DUMMYFUNCTION("""COMPUTED_VALUE"""),"expressing")</f>
        <v>expressing</v>
      </c>
    </row>
    <row r="1854">
      <c r="D1854" s="6"/>
      <c r="H1854" s="6" t="str">
        <f>IFERROR(__xludf.DUMMYFUNCTION("""COMPUTED_VALUE"""),"ordeal")</f>
        <v>ordeal</v>
      </c>
      <c r="I1854" s="6"/>
      <c r="M1854" s="6"/>
      <c r="P1854" s="6"/>
      <c r="Q1854" s="6" t="str">
        <f>IFERROR(__xludf.DUMMYFUNCTION("""COMPUTED_VALUE"""),"ecstasy")</f>
        <v>ecstasy</v>
      </c>
    </row>
    <row r="1855">
      <c r="D1855" s="6"/>
      <c r="H1855" s="6" t="str">
        <f>IFERROR(__xludf.DUMMYFUNCTION("""COMPUTED_VALUE"""),"humiliated")</f>
        <v>humiliated</v>
      </c>
      <c r="I1855" s="6"/>
      <c r="M1855" s="6"/>
      <c r="P1855" s="6"/>
      <c r="Q1855" s="6" t="str">
        <f>IFERROR(__xludf.DUMMYFUNCTION("""COMPUTED_VALUE"""),"key")</f>
        <v>key</v>
      </c>
    </row>
    <row r="1856">
      <c r="D1856" s="6"/>
      <c r="H1856" s="6">
        <f>IFERROR(__xludf.DUMMYFUNCTION("""COMPUTED_VALUE"""),451.0)</f>
        <v>451</v>
      </c>
      <c r="I1856" s="6"/>
      <c r="M1856" s="6"/>
      <c r="P1856" s="6"/>
      <c r="Q1856" s="6" t="str">
        <f>IFERROR(__xludf.DUMMYFUNCTION("""COMPUTED_VALUE"""),"wonders")</f>
        <v>wonders</v>
      </c>
    </row>
    <row r="1857">
      <c r="D1857" s="6"/>
      <c r="H1857" s="6" t="str">
        <f>IFERROR(__xludf.DUMMYFUNCTION("""COMPUTED_VALUE"""),"beaches")</f>
        <v>beaches</v>
      </c>
      <c r="I1857" s="6"/>
      <c r="M1857" s="6"/>
      <c r="P1857" s="6"/>
      <c r="Q1857" s="6" t="str">
        <f>IFERROR(__xludf.DUMMYFUNCTION("""COMPUTED_VALUE"""),"stalked")</f>
        <v>stalked</v>
      </c>
    </row>
    <row r="1858">
      <c r="D1858" s="6"/>
      <c r="H1858" s="6">
        <f>IFERROR(__xludf.DUMMYFUNCTION("""COMPUTED_VALUE"""),1957.0)</f>
        <v>1957</v>
      </c>
      <c r="I1858" s="6"/>
      <c r="M1858" s="6"/>
      <c r="P1858" s="6"/>
      <c r="Q1858" s="6" t="str">
        <f>IFERROR(__xludf.DUMMYFUNCTION("""COMPUTED_VALUE"""),"emphasizes")</f>
        <v>emphasizes</v>
      </c>
    </row>
    <row r="1859">
      <c r="D1859" s="6"/>
      <c r="H1859" s="6" t="str">
        <f>IFERROR(__xludf.DUMMYFUNCTION("""COMPUTED_VALUE"""),"sacrifices")</f>
        <v>sacrifices</v>
      </c>
      <c r="I1859" s="6"/>
      <c r="M1859" s="6"/>
      <c r="P1859" s="6"/>
      <c r="Q1859" s="6" t="str">
        <f>IFERROR(__xludf.DUMMYFUNCTION("""COMPUTED_VALUE"""),"murders")</f>
        <v>murders</v>
      </c>
    </row>
    <row r="1860">
      <c r="D1860" s="6"/>
      <c r="H1860" s="6" t="str">
        <f>IFERROR(__xludf.DUMMYFUNCTION("""COMPUTED_VALUE"""),"consciously")</f>
        <v>consciously</v>
      </c>
      <c r="I1860" s="6"/>
      <c r="M1860" s="6"/>
      <c r="P1860" s="6"/>
      <c r="Q1860" s="6" t="str">
        <f>IFERROR(__xludf.DUMMYFUNCTION("""COMPUTED_VALUE"""),"serial")</f>
        <v>serial</v>
      </c>
    </row>
    <row r="1861">
      <c r="D1861" s="6"/>
      <c r="H1861" s="6" t="str">
        <f>IFERROR(__xludf.DUMMYFUNCTION("""COMPUTED_VALUE"""),"asphalt")</f>
        <v>asphalt</v>
      </c>
      <c r="I1861" s="6"/>
      <c r="M1861" s="6"/>
      <c r="P1861" s="6"/>
      <c r="Q1861" s="6" t="str">
        <f>IFERROR(__xludf.DUMMYFUNCTION("""COMPUTED_VALUE"""),"conception")</f>
        <v>conception</v>
      </c>
    </row>
    <row r="1862">
      <c r="D1862" s="6"/>
      <c r="H1862" s="6" t="str">
        <f>IFERROR(__xludf.DUMMYFUNCTION("""COMPUTED_VALUE"""),"retiring")</f>
        <v>retiring</v>
      </c>
      <c r="I1862" s="6"/>
      <c r="M1862" s="6"/>
      <c r="P1862" s="6"/>
      <c r="Q1862" s="6" t="str">
        <f>IFERROR(__xludf.DUMMYFUNCTION("""COMPUTED_VALUE"""),"evelyn")</f>
        <v>evelyn</v>
      </c>
    </row>
    <row r="1863">
      <c r="D1863" s="6"/>
      <c r="H1863" s="6" t="str">
        <f>IFERROR(__xludf.DUMMYFUNCTION("""COMPUTED_VALUE"""),"tolkien")</f>
        <v>tolkien</v>
      </c>
      <c r="I1863" s="6"/>
      <c r="M1863" s="6"/>
      <c r="P1863" s="6"/>
      <c r="Q1863" s="6" t="str">
        <f>IFERROR(__xludf.DUMMYFUNCTION("""COMPUTED_VALUE"""),"embrace")</f>
        <v>embrace</v>
      </c>
    </row>
    <row r="1864">
      <c r="D1864" s="6"/>
      <c r="H1864" s="6" t="str">
        <f>IFERROR(__xludf.DUMMYFUNCTION("""COMPUTED_VALUE"""),"longtime")</f>
        <v>longtime</v>
      </c>
      <c r="I1864" s="6"/>
      <c r="M1864" s="6"/>
      <c r="P1864" s="6"/>
      <c r="Q1864" s="6" t="str">
        <f>IFERROR(__xludf.DUMMYFUNCTION("""COMPUTED_VALUE"""),"sonny")</f>
        <v>sonny</v>
      </c>
    </row>
    <row r="1865">
      <c r="D1865" s="6"/>
      <c r="H1865" s="6" t="str">
        <f>IFERROR(__xludf.DUMMYFUNCTION("""COMPUTED_VALUE"""),"twisting")</f>
        <v>twisting</v>
      </c>
      <c r="I1865" s="6"/>
      <c r="M1865" s="6"/>
      <c r="P1865" s="6"/>
      <c r="Q1865" s="6" t="str">
        <f>IFERROR(__xludf.DUMMYFUNCTION("""COMPUTED_VALUE"""),"delicately")</f>
        <v>delicately</v>
      </c>
    </row>
    <row r="1866">
      <c r="D1866" s="6"/>
      <c r="H1866" s="6" t="str">
        <f>IFERROR(__xludf.DUMMYFUNCTION("""COMPUTED_VALUE"""),"littered")</f>
        <v>littered</v>
      </c>
      <c r="I1866" s="6"/>
      <c r="M1866" s="6"/>
      <c r="P1866" s="6"/>
      <c r="Q1866" s="6" t="str">
        <f>IFERROR(__xludf.DUMMYFUNCTION("""COMPUTED_VALUE"""),"forum")</f>
        <v>forum</v>
      </c>
    </row>
    <row r="1867">
      <c r="D1867" s="6"/>
      <c r="H1867" s="6" t="str">
        <f>IFERROR(__xludf.DUMMYFUNCTION("""COMPUTED_VALUE"""),"experimental")</f>
        <v>experimental</v>
      </c>
      <c r="I1867" s="6"/>
      <c r="M1867" s="6"/>
      <c r="P1867" s="6"/>
      <c r="Q1867" s="6" t="str">
        <f>IFERROR(__xludf.DUMMYFUNCTION("""COMPUTED_VALUE"""),"memoir")</f>
        <v>memoir</v>
      </c>
    </row>
    <row r="1868">
      <c r="D1868" s="6"/>
      <c r="H1868" s="6" t="str">
        <f>IFERROR(__xludf.DUMMYFUNCTION("""COMPUTED_VALUE"""),"methodology")</f>
        <v>methodology</v>
      </c>
      <c r="I1868" s="6"/>
      <c r="M1868" s="6"/>
      <c r="P1868" s="6"/>
      <c r="Q1868" s="6" t="str">
        <f>IFERROR(__xludf.DUMMYFUNCTION("""COMPUTED_VALUE"""),"scarcely")</f>
        <v>scarcely</v>
      </c>
    </row>
    <row r="1869">
      <c r="D1869" s="6"/>
      <c r="H1869" s="6" t="str">
        <f>IFERROR(__xludf.DUMMYFUNCTION("""COMPUTED_VALUE"""),"cleavage")</f>
        <v>cleavage</v>
      </c>
      <c r="I1869" s="6"/>
      <c r="M1869" s="6"/>
      <c r="P1869" s="6"/>
      <c r="Q1869" s="6" t="str">
        <f>IFERROR(__xludf.DUMMYFUNCTION("""COMPUTED_VALUE"""),"expressive")</f>
        <v>expressive</v>
      </c>
    </row>
    <row r="1870">
      <c r="D1870" s="6"/>
      <c r="H1870" s="6" t="str">
        <f>IFERROR(__xludf.DUMMYFUNCTION("""COMPUTED_VALUE"""),"reaches")</f>
        <v>reaches</v>
      </c>
      <c r="I1870" s="6"/>
      <c r="M1870" s="6"/>
      <c r="P1870" s="6"/>
      <c r="Q1870" s="6" t="str">
        <f>IFERROR(__xludf.DUMMYFUNCTION("""COMPUTED_VALUE"""),"provoked")</f>
        <v>provoked</v>
      </c>
    </row>
    <row r="1871">
      <c r="D1871" s="6"/>
      <c r="H1871" s="6" t="str">
        <f>IFERROR(__xludf.DUMMYFUNCTION("""COMPUTED_VALUE"""),"youthful")</f>
        <v>youthful</v>
      </c>
      <c r="I1871" s="6"/>
      <c r="M1871" s="6"/>
      <c r="P1871" s="6"/>
      <c r="Q1871" s="6" t="str">
        <f>IFERROR(__xludf.DUMMYFUNCTION("""COMPUTED_VALUE"""),"tenor")</f>
        <v>tenor</v>
      </c>
    </row>
    <row r="1872">
      <c r="D1872" s="6"/>
      <c r="H1872" s="6" t="str">
        <f>IFERROR(__xludf.DUMMYFUNCTION("""COMPUTED_VALUE"""),"inhabit")</f>
        <v>inhabit</v>
      </c>
      <c r="I1872" s="6"/>
      <c r="M1872" s="6"/>
      <c r="P1872" s="6"/>
      <c r="Q1872" s="6" t="str">
        <f>IFERROR(__xludf.DUMMYFUNCTION("""COMPUTED_VALUE"""),"mourning")</f>
        <v>mourning</v>
      </c>
    </row>
    <row r="1873">
      <c r="D1873" s="6"/>
      <c r="H1873" s="6" t="str">
        <f>IFERROR(__xludf.DUMMYFUNCTION("""COMPUTED_VALUE"""),"predict")</f>
        <v>predict</v>
      </c>
      <c r="I1873" s="6"/>
      <c r="M1873" s="6"/>
      <c r="P1873" s="6"/>
      <c r="Q1873" s="6" t="str">
        <f>IFERROR(__xludf.DUMMYFUNCTION("""COMPUTED_VALUE"""),"adultery")</f>
        <v>adultery</v>
      </c>
    </row>
    <row r="1874">
      <c r="D1874" s="6"/>
      <c r="H1874" s="6" t="str">
        <f>IFERROR(__xludf.DUMMYFUNCTION("""COMPUTED_VALUE"""),"villains")</f>
        <v>villains</v>
      </c>
      <c r="I1874" s="6"/>
      <c r="M1874" s="6"/>
      <c r="P1874" s="6"/>
      <c r="Q1874" s="6" t="str">
        <f>IFERROR(__xludf.DUMMYFUNCTION("""COMPUTED_VALUE"""),"rampant")</f>
        <v>rampant</v>
      </c>
    </row>
    <row r="1875">
      <c r="D1875" s="6"/>
      <c r="H1875" s="6" t="str">
        <f>IFERROR(__xludf.DUMMYFUNCTION("""COMPUTED_VALUE"""),"servants")</f>
        <v>servants</v>
      </c>
      <c r="I1875" s="6"/>
      <c r="M1875" s="6"/>
      <c r="P1875" s="6"/>
      <c r="Q1875" s="6" t="str">
        <f>IFERROR(__xludf.DUMMYFUNCTION("""COMPUTED_VALUE"""),"kingsley")</f>
        <v>kingsley</v>
      </c>
    </row>
    <row r="1876">
      <c r="D1876" s="6"/>
      <c r="H1876" s="6" t="str">
        <f>IFERROR(__xludf.DUMMYFUNCTION("""COMPUTED_VALUE"""),"nemesis")</f>
        <v>nemesis</v>
      </c>
      <c r="I1876" s="6"/>
      <c r="M1876" s="6"/>
      <c r="P1876" s="6"/>
      <c r="Q1876" s="6" t="str">
        <f>IFERROR(__xludf.DUMMYFUNCTION("""COMPUTED_VALUE"""),"molly")</f>
        <v>molly</v>
      </c>
    </row>
    <row r="1877">
      <c r="D1877" s="6"/>
      <c r="H1877" s="6" t="str">
        <f>IFERROR(__xludf.DUMMYFUNCTION("""COMPUTED_VALUE"""),"remembrance")</f>
        <v>remembrance</v>
      </c>
      <c r="I1877" s="6"/>
      <c r="M1877" s="6"/>
      <c r="P1877" s="6"/>
      <c r="Q1877" s="6" t="str">
        <f>IFERROR(__xludf.DUMMYFUNCTION("""COMPUTED_VALUE"""),"successor")</f>
        <v>successor</v>
      </c>
    </row>
    <row r="1878">
      <c r="D1878" s="6"/>
      <c r="H1878" s="6" t="str">
        <f>IFERROR(__xludf.DUMMYFUNCTION("""COMPUTED_VALUE"""),"lina")</f>
        <v>lina</v>
      </c>
      <c r="I1878" s="6"/>
      <c r="M1878" s="6"/>
      <c r="P1878" s="6"/>
      <c r="Q1878" s="6" t="str">
        <f>IFERROR(__xludf.DUMMYFUNCTION("""COMPUTED_VALUE"""),"shear")</f>
        <v>shear</v>
      </c>
    </row>
    <row r="1879">
      <c r="D1879" s="6"/>
      <c r="H1879" s="6" t="str">
        <f>IFERROR(__xludf.DUMMYFUNCTION("""COMPUTED_VALUE"""),"shriek")</f>
        <v>shriek</v>
      </c>
      <c r="I1879" s="6"/>
      <c r="M1879" s="6"/>
      <c r="P1879" s="6"/>
      <c r="Q1879" s="6" t="str">
        <f>IFERROR(__xludf.DUMMYFUNCTION("""COMPUTED_VALUE"""),"hack")</f>
        <v>hack</v>
      </c>
    </row>
    <row r="1880">
      <c r="D1880" s="6"/>
      <c r="H1880" s="6" t="str">
        <f>IFERROR(__xludf.DUMMYFUNCTION("""COMPUTED_VALUE"""),"error")</f>
        <v>error</v>
      </c>
      <c r="I1880" s="6"/>
      <c r="M1880" s="6"/>
      <c r="P1880" s="6"/>
      <c r="Q1880" s="6" t="str">
        <f>IFERROR(__xludf.DUMMYFUNCTION("""COMPUTED_VALUE"""),"chest")</f>
        <v>chest</v>
      </c>
    </row>
    <row r="1881">
      <c r="D1881" s="6"/>
      <c r="H1881" s="6" t="str">
        <f>IFERROR(__xludf.DUMMYFUNCTION("""COMPUTED_VALUE"""),"collaboration")</f>
        <v>collaboration</v>
      </c>
      <c r="I1881" s="6"/>
      <c r="M1881" s="6"/>
      <c r="P1881" s="6"/>
      <c r="Q1881" s="6" t="str">
        <f>IFERROR(__xludf.DUMMYFUNCTION("""COMPUTED_VALUE"""),"volatile")</f>
        <v>volatile</v>
      </c>
    </row>
    <row r="1882">
      <c r="D1882" s="6"/>
      <c r="H1882" s="6" t="str">
        <f>IFERROR(__xludf.DUMMYFUNCTION("""COMPUTED_VALUE"""),"germanic")</f>
        <v>germanic</v>
      </c>
      <c r="I1882" s="6"/>
      <c r="M1882" s="6"/>
      <c r="P1882" s="6"/>
      <c r="Q1882" s="6" t="str">
        <f>IFERROR(__xludf.DUMMYFUNCTION("""COMPUTED_VALUE"""),"resolutions")</f>
        <v>resolutions</v>
      </c>
    </row>
    <row r="1883">
      <c r="D1883" s="6"/>
      <c r="H1883" s="6" t="str">
        <f>IFERROR(__xludf.DUMMYFUNCTION("""COMPUTED_VALUE"""),"sustained")</f>
        <v>sustained</v>
      </c>
      <c r="I1883" s="6"/>
      <c r="M1883" s="6"/>
      <c r="P1883" s="6"/>
      <c r="Q1883" s="6" t="str">
        <f>IFERROR(__xludf.DUMMYFUNCTION("""COMPUTED_VALUE"""),"rap")</f>
        <v>rap</v>
      </c>
    </row>
    <row r="1884">
      <c r="D1884" s="6"/>
      <c r="H1884" s="6" t="str">
        <f>IFERROR(__xludf.DUMMYFUNCTION("""COMPUTED_VALUE"""),"keel")</f>
        <v>keel</v>
      </c>
      <c r="I1884" s="6"/>
      <c r="M1884" s="6"/>
      <c r="P1884" s="6"/>
      <c r="Q1884" s="6" t="str">
        <f>IFERROR(__xludf.DUMMYFUNCTION("""COMPUTED_VALUE"""),"bow")</f>
        <v>bow</v>
      </c>
    </row>
    <row r="1885">
      <c r="D1885" s="6"/>
      <c r="H1885" s="6" t="str">
        <f>IFERROR(__xludf.DUMMYFUNCTION("""COMPUTED_VALUE"""),"tolerance")</f>
        <v>tolerance</v>
      </c>
      <c r="I1885" s="6"/>
      <c r="M1885" s="22"/>
      <c r="P1885" s="6"/>
      <c r="Q1885" s="6" t="str">
        <f>IFERROR(__xludf.DUMMYFUNCTION("""COMPUTED_VALUE"""),"rhetoric")</f>
        <v>rhetoric</v>
      </c>
    </row>
    <row r="1886">
      <c r="D1886" s="6"/>
      <c r="H1886" s="6" t="str">
        <f>IFERROR(__xludf.DUMMYFUNCTION("""COMPUTED_VALUE"""),"prowess")</f>
        <v>prowess</v>
      </c>
      <c r="I1886" s="6"/>
      <c r="M1886" s="6"/>
      <c r="P1886" s="6"/>
      <c r="Q1886" s="6" t="str">
        <f>IFERROR(__xludf.DUMMYFUNCTION("""COMPUTED_VALUE"""),"haynes")</f>
        <v>haynes</v>
      </c>
    </row>
    <row r="1887">
      <c r="D1887" s="6"/>
      <c r="H1887" s="6" t="str">
        <f>IFERROR(__xludf.DUMMYFUNCTION("""COMPUTED_VALUE"""),"preaching")</f>
        <v>preaching</v>
      </c>
      <c r="I1887" s="6"/>
      <c r="M1887" s="6"/>
      <c r="P1887" s="6"/>
      <c r="Q1887" s="6" t="str">
        <f>IFERROR(__xludf.DUMMYFUNCTION("""COMPUTED_VALUE"""),"wartime")</f>
        <v>wartime</v>
      </c>
    </row>
    <row r="1888">
      <c r="D1888" s="6"/>
      <c r="H1888" s="6" t="str">
        <f>IFERROR(__xludf.DUMMYFUNCTION("""COMPUTED_VALUE"""),"reportedly")</f>
        <v>reportedly</v>
      </c>
      <c r="I1888" s="6"/>
      <c r="M1888" s="6"/>
      <c r="P1888" s="6"/>
      <c r="Q1888" s="6" t="str">
        <f>IFERROR(__xludf.DUMMYFUNCTION("""COMPUTED_VALUE"""),"downward")</f>
        <v>downward</v>
      </c>
    </row>
    <row r="1889">
      <c r="D1889" s="6"/>
      <c r="H1889" s="6" t="str">
        <f>IFERROR(__xludf.DUMMYFUNCTION("""COMPUTED_VALUE"""),"dimensional")</f>
        <v>dimensional</v>
      </c>
      <c r="I1889" s="6"/>
      <c r="M1889" s="6"/>
      <c r="P1889" s="6"/>
      <c r="Q1889" s="6" t="str">
        <f>IFERROR(__xludf.DUMMYFUNCTION("""COMPUTED_VALUE"""),"spiral")</f>
        <v>spiral</v>
      </c>
    </row>
    <row r="1890">
      <c r="D1890" s="6"/>
      <c r="H1890" s="6" t="str">
        <f>IFERROR(__xludf.DUMMYFUNCTION("""COMPUTED_VALUE"""),"liability")</f>
        <v>liability</v>
      </c>
      <c r="I1890" s="6"/>
      <c r="M1890" s="6"/>
      <c r="P1890" s="6"/>
      <c r="Q1890" s="6" t="str">
        <f>IFERROR(__xludf.DUMMYFUNCTION("""COMPUTED_VALUE"""),"teens")</f>
        <v>teens</v>
      </c>
    </row>
    <row r="1891">
      <c r="D1891" s="6"/>
      <c r="H1891" s="6" t="str">
        <f>IFERROR(__xludf.DUMMYFUNCTION("""COMPUTED_VALUE"""),"tackled")</f>
        <v>tackled</v>
      </c>
      <c r="I1891" s="6"/>
      <c r="M1891" s="6"/>
      <c r="P1891" s="6"/>
      <c r="Q1891" s="6" t="str">
        <f>IFERROR(__xludf.DUMMYFUNCTION("""COMPUTED_VALUE"""),"hannibal")</f>
        <v>hannibal</v>
      </c>
    </row>
    <row r="1892">
      <c r="D1892" s="6"/>
      <c r="H1892" s="6" t="str">
        <f>IFERROR(__xludf.DUMMYFUNCTION("""COMPUTED_VALUE"""),"byzantine")</f>
        <v>byzantine</v>
      </c>
      <c r="I1892" s="6"/>
      <c r="M1892" s="6"/>
      <c r="P1892" s="6"/>
      <c r="Q1892" s="6" t="str">
        <f>IFERROR(__xludf.DUMMYFUNCTION("""COMPUTED_VALUE"""),"inclination")</f>
        <v>inclination</v>
      </c>
    </row>
    <row r="1893">
      <c r="D1893" s="6"/>
      <c r="H1893" s="6" t="str">
        <f>IFERROR(__xludf.DUMMYFUNCTION("""COMPUTED_VALUE"""),"barrie")</f>
        <v>barrie</v>
      </c>
      <c r="I1893" s="6"/>
      <c r="M1893" s="6"/>
      <c r="P1893" s="6"/>
      <c r="Q1893" s="6" t="str">
        <f>IFERROR(__xludf.DUMMYFUNCTION("""COMPUTED_VALUE"""),"whimper")</f>
        <v>whimper</v>
      </c>
    </row>
    <row r="1894">
      <c r="D1894" s="6"/>
      <c r="H1894" s="6" t="str">
        <f>IFERROR(__xludf.DUMMYFUNCTION("""COMPUTED_VALUE"""),"myrtle")</f>
        <v>myrtle</v>
      </c>
      <c r="I1894" s="6"/>
      <c r="M1894" s="6"/>
      <c r="P1894" s="6"/>
      <c r="Q1894" s="6" t="str">
        <f>IFERROR(__xludf.DUMMYFUNCTION("""COMPUTED_VALUE"""),"paradigm")</f>
        <v>paradigm</v>
      </c>
    </row>
    <row r="1895">
      <c r="D1895" s="6"/>
      <c r="H1895" s="6" t="str">
        <f>IFERROR(__xludf.DUMMYFUNCTION("""COMPUTED_VALUE"""),"affinity")</f>
        <v>affinity</v>
      </c>
      <c r="I1895" s="6"/>
      <c r="M1895" s="6"/>
      <c r="P1895" s="6"/>
      <c r="Q1895" s="6" t="str">
        <f>IFERROR(__xludf.DUMMYFUNCTION("""COMPUTED_VALUE"""),"permitting")</f>
        <v>permitting</v>
      </c>
    </row>
    <row r="1896">
      <c r="D1896" s="6"/>
      <c r="H1896" s="6" t="str">
        <f>IFERROR(__xludf.DUMMYFUNCTION("""COMPUTED_VALUE"""),"marching")</f>
        <v>marching</v>
      </c>
      <c r="I1896" s="6"/>
      <c r="M1896" s="6"/>
      <c r="P1896" s="6"/>
      <c r="Q1896" s="6" t="str">
        <f>IFERROR(__xludf.DUMMYFUNCTION("""COMPUTED_VALUE"""),"stopped")</f>
        <v>stopped</v>
      </c>
    </row>
    <row r="1897">
      <c r="D1897" s="6"/>
      <c r="H1897" s="6" t="str">
        <f>IFERROR(__xludf.DUMMYFUNCTION("""COMPUTED_VALUE"""),"percussion")</f>
        <v>percussion</v>
      </c>
      <c r="I1897" s="6"/>
      <c r="M1897" s="6"/>
      <c r="P1897" s="6"/>
      <c r="Q1897" s="6" t="str">
        <f>IFERROR(__xludf.DUMMYFUNCTION("""COMPUTED_VALUE"""),"omitted")</f>
        <v>omitted</v>
      </c>
    </row>
    <row r="1898">
      <c r="D1898" s="6"/>
      <c r="H1898" s="6" t="str">
        <f>IFERROR(__xludf.DUMMYFUNCTION("""COMPUTED_VALUE"""),"ninth")</f>
        <v>ninth</v>
      </c>
      <c r="I1898" s="6"/>
      <c r="M1898" s="6"/>
      <c r="P1898" s="6"/>
      <c r="Q1898" s="6" t="str">
        <f>IFERROR(__xludf.DUMMYFUNCTION("""COMPUTED_VALUE"""),"splitting")</f>
        <v>splitting</v>
      </c>
    </row>
    <row r="1899">
      <c r="D1899" s="6"/>
      <c r="H1899" s="6" t="str">
        <f>IFERROR(__xludf.DUMMYFUNCTION("""COMPUTED_VALUE"""),"develops")</f>
        <v>develops</v>
      </c>
      <c r="I1899" s="6"/>
      <c r="M1899" s="6"/>
      <c r="P1899" s="6"/>
      <c r="Q1899" s="6" t="str">
        <f>IFERROR(__xludf.DUMMYFUNCTION("""COMPUTED_VALUE"""),"isabelle")</f>
        <v>isabelle</v>
      </c>
    </row>
    <row r="1900">
      <c r="D1900" s="6"/>
      <c r="H1900" s="6" t="str">
        <f>IFERROR(__xludf.DUMMYFUNCTION("""COMPUTED_VALUE"""),"ballot")</f>
        <v>ballot</v>
      </c>
      <c r="I1900" s="6"/>
      <c r="M1900" s="6"/>
      <c r="P1900" s="6"/>
      <c r="Q1900" s="6" t="str">
        <f>IFERROR(__xludf.DUMMYFUNCTION("""COMPUTED_VALUE"""),"unnoticed")</f>
        <v>unnoticed</v>
      </c>
    </row>
    <row r="1901">
      <c r="D1901" s="6"/>
      <c r="H1901" s="6" t="str">
        <f>IFERROR(__xludf.DUMMYFUNCTION("""COMPUTED_VALUE"""),"cheered")</f>
        <v>cheered</v>
      </c>
      <c r="I1901" s="6"/>
      <c r="M1901" s="6"/>
      <c r="P1901" s="6"/>
      <c r="Q1901" s="6" t="str">
        <f>IFERROR(__xludf.DUMMYFUNCTION("""COMPUTED_VALUE"""),"unconventional")</f>
        <v>unconventional</v>
      </c>
    </row>
    <row r="1902">
      <c r="D1902" s="6"/>
      <c r="H1902" s="6" t="str">
        <f>IFERROR(__xludf.DUMMYFUNCTION("""COMPUTED_VALUE"""),"integrating")</f>
        <v>integrating</v>
      </c>
      <c r="I1902" s="6"/>
      <c r="M1902" s="6"/>
      <c r="P1902" s="6"/>
      <c r="Q1902" s="6" t="str">
        <f>IFERROR(__xludf.DUMMYFUNCTION("""COMPUTED_VALUE"""),"turbulent")</f>
        <v>turbulent</v>
      </c>
    </row>
    <row r="1903">
      <c r="D1903" s="6"/>
      <c r="H1903" s="6" t="str">
        <f>IFERROR(__xludf.DUMMYFUNCTION("""COMPUTED_VALUE"""),"nouvelle")</f>
        <v>nouvelle</v>
      </c>
      <c r="I1903" s="6"/>
      <c r="M1903" s="6"/>
      <c r="P1903" s="6"/>
      <c r="Q1903" s="6" t="str">
        <f>IFERROR(__xludf.DUMMYFUNCTION("""COMPUTED_VALUE"""),"egypt")</f>
        <v>egypt</v>
      </c>
    </row>
    <row r="1904">
      <c r="D1904" s="6"/>
      <c r="H1904" s="6" t="str">
        <f>IFERROR(__xludf.DUMMYFUNCTION("""COMPUTED_VALUE"""),"bluff")</f>
        <v>bluff</v>
      </c>
      <c r="I1904" s="6"/>
      <c r="M1904" s="6"/>
      <c r="P1904" s="6"/>
      <c r="Q1904" s="6" t="str">
        <f>IFERROR(__xludf.DUMMYFUNCTION("""COMPUTED_VALUE"""),"homicide")</f>
        <v>homicide</v>
      </c>
    </row>
    <row r="1905">
      <c r="D1905" s="6"/>
      <c r="H1905" s="6" t="str">
        <f>IFERROR(__xludf.DUMMYFUNCTION("""COMPUTED_VALUE"""),"wreckage")</f>
        <v>wreckage</v>
      </c>
      <c r="I1905" s="6"/>
      <c r="M1905" s="6"/>
      <c r="P1905" s="6"/>
      <c r="Q1905" s="6" t="str">
        <f>IFERROR(__xludf.DUMMYFUNCTION("""COMPUTED_VALUE"""),"cinderella")</f>
        <v>cinderella</v>
      </c>
    </row>
    <row r="1906">
      <c r="D1906" s="6"/>
      <c r="H1906" s="6" t="str">
        <f>IFERROR(__xludf.DUMMYFUNCTION("""COMPUTED_VALUE"""),"interrogation")</f>
        <v>interrogation</v>
      </c>
      <c r="I1906" s="6"/>
      <c r="M1906" s="6"/>
      <c r="P1906" s="6"/>
      <c r="Q1906" s="6" t="str">
        <f>IFERROR(__xludf.DUMMYFUNCTION("""COMPUTED_VALUE"""),"pants")</f>
        <v>pants</v>
      </c>
    </row>
    <row r="1907">
      <c r="D1907" s="6"/>
      <c r="H1907" s="6" t="str">
        <f>IFERROR(__xludf.DUMMYFUNCTION("""COMPUTED_VALUE"""),"huskies")</f>
        <v>huskies</v>
      </c>
      <c r="I1907" s="6"/>
      <c r="M1907" s="6"/>
      <c r="P1907" s="6"/>
      <c r="Q1907" s="6" t="str">
        <f>IFERROR(__xludf.DUMMYFUNCTION("""COMPUTED_VALUE"""),"harrison")</f>
        <v>harrison</v>
      </c>
    </row>
    <row r="1908">
      <c r="D1908" s="6"/>
      <c r="H1908" s="6" t="str">
        <f>IFERROR(__xludf.DUMMYFUNCTION("""COMPUTED_VALUE"""),"discarded")</f>
        <v>discarded</v>
      </c>
      <c r="I1908" s="6"/>
      <c r="M1908" s="6"/>
      <c r="P1908" s="6"/>
      <c r="Q1908" s="6" t="str">
        <f>IFERROR(__xludf.DUMMYFUNCTION("""COMPUTED_VALUE"""),"banquet")</f>
        <v>banquet</v>
      </c>
    </row>
    <row r="1909">
      <c r="D1909" s="6"/>
      <c r="H1909" s="6" t="str">
        <f>IFERROR(__xludf.DUMMYFUNCTION("""COMPUTED_VALUE"""),"humming")</f>
        <v>humming</v>
      </c>
      <c r="I1909" s="6"/>
      <c r="M1909" s="6"/>
      <c r="P1909" s="6"/>
      <c r="Q1909" s="6" t="str">
        <f>IFERROR(__xludf.DUMMYFUNCTION("""COMPUTED_VALUE"""),"evolve")</f>
        <v>evolve</v>
      </c>
    </row>
    <row r="1910">
      <c r="D1910" s="6"/>
      <c r="H1910" s="6" t="str">
        <f>IFERROR(__xludf.DUMMYFUNCTION("""COMPUTED_VALUE"""),"ticking")</f>
        <v>ticking</v>
      </c>
      <c r="I1910" s="6"/>
      <c r="M1910" s="6"/>
      <c r="P1910" s="6"/>
      <c r="Q1910" s="6" t="str">
        <f>IFERROR(__xludf.DUMMYFUNCTION("""COMPUTED_VALUE"""),"jumps")</f>
        <v>jumps</v>
      </c>
    </row>
    <row r="1911">
      <c r="D1911" s="6"/>
      <c r="H1911" s="6" t="str">
        <f>IFERROR(__xludf.DUMMYFUNCTION("""COMPUTED_VALUE"""),"millennium")</f>
        <v>millennium</v>
      </c>
      <c r="I1911" s="6"/>
      <c r="M1911" s="6"/>
      <c r="P1911" s="6"/>
      <c r="Q1911" s="6" t="str">
        <f>IFERROR(__xludf.DUMMYFUNCTION("""COMPUTED_VALUE"""),"engages")</f>
        <v>engages</v>
      </c>
    </row>
    <row r="1912">
      <c r="D1912" s="6"/>
      <c r="H1912" s="6" t="str">
        <f>IFERROR(__xludf.DUMMYFUNCTION("""COMPUTED_VALUE"""),"overview")</f>
        <v>overview</v>
      </c>
      <c r="I1912" s="6"/>
      <c r="M1912" s="6"/>
      <c r="P1912" s="6"/>
      <c r="Q1912" s="6" t="str">
        <f>IFERROR(__xludf.DUMMYFUNCTION("""COMPUTED_VALUE"""),"walt")</f>
        <v>walt</v>
      </c>
    </row>
    <row r="1913">
      <c r="D1913" s="6"/>
      <c r="H1913" s="6" t="str">
        <f>IFERROR(__xludf.DUMMYFUNCTION("""COMPUTED_VALUE"""),"motionless")</f>
        <v>motionless</v>
      </c>
      <c r="I1913" s="6"/>
      <c r="M1913" s="6"/>
      <c r="P1913" s="6"/>
      <c r="Q1913" s="6" t="str">
        <f>IFERROR(__xludf.DUMMYFUNCTION("""COMPUTED_VALUE"""),"willie")</f>
        <v>willie</v>
      </c>
    </row>
    <row r="1914">
      <c r="D1914" s="6"/>
      <c r="H1914" s="6" t="str">
        <f>IFERROR(__xludf.DUMMYFUNCTION("""COMPUTED_VALUE"""),"prisoners")</f>
        <v>prisoners</v>
      </c>
      <c r="I1914" s="6"/>
      <c r="M1914" s="6"/>
      <c r="P1914" s="6"/>
      <c r="Q1914" s="6" t="str">
        <f>IFERROR(__xludf.DUMMYFUNCTION("""COMPUTED_VALUE"""),"deepest")</f>
        <v>deepest</v>
      </c>
    </row>
    <row r="1915">
      <c r="D1915" s="6"/>
      <c r="H1915" s="6" t="str">
        <f>IFERROR(__xludf.DUMMYFUNCTION("""COMPUTED_VALUE"""),"prolific")</f>
        <v>prolific</v>
      </c>
      <c r="I1915" s="6"/>
      <c r="M1915" s="6"/>
      <c r="P1915" s="6"/>
      <c r="Q1915" s="6" t="str">
        <f>IFERROR(__xludf.DUMMYFUNCTION("""COMPUTED_VALUE"""),"overlapping")</f>
        <v>overlapping</v>
      </c>
    </row>
    <row r="1916">
      <c r="D1916" s="6"/>
      <c r="H1916" s="6" t="str">
        <f>IFERROR(__xludf.DUMMYFUNCTION("""COMPUTED_VALUE"""),"spins")</f>
        <v>spins</v>
      </c>
      <c r="I1916" s="6"/>
      <c r="M1916" s="6"/>
      <c r="P1916" s="6"/>
      <c r="Q1916" s="6" t="str">
        <f>IFERROR(__xludf.DUMMYFUNCTION("""COMPUTED_VALUE"""),"collateral")</f>
        <v>collateral</v>
      </c>
    </row>
    <row r="1917">
      <c r="D1917" s="6"/>
      <c r="H1917" s="6" t="str">
        <f>IFERROR(__xludf.DUMMYFUNCTION("""COMPUTED_VALUE"""),"lunar")</f>
        <v>lunar</v>
      </c>
      <c r="I1917" s="6"/>
      <c r="M1917" s="6"/>
      <c r="P1917" s="6"/>
      <c r="Q1917" s="6" t="str">
        <f>IFERROR(__xludf.DUMMYFUNCTION("""COMPUTED_VALUE"""),"paranormal")</f>
        <v>paranormal</v>
      </c>
    </row>
    <row r="1918">
      <c r="D1918" s="6"/>
      <c r="H1918" s="6" t="str">
        <f>IFERROR(__xludf.DUMMYFUNCTION("""COMPUTED_VALUE"""),"emergence")</f>
        <v>emergence</v>
      </c>
      <c r="I1918" s="6"/>
      <c r="M1918" s="6"/>
      <c r="P1918" s="6"/>
      <c r="Q1918" s="6" t="str">
        <f>IFERROR(__xludf.DUMMYFUNCTION("""COMPUTED_VALUE"""),"specific")</f>
        <v>specific</v>
      </c>
    </row>
    <row r="1919">
      <c r="D1919" s="6"/>
      <c r="H1919" s="6">
        <f>IFERROR(__xludf.DUMMYFUNCTION("""COMPUTED_VALUE"""),1975.0)</f>
        <v>1975</v>
      </c>
      <c r="I1919" s="6"/>
      <c r="M1919" s="6"/>
      <c r="P1919" s="6"/>
      <c r="Q1919" s="6" t="str">
        <f>IFERROR(__xludf.DUMMYFUNCTION("""COMPUTED_VALUE"""),"stills")</f>
        <v>stills</v>
      </c>
    </row>
    <row r="1920">
      <c r="D1920" s="6"/>
      <c r="H1920" s="6" t="str">
        <f>IFERROR(__xludf.DUMMYFUNCTION("""COMPUTED_VALUE"""),"derek")</f>
        <v>derek</v>
      </c>
      <c r="I1920" s="6"/>
      <c r="M1920" s="6"/>
      <c r="P1920" s="6"/>
      <c r="Q1920" s="6" t="str">
        <f>IFERROR(__xludf.DUMMYFUNCTION("""COMPUTED_VALUE"""),"grasp")</f>
        <v>grasp</v>
      </c>
    </row>
    <row r="1921">
      <c r="D1921" s="6"/>
      <c r="H1921" s="6" t="str">
        <f>IFERROR(__xludf.DUMMYFUNCTION("""COMPUTED_VALUE"""),"sources")</f>
        <v>sources</v>
      </c>
      <c r="I1921" s="6"/>
      <c r="M1921" s="6"/>
      <c r="P1921" s="6"/>
      <c r="Q1921" s="6" t="str">
        <f>IFERROR(__xludf.DUMMYFUNCTION("""COMPUTED_VALUE"""),"rattling")</f>
        <v>rattling</v>
      </c>
    </row>
    <row r="1922">
      <c r="D1922" s="6"/>
      <c r="H1922" s="6" t="str">
        <f>IFERROR(__xludf.DUMMYFUNCTION("""COMPUTED_VALUE"""),"gifford")</f>
        <v>gifford</v>
      </c>
      <c r="I1922" s="6"/>
      <c r="M1922" s="6"/>
      <c r="P1922" s="6"/>
      <c r="Q1922" s="6" t="str">
        <f>IFERROR(__xludf.DUMMYFUNCTION("""COMPUTED_VALUE"""),"portions")</f>
        <v>portions</v>
      </c>
    </row>
    <row r="1923">
      <c r="D1923" s="6"/>
      <c r="H1923" s="6" t="str">
        <f>IFERROR(__xludf.DUMMYFUNCTION("""COMPUTED_VALUE"""),"disturbance")</f>
        <v>disturbance</v>
      </c>
      <c r="I1923" s="6"/>
      <c r="M1923" s="6"/>
      <c r="P1923" s="6"/>
      <c r="Q1923" s="6" t="str">
        <f>IFERROR(__xludf.DUMMYFUNCTION("""COMPUTED_VALUE"""),"insignificant")</f>
        <v>insignificant</v>
      </c>
    </row>
    <row r="1924">
      <c r="D1924" s="6"/>
      <c r="H1924" s="6" t="str">
        <f>IFERROR(__xludf.DUMMYFUNCTION("""COMPUTED_VALUE"""),"plausible")</f>
        <v>plausible</v>
      </c>
      <c r="I1924" s="6"/>
      <c r="M1924" s="6"/>
      <c r="P1924" s="6"/>
      <c r="Q1924" s="6" t="str">
        <f>IFERROR(__xludf.DUMMYFUNCTION("""COMPUTED_VALUE"""),"examines")</f>
        <v>examines</v>
      </c>
    </row>
    <row r="1925">
      <c r="D1925" s="6"/>
      <c r="H1925" s="6" t="str">
        <f>IFERROR(__xludf.DUMMYFUNCTION("""COMPUTED_VALUE"""),"skeleton")</f>
        <v>skeleton</v>
      </c>
      <c r="I1925" s="6"/>
      <c r="M1925" s="6"/>
      <c r="P1925" s="6"/>
      <c r="Q1925" s="6" t="str">
        <f>IFERROR(__xludf.DUMMYFUNCTION("""COMPUTED_VALUE"""),"band")</f>
        <v>band</v>
      </c>
    </row>
    <row r="1926">
      <c r="D1926" s="6"/>
      <c r="H1926" s="6" t="str">
        <f>IFERROR(__xludf.DUMMYFUNCTION("""COMPUTED_VALUE"""),"bender")</f>
        <v>bender</v>
      </c>
      <c r="I1926" s="6"/>
      <c r="M1926" s="6"/>
      <c r="P1926" s="6"/>
      <c r="Q1926" s="6" t="str">
        <f>IFERROR(__xludf.DUMMYFUNCTION("""COMPUTED_VALUE"""),"explores")</f>
        <v>explores</v>
      </c>
    </row>
    <row r="1927">
      <c r="D1927" s="6"/>
      <c r="H1927" s="6" t="str">
        <f>IFERROR(__xludf.DUMMYFUNCTION("""COMPUTED_VALUE"""),"precedent")</f>
        <v>precedent</v>
      </c>
      <c r="I1927" s="6"/>
      <c r="M1927" s="6"/>
      <c r="P1927" s="6"/>
      <c r="Q1927" s="6" t="str">
        <f>IFERROR(__xludf.DUMMYFUNCTION("""COMPUTED_VALUE"""),"horse")</f>
        <v>horse</v>
      </c>
    </row>
    <row r="1928">
      <c r="D1928" s="6"/>
      <c r="H1928" s="6" t="str">
        <f>IFERROR(__xludf.DUMMYFUNCTION("""COMPUTED_VALUE"""),"catastrophic")</f>
        <v>catastrophic</v>
      </c>
      <c r="I1928" s="6"/>
      <c r="M1928" s="6"/>
      <c r="P1928" s="6"/>
      <c r="Q1928" s="6" t="str">
        <f>IFERROR(__xludf.DUMMYFUNCTION("""COMPUTED_VALUE"""),"exploit")</f>
        <v>exploit</v>
      </c>
    </row>
    <row r="1929">
      <c r="D1929" s="6"/>
      <c r="H1929" s="6" t="str">
        <f>IFERROR(__xludf.DUMMYFUNCTION("""COMPUTED_VALUE"""),"pact")</f>
        <v>pact</v>
      </c>
      <c r="I1929" s="6"/>
      <c r="M1929" s="6"/>
      <c r="P1929" s="6"/>
      <c r="Q1929" s="6" t="str">
        <f>IFERROR(__xludf.DUMMYFUNCTION("""COMPUTED_VALUE"""),"instincts")</f>
        <v>instincts</v>
      </c>
    </row>
    <row r="1930">
      <c r="D1930" s="6"/>
      <c r="H1930" s="6" t="str">
        <f>IFERROR(__xludf.DUMMYFUNCTION("""COMPUTED_VALUE"""),"grave")</f>
        <v>grave</v>
      </c>
      <c r="I1930" s="6"/>
      <c r="M1930" s="6"/>
      <c r="P1930" s="6"/>
      <c r="Q1930" s="6" t="str">
        <f>IFERROR(__xludf.DUMMYFUNCTION("""COMPUTED_VALUE"""),"malcolm")</f>
        <v>malcolm</v>
      </c>
    </row>
    <row r="1931">
      <c r="D1931" s="6"/>
      <c r="H1931" s="6" t="str">
        <f>IFERROR(__xludf.DUMMYFUNCTION("""COMPUTED_VALUE"""),"crushing")</f>
        <v>crushing</v>
      </c>
      <c r="I1931" s="6"/>
      <c r="M1931" s="6"/>
      <c r="P1931" s="6"/>
      <c r="Q1931" s="6" t="str">
        <f>IFERROR(__xludf.DUMMYFUNCTION("""COMPUTED_VALUE"""),"ridley")</f>
        <v>ridley</v>
      </c>
    </row>
    <row r="1932">
      <c r="D1932" s="6"/>
      <c r="H1932" s="6" t="str">
        <f>IFERROR(__xludf.DUMMYFUNCTION("""COMPUTED_VALUE"""),"fragment")</f>
        <v>fragment</v>
      </c>
      <c r="I1932" s="6"/>
      <c r="M1932" s="6"/>
      <c r="P1932" s="6"/>
      <c r="Q1932" s="6" t="str">
        <f>IFERROR(__xludf.DUMMYFUNCTION("""COMPUTED_VALUE"""),"roman")</f>
        <v>roman</v>
      </c>
    </row>
    <row r="1933">
      <c r="D1933" s="6"/>
      <c r="H1933" s="6" t="str">
        <f>IFERROR(__xludf.DUMMYFUNCTION("""COMPUTED_VALUE"""),"pornographic")</f>
        <v>pornographic</v>
      </c>
      <c r="I1933" s="6"/>
      <c r="M1933" s="6"/>
      <c r="P1933" s="6"/>
      <c r="Q1933" s="6" t="str">
        <f>IFERROR(__xludf.DUMMYFUNCTION("""COMPUTED_VALUE"""),"ideology")</f>
        <v>ideology</v>
      </c>
    </row>
    <row r="1934">
      <c r="D1934" s="6"/>
      <c r="H1934" s="6" t="str">
        <f>IFERROR(__xludf.DUMMYFUNCTION("""COMPUTED_VALUE"""),"frontal")</f>
        <v>frontal</v>
      </c>
      <c r="I1934" s="6"/>
      <c r="M1934" s="6"/>
      <c r="P1934" s="6"/>
      <c r="Q1934" s="6" t="str">
        <f>IFERROR(__xludf.DUMMYFUNCTION("""COMPUTED_VALUE"""),"holocaust")</f>
        <v>holocaust</v>
      </c>
    </row>
    <row r="1935">
      <c r="D1935" s="6"/>
      <c r="H1935" s="6" t="str">
        <f>IFERROR(__xludf.DUMMYFUNCTION("""COMPUTED_VALUE"""),"fused")</f>
        <v>fused</v>
      </c>
      <c r="I1935" s="6"/>
      <c r="M1935" s="6"/>
      <c r="P1935" s="6"/>
      <c r="Q1935" s="6" t="str">
        <f>IFERROR(__xludf.DUMMYFUNCTION("""COMPUTED_VALUE"""),"streamed")</f>
        <v>streamed</v>
      </c>
    </row>
    <row r="1936">
      <c r="D1936" s="6"/>
      <c r="H1936" s="6" t="str">
        <f>IFERROR(__xludf.DUMMYFUNCTION("""COMPUTED_VALUE"""),"playfully")</f>
        <v>playfully</v>
      </c>
      <c r="I1936" s="6"/>
      <c r="M1936" s="6"/>
      <c r="P1936" s="6"/>
      <c r="Q1936" s="6" t="str">
        <f>IFERROR(__xludf.DUMMYFUNCTION("""COMPUTED_VALUE"""),"iran")</f>
        <v>iran</v>
      </c>
    </row>
    <row r="1937">
      <c r="D1937" s="6"/>
      <c r="H1937" s="6" t="str">
        <f>IFERROR(__xludf.DUMMYFUNCTION("""COMPUTED_VALUE"""),"losses")</f>
        <v>losses</v>
      </c>
      <c r="I1937" s="6"/>
      <c r="M1937" s="6"/>
      <c r="P1937" s="6"/>
      <c r="Q1937" s="6" t="str">
        <f>IFERROR(__xludf.DUMMYFUNCTION("""COMPUTED_VALUE"""),"facades")</f>
        <v>facades</v>
      </c>
    </row>
    <row r="1938">
      <c r="D1938" s="6"/>
      <c r="H1938" s="6" t="str">
        <f>IFERROR(__xludf.DUMMYFUNCTION("""COMPUTED_VALUE"""),"broader")</f>
        <v>broader</v>
      </c>
      <c r="I1938" s="6"/>
      <c r="M1938" s="6"/>
      <c r="P1938" s="6"/>
      <c r="Q1938" s="6" t="str">
        <f>IFERROR(__xludf.DUMMYFUNCTION("""COMPUTED_VALUE"""),"anchors")</f>
        <v>anchors</v>
      </c>
    </row>
    <row r="1939">
      <c r="D1939" s="6"/>
      <c r="H1939" s="6" t="str">
        <f>IFERROR(__xludf.DUMMYFUNCTION("""COMPUTED_VALUE"""),"bestowed")</f>
        <v>bestowed</v>
      </c>
      <c r="I1939" s="6"/>
      <c r="M1939" s="6"/>
      <c r="P1939" s="6"/>
      <c r="Q1939" s="6" t="str">
        <f>IFERROR(__xludf.DUMMYFUNCTION("""COMPUTED_VALUE"""),"expects")</f>
        <v>expects</v>
      </c>
    </row>
    <row r="1940">
      <c r="D1940" s="6"/>
      <c r="H1940" s="6" t="str">
        <f>IFERROR(__xludf.DUMMYFUNCTION("""COMPUTED_VALUE"""),"waldo")</f>
        <v>waldo</v>
      </c>
      <c r="I1940" s="6"/>
      <c r="M1940" s="6"/>
      <c r="P1940" s="6"/>
      <c r="Q1940" s="6" t="str">
        <f>IFERROR(__xludf.DUMMYFUNCTION("""COMPUTED_VALUE"""),"gloom")</f>
        <v>gloom</v>
      </c>
    </row>
    <row r="1941">
      <c r="D1941" s="6"/>
      <c r="H1941" s="6" t="str">
        <f>IFERROR(__xludf.DUMMYFUNCTION("""COMPUTED_VALUE"""),"familiarity")</f>
        <v>familiarity</v>
      </c>
      <c r="I1941" s="6"/>
      <c r="M1941" s="6"/>
      <c r="P1941" s="6"/>
      <c r="Q1941" s="6" t="str">
        <f>IFERROR(__xludf.DUMMYFUNCTION("""COMPUTED_VALUE"""),"patting")</f>
        <v>patting</v>
      </c>
    </row>
    <row r="1942">
      <c r="D1942" s="6"/>
      <c r="H1942" s="6" t="str">
        <f>IFERROR(__xludf.DUMMYFUNCTION("""COMPUTED_VALUE"""),"carmichael")</f>
        <v>carmichael</v>
      </c>
      <c r="I1942" s="6"/>
      <c r="M1942" s="6"/>
      <c r="P1942" s="6"/>
      <c r="Q1942" s="6" t="str">
        <f>IFERROR(__xludf.DUMMYFUNCTION("""COMPUTED_VALUE"""),"throbbing")</f>
        <v>throbbing</v>
      </c>
    </row>
    <row r="1943">
      <c r="D1943" s="6"/>
      <c r="H1943" s="6" t="str">
        <f>IFERROR(__xludf.DUMMYFUNCTION("""COMPUTED_VALUE"""),"victorious")</f>
        <v>victorious</v>
      </c>
      <c r="I1943" s="6"/>
      <c r="M1943" s="6"/>
      <c r="P1943" s="6"/>
      <c r="Q1943" s="6" t="str">
        <f>IFERROR(__xludf.DUMMYFUNCTION("""COMPUTED_VALUE"""),"myth")</f>
        <v>myth</v>
      </c>
    </row>
    <row r="1944">
      <c r="D1944" s="6"/>
      <c r="H1944" s="6" t="str">
        <f>IFERROR(__xludf.DUMMYFUNCTION("""COMPUTED_VALUE"""),"revolutionaries")</f>
        <v>revolutionaries</v>
      </c>
      <c r="I1944" s="6"/>
      <c r="M1944" s="6"/>
      <c r="P1944" s="6"/>
      <c r="Q1944" s="6" t="str">
        <f>IFERROR(__xludf.DUMMYFUNCTION("""COMPUTED_VALUE"""),"heroic")</f>
        <v>heroic</v>
      </c>
    </row>
    <row r="1945">
      <c r="D1945" s="6"/>
      <c r="H1945" s="6" t="str">
        <f>IFERROR(__xludf.DUMMYFUNCTION("""COMPUTED_VALUE"""),"exiled")</f>
        <v>exiled</v>
      </c>
      <c r="I1945" s="6"/>
      <c r="M1945" s="6"/>
      <c r="P1945" s="6"/>
      <c r="Q1945" s="6" t="str">
        <f>IFERROR(__xludf.DUMMYFUNCTION("""COMPUTED_VALUE"""),"hicks")</f>
        <v>hicks</v>
      </c>
    </row>
    <row r="1946">
      <c r="D1946" s="6"/>
      <c r="H1946" s="6" t="str">
        <f>IFERROR(__xludf.DUMMYFUNCTION("""COMPUTED_VALUE"""),"aristocracy")</f>
        <v>aristocracy</v>
      </c>
      <c r="I1946" s="6"/>
      <c r="M1946" s="6"/>
      <c r="P1946" s="6"/>
      <c r="Q1946" s="6" t="str">
        <f>IFERROR(__xludf.DUMMYFUNCTION("""COMPUTED_VALUE"""),"sprung")</f>
        <v>sprung</v>
      </c>
    </row>
    <row r="1947">
      <c r="D1947" s="6"/>
      <c r="H1947" s="6" t="str">
        <f>IFERROR(__xludf.DUMMYFUNCTION("""COMPUTED_VALUE"""),"hounds")</f>
        <v>hounds</v>
      </c>
      <c r="I1947" s="6"/>
      <c r="M1947" s="6"/>
      <c r="P1947" s="6"/>
      <c r="Q1947" s="6" t="str">
        <f>IFERROR(__xludf.DUMMYFUNCTION("""COMPUTED_VALUE"""),"california")</f>
        <v>california</v>
      </c>
    </row>
    <row r="1948">
      <c r="D1948" s="6"/>
      <c r="H1948" s="6" t="str">
        <f>IFERROR(__xludf.DUMMYFUNCTION("""COMPUTED_VALUE"""),"iranian")</f>
        <v>iranian</v>
      </c>
      <c r="I1948" s="6"/>
      <c r="M1948" s="6"/>
      <c r="P1948" s="6"/>
      <c r="Q1948" s="6" t="str">
        <f>IFERROR(__xludf.DUMMYFUNCTION("""COMPUTED_VALUE"""),"expressions")</f>
        <v>expressions</v>
      </c>
    </row>
    <row r="1949">
      <c r="D1949" s="6"/>
      <c r="H1949" s="6" t="str">
        <f>IFERROR(__xludf.DUMMYFUNCTION("""COMPUTED_VALUE"""),"fledgling")</f>
        <v>fledgling</v>
      </c>
      <c r="I1949" s="6"/>
      <c r="M1949" s="6"/>
      <c r="P1949" s="6"/>
      <c r="Q1949" s="6" t="str">
        <f>IFERROR(__xludf.DUMMYFUNCTION("""COMPUTED_VALUE"""),"chord")</f>
        <v>chord</v>
      </c>
    </row>
    <row r="1950">
      <c r="D1950" s="6"/>
      <c r="H1950" s="6" t="str">
        <f>IFERROR(__xludf.DUMMYFUNCTION("""COMPUTED_VALUE"""),"presiding")</f>
        <v>presiding</v>
      </c>
      <c r="I1950" s="6"/>
      <c r="M1950" s="6"/>
      <c r="P1950" s="6"/>
      <c r="Q1950" s="6" t="str">
        <f>IFERROR(__xludf.DUMMYFUNCTION("""COMPUTED_VALUE"""),"chronicle")</f>
        <v>chronicle</v>
      </c>
    </row>
    <row r="1951">
      <c r="D1951" s="6"/>
      <c r="H1951" s="6" t="str">
        <f>IFERROR(__xludf.DUMMYFUNCTION("""COMPUTED_VALUE"""),"macbeth")</f>
        <v>macbeth</v>
      </c>
      <c r="I1951" s="6"/>
      <c r="M1951" s="6"/>
      <c r="P1951" s="6"/>
      <c r="Q1951" s="6" t="str">
        <f>IFERROR(__xludf.DUMMYFUNCTION("""COMPUTED_VALUE"""),"vaudeville")</f>
        <v>vaudeville</v>
      </c>
    </row>
    <row r="1952">
      <c r="D1952" s="6"/>
      <c r="H1952" s="6" t="str">
        <f>IFERROR(__xludf.DUMMYFUNCTION("""COMPUTED_VALUE"""),"influential")</f>
        <v>influential</v>
      </c>
      <c r="I1952" s="6"/>
      <c r="M1952" s="6"/>
      <c r="P1952" s="6"/>
      <c r="Q1952" s="6" t="str">
        <f>IFERROR(__xludf.DUMMYFUNCTION("""COMPUTED_VALUE"""),"flowering")</f>
        <v>flowering</v>
      </c>
    </row>
    <row r="1953">
      <c r="D1953" s="6"/>
      <c r="H1953" s="6" t="str">
        <f>IFERROR(__xludf.DUMMYFUNCTION("""COMPUTED_VALUE"""),"goldberg")</f>
        <v>goldberg</v>
      </c>
      <c r="I1953" s="6"/>
      <c r="M1953" s="6"/>
      <c r="P1953" s="6"/>
      <c r="Q1953" s="6" t="str">
        <f>IFERROR(__xludf.DUMMYFUNCTION("""COMPUTED_VALUE"""),"testosterone")</f>
        <v>testosterone</v>
      </c>
    </row>
    <row r="1954">
      <c r="D1954" s="6"/>
      <c r="H1954" s="6" t="str">
        <f>IFERROR(__xludf.DUMMYFUNCTION("""COMPUTED_VALUE"""),"elm")</f>
        <v>elm</v>
      </c>
      <c r="I1954" s="6"/>
      <c r="M1954" s="6"/>
      <c r="P1954" s="6"/>
      <c r="Q1954" s="6" t="str">
        <f>IFERROR(__xludf.DUMMYFUNCTION("""COMPUTED_VALUE"""),"serials")</f>
        <v>serials</v>
      </c>
    </row>
    <row r="1955">
      <c r="D1955" s="6"/>
      <c r="H1955" s="6" t="str">
        <f>IFERROR(__xludf.DUMMYFUNCTION("""COMPUTED_VALUE"""),"guilt")</f>
        <v>guilt</v>
      </c>
      <c r="I1955" s="6"/>
      <c r="M1955" s="6"/>
      <c r="P1955" s="6"/>
      <c r="Q1955" s="6" t="str">
        <f>IFERROR(__xludf.DUMMYFUNCTION("""COMPUTED_VALUE"""),"jolted")</f>
        <v>jolted</v>
      </c>
    </row>
    <row r="1956">
      <c r="D1956" s="6"/>
      <c r="H1956" s="6" t="str">
        <f>IFERROR(__xludf.DUMMYFUNCTION("""COMPUTED_VALUE"""),"conflicts")</f>
        <v>conflicts</v>
      </c>
      <c r="I1956" s="6"/>
      <c r="M1956" s="6"/>
      <c r="P1956" s="6"/>
      <c r="Q1956" s="6" t="str">
        <f>IFERROR(__xludf.DUMMYFUNCTION("""COMPUTED_VALUE"""),"cousin")</f>
        <v>cousin</v>
      </c>
    </row>
    <row r="1957">
      <c r="D1957" s="6"/>
      <c r="H1957" s="6" t="str">
        <f>IFERROR(__xludf.DUMMYFUNCTION("""COMPUTED_VALUE"""),"uniquely")</f>
        <v>uniquely</v>
      </c>
      <c r="I1957" s="6"/>
      <c r="M1957" s="6"/>
      <c r="P1957" s="6"/>
      <c r="Q1957" s="6" t="str">
        <f>IFERROR(__xludf.DUMMYFUNCTION("""COMPUTED_VALUE"""),"slender")</f>
        <v>slender</v>
      </c>
    </row>
    <row r="1958">
      <c r="D1958" s="6"/>
      <c r="H1958" s="6" t="str">
        <f>IFERROR(__xludf.DUMMYFUNCTION("""COMPUTED_VALUE"""),"pinnacle")</f>
        <v>pinnacle</v>
      </c>
      <c r="I1958" s="6"/>
      <c r="M1958" s="6"/>
      <c r="P1958" s="6"/>
      <c r="Q1958" s="6" t="str">
        <f>IFERROR(__xludf.DUMMYFUNCTION("""COMPUTED_VALUE"""),"kaufman")</f>
        <v>kaufman</v>
      </c>
    </row>
    <row r="1959">
      <c r="D1959" s="6"/>
      <c r="H1959" s="6" t="str">
        <f>IFERROR(__xludf.DUMMYFUNCTION("""COMPUTED_VALUE"""),"probation")</f>
        <v>probation</v>
      </c>
      <c r="I1959" s="6"/>
      <c r="M1959" s="6"/>
      <c r="P1959" s="6"/>
      <c r="Q1959" s="6" t="str">
        <f>IFERROR(__xludf.DUMMYFUNCTION("""COMPUTED_VALUE"""),"masculine")</f>
        <v>masculine</v>
      </c>
    </row>
    <row r="1960">
      <c r="D1960" s="6"/>
      <c r="H1960" s="6" t="str">
        <f>IFERROR(__xludf.DUMMYFUNCTION("""COMPUTED_VALUE"""),"yields")</f>
        <v>yields</v>
      </c>
      <c r="I1960" s="6"/>
      <c r="M1960" s="6"/>
      <c r="P1960" s="6"/>
      <c r="Q1960" s="6" t="str">
        <f>IFERROR(__xludf.DUMMYFUNCTION("""COMPUTED_VALUE"""),"humanist")</f>
        <v>humanist</v>
      </c>
    </row>
    <row r="1961">
      <c r="D1961" s="6"/>
      <c r="H1961" s="6" t="str">
        <f>IFERROR(__xludf.DUMMYFUNCTION("""COMPUTED_VALUE"""),"mankind")</f>
        <v>mankind</v>
      </c>
      <c r="I1961" s="6"/>
      <c r="M1961" s="6"/>
      <c r="P1961" s="6"/>
      <c r="Q1961" s="6" t="str">
        <f>IFERROR(__xludf.DUMMYFUNCTION("""COMPUTED_VALUE"""),"adaptations")</f>
        <v>adaptations</v>
      </c>
    </row>
    <row r="1962">
      <c r="D1962" s="6"/>
      <c r="H1962" s="6" t="str">
        <f>IFERROR(__xludf.DUMMYFUNCTION("""COMPUTED_VALUE"""),"wasp")</f>
        <v>wasp</v>
      </c>
      <c r="I1962" s="6"/>
      <c r="M1962" s="6"/>
      <c r="P1962" s="6"/>
      <c r="Q1962" s="6" t="str">
        <f>IFERROR(__xludf.DUMMYFUNCTION("""COMPUTED_VALUE"""),"satin")</f>
        <v>satin</v>
      </c>
    </row>
    <row r="1963">
      <c r="D1963" s="6"/>
      <c r="H1963" s="6" t="str">
        <f>IFERROR(__xludf.DUMMYFUNCTION("""COMPUTED_VALUE"""),"weber")</f>
        <v>weber</v>
      </c>
      <c r="I1963" s="6"/>
      <c r="M1963" s="6"/>
      <c r="P1963" s="6"/>
      <c r="Q1963" s="6" t="str">
        <f>IFERROR(__xludf.DUMMYFUNCTION("""COMPUTED_VALUE"""),"rouge")</f>
        <v>rouge</v>
      </c>
    </row>
    <row r="1964">
      <c r="D1964" s="6"/>
      <c r="H1964" s="6" t="str">
        <f>IFERROR(__xludf.DUMMYFUNCTION("""COMPUTED_VALUE"""),"stud")</f>
        <v>stud</v>
      </c>
      <c r="I1964" s="6"/>
      <c r="M1964" s="6"/>
      <c r="P1964" s="6"/>
      <c r="Q1964" s="6" t="str">
        <f>IFERROR(__xludf.DUMMYFUNCTION("""COMPUTED_VALUE"""),"ripe")</f>
        <v>ripe</v>
      </c>
    </row>
    <row r="1965">
      <c r="D1965" s="6"/>
      <c r="H1965" s="6" t="str">
        <f>IFERROR(__xludf.DUMMYFUNCTION("""COMPUTED_VALUE"""),"terrorism")</f>
        <v>terrorism</v>
      </c>
      <c r="I1965" s="6"/>
      <c r="M1965" s="6"/>
      <c r="P1965" s="6"/>
      <c r="Q1965" s="6" t="str">
        <f>IFERROR(__xludf.DUMMYFUNCTION("""COMPUTED_VALUE"""),"integrated")</f>
        <v>integrated</v>
      </c>
    </row>
    <row r="1966">
      <c r="D1966" s="6"/>
      <c r="H1966" s="6" t="str">
        <f>IFERROR(__xludf.DUMMYFUNCTION("""COMPUTED_VALUE"""),"sociology")</f>
        <v>sociology</v>
      </c>
      <c r="I1966" s="6"/>
      <c r="M1966" s="6"/>
      <c r="P1966" s="6"/>
      <c r="Q1966" s="6" t="str">
        <f>IFERROR(__xludf.DUMMYFUNCTION("""COMPUTED_VALUE"""),"speculative")</f>
        <v>speculative</v>
      </c>
    </row>
    <row r="1967">
      <c r="D1967" s="6"/>
      <c r="H1967" s="6" t="str">
        <f>IFERROR(__xludf.DUMMYFUNCTION("""COMPUTED_VALUE"""),"hazy")</f>
        <v>hazy</v>
      </c>
      <c r="I1967" s="6"/>
      <c r="M1967" s="6"/>
      <c r="P1967" s="6"/>
      <c r="Q1967" s="6" t="str">
        <f>IFERROR(__xludf.DUMMYFUNCTION("""COMPUTED_VALUE"""),"baird")</f>
        <v>baird</v>
      </c>
    </row>
    <row r="1968">
      <c r="D1968" s="6"/>
      <c r="H1968" s="6" t="str">
        <f>IFERROR(__xludf.DUMMYFUNCTION("""COMPUTED_VALUE"""),"attracting")</f>
        <v>attracting</v>
      </c>
      <c r="I1968" s="6"/>
      <c r="M1968" s="6"/>
      <c r="P1968" s="6"/>
      <c r="Q1968" s="6" t="str">
        <f>IFERROR(__xludf.DUMMYFUNCTION("""COMPUTED_VALUE"""),"store")</f>
        <v>store</v>
      </c>
    </row>
    <row r="1969">
      <c r="D1969" s="6"/>
      <c r="H1969" s="6" t="str">
        <f>IFERROR(__xludf.DUMMYFUNCTION("""COMPUTED_VALUE"""),"debts")</f>
        <v>debts</v>
      </c>
      <c r="I1969" s="6"/>
      <c r="M1969" s="6"/>
      <c r="P1969" s="6"/>
      <c r="Q1969" s="6" t="str">
        <f>IFERROR(__xludf.DUMMYFUNCTION("""COMPUTED_VALUE"""),"extant")</f>
        <v>extant</v>
      </c>
    </row>
    <row r="1970">
      <c r="D1970" s="6"/>
      <c r="H1970" s="6" t="str">
        <f>IFERROR(__xludf.DUMMYFUNCTION("""COMPUTED_VALUE"""),"destruction")</f>
        <v>destruction</v>
      </c>
      <c r="I1970" s="6"/>
      <c r="M1970" s="6"/>
      <c r="P1970" s="6"/>
      <c r="Q1970" s="6" t="str">
        <f>IFERROR(__xludf.DUMMYFUNCTION("""COMPUTED_VALUE"""),"characterized")</f>
        <v>characterized</v>
      </c>
    </row>
    <row r="1971">
      <c r="D1971" s="6"/>
      <c r="H1971" s="6" t="str">
        <f>IFERROR(__xludf.DUMMYFUNCTION("""COMPUTED_VALUE"""),"gracefully")</f>
        <v>gracefully</v>
      </c>
      <c r="I1971" s="6"/>
      <c r="M1971" s="6"/>
      <c r="P1971" s="6"/>
      <c r="Q1971" s="6" t="str">
        <f>IFERROR(__xludf.DUMMYFUNCTION("""COMPUTED_VALUE"""),"pre")</f>
        <v>pre</v>
      </c>
    </row>
    <row r="1972">
      <c r="D1972" s="6"/>
      <c r="H1972" s="6" t="str">
        <f>IFERROR(__xludf.DUMMYFUNCTION("""COMPUTED_VALUE"""),"moat")</f>
        <v>moat</v>
      </c>
      <c r="I1972" s="6"/>
      <c r="M1972" s="6"/>
      <c r="P1972" s="6"/>
      <c r="Q1972" s="6" t="str">
        <f>IFERROR(__xludf.DUMMYFUNCTION("""COMPUTED_VALUE"""),"bronze")</f>
        <v>bronze</v>
      </c>
    </row>
    <row r="1973">
      <c r="D1973" s="6"/>
      <c r="H1973" s="6" t="str">
        <f>IFERROR(__xludf.DUMMYFUNCTION("""COMPUTED_VALUE"""),"rooted")</f>
        <v>rooted</v>
      </c>
      <c r="I1973" s="6"/>
      <c r="M1973" s="6"/>
      <c r="P1973" s="6"/>
      <c r="Q1973" s="6" t="str">
        <f>IFERROR(__xludf.DUMMYFUNCTION("""COMPUTED_VALUE"""),"cardiac")</f>
        <v>cardiac</v>
      </c>
    </row>
    <row r="1974">
      <c r="D1974" s="6"/>
      <c r="H1974" s="6" t="str">
        <f>IFERROR(__xludf.DUMMYFUNCTION("""COMPUTED_VALUE"""),"bourgeois")</f>
        <v>bourgeois</v>
      </c>
      <c r="I1974" s="6"/>
      <c r="M1974" s="6"/>
      <c r="P1974" s="6"/>
      <c r="Q1974" s="6" t="str">
        <f>IFERROR(__xludf.DUMMYFUNCTION("""COMPUTED_VALUE"""),"marquis")</f>
        <v>marquis</v>
      </c>
    </row>
    <row r="1975">
      <c r="D1975" s="6"/>
      <c r="H1975" s="6" t="str">
        <f>IFERROR(__xludf.DUMMYFUNCTION("""COMPUTED_VALUE"""),"provincial")</f>
        <v>provincial</v>
      </c>
      <c r="I1975" s="6"/>
      <c r="M1975" s="6"/>
      <c r="P1975" s="6"/>
      <c r="Q1975" s="6" t="str">
        <f>IFERROR(__xludf.DUMMYFUNCTION("""COMPUTED_VALUE"""),"menace")</f>
        <v>menace</v>
      </c>
    </row>
    <row r="1976">
      <c r="D1976" s="6"/>
      <c r="H1976" s="6" t="str">
        <f>IFERROR(__xludf.DUMMYFUNCTION("""COMPUTED_VALUE"""),"contrasting")</f>
        <v>contrasting</v>
      </c>
      <c r="I1976" s="6"/>
      <c r="M1976" s="6"/>
      <c r="P1976" s="6"/>
      <c r="Q1976" s="6" t="str">
        <f>IFERROR(__xludf.DUMMYFUNCTION("""COMPUTED_VALUE"""),"phantom")</f>
        <v>phantom</v>
      </c>
    </row>
    <row r="1977">
      <c r="D1977" s="6"/>
      <c r="H1977" s="6" t="str">
        <f>IFERROR(__xludf.DUMMYFUNCTION("""COMPUTED_VALUE"""),"explosions")</f>
        <v>explosions</v>
      </c>
      <c r="I1977" s="6"/>
      <c r="M1977" s="6"/>
      <c r="P1977" s="6"/>
      <c r="Q1977" s="6" t="str">
        <f>IFERROR(__xludf.DUMMYFUNCTION("""COMPUTED_VALUE"""),"relying")</f>
        <v>relying</v>
      </c>
    </row>
    <row r="1978">
      <c r="D1978" s="6"/>
      <c r="H1978" s="6" t="str">
        <f>IFERROR(__xludf.DUMMYFUNCTION("""COMPUTED_VALUE"""),"landscapes")</f>
        <v>landscapes</v>
      </c>
      <c r="I1978" s="6"/>
      <c r="M1978" s="6"/>
      <c r="P1978" s="6"/>
      <c r="Q1978" s="6" t="str">
        <f>IFERROR(__xludf.DUMMYFUNCTION("""COMPUTED_VALUE"""),"yank")</f>
        <v>yank</v>
      </c>
    </row>
    <row r="1979">
      <c r="D1979" s="6"/>
      <c r="H1979" s="6" t="str">
        <f>IFERROR(__xludf.DUMMYFUNCTION("""COMPUTED_VALUE"""),"lore")</f>
        <v>lore</v>
      </c>
      <c r="I1979" s="6"/>
      <c r="M1979" s="6"/>
      <c r="P1979" s="6"/>
      <c r="Q1979" s="6" t="str">
        <f>IFERROR(__xludf.DUMMYFUNCTION("""COMPUTED_VALUE"""),"intro")</f>
        <v>intro</v>
      </c>
    </row>
    <row r="1980">
      <c r="D1980" s="6"/>
      <c r="H1980" s="6" t="str">
        <f>IFERROR(__xludf.DUMMYFUNCTION("""COMPUTED_VALUE"""),"terrorists")</f>
        <v>terrorists</v>
      </c>
      <c r="I1980" s="6"/>
      <c r="M1980" s="6"/>
      <c r="P1980" s="6"/>
      <c r="Q1980" s="6" t="str">
        <f>IFERROR(__xludf.DUMMYFUNCTION("""COMPUTED_VALUE"""),"manifesto")</f>
        <v>manifesto</v>
      </c>
    </row>
    <row r="1981">
      <c r="D1981" s="6"/>
      <c r="H1981" s="6" t="str">
        <f>IFERROR(__xludf.DUMMYFUNCTION("""COMPUTED_VALUE"""),"introduces")</f>
        <v>introduces</v>
      </c>
      <c r="I1981" s="6"/>
      <c r="M1981" s="6"/>
      <c r="P1981" s="6"/>
      <c r="Q1981" s="6" t="str">
        <f>IFERROR(__xludf.DUMMYFUNCTION("""COMPUTED_VALUE"""),"topical")</f>
        <v>topical</v>
      </c>
    </row>
    <row r="1982">
      <c r="D1982" s="6"/>
      <c r="H1982" s="6" t="str">
        <f>IFERROR(__xludf.DUMMYFUNCTION("""COMPUTED_VALUE"""),"thinkers")</f>
        <v>thinkers</v>
      </c>
      <c r="I1982" s="6"/>
      <c r="M1982" s="6"/>
      <c r="P1982" s="6"/>
      <c r="Q1982" s="6" t="str">
        <f>IFERROR(__xludf.DUMMYFUNCTION("""COMPUTED_VALUE"""),"swiftly")</f>
        <v>swiftly</v>
      </c>
    </row>
    <row r="1983">
      <c r="D1983" s="6"/>
      <c r="H1983" s="6" t="str">
        <f>IFERROR(__xludf.DUMMYFUNCTION("""COMPUTED_VALUE"""),"orbits")</f>
        <v>orbits</v>
      </c>
      <c r="I1983" s="6"/>
      <c r="M1983" s="6"/>
      <c r="P1983" s="6"/>
      <c r="Q1983" s="6" t="str">
        <f>IFERROR(__xludf.DUMMYFUNCTION("""COMPUTED_VALUE"""),"wanderers")</f>
        <v>wanderers</v>
      </c>
    </row>
    <row r="1984">
      <c r="D1984" s="6"/>
      <c r="H1984" s="6" t="str">
        <f>IFERROR(__xludf.DUMMYFUNCTION("""COMPUTED_VALUE"""),"reassure")</f>
        <v>reassure</v>
      </c>
      <c r="I1984" s="6"/>
      <c r="M1984" s="6"/>
      <c r="P1984" s="6"/>
      <c r="Q1984" s="6" t="str">
        <f>IFERROR(__xludf.DUMMYFUNCTION("""COMPUTED_VALUE"""),"equilibrium")</f>
        <v>equilibrium</v>
      </c>
    </row>
    <row r="1985">
      <c r="D1985" s="6"/>
      <c r="H1985" s="6" t="str">
        <f>IFERROR(__xludf.DUMMYFUNCTION("""COMPUTED_VALUE"""),"ragged")</f>
        <v>ragged</v>
      </c>
      <c r="I1985" s="6"/>
      <c r="M1985" s="6"/>
      <c r="P1985" s="6"/>
      <c r="Q1985" s="6" t="str">
        <f>IFERROR(__xludf.DUMMYFUNCTION("""COMPUTED_VALUE"""),"calculating")</f>
        <v>calculating</v>
      </c>
    </row>
    <row r="1986">
      <c r="D1986" s="6"/>
      <c r="H1986" s="6" t="str">
        <f>IFERROR(__xludf.DUMMYFUNCTION("""COMPUTED_VALUE"""),"enacted")</f>
        <v>enacted</v>
      </c>
      <c r="I1986" s="6"/>
      <c r="M1986" s="6"/>
      <c r="P1986" s="6"/>
      <c r="Q1986" s="6">
        <f>IFERROR(__xludf.DUMMYFUNCTION("""COMPUTED_VALUE"""),295.0)</f>
        <v>295</v>
      </c>
    </row>
    <row r="1987">
      <c r="D1987" s="6"/>
      <c r="H1987" s="6" t="str">
        <f>IFERROR(__xludf.DUMMYFUNCTION("""COMPUTED_VALUE"""),"annex")</f>
        <v>annex</v>
      </c>
      <c r="I1987" s="6"/>
      <c r="M1987" s="6"/>
      <c r="P1987" s="6"/>
      <c r="Q1987" s="6">
        <f>IFERROR(__xludf.DUMMYFUNCTION("""COMPUTED_VALUE"""),1958.0)</f>
        <v>1958</v>
      </c>
    </row>
    <row r="1988">
      <c r="D1988" s="6"/>
      <c r="H1988" s="6" t="str">
        <f>IFERROR(__xludf.DUMMYFUNCTION("""COMPUTED_VALUE"""),"revived")</f>
        <v>revived</v>
      </c>
      <c r="I1988" s="6"/>
      <c r="M1988" s="6"/>
      <c r="P1988" s="6"/>
      <c r="Q1988" s="6" t="str">
        <f>IFERROR(__xludf.DUMMYFUNCTION("""COMPUTED_VALUE"""),"turf")</f>
        <v>turf</v>
      </c>
    </row>
    <row r="1989">
      <c r="D1989" s="6"/>
      <c r="H1989" s="6" t="str">
        <f>IFERROR(__xludf.DUMMYFUNCTION("""COMPUTED_VALUE"""),"overture")</f>
        <v>overture</v>
      </c>
      <c r="I1989" s="6"/>
      <c r="M1989" s="6"/>
      <c r="P1989" s="6"/>
      <c r="Q1989" s="6" t="str">
        <f>IFERROR(__xludf.DUMMYFUNCTION("""COMPUTED_VALUE"""),"fingered")</f>
        <v>fingered</v>
      </c>
    </row>
    <row r="1990">
      <c r="D1990" s="6"/>
      <c r="H1990" s="6" t="str">
        <f>IFERROR(__xludf.DUMMYFUNCTION("""COMPUTED_VALUE"""),"fellowship")</f>
        <v>fellowship</v>
      </c>
      <c r="I1990" s="6"/>
      <c r="M1990" s="6"/>
      <c r="P1990" s="6"/>
      <c r="Q1990" s="6" t="str">
        <f>IFERROR(__xludf.DUMMYFUNCTION("""COMPUTED_VALUE"""),"races")</f>
        <v>races</v>
      </c>
    </row>
    <row r="1991">
      <c r="D1991" s="6"/>
      <c r="H1991" s="6" t="str">
        <f>IFERROR(__xludf.DUMMYFUNCTION("""COMPUTED_VALUE"""),"framework")</f>
        <v>framework</v>
      </c>
      <c r="I1991" s="6"/>
      <c r="M1991" s="6"/>
      <c r="P1991" s="6"/>
      <c r="Q1991" s="6" t="str">
        <f>IFERROR(__xludf.DUMMYFUNCTION("""COMPUTED_VALUE"""),"amassed")</f>
        <v>amassed</v>
      </c>
    </row>
    <row r="1992">
      <c r="D1992" s="6"/>
      <c r="H1992" s="6" t="str">
        <f>IFERROR(__xludf.DUMMYFUNCTION("""COMPUTED_VALUE"""),"naive")</f>
        <v>naive</v>
      </c>
      <c r="I1992" s="6"/>
      <c r="M1992" s="6"/>
      <c r="P1992" s="6"/>
      <c r="Q1992" s="6" t="str">
        <f>IFERROR(__xludf.DUMMYFUNCTION("""COMPUTED_VALUE"""),"curiously")</f>
        <v>curiously</v>
      </c>
    </row>
    <row r="1993">
      <c r="D1993" s="6"/>
      <c r="H1993" s="6" t="str">
        <f>IFERROR(__xludf.DUMMYFUNCTION("""COMPUTED_VALUE"""),"detective")</f>
        <v>detective</v>
      </c>
      <c r="I1993" s="6"/>
      <c r="M1993" s="6"/>
      <c r="P1993" s="6"/>
      <c r="Q1993" s="6" t="str">
        <f>IFERROR(__xludf.DUMMYFUNCTION("""COMPUTED_VALUE"""),"luther")</f>
        <v>luther</v>
      </c>
    </row>
    <row r="1994">
      <c r="D1994" s="6"/>
      <c r="H1994" s="6" t="str">
        <f>IFERROR(__xludf.DUMMYFUNCTION("""COMPUTED_VALUE"""),"lullaby")</f>
        <v>lullaby</v>
      </c>
      <c r="I1994" s="6"/>
      <c r="M1994" s="6"/>
      <c r="P1994" s="6"/>
      <c r="Q1994" s="6" t="str">
        <f>IFERROR(__xludf.DUMMYFUNCTION("""COMPUTED_VALUE"""),"characterization")</f>
        <v>characterization</v>
      </c>
    </row>
    <row r="1995">
      <c r="D1995" s="6"/>
      <c r="H1995" s="6" t="str">
        <f>IFERROR(__xludf.DUMMYFUNCTION("""COMPUTED_VALUE"""),"scoring")</f>
        <v>scoring</v>
      </c>
      <c r="I1995" s="6"/>
      <c r="M1995" s="6"/>
      <c r="P1995" s="6"/>
      <c r="Q1995" s="6" t="str">
        <f>IFERROR(__xludf.DUMMYFUNCTION("""COMPUTED_VALUE"""),"confidently")</f>
        <v>confidently</v>
      </c>
    </row>
    <row r="1996">
      <c r="D1996" s="6"/>
      <c r="H1996" s="6" t="str">
        <f>IFERROR(__xludf.DUMMYFUNCTION("""COMPUTED_VALUE"""),"pearce")</f>
        <v>pearce</v>
      </c>
      <c r="I1996" s="6"/>
      <c r="M1996" s="6"/>
      <c r="P1996" s="6"/>
      <c r="Q1996" s="6" t="str">
        <f>IFERROR(__xludf.DUMMYFUNCTION("""COMPUTED_VALUE"""),"doctorate")</f>
        <v>doctorate</v>
      </c>
    </row>
    <row r="1997">
      <c r="D1997" s="6"/>
      <c r="H1997" s="6" t="str">
        <f>IFERROR(__xludf.DUMMYFUNCTION("""COMPUTED_VALUE"""),"forefront")</f>
        <v>forefront</v>
      </c>
      <c r="I1997" s="6"/>
      <c r="M1997" s="6"/>
      <c r="P1997" s="6"/>
      <c r="Q1997" s="6" t="str">
        <f>IFERROR(__xludf.DUMMYFUNCTION("""COMPUTED_VALUE"""),"telescope")</f>
        <v>telescope</v>
      </c>
    </row>
    <row r="1998">
      <c r="D1998" s="6"/>
      <c r="H1998" s="6" t="str">
        <f>IFERROR(__xludf.DUMMYFUNCTION("""COMPUTED_VALUE"""),"divisions")</f>
        <v>divisions</v>
      </c>
      <c r="I1998" s="6"/>
      <c r="M1998" s="6"/>
      <c r="P1998" s="6"/>
      <c r="Q1998" s="6" t="str">
        <f>IFERROR(__xludf.DUMMYFUNCTION("""COMPUTED_VALUE"""),"mid")</f>
        <v>mid</v>
      </c>
    </row>
    <row r="1999">
      <c r="D1999" s="6"/>
      <c r="H1999" s="6" t="str">
        <f>IFERROR(__xludf.DUMMYFUNCTION("""COMPUTED_VALUE"""),"nonfiction")</f>
        <v>nonfiction</v>
      </c>
      <c r="I1999" s="6"/>
      <c r="M1999" s="6"/>
      <c r="P1999" s="6"/>
      <c r="Q1999" s="6" t="str">
        <f>IFERROR(__xludf.DUMMYFUNCTION("""COMPUTED_VALUE"""),"analytical")</f>
        <v>analytical</v>
      </c>
    </row>
    <row r="2000">
      <c r="D2000" s="6"/>
      <c r="H2000" s="6" t="str">
        <f>IFERROR(__xludf.DUMMYFUNCTION("""COMPUTED_VALUE"""),"effectiveness")</f>
        <v>effectiveness</v>
      </c>
      <c r="I2000" s="6"/>
      <c r="M2000" s="6"/>
      <c r="P2000" s="6"/>
      <c r="Q2000" s="6" t="str">
        <f>IFERROR(__xludf.DUMMYFUNCTION("""COMPUTED_VALUE"""),"transforms")</f>
        <v>transforms</v>
      </c>
    </row>
    <row r="2001">
      <c r="D2001" s="6"/>
      <c r="H2001" s="6" t="str">
        <f>IFERROR(__xludf.DUMMYFUNCTION("""COMPUTED_VALUE"""),"graves")</f>
        <v>graves</v>
      </c>
      <c r="I2001" s="6"/>
      <c r="M2001" s="6"/>
      <c r="P2001" s="6"/>
      <c r="Q2001" s="6" t="str">
        <f>IFERROR(__xludf.DUMMYFUNCTION("""COMPUTED_VALUE"""),"undertaking")</f>
        <v>undertaking</v>
      </c>
    </row>
    <row r="2002">
      <c r="D2002" s="6"/>
      <c r="H2002" s="6" t="str">
        <f>IFERROR(__xludf.DUMMYFUNCTION("""COMPUTED_VALUE"""),"configurations")</f>
        <v>configurations</v>
      </c>
      <c r="I2002" s="6"/>
      <c r="M2002" s="6"/>
      <c r="P2002" s="6"/>
      <c r="Q2002" s="6" t="str">
        <f>IFERROR(__xludf.DUMMYFUNCTION("""COMPUTED_VALUE"""),"insane")</f>
        <v>insane</v>
      </c>
    </row>
    <row r="2003">
      <c r="D2003" s="6"/>
      <c r="H2003" s="6" t="str">
        <f>IFERROR(__xludf.DUMMYFUNCTION("""COMPUTED_VALUE"""),"contentious")</f>
        <v>contentious</v>
      </c>
      <c r="I2003" s="6"/>
      <c r="M2003" s="6"/>
      <c r="P2003" s="6"/>
      <c r="Q2003" s="6" t="str">
        <f>IFERROR(__xludf.DUMMYFUNCTION("""COMPUTED_VALUE"""),"prison")</f>
        <v>prison</v>
      </c>
    </row>
    <row r="2004">
      <c r="D2004" s="6"/>
      <c r="H2004" s="6" t="str">
        <f>IFERROR(__xludf.DUMMYFUNCTION("""COMPUTED_VALUE"""),"apocalypse")</f>
        <v>apocalypse</v>
      </c>
      <c r="I2004" s="6"/>
      <c r="M2004" s="6"/>
      <c r="P2004" s="6"/>
      <c r="Q2004" s="6" t="str">
        <f>IFERROR(__xludf.DUMMYFUNCTION("""COMPUTED_VALUE"""),"effectively")</f>
        <v>effectively</v>
      </c>
    </row>
    <row r="2005">
      <c r="D2005" s="6"/>
      <c r="H2005" s="6" t="str">
        <f>IFERROR(__xludf.DUMMYFUNCTION("""COMPUTED_VALUE"""),"generations")</f>
        <v>generations</v>
      </c>
      <c r="I2005" s="6"/>
      <c r="M2005" s="6"/>
      <c r="P2005" s="6"/>
      <c r="Q2005" s="6" t="str">
        <f>IFERROR(__xludf.DUMMYFUNCTION("""COMPUTED_VALUE"""),"proof")</f>
        <v>proof</v>
      </c>
    </row>
    <row r="2006">
      <c r="D2006" s="6"/>
      <c r="H2006" s="6" t="str">
        <f>IFERROR(__xludf.DUMMYFUNCTION("""COMPUTED_VALUE"""),"deeds")</f>
        <v>deeds</v>
      </c>
      <c r="I2006" s="6"/>
      <c r="M2006" s="6"/>
      <c r="P2006" s="6"/>
      <c r="Q2006" s="6" t="str">
        <f>IFERROR(__xludf.DUMMYFUNCTION("""COMPUTED_VALUE"""),"concentration")</f>
        <v>concentration</v>
      </c>
    </row>
    <row r="2007">
      <c r="D2007" s="6"/>
      <c r="H2007" s="6" t="str">
        <f>IFERROR(__xludf.DUMMYFUNCTION("""COMPUTED_VALUE"""),"principals")</f>
        <v>principals</v>
      </c>
      <c r="I2007" s="6"/>
      <c r="M2007" s="6"/>
      <c r="P2007" s="6"/>
      <c r="Q2007" s="6" t="str">
        <f>IFERROR(__xludf.DUMMYFUNCTION("""COMPUTED_VALUE"""),"stakes")</f>
        <v>stakes</v>
      </c>
    </row>
    <row r="2008">
      <c r="D2008" s="6"/>
      <c r="H2008" s="6" t="str">
        <f>IFERROR(__xludf.DUMMYFUNCTION("""COMPUTED_VALUE"""),"rigged")</f>
        <v>rigged</v>
      </c>
      <c r="I2008" s="6"/>
      <c r="M2008" s="6"/>
      <c r="P2008" s="6"/>
      <c r="Q2008" s="6" t="str">
        <f>IFERROR(__xludf.DUMMYFUNCTION("""COMPUTED_VALUE"""),"ran")</f>
        <v>ran</v>
      </c>
    </row>
    <row r="2009">
      <c r="D2009" s="6"/>
      <c r="H2009" s="6" t="str">
        <f>IFERROR(__xludf.DUMMYFUNCTION("""COMPUTED_VALUE"""),"valiant")</f>
        <v>valiant</v>
      </c>
      <c r="I2009" s="6"/>
      <c r="M2009" s="6"/>
      <c r="P2009" s="6"/>
      <c r="Q2009" s="6" t="str">
        <f>IFERROR(__xludf.DUMMYFUNCTION("""COMPUTED_VALUE"""),"chases")</f>
        <v>chases</v>
      </c>
    </row>
    <row r="2010">
      <c r="D2010" s="6"/>
      <c r="H2010" s="6" t="str">
        <f>IFERROR(__xludf.DUMMYFUNCTION("""COMPUTED_VALUE"""),"springer")</f>
        <v>springer</v>
      </c>
      <c r="I2010" s="6"/>
      <c r="M2010" s="6"/>
      <c r="P2010" s="6"/>
      <c r="Q2010" s="6" t="str">
        <f>IFERROR(__xludf.DUMMYFUNCTION("""COMPUTED_VALUE"""),"tucker")</f>
        <v>tucker</v>
      </c>
    </row>
    <row r="2011">
      <c r="D2011" s="6"/>
      <c r="H2011" s="6" t="str">
        <f>IFERROR(__xludf.DUMMYFUNCTION("""COMPUTED_VALUE"""),"hitler")</f>
        <v>hitler</v>
      </c>
      <c r="I2011" s="6"/>
      <c r="M2011" s="6"/>
      <c r="P2011" s="6"/>
      <c r="Q2011" s="6">
        <f>IFERROR(__xludf.DUMMYFUNCTION("""COMPUTED_VALUE"""),94.0)</f>
        <v>94</v>
      </c>
    </row>
    <row r="2012">
      <c r="D2012" s="6"/>
      <c r="H2012" s="6" t="str">
        <f>IFERROR(__xludf.DUMMYFUNCTION("""COMPUTED_VALUE"""),"alexandre")</f>
        <v>alexandre</v>
      </c>
      <c r="I2012" s="6"/>
      <c r="M2012" s="6"/>
      <c r="P2012" s="6"/>
      <c r="Q2012" s="6" t="str">
        <f>IFERROR(__xludf.DUMMYFUNCTION("""COMPUTED_VALUE"""),"italics")</f>
        <v>italics</v>
      </c>
    </row>
    <row r="2013">
      <c r="D2013" s="6"/>
      <c r="H2013" s="6" t="str">
        <f>IFERROR(__xludf.DUMMYFUNCTION("""COMPUTED_VALUE"""),"writings")</f>
        <v>writings</v>
      </c>
      <c r="I2013" s="6"/>
      <c r="M2013" s="6"/>
      <c r="P2013" s="6"/>
      <c r="Q2013" s="6" t="str">
        <f>IFERROR(__xludf.DUMMYFUNCTION("""COMPUTED_VALUE"""),"sleek")</f>
        <v>sleek</v>
      </c>
    </row>
    <row r="2014">
      <c r="D2014" s="6"/>
      <c r="H2014" s="6" t="str">
        <f>IFERROR(__xludf.DUMMYFUNCTION("""COMPUTED_VALUE"""),"jagger")</f>
        <v>jagger</v>
      </c>
      <c r="I2014" s="6"/>
      <c r="M2014" s="6"/>
      <c r="P2014" s="6"/>
      <c r="Q2014" s="6" t="str">
        <f>IFERROR(__xludf.DUMMYFUNCTION("""COMPUTED_VALUE"""),"attach")</f>
        <v>attach</v>
      </c>
    </row>
    <row r="2015">
      <c r="D2015" s="6"/>
      <c r="H2015" s="6" t="str">
        <f>IFERROR(__xludf.DUMMYFUNCTION("""COMPUTED_VALUE"""),"afterlife")</f>
        <v>afterlife</v>
      </c>
      <c r="I2015" s="6"/>
      <c r="M2015" s="6"/>
      <c r="P2015" s="6"/>
      <c r="Q2015" s="6" t="str">
        <f>IFERROR(__xludf.DUMMYFUNCTION("""COMPUTED_VALUE"""),"wilde")</f>
        <v>wilde</v>
      </c>
    </row>
    <row r="2016">
      <c r="D2016" s="6"/>
      <c r="H2016" s="6" t="str">
        <f>IFERROR(__xludf.DUMMYFUNCTION("""COMPUTED_VALUE"""),"plagued")</f>
        <v>plagued</v>
      </c>
      <c r="I2016" s="6"/>
      <c r="M2016" s="6"/>
      <c r="P2016" s="6"/>
      <c r="Q2016" s="6" t="str">
        <f>IFERROR(__xludf.DUMMYFUNCTION("""COMPUTED_VALUE"""),"empowerment")</f>
        <v>empowerment</v>
      </c>
    </row>
    <row r="2017">
      <c r="D2017" s="6"/>
      <c r="H2017" s="6" t="str">
        <f>IFERROR(__xludf.DUMMYFUNCTION("""COMPUTED_VALUE"""),"documenting")</f>
        <v>documenting</v>
      </c>
      <c r="I2017" s="6"/>
      <c r="M2017" s="6"/>
      <c r="P2017" s="6"/>
      <c r="Q2017" s="6" t="str">
        <f>IFERROR(__xludf.DUMMYFUNCTION("""COMPUTED_VALUE"""),"murderer")</f>
        <v>murderer</v>
      </c>
    </row>
    <row r="2018">
      <c r="D2018" s="6"/>
      <c r="H2018" s="6" t="str">
        <f>IFERROR(__xludf.DUMMYFUNCTION("""COMPUTED_VALUE"""),"fragile")</f>
        <v>fragile</v>
      </c>
      <c r="I2018" s="6"/>
      <c r="M2018" s="6"/>
      <c r="P2018" s="6"/>
      <c r="Q2018" s="6" t="str">
        <f>IFERROR(__xludf.DUMMYFUNCTION("""COMPUTED_VALUE"""),"powers")</f>
        <v>powers</v>
      </c>
    </row>
    <row r="2019">
      <c r="D2019" s="6"/>
      <c r="H2019" s="6" t="str">
        <f>IFERROR(__xludf.DUMMYFUNCTION("""COMPUTED_VALUE"""),"teaming")</f>
        <v>teaming</v>
      </c>
      <c r="I2019" s="6"/>
      <c r="M2019" s="6"/>
      <c r="P2019" s="6"/>
      <c r="Q2019" s="6" t="str">
        <f>IFERROR(__xludf.DUMMYFUNCTION("""COMPUTED_VALUE"""),"passions")</f>
        <v>passions</v>
      </c>
    </row>
    <row r="2020">
      <c r="D2020" s="6"/>
      <c r="H2020" s="6" t="str">
        <f>IFERROR(__xludf.DUMMYFUNCTION("""COMPUTED_VALUE"""),"traces")</f>
        <v>traces</v>
      </c>
      <c r="I2020" s="6"/>
      <c r="M2020" s="6"/>
      <c r="P2020" s="6"/>
      <c r="Q2020" s="6" t="str">
        <f>IFERROR(__xludf.DUMMYFUNCTION("""COMPUTED_VALUE"""),"assassin")</f>
        <v>assassin</v>
      </c>
    </row>
    <row r="2021">
      <c r="D2021" s="6"/>
      <c r="H2021" s="6" t="str">
        <f>IFERROR(__xludf.DUMMYFUNCTION("""COMPUTED_VALUE"""),"paralyzed")</f>
        <v>paralyzed</v>
      </c>
      <c r="I2021" s="6"/>
      <c r="M2021" s="6"/>
      <c r="P2021" s="6"/>
      <c r="Q2021" s="6" t="str">
        <f>IFERROR(__xludf.DUMMYFUNCTION("""COMPUTED_VALUE"""),"seduce")</f>
        <v>seduce</v>
      </c>
    </row>
    <row r="2022">
      <c r="D2022" s="6"/>
      <c r="H2022" s="6" t="str">
        <f>IFERROR(__xludf.DUMMYFUNCTION("""COMPUTED_VALUE"""),"werner")</f>
        <v>werner</v>
      </c>
      <c r="I2022" s="6"/>
      <c r="M2022" s="6"/>
      <c r="P2022" s="6"/>
      <c r="Q2022" s="6" t="str">
        <f>IFERROR(__xludf.DUMMYFUNCTION("""COMPUTED_VALUE"""),"stealing")</f>
        <v>stealing</v>
      </c>
    </row>
    <row r="2023">
      <c r="D2023" s="6"/>
      <c r="H2023" s="6" t="str">
        <f>IFERROR(__xludf.DUMMYFUNCTION("""COMPUTED_VALUE"""),"brutality")</f>
        <v>brutality</v>
      </c>
      <c r="I2023" s="6"/>
      <c r="M2023" s="6"/>
      <c r="P2023" s="6"/>
      <c r="Q2023" s="6" t="str">
        <f>IFERROR(__xludf.DUMMYFUNCTION("""COMPUTED_VALUE"""),"tidal")</f>
        <v>tidal</v>
      </c>
    </row>
    <row r="2024">
      <c r="D2024" s="6"/>
      <c r="H2024" s="6" t="str">
        <f>IFERROR(__xludf.DUMMYFUNCTION("""COMPUTED_VALUE"""),"impetus")</f>
        <v>impetus</v>
      </c>
      <c r="I2024" s="6"/>
      <c r="M2024" s="6"/>
      <c r="P2024" s="6"/>
      <c r="Q2024" s="6" t="str">
        <f>IFERROR(__xludf.DUMMYFUNCTION("""COMPUTED_VALUE"""),"segment")</f>
        <v>segment</v>
      </c>
    </row>
    <row r="2025">
      <c r="D2025" s="6"/>
      <c r="H2025" s="6" t="str">
        <f>IFERROR(__xludf.DUMMYFUNCTION("""COMPUTED_VALUE"""),"castro")</f>
        <v>castro</v>
      </c>
      <c r="I2025" s="6"/>
      <c r="M2025" s="6"/>
      <c r="P2025" s="6"/>
      <c r="Q2025" s="6" t="str">
        <f>IFERROR(__xludf.DUMMYFUNCTION("""COMPUTED_VALUE"""),"vittorio")</f>
        <v>vittorio</v>
      </c>
    </row>
    <row r="2026">
      <c r="D2026" s="6"/>
      <c r="H2026" s="6" t="str">
        <f>IFERROR(__xludf.DUMMYFUNCTION("""COMPUTED_VALUE"""),"prologue")</f>
        <v>prologue</v>
      </c>
      <c r="I2026" s="6"/>
      <c r="M2026" s="6"/>
      <c r="P2026" s="6"/>
      <c r="Q2026" s="6" t="str">
        <f>IFERROR(__xludf.DUMMYFUNCTION("""COMPUTED_VALUE"""),"microscope")</f>
        <v>microscope</v>
      </c>
    </row>
    <row r="2027">
      <c r="D2027" s="6"/>
      <c r="H2027" s="6" t="str">
        <f>IFERROR(__xludf.DUMMYFUNCTION("""COMPUTED_VALUE"""),"antonia")</f>
        <v>antonia</v>
      </c>
      <c r="I2027" s="6"/>
      <c r="M2027" s="6"/>
      <c r="P2027" s="6"/>
      <c r="Q2027" s="6" t="str">
        <f>IFERROR(__xludf.DUMMYFUNCTION("""COMPUTED_VALUE"""),"purity")</f>
        <v>purity</v>
      </c>
    </row>
    <row r="2028">
      <c r="D2028" s="6"/>
      <c r="H2028" s="6" t="str">
        <f>IFERROR(__xludf.DUMMYFUNCTION("""COMPUTED_VALUE"""),"enlightenment")</f>
        <v>enlightenment</v>
      </c>
      <c r="I2028" s="6"/>
      <c r="M2028" s="6"/>
      <c r="P2028" s="6"/>
      <c r="Q2028" s="6" t="str">
        <f>IFERROR(__xludf.DUMMYFUNCTION("""COMPUTED_VALUE"""),"puzzled")</f>
        <v>puzzled</v>
      </c>
    </row>
    <row r="2029">
      <c r="D2029" s="6"/>
      <c r="H2029" s="6" t="str">
        <f>IFERROR(__xludf.DUMMYFUNCTION("""COMPUTED_VALUE"""),"thoughtfully")</f>
        <v>thoughtfully</v>
      </c>
      <c r="I2029" s="6"/>
      <c r="M2029" s="6"/>
      <c r="P2029" s="6"/>
      <c r="Q2029" s="6" t="str">
        <f>IFERROR(__xludf.DUMMYFUNCTION("""COMPUTED_VALUE"""),"fictional")</f>
        <v>fictional</v>
      </c>
    </row>
    <row r="2030">
      <c r="D2030" s="6"/>
      <c r="H2030" s="6" t="str">
        <f>IFERROR(__xludf.DUMMYFUNCTION("""COMPUTED_VALUE"""),"powerhouse")</f>
        <v>powerhouse</v>
      </c>
      <c r="I2030" s="6"/>
      <c r="M2030" s="6"/>
      <c r="P2030" s="6"/>
      <c r="Q2030" s="6" t="str">
        <f>IFERROR(__xludf.DUMMYFUNCTION("""COMPUTED_VALUE"""),"roster")</f>
        <v>roster</v>
      </c>
    </row>
    <row r="2031">
      <c r="D2031" s="6"/>
      <c r="H2031" s="6" t="str">
        <f>IFERROR(__xludf.DUMMYFUNCTION("""COMPUTED_VALUE"""),"critically")</f>
        <v>critically</v>
      </c>
      <c r="I2031" s="6"/>
      <c r="M2031" s="6"/>
      <c r="P2031" s="6"/>
      <c r="Q2031" s="6" t="str">
        <f>IFERROR(__xludf.DUMMYFUNCTION("""COMPUTED_VALUE"""),"kathryn")</f>
        <v>kathryn</v>
      </c>
    </row>
    <row r="2032">
      <c r="D2032" s="6"/>
      <c r="H2032" s="6" t="str">
        <f>IFERROR(__xludf.DUMMYFUNCTION("""COMPUTED_VALUE"""),"searches")</f>
        <v>searches</v>
      </c>
      <c r="I2032" s="6"/>
      <c r="M2032" s="6"/>
      <c r="P2032" s="6"/>
      <c r="Q2032" s="6" t="str">
        <f>IFERROR(__xludf.DUMMYFUNCTION("""COMPUTED_VALUE"""),"kindness")</f>
        <v>kindness</v>
      </c>
    </row>
    <row r="2033">
      <c r="D2033" s="6"/>
      <c r="H2033" s="6" t="str">
        <f>IFERROR(__xludf.DUMMYFUNCTION("""COMPUTED_VALUE"""),"leigh")</f>
        <v>leigh</v>
      </c>
      <c r="I2033" s="6"/>
      <c r="M2033" s="6"/>
      <c r="P2033" s="6"/>
      <c r="Q2033" s="6" t="str">
        <f>IFERROR(__xludf.DUMMYFUNCTION("""COMPUTED_VALUE"""),"gregory")</f>
        <v>gregory</v>
      </c>
    </row>
    <row r="2034">
      <c r="D2034" s="6"/>
      <c r="H2034" s="6" t="str">
        <f>IFERROR(__xludf.DUMMYFUNCTION("""COMPUTED_VALUE"""),"ram")</f>
        <v>ram</v>
      </c>
      <c r="I2034" s="6"/>
      <c r="M2034" s="6"/>
      <c r="P2034" s="6"/>
      <c r="Q2034" s="6" t="str">
        <f>IFERROR(__xludf.DUMMYFUNCTION("""COMPUTED_VALUE"""),"velocity")</f>
        <v>velocity</v>
      </c>
    </row>
    <row r="2035">
      <c r="D2035" s="6"/>
      <c r="H2035" s="6" t="str">
        <f>IFERROR(__xludf.DUMMYFUNCTION("""COMPUTED_VALUE"""),"ransom")</f>
        <v>ransom</v>
      </c>
      <c r="I2035" s="6"/>
      <c r="M2035" s="6"/>
      <c r="P2035" s="6"/>
      <c r="Q2035" s="6" t="str">
        <f>IFERROR(__xludf.DUMMYFUNCTION("""COMPUTED_VALUE"""),"stroke")</f>
        <v>stroke</v>
      </c>
    </row>
    <row r="2036">
      <c r="D2036" s="6"/>
      <c r="H2036" s="6" t="str">
        <f>IFERROR(__xludf.DUMMYFUNCTION("""COMPUTED_VALUE"""),"lucia")</f>
        <v>lucia</v>
      </c>
      <c r="I2036" s="6"/>
      <c r="M2036" s="6"/>
      <c r="P2036" s="6"/>
      <c r="Q2036" s="6" t="str">
        <f>IFERROR(__xludf.DUMMYFUNCTION("""COMPUTED_VALUE"""),"ryder")</f>
        <v>ryder</v>
      </c>
    </row>
    <row r="2037">
      <c r="D2037" s="6"/>
      <c r="H2037" s="6" t="str">
        <f>IFERROR(__xludf.DUMMYFUNCTION("""COMPUTED_VALUE"""),"fluttering")</f>
        <v>fluttering</v>
      </c>
      <c r="I2037" s="6"/>
      <c r="M2037" s="6"/>
      <c r="P2037" s="6"/>
      <c r="Q2037" s="6" t="str">
        <f>IFERROR(__xludf.DUMMYFUNCTION("""COMPUTED_VALUE"""),"bias")</f>
        <v>bias</v>
      </c>
    </row>
    <row r="2038">
      <c r="D2038" s="6"/>
      <c r="H2038" s="6" t="str">
        <f>IFERROR(__xludf.DUMMYFUNCTION("""COMPUTED_VALUE"""),"heartbreak")</f>
        <v>heartbreak</v>
      </c>
      <c r="I2038" s="6"/>
      <c r="M2038" s="6"/>
      <c r="P2038" s="6"/>
      <c r="Q2038" s="6" t="str">
        <f>IFERROR(__xludf.DUMMYFUNCTION("""COMPUTED_VALUE"""),"nominated")</f>
        <v>nominated</v>
      </c>
    </row>
    <row r="2039">
      <c r="D2039" s="6"/>
      <c r="H2039" s="6" t="str">
        <f>IFERROR(__xludf.DUMMYFUNCTION("""COMPUTED_VALUE"""),"liner")</f>
        <v>liner</v>
      </c>
      <c r="I2039" s="6"/>
      <c r="M2039" s="6"/>
      <c r="P2039" s="6"/>
      <c r="Q2039" s="6" t="str">
        <f>IFERROR(__xludf.DUMMYFUNCTION("""COMPUTED_VALUE"""),"conrad")</f>
        <v>conrad</v>
      </c>
    </row>
    <row r="2040">
      <c r="D2040" s="6"/>
      <c r="H2040" s="6" t="str">
        <f>IFERROR(__xludf.DUMMYFUNCTION("""COMPUTED_VALUE"""),"gliding")</f>
        <v>gliding</v>
      </c>
      <c r="I2040" s="6"/>
      <c r="M2040" s="6"/>
      <c r="P2040" s="6"/>
      <c r="Q2040" s="6" t="str">
        <f>IFERROR(__xludf.DUMMYFUNCTION("""COMPUTED_VALUE"""),"ardent")</f>
        <v>ardent</v>
      </c>
    </row>
    <row r="2041">
      <c r="D2041" s="6"/>
      <c r="H2041" s="6" t="str">
        <f>IFERROR(__xludf.DUMMYFUNCTION("""COMPUTED_VALUE"""),"australia")</f>
        <v>australia</v>
      </c>
      <c r="I2041" s="6"/>
      <c r="M2041" s="6"/>
      <c r="P2041" s="6"/>
      <c r="Q2041" s="6" t="str">
        <f>IFERROR(__xludf.DUMMYFUNCTION("""COMPUTED_VALUE"""),"economics")</f>
        <v>economics</v>
      </c>
    </row>
    <row r="2042">
      <c r="D2042" s="6"/>
      <c r="H2042" s="6" t="str">
        <f>IFERROR(__xludf.DUMMYFUNCTION("""COMPUTED_VALUE"""),"stitch")</f>
        <v>stitch</v>
      </c>
      <c r="I2042" s="6"/>
      <c r="M2042" s="6"/>
      <c r="P2042" s="6"/>
      <c r="Q2042" s="6" t="str">
        <f>IFERROR(__xludf.DUMMYFUNCTION("""COMPUTED_VALUE"""),"backstage")</f>
        <v>backstage</v>
      </c>
    </row>
    <row r="2043">
      <c r="D2043" s="6"/>
      <c r="H2043" s="6" t="str">
        <f>IFERROR(__xludf.DUMMYFUNCTION("""COMPUTED_VALUE"""),"assets")</f>
        <v>assets</v>
      </c>
      <c r="I2043" s="6"/>
      <c r="M2043" s="6"/>
      <c r="P2043" s="6"/>
      <c r="Q2043" s="6" t="str">
        <f>IFERROR(__xludf.DUMMYFUNCTION("""COMPUTED_VALUE"""),"pivotal")</f>
        <v>pivotal</v>
      </c>
    </row>
    <row r="2044">
      <c r="D2044" s="6"/>
      <c r="I2044" s="6"/>
      <c r="M2044" s="6"/>
      <c r="P2044" s="6"/>
      <c r="Q2044" s="6" t="str">
        <f>IFERROR(__xludf.DUMMYFUNCTION("""COMPUTED_VALUE"""),"comparisons")</f>
        <v>comparisons</v>
      </c>
    </row>
    <row r="2045">
      <c r="D2045" s="6"/>
      <c r="I2045" s="6"/>
      <c r="M2045" s="6"/>
      <c r="P2045" s="6"/>
      <c r="Q2045" s="6" t="str">
        <f>IFERROR(__xludf.DUMMYFUNCTION("""COMPUTED_VALUE"""),"followers")</f>
        <v>followers</v>
      </c>
    </row>
    <row r="2046">
      <c r="D2046" s="6"/>
      <c r="I2046" s="6"/>
      <c r="M2046" s="6"/>
      <c r="P2046" s="6"/>
      <c r="Q2046" s="6" t="str">
        <f>IFERROR(__xludf.DUMMYFUNCTION("""COMPUTED_VALUE"""),"coupling")</f>
        <v>coupling</v>
      </c>
    </row>
    <row r="2047">
      <c r="D2047" s="6"/>
      <c r="I2047" s="6"/>
      <c r="M2047" s="6"/>
      <c r="P2047" s="6"/>
      <c r="Q2047" s="6" t="str">
        <f>IFERROR(__xludf.DUMMYFUNCTION("""COMPUTED_VALUE"""),"bodily")</f>
        <v>bodily</v>
      </c>
    </row>
    <row r="2048">
      <c r="D2048" s="6"/>
      <c r="I2048" s="6"/>
      <c r="M2048" s="6"/>
      <c r="P2048" s="6"/>
      <c r="Q2048" s="6" t="str">
        <f>IFERROR(__xludf.DUMMYFUNCTION("""COMPUTED_VALUE"""),"outward")</f>
        <v>outward</v>
      </c>
    </row>
    <row r="2049">
      <c r="D2049" s="6"/>
      <c r="I2049" s="6"/>
      <c r="M2049" s="6"/>
      <c r="P2049" s="6"/>
      <c r="Q2049" s="6" t="str">
        <f>IFERROR(__xludf.DUMMYFUNCTION("""COMPUTED_VALUE"""),"chick")</f>
        <v>chick</v>
      </c>
    </row>
    <row r="2050">
      <c r="D2050" s="6"/>
      <c r="I2050" s="6"/>
      <c r="M2050" s="6"/>
      <c r="P2050" s="6"/>
      <c r="Q2050" s="6" t="str">
        <f>IFERROR(__xludf.DUMMYFUNCTION("""COMPUTED_VALUE"""),"library")</f>
        <v>library</v>
      </c>
    </row>
    <row r="2051">
      <c r="D2051" s="6"/>
      <c r="I2051" s="6"/>
      <c r="M2051" s="6"/>
      <c r="P2051" s="6"/>
      <c r="Q2051" s="6" t="str">
        <f>IFERROR(__xludf.DUMMYFUNCTION("""COMPUTED_VALUE"""),"fling")</f>
        <v>fling</v>
      </c>
    </row>
    <row r="2052">
      <c r="D2052" s="6"/>
      <c r="I2052" s="6"/>
      <c r="M2052" s="6"/>
      <c r="P2052" s="6"/>
      <c r="Q2052" s="6" t="str">
        <f>IFERROR(__xludf.DUMMYFUNCTION("""COMPUTED_VALUE"""),"fleeting")</f>
        <v>fleeting</v>
      </c>
    </row>
    <row r="2053">
      <c r="D2053" s="6"/>
      <c r="I2053" s="6"/>
      <c r="M2053" s="6"/>
      <c r="P2053" s="6"/>
      <c r="Q2053" s="6" t="str">
        <f>IFERROR(__xludf.DUMMYFUNCTION("""COMPUTED_VALUE"""),"dared")</f>
        <v>dared</v>
      </c>
    </row>
    <row r="2054">
      <c r="D2054" s="6"/>
      <c r="I2054" s="6"/>
      <c r="M2054" s="6"/>
      <c r="P2054" s="6"/>
      <c r="Q2054" s="6" t="str">
        <f>IFERROR(__xludf.DUMMYFUNCTION("""COMPUTED_VALUE"""),"damaged")</f>
        <v>damaged</v>
      </c>
    </row>
    <row r="2055">
      <c r="D2055" s="6"/>
      <c r="I2055" s="6"/>
      <c r="M2055" s="6"/>
      <c r="P2055" s="6"/>
      <c r="Q2055" s="6" t="str">
        <f>IFERROR(__xludf.DUMMYFUNCTION("""COMPUTED_VALUE"""),"explicit")</f>
        <v>explicit</v>
      </c>
    </row>
    <row r="2056">
      <c r="D2056" s="6"/>
      <c r="I2056" s="6"/>
      <c r="M2056" s="6"/>
      <c r="P2056" s="6"/>
      <c r="Q2056" s="6" t="str">
        <f>IFERROR(__xludf.DUMMYFUNCTION("""COMPUTED_VALUE"""),"thrust")</f>
        <v>thrust</v>
      </c>
    </row>
    <row r="2057">
      <c r="D2057" s="6"/>
      <c r="I2057" s="6"/>
      <c r="M2057" s="6"/>
      <c r="P2057" s="6"/>
      <c r="Q2057" s="6" t="str">
        <f>IFERROR(__xludf.DUMMYFUNCTION("""COMPUTED_VALUE"""),"substantive")</f>
        <v>substantive</v>
      </c>
    </row>
    <row r="2058">
      <c r="D2058" s="6"/>
      <c r="I2058" s="6"/>
      <c r="M2058" s="6"/>
      <c r="P2058" s="6"/>
      <c r="Q2058" s="6" t="str">
        <f>IFERROR(__xludf.DUMMYFUNCTION("""COMPUTED_VALUE"""),"teeth")</f>
        <v>teeth</v>
      </c>
    </row>
    <row r="2059">
      <c r="D2059" s="6"/>
      <c r="I2059" s="6"/>
      <c r="M2059" s="6"/>
      <c r="P2059" s="6"/>
      <c r="Q2059" s="6" t="str">
        <f>IFERROR(__xludf.DUMMYFUNCTION("""COMPUTED_VALUE"""),"binary")</f>
        <v>binary</v>
      </c>
    </row>
    <row r="2060">
      <c r="D2060" s="6"/>
      <c r="I2060" s="6"/>
      <c r="M2060" s="6"/>
      <c r="P2060" s="6"/>
      <c r="Q2060" s="6" t="str">
        <f>IFERROR(__xludf.DUMMYFUNCTION("""COMPUTED_VALUE"""),"shapiro")</f>
        <v>shapiro</v>
      </c>
    </row>
    <row r="2061">
      <c r="D2061" s="6"/>
      <c r="I2061" s="6"/>
      <c r="M2061" s="6"/>
      <c r="P2061" s="6"/>
      <c r="Q2061" s="6" t="str">
        <f>IFERROR(__xludf.DUMMYFUNCTION("""COMPUTED_VALUE"""),"goldman")</f>
        <v>goldman</v>
      </c>
    </row>
    <row r="2062">
      <c r="D2062" s="6"/>
      <c r="I2062" s="6"/>
      <c r="M2062" s="6"/>
      <c r="P2062" s="6"/>
      <c r="Q2062" s="6" t="str">
        <f>IFERROR(__xludf.DUMMYFUNCTION("""COMPUTED_VALUE"""),"participants")</f>
        <v>participants</v>
      </c>
    </row>
    <row r="2063">
      <c r="D2063" s="6"/>
      <c r="I2063" s="6"/>
      <c r="M2063" s="6"/>
      <c r="P2063" s="6"/>
      <c r="Q2063" s="6" t="str">
        <f>IFERROR(__xludf.DUMMYFUNCTION("""COMPUTED_VALUE"""),"illuminated")</f>
        <v>illuminated</v>
      </c>
    </row>
    <row r="2064">
      <c r="D2064" s="6"/>
      <c r="I2064" s="6"/>
      <c r="M2064" s="6"/>
      <c r="P2064" s="6"/>
      <c r="Q2064" s="6" t="str">
        <f>IFERROR(__xludf.DUMMYFUNCTION("""COMPUTED_VALUE"""),"franklin")</f>
        <v>franklin</v>
      </c>
    </row>
    <row r="2065">
      <c r="D2065" s="6"/>
      <c r="I2065" s="6"/>
      <c r="M2065" s="6"/>
      <c r="P2065" s="6"/>
      <c r="Q2065" s="6" t="str">
        <f>IFERROR(__xludf.DUMMYFUNCTION("""COMPUTED_VALUE"""),"carl")</f>
        <v>carl</v>
      </c>
    </row>
    <row r="2066">
      <c r="D2066" s="6"/>
      <c r="I2066" s="6"/>
      <c r="M2066" s="6"/>
      <c r="P2066" s="6"/>
      <c r="Q2066" s="6" t="str">
        <f>IFERROR(__xludf.DUMMYFUNCTION("""COMPUTED_VALUE"""),"relic")</f>
        <v>relic</v>
      </c>
    </row>
    <row r="2067">
      <c r="D2067" s="6"/>
      <c r="I2067" s="6"/>
      <c r="M2067" s="6"/>
      <c r="P2067" s="6"/>
      <c r="Q2067" s="6" t="str">
        <f>IFERROR(__xludf.DUMMYFUNCTION("""COMPUTED_VALUE"""),"turks")</f>
        <v>turks</v>
      </c>
    </row>
    <row r="2068">
      <c r="D2068" s="6"/>
      <c r="I2068" s="6"/>
      <c r="M2068" s="6"/>
      <c r="P2068" s="6"/>
      <c r="Q2068" s="6" t="str">
        <f>IFERROR(__xludf.DUMMYFUNCTION("""COMPUTED_VALUE"""),"sap")</f>
        <v>sap</v>
      </c>
    </row>
    <row r="2069">
      <c r="D2069" s="6"/>
      <c r="I2069" s="6"/>
      <c r="M2069" s="6"/>
      <c r="P2069" s="6"/>
      <c r="Q2069" s="6" t="str">
        <f>IFERROR(__xludf.DUMMYFUNCTION("""COMPUTED_VALUE"""),"jon")</f>
        <v>jon</v>
      </c>
    </row>
    <row r="2070">
      <c r="D2070" s="6"/>
      <c r="I2070" s="6"/>
      <c r="M2070" s="6"/>
      <c r="P2070" s="6"/>
      <c r="Q2070" s="6" t="str">
        <f>IFERROR(__xludf.DUMMYFUNCTION("""COMPUTED_VALUE"""),"dad")</f>
        <v>dad</v>
      </c>
    </row>
    <row r="2071">
      <c r="D2071" s="6"/>
      <c r="I2071" s="6"/>
      <c r="M2071" s="6"/>
      <c r="P2071" s="6"/>
      <c r="Q2071" s="6" t="str">
        <f>IFERROR(__xludf.DUMMYFUNCTION("""COMPUTED_VALUE"""),"vain")</f>
        <v>vain</v>
      </c>
    </row>
    <row r="2072">
      <c r="D2072" s="6"/>
      <c r="I2072" s="6"/>
      <c r="M2072" s="6"/>
      <c r="P2072" s="6"/>
      <c r="Q2072" s="6" t="str">
        <f>IFERROR(__xludf.DUMMYFUNCTION("""COMPUTED_VALUE"""),"zhang")</f>
        <v>zhang</v>
      </c>
    </row>
    <row r="2073">
      <c r="D2073" s="6"/>
      <c r="I2073" s="6"/>
      <c r="M2073" s="6"/>
      <c r="P2073" s="6"/>
      <c r="Q2073" s="6" t="str">
        <f>IFERROR(__xludf.DUMMYFUNCTION("""COMPUTED_VALUE"""),"knockout")</f>
        <v>knockout</v>
      </c>
    </row>
    <row r="2074">
      <c r="D2074" s="6"/>
      <c r="I2074" s="6"/>
      <c r="M2074" s="6"/>
      <c r="P2074" s="6"/>
      <c r="Q2074" s="6" t="str">
        <f>IFERROR(__xludf.DUMMYFUNCTION("""COMPUTED_VALUE"""),"wryly")</f>
        <v>wryly</v>
      </c>
    </row>
    <row r="2075">
      <c r="D2075" s="6"/>
      <c r="I2075" s="6"/>
      <c r="M2075" s="6"/>
      <c r="P2075" s="6"/>
      <c r="Q2075" s="6" t="str">
        <f>IFERROR(__xludf.DUMMYFUNCTION("""COMPUTED_VALUE"""),"ed")</f>
        <v>ed</v>
      </c>
    </row>
    <row r="2076">
      <c r="D2076" s="6"/>
      <c r="I2076" s="6"/>
      <c r="M2076" s="6"/>
      <c r="P2076" s="6"/>
      <c r="Q2076" s="6" t="str">
        <f>IFERROR(__xludf.DUMMYFUNCTION("""COMPUTED_VALUE"""),"outline")</f>
        <v>outline</v>
      </c>
    </row>
    <row r="2077">
      <c r="D2077" s="6"/>
      <c r="I2077" s="6"/>
      <c r="M2077" s="6"/>
      <c r="P2077" s="6"/>
      <c r="Q2077" s="6" t="str">
        <f>IFERROR(__xludf.DUMMYFUNCTION("""COMPUTED_VALUE"""),"fable")</f>
        <v>fable</v>
      </c>
    </row>
    <row r="2078">
      <c r="D2078" s="6"/>
      <c r="I2078" s="6"/>
      <c r="M2078" s="6"/>
      <c r="P2078" s="6"/>
      <c r="Q2078" s="6" t="str">
        <f>IFERROR(__xludf.DUMMYFUNCTION("""COMPUTED_VALUE"""),"undertaken")</f>
        <v>undertaken</v>
      </c>
    </row>
    <row r="2079">
      <c r="D2079" s="6"/>
      <c r="I2079" s="6"/>
      <c r="M2079" s="6"/>
      <c r="P2079" s="6"/>
      <c r="Q2079" s="6" t="str">
        <f>IFERROR(__xludf.DUMMYFUNCTION("""COMPUTED_VALUE"""),"determination")</f>
        <v>determination</v>
      </c>
    </row>
    <row r="2080">
      <c r="D2080" s="6"/>
      <c r="I2080" s="6"/>
      <c r="M2080" s="6"/>
      <c r="P2080" s="6"/>
      <c r="Q2080" s="6" t="str">
        <f>IFERROR(__xludf.DUMMYFUNCTION("""COMPUTED_VALUE"""),"scientists")</f>
        <v>scientists</v>
      </c>
    </row>
    <row r="2081">
      <c r="D2081" s="6"/>
      <c r="I2081" s="6"/>
      <c r="M2081" s="6"/>
      <c r="P2081" s="6"/>
      <c r="Q2081" s="6" t="str">
        <f>IFERROR(__xludf.DUMMYFUNCTION("""COMPUTED_VALUE"""),"craftsmen")</f>
        <v>craftsmen</v>
      </c>
    </row>
    <row r="2082">
      <c r="D2082" s="6"/>
      <c r="I2082" s="6"/>
      <c r="M2082" s="6"/>
      <c r="P2082" s="6"/>
      <c r="Q2082" s="6">
        <f>IFERROR(__xludf.DUMMYFUNCTION("""COMPUTED_VALUE"""),1952.0)</f>
        <v>1952</v>
      </c>
    </row>
    <row r="2083">
      <c r="D2083" s="6"/>
      <c r="I2083" s="6"/>
      <c r="M2083" s="6"/>
      <c r="P2083" s="6"/>
      <c r="Q2083" s="6" t="str">
        <f>IFERROR(__xludf.DUMMYFUNCTION("""COMPUTED_VALUE"""),"acclaimed")</f>
        <v>acclaimed</v>
      </c>
    </row>
    <row r="2084">
      <c r="D2084" s="6"/>
      <c r="I2084" s="6"/>
      <c r="M2084" s="6"/>
      <c r="P2084" s="6"/>
      <c r="Q2084" s="6" t="str">
        <f>IFERROR(__xludf.DUMMYFUNCTION("""COMPUTED_VALUE"""),"icon")</f>
        <v>icon</v>
      </c>
    </row>
    <row r="2085">
      <c r="D2085" s="6"/>
      <c r="I2085" s="6"/>
      <c r="M2085" s="6"/>
      <c r="P2085" s="6"/>
      <c r="Q2085" s="6" t="str">
        <f>IFERROR(__xludf.DUMMYFUNCTION("""COMPUTED_VALUE"""),"unified")</f>
        <v>unified</v>
      </c>
    </row>
    <row r="2086">
      <c r="D2086" s="6"/>
      <c r="I2086" s="6"/>
      <c r="M2086" s="6"/>
      <c r="P2086" s="6"/>
      <c r="Q2086" s="6" t="str">
        <f>IFERROR(__xludf.DUMMYFUNCTION("""COMPUTED_VALUE"""),"ladder")</f>
        <v>ladder</v>
      </c>
    </row>
    <row r="2087">
      <c r="D2087" s="6"/>
      <c r="I2087" s="6"/>
      <c r="M2087" s="6"/>
      <c r="P2087" s="6"/>
      <c r="Q2087" s="6" t="str">
        <f>IFERROR(__xludf.DUMMYFUNCTION("""COMPUTED_VALUE"""),"libretto")</f>
        <v>libretto</v>
      </c>
    </row>
    <row r="2088">
      <c r="D2088" s="6"/>
      <c r="I2088" s="6"/>
      <c r="M2088" s="6"/>
      <c r="P2088" s="6"/>
      <c r="Q2088" s="6" t="str">
        <f>IFERROR(__xludf.DUMMYFUNCTION("""COMPUTED_VALUE"""),"satisfactory")</f>
        <v>satisfactory</v>
      </c>
    </row>
    <row r="2089">
      <c r="D2089" s="6"/>
      <c r="I2089" s="6"/>
      <c r="M2089" s="6"/>
      <c r="P2089" s="6"/>
      <c r="Q2089" s="6" t="str">
        <f>IFERROR(__xludf.DUMMYFUNCTION("""COMPUTED_VALUE"""),"monument")</f>
        <v>monument</v>
      </c>
    </row>
    <row r="2090">
      <c r="D2090" s="6"/>
      <c r="I2090" s="6"/>
      <c r="M2090" s="6"/>
      <c r="P2090" s="6"/>
      <c r="Q2090" s="6" t="str">
        <f>IFERROR(__xludf.DUMMYFUNCTION("""COMPUTED_VALUE"""),"minority")</f>
        <v>minority</v>
      </c>
    </row>
    <row r="2091">
      <c r="D2091" s="6"/>
      <c r="I2091" s="6"/>
      <c r="M2091" s="6"/>
      <c r="P2091" s="6"/>
      <c r="Q2091" s="6" t="str">
        <f>IFERROR(__xludf.DUMMYFUNCTION("""COMPUTED_VALUE"""),"shivers")</f>
        <v>shivers</v>
      </c>
    </row>
    <row r="2092">
      <c r="D2092" s="6"/>
      <c r="I2092" s="6"/>
      <c r="M2092" s="6"/>
      <c r="P2092" s="6"/>
      <c r="Q2092" s="6" t="str">
        <f>IFERROR(__xludf.DUMMYFUNCTION("""COMPUTED_VALUE"""),"spine")</f>
        <v>spine</v>
      </c>
    </row>
    <row r="2093">
      <c r="D2093" s="6"/>
      <c r="I2093" s="6"/>
      <c r="M2093" s="6"/>
      <c r="P2093" s="6"/>
      <c r="Q2093" s="6" t="str">
        <f>IFERROR(__xludf.DUMMYFUNCTION("""COMPUTED_VALUE"""),"environmental")</f>
        <v>environmental</v>
      </c>
    </row>
    <row r="2094">
      <c r="D2094" s="6"/>
      <c r="I2094" s="6"/>
      <c r="M2094" s="6"/>
      <c r="P2094" s="6"/>
      <c r="Q2094" s="6" t="str">
        <f>IFERROR(__xludf.DUMMYFUNCTION("""COMPUTED_VALUE"""),"fleeing")</f>
        <v>fleeing</v>
      </c>
    </row>
    <row r="2095">
      <c r="D2095" s="6"/>
      <c r="I2095" s="6"/>
      <c r="M2095" s="6"/>
      <c r="P2095" s="6"/>
      <c r="Q2095" s="6" t="str">
        <f>IFERROR(__xludf.DUMMYFUNCTION("""COMPUTED_VALUE"""),"lynne")</f>
        <v>lynne</v>
      </c>
    </row>
    <row r="2096">
      <c r="D2096" s="6"/>
      <c r="I2096" s="6"/>
      <c r="M2096" s="6"/>
      <c r="P2096" s="6"/>
      <c r="Q2096" s="6" t="str">
        <f>IFERROR(__xludf.DUMMYFUNCTION("""COMPUTED_VALUE"""),"ramsay")</f>
        <v>ramsay</v>
      </c>
    </row>
    <row r="2097">
      <c r="D2097" s="6"/>
      <c r="I2097" s="6"/>
      <c r="M2097" s="6"/>
      <c r="P2097" s="6"/>
      <c r="Q2097" s="6" t="str">
        <f>IFERROR(__xludf.DUMMYFUNCTION("""COMPUTED_VALUE"""),"restraint")</f>
        <v>restraint</v>
      </c>
    </row>
    <row r="2098">
      <c r="D2098" s="6"/>
      <c r="I2098" s="6"/>
      <c r="M2098" s="6"/>
      <c r="P2098" s="6"/>
      <c r="Q2098" s="6" t="str">
        <f>IFERROR(__xludf.DUMMYFUNCTION("""COMPUTED_VALUE"""),"converts")</f>
        <v>converts</v>
      </c>
    </row>
    <row r="2099">
      <c r="D2099" s="6"/>
      <c r="I2099" s="6"/>
      <c r="M2099" s="6"/>
      <c r="Q2099" s="6" t="str">
        <f>IFERROR(__xludf.DUMMYFUNCTION("""COMPUTED_VALUE"""),"pedestrian")</f>
        <v>pedestrian</v>
      </c>
    </row>
    <row r="2100">
      <c r="D2100" s="6"/>
      <c r="I2100" s="6"/>
      <c r="M2100" s="6"/>
      <c r="Q2100" s="6" t="str">
        <f>IFERROR(__xludf.DUMMYFUNCTION("""COMPUTED_VALUE"""),"encompassing")</f>
        <v>encompassing</v>
      </c>
    </row>
    <row r="2101">
      <c r="D2101" s="6"/>
      <c r="I2101" s="6"/>
      <c r="M2101" s="6"/>
      <c r="Q2101" s="6" t="str">
        <f>IFERROR(__xludf.DUMMYFUNCTION("""COMPUTED_VALUE"""),"socially")</f>
        <v>socially</v>
      </c>
    </row>
    <row r="2102">
      <c r="D2102" s="6"/>
      <c r="I2102" s="6"/>
      <c r="M2102" s="6"/>
      <c r="Q2102" s="6" t="str">
        <f>IFERROR(__xludf.DUMMYFUNCTION("""COMPUTED_VALUE"""),"spawned")</f>
        <v>spawned</v>
      </c>
    </row>
    <row r="2103">
      <c r="D2103" s="6"/>
      <c r="I2103" s="6"/>
      <c r="M2103" s="6"/>
      <c r="Q2103" s="6" t="str">
        <f>IFERROR(__xludf.DUMMYFUNCTION("""COMPUTED_VALUE"""),"favorably")</f>
        <v>favorably</v>
      </c>
    </row>
    <row r="2104">
      <c r="D2104" s="6"/>
      <c r="I2104" s="6"/>
      <c r="M2104" s="6"/>
      <c r="Q2104" s="6" t="str">
        <f>IFERROR(__xludf.DUMMYFUNCTION("""COMPUTED_VALUE"""),"clare")</f>
        <v>clare</v>
      </c>
    </row>
    <row r="2105">
      <c r="D2105" s="6"/>
      <c r="I2105" s="6"/>
      <c r="M2105" s="6"/>
      <c r="Q2105" s="6">
        <f>IFERROR(__xludf.DUMMYFUNCTION("""COMPUTED_VALUE"""),146.0)</f>
        <v>146</v>
      </c>
    </row>
    <row r="2106">
      <c r="D2106" s="6"/>
      <c r="I2106" s="6"/>
      <c r="M2106" s="6"/>
      <c r="Q2106" s="6" t="str">
        <f>IFERROR(__xludf.DUMMYFUNCTION("""COMPUTED_VALUE"""),"densely")</f>
        <v>densely</v>
      </c>
    </row>
    <row r="2107">
      <c r="D2107" s="6"/>
      <c r="I2107" s="6"/>
      <c r="M2107" s="6"/>
      <c r="Q2107" s="6" t="str">
        <f>IFERROR(__xludf.DUMMYFUNCTION("""COMPUTED_VALUE"""),"alfred")</f>
        <v>alfred</v>
      </c>
    </row>
    <row r="2108">
      <c r="D2108" s="6"/>
      <c r="I2108" s="6"/>
      <c r="M2108" s="6"/>
      <c r="Q2108" s="6" t="str">
        <f>IFERROR(__xludf.DUMMYFUNCTION("""COMPUTED_VALUE"""),"hitchcock")</f>
        <v>hitchcock</v>
      </c>
    </row>
    <row r="2109">
      <c r="D2109" s="6"/>
      <c r="I2109" s="6"/>
      <c r="M2109" s="6"/>
      <c r="Q2109" s="6" t="str">
        <f>IFERROR(__xludf.DUMMYFUNCTION("""COMPUTED_VALUE"""),"fontaine")</f>
        <v>fontaine</v>
      </c>
    </row>
    <row r="2110">
      <c r="D2110" s="6"/>
      <c r="I2110" s="6"/>
      <c r="M2110" s="6"/>
      <c r="Q2110" s="6" t="str">
        <f>IFERROR(__xludf.DUMMYFUNCTION("""COMPUTED_VALUE"""),"telenovela")</f>
        <v>telenovela</v>
      </c>
    </row>
    <row r="2111">
      <c r="D2111" s="6"/>
      <c r="I2111" s="6"/>
      <c r="M2111" s="6"/>
      <c r="Q2111" s="6" t="str">
        <f>IFERROR(__xludf.DUMMYFUNCTION("""COMPUTED_VALUE"""),"shakespeare")</f>
        <v>shakespeare</v>
      </c>
    </row>
    <row r="2112">
      <c r="D2112" s="6"/>
      <c r="I2112" s="6"/>
      <c r="M2112" s="6"/>
      <c r="Q2112" s="6" t="str">
        <f>IFERROR(__xludf.DUMMYFUNCTION("""COMPUTED_VALUE"""),"weakly")</f>
        <v>weakly</v>
      </c>
    </row>
    <row r="2113">
      <c r="D2113" s="6"/>
      <c r="I2113" s="6"/>
      <c r="M2113" s="6"/>
      <c r="Q2113" s="6" t="str">
        <f>IFERROR(__xludf.DUMMYFUNCTION("""COMPUTED_VALUE"""),"companion")</f>
        <v>companion</v>
      </c>
    </row>
    <row r="2114">
      <c r="D2114" s="6"/>
      <c r="I2114" s="6"/>
      <c r="M2114" s="6"/>
      <c r="Q2114" s="6" t="str">
        <f>IFERROR(__xludf.DUMMYFUNCTION("""COMPUTED_VALUE"""),"clyde")</f>
        <v>clyde</v>
      </c>
    </row>
    <row r="2115">
      <c r="D2115" s="6"/>
      <c r="I2115" s="6"/>
      <c r="M2115" s="6"/>
      <c r="Q2115" s="6" t="str">
        <f>IFERROR(__xludf.DUMMYFUNCTION("""COMPUTED_VALUE"""),"titans")</f>
        <v>titans</v>
      </c>
    </row>
    <row r="2116">
      <c r="D2116" s="6"/>
      <c r="I2116" s="6"/>
      <c r="M2116" s="6"/>
      <c r="Q2116" s="6" t="str">
        <f>IFERROR(__xludf.DUMMYFUNCTION("""COMPUTED_VALUE"""),"curves")</f>
        <v>curves</v>
      </c>
    </row>
    <row r="2117">
      <c r="D2117" s="6"/>
      <c r="I2117" s="6"/>
      <c r="M2117" s="6"/>
      <c r="Q2117" s="6" t="str">
        <f>IFERROR(__xludf.DUMMYFUNCTION("""COMPUTED_VALUE"""),"fashioned")</f>
        <v>fashioned</v>
      </c>
    </row>
    <row r="2118">
      <c r="D2118" s="6"/>
      <c r="I2118" s="6"/>
      <c r="M2118" s="6"/>
      <c r="Q2118" s="6" t="str">
        <f>IFERROR(__xludf.DUMMYFUNCTION("""COMPUTED_VALUE"""),"strains")</f>
        <v>strains</v>
      </c>
    </row>
    <row r="2119">
      <c r="D2119" s="6"/>
      <c r="I2119" s="6"/>
      <c r="M2119" s="6"/>
      <c r="Q2119" s="6" t="str">
        <f>IFERROR(__xludf.DUMMYFUNCTION("""COMPUTED_VALUE"""),"jolt")</f>
        <v>jolt</v>
      </c>
    </row>
    <row r="2120">
      <c r="D2120" s="6"/>
      <c r="I2120" s="6"/>
      <c r="M2120" s="6"/>
      <c r="Q2120" s="6" t="str">
        <f>IFERROR(__xludf.DUMMYFUNCTION("""COMPUTED_VALUE"""),"juliet")</f>
        <v>juliet</v>
      </c>
    </row>
    <row r="2121">
      <c r="D2121" s="6"/>
      <c r="I2121" s="6"/>
      <c r="M2121" s="6"/>
      <c r="Q2121" s="6" t="str">
        <f>IFERROR(__xludf.DUMMYFUNCTION("""COMPUTED_VALUE"""),"exchanges")</f>
        <v>exchanges</v>
      </c>
    </row>
    <row r="2122">
      <c r="D2122" s="6"/>
      <c r="I2122" s="6"/>
      <c r="M2122" s="6"/>
      <c r="Q2122" s="6" t="str">
        <f>IFERROR(__xludf.DUMMYFUNCTION("""COMPUTED_VALUE"""),"staggered")</f>
        <v>staggered</v>
      </c>
    </row>
    <row r="2123">
      <c r="D2123" s="6"/>
      <c r="I2123" s="6"/>
      <c r="M2123" s="6"/>
      <c r="Q2123" s="6" t="str">
        <f>IFERROR(__xludf.DUMMYFUNCTION("""COMPUTED_VALUE"""),"suspects")</f>
        <v>suspects</v>
      </c>
    </row>
    <row r="2124">
      <c r="D2124" s="6"/>
      <c r="I2124" s="6"/>
      <c r="M2124" s="6"/>
      <c r="Q2124" s="6" t="str">
        <f>IFERROR(__xludf.DUMMYFUNCTION("""COMPUTED_VALUE"""),"forcefully")</f>
        <v>forcefully</v>
      </c>
    </row>
    <row r="2125">
      <c r="D2125" s="6"/>
      <c r="I2125" s="6"/>
      <c r="M2125" s="6"/>
      <c r="Q2125" s="6" t="str">
        <f>IFERROR(__xludf.DUMMYFUNCTION("""COMPUTED_VALUE"""),"combustion")</f>
        <v>combustion</v>
      </c>
    </row>
    <row r="2126">
      <c r="D2126" s="6"/>
      <c r="I2126" s="6"/>
      <c r="M2126" s="6"/>
      <c r="Q2126" s="6" t="str">
        <f>IFERROR(__xludf.DUMMYFUNCTION("""COMPUTED_VALUE"""),"forgiven")</f>
        <v>forgiven</v>
      </c>
    </row>
    <row r="2127">
      <c r="D2127" s="6"/>
      <c r="I2127" s="6"/>
      <c r="M2127" s="6"/>
      <c r="Q2127" s="6" t="str">
        <f>IFERROR(__xludf.DUMMYFUNCTION("""COMPUTED_VALUE"""),"barlow")</f>
        <v>barlow</v>
      </c>
    </row>
    <row r="2128">
      <c r="D2128" s="6"/>
      <c r="I2128" s="6"/>
      <c r="M2128" s="6"/>
      <c r="Q2128" s="6" t="str">
        <f>IFERROR(__xludf.DUMMYFUNCTION("""COMPUTED_VALUE"""),"buried")</f>
        <v>buried</v>
      </c>
    </row>
    <row r="2129">
      <c r="D2129" s="6"/>
      <c r="I2129" s="6"/>
      <c r="M2129" s="6"/>
      <c r="Q2129" s="6" t="str">
        <f>IFERROR(__xludf.DUMMYFUNCTION("""COMPUTED_VALUE"""),"coping")</f>
        <v>coping</v>
      </c>
    </row>
    <row r="2130">
      <c r="D2130" s="6"/>
      <c r="I2130" s="6"/>
      <c r="M2130" s="6"/>
      <c r="Q2130" s="6" t="str">
        <f>IFERROR(__xludf.DUMMYFUNCTION("""COMPUTED_VALUE"""),"winger")</f>
        <v>winger</v>
      </c>
    </row>
    <row r="2131">
      <c r="D2131" s="6"/>
      <c r="I2131" s="6"/>
      <c r="M2131" s="6"/>
      <c r="Q2131" s="6" t="str">
        <f>IFERROR(__xludf.DUMMYFUNCTION("""COMPUTED_VALUE"""),"eccentric")</f>
        <v>eccentric</v>
      </c>
    </row>
    <row r="2132">
      <c r="D2132" s="6"/>
      <c r="I2132" s="6"/>
      <c r="M2132" s="6"/>
      <c r="Q2132" s="6" t="str">
        <f>IFERROR(__xludf.DUMMYFUNCTION("""COMPUTED_VALUE"""),"reagan")</f>
        <v>reagan</v>
      </c>
    </row>
    <row r="2133">
      <c r="D2133" s="6"/>
      <c r="I2133" s="6"/>
      <c r="M2133" s="6"/>
      <c r="Q2133" s="6" t="str">
        <f>IFERROR(__xludf.DUMMYFUNCTION("""COMPUTED_VALUE"""),"geared")</f>
        <v>geared</v>
      </c>
    </row>
    <row r="2134">
      <c r="D2134" s="6"/>
      <c r="I2134" s="6"/>
      <c r="M2134" s="6"/>
      <c r="Q2134" s="6" t="str">
        <f>IFERROR(__xludf.DUMMYFUNCTION("""COMPUTED_VALUE"""),"damon")</f>
        <v>damon</v>
      </c>
    </row>
    <row r="2135">
      <c r="D2135" s="6"/>
      <c r="I2135" s="6"/>
      <c r="M2135" s="6"/>
      <c r="Q2135" s="6">
        <f>IFERROR(__xludf.DUMMYFUNCTION("""COMPUTED_VALUE"""),163.0)</f>
        <v>163</v>
      </c>
    </row>
    <row r="2136">
      <c r="D2136" s="6"/>
      <c r="I2136" s="6"/>
      <c r="M2136" s="6"/>
      <c r="Q2136" s="6" t="str">
        <f>IFERROR(__xludf.DUMMYFUNCTION("""COMPUTED_VALUE"""),"peace")</f>
        <v>peace</v>
      </c>
    </row>
    <row r="2137">
      <c r="D2137" s="6"/>
      <c r="I2137" s="6"/>
      <c r="M2137" s="6"/>
      <c r="Q2137" s="6" t="str">
        <f>IFERROR(__xludf.DUMMYFUNCTION("""COMPUTED_VALUE"""),"eventual")</f>
        <v>eventual</v>
      </c>
    </row>
    <row r="2138">
      <c r="D2138" s="6"/>
      <c r="I2138" s="6"/>
      <c r="M2138" s="6"/>
      <c r="Q2138" s="6" t="str">
        <f>IFERROR(__xludf.DUMMYFUNCTION("""COMPUTED_VALUE"""),"commands")</f>
        <v>commands</v>
      </c>
    </row>
    <row r="2139">
      <c r="D2139" s="6"/>
      <c r="I2139" s="6"/>
      <c r="M2139" s="6"/>
      <c r="Q2139" s="6" t="str">
        <f>IFERROR(__xludf.DUMMYFUNCTION("""COMPUTED_VALUE"""),"grit")</f>
        <v>grit</v>
      </c>
    </row>
    <row r="2140">
      <c r="D2140" s="6"/>
      <c r="I2140" s="6"/>
      <c r="M2140" s="6"/>
      <c r="Q2140" s="6" t="str">
        <f>IFERROR(__xludf.DUMMYFUNCTION("""COMPUTED_VALUE"""),"endangered")</f>
        <v>endangered</v>
      </c>
    </row>
    <row r="2141">
      <c r="D2141" s="6"/>
      <c r="I2141" s="6"/>
      <c r="M2141" s="6"/>
      <c r="Q2141" s="6" t="str">
        <f>IFERROR(__xludf.DUMMYFUNCTION("""COMPUTED_VALUE"""),"heavyweight")</f>
        <v>heavyweight</v>
      </c>
    </row>
    <row r="2142">
      <c r="D2142" s="6"/>
      <c r="I2142" s="6"/>
      <c r="M2142" s="6"/>
      <c r="Q2142" s="6" t="str">
        <f>IFERROR(__xludf.DUMMYFUNCTION("""COMPUTED_VALUE"""),"unpaid")</f>
        <v>unpaid</v>
      </c>
    </row>
    <row r="2143">
      <c r="D2143" s="6"/>
      <c r="I2143" s="6"/>
      <c r="M2143" s="6"/>
      <c r="Q2143" s="6" t="str">
        <f>IFERROR(__xludf.DUMMYFUNCTION("""COMPUTED_VALUE"""),"burns")</f>
        <v>burns</v>
      </c>
    </row>
    <row r="2144">
      <c r="D2144" s="6"/>
      <c r="I2144" s="6"/>
      <c r="M2144" s="6"/>
      <c r="Q2144" s="6" t="str">
        <f>IFERROR(__xludf.DUMMYFUNCTION("""COMPUTED_VALUE"""),"scandals")</f>
        <v>scandals</v>
      </c>
    </row>
    <row r="2145">
      <c r="D2145" s="6"/>
      <c r="I2145" s="6"/>
      <c r="M2145" s="6"/>
      <c r="Q2145" s="6" t="str">
        <f>IFERROR(__xludf.DUMMYFUNCTION("""COMPUTED_VALUE"""),"ruse")</f>
        <v>ruse</v>
      </c>
    </row>
    <row r="2146">
      <c r="D2146" s="6"/>
      <c r="I2146" s="6"/>
      <c r="M2146" s="6"/>
      <c r="Q2146" s="6" t="str">
        <f>IFERROR(__xludf.DUMMYFUNCTION("""COMPUTED_VALUE"""),"chaplin")</f>
        <v>chaplin</v>
      </c>
    </row>
    <row r="2147">
      <c r="D2147" s="6"/>
      <c r="I2147" s="6"/>
      <c r="M2147" s="6"/>
      <c r="Q2147" s="6" t="str">
        <f>IFERROR(__xludf.DUMMYFUNCTION("""COMPUTED_VALUE"""),"fiercely")</f>
        <v>fiercely</v>
      </c>
    </row>
    <row r="2148">
      <c r="D2148" s="6"/>
      <c r="I2148" s="6"/>
      <c r="M2148" s="6"/>
      <c r="Q2148" s="6" t="str">
        <f>IFERROR(__xludf.DUMMYFUNCTION("""COMPUTED_VALUE"""),"exhaustion")</f>
        <v>exhaustion</v>
      </c>
    </row>
    <row r="2149">
      <c r="D2149" s="6"/>
      <c r="I2149" s="6"/>
      <c r="M2149" s="6"/>
      <c r="Q2149" s="6" t="str">
        <f>IFERROR(__xludf.DUMMYFUNCTION("""COMPUTED_VALUE"""),"tenth")</f>
        <v>tenth</v>
      </c>
    </row>
    <row r="2150">
      <c r="D2150" s="6"/>
      <c r="I2150" s="6"/>
      <c r="M2150" s="6"/>
      <c r="Q2150" s="6" t="str">
        <f>IFERROR(__xludf.DUMMYFUNCTION("""COMPUTED_VALUE"""),"installment")</f>
        <v>installment</v>
      </c>
    </row>
    <row r="2151">
      <c r="D2151" s="6"/>
      <c r="I2151" s="6"/>
      <c r="M2151" s="6"/>
      <c r="Q2151" s="6" t="str">
        <f>IFERROR(__xludf.DUMMYFUNCTION("""COMPUTED_VALUE"""),"grenade")</f>
        <v>grenade</v>
      </c>
    </row>
    <row r="2152">
      <c r="D2152" s="6"/>
      <c r="I2152" s="6"/>
      <c r="M2152" s="6"/>
      <c r="Q2152" s="6" t="str">
        <f>IFERROR(__xludf.DUMMYFUNCTION("""COMPUTED_VALUE"""),"discoveries")</f>
        <v>discoveries</v>
      </c>
    </row>
    <row r="2153">
      <c r="D2153" s="6"/>
      <c r="I2153" s="6"/>
      <c r="M2153" s="6"/>
      <c r="Q2153" s="6" t="str">
        <f>IFERROR(__xludf.DUMMYFUNCTION("""COMPUTED_VALUE"""),"inhabitants")</f>
        <v>inhabitants</v>
      </c>
    </row>
    <row r="2154">
      <c r="D2154" s="6"/>
      <c r="I2154" s="6"/>
      <c r="M2154" s="6"/>
      <c r="Q2154" s="6" t="str">
        <f>IFERROR(__xludf.DUMMYFUNCTION("""COMPUTED_VALUE"""),"christianity")</f>
        <v>christianity</v>
      </c>
    </row>
    <row r="2155">
      <c r="D2155" s="6"/>
      <c r="I2155" s="6"/>
      <c r="M2155" s="6"/>
      <c r="Q2155" s="6" t="str">
        <f>IFERROR(__xludf.DUMMYFUNCTION("""COMPUTED_VALUE"""),"activism")</f>
        <v>activism</v>
      </c>
    </row>
    <row r="2156">
      <c r="D2156" s="6"/>
      <c r="I2156" s="6"/>
      <c r="M2156" s="6"/>
      <c r="Q2156" s="6" t="str">
        <f>IFERROR(__xludf.DUMMYFUNCTION("""COMPUTED_VALUE"""),"walsh")</f>
        <v>walsh</v>
      </c>
    </row>
    <row r="2157">
      <c r="D2157" s="6"/>
      <c r="I2157" s="6"/>
      <c r="M2157" s="6"/>
      <c r="Q2157" s="6" t="str">
        <f>IFERROR(__xludf.DUMMYFUNCTION("""COMPUTED_VALUE"""),"eileen")</f>
        <v>eileen</v>
      </c>
    </row>
    <row r="2158">
      <c r="D2158" s="6"/>
      <c r="I2158" s="6"/>
      <c r="M2158" s="6"/>
      <c r="Q2158" s="6" t="str">
        <f>IFERROR(__xludf.DUMMYFUNCTION("""COMPUTED_VALUE"""),"taut")</f>
        <v>taut</v>
      </c>
    </row>
    <row r="2159">
      <c r="D2159" s="6"/>
      <c r="I2159" s="6"/>
      <c r="M2159" s="6"/>
      <c r="Q2159" s="6" t="str">
        <f>IFERROR(__xludf.DUMMYFUNCTION("""COMPUTED_VALUE"""),"discreet")</f>
        <v>discreet</v>
      </c>
    </row>
    <row r="2160">
      <c r="D2160" s="6"/>
      <c r="I2160" s="6"/>
      <c r="M2160" s="6"/>
      <c r="Q2160" s="6" t="str">
        <f>IFERROR(__xludf.DUMMYFUNCTION("""COMPUTED_VALUE"""),"sat")</f>
        <v>sat</v>
      </c>
    </row>
    <row r="2161">
      <c r="D2161" s="6"/>
      <c r="I2161" s="6"/>
      <c r="M2161" s="6"/>
      <c r="Q2161" s="6" t="str">
        <f>IFERROR(__xludf.DUMMYFUNCTION("""COMPUTED_VALUE"""),"horses")</f>
        <v>horses</v>
      </c>
    </row>
    <row r="2162">
      <c r="D2162" s="6"/>
      <c r="I2162" s="6"/>
      <c r="M2162" s="6"/>
      <c r="Q2162" s="6" t="str">
        <f>IFERROR(__xludf.DUMMYFUNCTION("""COMPUTED_VALUE"""),"partnership")</f>
        <v>partnership</v>
      </c>
    </row>
    <row r="2163">
      <c r="D2163" s="6"/>
      <c r="I2163" s="6"/>
      <c r="M2163" s="6"/>
      <c r="Q2163" s="6" t="str">
        <f>IFERROR(__xludf.DUMMYFUNCTION("""COMPUTED_VALUE"""),"mined")</f>
        <v>mined</v>
      </c>
    </row>
    <row r="2164">
      <c r="D2164" s="6"/>
      <c r="I2164" s="6"/>
      <c r="M2164" s="6"/>
      <c r="Q2164" s="6" t="str">
        <f>IFERROR(__xludf.DUMMYFUNCTION("""COMPUTED_VALUE"""),"glass")</f>
        <v>glass</v>
      </c>
    </row>
    <row r="2165">
      <c r="D2165" s="6"/>
      <c r="I2165" s="6"/>
      <c r="M2165" s="6"/>
      <c r="Q2165" s="6" t="str">
        <f>IFERROR(__xludf.DUMMYFUNCTION("""COMPUTED_VALUE"""),"rewarded")</f>
        <v>rewarded</v>
      </c>
    </row>
    <row r="2166">
      <c r="D2166" s="6"/>
      <c r="I2166" s="6"/>
      <c r="M2166" s="6"/>
      <c r="Q2166" s="6" t="str">
        <f>IFERROR(__xludf.DUMMYFUNCTION("""COMPUTED_VALUE"""),"tabloid")</f>
        <v>tabloid</v>
      </c>
    </row>
    <row r="2167">
      <c r="D2167" s="6"/>
      <c r="I2167" s="6"/>
      <c r="M2167" s="6"/>
      <c r="Q2167" s="6" t="str">
        <f>IFERROR(__xludf.DUMMYFUNCTION("""COMPUTED_VALUE"""),"mystical")</f>
        <v>mystical</v>
      </c>
    </row>
    <row r="2168">
      <c r="D2168" s="6"/>
      <c r="I2168" s="6"/>
      <c r="M2168" s="6"/>
      <c r="Q2168" s="6" t="str">
        <f>IFERROR(__xludf.DUMMYFUNCTION("""COMPUTED_VALUE"""),"derive")</f>
        <v>derive</v>
      </c>
    </row>
    <row r="2169">
      <c r="D2169" s="6"/>
      <c r="I2169" s="6"/>
      <c r="M2169" s="6"/>
      <c r="Q2169" s="6" t="str">
        <f>IFERROR(__xludf.DUMMYFUNCTION("""COMPUTED_VALUE"""),"tinged")</f>
        <v>tinged</v>
      </c>
    </row>
    <row r="2170">
      <c r="D2170" s="6"/>
      <c r="I2170" s="6"/>
      <c r="M2170" s="6"/>
      <c r="Q2170" s="6" t="str">
        <f>IFERROR(__xludf.DUMMYFUNCTION("""COMPUTED_VALUE"""),"practices")</f>
        <v>practices</v>
      </c>
    </row>
    <row r="2171">
      <c r="D2171" s="6"/>
      <c r="I2171" s="6"/>
      <c r="M2171" s="6"/>
      <c r="Q2171" s="6" t="str">
        <f>IFERROR(__xludf.DUMMYFUNCTION("""COMPUTED_VALUE"""),"bed")</f>
        <v>bed</v>
      </c>
    </row>
    <row r="2172">
      <c r="D2172" s="6"/>
      <c r="I2172" s="6"/>
      <c r="M2172" s="6"/>
      <c r="Q2172" s="6" t="str">
        <f>IFERROR(__xludf.DUMMYFUNCTION("""COMPUTED_VALUE"""),"chong")</f>
        <v>chong</v>
      </c>
    </row>
    <row r="2173">
      <c r="D2173" s="6"/>
      <c r="I2173" s="6"/>
      <c r="M2173" s="6"/>
      <c r="Q2173" s="6" t="str">
        <f>IFERROR(__xludf.DUMMYFUNCTION("""COMPUTED_VALUE"""),"manipulating")</f>
        <v>manipulating</v>
      </c>
    </row>
    <row r="2174">
      <c r="D2174" s="6"/>
      <c r="I2174" s="6"/>
      <c r="M2174" s="6"/>
      <c r="Q2174" s="6" t="str">
        <f>IFERROR(__xludf.DUMMYFUNCTION("""COMPUTED_VALUE"""),"implications")</f>
        <v>implications</v>
      </c>
    </row>
    <row r="2175">
      <c r="D2175" s="6"/>
      <c r="I2175" s="6"/>
      <c r="M2175" s="6"/>
      <c r="Q2175" s="6" t="str">
        <f>IFERROR(__xludf.DUMMYFUNCTION("""COMPUTED_VALUE"""),"hypothesis")</f>
        <v>hypothesis</v>
      </c>
    </row>
    <row r="2176">
      <c r="D2176" s="6"/>
      <c r="I2176" s="6"/>
      <c r="M2176" s="6"/>
      <c r="Q2176" s="6" t="str">
        <f>IFERROR(__xludf.DUMMYFUNCTION("""COMPUTED_VALUE"""),"elemental")</f>
        <v>elemental</v>
      </c>
    </row>
    <row r="2177">
      <c r="D2177" s="6"/>
      <c r="I2177" s="6"/>
      <c r="M2177" s="6"/>
      <c r="Q2177" s="6" t="str">
        <f>IFERROR(__xludf.DUMMYFUNCTION("""COMPUTED_VALUE"""),"wrestler")</f>
        <v>wrestler</v>
      </c>
    </row>
    <row r="2178">
      <c r="D2178" s="6"/>
      <c r="I2178" s="6"/>
      <c r="M2178" s="6"/>
      <c r="Q2178" s="6" t="str">
        <f>IFERROR(__xludf.DUMMYFUNCTION("""COMPUTED_VALUE"""),"prostitute")</f>
        <v>prostitute</v>
      </c>
    </row>
    <row r="2179">
      <c r="D2179" s="6"/>
      <c r="I2179" s="6"/>
      <c r="M2179" s="6"/>
      <c r="Q2179" s="6" t="str">
        <f>IFERROR(__xludf.DUMMYFUNCTION("""COMPUTED_VALUE"""),"needy")</f>
        <v>needy</v>
      </c>
    </row>
    <row r="2180">
      <c r="D2180" s="6"/>
      <c r="I2180" s="6"/>
      <c r="M2180" s="6"/>
      <c r="Q2180" s="6" t="str">
        <f>IFERROR(__xludf.DUMMYFUNCTION("""COMPUTED_VALUE"""),"radioactive")</f>
        <v>radioactive</v>
      </c>
    </row>
    <row r="2181">
      <c r="D2181" s="6"/>
      <c r="I2181" s="6"/>
      <c r="M2181" s="6"/>
      <c r="Q2181" s="6" t="str">
        <f>IFERROR(__xludf.DUMMYFUNCTION("""COMPUTED_VALUE"""),"destructive")</f>
        <v>destructive</v>
      </c>
    </row>
    <row r="2182">
      <c r="D2182" s="6"/>
      <c r="I2182" s="6"/>
      <c r="M2182" s="6"/>
      <c r="Q2182" s="6" t="str">
        <f>IFERROR(__xludf.DUMMYFUNCTION("""COMPUTED_VALUE"""),"demonic")</f>
        <v>demonic</v>
      </c>
    </row>
    <row r="2183">
      <c r="D2183" s="6"/>
      <c r="I2183" s="6"/>
      <c r="M2183" s="6"/>
      <c r="Q2183" s="6" t="str">
        <f>IFERROR(__xludf.DUMMYFUNCTION("""COMPUTED_VALUE"""),"laden")</f>
        <v>laden</v>
      </c>
    </row>
    <row r="2184">
      <c r="D2184" s="6"/>
      <c r="I2184" s="6"/>
      <c r="M2184" s="6"/>
      <c r="Q2184" s="6" t="str">
        <f>IFERROR(__xludf.DUMMYFUNCTION("""COMPUTED_VALUE"""),"siren")</f>
        <v>siren</v>
      </c>
    </row>
    <row r="2185">
      <c r="D2185" s="6"/>
      <c r="I2185" s="6"/>
      <c r="M2185" s="6"/>
      <c r="Q2185" s="6" t="str">
        <f>IFERROR(__xludf.DUMMYFUNCTION("""COMPUTED_VALUE"""),"poking")</f>
        <v>poking</v>
      </c>
    </row>
    <row r="2186">
      <c r="D2186" s="6"/>
      <c r="I2186" s="6"/>
      <c r="M2186" s="6"/>
      <c r="Q2186" s="6" t="str">
        <f>IFERROR(__xludf.DUMMYFUNCTION("""COMPUTED_VALUE"""),"metropolitan")</f>
        <v>metropolitan</v>
      </c>
    </row>
    <row r="2187">
      <c r="D2187" s="6"/>
      <c r="I2187" s="6"/>
      <c r="M2187" s="6"/>
      <c r="Q2187" s="6" t="str">
        <f>IFERROR(__xludf.DUMMYFUNCTION("""COMPUTED_VALUE"""),"hades")</f>
        <v>hades</v>
      </c>
    </row>
    <row r="2188">
      <c r="D2188" s="6"/>
      <c r="I2188" s="6"/>
      <c r="M2188" s="6"/>
      <c r="Q2188" s="6" t="str">
        <f>IFERROR(__xludf.DUMMYFUNCTION("""COMPUTED_VALUE"""),"holmes")</f>
        <v>holmes</v>
      </c>
    </row>
    <row r="2189">
      <c r="D2189" s="6"/>
      <c r="I2189" s="6"/>
      <c r="M2189" s="6"/>
      <c r="Q2189" s="6" t="str">
        <f>IFERROR(__xludf.DUMMYFUNCTION("""COMPUTED_VALUE"""),"senses")</f>
        <v>senses</v>
      </c>
    </row>
    <row r="2190">
      <c r="D2190" s="6"/>
      <c r="I2190" s="6"/>
      <c r="M2190" s="6"/>
      <c r="Q2190" s="6" t="str">
        <f>IFERROR(__xludf.DUMMYFUNCTION("""COMPUTED_VALUE"""),"refined")</f>
        <v>refined</v>
      </c>
    </row>
    <row r="2191">
      <c r="D2191" s="6"/>
      <c r="I2191" s="6"/>
      <c r="M2191" s="6"/>
      <c r="Q2191" s="6" t="str">
        <f>IFERROR(__xludf.DUMMYFUNCTION("""COMPUTED_VALUE"""),"convictions")</f>
        <v>convictions</v>
      </c>
    </row>
    <row r="2192">
      <c r="D2192" s="6"/>
      <c r="I2192" s="6"/>
      <c r="M2192" s="6"/>
      <c r="Q2192" s="6" t="str">
        <f>IFERROR(__xludf.DUMMYFUNCTION("""COMPUTED_VALUE"""),"posing")</f>
        <v>posing</v>
      </c>
    </row>
    <row r="2193">
      <c r="D2193" s="6"/>
      <c r="I2193" s="6"/>
      <c r="M2193" s="6"/>
      <c r="Q2193" s="6" t="str">
        <f>IFERROR(__xludf.DUMMYFUNCTION("""COMPUTED_VALUE"""),"populace")</f>
        <v>populace</v>
      </c>
    </row>
    <row r="2194">
      <c r="D2194" s="6"/>
      <c r="I2194" s="6"/>
      <c r="M2194" s="6"/>
      <c r="Q2194" s="6" t="str">
        <f>IFERROR(__xludf.DUMMYFUNCTION("""COMPUTED_VALUE"""),"pageant")</f>
        <v>pageant</v>
      </c>
    </row>
    <row r="2195">
      <c r="D2195" s="6"/>
      <c r="I2195" s="6"/>
      <c r="M2195" s="6"/>
      <c r="Q2195" s="6" t="str">
        <f>IFERROR(__xludf.DUMMYFUNCTION("""COMPUTED_VALUE"""),"journalist")</f>
        <v>journalist</v>
      </c>
    </row>
    <row r="2196">
      <c r="D2196" s="6"/>
      <c r="I2196" s="6"/>
      <c r="M2196" s="6"/>
      <c r="Q2196" s="6" t="str">
        <f>IFERROR(__xludf.DUMMYFUNCTION("""COMPUTED_VALUE"""),"noticeable")</f>
        <v>noticeable</v>
      </c>
    </row>
    <row r="2197">
      <c r="D2197" s="6"/>
      <c r="I2197" s="6"/>
      <c r="M2197" s="6"/>
      <c r="Q2197" s="6" t="str">
        <f>IFERROR(__xludf.DUMMYFUNCTION("""COMPUTED_VALUE"""),"exasperated")</f>
        <v>exasperated</v>
      </c>
    </row>
    <row r="2198">
      <c r="D2198" s="6"/>
      <c r="I2198" s="6"/>
      <c r="M2198" s="6"/>
      <c r="Q2198" s="6" t="str">
        <f>IFERROR(__xludf.DUMMYFUNCTION("""COMPUTED_VALUE"""),"venice")</f>
        <v>venice</v>
      </c>
    </row>
    <row r="2199">
      <c r="D2199" s="6"/>
      <c r="I2199" s="6"/>
      <c r="M2199" s="6"/>
      <c r="Q2199" s="6" t="str">
        <f>IFERROR(__xludf.DUMMYFUNCTION("""COMPUTED_VALUE"""),"mika")</f>
        <v>mika</v>
      </c>
    </row>
    <row r="2200">
      <c r="D2200" s="6"/>
      <c r="I2200" s="6"/>
      <c r="M2200" s="6"/>
      <c r="Q2200" s="6" t="str">
        <f>IFERROR(__xludf.DUMMYFUNCTION("""COMPUTED_VALUE"""),"fallon")</f>
        <v>fallon</v>
      </c>
    </row>
    <row r="2201">
      <c r="D2201" s="6"/>
      <c r="I2201" s="6"/>
      <c r="M2201" s="6"/>
      <c r="Q2201" s="6" t="str">
        <f>IFERROR(__xludf.DUMMYFUNCTION("""COMPUTED_VALUE"""),"forgiveness")</f>
        <v>forgiveness</v>
      </c>
    </row>
    <row r="2202">
      <c r="D2202" s="6"/>
      <c r="I2202" s="6"/>
      <c r="M2202" s="6"/>
      <c r="Q2202" s="6" t="str">
        <f>IFERROR(__xludf.DUMMYFUNCTION("""COMPUTED_VALUE"""),"cinematographer")</f>
        <v>cinematographer</v>
      </c>
    </row>
    <row r="2203">
      <c r="D2203" s="6"/>
      <c r="I2203" s="6"/>
      <c r="M2203" s="6"/>
      <c r="Q2203" s="6" t="str">
        <f>IFERROR(__xludf.DUMMYFUNCTION("""COMPUTED_VALUE"""),"stevens")</f>
        <v>stevens</v>
      </c>
    </row>
    <row r="2204">
      <c r="D2204" s="6"/>
      <c r="I2204" s="6"/>
      <c r="M2204" s="6"/>
      <c r="Q2204" s="6" t="str">
        <f>IFERROR(__xludf.DUMMYFUNCTION("""COMPUTED_VALUE"""),"playstation")</f>
        <v>playstation</v>
      </c>
    </row>
    <row r="2205">
      <c r="D2205" s="6"/>
      <c r="I2205" s="6"/>
      <c r="M2205" s="6"/>
      <c r="Q2205" s="6" t="str">
        <f>IFERROR(__xludf.DUMMYFUNCTION("""COMPUTED_VALUE"""),"mtv")</f>
        <v>mtv</v>
      </c>
    </row>
    <row r="2206">
      <c r="D2206" s="6"/>
      <c r="I2206" s="6"/>
      <c r="M2206" s="6"/>
      <c r="Q2206" s="6" t="str">
        <f>IFERROR(__xludf.DUMMYFUNCTION("""COMPUTED_VALUE"""),"hysteria")</f>
        <v>hysteria</v>
      </c>
    </row>
    <row r="2207">
      <c r="D2207" s="6"/>
      <c r="I2207" s="6"/>
      <c r="M2207" s="6"/>
      <c r="Q2207" s="6" t="str">
        <f>IFERROR(__xludf.DUMMYFUNCTION("""COMPUTED_VALUE"""),"barbarian")</f>
        <v>barbarian</v>
      </c>
    </row>
    <row r="2208">
      <c r="D2208" s="6"/>
      <c r="I2208" s="6"/>
      <c r="M2208" s="6"/>
      <c r="Q2208" s="6" t="str">
        <f>IFERROR(__xludf.DUMMYFUNCTION("""COMPUTED_VALUE"""),"ethan")</f>
        <v>ethan</v>
      </c>
    </row>
    <row r="2209">
      <c r="D2209" s="6"/>
      <c r="I2209" s="6"/>
      <c r="M2209" s="6"/>
      <c r="Q2209" s="6" t="str">
        <f>IFERROR(__xludf.DUMMYFUNCTION("""COMPUTED_VALUE"""),"threatens")</f>
        <v>threatens</v>
      </c>
    </row>
    <row r="2210">
      <c r="D2210" s="6"/>
      <c r="I2210" s="6"/>
      <c r="M2210" s="6"/>
      <c r="Q2210" s="6" t="str">
        <f>IFERROR(__xludf.DUMMYFUNCTION("""COMPUTED_VALUE"""),"resentment")</f>
        <v>resentment</v>
      </c>
    </row>
    <row r="2211">
      <c r="D2211" s="6"/>
      <c r="I2211" s="6"/>
      <c r="M2211" s="6"/>
      <c r="Q2211" s="6" t="str">
        <f>IFERROR(__xludf.DUMMYFUNCTION("""COMPUTED_VALUE"""),"acquire")</f>
        <v>acquire</v>
      </c>
    </row>
    <row r="2212">
      <c r="D2212" s="6"/>
      <c r="I2212" s="6"/>
      <c r="M2212" s="6"/>
      <c r="Q2212" s="6" t="str">
        <f>IFERROR(__xludf.DUMMYFUNCTION("""COMPUTED_VALUE"""),"hypnotic")</f>
        <v>hypnotic</v>
      </c>
    </row>
    <row r="2213">
      <c r="D2213" s="6"/>
      <c r="I2213" s="6"/>
      <c r="M2213" s="6"/>
      <c r="Q2213" s="6" t="str">
        <f>IFERROR(__xludf.DUMMYFUNCTION("""COMPUTED_VALUE"""),"welsh")</f>
        <v>welsh</v>
      </c>
    </row>
    <row r="2214">
      <c r="D2214" s="6"/>
      <c r="I2214" s="6"/>
      <c r="M2214" s="6"/>
      <c r="Q2214" s="6" t="str">
        <f>IFERROR(__xludf.DUMMYFUNCTION("""COMPUTED_VALUE"""),"goose")</f>
        <v>goose</v>
      </c>
    </row>
    <row r="2215">
      <c r="D2215" s="6"/>
      <c r="I2215" s="6"/>
      <c r="M2215" s="6"/>
      <c r="Q2215" s="6" t="str">
        <f>IFERROR(__xludf.DUMMYFUNCTION("""COMPUTED_VALUE"""),"rape")</f>
        <v>rape</v>
      </c>
    </row>
    <row r="2216">
      <c r="D2216" s="6"/>
      <c r="I2216" s="6"/>
      <c r="M2216" s="6"/>
      <c r="Q2216" s="6" t="str">
        <f>IFERROR(__xludf.DUMMYFUNCTION("""COMPUTED_VALUE"""),"stuart")</f>
        <v>stuart</v>
      </c>
    </row>
    <row r="2217">
      <c r="D2217" s="6"/>
      <c r="I2217" s="6"/>
      <c r="M2217" s="6"/>
      <c r="Q2217" s="6" t="str">
        <f>IFERROR(__xludf.DUMMYFUNCTION("""COMPUTED_VALUE"""),"believing")</f>
        <v>believing</v>
      </c>
    </row>
    <row r="2218">
      <c r="D2218" s="6"/>
      <c r="I2218" s="6"/>
      <c r="M2218" s="6"/>
      <c r="Q2218" s="6" t="str">
        <f>IFERROR(__xludf.DUMMYFUNCTION("""COMPUTED_VALUE"""),"siegel")</f>
        <v>siegel</v>
      </c>
    </row>
    <row r="2219">
      <c r="D2219" s="6"/>
      <c r="I2219" s="6"/>
      <c r="M2219" s="6"/>
      <c r="Q2219" s="6" t="str">
        <f>IFERROR(__xludf.DUMMYFUNCTION("""COMPUTED_VALUE"""),"lo")</f>
        <v>lo</v>
      </c>
    </row>
    <row r="2220">
      <c r="D2220" s="6"/>
      <c r="I2220" s="6"/>
      <c r="M2220" s="6"/>
      <c r="Q2220" s="6" t="str">
        <f>IFERROR(__xludf.DUMMYFUNCTION("""COMPUTED_VALUE"""),"parochial")</f>
        <v>parochial</v>
      </c>
    </row>
    <row r="2221">
      <c r="D2221" s="6"/>
      <c r="I2221" s="6"/>
      <c r="M2221" s="6"/>
      <c r="Q2221" s="6" t="str">
        <f>IFERROR(__xludf.DUMMYFUNCTION("""COMPUTED_VALUE"""),"romero")</f>
        <v>romero</v>
      </c>
    </row>
    <row r="2222">
      <c r="D2222" s="6"/>
      <c r="I2222" s="6"/>
      <c r="M2222" s="6"/>
      <c r="Q2222" s="6" t="str">
        <f>IFERROR(__xludf.DUMMYFUNCTION("""COMPUTED_VALUE"""),"friendships")</f>
        <v>friendships</v>
      </c>
    </row>
    <row r="2223">
      <c r="D2223" s="6"/>
      <c r="I2223" s="6"/>
      <c r="M2223" s="6"/>
      <c r="Q2223" s="6" t="str">
        <f>IFERROR(__xludf.DUMMYFUNCTION("""COMPUTED_VALUE"""),"philip")</f>
        <v>philip</v>
      </c>
    </row>
    <row r="2224">
      <c r="D2224" s="6"/>
      <c r="I2224" s="6"/>
      <c r="M2224" s="6"/>
      <c r="Q2224" s="6" t="str">
        <f>IFERROR(__xludf.DUMMYFUNCTION("""COMPUTED_VALUE"""),"rosario")</f>
        <v>rosario</v>
      </c>
    </row>
    <row r="2225">
      <c r="D2225" s="6"/>
      <c r="I2225" s="6"/>
      <c r="M2225" s="6"/>
      <c r="Q2225" s="6" t="str">
        <f>IFERROR(__xludf.DUMMYFUNCTION("""COMPUTED_VALUE"""),"fragmented")</f>
        <v>fragmented</v>
      </c>
    </row>
    <row r="2226">
      <c r="D2226" s="6"/>
      <c r="I2226" s="6"/>
      <c r="M2226" s="6"/>
      <c r="Q2226" s="6" t="str">
        <f>IFERROR(__xludf.DUMMYFUNCTION("""COMPUTED_VALUE"""),"enhancing")</f>
        <v>enhancing</v>
      </c>
    </row>
    <row r="2227">
      <c r="D2227" s="6"/>
      <c r="I2227" s="6"/>
      <c r="M2227" s="6"/>
      <c r="Q2227" s="6" t="str">
        <f>IFERROR(__xludf.DUMMYFUNCTION("""COMPUTED_VALUE"""),"feral")</f>
        <v>feral</v>
      </c>
    </row>
    <row r="2228">
      <c r="D2228" s="6"/>
      <c r="I2228" s="6"/>
      <c r="M2228" s="6"/>
      <c r="Q2228" s="6" t="str">
        <f>IFERROR(__xludf.DUMMYFUNCTION("""COMPUTED_VALUE"""),"romeo")</f>
        <v>romeo</v>
      </c>
    </row>
    <row r="2229">
      <c r="D2229" s="6"/>
      <c r="I2229" s="6"/>
      <c r="M2229" s="6"/>
      <c r="Q2229" s="6" t="str">
        <f>IFERROR(__xludf.DUMMYFUNCTION("""COMPUTED_VALUE"""),"decommissioned")</f>
        <v>decommissioned</v>
      </c>
    </row>
    <row r="2230">
      <c r="D2230" s="6"/>
      <c r="I2230" s="6"/>
      <c r="M2230" s="6"/>
      <c r="Q2230" s="6" t="str">
        <f>IFERROR(__xludf.DUMMYFUNCTION("""COMPUTED_VALUE"""),"trembling")</f>
        <v>trembling</v>
      </c>
    </row>
    <row r="2231">
      <c r="D2231" s="6"/>
      <c r="I2231" s="6"/>
      <c r="M2231" s="6"/>
      <c r="Q2231" s="6" t="str">
        <f>IFERROR(__xludf.DUMMYFUNCTION("""COMPUTED_VALUE"""),"humiliated")</f>
        <v>humiliated</v>
      </c>
    </row>
    <row r="2232">
      <c r="D2232" s="6"/>
      <c r="I2232" s="6"/>
      <c r="M2232" s="6"/>
      <c r="Q2232" s="6">
        <f>IFERROR(__xludf.DUMMYFUNCTION("""COMPUTED_VALUE"""),451.0)</f>
        <v>451</v>
      </c>
    </row>
    <row r="2233">
      <c r="D2233" s="6"/>
      <c r="I2233" s="6"/>
      <c r="M2233" s="6"/>
      <c r="Q2233" s="6" t="str">
        <f>IFERROR(__xludf.DUMMYFUNCTION("""COMPUTED_VALUE"""),"ivan")</f>
        <v>ivan</v>
      </c>
    </row>
    <row r="2234">
      <c r="D2234" s="6"/>
      <c r="I2234" s="6"/>
      <c r="M2234" s="6"/>
      <c r="Q2234" s="6">
        <f>IFERROR(__xludf.DUMMYFUNCTION("""COMPUTED_VALUE"""),1957.0)</f>
        <v>1957</v>
      </c>
    </row>
    <row r="2235">
      <c r="D2235" s="6"/>
      <c r="I2235" s="6"/>
      <c r="M2235" s="6"/>
      <c r="Q2235" s="6" t="str">
        <f>IFERROR(__xludf.DUMMYFUNCTION("""COMPUTED_VALUE"""),"heroism")</f>
        <v>heroism</v>
      </c>
    </row>
    <row r="2236">
      <c r="D2236" s="6"/>
      <c r="I2236" s="6"/>
      <c r="M2236" s="6"/>
      <c r="Q2236" s="6" t="str">
        <f>IFERROR(__xludf.DUMMYFUNCTION("""COMPUTED_VALUE"""),"consciously")</f>
        <v>consciously</v>
      </c>
    </row>
    <row r="2237">
      <c r="D2237" s="6"/>
      <c r="I2237" s="6"/>
      <c r="M2237" s="6"/>
      <c r="Q2237" s="6" t="str">
        <f>IFERROR(__xludf.DUMMYFUNCTION("""COMPUTED_VALUE"""),"asphalt")</f>
        <v>asphalt</v>
      </c>
    </row>
    <row r="2238">
      <c r="D2238" s="6"/>
      <c r="I2238" s="6"/>
      <c r="M2238" s="6"/>
      <c r="Q2238" s="6" t="str">
        <f>IFERROR(__xludf.DUMMYFUNCTION("""COMPUTED_VALUE"""),"persecuted")</f>
        <v>persecuted</v>
      </c>
    </row>
    <row r="2239">
      <c r="D2239" s="6"/>
      <c r="I2239" s="6"/>
      <c r="M2239" s="6"/>
      <c r="Q2239" s="6" t="str">
        <f>IFERROR(__xludf.DUMMYFUNCTION("""COMPUTED_VALUE"""),"tall")</f>
        <v>tall</v>
      </c>
    </row>
    <row r="2240">
      <c r="D2240" s="6"/>
      <c r="I2240" s="6"/>
      <c r="M2240" s="6"/>
      <c r="Q2240" s="6" t="str">
        <f>IFERROR(__xludf.DUMMYFUNCTION("""COMPUTED_VALUE"""),"retiring")</f>
        <v>retiring</v>
      </c>
    </row>
    <row r="2241">
      <c r="D2241" s="6"/>
      <c r="I2241" s="6"/>
      <c r="M2241" s="6"/>
      <c r="Q2241" s="6" t="str">
        <f>IFERROR(__xludf.DUMMYFUNCTION("""COMPUTED_VALUE"""),"longtime")</f>
        <v>longtime</v>
      </c>
    </row>
    <row r="2242">
      <c r="D2242" s="6"/>
      <c r="I2242" s="6"/>
      <c r="M2242" s="6"/>
      <c r="Q2242" s="6" t="str">
        <f>IFERROR(__xludf.DUMMYFUNCTION("""COMPUTED_VALUE"""),"tolkien")</f>
        <v>tolkien</v>
      </c>
    </row>
    <row r="2243">
      <c r="D2243" s="6"/>
      <c r="I2243" s="6"/>
      <c r="M2243" s="6"/>
      <c r="Q2243" s="6" t="str">
        <f>IFERROR(__xludf.DUMMYFUNCTION("""COMPUTED_VALUE"""),"twisting")</f>
        <v>twisting</v>
      </c>
    </row>
    <row r="2244">
      <c r="D2244" s="6"/>
      <c r="I2244" s="6"/>
      <c r="M2244" s="6"/>
      <c r="Q2244" s="6" t="str">
        <f>IFERROR(__xludf.DUMMYFUNCTION("""COMPUTED_VALUE"""),"littered")</f>
        <v>littered</v>
      </c>
    </row>
    <row r="2245">
      <c r="D2245" s="6"/>
      <c r="I2245" s="6"/>
      <c r="M2245" s="6"/>
      <c r="Q2245" s="6" t="str">
        <f>IFERROR(__xludf.DUMMYFUNCTION("""COMPUTED_VALUE"""),"methodology")</f>
        <v>methodology</v>
      </c>
    </row>
    <row r="2246">
      <c r="D2246" s="6"/>
      <c r="I2246" s="6"/>
      <c r="M2246" s="6"/>
      <c r="Q2246" s="6" t="str">
        <f>IFERROR(__xludf.DUMMYFUNCTION("""COMPUTED_VALUE"""),"cleavage")</f>
        <v>cleavage</v>
      </c>
    </row>
    <row r="2247">
      <c r="D2247" s="6"/>
      <c r="I2247" s="6"/>
      <c r="M2247" s="6"/>
      <c r="Q2247" s="6" t="str">
        <f>IFERROR(__xludf.DUMMYFUNCTION("""COMPUTED_VALUE"""),"hymn")</f>
        <v>hymn</v>
      </c>
    </row>
    <row r="2248">
      <c r="D2248" s="6"/>
      <c r="I2248" s="6"/>
      <c r="M2248" s="6"/>
      <c r="Q2248" s="6" t="str">
        <f>IFERROR(__xludf.DUMMYFUNCTION("""COMPUTED_VALUE"""),"pan")</f>
        <v>pan</v>
      </c>
    </row>
    <row r="2249">
      <c r="D2249" s="6"/>
      <c r="I2249" s="6"/>
      <c r="M2249" s="6"/>
      <c r="Q2249" s="6" t="str">
        <f>IFERROR(__xludf.DUMMYFUNCTION("""COMPUTED_VALUE"""),"inhabit")</f>
        <v>inhabit</v>
      </c>
    </row>
    <row r="2250">
      <c r="D2250" s="6"/>
      <c r="I2250" s="6"/>
      <c r="M2250" s="6"/>
      <c r="Q2250" s="6" t="str">
        <f>IFERROR(__xludf.DUMMYFUNCTION("""COMPUTED_VALUE"""),"crisis")</f>
        <v>crisis</v>
      </c>
    </row>
    <row r="2251">
      <c r="D2251" s="6"/>
      <c r="I2251" s="6"/>
      <c r="M2251" s="6"/>
      <c r="Q2251" s="6" t="str">
        <f>IFERROR(__xludf.DUMMYFUNCTION("""COMPUTED_VALUE"""),"sullivan")</f>
        <v>sullivan</v>
      </c>
    </row>
    <row r="2252">
      <c r="D2252" s="6"/>
      <c r="I2252" s="6"/>
      <c r="M2252" s="6"/>
      <c r="Q2252" s="6" t="str">
        <f>IFERROR(__xludf.DUMMYFUNCTION("""COMPUTED_VALUE"""),"predict")</f>
        <v>predict</v>
      </c>
    </row>
    <row r="2253">
      <c r="D2253" s="6"/>
      <c r="I2253" s="6"/>
      <c r="M2253" s="6"/>
      <c r="Q2253" s="6" t="str">
        <f>IFERROR(__xludf.DUMMYFUNCTION("""COMPUTED_VALUE"""),"villains")</f>
        <v>villains</v>
      </c>
    </row>
    <row r="2254">
      <c r="D2254" s="6"/>
      <c r="I2254" s="6"/>
      <c r="M2254" s="6"/>
      <c r="Q2254" s="6" t="str">
        <f>IFERROR(__xludf.DUMMYFUNCTION("""COMPUTED_VALUE"""),"servants")</f>
        <v>servants</v>
      </c>
    </row>
    <row r="2255">
      <c r="D2255" s="6"/>
      <c r="I2255" s="6"/>
      <c r="M2255" s="6"/>
      <c r="Q2255" s="6" t="str">
        <f>IFERROR(__xludf.DUMMYFUNCTION("""COMPUTED_VALUE"""),"inversion")</f>
        <v>inversion</v>
      </c>
    </row>
    <row r="2256">
      <c r="D2256" s="6"/>
      <c r="I2256" s="6"/>
      <c r="M2256" s="6"/>
      <c r="Q2256" s="6" t="str">
        <f>IFERROR(__xludf.DUMMYFUNCTION("""COMPUTED_VALUE"""),"remembrance")</f>
        <v>remembrance</v>
      </c>
    </row>
    <row r="2257">
      <c r="D2257" s="6"/>
      <c r="I2257" s="6"/>
      <c r="M2257" s="6"/>
      <c r="Q2257" s="6" t="str">
        <f>IFERROR(__xludf.DUMMYFUNCTION("""COMPUTED_VALUE"""),"learns")</f>
        <v>learns</v>
      </c>
    </row>
    <row r="2258">
      <c r="D2258" s="6"/>
      <c r="I2258" s="6"/>
      <c r="M2258" s="6"/>
      <c r="Q2258" s="6" t="str">
        <f>IFERROR(__xludf.DUMMYFUNCTION("""COMPUTED_VALUE"""),"ferris")</f>
        <v>ferris</v>
      </c>
    </row>
    <row r="2259">
      <c r="D2259" s="6"/>
      <c r="I2259" s="6"/>
      <c r="M2259" s="6"/>
      <c r="Q2259" s="6" t="str">
        <f>IFERROR(__xludf.DUMMYFUNCTION("""COMPUTED_VALUE"""),"narrated")</f>
        <v>narrated</v>
      </c>
    </row>
    <row r="2260">
      <c r="D2260" s="6"/>
      <c r="I2260" s="6"/>
      <c r="M2260" s="6"/>
      <c r="Q2260" s="6" t="str">
        <f>IFERROR(__xludf.DUMMYFUNCTION("""COMPUTED_VALUE"""),"landau")</f>
        <v>landau</v>
      </c>
    </row>
    <row r="2261">
      <c r="D2261" s="6"/>
      <c r="I2261" s="6"/>
      <c r="M2261" s="6"/>
      <c r="Q2261" s="6" t="str">
        <f>IFERROR(__xludf.DUMMYFUNCTION("""COMPUTED_VALUE"""),"error")</f>
        <v>error</v>
      </c>
    </row>
    <row r="2262">
      <c r="D2262" s="6"/>
      <c r="I2262" s="6"/>
      <c r="M2262" s="6"/>
      <c r="Q2262" s="6" t="str">
        <f>IFERROR(__xludf.DUMMYFUNCTION("""COMPUTED_VALUE"""),"germanic")</f>
        <v>germanic</v>
      </c>
    </row>
    <row r="2263">
      <c r="D2263" s="6"/>
      <c r="I2263" s="6"/>
      <c r="M2263" s="6"/>
      <c r="Q2263" s="6" t="str">
        <f>IFERROR(__xludf.DUMMYFUNCTION("""COMPUTED_VALUE"""),"instability")</f>
        <v>instability</v>
      </c>
    </row>
    <row r="2264">
      <c r="D2264" s="6"/>
      <c r="I2264" s="6"/>
      <c r="M2264" s="6"/>
      <c r="Q2264" s="6" t="str">
        <f>IFERROR(__xludf.DUMMYFUNCTION("""COMPUTED_VALUE"""),"keel")</f>
        <v>keel</v>
      </c>
    </row>
    <row r="2265">
      <c r="D2265" s="6"/>
      <c r="I2265" s="6"/>
      <c r="M2265" s="6"/>
      <c r="Q2265" s="6" t="str">
        <f>IFERROR(__xludf.DUMMYFUNCTION("""COMPUTED_VALUE"""),"tolerance")</f>
        <v>tolerance</v>
      </c>
    </row>
    <row r="2266">
      <c r="D2266" s="6"/>
      <c r="I2266" s="6"/>
      <c r="M2266" s="6"/>
      <c r="Q2266" s="6" t="str">
        <f>IFERROR(__xludf.DUMMYFUNCTION("""COMPUTED_VALUE"""),"electoral")</f>
        <v>electoral</v>
      </c>
    </row>
    <row r="2267">
      <c r="D2267" s="6"/>
      <c r="I2267" s="6"/>
      <c r="M2267" s="6"/>
      <c r="Q2267" s="6" t="str">
        <f>IFERROR(__xludf.DUMMYFUNCTION("""COMPUTED_VALUE"""),"prowess")</f>
        <v>prowess</v>
      </c>
    </row>
    <row r="2268">
      <c r="D2268" s="6"/>
      <c r="I2268" s="6"/>
      <c r="M2268" s="6"/>
      <c r="Q2268" s="6" t="str">
        <f>IFERROR(__xludf.DUMMYFUNCTION("""COMPUTED_VALUE"""),"preaching")</f>
        <v>preaching</v>
      </c>
    </row>
    <row r="2269">
      <c r="D2269" s="6"/>
      <c r="I2269" s="6"/>
      <c r="M2269" s="6"/>
      <c r="Q2269" s="6" t="str">
        <f>IFERROR(__xludf.DUMMYFUNCTION("""COMPUTED_VALUE"""),"reportedly")</f>
        <v>reportedly</v>
      </c>
    </row>
    <row r="2270">
      <c r="D2270" s="6"/>
      <c r="I2270" s="6"/>
      <c r="M2270" s="6"/>
      <c r="Q2270" s="6" t="str">
        <f>IFERROR(__xludf.DUMMYFUNCTION("""COMPUTED_VALUE"""),"harmed")</f>
        <v>harmed</v>
      </c>
    </row>
    <row r="2271">
      <c r="D2271" s="6"/>
      <c r="I2271" s="6"/>
      <c r="M2271" s="6"/>
      <c r="Q2271" s="6" t="str">
        <f>IFERROR(__xludf.DUMMYFUNCTION("""COMPUTED_VALUE"""),"dimensional")</f>
        <v>dimensional</v>
      </c>
    </row>
    <row r="2272">
      <c r="D2272" s="6"/>
      <c r="I2272" s="6"/>
      <c r="M2272" s="6"/>
      <c r="Q2272" s="6" t="str">
        <f>IFERROR(__xludf.DUMMYFUNCTION("""COMPUTED_VALUE"""),"tackled")</f>
        <v>tackled</v>
      </c>
    </row>
    <row r="2273">
      <c r="D2273" s="6"/>
      <c r="I2273" s="6"/>
      <c r="M2273" s="6"/>
      <c r="Q2273" s="6" t="str">
        <f>IFERROR(__xludf.DUMMYFUNCTION("""COMPUTED_VALUE"""),"byzantine")</f>
        <v>byzantine</v>
      </c>
    </row>
    <row r="2274">
      <c r="D2274" s="6"/>
      <c r="I2274" s="6"/>
      <c r="M2274" s="6"/>
      <c r="Q2274" s="6" t="str">
        <f>IFERROR(__xludf.DUMMYFUNCTION("""COMPUTED_VALUE"""),"barrie")</f>
        <v>barrie</v>
      </c>
    </row>
    <row r="2275">
      <c r="D2275" s="6"/>
      <c r="I2275" s="6"/>
      <c r="M2275" s="6"/>
      <c r="Q2275" s="6" t="str">
        <f>IFERROR(__xludf.DUMMYFUNCTION("""COMPUTED_VALUE"""),"stability")</f>
        <v>stability</v>
      </c>
    </row>
    <row r="2276">
      <c r="D2276" s="6"/>
      <c r="I2276" s="6"/>
      <c r="M2276" s="6"/>
      <c r="Q2276" s="6" t="str">
        <f>IFERROR(__xludf.DUMMYFUNCTION("""COMPUTED_VALUE"""),"pc")</f>
        <v>pc</v>
      </c>
    </row>
    <row r="2277">
      <c r="D2277" s="6"/>
      <c r="I2277" s="6"/>
      <c r="M2277" s="6"/>
      <c r="Q2277" s="6" t="str">
        <f>IFERROR(__xludf.DUMMYFUNCTION("""COMPUTED_VALUE"""),"marching")</f>
        <v>marching</v>
      </c>
    </row>
    <row r="2278">
      <c r="D2278" s="6"/>
      <c r="I2278" s="6"/>
      <c r="M2278" s="6"/>
      <c r="Q2278" s="6" t="str">
        <f>IFERROR(__xludf.DUMMYFUNCTION("""COMPUTED_VALUE"""),"percussion")</f>
        <v>percussion</v>
      </c>
    </row>
    <row r="2279">
      <c r="D2279" s="6"/>
      <c r="I2279" s="6"/>
      <c r="M2279" s="6"/>
      <c r="Q2279" s="6" t="str">
        <f>IFERROR(__xludf.DUMMYFUNCTION("""COMPUTED_VALUE"""),"ninth")</f>
        <v>ninth</v>
      </c>
    </row>
    <row r="2280">
      <c r="D2280" s="6"/>
      <c r="I2280" s="6"/>
      <c r="M2280" s="6"/>
      <c r="Q2280" s="6" t="str">
        <f>IFERROR(__xludf.DUMMYFUNCTION("""COMPUTED_VALUE"""),"develops")</f>
        <v>develops</v>
      </c>
    </row>
    <row r="2281">
      <c r="D2281" s="6"/>
      <c r="I2281" s="6"/>
      <c r="M2281" s="6"/>
      <c r="Q2281" s="6" t="str">
        <f>IFERROR(__xludf.DUMMYFUNCTION("""COMPUTED_VALUE"""),"ballot")</f>
        <v>ballot</v>
      </c>
    </row>
    <row r="2282">
      <c r="D2282" s="6"/>
      <c r="I2282" s="6"/>
      <c r="M2282" s="6"/>
      <c r="Q2282" s="6" t="str">
        <f>IFERROR(__xludf.DUMMYFUNCTION("""COMPUTED_VALUE"""),"map")</f>
        <v>map</v>
      </c>
    </row>
    <row r="2283">
      <c r="D2283" s="6"/>
      <c r="I2283" s="6"/>
      <c r="M2283" s="6"/>
      <c r="Q2283" s="6" t="str">
        <f>IFERROR(__xludf.DUMMYFUNCTION("""COMPUTED_VALUE"""),"torn")</f>
        <v>torn</v>
      </c>
    </row>
    <row r="2284">
      <c r="D2284" s="6"/>
      <c r="I2284" s="6"/>
      <c r="M2284" s="6"/>
      <c r="Q2284" s="6" t="str">
        <f>IFERROR(__xludf.DUMMYFUNCTION("""COMPUTED_VALUE"""),"cheered")</f>
        <v>cheered</v>
      </c>
    </row>
    <row r="2285">
      <c r="D2285" s="6"/>
      <c r="I2285" s="6"/>
      <c r="M2285" s="6"/>
      <c r="Q2285" s="6" t="str">
        <f>IFERROR(__xludf.DUMMYFUNCTION("""COMPUTED_VALUE"""),"integrating")</f>
        <v>integrating</v>
      </c>
    </row>
    <row r="2286">
      <c r="D2286" s="6"/>
      <c r="I2286" s="6"/>
      <c r="M2286" s="6"/>
      <c r="Q2286" s="6" t="str">
        <f>IFERROR(__xludf.DUMMYFUNCTION("""COMPUTED_VALUE"""),"nouvelle")</f>
        <v>nouvelle</v>
      </c>
    </row>
    <row r="2287">
      <c r="D2287" s="6"/>
      <c r="I2287" s="6"/>
      <c r="M2287" s="6"/>
      <c r="Q2287" s="6" t="str">
        <f>IFERROR(__xludf.DUMMYFUNCTION("""COMPUTED_VALUE"""),"bluff")</f>
        <v>bluff</v>
      </c>
    </row>
    <row r="2288">
      <c r="D2288" s="6"/>
      <c r="I2288" s="6"/>
      <c r="M2288" s="6"/>
      <c r="Q2288" s="6" t="str">
        <f>IFERROR(__xludf.DUMMYFUNCTION("""COMPUTED_VALUE"""),"wreckage")</f>
        <v>wreckage</v>
      </c>
    </row>
    <row r="2289">
      <c r="D2289" s="6"/>
      <c r="I2289" s="6"/>
      <c r="M2289" s="6"/>
      <c r="Q2289" s="6" t="str">
        <f>IFERROR(__xludf.DUMMYFUNCTION("""COMPUTED_VALUE"""),"parrot")</f>
        <v>parrot</v>
      </c>
    </row>
    <row r="2290">
      <c r="D2290" s="6"/>
      <c r="I2290" s="6"/>
      <c r="M2290" s="6"/>
      <c r="Q2290" s="6" t="str">
        <f>IFERROR(__xludf.DUMMYFUNCTION("""COMPUTED_VALUE"""),"interrogation")</f>
        <v>interrogation</v>
      </c>
    </row>
    <row r="2291">
      <c r="D2291" s="6"/>
      <c r="I2291" s="6"/>
      <c r="M2291" s="6"/>
      <c r="Q2291" s="6" t="str">
        <f>IFERROR(__xludf.DUMMYFUNCTION("""COMPUTED_VALUE"""),"huskies")</f>
        <v>huskies</v>
      </c>
    </row>
    <row r="2292">
      <c r="D2292" s="6"/>
      <c r="I2292" s="6"/>
      <c r="M2292" s="6"/>
      <c r="Q2292" s="6" t="str">
        <f>IFERROR(__xludf.DUMMYFUNCTION("""COMPUTED_VALUE"""),"discarded")</f>
        <v>discarded</v>
      </c>
    </row>
    <row r="2293">
      <c r="D2293" s="6"/>
      <c r="I2293" s="6"/>
      <c r="M2293" s="6"/>
      <c r="Q2293" s="6" t="str">
        <f>IFERROR(__xludf.DUMMYFUNCTION("""COMPUTED_VALUE"""),"humming")</f>
        <v>humming</v>
      </c>
    </row>
    <row r="2294">
      <c r="D2294" s="6"/>
      <c r="I2294" s="6"/>
      <c r="M2294" s="6"/>
      <c r="Q2294" s="6" t="str">
        <f>IFERROR(__xludf.DUMMYFUNCTION("""COMPUTED_VALUE"""),"ticking")</f>
        <v>ticking</v>
      </c>
    </row>
    <row r="2295">
      <c r="D2295" s="6"/>
      <c r="I2295" s="6"/>
      <c r="M2295" s="6"/>
      <c r="Q2295" s="6" t="str">
        <f>IFERROR(__xludf.DUMMYFUNCTION("""COMPUTED_VALUE"""),"millennium")</f>
        <v>millennium</v>
      </c>
    </row>
    <row r="2296">
      <c r="D2296" s="6"/>
      <c r="I2296" s="6"/>
      <c r="M2296" s="6"/>
      <c r="Q2296" s="6" t="str">
        <f>IFERROR(__xludf.DUMMYFUNCTION("""COMPUTED_VALUE"""),"overview")</f>
        <v>overview</v>
      </c>
    </row>
    <row r="2297">
      <c r="D2297" s="6"/>
      <c r="I2297" s="6"/>
      <c r="M2297" s="6"/>
      <c r="Q2297" s="6" t="str">
        <f>IFERROR(__xludf.DUMMYFUNCTION("""COMPUTED_VALUE"""),"omnibus")</f>
        <v>omnibus</v>
      </c>
    </row>
    <row r="2298">
      <c r="D2298" s="6"/>
      <c r="I2298" s="6"/>
      <c r="M2298" s="6"/>
      <c r="Q2298" s="6" t="str">
        <f>IFERROR(__xludf.DUMMYFUNCTION("""COMPUTED_VALUE"""),"mobility")</f>
        <v>mobility</v>
      </c>
    </row>
    <row r="2299">
      <c r="D2299" s="6"/>
      <c r="I2299" s="6"/>
      <c r="M2299" s="6"/>
      <c r="Q2299" s="6" t="str">
        <f>IFERROR(__xludf.DUMMYFUNCTION("""COMPUTED_VALUE"""),"monday")</f>
        <v>monday</v>
      </c>
    </row>
    <row r="2300">
      <c r="D2300" s="6"/>
      <c r="I2300" s="6"/>
      <c r="M2300" s="6"/>
      <c r="Q2300" s="6" t="str">
        <f>IFERROR(__xludf.DUMMYFUNCTION("""COMPUTED_VALUE"""),"prisoners")</f>
        <v>prisoners</v>
      </c>
    </row>
    <row r="2301">
      <c r="D2301" s="6"/>
      <c r="I2301" s="6"/>
      <c r="M2301" s="6"/>
      <c r="Q2301" s="6" t="str">
        <f>IFERROR(__xludf.DUMMYFUNCTION("""COMPUTED_VALUE"""),"eisenhower")</f>
        <v>eisenhower</v>
      </c>
    </row>
    <row r="2302">
      <c r="D2302" s="6"/>
      <c r="I2302" s="6"/>
      <c r="M2302" s="6"/>
      <c r="Q2302" s="6" t="str">
        <f>IFERROR(__xludf.DUMMYFUNCTION("""COMPUTED_VALUE"""),"prolific")</f>
        <v>prolific</v>
      </c>
    </row>
    <row r="2303">
      <c r="D2303" s="6"/>
      <c r="I2303" s="6"/>
      <c r="M2303" s="6"/>
      <c r="Q2303" s="6" t="str">
        <f>IFERROR(__xludf.DUMMYFUNCTION("""COMPUTED_VALUE"""),"lunar")</f>
        <v>lunar</v>
      </c>
    </row>
    <row r="2304">
      <c r="D2304" s="6"/>
      <c r="I2304" s="6"/>
      <c r="M2304" s="6"/>
      <c r="Q2304" s="6" t="str">
        <f>IFERROR(__xludf.DUMMYFUNCTION("""COMPUTED_VALUE"""),"interpreting")</f>
        <v>interpreting</v>
      </c>
    </row>
    <row r="2305">
      <c r="D2305" s="6"/>
      <c r="I2305" s="6"/>
      <c r="M2305" s="6"/>
      <c r="Q2305" s="6" t="str">
        <f>IFERROR(__xludf.DUMMYFUNCTION("""COMPUTED_VALUE"""),"underworld")</f>
        <v>underworld</v>
      </c>
    </row>
    <row r="2306">
      <c r="D2306" s="6"/>
      <c r="I2306" s="6"/>
      <c r="M2306" s="6"/>
      <c r="Q2306" s="6" t="str">
        <f>IFERROR(__xludf.DUMMYFUNCTION("""COMPUTED_VALUE"""),"gifford")</f>
        <v>gifford</v>
      </c>
    </row>
    <row r="2307">
      <c r="D2307" s="6"/>
      <c r="I2307" s="6"/>
      <c r="M2307" s="6"/>
      <c r="Q2307" s="6" t="str">
        <f>IFERROR(__xludf.DUMMYFUNCTION("""COMPUTED_VALUE"""),"disturbance")</f>
        <v>disturbance</v>
      </c>
    </row>
    <row r="2308">
      <c r="D2308" s="6"/>
      <c r="I2308" s="6"/>
      <c r="M2308" s="6"/>
      <c r="Q2308" s="6" t="str">
        <f>IFERROR(__xludf.DUMMYFUNCTION("""COMPUTED_VALUE"""),"bender")</f>
        <v>bender</v>
      </c>
    </row>
    <row r="2309">
      <c r="D2309" s="6"/>
      <c r="I2309" s="6"/>
      <c r="M2309" s="6"/>
      <c r="Q2309" s="6" t="str">
        <f>IFERROR(__xludf.DUMMYFUNCTION("""COMPUTED_VALUE"""),"precedent")</f>
        <v>precedent</v>
      </c>
    </row>
    <row r="2310">
      <c r="D2310" s="6"/>
      <c r="I2310" s="6"/>
      <c r="M2310" s="6"/>
      <c r="Q2310" s="6" t="str">
        <f>IFERROR(__xludf.DUMMYFUNCTION("""COMPUTED_VALUE"""),"catastrophic")</f>
        <v>catastrophic</v>
      </c>
    </row>
    <row r="2311">
      <c r="D2311" s="6"/>
      <c r="I2311" s="6"/>
      <c r="M2311" s="6"/>
      <c r="Q2311" s="6" t="str">
        <f>IFERROR(__xludf.DUMMYFUNCTION("""COMPUTED_VALUE"""),"contempt")</f>
        <v>contempt</v>
      </c>
    </row>
    <row r="2312">
      <c r="D2312" s="6"/>
      <c r="I2312" s="6"/>
      <c r="M2312" s="6"/>
      <c r="Q2312" s="6">
        <f>IFERROR(__xludf.DUMMYFUNCTION("""COMPUTED_VALUE"""),1973.0)</f>
        <v>1973</v>
      </c>
    </row>
    <row r="2313">
      <c r="D2313" s="6"/>
      <c r="I2313" s="6"/>
      <c r="M2313" s="6"/>
      <c r="Q2313" s="6" t="str">
        <f>IFERROR(__xludf.DUMMYFUNCTION("""COMPUTED_VALUE"""),"pact")</f>
        <v>pact</v>
      </c>
    </row>
    <row r="2314">
      <c r="D2314" s="6"/>
      <c r="I2314" s="6"/>
      <c r="M2314" s="6"/>
      <c r="Q2314" s="6" t="str">
        <f>IFERROR(__xludf.DUMMYFUNCTION("""COMPUTED_VALUE"""),"grave")</f>
        <v>grave</v>
      </c>
    </row>
    <row r="2315">
      <c r="D2315" s="6"/>
      <c r="I2315" s="6"/>
      <c r="M2315" s="6"/>
      <c r="Q2315" s="6" t="str">
        <f>IFERROR(__xludf.DUMMYFUNCTION("""COMPUTED_VALUE"""),"jaw")</f>
        <v>jaw</v>
      </c>
    </row>
    <row r="2316">
      <c r="D2316" s="6"/>
      <c r="I2316" s="6"/>
      <c r="M2316" s="6"/>
      <c r="Q2316" s="6" t="str">
        <f>IFERROR(__xludf.DUMMYFUNCTION("""COMPUTED_VALUE"""),"crushing")</f>
        <v>crushing</v>
      </c>
    </row>
    <row r="2317">
      <c r="D2317" s="6"/>
      <c r="I2317" s="6"/>
      <c r="M2317" s="6"/>
      <c r="Q2317" s="6" t="str">
        <f>IFERROR(__xludf.DUMMYFUNCTION("""COMPUTED_VALUE"""),"dear")</f>
        <v>dear</v>
      </c>
    </row>
    <row r="2318">
      <c r="D2318" s="6"/>
      <c r="I2318" s="6"/>
      <c r="M2318" s="6"/>
      <c r="Q2318" s="6" t="str">
        <f>IFERROR(__xludf.DUMMYFUNCTION("""COMPUTED_VALUE"""),"fragment")</f>
        <v>fragment</v>
      </c>
    </row>
    <row r="2319">
      <c r="D2319" s="6"/>
      <c r="I2319" s="6"/>
      <c r="M2319" s="6"/>
      <c r="Q2319" s="6" t="str">
        <f>IFERROR(__xludf.DUMMYFUNCTION("""COMPUTED_VALUE"""),"pornographic")</f>
        <v>pornographic</v>
      </c>
    </row>
    <row r="2320">
      <c r="D2320" s="6"/>
      <c r="I2320" s="6"/>
      <c r="M2320" s="6"/>
      <c r="Q2320" s="6" t="str">
        <f>IFERROR(__xludf.DUMMYFUNCTION("""COMPUTED_VALUE"""),"frontal")</f>
        <v>frontal</v>
      </c>
    </row>
    <row r="2321">
      <c r="D2321" s="6"/>
      <c r="I2321" s="6"/>
      <c r="M2321" s="6"/>
      <c r="Q2321" s="6" t="str">
        <f>IFERROR(__xludf.DUMMYFUNCTION("""COMPUTED_VALUE"""),"virtue")</f>
        <v>virtue</v>
      </c>
    </row>
    <row r="2322">
      <c r="D2322" s="6"/>
      <c r="I2322" s="6"/>
      <c r="M2322" s="6"/>
      <c r="Q2322" s="6" t="str">
        <f>IFERROR(__xludf.DUMMYFUNCTION("""COMPUTED_VALUE"""),"fused")</f>
        <v>fused</v>
      </c>
    </row>
    <row r="2323">
      <c r="D2323" s="6"/>
      <c r="I2323" s="6"/>
      <c r="M2323" s="6"/>
      <c r="Q2323" s="6" t="str">
        <f>IFERROR(__xludf.DUMMYFUNCTION("""COMPUTED_VALUE"""),"losses")</f>
        <v>losses</v>
      </c>
    </row>
    <row r="2324">
      <c r="D2324" s="6"/>
      <c r="I2324" s="6"/>
      <c r="M2324" s="6"/>
      <c r="Q2324" s="6" t="str">
        <f>IFERROR(__xludf.DUMMYFUNCTION("""COMPUTED_VALUE"""),"broader")</f>
        <v>broader</v>
      </c>
    </row>
    <row r="2325">
      <c r="D2325" s="6"/>
      <c r="I2325" s="6"/>
      <c r="M2325" s="6"/>
      <c r="Q2325" s="6" t="str">
        <f>IFERROR(__xludf.DUMMYFUNCTION("""COMPUTED_VALUE"""),"bestowed")</f>
        <v>bestowed</v>
      </c>
    </row>
    <row r="2326">
      <c r="D2326" s="6"/>
      <c r="I2326" s="6"/>
      <c r="M2326" s="6"/>
      <c r="Q2326" s="6" t="str">
        <f>IFERROR(__xludf.DUMMYFUNCTION("""COMPUTED_VALUE"""),"waldo")</f>
        <v>waldo</v>
      </c>
    </row>
    <row r="2327">
      <c r="D2327" s="6"/>
      <c r="I2327" s="6"/>
      <c r="M2327" s="6"/>
      <c r="Q2327" s="6" t="str">
        <f>IFERROR(__xludf.DUMMYFUNCTION("""COMPUTED_VALUE"""),"reginald")</f>
        <v>reginald</v>
      </c>
    </row>
    <row r="2328">
      <c r="D2328" s="6"/>
      <c r="I2328" s="6"/>
      <c r="M2328" s="6"/>
      <c r="Q2328" s="6" t="str">
        <f>IFERROR(__xludf.DUMMYFUNCTION("""COMPUTED_VALUE"""),"familiarity")</f>
        <v>familiarity</v>
      </c>
    </row>
    <row r="2329">
      <c r="D2329" s="6"/>
      <c r="I2329" s="6"/>
      <c r="M2329" s="6"/>
      <c r="Q2329" s="6" t="str">
        <f>IFERROR(__xludf.DUMMYFUNCTION("""COMPUTED_VALUE"""),"carmichael")</f>
        <v>carmichael</v>
      </c>
    </row>
    <row r="2330">
      <c r="D2330" s="6"/>
      <c r="I2330" s="6"/>
      <c r="M2330" s="6"/>
      <c r="Q2330" s="6" t="str">
        <f>IFERROR(__xludf.DUMMYFUNCTION("""COMPUTED_VALUE"""),"rom")</f>
        <v>rom</v>
      </c>
    </row>
    <row r="2331">
      <c r="D2331" s="6"/>
      <c r="I2331" s="6"/>
      <c r="M2331" s="6"/>
      <c r="Q2331" s="6" t="str">
        <f>IFERROR(__xludf.DUMMYFUNCTION("""COMPUTED_VALUE"""),"victorious")</f>
        <v>victorious</v>
      </c>
    </row>
    <row r="2332">
      <c r="D2332" s="6"/>
      <c r="I2332" s="6"/>
      <c r="M2332" s="6"/>
      <c r="Q2332" s="6" t="str">
        <f>IFERROR(__xludf.DUMMYFUNCTION("""COMPUTED_VALUE"""),"aristocracy")</f>
        <v>aristocracy</v>
      </c>
    </row>
    <row r="2333">
      <c r="D2333" s="6"/>
      <c r="I2333" s="6"/>
      <c r="M2333" s="6"/>
      <c r="Q2333" s="6" t="str">
        <f>IFERROR(__xludf.DUMMYFUNCTION("""COMPUTED_VALUE"""),"exiled")</f>
        <v>exiled</v>
      </c>
    </row>
    <row r="2334">
      <c r="D2334" s="6"/>
      <c r="I2334" s="6"/>
      <c r="M2334" s="6"/>
      <c r="Q2334" s="6" t="str">
        <f>IFERROR(__xludf.DUMMYFUNCTION("""COMPUTED_VALUE"""),"revolutionaries")</f>
        <v>revolutionaries</v>
      </c>
    </row>
    <row r="2335">
      <c r="D2335" s="6"/>
      <c r="I2335" s="6"/>
      <c r="M2335" s="6"/>
      <c r="Q2335" s="6" t="str">
        <f>IFERROR(__xludf.DUMMYFUNCTION("""COMPUTED_VALUE"""),"hounds")</f>
        <v>hounds</v>
      </c>
    </row>
    <row r="2336">
      <c r="D2336" s="6"/>
      <c r="I2336" s="6"/>
      <c r="M2336" s="6"/>
      <c r="Q2336" s="6" t="str">
        <f>IFERROR(__xludf.DUMMYFUNCTION("""COMPUTED_VALUE"""),"fledgling")</f>
        <v>fledgling</v>
      </c>
    </row>
    <row r="2337">
      <c r="D2337" s="6"/>
      <c r="I2337" s="6"/>
      <c r="M2337" s="6"/>
      <c r="Q2337" s="6" t="str">
        <f>IFERROR(__xludf.DUMMYFUNCTION("""COMPUTED_VALUE"""),"iranian")</f>
        <v>iranian</v>
      </c>
    </row>
    <row r="2338">
      <c r="D2338" s="6"/>
      <c r="I2338" s="6"/>
      <c r="M2338" s="6"/>
      <c r="Q2338" s="6" t="str">
        <f>IFERROR(__xludf.DUMMYFUNCTION("""COMPUTED_VALUE"""),"presiding")</f>
        <v>presiding</v>
      </c>
    </row>
    <row r="2339">
      <c r="D2339" s="6"/>
      <c r="I2339" s="6"/>
      <c r="M2339" s="6"/>
      <c r="Q2339" s="6" t="str">
        <f>IFERROR(__xludf.DUMMYFUNCTION("""COMPUTED_VALUE"""),"macbeth")</f>
        <v>macbeth</v>
      </c>
    </row>
    <row r="2340">
      <c r="D2340" s="6"/>
      <c r="I2340" s="6"/>
      <c r="M2340" s="6"/>
      <c r="Q2340" s="6" t="str">
        <f>IFERROR(__xludf.DUMMYFUNCTION("""COMPUTED_VALUE"""),"1930s")</f>
        <v>1930s</v>
      </c>
    </row>
    <row r="2341">
      <c r="D2341" s="6"/>
      <c r="I2341" s="6"/>
      <c r="M2341" s="6"/>
      <c r="Q2341" s="6" t="str">
        <f>IFERROR(__xludf.DUMMYFUNCTION("""COMPUTED_VALUE"""),"conflicts")</f>
        <v>conflicts</v>
      </c>
    </row>
    <row r="2342">
      <c r="D2342" s="6"/>
      <c r="I2342" s="6"/>
      <c r="M2342" s="6"/>
      <c r="Q2342" s="6" t="str">
        <f>IFERROR(__xludf.DUMMYFUNCTION("""COMPUTED_VALUE"""),"uniquely")</f>
        <v>uniquely</v>
      </c>
    </row>
    <row r="2343">
      <c r="D2343" s="6"/>
      <c r="I2343" s="6"/>
      <c r="M2343" s="6"/>
      <c r="Q2343" s="6" t="str">
        <f>IFERROR(__xludf.DUMMYFUNCTION("""COMPUTED_VALUE"""),"seventeen")</f>
        <v>seventeen</v>
      </c>
    </row>
    <row r="2344">
      <c r="D2344" s="6"/>
      <c r="I2344" s="6"/>
      <c r="M2344" s="6"/>
      <c r="Q2344" s="6" t="str">
        <f>IFERROR(__xludf.DUMMYFUNCTION("""COMPUTED_VALUE"""),"suppression")</f>
        <v>suppression</v>
      </c>
    </row>
    <row r="2345">
      <c r="D2345" s="6"/>
      <c r="I2345" s="6"/>
      <c r="M2345" s="6"/>
      <c r="Q2345" s="6" t="str">
        <f>IFERROR(__xludf.DUMMYFUNCTION("""COMPUTED_VALUE"""),"austrian")</f>
        <v>austrian</v>
      </c>
    </row>
    <row r="2346">
      <c r="D2346" s="6"/>
      <c r="I2346" s="6"/>
      <c r="M2346" s="6"/>
      <c r="Q2346" s="6" t="str">
        <f>IFERROR(__xludf.DUMMYFUNCTION("""COMPUTED_VALUE"""),"saddle")</f>
        <v>saddle</v>
      </c>
    </row>
    <row r="2347">
      <c r="D2347" s="6"/>
      <c r="I2347" s="6"/>
      <c r="M2347" s="6"/>
      <c r="Q2347" s="6" t="str">
        <f>IFERROR(__xludf.DUMMYFUNCTION("""COMPUTED_VALUE"""),"pinnacle")</f>
        <v>pinnacle</v>
      </c>
    </row>
    <row r="2348">
      <c r="D2348" s="6"/>
      <c r="I2348" s="6"/>
      <c r="M2348" s="6"/>
      <c r="Q2348" s="6" t="str">
        <f>IFERROR(__xludf.DUMMYFUNCTION("""COMPUTED_VALUE"""),"rapids")</f>
        <v>rapids</v>
      </c>
    </row>
    <row r="2349">
      <c r="D2349" s="6"/>
      <c r="I2349" s="6"/>
      <c r="M2349" s="6"/>
      <c r="Q2349" s="6" t="str">
        <f>IFERROR(__xludf.DUMMYFUNCTION("""COMPUTED_VALUE"""),"lds")</f>
        <v>lds</v>
      </c>
    </row>
    <row r="2350">
      <c r="D2350" s="6"/>
      <c r="I2350" s="6"/>
      <c r="M2350" s="6"/>
      <c r="Q2350" s="6" t="str">
        <f>IFERROR(__xludf.DUMMYFUNCTION("""COMPUTED_VALUE"""),"probation")</f>
        <v>probation</v>
      </c>
    </row>
    <row r="2351">
      <c r="D2351" s="6"/>
      <c r="I2351" s="6"/>
      <c r="M2351" s="6"/>
      <c r="Q2351" s="6" t="str">
        <f>IFERROR(__xludf.DUMMYFUNCTION("""COMPUTED_VALUE"""),"mankind")</f>
        <v>mankind</v>
      </c>
    </row>
    <row r="2352">
      <c r="D2352" s="6"/>
      <c r="I2352" s="6"/>
      <c r="M2352" s="6"/>
      <c r="Q2352" s="6" t="str">
        <f>IFERROR(__xludf.DUMMYFUNCTION("""COMPUTED_VALUE"""),"wasp")</f>
        <v>wasp</v>
      </c>
    </row>
    <row r="2353">
      <c r="D2353" s="6"/>
      <c r="I2353" s="6"/>
      <c r="M2353" s="6"/>
      <c r="Q2353" s="6" t="str">
        <f>IFERROR(__xludf.DUMMYFUNCTION("""COMPUTED_VALUE"""),"weber")</f>
        <v>weber</v>
      </c>
    </row>
    <row r="2354">
      <c r="D2354" s="6"/>
      <c r="I2354" s="6"/>
      <c r="M2354" s="6"/>
      <c r="Q2354" s="6" t="str">
        <f>IFERROR(__xludf.DUMMYFUNCTION("""COMPUTED_VALUE"""),"stud")</f>
        <v>stud</v>
      </c>
    </row>
    <row r="2355">
      <c r="D2355" s="6"/>
      <c r="I2355" s="6"/>
      <c r="M2355" s="6"/>
      <c r="Q2355" s="6" t="str">
        <f>IFERROR(__xludf.DUMMYFUNCTION("""COMPUTED_VALUE"""),"terrorism")</f>
        <v>terrorism</v>
      </c>
    </row>
    <row r="2356">
      <c r="D2356" s="6"/>
      <c r="I2356" s="6"/>
      <c r="M2356" s="6"/>
      <c r="Q2356" s="6" t="str">
        <f>IFERROR(__xludf.DUMMYFUNCTION("""COMPUTED_VALUE"""),"throat")</f>
        <v>throat</v>
      </c>
    </row>
    <row r="2357">
      <c r="D2357" s="6"/>
      <c r="I2357" s="6"/>
      <c r="M2357" s="6"/>
      <c r="Q2357" s="6" t="str">
        <f>IFERROR(__xludf.DUMMYFUNCTION("""COMPUTED_VALUE"""),"sociology")</f>
        <v>sociology</v>
      </c>
    </row>
    <row r="2358">
      <c r="D2358" s="6"/>
      <c r="I2358" s="6"/>
      <c r="M2358" s="6"/>
      <c r="Q2358" s="6" t="str">
        <f>IFERROR(__xludf.DUMMYFUNCTION("""COMPUTED_VALUE"""),"wash")</f>
        <v>wash</v>
      </c>
    </row>
    <row r="2359">
      <c r="D2359" s="6"/>
      <c r="I2359" s="6"/>
      <c r="M2359" s="6"/>
      <c r="Q2359" s="6" t="str">
        <f>IFERROR(__xludf.DUMMYFUNCTION("""COMPUTED_VALUE"""),"depicted")</f>
        <v>depicted</v>
      </c>
    </row>
    <row r="2360">
      <c r="D2360" s="6"/>
      <c r="I2360" s="6"/>
      <c r="M2360" s="6"/>
      <c r="Q2360" s="6" t="str">
        <f>IFERROR(__xludf.DUMMYFUNCTION("""COMPUTED_VALUE"""),"gesturing")</f>
        <v>gesturing</v>
      </c>
    </row>
    <row r="2361">
      <c r="D2361" s="6"/>
      <c r="I2361" s="6"/>
      <c r="M2361" s="6"/>
      <c r="Q2361" s="6" t="str">
        <f>IFERROR(__xludf.DUMMYFUNCTION("""COMPUTED_VALUE"""),"hazy")</f>
        <v>hazy</v>
      </c>
    </row>
    <row r="2362">
      <c r="D2362" s="6"/>
      <c r="I2362" s="6"/>
      <c r="M2362" s="6"/>
      <c r="Q2362" s="6" t="str">
        <f>IFERROR(__xludf.DUMMYFUNCTION("""COMPUTED_VALUE"""),"debts")</f>
        <v>debts</v>
      </c>
    </row>
    <row r="2363">
      <c r="D2363" s="6"/>
      <c r="I2363" s="6"/>
      <c r="M2363" s="6"/>
      <c r="Q2363" s="6" t="str">
        <f>IFERROR(__xludf.DUMMYFUNCTION("""COMPUTED_VALUE"""),"murderous")</f>
        <v>murderous</v>
      </c>
    </row>
    <row r="2364">
      <c r="D2364" s="6"/>
      <c r="I2364" s="6"/>
      <c r="M2364" s="6"/>
      <c r="Q2364" s="6" t="str">
        <f>IFERROR(__xludf.DUMMYFUNCTION("""COMPUTED_VALUE"""),"chimney")</f>
        <v>chimney</v>
      </c>
    </row>
    <row r="2365">
      <c r="D2365" s="6"/>
      <c r="I2365" s="6"/>
      <c r="M2365" s="6"/>
      <c r="Q2365" s="6" t="str">
        <f>IFERROR(__xludf.DUMMYFUNCTION("""COMPUTED_VALUE"""),"detachment")</f>
        <v>detachment</v>
      </c>
    </row>
    <row r="2366">
      <c r="D2366" s="6"/>
      <c r="I2366" s="6"/>
      <c r="M2366" s="6"/>
      <c r="Q2366" s="6" t="str">
        <f>IFERROR(__xludf.DUMMYFUNCTION("""COMPUTED_VALUE"""),"sharing")</f>
        <v>sharing</v>
      </c>
    </row>
    <row r="2367">
      <c r="D2367" s="6"/>
      <c r="I2367" s="6"/>
      <c r="M2367" s="6"/>
      <c r="Q2367" s="6" t="str">
        <f>IFERROR(__xludf.DUMMYFUNCTION("""COMPUTED_VALUE"""),"compass")</f>
        <v>compass</v>
      </c>
    </row>
    <row r="2368">
      <c r="D2368" s="6"/>
      <c r="I2368" s="6"/>
      <c r="M2368" s="6"/>
      <c r="Q2368" s="6" t="str">
        <f>IFERROR(__xludf.DUMMYFUNCTION("""COMPUTED_VALUE"""),"salaries")</f>
        <v>salaries</v>
      </c>
    </row>
    <row r="2369">
      <c r="D2369" s="6"/>
      <c r="M2369" s="6"/>
      <c r="Q2369" s="6" t="str">
        <f>IFERROR(__xludf.DUMMYFUNCTION("""COMPUTED_VALUE"""),"karim")</f>
        <v>karim</v>
      </c>
    </row>
    <row r="2370">
      <c r="D2370" s="6"/>
      <c r="M2370" s="6"/>
      <c r="Q2370" s="6" t="str">
        <f>IFERROR(__xludf.DUMMYFUNCTION("""COMPUTED_VALUE"""),"freight")</f>
        <v>freight</v>
      </c>
    </row>
    <row r="2371">
      <c r="D2371" s="6"/>
      <c r="M2371" s="6"/>
      <c r="Q2371" s="6" t="str">
        <f>IFERROR(__xludf.DUMMYFUNCTION("""COMPUTED_VALUE"""),"destruction")</f>
        <v>destruction</v>
      </c>
    </row>
    <row r="2372">
      <c r="D2372" s="6"/>
      <c r="M2372" s="6"/>
      <c r="Q2372" s="6" t="str">
        <f>IFERROR(__xludf.DUMMYFUNCTION("""COMPUTED_VALUE"""),"gracefully")</f>
        <v>gracefully</v>
      </c>
    </row>
    <row r="2373">
      <c r="D2373" s="6"/>
      <c r="M2373" s="6"/>
      <c r="Q2373" s="6" t="str">
        <f>IFERROR(__xludf.DUMMYFUNCTION("""COMPUTED_VALUE"""),"hierarchy")</f>
        <v>hierarchy</v>
      </c>
    </row>
    <row r="2374">
      <c r="D2374" s="6"/>
      <c r="M2374" s="6"/>
      <c r="Q2374" s="6" t="str">
        <f>IFERROR(__xludf.DUMMYFUNCTION("""COMPUTED_VALUE"""),"moat")</f>
        <v>moat</v>
      </c>
    </row>
    <row r="2375">
      <c r="D2375" s="6"/>
      <c r="M2375" s="6"/>
      <c r="Q2375" s="6" t="str">
        <f>IFERROR(__xludf.DUMMYFUNCTION("""COMPUTED_VALUE"""),"rejection")</f>
        <v>rejection</v>
      </c>
    </row>
    <row r="2376">
      <c r="D2376" s="6"/>
      <c r="M2376" s="6"/>
      <c r="Q2376" s="6" t="str">
        <f>IFERROR(__xludf.DUMMYFUNCTION("""COMPUTED_VALUE"""),"provincial")</f>
        <v>provincial</v>
      </c>
    </row>
    <row r="2377">
      <c r="D2377" s="6"/>
      <c r="M2377" s="6"/>
      <c r="Q2377" s="6" t="str">
        <f>IFERROR(__xludf.DUMMYFUNCTION("""COMPUTED_VALUE"""),"bourgeois")</f>
        <v>bourgeois</v>
      </c>
    </row>
    <row r="2378">
      <c r="D2378" s="6"/>
      <c r="M2378" s="6"/>
      <c r="Q2378" s="6" t="str">
        <f>IFERROR(__xludf.DUMMYFUNCTION("""COMPUTED_VALUE"""),"contrasting")</f>
        <v>contrasting</v>
      </c>
    </row>
    <row r="2379">
      <c r="D2379" s="6"/>
      <c r="M2379" s="6"/>
      <c r="Q2379" s="6" t="str">
        <f>IFERROR(__xludf.DUMMYFUNCTION("""COMPUTED_VALUE"""),"superman")</f>
        <v>superman</v>
      </c>
    </row>
    <row r="2380">
      <c r="D2380" s="6"/>
      <c r="M2380" s="6"/>
      <c r="Q2380" s="6" t="str">
        <f>IFERROR(__xludf.DUMMYFUNCTION("""COMPUTED_VALUE"""),"explosions")</f>
        <v>explosions</v>
      </c>
    </row>
    <row r="2381">
      <c r="D2381" s="6"/>
      <c r="M2381" s="6"/>
      <c r="Q2381" s="6" t="str">
        <f>IFERROR(__xludf.DUMMYFUNCTION("""COMPUTED_VALUE"""),"landscapes")</f>
        <v>landscapes</v>
      </c>
    </row>
    <row r="2382">
      <c r="D2382" s="6"/>
      <c r="M2382" s="6"/>
      <c r="Q2382" s="6" t="str">
        <f>IFERROR(__xludf.DUMMYFUNCTION("""COMPUTED_VALUE"""),"lore")</f>
        <v>lore</v>
      </c>
    </row>
    <row r="2383">
      <c r="D2383" s="6"/>
      <c r="M2383" s="6"/>
      <c r="Q2383" s="6" t="str">
        <f>IFERROR(__xludf.DUMMYFUNCTION("""COMPUTED_VALUE"""),"fraser")</f>
        <v>fraser</v>
      </c>
    </row>
    <row r="2384">
      <c r="D2384" s="6"/>
      <c r="M2384" s="6"/>
      <c r="Q2384" s="6" t="str">
        <f>IFERROR(__xludf.DUMMYFUNCTION("""COMPUTED_VALUE"""),"terrorists")</f>
        <v>terrorists</v>
      </c>
    </row>
    <row r="2385">
      <c r="D2385" s="6"/>
      <c r="M2385" s="6"/>
      <c r="Q2385" s="6" t="str">
        <f>IFERROR(__xludf.DUMMYFUNCTION("""COMPUTED_VALUE"""),"thinkers")</f>
        <v>thinkers</v>
      </c>
    </row>
    <row r="2386">
      <c r="D2386" s="6"/>
      <c r="M2386" s="6"/>
      <c r="Q2386" s="6" t="str">
        <f>IFERROR(__xludf.DUMMYFUNCTION("""COMPUTED_VALUE"""),"introduces")</f>
        <v>introduces</v>
      </c>
    </row>
    <row r="2387">
      <c r="D2387" s="6"/>
      <c r="M2387" s="6"/>
      <c r="Q2387" s="6" t="str">
        <f>IFERROR(__xludf.DUMMYFUNCTION("""COMPUTED_VALUE"""),"orbits")</f>
        <v>orbits</v>
      </c>
    </row>
    <row r="2388">
      <c r="D2388" s="6"/>
      <c r="M2388" s="6"/>
      <c r="Q2388" s="6" t="str">
        <f>IFERROR(__xludf.DUMMYFUNCTION("""COMPUTED_VALUE"""),"reassure")</f>
        <v>reassure</v>
      </c>
    </row>
    <row r="2389">
      <c r="D2389" s="6"/>
      <c r="M2389" s="6"/>
      <c r="Q2389" s="6" t="str">
        <f>IFERROR(__xludf.DUMMYFUNCTION("""COMPUTED_VALUE"""),"corbett")</f>
        <v>corbett</v>
      </c>
    </row>
    <row r="2390">
      <c r="D2390" s="6"/>
      <c r="M2390" s="6"/>
      <c r="Q2390" s="6" t="str">
        <f>IFERROR(__xludf.DUMMYFUNCTION("""COMPUTED_VALUE"""),"ragged")</f>
        <v>ragged</v>
      </c>
    </row>
    <row r="2391">
      <c r="D2391" s="6"/>
      <c r="M2391" s="6"/>
      <c r="Q2391" s="6" t="str">
        <f>IFERROR(__xludf.DUMMYFUNCTION("""COMPUTED_VALUE"""),"enacted")</f>
        <v>enacted</v>
      </c>
    </row>
    <row r="2392">
      <c r="D2392" s="6"/>
      <c r="M2392" s="6"/>
      <c r="Q2392" s="6" t="str">
        <f>IFERROR(__xludf.DUMMYFUNCTION("""COMPUTED_VALUE"""),"moan")</f>
        <v>moan</v>
      </c>
    </row>
    <row r="2393">
      <c r="D2393" s="6"/>
      <c r="M2393" s="6"/>
      <c r="Q2393" s="6" t="str">
        <f>IFERROR(__xludf.DUMMYFUNCTION("""COMPUTED_VALUE"""),"annex")</f>
        <v>annex</v>
      </c>
    </row>
    <row r="2394">
      <c r="D2394" s="6"/>
      <c r="M2394" s="6"/>
      <c r="Q2394" s="6" t="str">
        <f>IFERROR(__xludf.DUMMYFUNCTION("""COMPUTED_VALUE"""),"overture")</f>
        <v>overture</v>
      </c>
    </row>
    <row r="2395">
      <c r="D2395" s="6"/>
      <c r="M2395" s="6"/>
      <c r="Q2395" s="6" t="str">
        <f>IFERROR(__xludf.DUMMYFUNCTION("""COMPUTED_VALUE"""),"pointedly")</f>
        <v>pointedly</v>
      </c>
    </row>
    <row r="2396">
      <c r="D2396" s="6"/>
      <c r="M2396" s="6"/>
      <c r="Q2396" s="6" t="str">
        <f>IFERROR(__xludf.DUMMYFUNCTION("""COMPUTED_VALUE"""),"requiem")</f>
        <v>requiem</v>
      </c>
    </row>
    <row r="2397">
      <c r="D2397" s="6"/>
      <c r="M2397" s="6"/>
      <c r="Q2397" s="6" t="str">
        <f>IFERROR(__xludf.DUMMYFUNCTION("""COMPUTED_VALUE"""),"mummy")</f>
        <v>mummy</v>
      </c>
    </row>
    <row r="2398">
      <c r="D2398" s="6"/>
      <c r="M2398" s="6"/>
      <c r="Q2398" s="6" t="str">
        <f>IFERROR(__xludf.DUMMYFUNCTION("""COMPUTED_VALUE"""),"framework")</f>
        <v>framework</v>
      </c>
    </row>
    <row r="2399">
      <c r="D2399" s="6"/>
      <c r="M2399" s="6"/>
      <c r="Q2399" s="6" t="str">
        <f>IFERROR(__xludf.DUMMYFUNCTION("""COMPUTED_VALUE"""),"naive")</f>
        <v>naive</v>
      </c>
    </row>
    <row r="2400">
      <c r="D2400" s="6"/>
      <c r="M2400" s="6"/>
      <c r="Q2400" s="6" t="str">
        <f>IFERROR(__xludf.DUMMYFUNCTION("""COMPUTED_VALUE"""),"lullaby")</f>
        <v>lullaby</v>
      </c>
    </row>
    <row r="2401">
      <c r="D2401" s="6"/>
      <c r="M2401" s="6"/>
      <c r="Q2401" s="6" t="str">
        <f>IFERROR(__xludf.DUMMYFUNCTION("""COMPUTED_VALUE"""),"synagogue")</f>
        <v>synagogue</v>
      </c>
    </row>
    <row r="2402">
      <c r="D2402" s="6"/>
      <c r="M2402" s="6"/>
      <c r="Q2402" s="6" t="str">
        <f>IFERROR(__xludf.DUMMYFUNCTION("""COMPUTED_VALUE"""),"scoring")</f>
        <v>scoring</v>
      </c>
    </row>
    <row r="2403">
      <c r="D2403" s="6"/>
      <c r="M2403" s="6"/>
      <c r="Q2403" s="6" t="str">
        <f>IFERROR(__xludf.DUMMYFUNCTION("""COMPUTED_VALUE"""),"derives")</f>
        <v>derives</v>
      </c>
    </row>
    <row r="2404">
      <c r="D2404" s="6"/>
      <c r="M2404" s="6"/>
      <c r="Q2404" s="6" t="str">
        <f>IFERROR(__xludf.DUMMYFUNCTION("""COMPUTED_VALUE"""),"maguire")</f>
        <v>maguire</v>
      </c>
    </row>
    <row r="2405">
      <c r="D2405" s="6"/>
      <c r="M2405" s="6"/>
      <c r="Q2405" s="6" t="str">
        <f>IFERROR(__xludf.DUMMYFUNCTION("""COMPUTED_VALUE"""),"obligations")</f>
        <v>obligations</v>
      </c>
    </row>
    <row r="2406">
      <c r="D2406" s="6"/>
      <c r="M2406" s="6"/>
      <c r="Q2406" s="6" t="str">
        <f>IFERROR(__xludf.DUMMYFUNCTION("""COMPUTED_VALUE"""),"pearce")</f>
        <v>pearce</v>
      </c>
    </row>
    <row r="2407">
      <c r="D2407" s="6"/>
      <c r="M2407" s="6"/>
      <c r="Q2407" s="6" t="str">
        <f>IFERROR(__xludf.DUMMYFUNCTION("""COMPUTED_VALUE"""),"rappers")</f>
        <v>rappers</v>
      </c>
    </row>
    <row r="2408">
      <c r="D2408" s="6"/>
      <c r="M2408" s="6"/>
      <c r="Q2408" s="6" t="str">
        <f>IFERROR(__xludf.DUMMYFUNCTION("""COMPUTED_VALUE"""),"forefront")</f>
        <v>forefront</v>
      </c>
    </row>
    <row r="2409">
      <c r="D2409" s="6"/>
      <c r="M2409" s="6"/>
      <c r="Q2409" s="6" t="str">
        <f>IFERROR(__xludf.DUMMYFUNCTION("""COMPUTED_VALUE"""),"divisions")</f>
        <v>divisions</v>
      </c>
    </row>
    <row r="2410">
      <c r="D2410" s="6"/>
      <c r="M2410" s="6"/>
      <c r="Q2410" s="6" t="str">
        <f>IFERROR(__xludf.DUMMYFUNCTION("""COMPUTED_VALUE"""),"nonfiction")</f>
        <v>nonfiction</v>
      </c>
    </row>
    <row r="2411">
      <c r="D2411" s="6"/>
      <c r="M2411" s="6"/>
      <c r="Q2411" s="6" t="str">
        <f>IFERROR(__xludf.DUMMYFUNCTION("""COMPUTED_VALUE"""),"tnt")</f>
        <v>tnt</v>
      </c>
    </row>
    <row r="2412">
      <c r="D2412" s="6"/>
      <c r="M2412" s="6"/>
      <c r="Q2412" s="6" t="str">
        <f>IFERROR(__xludf.DUMMYFUNCTION("""COMPUTED_VALUE"""),"effectiveness")</f>
        <v>effectiveness</v>
      </c>
    </row>
    <row r="2413">
      <c r="D2413" s="6"/>
      <c r="M2413" s="6"/>
      <c r="Q2413" s="6" t="str">
        <f>IFERROR(__xludf.DUMMYFUNCTION("""COMPUTED_VALUE"""),"contentious")</f>
        <v>contentious</v>
      </c>
    </row>
    <row r="2414">
      <c r="D2414" s="6"/>
      <c r="M2414" s="6"/>
      <c r="Q2414" s="6" t="str">
        <f>IFERROR(__xludf.DUMMYFUNCTION("""COMPUTED_VALUE"""),"configurations")</f>
        <v>configurations</v>
      </c>
    </row>
    <row r="2415">
      <c r="D2415" s="6"/>
      <c r="M2415" s="6"/>
      <c r="Q2415" s="6" t="str">
        <f>IFERROR(__xludf.DUMMYFUNCTION("""COMPUTED_VALUE"""),"apocalypse")</f>
        <v>apocalypse</v>
      </c>
    </row>
    <row r="2416">
      <c r="D2416" s="6"/>
      <c r="M2416" s="6"/>
      <c r="Q2416" s="6" t="str">
        <f>IFERROR(__xludf.DUMMYFUNCTION("""COMPUTED_VALUE"""),"deeds")</f>
        <v>deeds</v>
      </c>
    </row>
    <row r="2417">
      <c r="D2417" s="6"/>
      <c r="M2417" s="6"/>
      <c r="Q2417" s="6" t="str">
        <f>IFERROR(__xludf.DUMMYFUNCTION("""COMPUTED_VALUE"""),"innate")</f>
        <v>innate</v>
      </c>
    </row>
    <row r="2418">
      <c r="D2418" s="6"/>
      <c r="M2418" s="6"/>
      <c r="Q2418" s="6" t="str">
        <f>IFERROR(__xludf.DUMMYFUNCTION("""COMPUTED_VALUE"""),"principals")</f>
        <v>principals</v>
      </c>
    </row>
    <row r="2419">
      <c r="D2419" s="6"/>
      <c r="M2419" s="6"/>
      <c r="Q2419" s="6" t="str">
        <f>IFERROR(__xludf.DUMMYFUNCTION("""COMPUTED_VALUE"""),"valiant")</f>
        <v>valiant</v>
      </c>
    </row>
    <row r="2420">
      <c r="D2420" s="6"/>
      <c r="M2420" s="6"/>
      <c r="Q2420" s="6" t="str">
        <f>IFERROR(__xludf.DUMMYFUNCTION("""COMPUTED_VALUE"""),"springer")</f>
        <v>springer</v>
      </c>
    </row>
    <row r="2421">
      <c r="D2421" s="6"/>
      <c r="M2421" s="6"/>
      <c r="Q2421" s="6" t="str">
        <f>IFERROR(__xludf.DUMMYFUNCTION("""COMPUTED_VALUE"""),"enemies")</f>
        <v>enemies</v>
      </c>
    </row>
    <row r="2422">
      <c r="D2422" s="6"/>
      <c r="M2422" s="6"/>
      <c r="Q2422" s="6" t="str">
        <f>IFERROR(__xludf.DUMMYFUNCTION("""COMPUTED_VALUE"""),"zoe")</f>
        <v>zoe</v>
      </c>
    </row>
    <row r="2423">
      <c r="D2423" s="6"/>
      <c r="M2423" s="6"/>
      <c r="Q2423" s="6" t="str">
        <f>IFERROR(__xludf.DUMMYFUNCTION("""COMPUTED_VALUE"""),"theological")</f>
        <v>theological</v>
      </c>
    </row>
    <row r="2424">
      <c r="D2424" s="6"/>
      <c r="M2424" s="6"/>
      <c r="Q2424" s="6" t="str">
        <f>IFERROR(__xludf.DUMMYFUNCTION("""COMPUTED_VALUE"""),"motown")</f>
        <v>motown</v>
      </c>
    </row>
    <row r="2425">
      <c r="D2425" s="6"/>
      <c r="M2425" s="6"/>
      <c r="Q2425" s="6" t="str">
        <f>IFERROR(__xludf.DUMMYFUNCTION("""COMPUTED_VALUE"""),"hitler")</f>
        <v>hitler</v>
      </c>
    </row>
    <row r="2426">
      <c r="D2426" s="6"/>
      <c r="M2426" s="6"/>
      <c r="Q2426" s="6" t="str">
        <f>IFERROR(__xludf.DUMMYFUNCTION("""COMPUTED_VALUE"""),"alexandre")</f>
        <v>alexandre</v>
      </c>
    </row>
    <row r="2427">
      <c r="D2427" s="6"/>
      <c r="M2427" s="6"/>
      <c r="Q2427" s="6" t="str">
        <f>IFERROR(__xludf.DUMMYFUNCTION("""COMPUTED_VALUE"""),"writings")</f>
        <v>writings</v>
      </c>
    </row>
    <row r="2428">
      <c r="D2428" s="6"/>
      <c r="M2428" s="6"/>
      <c r="Q2428" s="6" t="str">
        <f>IFERROR(__xludf.DUMMYFUNCTION("""COMPUTED_VALUE"""),"jagger")</f>
        <v>jagger</v>
      </c>
    </row>
    <row r="2429">
      <c r="D2429" s="6"/>
      <c r="M2429" s="6"/>
      <c r="Q2429" s="6">
        <f>IFERROR(__xludf.DUMMYFUNCTION("""COMPUTED_VALUE"""),1962.0)</f>
        <v>1962</v>
      </c>
    </row>
    <row r="2430">
      <c r="D2430" s="6"/>
      <c r="M2430" s="6"/>
      <c r="Q2430" s="6" t="str">
        <f>IFERROR(__xludf.DUMMYFUNCTION("""COMPUTED_VALUE"""),"afterlife")</f>
        <v>afterlife</v>
      </c>
    </row>
    <row r="2431">
      <c r="D2431" s="6"/>
      <c r="M2431" s="6"/>
      <c r="Q2431" s="6" t="str">
        <f>IFERROR(__xludf.DUMMYFUNCTION("""COMPUTED_VALUE"""),"mob")</f>
        <v>mob</v>
      </c>
    </row>
    <row r="2432">
      <c r="D2432" s="6"/>
      <c r="M2432" s="6"/>
      <c r="Q2432" s="6" t="str">
        <f>IFERROR(__xludf.DUMMYFUNCTION("""COMPUTED_VALUE"""),"fertility")</f>
        <v>fertility</v>
      </c>
    </row>
    <row r="2433">
      <c r="D2433" s="6"/>
      <c r="M2433" s="6"/>
      <c r="Q2433" s="6" t="str">
        <f>IFERROR(__xludf.DUMMYFUNCTION("""COMPUTED_VALUE"""),"mitch")</f>
        <v>mitch</v>
      </c>
    </row>
    <row r="2434">
      <c r="D2434" s="6"/>
      <c r="M2434" s="6"/>
      <c r="Q2434" s="6" t="str">
        <f>IFERROR(__xludf.DUMMYFUNCTION("""COMPUTED_VALUE"""),"bytes")</f>
        <v>bytes</v>
      </c>
    </row>
    <row r="2435">
      <c r="D2435" s="6"/>
      <c r="M2435" s="6"/>
      <c r="Q2435" s="6" t="str">
        <f>IFERROR(__xludf.DUMMYFUNCTION("""COMPUTED_VALUE"""),"documenting")</f>
        <v>documenting</v>
      </c>
    </row>
    <row r="2436">
      <c r="D2436" s="6"/>
      <c r="M2436" s="6"/>
      <c r="Q2436" s="6" t="str">
        <f>IFERROR(__xludf.DUMMYFUNCTION("""COMPUTED_VALUE"""),"andrei")</f>
        <v>andrei</v>
      </c>
    </row>
    <row r="2437">
      <c r="D2437" s="6"/>
      <c r="M2437" s="6"/>
      <c r="Q2437" s="6" t="str">
        <f>IFERROR(__xludf.DUMMYFUNCTION("""COMPUTED_VALUE"""),"ventures")</f>
        <v>ventures</v>
      </c>
    </row>
    <row r="2438">
      <c r="D2438" s="6"/>
      <c r="M2438" s="6"/>
      <c r="Q2438" s="6" t="str">
        <f>IFERROR(__xludf.DUMMYFUNCTION("""COMPUTED_VALUE"""),"fragile")</f>
        <v>fragile</v>
      </c>
    </row>
    <row r="2439">
      <c r="D2439" s="6"/>
      <c r="M2439" s="6"/>
      <c r="Q2439" s="6" t="str">
        <f>IFERROR(__xludf.DUMMYFUNCTION("""COMPUTED_VALUE"""),"chop")</f>
        <v>chop</v>
      </c>
    </row>
    <row r="2440">
      <c r="D2440" s="6"/>
      <c r="M2440" s="6"/>
      <c r="Q2440" s="6" t="str">
        <f>IFERROR(__xludf.DUMMYFUNCTION("""COMPUTED_VALUE"""),"casualties")</f>
        <v>casualties</v>
      </c>
    </row>
    <row r="2441">
      <c r="D2441" s="6"/>
      <c r="M2441" s="6"/>
      <c r="Q2441" s="6" t="str">
        <f>IFERROR(__xludf.DUMMYFUNCTION("""COMPUTED_VALUE"""),"expansion")</f>
        <v>expansion</v>
      </c>
    </row>
    <row r="2442">
      <c r="D2442" s="6"/>
      <c r="M2442" s="6"/>
      <c r="Q2442" s="6" t="str">
        <f>IFERROR(__xludf.DUMMYFUNCTION("""COMPUTED_VALUE"""),"traces")</f>
        <v>traces</v>
      </c>
    </row>
    <row r="2443">
      <c r="D2443" s="6"/>
      <c r="M2443" s="6"/>
      <c r="Q2443" s="6" t="str">
        <f>IFERROR(__xludf.DUMMYFUNCTION("""COMPUTED_VALUE"""),"spells")</f>
        <v>spells</v>
      </c>
    </row>
    <row r="2444">
      <c r="D2444" s="6"/>
      <c r="M2444" s="6"/>
      <c r="Q2444" s="6" t="str">
        <f>IFERROR(__xludf.DUMMYFUNCTION("""COMPUTED_VALUE"""),"retrospective")</f>
        <v>retrospective</v>
      </c>
    </row>
    <row r="2445">
      <c r="D2445" s="6"/>
      <c r="M2445" s="6"/>
      <c r="Q2445" s="6" t="str">
        <f>IFERROR(__xludf.DUMMYFUNCTION("""COMPUTED_VALUE"""),"paralyzed")</f>
        <v>paralyzed</v>
      </c>
    </row>
    <row r="2446">
      <c r="D2446" s="6"/>
      <c r="M2446" s="6"/>
      <c r="Q2446" s="6" t="str">
        <f>IFERROR(__xludf.DUMMYFUNCTION("""COMPUTED_VALUE"""),"werner")</f>
        <v>werner</v>
      </c>
    </row>
    <row r="2447">
      <c r="D2447" s="6"/>
      <c r="M2447" s="6"/>
      <c r="Q2447" s="6" t="str">
        <f>IFERROR(__xludf.DUMMYFUNCTION("""COMPUTED_VALUE"""),"brutality")</f>
        <v>brutality</v>
      </c>
    </row>
    <row r="2448">
      <c r="D2448" s="6"/>
      <c r="M2448" s="6"/>
      <c r="Q2448" s="6" t="str">
        <f>IFERROR(__xludf.DUMMYFUNCTION("""COMPUTED_VALUE"""),"enabling")</f>
        <v>enabling</v>
      </c>
    </row>
    <row r="2449">
      <c r="D2449" s="6"/>
      <c r="M2449" s="6"/>
      <c r="Q2449" s="6" t="str">
        <f>IFERROR(__xludf.DUMMYFUNCTION("""COMPUTED_VALUE"""),"compositions")</f>
        <v>compositions</v>
      </c>
    </row>
    <row r="2450">
      <c r="D2450" s="6"/>
      <c r="M2450" s="6"/>
      <c r="Q2450" s="6" t="str">
        <f>IFERROR(__xludf.DUMMYFUNCTION("""COMPUTED_VALUE"""),"impetus")</f>
        <v>impetus</v>
      </c>
    </row>
    <row r="2451">
      <c r="D2451" s="6"/>
      <c r="M2451" s="6"/>
      <c r="Q2451" s="6" t="str">
        <f>IFERROR(__xludf.DUMMYFUNCTION("""COMPUTED_VALUE"""),"castro")</f>
        <v>castro</v>
      </c>
    </row>
    <row r="2452">
      <c r="D2452" s="6"/>
      <c r="M2452" s="6"/>
      <c r="Q2452" s="6" t="str">
        <f>IFERROR(__xludf.DUMMYFUNCTION("""COMPUTED_VALUE"""),"rose")</f>
        <v>rose</v>
      </c>
    </row>
    <row r="2453">
      <c r="D2453" s="6"/>
      <c r="M2453" s="6"/>
      <c r="Q2453" s="6" t="str">
        <f>IFERROR(__xludf.DUMMYFUNCTION("""COMPUTED_VALUE"""),"diver")</f>
        <v>diver</v>
      </c>
    </row>
    <row r="2454">
      <c r="D2454" s="6"/>
      <c r="M2454" s="6"/>
      <c r="Q2454" s="6" t="str">
        <f>IFERROR(__xludf.DUMMYFUNCTION("""COMPUTED_VALUE"""),"prologue")</f>
        <v>prologue</v>
      </c>
    </row>
    <row r="2455">
      <c r="D2455" s="6"/>
      <c r="M2455" s="6"/>
      <c r="Q2455" s="6" t="str">
        <f>IFERROR(__xludf.DUMMYFUNCTION("""COMPUTED_VALUE"""),"kane")</f>
        <v>kane</v>
      </c>
    </row>
    <row r="2456">
      <c r="D2456" s="6"/>
      <c r="M2456" s="6"/>
      <c r="Q2456" s="6" t="str">
        <f>IFERROR(__xludf.DUMMYFUNCTION("""COMPUTED_VALUE"""),"antonia")</f>
        <v>antonia</v>
      </c>
    </row>
    <row r="2457">
      <c r="D2457" s="6"/>
      <c r="M2457" s="6"/>
      <c r="Q2457" s="6" t="str">
        <f>IFERROR(__xludf.DUMMYFUNCTION("""COMPUTED_VALUE"""),"confuse")</f>
        <v>confuse</v>
      </c>
    </row>
    <row r="2458">
      <c r="D2458" s="6"/>
      <c r="M2458" s="6"/>
      <c r="Q2458" s="6" t="str">
        <f>IFERROR(__xludf.DUMMYFUNCTION("""COMPUTED_VALUE"""),"enlightenment")</f>
        <v>enlightenment</v>
      </c>
    </row>
    <row r="2459">
      <c r="D2459" s="6"/>
      <c r="M2459" s="6"/>
      <c r="Q2459" s="6" t="str">
        <f>IFERROR(__xludf.DUMMYFUNCTION("""COMPUTED_VALUE"""),"rudd")</f>
        <v>rudd</v>
      </c>
    </row>
    <row r="2460">
      <c r="D2460" s="6"/>
      <c r="M2460" s="6"/>
      <c r="Q2460" s="6" t="str">
        <f>IFERROR(__xludf.DUMMYFUNCTION("""COMPUTED_VALUE"""),"confession")</f>
        <v>confession</v>
      </c>
    </row>
    <row r="2461">
      <c r="D2461" s="6"/>
      <c r="M2461" s="6"/>
      <c r="Q2461" s="6" t="str">
        <f>IFERROR(__xludf.DUMMYFUNCTION("""COMPUTED_VALUE"""),"thoughtfully")</f>
        <v>thoughtfully</v>
      </c>
    </row>
    <row r="2462">
      <c r="D2462" s="6"/>
      <c r="M2462" s="6"/>
      <c r="Q2462" s="6" t="str">
        <f>IFERROR(__xludf.DUMMYFUNCTION("""COMPUTED_VALUE"""),"liberalism")</f>
        <v>liberalism</v>
      </c>
    </row>
    <row r="2463">
      <c r="D2463" s="6"/>
      <c r="M2463" s="6"/>
      <c r="Q2463" s="6" t="str">
        <f>IFERROR(__xludf.DUMMYFUNCTION("""COMPUTED_VALUE"""),"china")</f>
        <v>china</v>
      </c>
    </row>
    <row r="2464">
      <c r="D2464" s="6"/>
      <c r="M2464" s="6"/>
      <c r="Q2464" s="6" t="str">
        <f>IFERROR(__xludf.DUMMYFUNCTION("""COMPUTED_VALUE"""),"critically")</f>
        <v>critically</v>
      </c>
    </row>
    <row r="2465">
      <c r="D2465" s="6"/>
      <c r="M2465" s="6"/>
      <c r="Q2465" s="6" t="str">
        <f>IFERROR(__xludf.DUMMYFUNCTION("""COMPUTED_VALUE"""),"leigh")</f>
        <v>leigh</v>
      </c>
    </row>
    <row r="2466">
      <c r="D2466" s="6"/>
      <c r="M2466" s="6"/>
      <c r="Q2466" s="6" t="str">
        <f>IFERROR(__xludf.DUMMYFUNCTION("""COMPUTED_VALUE"""),"ram")</f>
        <v>ram</v>
      </c>
    </row>
    <row r="2467">
      <c r="D2467" s="6"/>
      <c r="M2467" s="6"/>
      <c r="Q2467" s="6" t="str">
        <f>IFERROR(__xludf.DUMMYFUNCTION("""COMPUTED_VALUE"""),"ransom")</f>
        <v>ransom</v>
      </c>
    </row>
    <row r="2468">
      <c r="D2468" s="6"/>
      <c r="M2468" s="6"/>
      <c r="Q2468" s="6" t="str">
        <f>IFERROR(__xludf.DUMMYFUNCTION("""COMPUTED_VALUE"""),"lucia")</f>
        <v>lucia</v>
      </c>
    </row>
    <row r="2469">
      <c r="D2469" s="6"/>
      <c r="M2469" s="6"/>
      <c r="Q2469" s="6" t="str">
        <f>IFERROR(__xludf.DUMMYFUNCTION("""COMPUTED_VALUE"""),"heartbreak")</f>
        <v>heartbreak</v>
      </c>
    </row>
    <row r="2470">
      <c r="D2470" s="6"/>
      <c r="M2470" s="6"/>
      <c r="Q2470" s="6" t="str">
        <f>IFERROR(__xludf.DUMMYFUNCTION("""COMPUTED_VALUE"""),"liner")</f>
        <v>liner</v>
      </c>
    </row>
    <row r="2471">
      <c r="D2471" s="6"/>
      <c r="M2471" s="6"/>
      <c r="Q2471" s="6" t="str">
        <f>IFERROR(__xludf.DUMMYFUNCTION("""COMPUTED_VALUE"""),"schultz")</f>
        <v>schultz</v>
      </c>
    </row>
    <row r="2472">
      <c r="D2472" s="6"/>
      <c r="M2472" s="6"/>
      <c r="Q2472" s="6" t="str">
        <f>IFERROR(__xludf.DUMMYFUNCTION("""COMPUTED_VALUE"""),"australia")</f>
        <v>australia</v>
      </c>
    </row>
    <row r="2473">
      <c r="D2473" s="6"/>
      <c r="M2473" s="6"/>
      <c r="Q2473" s="6" t="str">
        <f>IFERROR(__xludf.DUMMYFUNCTION("""COMPUTED_VALUE"""),"stitch")</f>
        <v>stitch</v>
      </c>
    </row>
    <row r="2474">
      <c r="D2474" s="6"/>
      <c r="M2474" s="6"/>
      <c r="Q2474" s="6" t="str">
        <f>IFERROR(__xludf.DUMMYFUNCTION("""COMPUTED_VALUE"""),"partnerships")</f>
        <v>partnerships</v>
      </c>
    </row>
    <row r="2475">
      <c r="D2475" s="6"/>
      <c r="M2475" s="6"/>
    </row>
    <row r="2476">
      <c r="D2476" s="6"/>
      <c r="M2476" s="6"/>
    </row>
    <row r="2477">
      <c r="D2477" s="6"/>
      <c r="M2477" s="6"/>
    </row>
    <row r="2478">
      <c r="D2478" s="6"/>
      <c r="M2478" s="6"/>
    </row>
    <row r="2479">
      <c r="D2479" s="6"/>
      <c r="M2479" s="6"/>
    </row>
    <row r="2480">
      <c r="D2480" s="6"/>
      <c r="M2480" s="6"/>
    </row>
    <row r="2481">
      <c r="D2481" s="6"/>
      <c r="M2481" s="6"/>
    </row>
    <row r="2482">
      <c r="D2482" s="6"/>
      <c r="M2482" s="6"/>
    </row>
    <row r="2483">
      <c r="D2483" s="6"/>
      <c r="M2483" s="6"/>
    </row>
    <row r="2484">
      <c r="D2484" s="6"/>
      <c r="M2484" s="6"/>
    </row>
    <row r="2485">
      <c r="D2485" s="6"/>
      <c r="M2485" s="6"/>
    </row>
    <row r="2486">
      <c r="D2486" s="6"/>
      <c r="M2486" s="6"/>
    </row>
    <row r="2487">
      <c r="D2487" s="6"/>
      <c r="M2487" s="6"/>
    </row>
    <row r="2488">
      <c r="D2488" s="6"/>
      <c r="M2488" s="6"/>
    </row>
    <row r="2489">
      <c r="D2489" s="6"/>
      <c r="M2489" s="6"/>
    </row>
    <row r="2490">
      <c r="D2490" s="6"/>
      <c r="M2490" s="6"/>
    </row>
    <row r="2491">
      <c r="D2491" s="6"/>
      <c r="M2491" s="6"/>
    </row>
    <row r="2492">
      <c r="D2492" s="6"/>
      <c r="M2492" s="6"/>
    </row>
    <row r="2493">
      <c r="D2493" s="6"/>
      <c r="M2493" s="6"/>
    </row>
    <row r="2494">
      <c r="D2494" s="6"/>
      <c r="M2494" s="6"/>
    </row>
    <row r="2495">
      <c r="D2495" s="6"/>
      <c r="M2495" s="6"/>
    </row>
    <row r="2496">
      <c r="D2496" s="6"/>
      <c r="M2496" s="6"/>
    </row>
    <row r="2497">
      <c r="D2497" s="6"/>
      <c r="M2497" s="6"/>
    </row>
    <row r="2498">
      <c r="D2498" s="6"/>
      <c r="M2498" s="6"/>
    </row>
    <row r="2499">
      <c r="D2499" s="6"/>
      <c r="M2499" s="6"/>
    </row>
    <row r="2500">
      <c r="D2500" s="6"/>
      <c r="M2500" s="6"/>
    </row>
    <row r="2501">
      <c r="D2501" s="6"/>
      <c r="M2501" s="6"/>
    </row>
    <row r="2502">
      <c r="D2502" s="6"/>
      <c r="M2502" s="6"/>
    </row>
    <row r="2503">
      <c r="D2503" s="6"/>
      <c r="M2503" s="6"/>
    </row>
    <row r="2504">
      <c r="D2504" s="6"/>
      <c r="M2504" s="6"/>
    </row>
    <row r="2505">
      <c r="D2505" s="6"/>
      <c r="M2505" s="6"/>
    </row>
    <row r="2506">
      <c r="D2506" s="6"/>
      <c r="M2506" s="6"/>
    </row>
    <row r="2507">
      <c r="D2507" s="6"/>
      <c r="M2507" s="6"/>
    </row>
    <row r="2508">
      <c r="D2508" s="6"/>
      <c r="M2508" s="6"/>
    </row>
    <row r="2509">
      <c r="D2509" s="6"/>
      <c r="M2509" s="6"/>
    </row>
    <row r="2510">
      <c r="D2510" s="6"/>
      <c r="M2510" s="6"/>
    </row>
    <row r="2511">
      <c r="D2511" s="6"/>
      <c r="M2511" s="6"/>
    </row>
    <row r="2512">
      <c r="D2512" s="6"/>
      <c r="M2512" s="6"/>
    </row>
    <row r="2513">
      <c r="D2513" s="6"/>
      <c r="M2513" s="6"/>
    </row>
    <row r="2514">
      <c r="D2514" s="6"/>
      <c r="M2514" s="6"/>
    </row>
    <row r="2515">
      <c r="D2515" s="6"/>
      <c r="M2515" s="6"/>
    </row>
    <row r="2516">
      <c r="D2516" s="6"/>
      <c r="M2516" s="6"/>
    </row>
    <row r="2517">
      <c r="D2517" s="6"/>
      <c r="M2517" s="6"/>
    </row>
    <row r="2518">
      <c r="D2518" s="6"/>
      <c r="M2518" s="6"/>
    </row>
    <row r="2519">
      <c r="D2519" s="6"/>
      <c r="M2519" s="6"/>
    </row>
    <row r="2520">
      <c r="D2520" s="6"/>
      <c r="M2520" s="6"/>
    </row>
    <row r="2521">
      <c r="D2521" s="6"/>
      <c r="M2521" s="6"/>
    </row>
    <row r="2522">
      <c r="D2522" s="6"/>
      <c r="M2522" s="6"/>
    </row>
    <row r="2523">
      <c r="D2523" s="6"/>
      <c r="M2523" s="6"/>
    </row>
    <row r="2524">
      <c r="D2524" s="6"/>
      <c r="M2524" s="6"/>
    </row>
    <row r="2525">
      <c r="D2525" s="6"/>
      <c r="M2525" s="6"/>
    </row>
    <row r="2526">
      <c r="D2526" s="6"/>
      <c r="M2526" s="6"/>
    </row>
    <row r="2527">
      <c r="D2527" s="6"/>
      <c r="M2527" s="6"/>
    </row>
    <row r="2528">
      <c r="D2528" s="6"/>
      <c r="M2528" s="6"/>
    </row>
    <row r="2529">
      <c r="D2529" s="6"/>
      <c r="M2529" s="6"/>
    </row>
    <row r="2530">
      <c r="D2530" s="6"/>
      <c r="M2530" s="6"/>
    </row>
    <row r="2531">
      <c r="D2531" s="6"/>
      <c r="M2531" s="6"/>
    </row>
    <row r="2532">
      <c r="D2532" s="6"/>
      <c r="M2532" s="6"/>
    </row>
    <row r="2533">
      <c r="D2533" s="6"/>
      <c r="M2533" s="6"/>
    </row>
    <row r="2534">
      <c r="D2534" s="6"/>
      <c r="M2534" s="6"/>
    </row>
    <row r="2535">
      <c r="D2535" s="6"/>
      <c r="M2535" s="6"/>
    </row>
    <row r="2536">
      <c r="D2536" s="6"/>
      <c r="M2536" s="6"/>
    </row>
    <row r="2537">
      <c r="D2537" s="6"/>
      <c r="M2537" s="6"/>
    </row>
    <row r="2538">
      <c r="D2538" s="6"/>
      <c r="M2538" s="6"/>
    </row>
    <row r="2539">
      <c r="D2539" s="6"/>
      <c r="M2539" s="6"/>
    </row>
    <row r="2540">
      <c r="D2540" s="6"/>
      <c r="M2540" s="6"/>
    </row>
    <row r="2541">
      <c r="D2541" s="6"/>
      <c r="M2541" s="6"/>
    </row>
    <row r="2542">
      <c r="D2542" s="6"/>
      <c r="M2542" s="6"/>
    </row>
    <row r="2543">
      <c r="D2543" s="6"/>
      <c r="M2543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7190</v>
      </c>
      <c r="B1" s="1" t="s">
        <v>7191</v>
      </c>
      <c r="C1" s="1" t="s">
        <v>7192</v>
      </c>
      <c r="D1" s="1" t="s">
        <v>7193</v>
      </c>
      <c r="E1" s="19" t="s">
        <v>7194</v>
      </c>
      <c r="G1" s="1" t="s">
        <v>7195</v>
      </c>
      <c r="H1" s="1" t="s">
        <v>7196</v>
      </c>
      <c r="I1" s="1" t="s">
        <v>6234</v>
      </c>
      <c r="J1" s="1" t="s">
        <v>7197</v>
      </c>
      <c r="K1" s="19"/>
      <c r="L1" s="1" t="s">
        <v>7198</v>
      </c>
      <c r="M1" s="1" t="s">
        <v>7199</v>
      </c>
      <c r="N1" s="1" t="s">
        <v>7200</v>
      </c>
      <c r="P1" s="1" t="s">
        <v>20</v>
      </c>
      <c r="Q1" s="1" t="s">
        <v>7201</v>
      </c>
      <c r="S1" s="1" t="s">
        <v>7202</v>
      </c>
    </row>
    <row r="2">
      <c r="A2" s="4" t="str">
        <f>IFERROR(__xludf.DUMMYFUNCTION("filter(Ofc!A:A, MATCH(Ofc!A:A,Ofc!B:B , false))"),"superficial")</f>
        <v>superficial</v>
      </c>
      <c r="B2" s="4" t="str">
        <f>IFERROR(__xludf.DUMMYFUNCTION("filter(Ofc!A:A, MATCH(Ofc!A:A,Ofc!C:C , false))"),"superficial")</f>
        <v>superficial</v>
      </c>
      <c r="C2" s="4" t="str">
        <f>IFERROR(__xludf.DUMMYFUNCTION("filter(Ofc!A:A, MATCH(Ofc!A:A,Ofc!D:D , false))"),"superficial")</f>
        <v>superficial</v>
      </c>
      <c r="D2" s="4" t="str">
        <f>IFERROR(__xludf.DUMMYFUNCTION("filter(Ofc!A:A, MATCH(Ofc!A:A,Ofc!E:E , false))"),"sharply")</f>
        <v>sharply</v>
      </c>
      <c r="E2" s="4" t="str">
        <f>IFERROR(__xludf.DUMMYFUNCTION("filter(Ofc!A:A, MATCH(Ofc!A:A,Ofc!F:F , false))"),"superficial")</f>
        <v>superficial</v>
      </c>
      <c r="G2" s="4" t="str">
        <f>IFERROR(__xludf.DUMMYFUNCTION("filter(Ofc!B:B, MATCH(Ofc!B:B,Ofc!C:C , false))"),"wit")</f>
        <v>wit</v>
      </c>
      <c r="H2" s="4" t="str">
        <f>IFERROR(__xludf.DUMMYFUNCTION("filter(Ofc!B:B, MATCH(Ofc!B:B,Ofc!D:D , false))"),"parental")</f>
        <v>parental</v>
      </c>
      <c r="I2" s="4" t="str">
        <f>IFERROR(__xludf.DUMMYFUNCTION("filter(Ofc!B:B, MATCH(Ofc!B:B,Ofc!E:E , false))"),"characters")</f>
        <v>characters</v>
      </c>
      <c r="J2" s="4" t="str">
        <f>IFERROR(__xludf.DUMMYFUNCTION("filter(Ofc!B:B, MATCH(Ofc!B:B,Ofc!F:F , false))"),"parental")</f>
        <v>parental</v>
      </c>
      <c r="K2" s="4"/>
      <c r="L2" s="4" t="str">
        <f>IFERROR(__xludf.DUMMYFUNCTION("filter(Ofc!C:C, MATCH(Ofc!C:C,Ofc!D:D , false))"),"notorious")</f>
        <v>notorious</v>
      </c>
      <c r="M2" s="4" t="str">
        <f>IFERROR(__xludf.DUMMYFUNCTION("filter(Ofc!C:C, MATCH(Ofc!C:C,Ofc!E:E , false))"),"past")</f>
        <v>past</v>
      </c>
      <c r="N2" s="4" t="str">
        <f>IFERROR(__xludf.DUMMYFUNCTION("filter(Ofc!C:C, MATCH(Ofc!C:C,Ofc!F:F , false))"),"or")</f>
        <v>or</v>
      </c>
      <c r="P2" s="4" t="str">
        <f>IFERROR(__xludf.DUMMYFUNCTION("filter(Ofc!D:D, MATCH(Ofc!D:D,Ofc!E:E , false))"),"new")</f>
        <v>new</v>
      </c>
      <c r="Q2" s="4" t="str">
        <f>IFERROR(__xludf.DUMMYFUNCTION("filter(Ofc!D:D, MATCH(Ofc!D:D,Ofc!F:F , false))"),"parental")</f>
        <v>parental</v>
      </c>
      <c r="S2" s="4" t="str">
        <f>IFERROR(__xludf.DUMMYFUNCTION("filter(Ofc!E:E, MATCH(Ofc!E:E,Ofc!F:F , false))"),"new")</f>
        <v>new</v>
      </c>
    </row>
    <row r="3">
      <c r="A3" s="6" t="str">
        <f>IFERROR(__xludf.DUMMYFUNCTION("""COMPUTED_VALUE"""),"depressed")</f>
        <v>depressed</v>
      </c>
      <c r="B3" s="6" t="str">
        <f>IFERROR(__xludf.DUMMYFUNCTION("""COMPUTED_VALUE"""),"redundant")</f>
        <v>redundant</v>
      </c>
      <c r="C3" s="6" t="str">
        <f>IFERROR(__xludf.DUMMYFUNCTION("""COMPUTED_VALUE"""),"depressed")</f>
        <v>depressed</v>
      </c>
      <c r="D3" s="6" t="str">
        <f>IFERROR(__xludf.DUMMYFUNCTION("""COMPUTED_VALUE"""),"touching")</f>
        <v>touching</v>
      </c>
      <c r="E3" s="20" t="str">
        <f>IFERROR(__xludf.DUMMYFUNCTION("""COMPUTED_VALUE"""),"redundant")</f>
        <v>redundant</v>
      </c>
      <c r="G3" s="6" t="str">
        <f>IFERROR(__xludf.DUMMYFUNCTION("""COMPUTED_VALUE"""),"only")</f>
        <v>only</v>
      </c>
      <c r="H3" s="6" t="str">
        <f>IFERROR(__xludf.DUMMYFUNCTION("""COMPUTED_VALUE"""),"wit")</f>
        <v>wit</v>
      </c>
      <c r="I3" s="6" t="str">
        <f>IFERROR(__xludf.DUMMYFUNCTION("""COMPUTED_VALUE"""),"something")</f>
        <v>something</v>
      </c>
      <c r="J3" s="6" t="str">
        <f>IFERROR(__xludf.DUMMYFUNCTION("""COMPUTED_VALUE"""),"only")</f>
        <v>only</v>
      </c>
      <c r="K3" s="20"/>
      <c r="L3" s="6" t="str">
        <f>IFERROR(__xludf.DUMMYFUNCTION("""COMPUTED_VALUE"""),"compared")</f>
        <v>compared</v>
      </c>
      <c r="M3" s="6" t="str">
        <f>IFERROR(__xludf.DUMMYFUNCTION("""COMPUTED_VALUE"""),"compared")</f>
        <v>compared</v>
      </c>
      <c r="N3" s="6" t="str">
        <f>IFERROR(__xludf.DUMMYFUNCTION("""COMPUTED_VALUE"""),"to")</f>
        <v>to</v>
      </c>
      <c r="P3" s="6" t="str">
        <f>IFERROR(__xludf.DUMMYFUNCTION("""COMPUTED_VALUE"""),"contains")</f>
        <v>contains</v>
      </c>
      <c r="Q3" s="6" t="str">
        <f>IFERROR(__xludf.DUMMYFUNCTION("""COMPUTED_VALUE"""),"new")</f>
        <v>new</v>
      </c>
      <c r="S3" s="6" t="str">
        <f>IFERROR(__xludf.DUMMYFUNCTION("""COMPUTED_VALUE"""),"something")</f>
        <v>something</v>
      </c>
    </row>
    <row r="4">
      <c r="A4" s="6" t="str">
        <f>IFERROR(__xludf.DUMMYFUNCTION("""COMPUTED_VALUE"""),"redundant")</f>
        <v>redundant</v>
      </c>
      <c r="B4" s="6" t="str">
        <f>IFERROR(__xludf.DUMMYFUNCTION("""COMPUTED_VALUE"""),"succeeds")</f>
        <v>succeeds</v>
      </c>
      <c r="C4" s="6" t="str">
        <f>IFERROR(__xludf.DUMMYFUNCTION("""COMPUTED_VALUE"""),"redundant")</f>
        <v>redundant</v>
      </c>
      <c r="D4" s="6" t="str">
        <f>IFERROR(__xludf.DUMMYFUNCTION("""COMPUTED_VALUE"""),"historically")</f>
        <v>historically</v>
      </c>
      <c r="E4" s="20" t="str">
        <f>IFERROR(__xludf.DUMMYFUNCTION("""COMPUTED_VALUE"""),"succeeds")</f>
        <v>succeeds</v>
      </c>
      <c r="G4" s="6" t="str">
        <f>IFERROR(__xludf.DUMMYFUNCTION("""COMPUTED_VALUE"""),"characters")</f>
        <v>characters</v>
      </c>
      <c r="H4" s="6" t="str">
        <f>IFERROR(__xludf.DUMMYFUNCTION("""COMPUTED_VALUE"""),"and")</f>
        <v>and</v>
      </c>
      <c r="I4" s="6" t="str">
        <f>IFERROR(__xludf.DUMMYFUNCTION("""COMPUTED_VALUE"""),"beautiful")</f>
        <v>beautiful</v>
      </c>
      <c r="J4" s="6" t="str">
        <f>IFERROR(__xludf.DUMMYFUNCTION("""COMPUTED_VALUE"""),"and")</f>
        <v>and</v>
      </c>
      <c r="K4" s="20"/>
      <c r="L4" s="6" t="str">
        <f>IFERROR(__xludf.DUMMYFUNCTION("""COMPUTED_VALUE"""),"road")</f>
        <v>road</v>
      </c>
      <c r="M4" s="6" t="str">
        <f>IFERROR(__xludf.DUMMYFUNCTION("""COMPUTED_VALUE"""),"road")</f>
        <v>road</v>
      </c>
      <c r="N4" s="6" t="str">
        <f>IFERROR(__xludf.DUMMYFUNCTION("""COMPUTED_VALUE"""),"past")</f>
        <v>past</v>
      </c>
      <c r="P4" s="6" t="str">
        <f>IFERROR(__xludf.DUMMYFUNCTION("""COMPUTED_VALUE"""),"characters")</f>
        <v>characters</v>
      </c>
      <c r="Q4" s="6" t="str">
        <f>IFERROR(__xludf.DUMMYFUNCTION("""COMPUTED_VALUE"""),"characters")</f>
        <v>characters</v>
      </c>
      <c r="S4" s="6" t="str">
        <f>IFERROR(__xludf.DUMMYFUNCTION("""COMPUTED_VALUE"""),"nature")</f>
        <v>nature</v>
      </c>
    </row>
    <row r="5">
      <c r="A5" s="6" t="str">
        <f>IFERROR(__xludf.DUMMYFUNCTION("""COMPUTED_VALUE"""),"succeeds")</f>
        <v>succeeds</v>
      </c>
      <c r="B5" s="6" t="str">
        <f>IFERROR(__xludf.DUMMYFUNCTION("""COMPUTED_VALUE"""),"recycled")</f>
        <v>recycled</v>
      </c>
      <c r="C5" s="6" t="str">
        <f>IFERROR(__xludf.DUMMYFUNCTION("""COMPUTED_VALUE"""),"succeeds")</f>
        <v>succeeds</v>
      </c>
      <c r="D5" s="6" t="str">
        <f>IFERROR(__xludf.DUMMYFUNCTION("""COMPUTED_VALUE"""),"wisdom")</f>
        <v>wisdom</v>
      </c>
      <c r="E5" s="20" t="str">
        <f>IFERROR(__xludf.DUMMYFUNCTION("""COMPUTED_VALUE"""),"crude")</f>
        <v>crude</v>
      </c>
      <c r="G5" s="6" t="str">
        <f>IFERROR(__xludf.DUMMYFUNCTION("""COMPUTED_VALUE"""),"something")</f>
        <v>something</v>
      </c>
      <c r="H5" s="6" t="str">
        <f>IFERROR(__xludf.DUMMYFUNCTION("""COMPUTED_VALUE"""),"characters")</f>
        <v>characters</v>
      </c>
      <c r="I5" s="6" t="str">
        <f>IFERROR(__xludf.DUMMYFUNCTION("""COMPUTED_VALUE"""),"human")</f>
        <v>human</v>
      </c>
      <c r="J5" s="6" t="str">
        <f>IFERROR(__xludf.DUMMYFUNCTION("""COMPUTED_VALUE"""),"characters")</f>
        <v>characters</v>
      </c>
      <c r="K5" s="20"/>
      <c r="L5" s="6" t="str">
        <f>IFERROR(__xludf.DUMMYFUNCTION("""COMPUTED_VALUE"""),"getting")</f>
        <v>getting</v>
      </c>
      <c r="M5" s="6" t="str">
        <f>IFERROR(__xludf.DUMMYFUNCTION("""COMPUTED_VALUE"""),"taken")</f>
        <v>taken</v>
      </c>
      <c r="N5" s="6" t="str">
        <f>IFERROR(__xludf.DUMMYFUNCTION("""COMPUTED_VALUE"""),"other")</f>
        <v>other</v>
      </c>
      <c r="P5" s="6" t="str">
        <f>IFERROR(__xludf.DUMMYFUNCTION("""COMPUTED_VALUE"""),"nature")</f>
        <v>nature</v>
      </c>
      <c r="Q5" s="6" t="str">
        <f>IFERROR(__xludf.DUMMYFUNCTION("""COMPUTED_VALUE"""),"nature")</f>
        <v>nature</v>
      </c>
      <c r="S5" s="6" t="str">
        <f>IFERROR(__xludf.DUMMYFUNCTION("""COMPUTED_VALUE"""),"beautiful")</f>
        <v>beautiful</v>
      </c>
    </row>
    <row r="6">
      <c r="A6" s="6" t="str">
        <f>IFERROR(__xludf.DUMMYFUNCTION("""COMPUTED_VALUE"""),"crude")</f>
        <v>crude</v>
      </c>
      <c r="B6" s="6" t="str">
        <f>IFERROR(__xludf.DUMMYFUNCTION("""COMPUTED_VALUE"""),"proves")</f>
        <v>proves</v>
      </c>
      <c r="C6" s="6" t="str">
        <f>IFERROR(__xludf.DUMMYFUNCTION("""COMPUTED_VALUE"""),"crude")</f>
        <v>crude</v>
      </c>
      <c r="D6" s="6" t="str">
        <f>IFERROR(__xludf.DUMMYFUNCTION("""COMPUTED_VALUE"""),"fluid")</f>
        <v>fluid</v>
      </c>
      <c r="E6" s="20" t="str">
        <f>IFERROR(__xludf.DUMMYFUNCTION("""COMPUTED_VALUE"""),"sharply")</f>
        <v>sharply</v>
      </c>
      <c r="G6" s="6" t="str">
        <f>IFERROR(__xludf.DUMMYFUNCTION("""COMPUTED_VALUE"""),"human")</f>
        <v>human</v>
      </c>
      <c r="H6" s="6" t="str">
        <f>IFERROR(__xludf.DUMMYFUNCTION("""COMPUTED_VALUE"""),"beautiful")</f>
        <v>beautiful</v>
      </c>
      <c r="I6" s="6" t="str">
        <f>IFERROR(__xludf.DUMMYFUNCTION("""COMPUTED_VALUE"""),"remain")</f>
        <v>remain</v>
      </c>
      <c r="J6" s="6" t="str">
        <f>IFERROR(__xludf.DUMMYFUNCTION("""COMPUTED_VALUE"""),"something")</f>
        <v>something</v>
      </c>
      <c r="K6" s="20"/>
      <c r="L6" s="6" t="str">
        <f>IFERROR(__xludf.DUMMYFUNCTION("""COMPUTED_VALUE"""),"me")</f>
        <v>me</v>
      </c>
      <c r="M6" s="6" t="str">
        <f>IFERROR(__xludf.DUMMYFUNCTION("""COMPUTED_VALUE"""),"getting")</f>
        <v>getting</v>
      </c>
      <c r="N6" s="6" t="str">
        <f>IFERROR(__xludf.DUMMYFUNCTION("""COMPUTED_VALUE"""),"taken")</f>
        <v>taken</v>
      </c>
      <c r="P6" s="6" t="str">
        <f>IFERROR(__xludf.DUMMYFUNCTION("""COMPUTED_VALUE"""),"beautiful")</f>
        <v>beautiful</v>
      </c>
      <c r="Q6" s="6" t="str">
        <f>IFERROR(__xludf.DUMMYFUNCTION("""COMPUTED_VALUE"""),"and")</f>
        <v>and</v>
      </c>
      <c r="S6" s="6" t="str">
        <f>IFERROR(__xludf.DUMMYFUNCTION("""COMPUTED_VALUE"""),"characters")</f>
        <v>characters</v>
      </c>
    </row>
    <row r="7">
      <c r="A7" s="6" t="str">
        <f>IFERROR(__xludf.DUMMYFUNCTION("""COMPUTED_VALUE"""),"oblivious")</f>
        <v>oblivious</v>
      </c>
      <c r="B7" s="6" t="str">
        <f>IFERROR(__xludf.DUMMYFUNCTION("""COMPUTED_VALUE"""),"pointless")</f>
        <v>pointless</v>
      </c>
      <c r="C7" s="6" t="str">
        <f>IFERROR(__xludf.DUMMYFUNCTION("""COMPUTED_VALUE"""),"sharply")</f>
        <v>sharply</v>
      </c>
      <c r="D7" s="6" t="str">
        <f>IFERROR(__xludf.DUMMYFUNCTION("""COMPUTED_VALUE"""),"seal")</f>
        <v>seal</v>
      </c>
      <c r="E7" s="20" t="str">
        <f>IFERROR(__xludf.DUMMYFUNCTION("""COMPUTED_VALUE"""),"recycled")</f>
        <v>recycled</v>
      </c>
      <c r="G7" s="6" t="str">
        <f>IFERROR(__xludf.DUMMYFUNCTION("""COMPUTED_VALUE"""),"filmmakers")</f>
        <v>filmmakers</v>
      </c>
      <c r="H7" s="6" t="str">
        <f>IFERROR(__xludf.DUMMYFUNCTION("""COMPUTED_VALUE"""),"utterly")</f>
        <v>utterly</v>
      </c>
      <c r="I7" s="6" t="str">
        <f>IFERROR(__xludf.DUMMYFUNCTION("""COMPUTED_VALUE"""),"could")</f>
        <v>could</v>
      </c>
      <c r="J7" s="6" t="str">
        <f>IFERROR(__xludf.DUMMYFUNCTION("""COMPUTED_VALUE"""),"beautiful")</f>
        <v>beautiful</v>
      </c>
      <c r="K7" s="20"/>
      <c r="L7" s="6" t="str">
        <f>IFERROR(__xludf.DUMMYFUNCTION("""COMPUTED_VALUE"""),"been")</f>
        <v>been</v>
      </c>
      <c r="M7" s="6" t="str">
        <f>IFERROR(__xludf.DUMMYFUNCTION("""COMPUTED_VALUE"""),"know")</f>
        <v>know</v>
      </c>
      <c r="N7" s="6" t="str">
        <f>IFERROR(__xludf.DUMMYFUNCTION("""COMPUTED_VALUE"""),"have")</f>
        <v>have</v>
      </c>
      <c r="P7" s="6" t="str">
        <f>IFERROR(__xludf.DUMMYFUNCTION("""COMPUTED_VALUE"""),"rather")</f>
        <v>rather</v>
      </c>
      <c r="Q7" s="6" t="str">
        <f>IFERROR(__xludf.DUMMYFUNCTION("""COMPUTED_VALUE"""),"beautiful")</f>
        <v>beautiful</v>
      </c>
      <c r="S7" s="6" t="str">
        <f>IFERROR(__xludf.DUMMYFUNCTION("""COMPUTED_VALUE"""),"remain")</f>
        <v>remain</v>
      </c>
    </row>
    <row r="8">
      <c r="A8" s="6" t="str">
        <f>IFERROR(__xludf.DUMMYFUNCTION("""COMPUTED_VALUE"""),"sharply")</f>
        <v>sharply</v>
      </c>
      <c r="B8" s="6" t="str">
        <f>IFERROR(__xludf.DUMMYFUNCTION("""COMPUTED_VALUE"""),"touching")</f>
        <v>touching</v>
      </c>
      <c r="C8" s="6" t="str">
        <f>IFERROR(__xludf.DUMMYFUNCTION("""COMPUTED_VALUE"""),"recycled")</f>
        <v>recycled</v>
      </c>
      <c r="D8" s="6" t="str">
        <f>IFERROR(__xludf.DUMMYFUNCTION("""COMPUTED_VALUE"""),"reveals")</f>
        <v>reveals</v>
      </c>
      <c r="E8" s="20" t="str">
        <f>IFERROR(__xludf.DUMMYFUNCTION("""COMPUTED_VALUE"""),"proves")</f>
        <v>proves</v>
      </c>
      <c r="G8" s="6" t="str">
        <f>IFERROR(__xludf.DUMMYFUNCTION("""COMPUTED_VALUE"""),"could")</f>
        <v>could</v>
      </c>
      <c r="H8" s="6" t="str">
        <f>IFERROR(__xludf.DUMMYFUNCTION("""COMPUTED_VALUE"""),"remain")</f>
        <v>remain</v>
      </c>
      <c r="I8" s="6" t="str">
        <f>IFERROR(__xludf.DUMMYFUNCTION("""COMPUTED_VALUE"""),"merit")</f>
        <v>merit</v>
      </c>
      <c r="J8" s="6" t="str">
        <f>IFERROR(__xludf.DUMMYFUNCTION("""COMPUTED_VALUE"""),"remain")</f>
        <v>remain</v>
      </c>
      <c r="K8" s="20"/>
      <c r="L8" s="6" t="str">
        <f>IFERROR(__xludf.DUMMYFUNCTION("""COMPUTED_VALUE"""),"re")</f>
        <v>re</v>
      </c>
      <c r="M8" s="6" t="str">
        <f>IFERROR(__xludf.DUMMYFUNCTION("""COMPUTED_VALUE"""),"like")</f>
        <v>like</v>
      </c>
      <c r="N8" s="6" t="str">
        <f>IFERROR(__xludf.DUMMYFUNCTION("""COMPUTED_VALUE"""),"getting")</f>
        <v>getting</v>
      </c>
      <c r="P8" s="6" t="str">
        <f>IFERROR(__xludf.DUMMYFUNCTION("""COMPUTED_VALUE"""),"throughout")</f>
        <v>throughout</v>
      </c>
      <c r="Q8" s="6" t="str">
        <f>IFERROR(__xludf.DUMMYFUNCTION("""COMPUTED_VALUE"""),"remain")</f>
        <v>remain</v>
      </c>
      <c r="S8" s="6" t="str">
        <f>IFERROR(__xludf.DUMMYFUNCTION("""COMPUTED_VALUE"""),"could")</f>
        <v>could</v>
      </c>
    </row>
    <row r="9">
      <c r="A9" s="6" t="str">
        <f>IFERROR(__xludf.DUMMYFUNCTION("""COMPUTED_VALUE"""),"recycled")</f>
        <v>recycled</v>
      </c>
      <c r="B9" s="6" t="str">
        <f>IFERROR(__xludf.DUMMYFUNCTION("""COMPUTED_VALUE"""),"woven")</f>
        <v>woven</v>
      </c>
      <c r="C9" s="6" t="str">
        <f>IFERROR(__xludf.DUMMYFUNCTION("""COMPUTED_VALUE"""),"proves")</f>
        <v>proves</v>
      </c>
      <c r="D9" s="6" t="str">
        <f>IFERROR(__xludf.DUMMYFUNCTION("""COMPUTED_VALUE"""),"epic")</f>
        <v>epic</v>
      </c>
      <c r="E9" s="20" t="str">
        <f>IFERROR(__xludf.DUMMYFUNCTION("""COMPUTED_VALUE"""),"vivid")</f>
        <v>vivid</v>
      </c>
      <c r="G9" s="6" t="str">
        <f>IFERROR(__xludf.DUMMYFUNCTION("""COMPUTED_VALUE"""),"superficial")</f>
        <v>superficial</v>
      </c>
      <c r="H9" s="6" t="str">
        <f>IFERROR(__xludf.DUMMYFUNCTION("""COMPUTED_VALUE"""),"filmmakers")</f>
        <v>filmmakers</v>
      </c>
      <c r="I9" s="6" t="str">
        <f>IFERROR(__xludf.DUMMYFUNCTION("""COMPUTED_VALUE"""),"director")</f>
        <v>director</v>
      </c>
      <c r="J9" s="6" t="str">
        <f>IFERROR(__xludf.DUMMYFUNCTION("""COMPUTED_VALUE"""),"filmmakers")</f>
        <v>filmmakers</v>
      </c>
      <c r="K9" s="20"/>
      <c r="L9" s="6" t="str">
        <f>IFERROR(__xludf.DUMMYFUNCTION("""COMPUTED_VALUE"""),"with")</f>
        <v>with</v>
      </c>
      <c r="M9" s="6" t="str">
        <f>IFERROR(__xludf.DUMMYFUNCTION("""COMPUTED_VALUE"""),"service")</f>
        <v>service</v>
      </c>
      <c r="N9" s="6" t="str">
        <f>IFERROR(__xludf.DUMMYFUNCTION("""COMPUTED_VALUE"""),"me")</f>
        <v>me</v>
      </c>
      <c r="P9" s="6" t="str">
        <f>IFERROR(__xludf.DUMMYFUNCTION("""COMPUTED_VALUE"""),"remain")</f>
        <v>remain</v>
      </c>
      <c r="Q9" s="6" t="str">
        <f>IFERROR(__xludf.DUMMYFUNCTION("""COMPUTED_VALUE"""),"filmmakers")</f>
        <v>filmmakers</v>
      </c>
      <c r="S9" s="6" t="str">
        <f>IFERROR(__xludf.DUMMYFUNCTION("""COMPUTED_VALUE"""),"worst")</f>
        <v>worst</v>
      </c>
    </row>
    <row r="10">
      <c r="A10" s="6" t="str">
        <f>IFERROR(__xludf.DUMMYFUNCTION("""COMPUTED_VALUE"""),"proves")</f>
        <v>proves</v>
      </c>
      <c r="B10" s="6" t="str">
        <f>IFERROR(__xludf.DUMMYFUNCTION("""COMPUTED_VALUE"""),"historically")</f>
        <v>historically</v>
      </c>
      <c r="C10" s="6" t="str">
        <f>IFERROR(__xludf.DUMMYFUNCTION("""COMPUTED_VALUE"""),"vivid")</f>
        <v>vivid</v>
      </c>
      <c r="D10" s="6" t="str">
        <f>IFERROR(__xludf.DUMMYFUNCTION("""COMPUTED_VALUE"""),"considerable")</f>
        <v>considerable</v>
      </c>
      <c r="E10" s="20" t="str">
        <f>IFERROR(__xludf.DUMMYFUNCTION("""COMPUTED_VALUE"""),"touching")</f>
        <v>touching</v>
      </c>
      <c r="G10" s="6" t="str">
        <f>IFERROR(__xludf.DUMMYFUNCTION("""COMPUTED_VALUE"""),"too")</f>
        <v>too</v>
      </c>
      <c r="H10" s="6" t="str">
        <f>IFERROR(__xludf.DUMMYFUNCTION("""COMPUTED_VALUE"""),"up")</f>
        <v>up</v>
      </c>
      <c r="I10" s="6" t="str">
        <f>IFERROR(__xludf.DUMMYFUNCTION("""COMPUTED_VALUE"""),"games")</f>
        <v>games</v>
      </c>
      <c r="J10" s="6" t="str">
        <f>IFERROR(__xludf.DUMMYFUNCTION("""COMPUTED_VALUE"""),"up")</f>
        <v>up</v>
      </c>
      <c r="K10" s="20"/>
      <c r="L10" s="6" t="str">
        <f>IFERROR(__xludf.DUMMYFUNCTION("""COMPUTED_VALUE"""),"advantage")</f>
        <v>advantage</v>
      </c>
      <c r="M10" s="6" t="str">
        <f>IFERROR(__xludf.DUMMYFUNCTION("""COMPUTED_VALUE"""),"one")</f>
        <v>one</v>
      </c>
      <c r="N10" s="6" t="str">
        <f>IFERROR(__xludf.DUMMYFUNCTION("""COMPUTED_VALUE"""),"but")</f>
        <v>but</v>
      </c>
      <c r="P10" s="6" t="str">
        <f>IFERROR(__xludf.DUMMYFUNCTION("""COMPUTED_VALUE"""),"worst")</f>
        <v>worst</v>
      </c>
      <c r="Q10" s="6" t="str">
        <f>IFERROR(__xludf.DUMMYFUNCTION("""COMPUTED_VALUE"""),"up")</f>
        <v>up</v>
      </c>
      <c r="S10" s="6" t="str">
        <f>IFERROR(__xludf.DUMMYFUNCTION("""COMPUTED_VALUE"""),"treatment")</f>
        <v>treatment</v>
      </c>
    </row>
    <row r="11">
      <c r="A11" s="6" t="str">
        <f>IFERROR(__xludf.DUMMYFUNCTION("""COMPUTED_VALUE"""),"vivid")</f>
        <v>vivid</v>
      </c>
      <c r="B11" s="6" t="str">
        <f>IFERROR(__xludf.DUMMYFUNCTION("""COMPUTED_VALUE"""),"wisdom")</f>
        <v>wisdom</v>
      </c>
      <c r="C11" s="6" t="str">
        <f>IFERROR(__xludf.DUMMYFUNCTION("""COMPUTED_VALUE"""),"pointless")</f>
        <v>pointless</v>
      </c>
      <c r="D11" s="6" t="str">
        <f>IFERROR(__xludf.DUMMYFUNCTION("""COMPUTED_VALUE"""),"essentially")</f>
        <v>essentially</v>
      </c>
      <c r="E11" s="20" t="str">
        <f>IFERROR(__xludf.DUMMYFUNCTION("""COMPUTED_VALUE"""),"emptiness")</f>
        <v>emptiness</v>
      </c>
      <c r="G11" s="6" t="str">
        <f>IFERROR(__xludf.DUMMYFUNCTION("""COMPUTED_VALUE"""),"director")</f>
        <v>director</v>
      </c>
      <c r="H11" s="6" t="str">
        <f>IFERROR(__xludf.DUMMYFUNCTION("""COMPUTED_VALUE"""),"superficial")</f>
        <v>superficial</v>
      </c>
      <c r="I11" s="6" t="str">
        <f>IFERROR(__xludf.DUMMYFUNCTION("""COMPUTED_VALUE"""),"thought")</f>
        <v>thought</v>
      </c>
      <c r="J11" s="6" t="str">
        <f>IFERROR(__xludf.DUMMYFUNCTION("""COMPUTED_VALUE"""),"could")</f>
        <v>could</v>
      </c>
      <c r="K11" s="20"/>
      <c r="L11" s="6" t="str">
        <f>IFERROR(__xludf.DUMMYFUNCTION("""COMPUTED_VALUE"""),"years")</f>
        <v>years</v>
      </c>
      <c r="M11" s="6" t="str">
        <f>IFERROR(__xludf.DUMMYFUNCTION("""COMPUTED_VALUE"""),"advantage")</f>
        <v>advantage</v>
      </c>
      <c r="N11" s="6" t="str">
        <f>IFERROR(__xludf.DUMMYFUNCTION("""COMPUTED_VALUE"""),"of")</f>
        <v>of</v>
      </c>
      <c r="P11" s="6" t="str">
        <f>IFERROR(__xludf.DUMMYFUNCTION("""COMPUTED_VALUE"""),"emotional")</f>
        <v>emotional</v>
      </c>
      <c r="Q11" s="6" t="str">
        <f>IFERROR(__xludf.DUMMYFUNCTION("""COMPUTED_VALUE"""),"worst")</f>
        <v>worst</v>
      </c>
      <c r="S11" s="6" t="str">
        <f>IFERROR(__xludf.DUMMYFUNCTION("""COMPUTED_VALUE"""),"film")</f>
        <v>film</v>
      </c>
    </row>
    <row r="12">
      <c r="A12" s="6" t="str">
        <f>IFERROR(__xludf.DUMMYFUNCTION("""COMPUTED_VALUE"""),"pointless")</f>
        <v>pointless</v>
      </c>
      <c r="B12" s="6" t="str">
        <f>IFERROR(__xludf.DUMMYFUNCTION("""COMPUTED_VALUE"""),"fluid")</f>
        <v>fluid</v>
      </c>
      <c r="C12" s="6" t="str">
        <f>IFERROR(__xludf.DUMMYFUNCTION("""COMPUTED_VALUE"""),"touching")</f>
        <v>touching</v>
      </c>
      <c r="D12" s="6" t="str">
        <f>IFERROR(__xludf.DUMMYFUNCTION("""COMPUTED_VALUE"""),"pale")</f>
        <v>pale</v>
      </c>
      <c r="E12" s="20" t="str">
        <f>IFERROR(__xludf.DUMMYFUNCTION("""COMPUTED_VALUE"""),"woven")</f>
        <v>woven</v>
      </c>
      <c r="G12" s="6" t="str">
        <f>IFERROR(__xludf.DUMMYFUNCTION("""COMPUTED_VALUE"""),"an")</f>
        <v>an</v>
      </c>
      <c r="H12" s="6" t="str">
        <f>IFERROR(__xludf.DUMMYFUNCTION("""COMPUTED_VALUE"""),"too")</f>
        <v>too</v>
      </c>
      <c r="I12" s="6" t="str">
        <f>IFERROR(__xludf.DUMMYFUNCTION("""COMPUTED_VALUE"""),"bad")</f>
        <v>bad</v>
      </c>
      <c r="J12" s="6" t="str">
        <f>IFERROR(__xludf.DUMMYFUNCTION("""COMPUTED_VALUE"""),"superficial")</f>
        <v>superficial</v>
      </c>
      <c r="K12" s="20"/>
      <c r="L12" s="6" t="str">
        <f>IFERROR(__xludf.DUMMYFUNCTION("""COMPUTED_VALUE"""),"experience")</f>
        <v>experience</v>
      </c>
      <c r="M12" s="6" t="str">
        <f>IFERROR(__xludf.DUMMYFUNCTION("""COMPUTED_VALUE"""),"account")</f>
        <v>account</v>
      </c>
      <c r="N12" s="6" t="str">
        <f>IFERROR(__xludf.DUMMYFUNCTION("""COMPUTED_VALUE"""),"re")</f>
        <v>re</v>
      </c>
      <c r="P12" s="6" t="str">
        <f>IFERROR(__xludf.DUMMYFUNCTION("""COMPUTED_VALUE"""),"film")</f>
        <v>film</v>
      </c>
      <c r="Q12" s="6" t="str">
        <f>IFERROR(__xludf.DUMMYFUNCTION("""COMPUTED_VALUE"""),"superficial")</f>
        <v>superficial</v>
      </c>
      <c r="S12" s="6" t="str">
        <f>IFERROR(__xludf.DUMMYFUNCTION("""COMPUTED_VALUE"""),"still")</f>
        <v>still</v>
      </c>
    </row>
    <row r="13">
      <c r="A13" s="6" t="str">
        <f>IFERROR(__xludf.DUMMYFUNCTION("""COMPUTED_VALUE"""),"touching")</f>
        <v>touching</v>
      </c>
      <c r="B13" s="6" t="str">
        <f>IFERROR(__xludf.DUMMYFUNCTION("""COMPUTED_VALUE"""),"seal")</f>
        <v>seal</v>
      </c>
      <c r="C13" s="6" t="str">
        <f>IFERROR(__xludf.DUMMYFUNCTION("""COMPUTED_VALUE"""),"emptiness")</f>
        <v>emptiness</v>
      </c>
      <c r="D13" s="6" t="str">
        <f>IFERROR(__xludf.DUMMYFUNCTION("""COMPUTED_VALUE"""),"intelligent")</f>
        <v>intelligent</v>
      </c>
      <c r="E13" s="20" t="str">
        <f>IFERROR(__xludf.DUMMYFUNCTION("""COMPUTED_VALUE"""),"cruel")</f>
        <v>cruel</v>
      </c>
      <c r="G13" s="6" t="str">
        <f>IFERROR(__xludf.DUMMYFUNCTION("""COMPUTED_VALUE"""),"of")</f>
        <v>of</v>
      </c>
      <c r="H13" s="6" t="str">
        <f>IFERROR(__xludf.DUMMYFUNCTION("""COMPUTED_VALUE"""),"patriot")</f>
        <v>patriot</v>
      </c>
      <c r="I13" s="6" t="str">
        <f>IFERROR(__xludf.DUMMYFUNCTION("""COMPUTED_VALUE"""),"greatest")</f>
        <v>greatest</v>
      </c>
      <c r="J13" s="6" t="str">
        <f>IFERROR(__xludf.DUMMYFUNCTION("""COMPUTED_VALUE"""),"too")</f>
        <v>too</v>
      </c>
      <c r="K13" s="20"/>
      <c r="L13" s="6" t="str">
        <f>IFERROR(__xludf.DUMMYFUNCTION("""COMPUTED_VALUE"""),"too")</f>
        <v>too</v>
      </c>
      <c r="M13" s="6" t="str">
        <f>IFERROR(__xludf.DUMMYFUNCTION("""COMPUTED_VALUE"""),"years")</f>
        <v>years</v>
      </c>
      <c r="N13" s="6" t="str">
        <f>IFERROR(__xludf.DUMMYFUNCTION("""COMPUTED_VALUE"""),"has")</f>
        <v>has</v>
      </c>
      <c r="P13" s="6" t="str">
        <f>IFERROR(__xludf.DUMMYFUNCTION("""COMPUTED_VALUE"""),"small")</f>
        <v>small</v>
      </c>
      <c r="Q13" s="6" t="str">
        <f>IFERROR(__xludf.DUMMYFUNCTION("""COMPUTED_VALUE"""),"tragic")</f>
        <v>tragic</v>
      </c>
      <c r="S13" s="6" t="str">
        <f>IFERROR(__xludf.DUMMYFUNCTION("""COMPUTED_VALUE"""),"small")</f>
        <v>small</v>
      </c>
    </row>
    <row r="14">
      <c r="A14" s="6" t="str">
        <f>IFERROR(__xludf.DUMMYFUNCTION("""COMPUTED_VALUE"""),"emptiness")</f>
        <v>emptiness</v>
      </c>
      <c r="B14" s="6" t="str">
        <f>IFERROR(__xludf.DUMMYFUNCTION("""COMPUTED_VALUE"""),"masterpiece")</f>
        <v>masterpiece</v>
      </c>
      <c r="C14" s="6" t="str">
        <f>IFERROR(__xludf.DUMMYFUNCTION("""COMPUTED_VALUE"""),"woven")</f>
        <v>woven</v>
      </c>
      <c r="D14" s="6" t="str">
        <f>IFERROR(__xludf.DUMMYFUNCTION("""COMPUTED_VALUE"""),"backward")</f>
        <v>backward</v>
      </c>
      <c r="E14" s="20" t="str">
        <f>IFERROR(__xludf.DUMMYFUNCTION("""COMPUTED_VALUE"""),"historically")</f>
        <v>historically</v>
      </c>
      <c r="G14" s="6" t="str">
        <f>IFERROR(__xludf.DUMMYFUNCTION("""COMPUTED_VALUE"""),"suicidal")</f>
        <v>suicidal</v>
      </c>
      <c r="H14" s="6" t="str">
        <f>IFERROR(__xludf.DUMMYFUNCTION("""COMPUTED_VALUE"""),"director")</f>
        <v>director</v>
      </c>
      <c r="I14" s="6" t="str">
        <f>IFERROR(__xludf.DUMMYFUNCTION("""COMPUTED_VALUE"""),"intelligence")</f>
        <v>intelligence</v>
      </c>
      <c r="J14" s="6" t="str">
        <f>IFERROR(__xludf.DUMMYFUNCTION("""COMPUTED_VALUE"""),"patriot")</f>
        <v>patriot</v>
      </c>
      <c r="K14" s="20"/>
      <c r="L14" s="6" t="str">
        <f>IFERROR(__xludf.DUMMYFUNCTION("""COMPUTED_VALUE"""),"morning")</f>
        <v>morning</v>
      </c>
      <c r="M14" s="6" t="str">
        <f>IFERROR(__xludf.DUMMYFUNCTION("""COMPUTED_VALUE"""),"experience")</f>
        <v>experience</v>
      </c>
      <c r="N14" s="6" t="str">
        <f>IFERROR(__xludf.DUMMYFUNCTION("""COMPUTED_VALUE"""),"service")</f>
        <v>service</v>
      </c>
      <c r="P14" s="6" t="str">
        <f>IFERROR(__xludf.DUMMYFUNCTION("""COMPUTED_VALUE"""),"director")</f>
        <v>director</v>
      </c>
      <c r="Q14" s="6" t="str">
        <f>IFERROR(__xludf.DUMMYFUNCTION("""COMPUTED_VALUE"""),"too")</f>
        <v>too</v>
      </c>
      <c r="S14" s="6" t="str">
        <f>IFERROR(__xludf.DUMMYFUNCTION("""COMPUTED_VALUE"""),"games")</f>
        <v>games</v>
      </c>
    </row>
    <row r="15">
      <c r="A15" s="6" t="str">
        <f>IFERROR(__xludf.DUMMYFUNCTION("""COMPUTED_VALUE"""),"woven")</f>
        <v>woven</v>
      </c>
      <c r="B15" s="6" t="str">
        <f>IFERROR(__xludf.DUMMYFUNCTION("""COMPUTED_VALUE"""),"clumsy")</f>
        <v>clumsy</v>
      </c>
      <c r="C15" s="6" t="str">
        <f>IFERROR(__xludf.DUMMYFUNCTION("""COMPUTED_VALUE"""),"cruel")</f>
        <v>cruel</v>
      </c>
      <c r="D15" s="6" t="str">
        <f>IFERROR(__xludf.DUMMYFUNCTION("""COMPUTED_VALUE"""),"powerful")</f>
        <v>powerful</v>
      </c>
      <c r="E15" s="20" t="str">
        <f>IFERROR(__xludf.DUMMYFUNCTION("""COMPUTED_VALUE"""),"wisdom")</f>
        <v>wisdom</v>
      </c>
      <c r="G15" s="6" t="str">
        <f>IFERROR(__xludf.DUMMYFUNCTION("""COMPUTED_VALUE"""),"thought")</f>
        <v>thought</v>
      </c>
      <c r="H15" s="6" t="str">
        <f>IFERROR(__xludf.DUMMYFUNCTION("""COMPUTED_VALUE"""),"demonstrates")</f>
        <v>demonstrates</v>
      </c>
      <c r="I15" s="6" t="str">
        <f>IFERROR(__xludf.DUMMYFUNCTION("""COMPUTED_VALUE"""),"casting")</f>
        <v>casting</v>
      </c>
      <c r="J15" s="6" t="str">
        <f>IFERROR(__xludf.DUMMYFUNCTION("""COMPUTED_VALUE"""),"director")</f>
        <v>director</v>
      </c>
      <c r="K15" s="20"/>
      <c r="L15" s="6" t="str">
        <f>IFERROR(__xludf.DUMMYFUNCTION("""COMPUTED_VALUE"""),"summer")</f>
        <v>summer</v>
      </c>
      <c r="M15" s="6" t="str">
        <f>IFERROR(__xludf.DUMMYFUNCTION("""COMPUTED_VALUE"""),"feel")</f>
        <v>feel</v>
      </c>
      <c r="N15" s="6" t="str">
        <f>IFERROR(__xludf.DUMMYFUNCTION("""COMPUTED_VALUE"""),"one")</f>
        <v>one</v>
      </c>
      <c r="P15" s="6" t="str">
        <f>IFERROR(__xludf.DUMMYFUNCTION("""COMPUTED_VALUE"""),"personal")</f>
        <v>personal</v>
      </c>
      <c r="Q15" s="6" t="str">
        <f>IFERROR(__xludf.DUMMYFUNCTION("""COMPUTED_VALUE"""),"patriot")</f>
        <v>patriot</v>
      </c>
      <c r="S15" s="6" t="str">
        <f>IFERROR(__xludf.DUMMYFUNCTION("""COMPUTED_VALUE"""),"director")</f>
        <v>director</v>
      </c>
    </row>
    <row r="16">
      <c r="A16" s="6" t="str">
        <f>IFERROR(__xludf.DUMMYFUNCTION("""COMPUTED_VALUE"""),"cruel")</f>
        <v>cruel</v>
      </c>
      <c r="B16" s="6" t="str">
        <f>IFERROR(__xludf.DUMMYFUNCTION("""COMPUTED_VALUE"""),"realistic")</f>
        <v>realistic</v>
      </c>
      <c r="C16" s="6" t="str">
        <f>IFERROR(__xludf.DUMMYFUNCTION("""COMPUTED_VALUE"""),"historically")</f>
        <v>historically</v>
      </c>
      <c r="D16" s="6" t="str">
        <f>IFERROR(__xludf.DUMMYFUNCTION("""COMPUTED_VALUE"""),"torture")</f>
        <v>torture</v>
      </c>
      <c r="E16" s="20" t="str">
        <f>IFERROR(__xludf.DUMMYFUNCTION("""COMPUTED_VALUE"""),"fluid")</f>
        <v>fluid</v>
      </c>
      <c r="G16" s="6" t="str">
        <f>IFERROR(__xludf.DUMMYFUNCTION("""COMPUTED_VALUE"""),"in")</f>
        <v>in</v>
      </c>
      <c r="H16" s="6" t="str">
        <f>IFERROR(__xludf.DUMMYFUNCTION("""COMPUTED_VALUE"""),"suicidal")</f>
        <v>suicidal</v>
      </c>
      <c r="I16" s="6" t="str">
        <f>IFERROR(__xludf.DUMMYFUNCTION("""COMPUTED_VALUE"""),"actress")</f>
        <v>actress</v>
      </c>
      <c r="J16" s="6" t="str">
        <f>IFERROR(__xludf.DUMMYFUNCTION("""COMPUTED_VALUE"""),"demonstrates")</f>
        <v>demonstrates</v>
      </c>
      <c r="K16" s="20"/>
      <c r="L16" s="6" t="str">
        <f>IFERROR(__xludf.DUMMYFUNCTION("""COMPUTED_VALUE"""),"seem")</f>
        <v>seem</v>
      </c>
      <c r="M16" s="6" t="str">
        <f>IFERROR(__xludf.DUMMYFUNCTION("""COMPUTED_VALUE"""),"going")</f>
        <v>going</v>
      </c>
      <c r="N16" s="6" t="str">
        <f>IFERROR(__xludf.DUMMYFUNCTION("""COMPUTED_VALUE"""),"with")</f>
        <v>with</v>
      </c>
      <c r="P16" s="6" t="str">
        <f>IFERROR(__xludf.DUMMYFUNCTION("""COMPUTED_VALUE"""),"deeply")</f>
        <v>deeply</v>
      </c>
      <c r="Q16" s="6" t="str">
        <f>IFERROR(__xludf.DUMMYFUNCTION("""COMPUTED_VALUE"""),"demonstrates")</f>
        <v>demonstrates</v>
      </c>
      <c r="S16" s="6" t="str">
        <f>IFERROR(__xludf.DUMMYFUNCTION("""COMPUTED_VALUE"""),"personal")</f>
        <v>personal</v>
      </c>
    </row>
    <row r="17">
      <c r="A17" s="6" t="str">
        <f>IFERROR(__xludf.DUMMYFUNCTION("""COMPUTED_VALUE"""),"historically")</f>
        <v>historically</v>
      </c>
      <c r="B17" s="6" t="str">
        <f>IFERROR(__xludf.DUMMYFUNCTION("""COMPUTED_VALUE"""),"portrayal")</f>
        <v>portrayal</v>
      </c>
      <c r="C17" s="6" t="str">
        <f>IFERROR(__xludf.DUMMYFUNCTION("""COMPUTED_VALUE"""),"wisdom")</f>
        <v>wisdom</v>
      </c>
      <c r="D17" s="6" t="str">
        <f>IFERROR(__xludf.DUMMYFUNCTION("""COMPUTED_VALUE"""),"offensive")</f>
        <v>offensive</v>
      </c>
      <c r="E17" s="20" t="str">
        <f>IFERROR(__xludf.DUMMYFUNCTION("""COMPUTED_VALUE"""),"casts")</f>
        <v>casts</v>
      </c>
      <c r="G17" s="6" t="str">
        <f>IFERROR(__xludf.DUMMYFUNCTION("""COMPUTED_VALUE"""),"through")</f>
        <v>through</v>
      </c>
      <c r="H17" s="6" t="str">
        <f>IFERROR(__xludf.DUMMYFUNCTION("""COMPUTED_VALUE"""),"depressed")</f>
        <v>depressed</v>
      </c>
      <c r="I17" s="6" t="str">
        <f>IFERROR(__xludf.DUMMYFUNCTION("""COMPUTED_VALUE"""),"face")</f>
        <v>face</v>
      </c>
      <c r="J17" s="6" t="str">
        <f>IFERROR(__xludf.DUMMYFUNCTION("""COMPUTED_VALUE"""),"of")</f>
        <v>of</v>
      </c>
      <c r="K17" s="20"/>
      <c r="L17" s="6" t="str">
        <f>IFERROR(__xludf.DUMMYFUNCTION("""COMPUTED_VALUE"""),"time")</f>
        <v>time</v>
      </c>
      <c r="M17" s="6" t="str">
        <f>IFERROR(__xludf.DUMMYFUNCTION("""COMPUTED_VALUE"""),"morning")</f>
        <v>morning</v>
      </c>
      <c r="N17" s="6" t="str">
        <f>IFERROR(__xludf.DUMMYFUNCTION("""COMPUTED_VALUE"""),"advantage")</f>
        <v>advantage</v>
      </c>
      <c r="P17" s="6" t="str">
        <f>IFERROR(__xludf.DUMMYFUNCTION("""COMPUTED_VALUE"""),"goes")</f>
        <v>goes</v>
      </c>
      <c r="Q17" s="6" t="str">
        <f>IFERROR(__xludf.DUMMYFUNCTION("""COMPUTED_VALUE"""),"film")</f>
        <v>film</v>
      </c>
      <c r="S17" s="6" t="str">
        <f>IFERROR(__xludf.DUMMYFUNCTION("""COMPUTED_VALUE"""),"poetry")</f>
        <v>poetry</v>
      </c>
    </row>
    <row r="18">
      <c r="A18" s="6" t="str">
        <f>IFERROR(__xludf.DUMMYFUNCTION("""COMPUTED_VALUE"""),"fluid")</f>
        <v>fluid</v>
      </c>
      <c r="B18" s="6" t="str">
        <f>IFERROR(__xludf.DUMMYFUNCTION("""COMPUTED_VALUE"""),"unpredictable")</f>
        <v>unpredictable</v>
      </c>
      <c r="C18" s="6" t="str">
        <f>IFERROR(__xludf.DUMMYFUNCTION("""COMPUTED_VALUE"""),"fluid")</f>
        <v>fluid</v>
      </c>
      <c r="D18" s="6" t="str">
        <f>IFERROR(__xludf.DUMMYFUNCTION("""COMPUTED_VALUE"""),"tale")</f>
        <v>tale</v>
      </c>
      <c r="E18" s="20" t="str">
        <f>IFERROR(__xludf.DUMMYFUNCTION("""COMPUTED_VALUE"""),"masterpiece")</f>
        <v>masterpiece</v>
      </c>
      <c r="G18" s="6" t="str">
        <f>IFERROR(__xludf.DUMMYFUNCTION("""COMPUTED_VALUE"""),"do")</f>
        <v>do</v>
      </c>
      <c r="H18" s="6" t="str">
        <f>IFERROR(__xludf.DUMMYFUNCTION("""COMPUTED_VALUE"""),"absurd")</f>
        <v>absurd</v>
      </c>
      <c r="I18" s="6" t="str">
        <f>IFERROR(__xludf.DUMMYFUNCTION("""COMPUTED_VALUE"""),"ways")</f>
        <v>ways</v>
      </c>
      <c r="J18" s="6" t="str">
        <f>IFERROR(__xludf.DUMMYFUNCTION("""COMPUTED_VALUE"""),"games")</f>
        <v>games</v>
      </c>
      <c r="K18" s="20"/>
      <c r="L18" s="6" t="str">
        <f>IFERROR(__xludf.DUMMYFUNCTION("""COMPUTED_VALUE"""),"put")</f>
        <v>put</v>
      </c>
      <c r="M18" s="6" t="str">
        <f>IFERROR(__xludf.DUMMYFUNCTION("""COMPUTED_VALUE"""),"get")</f>
        <v>get</v>
      </c>
      <c r="N18" s="6" t="str">
        <f>IFERROR(__xludf.DUMMYFUNCTION("""COMPUTED_VALUE"""),"about")</f>
        <v>about</v>
      </c>
      <c r="P18" s="6" t="str">
        <f>IFERROR(__xludf.DUMMYFUNCTION("""COMPUTED_VALUE"""),"happening")</f>
        <v>happening</v>
      </c>
      <c r="Q18" s="6" t="str">
        <f>IFERROR(__xludf.DUMMYFUNCTION("""COMPUTED_VALUE"""),"small")</f>
        <v>small</v>
      </c>
      <c r="S18" s="6" t="str">
        <f>IFERROR(__xludf.DUMMYFUNCTION("""COMPUTED_VALUE"""),"thought")</f>
        <v>thought</v>
      </c>
    </row>
    <row r="19">
      <c r="A19" s="6" t="str">
        <f>IFERROR(__xludf.DUMMYFUNCTION("""COMPUTED_VALUE"""),"casts")</f>
        <v>casts</v>
      </c>
      <c r="B19" s="6" t="str">
        <f>IFERROR(__xludf.DUMMYFUNCTION("""COMPUTED_VALUE"""),"epic")</f>
        <v>epic</v>
      </c>
      <c r="C19" s="6" t="str">
        <f>IFERROR(__xludf.DUMMYFUNCTION("""COMPUTED_VALUE"""),"casts")</f>
        <v>casts</v>
      </c>
      <c r="D19" s="6" t="str">
        <f>IFERROR(__xludf.DUMMYFUNCTION("""COMPUTED_VALUE"""),"abuse")</f>
        <v>abuse</v>
      </c>
      <c r="E19" s="20" t="str">
        <f>IFERROR(__xludf.DUMMYFUNCTION("""COMPUTED_VALUE"""),"hopeless")</f>
        <v>hopeless</v>
      </c>
      <c r="G19" s="6" t="str">
        <f>IFERROR(__xludf.DUMMYFUNCTION("""COMPUTED_VALUE"""),"for")</f>
        <v>for</v>
      </c>
      <c r="H19" s="6" t="str">
        <f>IFERROR(__xludf.DUMMYFUNCTION("""COMPUTED_VALUE"""),"bad")</f>
        <v>bad</v>
      </c>
      <c r="I19" s="6" t="str">
        <f>IFERROR(__xludf.DUMMYFUNCTION("""COMPUTED_VALUE"""),"conspiracy")</f>
        <v>conspiracy</v>
      </c>
      <c r="J19" s="6" t="str">
        <f>IFERROR(__xludf.DUMMYFUNCTION("""COMPUTED_VALUE"""),"as")</f>
        <v>as</v>
      </c>
      <c r="K19" s="20"/>
      <c r="L19" s="6" t="str">
        <f>IFERROR(__xludf.DUMMYFUNCTION("""COMPUTED_VALUE"""),"next")</f>
        <v>next</v>
      </c>
      <c r="M19" s="6" t="str">
        <f>IFERROR(__xludf.DUMMYFUNCTION("""COMPUTED_VALUE"""),"problem")</f>
        <v>problem</v>
      </c>
      <c r="N19" s="6" t="str">
        <f>IFERROR(__xludf.DUMMYFUNCTION("""COMPUTED_VALUE"""),"doing")</f>
        <v>doing</v>
      </c>
      <c r="P19" s="6" t="str">
        <f>IFERROR(__xludf.DUMMYFUNCTION("""COMPUTED_VALUE"""),"bad")</f>
        <v>bad</v>
      </c>
      <c r="Q19" s="6" t="str">
        <f>IFERROR(__xludf.DUMMYFUNCTION("""COMPUTED_VALUE"""),"director")</f>
        <v>director</v>
      </c>
      <c r="S19" s="6" t="str">
        <f>IFERROR(__xludf.DUMMYFUNCTION("""COMPUTED_VALUE"""),"films")</f>
        <v>films</v>
      </c>
    </row>
    <row r="20">
      <c r="A20" s="6" t="str">
        <f>IFERROR(__xludf.DUMMYFUNCTION("""COMPUTED_VALUE"""),"masterpiece")</f>
        <v>masterpiece</v>
      </c>
      <c r="B20" s="6" t="str">
        <f>IFERROR(__xludf.DUMMYFUNCTION("""COMPUTED_VALUE"""),"considerable")</f>
        <v>considerable</v>
      </c>
      <c r="C20" s="6" t="str">
        <f>IFERROR(__xludf.DUMMYFUNCTION("""COMPUTED_VALUE"""),"masterpiece")</f>
        <v>masterpiece</v>
      </c>
      <c r="D20" s="6" t="str">
        <f>IFERROR(__xludf.DUMMYFUNCTION("""COMPUTED_VALUE"""),"acid")</f>
        <v>acid</v>
      </c>
      <c r="E20" s="20" t="str">
        <f>IFERROR(__xludf.DUMMYFUNCTION("""COMPUTED_VALUE"""),"clumsy")</f>
        <v>clumsy</v>
      </c>
      <c r="G20" s="6" t="str">
        <f>IFERROR(__xludf.DUMMYFUNCTION("""COMPUTED_VALUE"""),"where")</f>
        <v>where</v>
      </c>
      <c r="H20" s="6" t="str">
        <f>IFERROR(__xludf.DUMMYFUNCTION("""COMPUTED_VALUE"""),"greatest")</f>
        <v>greatest</v>
      </c>
      <c r="I20" s="6" t="str">
        <f>IFERROR(__xludf.DUMMYFUNCTION("""COMPUTED_VALUE"""),"anything")</f>
        <v>anything</v>
      </c>
      <c r="J20" s="6" t="str">
        <f>IFERROR(__xludf.DUMMYFUNCTION("""COMPUTED_VALUE"""),"suicidal")</f>
        <v>suicidal</v>
      </c>
      <c r="K20" s="20"/>
      <c r="L20" s="6" t="str">
        <f>IFERROR(__xludf.DUMMYFUNCTION("""COMPUTED_VALUE"""),"wait")</f>
        <v>wait</v>
      </c>
      <c r="M20" s="6" t="str">
        <f>IFERROR(__xludf.DUMMYFUNCTION("""COMPUTED_VALUE"""),"summer")</f>
        <v>summer</v>
      </c>
      <c r="N20" s="6" t="str">
        <f>IFERROR(__xludf.DUMMYFUNCTION("""COMPUTED_VALUE"""),"being")</f>
        <v>being</v>
      </c>
      <c r="P20" s="6" t="str">
        <f>IFERROR(__xludf.DUMMYFUNCTION("""COMPUTED_VALUE"""),"story")</f>
        <v>story</v>
      </c>
      <c r="Q20" s="6" t="str">
        <f>IFERROR(__xludf.DUMMYFUNCTION("""COMPUTED_VALUE"""),"personal")</f>
        <v>personal</v>
      </c>
      <c r="S20" s="6" t="str">
        <f>IFERROR(__xludf.DUMMYFUNCTION("""COMPUTED_VALUE"""),"deeply")</f>
        <v>deeply</v>
      </c>
    </row>
    <row r="21">
      <c r="A21" s="6" t="str">
        <f>IFERROR(__xludf.DUMMYFUNCTION("""COMPUTED_VALUE"""),"hopeless")</f>
        <v>hopeless</v>
      </c>
      <c r="B21" s="6" t="str">
        <f>IFERROR(__xludf.DUMMYFUNCTION("""COMPUTED_VALUE"""),"enables")</f>
        <v>enables</v>
      </c>
      <c r="C21" s="6" t="str">
        <f>IFERROR(__xludf.DUMMYFUNCTION("""COMPUTED_VALUE"""),"hopeless")</f>
        <v>hopeless</v>
      </c>
      <c r="D21" s="6" t="str">
        <f>IFERROR(__xludf.DUMMYFUNCTION("""COMPUTED_VALUE"""),"portrait")</f>
        <v>portrait</v>
      </c>
      <c r="E21" s="20" t="str">
        <f>IFERROR(__xludf.DUMMYFUNCTION("""COMPUTED_VALUE"""),"conviction")</f>
        <v>conviction</v>
      </c>
      <c r="G21" s="6" t="str">
        <f>IFERROR(__xludf.DUMMYFUNCTION("""COMPUTED_VALUE"""),"how")</f>
        <v>how</v>
      </c>
      <c r="H21" s="6" t="str">
        <f>IFERROR(__xludf.DUMMYFUNCTION("""COMPUTED_VALUE"""),"intelligence")</f>
        <v>intelligence</v>
      </c>
      <c r="I21" s="6" t="str">
        <f>IFERROR(__xludf.DUMMYFUNCTION("""COMPUTED_VALUE"""),"black")</f>
        <v>black</v>
      </c>
      <c r="J21" s="6" t="str">
        <f>IFERROR(__xludf.DUMMYFUNCTION("""COMPUTED_VALUE"""),"thought")</f>
        <v>thought</v>
      </c>
      <c r="K21" s="20"/>
      <c r="L21" s="6" t="str">
        <f>IFERROR(__xludf.DUMMYFUNCTION("""COMPUTED_VALUE"""),"else")</f>
        <v>else</v>
      </c>
      <c r="M21" s="6" t="str">
        <f>IFERROR(__xludf.DUMMYFUNCTION("""COMPUTED_VALUE"""),"seem")</f>
        <v>seem</v>
      </c>
      <c r="N21" s="6" t="str">
        <f>IFERROR(__xludf.DUMMYFUNCTION("""COMPUTED_VALUE"""),"years")</f>
        <v>years</v>
      </c>
      <c r="P21" s="6" t="str">
        <f>IFERROR(__xludf.DUMMYFUNCTION("""COMPUTED_VALUE"""),"greatest")</f>
        <v>greatest</v>
      </c>
      <c r="Q21" s="6" t="str">
        <f>IFERROR(__xludf.DUMMYFUNCTION("""COMPUTED_VALUE"""),"with")</f>
        <v>with</v>
      </c>
      <c r="S21" s="6" t="str">
        <f>IFERROR(__xludf.DUMMYFUNCTION("""COMPUTED_VALUE"""),"goes")</f>
        <v>goes</v>
      </c>
    </row>
    <row r="22">
      <c r="A22" s="6" t="str">
        <f>IFERROR(__xludf.DUMMYFUNCTION("""COMPUTED_VALUE"""),"clumsy")</f>
        <v>clumsy</v>
      </c>
      <c r="B22" s="6" t="str">
        <f>IFERROR(__xludf.DUMMYFUNCTION("""COMPUTED_VALUE"""),"flashes")</f>
        <v>flashes</v>
      </c>
      <c r="C22" s="6" t="str">
        <f>IFERROR(__xludf.DUMMYFUNCTION("""COMPUTED_VALUE"""),"clumsy")</f>
        <v>clumsy</v>
      </c>
      <c r="D22" s="6" t="str">
        <f>IFERROR(__xludf.DUMMYFUNCTION("""COMPUTED_VALUE"""),"kills")</f>
        <v>kills</v>
      </c>
      <c r="E22" s="20" t="str">
        <f>IFERROR(__xludf.DUMMYFUNCTION("""COMPUTED_VALUE"""),"realistic")</f>
        <v>realistic</v>
      </c>
      <c r="G22" s="6" t="str">
        <f>IFERROR(__xludf.DUMMYFUNCTION("""COMPUTED_VALUE"""),"intelligence")</f>
        <v>intelligence</v>
      </c>
      <c r="H22" s="6" t="str">
        <f>IFERROR(__xludf.DUMMYFUNCTION("""COMPUTED_VALUE"""),"redundant")</f>
        <v>redundant</v>
      </c>
      <c r="I22" s="6" t="str">
        <f>IFERROR(__xludf.DUMMYFUNCTION("""COMPUTED_VALUE"""),"performances")</f>
        <v>performances</v>
      </c>
      <c r="J22" s="6" t="str">
        <f>IFERROR(__xludf.DUMMYFUNCTION("""COMPUTED_VALUE"""),"are")</f>
        <v>are</v>
      </c>
      <c r="K22" s="20"/>
      <c r="L22" s="6" t="str">
        <f>IFERROR(__xludf.DUMMYFUNCTION("""COMPUTED_VALUE"""),"obvious")</f>
        <v>obvious</v>
      </c>
      <c r="M22" s="6" t="str">
        <f>IFERROR(__xludf.DUMMYFUNCTION("""COMPUTED_VALUE"""),"time")</f>
        <v>time</v>
      </c>
      <c r="N22" s="6" t="str">
        <f>IFERROR(__xludf.DUMMYFUNCTION("""COMPUTED_VALUE"""),"experience")</f>
        <v>experience</v>
      </c>
      <c r="P22" s="6" t="str">
        <f>IFERROR(__xludf.DUMMYFUNCTION("""COMPUTED_VALUE"""),"intelligence")</f>
        <v>intelligence</v>
      </c>
      <c r="Q22" s="6" t="str">
        <f>IFERROR(__xludf.DUMMYFUNCTION("""COMPUTED_VALUE"""),"out")</f>
        <v>out</v>
      </c>
      <c r="S22" s="6" t="str">
        <f>IFERROR(__xludf.DUMMYFUNCTION("""COMPUTED_VALUE"""),"make")</f>
        <v>make</v>
      </c>
    </row>
    <row r="23">
      <c r="A23" s="6" t="str">
        <f>IFERROR(__xludf.DUMMYFUNCTION("""COMPUTED_VALUE"""),"conviction")</f>
        <v>conviction</v>
      </c>
      <c r="B23" s="6" t="str">
        <f>IFERROR(__xludf.DUMMYFUNCTION("""COMPUTED_VALUE"""),"vicious")</f>
        <v>vicious</v>
      </c>
      <c r="C23" s="6" t="str">
        <f>IFERROR(__xludf.DUMMYFUNCTION("""COMPUTED_VALUE"""),"conviction")</f>
        <v>conviction</v>
      </c>
      <c r="D23" s="6" t="str">
        <f>IFERROR(__xludf.DUMMYFUNCTION("""COMPUTED_VALUE"""),"courage")</f>
        <v>courage</v>
      </c>
      <c r="E23" s="20" t="str">
        <f>IFERROR(__xludf.DUMMYFUNCTION("""COMPUTED_VALUE"""),"portrayal")</f>
        <v>portrayal</v>
      </c>
      <c r="G23" s="6" t="str">
        <f>IFERROR(__xludf.DUMMYFUNCTION("""COMPUTED_VALUE"""),"redundant")</f>
        <v>redundant</v>
      </c>
      <c r="H23" s="6" t="str">
        <f>IFERROR(__xludf.DUMMYFUNCTION("""COMPUTED_VALUE"""),"succeeds")</f>
        <v>succeeds</v>
      </c>
      <c r="I23" s="6" t="str">
        <f>IFERROR(__xludf.DUMMYFUNCTION("""COMPUTED_VALUE"""),"brave")</f>
        <v>brave</v>
      </c>
      <c r="J23" s="6" t="str">
        <f>IFERROR(__xludf.DUMMYFUNCTION("""COMPUTED_VALUE"""),"in")</f>
        <v>in</v>
      </c>
      <c r="K23" s="20"/>
      <c r="L23" s="6" t="str">
        <f>IFERROR(__xludf.DUMMYFUNCTION("""COMPUTED_VALUE"""),"initial")</f>
        <v>initial</v>
      </c>
      <c r="M23" s="6" t="str">
        <f>IFERROR(__xludf.DUMMYFUNCTION("""COMPUTED_VALUE"""),"put")</f>
        <v>put</v>
      </c>
      <c r="N23" s="6" t="str">
        <f>IFERROR(__xludf.DUMMYFUNCTION("""COMPUTED_VALUE"""),"do")</f>
        <v>do</v>
      </c>
      <c r="P23" s="6" t="str">
        <f>IFERROR(__xludf.DUMMYFUNCTION("""COMPUTED_VALUE"""),"usual")</f>
        <v>usual</v>
      </c>
      <c r="Q23" s="6" t="str">
        <f>IFERROR(__xludf.DUMMYFUNCTION("""COMPUTED_VALUE"""),"suicidal")</f>
        <v>suicidal</v>
      </c>
      <c r="S23" s="6" t="str">
        <f>IFERROR(__xludf.DUMMYFUNCTION("""COMPUTED_VALUE"""),"part")</f>
        <v>part</v>
      </c>
    </row>
    <row r="24">
      <c r="A24" s="6" t="str">
        <f>IFERROR(__xludf.DUMMYFUNCTION("""COMPUTED_VALUE"""),"realistic")</f>
        <v>realistic</v>
      </c>
      <c r="B24" s="6" t="str">
        <f>IFERROR(__xludf.DUMMYFUNCTION("""COMPUTED_VALUE"""),"jagged")</f>
        <v>jagged</v>
      </c>
      <c r="C24" s="6" t="str">
        <f>IFERROR(__xludf.DUMMYFUNCTION("""COMPUTED_VALUE"""),"realistic")</f>
        <v>realistic</v>
      </c>
      <c r="D24" s="6" t="str">
        <f>IFERROR(__xludf.DUMMYFUNCTION("""COMPUTED_VALUE"""),"universal")</f>
        <v>universal</v>
      </c>
      <c r="E24" s="20" t="str">
        <f>IFERROR(__xludf.DUMMYFUNCTION("""COMPUTED_VALUE"""),"reveals")</f>
        <v>reveals</v>
      </c>
      <c r="G24" s="6" t="str">
        <f>IFERROR(__xludf.DUMMYFUNCTION("""COMPUTED_VALUE"""),"succeeds")</f>
        <v>succeeds</v>
      </c>
      <c r="H24" s="6" t="str">
        <f>IFERROR(__xludf.DUMMYFUNCTION("""COMPUTED_VALUE"""),"casting")</f>
        <v>casting</v>
      </c>
      <c r="I24" s="6" t="str">
        <f>IFERROR(__xludf.DUMMYFUNCTION("""COMPUTED_VALUE"""),"spirits")</f>
        <v>spirits</v>
      </c>
      <c r="J24" s="6" t="str">
        <f>IFERROR(__xludf.DUMMYFUNCTION("""COMPUTED_VALUE"""),"through")</f>
        <v>through</v>
      </c>
      <c r="K24" s="20"/>
      <c r="L24" s="6" t="str">
        <f>IFERROR(__xludf.DUMMYFUNCTION("""COMPUTED_VALUE"""),"seems")</f>
        <v>seems</v>
      </c>
      <c r="M24" s="6" t="str">
        <f>IFERROR(__xludf.DUMMYFUNCTION("""COMPUTED_VALUE"""),"long")</f>
        <v>long</v>
      </c>
      <c r="N24" s="6" t="str">
        <f>IFERROR(__xludf.DUMMYFUNCTION("""COMPUTED_VALUE"""),"feel")</f>
        <v>feel</v>
      </c>
      <c r="P24" s="6" t="str">
        <f>IFERROR(__xludf.DUMMYFUNCTION("""COMPUTED_VALUE"""),"concept")</f>
        <v>concept</v>
      </c>
      <c r="Q24" s="6" t="str">
        <f>IFERROR(__xludf.DUMMYFUNCTION("""COMPUTED_VALUE"""),"deeply")</f>
        <v>deeply</v>
      </c>
      <c r="S24" s="6" t="str">
        <f>IFERROR(__xludf.DUMMYFUNCTION("""COMPUTED_VALUE"""),"movie")</f>
        <v>movie</v>
      </c>
    </row>
    <row r="25">
      <c r="A25" s="6" t="str">
        <f>IFERROR(__xludf.DUMMYFUNCTION("""COMPUTED_VALUE"""),"portrayal")</f>
        <v>portrayal</v>
      </c>
      <c r="B25" s="6" t="str">
        <f>IFERROR(__xludf.DUMMYFUNCTION("""COMPUTED_VALUE"""),"slick")</f>
        <v>slick</v>
      </c>
      <c r="C25" s="6" t="str">
        <f>IFERROR(__xludf.DUMMYFUNCTION("""COMPUTED_VALUE"""),"portrayal")</f>
        <v>portrayal</v>
      </c>
      <c r="D25" s="6" t="str">
        <f>IFERROR(__xludf.DUMMYFUNCTION("""COMPUTED_VALUE"""),"capable")</f>
        <v>capable</v>
      </c>
      <c r="E25" s="20" t="str">
        <f>IFERROR(__xludf.DUMMYFUNCTION("""COMPUTED_VALUE"""),"uneven")</f>
        <v>uneven</v>
      </c>
      <c r="G25" s="6" t="str">
        <f>IFERROR(__xludf.DUMMYFUNCTION("""COMPUTED_VALUE"""),"casting")</f>
        <v>casting</v>
      </c>
      <c r="H25" s="6" t="str">
        <f>IFERROR(__xludf.DUMMYFUNCTION("""COMPUTED_VALUE"""),"face")</f>
        <v>face</v>
      </c>
      <c r="I25" s="6" t="str">
        <f>IFERROR(__xludf.DUMMYFUNCTION("""COMPUTED_VALUE"""),"cinema")</f>
        <v>cinema</v>
      </c>
      <c r="J25" s="6" t="str">
        <f>IFERROR(__xludf.DUMMYFUNCTION("""COMPUTED_VALUE"""),"absurd")</f>
        <v>absurd</v>
      </c>
      <c r="K25" s="20"/>
      <c r="L25" s="6" t="str">
        <f>IFERROR(__xludf.DUMMYFUNCTION("""COMPUTED_VALUE"""),"n")</f>
        <v>n</v>
      </c>
      <c r="M25" s="6" t="str">
        <f>IFERROR(__xludf.DUMMYFUNCTION("""COMPUTED_VALUE"""),"next")</f>
        <v>next</v>
      </c>
      <c r="N25" s="6" t="str">
        <f>IFERROR(__xludf.DUMMYFUNCTION("""COMPUTED_VALUE"""),"i")</f>
        <v>i</v>
      </c>
      <c r="P25" s="6" t="str">
        <f>IFERROR(__xludf.DUMMYFUNCTION("""COMPUTED_VALUE"""),"casting")</f>
        <v>casting</v>
      </c>
      <c r="Q25" s="6" t="str">
        <f>IFERROR(__xludf.DUMMYFUNCTION("""COMPUTED_VALUE"""),"most")</f>
        <v>most</v>
      </c>
      <c r="S25" s="6" t="str">
        <f>IFERROR(__xludf.DUMMYFUNCTION("""COMPUTED_VALUE"""),"story")</f>
        <v>story</v>
      </c>
    </row>
    <row r="26">
      <c r="A26" s="6" t="str">
        <f>IFERROR(__xludf.DUMMYFUNCTION("""COMPUTED_VALUE"""),"reveals")</f>
        <v>reveals</v>
      </c>
      <c r="B26" s="6" t="str">
        <f>IFERROR(__xludf.DUMMYFUNCTION("""COMPUTED_VALUE"""),"essentially")</f>
        <v>essentially</v>
      </c>
      <c r="C26" s="6" t="str">
        <f>IFERROR(__xludf.DUMMYFUNCTION("""COMPUTED_VALUE"""),"reveals")</f>
        <v>reveals</v>
      </c>
      <c r="D26" s="6" t="str">
        <f>IFERROR(__xludf.DUMMYFUNCTION("""COMPUTED_VALUE"""),"deadly")</f>
        <v>deadly</v>
      </c>
      <c r="E26" s="20" t="str">
        <f>IFERROR(__xludf.DUMMYFUNCTION("""COMPUTED_VALUE"""),"unpredictable")</f>
        <v>unpredictable</v>
      </c>
      <c r="G26" s="6" t="str">
        <f>IFERROR(__xludf.DUMMYFUNCTION("""COMPUTED_VALUE"""),"actress")</f>
        <v>actress</v>
      </c>
      <c r="H26" s="6" t="str">
        <f>IFERROR(__xludf.DUMMYFUNCTION("""COMPUTED_VALUE"""),"ways")</f>
        <v>ways</v>
      </c>
      <c r="I26" s="6" t="str">
        <f>IFERROR(__xludf.DUMMYFUNCTION("""COMPUTED_VALUE"""),"plot")</f>
        <v>plot</v>
      </c>
      <c r="J26" s="6" t="str">
        <f>IFERROR(__xludf.DUMMYFUNCTION("""COMPUTED_VALUE"""),"do")</f>
        <v>do</v>
      </c>
      <c r="K26" s="20"/>
      <c r="L26" s="6" t="str">
        <f>IFERROR(__xludf.DUMMYFUNCTION("""COMPUTED_VALUE"""),"find")</f>
        <v>find</v>
      </c>
      <c r="M26" s="6" t="str">
        <f>IFERROR(__xludf.DUMMYFUNCTION("""COMPUTED_VALUE"""),"wait")</f>
        <v>wait</v>
      </c>
      <c r="N26" s="6" t="str">
        <f>IFERROR(__xludf.DUMMYFUNCTION("""COMPUTED_VALUE"""),"going")</f>
        <v>going</v>
      </c>
      <c r="P26" s="6" t="str">
        <f>IFERROR(__xludf.DUMMYFUNCTION("""COMPUTED_VALUE"""),"face")</f>
        <v>face</v>
      </c>
      <c r="Q26" s="6" t="str">
        <f>IFERROR(__xludf.DUMMYFUNCTION("""COMPUTED_VALUE"""),"absurd")</f>
        <v>absurd</v>
      </c>
      <c r="S26" s="6" t="str">
        <f>IFERROR(__xludf.DUMMYFUNCTION("""COMPUTED_VALUE"""),"greatest")</f>
        <v>greatest</v>
      </c>
    </row>
    <row r="27">
      <c r="A27" s="6" t="str">
        <f>IFERROR(__xludf.DUMMYFUNCTION("""COMPUTED_VALUE"""),"unpredictable")</f>
        <v>unpredictable</v>
      </c>
      <c r="B27" s="6" t="str">
        <f>IFERROR(__xludf.DUMMYFUNCTION("""COMPUTED_VALUE"""),"pale")</f>
        <v>pale</v>
      </c>
      <c r="C27" s="6" t="str">
        <f>IFERROR(__xludf.DUMMYFUNCTION("""COMPUTED_VALUE"""),"uneven")</f>
        <v>uneven</v>
      </c>
      <c r="D27" s="6" t="str">
        <f>IFERROR(__xludf.DUMMYFUNCTION("""COMPUTED_VALUE"""),"striking")</f>
        <v>striking</v>
      </c>
      <c r="E27" s="20" t="str">
        <f>IFERROR(__xludf.DUMMYFUNCTION("""COMPUTED_VALUE"""),"epic")</f>
        <v>epic</v>
      </c>
      <c r="G27" s="6" t="str">
        <f>IFERROR(__xludf.DUMMYFUNCTION("""COMPUTED_VALUE"""),"face")</f>
        <v>face</v>
      </c>
      <c r="H27" s="6" t="str">
        <f>IFERROR(__xludf.DUMMYFUNCTION("""COMPUTED_VALUE"""),"feminist")</f>
        <v>feminist</v>
      </c>
      <c r="I27" s="6" t="str">
        <f>IFERROR(__xludf.DUMMYFUNCTION("""COMPUTED_VALUE"""),"find")</f>
        <v>find</v>
      </c>
      <c r="J27" s="6" t="str">
        <f>IFERROR(__xludf.DUMMYFUNCTION("""COMPUTED_VALUE"""),"greatest")</f>
        <v>greatest</v>
      </c>
      <c r="K27" s="20"/>
      <c r="L27" s="6" t="str">
        <f>IFERROR(__xludf.DUMMYFUNCTION("""COMPUTED_VALUE"""),"picture")</f>
        <v>picture</v>
      </c>
      <c r="M27" s="6" t="str">
        <f>IFERROR(__xludf.DUMMYFUNCTION("""COMPUTED_VALUE"""),"else")</f>
        <v>else</v>
      </c>
      <c r="N27" s="6" t="str">
        <f>IFERROR(__xludf.DUMMYFUNCTION("""COMPUTED_VALUE"""),"too")</f>
        <v>too</v>
      </c>
      <c r="P27" s="6" t="str">
        <f>IFERROR(__xludf.DUMMYFUNCTION("""COMPUTED_VALUE"""),"projects")</f>
        <v>projects</v>
      </c>
      <c r="Q27" s="6" t="str">
        <f>IFERROR(__xludf.DUMMYFUNCTION("""COMPUTED_VALUE"""),"goes")</f>
        <v>goes</v>
      </c>
      <c r="S27" s="6" t="str">
        <f>IFERROR(__xludf.DUMMYFUNCTION("""COMPUTED_VALUE"""),"musicians")</f>
        <v>musicians</v>
      </c>
    </row>
    <row r="28">
      <c r="A28" s="6" t="str">
        <f>IFERROR(__xludf.DUMMYFUNCTION("""COMPUTED_VALUE"""),"considerable")</f>
        <v>considerable</v>
      </c>
      <c r="B28" s="6" t="str">
        <f>IFERROR(__xludf.DUMMYFUNCTION("""COMPUTED_VALUE"""),"affecting")</f>
        <v>affecting</v>
      </c>
      <c r="C28" s="6" t="str">
        <f>IFERROR(__xludf.DUMMYFUNCTION("""COMPUTED_VALUE"""),"unpredictable")</f>
        <v>unpredictable</v>
      </c>
      <c r="D28" s="6" t="str">
        <f>IFERROR(__xludf.DUMMYFUNCTION("""COMPUTED_VALUE"""),"longest")</f>
        <v>longest</v>
      </c>
      <c r="E28" s="20" t="str">
        <f>IFERROR(__xludf.DUMMYFUNCTION("""COMPUTED_VALUE"""),"considerable")</f>
        <v>considerable</v>
      </c>
      <c r="G28" s="6" t="str">
        <f>IFERROR(__xludf.DUMMYFUNCTION("""COMPUTED_VALUE"""),"by")</f>
        <v>by</v>
      </c>
      <c r="H28" s="6" t="str">
        <f>IFERROR(__xludf.DUMMYFUNCTION("""COMPUTED_VALUE"""),"conspiracy")</f>
        <v>conspiracy</v>
      </c>
      <c r="I28" s="6" t="str">
        <f>IFERROR(__xludf.DUMMYFUNCTION("""COMPUTED_VALUE"""),"funny")</f>
        <v>funny</v>
      </c>
      <c r="J28" s="6" t="str">
        <f>IFERROR(__xludf.DUMMYFUNCTION("""COMPUTED_VALUE"""),"intelligence")</f>
        <v>intelligence</v>
      </c>
      <c r="K28" s="20"/>
      <c r="L28" s="6" t="str">
        <f>IFERROR(__xludf.DUMMYFUNCTION("""COMPUTED_VALUE"""),"take")</f>
        <v>take</v>
      </c>
      <c r="M28" s="6" t="str">
        <f>IFERROR(__xludf.DUMMYFUNCTION("""COMPUTED_VALUE"""),"order")</f>
        <v>order</v>
      </c>
      <c r="N28" s="6" t="str">
        <f>IFERROR(__xludf.DUMMYFUNCTION("""COMPUTED_VALUE"""),"in")</f>
        <v>in</v>
      </c>
      <c r="P28" s="6" t="str">
        <f>IFERROR(__xludf.DUMMYFUNCTION("""COMPUTED_VALUE"""),"young")</f>
        <v>young</v>
      </c>
      <c r="Q28" s="6" t="str">
        <f>IFERROR(__xludf.DUMMYFUNCTION("""COMPUTED_VALUE"""),"t")</f>
        <v>t</v>
      </c>
      <c r="S28" s="6" t="str">
        <f>IFERROR(__xludf.DUMMYFUNCTION("""COMPUTED_VALUE"""),"cold")</f>
        <v>cold</v>
      </c>
    </row>
    <row r="29">
      <c r="A29" s="6" t="str">
        <f>IFERROR(__xludf.DUMMYFUNCTION("""COMPUTED_VALUE"""),"enables")</f>
        <v>enables</v>
      </c>
      <c r="B29" s="6" t="str">
        <f>IFERROR(__xludf.DUMMYFUNCTION("""COMPUTED_VALUE"""),"intelligent")</f>
        <v>intelligent</v>
      </c>
      <c r="C29" s="6" t="str">
        <f>IFERROR(__xludf.DUMMYFUNCTION("""COMPUTED_VALUE"""),"epic")</f>
        <v>epic</v>
      </c>
      <c r="D29" s="6" t="str">
        <f>IFERROR(__xludf.DUMMYFUNCTION("""COMPUTED_VALUE"""),"skill")</f>
        <v>skill</v>
      </c>
      <c r="E29" s="20" t="str">
        <f>IFERROR(__xludf.DUMMYFUNCTION("""COMPUTED_VALUE"""),"flashes")</f>
        <v>flashes</v>
      </c>
      <c r="G29" s="6" t="str">
        <f>IFERROR(__xludf.DUMMYFUNCTION("""COMPUTED_VALUE"""),"ways")</f>
        <v>ways</v>
      </c>
      <c r="H29" s="6" t="str">
        <f>IFERROR(__xludf.DUMMYFUNCTION("""COMPUTED_VALUE"""),"performances")</f>
        <v>performances</v>
      </c>
      <c r="I29" s="6" t="str">
        <f>IFERROR(__xludf.DUMMYFUNCTION("""COMPUTED_VALUE"""),"storyline")</f>
        <v>storyline</v>
      </c>
      <c r="J29" s="6" t="str">
        <f>IFERROR(__xludf.DUMMYFUNCTION("""COMPUTED_VALUE"""),"redundant")</f>
        <v>redundant</v>
      </c>
      <c r="K29" s="20"/>
      <c r="L29" s="6" t="str">
        <f>IFERROR(__xludf.DUMMYFUNCTION("""COMPUTED_VALUE"""),"musical")</f>
        <v>musical</v>
      </c>
      <c r="M29" s="6" t="str">
        <f>IFERROR(__xludf.DUMMYFUNCTION("""COMPUTED_VALUE"""),"kitchen")</f>
        <v>kitchen</v>
      </c>
      <c r="N29" s="6" t="str">
        <f>IFERROR(__xludf.DUMMYFUNCTION("""COMPUTED_VALUE"""),"same")</f>
        <v>same</v>
      </c>
      <c r="P29" s="6" t="str">
        <f>IFERROR(__xludf.DUMMYFUNCTION("""COMPUTED_VALUE"""),"original")</f>
        <v>original</v>
      </c>
      <c r="Q29" s="6" t="str">
        <f>IFERROR(__xludf.DUMMYFUNCTION("""COMPUTED_VALUE"""),"story")</f>
        <v>story</v>
      </c>
      <c r="S29" s="6" t="str">
        <f>IFERROR(__xludf.DUMMYFUNCTION("""COMPUTED_VALUE"""),"intelligence")</f>
        <v>intelligence</v>
      </c>
    </row>
    <row r="30">
      <c r="A30" s="6" t="str">
        <f>IFERROR(__xludf.DUMMYFUNCTION("""COMPUTED_VALUE"""),"flashes")</f>
        <v>flashes</v>
      </c>
      <c r="B30" s="6" t="str">
        <f>IFERROR(__xludf.DUMMYFUNCTION("""COMPUTED_VALUE"""),"backward")</f>
        <v>backward</v>
      </c>
      <c r="C30" s="6" t="str">
        <f>IFERROR(__xludf.DUMMYFUNCTION("""COMPUTED_VALUE"""),"considerable")</f>
        <v>considerable</v>
      </c>
      <c r="D30" s="6" t="str">
        <f>IFERROR(__xludf.DUMMYFUNCTION("""COMPUTED_VALUE"""),"fierce")</f>
        <v>fierce</v>
      </c>
      <c r="E30" s="20" t="str">
        <f>IFERROR(__xludf.DUMMYFUNCTION("""COMPUTED_VALUE"""),"jagged")</f>
        <v>jagged</v>
      </c>
      <c r="G30" s="6" t="str">
        <f>IFERROR(__xludf.DUMMYFUNCTION("""COMPUTED_VALUE"""),"feminist")</f>
        <v>feminist</v>
      </c>
      <c r="H30" s="6" t="str">
        <f>IFERROR(__xludf.DUMMYFUNCTION("""COMPUTED_VALUE"""),"brave")</f>
        <v>brave</v>
      </c>
      <c r="I30" s="6" t="str">
        <f>IFERROR(__xludf.DUMMYFUNCTION("""COMPUTED_VALUE"""),"real")</f>
        <v>real</v>
      </c>
      <c r="J30" s="6" t="str">
        <f>IFERROR(__xludf.DUMMYFUNCTION("""COMPUTED_VALUE"""),"succeeds")</f>
        <v>succeeds</v>
      </c>
      <c r="K30" s="20"/>
      <c r="L30" s="6" t="str">
        <f>IFERROR(__xludf.DUMMYFUNCTION("""COMPUTED_VALUE"""),"found")</f>
        <v>found</v>
      </c>
      <c r="M30" s="6" t="str">
        <f>IFERROR(__xludf.DUMMYFUNCTION("""COMPUTED_VALUE"""),"main")</f>
        <v>main</v>
      </c>
      <c r="N30" s="6" t="str">
        <f>IFERROR(__xludf.DUMMYFUNCTION("""COMPUTED_VALUE"""),"had")</f>
        <v>had</v>
      </c>
      <c r="P30" s="6" t="str">
        <f>IFERROR(__xludf.DUMMYFUNCTION("""COMPUTED_VALUE"""),"ways")</f>
        <v>ways</v>
      </c>
      <c r="Q30" s="6" t="str">
        <f>IFERROR(__xludf.DUMMYFUNCTION("""COMPUTED_VALUE"""),"greatest")</f>
        <v>greatest</v>
      </c>
      <c r="S30" s="6" t="str">
        <f>IFERROR(__xludf.DUMMYFUNCTION("""COMPUTED_VALUE"""),"usual")</f>
        <v>usual</v>
      </c>
    </row>
    <row r="31">
      <c r="A31" s="6" t="str">
        <f>IFERROR(__xludf.DUMMYFUNCTION("""COMPUTED_VALUE"""),"vicious")</f>
        <v>vicious</v>
      </c>
      <c r="B31" s="6" t="str">
        <f>IFERROR(__xludf.DUMMYFUNCTION("""COMPUTED_VALUE"""),"thrill")</f>
        <v>thrill</v>
      </c>
      <c r="C31" s="6" t="str">
        <f>IFERROR(__xludf.DUMMYFUNCTION("""COMPUTED_VALUE"""),"enables")</f>
        <v>enables</v>
      </c>
      <c r="D31" s="6" t="str">
        <f>IFERROR(__xludf.DUMMYFUNCTION("""COMPUTED_VALUE"""),"fallen")</f>
        <v>fallen</v>
      </c>
      <c r="E31" s="20" t="str">
        <f>IFERROR(__xludf.DUMMYFUNCTION("""COMPUTED_VALUE"""),"slick")</f>
        <v>slick</v>
      </c>
      <c r="G31" s="6" t="str">
        <f>IFERROR(__xludf.DUMMYFUNCTION("""COMPUTED_VALUE"""),"performances")</f>
        <v>performances</v>
      </c>
      <c r="H31" s="6" t="str">
        <f>IFERROR(__xludf.DUMMYFUNCTION("""COMPUTED_VALUE"""),"enriched")</f>
        <v>enriched</v>
      </c>
      <c r="I31" s="6" t="str">
        <f>IFERROR(__xludf.DUMMYFUNCTION("""COMPUTED_VALUE"""),"silly")</f>
        <v>silly</v>
      </c>
      <c r="J31" s="6" t="str">
        <f>IFERROR(__xludf.DUMMYFUNCTION("""COMPUTED_VALUE"""),"actress")</f>
        <v>actress</v>
      </c>
      <c r="K31" s="20"/>
      <c r="L31" s="6" t="str">
        <f>IFERROR(__xludf.DUMMYFUNCTION("""COMPUTED_VALUE"""),"grab")</f>
        <v>grab</v>
      </c>
      <c r="M31" s="6" t="str">
        <f>IFERROR(__xludf.DUMMYFUNCTION("""COMPUTED_VALUE"""),"obvious")</f>
        <v>obvious</v>
      </c>
      <c r="N31" s="6" t="str">
        <f>IFERROR(__xludf.DUMMYFUNCTION("""COMPUTED_VALUE"""),"so")</f>
        <v>so</v>
      </c>
      <c r="P31" s="6" t="str">
        <f>IFERROR(__xludf.DUMMYFUNCTION("""COMPUTED_VALUE"""),"conspiracy")</f>
        <v>conspiracy</v>
      </c>
      <c r="Q31" s="6" t="str">
        <f>IFERROR(__xludf.DUMMYFUNCTION("""COMPUTED_VALUE"""),"intelligence")</f>
        <v>intelligence</v>
      </c>
      <c r="S31" s="6" t="str">
        <f>IFERROR(__xludf.DUMMYFUNCTION("""COMPUTED_VALUE"""),"face")</f>
        <v>face</v>
      </c>
    </row>
    <row r="32">
      <c r="A32" s="6" t="str">
        <f>IFERROR(__xludf.DUMMYFUNCTION("""COMPUTED_VALUE"""),"jagged")</f>
        <v>jagged</v>
      </c>
      <c r="B32" s="6" t="str">
        <f>IFERROR(__xludf.DUMMYFUNCTION("""COMPUTED_VALUE"""),"powerful")</f>
        <v>powerful</v>
      </c>
      <c r="C32" s="6" t="str">
        <f>IFERROR(__xludf.DUMMYFUNCTION("""COMPUTED_VALUE"""),"flashes")</f>
        <v>flashes</v>
      </c>
      <c r="D32" s="6" t="str">
        <f>IFERROR(__xludf.DUMMYFUNCTION("""COMPUTED_VALUE"""),"rises")</f>
        <v>rises</v>
      </c>
      <c r="E32" s="20" t="str">
        <f>IFERROR(__xludf.DUMMYFUNCTION("""COMPUTED_VALUE"""),"haunting")</f>
        <v>haunting</v>
      </c>
      <c r="G32" s="6" t="str">
        <f>IFERROR(__xludf.DUMMYFUNCTION("""COMPUTED_VALUE"""),"brave")</f>
        <v>brave</v>
      </c>
      <c r="H32" s="6" t="str">
        <f>IFERROR(__xludf.DUMMYFUNCTION("""COMPUTED_VALUE"""),"spirits")</f>
        <v>spirits</v>
      </c>
      <c r="I32" s="6" t="str">
        <f>IFERROR(__xludf.DUMMYFUNCTION("""COMPUTED_VALUE"""),"heroes")</f>
        <v>heroes</v>
      </c>
      <c r="J32" s="6" t="str">
        <f>IFERROR(__xludf.DUMMYFUNCTION("""COMPUTED_VALUE"""),"face")</f>
        <v>face</v>
      </c>
      <c r="K32" s="20"/>
      <c r="L32" s="6" t="str">
        <f>IFERROR(__xludf.DUMMYFUNCTION("""COMPUTED_VALUE"""),"?")</f>
        <v>?</v>
      </c>
      <c r="M32" s="6" t="str">
        <f>IFERROR(__xludf.DUMMYFUNCTION("""COMPUTED_VALUE"""),"food")</f>
        <v>food</v>
      </c>
      <c r="N32" s="6" t="str">
        <f>IFERROR(__xludf.DUMMYFUNCTION("""COMPUTED_VALUE"""),"summer")</f>
        <v>summer</v>
      </c>
      <c r="P32" s="6" t="str">
        <f>IFERROR(__xludf.DUMMYFUNCTION("""COMPUTED_VALUE"""),"smile")</f>
        <v>smile</v>
      </c>
      <c r="Q32" s="6" t="str">
        <f>IFERROR(__xludf.DUMMYFUNCTION("""COMPUTED_VALUE"""),"his")</f>
        <v>his</v>
      </c>
      <c r="S32" s="6" t="str">
        <f>IFERROR(__xludf.DUMMYFUNCTION("""COMPUTED_VALUE"""),"young")</f>
        <v>young</v>
      </c>
    </row>
    <row r="33">
      <c r="A33" s="6" t="str">
        <f>IFERROR(__xludf.DUMMYFUNCTION("""COMPUTED_VALUE"""),"slick")</f>
        <v>slick</v>
      </c>
      <c r="B33" s="6" t="str">
        <f>IFERROR(__xludf.DUMMYFUNCTION("""COMPUTED_VALUE"""),"celebrates")</f>
        <v>celebrates</v>
      </c>
      <c r="C33" s="6" t="str">
        <f>IFERROR(__xludf.DUMMYFUNCTION("""COMPUTED_VALUE"""),"essentially")</f>
        <v>essentially</v>
      </c>
      <c r="D33" s="6" t="str">
        <f>IFERROR(__xludf.DUMMYFUNCTION("""COMPUTED_VALUE"""),"achievement")</f>
        <v>achievement</v>
      </c>
      <c r="E33" s="20" t="str">
        <f>IFERROR(__xludf.DUMMYFUNCTION("""COMPUTED_VALUE"""),"affecting")</f>
        <v>affecting</v>
      </c>
      <c r="G33" s="6" t="str">
        <f>IFERROR(__xludf.DUMMYFUNCTION("""COMPUTED_VALUE"""),"or")</f>
        <v>or</v>
      </c>
      <c r="H33" s="6" t="str">
        <f>IFERROR(__xludf.DUMMYFUNCTION("""COMPUTED_VALUE"""),"cinema")</f>
        <v>cinema</v>
      </c>
      <c r="I33" s="6" t="str">
        <f>IFERROR(__xludf.DUMMYFUNCTION("""COMPUTED_VALUE"""),"existence")</f>
        <v>existence</v>
      </c>
      <c r="J33" s="6" t="str">
        <f>IFERROR(__xludf.DUMMYFUNCTION("""COMPUTED_VALUE"""),"by")</f>
        <v>by</v>
      </c>
      <c r="K33" s="20"/>
      <c r="L33" s="6" t="str">
        <f>IFERROR(__xludf.DUMMYFUNCTION("""COMPUTED_VALUE"""),"hour")</f>
        <v>hour</v>
      </c>
      <c r="M33" s="6" t="str">
        <f>IFERROR(__xludf.DUMMYFUNCTION("""COMPUTED_VALUE"""),"taking")</f>
        <v>taking</v>
      </c>
      <c r="N33" s="6" t="str">
        <f>IFERROR(__xludf.DUMMYFUNCTION("""COMPUTED_VALUE"""),"long")</f>
        <v>long</v>
      </c>
      <c r="P33" s="6" t="str">
        <f>IFERROR(__xludf.DUMMYFUNCTION("""COMPUTED_VALUE"""),"brave")</f>
        <v>brave</v>
      </c>
      <c r="Q33" s="6" t="str">
        <f>IFERROR(__xludf.DUMMYFUNCTION("""COMPUTED_VALUE"""),"usual")</f>
        <v>usual</v>
      </c>
      <c r="S33" s="6" t="str">
        <f>IFERROR(__xludf.DUMMYFUNCTION("""COMPUTED_VALUE"""),"whose")</f>
        <v>whose</v>
      </c>
    </row>
    <row r="34">
      <c r="A34" s="6" t="str">
        <f>IFERROR(__xludf.DUMMYFUNCTION("""COMPUTED_VALUE"""),"haunting")</f>
        <v>haunting</v>
      </c>
      <c r="B34" s="6" t="str">
        <f>IFERROR(__xludf.DUMMYFUNCTION("""COMPUTED_VALUE"""),"strongest")</f>
        <v>strongest</v>
      </c>
      <c r="C34" s="6" t="str">
        <f>IFERROR(__xludf.DUMMYFUNCTION("""COMPUTED_VALUE"""),"haunting")</f>
        <v>haunting</v>
      </c>
      <c r="D34" s="6" t="str">
        <f>IFERROR(__xludf.DUMMYFUNCTION("""COMPUTED_VALUE"""),"touched")</f>
        <v>touched</v>
      </c>
      <c r="E34" s="20" t="str">
        <f>IFERROR(__xludf.DUMMYFUNCTION("""COMPUTED_VALUE"""),"backward")</f>
        <v>backward</v>
      </c>
      <c r="G34" s="6" t="str">
        <f>IFERROR(__xludf.DUMMYFUNCTION("""COMPUTED_VALUE"""),"cinema")</f>
        <v>cinema</v>
      </c>
      <c r="H34" s="6" t="str">
        <f>IFERROR(__xludf.DUMMYFUNCTION("""COMPUTED_VALUE"""),"plot")</f>
        <v>plot</v>
      </c>
      <c r="I34" s="6" t="str">
        <f>IFERROR(__xludf.DUMMYFUNCTION("""COMPUTED_VALUE"""),"sharply")</f>
        <v>sharply</v>
      </c>
      <c r="J34" s="6" t="str">
        <f>IFERROR(__xludf.DUMMYFUNCTION("""COMPUTED_VALUE"""),"ways")</f>
        <v>ways</v>
      </c>
      <c r="K34" s="20"/>
      <c r="L34" s="6" t="str">
        <f>IFERROR(__xludf.DUMMYFUNCTION("""COMPUTED_VALUE"""),"populated")</f>
        <v>populated</v>
      </c>
      <c r="M34" s="6" t="str">
        <f>IFERROR(__xludf.DUMMYFUNCTION("""COMPUTED_VALUE"""),"tables")</f>
        <v>tables</v>
      </c>
      <c r="N34" s="6" t="str">
        <f>IFERROR(__xludf.DUMMYFUNCTION("""COMPUTED_VALUE"""),"a")</f>
        <v>a</v>
      </c>
      <c r="P34" s="6" t="str">
        <f>IFERROR(__xludf.DUMMYFUNCTION("""COMPUTED_VALUE"""),"performances")</f>
        <v>performances</v>
      </c>
      <c r="Q34" s="6" t="str">
        <f>IFERROR(__xludf.DUMMYFUNCTION("""COMPUTED_VALUE"""),"redundant")</f>
        <v>redundant</v>
      </c>
      <c r="S34" s="6" t="str">
        <f>IFERROR(__xludf.DUMMYFUNCTION("""COMPUTED_VALUE"""),"actress")</f>
        <v>actress</v>
      </c>
    </row>
    <row r="35">
      <c r="A35" s="6" t="str">
        <f>IFERROR(__xludf.DUMMYFUNCTION("""COMPUTED_VALUE"""),"pale")</f>
        <v>pale</v>
      </c>
      <c r="B35" s="6" t="str">
        <f>IFERROR(__xludf.DUMMYFUNCTION("""COMPUTED_VALUE"""),"canvas")</f>
        <v>canvas</v>
      </c>
      <c r="C35" s="6" t="str">
        <f>IFERROR(__xludf.DUMMYFUNCTION("""COMPUTED_VALUE"""),"affecting")</f>
        <v>affecting</v>
      </c>
      <c r="D35" s="6" t="str">
        <f>IFERROR(__xludf.DUMMYFUNCTION("""COMPUTED_VALUE"""),"magnetic")</f>
        <v>magnetic</v>
      </c>
      <c r="E35" s="20" t="str">
        <f>IFERROR(__xludf.DUMMYFUNCTION("""COMPUTED_VALUE"""),"thrill")</f>
        <v>thrill</v>
      </c>
      <c r="G35" s="6" t="str">
        <f>IFERROR(__xludf.DUMMYFUNCTION("""COMPUTED_VALUE"""),"plot")</f>
        <v>plot</v>
      </c>
      <c r="H35" s="6" t="str">
        <f>IFERROR(__xludf.DUMMYFUNCTION("""COMPUTED_VALUE"""),"find")</f>
        <v>find</v>
      </c>
      <c r="I35" s="6" t="str">
        <f>IFERROR(__xludf.DUMMYFUNCTION("""COMPUTED_VALUE"""),"point")</f>
        <v>point</v>
      </c>
      <c r="J35" s="6" t="str">
        <f>IFERROR(__xludf.DUMMYFUNCTION("""COMPUTED_VALUE"""),"feminist")</f>
        <v>feminist</v>
      </c>
      <c r="K35" s="20"/>
      <c r="L35" s="6" t="str">
        <f>IFERROR(__xludf.DUMMYFUNCTION("""COMPUTED_VALUE"""),"note")</f>
        <v>note</v>
      </c>
      <c r="M35" s="6" t="str">
        <f>IFERROR(__xludf.DUMMYFUNCTION("""COMPUTED_VALUE"""),"initial")</f>
        <v>initial</v>
      </c>
      <c r="N35" s="6" t="str">
        <f>IFERROR(__xludf.DUMMYFUNCTION("""COMPUTED_VALUE"""),"next")</f>
        <v>next</v>
      </c>
      <c r="P35" s="6" t="str">
        <f>IFERROR(__xludf.DUMMYFUNCTION("""COMPUTED_VALUE"""),"spirits")</f>
        <v>spirits</v>
      </c>
      <c r="Q35" s="6" t="str">
        <f>IFERROR(__xludf.DUMMYFUNCTION("""COMPUTED_VALUE"""),"succeeds")</f>
        <v>succeeds</v>
      </c>
      <c r="S35" s="6" t="str">
        <f>IFERROR(__xludf.DUMMYFUNCTION("""COMPUTED_VALUE"""),"even")</f>
        <v>even</v>
      </c>
    </row>
    <row r="36">
      <c r="A36" s="6" t="str">
        <f>IFERROR(__xludf.DUMMYFUNCTION("""COMPUTED_VALUE"""),"affecting")</f>
        <v>affecting</v>
      </c>
      <c r="B36" s="6" t="str">
        <f>IFERROR(__xludf.DUMMYFUNCTION("""COMPUTED_VALUE"""),"captures")</f>
        <v>captures</v>
      </c>
      <c r="C36" s="6" t="str">
        <f>IFERROR(__xludf.DUMMYFUNCTION("""COMPUTED_VALUE"""),"intelligent")</f>
        <v>intelligent</v>
      </c>
      <c r="D36" s="6" t="str">
        <f>IFERROR(__xludf.DUMMYFUNCTION("""COMPUTED_VALUE"""),"breathe")</f>
        <v>breathe</v>
      </c>
      <c r="E36" s="6" t="str">
        <f>IFERROR(__xludf.DUMMYFUNCTION("""COMPUTED_VALUE"""),"powerful")</f>
        <v>powerful</v>
      </c>
      <c r="G36" s="6" t="str">
        <f>IFERROR(__xludf.DUMMYFUNCTION("""COMPUTED_VALUE"""),"find")</f>
        <v>find</v>
      </c>
      <c r="H36" s="6" t="str">
        <f>IFERROR(__xludf.DUMMYFUNCTION("""COMPUTED_VALUE"""),"weaving")</f>
        <v>weaving</v>
      </c>
      <c r="I36" s="6" t="str">
        <f>IFERROR(__xludf.DUMMYFUNCTION("""COMPUTED_VALUE"""),"nowhere")</f>
        <v>nowhere</v>
      </c>
      <c r="J36" s="6" t="str">
        <f>IFERROR(__xludf.DUMMYFUNCTION("""COMPUTED_VALUE"""),"conspiracy")</f>
        <v>conspiracy</v>
      </c>
      <c r="L36" s="6" t="str">
        <f>IFERROR(__xludf.DUMMYFUNCTION("""COMPUTED_VALUE"""),"anyone")</f>
        <v>anyone</v>
      </c>
      <c r="M36" s="6" t="str">
        <f>IFERROR(__xludf.DUMMYFUNCTION("""COMPUTED_VALUE"""),"miss")</f>
        <v>miss</v>
      </c>
      <c r="N36" s="6" t="str">
        <f>IFERROR(__xludf.DUMMYFUNCTION("""COMPUTED_VALUE"""),"them")</f>
        <v>them</v>
      </c>
      <c r="P36" s="6" t="str">
        <f>IFERROR(__xludf.DUMMYFUNCTION("""COMPUTED_VALUE"""),"cast")</f>
        <v>cast</v>
      </c>
      <c r="Q36" s="6" t="str">
        <f>IFERROR(__xludf.DUMMYFUNCTION("""COMPUTED_VALUE"""),"face")</f>
        <v>face</v>
      </c>
      <c r="S36" s="6" t="str">
        <f>IFERROR(__xludf.DUMMYFUNCTION("""COMPUTED_VALUE"""),"original")</f>
        <v>original</v>
      </c>
    </row>
    <row r="37">
      <c r="A37" s="6" t="str">
        <f>IFERROR(__xludf.DUMMYFUNCTION("""COMPUTED_VALUE"""),"intelligent")</f>
        <v>intelligent</v>
      </c>
      <c r="B37" s="6" t="str">
        <f>IFERROR(__xludf.DUMMYFUNCTION("""COMPUTED_VALUE"""),"tale")</f>
        <v>tale</v>
      </c>
      <c r="C37" s="6" t="str">
        <f>IFERROR(__xludf.DUMMYFUNCTION("""COMPUTED_VALUE"""),"backward")</f>
        <v>backward</v>
      </c>
      <c r="D37" s="6" t="str">
        <f>IFERROR(__xludf.DUMMYFUNCTION("""COMPUTED_VALUE"""),"asleep")</f>
        <v>asleep</v>
      </c>
      <c r="E37" s="6" t="str">
        <f>IFERROR(__xludf.DUMMYFUNCTION("""COMPUTED_VALUE"""),"celebrates")</f>
        <v>celebrates</v>
      </c>
      <c r="G37" s="6" t="str">
        <f>IFERROR(__xludf.DUMMYFUNCTION("""COMPUTED_VALUE"""),"weaving")</f>
        <v>weaving</v>
      </c>
      <c r="H37" s="6" t="str">
        <f>IFERROR(__xludf.DUMMYFUNCTION("""COMPUTED_VALUE"""),"clone")</f>
        <v>clone</v>
      </c>
      <c r="I37" s="6" t="str">
        <f>IFERROR(__xludf.DUMMYFUNCTION("""COMPUTED_VALUE"""),"already")</f>
        <v>already</v>
      </c>
      <c r="J37" s="6" t="str">
        <f>IFERROR(__xludf.DUMMYFUNCTION("""COMPUTED_VALUE"""),"anything")</f>
        <v>anything</v>
      </c>
      <c r="L37" s="6" t="str">
        <f>IFERROR(__xludf.DUMMYFUNCTION("""COMPUTED_VALUE"""),"making")</f>
        <v>making</v>
      </c>
      <c r="M37" s="6" t="str">
        <f>IFERROR(__xludf.DUMMYFUNCTION("""COMPUTED_VALUE"""),"hit")</f>
        <v>hit</v>
      </c>
      <c r="N37" s="6" t="str">
        <f>IFERROR(__xludf.DUMMYFUNCTION("""COMPUTED_VALUE"""),"wait")</f>
        <v>wait</v>
      </c>
      <c r="P37" s="6" t="str">
        <f>IFERROR(__xludf.DUMMYFUNCTION("""COMPUTED_VALUE"""),"worse")</f>
        <v>worse</v>
      </c>
      <c r="Q37" s="6" t="str">
        <f>IFERROR(__xludf.DUMMYFUNCTION("""COMPUTED_VALUE"""),"above")</f>
        <v>above</v>
      </c>
      <c r="S37" s="6" t="str">
        <f>IFERROR(__xludf.DUMMYFUNCTION("""COMPUTED_VALUE"""),"ways")</f>
        <v>ways</v>
      </c>
    </row>
    <row r="38">
      <c r="A38" s="6" t="str">
        <f>IFERROR(__xludf.DUMMYFUNCTION("""COMPUTED_VALUE"""),"backward")</f>
        <v>backward</v>
      </c>
      <c r="B38" s="6" t="str">
        <f>IFERROR(__xludf.DUMMYFUNCTION("""COMPUTED_VALUE"""),"sitcom")</f>
        <v>sitcom</v>
      </c>
      <c r="C38" s="6" t="str">
        <f>IFERROR(__xludf.DUMMYFUNCTION("""COMPUTED_VALUE"""),"thrill")</f>
        <v>thrill</v>
      </c>
      <c r="D38" s="6" t="str">
        <f>IFERROR(__xludf.DUMMYFUNCTION("""COMPUTED_VALUE"""),"creates")</f>
        <v>creates</v>
      </c>
      <c r="E38" s="6" t="str">
        <f>IFERROR(__xludf.DUMMYFUNCTION("""COMPUTED_VALUE"""),"irrelevant")</f>
        <v>irrelevant</v>
      </c>
      <c r="G38" s="6" t="str">
        <f>IFERROR(__xludf.DUMMYFUNCTION("""COMPUTED_VALUE"""),"funny")</f>
        <v>funny</v>
      </c>
      <c r="H38" s="6" t="str">
        <f>IFERROR(__xludf.DUMMYFUNCTION("""COMPUTED_VALUE"""),"funny")</f>
        <v>funny</v>
      </c>
      <c r="I38" s="6" t="str">
        <f>IFERROR(__xludf.DUMMYFUNCTION("""COMPUTED_VALUE"""),"fourth")</f>
        <v>fourth</v>
      </c>
      <c r="J38" s="6" t="str">
        <f>IFERROR(__xludf.DUMMYFUNCTION("""COMPUTED_VALUE"""),"black")</f>
        <v>black</v>
      </c>
      <c r="L38" s="6" t="str">
        <f>IFERROR(__xludf.DUMMYFUNCTION("""COMPUTED_VALUE"""),"busy")</f>
        <v>busy</v>
      </c>
      <c r="M38" s="6" t="str">
        <f>IFERROR(__xludf.DUMMYFUNCTION("""COMPUTED_VALUE"""),"seems")</f>
        <v>seems</v>
      </c>
      <c r="N38" s="6" t="str">
        <f>IFERROR(__xludf.DUMMYFUNCTION("""COMPUTED_VALUE"""),"you")</f>
        <v>you</v>
      </c>
      <c r="P38" s="6" t="str">
        <f>IFERROR(__xludf.DUMMYFUNCTION("""COMPUTED_VALUE"""),"world")</f>
        <v>world</v>
      </c>
      <c r="Q38" s="6" t="str">
        <f>IFERROR(__xludf.DUMMYFUNCTION("""COMPUTED_VALUE"""),"young")</f>
        <v>young</v>
      </c>
      <c r="S38" s="6" t="str">
        <f>IFERROR(__xludf.DUMMYFUNCTION("""COMPUTED_VALUE"""),"black")</f>
        <v>black</v>
      </c>
    </row>
    <row r="39">
      <c r="A39" s="6" t="str">
        <f>IFERROR(__xludf.DUMMYFUNCTION("""COMPUTED_VALUE"""),"thrill")</f>
        <v>thrill</v>
      </c>
      <c r="B39" s="6" t="str">
        <f>IFERROR(__xludf.DUMMYFUNCTION("""COMPUTED_VALUE"""),"suffers")</f>
        <v>suffers</v>
      </c>
      <c r="C39" s="6" t="str">
        <f>IFERROR(__xludf.DUMMYFUNCTION("""COMPUTED_VALUE"""),"powerful")</f>
        <v>powerful</v>
      </c>
      <c r="D39" s="6" t="str">
        <f>IFERROR(__xludf.DUMMYFUNCTION("""COMPUTED_VALUE"""),"feast")</f>
        <v>feast</v>
      </c>
      <c r="E39" s="6" t="str">
        <f>IFERROR(__xludf.DUMMYFUNCTION("""COMPUTED_VALUE"""),"canvas")</f>
        <v>canvas</v>
      </c>
      <c r="G39" s="6" t="str">
        <f>IFERROR(__xludf.DUMMYFUNCTION("""COMPUTED_VALUE"""),"storyline")</f>
        <v>storyline</v>
      </c>
      <c r="H39" s="6" t="str">
        <f>IFERROR(__xludf.DUMMYFUNCTION("""COMPUTED_VALUE"""),"storyline")</f>
        <v>storyline</v>
      </c>
      <c r="I39" s="6" t="str">
        <f>IFERROR(__xludf.DUMMYFUNCTION("""COMPUTED_VALUE"""),"situations")</f>
        <v>situations</v>
      </c>
      <c r="J39" s="6" t="str">
        <f>IFERROR(__xludf.DUMMYFUNCTION("""COMPUTED_VALUE"""),"brave")</f>
        <v>brave</v>
      </c>
      <c r="L39" s="6" t="str">
        <f>IFERROR(__xludf.DUMMYFUNCTION("""COMPUTED_VALUE"""),"first")</f>
        <v>first</v>
      </c>
      <c r="M39" s="6" t="str">
        <f>IFERROR(__xludf.DUMMYFUNCTION("""COMPUTED_VALUE"""),"quality")</f>
        <v>quality</v>
      </c>
      <c r="N39" s="6" t="str">
        <f>IFERROR(__xludf.DUMMYFUNCTION("""COMPUTED_VALUE"""),"kitchen")</f>
        <v>kitchen</v>
      </c>
      <c r="P39" s="6" t="str">
        <f>IFERROR(__xludf.DUMMYFUNCTION("""COMPUTED_VALUE"""),"cinema")</f>
        <v>cinema</v>
      </c>
      <c r="Q39" s="6" t="str">
        <f>IFERROR(__xludf.DUMMYFUNCTION("""COMPUTED_VALUE"""),"original")</f>
        <v>original</v>
      </c>
      <c r="S39" s="6" t="str">
        <f>IFERROR(__xludf.DUMMYFUNCTION("""COMPUTED_VALUE"""),"named")</f>
        <v>named</v>
      </c>
    </row>
    <row r="40">
      <c r="A40" s="6" t="str">
        <f>IFERROR(__xludf.DUMMYFUNCTION("""COMPUTED_VALUE"""),"powerful")</f>
        <v>powerful</v>
      </c>
      <c r="B40" s="6" t="str">
        <f>IFERROR(__xludf.DUMMYFUNCTION("""COMPUTED_VALUE"""),"drown")</f>
        <v>drown</v>
      </c>
      <c r="C40" s="6" t="str">
        <f>IFERROR(__xludf.DUMMYFUNCTION("""COMPUTED_VALUE"""),"torture")</f>
        <v>torture</v>
      </c>
      <c r="D40" s="6" t="str">
        <f>IFERROR(__xludf.DUMMYFUNCTION("""COMPUTED_VALUE"""),"commanding")</f>
        <v>commanding</v>
      </c>
      <c r="E40" s="6" t="str">
        <f>IFERROR(__xludf.DUMMYFUNCTION("""COMPUTED_VALUE"""),"smug")</f>
        <v>smug</v>
      </c>
      <c r="G40" s="6" t="str">
        <f>IFERROR(__xludf.DUMMYFUNCTION("""COMPUTED_VALUE"""),"silly")</f>
        <v>silly</v>
      </c>
      <c r="H40" s="6" t="str">
        <f>IFERROR(__xludf.DUMMYFUNCTION("""COMPUTED_VALUE"""),"real")</f>
        <v>real</v>
      </c>
      <c r="I40" s="6" t="str">
        <f>IFERROR(__xludf.DUMMYFUNCTION("""COMPUTED_VALUE"""),"room")</f>
        <v>room</v>
      </c>
      <c r="J40" s="6" t="str">
        <f>IFERROR(__xludf.DUMMYFUNCTION("""COMPUTED_VALUE"""),"enriched")</f>
        <v>enriched</v>
      </c>
      <c r="L40" s="6" t="str">
        <f>IFERROR(__xludf.DUMMYFUNCTION("""COMPUTED_VALUE"""),"fine")</f>
        <v>fine</v>
      </c>
      <c r="M40" s="6" t="str">
        <f>IFERROR(__xludf.DUMMYFUNCTION("""COMPUTED_VALUE"""),"something")</f>
        <v>something</v>
      </c>
      <c r="N40" s="6" t="str">
        <f>IFERROR(__xludf.DUMMYFUNCTION("""COMPUTED_VALUE"""),"main")</f>
        <v>main</v>
      </c>
      <c r="P40" s="6" t="str">
        <f>IFERROR(__xludf.DUMMYFUNCTION("""COMPUTED_VALUE"""),"alternative")</f>
        <v>alternative</v>
      </c>
      <c r="Q40" s="6" t="str">
        <f>IFERROR(__xludf.DUMMYFUNCTION("""COMPUTED_VALUE"""),"ways")</f>
        <v>ways</v>
      </c>
      <c r="S40" s="6" t="str">
        <f>IFERROR(__xludf.DUMMYFUNCTION("""COMPUTED_VALUE"""),"anything")</f>
        <v>anything</v>
      </c>
    </row>
    <row r="41">
      <c r="A41" s="6" t="str">
        <f>IFERROR(__xludf.DUMMYFUNCTION("""COMPUTED_VALUE"""),"torture")</f>
        <v>torture</v>
      </c>
      <c r="B41" s="6" t="str">
        <f>IFERROR(__xludf.DUMMYFUNCTION("""COMPUTED_VALUE"""),"enduring")</f>
        <v>enduring</v>
      </c>
      <c r="C41" s="6" t="str">
        <f>IFERROR(__xludf.DUMMYFUNCTION("""COMPUTED_VALUE"""),"celebrates")</f>
        <v>celebrates</v>
      </c>
      <c r="D41" s="6" t="str">
        <f>IFERROR(__xludf.DUMMYFUNCTION("""COMPUTED_VALUE"""),"confident")</f>
        <v>confident</v>
      </c>
      <c r="E41" s="6" t="str">
        <f>IFERROR(__xludf.DUMMYFUNCTION("""COMPUTED_VALUE"""),"captures")</f>
        <v>captures</v>
      </c>
      <c r="G41" s="6" t="str">
        <f>IFERROR(__xludf.DUMMYFUNCTION("""COMPUTED_VALUE"""),"heroes")</f>
        <v>heroes</v>
      </c>
      <c r="H41" s="6" t="str">
        <f>IFERROR(__xludf.DUMMYFUNCTION("""COMPUTED_VALUE"""),"crude")</f>
        <v>crude</v>
      </c>
      <c r="I41" s="6" t="str">
        <f>IFERROR(__xludf.DUMMYFUNCTION("""COMPUTED_VALUE"""),"touching")</f>
        <v>touching</v>
      </c>
      <c r="J41" s="6" t="str">
        <f>IFERROR(__xludf.DUMMYFUNCTION("""COMPUTED_VALUE"""),"spirits")</f>
        <v>spirits</v>
      </c>
      <c r="L41" s="6" t="str">
        <f>IFERROR(__xludf.DUMMYFUNCTION("""COMPUTED_VALUE"""),"opened")</f>
        <v>opened</v>
      </c>
      <c r="M41" s="6" t="str">
        <f>IFERROR(__xludf.DUMMYFUNCTION("""COMPUTED_VALUE"""),"stores")</f>
        <v>stores</v>
      </c>
      <c r="N41" s="6" t="str">
        <f>IFERROR(__xludf.DUMMYFUNCTION("""COMPUTED_VALUE"""),"taking")</f>
        <v>taking</v>
      </c>
      <c r="P41" s="6" t="str">
        <f>IFERROR(__xludf.DUMMYFUNCTION("""COMPUTED_VALUE"""),"plot")</f>
        <v>plot</v>
      </c>
      <c r="Q41" s="6" t="str">
        <f>IFERROR(__xludf.DUMMYFUNCTION("""COMPUTED_VALUE"""),"feminist")</f>
        <v>feminist</v>
      </c>
      <c r="S41" s="6" t="str">
        <f>IFERROR(__xludf.DUMMYFUNCTION("""COMPUTED_VALUE"""),"dirty")</f>
        <v>dirty</v>
      </c>
    </row>
    <row r="42">
      <c r="A42" s="6" t="str">
        <f>IFERROR(__xludf.DUMMYFUNCTION("""COMPUTED_VALUE"""),"celebrates")</f>
        <v>celebrates</v>
      </c>
      <c r="B42" s="6" t="str">
        <f>IFERROR(__xludf.DUMMYFUNCTION("""COMPUTED_VALUE"""),"meaningful")</f>
        <v>meaningful</v>
      </c>
      <c r="C42" s="6" t="str">
        <f>IFERROR(__xludf.DUMMYFUNCTION("""COMPUTED_VALUE"""),"strongest")</f>
        <v>strongest</v>
      </c>
      <c r="D42" s="6" t="str">
        <f>IFERROR(__xludf.DUMMYFUNCTION("""COMPUTED_VALUE"""),"hollow")</f>
        <v>hollow</v>
      </c>
      <c r="E42" s="6" t="str">
        <f>IFERROR(__xludf.DUMMYFUNCTION("""COMPUTED_VALUE"""),"offensive")</f>
        <v>offensive</v>
      </c>
      <c r="G42" s="6" t="str">
        <f>IFERROR(__xludf.DUMMYFUNCTION("""COMPUTED_VALUE"""),"existence")</f>
        <v>existence</v>
      </c>
      <c r="H42" s="6" t="str">
        <f>IFERROR(__xludf.DUMMYFUNCTION("""COMPUTED_VALUE"""),"heroes")</f>
        <v>heroes</v>
      </c>
      <c r="I42" s="6" t="str">
        <f>IFERROR(__xludf.DUMMYFUNCTION("""COMPUTED_VALUE"""),"legend")</f>
        <v>legend</v>
      </c>
      <c r="J42" s="6" t="str">
        <f>IFERROR(__xludf.DUMMYFUNCTION("""COMPUTED_VALUE"""),"or")</f>
        <v>or</v>
      </c>
      <c r="L42" s="6" t="str">
        <f>IFERROR(__xludf.DUMMYFUNCTION("""COMPUTED_VALUE"""),"tickets")</f>
        <v>tickets</v>
      </c>
      <c r="M42" s="6" t="str">
        <f>IFERROR(__xludf.DUMMYFUNCTION("""COMPUTED_VALUE"""),"car")</f>
        <v>car</v>
      </c>
      <c r="N42" s="6" t="str">
        <f>IFERROR(__xludf.DUMMYFUNCTION("""COMPUTED_VALUE"""),"some")</f>
        <v>some</v>
      </c>
      <c r="P42" s="6" t="str">
        <f>IFERROR(__xludf.DUMMYFUNCTION("""COMPUTED_VALUE"""),"poorly")</f>
        <v>poorly</v>
      </c>
      <c r="Q42" s="6" t="str">
        <f>IFERROR(__xludf.DUMMYFUNCTION("""COMPUTED_VALUE"""),"conspiracy")</f>
        <v>conspiracy</v>
      </c>
      <c r="S42" s="6" t="str">
        <f>IFERROR(__xludf.DUMMYFUNCTION("""COMPUTED_VALUE"""),"conspiracy")</f>
        <v>conspiracy</v>
      </c>
    </row>
    <row r="43">
      <c r="A43" s="6" t="str">
        <f>IFERROR(__xludf.DUMMYFUNCTION("""COMPUTED_VALUE"""),"strongest")</f>
        <v>strongest</v>
      </c>
      <c r="B43" s="6" t="str">
        <f>IFERROR(__xludf.DUMMYFUNCTION("""COMPUTED_VALUE"""),"juvenile")</f>
        <v>juvenile</v>
      </c>
      <c r="C43" s="6" t="str">
        <f>IFERROR(__xludf.DUMMYFUNCTION("""COMPUTED_VALUE"""),"irrelevant")</f>
        <v>irrelevant</v>
      </c>
      <c r="D43" s="6" t="str">
        <f>IFERROR(__xludf.DUMMYFUNCTION("""COMPUTED_VALUE"""),"sensation")</f>
        <v>sensation</v>
      </c>
      <c r="E43" s="6" t="str">
        <f>IFERROR(__xludf.DUMMYFUNCTION("""COMPUTED_VALUE"""),"tale")</f>
        <v>tale</v>
      </c>
      <c r="G43" s="6" t="str">
        <f>IFERROR(__xludf.DUMMYFUNCTION("""COMPUTED_VALUE"""),"recycled")</f>
        <v>recycled</v>
      </c>
      <c r="H43" s="6" t="str">
        <f>IFERROR(__xludf.DUMMYFUNCTION("""COMPUTED_VALUE"""),"existence")</f>
        <v>existence</v>
      </c>
      <c r="I43" s="6" t="str">
        <f>IFERROR(__xludf.DUMMYFUNCTION("""COMPUTED_VALUE"""),"less")</f>
        <v>less</v>
      </c>
      <c r="J43" s="6" t="str">
        <f>IFERROR(__xludf.DUMMYFUNCTION("""COMPUTED_VALUE"""),"cinema")</f>
        <v>cinema</v>
      </c>
      <c r="L43" s="6" t="str">
        <f>IFERROR(__xludf.DUMMYFUNCTION("""COMPUTED_VALUE"""),"into")</f>
        <v>into</v>
      </c>
      <c r="M43" s="6" t="str">
        <f>IFERROR(__xludf.DUMMYFUNCTION("""COMPUTED_VALUE"""),"much")</f>
        <v>much</v>
      </c>
      <c r="N43" s="6" t="str">
        <f>IFERROR(__xludf.DUMMYFUNCTION("""COMPUTED_VALUE"""),"miss")</f>
        <v>miss</v>
      </c>
      <c r="P43" s="6" t="str">
        <f>IFERROR(__xludf.DUMMYFUNCTION("""COMPUTED_VALUE"""),"find")</f>
        <v>find</v>
      </c>
      <c r="Q43" s="6" t="str">
        <f>IFERROR(__xludf.DUMMYFUNCTION("""COMPUTED_VALUE"""),"theorist")</f>
        <v>theorist</v>
      </c>
      <c r="S43" s="6" t="str">
        <f>IFERROR(__xludf.DUMMYFUNCTION("""COMPUTED_VALUE"""),"smile")</f>
        <v>smile</v>
      </c>
    </row>
    <row r="44">
      <c r="A44" s="6" t="str">
        <f>IFERROR(__xludf.DUMMYFUNCTION("""COMPUTED_VALUE"""),"canvas")</f>
        <v>canvas</v>
      </c>
      <c r="B44" s="6" t="str">
        <f>IFERROR(__xludf.DUMMYFUNCTION("""COMPUTED_VALUE"""),"portrait")</f>
        <v>portrait</v>
      </c>
      <c r="C44" s="6" t="str">
        <f>IFERROR(__xludf.DUMMYFUNCTION("""COMPUTED_VALUE"""),"canvas")</f>
        <v>canvas</v>
      </c>
      <c r="D44" s="6" t="str">
        <f>IFERROR(__xludf.DUMMYFUNCTION("""COMPUTED_VALUE"""),"viewed")</f>
        <v>viewed</v>
      </c>
      <c r="E44" s="6" t="str">
        <f>IFERROR(__xludf.DUMMYFUNCTION("""COMPUTED_VALUE"""),"sitcom")</f>
        <v>sitcom</v>
      </c>
      <c r="G44" s="6" t="str">
        <f>IFERROR(__xludf.DUMMYFUNCTION("""COMPUTED_VALUE"""),"already")</f>
        <v>already</v>
      </c>
      <c r="H44" s="6" t="str">
        <f>IFERROR(__xludf.DUMMYFUNCTION("""COMPUTED_VALUE"""),"sharply")</f>
        <v>sharply</v>
      </c>
      <c r="I44" s="6" t="str">
        <f>IFERROR(__xludf.DUMMYFUNCTION("""COMPUTED_VALUE"""),"veins")</f>
        <v>veins</v>
      </c>
      <c r="J44" s="6" t="str">
        <f>IFERROR(__xludf.DUMMYFUNCTION("""COMPUTED_VALUE"""),"plot")</f>
        <v>plot</v>
      </c>
      <c r="L44" s="6" t="str">
        <f>IFERROR(__xludf.DUMMYFUNCTION("""COMPUTED_VALUE"""),"decent")</f>
        <v>decent</v>
      </c>
      <c r="M44" s="6" t="str">
        <f>IFERROR(__xludf.DUMMYFUNCTION("""COMPUTED_VALUE"""),"kind")</f>
        <v>kind</v>
      </c>
      <c r="N44" s="6" t="str">
        <f>IFERROR(__xludf.DUMMYFUNCTION("""COMPUTED_VALUE"""),"hit")</f>
        <v>hit</v>
      </c>
      <c r="P44" s="6" t="str">
        <f>IFERROR(__xludf.DUMMYFUNCTION("""COMPUTED_VALUE"""),"year")</f>
        <v>year</v>
      </c>
      <c r="Q44" s="6" t="str">
        <f>IFERROR(__xludf.DUMMYFUNCTION("""COMPUTED_VALUE"""),"smile")</f>
        <v>smile</v>
      </c>
      <c r="S44" s="6" t="str">
        <f>IFERROR(__xludf.DUMMYFUNCTION("""COMPUTED_VALUE"""),"comes")</f>
        <v>comes</v>
      </c>
    </row>
    <row r="45">
      <c r="A45" s="6" t="str">
        <f>IFERROR(__xludf.DUMMYFUNCTION("""COMPUTED_VALUE"""),"smug")</f>
        <v>smug</v>
      </c>
      <c r="B45" s="6" t="str">
        <f>IFERROR(__xludf.DUMMYFUNCTION("""COMPUTED_VALUE"""),"compassion")</f>
        <v>compassion</v>
      </c>
      <c r="C45" s="6" t="str">
        <f>IFERROR(__xludf.DUMMYFUNCTION("""COMPUTED_VALUE"""),"smug")</f>
        <v>smug</v>
      </c>
      <c r="D45" s="6" t="str">
        <f>IFERROR(__xludf.DUMMYFUNCTION("""COMPUTED_VALUE"""),"wins")</f>
        <v>wins</v>
      </c>
      <c r="E45" s="6" t="str">
        <f>IFERROR(__xludf.DUMMYFUNCTION("""COMPUTED_VALUE"""),"abuse")</f>
        <v>abuse</v>
      </c>
      <c r="G45" s="6" t="str">
        <f>IFERROR(__xludf.DUMMYFUNCTION("""COMPUTED_VALUE"""),"been")</f>
        <v>been</v>
      </c>
      <c r="H45" s="6" t="str">
        <f>IFERROR(__xludf.DUMMYFUNCTION("""COMPUTED_VALUE"""),"point")</f>
        <v>point</v>
      </c>
      <c r="I45" s="6" t="str">
        <f>IFERROR(__xludf.DUMMYFUNCTION("""COMPUTED_VALUE"""),"rich")</f>
        <v>rich</v>
      </c>
      <c r="J45" s="6" t="str">
        <f>IFERROR(__xludf.DUMMYFUNCTION("""COMPUTED_VALUE"""),"find")</f>
        <v>find</v>
      </c>
      <c r="L45" s="6" t="str">
        <f>IFERROR(__xludf.DUMMYFUNCTION("""COMPUTED_VALUE"""),"any")</f>
        <v>any</v>
      </c>
      <c r="M45" s="6" t="str">
        <f>IFERROR(__xludf.DUMMYFUNCTION("""COMPUTED_VALUE"""),"clothes")</f>
        <v>clothes</v>
      </c>
      <c r="N45" s="6" t="str">
        <f>IFERROR(__xludf.DUMMYFUNCTION("""COMPUTED_VALUE"""),"n")</f>
        <v>n</v>
      </c>
      <c r="P45" s="6" t="str">
        <f>IFERROR(__xludf.DUMMYFUNCTION("""COMPUTED_VALUE"""),"sit")</f>
        <v>sit</v>
      </c>
      <c r="Q45" s="6" t="str">
        <f>IFERROR(__xludf.DUMMYFUNCTION("""COMPUTED_VALUE"""),"brave")</f>
        <v>brave</v>
      </c>
      <c r="S45" s="6" t="str">
        <f>IFERROR(__xludf.DUMMYFUNCTION("""COMPUTED_VALUE"""),"brave")</f>
        <v>brave</v>
      </c>
    </row>
    <row r="46">
      <c r="A46" s="6" t="str">
        <f>IFERROR(__xludf.DUMMYFUNCTION("""COMPUTED_VALUE"""),"captures")</f>
        <v>captures</v>
      </c>
      <c r="B46" s="6" t="str">
        <f>IFERROR(__xludf.DUMMYFUNCTION("""COMPUTED_VALUE"""),"convincing")</f>
        <v>convincing</v>
      </c>
      <c r="C46" s="6" t="str">
        <f>IFERROR(__xludf.DUMMYFUNCTION("""COMPUTED_VALUE"""),"captures")</f>
        <v>captures</v>
      </c>
      <c r="D46" s="6" t="str">
        <f>IFERROR(__xludf.DUMMYFUNCTION("""COMPUTED_VALUE"""),"shorter")</f>
        <v>shorter</v>
      </c>
      <c r="E46" s="6" t="str">
        <f>IFERROR(__xludf.DUMMYFUNCTION("""COMPUTED_VALUE"""),"drown")</f>
        <v>drown</v>
      </c>
      <c r="G46" s="6" t="str">
        <f>IFERROR(__xludf.DUMMYFUNCTION("""COMPUTED_VALUE"""),"swords")</f>
        <v>swords</v>
      </c>
      <c r="H46" s="6" t="str">
        <f>IFERROR(__xludf.DUMMYFUNCTION("""COMPUTED_VALUE"""),"nowhere")</f>
        <v>nowhere</v>
      </c>
      <c r="I46" s="6" t="str">
        <f>IFERROR(__xludf.DUMMYFUNCTION("""COMPUTED_VALUE"""),"apparent")</f>
        <v>apparent</v>
      </c>
      <c r="J46" s="6" t="str">
        <f>IFERROR(__xludf.DUMMYFUNCTION("""COMPUTED_VALUE"""),"weaving")</f>
        <v>weaving</v>
      </c>
      <c r="L46" s="6" t="str">
        <f>IFERROR(__xludf.DUMMYFUNCTION("""COMPUTED_VALUE"""),"packed")</f>
        <v>packed</v>
      </c>
      <c r="M46" s="6" t="str">
        <f>IFERROR(__xludf.DUMMYFUNCTION("""COMPUTED_VALUE"""),"trip")</f>
        <v>trip</v>
      </c>
      <c r="N46" s="6" t="str">
        <f>IFERROR(__xludf.DUMMYFUNCTION("""COMPUTED_VALUE"""),"than")</f>
        <v>than</v>
      </c>
      <c r="P46" s="6" t="str">
        <f>IFERROR(__xludf.DUMMYFUNCTION("""COMPUTED_VALUE"""),"funny")</f>
        <v>funny</v>
      </c>
      <c r="Q46" s="6" t="str">
        <f>IFERROR(__xludf.DUMMYFUNCTION("""COMPUTED_VALUE"""),"enriched")</f>
        <v>enriched</v>
      </c>
      <c r="S46" s="6" t="str">
        <f>IFERROR(__xludf.DUMMYFUNCTION("""COMPUTED_VALUE"""),"cast")</f>
        <v>cast</v>
      </c>
    </row>
    <row r="47">
      <c r="A47" s="6" t="str">
        <f>IFERROR(__xludf.DUMMYFUNCTION("""COMPUTED_VALUE"""),"offensive")</f>
        <v>offensive</v>
      </c>
      <c r="B47" s="6" t="str">
        <f>IFERROR(__xludf.DUMMYFUNCTION("""COMPUTED_VALUE"""),"affection")</f>
        <v>affection</v>
      </c>
      <c r="C47" s="6" t="str">
        <f>IFERROR(__xludf.DUMMYFUNCTION("""COMPUTED_VALUE"""),"offensive")</f>
        <v>offensive</v>
      </c>
      <c r="D47" s="6" t="str">
        <f>IFERROR(__xludf.DUMMYFUNCTION("""COMPUTED_VALUE"""),"elaborate")</f>
        <v>elaborate</v>
      </c>
      <c r="E47" s="6" t="str">
        <f>IFERROR(__xludf.DUMMYFUNCTION("""COMPUTED_VALUE"""),"enduring")</f>
        <v>enduring</v>
      </c>
      <c r="G47" s="6" t="str">
        <f>IFERROR(__xludf.DUMMYFUNCTION("""COMPUTED_VALUE"""),"proves")</f>
        <v>proves</v>
      </c>
      <c r="H47" s="6" t="str">
        <f>IFERROR(__xludf.DUMMYFUNCTION("""COMPUTED_VALUE"""),"recycled")</f>
        <v>recycled</v>
      </c>
      <c r="I47" s="6" t="str">
        <f>IFERROR(__xludf.DUMMYFUNCTION("""COMPUTED_VALUE"""),"joy")</f>
        <v>joy</v>
      </c>
      <c r="J47" s="6" t="str">
        <f>IFERROR(__xludf.DUMMYFUNCTION("""COMPUTED_VALUE"""),"clone")</f>
        <v>clone</v>
      </c>
      <c r="L47" s="6" t="str">
        <f>IFERROR(__xludf.DUMMYFUNCTION("""COMPUTED_VALUE"""),"bore")</f>
        <v>bore</v>
      </c>
      <c r="M47" s="6" t="str">
        <f>IFERROR(__xludf.DUMMYFUNCTION("""COMPUTED_VALUE"""),"find")</f>
        <v>find</v>
      </c>
      <c r="N47" s="6" t="str">
        <f>IFERROR(__xludf.DUMMYFUNCTION("""COMPUTED_VALUE"""),"something")</f>
        <v>something</v>
      </c>
      <c r="P47" s="6" t="str">
        <f>IFERROR(__xludf.DUMMYFUNCTION("""COMPUTED_VALUE"""),"theme")</f>
        <v>theme</v>
      </c>
      <c r="Q47" s="6" t="str">
        <f>IFERROR(__xludf.DUMMYFUNCTION("""COMPUTED_VALUE"""),"spirits")</f>
        <v>spirits</v>
      </c>
      <c r="S47" s="6" t="str">
        <f>IFERROR(__xludf.DUMMYFUNCTION("""COMPUTED_VALUE"""),"mixed")</f>
        <v>mixed</v>
      </c>
    </row>
    <row r="48">
      <c r="A48" s="6" t="str">
        <f>IFERROR(__xludf.DUMMYFUNCTION("""COMPUTED_VALUE"""),"tale")</f>
        <v>tale</v>
      </c>
      <c r="B48" s="6" t="str">
        <f>IFERROR(__xludf.DUMMYFUNCTION("""COMPUTED_VALUE"""),"courage")</f>
        <v>courage</v>
      </c>
      <c r="C48" s="6" t="str">
        <f>IFERROR(__xludf.DUMMYFUNCTION("""COMPUTED_VALUE"""),"tale")</f>
        <v>tale</v>
      </c>
      <c r="D48" s="6" t="str">
        <f>IFERROR(__xludf.DUMMYFUNCTION("""COMPUTED_VALUE"""),"quietly")</f>
        <v>quietly</v>
      </c>
      <c r="E48" s="6" t="str">
        <f>IFERROR(__xludf.DUMMYFUNCTION("""COMPUTED_VALUE"""),"portrait")</f>
        <v>portrait</v>
      </c>
      <c r="G48" s="6" t="str">
        <f>IFERROR(__xludf.DUMMYFUNCTION("""COMPUTED_VALUE"""),"has")</f>
        <v>has</v>
      </c>
      <c r="H48" s="6" t="str">
        <f>IFERROR(__xludf.DUMMYFUNCTION("""COMPUTED_VALUE"""),"been")</f>
        <v>been</v>
      </c>
      <c r="I48" s="6" t="str">
        <f>IFERROR(__xludf.DUMMYFUNCTION("""COMPUTED_VALUE"""),"ugly")</f>
        <v>ugly</v>
      </c>
      <c r="J48" s="6" t="str">
        <f>IFERROR(__xludf.DUMMYFUNCTION("""COMPUTED_VALUE"""),"funny")</f>
        <v>funny</v>
      </c>
      <c r="L48" s="6" t="str">
        <f>IFERROR(__xludf.DUMMYFUNCTION("""COMPUTED_VALUE"""),"asian")</f>
        <v>asian</v>
      </c>
      <c r="M48" s="6" t="str">
        <f>IFERROR(__xludf.DUMMYFUNCTION("""COMPUTED_VALUE"""),"still")</f>
        <v>still</v>
      </c>
      <c r="N48" s="6" t="str">
        <f>IFERROR(__xludf.DUMMYFUNCTION("""COMPUTED_VALUE"""),"car")</f>
        <v>car</v>
      </c>
      <c r="P48" s="6" t="str">
        <f>IFERROR(__xludf.DUMMYFUNCTION("""COMPUTED_VALUE"""),"another")</f>
        <v>another</v>
      </c>
      <c r="Q48" s="6" t="str">
        <f>IFERROR(__xludf.DUMMYFUNCTION("""COMPUTED_VALUE"""),"cast")</f>
        <v>cast</v>
      </c>
      <c r="S48" s="6" t="str">
        <f>IFERROR(__xludf.DUMMYFUNCTION("""COMPUTED_VALUE"""),"spirits")</f>
        <v>spirits</v>
      </c>
    </row>
    <row r="49">
      <c r="A49" s="6" t="str">
        <f>IFERROR(__xludf.DUMMYFUNCTION("""COMPUTED_VALUE"""),"sitcom")</f>
        <v>sitcom</v>
      </c>
      <c r="B49" s="6" t="str">
        <f>IFERROR(__xludf.DUMMYFUNCTION("""COMPUTED_VALUE"""),"meditation")</f>
        <v>meditation</v>
      </c>
      <c r="C49" s="6" t="str">
        <f>IFERROR(__xludf.DUMMYFUNCTION("""COMPUTED_VALUE"""),"sitcom")</f>
        <v>sitcom</v>
      </c>
      <c r="D49" s="6" t="str">
        <f>IFERROR(__xludf.DUMMYFUNCTION("""COMPUTED_VALUE"""),"vital")</f>
        <v>vital</v>
      </c>
      <c r="E49" s="6" t="str">
        <f>IFERROR(__xludf.DUMMYFUNCTION("""COMPUTED_VALUE"""),"compassion")</f>
        <v>compassion</v>
      </c>
      <c r="G49" s="6" t="str">
        <f>IFERROR(__xludf.DUMMYFUNCTION("""COMPUTED_VALUE"""),"splashed")</f>
        <v>splashed</v>
      </c>
      <c r="H49" s="6" t="str">
        <f>IFERROR(__xludf.DUMMYFUNCTION("""COMPUTED_VALUE"""),"fourth")</f>
        <v>fourth</v>
      </c>
      <c r="I49" s="6" t="str">
        <f>IFERROR(__xludf.DUMMYFUNCTION("""COMPUTED_VALUE"""),"video")</f>
        <v>video</v>
      </c>
      <c r="J49" s="6" t="str">
        <f>IFERROR(__xludf.DUMMYFUNCTION("""COMPUTED_VALUE"""),"storyline")</f>
        <v>storyline</v>
      </c>
      <c r="L49" s="6" t="str">
        <f>IFERROR(__xludf.DUMMYFUNCTION("""COMPUTED_VALUE"""),"few")</f>
        <v>few</v>
      </c>
      <c r="M49" s="6" t="str">
        <f>IFERROR(__xludf.DUMMYFUNCTION("""COMPUTED_VALUE"""),"piano")</f>
        <v>piano</v>
      </c>
      <c r="N49" s="6" t="str">
        <f>IFERROR(__xludf.DUMMYFUNCTION("""COMPUTED_VALUE"""),"kind")</f>
        <v>kind</v>
      </c>
      <c r="P49" s="6" t="str">
        <f>IFERROR(__xludf.DUMMYFUNCTION("""COMPUTED_VALUE"""),"storyline")</f>
        <v>storyline</v>
      </c>
      <c r="Q49" s="6" t="str">
        <f>IFERROR(__xludf.DUMMYFUNCTION("""COMPUTED_VALUE"""),"worse")</f>
        <v>worse</v>
      </c>
      <c r="S49" s="6" t="str">
        <f>IFERROR(__xludf.DUMMYFUNCTION("""COMPUTED_VALUE"""),"half")</f>
        <v>half</v>
      </c>
    </row>
    <row r="50">
      <c r="A50" s="6" t="str">
        <f>IFERROR(__xludf.DUMMYFUNCTION("""COMPUTED_VALUE"""),"suffers")</f>
        <v>suffers</v>
      </c>
      <c r="B50" s="6" t="str">
        <f>IFERROR(__xludf.DUMMYFUNCTION("""COMPUTED_VALUE"""),"universal")</f>
        <v>universal</v>
      </c>
      <c r="C50" s="6" t="str">
        <f>IFERROR(__xludf.DUMMYFUNCTION("""COMPUTED_VALUE"""),"abuse")</f>
        <v>abuse</v>
      </c>
      <c r="D50" s="6" t="str">
        <f>IFERROR(__xludf.DUMMYFUNCTION("""COMPUTED_VALUE"""),"represents")</f>
        <v>represents</v>
      </c>
      <c r="E50" s="6" t="str">
        <f>IFERROR(__xludf.DUMMYFUNCTION("""COMPUTED_VALUE"""),"imitation")</f>
        <v>imitation</v>
      </c>
      <c r="G50" s="6" t="str">
        <f>IFERROR(__xludf.DUMMYFUNCTION("""COMPUTED_VALUE"""),"any")</f>
        <v>any</v>
      </c>
      <c r="H50" s="6" t="str">
        <f>IFERROR(__xludf.DUMMYFUNCTION("""COMPUTED_VALUE"""),"swords")</f>
        <v>swords</v>
      </c>
      <c r="I50" s="6" t="str">
        <f>IFERROR(__xludf.DUMMYFUNCTION("""COMPUTED_VALUE"""),"exploration")</f>
        <v>exploration</v>
      </c>
      <c r="J50" s="6" t="str">
        <f>IFERROR(__xludf.DUMMYFUNCTION("""COMPUTED_VALUE"""),"real")</f>
        <v>real</v>
      </c>
      <c r="L50" s="6" t="str">
        <f>IFERROR(__xludf.DUMMYFUNCTION("""COMPUTED_VALUE"""),"yet")</f>
        <v>yet</v>
      </c>
      <c r="M50" s="6" t="str">
        <f>IFERROR(__xludf.DUMMYFUNCTION("""COMPUTED_VALUE"""),"picture")</f>
        <v>picture</v>
      </c>
      <c r="N50" s="6" t="str">
        <f>IFERROR(__xludf.DUMMYFUNCTION("""COMPUTED_VALUE"""),"trip")</f>
        <v>trip</v>
      </c>
      <c r="P50" s="6" t="str">
        <f>IFERROR(__xludf.DUMMYFUNCTION("""COMPUTED_VALUE"""),"real")</f>
        <v>real</v>
      </c>
      <c r="Q50" s="6" t="str">
        <f>IFERROR(__xludf.DUMMYFUNCTION("""COMPUTED_VALUE"""),"world")</f>
        <v>world</v>
      </c>
      <c r="S50" s="6" t="str">
        <f>IFERROR(__xludf.DUMMYFUNCTION("""COMPUTED_VALUE"""),"worse")</f>
        <v>worse</v>
      </c>
    </row>
    <row r="51">
      <c r="A51" s="6" t="str">
        <f>IFERROR(__xludf.DUMMYFUNCTION("""COMPUTED_VALUE"""),"enduring")</f>
        <v>enduring</v>
      </c>
      <c r="B51" s="6" t="str">
        <f>IFERROR(__xludf.DUMMYFUNCTION("""COMPUTED_VALUE"""),"clever")</f>
        <v>clever</v>
      </c>
      <c r="C51" s="6" t="str">
        <f>IFERROR(__xludf.DUMMYFUNCTION("""COMPUTED_VALUE"""),"suffers")</f>
        <v>suffers</v>
      </c>
      <c r="D51" s="6" t="str">
        <f>IFERROR(__xludf.DUMMYFUNCTION("""COMPUTED_VALUE"""),"capture")</f>
        <v>capture</v>
      </c>
      <c r="E51" s="6" t="str">
        <f>IFERROR(__xludf.DUMMYFUNCTION("""COMPUTED_VALUE"""),"bleak")</f>
        <v>bleak</v>
      </c>
      <c r="G51" s="6" t="str">
        <f>IFERROR(__xludf.DUMMYFUNCTION("""COMPUTED_VALUE"""),"pointless")</f>
        <v>pointless</v>
      </c>
      <c r="H51" s="6" t="str">
        <f>IFERROR(__xludf.DUMMYFUNCTION("""COMPUTED_VALUE"""),"proves")</f>
        <v>proves</v>
      </c>
      <c r="I51" s="6" t="str">
        <f>IFERROR(__xludf.DUMMYFUNCTION("""COMPUTED_VALUE"""),"pretty")</f>
        <v>pretty</v>
      </c>
      <c r="J51" s="6" t="str">
        <f>IFERROR(__xludf.DUMMYFUNCTION("""COMPUTED_VALUE"""),"crude")</f>
        <v>crude</v>
      </c>
      <c r="L51" s="6" t="str">
        <f>IFERROR(__xludf.DUMMYFUNCTION("""COMPUTED_VALUE"""),"out")</f>
        <v>out</v>
      </c>
      <c r="M51" s="6" t="str">
        <f>IFERROR(__xludf.DUMMYFUNCTION("""COMPUTED_VALUE"""),"looking")</f>
        <v>looking</v>
      </c>
      <c r="N51" s="6" t="str">
        <f>IFERROR(__xludf.DUMMYFUNCTION("""COMPUTED_VALUE"""),"find")</f>
        <v>find</v>
      </c>
      <c r="P51" s="6" t="str">
        <f>IFERROR(__xludf.DUMMYFUNCTION("""COMPUTED_VALUE"""),"issues")</f>
        <v>issues</v>
      </c>
      <c r="Q51" s="6" t="str">
        <f>IFERROR(__xludf.DUMMYFUNCTION("""COMPUTED_VALUE"""),"cinema")</f>
        <v>cinema</v>
      </c>
      <c r="S51" s="6" t="str">
        <f>IFERROR(__xludf.DUMMYFUNCTION("""COMPUTED_VALUE"""),"world")</f>
        <v>world</v>
      </c>
    </row>
    <row r="52">
      <c r="A52" s="6" t="str">
        <f>IFERROR(__xludf.DUMMYFUNCTION("""COMPUTED_VALUE"""),"acid")</f>
        <v>acid</v>
      </c>
      <c r="B52" s="6" t="str">
        <f>IFERROR(__xludf.DUMMYFUNCTION("""COMPUTED_VALUE"""),"exaggerated")</f>
        <v>exaggerated</v>
      </c>
      <c r="C52" s="6" t="str">
        <f>IFERROR(__xludf.DUMMYFUNCTION("""COMPUTED_VALUE"""),"drown")</f>
        <v>drown</v>
      </c>
      <c r="D52" s="6" t="str">
        <f>IFERROR(__xludf.DUMMYFUNCTION("""COMPUTED_VALUE"""),"displays")</f>
        <v>displays</v>
      </c>
      <c r="E52" s="6" t="str">
        <f>IFERROR(__xludf.DUMMYFUNCTION("""COMPUTED_VALUE"""),"convincing")</f>
        <v>convincing</v>
      </c>
      <c r="G52" s="6" t="str">
        <f>IFERROR(__xludf.DUMMYFUNCTION("""COMPUTED_VALUE"""),"situations")</f>
        <v>situations</v>
      </c>
      <c r="H52" s="6" t="str">
        <f>IFERROR(__xludf.DUMMYFUNCTION("""COMPUTED_VALUE"""),"horrors")</f>
        <v>horrors</v>
      </c>
      <c r="I52" s="6" t="str">
        <f>IFERROR(__xludf.DUMMYFUNCTION("""COMPUTED_VALUE"""),"aerial")</f>
        <v>aerial</v>
      </c>
      <c r="J52" s="6" t="str">
        <f>IFERROR(__xludf.DUMMYFUNCTION("""COMPUTED_VALUE"""),"silly")</f>
        <v>silly</v>
      </c>
      <c r="L52" s="6" t="str">
        <f>IFERROR(__xludf.DUMMYFUNCTION("""COMPUTED_VALUE"""),"eye")</f>
        <v>eye</v>
      </c>
      <c r="M52" s="6" t="str">
        <f>IFERROR(__xludf.DUMMYFUNCTION("""COMPUTED_VALUE"""),"crowd")</f>
        <v>crowd</v>
      </c>
      <c r="N52" s="6" t="str">
        <f>IFERROR(__xludf.DUMMYFUNCTION("""COMPUTED_VALUE"""),"still")</f>
        <v>still</v>
      </c>
      <c r="P52" s="6" t="str">
        <f>IFERROR(__xludf.DUMMYFUNCTION("""COMPUTED_VALUE"""),"heroes")</f>
        <v>heroes</v>
      </c>
      <c r="Q52" s="6" t="str">
        <f>IFERROR(__xludf.DUMMYFUNCTION("""COMPUTED_VALUE"""),"alternative")</f>
        <v>alternative</v>
      </c>
      <c r="S52" s="6" t="str">
        <f>IFERROR(__xludf.DUMMYFUNCTION("""COMPUTED_VALUE"""),"cinema")</f>
        <v>cinema</v>
      </c>
    </row>
    <row r="53">
      <c r="A53" s="6" t="str">
        <f>IFERROR(__xludf.DUMMYFUNCTION("""COMPUTED_VALUE"""),"meaningful")</f>
        <v>meaningful</v>
      </c>
      <c r="B53" s="6" t="str">
        <f>IFERROR(__xludf.DUMMYFUNCTION("""COMPUTED_VALUE"""),"daring")</f>
        <v>daring</v>
      </c>
      <c r="C53" s="6" t="str">
        <f>IFERROR(__xludf.DUMMYFUNCTION("""COMPUTED_VALUE"""),"enduring")</f>
        <v>enduring</v>
      </c>
      <c r="D53" s="6" t="str">
        <f>IFERROR(__xludf.DUMMYFUNCTION("""COMPUTED_VALUE"""),"repeated")</f>
        <v>repeated</v>
      </c>
      <c r="E53" s="6" t="str">
        <f>IFERROR(__xludf.DUMMYFUNCTION("""COMPUTED_VALUE"""),"courage")</f>
        <v>courage</v>
      </c>
      <c r="G53" s="6" t="str">
        <f>IFERROR(__xludf.DUMMYFUNCTION("""COMPUTED_VALUE"""),"room")</f>
        <v>room</v>
      </c>
      <c r="H53" s="6" t="str">
        <f>IFERROR(__xludf.DUMMYFUNCTION("""COMPUTED_VALUE"""),"vivid")</f>
        <v>vivid</v>
      </c>
      <c r="I53" s="6" t="str">
        <f>IFERROR(__xludf.DUMMYFUNCTION("""COMPUTED_VALUE"""),"experience")</f>
        <v>experience</v>
      </c>
      <c r="J53" s="6" t="str">
        <f>IFERROR(__xludf.DUMMYFUNCTION("""COMPUTED_VALUE"""),"heroes")</f>
        <v>heroes</v>
      </c>
      <c r="L53" s="6" t="str">
        <f>IFERROR(__xludf.DUMMYFUNCTION("""COMPUTED_VALUE"""),"dragon")</f>
        <v>dragon</v>
      </c>
      <c r="M53" s="6" t="str">
        <f>IFERROR(__xludf.DUMMYFUNCTION("""COMPUTED_VALUE"""),"take")</f>
        <v>take</v>
      </c>
      <c r="N53" s="6" t="str">
        <f>IFERROR(__xludf.DUMMYFUNCTION("""COMPUTED_VALUE"""),"looking")</f>
        <v>looking</v>
      </c>
      <c r="P53" s="6" t="str">
        <f>IFERROR(__xludf.DUMMYFUNCTION("""COMPUTED_VALUE"""),"existence")</f>
        <v>existence</v>
      </c>
      <c r="Q53" s="6" t="str">
        <f>IFERROR(__xludf.DUMMYFUNCTION("""COMPUTED_VALUE"""),"viewing")</f>
        <v>viewing</v>
      </c>
      <c r="S53" s="6" t="str">
        <f>IFERROR(__xludf.DUMMYFUNCTION("""COMPUTED_VALUE"""),"good")</f>
        <v>good</v>
      </c>
    </row>
    <row r="54">
      <c r="A54" s="6" t="str">
        <f>IFERROR(__xludf.DUMMYFUNCTION("""COMPUTED_VALUE"""),"juvenile")</f>
        <v>juvenile</v>
      </c>
      <c r="B54" s="6" t="str">
        <f>IFERROR(__xludf.DUMMYFUNCTION("""COMPUTED_VALUE"""),"emerge")</f>
        <v>emerge</v>
      </c>
      <c r="C54" s="6" t="str">
        <f>IFERROR(__xludf.DUMMYFUNCTION("""COMPUTED_VALUE"""),"meaningful")</f>
        <v>meaningful</v>
      </c>
      <c r="D54" s="6" t="str">
        <f>IFERROR(__xludf.DUMMYFUNCTION("""COMPUTED_VALUE"""),"impact")</f>
        <v>impact</v>
      </c>
      <c r="E54" s="6" t="str">
        <f>IFERROR(__xludf.DUMMYFUNCTION("""COMPUTED_VALUE"""),"meditation")</f>
        <v>meditation</v>
      </c>
      <c r="G54" s="6" t="str">
        <f>IFERROR(__xludf.DUMMYFUNCTION("""COMPUTED_VALUE"""),"touching")</f>
        <v>touching</v>
      </c>
      <c r="H54" s="6" t="str">
        <f>IFERROR(__xludf.DUMMYFUNCTION("""COMPUTED_VALUE"""),"any")</f>
        <v>any</v>
      </c>
      <c r="I54" s="6" t="str">
        <f>IFERROR(__xludf.DUMMYFUNCTION("""COMPUTED_VALUE"""),"women")</f>
        <v>women</v>
      </c>
      <c r="J54" s="6" t="str">
        <f>IFERROR(__xludf.DUMMYFUNCTION("""COMPUTED_VALUE"""),"existence")</f>
        <v>existence</v>
      </c>
      <c r="L54" s="6" t="str">
        <f>IFERROR(__xludf.DUMMYFUNCTION("""COMPUTED_VALUE"""),"simply")</f>
        <v>simply</v>
      </c>
      <c r="M54" s="6" t="str">
        <f>IFERROR(__xludf.DUMMYFUNCTION("""COMPUTED_VALUE"""),"hear")</f>
        <v>hear</v>
      </c>
      <c r="N54" s="6" t="str">
        <f>IFERROR(__xludf.DUMMYFUNCTION("""COMPUTED_VALUE"""),"from")</f>
        <v>from</v>
      </c>
      <c r="P54" s="6" t="str">
        <f>IFERROR(__xludf.DUMMYFUNCTION("""COMPUTED_VALUE"""),"sharply")</f>
        <v>sharply</v>
      </c>
      <c r="Q54" s="6" t="str">
        <f>IFERROR(__xludf.DUMMYFUNCTION("""COMPUTED_VALUE"""),"plot")</f>
        <v>plot</v>
      </c>
      <c r="S54" s="6" t="str">
        <f>IFERROR(__xludf.DUMMYFUNCTION("""COMPUTED_VALUE"""),"alternative")</f>
        <v>alternative</v>
      </c>
    </row>
    <row r="55">
      <c r="A55" s="6" t="str">
        <f>IFERROR(__xludf.DUMMYFUNCTION("""COMPUTED_VALUE"""),"portrait")</f>
        <v>portrait</v>
      </c>
      <c r="B55" s="6" t="str">
        <f>IFERROR(__xludf.DUMMYFUNCTION("""COMPUTED_VALUE"""),"deadly")</f>
        <v>deadly</v>
      </c>
      <c r="C55" s="6" t="str">
        <f>IFERROR(__xludf.DUMMYFUNCTION("""COMPUTED_VALUE"""),"juvenile")</f>
        <v>juvenile</v>
      </c>
      <c r="D55" s="6" t="str">
        <f>IFERROR(__xludf.DUMMYFUNCTION("""COMPUTED_VALUE"""),"approaches")</f>
        <v>approaches</v>
      </c>
      <c r="E55" s="6" t="str">
        <f>IFERROR(__xludf.DUMMYFUNCTION("""COMPUTED_VALUE"""),"awkwardly")</f>
        <v>awkwardly</v>
      </c>
      <c r="G55" s="6" t="str">
        <f>IFERROR(__xludf.DUMMYFUNCTION("""COMPUTED_VALUE"""),"less")</f>
        <v>less</v>
      </c>
      <c r="H55" s="6" t="str">
        <f>IFERROR(__xludf.DUMMYFUNCTION("""COMPUTED_VALUE"""),"pointless")</f>
        <v>pointless</v>
      </c>
      <c r="I55" s="6" t="str">
        <f>IFERROR(__xludf.DUMMYFUNCTION("""COMPUTED_VALUE"""),"help")</f>
        <v>help</v>
      </c>
      <c r="J55" s="6" t="str">
        <f>IFERROR(__xludf.DUMMYFUNCTION("""COMPUTED_VALUE"""),"sharply")</f>
        <v>sharply</v>
      </c>
      <c r="L55" s="6" t="str">
        <f>IFERROR(__xludf.DUMMYFUNCTION("""COMPUTED_VALUE"""),"photo")</f>
        <v>photo</v>
      </c>
      <c r="M55" s="6" t="str">
        <f>IFERROR(__xludf.DUMMYFUNCTION("""COMPUTED_VALUE"""),"musical")</f>
        <v>musical</v>
      </c>
      <c r="N55" s="6" t="str">
        <f>IFERROR(__xludf.DUMMYFUNCTION("""COMPUTED_VALUE"""),"while")</f>
        <v>while</v>
      </c>
      <c r="P55" s="6" t="str">
        <f>IFERROR(__xludf.DUMMYFUNCTION("""COMPUTED_VALUE"""),"nowhere")</f>
        <v>nowhere</v>
      </c>
      <c r="Q55" s="6" t="str">
        <f>IFERROR(__xludf.DUMMYFUNCTION("""COMPUTED_VALUE"""),"cylinders")</f>
        <v>cylinders</v>
      </c>
      <c r="S55" s="6" t="str">
        <f>IFERROR(__xludf.DUMMYFUNCTION("""COMPUTED_VALUE"""),"start")</f>
        <v>start</v>
      </c>
    </row>
    <row r="56">
      <c r="A56" s="6" t="str">
        <f>IFERROR(__xludf.DUMMYFUNCTION("""COMPUTED_VALUE"""),"compassion")</f>
        <v>compassion</v>
      </c>
      <c r="B56" s="6" t="str">
        <f>IFERROR(__xludf.DUMMYFUNCTION("""COMPUTED_VALUE"""),"striking")</f>
        <v>striking</v>
      </c>
      <c r="C56" s="6" t="str">
        <f>IFERROR(__xludf.DUMMYFUNCTION("""COMPUTED_VALUE"""),"portrait")</f>
        <v>portrait</v>
      </c>
      <c r="D56" s="6" t="str">
        <f>IFERROR(__xludf.DUMMYFUNCTION("""COMPUTED_VALUE"""),"lowered")</f>
        <v>lowered</v>
      </c>
      <c r="E56" s="6" t="str">
        <f>IFERROR(__xludf.DUMMYFUNCTION("""COMPUTED_VALUE"""),"detached")</f>
        <v>detached</v>
      </c>
      <c r="G56" s="6" t="str">
        <f>IFERROR(__xludf.DUMMYFUNCTION("""COMPUTED_VALUE"""),"veins")</f>
        <v>veins</v>
      </c>
      <c r="H56" s="6" t="str">
        <f>IFERROR(__xludf.DUMMYFUNCTION("""COMPUTED_VALUE"""),"beautifully")</f>
        <v>beautifully</v>
      </c>
      <c r="I56" s="6" t="str">
        <f>IFERROR(__xludf.DUMMYFUNCTION("""COMPUTED_VALUE"""),"power")</f>
        <v>power</v>
      </c>
      <c r="J56" s="6" t="str">
        <f>IFERROR(__xludf.DUMMYFUNCTION("""COMPUTED_VALUE"""),"point")</f>
        <v>point</v>
      </c>
      <c r="L56" s="6" t="str">
        <f>IFERROR(__xludf.DUMMYFUNCTION("""COMPUTED_VALUE"""),"right")</f>
        <v>right</v>
      </c>
      <c r="M56" s="6" t="str">
        <f>IFERROR(__xludf.DUMMYFUNCTION("""COMPUTED_VALUE"""),"found")</f>
        <v>found</v>
      </c>
      <c r="N56" s="6" t="str">
        <f>IFERROR(__xludf.DUMMYFUNCTION("""COMPUTED_VALUE"""),"your")</f>
        <v>your</v>
      </c>
      <c r="P56" s="6" t="str">
        <f>IFERROR(__xludf.DUMMYFUNCTION("""COMPUTED_VALUE"""),"point")</f>
        <v>point</v>
      </c>
      <c r="Q56" s="6" t="str">
        <f>IFERROR(__xludf.DUMMYFUNCTION("""COMPUTED_VALUE"""),"find")</f>
        <v>find</v>
      </c>
      <c r="S56" s="6" t="str">
        <f>IFERROR(__xludf.DUMMYFUNCTION("""COMPUTED_VALUE"""),"finish")</f>
        <v>finish</v>
      </c>
    </row>
    <row r="57">
      <c r="A57" s="6" t="str">
        <f>IFERROR(__xludf.DUMMYFUNCTION("""COMPUTED_VALUE"""),"bleak")</f>
        <v>bleak</v>
      </c>
      <c r="B57" s="6" t="str">
        <f>IFERROR(__xludf.DUMMYFUNCTION("""COMPUTED_VALUE"""),"skill")</f>
        <v>skill</v>
      </c>
      <c r="C57" s="6" t="str">
        <f>IFERROR(__xludf.DUMMYFUNCTION("""COMPUTED_VALUE"""),"compassion")</f>
        <v>compassion</v>
      </c>
      <c r="D57" s="6" t="str">
        <f>IFERROR(__xludf.DUMMYFUNCTION("""COMPUTED_VALUE"""),"slip")</f>
        <v>slip</v>
      </c>
      <c r="E57" s="6" t="str">
        <f>IFERROR(__xludf.DUMMYFUNCTION("""COMPUTED_VALUE"""),"clever")</f>
        <v>clever</v>
      </c>
      <c r="G57" s="6" t="str">
        <f>IFERROR(__xludf.DUMMYFUNCTION("""COMPUTED_VALUE"""),"joy")</f>
        <v>joy</v>
      </c>
      <c r="H57" s="6" t="str">
        <f>IFERROR(__xludf.DUMMYFUNCTION("""COMPUTED_VALUE"""),"situations")</f>
        <v>situations</v>
      </c>
      <c r="I57" s="6" t="str">
        <f>IFERROR(__xludf.DUMMYFUNCTION("""COMPUTED_VALUE"""),"without")</f>
        <v>without</v>
      </c>
      <c r="J57" s="6" t="str">
        <f>IFERROR(__xludf.DUMMYFUNCTION("""COMPUTED_VALUE"""),"recycled")</f>
        <v>recycled</v>
      </c>
      <c r="L57" s="6" t="str">
        <f>IFERROR(__xludf.DUMMYFUNCTION("""COMPUTED_VALUE"""),"describe")</f>
        <v>describe</v>
      </c>
      <c r="M57" s="6" t="str">
        <f>IFERROR(__xludf.DUMMYFUNCTION("""COMPUTED_VALUE"""),"bite")</f>
        <v>bite</v>
      </c>
      <c r="N57" s="6" t="str">
        <f>IFERROR(__xludf.DUMMYFUNCTION("""COMPUTED_VALUE"""),"found")</f>
        <v>found</v>
      </c>
      <c r="P57" s="6" t="str">
        <f>IFERROR(__xludf.DUMMYFUNCTION("""COMPUTED_VALUE"""),"course")</f>
        <v>course</v>
      </c>
      <c r="Q57" s="6" t="str">
        <f>IFERROR(__xludf.DUMMYFUNCTION("""COMPUTED_VALUE"""),"year")</f>
        <v>year</v>
      </c>
      <c r="S57" s="6" t="str">
        <f>IFERROR(__xludf.DUMMYFUNCTION("""COMPUTED_VALUE"""),"plot")</f>
        <v>plot</v>
      </c>
    </row>
    <row r="58">
      <c r="A58" s="6" t="str">
        <f>IFERROR(__xludf.DUMMYFUNCTION("""COMPUTED_VALUE"""),"convincing")</f>
        <v>convincing</v>
      </c>
      <c r="B58" s="6" t="str">
        <f>IFERROR(__xludf.DUMMYFUNCTION("""COMPUTED_VALUE"""),"fierce")</f>
        <v>fierce</v>
      </c>
      <c r="C58" s="6" t="str">
        <f>IFERROR(__xludf.DUMMYFUNCTION("""COMPUTED_VALUE"""),"imitation")</f>
        <v>imitation</v>
      </c>
      <c r="D58" s="6" t="str">
        <f>IFERROR(__xludf.DUMMYFUNCTION("""COMPUTED_VALUE"""),"fires")</f>
        <v>fires</v>
      </c>
      <c r="E58" s="6" t="str">
        <f>IFERROR(__xludf.DUMMYFUNCTION("""COMPUTED_VALUE"""),"faithful")</f>
        <v>faithful</v>
      </c>
      <c r="G58" s="6" t="str">
        <f>IFERROR(__xludf.DUMMYFUNCTION("""COMPUTED_VALUE"""),"video")</f>
        <v>video</v>
      </c>
      <c r="H58" s="6" t="str">
        <f>IFERROR(__xludf.DUMMYFUNCTION("""COMPUTED_VALUE"""),"room")</f>
        <v>room</v>
      </c>
      <c r="I58" s="6" t="str">
        <f>IFERROR(__xludf.DUMMYFUNCTION("""COMPUTED_VALUE"""),"historically")</f>
        <v>historically</v>
      </c>
      <c r="J58" s="6" t="str">
        <f>IFERROR(__xludf.DUMMYFUNCTION("""COMPUTED_VALUE"""),"swords")</f>
        <v>swords</v>
      </c>
      <c r="L58" s="6" t="str">
        <f>IFERROR(__xludf.DUMMYFUNCTION("""COMPUTED_VALUE"""),"kids")</f>
        <v>kids</v>
      </c>
      <c r="M58" s="6" t="str">
        <f>IFERROR(__xludf.DUMMYFUNCTION("""COMPUTED_VALUE"""),"mixed")</f>
        <v>mixed</v>
      </c>
      <c r="N58" s="6" t="str">
        <f>IFERROR(__xludf.DUMMYFUNCTION("""COMPUTED_VALUE"""),"bite")</f>
        <v>bite</v>
      </c>
      <c r="P58" s="6" t="str">
        <f>IFERROR(__xludf.DUMMYFUNCTION("""COMPUTED_VALUE"""),"entire")</f>
        <v>entire</v>
      </c>
      <c r="Q58" s="6" t="str">
        <f>IFERROR(__xludf.DUMMYFUNCTION("""COMPUTED_VALUE"""),"weaving")</f>
        <v>weaving</v>
      </c>
      <c r="S58" s="6" t="str">
        <f>IFERROR(__xludf.DUMMYFUNCTION("""COMPUTED_VALUE"""),"little")</f>
        <v>little</v>
      </c>
    </row>
    <row r="59">
      <c r="A59" s="6" t="str">
        <f>IFERROR(__xludf.DUMMYFUNCTION("""COMPUTED_VALUE"""),"affection")</f>
        <v>affection</v>
      </c>
      <c r="B59" s="6" t="str">
        <f>IFERROR(__xludf.DUMMYFUNCTION("""COMPUTED_VALUE"""),"remarkably")</f>
        <v>remarkably</v>
      </c>
      <c r="C59" s="6" t="str">
        <f>IFERROR(__xludf.DUMMYFUNCTION("""COMPUTED_VALUE"""),"bleak")</f>
        <v>bleak</v>
      </c>
      <c r="D59" s="6" t="str">
        <f>IFERROR(__xludf.DUMMYFUNCTION("""COMPUTED_VALUE"""),"profile")</f>
        <v>profile</v>
      </c>
      <c r="E59" s="6" t="str">
        <f>IFERROR(__xludf.DUMMYFUNCTION("""COMPUTED_VALUE"""),"exaggerated")</f>
        <v>exaggerated</v>
      </c>
      <c r="G59" s="6" t="str">
        <f>IFERROR(__xludf.DUMMYFUNCTION("""COMPUTED_VALUE"""),"relentless")</f>
        <v>relentless</v>
      </c>
      <c r="H59" s="6" t="str">
        <f>IFERROR(__xludf.DUMMYFUNCTION("""COMPUTED_VALUE"""),"touching")</f>
        <v>touching</v>
      </c>
      <c r="I59" s="6" t="str">
        <f>IFERROR(__xludf.DUMMYFUNCTION("""COMPUTED_VALUE"""),"significant")</f>
        <v>significant</v>
      </c>
      <c r="J59" s="6" t="str">
        <f>IFERROR(__xludf.DUMMYFUNCTION("""COMPUTED_VALUE"""),"proves")</f>
        <v>proves</v>
      </c>
      <c r="L59" s="6" t="str">
        <f>IFERROR(__xludf.DUMMYFUNCTION("""COMPUTED_VALUE"""),"family")</f>
        <v>family</v>
      </c>
      <c r="M59" s="6" t="str">
        <f>IFERROR(__xludf.DUMMYFUNCTION("""COMPUTED_VALUE"""),"grab")</f>
        <v>grab</v>
      </c>
      <c r="N59" s="6" t="str">
        <f>IFERROR(__xludf.DUMMYFUNCTION("""COMPUTED_VALUE"""),"more")</f>
        <v>more</v>
      </c>
      <c r="P59" s="6" t="str">
        <f>IFERROR(__xludf.DUMMYFUNCTION("""COMPUTED_VALUE"""),"dog")</f>
        <v>dog</v>
      </c>
      <c r="Q59" s="6" t="str">
        <f>IFERROR(__xludf.DUMMYFUNCTION("""COMPUTED_VALUE"""),"funny")</f>
        <v>funny</v>
      </c>
      <c r="S59" s="6" t="str">
        <f>IFERROR(__xludf.DUMMYFUNCTION("""COMPUTED_VALUE"""),"often")</f>
        <v>often</v>
      </c>
    </row>
    <row r="60">
      <c r="A60" s="6" t="str">
        <f>IFERROR(__xludf.DUMMYFUNCTION("""COMPUTED_VALUE"""),"kills")</f>
        <v>kills</v>
      </c>
      <c r="B60" s="6" t="str">
        <f>IFERROR(__xludf.DUMMYFUNCTION("""COMPUTED_VALUE"""),"brightly")</f>
        <v>brightly</v>
      </c>
      <c r="C60" s="6" t="str">
        <f>IFERROR(__xludf.DUMMYFUNCTION("""COMPUTED_VALUE"""),"convincing")</f>
        <v>convincing</v>
      </c>
      <c r="D60" s="6" t="str">
        <f>IFERROR(__xludf.DUMMYFUNCTION("""COMPUTED_VALUE"""),"gently")</f>
        <v>gently</v>
      </c>
      <c r="E60" s="6" t="str">
        <f>IFERROR(__xludf.DUMMYFUNCTION("""COMPUTED_VALUE"""),"capable")</f>
        <v>capable</v>
      </c>
      <c r="G60" s="6" t="str">
        <f>IFERROR(__xludf.DUMMYFUNCTION("""COMPUTED_VALUE"""),"exploration")</f>
        <v>exploration</v>
      </c>
      <c r="H60" s="6" t="str">
        <f>IFERROR(__xludf.DUMMYFUNCTION("""COMPUTED_VALUE"""),"less")</f>
        <v>less</v>
      </c>
      <c r="I60" s="6" t="str">
        <f>IFERROR(__xludf.DUMMYFUNCTION("""COMPUTED_VALUE"""),"tribute")</f>
        <v>tribute</v>
      </c>
      <c r="J60" s="6" t="str">
        <f>IFERROR(__xludf.DUMMYFUNCTION("""COMPUTED_VALUE"""),"off")</f>
        <v>off</v>
      </c>
      <c r="L60" s="6" t="str">
        <f>IFERROR(__xludf.DUMMYFUNCTION("""COMPUTED_VALUE"""),"lights")</f>
        <v>lights</v>
      </c>
      <c r="M60" s="6" t="str">
        <f>IFERROR(__xludf.DUMMYFUNCTION("""COMPUTED_VALUE"""),"eat")</f>
        <v>eat</v>
      </c>
      <c r="N60" s="6" t="str">
        <f>IFERROR(__xludf.DUMMYFUNCTION("""COMPUTED_VALUE"""),"mixed")</f>
        <v>mixed</v>
      </c>
      <c r="P60" s="6" t="str">
        <f>IFERROR(__xludf.DUMMYFUNCTION("""COMPUTED_VALUE"""),"count")</f>
        <v>count</v>
      </c>
      <c r="Q60" s="6" t="str">
        <f>IFERROR(__xludf.DUMMYFUNCTION("""COMPUTED_VALUE"""),"another")</f>
        <v>another</v>
      </c>
      <c r="S60" s="6" t="str">
        <f>IFERROR(__xludf.DUMMYFUNCTION("""COMPUTED_VALUE"""),"find")</f>
        <v>find</v>
      </c>
    </row>
    <row r="61">
      <c r="A61" s="6" t="str">
        <f>IFERROR(__xludf.DUMMYFUNCTION("""COMPUTED_VALUE"""),"courage")</f>
        <v>courage</v>
      </c>
      <c r="B61" s="6" t="str">
        <f>IFERROR(__xludf.DUMMYFUNCTION("""COMPUTED_VALUE"""),"playful")</f>
        <v>playful</v>
      </c>
      <c r="C61" s="6" t="str">
        <f>IFERROR(__xludf.DUMMYFUNCTION("""COMPUTED_VALUE"""),"affection")</f>
        <v>affection</v>
      </c>
      <c r="D61" s="6" t="str">
        <f>IFERROR(__xludf.DUMMYFUNCTION("""COMPUTED_VALUE"""),"stretched")</f>
        <v>stretched</v>
      </c>
      <c r="E61" s="6" t="str">
        <f>IFERROR(__xludf.DUMMYFUNCTION("""COMPUTED_VALUE"""),"daring")</f>
        <v>daring</v>
      </c>
      <c r="G61" s="6" t="str">
        <f>IFERROR(__xludf.DUMMYFUNCTION("""COMPUTED_VALUE"""),"our")</f>
        <v>our</v>
      </c>
      <c r="H61" s="6" t="str">
        <f>IFERROR(__xludf.DUMMYFUNCTION("""COMPUTED_VALUE"""),"veins")</f>
        <v>veins</v>
      </c>
      <c r="I61" s="6" t="str">
        <f>IFERROR(__xludf.DUMMYFUNCTION("""COMPUTED_VALUE"""),"actors")</f>
        <v>actors</v>
      </c>
      <c r="J61" s="6" t="str">
        <f>IFERROR(__xludf.DUMMYFUNCTION("""COMPUTED_VALUE"""),"has")</f>
        <v>has</v>
      </c>
      <c r="L61" s="6" t="str">
        <f>IFERROR(__xludf.DUMMYFUNCTION("""COMPUTED_VALUE"""),"got")</f>
        <v>got</v>
      </c>
      <c r="M61" s="6" t="str">
        <f>IFERROR(__xludf.DUMMYFUNCTION("""COMPUTED_VALUE"""),"play")</f>
        <v>play</v>
      </c>
      <c r="N61" s="6" t="str">
        <f>IFERROR(__xludf.DUMMYFUNCTION("""COMPUTED_VALUE"""),"grab")</f>
        <v>grab</v>
      </c>
      <c r="P61" s="6" t="str">
        <f>IFERROR(__xludf.DUMMYFUNCTION("""COMPUTED_VALUE"""),"care")</f>
        <v>care</v>
      </c>
      <c r="Q61" s="6" t="str">
        <f>IFERROR(__xludf.DUMMYFUNCTION("""COMPUTED_VALUE"""),"clone")</f>
        <v>clone</v>
      </c>
      <c r="S61" s="6" t="str">
        <f>IFERROR(__xludf.DUMMYFUNCTION("""COMPUTED_VALUE"""),"interest")</f>
        <v>interest</v>
      </c>
    </row>
    <row r="62">
      <c r="A62" s="6" t="str">
        <f>IFERROR(__xludf.DUMMYFUNCTION("""COMPUTED_VALUE"""),"meditation")</f>
        <v>meditation</v>
      </c>
      <c r="B62" s="6" t="str">
        <f>IFERROR(__xludf.DUMMYFUNCTION("""COMPUTED_VALUE"""),"tremendous")</f>
        <v>tremendous</v>
      </c>
      <c r="C62" s="6" t="str">
        <f>IFERROR(__xludf.DUMMYFUNCTION("""COMPUTED_VALUE"""),"courage")</f>
        <v>courage</v>
      </c>
      <c r="D62" s="6" t="str">
        <f>IFERROR(__xludf.DUMMYFUNCTION("""COMPUTED_VALUE"""),"freedom")</f>
        <v>freedom</v>
      </c>
      <c r="E62" s="6" t="str">
        <f>IFERROR(__xludf.DUMMYFUNCTION("""COMPUTED_VALUE"""),"emerge")</f>
        <v>emerge</v>
      </c>
      <c r="G62" s="6" t="str">
        <f>IFERROR(__xludf.DUMMYFUNCTION("""COMPUTED_VALUE"""),"woven")</f>
        <v>woven</v>
      </c>
      <c r="H62" s="6" t="str">
        <f>IFERROR(__xludf.DUMMYFUNCTION("""COMPUTED_VALUE"""),"rich")</f>
        <v>rich</v>
      </c>
      <c r="I62" s="6" t="str">
        <f>IFERROR(__xludf.DUMMYFUNCTION("""COMPUTED_VALUE"""),"generate")</f>
        <v>generate</v>
      </c>
      <c r="J62" s="6" t="str">
        <f>IFERROR(__xludf.DUMMYFUNCTION("""COMPUTED_VALUE"""),"horrors")</f>
        <v>horrors</v>
      </c>
      <c r="L62" s="6" t="str">
        <f>IFERROR(__xludf.DUMMYFUNCTION("""COMPUTED_VALUE"""),"somewhat")</f>
        <v>somewhat</v>
      </c>
      <c r="M62" s="6" t="str">
        <f>IFERROR(__xludf.DUMMYFUNCTION("""COMPUTED_VALUE"""),"listen")</f>
        <v>listen</v>
      </c>
      <c r="N62" s="6" t="str">
        <f>IFERROR(__xludf.DUMMYFUNCTION("""COMPUTED_VALUE"""),"spears")</f>
        <v>spears</v>
      </c>
      <c r="P62" s="6" t="str">
        <f>IFERROR(__xludf.DUMMYFUNCTION("""COMPUTED_VALUE"""),"feature")</f>
        <v>feature</v>
      </c>
      <c r="Q62" s="6" t="str">
        <f>IFERROR(__xludf.DUMMYFUNCTION("""COMPUTED_VALUE"""),"storyline")</f>
        <v>storyline</v>
      </c>
      <c r="S62" s="6" t="str">
        <f>IFERROR(__xludf.DUMMYFUNCTION("""COMPUTED_VALUE"""),"acted")</f>
        <v>acted</v>
      </c>
    </row>
    <row r="63">
      <c r="A63" s="6" t="str">
        <f>IFERROR(__xludf.DUMMYFUNCTION("""COMPUTED_VALUE"""),"universal")</f>
        <v>universal</v>
      </c>
      <c r="B63" s="6" t="str">
        <f>IFERROR(__xludf.DUMMYFUNCTION("""COMPUTED_VALUE"""),"acute")</f>
        <v>acute</v>
      </c>
      <c r="C63" s="6" t="str">
        <f>IFERROR(__xludf.DUMMYFUNCTION("""COMPUTED_VALUE"""),"meditation")</f>
        <v>meditation</v>
      </c>
      <c r="D63" s="6" t="str">
        <f>IFERROR(__xludf.DUMMYFUNCTION("""COMPUTED_VALUE"""),"rejected")</f>
        <v>rejected</v>
      </c>
      <c r="E63" s="6" t="str">
        <f>IFERROR(__xludf.DUMMYFUNCTION("""COMPUTED_VALUE"""),"deadly")</f>
        <v>deadly</v>
      </c>
      <c r="G63" s="6" t="str">
        <f>IFERROR(__xludf.DUMMYFUNCTION("""COMPUTED_VALUE"""),"aerial")</f>
        <v>aerial</v>
      </c>
      <c r="H63" s="6" t="str">
        <f>IFERROR(__xludf.DUMMYFUNCTION("""COMPUTED_VALUE"""),"joy")</f>
        <v>joy</v>
      </c>
      <c r="I63" s="6" t="str">
        <f>IFERROR(__xludf.DUMMYFUNCTION("""COMPUTED_VALUE"""),"comedy")</f>
        <v>comedy</v>
      </c>
      <c r="J63" s="6" t="str">
        <f>IFERROR(__xludf.DUMMYFUNCTION("""COMPUTED_VALUE"""),"vivid")</f>
        <v>vivid</v>
      </c>
      <c r="L63" s="6" t="str">
        <f>IFERROR(__xludf.DUMMYFUNCTION("""COMPUTED_VALUE"""),"cutting")</f>
        <v>cutting</v>
      </c>
      <c r="M63" s="6" t="str">
        <f>IFERROR(__xludf.DUMMYFUNCTION("""COMPUTED_VALUE"""),"hour")</f>
        <v>hour</v>
      </c>
      <c r="N63" s="6" t="str">
        <f>IFERROR(__xludf.DUMMYFUNCTION("""COMPUTED_VALUE"""),"?")</f>
        <v>?</v>
      </c>
      <c r="P63" s="6" t="str">
        <f>IFERROR(__xludf.DUMMYFUNCTION("""COMPUTED_VALUE"""),"fourth")</f>
        <v>fourth</v>
      </c>
      <c r="Q63" s="6" t="str">
        <f>IFERROR(__xludf.DUMMYFUNCTION("""COMPUTED_VALUE"""),"crude")</f>
        <v>crude</v>
      </c>
      <c r="S63" s="6" t="str">
        <f>IFERROR(__xludf.DUMMYFUNCTION("""COMPUTED_VALUE"""),"year")</f>
        <v>year</v>
      </c>
    </row>
    <row r="64">
      <c r="A64" s="6" t="str">
        <f>IFERROR(__xludf.DUMMYFUNCTION("""COMPUTED_VALUE"""),"detached")</f>
        <v>detached</v>
      </c>
      <c r="B64" s="6" t="str">
        <f>IFERROR(__xludf.DUMMYFUNCTION("""COMPUTED_VALUE"""),"startling")</f>
        <v>startling</v>
      </c>
      <c r="C64" s="6" t="str">
        <f>IFERROR(__xludf.DUMMYFUNCTION("""COMPUTED_VALUE"""),"universal")</f>
        <v>universal</v>
      </c>
      <c r="D64" s="6" t="str">
        <f>IFERROR(__xludf.DUMMYFUNCTION("""COMPUTED_VALUE"""),"phenomenon")</f>
        <v>phenomenon</v>
      </c>
      <c r="E64" s="6" t="str">
        <f>IFERROR(__xludf.DUMMYFUNCTION("""COMPUTED_VALUE"""),"dramatically")</f>
        <v>dramatically</v>
      </c>
      <c r="G64" s="6" t="str">
        <f>IFERROR(__xludf.DUMMYFUNCTION("""COMPUTED_VALUE"""),"experience")</f>
        <v>experience</v>
      </c>
      <c r="H64" s="6" t="str">
        <f>IFERROR(__xludf.DUMMYFUNCTION("""COMPUTED_VALUE"""),"ugly")</f>
        <v>ugly</v>
      </c>
      <c r="I64" s="6" t="str">
        <f>IFERROR(__xludf.DUMMYFUNCTION("""COMPUTED_VALUE"""),"heat")</f>
        <v>heat</v>
      </c>
      <c r="J64" s="6" t="str">
        <f>IFERROR(__xludf.DUMMYFUNCTION("""COMPUTED_VALUE"""),"any")</f>
        <v>any</v>
      </c>
      <c r="L64" s="6" t="str">
        <f>IFERROR(__xludf.DUMMYFUNCTION("""COMPUTED_VALUE"""),"lower")</f>
        <v>lower</v>
      </c>
      <c r="M64" s="6" t="str">
        <f>IFERROR(__xludf.DUMMYFUNCTION("""COMPUTED_VALUE"""),"note")</f>
        <v>note</v>
      </c>
      <c r="N64" s="6" t="str">
        <f>IFERROR(__xludf.DUMMYFUNCTION("""COMPUTED_VALUE"""),"at")</f>
        <v>at</v>
      </c>
      <c r="P64" s="6" t="str">
        <f>IFERROR(__xludf.DUMMYFUNCTION("""COMPUTED_VALUE"""),"covers")</f>
        <v>covers</v>
      </c>
      <c r="Q64" s="6" t="str">
        <f>IFERROR(__xludf.DUMMYFUNCTION("""COMPUTED_VALUE"""),"real")</f>
        <v>real</v>
      </c>
      <c r="S64" s="6" t="str">
        <f>IFERROR(__xludf.DUMMYFUNCTION("""COMPUTED_VALUE"""),"another")</f>
        <v>another</v>
      </c>
    </row>
    <row r="65">
      <c r="A65" s="6" t="str">
        <f>IFERROR(__xludf.DUMMYFUNCTION("""COMPUTED_VALUE"""),"clever")</f>
        <v>clever</v>
      </c>
      <c r="B65" s="6" t="str">
        <f>IFERROR(__xludf.DUMMYFUNCTION("""COMPUTED_VALUE"""),"fatal")</f>
        <v>fatal</v>
      </c>
      <c r="C65" s="6" t="str">
        <f>IFERROR(__xludf.DUMMYFUNCTION("""COMPUTED_VALUE"""),"awkwardly")</f>
        <v>awkwardly</v>
      </c>
      <c r="D65" s="6" t="str">
        <f>IFERROR(__xludf.DUMMYFUNCTION("""COMPUTED_VALUE"""),"successfully")</f>
        <v>successfully</v>
      </c>
      <c r="E65" s="6" t="str">
        <f>IFERROR(__xludf.DUMMYFUNCTION("""COMPUTED_VALUE"""),"longest")</f>
        <v>longest</v>
      </c>
      <c r="G65" s="6" t="str">
        <f>IFERROR(__xludf.DUMMYFUNCTION("""COMPUTED_VALUE"""),"women")</f>
        <v>women</v>
      </c>
      <c r="H65" s="6" t="str">
        <f>IFERROR(__xludf.DUMMYFUNCTION("""COMPUTED_VALUE"""),"emptiness")</f>
        <v>emptiness</v>
      </c>
      <c r="I65" s="6" t="str">
        <f>IFERROR(__xludf.DUMMYFUNCTION("""COMPUTED_VALUE"""),"robert")</f>
        <v>robert</v>
      </c>
      <c r="J65" s="6" t="str">
        <f>IFERROR(__xludf.DUMMYFUNCTION("""COMPUTED_VALUE"""),"beautifully")</f>
        <v>beautifully</v>
      </c>
      <c r="L65" s="6" t="str">
        <f>IFERROR(__xludf.DUMMYFUNCTION("""COMPUTED_VALUE"""),"need")</f>
        <v>need</v>
      </c>
      <c r="M65" s="6" t="str">
        <f>IFERROR(__xludf.DUMMYFUNCTION("""COMPUTED_VALUE"""),"anyone")</f>
        <v>anyone</v>
      </c>
      <c r="N65" s="6" t="str">
        <f>IFERROR(__xludf.DUMMYFUNCTION("""COMPUTED_VALUE"""),"note")</f>
        <v>note</v>
      </c>
      <c r="P65" s="6" t="str">
        <f>IFERROR(__xludf.DUMMYFUNCTION("""COMPUTED_VALUE"""),"territory")</f>
        <v>territory</v>
      </c>
      <c r="Q65" s="6" t="str">
        <f>IFERROR(__xludf.DUMMYFUNCTION("""COMPUTED_VALUE"""),"heroes")</f>
        <v>heroes</v>
      </c>
      <c r="S65" s="6" t="str">
        <f>IFERROR(__xludf.DUMMYFUNCTION("""COMPUTED_VALUE"""),"best")</f>
        <v>best</v>
      </c>
    </row>
    <row r="66">
      <c r="A66" s="6" t="str">
        <f>IFERROR(__xludf.DUMMYFUNCTION("""COMPUTED_VALUE"""),"faithful")</f>
        <v>faithful</v>
      </c>
      <c r="B66" s="6" t="str">
        <f>IFERROR(__xludf.DUMMYFUNCTION("""COMPUTED_VALUE"""),"glossy")</f>
        <v>glossy</v>
      </c>
      <c r="C66" s="6" t="str">
        <f>IFERROR(__xludf.DUMMYFUNCTION("""COMPUTED_VALUE"""),"detached")</f>
        <v>detached</v>
      </c>
      <c r="D66" s="6" t="str">
        <f>IFERROR(__xludf.DUMMYFUNCTION("""COMPUTED_VALUE"""),"transformed")</f>
        <v>transformed</v>
      </c>
      <c r="E66" s="6" t="str">
        <f>IFERROR(__xludf.DUMMYFUNCTION("""COMPUTED_VALUE"""),"skill")</f>
        <v>skill</v>
      </c>
      <c r="G66" s="6" t="str">
        <f>IFERROR(__xludf.DUMMYFUNCTION("""COMPUTED_VALUE"""),"earnest")</f>
        <v>earnest</v>
      </c>
      <c r="H66" s="6" t="str">
        <f>IFERROR(__xludf.DUMMYFUNCTION("""COMPUTED_VALUE"""),"relentless")</f>
        <v>relentless</v>
      </c>
      <c r="I66" s="6" t="str">
        <f>IFERROR(__xludf.DUMMYFUNCTION("""COMPUTED_VALUE"""),"manages")</f>
        <v>manages</v>
      </c>
      <c r="J66" s="6" t="str">
        <f>IFERROR(__xludf.DUMMYFUNCTION("""COMPUTED_VALUE"""),"touching")</f>
        <v>touching</v>
      </c>
      <c r="L66" s="6" t="str">
        <f>IFERROR(__xludf.DUMMYFUNCTION("""COMPUTED_VALUE"""),"help")</f>
        <v>help</v>
      </c>
      <c r="M66" s="6" t="str">
        <f>IFERROR(__xludf.DUMMYFUNCTION("""COMPUTED_VALUE"""),"ask")</f>
        <v>ask</v>
      </c>
      <c r="N66" s="6" t="str">
        <f>IFERROR(__xludf.DUMMYFUNCTION("""COMPUTED_VALUE"""),"anyone")</f>
        <v>anyone</v>
      </c>
      <c r="P66" s="6" t="str">
        <f>IFERROR(__xludf.DUMMYFUNCTION("""COMPUTED_VALUE"""),"version")</f>
        <v>version</v>
      </c>
      <c r="Q66" s="6" t="str">
        <f>IFERROR(__xludf.DUMMYFUNCTION("""COMPUTED_VALUE"""),"existence")</f>
        <v>existence</v>
      </c>
      <c r="S66" s="6" t="str">
        <f>IFERROR(__xludf.DUMMYFUNCTION("""COMPUTED_VALUE"""),"funny")</f>
        <v>funny</v>
      </c>
    </row>
    <row r="67">
      <c r="A67" s="6" t="str">
        <f>IFERROR(__xludf.DUMMYFUNCTION("""COMPUTED_VALUE"""),"exaggerated")</f>
        <v>exaggerated</v>
      </c>
      <c r="B67" s="6" t="str">
        <f>IFERROR(__xludf.DUMMYFUNCTION("""COMPUTED_VALUE"""),"rises")</f>
        <v>rises</v>
      </c>
      <c r="C67" s="6" t="str">
        <f>IFERROR(__xludf.DUMMYFUNCTION("""COMPUTED_VALUE"""),"clever")</f>
        <v>clever</v>
      </c>
      <c r="D67" s="6" t="str">
        <f>IFERROR(__xludf.DUMMYFUNCTION("""COMPUTED_VALUE"""),"dies")</f>
        <v>dies</v>
      </c>
      <c r="E67" s="6" t="str">
        <f>IFERROR(__xludf.DUMMYFUNCTION("""COMPUTED_VALUE"""),"fierce")</f>
        <v>fierce</v>
      </c>
      <c r="G67" s="6" t="str">
        <f>IFERROR(__xludf.DUMMYFUNCTION("""COMPUTED_VALUE"""),"pays")</f>
        <v>pays</v>
      </c>
      <c r="H67" s="6" t="str">
        <f>IFERROR(__xludf.DUMMYFUNCTION("""COMPUTED_VALUE"""),"exploration")</f>
        <v>exploration</v>
      </c>
      <c r="I67" s="6" t="str">
        <f>IFERROR(__xludf.DUMMYFUNCTION("""COMPUTED_VALUE"""),"intensity")</f>
        <v>intensity</v>
      </c>
      <c r="J67" s="6" t="str">
        <f>IFERROR(__xludf.DUMMYFUNCTION("""COMPUTED_VALUE"""),"legend")</f>
        <v>legend</v>
      </c>
      <c r="L67" s="6" t="str">
        <f>IFERROR(__xludf.DUMMYFUNCTION("""COMPUTED_VALUE"""),"card")</f>
        <v>card</v>
      </c>
      <c r="M67" s="6" t="str">
        <f>IFERROR(__xludf.DUMMYFUNCTION("""COMPUTED_VALUE"""),"idea")</f>
        <v>idea</v>
      </c>
      <c r="N67" s="6" t="str">
        <f>IFERROR(__xludf.DUMMYFUNCTION("""COMPUTED_VALUE"""),"idea")</f>
        <v>idea</v>
      </c>
      <c r="P67" s="6" t="str">
        <f>IFERROR(__xludf.DUMMYFUNCTION("""COMPUTED_VALUE"""),"million")</f>
        <v>million</v>
      </c>
      <c r="Q67" s="6" t="str">
        <f>IFERROR(__xludf.DUMMYFUNCTION("""COMPUTED_VALUE"""),"sharply")</f>
        <v>sharply</v>
      </c>
      <c r="S67" s="6" t="str">
        <f>IFERROR(__xludf.DUMMYFUNCTION("""COMPUTED_VALUE"""),"think")</f>
        <v>think</v>
      </c>
    </row>
    <row r="68">
      <c r="A68" s="6" t="str">
        <f>IFERROR(__xludf.DUMMYFUNCTION("""COMPUTED_VALUE"""),"capable")</f>
        <v>capable</v>
      </c>
      <c r="B68" s="6" t="str">
        <f>IFERROR(__xludf.DUMMYFUNCTION("""COMPUTED_VALUE"""),"achievement")</f>
        <v>achievement</v>
      </c>
      <c r="C68" s="6" t="str">
        <f>IFERROR(__xludf.DUMMYFUNCTION("""COMPUTED_VALUE"""),"faithful")</f>
        <v>faithful</v>
      </c>
      <c r="D68" s="6" t="str">
        <f>IFERROR(__xludf.DUMMYFUNCTION("""COMPUTED_VALUE"""),"formed")</f>
        <v>formed</v>
      </c>
      <c r="E68" s="6" t="str">
        <f>IFERROR(__xludf.DUMMYFUNCTION("""COMPUTED_VALUE"""),"fallen")</f>
        <v>fallen</v>
      </c>
      <c r="G68" s="6" t="str">
        <f>IFERROR(__xludf.DUMMYFUNCTION("""COMPUTED_VALUE"""),"homage")</f>
        <v>homage</v>
      </c>
      <c r="H68" s="6" t="str">
        <f>IFERROR(__xludf.DUMMYFUNCTION("""COMPUTED_VALUE"""),"mergers")</f>
        <v>mergers</v>
      </c>
      <c r="I68" s="6" t="str">
        <f>IFERROR(__xludf.DUMMYFUNCTION("""COMPUTED_VALUE"""),"family")</f>
        <v>family</v>
      </c>
      <c r="J68" s="6" t="str">
        <f>IFERROR(__xludf.DUMMYFUNCTION("""COMPUTED_VALUE"""),"veins")</f>
        <v>veins</v>
      </c>
      <c r="L68" s="6" t="str">
        <f>IFERROR(__xludf.DUMMYFUNCTION("""COMPUTED_VALUE"""),"competition")</f>
        <v>competition</v>
      </c>
      <c r="M68" s="6" t="str">
        <f>IFERROR(__xludf.DUMMYFUNCTION("""COMPUTED_VALUE"""),"making")</f>
        <v>making</v>
      </c>
      <c r="N68" s="6" t="str">
        <f>IFERROR(__xludf.DUMMYFUNCTION("""COMPUTED_VALUE"""),"needed")</f>
        <v>needed</v>
      </c>
      <c r="P68" s="6" t="str">
        <f>IFERROR(__xludf.DUMMYFUNCTION("""COMPUTED_VALUE"""),"gorgeous")</f>
        <v>gorgeous</v>
      </c>
      <c r="Q68" s="6" t="str">
        <f>IFERROR(__xludf.DUMMYFUNCTION("""COMPUTED_VALUE"""),"point")</f>
        <v>point</v>
      </c>
      <c r="S68" s="6" t="str">
        <f>IFERROR(__xludf.DUMMYFUNCTION("""COMPUTED_VALUE"""),"real")</f>
        <v>real</v>
      </c>
    </row>
    <row r="69">
      <c r="A69" s="6" t="str">
        <f>IFERROR(__xludf.DUMMYFUNCTION("""COMPUTED_VALUE"""),"daring")</f>
        <v>daring</v>
      </c>
      <c r="B69" s="6" t="str">
        <f>IFERROR(__xludf.DUMMYFUNCTION("""COMPUTED_VALUE"""),"graceful")</f>
        <v>graceful</v>
      </c>
      <c r="C69" s="6" t="str">
        <f>IFERROR(__xludf.DUMMYFUNCTION("""COMPUTED_VALUE"""),"exaggerated")</f>
        <v>exaggerated</v>
      </c>
      <c r="D69" s="6" t="str">
        <f>IFERROR(__xludf.DUMMYFUNCTION("""COMPUTED_VALUE"""),"reaches")</f>
        <v>reaches</v>
      </c>
      <c r="E69" s="6" t="str">
        <f>IFERROR(__xludf.DUMMYFUNCTION("""COMPUTED_VALUE"""),"drain")</f>
        <v>drain</v>
      </c>
      <c r="G69" s="6" t="str">
        <f>IFERROR(__xludf.DUMMYFUNCTION("""COMPUTED_VALUE"""),"laughs")</f>
        <v>laughs</v>
      </c>
      <c r="H69" s="6" t="str">
        <f>IFERROR(__xludf.DUMMYFUNCTION("""COMPUTED_VALUE"""),"woven")</f>
        <v>woven</v>
      </c>
      <c r="I69" s="6" t="str">
        <f>IFERROR(__xludf.DUMMYFUNCTION("""COMPUTED_VALUE"""),"keep")</f>
        <v>keep</v>
      </c>
      <c r="J69" s="6" t="str">
        <f>IFERROR(__xludf.DUMMYFUNCTION("""COMPUTED_VALUE"""),"rich")</f>
        <v>rich</v>
      </c>
      <c r="L69" s="6" t="str">
        <f>IFERROR(__xludf.DUMMYFUNCTION("""COMPUTED_VALUE"""),"gift")</f>
        <v>gift</v>
      </c>
      <c r="M69" s="6" t="str">
        <f>IFERROR(__xludf.DUMMYFUNCTION("""COMPUTED_VALUE"""),"needed")</f>
        <v>needed</v>
      </c>
      <c r="N69" s="6" t="str">
        <f>IFERROR(__xludf.DUMMYFUNCTION("""COMPUTED_VALUE"""),"first")</f>
        <v>first</v>
      </c>
      <c r="P69" s="6" t="str">
        <f>IFERROR(__xludf.DUMMYFUNCTION("""COMPUTED_VALUE"""),"performance")</f>
        <v>performance</v>
      </c>
      <c r="Q69" s="6" t="str">
        <f>IFERROR(__xludf.DUMMYFUNCTION("""COMPUTED_VALUE"""),"course")</f>
        <v>course</v>
      </c>
      <c r="S69" s="6" t="str">
        <f>IFERROR(__xludf.DUMMYFUNCTION("""COMPUTED_VALUE"""),"storyline")</f>
        <v>storyline</v>
      </c>
    </row>
    <row r="70">
      <c r="A70" s="6" t="str">
        <f>IFERROR(__xludf.DUMMYFUNCTION("""COMPUTED_VALUE"""),"emerge")</f>
        <v>emerge</v>
      </c>
      <c r="B70" s="6" t="str">
        <f>IFERROR(__xludf.DUMMYFUNCTION("""COMPUTED_VALUE"""),"frantic")</f>
        <v>frantic</v>
      </c>
      <c r="C70" s="6" t="str">
        <f>IFERROR(__xludf.DUMMYFUNCTION("""COMPUTED_VALUE"""),"daring")</f>
        <v>daring</v>
      </c>
      <c r="D70" s="6" t="str">
        <f>IFERROR(__xludf.DUMMYFUNCTION("""COMPUTED_VALUE"""),"effectively")</f>
        <v>effectively</v>
      </c>
      <c r="E70" s="6" t="str">
        <f>IFERROR(__xludf.DUMMYFUNCTION("""COMPUTED_VALUE"""),"remarkably")</f>
        <v>remarkably</v>
      </c>
      <c r="G70" s="6" t="str">
        <f>IFERROR(__xludf.DUMMYFUNCTION("""COMPUTED_VALUE"""),"few")</f>
        <v>few</v>
      </c>
      <c r="H70" s="6" t="str">
        <f>IFERROR(__xludf.DUMMYFUNCTION("""COMPUTED_VALUE"""),"storylines")</f>
        <v>storylines</v>
      </c>
      <c r="I70" s="6" t="str">
        <f>IFERROR(__xludf.DUMMYFUNCTION("""COMPUTED_VALUE"""),"animated")</f>
        <v>animated</v>
      </c>
      <c r="J70" s="6" t="str">
        <f>IFERROR(__xludf.DUMMYFUNCTION("""COMPUTED_VALUE"""),"joy")</f>
        <v>joy</v>
      </c>
      <c r="L70" s="6" t="str">
        <f>IFERROR(__xludf.DUMMYFUNCTION("""COMPUTED_VALUE"""),"light")</f>
        <v>light</v>
      </c>
      <c r="M70" s="6" t="str">
        <f>IFERROR(__xludf.DUMMYFUNCTION("""COMPUTED_VALUE"""),"around")</f>
        <v>around</v>
      </c>
      <c r="N70" s="6" t="str">
        <f>IFERROR(__xludf.DUMMYFUNCTION("""COMPUTED_VALUE"""),"actually")</f>
        <v>actually</v>
      </c>
      <c r="P70" s="6" t="str">
        <f>IFERROR(__xludf.DUMMYFUNCTION("""COMPUTED_VALUE"""),"touch")</f>
        <v>touch</v>
      </c>
      <c r="Q70" s="6" t="str">
        <f>IFERROR(__xludf.DUMMYFUNCTION("""COMPUTED_VALUE"""),"entire")</f>
        <v>entire</v>
      </c>
      <c r="S70" s="6" t="str">
        <f>IFERROR(__xludf.DUMMYFUNCTION("""COMPUTED_VALUE"""),"silly")</f>
        <v>silly</v>
      </c>
    </row>
    <row r="71">
      <c r="A71" s="6" t="str">
        <f>IFERROR(__xludf.DUMMYFUNCTION("""COMPUTED_VALUE"""),"deadly")</f>
        <v>deadly</v>
      </c>
      <c r="B71" s="6" t="str">
        <f>IFERROR(__xludf.DUMMYFUNCTION("""COMPUTED_VALUE"""),"stirring")</f>
        <v>stirring</v>
      </c>
      <c r="C71" s="6" t="str">
        <f>IFERROR(__xludf.DUMMYFUNCTION("""COMPUTED_VALUE"""),"emerge")</f>
        <v>emerge</v>
      </c>
      <c r="D71" s="6" t="str">
        <f>IFERROR(__xludf.DUMMYFUNCTION("""COMPUTED_VALUE"""),"bolt")</f>
        <v>bolt</v>
      </c>
      <c r="E71" s="6" t="str">
        <f>IFERROR(__xludf.DUMMYFUNCTION("""COMPUTED_VALUE"""),"acute")</f>
        <v>acute</v>
      </c>
      <c r="G71" s="6" t="str">
        <f>IFERROR(__xludf.DUMMYFUNCTION("""COMPUTED_VALUE"""),"endure")</f>
        <v>endure</v>
      </c>
      <c r="H71" s="6" t="str">
        <f>IFERROR(__xludf.DUMMYFUNCTION("""COMPUTED_VALUE"""),"experience")</f>
        <v>experience</v>
      </c>
      <c r="I71" s="6" t="str">
        <f>IFERROR(__xludf.DUMMYFUNCTION("""COMPUTED_VALUE"""),"comic")</f>
        <v>comic</v>
      </c>
      <c r="J71" s="6" t="str">
        <f>IFERROR(__xludf.DUMMYFUNCTION("""COMPUTED_VALUE"""),"ugly")</f>
        <v>ugly</v>
      </c>
      <c r="L71" s="6" t="str">
        <f>IFERROR(__xludf.DUMMYFUNCTION("""COMPUTED_VALUE"""),"bright")</f>
        <v>bright</v>
      </c>
      <c r="M71" s="6" t="str">
        <f>IFERROR(__xludf.DUMMYFUNCTION("""COMPUTED_VALUE"""),"night")</f>
        <v>night</v>
      </c>
      <c r="N71" s="6" t="str">
        <f>IFERROR(__xludf.DUMMYFUNCTION("""COMPUTED_VALUE"""),"b")</f>
        <v>b</v>
      </c>
      <c r="P71" s="6" t="str">
        <f>IFERROR(__xludf.DUMMYFUNCTION("""COMPUTED_VALUE"""),"beauty")</f>
        <v>beauty</v>
      </c>
      <c r="Q71" s="6" t="str">
        <f>IFERROR(__xludf.DUMMYFUNCTION("""COMPUTED_VALUE"""),"dog")</f>
        <v>dog</v>
      </c>
      <c r="S71" s="6" t="str">
        <f>IFERROR(__xludf.DUMMYFUNCTION("""COMPUTED_VALUE"""),"heroes")</f>
        <v>heroes</v>
      </c>
    </row>
    <row r="72">
      <c r="A72" s="6" t="str">
        <f>IFERROR(__xludf.DUMMYFUNCTION("""COMPUTED_VALUE"""),"striking")</f>
        <v>striking</v>
      </c>
      <c r="B72" s="6" t="str">
        <f>IFERROR(__xludf.DUMMYFUNCTION("""COMPUTED_VALUE"""),"builds")</f>
        <v>builds</v>
      </c>
      <c r="C72" s="6" t="str">
        <f>IFERROR(__xludf.DUMMYFUNCTION("""COMPUTED_VALUE"""),"deadly")</f>
        <v>deadly</v>
      </c>
      <c r="D72" s="6" t="str">
        <f>IFERROR(__xludf.DUMMYFUNCTION("""COMPUTED_VALUE"""),"stakes")</f>
        <v>stakes</v>
      </c>
      <c r="E72" s="6" t="str">
        <f>IFERROR(__xludf.DUMMYFUNCTION("""COMPUTED_VALUE"""),"absorbing")</f>
        <v>absorbing</v>
      </c>
      <c r="G72" s="6" t="str">
        <f>IFERROR(__xludf.DUMMYFUNCTION("""COMPUTED_VALUE"""),"help")</f>
        <v>help</v>
      </c>
      <c r="H72" s="6" t="str">
        <f>IFERROR(__xludf.DUMMYFUNCTION("""COMPUTED_VALUE"""),"cruel")</f>
        <v>cruel</v>
      </c>
      <c r="I72" s="6" t="str">
        <f>IFERROR(__xludf.DUMMYFUNCTION("""COMPUTED_VALUE"""),"difference")</f>
        <v>difference</v>
      </c>
      <c r="J72" s="6" t="str">
        <f>IFERROR(__xludf.DUMMYFUNCTION("""COMPUTED_VALUE"""),"emptiness")</f>
        <v>emptiness</v>
      </c>
      <c r="L72" s="6" t="str">
        <f>IFERROR(__xludf.DUMMYFUNCTION("""COMPUTED_VALUE"""),"head")</f>
        <v>head</v>
      </c>
      <c r="M72" s="6" t="str">
        <f>IFERROR(__xludf.DUMMYFUNCTION("""COMPUTED_VALUE"""),"busy")</f>
        <v>busy</v>
      </c>
      <c r="N72" s="6" t="str">
        <f>IFERROR(__xludf.DUMMYFUNCTION("""COMPUTED_VALUE"""),"wedding")</f>
        <v>wedding</v>
      </c>
      <c r="P72" s="6" t="str">
        <f>IFERROR(__xludf.DUMMYFUNCTION("""COMPUTED_VALUE"""),"situations")</f>
        <v>situations</v>
      </c>
      <c r="Q72" s="6" t="str">
        <f>IFERROR(__xludf.DUMMYFUNCTION("""COMPUTED_VALUE"""),"recycled")</f>
        <v>recycled</v>
      </c>
      <c r="S72" s="6" t="str">
        <f>IFERROR(__xludf.DUMMYFUNCTION("""COMPUTED_VALUE"""),"existence")</f>
        <v>existence</v>
      </c>
    </row>
    <row r="73">
      <c r="A73" s="6" t="str">
        <f>IFERROR(__xludf.DUMMYFUNCTION("""COMPUTED_VALUE"""),"dramatically")</f>
        <v>dramatically</v>
      </c>
      <c r="B73" s="6" t="str">
        <f>IFERROR(__xludf.DUMMYFUNCTION("""COMPUTED_VALUE"""),"flourish")</f>
        <v>flourish</v>
      </c>
      <c r="C73" s="6" t="str">
        <f>IFERROR(__xludf.DUMMYFUNCTION("""COMPUTED_VALUE"""),"striking")</f>
        <v>striking</v>
      </c>
      <c r="D73" s="6" t="str">
        <f>IFERROR(__xludf.DUMMYFUNCTION("""COMPUTED_VALUE"""),"vacant")</f>
        <v>vacant</v>
      </c>
      <c r="E73" s="6" t="str">
        <f>IFERROR(__xludf.DUMMYFUNCTION("""COMPUTED_VALUE"""),"qualities")</f>
        <v>qualities</v>
      </c>
      <c r="G73" s="6" t="str">
        <f>IFERROR(__xludf.DUMMYFUNCTION("""COMPUTED_VALUE"""),"power")</f>
        <v>power</v>
      </c>
      <c r="H73" s="6" t="str">
        <f>IFERROR(__xludf.DUMMYFUNCTION("""COMPUTED_VALUE"""),"deception")</f>
        <v>deception</v>
      </c>
      <c r="I73" s="6" t="str">
        <f>IFERROR(__xludf.DUMMYFUNCTION("""COMPUTED_VALUE"""),"explore")</f>
        <v>explore</v>
      </c>
      <c r="J73" s="6" t="str">
        <f>IFERROR(__xludf.DUMMYFUNCTION("""COMPUTED_VALUE"""),"relentless")</f>
        <v>relentless</v>
      </c>
      <c r="L73" s="6" t="str">
        <f>IFERROR(__xludf.DUMMYFUNCTION("""COMPUTED_VALUE"""),"college")</f>
        <v>college</v>
      </c>
      <c r="M73" s="6" t="str">
        <f>IFERROR(__xludf.DUMMYFUNCTION("""COMPUTED_VALUE"""),"first")</f>
        <v>first</v>
      </c>
      <c r="N73" s="6" t="str">
        <f>IFERROR(__xludf.DUMMYFUNCTION("""COMPUTED_VALUE"""),"side")</f>
        <v>side</v>
      </c>
      <c r="P73" s="6" t="str">
        <f>IFERROR(__xludf.DUMMYFUNCTION("""COMPUTED_VALUE"""),"room")</f>
        <v>room</v>
      </c>
      <c r="Q73" s="6" t="str">
        <f>IFERROR(__xludf.DUMMYFUNCTION("""COMPUTED_VALUE"""),"count")</f>
        <v>count</v>
      </c>
      <c r="S73" s="6" t="str">
        <f>IFERROR(__xludf.DUMMYFUNCTION("""COMPUTED_VALUE"""),"sharply")</f>
        <v>sharply</v>
      </c>
    </row>
    <row r="74">
      <c r="A74" s="6" t="str">
        <f>IFERROR(__xludf.DUMMYFUNCTION("""COMPUTED_VALUE"""),"longest")</f>
        <v>longest</v>
      </c>
      <c r="B74" s="6" t="str">
        <f>IFERROR(__xludf.DUMMYFUNCTION("""COMPUTED_VALUE"""),"touched")</f>
        <v>touched</v>
      </c>
      <c r="C74" s="6" t="str">
        <f>IFERROR(__xludf.DUMMYFUNCTION("""COMPUTED_VALUE"""),"dramatically")</f>
        <v>dramatically</v>
      </c>
      <c r="D74" s="6" t="str">
        <f>IFERROR(__xludf.DUMMYFUNCTION("""COMPUTED_VALUE"""),"scoring")</f>
        <v>scoring</v>
      </c>
      <c r="E74" s="6" t="str">
        <f>IFERROR(__xludf.DUMMYFUNCTION("""COMPUTED_VALUE"""),"gripping")</f>
        <v>gripping</v>
      </c>
      <c r="G74" s="6" t="str">
        <f>IFERROR(__xludf.DUMMYFUNCTION("""COMPUTED_VALUE"""),"highs")</f>
        <v>highs</v>
      </c>
      <c r="H74" s="6" t="str">
        <f>IFERROR(__xludf.DUMMYFUNCTION("""COMPUTED_VALUE"""),"eastwood")</f>
        <v>eastwood</v>
      </c>
      <c r="I74" s="6" t="str">
        <f>IFERROR(__xludf.DUMMYFUNCTION("""COMPUTED_VALUE"""),"criminal")</f>
        <v>criminal</v>
      </c>
      <c r="J74" s="6" t="str">
        <f>IFERROR(__xludf.DUMMYFUNCTION("""COMPUTED_VALUE"""),"exploration")</f>
        <v>exploration</v>
      </c>
      <c r="L74" s="6" t="str">
        <f>IFERROR(__xludf.DUMMYFUNCTION("""COMPUTED_VALUE"""),"desperately")</f>
        <v>desperately</v>
      </c>
      <c r="M74" s="6" t="str">
        <f>IFERROR(__xludf.DUMMYFUNCTION("""COMPUTED_VALUE"""),"actually")</f>
        <v>actually</v>
      </c>
      <c r="N74" s="6" t="str">
        <f>IFERROR(__xludf.DUMMYFUNCTION("""COMPUTED_VALUE"""),"only")</f>
        <v>only</v>
      </c>
      <c r="P74" s="6" t="str">
        <f>IFERROR(__xludf.DUMMYFUNCTION("""COMPUTED_VALUE"""),"touching")</f>
        <v>touching</v>
      </c>
      <c r="Q74" s="6" t="str">
        <f>IFERROR(__xludf.DUMMYFUNCTION("""COMPUTED_VALUE"""),"care")</f>
        <v>care</v>
      </c>
      <c r="S74" s="6" t="str">
        <f>IFERROR(__xludf.DUMMYFUNCTION("""COMPUTED_VALUE"""),"point")</f>
        <v>point</v>
      </c>
    </row>
    <row r="75">
      <c r="A75" s="6" t="str">
        <f>IFERROR(__xludf.DUMMYFUNCTION("""COMPUTED_VALUE"""),"skill")</f>
        <v>skill</v>
      </c>
      <c r="B75" s="6" t="str">
        <f>IFERROR(__xludf.DUMMYFUNCTION("""COMPUTED_VALUE"""),"problematic")</f>
        <v>problematic</v>
      </c>
      <c r="C75" s="6" t="str">
        <f>IFERROR(__xludf.DUMMYFUNCTION("""COMPUTED_VALUE"""),"longest")</f>
        <v>longest</v>
      </c>
      <c r="D75" s="6" t="str">
        <f>IFERROR(__xludf.DUMMYFUNCTION("""COMPUTED_VALUE"""),"stripped")</f>
        <v>stripped</v>
      </c>
      <c r="E75" s="6" t="str">
        <f>IFERROR(__xludf.DUMMYFUNCTION("""COMPUTED_VALUE"""),"startling")</f>
        <v>startling</v>
      </c>
      <c r="G75" s="6" t="str">
        <f>IFERROR(__xludf.DUMMYFUNCTION("""COMPUTED_VALUE"""),"historically")</f>
        <v>historically</v>
      </c>
      <c r="H75" s="6" t="str">
        <f>IFERROR(__xludf.DUMMYFUNCTION("""COMPUTED_VALUE"""),"earnest")</f>
        <v>earnest</v>
      </c>
      <c r="I75" s="6" t="str">
        <f>IFERROR(__xludf.DUMMYFUNCTION("""COMPUTED_VALUE"""),"directed")</f>
        <v>directed</v>
      </c>
      <c r="J75" s="6" t="str">
        <f>IFERROR(__xludf.DUMMYFUNCTION("""COMPUTED_VALUE"""),"mergers")</f>
        <v>mergers</v>
      </c>
      <c r="L75" s="6" t="str">
        <f>IFERROR(__xludf.DUMMYFUNCTION("""COMPUTED_VALUE"""),"american")</f>
        <v>american</v>
      </c>
      <c r="M75" s="6" t="str">
        <f>IFERROR(__xludf.DUMMYFUNCTION("""COMPUTED_VALUE"""),"see")</f>
        <v>see</v>
      </c>
      <c r="N75" s="6" t="str">
        <f>IFERROR(__xludf.DUMMYFUNCTION("""COMPUTED_VALUE"""),"fine")</f>
        <v>fine</v>
      </c>
      <c r="P75" s="6" t="str">
        <f>IFERROR(__xludf.DUMMYFUNCTION("""COMPUTED_VALUE"""),"starts")</f>
        <v>starts</v>
      </c>
      <c r="Q75" s="6" t="str">
        <f>IFERROR(__xludf.DUMMYFUNCTION("""COMPUTED_VALUE"""),"covers")</f>
        <v>covers</v>
      </c>
      <c r="S75" s="6" t="str">
        <f>IFERROR(__xludf.DUMMYFUNCTION("""COMPUTED_VALUE"""),"course")</f>
        <v>course</v>
      </c>
    </row>
    <row r="76">
      <c r="A76" s="6" t="str">
        <f>IFERROR(__xludf.DUMMYFUNCTION("""COMPUTED_VALUE"""),"fierce")</f>
        <v>fierce</v>
      </c>
      <c r="B76" s="6" t="str">
        <f>IFERROR(__xludf.DUMMYFUNCTION("""COMPUTED_VALUE"""),"drains")</f>
        <v>drains</v>
      </c>
      <c r="C76" s="6" t="str">
        <f>IFERROR(__xludf.DUMMYFUNCTION("""COMPUTED_VALUE"""),"skill")</f>
        <v>skill</v>
      </c>
      <c r="D76" s="6" t="str">
        <f>IFERROR(__xludf.DUMMYFUNCTION("""COMPUTED_VALUE"""),"error")</f>
        <v>error</v>
      </c>
      <c r="E76" s="6" t="str">
        <f>IFERROR(__xludf.DUMMYFUNCTION("""COMPUTED_VALUE"""),"fatal")</f>
        <v>fatal</v>
      </c>
      <c r="G76" s="6" t="str">
        <f>IFERROR(__xludf.DUMMYFUNCTION("""COMPUTED_VALUE"""),"significant")</f>
        <v>significant</v>
      </c>
      <c r="H76" s="6" t="str">
        <f>IFERROR(__xludf.DUMMYFUNCTION("""COMPUTED_VALUE"""),"homage")</f>
        <v>homage</v>
      </c>
      <c r="I76" s="6" t="str">
        <f>IFERROR(__xludf.DUMMYFUNCTION("""COMPUTED_VALUE"""),"washington")</f>
        <v>washington</v>
      </c>
      <c r="J76" s="6" t="str">
        <f>IFERROR(__xludf.DUMMYFUNCTION("""COMPUTED_VALUE"""),"woven")</f>
        <v>woven</v>
      </c>
      <c r="L76" s="6" t="str">
        <f>IFERROR(__xludf.DUMMYFUNCTION("""COMPUTED_VALUE"""),"typical")</f>
        <v>typical</v>
      </c>
      <c r="M76" s="6" t="str">
        <f>IFERROR(__xludf.DUMMYFUNCTION("""COMPUTED_VALUE"""),"wedding")</f>
        <v>wedding</v>
      </c>
      <c r="N76" s="6" t="str">
        <f>IFERROR(__xludf.DUMMYFUNCTION("""COMPUTED_VALUE"""),"give")</f>
        <v>give</v>
      </c>
      <c r="P76" s="6" t="str">
        <f>IFERROR(__xludf.DUMMYFUNCTION("""COMPUTED_VALUE"""),"less")</f>
        <v>less</v>
      </c>
      <c r="Q76" s="6" t="str">
        <f>IFERROR(__xludf.DUMMYFUNCTION("""COMPUTED_VALUE"""),"territory")</f>
        <v>territory</v>
      </c>
      <c r="S76" s="6" t="str">
        <f>IFERROR(__xludf.DUMMYFUNCTION("""COMPUTED_VALUE"""),"entire")</f>
        <v>entire</v>
      </c>
    </row>
    <row r="77">
      <c r="A77" s="6" t="str">
        <f>IFERROR(__xludf.DUMMYFUNCTION("""COMPUTED_VALUE"""),"fallen")</f>
        <v>fallen</v>
      </c>
      <c r="B77" s="6" t="str">
        <f>IFERROR(__xludf.DUMMYFUNCTION("""COMPUTED_VALUE"""),"breathe")</f>
        <v>breathe</v>
      </c>
      <c r="C77" s="6" t="str">
        <f>IFERROR(__xludf.DUMMYFUNCTION("""COMPUTED_VALUE"""),"fierce")</f>
        <v>fierce</v>
      </c>
      <c r="D77" s="6" t="str">
        <f>IFERROR(__xludf.DUMMYFUNCTION("""COMPUTED_VALUE"""),"contributions")</f>
        <v>contributions</v>
      </c>
      <c r="E77" s="6" t="str">
        <f>IFERROR(__xludf.DUMMYFUNCTION("""COMPUTED_VALUE"""),"glossy")</f>
        <v>glossy</v>
      </c>
      <c r="G77" s="6" t="str">
        <f>IFERROR(__xludf.DUMMYFUNCTION("""COMPUTED_VALUE"""),"tribute")</f>
        <v>tribute</v>
      </c>
      <c r="H77" s="6" t="str">
        <f>IFERROR(__xludf.DUMMYFUNCTION("""COMPUTED_VALUE"""),"laughs")</f>
        <v>laughs</v>
      </c>
      <c r="I77" s="6" t="str">
        <f>IFERROR(__xludf.DUMMYFUNCTION("""COMPUTED_VALUE"""),"certainly")</f>
        <v>certainly</v>
      </c>
      <c r="J77" s="6" t="str">
        <f>IFERROR(__xludf.DUMMYFUNCTION("""COMPUTED_VALUE"""),"storylines")</f>
        <v>storylines</v>
      </c>
      <c r="L77" s="6" t="str">
        <f>IFERROR(__xludf.DUMMYFUNCTION("""COMPUTED_VALUE"""),"generally")</f>
        <v>generally</v>
      </c>
      <c r="M77" s="6" t="str">
        <f>IFERROR(__xludf.DUMMYFUNCTION("""COMPUTED_VALUE"""),"side")</f>
        <v>side</v>
      </c>
      <c r="N77" s="6" t="str">
        <f>IFERROR(__xludf.DUMMYFUNCTION("""COMPUTED_VALUE"""),"down")</f>
        <v>down</v>
      </c>
      <c r="P77" s="6" t="str">
        <f>IFERROR(__xludf.DUMMYFUNCTION("""COMPUTED_VALUE"""),"veins")</f>
        <v>veins</v>
      </c>
      <c r="Q77" s="6" t="str">
        <f>IFERROR(__xludf.DUMMYFUNCTION("""COMPUTED_VALUE"""),"version")</f>
        <v>version</v>
      </c>
      <c r="S77" s="6" t="str">
        <f>IFERROR(__xludf.DUMMYFUNCTION("""COMPUTED_VALUE"""),"dog")</f>
        <v>dog</v>
      </c>
    </row>
    <row r="78">
      <c r="A78" s="6" t="str">
        <f>IFERROR(__xludf.DUMMYFUNCTION("""COMPUTED_VALUE"""),"remarkably")</f>
        <v>remarkably</v>
      </c>
      <c r="B78" s="6" t="str">
        <f>IFERROR(__xludf.DUMMYFUNCTION("""COMPUTED_VALUE"""),"borrowed")</f>
        <v>borrowed</v>
      </c>
      <c r="C78" s="6" t="str">
        <f>IFERROR(__xludf.DUMMYFUNCTION("""COMPUTED_VALUE"""),"fallen")</f>
        <v>fallen</v>
      </c>
      <c r="D78" s="6" t="str">
        <f>IFERROR(__xludf.DUMMYFUNCTION("""COMPUTED_VALUE"""),"shaking")</f>
        <v>shaking</v>
      </c>
      <c r="E78" s="6" t="str">
        <f>IFERROR(__xludf.DUMMYFUNCTION("""COMPUTED_VALUE"""),"rises")</f>
        <v>rises</v>
      </c>
      <c r="G78" s="6" t="str">
        <f>IFERROR(__xludf.DUMMYFUNCTION("""COMPUTED_VALUE"""),"actors")</f>
        <v>actors</v>
      </c>
      <c r="H78" s="6" t="str">
        <f>IFERROR(__xludf.DUMMYFUNCTION("""COMPUTED_VALUE"""),"few")</f>
        <v>few</v>
      </c>
      <c r="I78" s="6" t="str">
        <f>IFERROR(__xludf.DUMMYFUNCTION("""COMPUTED_VALUE"""),"long")</f>
        <v>long</v>
      </c>
      <c r="J78" s="6" t="str">
        <f>IFERROR(__xludf.DUMMYFUNCTION("""COMPUTED_VALUE"""),"experience")</f>
        <v>experience</v>
      </c>
      <c r="L78" s="6" t="str">
        <f>IFERROR(__xludf.DUMMYFUNCTION("""COMPUTED_VALUE"""),"friend")</f>
        <v>friend</v>
      </c>
      <c r="M78" s="6" t="str">
        <f>IFERROR(__xludf.DUMMYFUNCTION("""COMPUTED_VALUE"""),"fine")</f>
        <v>fine</v>
      </c>
      <c r="N78" s="6" t="str">
        <f>IFERROR(__xludf.DUMMYFUNCTION("""COMPUTED_VALUE"""),"once")</f>
        <v>once</v>
      </c>
      <c r="P78" s="6" t="str">
        <f>IFERROR(__xludf.DUMMYFUNCTION("""COMPUTED_VALUE"""),"rich")</f>
        <v>rich</v>
      </c>
      <c r="Q78" s="6" t="str">
        <f>IFERROR(__xludf.DUMMYFUNCTION("""COMPUTED_VALUE"""),"million")</f>
        <v>million</v>
      </c>
      <c r="S78" s="6" t="str">
        <f>IFERROR(__xludf.DUMMYFUNCTION("""COMPUTED_VALUE"""),"classic")</f>
        <v>classic</v>
      </c>
    </row>
    <row r="79">
      <c r="A79" s="6" t="str">
        <f>IFERROR(__xludf.DUMMYFUNCTION("""COMPUTED_VALUE"""),"nausea")</f>
        <v>nausea</v>
      </c>
      <c r="B79" s="6" t="str">
        <f>IFERROR(__xludf.DUMMYFUNCTION("""COMPUTED_VALUE"""),"inactive")</f>
        <v>inactive</v>
      </c>
      <c r="C79" s="6" t="str">
        <f>IFERROR(__xludf.DUMMYFUNCTION("""COMPUTED_VALUE"""),"remarkably")</f>
        <v>remarkably</v>
      </c>
      <c r="D79" s="6"/>
      <c r="E79" s="6" t="str">
        <f>IFERROR(__xludf.DUMMYFUNCTION("""COMPUTED_VALUE"""),"achievement")</f>
        <v>achievement</v>
      </c>
      <c r="G79" s="6" t="str">
        <f>IFERROR(__xludf.DUMMYFUNCTION("""COMPUTED_VALUE"""),"comedy")</f>
        <v>comedy</v>
      </c>
      <c r="H79" s="6" t="str">
        <f>IFERROR(__xludf.DUMMYFUNCTION("""COMPUTED_VALUE"""),"endure")</f>
        <v>endure</v>
      </c>
      <c r="I79" s="6" t="str">
        <f>IFERROR(__xludf.DUMMYFUNCTION("""COMPUTED_VALUE"""),"images")</f>
        <v>images</v>
      </c>
      <c r="J79" s="6" t="str">
        <f>IFERROR(__xludf.DUMMYFUNCTION("""COMPUTED_VALUE"""),"cruel")</f>
        <v>cruel</v>
      </c>
      <c r="L79" s="6" t="str">
        <f>IFERROR(__xludf.DUMMYFUNCTION("""COMPUTED_VALUE"""),"reason")</f>
        <v>reason</v>
      </c>
      <c r="M79" s="6" t="str">
        <f>IFERROR(__xludf.DUMMYFUNCTION("""COMPUTED_VALUE"""),"opened")</f>
        <v>opened</v>
      </c>
      <c r="N79" s="6" t="str">
        <f>IFERROR(__xludf.DUMMYFUNCTION("""COMPUTED_VALUE"""),"stock")</f>
        <v>stock</v>
      </c>
      <c r="P79" s="6" t="str">
        <f>IFERROR(__xludf.DUMMYFUNCTION("""COMPUTED_VALUE"""),"joy")</f>
        <v>joy</v>
      </c>
      <c r="Q79" s="6" t="str">
        <f>IFERROR(__xludf.DUMMYFUNCTION("""COMPUTED_VALUE"""),"gorgeous")</f>
        <v>gorgeous</v>
      </c>
      <c r="S79" s="6" t="str">
        <f>IFERROR(__xludf.DUMMYFUNCTION("""COMPUTED_VALUE"""),"dry")</f>
        <v>dry</v>
      </c>
    </row>
    <row r="80">
      <c r="A80" s="6" t="str">
        <f>IFERROR(__xludf.DUMMYFUNCTION("""COMPUTED_VALUE"""),"brightly")</f>
        <v>brightly</v>
      </c>
      <c r="B80" s="6" t="str">
        <f>IFERROR(__xludf.DUMMYFUNCTION("""COMPUTED_VALUE"""),"lavish")</f>
        <v>lavish</v>
      </c>
      <c r="C80" s="6" t="str">
        <f>IFERROR(__xludf.DUMMYFUNCTION("""COMPUTED_VALUE"""),"nausea")</f>
        <v>nausea</v>
      </c>
      <c r="D80" s="6"/>
      <c r="E80" s="6" t="str">
        <f>IFERROR(__xludf.DUMMYFUNCTION("""COMPUTED_VALUE"""),"graceful")</f>
        <v>graceful</v>
      </c>
      <c r="G80" s="6" t="str">
        <f>IFERROR(__xludf.DUMMYFUNCTION("""COMPUTED_VALUE"""),"heat")</f>
        <v>heat</v>
      </c>
      <c r="H80" s="6" t="str">
        <f>IFERROR(__xludf.DUMMYFUNCTION("""COMPUTED_VALUE"""),"help")</f>
        <v>help</v>
      </c>
      <c r="I80" s="6" t="str">
        <f>IFERROR(__xludf.DUMMYFUNCTION("""COMPUTED_VALUE"""),"eyes")</f>
        <v>eyes</v>
      </c>
      <c r="J80" s="6" t="str">
        <f>IFERROR(__xludf.DUMMYFUNCTION("""COMPUTED_VALUE"""),"women")</f>
        <v>women</v>
      </c>
      <c r="L80" s="6" t="str">
        <f>IFERROR(__xludf.DUMMYFUNCTION("""COMPUTED_VALUE"""),"her")</f>
        <v>her</v>
      </c>
      <c r="M80" s="6" t="str">
        <f>IFERROR(__xludf.DUMMYFUNCTION("""COMPUTED_VALUE"""),"tickets")</f>
        <v>tickets</v>
      </c>
      <c r="N80" s="6" t="str">
        <f>IFERROR(__xludf.DUMMYFUNCTION("""COMPUTED_VALUE"""),"any")</f>
        <v>any</v>
      </c>
      <c r="P80" s="6" t="str">
        <f>IFERROR(__xludf.DUMMYFUNCTION("""COMPUTED_VALUE"""),"shot")</f>
        <v>shot</v>
      </c>
      <c r="Q80" s="6" t="str">
        <f>IFERROR(__xludf.DUMMYFUNCTION("""COMPUTED_VALUE"""),"swords")</f>
        <v>swords</v>
      </c>
      <c r="S80" s="6" t="str">
        <f>IFERROR(__xludf.DUMMYFUNCTION("""COMPUTED_VALUE"""),"times")</f>
        <v>times</v>
      </c>
    </row>
    <row r="81">
      <c r="A81" s="6" t="str">
        <f>IFERROR(__xludf.DUMMYFUNCTION("""COMPUTED_VALUE"""),"playful")</f>
        <v>playful</v>
      </c>
      <c r="B81" s="6" t="str">
        <f>IFERROR(__xludf.DUMMYFUNCTION("""COMPUTED_VALUE"""),"reduces")</f>
        <v>reduces</v>
      </c>
      <c r="C81" s="6" t="str">
        <f>IFERROR(__xludf.DUMMYFUNCTION("""COMPUTED_VALUE"""),"brightly")</f>
        <v>brightly</v>
      </c>
      <c r="D81" s="6"/>
      <c r="E81" s="6" t="str">
        <f>IFERROR(__xludf.DUMMYFUNCTION("""COMPUTED_VALUE"""),"frantic")</f>
        <v>frantic</v>
      </c>
      <c r="G81" s="6" t="str">
        <f>IFERROR(__xludf.DUMMYFUNCTION("""COMPUTED_VALUE"""),"manages")</f>
        <v>manages</v>
      </c>
      <c r="H81" s="6" t="str">
        <f>IFERROR(__xludf.DUMMYFUNCTION("""COMPUTED_VALUE"""),"power")</f>
        <v>power</v>
      </c>
      <c r="I81" s="6" t="str">
        <f>IFERROR(__xludf.DUMMYFUNCTION("""COMPUTED_VALUE"""),"tear")</f>
        <v>tear</v>
      </c>
      <c r="J81" s="6" t="str">
        <f>IFERROR(__xludf.DUMMYFUNCTION("""COMPUTED_VALUE"""),"deception")</f>
        <v>deception</v>
      </c>
      <c r="L81" s="6" t="str">
        <f>IFERROR(__xludf.DUMMYFUNCTION("""COMPUTED_VALUE"""),"cell")</f>
        <v>cell</v>
      </c>
      <c r="M81" s="6" t="str">
        <f>IFERROR(__xludf.DUMMYFUNCTION("""COMPUTED_VALUE"""),"give")</f>
        <v>give</v>
      </c>
      <c r="N81" s="6" t="str">
        <f>IFERROR(__xludf.DUMMYFUNCTION("""COMPUTED_VALUE"""),"somehow")</f>
        <v>somehow</v>
      </c>
      <c r="P81" s="6" t="str">
        <f>IFERROR(__xludf.DUMMYFUNCTION("""COMPUTED_VALUE"""),"ugly")</f>
        <v>ugly</v>
      </c>
      <c r="Q81" s="6" t="str">
        <f>IFERROR(__xludf.DUMMYFUNCTION("""COMPUTED_VALUE"""),"performance")</f>
        <v>performance</v>
      </c>
      <c r="S81" s="6" t="str">
        <f>IFERROR(__xludf.DUMMYFUNCTION("""COMPUTED_VALUE"""),"care")</f>
        <v>care</v>
      </c>
    </row>
    <row r="82">
      <c r="A82" s="6" t="str">
        <f>IFERROR(__xludf.DUMMYFUNCTION("""COMPUTED_VALUE"""),"tremendous")</f>
        <v>tremendous</v>
      </c>
      <c r="B82" s="6" t="str">
        <f>IFERROR(__xludf.DUMMYFUNCTION("""COMPUTED_VALUE"""),"sympathetic")</f>
        <v>sympathetic</v>
      </c>
      <c r="C82" s="6" t="str">
        <f>IFERROR(__xludf.DUMMYFUNCTION("""COMPUTED_VALUE"""),"playful")</f>
        <v>playful</v>
      </c>
      <c r="D82" s="6"/>
      <c r="E82" s="6" t="str">
        <f>IFERROR(__xludf.DUMMYFUNCTION("""COMPUTED_VALUE"""),"stirring")</f>
        <v>stirring</v>
      </c>
      <c r="G82" s="6" t="str">
        <f>IFERROR(__xludf.DUMMYFUNCTION("""COMPUTED_VALUE"""),"intensity")</f>
        <v>intensity</v>
      </c>
      <c r="H82" s="6" t="str">
        <f>IFERROR(__xludf.DUMMYFUNCTION("""COMPUTED_VALUE"""),"generates")</f>
        <v>generates</v>
      </c>
      <c r="I82" s="6" t="str">
        <f>IFERROR(__xludf.DUMMYFUNCTION("""COMPUTED_VALUE"""),"addition")</f>
        <v>addition</v>
      </c>
      <c r="J82" s="6" t="str">
        <f>IFERROR(__xludf.DUMMYFUNCTION("""COMPUTED_VALUE"""),"earnest")</f>
        <v>earnest</v>
      </c>
      <c r="L82" s="6" t="str">
        <f>IFERROR(__xludf.DUMMYFUNCTION("""COMPUTED_VALUE"""),"most")</f>
        <v>most</v>
      </c>
      <c r="M82" s="6" t="str">
        <f>IFERROR(__xludf.DUMMYFUNCTION("""COMPUTED_VALUE"""),"used")</f>
        <v>used</v>
      </c>
      <c r="N82" s="6" t="str">
        <f>IFERROR(__xludf.DUMMYFUNCTION("""COMPUTED_VALUE"""),"/")</f>
        <v>/</v>
      </c>
      <c r="P82" s="6" t="str">
        <f>IFERROR(__xludf.DUMMYFUNCTION("""COMPUTED_VALUE"""),"exploration")</f>
        <v>exploration</v>
      </c>
      <c r="Q82" s="6" t="str">
        <f>IFERROR(__xludf.DUMMYFUNCTION("""COMPUTED_VALUE"""),"proves")</f>
        <v>proves</v>
      </c>
      <c r="S82" s="6" t="str">
        <f>IFERROR(__xludf.DUMMYFUNCTION("""COMPUTED_VALUE"""),"count")</f>
        <v>count</v>
      </c>
    </row>
    <row r="83">
      <c r="A83" s="6" t="str">
        <f>IFERROR(__xludf.DUMMYFUNCTION("""COMPUTED_VALUE"""),"acute")</f>
        <v>acute</v>
      </c>
      <c r="B83" s="6" t="str">
        <f>IFERROR(__xludf.DUMMYFUNCTION("""COMPUTED_VALUE"""),"clarity")</f>
        <v>clarity</v>
      </c>
      <c r="C83" s="6" t="str">
        <f>IFERROR(__xludf.DUMMYFUNCTION("""COMPUTED_VALUE"""),"acute")</f>
        <v>acute</v>
      </c>
      <c r="D83" s="6"/>
      <c r="E83" s="6" t="str">
        <f>IFERROR(__xludf.DUMMYFUNCTION("""COMPUTED_VALUE"""),"flourish")</f>
        <v>flourish</v>
      </c>
      <c r="G83" s="6" t="str">
        <f>IFERROR(__xludf.DUMMYFUNCTION("""COMPUTED_VALUE"""),"family")</f>
        <v>family</v>
      </c>
      <c r="H83" s="6" t="str">
        <f>IFERROR(__xludf.DUMMYFUNCTION("""COMPUTED_VALUE"""),"historically")</f>
        <v>historically</v>
      </c>
      <c r="I83" s="6" t="str">
        <f>IFERROR(__xludf.DUMMYFUNCTION("""COMPUTED_VALUE"""),"titles")</f>
        <v>titles</v>
      </c>
      <c r="J83" s="6" t="str">
        <f>IFERROR(__xludf.DUMMYFUNCTION("""COMPUTED_VALUE"""),"pays")</f>
        <v>pays</v>
      </c>
      <c r="L83" s="6" t="str">
        <f>IFERROR(__xludf.DUMMYFUNCTION("""COMPUTED_VALUE"""),"sleep")</f>
        <v>sleep</v>
      </c>
      <c r="M83" s="6" t="str">
        <f>IFERROR(__xludf.DUMMYFUNCTION("""COMPUTED_VALUE"""),"groups")</f>
        <v>groups</v>
      </c>
      <c r="N83" s="6" t="str">
        <f>IFERROR(__xludf.DUMMYFUNCTION("""COMPUTED_VALUE"""),"half")</f>
        <v>half</v>
      </c>
      <c r="P83" s="6" t="str">
        <f>IFERROR(__xludf.DUMMYFUNCTION("""COMPUTED_VALUE"""),"core")</f>
        <v>core</v>
      </c>
      <c r="Q83" s="6" t="str">
        <f>IFERROR(__xludf.DUMMYFUNCTION("""COMPUTED_VALUE"""),"touch")</f>
        <v>touch</v>
      </c>
      <c r="S83" s="6" t="str">
        <f>IFERROR(__xludf.DUMMYFUNCTION("""COMPUTED_VALUE"""),"territory")</f>
        <v>territory</v>
      </c>
    </row>
    <row r="84">
      <c r="A84" s="6" t="str">
        <f>IFERROR(__xludf.DUMMYFUNCTION("""COMPUTED_VALUE"""),"absorbing")</f>
        <v>absorbing</v>
      </c>
      <c r="B84" s="6" t="str">
        <f>IFERROR(__xludf.DUMMYFUNCTION("""COMPUTED_VALUE"""),"chuckle")</f>
        <v>chuckle</v>
      </c>
      <c r="C84" s="6" t="str">
        <f>IFERROR(__xludf.DUMMYFUNCTION("""COMPUTED_VALUE"""),"absorbing")</f>
        <v>absorbing</v>
      </c>
      <c r="D84" s="6"/>
      <c r="E84" s="6" t="str">
        <f>IFERROR(__xludf.DUMMYFUNCTION("""COMPUTED_VALUE"""),"touched")</f>
        <v>touched</v>
      </c>
      <c r="G84" s="6" t="str">
        <f>IFERROR(__xludf.DUMMYFUNCTION("""COMPUTED_VALUE"""),"animated")</f>
        <v>animated</v>
      </c>
      <c r="H84" s="6" t="str">
        <f>IFERROR(__xludf.DUMMYFUNCTION("""COMPUTED_VALUE"""),"significant")</f>
        <v>significant</v>
      </c>
      <c r="I84" s="6" t="str">
        <f>IFERROR(__xludf.DUMMYFUNCTION("""COMPUTED_VALUE"""),"generally")</f>
        <v>generally</v>
      </c>
      <c r="J84" s="6" t="str">
        <f>IFERROR(__xludf.DUMMYFUNCTION("""COMPUTED_VALUE"""),"homage")</f>
        <v>homage</v>
      </c>
      <c r="L84" s="6" t="str">
        <f>IFERROR(__xludf.DUMMYFUNCTION("""COMPUTED_VALUE"""),"humane")</f>
        <v>humane</v>
      </c>
      <c r="M84" s="6" t="str">
        <f>IFERROR(__xludf.DUMMYFUNCTION("""COMPUTED_VALUE"""),"3d")</f>
        <v>3d</v>
      </c>
      <c r="N84" s="6" t="str">
        <f>IFERROR(__xludf.DUMMYFUNCTION("""COMPUTED_VALUE"""),"want")</f>
        <v>want</v>
      </c>
      <c r="P84" s="6" t="str">
        <f>IFERROR(__xludf.DUMMYFUNCTION("""COMPUTED_VALUE"""),"hold")</f>
        <v>hold</v>
      </c>
      <c r="Q84" s="6" t="str">
        <f>IFERROR(__xludf.DUMMYFUNCTION("""COMPUTED_VALUE"""),"superb")</f>
        <v>superb</v>
      </c>
      <c r="S84" s="6" t="str">
        <f>IFERROR(__xludf.DUMMYFUNCTION("""COMPUTED_VALUE"""),"covers")</f>
        <v>covers</v>
      </c>
    </row>
    <row r="85">
      <c r="A85" s="6" t="str">
        <f>IFERROR(__xludf.DUMMYFUNCTION("""COMPUTED_VALUE"""),"gripping")</f>
        <v>gripping</v>
      </c>
      <c r="B85" s="6" t="str">
        <f>IFERROR(__xludf.DUMMYFUNCTION("""COMPUTED_VALUE"""),"fabricated")</f>
        <v>fabricated</v>
      </c>
      <c r="C85" s="6" t="str">
        <f>IFERROR(__xludf.DUMMYFUNCTION("""COMPUTED_VALUE"""),"gripping")</f>
        <v>gripping</v>
      </c>
      <c r="D85" s="6"/>
      <c r="E85" s="6" t="str">
        <f>IFERROR(__xludf.DUMMYFUNCTION("""COMPUTED_VALUE"""),"problematic")</f>
        <v>problematic</v>
      </c>
      <c r="G85" s="6" t="str">
        <f>IFERROR(__xludf.DUMMYFUNCTION("""COMPUTED_VALUE"""),"android")</f>
        <v>android</v>
      </c>
      <c r="H85" s="6" t="str">
        <f>IFERROR(__xludf.DUMMYFUNCTION("""COMPUTED_VALUE"""),"tribute")</f>
        <v>tribute</v>
      </c>
      <c r="I85" s="6" t="str">
        <f>IFERROR(__xludf.DUMMYFUNCTION("""COMPUTED_VALUE"""),"mystery")</f>
        <v>mystery</v>
      </c>
      <c r="J85" s="6" t="str">
        <f>IFERROR(__xludf.DUMMYFUNCTION("""COMPUTED_VALUE"""),"few")</f>
        <v>few</v>
      </c>
      <c r="L85" s="6" t="str">
        <f>IFERROR(__xludf.DUMMYFUNCTION("""COMPUTED_VALUE"""),"afford")</f>
        <v>afford</v>
      </c>
      <c r="M85" s="6" t="str">
        <f>IFERROR(__xludf.DUMMYFUNCTION("""COMPUTED_VALUE"""),"since")</f>
        <v>since</v>
      </c>
      <c r="N85" s="6" t="str">
        <f>IFERROR(__xludf.DUMMYFUNCTION("""COMPUTED_VALUE"""),"inside")</f>
        <v>inside</v>
      </c>
      <c r="P85" s="6" t="str">
        <f>IFERROR(__xludf.DUMMYFUNCTION("""COMPUTED_VALUE"""),"ford")</f>
        <v>ford</v>
      </c>
      <c r="Q85" s="6" t="str">
        <f>IFERROR(__xludf.DUMMYFUNCTION("""COMPUTED_VALUE"""),"horrors")</f>
        <v>horrors</v>
      </c>
      <c r="S85" s="6" t="str">
        <f>IFERROR(__xludf.DUMMYFUNCTION("""COMPUTED_VALUE"""),"game")</f>
        <v>game</v>
      </c>
    </row>
    <row r="86">
      <c r="A86" s="6" t="str">
        <f>IFERROR(__xludf.DUMMYFUNCTION("""COMPUTED_VALUE"""),"startling")</f>
        <v>startling</v>
      </c>
      <c r="B86" s="6" t="str">
        <f>IFERROR(__xludf.DUMMYFUNCTION("""COMPUTED_VALUE"""),"precisely")</f>
        <v>precisely</v>
      </c>
      <c r="C86" s="6" t="str">
        <f>IFERROR(__xludf.DUMMYFUNCTION("""COMPUTED_VALUE"""),"startling")</f>
        <v>startling</v>
      </c>
      <c r="D86" s="6"/>
      <c r="E86" s="6" t="str">
        <f>IFERROR(__xludf.DUMMYFUNCTION("""COMPUTED_VALUE"""),"drains")</f>
        <v>drains</v>
      </c>
      <c r="G86" s="6" t="str">
        <f>IFERROR(__xludf.DUMMYFUNCTION("""COMPUTED_VALUE"""),"intriguing")</f>
        <v>intriguing</v>
      </c>
      <c r="H86" s="6" t="str">
        <f>IFERROR(__xludf.DUMMYFUNCTION("""COMPUTED_VALUE"""),"robert")</f>
        <v>robert</v>
      </c>
      <c r="I86" s="6" t="str">
        <f>IFERROR(__xludf.DUMMYFUNCTION("""COMPUTED_VALUE"""),"em")</f>
        <v>em</v>
      </c>
      <c r="J86" s="6" t="str">
        <f>IFERROR(__xludf.DUMMYFUNCTION("""COMPUTED_VALUE"""),"endure")</f>
        <v>endure</v>
      </c>
      <c r="L86" s="6" t="str">
        <f>IFERROR(__xludf.DUMMYFUNCTION("""COMPUTED_VALUE"""),"sign")</f>
        <v>sign</v>
      </c>
      <c r="M86" s="6" t="str">
        <f>IFERROR(__xludf.DUMMYFUNCTION("""COMPUTED_VALUE"""),"stock")</f>
        <v>stock</v>
      </c>
      <c r="N86" s="6" t="str">
        <f>IFERROR(__xludf.DUMMYFUNCTION("""COMPUTED_VALUE"""),"bore")</f>
        <v>bore</v>
      </c>
      <c r="P86" s="6" t="str">
        <f>IFERROR(__xludf.DUMMYFUNCTION("""COMPUTED_VALUE"""),"damned")</f>
        <v>damned</v>
      </c>
      <c r="Q86" s="6" t="str">
        <f>IFERROR(__xludf.DUMMYFUNCTION("""COMPUTED_VALUE"""),"vivid")</f>
        <v>vivid</v>
      </c>
      <c r="S86" s="6" t="str">
        <f>IFERROR(__xludf.DUMMYFUNCTION("""COMPUTED_VALUE"""),"million")</f>
        <v>million</v>
      </c>
    </row>
    <row r="87">
      <c r="A87" s="6" t="str">
        <f>IFERROR(__xludf.DUMMYFUNCTION("""COMPUTED_VALUE"""),"fatal")</f>
        <v>fatal</v>
      </c>
      <c r="B87" s="6" t="str">
        <f>IFERROR(__xludf.DUMMYFUNCTION("""COMPUTED_VALUE"""),"jerking")</f>
        <v>jerking</v>
      </c>
      <c r="C87" s="6" t="str">
        <f>IFERROR(__xludf.DUMMYFUNCTION("""COMPUTED_VALUE"""),"fatal")</f>
        <v>fatal</v>
      </c>
      <c r="D87" s="6"/>
      <c r="E87" s="6" t="str">
        <f>IFERROR(__xludf.DUMMYFUNCTION("""COMPUTED_VALUE"""),"magnetic")</f>
        <v>magnetic</v>
      </c>
      <c r="G87" s="6" t="str">
        <f>IFERROR(__xludf.DUMMYFUNCTION("""COMPUTED_VALUE"""),"comic")</f>
        <v>comic</v>
      </c>
      <c r="H87" s="6" t="str">
        <f>IFERROR(__xludf.DUMMYFUNCTION("""COMPUTED_VALUE"""),"extremes")</f>
        <v>extremes</v>
      </c>
      <c r="I87" s="6" t="str">
        <f>IFERROR(__xludf.DUMMYFUNCTION("""COMPUTED_VALUE"""),"concert")</f>
        <v>concert</v>
      </c>
      <c r="J87" s="6" t="str">
        <f>IFERROR(__xludf.DUMMYFUNCTION("""COMPUTED_VALUE"""),"generates")</f>
        <v>generates</v>
      </c>
      <c r="L87" s="6" t="str">
        <f>IFERROR(__xludf.DUMMYFUNCTION("""COMPUTED_VALUE"""),"another")</f>
        <v>another</v>
      </c>
      <c r="M87" s="6" t="str">
        <f>IFERROR(__xludf.DUMMYFUNCTION("""COMPUTED_VALUE"""),"noble")</f>
        <v>noble</v>
      </c>
      <c r="N87" s="6" t="str">
        <f>IFERROR(__xludf.DUMMYFUNCTION("""COMPUTED_VALUE"""),"asian")</f>
        <v>asian</v>
      </c>
      <c r="P87" s="6" t="str">
        <f>IFERROR(__xludf.DUMMYFUNCTION("""COMPUTED_VALUE"""),"climate")</f>
        <v>climate</v>
      </c>
      <c r="Q87" s="6" t="str">
        <f>IFERROR(__xludf.DUMMYFUNCTION("""COMPUTED_VALUE"""),"beauty")</f>
        <v>beauty</v>
      </c>
      <c r="S87" s="6" t="str">
        <f>IFERROR(__xludf.DUMMYFUNCTION("""COMPUTED_VALUE"""),"version")</f>
        <v>version</v>
      </c>
    </row>
    <row r="88">
      <c r="A88" s="6" t="str">
        <f>IFERROR(__xludf.DUMMYFUNCTION("""COMPUTED_VALUE"""),"glossy")</f>
        <v>glossy</v>
      </c>
      <c r="B88" s="6" t="str">
        <f>IFERROR(__xludf.DUMMYFUNCTION("""COMPUTED_VALUE"""),"harmless")</f>
        <v>harmless</v>
      </c>
      <c r="C88" s="6" t="str">
        <f>IFERROR(__xludf.DUMMYFUNCTION("""COMPUTED_VALUE"""),"glossy")</f>
        <v>glossy</v>
      </c>
      <c r="D88" s="6"/>
      <c r="E88" s="6" t="str">
        <f>IFERROR(__xludf.DUMMYFUNCTION("""COMPUTED_VALUE"""),"monstrous")</f>
        <v>monstrous</v>
      </c>
      <c r="G88" s="6" t="str">
        <f>IFERROR(__xludf.DUMMYFUNCTION("""COMPUTED_VALUE"""),"pulp")</f>
        <v>pulp</v>
      </c>
      <c r="H88" s="6" t="str">
        <f>IFERROR(__xludf.DUMMYFUNCTION("""COMPUTED_VALUE"""),"continuum")</f>
        <v>continuum</v>
      </c>
      <c r="I88" s="6" t="str">
        <f>IFERROR(__xludf.DUMMYFUNCTION("""COMPUTED_VALUE"""),"authority")</f>
        <v>authority</v>
      </c>
      <c r="J88" s="6" t="str">
        <f>IFERROR(__xludf.DUMMYFUNCTION("""COMPUTED_VALUE"""),"historically")</f>
        <v>historically</v>
      </c>
      <c r="L88" s="6" t="str">
        <f>IFERROR(__xludf.DUMMYFUNCTION("""COMPUTED_VALUE"""),"someone")</f>
        <v>someone</v>
      </c>
      <c r="M88" s="6" t="str">
        <f>IFERROR(__xludf.DUMMYFUNCTION("""COMPUTED_VALUE"""),"somehow")</f>
        <v>somehow</v>
      </c>
      <c r="N88" s="6" t="str">
        <f>IFERROR(__xludf.DUMMYFUNCTION("""COMPUTED_VALUE"""),"us")</f>
        <v>us</v>
      </c>
      <c r="P88" s="6" t="str">
        <f>IFERROR(__xludf.DUMMYFUNCTION("""COMPUTED_VALUE"""),"recording")</f>
        <v>recording</v>
      </c>
      <c r="Q88" s="6" t="str">
        <f>IFERROR(__xludf.DUMMYFUNCTION("""COMPUTED_VALUE"""),"any")</f>
        <v>any</v>
      </c>
      <c r="S88" s="6" t="str">
        <f>IFERROR(__xludf.DUMMYFUNCTION("""COMPUTED_VALUE"""),"gorgeous")</f>
        <v>gorgeous</v>
      </c>
    </row>
    <row r="89">
      <c r="A89" s="6" t="str">
        <f>IFERROR(__xludf.DUMMYFUNCTION("""COMPUTED_VALUE"""),"rises")</f>
        <v>rises</v>
      </c>
      <c r="B89" s="6" t="str">
        <f>IFERROR(__xludf.DUMMYFUNCTION("""COMPUTED_VALUE"""),"adequately")</f>
        <v>adequately</v>
      </c>
      <c r="C89" s="6" t="str">
        <f>IFERROR(__xludf.DUMMYFUNCTION("""COMPUTED_VALUE"""),"graceful")</f>
        <v>graceful</v>
      </c>
      <c r="D89" s="6"/>
      <c r="E89" s="6" t="str">
        <f>IFERROR(__xludf.DUMMYFUNCTION("""COMPUTED_VALUE"""),"breathe")</f>
        <v>breathe</v>
      </c>
      <c r="G89" s="6" t="str">
        <f>IFERROR(__xludf.DUMMYFUNCTION("""COMPUTED_VALUE"""),"artworks")</f>
        <v>artworks</v>
      </c>
      <c r="H89" s="6" t="str">
        <f>IFERROR(__xludf.DUMMYFUNCTION("""COMPUTED_VALUE"""),"manages")</f>
        <v>manages</v>
      </c>
      <c r="I89" s="6" t="str">
        <f>IFERROR(__xludf.DUMMYFUNCTION("""COMPUTED_VALUE"""),"fluid")</f>
        <v>fluid</v>
      </c>
      <c r="J89" s="6" t="str">
        <f>IFERROR(__xludf.DUMMYFUNCTION("""COMPUTED_VALUE"""),"actors")</f>
        <v>actors</v>
      </c>
      <c r="L89" s="6" t="str">
        <f>IFERROR(__xludf.DUMMYFUNCTION("""COMPUTED_VALUE"""),"read")</f>
        <v>read</v>
      </c>
      <c r="M89" s="6" t="str">
        <f>IFERROR(__xludf.DUMMYFUNCTION("""COMPUTED_VALUE"""),"exact")</f>
        <v>exact</v>
      </c>
      <c r="N89" s="6" t="str">
        <f>IFERROR(__xludf.DUMMYFUNCTION("""COMPUTED_VALUE"""),"stars")</f>
        <v>stars</v>
      </c>
      <c r="P89" s="6" t="str">
        <f>IFERROR(__xludf.DUMMYFUNCTION("""COMPUTED_VALUE"""),"current")</f>
        <v>current</v>
      </c>
      <c r="Q89" s="6" t="str">
        <f>IFERROR(__xludf.DUMMYFUNCTION("""COMPUTED_VALUE"""),"beautifully")</f>
        <v>beautifully</v>
      </c>
      <c r="S89" s="6" t="str">
        <f>IFERROR(__xludf.DUMMYFUNCTION("""COMPUTED_VALUE"""),"lost")</f>
        <v>lost</v>
      </c>
    </row>
    <row r="90">
      <c r="A90" s="6" t="str">
        <f>IFERROR(__xludf.DUMMYFUNCTION("""COMPUTED_VALUE"""),"achievement")</f>
        <v>achievement</v>
      </c>
      <c r="B90" s="6" t="str">
        <f>IFERROR(__xludf.DUMMYFUNCTION("""COMPUTED_VALUE"""),"hollow")</f>
        <v>hollow</v>
      </c>
      <c r="C90" s="6" t="str">
        <f>IFERROR(__xludf.DUMMYFUNCTION("""COMPUTED_VALUE"""),"amusing")</f>
        <v>amusing</v>
      </c>
      <c r="D90" s="6"/>
      <c r="E90" s="6" t="str">
        <f>IFERROR(__xludf.DUMMYFUNCTION("""COMPUTED_VALUE"""),"asleep")</f>
        <v>asleep</v>
      </c>
      <c r="G90" s="6" t="str">
        <f>IFERROR(__xludf.DUMMYFUNCTION("""COMPUTED_VALUE"""),"washington")</f>
        <v>washington</v>
      </c>
      <c r="H90" s="6" t="str">
        <f>IFERROR(__xludf.DUMMYFUNCTION("""COMPUTED_VALUE"""),"intensity")</f>
        <v>intensity</v>
      </c>
      <c r="I90" s="6" t="str">
        <f>IFERROR(__xludf.DUMMYFUNCTION("""COMPUTED_VALUE"""),"uses")</f>
        <v>uses</v>
      </c>
      <c r="J90" s="6" t="str">
        <f>IFERROR(__xludf.DUMMYFUNCTION("""COMPUTED_VALUE"""),"extremes")</f>
        <v>extremes</v>
      </c>
      <c r="L90" s="6" t="str">
        <f>IFERROR(__xludf.DUMMYFUNCTION("""COMPUTED_VALUE"""),"may")</f>
        <v>may</v>
      </c>
      <c r="M90" s="6" t="str">
        <f>IFERROR(__xludf.DUMMYFUNCTION("""COMPUTED_VALUE"""),"packed")</f>
        <v>packed</v>
      </c>
      <c r="N90" s="6" t="str">
        <f>IFERROR(__xludf.DUMMYFUNCTION("""COMPUTED_VALUE"""),"thought")</f>
        <v>thought</v>
      </c>
      <c r="P90" s="6" t="str">
        <f>IFERROR(__xludf.DUMMYFUNCTION("""COMPUTED_VALUE"""),"experience")</f>
        <v>experience</v>
      </c>
      <c r="Q90" s="6" t="str">
        <f>IFERROR(__xludf.DUMMYFUNCTION("""COMPUTED_VALUE"""),"touching")</f>
        <v>touching</v>
      </c>
      <c r="S90" s="6" t="str">
        <f>IFERROR(__xludf.DUMMYFUNCTION("""COMPUTED_VALUE"""),"performance")</f>
        <v>performance</v>
      </c>
    </row>
    <row r="91">
      <c r="A91" s="6" t="str">
        <f>IFERROR(__xludf.DUMMYFUNCTION("""COMPUTED_VALUE"""),"graceful")</f>
        <v>graceful</v>
      </c>
      <c r="B91" s="6" t="str">
        <f>IFERROR(__xludf.DUMMYFUNCTION("""COMPUTED_VALUE"""),"sensation")</f>
        <v>sensation</v>
      </c>
      <c r="C91" s="6" t="str">
        <f>IFERROR(__xludf.DUMMYFUNCTION("""COMPUTED_VALUE"""),"stirring")</f>
        <v>stirring</v>
      </c>
      <c r="D91" s="6"/>
      <c r="E91" s="6" t="str">
        <f>IFERROR(__xludf.DUMMYFUNCTION("""COMPUTED_VALUE"""),"borrowed")</f>
        <v>borrowed</v>
      </c>
      <c r="G91" s="6" t="str">
        <f>IFERROR(__xludf.DUMMYFUNCTION("""COMPUTED_VALUE"""),"certainly")</f>
        <v>certainly</v>
      </c>
      <c r="H91" s="6" t="str">
        <f>IFERROR(__xludf.DUMMYFUNCTION("""COMPUTED_VALUE"""),"family")</f>
        <v>family</v>
      </c>
      <c r="I91" s="6" t="str">
        <f>IFERROR(__xludf.DUMMYFUNCTION("""COMPUTED_VALUE"""),"called")</f>
        <v>called</v>
      </c>
      <c r="J91" s="6" t="str">
        <f>IFERROR(__xludf.DUMMYFUNCTION("""COMPUTED_VALUE"""),"continuum")</f>
        <v>continuum</v>
      </c>
      <c r="L91" s="6" t="str">
        <f>IFERROR(__xludf.DUMMYFUNCTION("""COMPUTED_VALUE"""),"working")</f>
        <v>working</v>
      </c>
      <c r="M91" s="6" t="str">
        <f>IFERROR(__xludf.DUMMYFUNCTION("""COMPUTED_VALUE"""),"half")</f>
        <v>half</v>
      </c>
      <c r="N91" s="6" t="str">
        <f>IFERROR(__xludf.DUMMYFUNCTION("""COMPUTED_VALUE"""),"by")</f>
        <v>by</v>
      </c>
      <c r="P91" s="6" t="str">
        <f>IFERROR(__xludf.DUMMYFUNCTION("""COMPUTED_VALUE"""),"together")</f>
        <v>together</v>
      </c>
      <c r="Q91" s="6" t="str">
        <f>IFERROR(__xludf.DUMMYFUNCTION("""COMPUTED_VALUE"""),"subtle")</f>
        <v>subtle</v>
      </c>
      <c r="S91" s="6" t="str">
        <f>IFERROR(__xludf.DUMMYFUNCTION("""COMPUTED_VALUE"""),"touch")</f>
        <v>touch</v>
      </c>
    </row>
    <row r="92">
      <c r="A92" s="6" t="str">
        <f>IFERROR(__xludf.DUMMYFUNCTION("""COMPUTED_VALUE"""),"frantic")</f>
        <v>frantic</v>
      </c>
      <c r="B92" s="6" t="str">
        <f>IFERROR(__xludf.DUMMYFUNCTION("""COMPUTED_VALUE"""),"sincerity")</f>
        <v>sincerity</v>
      </c>
      <c r="C92" s="6" t="str">
        <f>IFERROR(__xludf.DUMMYFUNCTION("""COMPUTED_VALUE"""),"builds")</f>
        <v>builds</v>
      </c>
      <c r="D92" s="6"/>
      <c r="E92" s="6" t="str">
        <f>IFERROR(__xludf.DUMMYFUNCTION("""COMPUTED_VALUE"""),"creates")</f>
        <v>creates</v>
      </c>
      <c r="G92" s="6" t="str">
        <f>IFERROR(__xludf.DUMMYFUNCTION("""COMPUTED_VALUE"""),"long")</f>
        <v>long</v>
      </c>
      <c r="H92" s="6" t="str">
        <f>IFERROR(__xludf.DUMMYFUNCTION("""COMPUTED_VALUE"""),"flair")</f>
        <v>flair</v>
      </c>
      <c r="I92" s="6" t="str">
        <f>IFERROR(__xludf.DUMMYFUNCTION("""COMPUTED_VALUE"""),"lot")</f>
        <v>lot</v>
      </c>
      <c r="J92" s="6" t="str">
        <f>IFERROR(__xludf.DUMMYFUNCTION("""COMPUTED_VALUE"""),"manages")</f>
        <v>manages</v>
      </c>
      <c r="L92" s="6" t="str">
        <f>IFERROR(__xludf.DUMMYFUNCTION("""COMPUTED_VALUE"""),"young")</f>
        <v>young</v>
      </c>
      <c r="M92" s="6" t="str">
        <f>IFERROR(__xludf.DUMMYFUNCTION("""COMPUTED_VALUE"""),"peak")</f>
        <v>peak</v>
      </c>
      <c r="N92" s="6" t="str">
        <f>IFERROR(__xludf.DUMMYFUNCTION("""COMPUTED_VALUE"""),"few")</f>
        <v>few</v>
      </c>
      <c r="P92" s="6" t="str">
        <f>IFERROR(__xludf.DUMMYFUNCTION("""COMPUTED_VALUE"""),"sounds")</f>
        <v>sounds</v>
      </c>
      <c r="Q92" s="6" t="str">
        <f>IFERROR(__xludf.DUMMYFUNCTION("""COMPUTED_VALUE"""),"starts")</f>
        <v>starts</v>
      </c>
      <c r="S92" s="6" t="str">
        <f>IFERROR(__xludf.DUMMYFUNCTION("""COMPUTED_VALUE"""),"bringing")</f>
        <v>bringing</v>
      </c>
    </row>
    <row r="93">
      <c r="A93" s="6" t="str">
        <f>IFERROR(__xludf.DUMMYFUNCTION("""COMPUTED_VALUE"""),"amusing")</f>
        <v>amusing</v>
      </c>
      <c r="B93" s="6" t="str">
        <f>IFERROR(__xludf.DUMMYFUNCTION("""COMPUTED_VALUE"""),"sensual")</f>
        <v>sensual</v>
      </c>
      <c r="C93" s="6" t="str">
        <f>IFERROR(__xludf.DUMMYFUNCTION("""COMPUTED_VALUE"""),"flourish")</f>
        <v>flourish</v>
      </c>
      <c r="D93" s="6"/>
      <c r="E93" s="6" t="str">
        <f>IFERROR(__xludf.DUMMYFUNCTION("""COMPUTED_VALUE"""),"expresses")</f>
        <v>expresses</v>
      </c>
      <c r="G93" s="6" t="str">
        <f>IFERROR(__xludf.DUMMYFUNCTION("""COMPUTED_VALUE"""),"images")</f>
        <v>images</v>
      </c>
      <c r="H93" s="6" t="str">
        <f>IFERROR(__xludf.DUMMYFUNCTION("""COMPUTED_VALUE"""),"animated")</f>
        <v>animated</v>
      </c>
      <c r="I93" s="6" t="str">
        <f>IFERROR(__xludf.DUMMYFUNCTION("""COMPUTED_VALUE"""),"back")</f>
        <v>back</v>
      </c>
      <c r="J93" s="6" t="str">
        <f>IFERROR(__xludf.DUMMYFUNCTION("""COMPUTED_VALUE"""),"intensity")</f>
        <v>intensity</v>
      </c>
      <c r="L93" s="6" t="str">
        <f>IFERROR(__xludf.DUMMYFUNCTION("""COMPUTED_VALUE"""),"work")</f>
        <v>work</v>
      </c>
      <c r="M93" s="6" t="str">
        <f>IFERROR(__xludf.DUMMYFUNCTION("""COMPUTED_VALUE"""),"south")</f>
        <v>south</v>
      </c>
      <c r="N93" s="6" t="str">
        <f>IFERROR(__xludf.DUMMYFUNCTION("""COMPUTED_VALUE"""),"out")</f>
        <v>out</v>
      </c>
      <c r="P93" s="6" t="str">
        <f>IFERROR(__xludf.DUMMYFUNCTION("""COMPUTED_VALUE"""),"lack")</f>
        <v>lack</v>
      </c>
      <c r="Q93" s="6" t="str">
        <f>IFERROR(__xludf.DUMMYFUNCTION("""COMPUTED_VALUE"""),"sophisticated")</f>
        <v>sophisticated</v>
      </c>
      <c r="S93" s="6" t="str">
        <f>IFERROR(__xludf.DUMMYFUNCTION("""COMPUTED_VALUE"""),"us")</f>
        <v>us</v>
      </c>
    </row>
    <row r="94">
      <c r="A94" s="6" t="str">
        <f>IFERROR(__xludf.DUMMYFUNCTION("""COMPUTED_VALUE"""),"stirring")</f>
        <v>stirring</v>
      </c>
      <c r="B94" s="6" t="str">
        <f>IFERROR(__xludf.DUMMYFUNCTION("""COMPUTED_VALUE"""),"cerebral")</f>
        <v>cerebral</v>
      </c>
      <c r="C94" s="6" t="str">
        <f>IFERROR(__xludf.DUMMYFUNCTION("""COMPUTED_VALUE"""),"problematic")</f>
        <v>problematic</v>
      </c>
      <c r="D94" s="6"/>
      <c r="E94" s="6" t="str">
        <f>IFERROR(__xludf.DUMMYFUNCTION("""COMPUTED_VALUE"""),"inactive")</f>
        <v>inactive</v>
      </c>
      <c r="G94" s="6" t="str">
        <f>IFERROR(__xludf.DUMMYFUNCTION("""COMPUTED_VALUE"""),"eyes")</f>
        <v>eyes</v>
      </c>
      <c r="H94" s="6" t="str">
        <f>IFERROR(__xludf.DUMMYFUNCTION("""COMPUTED_VALUE"""),"alternating")</f>
        <v>alternating</v>
      </c>
      <c r="I94" s="6" t="str">
        <f>IFERROR(__xludf.DUMMYFUNCTION("""COMPUTED_VALUE"""),"forgotten")</f>
        <v>forgotten</v>
      </c>
      <c r="J94" s="6" t="str">
        <f>IFERROR(__xludf.DUMMYFUNCTION("""COMPUTED_VALUE"""),"family")</f>
        <v>family</v>
      </c>
      <c r="L94" s="6" t="str">
        <f>IFERROR(__xludf.DUMMYFUNCTION("""COMPUTED_VALUE"""),"thinking")</f>
        <v>thinking</v>
      </c>
      <c r="M94" s="6" t="str">
        <f>IFERROR(__xludf.DUMMYFUNCTION("""COMPUTED_VALUE"""),"want")</f>
        <v>want</v>
      </c>
      <c r="N94" s="6" t="str">
        <f>IFERROR(__xludf.DUMMYFUNCTION("""COMPUTED_VALUE"""),"eye")</f>
        <v>eye</v>
      </c>
      <c r="P94" s="6" t="str">
        <f>IFERROR(__xludf.DUMMYFUNCTION("""COMPUTED_VALUE"""),"carried")</f>
        <v>carried</v>
      </c>
      <c r="Q94" s="6" t="str">
        <f>IFERROR(__xludf.DUMMYFUNCTION("""COMPUTED_VALUE"""),"veins")</f>
        <v>veins</v>
      </c>
      <c r="S94" s="6" t="str">
        <f>IFERROR(__xludf.DUMMYFUNCTION("""COMPUTED_VALUE"""),"beauty")</f>
        <v>beauty</v>
      </c>
    </row>
    <row r="95">
      <c r="A95" s="6" t="str">
        <f>IFERROR(__xludf.DUMMYFUNCTION("""COMPUTED_VALUE"""),"flourish")</f>
        <v>flourish</v>
      </c>
      <c r="B95" s="6" t="str">
        <f>IFERROR(__xludf.DUMMYFUNCTION("""COMPUTED_VALUE"""),"glued")</f>
        <v>glued</v>
      </c>
      <c r="C95" s="6" t="str">
        <f>IFERROR(__xludf.DUMMYFUNCTION("""COMPUTED_VALUE"""),"drains")</f>
        <v>drains</v>
      </c>
      <c r="D95" s="6"/>
      <c r="E95" s="6" t="str">
        <f>IFERROR(__xludf.DUMMYFUNCTION("""COMPUTED_VALUE"""),"establishes")</f>
        <v>establishes</v>
      </c>
      <c r="G95" s="6" t="str">
        <f>IFERROR(__xludf.DUMMYFUNCTION("""COMPUTED_VALUE"""),"tear")</f>
        <v>tear</v>
      </c>
      <c r="H95" s="6" t="str">
        <f>IFERROR(__xludf.DUMMYFUNCTION("""COMPUTED_VALUE"""),"parody")</f>
        <v>parody</v>
      </c>
      <c r="I95" s="6" t="str">
        <f>IFERROR(__xludf.DUMMYFUNCTION("""COMPUTED_VALUE"""),"laugh")</f>
        <v>laugh</v>
      </c>
      <c r="J95" s="6" t="str">
        <f>IFERROR(__xludf.DUMMYFUNCTION("""COMPUTED_VALUE"""),"flair")</f>
        <v>flair</v>
      </c>
      <c r="L95" s="6" t="str">
        <f>IFERROR(__xludf.DUMMYFUNCTION("""COMPUTED_VALUE"""),"near")</f>
        <v>near</v>
      </c>
      <c r="M95" s="6" t="str">
        <f>IFERROR(__xludf.DUMMYFUNCTION("""COMPUTED_VALUE"""),"inside")</f>
        <v>inside</v>
      </c>
      <c r="N95" s="6" t="str">
        <f>IFERROR(__xludf.DUMMYFUNCTION("""COMPUTED_VALUE"""),"cause")</f>
        <v>cause</v>
      </c>
      <c r="P95" s="6" t="str">
        <f>IFERROR(__xludf.DUMMYFUNCTION("""COMPUTED_VALUE"""),"seem")</f>
        <v>seem</v>
      </c>
      <c r="Q95" s="6" t="str">
        <f>IFERROR(__xludf.DUMMYFUNCTION("""COMPUTED_VALUE"""),"rich")</f>
        <v>rich</v>
      </c>
      <c r="S95" s="6" t="str">
        <f>IFERROR(__xludf.DUMMYFUNCTION("""COMPUTED_VALUE"""),"bloody")</f>
        <v>bloody</v>
      </c>
    </row>
    <row r="96">
      <c r="A96" s="6" t="str">
        <f>IFERROR(__xludf.DUMMYFUNCTION("""COMPUTED_VALUE"""),"problematic")</f>
        <v>problematic</v>
      </c>
      <c r="B96" s="6" t="str">
        <f>IFERROR(__xludf.DUMMYFUNCTION("""COMPUTED_VALUE"""),"reflective")</f>
        <v>reflective</v>
      </c>
      <c r="C96" s="6" t="str">
        <f>IFERROR(__xludf.DUMMYFUNCTION("""COMPUTED_VALUE"""),"magnetic")</f>
        <v>magnetic</v>
      </c>
      <c r="D96" s="6"/>
      <c r="E96" s="6" t="str">
        <f>IFERROR(__xludf.DUMMYFUNCTION("""COMPUTED_VALUE"""),"clarity")</f>
        <v>clarity</v>
      </c>
      <c r="G96" s="6" t="str">
        <f>IFERROR(__xludf.DUMMYFUNCTION("""COMPUTED_VALUE"""),"cinematic")</f>
        <v>cinematic</v>
      </c>
      <c r="H96" s="6" t="str">
        <f>IFERROR(__xludf.DUMMYFUNCTION("""COMPUTED_VALUE"""),"android")</f>
        <v>android</v>
      </c>
      <c r="I96" s="6" t="str">
        <f>IFERROR(__xludf.DUMMYFUNCTION("""COMPUTED_VALUE"""),"car")</f>
        <v>car</v>
      </c>
      <c r="J96" s="6" t="str">
        <f>IFERROR(__xludf.DUMMYFUNCTION("""COMPUTED_VALUE"""),"animated")</f>
        <v>animated</v>
      </c>
      <c r="L96" s="6" t="str">
        <f>IFERROR(__xludf.DUMMYFUNCTION("""COMPUTED_VALUE"""),"party")</f>
        <v>party</v>
      </c>
      <c r="M96" s="6" t="str">
        <f>IFERROR(__xludf.DUMMYFUNCTION("""COMPUTED_VALUE"""),"popularity")</f>
        <v>popularity</v>
      </c>
      <c r="N96" s="6" t="str">
        <f>IFERROR(__xludf.DUMMYFUNCTION("""COMPUTED_VALUE"""),"end")</f>
        <v>end</v>
      </c>
      <c r="P96" s="6" t="str">
        <f>IFERROR(__xludf.DUMMYFUNCTION("""COMPUTED_VALUE"""),"history")</f>
        <v>history</v>
      </c>
      <c r="Q96" s="6" t="str">
        <f>IFERROR(__xludf.DUMMYFUNCTION("""COMPUTED_VALUE"""),"joy")</f>
        <v>joy</v>
      </c>
      <c r="S96" s="6" t="str">
        <f>IFERROR(__xludf.DUMMYFUNCTION("""COMPUTED_VALUE"""),"many")</f>
        <v>many</v>
      </c>
    </row>
    <row r="97">
      <c r="A97" s="6" t="str">
        <f>IFERROR(__xludf.DUMMYFUNCTION("""COMPUTED_VALUE"""),"magnetic")</f>
        <v>magnetic</v>
      </c>
      <c r="B97" s="6" t="str">
        <f>IFERROR(__xludf.DUMMYFUNCTION("""COMPUTED_VALUE"""),"viewed")</f>
        <v>viewed</v>
      </c>
      <c r="C97" s="6" t="str">
        <f>IFERROR(__xludf.DUMMYFUNCTION("""COMPUTED_VALUE"""),"monstrous")</f>
        <v>monstrous</v>
      </c>
      <c r="D97" s="6"/>
      <c r="E97" s="6" t="str">
        <f>IFERROR(__xludf.DUMMYFUNCTION("""COMPUTED_VALUE"""),"chuckle")</f>
        <v>chuckle</v>
      </c>
      <c r="G97" s="6" t="str">
        <f>IFERROR(__xludf.DUMMYFUNCTION("""COMPUTED_VALUE"""),"titles")</f>
        <v>titles</v>
      </c>
      <c r="H97" s="6" t="str">
        <f>IFERROR(__xludf.DUMMYFUNCTION("""COMPUTED_VALUE"""),"intriguing")</f>
        <v>intriguing</v>
      </c>
      <c r="I97" s="6" t="str">
        <f>IFERROR(__xludf.DUMMYFUNCTION("""COMPUTED_VALUE"""),"get")</f>
        <v>get</v>
      </c>
      <c r="J97" s="6" t="str">
        <f>IFERROR(__xludf.DUMMYFUNCTION("""COMPUTED_VALUE"""),"alternating")</f>
        <v>alternating</v>
      </c>
      <c r="L97" s="6" t="str">
        <f>IFERROR(__xludf.DUMMYFUNCTION("""COMPUTED_VALUE"""),"others")</f>
        <v>others</v>
      </c>
      <c r="M97" s="6" t="str">
        <f>IFERROR(__xludf.DUMMYFUNCTION("""COMPUTED_VALUE"""),"chicken")</f>
        <v>chicken</v>
      </c>
      <c r="N97" s="6" t="str">
        <f>IFERROR(__xludf.DUMMYFUNCTION("""COMPUTED_VALUE"""),"think")</f>
        <v>think</v>
      </c>
      <c r="P97" s="6" t="str">
        <f>IFERROR(__xludf.DUMMYFUNCTION("""COMPUTED_VALUE"""),"power")</f>
        <v>power</v>
      </c>
      <c r="Q97" s="6" t="str">
        <f>IFERROR(__xludf.DUMMYFUNCTION("""COMPUTED_VALUE"""),"shot")</f>
        <v>shot</v>
      </c>
      <c r="S97" s="6" t="str">
        <f>IFERROR(__xludf.DUMMYFUNCTION("""COMPUTED_VALUE"""),"poor")</f>
        <v>poor</v>
      </c>
    </row>
    <row r="98">
      <c r="A98" s="6" t="str">
        <f>IFERROR(__xludf.DUMMYFUNCTION("""COMPUTED_VALUE"""),"monstrous")</f>
        <v>monstrous</v>
      </c>
      <c r="B98" s="6" t="str">
        <f>IFERROR(__xludf.DUMMYFUNCTION("""COMPUTED_VALUE"""),"credible")</f>
        <v>credible</v>
      </c>
      <c r="C98" s="6" t="str">
        <f>IFERROR(__xludf.DUMMYFUNCTION("""COMPUTED_VALUE"""),"breathe")</f>
        <v>breathe</v>
      </c>
      <c r="D98" s="6"/>
      <c r="E98" s="6" t="str">
        <f>IFERROR(__xludf.DUMMYFUNCTION("""COMPUTED_VALUE"""),"commanding")</f>
        <v>commanding</v>
      </c>
      <c r="G98" s="6" t="str">
        <f>IFERROR(__xludf.DUMMYFUNCTION("""COMPUTED_VALUE"""),"generally")</f>
        <v>generally</v>
      </c>
      <c r="H98" s="6" t="str">
        <f>IFERROR(__xludf.DUMMYFUNCTION("""COMPUTED_VALUE"""),"comic")</f>
        <v>comic</v>
      </c>
      <c r="I98" s="6" t="str">
        <f>IFERROR(__xludf.DUMMYFUNCTION("""COMPUTED_VALUE"""),"dialogue")</f>
        <v>dialogue</v>
      </c>
      <c r="J98" s="6" t="str">
        <f>IFERROR(__xludf.DUMMYFUNCTION("""COMPUTED_VALUE"""),"parody")</f>
        <v>parody</v>
      </c>
      <c r="L98" s="6" t="str">
        <f>IFERROR(__xludf.DUMMYFUNCTION("""COMPUTED_VALUE"""),"sports")</f>
        <v>sports</v>
      </c>
      <c r="M98" s="6" t="str">
        <f>IFERROR(__xludf.DUMMYFUNCTION("""COMPUTED_VALUE"""),"river")</f>
        <v>river</v>
      </c>
      <c r="N98" s="6" t="str">
        <f>IFERROR(__xludf.DUMMYFUNCTION("""COMPUTED_VALUE"""),"would")</f>
        <v>would</v>
      </c>
      <c r="P98" s="6" t="str">
        <f>IFERROR(__xludf.DUMMYFUNCTION("""COMPUTED_VALUE"""),"help")</f>
        <v>help</v>
      </c>
      <c r="Q98" s="6" t="str">
        <f>IFERROR(__xludf.DUMMYFUNCTION("""COMPUTED_VALUE"""),"ugly")</f>
        <v>ugly</v>
      </c>
      <c r="S98" s="6" t="str">
        <f>IFERROR(__xludf.DUMMYFUNCTION("""COMPUTED_VALUE"""),"driving")</f>
        <v>driving</v>
      </c>
    </row>
    <row r="99">
      <c r="A99" s="6" t="str">
        <f>IFERROR(__xludf.DUMMYFUNCTION("""COMPUTED_VALUE"""),"borrowed")</f>
        <v>borrowed</v>
      </c>
      <c r="B99" s="6" t="str">
        <f>IFERROR(__xludf.DUMMYFUNCTION("""COMPUTED_VALUE"""),"combines")</f>
        <v>combines</v>
      </c>
      <c r="C99" s="6" t="str">
        <f>IFERROR(__xludf.DUMMYFUNCTION("""COMPUTED_VALUE"""),"creates")</f>
        <v>creates</v>
      </c>
      <c r="D99" s="6"/>
      <c r="E99" s="6" t="str">
        <f>IFERROR(__xludf.DUMMYFUNCTION("""COMPUTED_VALUE"""),"fabricated")</f>
        <v>fabricated</v>
      </c>
      <c r="G99" s="6" t="str">
        <f>IFERROR(__xludf.DUMMYFUNCTION("""COMPUTED_VALUE"""),"down")</f>
        <v>down</v>
      </c>
      <c r="H99" s="6" t="str">
        <f>IFERROR(__xludf.DUMMYFUNCTION("""COMPUTED_VALUE"""),"pulp")</f>
        <v>pulp</v>
      </c>
      <c r="I99" s="6" t="str">
        <f>IFERROR(__xludf.DUMMYFUNCTION("""COMPUTED_VALUE"""),"makeup")</f>
        <v>makeup</v>
      </c>
      <c r="J99" s="6" t="str">
        <f>IFERROR(__xludf.DUMMYFUNCTION("""COMPUTED_VALUE"""),"pulp")</f>
        <v>pulp</v>
      </c>
      <c r="L99" s="6" t="str">
        <f>IFERROR(__xludf.DUMMYFUNCTION("""COMPUTED_VALUE"""),"praises")</f>
        <v>praises</v>
      </c>
      <c r="M99" s="6" t="str">
        <f>IFERROR(__xludf.DUMMYFUNCTION("""COMPUTED_VALUE"""),"practice")</f>
        <v>practice</v>
      </c>
      <c r="N99" s="6" t="str">
        <f>IFERROR(__xludf.DUMMYFUNCTION("""COMPUTED_VALUE"""),"done")</f>
        <v>done</v>
      </c>
      <c r="P99" s="6" t="str">
        <f>IFERROR(__xludf.DUMMYFUNCTION("""COMPUTED_VALUE"""),"horror")</f>
        <v>horror</v>
      </c>
      <c r="Q99" s="6" t="str">
        <f>IFERROR(__xludf.DUMMYFUNCTION("""COMPUTED_VALUE"""),"exploration")</f>
        <v>exploration</v>
      </c>
      <c r="S99" s="6" t="str">
        <f>IFERROR(__xludf.DUMMYFUNCTION("""COMPUTED_VALUE"""),"touching")</f>
        <v>touching</v>
      </c>
    </row>
    <row r="100">
      <c r="A100" s="6" t="str">
        <f>IFERROR(__xludf.DUMMYFUNCTION("""COMPUTED_VALUE"""),"creates")</f>
        <v>creates</v>
      </c>
      <c r="B100" s="6" t="str">
        <f>IFERROR(__xludf.DUMMYFUNCTION("""COMPUTED_VALUE"""),"corpse")</f>
        <v>corpse</v>
      </c>
      <c r="C100" s="6" t="str">
        <f>IFERROR(__xludf.DUMMYFUNCTION("""COMPUTED_VALUE"""),"expresses")</f>
        <v>expresses</v>
      </c>
      <c r="D100" s="6"/>
      <c r="E100" s="6" t="str">
        <f>IFERROR(__xludf.DUMMYFUNCTION("""COMPUTED_VALUE"""),"uneasy")</f>
        <v>uneasy</v>
      </c>
      <c r="G100" s="6" t="str">
        <f>IFERROR(__xludf.DUMMYFUNCTION("""COMPUTED_VALUE"""),"other")</f>
        <v>other</v>
      </c>
      <c r="H100" s="6" t="str">
        <f>IFERROR(__xludf.DUMMYFUNCTION("""COMPUTED_VALUE"""),"difference")</f>
        <v>difference</v>
      </c>
      <c r="I100" s="6" t="str">
        <f>IFERROR(__xludf.DUMMYFUNCTION("""COMPUTED_VALUE"""),"brings")</f>
        <v>brings</v>
      </c>
      <c r="J100" s="6" t="str">
        <f>IFERROR(__xludf.DUMMYFUNCTION("""COMPUTED_VALUE"""),"difference")</f>
        <v>difference</v>
      </c>
      <c r="L100" s="6" t="str">
        <f>IFERROR(__xludf.DUMMYFUNCTION("""COMPUTED_VALUE"""),"drive")</f>
        <v>drive</v>
      </c>
      <c r="M100" s="6" t="str">
        <f>IFERROR(__xludf.DUMMYFUNCTION("""COMPUTED_VALUE"""),"knew")</f>
        <v>knew</v>
      </c>
      <c r="N100" s="6" t="str">
        <f>IFERROR(__xludf.DUMMYFUNCTION("""COMPUTED_VALUE"""),"right")</f>
        <v>right</v>
      </c>
      <c r="P100" s="6" t="str">
        <f>IFERROR(__xludf.DUMMYFUNCTION("""COMPUTED_VALUE"""),"life")</f>
        <v>life</v>
      </c>
      <c r="Q100" s="6" t="str">
        <f>IFERROR(__xludf.DUMMYFUNCTION("""COMPUTED_VALUE"""),"emptiness")</f>
        <v>emptiness</v>
      </c>
      <c r="S100" s="6" t="str">
        <f>IFERROR(__xludf.DUMMYFUNCTION("""COMPUTED_VALUE"""),"starts")</f>
        <v>starts</v>
      </c>
    </row>
    <row r="101">
      <c r="A101" s="6" t="str">
        <f>IFERROR(__xludf.DUMMYFUNCTION("""COMPUTED_VALUE"""),"expresses")</f>
        <v>expresses</v>
      </c>
      <c r="B101" s="6" t="str">
        <f>IFERROR(__xludf.DUMMYFUNCTION("""COMPUTED_VALUE"""),"lifts")</f>
        <v>lifts</v>
      </c>
      <c r="C101" s="6" t="str">
        <f>IFERROR(__xludf.DUMMYFUNCTION("""COMPUTED_VALUE"""),"inactive")</f>
        <v>inactive</v>
      </c>
      <c r="D101" s="6"/>
      <c r="E101" s="6" t="str">
        <f>IFERROR(__xludf.DUMMYFUNCTION("""COMPUTED_VALUE"""),"precisely")</f>
        <v>precisely</v>
      </c>
      <c r="G101" s="6" t="str">
        <f>IFERROR(__xludf.DUMMYFUNCTION("""COMPUTED_VALUE"""),"concert")</f>
        <v>concert</v>
      </c>
      <c r="H101" s="6" t="str">
        <f>IFERROR(__xludf.DUMMYFUNCTION("""COMPUTED_VALUE"""),"artworks")</f>
        <v>artworks</v>
      </c>
      <c r="I101" s="6" t="str">
        <f>IFERROR(__xludf.DUMMYFUNCTION("""COMPUTED_VALUE"""),"proper")</f>
        <v>proper</v>
      </c>
      <c r="J101" s="6" t="str">
        <f>IFERROR(__xludf.DUMMYFUNCTION("""COMPUTED_VALUE"""),"artworks")</f>
        <v>artworks</v>
      </c>
      <c r="L101" s="6" t="str">
        <f>IFERROR(__xludf.DUMMYFUNCTION("""COMPUTED_VALUE"""),"his")</f>
        <v>his</v>
      </c>
      <c r="M101" s="6" t="str">
        <f>IFERROR(__xludf.DUMMYFUNCTION("""COMPUTED_VALUE"""),"meal")</f>
        <v>meal</v>
      </c>
      <c r="N101" s="6" t="str">
        <f>IFERROR(__xludf.DUMMYFUNCTION("""COMPUTED_VALUE"""),"moved")</f>
        <v>moved</v>
      </c>
      <c r="P101" s="6" t="str">
        <f>IFERROR(__xludf.DUMMYFUNCTION("""COMPUTED_VALUE"""),"historically")</f>
        <v>historically</v>
      </c>
      <c r="Q101" s="6" t="str">
        <f>IFERROR(__xludf.DUMMYFUNCTION("""COMPUTED_VALUE"""),"relentless")</f>
        <v>relentless</v>
      </c>
      <c r="S101" s="6" t="str">
        <f>IFERROR(__xludf.DUMMYFUNCTION("""COMPUTED_VALUE"""),"legend")</f>
        <v>legend</v>
      </c>
    </row>
    <row r="102">
      <c r="A102" s="6" t="str">
        <f>IFERROR(__xludf.DUMMYFUNCTION("""COMPUTED_VALUE"""),"inactive")</f>
        <v>inactive</v>
      </c>
      <c r="B102" s="6" t="str">
        <f>IFERROR(__xludf.DUMMYFUNCTION("""COMPUTED_VALUE"""),"shorter")</f>
        <v>shorter</v>
      </c>
      <c r="C102" s="6" t="str">
        <f>IFERROR(__xludf.DUMMYFUNCTION("""COMPUTED_VALUE"""),"establishes")</f>
        <v>establishes</v>
      </c>
      <c r="D102" s="6"/>
      <c r="E102" s="6" t="str">
        <f>IFERROR(__xludf.DUMMYFUNCTION("""COMPUTED_VALUE"""),"stalls")</f>
        <v>stalls</v>
      </c>
      <c r="G102" s="6" t="str">
        <f>IFERROR(__xludf.DUMMYFUNCTION("""COMPUTED_VALUE"""),"authority")</f>
        <v>authority</v>
      </c>
      <c r="H102" s="6" t="str">
        <f>IFERROR(__xludf.DUMMYFUNCTION("""COMPUTED_VALUE"""),"washington")</f>
        <v>washington</v>
      </c>
      <c r="I102" s="6" t="str">
        <f>IFERROR(__xludf.DUMMYFUNCTION("""COMPUTED_VALUE"""),"role")</f>
        <v>role</v>
      </c>
      <c r="J102" s="6" t="str">
        <f>IFERROR(__xludf.DUMMYFUNCTION("""COMPUTED_VALUE"""),"explore")</f>
        <v>explore</v>
      </c>
      <c r="L102" s="6" t="str">
        <f>IFERROR(__xludf.DUMMYFUNCTION("""COMPUTED_VALUE"""),"enough")</f>
        <v>enough</v>
      </c>
      <c r="M102" s="6" t="str">
        <f>IFERROR(__xludf.DUMMYFUNCTION("""COMPUTED_VALUE"""),"bore")</f>
        <v>bore</v>
      </c>
      <c r="N102" s="6" t="str">
        <f>IFERROR(__xludf.DUMMYFUNCTION("""COMPUTED_VALUE"""),"family")</f>
        <v>family</v>
      </c>
      <c r="P102" s="6" t="str">
        <f>IFERROR(__xludf.DUMMYFUNCTION("""COMPUTED_VALUE"""),"significant")</f>
        <v>significant</v>
      </c>
      <c r="Q102" s="6" t="str">
        <f>IFERROR(__xludf.DUMMYFUNCTION("""COMPUTED_VALUE"""),"hold")</f>
        <v>hold</v>
      </c>
      <c r="S102" s="6" t="str">
        <f>IFERROR(__xludf.DUMMYFUNCTION("""COMPUTED_VALUE"""),"rich")</f>
        <v>rich</v>
      </c>
    </row>
    <row r="103">
      <c r="A103" s="6" t="str">
        <f>IFERROR(__xludf.DUMMYFUNCTION("""COMPUTED_VALUE"""),"establishes")</f>
        <v>establishes</v>
      </c>
      <c r="B103" s="6" t="str">
        <f>IFERROR(__xludf.DUMMYFUNCTION("""COMPUTED_VALUE"""),"elaborate")</f>
        <v>elaborate</v>
      </c>
      <c r="C103" s="6" t="str">
        <f>IFERROR(__xludf.DUMMYFUNCTION("""COMPUTED_VALUE"""),"lavish")</f>
        <v>lavish</v>
      </c>
      <c r="D103" s="6"/>
      <c r="E103" s="6" t="str">
        <f>IFERROR(__xludf.DUMMYFUNCTION("""COMPUTED_VALUE"""),"jerking")</f>
        <v>jerking</v>
      </c>
      <c r="G103" s="6" t="str">
        <f>IFERROR(__xludf.DUMMYFUNCTION("""COMPUTED_VALUE"""),"fluid")</f>
        <v>fluid</v>
      </c>
      <c r="H103" s="6" t="str">
        <f>IFERROR(__xludf.DUMMYFUNCTION("""COMPUTED_VALUE"""),"images")</f>
        <v>images</v>
      </c>
      <c r="I103" s="6" t="str">
        <f>IFERROR(__xludf.DUMMYFUNCTION("""COMPUTED_VALUE"""),"artist")</f>
        <v>artist</v>
      </c>
      <c r="J103" s="6" t="str">
        <f>IFERROR(__xludf.DUMMYFUNCTION("""COMPUTED_VALUE"""),"long")</f>
        <v>long</v>
      </c>
      <c r="L103" s="6" t="str">
        <f>IFERROR(__xludf.DUMMYFUNCTION("""COMPUTED_VALUE"""),"bit")</f>
        <v>bit</v>
      </c>
      <c r="M103" s="6" t="str">
        <f>IFERROR(__xludf.DUMMYFUNCTION("""COMPUTED_VALUE"""),"asian")</f>
        <v>asian</v>
      </c>
      <c r="N103" s="6" t="str">
        <f>IFERROR(__xludf.DUMMYFUNCTION("""COMPUTED_VALUE"""),"different")</f>
        <v>different</v>
      </c>
      <c r="P103" s="6" t="b">
        <f>IFERROR(__xludf.DUMMYFUNCTION("""COMPUTED_VALUE"""),TRUE)</f>
        <v>1</v>
      </c>
      <c r="Q103" s="6" t="str">
        <f>IFERROR(__xludf.DUMMYFUNCTION("""COMPUTED_VALUE"""),"mergers")</f>
        <v>mergers</v>
      </c>
      <c r="S103" s="6" t="str">
        <f>IFERROR(__xludf.DUMMYFUNCTION("""COMPUTED_VALUE"""),"veins")</f>
        <v>veins</v>
      </c>
    </row>
    <row r="104">
      <c r="A104" s="6" t="str">
        <f>IFERROR(__xludf.DUMMYFUNCTION("""COMPUTED_VALUE"""),"lavish")</f>
        <v>lavish</v>
      </c>
      <c r="B104" s="6" t="str">
        <f>IFERROR(__xludf.DUMMYFUNCTION("""COMPUTED_VALUE"""),"spontaneous")</f>
        <v>spontaneous</v>
      </c>
      <c r="C104" s="6" t="str">
        <f>IFERROR(__xludf.DUMMYFUNCTION("""COMPUTED_VALUE"""),"reduces")</f>
        <v>reduces</v>
      </c>
      <c r="D104" s="6"/>
      <c r="E104" s="6" t="str">
        <f>IFERROR(__xludf.DUMMYFUNCTION("""COMPUTED_VALUE"""),"harmless")</f>
        <v>harmless</v>
      </c>
      <c r="G104" s="6" t="str">
        <f>IFERROR(__xludf.DUMMYFUNCTION("""COMPUTED_VALUE"""),"had")</f>
        <v>had</v>
      </c>
      <c r="H104" s="6" t="str">
        <f>IFERROR(__xludf.DUMMYFUNCTION("""COMPUTED_VALUE"""),"eyes")</f>
        <v>eyes</v>
      </c>
      <c r="I104" s="6" t="str">
        <f>IFERROR(__xludf.DUMMYFUNCTION("""COMPUTED_VALUE"""),"similar")</f>
        <v>similar</v>
      </c>
      <c r="J104" s="6" t="str">
        <f>IFERROR(__xludf.DUMMYFUNCTION("""COMPUTED_VALUE"""),"images")</f>
        <v>images</v>
      </c>
      <c r="L104" s="6" t="str">
        <f>IFERROR(__xludf.DUMMYFUNCTION("""COMPUTED_VALUE"""),"year")</f>
        <v>year</v>
      </c>
      <c r="M104" s="6" t="str">
        <f>IFERROR(__xludf.DUMMYFUNCTION("""COMPUTED_VALUE"""),"us")</f>
        <v>us</v>
      </c>
      <c r="N104" s="6">
        <f>IFERROR(__xludf.DUMMYFUNCTION("""COMPUTED_VALUE"""),4.0)</f>
        <v>4</v>
      </c>
      <c r="P104" s="6" t="str">
        <f>IFERROR(__xludf.DUMMYFUNCTION("""COMPUTED_VALUE"""),"tribute")</f>
        <v>tribute</v>
      </c>
      <c r="Q104" s="6" t="str">
        <f>IFERROR(__xludf.DUMMYFUNCTION("""COMPUTED_VALUE"""),"climate")</f>
        <v>climate</v>
      </c>
      <c r="S104" s="6" t="str">
        <f>IFERROR(__xludf.DUMMYFUNCTION("""COMPUTED_VALUE"""),"joy")</f>
        <v>joy</v>
      </c>
    </row>
    <row r="105">
      <c r="A105" s="6" t="str">
        <f>IFERROR(__xludf.DUMMYFUNCTION("""COMPUTED_VALUE"""),"reduces")</f>
        <v>reduces</v>
      </c>
      <c r="B105" s="6" t="str">
        <f>IFERROR(__xludf.DUMMYFUNCTION("""COMPUTED_VALUE"""),"quietly")</f>
        <v>quietly</v>
      </c>
      <c r="C105" s="6" t="str">
        <f>IFERROR(__xludf.DUMMYFUNCTION("""COMPUTED_VALUE"""),"clarity")</f>
        <v>clarity</v>
      </c>
      <c r="D105" s="6"/>
      <c r="E105" s="6" t="str">
        <f>IFERROR(__xludf.DUMMYFUNCTION("""COMPUTED_VALUE"""),"adequately")</f>
        <v>adequately</v>
      </c>
      <c r="G105" s="6" t="str">
        <f>IFERROR(__xludf.DUMMYFUNCTION("""COMPUTED_VALUE"""),"storytelling")</f>
        <v>storytelling</v>
      </c>
      <c r="H105" s="6" t="str">
        <f>IFERROR(__xludf.DUMMYFUNCTION("""COMPUTED_VALUE"""),"tear")</f>
        <v>tear</v>
      </c>
      <c r="I105" s="6" t="str">
        <f>IFERROR(__xludf.DUMMYFUNCTION("""COMPUTED_VALUE"""),"collapse")</f>
        <v>collapse</v>
      </c>
      <c r="J105" s="6" t="str">
        <f>IFERROR(__xludf.DUMMYFUNCTION("""COMPUTED_VALUE"""),"eyes")</f>
        <v>eyes</v>
      </c>
      <c r="L105" s="6" t="str">
        <f>IFERROR(__xludf.DUMMYFUNCTION("""COMPUTED_VALUE"""),"white")</f>
        <v>white</v>
      </c>
      <c r="M105" s="6" t="str">
        <f>IFERROR(__xludf.DUMMYFUNCTION("""COMPUTED_VALUE"""),"stars")</f>
        <v>stars</v>
      </c>
      <c r="N105" s="6" t="str">
        <f>IFERROR(__xludf.DUMMYFUNCTION("""COMPUTED_VALUE"""),"got")</f>
        <v>got</v>
      </c>
      <c r="P105" s="6" t="str">
        <f>IFERROR(__xludf.DUMMYFUNCTION("""COMPUTED_VALUE"""),"first")</f>
        <v>first</v>
      </c>
      <c r="Q105" s="6" t="str">
        <f>IFERROR(__xludf.DUMMYFUNCTION("""COMPUTED_VALUE"""),"recording")</f>
        <v>recording</v>
      </c>
      <c r="S105" s="6" t="str">
        <f>IFERROR(__xludf.DUMMYFUNCTION("""COMPUTED_VALUE"""),"shot")</f>
        <v>shot</v>
      </c>
    </row>
    <row r="106">
      <c r="A106" s="6" t="str">
        <f>IFERROR(__xludf.DUMMYFUNCTION("""COMPUTED_VALUE"""),"sympathetic")</f>
        <v>sympathetic</v>
      </c>
      <c r="B106" s="6" t="str">
        <f>IFERROR(__xludf.DUMMYFUNCTION("""COMPUTED_VALUE"""),"portrays")</f>
        <v>portrays</v>
      </c>
      <c r="C106" s="6" t="str">
        <f>IFERROR(__xludf.DUMMYFUNCTION("""COMPUTED_VALUE"""),"chuckle")</f>
        <v>chuckle</v>
      </c>
      <c r="D106" s="6"/>
      <c r="E106" s="6" t="str">
        <f>IFERROR(__xludf.DUMMYFUNCTION("""COMPUTED_VALUE"""),"eerie")</f>
        <v>eerie</v>
      </c>
      <c r="G106" s="6" t="str">
        <f>IFERROR(__xludf.DUMMYFUNCTION("""COMPUTED_VALUE"""),"uses")</f>
        <v>uses</v>
      </c>
      <c r="H106" s="6" t="str">
        <f>IFERROR(__xludf.DUMMYFUNCTION("""COMPUTED_VALUE"""),"cinematic")</f>
        <v>cinematic</v>
      </c>
      <c r="I106" s="6" t="str">
        <f>IFERROR(__xludf.DUMMYFUNCTION("""COMPUTED_VALUE"""),"tool")</f>
        <v>tool</v>
      </c>
      <c r="J106" s="6" t="str">
        <f>IFERROR(__xludf.DUMMYFUNCTION("""COMPUTED_VALUE"""),"tear")</f>
        <v>tear</v>
      </c>
      <c r="L106" s="6" t="str">
        <f>IFERROR(__xludf.DUMMYFUNCTION("""COMPUTED_VALUE"""),"sweet")</f>
        <v>sweet</v>
      </c>
      <c r="M106" s="6" t="str">
        <f>IFERROR(__xludf.DUMMYFUNCTION("""COMPUTED_VALUE"""),"thought")</f>
        <v>thought</v>
      </c>
      <c r="N106" s="6" t="str">
        <f>IFERROR(__xludf.DUMMYFUNCTION("""COMPUTED_VALUE"""),"milk")</f>
        <v>milk</v>
      </c>
      <c r="P106" s="6" t="str">
        <f>IFERROR(__xludf.DUMMYFUNCTION("""COMPUTED_VALUE"""),"two")</f>
        <v>two</v>
      </c>
      <c r="Q106" s="6" t="str">
        <f>IFERROR(__xludf.DUMMYFUNCTION("""COMPUTED_VALUE"""),"current")</f>
        <v>current</v>
      </c>
      <c r="S106" s="6" t="str">
        <f>IFERROR(__xludf.DUMMYFUNCTION("""COMPUTED_VALUE"""),"digital")</f>
        <v>digital</v>
      </c>
    </row>
    <row r="107">
      <c r="A107" s="6" t="str">
        <f>IFERROR(__xludf.DUMMYFUNCTION("""COMPUTED_VALUE"""),"clarity")</f>
        <v>clarity</v>
      </c>
      <c r="B107" s="6" t="str">
        <f>IFERROR(__xludf.DUMMYFUNCTION("""COMPUTED_VALUE"""),"profound")</f>
        <v>profound</v>
      </c>
      <c r="C107" s="6" t="str">
        <f>IFERROR(__xludf.DUMMYFUNCTION("""COMPUTED_VALUE"""),"commanding")</f>
        <v>commanding</v>
      </c>
      <c r="D107" s="6"/>
      <c r="E107" s="6" t="str">
        <f>IFERROR(__xludf.DUMMYFUNCTION("""COMPUTED_VALUE"""),"racist")</f>
        <v>racist</v>
      </c>
      <c r="G107" s="6" t="str">
        <f>IFERROR(__xludf.DUMMYFUNCTION("""COMPUTED_VALUE"""),"pleasures")</f>
        <v>pleasures</v>
      </c>
      <c r="H107" s="6" t="str">
        <f>IFERROR(__xludf.DUMMYFUNCTION("""COMPUTED_VALUE"""),"addition")</f>
        <v>addition</v>
      </c>
      <c r="I107" s="6" t="str">
        <f>IFERROR(__xludf.DUMMYFUNCTION("""COMPUTED_VALUE"""),"excuse")</f>
        <v>excuse</v>
      </c>
      <c r="J107" s="6" t="str">
        <f>IFERROR(__xludf.DUMMYFUNCTION("""COMPUTED_VALUE"""),"cinematic")</f>
        <v>cinematic</v>
      </c>
      <c r="L107" s="6" t="str">
        <f>IFERROR(__xludf.DUMMYFUNCTION("""COMPUTED_VALUE"""),"less")</f>
        <v>less</v>
      </c>
      <c r="M107" s="6" t="str">
        <f>IFERROR(__xludf.DUMMYFUNCTION("""COMPUTED_VALUE"""),"rice")</f>
        <v>rice</v>
      </c>
      <c r="N107" s="6" t="str">
        <f>IFERROR(__xludf.DUMMYFUNCTION("""COMPUTED_VALUE"""),"street")</f>
        <v>street</v>
      </c>
      <c r="P107" s="6" t="str">
        <f>IFERROR(__xludf.DUMMYFUNCTION("""COMPUTED_VALUE"""),"enough")</f>
        <v>enough</v>
      </c>
      <c r="Q107" s="6" t="str">
        <f>IFERROR(__xludf.DUMMYFUNCTION("""COMPUTED_VALUE"""),"storylines")</f>
        <v>storylines</v>
      </c>
      <c r="S107" s="6" t="str">
        <f>IFERROR(__xludf.DUMMYFUNCTION("""COMPUTED_VALUE"""),"ugly")</f>
        <v>ugly</v>
      </c>
    </row>
    <row r="108">
      <c r="A108" s="6" t="str">
        <f>IFERROR(__xludf.DUMMYFUNCTION("""COMPUTED_VALUE"""),"chuckle")</f>
        <v>chuckle</v>
      </c>
      <c r="B108" s="6" t="str">
        <f>IFERROR(__xludf.DUMMYFUNCTION("""COMPUTED_VALUE"""),"dubious")</f>
        <v>dubious</v>
      </c>
      <c r="C108" s="6" t="str">
        <f>IFERROR(__xludf.DUMMYFUNCTION("""COMPUTED_VALUE"""),"fabricated")</f>
        <v>fabricated</v>
      </c>
      <c r="D108" s="6"/>
      <c r="E108" s="6" t="str">
        <f>IFERROR(__xludf.DUMMYFUNCTION("""COMPUTED_VALUE"""),"confident")</f>
        <v>confident</v>
      </c>
      <c r="G108" s="6" t="str">
        <f>IFERROR(__xludf.DUMMYFUNCTION("""COMPUTED_VALUE"""),"masterpiece")</f>
        <v>masterpiece</v>
      </c>
      <c r="H108" s="6" t="str">
        <f>IFERROR(__xludf.DUMMYFUNCTION("""COMPUTED_VALUE"""),"generally")</f>
        <v>generally</v>
      </c>
      <c r="I108" s="6" t="str">
        <f>IFERROR(__xludf.DUMMYFUNCTION("""COMPUTED_VALUE"""),"effective")</f>
        <v>effective</v>
      </c>
      <c r="J108" s="6" t="str">
        <f>IFERROR(__xludf.DUMMYFUNCTION("""COMPUTED_VALUE"""),"addition")</f>
        <v>addition</v>
      </c>
      <c r="L108" s="6" t="str">
        <f>IFERROR(__xludf.DUMMYFUNCTION("""COMPUTED_VALUE"""),"store")</f>
        <v>store</v>
      </c>
      <c r="M108" s="6" t="str">
        <f>IFERROR(__xludf.DUMMYFUNCTION("""COMPUTED_VALUE"""),"look")</f>
        <v>look</v>
      </c>
      <c r="N108" s="6" t="str">
        <f>IFERROR(__xludf.DUMMYFUNCTION("""COMPUTED_VALUE"""),"ahead")</f>
        <v>ahead</v>
      </c>
      <c r="P108" s="6" t="str">
        <f>IFERROR(__xludf.DUMMYFUNCTION("""COMPUTED_VALUE"""),"throw")</f>
        <v>throw</v>
      </c>
      <c r="Q108" s="6" t="str">
        <f>IFERROR(__xludf.DUMMYFUNCTION("""COMPUTED_VALUE"""),"woven")</f>
        <v>woven</v>
      </c>
      <c r="S108" s="6" t="str">
        <f>IFERROR(__xludf.DUMMYFUNCTION("""COMPUTED_VALUE"""),"ending")</f>
        <v>ending</v>
      </c>
    </row>
    <row r="109">
      <c r="A109" s="6" t="str">
        <f>IFERROR(__xludf.DUMMYFUNCTION("""COMPUTED_VALUE"""),"commanding")</f>
        <v>commanding</v>
      </c>
      <c r="B109" s="6" t="str">
        <f>IFERROR(__xludf.DUMMYFUNCTION("""COMPUTED_VALUE"""),"hampered")</f>
        <v>hampered</v>
      </c>
      <c r="C109" s="6" t="str">
        <f>IFERROR(__xludf.DUMMYFUNCTION("""COMPUTED_VALUE"""),"uneasy")</f>
        <v>uneasy</v>
      </c>
      <c r="D109" s="6"/>
      <c r="E109" s="6" t="str">
        <f>IFERROR(__xludf.DUMMYFUNCTION("""COMPUTED_VALUE"""),"hollow")</f>
        <v>hollow</v>
      </c>
      <c r="G109" s="6" t="str">
        <f>IFERROR(__xludf.DUMMYFUNCTION("""COMPUTED_VALUE"""),"forgotten")</f>
        <v>forgotten</v>
      </c>
      <c r="H109" s="6" t="str">
        <f>IFERROR(__xludf.DUMMYFUNCTION("""COMPUTED_VALUE"""),"mystery")</f>
        <v>mystery</v>
      </c>
      <c r="I109" s="6" t="str">
        <f>IFERROR(__xludf.DUMMYFUNCTION("""COMPUTED_VALUE"""),"community")</f>
        <v>community</v>
      </c>
      <c r="J109" s="6" t="str">
        <f>IFERROR(__xludf.DUMMYFUNCTION("""COMPUTED_VALUE"""),"titles")</f>
        <v>titles</v>
      </c>
      <c r="L109" s="6" t="str">
        <f>IFERROR(__xludf.DUMMYFUNCTION("""COMPUTED_VALUE"""),"giant")</f>
        <v>giant</v>
      </c>
      <c r="M109" s="6" t="str">
        <f>IFERROR(__xludf.DUMMYFUNCTION("""COMPUTED_VALUE"""),"table")</f>
        <v>table</v>
      </c>
      <c r="N109" s="6" t="str">
        <f>IFERROR(__xludf.DUMMYFUNCTION("""COMPUTED_VALUE"""),"flavor")</f>
        <v>flavor</v>
      </c>
      <c r="P109" s="6" t="str">
        <f>IFERROR(__xludf.DUMMYFUNCTION("""COMPUTED_VALUE"""),"robert")</f>
        <v>robert</v>
      </c>
      <c r="Q109" s="6" t="str">
        <f>IFERROR(__xludf.DUMMYFUNCTION("""COMPUTED_VALUE"""),"experience")</f>
        <v>experience</v>
      </c>
      <c r="S109" s="6" t="str">
        <f>IFERROR(__xludf.DUMMYFUNCTION("""COMPUTED_VALUE"""),"exploration")</f>
        <v>exploration</v>
      </c>
    </row>
    <row r="110">
      <c r="A110" s="6" t="str">
        <f>IFERROR(__xludf.DUMMYFUNCTION("""COMPUTED_VALUE"""),"fabricated")</f>
        <v>fabricated</v>
      </c>
      <c r="B110" s="6" t="str">
        <f>IFERROR(__xludf.DUMMYFUNCTION("""COMPUTED_VALUE"""),"niche")</f>
        <v>niche</v>
      </c>
      <c r="C110" s="6" t="str">
        <f>IFERROR(__xludf.DUMMYFUNCTION("""COMPUTED_VALUE"""),"precisely")</f>
        <v>precisely</v>
      </c>
      <c r="D110" s="6"/>
      <c r="E110" s="6" t="str">
        <f>IFERROR(__xludf.DUMMYFUNCTION("""COMPUTED_VALUE"""),"sensual")</f>
        <v>sensual</v>
      </c>
      <c r="G110" s="6" t="str">
        <f>IFERROR(__xludf.DUMMYFUNCTION("""COMPUTED_VALUE"""),"laugh")</f>
        <v>laugh</v>
      </c>
      <c r="H110" s="6">
        <f>IFERROR(__xludf.DUMMYFUNCTION("""COMPUTED_VALUE"""),3000.0)</f>
        <v>3000</v>
      </c>
      <c r="I110" s="6" t="str">
        <f>IFERROR(__xludf.DUMMYFUNCTION("""COMPUTED_VALUE"""),"tradition")</f>
        <v>tradition</v>
      </c>
      <c r="J110" s="6" t="str">
        <f>IFERROR(__xludf.DUMMYFUNCTION("""COMPUTED_VALUE"""),"down")</f>
        <v>down</v>
      </c>
      <c r="L110" s="6" t="str">
        <f>IFERROR(__xludf.DUMMYFUNCTION("""COMPUTED_VALUE"""),"remember")</f>
        <v>remember</v>
      </c>
      <c r="M110" s="6" t="str">
        <f>IFERROR(__xludf.DUMMYFUNCTION("""COMPUTED_VALUE"""),"desire")</f>
        <v>desire</v>
      </c>
      <c r="N110" s="6" t="str">
        <f>IFERROR(__xludf.DUMMYFUNCTION("""COMPUTED_VALUE"""),"lower")</f>
        <v>lower</v>
      </c>
      <c r="P110" s="6" t="str">
        <f>IFERROR(__xludf.DUMMYFUNCTION("""COMPUTED_VALUE"""),"intensity")</f>
        <v>intensity</v>
      </c>
      <c r="Q110" s="6" t="str">
        <f>IFERROR(__xludf.DUMMYFUNCTION("""COMPUTED_VALUE"""),"empathy")</f>
        <v>empathy</v>
      </c>
      <c r="S110" s="6" t="str">
        <f>IFERROR(__xludf.DUMMYFUNCTION("""COMPUTED_VALUE"""),"though")</f>
        <v>though</v>
      </c>
    </row>
    <row r="111">
      <c r="A111" s="6" t="str">
        <f>IFERROR(__xludf.DUMMYFUNCTION("""COMPUTED_VALUE"""),"uneasy")</f>
        <v>uneasy</v>
      </c>
      <c r="B111" s="6" t="str">
        <f>IFERROR(__xludf.DUMMYFUNCTION("""COMPUTED_VALUE"""),"slack")</f>
        <v>slack</v>
      </c>
      <c r="C111" s="6" t="str">
        <f>IFERROR(__xludf.DUMMYFUNCTION("""COMPUTED_VALUE"""),"jerking")</f>
        <v>jerking</v>
      </c>
      <c r="D111" s="6"/>
      <c r="E111" s="6" t="str">
        <f>IFERROR(__xludf.DUMMYFUNCTION("""COMPUTED_VALUE"""),"cerebral")</f>
        <v>cerebral</v>
      </c>
      <c r="G111" s="6" t="str">
        <f>IFERROR(__xludf.DUMMYFUNCTION("""COMPUTED_VALUE"""),"car")</f>
        <v>car</v>
      </c>
      <c r="H111" s="6" t="str">
        <f>IFERROR(__xludf.DUMMYFUNCTION("""COMPUTED_VALUE"""),"em")</f>
        <v>em</v>
      </c>
      <c r="I111" s="6" t="str">
        <f>IFERROR(__xludf.DUMMYFUNCTION("""COMPUTED_VALUE"""),"set")</f>
        <v>set</v>
      </c>
      <c r="J111" s="6" t="str">
        <f>IFERROR(__xludf.DUMMYFUNCTION("""COMPUTED_VALUE"""),"mystery")</f>
        <v>mystery</v>
      </c>
      <c r="L111" s="6" t="str">
        <f>IFERROR(__xludf.DUMMYFUNCTION("""COMPUTED_VALUE"""),"remarkable")</f>
        <v>remarkable</v>
      </c>
      <c r="M111" s="6" t="str">
        <f>IFERROR(__xludf.DUMMYFUNCTION("""COMPUTED_VALUE"""),"yet")</f>
        <v>yet</v>
      </c>
      <c r="N111" s="6" t="str">
        <f>IFERROR(__xludf.DUMMYFUNCTION("""COMPUTED_VALUE"""),"buy")</f>
        <v>buy</v>
      </c>
      <c r="P111" s="6" t="str">
        <f>IFERROR(__xludf.DUMMYFUNCTION("""COMPUTED_VALUE"""),"manages")</f>
        <v>manages</v>
      </c>
      <c r="Q111" s="6" t="str">
        <f>IFERROR(__xludf.DUMMYFUNCTION("""COMPUTED_VALUE"""),"cruel")</f>
        <v>cruel</v>
      </c>
      <c r="S111" s="6" t="str">
        <f>IFERROR(__xludf.DUMMYFUNCTION("""COMPUTED_VALUE"""),"hold")</f>
        <v>hold</v>
      </c>
    </row>
    <row r="112">
      <c r="A112" s="6" t="str">
        <f>IFERROR(__xludf.DUMMYFUNCTION("""COMPUTED_VALUE"""),"precisely")</f>
        <v>precisely</v>
      </c>
      <c r="B112" s="6" t="str">
        <f>IFERROR(__xludf.DUMMYFUNCTION("""COMPUTED_VALUE"""),"vital")</f>
        <v>vital</v>
      </c>
      <c r="C112" s="6" t="str">
        <f>IFERROR(__xludf.DUMMYFUNCTION("""COMPUTED_VALUE"""),"harmless")</f>
        <v>harmless</v>
      </c>
      <c r="D112" s="6"/>
      <c r="E112" s="6" t="str">
        <f>IFERROR(__xludf.DUMMYFUNCTION("""COMPUTED_VALUE"""),"glued")</f>
        <v>glued</v>
      </c>
      <c r="G112" s="6" t="str">
        <f>IFERROR(__xludf.DUMMYFUNCTION("""COMPUTED_VALUE"""),"get")</f>
        <v>get</v>
      </c>
      <c r="H112" s="6" t="str">
        <f>IFERROR(__xludf.DUMMYFUNCTION("""COMPUTED_VALUE"""),"fluid")</f>
        <v>fluid</v>
      </c>
      <c r="I112" s="6" t="str">
        <f>IFERROR(__xludf.DUMMYFUNCTION("""COMPUTED_VALUE"""),"roll")</f>
        <v>roll</v>
      </c>
      <c r="J112" s="6" t="str">
        <f>IFERROR(__xludf.DUMMYFUNCTION("""COMPUTED_VALUE"""),"em")</f>
        <v>em</v>
      </c>
      <c r="L112" s="6" t="str">
        <f>IFERROR(__xludf.DUMMYFUNCTION("""COMPUTED_VALUE"""),"together")</f>
        <v>together</v>
      </c>
      <c r="M112" s="6" t="str">
        <f>IFERROR(__xludf.DUMMYFUNCTION("""COMPUTED_VALUE"""),"eye")</f>
        <v>eye</v>
      </c>
      <c r="N112" s="6" t="str">
        <f>IFERROR(__xludf.DUMMYFUNCTION("""COMPUTED_VALUE"""),"need")</f>
        <v>need</v>
      </c>
      <c r="P112" s="6" t="str">
        <f>IFERROR(__xludf.DUMMYFUNCTION("""COMPUTED_VALUE"""),"family")</f>
        <v>family</v>
      </c>
      <c r="Q112" s="6" t="str">
        <f>IFERROR(__xludf.DUMMYFUNCTION("""COMPUTED_VALUE"""),"deception")</f>
        <v>deception</v>
      </c>
      <c r="S112" s="6" t="str">
        <f>IFERROR(__xludf.DUMMYFUNCTION("""COMPUTED_VALUE"""),"never")</f>
        <v>never</v>
      </c>
    </row>
    <row r="113">
      <c r="A113" s="6" t="str">
        <f>IFERROR(__xludf.DUMMYFUNCTION("""COMPUTED_VALUE"""),"jerking")</f>
        <v>jerking</v>
      </c>
      <c r="B113" s="6" t="str">
        <f>IFERROR(__xludf.DUMMYFUNCTION("""COMPUTED_VALUE"""),"sweetly")</f>
        <v>sweetly</v>
      </c>
      <c r="C113" s="6" t="str">
        <f>IFERROR(__xludf.DUMMYFUNCTION("""COMPUTED_VALUE"""),"adequately")</f>
        <v>adequately</v>
      </c>
      <c r="D113" s="6"/>
      <c r="E113" s="6" t="str">
        <f>IFERROR(__xludf.DUMMYFUNCTION("""COMPUTED_VALUE"""),"reflective")</f>
        <v>reflective</v>
      </c>
      <c r="G113" s="6" t="str">
        <f>IFERROR(__xludf.DUMMYFUNCTION("""COMPUTED_VALUE"""),"dialogue")</f>
        <v>dialogue</v>
      </c>
      <c r="H113" s="6" t="str">
        <f>IFERROR(__xludf.DUMMYFUNCTION("""COMPUTED_VALUE"""),"storytelling")</f>
        <v>storytelling</v>
      </c>
      <c r="I113" s="6" t="str">
        <f>IFERROR(__xludf.DUMMYFUNCTION("""COMPUTED_VALUE"""),"consistent")</f>
        <v>consistent</v>
      </c>
      <c r="J113" s="6" t="str">
        <f>IFERROR(__xludf.DUMMYFUNCTION("""COMPUTED_VALUE"""),"other")</f>
        <v>other</v>
      </c>
      <c r="L113" s="6" t="str">
        <f>IFERROR(__xludf.DUMMYFUNCTION("""COMPUTED_VALUE"""),"sisters")</f>
        <v>sisters</v>
      </c>
      <c r="M113" s="6" t="str">
        <f>IFERROR(__xludf.DUMMYFUNCTION("""COMPUTED_VALUE"""),"cause")</f>
        <v>cause</v>
      </c>
      <c r="N113" s="6" t="str">
        <f>IFERROR(__xludf.DUMMYFUNCTION("""COMPUTED_VALUE"""),"thing")</f>
        <v>thing</v>
      </c>
      <c r="P113" s="6" t="str">
        <f>IFERROR(__xludf.DUMMYFUNCTION("""COMPUTED_VALUE"""),"entertainment")</f>
        <v>entertainment</v>
      </c>
      <c r="Q113" s="6" t="str">
        <f>IFERROR(__xludf.DUMMYFUNCTION("""COMPUTED_VALUE"""),"carried")</f>
        <v>carried</v>
      </c>
      <c r="S113" s="6" t="str">
        <f>IFERROR(__xludf.DUMMYFUNCTION("""COMPUTED_VALUE"""),"feel")</f>
        <v>feel</v>
      </c>
    </row>
    <row r="114">
      <c r="A114" s="6" t="str">
        <f>IFERROR(__xludf.DUMMYFUNCTION("""COMPUTED_VALUE"""),"harmless")</f>
        <v>harmless</v>
      </c>
      <c r="B114" s="6" t="str">
        <f>IFERROR(__xludf.DUMMYFUNCTION("""COMPUTED_VALUE"""),"infectious")</f>
        <v>infectious</v>
      </c>
      <c r="C114" s="6" t="str">
        <f>IFERROR(__xludf.DUMMYFUNCTION("""COMPUTED_VALUE"""),"insulting")</f>
        <v>insulting</v>
      </c>
      <c r="D114" s="6"/>
      <c r="E114" s="6" t="str">
        <f>IFERROR(__xludf.DUMMYFUNCTION("""COMPUTED_VALUE"""),"snaps")</f>
        <v>snaps</v>
      </c>
      <c r="G114" s="6" t="str">
        <f>IFERROR(__xludf.DUMMYFUNCTION("""COMPUTED_VALUE"""),"clumsy")</f>
        <v>clumsy</v>
      </c>
      <c r="H114" s="6" t="str">
        <f>IFERROR(__xludf.DUMMYFUNCTION("""COMPUTED_VALUE"""),"casts")</f>
        <v>casts</v>
      </c>
      <c r="I114" s="6" t="str">
        <f>IFERROR(__xludf.DUMMYFUNCTION("""COMPUTED_VALUE"""),"trying")</f>
        <v>trying</v>
      </c>
      <c r="J114" s="6" t="str">
        <f>IFERROR(__xludf.DUMMYFUNCTION("""COMPUTED_VALUE"""),"concert")</f>
        <v>concert</v>
      </c>
      <c r="L114" s="6" t="str">
        <f>IFERROR(__xludf.DUMMYFUNCTION("""COMPUTED_VALUE"""),"close")</f>
        <v>close</v>
      </c>
      <c r="M114" s="6" t="str">
        <f>IFERROR(__xludf.DUMMYFUNCTION("""COMPUTED_VALUE"""),"amount")</f>
        <v>amount</v>
      </c>
      <c r="N114" s="6" t="str">
        <f>IFERROR(__xludf.DUMMYFUNCTION("""COMPUTED_VALUE"""),"card")</f>
        <v>card</v>
      </c>
      <c r="P114" s="6" t="str">
        <f>IFERROR(__xludf.DUMMYFUNCTION("""COMPUTED_VALUE"""),"animated")</f>
        <v>animated</v>
      </c>
      <c r="Q114" s="6" t="str">
        <f>IFERROR(__xludf.DUMMYFUNCTION("""COMPUTED_VALUE"""),"history")</f>
        <v>history</v>
      </c>
      <c r="S114" s="6" t="str">
        <f>IFERROR(__xludf.DUMMYFUNCTION("""COMPUTED_VALUE"""),"one")</f>
        <v>one</v>
      </c>
    </row>
    <row r="115">
      <c r="A115" s="6" t="str">
        <f>IFERROR(__xludf.DUMMYFUNCTION("""COMPUTED_VALUE"""),"adequately")</f>
        <v>adequately</v>
      </c>
      <c r="B115" s="6" t="str">
        <f>IFERROR(__xludf.DUMMYFUNCTION("""COMPUTED_VALUE"""),"conspicuous")</f>
        <v>conspicuous</v>
      </c>
      <c r="C115" s="6" t="str">
        <f>IFERROR(__xludf.DUMMYFUNCTION("""COMPUTED_VALUE"""),"racist")</f>
        <v>racist</v>
      </c>
      <c r="D115" s="6"/>
      <c r="E115" s="6" t="str">
        <f>IFERROR(__xludf.DUMMYFUNCTION("""COMPUTED_VALUE"""),"viewed")</f>
        <v>viewed</v>
      </c>
      <c r="G115" s="6" t="str">
        <f>IFERROR(__xludf.DUMMYFUNCTION("""COMPUTED_VALUE"""),"sentiment")</f>
        <v>sentiment</v>
      </c>
      <c r="H115" s="6" t="str">
        <f>IFERROR(__xludf.DUMMYFUNCTION("""COMPUTED_VALUE"""),"pleasures")</f>
        <v>pleasures</v>
      </c>
      <c r="I115" s="6" t="str">
        <f>IFERROR(__xludf.DUMMYFUNCTION("""COMPUTED_VALUE"""),"tries")</f>
        <v>tries</v>
      </c>
      <c r="J115" s="6" t="str">
        <f>IFERROR(__xludf.DUMMYFUNCTION("""COMPUTED_VALUE"""),"fluid")</f>
        <v>fluid</v>
      </c>
      <c r="L115" s="6" t="str">
        <f>IFERROR(__xludf.DUMMYFUNCTION("""COMPUTED_VALUE"""),"throughout")</f>
        <v>throughout</v>
      </c>
      <c r="M115" s="6" t="str">
        <f>IFERROR(__xludf.DUMMYFUNCTION("""COMPUTED_VALUE"""),"dragon")</f>
        <v>dragon</v>
      </c>
      <c r="N115" s="6" t="str">
        <f>IFERROR(__xludf.DUMMYFUNCTION("""COMPUTED_VALUE"""),"light")</f>
        <v>light</v>
      </c>
      <c r="P115" s="6" t="str">
        <f>IFERROR(__xludf.DUMMYFUNCTION("""COMPUTED_VALUE"""),"believe")</f>
        <v>believe</v>
      </c>
      <c r="Q115" s="6" t="str">
        <f>IFERROR(__xludf.DUMMYFUNCTION("""COMPUTED_VALUE"""),"earnest")</f>
        <v>earnest</v>
      </c>
      <c r="S115" s="6" t="str">
        <f>IFERROR(__xludf.DUMMYFUNCTION("""COMPUTED_VALUE"""),"current")</f>
        <v>current</v>
      </c>
    </row>
    <row r="116">
      <c r="A116" s="6" t="str">
        <f>IFERROR(__xludf.DUMMYFUNCTION("""COMPUTED_VALUE"""),"eerie")</f>
        <v>eerie</v>
      </c>
      <c r="B116" s="6" t="str">
        <f>IFERROR(__xludf.DUMMYFUNCTION("""COMPUTED_VALUE"""),"thud")</f>
        <v>thud</v>
      </c>
      <c r="C116" s="6" t="str">
        <f>IFERROR(__xludf.DUMMYFUNCTION("""COMPUTED_VALUE"""),"confident")</f>
        <v>confident</v>
      </c>
      <c r="D116" s="6"/>
      <c r="E116" s="6" t="str">
        <f>IFERROR(__xludf.DUMMYFUNCTION("""COMPUTED_VALUE"""),"credible")</f>
        <v>credible</v>
      </c>
      <c r="G116" s="6" t="str">
        <f>IFERROR(__xludf.DUMMYFUNCTION("""COMPUTED_VALUE"""),"betrayed")</f>
        <v>betrayed</v>
      </c>
      <c r="H116" s="6" t="str">
        <f>IFERROR(__xludf.DUMMYFUNCTION("""COMPUTED_VALUE"""),"masterpiece")</f>
        <v>masterpiece</v>
      </c>
      <c r="I116" s="6" t="str">
        <f>IFERROR(__xludf.DUMMYFUNCTION("""COMPUTED_VALUE"""),"reveals")</f>
        <v>reveals</v>
      </c>
      <c r="J116" s="6" t="str">
        <f>IFERROR(__xludf.DUMMYFUNCTION("""COMPUTED_VALUE"""),"had")</f>
        <v>had</v>
      </c>
      <c r="L116" s="6" t="str">
        <f>IFERROR(__xludf.DUMMYFUNCTION("""COMPUTED_VALUE"""),"heart")</f>
        <v>heart</v>
      </c>
      <c r="M116" s="6" t="str">
        <f>IFERROR(__xludf.DUMMYFUNCTION("""COMPUTED_VALUE"""),"hole")</f>
        <v>hole</v>
      </c>
      <c r="N116" s="6" t="str">
        <f>IFERROR(__xludf.DUMMYFUNCTION("""COMPUTED_VALUE"""),"bright")</f>
        <v>bright</v>
      </c>
      <c r="P116" s="6" t="str">
        <f>IFERROR(__xludf.DUMMYFUNCTION("""COMPUTED_VALUE"""),"anyone")</f>
        <v>anyone</v>
      </c>
      <c r="Q116" s="6" t="str">
        <f>IFERROR(__xludf.DUMMYFUNCTION("""COMPUTED_VALUE"""),"homage")</f>
        <v>homage</v>
      </c>
      <c r="S116" s="6" t="str">
        <f>IFERROR(__xludf.DUMMYFUNCTION("""COMPUTED_VALUE"""),"industry")</f>
        <v>industry</v>
      </c>
    </row>
    <row r="117">
      <c r="A117" s="6" t="str">
        <f>IFERROR(__xludf.DUMMYFUNCTION("""COMPUTED_VALUE"""),"insulting")</f>
        <v>insulting</v>
      </c>
      <c r="B117" s="6" t="str">
        <f>IFERROR(__xludf.DUMMYFUNCTION("""COMPUTED_VALUE"""),"exploitation")</f>
        <v>exploitation</v>
      </c>
      <c r="C117" s="6" t="str">
        <f>IFERROR(__xludf.DUMMYFUNCTION("""COMPUTED_VALUE"""),"hollow")</f>
        <v>hollow</v>
      </c>
      <c r="D117" s="6"/>
      <c r="E117" s="6" t="str">
        <f>IFERROR(__xludf.DUMMYFUNCTION("""COMPUTED_VALUE"""),"combines")</f>
        <v>combines</v>
      </c>
      <c r="G117" s="6" t="str">
        <f>IFERROR(__xludf.DUMMYFUNCTION("""COMPUTED_VALUE"""),"makeup")</f>
        <v>makeup</v>
      </c>
      <c r="H117" s="6" t="str">
        <f>IFERROR(__xludf.DUMMYFUNCTION("""COMPUTED_VALUE"""),"lot")</f>
        <v>lot</v>
      </c>
      <c r="I117" s="6" t="str">
        <f>IFERROR(__xludf.DUMMYFUNCTION("""COMPUTED_VALUE"""),"important")</f>
        <v>important</v>
      </c>
      <c r="J117" s="6" t="str">
        <f>IFERROR(__xludf.DUMMYFUNCTION("""COMPUTED_VALUE"""),"storytelling")</f>
        <v>storytelling</v>
      </c>
      <c r="L117" s="6" t="str">
        <f>IFERROR(__xludf.DUMMYFUNCTION("""COMPUTED_VALUE"""),"childhood")</f>
        <v>childhood</v>
      </c>
      <c r="M117" s="6" t="str">
        <f>IFERROR(__xludf.DUMMYFUNCTION("""COMPUTED_VALUE"""),"end")</f>
        <v>end</v>
      </c>
      <c r="N117" s="6" t="str">
        <f>IFERROR(__xludf.DUMMYFUNCTION("""COMPUTED_VALUE"""),"early")</f>
        <v>early</v>
      </c>
      <c r="P117" s="6" t="str">
        <f>IFERROR(__xludf.DUMMYFUNCTION("""COMPUTED_VALUE"""),"central")</f>
        <v>central</v>
      </c>
      <c r="Q117" s="6" t="str">
        <f>IFERROR(__xludf.DUMMYFUNCTION("""COMPUTED_VALUE"""),"few")</f>
        <v>few</v>
      </c>
      <c r="S117" s="6" t="str">
        <f>IFERROR(__xludf.DUMMYFUNCTION("""COMPUTED_VALUE"""),"recording")</f>
        <v>recording</v>
      </c>
    </row>
    <row r="118">
      <c r="A118" s="6" t="str">
        <f>IFERROR(__xludf.DUMMYFUNCTION("""COMPUTED_VALUE"""),"confident")</f>
        <v>confident</v>
      </c>
      <c r="B118" s="6" t="str">
        <f>IFERROR(__xludf.DUMMYFUNCTION("""COMPUTED_VALUE"""),"triumph")</f>
        <v>triumph</v>
      </c>
      <c r="C118" s="6" t="str">
        <f>IFERROR(__xludf.DUMMYFUNCTION("""COMPUTED_VALUE"""),"sincerity")</f>
        <v>sincerity</v>
      </c>
      <c r="D118" s="6"/>
      <c r="E118" s="6" t="str">
        <f>IFERROR(__xludf.DUMMYFUNCTION("""COMPUTED_VALUE"""),"corpse")</f>
        <v>corpse</v>
      </c>
      <c r="G118" s="6" t="str">
        <f>IFERROR(__xludf.DUMMYFUNCTION("""COMPUTED_VALUE"""),"bourne")</f>
        <v>bourne</v>
      </c>
      <c r="H118" s="6" t="str">
        <f>IFERROR(__xludf.DUMMYFUNCTION("""COMPUTED_VALUE"""),"hopeless")</f>
        <v>hopeless</v>
      </c>
      <c r="I118" s="6" t="str">
        <f>IFERROR(__xludf.DUMMYFUNCTION("""COMPUTED_VALUE"""),"service")</f>
        <v>service</v>
      </c>
      <c r="J118" s="6" t="str">
        <f>IFERROR(__xludf.DUMMYFUNCTION("""COMPUTED_VALUE"""),"casts")</f>
        <v>casts</v>
      </c>
      <c r="L118" s="6" t="str">
        <f>IFERROR(__xludf.DUMMYFUNCTION("""COMPUTED_VALUE"""),"clinic")</f>
        <v>clinic</v>
      </c>
      <c r="M118" s="6" t="str">
        <f>IFERROR(__xludf.DUMMYFUNCTION("""COMPUTED_VALUE"""),"think")</f>
        <v>think</v>
      </c>
      <c r="N118" s="6" t="str">
        <f>IFERROR(__xludf.DUMMYFUNCTION("""COMPUTED_VALUE"""),"cut")</f>
        <v>cut</v>
      </c>
      <c r="P118" s="6" t="str">
        <f>IFERROR(__xludf.DUMMYFUNCTION("""COMPUTED_VALUE"""),"comic")</f>
        <v>comic</v>
      </c>
      <c r="Q118" s="6" t="str">
        <f>IFERROR(__xludf.DUMMYFUNCTION("""COMPUTED_VALUE"""),"endure")</f>
        <v>endure</v>
      </c>
      <c r="S118" s="6" t="str">
        <f>IFERROR(__xludf.DUMMYFUNCTION("""COMPUTED_VALUE"""),"climate")</f>
        <v>climate</v>
      </c>
    </row>
    <row r="119">
      <c r="A119" s="6" t="str">
        <f>IFERROR(__xludf.DUMMYFUNCTION("""COMPUTED_VALUE"""),"hollow")</f>
        <v>hollow</v>
      </c>
      <c r="B119" s="6" t="str">
        <f>IFERROR(__xludf.DUMMYFUNCTION("""COMPUTED_VALUE"""),"breakthrough")</f>
        <v>breakthrough</v>
      </c>
      <c r="C119" s="6" t="str">
        <f>IFERROR(__xludf.DUMMYFUNCTION("""COMPUTED_VALUE"""),"sensual")</f>
        <v>sensual</v>
      </c>
      <c r="D119" s="6"/>
      <c r="E119" s="6" t="str">
        <f>IFERROR(__xludf.DUMMYFUNCTION("""COMPUTED_VALUE"""),"lifts")</f>
        <v>lifts</v>
      </c>
      <c r="G119" s="6" t="str">
        <f>IFERROR(__xludf.DUMMYFUNCTION("""COMPUTED_VALUE"""),"proper")</f>
        <v>proper</v>
      </c>
      <c r="H119" s="6" t="str">
        <f>IFERROR(__xludf.DUMMYFUNCTION("""COMPUTED_VALUE"""),"charming")</f>
        <v>charming</v>
      </c>
      <c r="I119" s="6" t="str">
        <f>IFERROR(__xludf.DUMMYFUNCTION("""COMPUTED_VALUE"""),"da")</f>
        <v>da</v>
      </c>
      <c r="J119" s="6" t="str">
        <f>IFERROR(__xludf.DUMMYFUNCTION("""COMPUTED_VALUE"""),"uses")</f>
        <v>uses</v>
      </c>
      <c r="L119" s="6" t="str">
        <f>IFERROR(__xludf.DUMMYFUNCTION("""COMPUTED_VALUE"""),"born")</f>
        <v>born</v>
      </c>
      <c r="M119" s="6" t="str">
        <f>IFERROR(__xludf.DUMMYFUNCTION("""COMPUTED_VALUE"""),"simply")</f>
        <v>simply</v>
      </c>
      <c r="N119" s="6" t="str">
        <f>IFERROR(__xludf.DUMMYFUNCTION("""COMPUTED_VALUE"""),"college")</f>
        <v>college</v>
      </c>
      <c r="P119" s="6" t="str">
        <f>IFERROR(__xludf.DUMMYFUNCTION("""COMPUTED_VALUE"""),"difference")</f>
        <v>difference</v>
      </c>
      <c r="Q119" s="6" t="str">
        <f>IFERROR(__xludf.DUMMYFUNCTION("""COMPUTED_VALUE"""),"generates")</f>
        <v>generates</v>
      </c>
      <c r="S119" s="6" t="str">
        <f>IFERROR(__xludf.DUMMYFUNCTION("""COMPUTED_VALUE"""),"experience")</f>
        <v>experience</v>
      </c>
    </row>
    <row r="120">
      <c r="A120" s="6" t="str">
        <f>IFERROR(__xludf.DUMMYFUNCTION("""COMPUTED_VALUE"""),"sensation")</f>
        <v>sensation</v>
      </c>
      <c r="B120" s="6" t="str">
        <f>IFERROR(__xludf.DUMMYFUNCTION("""COMPUTED_VALUE"""),"capture")</f>
        <v>capture</v>
      </c>
      <c r="C120" s="6" t="str">
        <f>IFERROR(__xludf.DUMMYFUNCTION("""COMPUTED_VALUE"""),"cerebral")</f>
        <v>cerebral</v>
      </c>
      <c r="D120" s="6"/>
      <c r="E120" s="6" t="str">
        <f>IFERROR(__xludf.DUMMYFUNCTION("""COMPUTED_VALUE"""),"elaborate")</f>
        <v>elaborate</v>
      </c>
      <c r="G120" s="6" t="str">
        <f>IFERROR(__xludf.DUMMYFUNCTION("""COMPUTED_VALUE"""),"role")</f>
        <v>role</v>
      </c>
      <c r="H120" s="6" t="str">
        <f>IFERROR(__xludf.DUMMYFUNCTION("""COMPUTED_VALUE"""),"dialogue")</f>
        <v>dialogue</v>
      </c>
      <c r="I120" s="6" t="str">
        <f>IFERROR(__xludf.DUMMYFUNCTION("""COMPUTED_VALUE"""),"relief")</f>
        <v>relief</v>
      </c>
      <c r="J120" s="6" t="str">
        <f>IFERROR(__xludf.DUMMYFUNCTION("""COMPUTED_VALUE"""),"pleasures")</f>
        <v>pleasures</v>
      </c>
      <c r="L120" s="6" t="str">
        <f>IFERROR(__xludf.DUMMYFUNCTION("""COMPUTED_VALUE"""),"previous")</f>
        <v>previous</v>
      </c>
      <c r="M120" s="6" t="str">
        <f>IFERROR(__xludf.DUMMYFUNCTION("""COMPUTED_VALUE"""),"would")</f>
        <v>would</v>
      </c>
      <c r="N120" s="6" t="str">
        <f>IFERROR(__xludf.DUMMYFUNCTION("""COMPUTED_VALUE"""),"part")</f>
        <v>part</v>
      </c>
      <c r="P120" s="6" t="str">
        <f>IFERROR(__xludf.DUMMYFUNCTION("""COMPUTED_VALUE"""),"questions")</f>
        <v>questions</v>
      </c>
      <c r="Q120" s="6" t="str">
        <f>IFERROR(__xludf.DUMMYFUNCTION("""COMPUTED_VALUE"""),"life")</f>
        <v>life</v>
      </c>
      <c r="S120" s="6" t="str">
        <f>IFERROR(__xludf.DUMMYFUNCTION("""COMPUTED_VALUE"""),"shots")</f>
        <v>shots</v>
      </c>
    </row>
    <row r="121">
      <c r="A121" s="6" t="str">
        <f>IFERROR(__xludf.DUMMYFUNCTION("""COMPUTED_VALUE"""),"sincerity")</f>
        <v>sincerity</v>
      </c>
      <c r="B121" s="6" t="str">
        <f>IFERROR(__xludf.DUMMYFUNCTION("""COMPUTED_VALUE"""),"penetrating")</f>
        <v>penetrating</v>
      </c>
      <c r="C121" s="6" t="str">
        <f>IFERROR(__xludf.DUMMYFUNCTION("""COMPUTED_VALUE"""),"glued")</f>
        <v>glued</v>
      </c>
      <c r="D121" s="6"/>
      <c r="E121" s="6" t="str">
        <f>IFERROR(__xludf.DUMMYFUNCTION("""COMPUTED_VALUE"""),"bravery")</f>
        <v>bravery</v>
      </c>
      <c r="G121" s="6" t="str">
        <f>IFERROR(__xludf.DUMMYFUNCTION("""COMPUTED_VALUE"""),"generosity")</f>
        <v>generosity</v>
      </c>
      <c r="H121" s="6" t="str">
        <f>IFERROR(__xludf.DUMMYFUNCTION("""COMPUTED_VALUE"""),"clumsy")</f>
        <v>clumsy</v>
      </c>
      <c r="I121" s="6" t="str">
        <f>IFERROR(__xludf.DUMMYFUNCTION("""COMPUTED_VALUE"""),"promise")</f>
        <v>promise</v>
      </c>
      <c r="J121" s="6" t="str">
        <f>IFERROR(__xludf.DUMMYFUNCTION("""COMPUTED_VALUE"""),"masterpiece")</f>
        <v>masterpiece</v>
      </c>
      <c r="L121" s="6" t="str">
        <f>IFERROR(__xludf.DUMMYFUNCTION("""COMPUTED_VALUE"""),"yourself")</f>
        <v>yourself</v>
      </c>
      <c r="M121" s="6" t="str">
        <f>IFERROR(__xludf.DUMMYFUNCTION("""COMPUTED_VALUE"""),"carry")</f>
        <v>carry</v>
      </c>
      <c r="N121" s="6" t="str">
        <f>IFERROR(__xludf.DUMMYFUNCTION("""COMPUTED_VALUE"""),"day")</f>
        <v>day</v>
      </c>
      <c r="P121" s="6" t="str">
        <f>IFERROR(__xludf.DUMMYFUNCTION("""COMPUTED_VALUE"""),"moments")</f>
        <v>moments</v>
      </c>
      <c r="Q121" s="6" t="str">
        <f>IFERROR(__xludf.DUMMYFUNCTION("""COMPUTED_VALUE"""),"historically")</f>
        <v>historically</v>
      </c>
      <c r="S121" s="6" t="str">
        <f>IFERROR(__xludf.DUMMYFUNCTION("""COMPUTED_VALUE"""),"men")</f>
        <v>men</v>
      </c>
    </row>
    <row r="122">
      <c r="A122" s="6" t="str">
        <f>IFERROR(__xludf.DUMMYFUNCTION("""COMPUTED_VALUE"""),"sensual")</f>
        <v>sensual</v>
      </c>
      <c r="B122" s="6" t="str">
        <f>IFERROR(__xludf.DUMMYFUNCTION("""COMPUTED_VALUE"""),"fascination")</f>
        <v>fascination</v>
      </c>
      <c r="C122" s="6" t="str">
        <f>IFERROR(__xludf.DUMMYFUNCTION("""COMPUTED_VALUE"""),"snaps")</f>
        <v>snaps</v>
      </c>
      <c r="D122" s="6"/>
      <c r="E122" s="6" t="str">
        <f>IFERROR(__xludf.DUMMYFUNCTION("""COMPUTED_VALUE"""),"spontaneous")</f>
        <v>spontaneous</v>
      </c>
      <c r="G122" s="6" t="str">
        <f>IFERROR(__xludf.DUMMYFUNCTION("""COMPUTED_VALUE"""),"impressions")</f>
        <v>impressions</v>
      </c>
      <c r="H122" s="6" t="str">
        <f>IFERROR(__xludf.DUMMYFUNCTION("""COMPUTED_VALUE"""),"sentiment")</f>
        <v>sentiment</v>
      </c>
      <c r="I122" s="6" t="str">
        <f>IFERROR(__xludf.DUMMYFUNCTION("""COMPUTED_VALUE"""),"view")</f>
        <v>view</v>
      </c>
      <c r="J122" s="6" t="str">
        <f>IFERROR(__xludf.DUMMYFUNCTION("""COMPUTED_VALUE"""),"lot")</f>
        <v>lot</v>
      </c>
      <c r="L122" s="6" t="str">
        <f>IFERROR(__xludf.DUMMYFUNCTION("""COMPUTED_VALUE"""),"roll")</f>
        <v>roll</v>
      </c>
      <c r="M122" s="6" t="str">
        <f>IFERROR(__xludf.DUMMYFUNCTION("""COMPUTED_VALUE"""),"club")</f>
        <v>club</v>
      </c>
      <c r="N122" s="6" t="str">
        <f>IFERROR(__xludf.DUMMYFUNCTION("""COMPUTED_VALUE"""),"school")</f>
        <v>school</v>
      </c>
      <c r="P122" s="6" t="str">
        <f>IFERROR(__xludf.DUMMYFUNCTION("""COMPUTED_VALUE"""),"yet")</f>
        <v>yet</v>
      </c>
      <c r="Q122" s="6" t="b">
        <f>IFERROR(__xludf.DUMMYFUNCTION("""COMPUTED_VALUE"""),TRUE)</f>
        <v>1</v>
      </c>
      <c r="S122" s="6" t="str">
        <f>IFERROR(__xludf.DUMMYFUNCTION("""COMPUTED_VALUE"""),"women")</f>
        <v>women</v>
      </c>
    </row>
    <row r="123">
      <c r="A123" s="6" t="str">
        <f>IFERROR(__xludf.DUMMYFUNCTION("""COMPUTED_VALUE"""),"cerebral")</f>
        <v>cerebral</v>
      </c>
      <c r="B123" s="6" t="str">
        <f>IFERROR(__xludf.DUMMYFUNCTION("""COMPUTED_VALUE"""),"economical")</f>
        <v>economical</v>
      </c>
      <c r="C123" s="6" t="str">
        <f>IFERROR(__xludf.DUMMYFUNCTION("""COMPUTED_VALUE"""),"viewed")</f>
        <v>viewed</v>
      </c>
      <c r="D123" s="6"/>
      <c r="E123" s="6" t="str">
        <f>IFERROR(__xludf.DUMMYFUNCTION("""COMPUTED_VALUE"""),"quietly")</f>
        <v>quietly</v>
      </c>
      <c r="G123" s="6" t="str">
        <f>IFERROR(__xludf.DUMMYFUNCTION("""COMPUTED_VALUE"""),"engaging")</f>
        <v>engaging</v>
      </c>
      <c r="H123" s="6" t="str">
        <f>IFERROR(__xludf.DUMMYFUNCTION("""COMPUTED_VALUE"""),"tissues")</f>
        <v>tissues</v>
      </c>
      <c r="I123" s="6" t="str">
        <f>IFERROR(__xludf.DUMMYFUNCTION("""COMPUTED_VALUE"""),"wait")</f>
        <v>wait</v>
      </c>
      <c r="J123" s="6" t="str">
        <f>IFERROR(__xludf.DUMMYFUNCTION("""COMPUTED_VALUE"""),"forgotten")</f>
        <v>forgotten</v>
      </c>
      <c r="L123" s="6" t="str">
        <f>IFERROR(__xludf.DUMMYFUNCTION("""COMPUTED_VALUE"""),"couple")</f>
        <v>couple</v>
      </c>
      <c r="M123" s="6" t="str">
        <f>IFERROR(__xludf.DUMMYFUNCTION("""COMPUTED_VALUE"""),"photo")</f>
        <v>photo</v>
      </c>
      <c r="N123" s="6" t="str">
        <f>IFERROR(__xludf.DUMMYFUNCTION("""COMPUTED_VALUE"""),"american")</f>
        <v>american</v>
      </c>
      <c r="P123" s="6" t="str">
        <f>IFERROR(__xludf.DUMMYFUNCTION("""COMPUTED_VALUE"""),"wisdom")</f>
        <v>wisdom</v>
      </c>
      <c r="Q123" s="6" t="str">
        <f>IFERROR(__xludf.DUMMYFUNCTION("""COMPUTED_VALUE"""),"first")</f>
        <v>first</v>
      </c>
      <c r="S123" s="6" t="str">
        <f>IFERROR(__xludf.DUMMYFUNCTION("""COMPUTED_VALUE"""),"total")</f>
        <v>total</v>
      </c>
    </row>
    <row r="124">
      <c r="A124" s="6" t="str">
        <f>IFERROR(__xludf.DUMMYFUNCTION("""COMPUTED_VALUE"""),"glued")</f>
        <v>glued</v>
      </c>
      <c r="B124" s="6" t="str">
        <f>IFERROR(__xludf.DUMMYFUNCTION("""COMPUTED_VALUE"""),"tuned")</f>
        <v>tuned</v>
      </c>
      <c r="C124" s="6" t="str">
        <f>IFERROR(__xludf.DUMMYFUNCTION("""COMPUTED_VALUE"""),"credible")</f>
        <v>credible</v>
      </c>
      <c r="D124" s="6"/>
      <c r="E124" s="6" t="str">
        <f>IFERROR(__xludf.DUMMYFUNCTION("""COMPUTED_VALUE"""),"portrays")</f>
        <v>portrays</v>
      </c>
      <c r="G124" s="6" t="str">
        <f>IFERROR(__xludf.DUMMYFUNCTION("""COMPUTED_VALUE"""),"similar")</f>
        <v>similar</v>
      </c>
      <c r="H124" s="6" t="str">
        <f>IFERROR(__xludf.DUMMYFUNCTION("""COMPUTED_VALUE"""),"betrayed")</f>
        <v>betrayed</v>
      </c>
      <c r="I124" s="6" t="str">
        <f>IFERROR(__xludf.DUMMYFUNCTION("""COMPUTED_VALUE"""),"theatrical")</f>
        <v>theatrical</v>
      </c>
      <c r="J124" s="6" t="str">
        <f>IFERROR(__xludf.DUMMYFUNCTION("""COMPUTED_VALUE"""),"car")</f>
        <v>car</v>
      </c>
      <c r="L124" s="6" t="str">
        <f>IFERROR(__xludf.DUMMYFUNCTION("""COMPUTED_VALUE"""),"entire")</f>
        <v>entire</v>
      </c>
      <c r="M124" s="6" t="str">
        <f>IFERROR(__xludf.DUMMYFUNCTION("""COMPUTED_VALUE"""),"done")</f>
        <v>done</v>
      </c>
      <c r="N124" s="6" t="str">
        <f>IFERROR(__xludf.DUMMYFUNCTION("""COMPUTED_VALUE"""),"friends")</f>
        <v>friends</v>
      </c>
      <c r="P124" s="6" t="str">
        <f>IFERROR(__xludf.DUMMYFUNCTION("""COMPUTED_VALUE"""),"washington")</f>
        <v>washington</v>
      </c>
      <c r="Q124" s="6" t="str">
        <f>IFERROR(__xludf.DUMMYFUNCTION("""COMPUTED_VALUE"""),"two")</f>
        <v>two</v>
      </c>
      <c r="S124" s="6" t="str">
        <f>IFERROR(__xludf.DUMMYFUNCTION("""COMPUTED_VALUE"""),"carried")</f>
        <v>carried</v>
      </c>
    </row>
    <row r="125">
      <c r="A125" s="6" t="str">
        <f>IFERROR(__xludf.DUMMYFUNCTION("""COMPUTED_VALUE"""),"reflective")</f>
        <v>reflective</v>
      </c>
      <c r="B125" s="6" t="str">
        <f>IFERROR(__xludf.DUMMYFUNCTION("""COMPUTED_VALUE"""),"padded")</f>
        <v>padded</v>
      </c>
      <c r="C125" s="6" t="str">
        <f>IFERROR(__xludf.DUMMYFUNCTION("""COMPUTED_VALUE"""),"combines")</f>
        <v>combines</v>
      </c>
      <c r="D125" s="6"/>
      <c r="E125" s="6" t="str">
        <f>IFERROR(__xludf.DUMMYFUNCTION("""COMPUTED_VALUE"""),"profound")</f>
        <v>profound</v>
      </c>
      <c r="G125" s="6" t="str">
        <f>IFERROR(__xludf.DUMMYFUNCTION("""COMPUTED_VALUE"""),"collapse")</f>
        <v>collapse</v>
      </c>
      <c r="H125" s="6" t="str">
        <f>IFERROR(__xludf.DUMMYFUNCTION("""COMPUTED_VALUE"""),"bourne")</f>
        <v>bourne</v>
      </c>
      <c r="I125" s="6" t="str">
        <f>IFERROR(__xludf.DUMMYFUNCTION("""COMPUTED_VALUE"""),"camp")</f>
        <v>camp</v>
      </c>
      <c r="J125" s="6" t="str">
        <f>IFERROR(__xludf.DUMMYFUNCTION("""COMPUTED_VALUE"""),"hopeless")</f>
        <v>hopeless</v>
      </c>
      <c r="L125" s="6" t="str">
        <f>IFERROR(__xludf.DUMMYFUNCTION("""COMPUTED_VALUE"""),"interaction")</f>
        <v>interaction</v>
      </c>
      <c r="M125" s="6" t="str">
        <f>IFERROR(__xludf.DUMMYFUNCTION("""COMPUTED_VALUE"""),"right")</f>
        <v>right</v>
      </c>
      <c r="N125" s="6" t="str">
        <f>IFERROR(__xludf.DUMMYFUNCTION("""COMPUTED_VALUE"""),"dogs")</f>
        <v>dogs</v>
      </c>
      <c r="P125" s="6" t="str">
        <f>IFERROR(__xludf.DUMMYFUNCTION("""COMPUTED_VALUE"""),"eyes")</f>
        <v>eyes</v>
      </c>
      <c r="Q125" s="6" t="str">
        <f>IFERROR(__xludf.DUMMYFUNCTION("""COMPUTED_VALUE"""),"throw")</f>
        <v>throw</v>
      </c>
      <c r="S125" s="6" t="str">
        <f>IFERROR(__xludf.DUMMYFUNCTION("""COMPUTED_VALUE"""),"fresh")</f>
        <v>fresh</v>
      </c>
    </row>
    <row r="126">
      <c r="A126" s="6" t="str">
        <f>IFERROR(__xludf.DUMMYFUNCTION("""COMPUTED_VALUE"""),"snaps")</f>
        <v>snaps</v>
      </c>
      <c r="B126" s="6" t="str">
        <f>IFERROR(__xludf.DUMMYFUNCTION("""COMPUTED_VALUE"""),"willingness")</f>
        <v>willingness</v>
      </c>
      <c r="C126" s="6" t="str">
        <f>IFERROR(__xludf.DUMMYFUNCTION("""COMPUTED_VALUE"""),"corpse")</f>
        <v>corpse</v>
      </c>
      <c r="D126" s="6"/>
      <c r="E126" s="6" t="str">
        <f>IFERROR(__xludf.DUMMYFUNCTION("""COMPUTED_VALUE"""),"dubious")</f>
        <v>dubious</v>
      </c>
      <c r="G126" s="6" t="str">
        <f>IFERROR(__xludf.DUMMYFUNCTION("""COMPUTED_VALUE"""),"flaws")</f>
        <v>flaws</v>
      </c>
      <c r="H126" s="6" t="str">
        <f>IFERROR(__xludf.DUMMYFUNCTION("""COMPUTED_VALUE"""),"conviction")</f>
        <v>conviction</v>
      </c>
      <c r="I126" s="6" t="str">
        <f>IFERROR(__xludf.DUMMYFUNCTION("""COMPUTED_VALUE"""),"extraordinary")</f>
        <v>extraordinary</v>
      </c>
      <c r="J126" s="6" t="str">
        <f>IFERROR(__xludf.DUMMYFUNCTION("""COMPUTED_VALUE"""),"charming")</f>
        <v>charming</v>
      </c>
      <c r="L126" s="6" t="str">
        <f>IFERROR(__xludf.DUMMYFUNCTION("""COMPUTED_VALUE"""),"starting")</f>
        <v>starting</v>
      </c>
      <c r="M126" s="6" t="str">
        <f>IFERROR(__xludf.DUMMYFUNCTION("""COMPUTED_VALUE"""),"moved")</f>
        <v>moved</v>
      </c>
      <c r="N126" s="6" t="str">
        <f>IFERROR(__xludf.DUMMYFUNCTION("""COMPUTED_VALUE"""),"possible")</f>
        <v>possible</v>
      </c>
      <c r="P126" s="6" t="str">
        <f>IFERROR(__xludf.DUMMYFUNCTION("""COMPUTED_VALUE"""),"images")</f>
        <v>images</v>
      </c>
      <c r="Q126" s="6" t="str">
        <f>IFERROR(__xludf.DUMMYFUNCTION("""COMPUTED_VALUE"""),"spark")</f>
        <v>spark</v>
      </c>
      <c r="S126" s="6" t="str">
        <f>IFERROR(__xludf.DUMMYFUNCTION("""COMPUTED_VALUE"""),"history")</f>
        <v>history</v>
      </c>
    </row>
    <row r="127">
      <c r="A127" s="6" t="str">
        <f>IFERROR(__xludf.DUMMYFUNCTION("""COMPUTED_VALUE"""),"credible")</f>
        <v>credible</v>
      </c>
      <c r="B127" s="6" t="str">
        <f>IFERROR(__xludf.DUMMYFUNCTION("""COMPUTED_VALUE"""),"wears")</f>
        <v>wears</v>
      </c>
      <c r="C127" s="6" t="str">
        <f>IFERROR(__xludf.DUMMYFUNCTION("""COMPUTED_VALUE"""),"lifts")</f>
        <v>lifts</v>
      </c>
      <c r="D127" s="6"/>
      <c r="E127" s="6" t="str">
        <f>IFERROR(__xludf.DUMMYFUNCTION("""COMPUTED_VALUE"""),"hampered")</f>
        <v>hampered</v>
      </c>
      <c r="G127" s="6" t="str">
        <f>IFERROR(__xludf.DUMMYFUNCTION("""COMPUTED_VALUE"""),"poses")</f>
        <v>poses</v>
      </c>
      <c r="H127" s="6" t="str">
        <f>IFERROR(__xludf.DUMMYFUNCTION("""COMPUTED_VALUE"""),"brings")</f>
        <v>brings</v>
      </c>
      <c r="I127" s="6" t="str">
        <f>IFERROR(__xludf.DUMMYFUNCTION("""COMPUTED_VALUE"""),"heart")</f>
        <v>heart</v>
      </c>
      <c r="J127" s="6" t="str">
        <f>IFERROR(__xludf.DUMMYFUNCTION("""COMPUTED_VALUE"""),"dialogue")</f>
        <v>dialogue</v>
      </c>
      <c r="L127" s="6" t="str">
        <f>IFERROR(__xludf.DUMMYFUNCTION("""COMPUTED_VALUE"""),"basic")</f>
        <v>basic</v>
      </c>
      <c r="M127" s="6" t="str">
        <f>IFERROR(__xludf.DUMMYFUNCTION("""COMPUTED_VALUE"""),"fact")</f>
        <v>fact</v>
      </c>
      <c r="N127" s="6" t="str">
        <f>IFERROR(__xludf.DUMMYFUNCTION("""COMPUTED_VALUE"""),"most")</f>
        <v>most</v>
      </c>
      <c r="P127" s="6" t="str">
        <f>IFERROR(__xludf.DUMMYFUNCTION("""COMPUTED_VALUE"""),"read")</f>
        <v>read</v>
      </c>
      <c r="Q127" s="6" t="str">
        <f>IFERROR(__xludf.DUMMYFUNCTION("""COMPUTED_VALUE"""),"extremes")</f>
        <v>extremes</v>
      </c>
      <c r="S127" s="6" t="str">
        <f>IFERROR(__xludf.DUMMYFUNCTION("""COMPUTED_VALUE"""),"weak")</f>
        <v>weak</v>
      </c>
    </row>
    <row r="128">
      <c r="A128" s="6" t="str">
        <f>IFERROR(__xludf.DUMMYFUNCTION("""COMPUTED_VALUE"""),"corpse")</f>
        <v>corpse</v>
      </c>
      <c r="B128" s="6" t="str">
        <f>IFERROR(__xludf.DUMMYFUNCTION("""COMPUTED_VALUE"""),"assurance")</f>
        <v>assurance</v>
      </c>
      <c r="C128" s="6" t="str">
        <f>IFERROR(__xludf.DUMMYFUNCTION("""COMPUTED_VALUE"""),"bravery")</f>
        <v>bravery</v>
      </c>
      <c r="D128" s="6"/>
      <c r="E128" s="6" t="str">
        <f>IFERROR(__xludf.DUMMYFUNCTION("""COMPUTED_VALUE"""),"niche")</f>
        <v>niche</v>
      </c>
      <c r="G128" s="6" t="str">
        <f>IFERROR(__xludf.DUMMYFUNCTION("""COMPUTED_VALUE"""),"tool")</f>
        <v>tool</v>
      </c>
      <c r="H128" s="6" t="str">
        <f>IFERROR(__xludf.DUMMYFUNCTION("""COMPUTED_VALUE"""),"role")</f>
        <v>role</v>
      </c>
      <c r="I128" s="6" t="str">
        <f>IFERROR(__xludf.DUMMYFUNCTION("""COMPUTED_VALUE"""),"champion")</f>
        <v>champion</v>
      </c>
      <c r="J128" s="6" t="str">
        <f>IFERROR(__xludf.DUMMYFUNCTION("""COMPUTED_VALUE"""),"clumsy")</f>
        <v>clumsy</v>
      </c>
      <c r="L128" s="6" t="str">
        <f>IFERROR(__xludf.DUMMYFUNCTION("""COMPUTED_VALUE"""),"searching")</f>
        <v>searching</v>
      </c>
      <c r="M128" s="6" t="str">
        <f>IFERROR(__xludf.DUMMYFUNCTION("""COMPUTED_VALUE"""),"type")</f>
        <v>type</v>
      </c>
      <c r="N128" s="6" t="str">
        <f>IFERROR(__xludf.DUMMYFUNCTION("""COMPUTED_VALUE"""),"could")</f>
        <v>could</v>
      </c>
      <c r="P128" s="6" t="str">
        <f>IFERROR(__xludf.DUMMYFUNCTION("""COMPUTED_VALUE"""),"tear")</f>
        <v>tear</v>
      </c>
      <c r="Q128" s="6" t="str">
        <f>IFERROR(__xludf.DUMMYFUNCTION("""COMPUTED_VALUE"""),"continuum")</f>
        <v>continuum</v>
      </c>
      <c r="S128" s="6" t="str">
        <f>IFERROR(__xludf.DUMMYFUNCTION("""COMPUTED_VALUE"""),"people")</f>
        <v>people</v>
      </c>
    </row>
    <row r="129">
      <c r="A129" s="6" t="str">
        <f>IFERROR(__xludf.DUMMYFUNCTION("""COMPUTED_VALUE"""),"lifts")</f>
        <v>lifts</v>
      </c>
      <c r="B129" s="6" t="str">
        <f>IFERROR(__xludf.DUMMYFUNCTION("""COMPUTED_VALUE"""),"impact")</f>
        <v>impact</v>
      </c>
      <c r="C129" s="6" t="str">
        <f>IFERROR(__xludf.DUMMYFUNCTION("""COMPUTED_VALUE"""),"spontaneous")</f>
        <v>spontaneous</v>
      </c>
      <c r="D129" s="6"/>
      <c r="E129" s="6" t="str">
        <f>IFERROR(__xludf.DUMMYFUNCTION("""COMPUTED_VALUE"""),"vital")</f>
        <v>vital</v>
      </c>
      <c r="G129" s="6" t="str">
        <f>IFERROR(__xludf.DUMMYFUNCTION("""COMPUTED_VALUE"""),"effective")</f>
        <v>effective</v>
      </c>
      <c r="H129" s="6" t="str">
        <f>IFERROR(__xludf.DUMMYFUNCTION("""COMPUTED_VALUE"""),"diplomacy")</f>
        <v>diplomacy</v>
      </c>
      <c r="I129" s="6" t="str">
        <f>IFERROR(__xludf.DUMMYFUNCTION("""COMPUTED_VALUE"""),"adaptation")</f>
        <v>adaptation</v>
      </c>
      <c r="J129" s="6" t="str">
        <f>IFERROR(__xludf.DUMMYFUNCTION("""COMPUTED_VALUE"""),"sentiment")</f>
        <v>sentiment</v>
      </c>
      <c r="L129" s="6" t="str">
        <f>IFERROR(__xludf.DUMMYFUNCTION("""COMPUTED_VALUE"""),"ii")</f>
        <v>ii</v>
      </c>
      <c r="M129" s="6" t="str">
        <f>IFERROR(__xludf.DUMMYFUNCTION("""COMPUTED_VALUE"""),"describe")</f>
        <v>describe</v>
      </c>
      <c r="N129" s="6" t="str">
        <f>IFERROR(__xludf.DUMMYFUNCTION("""COMPUTED_VALUE"""),"sign")</f>
        <v>sign</v>
      </c>
      <c r="P129" s="6" t="str">
        <f>IFERROR(__xludf.DUMMYFUNCTION("""COMPUTED_VALUE"""),"hate")</f>
        <v>hate</v>
      </c>
      <c r="Q129" s="6" t="str">
        <f>IFERROR(__xludf.DUMMYFUNCTION("""COMPUTED_VALUE"""),"intensity")</f>
        <v>intensity</v>
      </c>
      <c r="S129" s="6" t="str">
        <f>IFERROR(__xludf.DUMMYFUNCTION("""COMPUTED_VALUE"""),"life")</f>
        <v>life</v>
      </c>
    </row>
    <row r="130">
      <c r="A130" s="6" t="str">
        <f>IFERROR(__xludf.DUMMYFUNCTION("""COMPUTED_VALUE"""),"shorter")</f>
        <v>shorter</v>
      </c>
      <c r="B130" s="6" t="str">
        <f>IFERROR(__xludf.DUMMYFUNCTION("""COMPUTED_VALUE"""),"sly")</f>
        <v>sly</v>
      </c>
      <c r="C130" s="6" t="str">
        <f>IFERROR(__xludf.DUMMYFUNCTION("""COMPUTED_VALUE"""),"portrays")</f>
        <v>portrays</v>
      </c>
      <c r="D130" s="6"/>
      <c r="E130" s="6" t="str">
        <f>IFERROR(__xludf.DUMMYFUNCTION("""COMPUTED_VALUE"""),"sweetly")</f>
        <v>sweetly</v>
      </c>
      <c r="G130" s="6" t="str">
        <f>IFERROR(__xludf.DUMMYFUNCTION("""COMPUTED_VALUE"""),"conquer")</f>
        <v>conquer</v>
      </c>
      <c r="H130" s="6" t="str">
        <f>IFERROR(__xludf.DUMMYFUNCTION("""COMPUTED_VALUE"""),"generosity")</f>
        <v>generosity</v>
      </c>
      <c r="I130" s="6" t="str">
        <f>IFERROR(__xludf.DUMMYFUNCTION("""COMPUTED_VALUE"""),"interesting")</f>
        <v>interesting</v>
      </c>
      <c r="J130" s="6" t="str">
        <f>IFERROR(__xludf.DUMMYFUNCTION("""COMPUTED_VALUE"""),"betrayed")</f>
        <v>betrayed</v>
      </c>
      <c r="L130" s="6">
        <f>IFERROR(__xludf.DUMMYFUNCTION("""COMPUTED_VALUE"""),2001.0)</f>
        <v>2001</v>
      </c>
      <c r="M130" s="6" t="str">
        <f>IFERROR(__xludf.DUMMYFUNCTION("""COMPUTED_VALUE"""),"kids")</f>
        <v>kids</v>
      </c>
      <c r="N130" s="6" t="str">
        <f>IFERROR(__xludf.DUMMYFUNCTION("""COMPUTED_VALUE"""),"another")</f>
        <v>another</v>
      </c>
      <c r="P130" s="6" t="str">
        <f>IFERROR(__xludf.DUMMYFUNCTION("""COMPUTED_VALUE"""),"recent")</f>
        <v>recent</v>
      </c>
      <c r="Q130" s="6" t="str">
        <f>IFERROR(__xludf.DUMMYFUNCTION("""COMPUTED_VALUE"""),"manages")</f>
        <v>manages</v>
      </c>
      <c r="S130" s="6" t="str">
        <f>IFERROR(__xludf.DUMMYFUNCTION("""COMPUTED_VALUE"""),"fun")</f>
        <v>fun</v>
      </c>
    </row>
    <row r="131">
      <c r="A131" s="6" t="str">
        <f>IFERROR(__xludf.DUMMYFUNCTION("""COMPUTED_VALUE"""),"refuses")</f>
        <v>refuses</v>
      </c>
      <c r="B131" s="6" t="str">
        <f>IFERROR(__xludf.DUMMYFUNCTION("""COMPUTED_VALUE"""),"emerges")</f>
        <v>emerges</v>
      </c>
      <c r="C131" s="6" t="str">
        <f>IFERROR(__xludf.DUMMYFUNCTION("""COMPUTED_VALUE"""),"profound")</f>
        <v>profound</v>
      </c>
      <c r="D131" s="6"/>
      <c r="E131" s="6" t="str">
        <f>IFERROR(__xludf.DUMMYFUNCTION("""COMPUTED_VALUE"""),"infectious")</f>
        <v>infectious</v>
      </c>
      <c r="G131" s="6" t="str">
        <f>IFERROR(__xludf.DUMMYFUNCTION("""COMPUTED_VALUE"""),"set")</f>
        <v>set</v>
      </c>
      <c r="H131" s="6" t="str">
        <f>IFERROR(__xludf.DUMMYFUNCTION("""COMPUTED_VALUE"""),"engaging")</f>
        <v>engaging</v>
      </c>
      <c r="I131" s="6" t="str">
        <f>IFERROR(__xludf.DUMMYFUNCTION("""COMPUTED_VALUE"""),"works")</f>
        <v>works</v>
      </c>
      <c r="J131" s="6" t="str">
        <f>IFERROR(__xludf.DUMMYFUNCTION("""COMPUTED_VALUE"""),"surprisingly")</f>
        <v>surprisingly</v>
      </c>
      <c r="L131" s="6" t="str">
        <f>IFERROR(__xludf.DUMMYFUNCTION("""COMPUTED_VALUE"""),"towards")</f>
        <v>towards</v>
      </c>
      <c r="M131" s="6" t="str">
        <f>IFERROR(__xludf.DUMMYFUNCTION("""COMPUTED_VALUE"""),"family")</f>
        <v>family</v>
      </c>
      <c r="N131" s="6" t="str">
        <f>IFERROR(__xludf.DUMMYFUNCTION("""COMPUTED_VALUE"""),"someone")</f>
        <v>someone</v>
      </c>
      <c r="P131" s="6" t="str">
        <f>IFERROR(__xludf.DUMMYFUNCTION("""COMPUTED_VALUE"""),"addition")</f>
        <v>addition</v>
      </c>
      <c r="Q131" s="6" t="str">
        <f>IFERROR(__xludf.DUMMYFUNCTION("""COMPUTED_VALUE"""),"flair")</f>
        <v>flair</v>
      </c>
      <c r="S131" s="6" t="b">
        <f>IFERROR(__xludf.DUMMYFUNCTION("""COMPUTED_VALUE"""),TRUE)</f>
        <v>1</v>
      </c>
    </row>
    <row r="132">
      <c r="A132" s="6" t="str">
        <f>IFERROR(__xludf.DUMMYFUNCTION("""COMPUTED_VALUE"""),"bravery")</f>
        <v>bravery</v>
      </c>
      <c r="B132" s="6" t="str">
        <f>IFERROR(__xludf.DUMMYFUNCTION("""COMPUTED_VALUE"""),"photographed")</f>
        <v>photographed</v>
      </c>
      <c r="C132" s="6" t="str">
        <f>IFERROR(__xludf.DUMMYFUNCTION("""COMPUTED_VALUE"""),"dubious")</f>
        <v>dubious</v>
      </c>
      <c r="D132" s="6"/>
      <c r="E132" s="6" t="str">
        <f>IFERROR(__xludf.DUMMYFUNCTION("""COMPUTED_VALUE"""),"conspicuous")</f>
        <v>conspicuous</v>
      </c>
      <c r="G132" s="6" t="str">
        <f>IFERROR(__xludf.DUMMYFUNCTION("""COMPUTED_VALUE"""),"phones")</f>
        <v>phones</v>
      </c>
      <c r="H132" s="6" t="str">
        <f>IFERROR(__xludf.DUMMYFUNCTION("""COMPUTED_VALUE"""),"collapse")</f>
        <v>collapse</v>
      </c>
      <c r="I132" s="6" t="str">
        <f>IFERROR(__xludf.DUMMYFUNCTION("""COMPUTED_VALUE"""),"keeping")</f>
        <v>keeping</v>
      </c>
      <c r="J132" s="6" t="str">
        <f>IFERROR(__xludf.DUMMYFUNCTION("""COMPUTED_VALUE"""),"bourne")</f>
        <v>bourne</v>
      </c>
      <c r="L132" s="6" t="str">
        <f>IFERROR(__xludf.DUMMYFUNCTION("""COMPUTED_VALUE"""),"despite")</f>
        <v>despite</v>
      </c>
      <c r="M132" s="6" t="str">
        <f>IFERROR(__xludf.DUMMYFUNCTION("""COMPUTED_VALUE"""),"different")</f>
        <v>different</v>
      </c>
      <c r="N132" s="6" t="str">
        <f>IFERROR(__xludf.DUMMYFUNCTION("""COMPUTED_VALUE"""),"times")</f>
        <v>times</v>
      </c>
      <c r="P132" s="6" t="str">
        <f>IFERROR(__xludf.DUMMYFUNCTION("""COMPUTED_VALUE"""),"generally")</f>
        <v>generally</v>
      </c>
      <c r="Q132" s="6" t="str">
        <f>IFERROR(__xludf.DUMMYFUNCTION("""COMPUTED_VALUE"""),"terrific")</f>
        <v>terrific</v>
      </c>
      <c r="S132" s="6" t="str">
        <f>IFERROR(__xludf.DUMMYFUNCTION("""COMPUTED_VALUE"""),"historically")</f>
        <v>historically</v>
      </c>
    </row>
    <row r="133">
      <c r="A133" s="6" t="str">
        <f>IFERROR(__xludf.DUMMYFUNCTION("""COMPUTED_VALUE"""),"spontaneous")</f>
        <v>spontaneous</v>
      </c>
      <c r="B133" s="6" t="str">
        <f>IFERROR(__xludf.DUMMYFUNCTION("""COMPUTED_VALUE"""),"arbitrary")</f>
        <v>arbitrary</v>
      </c>
      <c r="C133" s="6" t="str">
        <f>IFERROR(__xludf.DUMMYFUNCTION("""COMPUTED_VALUE"""),"hampered")</f>
        <v>hampered</v>
      </c>
      <c r="D133" s="6"/>
      <c r="E133" s="6" t="str">
        <f>IFERROR(__xludf.DUMMYFUNCTION("""COMPUTED_VALUE"""),"thud")</f>
        <v>thud</v>
      </c>
      <c r="G133" s="6" t="str">
        <f>IFERROR(__xludf.DUMMYFUNCTION("""COMPUTED_VALUE"""),"roll")</f>
        <v>roll</v>
      </c>
      <c r="H133" s="6" t="str">
        <f>IFERROR(__xludf.DUMMYFUNCTION("""COMPUTED_VALUE"""),"flaws")</f>
        <v>flaws</v>
      </c>
      <c r="I133" s="6" t="str">
        <f>IFERROR(__xludf.DUMMYFUNCTION("""COMPUTED_VALUE"""),"sequel")</f>
        <v>sequel</v>
      </c>
      <c r="J133" s="6" t="str">
        <f>IFERROR(__xludf.DUMMYFUNCTION("""COMPUTED_VALUE"""),"conviction")</f>
        <v>conviction</v>
      </c>
      <c r="L133" s="6" t="str">
        <f>IFERROR(__xludf.DUMMYFUNCTION("""COMPUTED_VALUE"""),"managed")</f>
        <v>managed</v>
      </c>
      <c r="M133" s="6" t="str">
        <f>IFERROR(__xludf.DUMMYFUNCTION("""COMPUTED_VALUE"""),"hundred")</f>
        <v>hundred</v>
      </c>
      <c r="N133" s="6" t="str">
        <f>IFERROR(__xludf.DUMMYFUNCTION("""COMPUTED_VALUE"""),"young")</f>
        <v>young</v>
      </c>
      <c r="P133" s="6" t="str">
        <f>IFERROR(__xludf.DUMMYFUNCTION("""COMPUTED_VALUE"""),"mystery")</f>
        <v>mystery</v>
      </c>
      <c r="Q133" s="6" t="str">
        <f>IFERROR(__xludf.DUMMYFUNCTION("""COMPUTED_VALUE"""),"family")</f>
        <v>family</v>
      </c>
      <c r="S133" s="6" t="str">
        <f>IFERROR(__xludf.DUMMYFUNCTION("""COMPUTED_VALUE"""),"first")</f>
        <v>first</v>
      </c>
    </row>
    <row r="134">
      <c r="A134" s="6" t="str">
        <f>IFERROR(__xludf.DUMMYFUNCTION("""COMPUTED_VALUE"""),"quietly")</f>
        <v>quietly</v>
      </c>
      <c r="B134" s="6" t="str">
        <f>IFERROR(__xludf.DUMMYFUNCTION("""COMPUTED_VALUE"""),"riot")</f>
        <v>riot</v>
      </c>
      <c r="C134" s="6" t="str">
        <f>IFERROR(__xludf.DUMMYFUNCTION("""COMPUTED_VALUE"""),"niche")</f>
        <v>niche</v>
      </c>
      <c r="D134" s="6"/>
      <c r="E134" s="6" t="str">
        <f>IFERROR(__xludf.DUMMYFUNCTION("""COMPUTED_VALUE"""),"represents")</f>
        <v>represents</v>
      </c>
      <c r="G134" s="6" t="str">
        <f>IFERROR(__xludf.DUMMYFUNCTION("""COMPUTED_VALUE"""),"suspense")</f>
        <v>suspense</v>
      </c>
      <c r="H134" s="6" t="str">
        <f>IFERROR(__xludf.DUMMYFUNCTION("""COMPUTED_VALUE"""),"tool")</f>
        <v>tool</v>
      </c>
      <c r="I134" s="6" t="str">
        <f>IFERROR(__xludf.DUMMYFUNCTION("""COMPUTED_VALUE"""),"archives")</f>
        <v>archives</v>
      </c>
      <c r="J134" s="6" t="str">
        <f>IFERROR(__xludf.DUMMYFUNCTION("""COMPUTED_VALUE"""),"brings")</f>
        <v>brings</v>
      </c>
      <c r="L134" s="6" t="str">
        <f>IFERROR(__xludf.DUMMYFUNCTION("""COMPUTED_VALUE"""),"life")</f>
        <v>life</v>
      </c>
      <c r="M134" s="6" t="str">
        <f>IFERROR(__xludf.DUMMYFUNCTION("""COMPUTED_VALUE"""),"ice")</f>
        <v>ice</v>
      </c>
      <c r="N134" s="6" t="str">
        <f>IFERROR(__xludf.DUMMYFUNCTION("""COMPUTED_VALUE"""),"work")</f>
        <v>work</v>
      </c>
      <c r="P134" s="6" t="str">
        <f>IFERROR(__xludf.DUMMYFUNCTION("""COMPUTED_VALUE"""),"put")</f>
        <v>put</v>
      </c>
      <c r="Q134" s="6" t="str">
        <f>IFERROR(__xludf.DUMMYFUNCTION("""COMPUTED_VALUE"""),"entertainment")</f>
        <v>entertainment</v>
      </c>
      <c r="S134" s="6" t="str">
        <f>IFERROR(__xludf.DUMMYFUNCTION("""COMPUTED_VALUE"""),"two")</f>
        <v>two</v>
      </c>
    </row>
    <row r="135">
      <c r="A135" s="6" t="str">
        <f>IFERROR(__xludf.DUMMYFUNCTION("""COMPUTED_VALUE"""),"portrays")</f>
        <v>portrays</v>
      </c>
      <c r="B135" s="6" t="str">
        <f>IFERROR(__xludf.DUMMYFUNCTION("""COMPUTED_VALUE"""),"loosely")</f>
        <v>loosely</v>
      </c>
      <c r="C135" s="6" t="str">
        <f>IFERROR(__xludf.DUMMYFUNCTION("""COMPUTED_VALUE"""),"slack")</f>
        <v>slack</v>
      </c>
      <c r="D135" s="6"/>
      <c r="E135" s="6" t="str">
        <f>IFERROR(__xludf.DUMMYFUNCTION("""COMPUTED_VALUE"""),"exploitation")</f>
        <v>exploitation</v>
      </c>
      <c r="G135" s="6" t="str">
        <f>IFERROR(__xludf.DUMMYFUNCTION("""COMPUTED_VALUE"""),"portrayal")</f>
        <v>portrayal</v>
      </c>
      <c r="H135" s="6" t="str">
        <f>IFERROR(__xludf.DUMMYFUNCTION("""COMPUTED_VALUE"""),"effective")</f>
        <v>effective</v>
      </c>
      <c r="I135" s="6" t="str">
        <f>IFERROR(__xludf.DUMMYFUNCTION("""COMPUTED_VALUE"""),"despite")</f>
        <v>despite</v>
      </c>
      <c r="J135" s="6" t="str">
        <f>IFERROR(__xludf.DUMMYFUNCTION("""COMPUTED_VALUE"""),"diplomacy")</f>
        <v>diplomacy</v>
      </c>
      <c r="L135" s="6" t="str">
        <f>IFERROR(__xludf.DUMMYFUNCTION("""COMPUTED_VALUE"""),"cheap")</f>
        <v>cheap</v>
      </c>
      <c r="M135" s="6" t="str">
        <f>IFERROR(__xludf.DUMMYFUNCTION("""COMPUTED_VALUE"""),"lights")</f>
        <v>lights</v>
      </c>
      <c r="N135" s="6" t="str">
        <f>IFERROR(__xludf.DUMMYFUNCTION("""COMPUTED_VALUE"""),"thinking")</f>
        <v>thinking</v>
      </c>
      <c r="P135" s="6" t="str">
        <f>IFERROR(__xludf.DUMMYFUNCTION("""COMPUTED_VALUE"""),"em")</f>
        <v>em</v>
      </c>
      <c r="Q135" s="6" t="str">
        <f>IFERROR(__xludf.DUMMYFUNCTION("""COMPUTED_VALUE"""),"animated")</f>
        <v>animated</v>
      </c>
      <c r="S135" s="6" t="str">
        <f>IFERROR(__xludf.DUMMYFUNCTION("""COMPUTED_VALUE"""),"appear")</f>
        <v>appear</v>
      </c>
    </row>
    <row r="136">
      <c r="A136" s="6" t="str">
        <f>IFERROR(__xludf.DUMMYFUNCTION("""COMPUTED_VALUE"""),"profound")</f>
        <v>profound</v>
      </c>
      <c r="B136" s="6" t="str">
        <f>IFERROR(__xludf.DUMMYFUNCTION("""COMPUTED_VALUE"""),"honesty")</f>
        <v>honesty</v>
      </c>
      <c r="C136" s="6" t="str">
        <f>IFERROR(__xludf.DUMMYFUNCTION("""COMPUTED_VALUE"""),"vital")</f>
        <v>vital</v>
      </c>
      <c r="D136" s="6"/>
      <c r="E136" s="6" t="str">
        <f>IFERROR(__xludf.DUMMYFUNCTION("""COMPUTED_VALUE"""),"triumph")</f>
        <v>triumph</v>
      </c>
      <c r="G136" s="6" t="str">
        <f>IFERROR(__xludf.DUMMYFUNCTION("""COMPUTED_VALUE"""),"realistic")</f>
        <v>realistic</v>
      </c>
      <c r="H136" s="6" t="str">
        <f>IFERROR(__xludf.DUMMYFUNCTION("""COMPUTED_VALUE"""),"community")</f>
        <v>community</v>
      </c>
      <c r="I136" s="6" t="str">
        <f>IFERROR(__xludf.DUMMYFUNCTION("""COMPUTED_VALUE"""),"argues")</f>
        <v>argues</v>
      </c>
      <c r="J136" s="6" t="str">
        <f>IFERROR(__xludf.DUMMYFUNCTION("""COMPUTED_VALUE"""),"generosity")</f>
        <v>generosity</v>
      </c>
      <c r="L136" s="6" t="str">
        <f>IFERROR(__xludf.DUMMYFUNCTION("""COMPUTED_VALUE"""),"music")</f>
        <v>music</v>
      </c>
      <c r="M136" s="6" t="str">
        <f>IFERROR(__xludf.DUMMYFUNCTION("""COMPUTED_VALUE"""),"got")</f>
        <v>got</v>
      </c>
      <c r="N136" s="6" t="str">
        <f>IFERROR(__xludf.DUMMYFUNCTION("""COMPUTED_VALUE"""),"near")</f>
        <v>near</v>
      </c>
      <c r="P136" s="6" t="str">
        <f>IFERROR(__xludf.DUMMYFUNCTION("""COMPUTED_VALUE"""),"late")</f>
        <v>late</v>
      </c>
      <c r="Q136" s="6" t="str">
        <f>IFERROR(__xludf.DUMMYFUNCTION("""COMPUTED_VALUE"""),"anyone")</f>
        <v>anyone</v>
      </c>
      <c r="S136" s="6" t="str">
        <f>IFERROR(__xludf.DUMMYFUNCTION("""COMPUTED_VALUE"""),"reaction")</f>
        <v>reaction</v>
      </c>
    </row>
    <row r="137">
      <c r="A137" s="6" t="str">
        <f>IFERROR(__xludf.DUMMYFUNCTION("""COMPUTED_VALUE"""),"dubious")</f>
        <v>dubious</v>
      </c>
      <c r="B137" s="6" t="str">
        <f>IFERROR(__xludf.DUMMYFUNCTION("""COMPUTED_VALUE"""),"elephant")</f>
        <v>elephant</v>
      </c>
      <c r="C137" s="6" t="str">
        <f>IFERROR(__xludf.DUMMYFUNCTION("""COMPUTED_VALUE"""),"sweetly")</f>
        <v>sweetly</v>
      </c>
      <c r="D137" s="6"/>
      <c r="E137" s="6" t="str">
        <f>IFERROR(__xludf.DUMMYFUNCTION("""COMPUTED_VALUE"""),"breakthrough")</f>
        <v>breakthrough</v>
      </c>
      <c r="G137" s="6" t="str">
        <f>IFERROR(__xludf.DUMMYFUNCTION("""COMPUTED_VALUE"""),"trying")</f>
        <v>trying</v>
      </c>
      <c r="H137" s="6" t="str">
        <f>IFERROR(__xludf.DUMMYFUNCTION("""COMPUTED_VALUE"""),"conquer")</f>
        <v>conquer</v>
      </c>
      <c r="I137" s="6" t="str">
        <f>IFERROR(__xludf.DUMMYFUNCTION("""COMPUTED_VALUE"""),"problem")</f>
        <v>problem</v>
      </c>
      <c r="J137" s="6" t="str">
        <f>IFERROR(__xludf.DUMMYFUNCTION("""COMPUTED_VALUE"""),"engaging")</f>
        <v>engaging</v>
      </c>
      <c r="L137" s="6" t="str">
        <f>IFERROR(__xludf.DUMMYFUNCTION("""COMPUTED_VALUE"""),"care")</f>
        <v>care</v>
      </c>
      <c r="M137" s="6" t="str">
        <f>IFERROR(__xludf.DUMMYFUNCTION("""COMPUTED_VALUE"""),"milk")</f>
        <v>milk</v>
      </c>
      <c r="N137" s="6" t="str">
        <f>IFERROR(__xludf.DUMMYFUNCTION("""COMPUTED_VALUE"""),"party")</f>
        <v>party</v>
      </c>
      <c r="P137" s="6" t="str">
        <f>IFERROR(__xludf.DUMMYFUNCTION("""COMPUTED_VALUE"""),"go")</f>
        <v>go</v>
      </c>
      <c r="Q137" s="6" t="str">
        <f>IFERROR(__xludf.DUMMYFUNCTION("""COMPUTED_VALUE"""),"central")</f>
        <v>central</v>
      </c>
      <c r="S137" s="6" t="str">
        <f>IFERROR(__xludf.DUMMYFUNCTION("""COMPUTED_VALUE"""),"throw")</f>
        <v>throw</v>
      </c>
    </row>
    <row r="138">
      <c r="A138" s="6" t="str">
        <f>IFERROR(__xludf.DUMMYFUNCTION("""COMPUTED_VALUE"""),"hampered")</f>
        <v>hampered</v>
      </c>
      <c r="B138" s="6" t="str">
        <f>IFERROR(__xludf.DUMMYFUNCTION("""COMPUTED_VALUE"""),"approaches")</f>
        <v>approaches</v>
      </c>
      <c r="C138" s="6" t="str">
        <f>IFERROR(__xludf.DUMMYFUNCTION("""COMPUTED_VALUE"""),"infectious")</f>
        <v>infectious</v>
      </c>
      <c r="D138" s="6"/>
      <c r="E138" s="6" t="str">
        <f>IFERROR(__xludf.DUMMYFUNCTION("""COMPUTED_VALUE"""),"unmistakable")</f>
        <v>unmistakable</v>
      </c>
      <c r="G138" s="6" t="str">
        <f>IFERROR(__xludf.DUMMYFUNCTION("""COMPUTED_VALUE"""),"important")</f>
        <v>important</v>
      </c>
      <c r="H138" s="6" t="str">
        <f>IFERROR(__xludf.DUMMYFUNCTION("""COMPUTED_VALUE"""),"delivers")</f>
        <v>delivers</v>
      </c>
      <c r="I138" s="6" t="str">
        <f>IFERROR(__xludf.DUMMYFUNCTION("""COMPUTED_VALUE"""),"mere")</f>
        <v>mere</v>
      </c>
      <c r="J138" s="6" t="str">
        <f>IFERROR(__xludf.DUMMYFUNCTION("""COMPUTED_VALUE"""),"collapse")</f>
        <v>collapse</v>
      </c>
      <c r="L138" s="6" t="str">
        <f>IFERROR(__xludf.DUMMYFUNCTION("""COMPUTED_VALUE"""),"recent")</f>
        <v>recent</v>
      </c>
      <c r="M138" s="6" t="str">
        <f>IFERROR(__xludf.DUMMYFUNCTION("""COMPUTED_VALUE"""),"street")</f>
        <v>street</v>
      </c>
      <c r="N138" s="6" t="str">
        <f>IFERROR(__xludf.DUMMYFUNCTION("""COMPUTED_VALUE"""),"sports")</f>
        <v>sports</v>
      </c>
      <c r="P138" s="6" t="str">
        <f>IFERROR(__xludf.DUMMYFUNCTION("""COMPUTED_VALUE"""),"work")</f>
        <v>work</v>
      </c>
      <c r="Q138" s="6" t="str">
        <f>IFERROR(__xludf.DUMMYFUNCTION("""COMPUTED_VALUE"""),"parody")</f>
        <v>parody</v>
      </c>
      <c r="S138" s="6" t="str">
        <f>IFERROR(__xludf.DUMMYFUNCTION("""COMPUTED_VALUE"""),"actors")</f>
        <v>actors</v>
      </c>
    </row>
    <row r="139">
      <c r="A139" s="6" t="str">
        <f>IFERROR(__xludf.DUMMYFUNCTION("""COMPUTED_VALUE"""),"niche")</f>
        <v>niche</v>
      </c>
      <c r="B139" s="6" t="str">
        <f>IFERROR(__xludf.DUMMYFUNCTION("""COMPUTED_VALUE"""),"translate")</f>
        <v>translate</v>
      </c>
      <c r="C139" s="6" t="str">
        <f>IFERROR(__xludf.DUMMYFUNCTION("""COMPUTED_VALUE"""),"conspicuous")</f>
        <v>conspicuous</v>
      </c>
      <c r="D139" s="6"/>
      <c r="E139" s="6" t="str">
        <f>IFERROR(__xludf.DUMMYFUNCTION("""COMPUTED_VALUE"""),"capture")</f>
        <v>capture</v>
      </c>
      <c r="G139" s="6" t="str">
        <f>IFERROR(__xludf.DUMMYFUNCTION("""COMPUTED_VALUE"""),"service")</f>
        <v>service</v>
      </c>
      <c r="H139" s="6" t="str">
        <f>IFERROR(__xludf.DUMMYFUNCTION("""COMPUTED_VALUE"""),"roll")</f>
        <v>roll</v>
      </c>
      <c r="I139" s="6">
        <f>IFERROR(__xludf.DUMMYFUNCTION("""COMPUTED_VALUE"""),84.0)</f>
        <v>84</v>
      </c>
      <c r="J139" s="6" t="str">
        <f>IFERROR(__xludf.DUMMYFUNCTION("""COMPUTED_VALUE"""),"tool")</f>
        <v>tool</v>
      </c>
      <c r="L139" s="6" t="str">
        <f>IFERROR(__xludf.DUMMYFUNCTION("""COMPUTED_VALUE"""),"ride")</f>
        <v>ride</v>
      </c>
      <c r="M139" s="6" t="str">
        <f>IFERROR(__xludf.DUMMYFUNCTION("""COMPUTED_VALUE"""),"ahead")</f>
        <v>ahead</v>
      </c>
      <c r="N139" s="6" t="str">
        <f>IFERROR(__xludf.DUMMYFUNCTION("""COMPUTED_VALUE"""),"praises")</f>
        <v>praises</v>
      </c>
      <c r="P139" s="6" t="str">
        <f>IFERROR(__xludf.DUMMYFUNCTION("""COMPUTED_VALUE"""),"fluid")</f>
        <v>fluid</v>
      </c>
      <c r="Q139" s="6" t="str">
        <f>IFERROR(__xludf.DUMMYFUNCTION("""COMPUTED_VALUE"""),"pulp")</f>
        <v>pulp</v>
      </c>
      <c r="S139" s="6" t="str">
        <f>IFERROR(__xludf.DUMMYFUNCTION("""COMPUTED_VALUE"""),"family")</f>
        <v>family</v>
      </c>
    </row>
    <row r="140">
      <c r="A140" s="6" t="str">
        <f>IFERROR(__xludf.DUMMYFUNCTION("""COMPUTED_VALUE"""),"slack")</f>
        <v>slack</v>
      </c>
      <c r="B140" s="6" t="str">
        <f>IFERROR(__xludf.DUMMYFUNCTION("""COMPUTED_VALUE"""),"lowered")</f>
        <v>lowered</v>
      </c>
      <c r="C140" s="6" t="str">
        <f>IFERROR(__xludf.DUMMYFUNCTION("""COMPUTED_VALUE"""),"thud")</f>
        <v>thud</v>
      </c>
      <c r="D140" s="6"/>
      <c r="E140" s="6" t="str">
        <f>IFERROR(__xludf.DUMMYFUNCTION("""COMPUTED_VALUE"""),"penetrating")</f>
        <v>penetrating</v>
      </c>
      <c r="G140" s="6" t="str">
        <f>IFERROR(__xludf.DUMMYFUNCTION("""COMPUTED_VALUE"""),"promise")</f>
        <v>promise</v>
      </c>
      <c r="H140" s="6" t="str">
        <f>IFERROR(__xludf.DUMMYFUNCTION("""COMPUTED_VALUE"""),"suspense")</f>
        <v>suspense</v>
      </c>
      <c r="I140" s="6" t="str">
        <f>IFERROR(__xludf.DUMMYFUNCTION("""COMPUTED_VALUE"""),"remarkable")</f>
        <v>remarkable</v>
      </c>
      <c r="J140" s="6" t="str">
        <f>IFERROR(__xludf.DUMMYFUNCTION("""COMPUTED_VALUE"""),"community")</f>
        <v>community</v>
      </c>
      <c r="L140" s="6" t="str">
        <f>IFERROR(__xludf.DUMMYFUNCTION("""COMPUTED_VALUE"""),"title")</f>
        <v>title</v>
      </c>
      <c r="M140" s="6" t="str">
        <f>IFERROR(__xludf.DUMMYFUNCTION("""COMPUTED_VALUE"""),"corners")</f>
        <v>corners</v>
      </c>
      <c r="N140" s="6" t="str">
        <f>IFERROR(__xludf.DUMMYFUNCTION("""COMPUTED_VALUE"""),"stop")</f>
        <v>stop</v>
      </c>
      <c r="P140" s="6" t="str">
        <f>IFERROR(__xludf.DUMMYFUNCTION("""COMPUTED_VALUE"""),"direction")</f>
        <v>direction</v>
      </c>
      <c r="Q140" s="6" t="str">
        <f>IFERROR(__xludf.DUMMYFUNCTION("""COMPUTED_VALUE"""),"difference")</f>
        <v>difference</v>
      </c>
      <c r="S140" s="6" t="str">
        <f>IFERROR(__xludf.DUMMYFUNCTION("""COMPUTED_VALUE"""),"intensity")</f>
        <v>intensity</v>
      </c>
    </row>
    <row r="141">
      <c r="A141" s="6" t="str">
        <f>IFERROR(__xludf.DUMMYFUNCTION("""COMPUTED_VALUE"""),"vital")</f>
        <v>vital</v>
      </c>
      <c r="B141" s="6" t="str">
        <f>IFERROR(__xludf.DUMMYFUNCTION("""COMPUTED_VALUE"""),"slip")</f>
        <v>slip</v>
      </c>
      <c r="C141" s="6" t="str">
        <f>IFERROR(__xludf.DUMMYFUNCTION("""COMPUTED_VALUE"""),"exploitation")</f>
        <v>exploitation</v>
      </c>
      <c r="D141" s="6"/>
      <c r="E141" s="6" t="str">
        <f>IFERROR(__xludf.DUMMYFUNCTION("""COMPUTED_VALUE"""),"fascination")</f>
        <v>fascination</v>
      </c>
      <c r="G141" s="6" t="str">
        <f>IFERROR(__xludf.DUMMYFUNCTION("""COMPUTED_VALUE"""),"wait")</f>
        <v>wait</v>
      </c>
      <c r="H141" s="6" t="str">
        <f>IFERROR(__xludf.DUMMYFUNCTION("""COMPUTED_VALUE"""),"lacking")</f>
        <v>lacking</v>
      </c>
      <c r="I141" s="6" t="str">
        <f>IFERROR(__xludf.DUMMYFUNCTION("""COMPUTED_VALUE"""),"date")</f>
        <v>date</v>
      </c>
      <c r="J141" s="6" t="str">
        <f>IFERROR(__xludf.DUMMYFUNCTION("""COMPUTED_VALUE"""),"set")</f>
        <v>set</v>
      </c>
      <c r="L141" s="6" t="str">
        <f>IFERROR(__xludf.DUMMYFUNCTION("""COMPUTED_VALUE"""),"fans")</f>
        <v>fans</v>
      </c>
      <c r="M141" s="6" t="str">
        <f>IFERROR(__xludf.DUMMYFUNCTION("""COMPUTED_VALUE"""),"somewhat")</f>
        <v>somewhat</v>
      </c>
      <c r="N141" s="6" t="str">
        <f>IFERROR(__xludf.DUMMYFUNCTION("""COMPUTED_VALUE"""),"his")</f>
        <v>his</v>
      </c>
      <c r="P141" s="6" t="str">
        <f>IFERROR(__xludf.DUMMYFUNCTION("""COMPUTED_VALUE"""),"deal")</f>
        <v>deal</v>
      </c>
      <c r="Q141" s="6" t="str">
        <f>IFERROR(__xludf.DUMMYFUNCTION("""COMPUTED_VALUE"""),"alternating")</f>
        <v>alternating</v>
      </c>
      <c r="S141" s="6" t="str">
        <f>IFERROR(__xludf.DUMMYFUNCTION("""COMPUTED_VALUE"""),"manages")</f>
        <v>manages</v>
      </c>
    </row>
    <row r="142">
      <c r="A142" s="6" t="str">
        <f>IFERROR(__xludf.DUMMYFUNCTION("""COMPUTED_VALUE"""),"sweetly")</f>
        <v>sweetly</v>
      </c>
      <c r="B142" s="6" t="str">
        <f>IFERROR(__xludf.DUMMYFUNCTION("""COMPUTED_VALUE"""),"utilizing")</f>
        <v>utilizing</v>
      </c>
      <c r="C142" s="6" t="str">
        <f>IFERROR(__xludf.DUMMYFUNCTION("""COMPUTED_VALUE"""),"triumph")</f>
        <v>triumph</v>
      </c>
      <c r="D142" s="6"/>
      <c r="E142" s="6" t="str">
        <f>IFERROR(__xludf.DUMMYFUNCTION("""COMPUTED_VALUE"""),"economical")</f>
        <v>economical</v>
      </c>
      <c r="G142" s="6" t="str">
        <f>IFERROR(__xludf.DUMMYFUNCTION("""COMPUTED_VALUE"""),"extraordinary")</f>
        <v>extraordinary</v>
      </c>
      <c r="H142" s="6" t="str">
        <f>IFERROR(__xludf.DUMMYFUNCTION("""COMPUTED_VALUE"""),"portrayal")</f>
        <v>portrayal</v>
      </c>
      <c r="I142" s="6" t="str">
        <f>IFERROR(__xludf.DUMMYFUNCTION("""COMPUTED_VALUE"""),"short")</f>
        <v>short</v>
      </c>
      <c r="J142" s="6" t="str">
        <f>IFERROR(__xludf.DUMMYFUNCTION("""COMPUTED_VALUE"""),"phones")</f>
        <v>phones</v>
      </c>
      <c r="L142" s="6" t="str">
        <f>IFERROR(__xludf.DUMMYFUNCTION("""COMPUTED_VALUE"""),"current")</f>
        <v>current</v>
      </c>
      <c r="M142" s="6" t="str">
        <f>IFERROR(__xludf.DUMMYFUNCTION("""COMPUTED_VALUE"""),"cutting")</f>
        <v>cutting</v>
      </c>
      <c r="N142" s="6" t="str">
        <f>IFERROR(__xludf.DUMMYFUNCTION("""COMPUTED_VALUE"""),"little")</f>
        <v>little</v>
      </c>
      <c r="P142" s="6" t="str">
        <f>IFERROR(__xludf.DUMMYFUNCTION("""COMPUTED_VALUE"""),"ron")</f>
        <v>ron</v>
      </c>
      <c r="Q142" s="6" t="str">
        <f>IFERROR(__xludf.DUMMYFUNCTION("""COMPUTED_VALUE"""),"questions")</f>
        <v>questions</v>
      </c>
      <c r="S142" s="6" t="str">
        <f>IFERROR(__xludf.DUMMYFUNCTION("""COMPUTED_VALUE"""),"entertainment")</f>
        <v>entertainment</v>
      </c>
    </row>
    <row r="143">
      <c r="A143" s="6" t="str">
        <f>IFERROR(__xludf.DUMMYFUNCTION("""COMPUTED_VALUE"""),"infectious")</f>
        <v>infectious</v>
      </c>
      <c r="B143" s="6" t="str">
        <f>IFERROR(__xludf.DUMMYFUNCTION("""COMPUTED_VALUE"""),"pollution")</f>
        <v>pollution</v>
      </c>
      <c r="C143" s="6" t="str">
        <f>IFERROR(__xludf.DUMMYFUNCTION("""COMPUTED_VALUE"""),"spends")</f>
        <v>spends</v>
      </c>
      <c r="D143" s="6"/>
      <c r="E143" s="6" t="str">
        <f>IFERROR(__xludf.DUMMYFUNCTION("""COMPUTED_VALUE"""),"costly")</f>
        <v>costly</v>
      </c>
      <c r="G143" s="6" t="str">
        <f>IFERROR(__xludf.DUMMYFUNCTION("""COMPUTED_VALUE"""),"heart")</f>
        <v>heart</v>
      </c>
      <c r="H143" s="6" t="str">
        <f>IFERROR(__xludf.DUMMYFUNCTION("""COMPUTED_VALUE"""),"realistic")</f>
        <v>realistic</v>
      </c>
      <c r="I143" s="6" t="str">
        <f>IFERROR(__xludf.DUMMYFUNCTION("""COMPUTED_VALUE"""),"pleasant")</f>
        <v>pleasant</v>
      </c>
      <c r="J143" s="6" t="str">
        <f>IFERROR(__xludf.DUMMYFUNCTION("""COMPUTED_VALUE"""),"delivers")</f>
        <v>delivers</v>
      </c>
      <c r="L143" s="6" t="str">
        <f>IFERROR(__xludf.DUMMYFUNCTION("""COMPUTED_VALUE"""),"shot")</f>
        <v>shot</v>
      </c>
      <c r="M143" s="6" t="str">
        <f>IFERROR(__xludf.DUMMYFUNCTION("""COMPUTED_VALUE"""),"lower")</f>
        <v>lower</v>
      </c>
      <c r="N143" s="6" t="str">
        <f>IFERROR(__xludf.DUMMYFUNCTION("""COMPUTED_VALUE"""),"bit")</f>
        <v>bit</v>
      </c>
      <c r="P143" s="6" t="str">
        <f>IFERROR(__xludf.DUMMYFUNCTION("""COMPUTED_VALUE"""),"piece")</f>
        <v>piece</v>
      </c>
      <c r="Q143" s="6" t="str">
        <f>IFERROR(__xludf.DUMMYFUNCTION("""COMPUTED_VALUE"""),"moments")</f>
        <v>moments</v>
      </c>
      <c r="S143" s="6" t="str">
        <f>IFERROR(__xludf.DUMMYFUNCTION("""COMPUTED_VALUE"""),"animated")</f>
        <v>animated</v>
      </c>
    </row>
    <row r="144">
      <c r="A144" s="6" t="str">
        <f>IFERROR(__xludf.DUMMYFUNCTION("""COMPUTED_VALUE"""),"conspicuous")</f>
        <v>conspicuous</v>
      </c>
      <c r="B144" s="6" t="str">
        <f>IFERROR(__xludf.DUMMYFUNCTION("""COMPUTED_VALUE"""),"profile")</f>
        <v>profile</v>
      </c>
      <c r="C144" s="6" t="str">
        <f>IFERROR(__xludf.DUMMYFUNCTION("""COMPUTED_VALUE"""),"breakthrough")</f>
        <v>breakthrough</v>
      </c>
      <c r="D144" s="6"/>
      <c r="E144" s="6" t="str">
        <f>IFERROR(__xludf.DUMMYFUNCTION("""COMPUTED_VALUE"""),"tuned")</f>
        <v>tuned</v>
      </c>
      <c r="G144" s="6" t="str">
        <f>IFERROR(__xludf.DUMMYFUNCTION("""COMPUTED_VALUE"""),"champion")</f>
        <v>champion</v>
      </c>
      <c r="H144" s="6" t="str">
        <f>IFERROR(__xludf.DUMMYFUNCTION("""COMPUTED_VALUE"""),"trying")</f>
        <v>trying</v>
      </c>
      <c r="I144" s="6" t="str">
        <f>IFERROR(__xludf.DUMMYFUNCTION("""COMPUTED_VALUE"""),"videos")</f>
        <v>videos</v>
      </c>
      <c r="J144" s="6" t="str">
        <f>IFERROR(__xludf.DUMMYFUNCTION("""COMPUTED_VALUE"""),"roll")</f>
        <v>roll</v>
      </c>
      <c r="L144" s="6" t="str">
        <f>IFERROR(__xludf.DUMMYFUNCTION("""COMPUTED_VALUE"""),"second")</f>
        <v>second</v>
      </c>
      <c r="M144" s="6" t="str">
        <f>IFERROR(__xludf.DUMMYFUNCTION("""COMPUTED_VALUE"""),"already")</f>
        <v>already</v>
      </c>
      <c r="N144" s="6" t="str">
        <f>IFERROR(__xludf.DUMMYFUNCTION("""COMPUTED_VALUE"""),"those")</f>
        <v>those</v>
      </c>
      <c r="P144" s="6" t="str">
        <f>IFERROR(__xludf.DUMMYFUNCTION("""COMPUTED_VALUE"""),"landscape")</f>
        <v>landscape</v>
      </c>
      <c r="Q144" s="6" t="str">
        <f>IFERROR(__xludf.DUMMYFUNCTION("""COMPUTED_VALUE"""),"artworks")</f>
        <v>artworks</v>
      </c>
      <c r="S144" s="6" t="str">
        <f>IFERROR(__xludf.DUMMYFUNCTION("""COMPUTED_VALUE"""),"central")</f>
        <v>central</v>
      </c>
    </row>
    <row r="145">
      <c r="A145" s="6" t="str">
        <f>IFERROR(__xludf.DUMMYFUNCTION("""COMPUTED_VALUE"""),"thud")</f>
        <v>thud</v>
      </c>
      <c r="B145" s="6" t="str">
        <f>IFERROR(__xludf.DUMMYFUNCTION("""COMPUTED_VALUE"""),"intensely")</f>
        <v>intensely</v>
      </c>
      <c r="C145" s="6" t="str">
        <f>IFERROR(__xludf.DUMMYFUNCTION("""COMPUTED_VALUE"""),"unmistakable")</f>
        <v>unmistakable</v>
      </c>
      <c r="D145" s="6"/>
      <c r="E145" s="6" t="str">
        <f>IFERROR(__xludf.DUMMYFUNCTION("""COMPUTED_VALUE"""),"padded")</f>
        <v>padded</v>
      </c>
      <c r="G145" s="6" t="str">
        <f>IFERROR(__xludf.DUMMYFUNCTION("""COMPUTED_VALUE"""),"descends")</f>
        <v>descends</v>
      </c>
      <c r="H145" s="6" t="str">
        <f>IFERROR(__xludf.DUMMYFUNCTION("""COMPUTED_VALUE"""),"stunts")</f>
        <v>stunts</v>
      </c>
      <c r="I145" s="6" t="str">
        <f>IFERROR(__xludf.DUMMYFUNCTION("""COMPUTED_VALUE"""),"music")</f>
        <v>music</v>
      </c>
      <c r="J145" s="6" t="str">
        <f>IFERROR(__xludf.DUMMYFUNCTION("""COMPUTED_VALUE"""),"suspense")</f>
        <v>suspense</v>
      </c>
      <c r="L145" s="6" t="str">
        <f>IFERROR(__xludf.DUMMYFUNCTION("""COMPUTED_VALUE"""),"heights")</f>
        <v>heights</v>
      </c>
      <c r="M145" s="6" t="str">
        <f>IFERROR(__xludf.DUMMYFUNCTION("""COMPUTED_VALUE"""),"buy")</f>
        <v>buy</v>
      </c>
      <c r="N145" s="6" t="str">
        <f>IFERROR(__xludf.DUMMYFUNCTION("""COMPUTED_VALUE"""),"year")</f>
        <v>year</v>
      </c>
      <c r="P145" s="6" t="str">
        <f>IFERROR(__xludf.DUMMYFUNCTION("""COMPUTED_VALUE"""),"attractive")</f>
        <v>attractive</v>
      </c>
      <c r="Q145" s="6" t="str">
        <f>IFERROR(__xludf.DUMMYFUNCTION("""COMPUTED_VALUE"""),"stale")</f>
        <v>stale</v>
      </c>
      <c r="S145" s="6" t="str">
        <f>IFERROR(__xludf.DUMMYFUNCTION("""COMPUTED_VALUE"""),"written")</f>
        <v>written</v>
      </c>
    </row>
    <row r="146">
      <c r="A146" s="6" t="str">
        <f>IFERROR(__xludf.DUMMYFUNCTION("""COMPUTED_VALUE"""),"exploitation")</f>
        <v>exploitation</v>
      </c>
      <c r="B146" s="6" t="str">
        <f>IFERROR(__xludf.DUMMYFUNCTION("""COMPUTED_VALUE"""),"gently")</f>
        <v>gently</v>
      </c>
      <c r="C146" s="6" t="str">
        <f>IFERROR(__xludf.DUMMYFUNCTION("""COMPUTED_VALUE"""),"capture")</f>
        <v>capture</v>
      </c>
      <c r="D146" s="6"/>
      <c r="E146" s="6" t="str">
        <f>IFERROR(__xludf.DUMMYFUNCTION("""COMPUTED_VALUE"""),"propaganda")</f>
        <v>propaganda</v>
      </c>
      <c r="G146" s="6" t="str">
        <f>IFERROR(__xludf.DUMMYFUNCTION("""COMPUTED_VALUE"""),"keeping")</f>
        <v>keeping</v>
      </c>
      <c r="H146" s="6" t="str">
        <f>IFERROR(__xludf.DUMMYFUNCTION("""COMPUTED_VALUE"""),"reveals")</f>
        <v>reveals</v>
      </c>
      <c r="I146" s="6" t="str">
        <f>IFERROR(__xludf.DUMMYFUNCTION("""COMPUTED_VALUE"""),"color")</f>
        <v>color</v>
      </c>
      <c r="J146" s="6" t="str">
        <f>IFERROR(__xludf.DUMMYFUNCTION("""COMPUTED_VALUE"""),"lacking")</f>
        <v>lacking</v>
      </c>
      <c r="L146" s="6" t="str">
        <f>IFERROR(__xludf.DUMMYFUNCTION("""COMPUTED_VALUE"""),"shapes")</f>
        <v>shapes</v>
      </c>
      <c r="M146" s="6" t="str">
        <f>IFERROR(__xludf.DUMMYFUNCTION("""COMPUTED_VALUE"""),"need")</f>
        <v>need</v>
      </c>
      <c r="N146" s="6" t="str">
        <f>IFERROR(__xludf.DUMMYFUNCTION("""COMPUTED_VALUE"""),"white")</f>
        <v>white</v>
      </c>
      <c r="P146" s="6" t="str">
        <f>IFERROR(__xludf.DUMMYFUNCTION("""COMPUTED_VALUE"""),"takes")</f>
        <v>takes</v>
      </c>
      <c r="Q146" s="6" t="str">
        <f>IFERROR(__xludf.DUMMYFUNCTION("""COMPUTED_VALUE"""),"wisdom")</f>
        <v>wisdom</v>
      </c>
      <c r="S146" s="6" t="str">
        <f>IFERROR(__xludf.DUMMYFUNCTION("""COMPUTED_VALUE"""),"anyone")</f>
        <v>anyone</v>
      </c>
    </row>
    <row r="147">
      <c r="A147" s="6" t="str">
        <f>IFERROR(__xludf.DUMMYFUNCTION("""COMPUTED_VALUE"""),"triumph")</f>
        <v>triumph</v>
      </c>
      <c r="B147" s="6" t="str">
        <f>IFERROR(__xludf.DUMMYFUNCTION("""COMPUTED_VALUE"""),"stretched")</f>
        <v>stretched</v>
      </c>
      <c r="C147" s="6" t="str">
        <f>IFERROR(__xludf.DUMMYFUNCTION("""COMPUTED_VALUE"""),"penetrating")</f>
        <v>penetrating</v>
      </c>
      <c r="D147" s="6"/>
      <c r="E147" s="6" t="str">
        <f>IFERROR(__xludf.DUMMYFUNCTION("""COMPUTED_VALUE"""),"directorial")</f>
        <v>directorial</v>
      </c>
      <c r="G147" s="6" t="str">
        <f>IFERROR(__xludf.DUMMYFUNCTION("""COMPUTED_VALUE"""),"sequel")</f>
        <v>sequel</v>
      </c>
      <c r="H147" s="6" t="str">
        <f>IFERROR(__xludf.DUMMYFUNCTION("""COMPUTED_VALUE"""),"talents")</f>
        <v>talents</v>
      </c>
      <c r="I147" s="6" t="str">
        <f>IFERROR(__xludf.DUMMYFUNCTION("""COMPUTED_VALUE"""),"preliminary")</f>
        <v>preliminary</v>
      </c>
      <c r="J147" s="6" t="str">
        <f>IFERROR(__xludf.DUMMYFUNCTION("""COMPUTED_VALUE"""),"portrayal")</f>
        <v>portrayal</v>
      </c>
      <c r="L147" s="6" t="str">
        <f>IFERROR(__xludf.DUMMYFUNCTION("""COMPUTED_VALUE"""),"adventurous")</f>
        <v>adventurous</v>
      </c>
      <c r="M147" s="6" t="str">
        <f>IFERROR(__xludf.DUMMYFUNCTION("""COMPUTED_VALUE"""),"help")</f>
        <v>help</v>
      </c>
      <c r="N147" s="6" t="str">
        <f>IFERROR(__xludf.DUMMYFUNCTION("""COMPUTED_VALUE"""),"sweet")</f>
        <v>sweet</v>
      </c>
      <c r="P147" s="6" t="str">
        <f>IFERROR(__xludf.DUMMYFUNCTION("""COMPUTED_VALUE"""),"time")</f>
        <v>time</v>
      </c>
      <c r="Q147" s="6" t="str">
        <f>IFERROR(__xludf.DUMMYFUNCTION("""COMPUTED_VALUE"""),"showcase")</f>
        <v>showcase</v>
      </c>
      <c r="S147" s="6" t="str">
        <f>IFERROR(__xludf.DUMMYFUNCTION("""COMPUTED_VALUE"""),"questions")</f>
        <v>questions</v>
      </c>
    </row>
    <row r="148">
      <c r="A148" s="6" t="str">
        <f>IFERROR(__xludf.DUMMYFUNCTION("""COMPUTED_VALUE"""),"breakthrough")</f>
        <v>breakthrough</v>
      </c>
      <c r="B148" s="6" t="str">
        <f>IFERROR(__xludf.DUMMYFUNCTION("""COMPUTED_VALUE"""),"symbolic")</f>
        <v>symbolic</v>
      </c>
      <c r="C148" s="6" t="str">
        <f>IFERROR(__xludf.DUMMYFUNCTION("""COMPUTED_VALUE"""),"fascination")</f>
        <v>fascination</v>
      </c>
      <c r="D148" s="6"/>
      <c r="E148" s="6" t="str">
        <f>IFERROR(__xludf.DUMMYFUNCTION("""COMPUTED_VALUE"""),"repeated")</f>
        <v>repeated</v>
      </c>
      <c r="G148" s="6" t="str">
        <f>IFERROR(__xludf.DUMMYFUNCTION("""COMPUTED_VALUE"""),"despite")</f>
        <v>despite</v>
      </c>
      <c r="H148" s="6" t="str">
        <f>IFERROR(__xludf.DUMMYFUNCTION("""COMPUTED_VALUE"""),"relief")</f>
        <v>relief</v>
      </c>
      <c r="I148" s="6" t="str">
        <f>IFERROR(__xludf.DUMMYFUNCTION("""COMPUTED_VALUE"""),"style")</f>
        <v>style</v>
      </c>
      <c r="J148" s="6" t="str">
        <f>IFERROR(__xludf.DUMMYFUNCTION("""COMPUTED_VALUE"""),"realistic")</f>
        <v>realistic</v>
      </c>
      <c r="L148" s="6" t="str">
        <f>IFERROR(__xludf.DUMMYFUNCTION("""COMPUTED_VALUE"""),"middle")</f>
        <v>middle</v>
      </c>
      <c r="M148" s="6" t="str">
        <f>IFERROR(__xludf.DUMMYFUNCTION("""COMPUTED_VALUE"""),"seen")</f>
        <v>seen</v>
      </c>
      <c r="N148" s="6" t="str">
        <f>IFERROR(__xludf.DUMMYFUNCTION("""COMPUTED_VALUE"""),"meat")</f>
        <v>meat</v>
      </c>
      <c r="P148" s="6" t="str">
        <f>IFERROR(__xludf.DUMMYFUNCTION("""COMPUTED_VALUE"""),"lot")</f>
        <v>lot</v>
      </c>
      <c r="Q148" s="6" t="str">
        <f>IFERROR(__xludf.DUMMYFUNCTION("""COMPUTED_VALUE"""),"eyes")</f>
        <v>eyes</v>
      </c>
      <c r="S148" s="6" t="str">
        <f>IFERROR(__xludf.DUMMYFUNCTION("""COMPUTED_VALUE"""),"difference")</f>
        <v>difference</v>
      </c>
    </row>
    <row r="149">
      <c r="A149" s="6" t="str">
        <f>IFERROR(__xludf.DUMMYFUNCTION("""COMPUTED_VALUE"""),"unmistakable")</f>
        <v>unmistakable</v>
      </c>
      <c r="B149" s="6" t="str">
        <f>IFERROR(__xludf.DUMMYFUNCTION("""COMPUTED_VALUE"""),"freedom")</f>
        <v>freedom</v>
      </c>
      <c r="C149" s="6" t="str">
        <f>IFERROR(__xludf.DUMMYFUNCTION("""COMPUTED_VALUE"""),"economical")</f>
        <v>economical</v>
      </c>
      <c r="D149" s="6"/>
      <c r="E149" s="6" t="str">
        <f>IFERROR(__xludf.DUMMYFUNCTION("""COMPUTED_VALUE"""),"willingness")</f>
        <v>willingness</v>
      </c>
      <c r="G149" s="6" t="str">
        <f>IFERROR(__xludf.DUMMYFUNCTION("""COMPUTED_VALUE"""),"ambitions")</f>
        <v>ambitions</v>
      </c>
      <c r="H149" s="6" t="str">
        <f>IFERROR(__xludf.DUMMYFUNCTION("""COMPUTED_VALUE"""),"filmmaking")</f>
        <v>filmmaking</v>
      </c>
      <c r="I149" s="6" t="str">
        <f>IFERROR(__xludf.DUMMYFUNCTION("""COMPUTED_VALUE"""),"narrative")</f>
        <v>narrative</v>
      </c>
      <c r="J149" s="6" t="str">
        <f>IFERROR(__xludf.DUMMYFUNCTION("""COMPUTED_VALUE"""),"trying")</f>
        <v>trying</v>
      </c>
      <c r="L149" s="6" t="str">
        <f>IFERROR(__xludf.DUMMYFUNCTION("""COMPUTED_VALUE"""),"front")</f>
        <v>front</v>
      </c>
      <c r="M149" s="6" t="str">
        <f>IFERROR(__xludf.DUMMYFUNCTION("""COMPUTED_VALUE"""),"thing")</f>
        <v>thing</v>
      </c>
      <c r="N149" s="6" t="str">
        <f>IFERROR(__xludf.DUMMYFUNCTION("""COMPUTED_VALUE"""),"store")</f>
        <v>store</v>
      </c>
      <c r="P149" s="6" t="str">
        <f>IFERROR(__xludf.DUMMYFUNCTION("""COMPUTED_VALUE"""),"college")</f>
        <v>college</v>
      </c>
      <c r="Q149" s="6" t="str">
        <f>IFERROR(__xludf.DUMMYFUNCTION("""COMPUTED_VALUE"""),"images")</f>
        <v>images</v>
      </c>
      <c r="S149" s="6" t="str">
        <f>IFERROR(__xludf.DUMMYFUNCTION("""COMPUTED_VALUE"""),"moments")</f>
        <v>moments</v>
      </c>
    </row>
    <row r="150">
      <c r="A150" s="6" t="str">
        <f>IFERROR(__xludf.DUMMYFUNCTION("""COMPUTED_VALUE"""),"capture")</f>
        <v>capture</v>
      </c>
      <c r="B150" s="6" t="str">
        <f>IFERROR(__xludf.DUMMYFUNCTION("""COMPUTED_VALUE"""),"weary")</f>
        <v>weary</v>
      </c>
      <c r="C150" s="6" t="str">
        <f>IFERROR(__xludf.DUMMYFUNCTION("""COMPUTED_VALUE"""),"costly")</f>
        <v>costly</v>
      </c>
      <c r="D150" s="6"/>
      <c r="E150" s="6" t="str">
        <f>IFERROR(__xludf.DUMMYFUNCTION("""COMPUTED_VALUE"""),"wears")</f>
        <v>wears</v>
      </c>
      <c r="G150" s="6" t="str">
        <f>IFERROR(__xludf.DUMMYFUNCTION("""COMPUTED_VALUE"""),"problem")</f>
        <v>problem</v>
      </c>
      <c r="H150" s="6" t="str">
        <f>IFERROR(__xludf.DUMMYFUNCTION("""COMPUTED_VALUE"""),"promise")</f>
        <v>promise</v>
      </c>
      <c r="I150" s="6" t="str">
        <f>IFERROR(__xludf.DUMMYFUNCTION("""COMPUTED_VALUE"""),"difficult")</f>
        <v>difficult</v>
      </c>
      <c r="J150" s="6" t="str">
        <f>IFERROR(__xludf.DUMMYFUNCTION("""COMPUTED_VALUE"""),"tries")</f>
        <v>tries</v>
      </c>
      <c r="L150" s="6" t="str">
        <f>IFERROR(__xludf.DUMMYFUNCTION("""COMPUTED_VALUE"""),"chance")</f>
        <v>chance</v>
      </c>
      <c r="M150" s="6" t="str">
        <f>IFERROR(__xludf.DUMMYFUNCTION("""COMPUTED_VALUE"""),"say")</f>
        <v>say</v>
      </c>
      <c r="N150" s="6" t="str">
        <f>IFERROR(__xludf.DUMMYFUNCTION("""COMPUTED_VALUE"""),"giant")</f>
        <v>giant</v>
      </c>
      <c r="P150" s="6" t="str">
        <f>IFERROR(__xludf.DUMMYFUNCTION("""COMPUTED_VALUE"""),"pure")</f>
        <v>pure</v>
      </c>
      <c r="Q150" s="6" t="str">
        <f>IFERROR(__xludf.DUMMYFUNCTION("""COMPUTED_VALUE"""),"tear")</f>
        <v>tear</v>
      </c>
      <c r="S150" s="6" t="str">
        <f>IFERROR(__xludf.DUMMYFUNCTION("""COMPUTED_VALUE"""),"become")</f>
        <v>become</v>
      </c>
    </row>
    <row r="151">
      <c r="A151" s="6" t="str">
        <f>IFERROR(__xludf.DUMMYFUNCTION("""COMPUTED_VALUE"""),"penetrating")</f>
        <v>penetrating</v>
      </c>
      <c r="B151" s="6" t="str">
        <f>IFERROR(__xludf.DUMMYFUNCTION("""COMPUTED_VALUE"""),"whale")</f>
        <v>whale</v>
      </c>
      <c r="C151" s="6" t="str">
        <f>IFERROR(__xludf.DUMMYFUNCTION("""COMPUTED_VALUE"""),"tuned")</f>
        <v>tuned</v>
      </c>
      <c r="D151" s="6"/>
      <c r="E151" s="6" t="str">
        <f>IFERROR(__xludf.DUMMYFUNCTION("""COMPUTED_VALUE"""),"assurance")</f>
        <v>assurance</v>
      </c>
      <c r="G151" s="6" t="str">
        <f>IFERROR(__xludf.DUMMYFUNCTION("""COMPUTED_VALUE"""),"compelling")</f>
        <v>compelling</v>
      </c>
      <c r="H151" s="6" t="str">
        <f>IFERROR(__xludf.DUMMYFUNCTION("""COMPUTED_VALUE"""),"wait")</f>
        <v>wait</v>
      </c>
      <c r="I151" s="6" t="str">
        <f>IFERROR(__xludf.DUMMYFUNCTION("""COMPUTED_VALUE"""),"running")</f>
        <v>running</v>
      </c>
      <c r="J151" s="6" t="str">
        <f>IFERROR(__xludf.DUMMYFUNCTION("""COMPUTED_VALUE"""),"stunts")</f>
        <v>stunts</v>
      </c>
      <c r="L151" s="6" t="str">
        <f>IFERROR(__xludf.DUMMYFUNCTION("""COMPUTED_VALUE"""),"square")</f>
        <v>square</v>
      </c>
      <c r="M151" s="6" t="str">
        <f>IFERROR(__xludf.DUMMYFUNCTION("""COMPUTED_VALUE"""),"probably")</f>
        <v>probably</v>
      </c>
      <c r="N151" s="6" t="str">
        <f>IFERROR(__xludf.DUMMYFUNCTION("""COMPUTED_VALUE"""),"remember")</f>
        <v>remember</v>
      </c>
      <c r="P151" s="6" t="str">
        <f>IFERROR(__xludf.DUMMYFUNCTION("""COMPUTED_VALUE"""),"match")</f>
        <v>match</v>
      </c>
      <c r="Q151" s="6" t="str">
        <f>IFERROR(__xludf.DUMMYFUNCTION("""COMPUTED_VALUE"""),"hate")</f>
        <v>hate</v>
      </c>
      <c r="S151" s="6" t="str">
        <f>IFERROR(__xludf.DUMMYFUNCTION("""COMPUTED_VALUE"""),"standard")</f>
        <v>standard</v>
      </c>
    </row>
    <row r="152">
      <c r="A152" s="6" t="str">
        <f>IFERROR(__xludf.DUMMYFUNCTION("""COMPUTED_VALUE"""),"fascination")</f>
        <v>fascination</v>
      </c>
      <c r="B152" s="6" t="str">
        <f>IFERROR(__xludf.DUMMYFUNCTION("""COMPUTED_VALUE"""),"prejudice")</f>
        <v>prejudice</v>
      </c>
      <c r="C152" s="6" t="str">
        <f>IFERROR(__xludf.DUMMYFUNCTION("""COMPUTED_VALUE"""),"padded")</f>
        <v>padded</v>
      </c>
      <c r="D152" s="6"/>
      <c r="E152" s="6" t="str">
        <f>IFERROR(__xludf.DUMMYFUNCTION("""COMPUTED_VALUE"""),"impact")</f>
        <v>impact</v>
      </c>
      <c r="G152" s="6" t="str">
        <f>IFERROR(__xludf.DUMMYFUNCTION("""COMPUTED_VALUE"""),"mere")</f>
        <v>mere</v>
      </c>
      <c r="H152" s="6" t="str">
        <f>IFERROR(__xludf.DUMMYFUNCTION("""COMPUTED_VALUE"""),"auschwitz")</f>
        <v>auschwitz</v>
      </c>
      <c r="I152" s="6" t="str">
        <f>IFERROR(__xludf.DUMMYFUNCTION("""COMPUTED_VALUE"""),"reach")</f>
        <v>reach</v>
      </c>
      <c r="J152" s="6" t="str">
        <f>IFERROR(__xludf.DUMMYFUNCTION("""COMPUTED_VALUE"""),"reveals")</f>
        <v>reveals</v>
      </c>
      <c r="L152" s="6" t="str">
        <f>IFERROR(__xludf.DUMMYFUNCTION("""COMPUTED_VALUE"""),"positive")</f>
        <v>positive</v>
      </c>
      <c r="M152" s="6" t="str">
        <f>IFERROR(__xludf.DUMMYFUNCTION("""COMPUTED_VALUE"""),"card")</f>
        <v>card</v>
      </c>
      <c r="N152" s="6" t="str">
        <f>IFERROR(__xludf.DUMMYFUNCTION("""COMPUTED_VALUE"""),"remarkable")</f>
        <v>remarkable</v>
      </c>
      <c r="P152" s="6" t="str">
        <f>IFERROR(__xludf.DUMMYFUNCTION("""COMPUTED_VALUE"""),"dialogue")</f>
        <v>dialogue</v>
      </c>
      <c r="Q152" s="6" t="str">
        <f>IFERROR(__xludf.DUMMYFUNCTION("""COMPUTED_VALUE"""),"cinematic")</f>
        <v>cinematic</v>
      </c>
      <c r="S152" s="6" t="str">
        <f>IFERROR(__xludf.DUMMYFUNCTION("""COMPUTED_VALUE"""),"explore")</f>
        <v>explore</v>
      </c>
    </row>
    <row r="153">
      <c r="A153" s="6" t="str">
        <f>IFERROR(__xludf.DUMMYFUNCTION("""COMPUTED_VALUE"""),"tuned")</f>
        <v>tuned</v>
      </c>
      <c r="B153" s="6" t="str">
        <f>IFERROR(__xludf.DUMMYFUNCTION("""COMPUTED_VALUE"""),"compatible")</f>
        <v>compatible</v>
      </c>
      <c r="C153" s="6" t="str">
        <f>IFERROR(__xludf.DUMMYFUNCTION("""COMPUTED_VALUE"""),"propaganda")</f>
        <v>propaganda</v>
      </c>
      <c r="D153" s="6"/>
      <c r="E153" s="6" t="str">
        <f>IFERROR(__xludf.DUMMYFUNCTION("""COMPUTED_VALUE"""),"sly")</f>
        <v>sly</v>
      </c>
      <c r="G153" s="6" t="str">
        <f>IFERROR(__xludf.DUMMYFUNCTION("""COMPUTED_VALUE"""),"remarkable")</f>
        <v>remarkable</v>
      </c>
      <c r="H153" s="6" t="str">
        <f>IFERROR(__xludf.DUMMYFUNCTION("""COMPUTED_VALUE"""),"simulation")</f>
        <v>simulation</v>
      </c>
      <c r="I153" s="6" t="str">
        <f>IFERROR(__xludf.DUMMYFUNCTION("""COMPUTED_VALUE"""),"forces")</f>
        <v>forces</v>
      </c>
      <c r="J153" s="6" t="str">
        <f>IFERROR(__xludf.DUMMYFUNCTION("""COMPUTED_VALUE"""),"talents")</f>
        <v>talents</v>
      </c>
      <c r="L153" s="6" t="str">
        <f>IFERROR(__xludf.DUMMYFUNCTION("""COMPUTED_VALUE"""),"*")</f>
        <v>*</v>
      </c>
      <c r="M153" s="6" t="str">
        <f>IFERROR(__xludf.DUMMYFUNCTION("""COMPUTED_VALUE"""),"competition")</f>
        <v>competition</v>
      </c>
      <c r="N153" s="6" t="str">
        <f>IFERROR(__xludf.DUMMYFUNCTION("""COMPUTED_VALUE"""),"interior")</f>
        <v>interior</v>
      </c>
      <c r="P153" s="6" t="str">
        <f>IFERROR(__xludf.DUMMYFUNCTION("""COMPUTED_VALUE"""),"unfortunately")</f>
        <v>unfortunately</v>
      </c>
      <c r="Q153" s="6" t="str">
        <f>IFERROR(__xludf.DUMMYFUNCTION("""COMPUTED_VALUE"""),"recent")</f>
        <v>recent</v>
      </c>
      <c r="S153" s="6" t="str">
        <f>IFERROR(__xludf.DUMMYFUNCTION("""COMPUTED_VALUE"""),"sudden")</f>
        <v>sudden</v>
      </c>
    </row>
    <row r="154">
      <c r="A154" s="6" t="str">
        <f>IFERROR(__xludf.DUMMYFUNCTION("""COMPUTED_VALUE"""),"padded")</f>
        <v>padded</v>
      </c>
      <c r="B154" s="6" t="str">
        <f>IFERROR(__xludf.DUMMYFUNCTION("""COMPUTED_VALUE"""),"embraced")</f>
        <v>embraced</v>
      </c>
      <c r="C154" s="6" t="str">
        <f>IFERROR(__xludf.DUMMYFUNCTION("""COMPUTED_VALUE"""),"directorial")</f>
        <v>directorial</v>
      </c>
      <c r="D154" s="6"/>
      <c r="E154" s="6" t="str">
        <f>IFERROR(__xludf.DUMMYFUNCTION("""COMPUTED_VALUE"""),"emerges")</f>
        <v>emerges</v>
      </c>
      <c r="G154" s="6" t="str">
        <f>IFERROR(__xludf.DUMMYFUNCTION("""COMPUTED_VALUE"""),"date")</f>
        <v>date</v>
      </c>
      <c r="H154" s="6" t="str">
        <f>IFERROR(__xludf.DUMMYFUNCTION("""COMPUTED_VALUE"""),"theatrical")</f>
        <v>theatrical</v>
      </c>
      <c r="I154" s="6" t="str">
        <f>IFERROR(__xludf.DUMMYFUNCTION("""COMPUTED_VALUE"""),"speak")</f>
        <v>speak</v>
      </c>
      <c r="J154" s="6" t="str">
        <f>IFERROR(__xludf.DUMMYFUNCTION("""COMPUTED_VALUE"""),"important")</f>
        <v>important</v>
      </c>
      <c r="L154" s="6" t="str">
        <f>IFERROR(__xludf.DUMMYFUNCTION("""COMPUTED_VALUE"""),"dog")</f>
        <v>dog</v>
      </c>
      <c r="M154" s="6" t="str">
        <f>IFERROR(__xludf.DUMMYFUNCTION("""COMPUTED_VALUE"""),"gift")</f>
        <v>gift</v>
      </c>
      <c r="N154" s="6" t="str">
        <f>IFERROR(__xludf.DUMMYFUNCTION("""COMPUTED_VALUE"""),"sisters")</f>
        <v>sisters</v>
      </c>
      <c r="P154" s="6" t="str">
        <f>IFERROR(__xludf.DUMMYFUNCTION("""COMPUTED_VALUE"""),"bring")</f>
        <v>bring</v>
      </c>
      <c r="Q154" s="6" t="str">
        <f>IFERROR(__xludf.DUMMYFUNCTION("""COMPUTED_VALUE"""),"addition")</f>
        <v>addition</v>
      </c>
      <c r="S154" s="6" t="str">
        <f>IFERROR(__xludf.DUMMYFUNCTION("""COMPUTED_VALUE"""),"wisdom")</f>
        <v>wisdom</v>
      </c>
    </row>
    <row r="155">
      <c r="A155" s="6" t="str">
        <f>IFERROR(__xludf.DUMMYFUNCTION("""COMPUTED_VALUE"""),"propaganda")</f>
        <v>propaganda</v>
      </c>
      <c r="B155" s="6" t="str">
        <f>IFERROR(__xludf.DUMMYFUNCTION("""COMPUTED_VALUE"""),"denial")</f>
        <v>denial</v>
      </c>
      <c r="C155" s="6" t="str">
        <f>IFERROR(__xludf.DUMMYFUNCTION("""COMPUTED_VALUE"""),"repeated")</f>
        <v>repeated</v>
      </c>
      <c r="D155" s="6"/>
      <c r="E155" s="6" t="str">
        <f>IFERROR(__xludf.DUMMYFUNCTION("""COMPUTED_VALUE"""),"static")</f>
        <v>static</v>
      </c>
      <c r="G155" s="6" t="str">
        <f>IFERROR(__xludf.DUMMYFUNCTION("""COMPUTED_VALUE"""),"short")</f>
        <v>short</v>
      </c>
      <c r="H155" s="6" t="str">
        <f>IFERROR(__xludf.DUMMYFUNCTION("""COMPUTED_VALUE"""),"extraordinary")</f>
        <v>extraordinary</v>
      </c>
      <c r="I155" s="6" t="str">
        <f>IFERROR(__xludf.DUMMYFUNCTION("""COMPUTED_VALUE"""),"considerable")</f>
        <v>considerable</v>
      </c>
      <c r="J155" s="6" t="str">
        <f>IFERROR(__xludf.DUMMYFUNCTION("""COMPUTED_VALUE"""),"service")</f>
        <v>service</v>
      </c>
      <c r="L155" s="6" t="str">
        <f>IFERROR(__xludf.DUMMYFUNCTION("""COMPUTED_VALUE"""),"four")</f>
        <v>four</v>
      </c>
      <c r="M155" s="6" t="str">
        <f>IFERROR(__xludf.DUMMYFUNCTION("""COMPUTED_VALUE"""),"light")</f>
        <v>light</v>
      </c>
      <c r="N155" s="6" t="str">
        <f>IFERROR(__xludf.DUMMYFUNCTION("""COMPUTED_VALUE"""),"close")</f>
        <v>close</v>
      </c>
      <c r="P155" s="6" t="str">
        <f>IFERROR(__xludf.DUMMYFUNCTION("""COMPUTED_VALUE"""),"jason")</f>
        <v>jason</v>
      </c>
      <c r="Q155" s="6" t="str">
        <f>IFERROR(__xludf.DUMMYFUNCTION("""COMPUTED_VALUE"""),"mystery")</f>
        <v>mystery</v>
      </c>
      <c r="S155" s="6" t="str">
        <f>IFERROR(__xludf.DUMMYFUNCTION("""COMPUTED_VALUE"""),"ahead")</f>
        <v>ahead</v>
      </c>
    </row>
    <row r="156">
      <c r="A156" s="6" t="str">
        <f>IFERROR(__xludf.DUMMYFUNCTION("""COMPUTED_VALUE"""),"directorial")</f>
        <v>directorial</v>
      </c>
      <c r="B156" s="6" t="str">
        <f>IFERROR(__xludf.DUMMYFUNCTION("""COMPUTED_VALUE"""),"capturing")</f>
        <v>capturing</v>
      </c>
      <c r="C156" s="6" t="str">
        <f>IFERROR(__xludf.DUMMYFUNCTION("""COMPUTED_VALUE"""),"misery")</f>
        <v>misery</v>
      </c>
      <c r="D156" s="6"/>
      <c r="E156" s="6" t="str">
        <f>IFERROR(__xludf.DUMMYFUNCTION("""COMPUTED_VALUE"""),"photographed")</f>
        <v>photographed</v>
      </c>
      <c r="G156" s="6" t="str">
        <f>IFERROR(__xludf.DUMMYFUNCTION("""COMPUTED_VALUE"""),"slightest")</f>
        <v>slightest</v>
      </c>
      <c r="H156" s="6" t="str">
        <f>IFERROR(__xludf.DUMMYFUNCTION("""COMPUTED_VALUE"""),"heart")</f>
        <v>heart</v>
      </c>
      <c r="I156" s="6" t="str">
        <f>IFERROR(__xludf.DUMMYFUNCTION("""COMPUTED_VALUE"""),"large")</f>
        <v>large</v>
      </c>
      <c r="J156" s="6" t="str">
        <f>IFERROR(__xludf.DUMMYFUNCTION("""COMPUTED_VALUE"""),"filmmaking")</f>
        <v>filmmaking</v>
      </c>
      <c r="L156" s="6" t="str">
        <f>IFERROR(__xludf.DUMMYFUNCTION("""COMPUTED_VALUE"""),"tear")</f>
        <v>tear</v>
      </c>
      <c r="M156" s="6" t="str">
        <f>IFERROR(__xludf.DUMMYFUNCTION("""COMPUTED_VALUE"""),"bright")</f>
        <v>bright</v>
      </c>
      <c r="N156" s="6" t="str">
        <f>IFERROR(__xludf.DUMMYFUNCTION("""COMPUTED_VALUE"""),"served")</f>
        <v>served</v>
      </c>
      <c r="P156" s="6" t="str">
        <f>IFERROR(__xludf.DUMMYFUNCTION("""COMPUTED_VALUE"""),"role")</f>
        <v>role</v>
      </c>
      <c r="Q156" s="6" t="str">
        <f>IFERROR(__xludf.DUMMYFUNCTION("""COMPUTED_VALUE"""),"em")</f>
        <v>em</v>
      </c>
      <c r="S156" s="6" t="str">
        <f>IFERROR(__xludf.DUMMYFUNCTION("""COMPUTED_VALUE"""),"memory")</f>
        <v>memory</v>
      </c>
    </row>
    <row r="157">
      <c r="A157" s="6" t="str">
        <f>IFERROR(__xludf.DUMMYFUNCTION("""COMPUTED_VALUE"""),"misery")</f>
        <v>misery</v>
      </c>
      <c r="B157" s="6" t="str">
        <f>IFERROR(__xludf.DUMMYFUNCTION("""COMPUTED_VALUE"""),"collectively")</f>
        <v>collectively</v>
      </c>
      <c r="C157" s="6" t="str">
        <f>IFERROR(__xludf.DUMMYFUNCTION("""COMPUTED_VALUE"""),"willingness")</f>
        <v>willingness</v>
      </c>
      <c r="D157" s="6"/>
      <c r="E157" s="6" t="str">
        <f>IFERROR(__xludf.DUMMYFUNCTION("""COMPUTED_VALUE"""),"arbitrary")</f>
        <v>arbitrary</v>
      </c>
      <c r="G157" s="6" t="str">
        <f>IFERROR(__xludf.DUMMYFUNCTION("""COMPUTED_VALUE"""),"videos")</f>
        <v>videos</v>
      </c>
      <c r="H157" s="6" t="str">
        <f>IFERROR(__xludf.DUMMYFUNCTION("""COMPUTED_VALUE"""),"champion")</f>
        <v>champion</v>
      </c>
      <c r="I157" s="6" t="str">
        <f>IFERROR(__xludf.DUMMYFUNCTION("""COMPUTED_VALUE"""),"flat")</f>
        <v>flat</v>
      </c>
      <c r="J157" s="6" t="str">
        <f>IFERROR(__xludf.DUMMYFUNCTION("""COMPUTED_VALUE"""),"promise")</f>
        <v>promise</v>
      </c>
      <c r="L157" s="6" t="str">
        <f>IFERROR(__xludf.DUMMYFUNCTION("""COMPUTED_VALUE"""),"promise")</f>
        <v>promise</v>
      </c>
      <c r="M157" s="6" t="str">
        <f>IFERROR(__xludf.DUMMYFUNCTION("""COMPUTED_VALUE"""),"head")</f>
        <v>head</v>
      </c>
      <c r="N157" s="6" t="str">
        <f>IFERROR(__xludf.DUMMYFUNCTION("""COMPUTED_VALUE"""),"bloody")</f>
        <v>bloody</v>
      </c>
      <c r="P157" s="6" t="str">
        <f>IFERROR(__xludf.DUMMYFUNCTION("""COMPUTED_VALUE"""),"brings")</f>
        <v>brings</v>
      </c>
      <c r="Q157" s="6" t="str">
        <f>IFERROR(__xludf.DUMMYFUNCTION("""COMPUTED_VALUE"""),"late")</f>
        <v>late</v>
      </c>
      <c r="S157" s="6" t="str">
        <f>IFERROR(__xludf.DUMMYFUNCTION("""COMPUTED_VALUE"""),"long")</f>
        <v>long</v>
      </c>
    </row>
    <row r="158">
      <c r="A158" s="6" t="str">
        <f>IFERROR(__xludf.DUMMYFUNCTION("""COMPUTED_VALUE"""),"willingness")</f>
        <v>willingness</v>
      </c>
      <c r="B158" s="6" t="str">
        <f>IFERROR(__xludf.DUMMYFUNCTION("""COMPUTED_VALUE"""),"phenomenon")</f>
        <v>phenomenon</v>
      </c>
      <c r="C158" s="6" t="str">
        <f>IFERROR(__xludf.DUMMYFUNCTION("""COMPUTED_VALUE"""),"pity")</f>
        <v>pity</v>
      </c>
      <c r="D158" s="6"/>
      <c r="E158" s="6" t="str">
        <f>IFERROR(__xludf.DUMMYFUNCTION("""COMPUTED_VALUE"""),"loosely")</f>
        <v>loosely</v>
      </c>
      <c r="G158" s="6" t="str">
        <f>IFERROR(__xludf.DUMMYFUNCTION("""COMPUTED_VALUE"""),"music")</f>
        <v>music</v>
      </c>
      <c r="H158" s="6" t="str">
        <f>IFERROR(__xludf.DUMMYFUNCTION("""COMPUTED_VALUE"""),"adaptation")</f>
        <v>adaptation</v>
      </c>
      <c r="I158" s="6" t="str">
        <f>IFERROR(__xludf.DUMMYFUNCTION("""COMPUTED_VALUE"""),"bold")</f>
        <v>bold</v>
      </c>
      <c r="J158" s="6" t="str">
        <f>IFERROR(__xludf.DUMMYFUNCTION("""COMPUTED_VALUE"""),"wait")</f>
        <v>wait</v>
      </c>
      <c r="L158" s="6" t="str">
        <f>IFERROR(__xludf.DUMMYFUNCTION("""COMPUTED_VALUE"""),"face")</f>
        <v>face</v>
      </c>
      <c r="M158" s="6" t="str">
        <f>IFERROR(__xludf.DUMMYFUNCTION("""COMPUTED_VALUE"""),"early")</f>
        <v>early</v>
      </c>
      <c r="N158" s="6" t="str">
        <f>IFERROR(__xludf.DUMMYFUNCTION("""COMPUTED_VALUE"""),"slightly")</f>
        <v>slightly</v>
      </c>
      <c r="P158" s="6" t="str">
        <f>IFERROR(__xludf.DUMMYFUNCTION("""COMPUTED_VALUE"""),"years")</f>
        <v>years</v>
      </c>
      <c r="Q158" s="6" t="str">
        <f>IFERROR(__xludf.DUMMYFUNCTION("""COMPUTED_VALUE"""),"go")</f>
        <v>go</v>
      </c>
      <c r="S158" s="6" t="str">
        <f>IFERROR(__xludf.DUMMYFUNCTION("""COMPUTED_VALUE"""),"eyes")</f>
        <v>eyes</v>
      </c>
    </row>
    <row r="159">
      <c r="A159" s="6" t="str">
        <f>IFERROR(__xludf.DUMMYFUNCTION("""COMPUTED_VALUE"""),"pity")</f>
        <v>pity</v>
      </c>
      <c r="B159" s="6" t="str">
        <f>IFERROR(__xludf.DUMMYFUNCTION("""COMPUTED_VALUE"""),"scarcely")</f>
        <v>scarcely</v>
      </c>
      <c r="C159" s="6" t="str">
        <f>IFERROR(__xludf.DUMMYFUNCTION("""COMPUTED_VALUE"""),"wears")</f>
        <v>wears</v>
      </c>
      <c r="D159" s="6"/>
      <c r="E159" s="6" t="str">
        <f>IFERROR(__xludf.DUMMYFUNCTION("""COMPUTED_VALUE"""),"honesty")</f>
        <v>honesty</v>
      </c>
      <c r="G159" s="6" t="str">
        <f>IFERROR(__xludf.DUMMYFUNCTION("""COMPUTED_VALUE"""),"color")</f>
        <v>color</v>
      </c>
      <c r="H159" s="6" t="str">
        <f>IFERROR(__xludf.DUMMYFUNCTION("""COMPUTED_VALUE"""),"descends")</f>
        <v>descends</v>
      </c>
      <c r="I159" s="6" t="str">
        <f>IFERROR(__xludf.DUMMYFUNCTION("""COMPUTED_VALUE"""),"effects")</f>
        <v>effects</v>
      </c>
      <c r="J159" s="6" t="str">
        <f>IFERROR(__xludf.DUMMYFUNCTION("""COMPUTED_VALUE"""),"auschwitz")</f>
        <v>auschwitz</v>
      </c>
      <c r="L159" s="6" t="str">
        <f>IFERROR(__xludf.DUMMYFUNCTION("""COMPUTED_VALUE"""),"open")</f>
        <v>open</v>
      </c>
      <c r="M159" s="6" t="str">
        <f>IFERROR(__xludf.DUMMYFUNCTION("""COMPUTED_VALUE"""),"cut")</f>
        <v>cut</v>
      </c>
      <c r="N159" s="6" t="str">
        <f>IFERROR(__xludf.DUMMYFUNCTION("""COMPUTED_VALUE"""),"change")</f>
        <v>change</v>
      </c>
      <c r="P159" s="6" t="str">
        <f>IFERROR(__xludf.DUMMYFUNCTION("""COMPUTED_VALUE"""),"share")</f>
        <v>share</v>
      </c>
      <c r="Q159" s="6" t="str">
        <f>IFERROR(__xludf.DUMMYFUNCTION("""COMPUTED_VALUE"""),"work")</f>
        <v>work</v>
      </c>
      <c r="S159" s="6" t="str">
        <f>IFERROR(__xludf.DUMMYFUNCTION("""COMPUTED_VALUE"""),"images")</f>
        <v>images</v>
      </c>
    </row>
    <row r="160">
      <c r="A160" s="6" t="str">
        <f>IFERROR(__xludf.DUMMYFUNCTION("""COMPUTED_VALUE"""),"wears")</f>
        <v>wears</v>
      </c>
      <c r="B160" s="6" t="str">
        <f>IFERROR(__xludf.DUMMYFUNCTION("""COMPUTED_VALUE"""),"expressive")</f>
        <v>expressive</v>
      </c>
      <c r="C160" s="6" t="str">
        <f>IFERROR(__xludf.DUMMYFUNCTION("""COMPUTED_VALUE"""),"sly")</f>
        <v>sly</v>
      </c>
      <c r="D160" s="6"/>
      <c r="E160" s="6" t="str">
        <f>IFERROR(__xludf.DUMMYFUNCTION("""COMPUTED_VALUE"""),"dreadful")</f>
        <v>dreadful</v>
      </c>
      <c r="G160" s="6" t="str">
        <f>IFERROR(__xludf.DUMMYFUNCTION("""COMPUTED_VALUE"""),"preliminary")</f>
        <v>preliminary</v>
      </c>
      <c r="H160" s="6" t="str">
        <f>IFERROR(__xludf.DUMMYFUNCTION("""COMPUTED_VALUE"""),"works")</f>
        <v>works</v>
      </c>
      <c r="I160" s="6" t="str">
        <f>IFERROR(__xludf.DUMMYFUNCTION("""COMPUTED_VALUE"""),"whole")</f>
        <v>whole</v>
      </c>
      <c r="J160" s="6" t="str">
        <f>IFERROR(__xludf.DUMMYFUNCTION("""COMPUTED_VALUE"""),"theatrical")</f>
        <v>theatrical</v>
      </c>
      <c r="L160" s="6" t="str">
        <f>IFERROR(__xludf.DUMMYFUNCTION("""COMPUTED_VALUE"""),"score")</f>
        <v>score</v>
      </c>
      <c r="M160" s="6" t="str">
        <f>IFERROR(__xludf.DUMMYFUNCTION("""COMPUTED_VALUE"""),"college")</f>
        <v>college</v>
      </c>
      <c r="N160" s="6" t="str">
        <f>IFERROR(__xludf.DUMMYFUNCTION("""COMPUTED_VALUE"""),"itself")</f>
        <v>itself</v>
      </c>
      <c r="P160" s="6" t="str">
        <f>IFERROR(__xludf.DUMMYFUNCTION("""COMPUTED_VALUE"""),"effort")</f>
        <v>effort</v>
      </c>
      <c r="Q160" s="6" t="str">
        <f>IFERROR(__xludf.DUMMYFUNCTION("""COMPUTED_VALUE"""),"fluid")</f>
        <v>fluid</v>
      </c>
      <c r="S160" s="6" t="str">
        <f>IFERROR(__xludf.DUMMYFUNCTION("""COMPUTED_VALUE"""),"hate")</f>
        <v>hate</v>
      </c>
    </row>
    <row r="161">
      <c r="A161" s="6" t="str">
        <f>IFERROR(__xludf.DUMMYFUNCTION("""COMPUTED_VALUE"""),"assurance")</f>
        <v>assurance</v>
      </c>
      <c r="B161" s="6" t="str">
        <f>IFERROR(__xludf.DUMMYFUNCTION("""COMPUTED_VALUE"""),"bitten")</f>
        <v>bitten</v>
      </c>
      <c r="C161" s="6" t="str">
        <f>IFERROR(__xludf.DUMMYFUNCTION("""COMPUTED_VALUE"""),"emerges")</f>
        <v>emerges</v>
      </c>
      <c r="D161" s="6"/>
      <c r="E161" s="6" t="str">
        <f>IFERROR(__xludf.DUMMYFUNCTION("""COMPUTED_VALUE"""),"elephant")</f>
        <v>elephant</v>
      </c>
      <c r="G161" s="6" t="str">
        <f>IFERROR(__xludf.DUMMYFUNCTION("""COMPUTED_VALUE"""),"narrative")</f>
        <v>narrative</v>
      </c>
      <c r="H161" s="6" t="str">
        <f>IFERROR(__xludf.DUMMYFUNCTION("""COMPUTED_VALUE"""),"derivative")</f>
        <v>derivative</v>
      </c>
      <c r="I161" s="6" t="str">
        <f>IFERROR(__xludf.DUMMYFUNCTION("""COMPUTED_VALUE"""),"warmth")</f>
        <v>warmth</v>
      </c>
      <c r="J161" s="6" t="str">
        <f>IFERROR(__xludf.DUMMYFUNCTION("""COMPUTED_VALUE"""),"extraordinary")</f>
        <v>extraordinary</v>
      </c>
      <c r="L161" s="6" t="str">
        <f>IFERROR(__xludf.DUMMYFUNCTION("""COMPUTED_VALUE"""),"offering")</f>
        <v>offering</v>
      </c>
      <c r="M161" s="6" t="str">
        <f>IFERROR(__xludf.DUMMYFUNCTION("""COMPUTED_VALUE"""),"part")</f>
        <v>part</v>
      </c>
      <c r="N161" s="6" t="str">
        <f>IFERROR(__xludf.DUMMYFUNCTION("""COMPUTED_VALUE"""),"heart")</f>
        <v>heart</v>
      </c>
      <c r="P161" s="6" t="str">
        <f>IFERROR(__xludf.DUMMYFUNCTION("""COMPUTED_VALUE"""),"collapse")</f>
        <v>collapse</v>
      </c>
      <c r="Q161" s="6" t="str">
        <f>IFERROR(__xludf.DUMMYFUNCTION("""COMPUTED_VALUE"""),"direction")</f>
        <v>direction</v>
      </c>
      <c r="S161" s="6" t="str">
        <f>IFERROR(__xludf.DUMMYFUNCTION("""COMPUTED_VALUE"""),"tear")</f>
        <v>tear</v>
      </c>
    </row>
    <row r="162">
      <c r="A162" s="6" t="str">
        <f>IFERROR(__xludf.DUMMYFUNCTION("""COMPUTED_VALUE"""),"impact")</f>
        <v>impact</v>
      </c>
      <c r="B162" s="6" t="str">
        <f>IFERROR(__xludf.DUMMYFUNCTION("""COMPUTED_VALUE"""),"evolve")</f>
        <v>evolve</v>
      </c>
      <c r="C162" s="6" t="str">
        <f>IFERROR(__xludf.DUMMYFUNCTION("""COMPUTED_VALUE"""),"photographed")</f>
        <v>photographed</v>
      </c>
      <c r="D162" s="6"/>
      <c r="E162" s="6" t="str">
        <f>IFERROR(__xludf.DUMMYFUNCTION("""COMPUTED_VALUE"""),"approaches")</f>
        <v>approaches</v>
      </c>
      <c r="G162" s="6" t="str">
        <f>IFERROR(__xludf.DUMMYFUNCTION("""COMPUTED_VALUE"""),"difficult")</f>
        <v>difficult</v>
      </c>
      <c r="H162" s="6" t="str">
        <f>IFERROR(__xludf.DUMMYFUNCTION("""COMPUTED_VALUE"""),"sequel")</f>
        <v>sequel</v>
      </c>
      <c r="I162" s="6" t="str">
        <f>IFERROR(__xludf.DUMMYFUNCTION("""COMPUTED_VALUE"""),"script")</f>
        <v>script</v>
      </c>
      <c r="J162" s="6" t="str">
        <f>IFERROR(__xludf.DUMMYFUNCTION("""COMPUTED_VALUE"""),"heart")</f>
        <v>heart</v>
      </c>
      <c r="L162" s="6" t="str">
        <f>IFERROR(__xludf.DUMMYFUNCTION("""COMPUTED_VALUE"""),"broad")</f>
        <v>broad</v>
      </c>
      <c r="M162" s="6" t="str">
        <f>IFERROR(__xludf.DUMMYFUNCTION("""COMPUTED_VALUE"""),"day")</f>
        <v>day</v>
      </c>
      <c r="N162" s="6" t="str">
        <f>IFERROR(__xludf.DUMMYFUNCTION("""COMPUTED_VALUE"""),"make")</f>
        <v>make</v>
      </c>
      <c r="P162" s="6" t="str">
        <f>IFERROR(__xludf.DUMMYFUNCTION("""COMPUTED_VALUE"""),"forgive")</f>
        <v>forgive</v>
      </c>
      <c r="Q162" s="6" t="str">
        <f>IFERROR(__xludf.DUMMYFUNCTION("""COMPUTED_VALUE"""),"ron")</f>
        <v>ron</v>
      </c>
      <c r="S162" s="6" t="str">
        <f>IFERROR(__xludf.DUMMYFUNCTION("""COMPUTED_VALUE"""),"addition")</f>
        <v>addition</v>
      </c>
    </row>
    <row r="163">
      <c r="A163" s="6" t="str">
        <f>IFERROR(__xludf.DUMMYFUNCTION("""COMPUTED_VALUE"""),"sly")</f>
        <v>sly</v>
      </c>
      <c r="B163" s="6" t="str">
        <f>IFERROR(__xludf.DUMMYFUNCTION("""COMPUTED_VALUE"""),"foolish")</f>
        <v>foolish</v>
      </c>
      <c r="C163" s="6" t="str">
        <f>IFERROR(__xludf.DUMMYFUNCTION("""COMPUTED_VALUE"""),"arbitrary")</f>
        <v>arbitrary</v>
      </c>
      <c r="D163" s="6"/>
      <c r="E163" s="6" t="str">
        <f>IFERROR(__xludf.DUMMYFUNCTION("""COMPUTED_VALUE"""),"stylized")</f>
        <v>stylized</v>
      </c>
      <c r="G163" s="6" t="str">
        <f>IFERROR(__xludf.DUMMYFUNCTION("""COMPUTED_VALUE"""),"unpredictable")</f>
        <v>unpredictable</v>
      </c>
      <c r="H163" s="6" t="str">
        <f>IFERROR(__xludf.DUMMYFUNCTION("""COMPUTED_VALUE"""),"archives")</f>
        <v>archives</v>
      </c>
      <c r="I163" s="6" t="str">
        <f>IFERROR(__xludf.DUMMYFUNCTION("""COMPUTED_VALUE"""),"credits")</f>
        <v>credits</v>
      </c>
      <c r="J163" s="6" t="str">
        <f>IFERROR(__xludf.DUMMYFUNCTION("""COMPUTED_VALUE"""),"champion")</f>
        <v>champion</v>
      </c>
      <c r="L163" s="6" t="str">
        <f>IFERROR(__xludf.DUMMYFUNCTION("""COMPUTED_VALUE"""),"attractive")</f>
        <v>attractive</v>
      </c>
      <c r="M163" s="6" t="str">
        <f>IFERROR(__xludf.DUMMYFUNCTION("""COMPUTED_VALUE"""),"school")</f>
        <v>school</v>
      </c>
      <c r="N163" s="6" t="str">
        <f>IFERROR(__xludf.DUMMYFUNCTION("""COMPUTED_VALUE"""),"whose")</f>
        <v>whose</v>
      </c>
      <c r="P163" s="6" t="str">
        <f>IFERROR(__xludf.DUMMYFUNCTION("""COMPUTED_VALUE"""),"tool")</f>
        <v>tool</v>
      </c>
      <c r="Q163" s="6" t="str">
        <f>IFERROR(__xludf.DUMMYFUNCTION("""COMPUTED_VALUE"""),"storytelling")</f>
        <v>storytelling</v>
      </c>
      <c r="S163" s="6" t="str">
        <f>IFERROR(__xludf.DUMMYFUNCTION("""COMPUTED_VALUE"""),"recent")</f>
        <v>recent</v>
      </c>
    </row>
    <row r="164">
      <c r="A164" s="6" t="str">
        <f>IFERROR(__xludf.DUMMYFUNCTION("""COMPUTED_VALUE"""),"emerges")</f>
        <v>emerges</v>
      </c>
      <c r="B164" s="6" t="str">
        <f>IFERROR(__xludf.DUMMYFUNCTION("""COMPUTED_VALUE"""),"effectively")</f>
        <v>effectively</v>
      </c>
      <c r="C164" s="6" t="str">
        <f>IFERROR(__xludf.DUMMYFUNCTION("""COMPUTED_VALUE"""),"riot")</f>
        <v>riot</v>
      </c>
      <c r="D164" s="6"/>
      <c r="E164" s="6" t="str">
        <f>IFERROR(__xludf.DUMMYFUNCTION("""COMPUTED_VALUE"""),"utilizing")</f>
        <v>utilizing</v>
      </c>
      <c r="G164" s="6" t="str">
        <f>IFERROR(__xludf.DUMMYFUNCTION("""COMPUTED_VALUE"""),"running")</f>
        <v>running</v>
      </c>
      <c r="H164" s="6" t="str">
        <f>IFERROR(__xludf.DUMMYFUNCTION("""COMPUTED_VALUE"""),"despite")</f>
        <v>despite</v>
      </c>
      <c r="I164" s="6" t="str">
        <f>IFERROR(__xludf.DUMMYFUNCTION("""COMPUTED_VALUE"""),"bar")</f>
        <v>bar</v>
      </c>
      <c r="J164" s="6" t="str">
        <f>IFERROR(__xludf.DUMMYFUNCTION("""COMPUTED_VALUE"""),"adaptation")</f>
        <v>adaptation</v>
      </c>
      <c r="L164" s="6" t="str">
        <f>IFERROR(__xludf.DUMMYFUNCTION("""COMPUTED_VALUE"""),"bring")</f>
        <v>bring</v>
      </c>
      <c r="M164" s="6" t="str">
        <f>IFERROR(__xludf.DUMMYFUNCTION("""COMPUTED_VALUE"""),"desperately")</f>
        <v>desperately</v>
      </c>
      <c r="N164" s="6" t="str">
        <f>IFERROR(__xludf.DUMMYFUNCTION("""COMPUTED_VALUE"""),"childhood")</f>
        <v>childhood</v>
      </c>
      <c r="P164" s="6" t="str">
        <f>IFERROR(__xludf.DUMMYFUNCTION("""COMPUTED_VALUE"""),"serves")</f>
        <v>serves</v>
      </c>
      <c r="Q164" s="6" t="str">
        <f>IFERROR(__xludf.DUMMYFUNCTION("""COMPUTED_VALUE"""),"piece")</f>
        <v>piece</v>
      </c>
      <c r="S164" s="6" t="str">
        <f>IFERROR(__xludf.DUMMYFUNCTION("""COMPUTED_VALUE"""),"titles")</f>
        <v>titles</v>
      </c>
    </row>
    <row r="165">
      <c r="A165" s="6" t="str">
        <f>IFERROR(__xludf.DUMMYFUNCTION("""COMPUTED_VALUE"""),"static")</f>
        <v>static</v>
      </c>
      <c r="B165" s="6" t="str">
        <f>IFERROR(__xludf.DUMMYFUNCTION("""COMPUTED_VALUE"""),"playfully")</f>
        <v>playfully</v>
      </c>
      <c r="C165" s="6" t="str">
        <f>IFERROR(__xludf.DUMMYFUNCTION("""COMPUTED_VALUE"""),"loosely")</f>
        <v>loosely</v>
      </c>
      <c r="D165" s="6"/>
      <c r="E165" s="6" t="str">
        <f>IFERROR(__xludf.DUMMYFUNCTION("""COMPUTED_VALUE"""),"pollution")</f>
        <v>pollution</v>
      </c>
      <c r="G165" s="6" t="str">
        <f>IFERROR(__xludf.DUMMYFUNCTION("""COMPUTED_VALUE"""),"spectacle")</f>
        <v>spectacle</v>
      </c>
      <c r="H165" s="6" t="str">
        <f>IFERROR(__xludf.DUMMYFUNCTION("""COMPUTED_VALUE"""),"ambitions")</f>
        <v>ambitions</v>
      </c>
      <c r="I165" s="6" t="str">
        <f>IFERROR(__xludf.DUMMYFUNCTION("""COMPUTED_VALUE"""),"enjoy")</f>
        <v>enjoy</v>
      </c>
      <c r="J165" s="6" t="str">
        <f>IFERROR(__xludf.DUMMYFUNCTION("""COMPUTED_VALUE"""),"descends")</f>
        <v>descends</v>
      </c>
      <c r="L165" s="6" t="str">
        <f>IFERROR(__xludf.DUMMYFUNCTION("""COMPUTED_VALUE"""),"body")</f>
        <v>body</v>
      </c>
      <c r="M165" s="6" t="str">
        <f>IFERROR(__xludf.DUMMYFUNCTION("""COMPUTED_VALUE"""),"american")</f>
        <v>american</v>
      </c>
      <c r="N165" s="6" t="str">
        <f>IFERROR(__xludf.DUMMYFUNCTION("""COMPUTED_VALUE"""),"using")</f>
        <v>using</v>
      </c>
      <c r="P165" s="6" t="str">
        <f>IFERROR(__xludf.DUMMYFUNCTION("""COMPUTED_VALUE"""),"learning")</f>
        <v>learning</v>
      </c>
      <c r="Q165" s="6" t="str">
        <f>IFERROR(__xludf.DUMMYFUNCTION("""COMPUTED_VALUE"""),"casts")</f>
        <v>casts</v>
      </c>
      <c r="S165" s="6" t="str">
        <f>IFERROR(__xludf.DUMMYFUNCTION("""COMPUTED_VALUE"""),"go")</f>
        <v>go</v>
      </c>
    </row>
    <row r="166">
      <c r="A166" s="6" t="str">
        <f>IFERROR(__xludf.DUMMYFUNCTION("""COMPUTED_VALUE"""),"photographed")</f>
        <v>photographed</v>
      </c>
      <c r="B166" s="6" t="str">
        <f>IFERROR(__xludf.DUMMYFUNCTION("""COMPUTED_VALUE"""),"bolt")</f>
        <v>bolt</v>
      </c>
      <c r="C166" s="6" t="str">
        <f>IFERROR(__xludf.DUMMYFUNCTION("""COMPUTED_VALUE"""),"dreadful")</f>
        <v>dreadful</v>
      </c>
      <c r="D166" s="6"/>
      <c r="E166" s="6" t="str">
        <f>IFERROR(__xludf.DUMMYFUNCTION("""COMPUTED_VALUE"""),"achieving")</f>
        <v>achieving</v>
      </c>
      <c r="G166" s="6" t="str">
        <f>IFERROR(__xludf.DUMMYFUNCTION("""COMPUTED_VALUE"""),"conclusions")</f>
        <v>conclusions</v>
      </c>
      <c r="H166" s="6" t="str">
        <f>IFERROR(__xludf.DUMMYFUNCTION("""COMPUTED_VALUE"""),"compelling")</f>
        <v>compelling</v>
      </c>
      <c r="I166" s="6" t="str">
        <f>IFERROR(__xludf.DUMMYFUNCTION("""COMPUTED_VALUE"""),"beyond")</f>
        <v>beyond</v>
      </c>
      <c r="J166" s="6" t="str">
        <f>IFERROR(__xludf.DUMMYFUNCTION("""COMPUTED_VALUE"""),"works")</f>
        <v>works</v>
      </c>
      <c r="L166" s="6" t="str">
        <f>IFERROR(__xludf.DUMMYFUNCTION("""COMPUTED_VALUE"""),"whom")</f>
        <v>whom</v>
      </c>
      <c r="M166" s="6" t="str">
        <f>IFERROR(__xludf.DUMMYFUNCTION("""COMPUTED_VALUE"""),"friends")</f>
        <v>friends</v>
      </c>
      <c r="N166" s="6" t="str">
        <f>IFERROR(__xludf.DUMMYFUNCTION("""COMPUTED_VALUE"""),"manner")</f>
        <v>manner</v>
      </c>
      <c r="P166" s="6" t="str">
        <f>IFERROR(__xludf.DUMMYFUNCTION("""COMPUTED_VALUE"""),"effective")</f>
        <v>effective</v>
      </c>
      <c r="Q166" s="6" t="str">
        <f>IFERROR(__xludf.DUMMYFUNCTION("""COMPUTED_VALUE"""),"landscape")</f>
        <v>landscape</v>
      </c>
      <c r="S166" s="6" t="str">
        <f>IFERROR(__xludf.DUMMYFUNCTION("""COMPUTED_VALUE"""),"going")</f>
        <v>going</v>
      </c>
    </row>
    <row r="167">
      <c r="A167" s="6" t="str">
        <f>IFERROR(__xludf.DUMMYFUNCTION("""COMPUTED_VALUE"""),"arbitrary")</f>
        <v>arbitrary</v>
      </c>
      <c r="B167" s="6" t="str">
        <f>IFERROR(__xludf.DUMMYFUNCTION("""COMPUTED_VALUE"""),"knockout")</f>
        <v>knockout</v>
      </c>
      <c r="C167" s="6" t="str">
        <f>IFERROR(__xludf.DUMMYFUNCTION("""COMPUTED_VALUE"""),"elephant")</f>
        <v>elephant</v>
      </c>
      <c r="D167" s="6"/>
      <c r="E167" s="6" t="str">
        <f>IFERROR(__xludf.DUMMYFUNCTION("""COMPUTED_VALUE"""),"intensely")</f>
        <v>intensely</v>
      </c>
      <c r="G167" s="6" t="str">
        <f>IFERROR(__xludf.DUMMYFUNCTION("""COMPUTED_VALUE"""),"dramas")</f>
        <v>dramas</v>
      </c>
      <c r="H167" s="6" t="str">
        <f>IFERROR(__xludf.DUMMYFUNCTION("""COMPUTED_VALUE"""),"procession")</f>
        <v>procession</v>
      </c>
      <c r="I167" s="6" t="str">
        <f>IFERROR(__xludf.DUMMYFUNCTION("""COMPUTED_VALUE"""),"affair")</f>
        <v>affair</v>
      </c>
      <c r="J167" s="6" t="str">
        <f>IFERROR(__xludf.DUMMYFUNCTION("""COMPUTED_VALUE"""),"keeping")</f>
        <v>keeping</v>
      </c>
      <c r="L167" s="6" t="str">
        <f>IFERROR(__xludf.DUMMYFUNCTION("""COMPUTED_VALUE"""),"moving")</f>
        <v>moving</v>
      </c>
      <c r="M167" s="6" t="str">
        <f>IFERROR(__xludf.DUMMYFUNCTION("""COMPUTED_VALUE"""),"typical")</f>
        <v>typical</v>
      </c>
      <c r="N167" s="6" t="str">
        <f>IFERROR(__xludf.DUMMYFUNCTION("""COMPUTED_VALUE"""),"although")</f>
        <v>although</v>
      </c>
      <c r="P167" s="6" t="str">
        <f>IFERROR(__xludf.DUMMYFUNCTION("""COMPUTED_VALUE"""),"community")</f>
        <v>community</v>
      </c>
      <c r="Q167" s="6" t="str">
        <f>IFERROR(__xludf.DUMMYFUNCTION("""COMPUTED_VALUE"""),"takes")</f>
        <v>takes</v>
      </c>
      <c r="S167" s="6" t="str">
        <f>IFERROR(__xludf.DUMMYFUNCTION("""COMPUTED_VALUE"""),"late")</f>
        <v>late</v>
      </c>
    </row>
    <row r="168">
      <c r="A168" s="6" t="str">
        <f>IFERROR(__xludf.DUMMYFUNCTION("""COMPUTED_VALUE"""),"riot")</f>
        <v>riot</v>
      </c>
      <c r="B168" s="6" t="str">
        <f>IFERROR(__xludf.DUMMYFUNCTION("""COMPUTED_VALUE"""),"rooted")</f>
        <v>rooted</v>
      </c>
      <c r="C168" s="6" t="str">
        <f>IFERROR(__xludf.DUMMYFUNCTION("""COMPUTED_VALUE"""),"approaches")</f>
        <v>approaches</v>
      </c>
      <c r="D168" s="6"/>
      <c r="E168" s="6" t="str">
        <f>IFERROR(__xludf.DUMMYFUNCTION("""COMPUTED_VALUE"""),"loser")</f>
        <v>loser</v>
      </c>
      <c r="G168" s="6" t="str">
        <f>IFERROR(__xludf.DUMMYFUNCTION("""COMPUTED_VALUE"""),"forces")</f>
        <v>forces</v>
      </c>
      <c r="H168" s="6" t="str">
        <f>IFERROR(__xludf.DUMMYFUNCTION("""COMPUTED_VALUE"""),"remarkable")</f>
        <v>remarkable</v>
      </c>
      <c r="I168" s="6" t="str">
        <f>IFERROR(__xludf.DUMMYFUNCTION("""COMPUTED_VALUE"""),"things")</f>
        <v>things</v>
      </c>
      <c r="J168" s="6" t="str">
        <f>IFERROR(__xludf.DUMMYFUNCTION("""COMPUTED_VALUE"""),"derivative")</f>
        <v>derivative</v>
      </c>
      <c r="L168" s="6" t="str">
        <f>IFERROR(__xludf.DUMMYFUNCTION("""COMPUTED_VALUE"""),"wants")</f>
        <v>wants</v>
      </c>
      <c r="M168" s="6">
        <f>IFERROR(__xludf.DUMMYFUNCTION("""COMPUTED_VALUE"""),1998.0)</f>
        <v>1998</v>
      </c>
      <c r="N168" s="6" t="str">
        <f>IFERROR(__xludf.DUMMYFUNCTION("""COMPUTED_VALUE"""),"clinic")</f>
        <v>clinic</v>
      </c>
      <c r="P168" s="6" t="str">
        <f>IFERROR(__xludf.DUMMYFUNCTION("""COMPUTED_VALUE"""),"importance")</f>
        <v>importance</v>
      </c>
      <c r="Q168" s="6" t="str">
        <f>IFERROR(__xludf.DUMMYFUNCTION("""COMPUTED_VALUE"""),"pleasures")</f>
        <v>pleasures</v>
      </c>
      <c r="S168" s="6" t="str">
        <f>IFERROR(__xludf.DUMMYFUNCTION("""COMPUTED_VALUE"""),"mystery")</f>
        <v>mystery</v>
      </c>
    </row>
    <row r="169">
      <c r="A169" s="6" t="str">
        <f>IFERROR(__xludf.DUMMYFUNCTION("""COMPUTED_VALUE"""),"honesty")</f>
        <v>honesty</v>
      </c>
      <c r="B169" s="6" t="str">
        <f>IFERROR(__xludf.DUMMYFUNCTION("""COMPUTED_VALUE"""),"humming")</f>
        <v>humming</v>
      </c>
      <c r="C169" s="6" t="str">
        <f>IFERROR(__xludf.DUMMYFUNCTION("""COMPUTED_VALUE"""),"straining")</f>
        <v>straining</v>
      </c>
      <c r="D169" s="6"/>
      <c r="E169" s="6" t="str">
        <f>IFERROR(__xludf.DUMMYFUNCTION("""COMPUTED_VALUE"""),"gently")</f>
        <v>gently</v>
      </c>
      <c r="G169" s="6" t="str">
        <f>IFERROR(__xludf.DUMMYFUNCTION("""COMPUTED_VALUE"""),"speak")</f>
        <v>speak</v>
      </c>
      <c r="H169" s="6" t="str">
        <f>IFERROR(__xludf.DUMMYFUNCTION("""COMPUTED_VALUE"""),"date")</f>
        <v>date</v>
      </c>
      <c r="I169" s="6" t="str">
        <f>IFERROR(__xludf.DUMMYFUNCTION("""COMPUTED_VALUE"""),"significantly")</f>
        <v>significantly</v>
      </c>
      <c r="J169" s="6" t="str">
        <f>IFERROR(__xludf.DUMMYFUNCTION("""COMPUTED_VALUE"""),"sequel")</f>
        <v>sequel</v>
      </c>
      <c r="L169" s="6" t="str">
        <f>IFERROR(__xludf.DUMMYFUNCTION("""COMPUTED_VALUE"""),"room")</f>
        <v>room</v>
      </c>
      <c r="M169" s="6" t="str">
        <f>IFERROR(__xludf.DUMMYFUNCTION("""COMPUTED_VALUE"""),"might")</f>
        <v>might</v>
      </c>
      <c r="N169" s="6" t="str">
        <f>IFERROR(__xludf.DUMMYFUNCTION("""COMPUTED_VALUE"""),"excited")</f>
        <v>excited</v>
      </c>
      <c r="P169" s="6" t="str">
        <f>IFERROR(__xludf.DUMMYFUNCTION("""COMPUTED_VALUE"""),"business")</f>
        <v>business</v>
      </c>
      <c r="Q169" s="6" t="str">
        <f>IFERROR(__xludf.DUMMYFUNCTION("""COMPUTED_VALUE"""),"masterpiece")</f>
        <v>masterpiece</v>
      </c>
      <c r="S169" s="6" t="str">
        <f>IFERROR(__xludf.DUMMYFUNCTION("""COMPUTED_VALUE"""),"em")</f>
        <v>em</v>
      </c>
    </row>
    <row r="170">
      <c r="A170" s="6" t="str">
        <f>IFERROR(__xludf.DUMMYFUNCTION("""COMPUTED_VALUE"""),"straining")</f>
        <v>straining</v>
      </c>
      <c r="B170" s="6" t="str">
        <f>IFERROR(__xludf.DUMMYFUNCTION("""COMPUTED_VALUE"""),"prominent")</f>
        <v>prominent</v>
      </c>
      <c r="C170" s="6" t="str">
        <f>IFERROR(__xludf.DUMMYFUNCTION("""COMPUTED_VALUE"""),"stylized")</f>
        <v>stylized</v>
      </c>
      <c r="D170" s="6"/>
      <c r="E170" s="6" t="str">
        <f>IFERROR(__xludf.DUMMYFUNCTION("""COMPUTED_VALUE"""),"stretched")</f>
        <v>stretched</v>
      </c>
      <c r="G170" s="6" t="str">
        <f>IFERROR(__xludf.DUMMYFUNCTION("""COMPUTED_VALUE"""),"enables")</f>
        <v>enables</v>
      </c>
      <c r="H170" s="6" t="str">
        <f>IFERROR(__xludf.DUMMYFUNCTION("""COMPUTED_VALUE"""),"pleasant")</f>
        <v>pleasant</v>
      </c>
      <c r="I170" s="6" t="str">
        <f>IFERROR(__xludf.DUMMYFUNCTION("""COMPUTED_VALUE"""),"brilliant")</f>
        <v>brilliant</v>
      </c>
      <c r="J170" s="6" t="str">
        <f>IFERROR(__xludf.DUMMYFUNCTION("""COMPUTED_VALUE"""),"archives")</f>
        <v>archives</v>
      </c>
      <c r="L170" s="6" t="str">
        <f>IFERROR(__xludf.DUMMYFUNCTION("""COMPUTED_VALUE"""),"original")</f>
        <v>original</v>
      </c>
      <c r="M170" s="6" t="str">
        <f>IFERROR(__xludf.DUMMYFUNCTION("""COMPUTED_VALUE"""),"generally")</f>
        <v>generally</v>
      </c>
      <c r="N170" s="6" t="str">
        <f>IFERROR(__xludf.DUMMYFUNCTION("""COMPUTED_VALUE"""),"live")</f>
        <v>live</v>
      </c>
      <c r="P170" s="6" t="str">
        <f>IFERROR(__xludf.DUMMYFUNCTION("""COMPUTED_VALUE"""),"plans")</f>
        <v>plans</v>
      </c>
      <c r="Q170" s="6" t="str">
        <f>IFERROR(__xludf.DUMMYFUNCTION("""COMPUTED_VALUE"""),"lot")</f>
        <v>lot</v>
      </c>
      <c r="S170" s="6" t="str">
        <f>IFERROR(__xludf.DUMMYFUNCTION("""COMPUTED_VALUE"""),"work")</f>
        <v>work</v>
      </c>
    </row>
    <row r="171">
      <c r="A171" s="6" t="str">
        <f>IFERROR(__xludf.DUMMYFUNCTION("""COMPUTED_VALUE"""),"lowered")</f>
        <v>lowered</v>
      </c>
      <c r="B171" s="6" t="str">
        <f>IFERROR(__xludf.DUMMYFUNCTION("""COMPUTED_VALUE"""),"stakes")</f>
        <v>stakes</v>
      </c>
      <c r="C171" s="6" t="str">
        <f>IFERROR(__xludf.DUMMYFUNCTION("""COMPUTED_VALUE"""),"fires")</f>
        <v>fires</v>
      </c>
      <c r="D171" s="6"/>
      <c r="E171" s="6" t="str">
        <f>IFERROR(__xludf.DUMMYFUNCTION("""COMPUTED_VALUE"""),"symbolic")</f>
        <v>symbolic</v>
      </c>
      <c r="G171" s="6" t="str">
        <f>IFERROR(__xludf.DUMMYFUNCTION("""COMPUTED_VALUE"""),"considerable")</f>
        <v>considerable</v>
      </c>
      <c r="H171" s="6" t="str">
        <f>IFERROR(__xludf.DUMMYFUNCTION("""COMPUTED_VALUE"""),"slightest")</f>
        <v>slightest</v>
      </c>
      <c r="I171" s="6" t="str">
        <f>IFERROR(__xludf.DUMMYFUNCTION("""COMPUTED_VALUE"""),"may")</f>
        <v>may</v>
      </c>
      <c r="J171" s="6" t="str">
        <f>IFERROR(__xludf.DUMMYFUNCTION("""COMPUTED_VALUE"""),"despite")</f>
        <v>despite</v>
      </c>
      <c r="L171" s="6" t="str">
        <f>IFERROR(__xludf.DUMMYFUNCTION("""COMPUTED_VALUE"""),"diesel")</f>
        <v>diesel</v>
      </c>
      <c r="M171" s="6" t="str">
        <f>IFERROR(__xludf.DUMMYFUNCTION("""COMPUTED_VALUE"""),"friend")</f>
        <v>friend</v>
      </c>
      <c r="N171" s="6" t="str">
        <f>IFERROR(__xludf.DUMMYFUNCTION("""COMPUTED_VALUE"""),"heard")</f>
        <v>heard</v>
      </c>
      <c r="P171" s="6" t="str">
        <f>IFERROR(__xludf.DUMMYFUNCTION("""COMPUTED_VALUE"""),"cell")</f>
        <v>cell</v>
      </c>
      <c r="Q171" s="6" t="str">
        <f>IFERROR(__xludf.DUMMYFUNCTION("""COMPUTED_VALUE"""),"hopeless")</f>
        <v>hopeless</v>
      </c>
      <c r="S171" s="6" t="str">
        <f>IFERROR(__xludf.DUMMYFUNCTION("""COMPUTED_VALUE"""),"concert")</f>
        <v>concert</v>
      </c>
    </row>
    <row r="172">
      <c r="A172" s="6" t="str">
        <f>IFERROR(__xludf.DUMMYFUNCTION("""COMPUTED_VALUE"""),"disgust")</f>
        <v>disgust</v>
      </c>
      <c r="B172" s="6" t="str">
        <f>IFERROR(__xludf.DUMMYFUNCTION("""COMPUTED_VALUE"""),"worm")</f>
        <v>worm</v>
      </c>
      <c r="C172" s="6" t="str">
        <f>IFERROR(__xludf.DUMMYFUNCTION("""COMPUTED_VALUE"""),"utilizing")</f>
        <v>utilizing</v>
      </c>
      <c r="D172" s="6"/>
      <c r="E172" s="6" t="str">
        <f>IFERROR(__xludf.DUMMYFUNCTION("""COMPUTED_VALUE"""),"weary")</f>
        <v>weary</v>
      </c>
      <c r="G172" s="6" t="str">
        <f>IFERROR(__xludf.DUMMYFUNCTION("""COMPUTED_VALUE"""),"flat")</f>
        <v>flat</v>
      </c>
      <c r="H172" s="6" t="str">
        <f>IFERROR(__xludf.DUMMYFUNCTION("""COMPUTED_VALUE"""),"wildly")</f>
        <v>wildly</v>
      </c>
      <c r="I172" s="6" t="str">
        <f>IFERROR(__xludf.DUMMYFUNCTION("""COMPUTED_VALUE"""),"inside")</f>
        <v>inside</v>
      </c>
      <c r="J172" s="6" t="str">
        <f>IFERROR(__xludf.DUMMYFUNCTION("""COMPUTED_VALUE"""),"ambitions")</f>
        <v>ambitions</v>
      </c>
      <c r="L172" s="6" t="str">
        <f>IFERROR(__xludf.DUMMYFUNCTION("""COMPUTED_VALUE"""),"difficult")</f>
        <v>difficult</v>
      </c>
      <c r="M172" s="6" t="str">
        <f>IFERROR(__xludf.DUMMYFUNCTION("""COMPUTED_VALUE"""),"reason")</f>
        <v>reason</v>
      </c>
      <c r="N172" s="6" t="str">
        <f>IFERROR(__xludf.DUMMYFUNCTION("""COMPUTED_VALUE"""),"special")</f>
        <v>special</v>
      </c>
      <c r="P172" s="6" t="str">
        <f>IFERROR(__xludf.DUMMYFUNCTION("""COMPUTED_VALUE"""),"roll")</f>
        <v>roll</v>
      </c>
      <c r="Q172" s="6" t="str">
        <f>IFERROR(__xludf.DUMMYFUNCTION("""COMPUTED_VALUE"""),"charming")</f>
        <v>charming</v>
      </c>
      <c r="S172" s="6" t="str">
        <f>IFERROR(__xludf.DUMMYFUNCTION("""COMPUTED_VALUE"""),"direction")</f>
        <v>direction</v>
      </c>
    </row>
    <row r="173">
      <c r="A173" s="6" t="str">
        <f>IFERROR(__xludf.DUMMYFUNCTION("""COMPUTED_VALUE"""),"slip")</f>
        <v>slip</v>
      </c>
      <c r="B173" s="6" t="str">
        <f>IFERROR(__xludf.DUMMYFUNCTION("""COMPUTED_VALUE"""),"liability")</f>
        <v>liability</v>
      </c>
      <c r="C173" s="6" t="str">
        <f>IFERROR(__xludf.DUMMYFUNCTION("""COMPUTED_VALUE"""),"pollution")</f>
        <v>pollution</v>
      </c>
      <c r="D173" s="6"/>
      <c r="E173" s="6" t="str">
        <f>IFERROR(__xludf.DUMMYFUNCTION("""COMPUTED_VALUE"""),"whale")</f>
        <v>whale</v>
      </c>
      <c r="G173" s="6" t="str">
        <f>IFERROR(__xludf.DUMMYFUNCTION("""COMPUTED_VALUE"""),"flashes")</f>
        <v>flashes</v>
      </c>
      <c r="H173" s="6" t="str">
        <f>IFERROR(__xludf.DUMMYFUNCTION("""COMPUTED_VALUE"""),"music")</f>
        <v>music</v>
      </c>
      <c r="I173" s="6" t="str">
        <f>IFERROR(__xludf.DUMMYFUNCTION("""COMPUTED_VALUE"""),"term")</f>
        <v>term</v>
      </c>
      <c r="J173" s="6" t="str">
        <f>IFERROR(__xludf.DUMMYFUNCTION("""COMPUTED_VALUE"""),"compelling")</f>
        <v>compelling</v>
      </c>
      <c r="L173" s="6" t="str">
        <f>IFERROR(__xludf.DUMMYFUNCTION("""COMPUTED_VALUE"""),"french")</f>
        <v>french</v>
      </c>
      <c r="M173" s="6" t="str">
        <f>IFERROR(__xludf.DUMMYFUNCTION("""COMPUTED_VALUE"""),"cell")</f>
        <v>cell</v>
      </c>
      <c r="N173" s="6" t="str">
        <f>IFERROR(__xludf.DUMMYFUNCTION("""COMPUTED_VALUE"""),"previous")</f>
        <v>previous</v>
      </c>
      <c r="P173" s="6" t="str">
        <f>IFERROR(__xludf.DUMMYFUNCTION("""COMPUTED_VALUE"""),"surprise")</f>
        <v>surprise</v>
      </c>
      <c r="Q173" s="6" t="str">
        <f>IFERROR(__xludf.DUMMYFUNCTION("""COMPUTED_VALUE"""),"college")</f>
        <v>college</v>
      </c>
      <c r="S173" s="6" t="str">
        <f>IFERROR(__xludf.DUMMYFUNCTION("""COMPUTED_VALUE"""),"ron")</f>
        <v>ron</v>
      </c>
    </row>
    <row r="174">
      <c r="A174" s="6" t="str">
        <f>IFERROR(__xludf.DUMMYFUNCTION("""COMPUTED_VALUE"""),"stylized")</f>
        <v>stylized</v>
      </c>
      <c r="B174" s="6" t="str">
        <f>IFERROR(__xludf.DUMMYFUNCTION("""COMPUTED_VALUE"""),"slapping")</f>
        <v>slapping</v>
      </c>
      <c r="C174" s="6" t="str">
        <f>IFERROR(__xludf.DUMMYFUNCTION("""COMPUTED_VALUE"""),"achieving")</f>
        <v>achieving</v>
      </c>
      <c r="D174" s="6"/>
      <c r="E174" s="6" t="str">
        <f>IFERROR(__xludf.DUMMYFUNCTION("""COMPUTED_VALUE"""),"prejudice")</f>
        <v>prejudice</v>
      </c>
      <c r="G174" s="6" t="str">
        <f>IFERROR(__xludf.DUMMYFUNCTION("""COMPUTED_VALUE"""),"sibling")</f>
        <v>sibling</v>
      </c>
      <c r="H174" s="6" t="str">
        <f>IFERROR(__xludf.DUMMYFUNCTION("""COMPUTED_VALUE"""),"color")</f>
        <v>color</v>
      </c>
      <c r="I174" s="6" t="str">
        <f>IFERROR(__xludf.DUMMYFUNCTION("""COMPUTED_VALUE"""),"emotions")</f>
        <v>emotions</v>
      </c>
      <c r="J174" s="6" t="str">
        <f>IFERROR(__xludf.DUMMYFUNCTION("""COMPUTED_VALUE"""),"mere")</f>
        <v>mere</v>
      </c>
      <c r="L174" s="6" t="str">
        <f>IFERROR(__xludf.DUMMYFUNCTION("""COMPUTED_VALUE"""),"interested")</f>
        <v>interested</v>
      </c>
      <c r="M174" s="6" t="str">
        <f>IFERROR(__xludf.DUMMYFUNCTION("""COMPUTED_VALUE"""),"dogs")</f>
        <v>dogs</v>
      </c>
      <c r="N174" s="6" t="str">
        <f>IFERROR(__xludf.DUMMYFUNCTION("""COMPUTED_VALUE"""),"yourself")</f>
        <v>yourself</v>
      </c>
      <c r="P174" s="6" t="str">
        <f>IFERROR(__xludf.DUMMYFUNCTION("""COMPUTED_VALUE"""),"grab")</f>
        <v>grab</v>
      </c>
      <c r="Q174" s="6" t="str">
        <f>IFERROR(__xludf.DUMMYFUNCTION("""COMPUTED_VALUE"""),"pure")</f>
        <v>pure</v>
      </c>
      <c r="S174" s="6" t="str">
        <f>IFERROR(__xludf.DUMMYFUNCTION("""COMPUTED_VALUE"""),"fluid")</f>
        <v>fluid</v>
      </c>
    </row>
    <row r="175">
      <c r="A175" s="6" t="str">
        <f>IFERROR(__xludf.DUMMYFUNCTION("""COMPUTED_VALUE"""),"pollution")</f>
        <v>pollution</v>
      </c>
      <c r="B175" s="6" t="str">
        <f>IFERROR(__xludf.DUMMYFUNCTION("""COMPUTED_VALUE"""),"numb")</f>
        <v>numb</v>
      </c>
      <c r="C175" s="6" t="str">
        <f>IFERROR(__xludf.DUMMYFUNCTION("""COMPUTED_VALUE"""),"intensely")</f>
        <v>intensely</v>
      </c>
      <c r="D175" s="6"/>
      <c r="E175" s="6" t="str">
        <f>IFERROR(__xludf.DUMMYFUNCTION("""COMPUTED_VALUE"""),"compatible")</f>
        <v>compatible</v>
      </c>
      <c r="G175" s="6" t="str">
        <f>IFERROR(__xludf.DUMMYFUNCTION("""COMPUTED_VALUE"""),"warmth")</f>
        <v>warmth</v>
      </c>
      <c r="H175" s="6" t="str">
        <f>IFERROR(__xludf.DUMMYFUNCTION("""COMPUTED_VALUE"""),"preliminary")</f>
        <v>preliminary</v>
      </c>
      <c r="I175" s="6" t="str">
        <f>IFERROR(__xludf.DUMMYFUNCTION("""COMPUTED_VALUE"""),"title")</f>
        <v>title</v>
      </c>
      <c r="J175" s="6">
        <f>IFERROR(__xludf.DUMMYFUNCTION("""COMPUTED_VALUE"""),84.0)</f>
        <v>84</v>
      </c>
      <c r="L175" s="6" t="str">
        <f>IFERROR(__xludf.DUMMYFUNCTION("""COMPUTED_VALUE"""),"girls")</f>
        <v>girls</v>
      </c>
      <c r="M175" s="6" t="str">
        <f>IFERROR(__xludf.DUMMYFUNCTION("""COMPUTED_VALUE"""),"possible")</f>
        <v>possible</v>
      </c>
      <c r="N175" s="6" t="str">
        <f>IFERROR(__xludf.DUMMYFUNCTION("""COMPUTED_VALUE"""),"search")</f>
        <v>search</v>
      </c>
      <c r="P175" s="6" t="str">
        <f>IFERROR(__xludf.DUMMYFUNCTION("""COMPUTED_VALUE"""),"trying")</f>
        <v>trying</v>
      </c>
      <c r="Q175" s="6" t="str">
        <f>IFERROR(__xludf.DUMMYFUNCTION("""COMPUTED_VALUE"""),"match")</f>
        <v>match</v>
      </c>
      <c r="S175" s="6" t="str">
        <f>IFERROR(__xludf.DUMMYFUNCTION("""COMPUTED_VALUE"""),"would")</f>
        <v>would</v>
      </c>
    </row>
    <row r="176">
      <c r="A176" s="6" t="str">
        <f>IFERROR(__xludf.DUMMYFUNCTION("""COMPUTED_VALUE"""),"achieving")</f>
        <v>achieving</v>
      </c>
      <c r="B176" s="6" t="str">
        <f>IFERROR(__xludf.DUMMYFUNCTION("""COMPUTED_VALUE"""),"vain")</f>
        <v>vain</v>
      </c>
      <c r="C176" s="6" t="str">
        <f>IFERROR(__xludf.DUMMYFUNCTION("""COMPUTED_VALUE"""),"symbolic")</f>
        <v>symbolic</v>
      </c>
      <c r="D176" s="6"/>
      <c r="E176" s="6" t="str">
        <f>IFERROR(__xludf.DUMMYFUNCTION("""COMPUTED_VALUE"""),"embraced")</f>
        <v>embraced</v>
      </c>
      <c r="G176" s="6" t="str">
        <f>IFERROR(__xludf.DUMMYFUNCTION("""COMPUTED_VALUE"""),"script")</f>
        <v>script</v>
      </c>
      <c r="H176" s="6" t="str">
        <f>IFERROR(__xludf.DUMMYFUNCTION("""COMPUTED_VALUE"""),"narrative")</f>
        <v>narrative</v>
      </c>
      <c r="I176" s="6" t="str">
        <f>IFERROR(__xludf.DUMMYFUNCTION("""COMPUTED_VALUE"""),"thin")</f>
        <v>thin</v>
      </c>
      <c r="J176" s="6" t="str">
        <f>IFERROR(__xludf.DUMMYFUNCTION("""COMPUTED_VALUE"""),"procession")</f>
        <v>procession</v>
      </c>
      <c r="L176" s="6" t="str">
        <f>IFERROR(__xludf.DUMMYFUNCTION("""COMPUTED_VALUE"""),"merits")</f>
        <v>merits</v>
      </c>
      <c r="M176" s="6" t="str">
        <f>IFERROR(__xludf.DUMMYFUNCTION("""COMPUTED_VALUE"""),"sleep")</f>
        <v>sleep</v>
      </c>
      <c r="N176" s="6" t="str">
        <f>IFERROR(__xludf.DUMMYFUNCTION("""COMPUTED_VALUE"""),"roll")</f>
        <v>roll</v>
      </c>
      <c r="P176" s="6" t="str">
        <f>IFERROR(__xludf.DUMMYFUNCTION("""COMPUTED_VALUE"""),"reveals")</f>
        <v>reveals</v>
      </c>
      <c r="Q176" s="6" t="str">
        <f>IFERROR(__xludf.DUMMYFUNCTION("""COMPUTED_VALUE"""),"dialogue")</f>
        <v>dialogue</v>
      </c>
      <c r="S176" s="6" t="str">
        <f>IFERROR(__xludf.DUMMYFUNCTION("""COMPUTED_VALUE"""),"piece")</f>
        <v>piece</v>
      </c>
    </row>
    <row r="177">
      <c r="A177" s="6" t="str">
        <f>IFERROR(__xludf.DUMMYFUNCTION("""COMPUTED_VALUE"""),"intensely")</f>
        <v>intensely</v>
      </c>
      <c r="B177" s="6" t="str">
        <f>IFERROR(__xludf.DUMMYFUNCTION("""COMPUTED_VALUE"""),"satisfactory")</f>
        <v>satisfactory</v>
      </c>
      <c r="C177" s="6" t="str">
        <f>IFERROR(__xludf.DUMMYFUNCTION("""COMPUTED_VALUE"""),"freedom")</f>
        <v>freedom</v>
      </c>
      <c r="D177" s="6"/>
      <c r="E177" s="6" t="str">
        <f>IFERROR(__xludf.DUMMYFUNCTION("""COMPUTED_VALUE"""),"denial")</f>
        <v>denial</v>
      </c>
      <c r="G177" s="6" t="str">
        <f>IFERROR(__xludf.DUMMYFUNCTION("""COMPUTED_VALUE"""),"credits")</f>
        <v>credits</v>
      </c>
      <c r="H177" s="6" t="str">
        <f>IFERROR(__xludf.DUMMYFUNCTION("""COMPUTED_VALUE"""),"difficult")</f>
        <v>difficult</v>
      </c>
      <c r="I177" s="6" t="str">
        <f>IFERROR(__xludf.DUMMYFUNCTION("""COMPUTED_VALUE"""),"wildlife")</f>
        <v>wildlife</v>
      </c>
      <c r="J177" s="6" t="str">
        <f>IFERROR(__xludf.DUMMYFUNCTION("""COMPUTED_VALUE"""),"remarkable")</f>
        <v>remarkable</v>
      </c>
      <c r="L177" s="6" t="str">
        <f>IFERROR(__xludf.DUMMYFUNCTION("""COMPUTED_VALUE"""),"slice")</f>
        <v>slice</v>
      </c>
      <c r="M177" s="6" t="str">
        <f>IFERROR(__xludf.DUMMYFUNCTION("""COMPUTED_VALUE"""),"afford")</f>
        <v>afford</v>
      </c>
      <c r="N177" s="6" t="str">
        <f>IFERROR(__xludf.DUMMYFUNCTION("""COMPUTED_VALUE"""),"couple")</f>
        <v>couple</v>
      </c>
      <c r="P177" s="6" t="str">
        <f>IFERROR(__xludf.DUMMYFUNCTION("""COMPUTED_VALUE"""),"others")</f>
        <v>others</v>
      </c>
      <c r="Q177" s="6" t="str">
        <f>IFERROR(__xludf.DUMMYFUNCTION("""COMPUTED_VALUE"""),"sentiment")</f>
        <v>sentiment</v>
      </c>
      <c r="S177" s="6" t="str">
        <f>IFERROR(__xludf.DUMMYFUNCTION("""COMPUTED_VALUE"""),"takes")</f>
        <v>takes</v>
      </c>
    </row>
    <row r="178">
      <c r="A178" s="6" t="str">
        <f>IFERROR(__xludf.DUMMYFUNCTION("""COMPUTED_VALUE"""),"gently")</f>
        <v>gently</v>
      </c>
      <c r="B178" s="6" t="str">
        <f>IFERROR(__xludf.DUMMYFUNCTION("""COMPUTED_VALUE"""),"scoring")</f>
        <v>scoring</v>
      </c>
      <c r="C178" s="6" t="str">
        <f>IFERROR(__xludf.DUMMYFUNCTION("""COMPUTED_VALUE"""),"weary")</f>
        <v>weary</v>
      </c>
      <c r="D178" s="6"/>
      <c r="E178" s="6" t="str">
        <f>IFERROR(__xludf.DUMMYFUNCTION("""COMPUTED_VALUE"""),"banged")</f>
        <v>banged</v>
      </c>
      <c r="G178" s="6" t="str">
        <f>IFERROR(__xludf.DUMMYFUNCTION("""COMPUTED_VALUE"""),"pacing")</f>
        <v>pacing</v>
      </c>
      <c r="H178" s="6" t="str">
        <f>IFERROR(__xludf.DUMMYFUNCTION("""COMPUTED_VALUE"""),"unpredictable")</f>
        <v>unpredictable</v>
      </c>
      <c r="I178" s="6" t="str">
        <f>IFERROR(__xludf.DUMMYFUNCTION("""COMPUTED_VALUE"""),"traditionally")</f>
        <v>traditionally</v>
      </c>
      <c r="J178" s="6" t="str">
        <f>IFERROR(__xludf.DUMMYFUNCTION("""COMPUTED_VALUE"""),"pleasant")</f>
        <v>pleasant</v>
      </c>
      <c r="L178" s="6" t="str">
        <f>IFERROR(__xludf.DUMMYFUNCTION("""COMPUTED_VALUE"""),"random")</f>
        <v>random</v>
      </c>
      <c r="M178" s="6" t="str">
        <f>IFERROR(__xludf.DUMMYFUNCTION("""COMPUTED_VALUE"""),"pain")</f>
        <v>pain</v>
      </c>
      <c r="N178" s="6" t="str">
        <f>IFERROR(__xludf.DUMMYFUNCTION("""COMPUTED_VALUE"""),"entire")</f>
        <v>entire</v>
      </c>
      <c r="P178" s="6" t="str">
        <f>IFERROR(__xludf.DUMMYFUNCTION("""COMPUTED_VALUE"""),"relief")</f>
        <v>relief</v>
      </c>
      <c r="Q178" s="6" t="str">
        <f>IFERROR(__xludf.DUMMYFUNCTION("""COMPUTED_VALUE"""),"clumsy")</f>
        <v>clumsy</v>
      </c>
      <c r="S178" s="6" t="str">
        <f>IFERROR(__xludf.DUMMYFUNCTION("""COMPUTED_VALUE"""),"watch")</f>
        <v>watch</v>
      </c>
    </row>
    <row r="179">
      <c r="A179" s="6" t="str">
        <f>IFERROR(__xludf.DUMMYFUNCTION("""COMPUTED_VALUE"""),"stretched")</f>
        <v>stretched</v>
      </c>
      <c r="B179" s="6" t="str">
        <f>IFERROR(__xludf.DUMMYFUNCTION("""COMPUTED_VALUE"""),"attracting")</f>
        <v>attracting</v>
      </c>
      <c r="C179" s="6" t="str">
        <f>IFERROR(__xludf.DUMMYFUNCTION("""COMPUTED_VALUE"""),"whale")</f>
        <v>whale</v>
      </c>
      <c r="D179" s="6"/>
      <c r="E179" s="6" t="str">
        <f>IFERROR(__xludf.DUMMYFUNCTION("""COMPUTED_VALUE"""),"capturing")</f>
        <v>capturing</v>
      </c>
      <c r="G179" s="6" t="str">
        <f>IFERROR(__xludf.DUMMYFUNCTION("""COMPUTED_VALUE"""),"before")</f>
        <v>before</v>
      </c>
      <c r="H179" s="6" t="str">
        <f>IFERROR(__xludf.DUMMYFUNCTION("""COMPUTED_VALUE"""),"spectacle")</f>
        <v>spectacle</v>
      </c>
      <c r="I179" s="6" t="str">
        <f>IFERROR(__xludf.DUMMYFUNCTION("""COMPUTED_VALUE"""),"markets")</f>
        <v>markets</v>
      </c>
      <c r="J179" s="6" t="str">
        <f>IFERROR(__xludf.DUMMYFUNCTION("""COMPUTED_VALUE"""),"slightest")</f>
        <v>slightest</v>
      </c>
      <c r="L179" s="6" t="str">
        <f>IFERROR(__xludf.DUMMYFUNCTION("""COMPUTED_VALUE"""),"attempt")</f>
        <v>attempt</v>
      </c>
      <c r="M179" s="6" t="str">
        <f>IFERROR(__xludf.DUMMYFUNCTION("""COMPUTED_VALUE"""),"could")</f>
        <v>could</v>
      </c>
      <c r="N179" s="6" t="str">
        <f>IFERROR(__xludf.DUMMYFUNCTION("""COMPUTED_VALUE"""),"interaction")</f>
        <v>interaction</v>
      </c>
      <c r="P179" s="6" t="str">
        <f>IFERROR(__xludf.DUMMYFUNCTION("""COMPUTED_VALUE"""),"welcome")</f>
        <v>welcome</v>
      </c>
      <c r="Q179" s="6" t="str">
        <f>IFERROR(__xludf.DUMMYFUNCTION("""COMPUTED_VALUE"""),"unfortunately")</f>
        <v>unfortunately</v>
      </c>
      <c r="S179" s="6" t="str">
        <f>IFERROR(__xludf.DUMMYFUNCTION("""COMPUTED_VALUE"""),"uses")</f>
        <v>uses</v>
      </c>
    </row>
    <row r="180">
      <c r="A180" s="6" t="str">
        <f>IFERROR(__xludf.DUMMYFUNCTION("""COMPUTED_VALUE"""),"honorable")</f>
        <v>honorable</v>
      </c>
      <c r="B180" s="6" t="str">
        <f>IFERROR(__xludf.DUMMYFUNCTION("""COMPUTED_VALUE"""),"effectiveness")</f>
        <v>effectiveness</v>
      </c>
      <c r="C180" s="6" t="str">
        <f>IFERROR(__xludf.DUMMYFUNCTION("""COMPUTED_VALUE"""),"prejudice")</f>
        <v>prejudice</v>
      </c>
      <c r="D180" s="6"/>
      <c r="E180" s="6" t="str">
        <f>IFERROR(__xludf.DUMMYFUNCTION("""COMPUTED_VALUE"""),"collectively")</f>
        <v>collectively</v>
      </c>
      <c r="G180" s="6" t="str">
        <f>IFERROR(__xludf.DUMMYFUNCTION("""COMPUTED_VALUE"""),"tides")</f>
        <v>tides</v>
      </c>
      <c r="H180" s="6" t="str">
        <f>IFERROR(__xludf.DUMMYFUNCTION("""COMPUTED_VALUE"""),"conclusions")</f>
        <v>conclusions</v>
      </c>
      <c r="I180" s="6" t="str">
        <f>IFERROR(__xludf.DUMMYFUNCTION("""COMPUTED_VALUE"""),"worth")</f>
        <v>worth</v>
      </c>
      <c r="J180" s="6" t="str">
        <f>IFERROR(__xludf.DUMMYFUNCTION("""COMPUTED_VALUE"""),"wildly")</f>
        <v>wildly</v>
      </c>
      <c r="L180" s="6" t="str">
        <f>IFERROR(__xludf.DUMMYFUNCTION("""COMPUTED_VALUE"""),"appeal")</f>
        <v>appeal</v>
      </c>
      <c r="M180" s="6" t="str">
        <f>IFERROR(__xludf.DUMMYFUNCTION("""COMPUTED_VALUE"""),"sign")</f>
        <v>sign</v>
      </c>
      <c r="N180" s="6" t="str">
        <f>IFERROR(__xludf.DUMMYFUNCTION("""COMPUTED_VALUE"""),"starting")</f>
        <v>starting</v>
      </c>
      <c r="P180" s="6" t="str">
        <f>IFERROR(__xludf.DUMMYFUNCTION("""COMPUTED_VALUE"""),"promise")</f>
        <v>promise</v>
      </c>
      <c r="Q180" s="6" t="str">
        <f>IFERROR(__xludf.DUMMYFUNCTION("""COMPUTED_VALUE"""),"betrayed")</f>
        <v>betrayed</v>
      </c>
      <c r="S180" s="6" t="str">
        <f>IFERROR(__xludf.DUMMYFUNCTION("""COMPUTED_VALUE"""),"landscape")</f>
        <v>landscape</v>
      </c>
    </row>
    <row r="181">
      <c r="A181" s="6" t="str">
        <f>IFERROR(__xludf.DUMMYFUNCTION("""COMPUTED_VALUE"""),"symbolic")</f>
        <v>symbolic</v>
      </c>
      <c r="B181" s="6" t="str">
        <f>IFERROR(__xludf.DUMMYFUNCTION("""COMPUTED_VALUE"""),"beaches")</f>
        <v>beaches</v>
      </c>
      <c r="C181" s="6" t="str">
        <f>IFERROR(__xludf.DUMMYFUNCTION("""COMPUTED_VALUE"""),"lifeless")</f>
        <v>lifeless</v>
      </c>
      <c r="D181" s="6"/>
      <c r="E181" s="6" t="str">
        <f>IFERROR(__xludf.DUMMYFUNCTION("""COMPUTED_VALUE"""),"prolonged")</f>
        <v>prolonged</v>
      </c>
      <c r="G181" s="6" t="str">
        <f>IFERROR(__xludf.DUMMYFUNCTION("""COMPUTED_VALUE"""),"vicious")</f>
        <v>vicious</v>
      </c>
      <c r="H181" s="6" t="str">
        <f>IFERROR(__xludf.DUMMYFUNCTION("""COMPUTED_VALUE"""),"dramas")</f>
        <v>dramas</v>
      </c>
      <c r="I181" s="6" t="str">
        <f>IFERROR(__xludf.DUMMYFUNCTION("""COMPUTED_VALUE"""),"admission")</f>
        <v>admission</v>
      </c>
      <c r="J181" s="6" t="str">
        <f>IFERROR(__xludf.DUMMYFUNCTION("""COMPUTED_VALUE"""),"videos")</f>
        <v>videos</v>
      </c>
      <c r="L181" s="6" t="str">
        <f>IFERROR(__xludf.DUMMYFUNCTION("""COMPUTED_VALUE"""),"tongue")</f>
        <v>tongue</v>
      </c>
      <c r="M181" s="6" t="str">
        <f>IFERROR(__xludf.DUMMYFUNCTION("""COMPUTED_VALUE"""),"decided")</f>
        <v>decided</v>
      </c>
      <c r="N181" s="6" t="str">
        <f>IFERROR(__xludf.DUMMYFUNCTION("""COMPUTED_VALUE"""),"basic")</f>
        <v>basic</v>
      </c>
      <c r="P181" s="6" t="str">
        <f>IFERROR(__xludf.DUMMYFUNCTION("""COMPUTED_VALUE"""),"wait")</f>
        <v>wait</v>
      </c>
      <c r="Q181" s="6" t="str">
        <f>IFERROR(__xludf.DUMMYFUNCTION("""COMPUTED_VALUE"""),"conviction")</f>
        <v>conviction</v>
      </c>
      <c r="S181" s="6" t="str">
        <f>IFERROR(__xludf.DUMMYFUNCTION("""COMPUTED_VALUE"""),"kind")</f>
        <v>kind</v>
      </c>
    </row>
    <row r="182">
      <c r="A182" s="6" t="str">
        <f>IFERROR(__xludf.DUMMYFUNCTION("""COMPUTED_VALUE"""),"freedom")</f>
        <v>freedom</v>
      </c>
      <c r="B182" s="6" t="str">
        <f>IFERROR(__xludf.DUMMYFUNCTION("""COMPUTED_VALUE"""),"weighs")</f>
        <v>weighs</v>
      </c>
      <c r="C182" s="6" t="str">
        <f>IFERROR(__xludf.DUMMYFUNCTION("""COMPUTED_VALUE"""),"compatible")</f>
        <v>compatible</v>
      </c>
      <c r="D182" s="6"/>
      <c r="E182" s="6" t="str">
        <f>IFERROR(__xludf.DUMMYFUNCTION("""COMPUTED_VALUE"""),"rejected")</f>
        <v>rejected</v>
      </c>
      <c r="G182" s="6" t="str">
        <f>IFERROR(__xludf.DUMMYFUNCTION("""COMPUTED_VALUE"""),"goofy")</f>
        <v>goofy</v>
      </c>
      <c r="H182" s="6" t="str">
        <f>IFERROR(__xludf.DUMMYFUNCTION("""COMPUTED_VALUE"""),"ponder")</f>
        <v>ponder</v>
      </c>
      <c r="I182" s="6" t="str">
        <f>IFERROR(__xludf.DUMMYFUNCTION("""COMPUTED_VALUE"""),"shallow")</f>
        <v>shallow</v>
      </c>
      <c r="J182" s="6" t="str">
        <f>IFERROR(__xludf.DUMMYFUNCTION("""COMPUTED_VALUE"""),"music")</f>
        <v>music</v>
      </c>
      <c r="L182" s="6" t="str">
        <f>IFERROR(__xludf.DUMMYFUNCTION("""COMPUTED_VALUE"""),"corner")</f>
        <v>corner</v>
      </c>
      <c r="M182" s="6" t="str">
        <f>IFERROR(__xludf.DUMMYFUNCTION("""COMPUTED_VALUE"""),"another")</f>
        <v>another</v>
      </c>
      <c r="N182" s="6" t="str">
        <f>IFERROR(__xludf.DUMMYFUNCTION("""COMPUTED_VALUE"""),"process")</f>
        <v>process</v>
      </c>
      <c r="P182" s="6" t="str">
        <f>IFERROR(__xludf.DUMMYFUNCTION("""COMPUTED_VALUE"""),"theatrical")</f>
        <v>theatrical</v>
      </c>
      <c r="Q182" s="6" t="str">
        <f>IFERROR(__xludf.DUMMYFUNCTION("""COMPUTED_VALUE"""),"bourne")</f>
        <v>bourne</v>
      </c>
      <c r="S182" s="6" t="str">
        <f>IFERROR(__xludf.DUMMYFUNCTION("""COMPUTED_VALUE"""),"car")</f>
        <v>car</v>
      </c>
    </row>
    <row r="183">
      <c r="A183" s="6" t="str">
        <f>IFERROR(__xludf.DUMMYFUNCTION("""COMPUTED_VALUE"""),"whale")</f>
        <v>whale</v>
      </c>
      <c r="B183" s="6"/>
      <c r="C183" s="6" t="str">
        <f>IFERROR(__xludf.DUMMYFUNCTION("""COMPUTED_VALUE"""),"embraced")</f>
        <v>embraced</v>
      </c>
      <c r="D183" s="6"/>
      <c r="E183" s="6" t="str">
        <f>IFERROR(__xludf.DUMMYFUNCTION("""COMPUTED_VALUE"""),"flatly")</f>
        <v>flatly</v>
      </c>
      <c r="G183" s="6" t="str">
        <f>IFERROR(__xludf.DUMMYFUNCTION("""COMPUTED_VALUE"""),"may")</f>
        <v>may</v>
      </c>
      <c r="H183" s="6" t="str">
        <f>IFERROR(__xludf.DUMMYFUNCTION("""COMPUTED_VALUE"""),"forces")</f>
        <v>forces</v>
      </c>
      <c r="I183" s="6" t="str">
        <f>IFERROR(__xludf.DUMMYFUNCTION("""COMPUTED_VALUE"""),"joel")</f>
        <v>joel</v>
      </c>
      <c r="J183" s="6" t="str">
        <f>IFERROR(__xludf.DUMMYFUNCTION("""COMPUTED_VALUE"""),"color")</f>
        <v>color</v>
      </c>
      <c r="L183" s="6" t="str">
        <f>IFERROR(__xludf.DUMMYFUNCTION("""COMPUTED_VALUE"""),"trying")</f>
        <v>trying</v>
      </c>
      <c r="M183" s="6" t="str">
        <f>IFERROR(__xludf.DUMMYFUNCTION("""COMPUTED_VALUE"""),"someone")</f>
        <v>someone</v>
      </c>
      <c r="N183" s="6" t="str">
        <f>IFERROR(__xludf.DUMMYFUNCTION("""COMPUTED_VALUE"""),"ii")</f>
        <v>ii</v>
      </c>
      <c r="P183" s="6" t="str">
        <f>IFERROR(__xludf.DUMMYFUNCTION("""COMPUTED_VALUE"""),"death")</f>
        <v>death</v>
      </c>
      <c r="Q183" s="6" t="str">
        <f>IFERROR(__xludf.DUMMYFUNCTION("""COMPUTED_VALUE"""),"brings")</f>
        <v>brings</v>
      </c>
      <c r="S183" s="6" t="str">
        <f>IFERROR(__xludf.DUMMYFUNCTION("""COMPUTED_VALUE"""),"maybe")</f>
        <v>maybe</v>
      </c>
    </row>
    <row r="184">
      <c r="A184" s="6" t="str">
        <f>IFERROR(__xludf.DUMMYFUNCTION("""COMPUTED_VALUE"""),"prejudice")</f>
        <v>prejudice</v>
      </c>
      <c r="B184" s="6"/>
      <c r="C184" s="6" t="str">
        <f>IFERROR(__xludf.DUMMYFUNCTION("""COMPUTED_VALUE"""),"denial")</f>
        <v>denial</v>
      </c>
      <c r="D184" s="6"/>
      <c r="E184" s="6" t="str">
        <f>IFERROR(__xludf.DUMMYFUNCTION("""COMPUTED_VALUE"""),"phenomenon")</f>
        <v>phenomenon</v>
      </c>
      <c r="G184" s="6" t="str">
        <f>IFERROR(__xludf.DUMMYFUNCTION("""COMPUTED_VALUE"""),"inside")</f>
        <v>inside</v>
      </c>
      <c r="H184" s="6" t="str">
        <f>IFERROR(__xludf.DUMMYFUNCTION("""COMPUTED_VALUE"""),"enables")</f>
        <v>enables</v>
      </c>
      <c r="I184" s="6" t="str">
        <f>IFERROR(__xludf.DUMMYFUNCTION("""COMPUTED_VALUE"""),"targeted")</f>
        <v>targeted</v>
      </c>
      <c r="J184" s="6" t="str">
        <f>IFERROR(__xludf.DUMMYFUNCTION("""COMPUTED_VALUE"""),"preliminary")</f>
        <v>preliminary</v>
      </c>
      <c r="L184" s="6" t="str">
        <f>IFERROR(__xludf.DUMMYFUNCTION("""COMPUTED_VALUE"""),"turns")</f>
        <v>turns</v>
      </c>
      <c r="M184" s="6" t="str">
        <f>IFERROR(__xludf.DUMMYFUNCTION("""COMPUTED_VALUE"""),"procedure")</f>
        <v>procedure</v>
      </c>
      <c r="N184" s="6" t="str">
        <f>IFERROR(__xludf.DUMMYFUNCTION("""COMPUTED_VALUE"""),"gear")</f>
        <v>gear</v>
      </c>
      <c r="P184" s="6" t="str">
        <f>IFERROR(__xludf.DUMMYFUNCTION("""COMPUTED_VALUE"""),"faith")</f>
        <v>faith</v>
      </c>
      <c r="Q184" s="6" t="str">
        <f>IFERROR(__xludf.DUMMYFUNCTION("""COMPUTED_VALUE"""),"diplomacy")</f>
        <v>diplomacy</v>
      </c>
      <c r="S184" s="6" t="str">
        <f>IFERROR(__xludf.DUMMYFUNCTION("""COMPUTED_VALUE"""),"lot")</f>
        <v>lot</v>
      </c>
    </row>
    <row r="185">
      <c r="A185" s="6" t="str">
        <f>IFERROR(__xludf.DUMMYFUNCTION("""COMPUTED_VALUE"""),"lifeless")</f>
        <v>lifeless</v>
      </c>
      <c r="B185" s="6"/>
      <c r="C185" s="6" t="str">
        <f>IFERROR(__xludf.DUMMYFUNCTION("""COMPUTED_VALUE"""),"banged")</f>
        <v>banged</v>
      </c>
      <c r="D185" s="6"/>
      <c r="E185" s="6" t="str">
        <f>IFERROR(__xludf.DUMMYFUNCTION("""COMPUTED_VALUE"""),"emphasizes")</f>
        <v>emphasizes</v>
      </c>
      <c r="G185" s="6" t="str">
        <f>IFERROR(__xludf.DUMMYFUNCTION("""COMPUTED_VALUE"""),"emotions")</f>
        <v>emotions</v>
      </c>
      <c r="H185" s="6" t="str">
        <f>IFERROR(__xludf.DUMMYFUNCTION("""COMPUTED_VALUE"""),"considerable")</f>
        <v>considerable</v>
      </c>
      <c r="I185" s="6" t="str">
        <f>IFERROR(__xludf.DUMMYFUNCTION("""COMPUTED_VALUE"""),"footage")</f>
        <v>footage</v>
      </c>
      <c r="J185" s="6" t="str">
        <f>IFERROR(__xludf.DUMMYFUNCTION("""COMPUTED_VALUE"""),"narrative")</f>
        <v>narrative</v>
      </c>
      <c r="L185" s="6" t="str">
        <f>IFERROR(__xludf.DUMMYFUNCTION("""COMPUTED_VALUE"""),"hell")</f>
        <v>hell</v>
      </c>
      <c r="M185" s="6" t="str">
        <f>IFERROR(__xludf.DUMMYFUNCTION("""COMPUTED_VALUE"""),"read")</f>
        <v>read</v>
      </c>
      <c r="N185" s="6" t="str">
        <f>IFERROR(__xludf.DUMMYFUNCTION("""COMPUTED_VALUE"""),"lean")</f>
        <v>lean</v>
      </c>
      <c r="P185" s="6" t="str">
        <f>IFERROR(__xludf.DUMMYFUNCTION("""COMPUTED_VALUE"""),"extraordinary")</f>
        <v>extraordinary</v>
      </c>
      <c r="Q185" s="6" t="str">
        <f>IFERROR(__xludf.DUMMYFUNCTION("""COMPUTED_VALUE"""),"generosity")</f>
        <v>generosity</v>
      </c>
      <c r="S185" s="6" t="str">
        <f>IFERROR(__xludf.DUMMYFUNCTION("""COMPUTED_VALUE"""),"twice")</f>
        <v>twice</v>
      </c>
    </row>
    <row r="186">
      <c r="A186" s="6" t="str">
        <f>IFERROR(__xludf.DUMMYFUNCTION("""COMPUTED_VALUE"""),"compatible")</f>
        <v>compatible</v>
      </c>
      <c r="B186" s="6"/>
      <c r="C186" s="6" t="str">
        <f>IFERROR(__xludf.DUMMYFUNCTION("""COMPUTED_VALUE"""),"capturing")</f>
        <v>capturing</v>
      </c>
      <c r="D186" s="6"/>
      <c r="E186" s="6" t="str">
        <f>IFERROR(__xludf.DUMMYFUNCTION("""COMPUTED_VALUE"""),"scarcely")</f>
        <v>scarcely</v>
      </c>
      <c r="G186" s="6" t="str">
        <f>IFERROR(__xludf.DUMMYFUNCTION("""COMPUTED_VALUE"""),"title")</f>
        <v>title</v>
      </c>
      <c r="H186" s="6" t="str">
        <f>IFERROR(__xludf.DUMMYFUNCTION("""COMPUTED_VALUE"""),"bold")</f>
        <v>bold</v>
      </c>
      <c r="I186" s="6" t="str">
        <f>IFERROR(__xludf.DUMMYFUNCTION("""COMPUTED_VALUE"""),"nomination")</f>
        <v>nomination</v>
      </c>
      <c r="J186" s="6" t="str">
        <f>IFERROR(__xludf.DUMMYFUNCTION("""COMPUTED_VALUE"""),"unpredictable")</f>
        <v>unpredictable</v>
      </c>
      <c r="L186" s="6" t="str">
        <f>IFERROR(__xludf.DUMMYFUNCTION("""COMPUTED_VALUE"""),"key")</f>
        <v>key</v>
      </c>
      <c r="M186" s="6" t="str">
        <f>IFERROR(__xludf.DUMMYFUNCTION("""COMPUTED_VALUE"""),"may")</f>
        <v>may</v>
      </c>
      <c r="N186" s="6" t="str">
        <f>IFERROR(__xludf.DUMMYFUNCTION("""COMPUTED_VALUE"""),"despite")</f>
        <v>despite</v>
      </c>
      <c r="P186" s="6" t="str">
        <f>IFERROR(__xludf.DUMMYFUNCTION("""COMPUTED_VALUE"""),"champion")</f>
        <v>champion</v>
      </c>
      <c r="Q186" s="6" t="str">
        <f>IFERROR(__xludf.DUMMYFUNCTION("""COMPUTED_VALUE"""),"years")</f>
        <v>years</v>
      </c>
      <c r="S186" s="6" t="str">
        <f>IFERROR(__xludf.DUMMYFUNCTION("""COMPUTED_VALUE"""),"forgotten")</f>
        <v>forgotten</v>
      </c>
    </row>
    <row r="187">
      <c r="A187" s="6" t="str">
        <f>IFERROR(__xludf.DUMMYFUNCTION("""COMPUTED_VALUE"""),"embraced")</f>
        <v>embraced</v>
      </c>
      <c r="B187" s="6"/>
      <c r="C187" s="6" t="str">
        <f>IFERROR(__xludf.DUMMYFUNCTION("""COMPUTED_VALUE"""),"prolonged")</f>
        <v>prolonged</v>
      </c>
      <c r="D187" s="6"/>
      <c r="E187" s="6" t="str">
        <f>IFERROR(__xludf.DUMMYFUNCTION("""COMPUTED_VALUE"""),"expressive")</f>
        <v>expressive</v>
      </c>
      <c r="G187" s="6" t="str">
        <f>IFERROR(__xludf.DUMMYFUNCTION("""COMPUTED_VALUE"""),"thin")</f>
        <v>thin</v>
      </c>
      <c r="H187" s="6" t="str">
        <f>IFERROR(__xludf.DUMMYFUNCTION("""COMPUTED_VALUE"""),"effects")</f>
        <v>effects</v>
      </c>
      <c r="I187" s="6" t="str">
        <f>IFERROR(__xludf.DUMMYFUNCTION("""COMPUTED_VALUE"""),"offering")</f>
        <v>offering</v>
      </c>
      <c r="J187" s="6" t="str">
        <f>IFERROR(__xludf.DUMMYFUNCTION("""COMPUTED_VALUE"""),"spectacle")</f>
        <v>spectacle</v>
      </c>
      <c r="L187" s="6" t="str">
        <f>IFERROR(__xludf.DUMMYFUNCTION("""COMPUTED_VALUE"""),"afternoon")</f>
        <v>afternoon</v>
      </c>
      <c r="M187" s="6" t="str">
        <f>IFERROR(__xludf.DUMMYFUNCTION("""COMPUTED_VALUE"""),"working")</f>
        <v>working</v>
      </c>
      <c r="N187" s="6" t="str">
        <f>IFERROR(__xludf.DUMMYFUNCTION("""COMPUTED_VALUE"""),"managed")</f>
        <v>managed</v>
      </c>
      <c r="P187" s="6" t="str">
        <f>IFERROR(__xludf.DUMMYFUNCTION("""COMPUTED_VALUE"""),"heart")</f>
        <v>heart</v>
      </c>
      <c r="Q187" s="6" t="str">
        <f>IFERROR(__xludf.DUMMYFUNCTION("""COMPUTED_VALUE"""),"share")</f>
        <v>share</v>
      </c>
      <c r="S187" s="6" t="str">
        <f>IFERROR(__xludf.DUMMYFUNCTION("""COMPUTED_VALUE"""),"old")</f>
        <v>old</v>
      </c>
    </row>
    <row r="188">
      <c r="A188" s="6" t="str">
        <f>IFERROR(__xludf.DUMMYFUNCTION("""COMPUTED_VALUE"""),"denial")</f>
        <v>denial</v>
      </c>
      <c r="B188" s="6"/>
      <c r="C188" s="6" t="str">
        <f>IFERROR(__xludf.DUMMYFUNCTION("""COMPUTED_VALUE"""),"rejected")</f>
        <v>rejected</v>
      </c>
      <c r="D188" s="6"/>
      <c r="E188" s="6" t="str">
        <f>IFERROR(__xludf.DUMMYFUNCTION("""COMPUTED_VALUE"""),"bitten")</f>
        <v>bitten</v>
      </c>
      <c r="G188" s="6" t="str">
        <f>IFERROR(__xludf.DUMMYFUNCTION("""COMPUTED_VALUE"""),"wildlife")</f>
        <v>wildlife</v>
      </c>
      <c r="H188" s="6" t="str">
        <f>IFERROR(__xludf.DUMMYFUNCTION("""COMPUTED_VALUE"""),"flashes")</f>
        <v>flashes</v>
      </c>
      <c r="I188" s="6" t="str">
        <f>IFERROR(__xludf.DUMMYFUNCTION("""COMPUTED_VALUE"""),"oscar")</f>
        <v>oscar</v>
      </c>
      <c r="J188" s="6" t="str">
        <f>IFERROR(__xludf.DUMMYFUNCTION("""COMPUTED_VALUE"""),"conclusions")</f>
        <v>conclusions</v>
      </c>
      <c r="L188" s="6" t="str">
        <f>IFERROR(__xludf.DUMMYFUNCTION("""COMPUTED_VALUE"""),"prime")</f>
        <v>prime</v>
      </c>
      <c r="M188" s="6" t="str">
        <f>IFERROR(__xludf.DUMMYFUNCTION("""COMPUTED_VALUE"""),"times")</f>
        <v>times</v>
      </c>
      <c r="N188" s="6" t="str">
        <f>IFERROR(__xludf.DUMMYFUNCTION("""COMPUTED_VALUE"""),"potato")</f>
        <v>potato</v>
      </c>
      <c r="P188" s="6" t="str">
        <f>IFERROR(__xludf.DUMMYFUNCTION("""COMPUTED_VALUE"""),"adaptation")</f>
        <v>adaptation</v>
      </c>
      <c r="Q188" s="6" t="str">
        <f>IFERROR(__xludf.DUMMYFUNCTION("""COMPUTED_VALUE"""),"engaging")</f>
        <v>engaging</v>
      </c>
      <c r="S188" s="6" t="str">
        <f>IFERROR(__xludf.DUMMYFUNCTION("""COMPUTED_VALUE"""),"college")</f>
        <v>college</v>
      </c>
    </row>
    <row r="189">
      <c r="A189" s="6" t="str">
        <f>IFERROR(__xludf.DUMMYFUNCTION("""COMPUTED_VALUE"""),"banged")</f>
        <v>banged</v>
      </c>
      <c r="B189" s="6"/>
      <c r="C189" s="6" t="str">
        <f>IFERROR(__xludf.DUMMYFUNCTION("""COMPUTED_VALUE"""),"flatly")</f>
        <v>flatly</v>
      </c>
      <c r="D189" s="6"/>
      <c r="E189" s="6" t="str">
        <f>IFERROR(__xludf.DUMMYFUNCTION("""COMPUTED_VALUE"""),"downward")</f>
        <v>downward</v>
      </c>
      <c r="G189" s="6" t="str">
        <f>IFERROR(__xludf.DUMMYFUNCTION("""COMPUTED_VALUE"""),"structured")</f>
        <v>structured</v>
      </c>
      <c r="H189" s="6" t="str">
        <f>IFERROR(__xludf.DUMMYFUNCTION("""COMPUTED_VALUE"""),"sibling")</f>
        <v>sibling</v>
      </c>
      <c r="I189" s="6" t="str">
        <f>IFERROR(__xludf.DUMMYFUNCTION("""COMPUTED_VALUE"""),"exercise")</f>
        <v>exercise</v>
      </c>
      <c r="J189" s="6" t="str">
        <f>IFERROR(__xludf.DUMMYFUNCTION("""COMPUTED_VALUE"""),"dramas")</f>
        <v>dramas</v>
      </c>
      <c r="L189" s="6" t="str">
        <f>IFERROR(__xludf.DUMMYFUNCTION("""COMPUTED_VALUE"""),"moment")</f>
        <v>moment</v>
      </c>
      <c r="M189" s="6" t="str">
        <f>IFERROR(__xludf.DUMMYFUNCTION("""COMPUTED_VALUE"""),"young")</f>
        <v>young</v>
      </c>
      <c r="N189" s="6" t="str">
        <f>IFERROR(__xludf.DUMMYFUNCTION("""COMPUTED_VALUE"""),"life")</f>
        <v>life</v>
      </c>
      <c r="P189" s="6" t="str">
        <f>IFERROR(__xludf.DUMMYFUNCTION("""COMPUTED_VALUE"""),"tight")</f>
        <v>tight</v>
      </c>
      <c r="Q189" s="6" t="str">
        <f>IFERROR(__xludf.DUMMYFUNCTION("""COMPUTED_VALUE"""),"collapse")</f>
        <v>collapse</v>
      </c>
      <c r="S189" s="6" t="str">
        <f>IFERROR(__xludf.DUMMYFUNCTION("""COMPUTED_VALUE"""),"match")</f>
        <v>match</v>
      </c>
    </row>
    <row r="190">
      <c r="A190" s="6" t="str">
        <f>IFERROR(__xludf.DUMMYFUNCTION("""COMPUTED_VALUE"""),"capturing")</f>
        <v>capturing</v>
      </c>
      <c r="B190" s="6"/>
      <c r="C190" s="6" t="str">
        <f>IFERROR(__xludf.DUMMYFUNCTION("""COMPUTED_VALUE"""),"phenomenon")</f>
        <v>phenomenon</v>
      </c>
      <c r="D190" s="6"/>
      <c r="E190" s="6" t="str">
        <f>IFERROR(__xludf.DUMMYFUNCTION("""COMPUTED_VALUE"""),"evolve")</f>
        <v>evolve</v>
      </c>
      <c r="G190" s="6" t="str">
        <f>IFERROR(__xludf.DUMMYFUNCTION("""COMPUTED_VALUE"""),"crossover")</f>
        <v>crossover</v>
      </c>
      <c r="H190" s="6" t="str">
        <f>IFERROR(__xludf.DUMMYFUNCTION("""COMPUTED_VALUE"""),"reconciliation")</f>
        <v>reconciliation</v>
      </c>
      <c r="I190" s="6" t="str">
        <f>IFERROR(__xludf.DUMMYFUNCTION("""COMPUTED_VALUE"""),"halfway")</f>
        <v>halfway</v>
      </c>
      <c r="J190" s="6" t="str">
        <f>IFERROR(__xludf.DUMMYFUNCTION("""COMPUTED_VALUE"""),"ponder")</f>
        <v>ponder</v>
      </c>
      <c r="L190" s="6" t="str">
        <f>IFERROR(__xludf.DUMMYFUNCTION("""COMPUTED_VALUE"""),"evening")</f>
        <v>evening</v>
      </c>
      <c r="M190" s="6" t="str">
        <f>IFERROR(__xludf.DUMMYFUNCTION("""COMPUTED_VALUE"""),"work")</f>
        <v>work</v>
      </c>
      <c r="N190" s="6" t="str">
        <f>IFERROR(__xludf.DUMMYFUNCTION("""COMPUTED_VALUE"""),"cheap")</f>
        <v>cheap</v>
      </c>
      <c r="P190" s="6" t="str">
        <f>IFERROR(__xludf.DUMMYFUNCTION("""COMPUTED_VALUE"""),"works")</f>
        <v>works</v>
      </c>
      <c r="Q190" s="6" t="str">
        <f>IFERROR(__xludf.DUMMYFUNCTION("""COMPUTED_VALUE"""),"forgive")</f>
        <v>forgive</v>
      </c>
      <c r="S190" s="6" t="str">
        <f>IFERROR(__xludf.DUMMYFUNCTION("""COMPUTED_VALUE"""),"try")</f>
        <v>try</v>
      </c>
    </row>
    <row r="191">
      <c r="A191" s="6" t="str">
        <f>IFERROR(__xludf.DUMMYFUNCTION("""COMPUTED_VALUE"""),"collectively")</f>
        <v>collectively</v>
      </c>
      <c r="B191" s="6"/>
      <c r="C191" s="6" t="str">
        <f>IFERROR(__xludf.DUMMYFUNCTION("""COMPUTED_VALUE"""),"emphasizes")</f>
        <v>emphasizes</v>
      </c>
      <c r="D191" s="6"/>
      <c r="E191" s="6" t="str">
        <f>IFERROR(__xludf.DUMMYFUNCTION("""COMPUTED_VALUE"""),"examines")</f>
        <v>examines</v>
      </c>
      <c r="G191" s="6" t="str">
        <f>IFERROR(__xludf.DUMMYFUNCTION("""COMPUTED_VALUE"""),"adventurous")</f>
        <v>adventurous</v>
      </c>
      <c r="H191" s="6" t="str">
        <f>IFERROR(__xludf.DUMMYFUNCTION("""COMPUTED_VALUE"""),"warmth")</f>
        <v>warmth</v>
      </c>
      <c r="I191" s="6" t="str">
        <f>IFERROR(__xludf.DUMMYFUNCTION("""COMPUTED_VALUE"""),"martial")</f>
        <v>martial</v>
      </c>
      <c r="J191" s="6" t="str">
        <f>IFERROR(__xludf.DUMMYFUNCTION("""COMPUTED_VALUE"""),"forces")</f>
        <v>forces</v>
      </c>
      <c r="L191" s="6" t="str">
        <f>IFERROR(__xludf.DUMMYFUNCTION("""COMPUTED_VALUE"""),"touch")</f>
        <v>touch</v>
      </c>
      <c r="M191" s="6" t="str">
        <f>IFERROR(__xludf.DUMMYFUNCTION("""COMPUTED_VALUE"""),"thinking")</f>
        <v>thinking</v>
      </c>
      <c r="N191" s="6" t="str">
        <f>IFERROR(__xludf.DUMMYFUNCTION("""COMPUTED_VALUE"""),"music")</f>
        <v>music</v>
      </c>
      <c r="P191" s="6" t="str">
        <f>IFERROR(__xludf.DUMMYFUNCTION("""COMPUTED_VALUE"""),"sequel")</f>
        <v>sequel</v>
      </c>
      <c r="Q191" s="6" t="str">
        <f>IFERROR(__xludf.DUMMYFUNCTION("""COMPUTED_VALUE"""),"tool")</f>
        <v>tool</v>
      </c>
      <c r="S191" s="6" t="str">
        <f>IFERROR(__xludf.DUMMYFUNCTION("""COMPUTED_VALUE"""),"giving")</f>
        <v>giving</v>
      </c>
    </row>
    <row r="192">
      <c r="A192" s="6" t="str">
        <f>IFERROR(__xludf.DUMMYFUNCTION("""COMPUTED_VALUE"""),"prolonged")</f>
        <v>prolonged</v>
      </c>
      <c r="B192" s="6"/>
      <c r="C192" s="6" t="str">
        <f>IFERROR(__xludf.DUMMYFUNCTION("""COMPUTED_VALUE"""),"scarcely")</f>
        <v>scarcely</v>
      </c>
      <c r="D192" s="6"/>
      <c r="E192" s="6" t="str">
        <f>IFERROR(__xludf.DUMMYFUNCTION("""COMPUTED_VALUE"""),"heroic")</f>
        <v>heroic</v>
      </c>
      <c r="G192" s="6" t="str">
        <f>IFERROR(__xludf.DUMMYFUNCTION("""COMPUTED_VALUE"""),"admission")</f>
        <v>admission</v>
      </c>
      <c r="H192" s="6" t="str">
        <f>IFERROR(__xludf.DUMMYFUNCTION("""COMPUTED_VALUE"""),"avoids")</f>
        <v>avoids</v>
      </c>
      <c r="I192" s="6" t="str">
        <f>IFERROR(__xludf.DUMMYFUNCTION("""COMPUTED_VALUE"""),"arts")</f>
        <v>arts</v>
      </c>
      <c r="J192" s="6" t="str">
        <f>IFERROR(__xludf.DUMMYFUNCTION("""COMPUTED_VALUE"""),"speak")</f>
        <v>speak</v>
      </c>
      <c r="L192" s="6" t="str">
        <f>IFERROR(__xludf.DUMMYFUNCTION("""COMPUTED_VALUE"""),"goes")</f>
        <v>goes</v>
      </c>
      <c r="M192" s="6" t="str">
        <f>IFERROR(__xludf.DUMMYFUNCTION("""COMPUTED_VALUE"""),"happen")</f>
        <v>happen</v>
      </c>
      <c r="N192" s="6" t="str">
        <f>IFERROR(__xludf.DUMMYFUNCTION("""COMPUTED_VALUE"""),"finish")</f>
        <v>finish</v>
      </c>
      <c r="P192" s="6" t="str">
        <f>IFERROR(__xludf.DUMMYFUNCTION("""COMPUTED_VALUE"""),"archives")</f>
        <v>archives</v>
      </c>
      <c r="Q192" s="6" t="str">
        <f>IFERROR(__xludf.DUMMYFUNCTION("""COMPUTED_VALUE"""),"community")</f>
        <v>community</v>
      </c>
      <c r="S192" s="6" t="str">
        <f>IFERROR(__xludf.DUMMYFUNCTION("""COMPUTED_VALUE"""),"pure")</f>
        <v>pure</v>
      </c>
    </row>
    <row r="193">
      <c r="A193" s="6" t="str">
        <f>IFERROR(__xludf.DUMMYFUNCTION("""COMPUTED_VALUE"""),"rejected")</f>
        <v>rejected</v>
      </c>
      <c r="B193" s="6"/>
      <c r="C193" s="6" t="str">
        <f>IFERROR(__xludf.DUMMYFUNCTION("""COMPUTED_VALUE"""),"expressive")</f>
        <v>expressive</v>
      </c>
      <c r="D193" s="6"/>
      <c r="E193" s="6" t="str">
        <f>IFERROR(__xludf.DUMMYFUNCTION("""COMPUTED_VALUE"""),"fused")</f>
        <v>fused</v>
      </c>
      <c r="G193" s="6" t="str">
        <f>IFERROR(__xludf.DUMMYFUNCTION("""COMPUTED_VALUE"""),"shallow")</f>
        <v>shallow</v>
      </c>
      <c r="H193" s="6" t="str">
        <f>IFERROR(__xludf.DUMMYFUNCTION("""COMPUTED_VALUE"""),"script")</f>
        <v>script</v>
      </c>
      <c r="I193" s="6" t="str">
        <f>IFERROR(__xludf.DUMMYFUNCTION("""COMPUTED_VALUE"""),"stream")</f>
        <v>stream</v>
      </c>
      <c r="J193" s="6" t="str">
        <f>IFERROR(__xludf.DUMMYFUNCTION("""COMPUTED_VALUE"""),"considerable")</f>
        <v>considerable</v>
      </c>
      <c r="L193" s="6" t="str">
        <f>IFERROR(__xludf.DUMMYFUNCTION("""COMPUTED_VALUE"""),"strong")</f>
        <v>strong</v>
      </c>
      <c r="M193" s="6" t="str">
        <f>IFERROR(__xludf.DUMMYFUNCTION("""COMPUTED_VALUE"""),"conversation")</f>
        <v>conversation</v>
      </c>
      <c r="N193" s="6" t="str">
        <f>IFERROR(__xludf.DUMMYFUNCTION("""COMPUTED_VALUE"""),"care")</f>
        <v>care</v>
      </c>
      <c r="P193" s="6" t="str">
        <f>IFERROR(__xludf.DUMMYFUNCTION("""COMPUTED_VALUE"""),"disney")</f>
        <v>disney</v>
      </c>
      <c r="Q193" s="6" t="str">
        <f>IFERROR(__xludf.DUMMYFUNCTION("""COMPUTED_VALUE"""),"delivers")</f>
        <v>delivers</v>
      </c>
      <c r="S193" s="6" t="str">
        <f>IFERROR(__xludf.DUMMYFUNCTION("""COMPUTED_VALUE"""),"answers")</f>
        <v>answers</v>
      </c>
    </row>
    <row r="194">
      <c r="A194" s="6" t="str">
        <f>IFERROR(__xludf.DUMMYFUNCTION("""COMPUTED_VALUE"""),"flatly")</f>
        <v>flatly</v>
      </c>
      <c r="B194" s="6"/>
      <c r="C194" s="6" t="str">
        <f>IFERROR(__xludf.DUMMYFUNCTION("""COMPUTED_VALUE"""),"successfully")</f>
        <v>successfully</v>
      </c>
      <c r="D194" s="6"/>
      <c r="E194" s="6" t="str">
        <f>IFERROR(__xludf.DUMMYFUNCTION("""COMPUTED_VALUE"""),"effectively")</f>
        <v>effectively</v>
      </c>
      <c r="G194" s="6" t="str">
        <f>IFERROR(__xludf.DUMMYFUNCTION("""COMPUTED_VALUE"""),"joel")</f>
        <v>joel</v>
      </c>
      <c r="H194" s="6" t="str">
        <f>IFERROR(__xludf.DUMMYFUNCTION("""COMPUTED_VALUE"""),"predecessors")</f>
        <v>predecessors</v>
      </c>
      <c r="I194" s="6" t="str">
        <f>IFERROR(__xludf.DUMMYFUNCTION("""COMPUTED_VALUE"""),"manufactured")</f>
        <v>manufactured</v>
      </c>
      <c r="J194" s="6" t="str">
        <f>IFERROR(__xludf.DUMMYFUNCTION("""COMPUTED_VALUE"""),"large")</f>
        <v>large</v>
      </c>
      <c r="L194" s="6" t="str">
        <f>IFERROR(__xludf.DUMMYFUNCTION("""COMPUTED_VALUE"""),"glass")</f>
        <v>glass</v>
      </c>
      <c r="M194" s="6" t="str">
        <f>IFERROR(__xludf.DUMMYFUNCTION("""COMPUTED_VALUE"""),"near")</f>
        <v>near</v>
      </c>
      <c r="N194" s="6" t="str">
        <f>IFERROR(__xludf.DUMMYFUNCTION("""COMPUTED_VALUE"""),"recent")</f>
        <v>recent</v>
      </c>
      <c r="P194" s="6" t="str">
        <f>IFERROR(__xludf.DUMMYFUNCTION("""COMPUTED_VALUE"""),"despite")</f>
        <v>despite</v>
      </c>
      <c r="Q194" s="6" t="str">
        <f>IFERROR(__xludf.DUMMYFUNCTION("""COMPUTED_VALUE"""),"roll")</f>
        <v>roll</v>
      </c>
      <c r="S194" s="6" t="str">
        <f>IFERROR(__xludf.DUMMYFUNCTION("""COMPUTED_VALUE"""),"dialogue")</f>
        <v>dialogue</v>
      </c>
    </row>
    <row r="195">
      <c r="A195" s="6" t="str">
        <f>IFERROR(__xludf.DUMMYFUNCTION("""COMPUTED_VALUE"""),"phenomenon")</f>
        <v>phenomenon</v>
      </c>
      <c r="B195" s="6"/>
      <c r="C195" s="6" t="str">
        <f>IFERROR(__xludf.DUMMYFUNCTION("""COMPUTED_VALUE"""),"downward")</f>
        <v>downward</v>
      </c>
      <c r="D195" s="6"/>
      <c r="E195" s="6" t="str">
        <f>IFERROR(__xludf.DUMMYFUNCTION("""COMPUTED_VALUE"""),"knockout")</f>
        <v>knockout</v>
      </c>
      <c r="G195" s="6" t="str">
        <f>IFERROR(__xludf.DUMMYFUNCTION("""COMPUTED_VALUE"""),"targeted")</f>
        <v>targeted</v>
      </c>
      <c r="H195" s="6" t="str">
        <f>IFERROR(__xludf.DUMMYFUNCTION("""COMPUTED_VALUE"""),"pacing")</f>
        <v>pacing</v>
      </c>
      <c r="I195" s="6" t="str">
        <f>IFERROR(__xludf.DUMMYFUNCTION("""COMPUTED_VALUE"""),"desperately")</f>
        <v>desperately</v>
      </c>
      <c r="J195" s="6" t="str">
        <f>IFERROR(__xludf.DUMMYFUNCTION("""COMPUTED_VALUE"""),"whole")</f>
        <v>whole</v>
      </c>
      <c r="L195" s="6" t="str">
        <f>IFERROR(__xludf.DUMMYFUNCTION("""COMPUTED_VALUE"""),"trouble")</f>
        <v>trouble</v>
      </c>
      <c r="M195" s="6" t="str">
        <f>IFERROR(__xludf.DUMMYFUNCTION("""COMPUTED_VALUE"""),"party")</f>
        <v>party</v>
      </c>
      <c r="N195" s="6" t="str">
        <f>IFERROR(__xludf.DUMMYFUNCTION("""COMPUTED_VALUE"""),"ride")</f>
        <v>ride</v>
      </c>
      <c r="P195" s="6" t="str">
        <f>IFERROR(__xludf.DUMMYFUNCTION("""COMPUTED_VALUE"""),"fights")</f>
        <v>fights</v>
      </c>
      <c r="Q195" s="6" t="str">
        <f>IFERROR(__xludf.DUMMYFUNCTION("""COMPUTED_VALUE"""),"suspense")</f>
        <v>suspense</v>
      </c>
      <c r="S195" s="6" t="str">
        <f>IFERROR(__xludf.DUMMYFUNCTION("""COMPUTED_VALUE"""),"love")</f>
        <v>love</v>
      </c>
    </row>
    <row r="196">
      <c r="A196" s="6" t="str">
        <f>IFERROR(__xludf.DUMMYFUNCTION("""COMPUTED_VALUE"""),"emphasizes")</f>
        <v>emphasizes</v>
      </c>
      <c r="B196" s="6"/>
      <c r="C196" s="6" t="str">
        <f>IFERROR(__xludf.DUMMYFUNCTION("""COMPUTED_VALUE"""),"evolve")</f>
        <v>evolve</v>
      </c>
      <c r="D196" s="6"/>
      <c r="E196" s="6" t="str">
        <f>IFERROR(__xludf.DUMMYFUNCTION("""COMPUTED_VALUE"""),"strains")</f>
        <v>strains</v>
      </c>
      <c r="G196" s="6" t="str">
        <f>IFERROR(__xludf.DUMMYFUNCTION("""COMPUTED_VALUE"""),"blair")</f>
        <v>blair</v>
      </c>
      <c r="H196" s="6" t="str">
        <f>IFERROR(__xludf.DUMMYFUNCTION("""COMPUTED_VALUE"""),"affair")</f>
        <v>affair</v>
      </c>
      <c r="I196" s="6" t="str">
        <f>IFERROR(__xludf.DUMMYFUNCTION("""COMPUTED_VALUE"""),"hugh")</f>
        <v>hugh</v>
      </c>
      <c r="J196" s="6" t="str">
        <f>IFERROR(__xludf.DUMMYFUNCTION("""COMPUTED_VALUE"""),"flashes")</f>
        <v>flashes</v>
      </c>
      <c r="L196" s="6" t="str">
        <f>IFERROR(__xludf.DUMMYFUNCTION("""COMPUTED_VALUE"""),"filled")</f>
        <v>filled</v>
      </c>
      <c r="M196" s="6" t="str">
        <f>IFERROR(__xludf.DUMMYFUNCTION("""COMPUTED_VALUE"""),"others")</f>
        <v>others</v>
      </c>
      <c r="N196" s="6" t="str">
        <f>IFERROR(__xludf.DUMMYFUNCTION("""COMPUTED_VALUE"""),"watch")</f>
        <v>watch</v>
      </c>
      <c r="P196" s="6" t="str">
        <f>IFERROR(__xludf.DUMMYFUNCTION("""COMPUTED_VALUE"""),"whether")</f>
        <v>whether</v>
      </c>
      <c r="Q196" s="6" t="str">
        <f>IFERROR(__xludf.DUMMYFUNCTION("""COMPUTED_VALUE"""),"surprise")</f>
        <v>surprise</v>
      </c>
      <c r="S196" s="6" t="str">
        <f>IFERROR(__xludf.DUMMYFUNCTION("""COMPUTED_VALUE"""),"unfortunately")</f>
        <v>unfortunately</v>
      </c>
    </row>
    <row r="197">
      <c r="A197" s="6" t="str">
        <f>IFERROR(__xludf.DUMMYFUNCTION("""COMPUTED_VALUE"""),"scarcely")</f>
        <v>scarcely</v>
      </c>
      <c r="B197" s="6"/>
      <c r="C197" s="6" t="str">
        <f>IFERROR(__xludf.DUMMYFUNCTION("""COMPUTED_VALUE"""),"examines")</f>
        <v>examines</v>
      </c>
      <c r="D197" s="6"/>
      <c r="E197" s="6" t="str">
        <f>IFERROR(__xludf.DUMMYFUNCTION("""COMPUTED_VALUE"""),"fiercely")</f>
        <v>fiercely</v>
      </c>
      <c r="G197" s="6" t="str">
        <f>IFERROR(__xludf.DUMMYFUNCTION("""COMPUTED_VALUE"""),"footage")</f>
        <v>footage</v>
      </c>
      <c r="H197" s="6" t="str">
        <f>IFERROR(__xludf.DUMMYFUNCTION("""COMPUTED_VALUE"""),"breathless")</f>
        <v>breathless</v>
      </c>
      <c r="I197" s="6" t="str">
        <f>IFERROR(__xludf.DUMMYFUNCTION("""COMPUTED_VALUE"""),"grant")</f>
        <v>grant</v>
      </c>
      <c r="J197" s="6" t="str">
        <f>IFERROR(__xludf.DUMMYFUNCTION("""COMPUTED_VALUE"""),"sibling")</f>
        <v>sibling</v>
      </c>
      <c r="L197" s="6" t="str">
        <f>IFERROR(__xludf.DUMMYFUNCTION("""COMPUTED_VALUE"""),"believe")</f>
        <v>believe</v>
      </c>
      <c r="M197" s="6" t="str">
        <f>IFERROR(__xludf.DUMMYFUNCTION("""COMPUTED_VALUE"""),"sports")</f>
        <v>sports</v>
      </c>
      <c r="N197" s="6" t="str">
        <f>IFERROR(__xludf.DUMMYFUNCTION("""COMPUTED_VALUE"""),"title")</f>
        <v>title</v>
      </c>
      <c r="P197" s="6" t="str">
        <f>IFERROR(__xludf.DUMMYFUNCTION("""COMPUTED_VALUE"""),"runs")</f>
        <v>runs</v>
      </c>
      <c r="Q197" s="6" t="str">
        <f>IFERROR(__xludf.DUMMYFUNCTION("""COMPUTED_VALUE"""),"lacking")</f>
        <v>lacking</v>
      </c>
      <c r="S197" s="6" t="str">
        <f>IFERROR(__xludf.DUMMYFUNCTION("""COMPUTED_VALUE"""),"brings")</f>
        <v>brings</v>
      </c>
    </row>
    <row r="198">
      <c r="A198" s="6" t="str">
        <f>IFERROR(__xludf.DUMMYFUNCTION("""COMPUTED_VALUE"""),"expressive")</f>
        <v>expressive</v>
      </c>
      <c r="B198" s="6"/>
      <c r="C198" s="6" t="str">
        <f>IFERROR(__xludf.DUMMYFUNCTION("""COMPUTED_VALUE"""),"heroic")</f>
        <v>heroic</v>
      </c>
      <c r="D198" s="6"/>
      <c r="E198" s="6" t="str">
        <f>IFERROR(__xludf.DUMMYFUNCTION("""COMPUTED_VALUE"""),"wreckage")</f>
        <v>wreckage</v>
      </c>
      <c r="G198" s="6" t="str">
        <f>IFERROR(__xludf.DUMMYFUNCTION("""COMPUTED_VALUE"""),"fiddle")</f>
        <v>fiddle</v>
      </c>
      <c r="H198" s="6" t="str">
        <f>IFERROR(__xludf.DUMMYFUNCTION("""COMPUTED_VALUE"""),"tides")</f>
        <v>tides</v>
      </c>
      <c r="I198" s="6" t="str">
        <f>IFERROR(__xludf.DUMMYFUNCTION("""COMPUTED_VALUE"""),"hours")</f>
        <v>hours</v>
      </c>
      <c r="J198" s="6" t="str">
        <f>IFERROR(__xludf.DUMMYFUNCTION("""COMPUTED_VALUE"""),"reconciliation")</f>
        <v>reconciliation</v>
      </c>
      <c r="L198" s="6" t="str">
        <f>IFERROR(__xludf.DUMMYFUNCTION("""COMPUTED_VALUE"""),"wrapped")</f>
        <v>wrapped</v>
      </c>
      <c r="M198" s="6" t="str">
        <f>IFERROR(__xludf.DUMMYFUNCTION("""COMPUTED_VALUE"""),"drive")</f>
        <v>drive</v>
      </c>
      <c r="N198" s="6" t="str">
        <f>IFERROR(__xludf.DUMMYFUNCTION("""COMPUTED_VALUE"""),"team")</f>
        <v>team</v>
      </c>
      <c r="P198" s="6" t="str">
        <f>IFERROR(__xludf.DUMMYFUNCTION("""COMPUTED_VALUE"""),"minutes")</f>
        <v>minutes</v>
      </c>
      <c r="Q198" s="6" t="str">
        <f>IFERROR(__xludf.DUMMYFUNCTION("""COMPUTED_VALUE"""),"portrayal")</f>
        <v>portrayal</v>
      </c>
      <c r="S198" s="6" t="str">
        <f>IFERROR(__xludf.DUMMYFUNCTION("""COMPUTED_VALUE"""),"woman")</f>
        <v>woman</v>
      </c>
    </row>
    <row r="199">
      <c r="A199" s="6" t="str">
        <f>IFERROR(__xludf.DUMMYFUNCTION("""COMPUTED_VALUE"""),"bitten")</f>
        <v>bitten</v>
      </c>
      <c r="B199" s="6"/>
      <c r="C199" s="6" t="str">
        <f>IFERROR(__xludf.DUMMYFUNCTION("""COMPUTED_VALUE"""),"fused")</f>
        <v>fused</v>
      </c>
      <c r="D199" s="6"/>
      <c r="E199" s="6" t="str">
        <f>IFERROR(__xludf.DUMMYFUNCTION("""COMPUTED_VALUE"""),"discarded")</f>
        <v>discarded</v>
      </c>
      <c r="G199" s="6" t="str">
        <f>IFERROR(__xludf.DUMMYFUNCTION("""COMPUTED_VALUE"""),"nomination")</f>
        <v>nomination</v>
      </c>
      <c r="H199" s="6" t="str">
        <f>IFERROR(__xludf.DUMMYFUNCTION("""COMPUTED_VALUE"""),"predictable")</f>
        <v>predictable</v>
      </c>
      <c r="I199" s="6" t="str">
        <f>IFERROR(__xludf.DUMMYFUNCTION("""COMPUTED_VALUE"""),"blue")</f>
        <v>blue</v>
      </c>
      <c r="J199" s="6" t="str">
        <f>IFERROR(__xludf.DUMMYFUNCTION("""COMPUTED_VALUE"""),"script")</f>
        <v>script</v>
      </c>
      <c r="L199" s="6" t="str">
        <f>IFERROR(__xludf.DUMMYFUNCTION("""COMPUTED_VALUE"""),"warm")</f>
        <v>warm</v>
      </c>
      <c r="M199" s="6" t="str">
        <f>IFERROR(__xludf.DUMMYFUNCTION("""COMPUTED_VALUE"""),"stop")</f>
        <v>stop</v>
      </c>
      <c r="N199" s="6" t="str">
        <f>IFERROR(__xludf.DUMMYFUNCTION("""COMPUTED_VALUE"""),"current")</f>
        <v>current</v>
      </c>
      <c r="P199" s="6" t="str">
        <f>IFERROR(__xludf.DUMMYFUNCTION("""COMPUTED_VALUE"""),"picture")</f>
        <v>picture</v>
      </c>
      <c r="Q199" s="6" t="str">
        <f>IFERROR(__xludf.DUMMYFUNCTION("""COMPUTED_VALUE"""),"realistic")</f>
        <v>realistic</v>
      </c>
      <c r="S199" s="6" t="str">
        <f>IFERROR(__xludf.DUMMYFUNCTION("""COMPUTED_VALUE"""),"years")</f>
        <v>years</v>
      </c>
    </row>
    <row r="200">
      <c r="A200" s="6" t="str">
        <f>IFERROR(__xludf.DUMMYFUNCTION("""COMPUTED_VALUE"""),"transformed")</f>
        <v>transformed</v>
      </c>
      <c r="B200" s="6"/>
      <c r="C200" s="6" t="str">
        <f>IFERROR(__xludf.DUMMYFUNCTION("""COMPUTED_VALUE"""),"reaches")</f>
        <v>reaches</v>
      </c>
      <c r="D200" s="6"/>
      <c r="E200" s="6" t="str">
        <f>IFERROR(__xludf.DUMMYFUNCTION("""COMPUTED_VALUE"""),"humming")</f>
        <v>humming</v>
      </c>
      <c r="G200" s="6" t="str">
        <f>IFERROR(__xludf.DUMMYFUNCTION("""COMPUTED_VALUE"""),"offering")</f>
        <v>offering</v>
      </c>
      <c r="H200" s="6" t="str">
        <f>IFERROR(__xludf.DUMMYFUNCTION("""COMPUTED_VALUE"""),"entertaining")</f>
        <v>entertaining</v>
      </c>
      <c r="I200" s="6" t="str">
        <f>IFERROR(__xludf.DUMMYFUNCTION("""COMPUTED_VALUE"""),"brown")</f>
        <v>brown</v>
      </c>
      <c r="J200" s="6" t="str">
        <f>IFERROR(__xludf.DUMMYFUNCTION("""COMPUTED_VALUE"""),"bar")</f>
        <v>bar</v>
      </c>
      <c r="L200" s="6" t="str">
        <f>IFERROR(__xludf.DUMMYFUNCTION("""COMPUTED_VALUE"""),"murder")</f>
        <v>murder</v>
      </c>
      <c r="M200" s="6" t="str">
        <f>IFERROR(__xludf.DUMMYFUNCTION("""COMPUTED_VALUE"""),"enough")</f>
        <v>enough</v>
      </c>
      <c r="N200" s="6" t="str">
        <f>IFERROR(__xludf.DUMMYFUNCTION("""COMPUTED_VALUE"""),"shot")</f>
        <v>shot</v>
      </c>
      <c r="P200" s="6" t="str">
        <f>IFERROR(__xludf.DUMMYFUNCTION("""COMPUTED_VALUE"""),"remarkable")</f>
        <v>remarkable</v>
      </c>
      <c r="Q200" s="6" t="str">
        <f>IFERROR(__xludf.DUMMYFUNCTION("""COMPUTED_VALUE"""),"grab")</f>
        <v>grab</v>
      </c>
      <c r="S200" s="6" t="str">
        <f>IFERROR(__xludf.DUMMYFUNCTION("""COMPUTED_VALUE"""),"art")</f>
        <v>art</v>
      </c>
    </row>
    <row r="201">
      <c r="A201" s="6" t="str">
        <f>IFERROR(__xludf.DUMMYFUNCTION("""COMPUTED_VALUE"""),"downward")</f>
        <v>downward</v>
      </c>
      <c r="B201" s="6"/>
      <c r="C201" s="6" t="str">
        <f>IFERROR(__xludf.DUMMYFUNCTION("""COMPUTED_VALUE"""),"effectively")</f>
        <v>effectively</v>
      </c>
      <c r="D201" s="6"/>
      <c r="E201" s="6" t="str">
        <f>IFERROR(__xludf.DUMMYFUNCTION("""COMPUTED_VALUE"""),"commands")</f>
        <v>commands</v>
      </c>
      <c r="G201" s="6" t="str">
        <f>IFERROR(__xludf.DUMMYFUNCTION("""COMPUTED_VALUE"""),"oscar")</f>
        <v>oscar</v>
      </c>
      <c r="H201" s="6" t="str">
        <f>IFERROR(__xludf.DUMMYFUNCTION("""COMPUTED_VALUE"""),"brilliant")</f>
        <v>brilliant</v>
      </c>
      <c r="I201" s="6" t="str">
        <f>IFERROR(__xludf.DUMMYFUNCTION("""COMPUTED_VALUE"""),"crime")</f>
        <v>crime</v>
      </c>
      <c r="J201" s="6" t="str">
        <f>IFERROR(__xludf.DUMMYFUNCTION("""COMPUTED_VALUE"""),"enjoy")</f>
        <v>enjoy</v>
      </c>
      <c r="L201" s="6" t="str">
        <f>IFERROR(__xludf.DUMMYFUNCTION("""COMPUTED_VALUE"""),"field")</f>
        <v>field</v>
      </c>
      <c r="M201" s="6" t="str">
        <f>IFERROR(__xludf.DUMMYFUNCTION("""COMPUTED_VALUE"""),"little")</f>
        <v>little</v>
      </c>
      <c r="N201" s="6" t="str">
        <f>IFERROR(__xludf.DUMMYFUNCTION("""COMPUTED_VALUE"""),"second")</f>
        <v>second</v>
      </c>
      <c r="P201" s="6" t="str">
        <f>IFERROR(__xludf.DUMMYFUNCTION("""COMPUTED_VALUE"""),"pictures")</f>
        <v>pictures</v>
      </c>
      <c r="Q201" s="6" t="str">
        <f>IFERROR(__xludf.DUMMYFUNCTION("""COMPUTED_VALUE"""),"trying")</f>
        <v>trying</v>
      </c>
      <c r="S201" s="6" t="str">
        <f>IFERROR(__xludf.DUMMYFUNCTION("""COMPUTED_VALUE"""),"taking")</f>
        <v>taking</v>
      </c>
    </row>
    <row r="202">
      <c r="A202" s="6" t="str">
        <f>IFERROR(__xludf.DUMMYFUNCTION("""COMPUTED_VALUE"""),"evolve")</f>
        <v>evolve</v>
      </c>
      <c r="B202" s="6"/>
      <c r="C202" s="6" t="str">
        <f>IFERROR(__xludf.DUMMYFUNCTION("""COMPUTED_VALUE"""),"playfully")</f>
        <v>playfully</v>
      </c>
      <c r="D202" s="6"/>
      <c r="E202" s="6" t="str">
        <f>IFERROR(__xludf.DUMMYFUNCTION("""COMPUTED_VALUE"""),"stakes")</f>
        <v>stakes</v>
      </c>
      <c r="G202" s="6" t="str">
        <f>IFERROR(__xludf.DUMMYFUNCTION("""COMPUTED_VALUE"""),"exercise")</f>
        <v>exercise</v>
      </c>
      <c r="H202" s="6" t="str">
        <f>IFERROR(__xludf.DUMMYFUNCTION("""COMPUTED_VALUE"""),"subordinate")</f>
        <v>subordinate</v>
      </c>
      <c r="I202" s="6" t="str">
        <f>IFERROR(__xludf.DUMMYFUNCTION("""COMPUTED_VALUE"""),"includes")</f>
        <v>includes</v>
      </c>
      <c r="J202" s="6" t="str">
        <f>IFERROR(__xludf.DUMMYFUNCTION("""COMPUTED_VALUE"""),"predecessors")</f>
        <v>predecessors</v>
      </c>
      <c r="L202" s="6" t="str">
        <f>IFERROR(__xludf.DUMMYFUNCTION("""COMPUTED_VALUE"""),"host")</f>
        <v>host</v>
      </c>
      <c r="M202" s="6" t="str">
        <f>IFERROR(__xludf.DUMMYFUNCTION("""COMPUTED_VALUE"""),"bit")</f>
        <v>bit</v>
      </c>
      <c r="N202" s="6" t="str">
        <f>IFERROR(__xludf.DUMMYFUNCTION("""COMPUTED_VALUE"""),"start")</f>
        <v>start</v>
      </c>
      <c r="P202" s="6" t="str">
        <f>IFERROR(__xludf.DUMMYFUNCTION("""COMPUTED_VALUE"""),"genre")</f>
        <v>genre</v>
      </c>
      <c r="Q202" s="6" t="str">
        <f>IFERROR(__xludf.DUMMYFUNCTION("""COMPUTED_VALUE"""),"lump")</f>
        <v>lump</v>
      </c>
      <c r="S202" s="6" t="str">
        <f>IFERROR(__xludf.DUMMYFUNCTION("""COMPUTED_VALUE"""),"loss")</f>
        <v>loss</v>
      </c>
    </row>
    <row r="203">
      <c r="A203" s="6" t="str">
        <f>IFERROR(__xludf.DUMMYFUNCTION("""COMPUTED_VALUE"""),"examines")</f>
        <v>examines</v>
      </c>
      <c r="B203" s="6"/>
      <c r="C203" s="6" t="str">
        <f>IFERROR(__xludf.DUMMYFUNCTION("""COMPUTED_VALUE"""),"knockout")</f>
        <v>knockout</v>
      </c>
      <c r="D203" s="6"/>
      <c r="E203" s="6" t="str">
        <f>IFERROR(__xludf.DUMMYFUNCTION("""COMPUTED_VALUE"""),"naive")</f>
        <v>naive</v>
      </c>
      <c r="G203" s="6" t="str">
        <f>IFERROR(__xludf.DUMMYFUNCTION("""COMPUTED_VALUE"""),"martial")</f>
        <v>martial</v>
      </c>
      <c r="H203" s="6" t="str">
        <f>IFERROR(__xludf.DUMMYFUNCTION("""COMPUTED_VALUE"""),"quivering")</f>
        <v>quivering</v>
      </c>
      <c r="I203" s="6" t="str">
        <f>IFERROR(__xludf.DUMMYFUNCTION("""COMPUTED_VALUE"""),"steven")</f>
        <v>steven</v>
      </c>
      <c r="J203" s="6" t="str">
        <f>IFERROR(__xludf.DUMMYFUNCTION("""COMPUTED_VALUE"""),"visions")</f>
        <v>visions</v>
      </c>
      <c r="L203" s="6" t="str">
        <f>IFERROR(__xludf.DUMMYFUNCTION("""COMPUTED_VALUE"""),"beginning")</f>
        <v>beginning</v>
      </c>
      <c r="M203" s="6" t="str">
        <f>IFERROR(__xludf.DUMMYFUNCTION("""COMPUTED_VALUE"""),"year")</f>
        <v>year</v>
      </c>
      <c r="N203" s="6" t="str">
        <f>IFERROR(__xludf.DUMMYFUNCTION("""COMPUTED_VALUE"""),"twice")</f>
        <v>twice</v>
      </c>
      <c r="P203" s="6" t="str">
        <f>IFERROR(__xludf.DUMMYFUNCTION("""COMPUTED_VALUE"""),"romance")</f>
        <v>romance</v>
      </c>
      <c r="Q203" s="6" t="str">
        <f>IFERROR(__xludf.DUMMYFUNCTION("""COMPUTED_VALUE"""),"stunts")</f>
        <v>stunts</v>
      </c>
      <c r="S203" s="6" t="str">
        <f>IFERROR(__xludf.DUMMYFUNCTION("""COMPUTED_VALUE"""),"share")</f>
        <v>share</v>
      </c>
    </row>
    <row r="204">
      <c r="A204" s="6" t="str">
        <f>IFERROR(__xludf.DUMMYFUNCTION("""COMPUTED_VALUE"""),"heroic")</f>
        <v>heroic</v>
      </c>
      <c r="B204" s="6"/>
      <c r="C204" s="6" t="str">
        <f>IFERROR(__xludf.DUMMYFUNCTION("""COMPUTED_VALUE"""),"rooted")</f>
        <v>rooted</v>
      </c>
      <c r="D204" s="6"/>
      <c r="E204" s="6" t="str">
        <f>IFERROR(__xludf.DUMMYFUNCTION("""COMPUTED_VALUE"""),"grenade")</f>
        <v>grenade</v>
      </c>
      <c r="G204" s="6" t="str">
        <f>IFERROR(__xludf.DUMMYFUNCTION("""COMPUTED_VALUE"""),"jagged")</f>
        <v>jagged</v>
      </c>
      <c r="H204" s="6" t="str">
        <f>IFERROR(__xludf.DUMMYFUNCTION("""COMPUTED_VALUE"""),"kinetic")</f>
        <v>kinetic</v>
      </c>
      <c r="I204" s="6" t="str">
        <f>IFERROR(__xludf.DUMMYFUNCTION("""COMPUTED_VALUE"""),"celebration")</f>
        <v>celebration</v>
      </c>
      <c r="J204" s="6" t="str">
        <f>IFERROR(__xludf.DUMMYFUNCTION("""COMPUTED_VALUE"""),"pacing")</f>
        <v>pacing</v>
      </c>
      <c r="L204" s="6" t="str">
        <f>IFERROR(__xludf.DUMMYFUNCTION("""COMPUTED_VALUE"""),"stand")</f>
        <v>stand</v>
      </c>
      <c r="M204" s="6" t="str">
        <f>IFERROR(__xludf.DUMMYFUNCTION("""COMPUTED_VALUE"""),"totally")</f>
        <v>totally</v>
      </c>
      <c r="N204" s="6" t="str">
        <f>IFERROR(__xludf.DUMMYFUNCTION("""COMPUTED_VALUE"""),"heights")</f>
        <v>heights</v>
      </c>
      <c r="P204" s="6" t="str">
        <f>IFERROR(__xludf.DUMMYFUNCTION("""COMPUTED_VALUE"""),"date")</f>
        <v>date</v>
      </c>
      <c r="Q204" s="6" t="str">
        <f>IFERROR(__xludf.DUMMYFUNCTION("""COMPUTED_VALUE"""),"reveals")</f>
        <v>reveals</v>
      </c>
      <c r="S204" s="6" t="str">
        <f>IFERROR(__xludf.DUMMYFUNCTION("""COMPUTED_VALUE"""),"examination")</f>
        <v>examination</v>
      </c>
    </row>
    <row r="205">
      <c r="A205" s="6" t="str">
        <f>IFERROR(__xludf.DUMMYFUNCTION("""COMPUTED_VALUE"""),"foolish")</f>
        <v>foolish</v>
      </c>
      <c r="B205" s="6"/>
      <c r="C205" s="6" t="str">
        <f>IFERROR(__xludf.DUMMYFUNCTION("""COMPUTED_VALUE"""),"strains")</f>
        <v>strains</v>
      </c>
      <c r="D205" s="6"/>
      <c r="E205" s="6" t="str">
        <f>IFERROR(__xludf.DUMMYFUNCTION("""COMPUTED_VALUE"""),"transforms")</f>
        <v>transforms</v>
      </c>
      <c r="G205" s="6" t="str">
        <f>IFERROR(__xludf.DUMMYFUNCTION("""COMPUTED_VALUE"""),"manufactured")</f>
        <v>manufactured</v>
      </c>
      <c r="H205" s="6" t="str">
        <f>IFERROR(__xludf.DUMMYFUNCTION("""COMPUTED_VALUE"""),"may")</f>
        <v>may</v>
      </c>
      <c r="I205" s="6" t="str">
        <f>IFERROR(__xludf.DUMMYFUNCTION("""COMPUTED_VALUE"""),"wanting")</f>
        <v>wanting</v>
      </c>
      <c r="J205" s="6" t="str">
        <f>IFERROR(__xludf.DUMMYFUNCTION("""COMPUTED_VALUE"""),"things")</f>
        <v>things</v>
      </c>
      <c r="L205" s="6" t="str">
        <f>IFERROR(__xludf.DUMMYFUNCTION("""COMPUTED_VALUE"""),"hoped")</f>
        <v>hoped</v>
      </c>
      <c r="M205" s="6" t="str">
        <f>IFERROR(__xludf.DUMMYFUNCTION("""COMPUTED_VALUE"""),"white")</f>
        <v>white</v>
      </c>
      <c r="N205" s="6" t="str">
        <f>IFERROR(__xludf.DUMMYFUNCTION("""COMPUTED_VALUE"""),"shapes")</f>
        <v>shapes</v>
      </c>
      <c r="P205" s="6" t="str">
        <f>IFERROR(__xludf.DUMMYFUNCTION("""COMPUTED_VALUE"""),"pleasant")</f>
        <v>pleasant</v>
      </c>
      <c r="Q205" s="6" t="str">
        <f>IFERROR(__xludf.DUMMYFUNCTION("""COMPUTED_VALUE"""),"talents")</f>
        <v>talents</v>
      </c>
      <c r="S205" s="6" t="str">
        <f>IFERROR(__xludf.DUMMYFUNCTION("""COMPUTED_VALUE"""),"collapse")</f>
        <v>collapse</v>
      </c>
    </row>
    <row r="206">
      <c r="A206" s="6" t="str">
        <f>IFERROR(__xludf.DUMMYFUNCTION("""COMPUTED_VALUE"""),"formed")</f>
        <v>formed</v>
      </c>
      <c r="B206" s="6"/>
      <c r="C206" s="6" t="str">
        <f>IFERROR(__xludf.DUMMYFUNCTION("""COMPUTED_VALUE"""),"fiercely")</f>
        <v>fiercely</v>
      </c>
      <c r="D206" s="6"/>
      <c r="E206" s="6" t="str">
        <f>IFERROR(__xludf.DUMMYFUNCTION("""COMPUTED_VALUE"""),"numb")</f>
        <v>numb</v>
      </c>
      <c r="G206" s="6" t="str">
        <f>IFERROR(__xludf.DUMMYFUNCTION("""COMPUTED_VALUE"""),"slick")</f>
        <v>slick</v>
      </c>
      <c r="H206" s="6" t="str">
        <f>IFERROR(__xludf.DUMMYFUNCTION("""COMPUTED_VALUE"""),"term")</f>
        <v>term</v>
      </c>
      <c r="I206" s="6" t="str">
        <f>IFERROR(__xludf.DUMMYFUNCTION("""COMPUTED_VALUE"""),"viewers")</f>
        <v>viewers</v>
      </c>
      <c r="J206" s="6" t="str">
        <f>IFERROR(__xludf.DUMMYFUNCTION("""COMPUTED_VALUE"""),"breathless")</f>
        <v>breathless</v>
      </c>
      <c r="L206" s="6" t="str">
        <f>IFERROR(__xludf.DUMMYFUNCTION("""COMPUTED_VALUE"""),"parts")</f>
        <v>parts</v>
      </c>
      <c r="M206" s="6" t="str">
        <f>IFERROR(__xludf.DUMMYFUNCTION("""COMPUTED_VALUE"""),"otherwise")</f>
        <v>otherwise</v>
      </c>
      <c r="N206" s="6" t="str">
        <f>IFERROR(__xludf.DUMMYFUNCTION("""COMPUTED_VALUE"""),"adventurous")</f>
        <v>adventurous</v>
      </c>
      <c r="P206" s="6" t="str">
        <f>IFERROR(__xludf.DUMMYFUNCTION("""COMPUTED_VALUE"""),"involved")</f>
        <v>involved</v>
      </c>
      <c r="Q206" s="6" t="str">
        <f>IFERROR(__xludf.DUMMYFUNCTION("""COMPUTED_VALUE"""),"filmmaking")</f>
        <v>filmmaking</v>
      </c>
      <c r="S206" s="6" t="str">
        <f>IFERROR(__xludf.DUMMYFUNCTION("""COMPUTED_VALUE"""),"forgive")</f>
        <v>forgive</v>
      </c>
    </row>
    <row r="207">
      <c r="A207" s="6" t="str">
        <f>IFERROR(__xludf.DUMMYFUNCTION("""COMPUTED_VALUE"""),"fused")</f>
        <v>fused</v>
      </c>
      <c r="B207" s="6"/>
      <c r="C207" s="6" t="str">
        <f>IFERROR(__xludf.DUMMYFUNCTION("""COMPUTED_VALUE"""),"wreckage")</f>
        <v>wreckage</v>
      </c>
      <c r="D207" s="6"/>
      <c r="E207" s="6" t="str">
        <f>IFERROR(__xludf.DUMMYFUNCTION("""COMPUTED_VALUE"""),"overview")</f>
        <v>overview</v>
      </c>
      <c r="G207" s="6" t="str">
        <f>IFERROR(__xludf.DUMMYFUNCTION("""COMPUTED_VALUE"""),"actresses")</f>
        <v>actresses</v>
      </c>
      <c r="H207" s="6" t="str">
        <f>IFERROR(__xludf.DUMMYFUNCTION("""COMPUTED_VALUE"""),"emotions")</f>
        <v>emotions</v>
      </c>
      <c r="I207" s="6" t="str">
        <f>IFERROR(__xludf.DUMMYFUNCTION("""COMPUTED_VALUE"""),"format")</f>
        <v>format</v>
      </c>
      <c r="J207" s="6" t="str">
        <f>IFERROR(__xludf.DUMMYFUNCTION("""COMPUTED_VALUE"""),"significantly")</f>
        <v>significantly</v>
      </c>
      <c r="L207" s="6" t="str">
        <f>IFERROR(__xludf.DUMMYFUNCTION("""COMPUTED_VALUE"""),"whether")</f>
        <v>whether</v>
      </c>
      <c r="M207" s="6" t="str">
        <f>IFERROR(__xludf.DUMMYFUNCTION("""COMPUTED_VALUE"""),"sweet")</f>
        <v>sweet</v>
      </c>
      <c r="N207" s="6" t="str">
        <f>IFERROR(__xludf.DUMMYFUNCTION("""COMPUTED_VALUE"""),"equal")</f>
        <v>equal</v>
      </c>
      <c r="P207" s="6" t="str">
        <f>IFERROR(__xludf.DUMMYFUNCTION("""COMPUTED_VALUE"""),"music")</f>
        <v>music</v>
      </c>
      <c r="Q207" s="6" t="str">
        <f>IFERROR(__xludf.DUMMYFUNCTION("""COMPUTED_VALUE"""),"promise")</f>
        <v>promise</v>
      </c>
      <c r="S207" s="6" t="str">
        <f>IFERROR(__xludf.DUMMYFUNCTION("""COMPUTED_VALUE"""),"tool")</f>
        <v>tool</v>
      </c>
    </row>
    <row r="208">
      <c r="A208" s="6" t="str">
        <f>IFERROR(__xludf.DUMMYFUNCTION("""COMPUTED_VALUE"""),"reaches")</f>
        <v>reaches</v>
      </c>
      <c r="B208" s="6"/>
      <c r="C208" s="6" t="str">
        <f>IFERROR(__xludf.DUMMYFUNCTION("""COMPUTED_VALUE"""),"ordeal")</f>
        <v>ordeal</v>
      </c>
      <c r="D208" s="6"/>
      <c r="E208" s="6" t="str">
        <f>IFERROR(__xludf.DUMMYFUNCTION("""COMPUTED_VALUE"""),"vain")</f>
        <v>vain</v>
      </c>
      <c r="G208" s="6" t="str">
        <f>IFERROR(__xludf.DUMMYFUNCTION("""COMPUTED_VALUE"""),"quentin")</f>
        <v>quentin</v>
      </c>
      <c r="H208" s="6" t="str">
        <f>IFERROR(__xludf.DUMMYFUNCTION("""COMPUTED_VALUE"""),"confessions")</f>
        <v>confessions</v>
      </c>
      <c r="I208" s="6" t="str">
        <f>IFERROR(__xludf.DUMMYFUNCTION("""COMPUTED_VALUE"""),"handsome")</f>
        <v>handsome</v>
      </c>
      <c r="J208" s="6" t="str">
        <f>IFERROR(__xludf.DUMMYFUNCTION("""COMPUTED_VALUE"""),"tides")</f>
        <v>tides</v>
      </c>
      <c r="L208" s="6" t="str">
        <f>IFERROR(__xludf.DUMMYFUNCTION("""COMPUTED_VALUE"""),"sit")</f>
        <v>sit</v>
      </c>
      <c r="M208" s="6" t="str">
        <f>IFERROR(__xludf.DUMMYFUNCTION("""COMPUTED_VALUE"""),"item")</f>
        <v>item</v>
      </c>
      <c r="N208" s="6" t="str">
        <f>IFERROR(__xludf.DUMMYFUNCTION("""COMPUTED_VALUE"""),"middle")</f>
        <v>middle</v>
      </c>
      <c r="P208" s="6" t="str">
        <f>IFERROR(__xludf.DUMMYFUNCTION("""COMPUTED_VALUE"""),"color")</f>
        <v>color</v>
      </c>
      <c r="Q208" s="6" t="str">
        <f>IFERROR(__xludf.DUMMYFUNCTION("""COMPUTED_VALUE"""),"wait")</f>
        <v>wait</v>
      </c>
      <c r="S208" s="6" t="str">
        <f>IFERROR(__xludf.DUMMYFUNCTION("""COMPUTED_VALUE"""),"big")</f>
        <v>big</v>
      </c>
    </row>
    <row r="209">
      <c r="A209" s="6" t="str">
        <f>IFERROR(__xludf.DUMMYFUNCTION("""COMPUTED_VALUE"""),"effectively")</f>
        <v>effectively</v>
      </c>
      <c r="B209" s="6"/>
      <c r="C209" s="6" t="str">
        <f>IFERROR(__xludf.DUMMYFUNCTION("""COMPUTED_VALUE"""),"discarded")</f>
        <v>discarded</v>
      </c>
      <c r="D209" s="6"/>
      <c r="E209" s="6" t="str">
        <f>IFERROR(__xludf.DUMMYFUNCTION("""COMPUTED_VALUE"""),"satisfactory")</f>
        <v>satisfactory</v>
      </c>
      <c r="G209" s="6" t="str">
        <f>IFERROR(__xludf.DUMMYFUNCTION("""COMPUTED_VALUE"""),"desperately")</f>
        <v>desperately</v>
      </c>
      <c r="H209" s="6" t="str">
        <f>IFERROR(__xludf.DUMMYFUNCTION("""COMPUTED_VALUE"""),"title")</f>
        <v>title</v>
      </c>
      <c r="I209" s="6" t="str">
        <f>IFERROR(__xludf.DUMMYFUNCTION("""COMPUTED_VALUE"""),"drama")</f>
        <v>drama</v>
      </c>
      <c r="J209" s="6" t="str">
        <f>IFERROR(__xludf.DUMMYFUNCTION("""COMPUTED_VALUE"""),"predictable")</f>
        <v>predictable</v>
      </c>
      <c r="L209" s="6" t="str">
        <f>IFERROR(__xludf.DUMMYFUNCTION("""COMPUTED_VALUE"""),"gay")</f>
        <v>gay</v>
      </c>
      <c r="M209" s="6" t="str">
        <f>IFERROR(__xludf.DUMMYFUNCTION("""COMPUTED_VALUE"""),"meat")</f>
        <v>meat</v>
      </c>
      <c r="N209" s="6" t="str">
        <f>IFERROR(__xludf.DUMMYFUNCTION("""COMPUTED_VALUE"""),"front")</f>
        <v>front</v>
      </c>
      <c r="P209" s="6" t="str">
        <f>IFERROR(__xludf.DUMMYFUNCTION("""COMPUTED_VALUE"""),"depth")</f>
        <v>depth</v>
      </c>
      <c r="Q209" s="6" t="str">
        <f>IFERROR(__xludf.DUMMYFUNCTION("""COMPUTED_VALUE"""),"auschwitz")</f>
        <v>auschwitz</v>
      </c>
      <c r="S209" s="6" t="str">
        <f>IFERROR(__xludf.DUMMYFUNCTION("""COMPUTED_VALUE"""),"scene")</f>
        <v>scene</v>
      </c>
    </row>
    <row r="210">
      <c r="A210" s="6" t="str">
        <f>IFERROR(__xludf.DUMMYFUNCTION("""COMPUTED_VALUE"""),"precise")</f>
        <v>precise</v>
      </c>
      <c r="B210" s="6"/>
      <c r="C210" s="6" t="str">
        <f>IFERROR(__xludf.DUMMYFUNCTION("""COMPUTED_VALUE"""),"humming")</f>
        <v>humming</v>
      </c>
      <c r="D210" s="6"/>
      <c r="E210" s="6" t="str">
        <f>IFERROR(__xludf.DUMMYFUNCTION("""COMPUTED_VALUE"""),"scoring")</f>
        <v>scoring</v>
      </c>
      <c r="G210" s="6" t="str">
        <f>IFERROR(__xludf.DUMMYFUNCTION("""COMPUTED_VALUE"""),"hugh")</f>
        <v>hugh</v>
      </c>
      <c r="H210" s="6" t="str">
        <f>IFERROR(__xludf.DUMMYFUNCTION("""COMPUTED_VALUE"""),"wildlife")</f>
        <v>wildlife</v>
      </c>
      <c r="I210" s="6" t="str">
        <f>IFERROR(__xludf.DUMMYFUNCTION("""COMPUTED_VALUE"""),"either")</f>
        <v>either</v>
      </c>
      <c r="J210" s="6" t="str">
        <f>IFERROR(__xludf.DUMMYFUNCTION("""COMPUTED_VALUE"""),"entertaining")</f>
        <v>entertaining</v>
      </c>
      <c r="L210" s="6" t="str">
        <f>IFERROR(__xludf.DUMMYFUNCTION("""COMPUTED_VALUE"""),"mean")</f>
        <v>mean</v>
      </c>
      <c r="M210" s="6" t="str">
        <f>IFERROR(__xludf.DUMMYFUNCTION("""COMPUTED_VALUE"""),"less")</f>
        <v>less</v>
      </c>
      <c r="N210" s="6" t="str">
        <f>IFERROR(__xludf.DUMMYFUNCTION("""COMPUTED_VALUE"""),"chance")</f>
        <v>chance</v>
      </c>
      <c r="P210" s="6" t="str">
        <f>IFERROR(__xludf.DUMMYFUNCTION("""COMPUTED_VALUE"""),"preliminary")</f>
        <v>preliminary</v>
      </c>
      <c r="Q210" s="6" t="str">
        <f>IFERROR(__xludf.DUMMYFUNCTION("""COMPUTED_VALUE"""),"theatrical")</f>
        <v>theatrical</v>
      </c>
      <c r="S210" s="6" t="str">
        <f>IFERROR(__xludf.DUMMYFUNCTION("""COMPUTED_VALUE"""),"stick")</f>
        <v>stick</v>
      </c>
    </row>
    <row r="211">
      <c r="A211" s="6" t="str">
        <f>IFERROR(__xludf.DUMMYFUNCTION("""COMPUTED_VALUE"""),"playfully")</f>
        <v>playfully</v>
      </c>
      <c r="B211" s="6"/>
      <c r="C211" s="6" t="str">
        <f>IFERROR(__xludf.DUMMYFUNCTION("""COMPUTED_VALUE"""),"commands")</f>
        <v>commands</v>
      </c>
      <c r="D211" s="6"/>
      <c r="E211" s="6" t="str">
        <f>IFERROR(__xludf.DUMMYFUNCTION("""COMPUTED_VALUE"""),"effectiveness")</f>
        <v>effectiveness</v>
      </c>
      <c r="G211" s="6" t="str">
        <f>IFERROR(__xludf.DUMMYFUNCTION("""COMPUTED_VALUE"""),"grant")</f>
        <v>grant</v>
      </c>
      <c r="H211" s="6" t="str">
        <f>IFERROR(__xludf.DUMMYFUNCTION("""COMPUTED_VALUE"""),"structured")</f>
        <v>structured</v>
      </c>
      <c r="I211" s="6" t="str">
        <f>IFERROR(__xludf.DUMMYFUNCTION("""COMPUTED_VALUE"""),"debut")</f>
        <v>debut</v>
      </c>
      <c r="J211" s="6" t="str">
        <f>IFERROR(__xludf.DUMMYFUNCTION("""COMPUTED_VALUE"""),"subordinate")</f>
        <v>subordinate</v>
      </c>
      <c r="L211" s="6" t="str">
        <f>IFERROR(__xludf.DUMMYFUNCTION("""COMPUTED_VALUE"""),"mile")</f>
        <v>mile</v>
      </c>
      <c r="M211" s="6" t="str">
        <f>IFERROR(__xludf.DUMMYFUNCTION("""COMPUTED_VALUE"""),"store")</f>
        <v>store</v>
      </c>
      <c r="N211" s="6" t="str">
        <f>IFERROR(__xludf.DUMMYFUNCTION("""COMPUTED_VALUE"""),"standard")</f>
        <v>standard</v>
      </c>
      <c r="P211" s="6" t="str">
        <f>IFERROR(__xludf.DUMMYFUNCTION("""COMPUTED_VALUE"""),"narrative")</f>
        <v>narrative</v>
      </c>
      <c r="Q211" s="6" t="str">
        <f>IFERROR(__xludf.DUMMYFUNCTION("""COMPUTED_VALUE"""),"death")</f>
        <v>death</v>
      </c>
      <c r="S211" s="6" t="str">
        <f>IFERROR(__xludf.DUMMYFUNCTION("""COMPUTED_VALUE"""),"community")</f>
        <v>community</v>
      </c>
    </row>
    <row r="212">
      <c r="A212" s="6" t="str">
        <f>IFERROR(__xludf.DUMMYFUNCTION("""COMPUTED_VALUE"""),"bolt")</f>
        <v>bolt</v>
      </c>
      <c r="B212" s="6"/>
      <c r="C212" s="6" t="str">
        <f>IFERROR(__xludf.DUMMYFUNCTION("""COMPUTED_VALUE"""),"yields")</f>
        <v>yields</v>
      </c>
      <c r="D212" s="6"/>
      <c r="E212" s="6" t="str">
        <f>IFERROR(__xludf.DUMMYFUNCTION("""COMPUTED_VALUE"""),"error")</f>
        <v>error</v>
      </c>
      <c r="G212" s="6" t="str">
        <f>IFERROR(__xludf.DUMMYFUNCTION("""COMPUTED_VALUE"""),"insight")</f>
        <v>insight</v>
      </c>
      <c r="H212" s="6" t="str">
        <f>IFERROR(__xludf.DUMMYFUNCTION("""COMPUTED_VALUE"""),"crossover")</f>
        <v>crossover</v>
      </c>
      <c r="I212" s="6" t="str">
        <f>IFERROR(__xludf.DUMMYFUNCTION("""COMPUTED_VALUE"""),"behind")</f>
        <v>behind</v>
      </c>
      <c r="J212" s="6" t="str">
        <f>IFERROR(__xludf.DUMMYFUNCTION("""COMPUTED_VALUE"""),"goofy")</f>
        <v>goofy</v>
      </c>
      <c r="L212" s="6" t="str">
        <f>IFERROR(__xludf.DUMMYFUNCTION("""COMPUTED_VALUE"""),"match")</f>
        <v>match</v>
      </c>
      <c r="M212" s="6" t="str">
        <f>IFERROR(__xludf.DUMMYFUNCTION("""COMPUTED_VALUE"""),"giant")</f>
        <v>giant</v>
      </c>
      <c r="N212" s="6" t="str">
        <f>IFERROR(__xludf.DUMMYFUNCTION("""COMPUTED_VALUE"""),"cheese")</f>
        <v>cheese</v>
      </c>
      <c r="P212" s="6" t="str">
        <f>IFERROR(__xludf.DUMMYFUNCTION("""COMPUTED_VALUE"""),"difficult")</f>
        <v>difficult</v>
      </c>
      <c r="Q212" s="6" t="str">
        <f>IFERROR(__xludf.DUMMYFUNCTION("""COMPUTED_VALUE"""),"faith")</f>
        <v>faith</v>
      </c>
      <c r="S212" s="6" t="str">
        <f>IFERROR(__xludf.DUMMYFUNCTION("""COMPUTED_VALUE"""),"set")</f>
        <v>set</v>
      </c>
    </row>
    <row r="213">
      <c r="A213" s="6" t="str">
        <f>IFERROR(__xludf.DUMMYFUNCTION("""COMPUTED_VALUE"""),"knockout")</f>
        <v>knockout</v>
      </c>
      <c r="B213" s="6"/>
      <c r="C213" s="6" t="str">
        <f>IFERROR(__xludf.DUMMYFUNCTION("""COMPUTED_VALUE"""),"stakes")</f>
        <v>stakes</v>
      </c>
      <c r="D213" s="6"/>
      <c r="E213" s="6" t="str">
        <f>IFERROR(__xludf.DUMMYFUNCTION("""COMPUTED_VALUE"""),"destructive")</f>
        <v>destructive</v>
      </c>
      <c r="G213" s="6" t="str">
        <f>IFERROR(__xludf.DUMMYFUNCTION("""COMPUTED_VALUE"""),"hours")</f>
        <v>hours</v>
      </c>
      <c r="H213" s="6" t="str">
        <f>IFERROR(__xludf.DUMMYFUNCTION("""COMPUTED_VALUE"""),"adventurous")</f>
        <v>adventurous</v>
      </c>
      <c r="I213" s="6" t="str">
        <f>IFERROR(__xludf.DUMMYFUNCTION("""COMPUTED_VALUE"""),"fine")</f>
        <v>fine</v>
      </c>
      <c r="J213" s="6" t="str">
        <f>IFERROR(__xludf.DUMMYFUNCTION("""COMPUTED_VALUE"""),"quivering")</f>
        <v>quivering</v>
      </c>
      <c r="L213" s="6" t="str">
        <f>IFERROR(__xludf.DUMMYFUNCTION("""COMPUTED_VALUE"""),"sane")</f>
        <v>sane</v>
      </c>
      <c r="M213" s="6" t="str">
        <f>IFERROR(__xludf.DUMMYFUNCTION("""COMPUTED_VALUE"""),"remember")</f>
        <v>remember</v>
      </c>
      <c r="N213" s="6" t="str">
        <f>IFERROR(__xludf.DUMMYFUNCTION("""COMPUTED_VALUE"""),"square")</f>
        <v>square</v>
      </c>
      <c r="P213" s="6" t="str">
        <f>IFERROR(__xludf.DUMMYFUNCTION("""COMPUTED_VALUE"""),"trouble")</f>
        <v>trouble</v>
      </c>
      <c r="Q213" s="6" t="str">
        <f>IFERROR(__xludf.DUMMYFUNCTION("""COMPUTED_VALUE"""),"extraordinary")</f>
        <v>extraordinary</v>
      </c>
      <c r="S213" s="6" t="str">
        <f>IFERROR(__xludf.DUMMYFUNCTION("""COMPUTED_VALUE"""),"wild")</f>
        <v>wild</v>
      </c>
    </row>
    <row r="214">
      <c r="A214" s="6" t="str">
        <f>IFERROR(__xludf.DUMMYFUNCTION("""COMPUTED_VALUE"""),"rooted")</f>
        <v>rooted</v>
      </c>
      <c r="B214" s="6"/>
      <c r="C214" s="6" t="str">
        <f>IFERROR(__xludf.DUMMYFUNCTION("""COMPUTED_VALUE"""),"naive")</f>
        <v>naive</v>
      </c>
      <c r="D214" s="6"/>
      <c r="G214" s="6" t="str">
        <f>IFERROR(__xludf.DUMMYFUNCTION("""COMPUTED_VALUE"""),"blue")</f>
        <v>blue</v>
      </c>
      <c r="H214" s="6" t="str">
        <f>IFERROR(__xludf.DUMMYFUNCTION("""COMPUTED_VALUE"""),"admission")</f>
        <v>admission</v>
      </c>
      <c r="I214" s="6" t="str">
        <f>IFERROR(__xludf.DUMMYFUNCTION("""COMPUTED_VALUE"""),"beings")</f>
        <v>beings</v>
      </c>
      <c r="J214" s="6" t="str">
        <f>IFERROR(__xludf.DUMMYFUNCTION("""COMPUTED_VALUE"""),"inside")</f>
        <v>inside</v>
      </c>
      <c r="L214" s="6" t="str">
        <f>IFERROR(__xludf.DUMMYFUNCTION("""COMPUTED_VALUE"""),"convinced")</f>
        <v>convinced</v>
      </c>
      <c r="M214" s="6" t="str">
        <f>IFERROR(__xludf.DUMMYFUNCTION("""COMPUTED_VALUE"""),"remarkable")</f>
        <v>remarkable</v>
      </c>
      <c r="N214" s="6" t="str">
        <f>IFERROR(__xludf.DUMMYFUNCTION("""COMPUTED_VALUE"""),"comes")</f>
        <v>comes</v>
      </c>
      <c r="P214" s="6" t="str">
        <f>IFERROR(__xludf.DUMMYFUNCTION("""COMPUTED_VALUE"""),"amounts")</f>
        <v>amounts</v>
      </c>
      <c r="Q214" s="6" t="str">
        <f>IFERROR(__xludf.DUMMYFUNCTION("""COMPUTED_VALUE"""),"champion")</f>
        <v>champion</v>
      </c>
      <c r="S214" s="6" t="str">
        <f>IFERROR(__xludf.DUMMYFUNCTION("""COMPUTED_VALUE"""),"watching")</f>
        <v>watching</v>
      </c>
    </row>
    <row r="215">
      <c r="A215" s="6" t="str">
        <f>IFERROR(__xludf.DUMMYFUNCTION("""COMPUTED_VALUE"""),"strains")</f>
        <v>strains</v>
      </c>
      <c r="B215" s="6"/>
      <c r="C215" s="6" t="str">
        <f>IFERROR(__xludf.DUMMYFUNCTION("""COMPUTED_VALUE"""),"grenade")</f>
        <v>grenade</v>
      </c>
      <c r="D215" s="6"/>
      <c r="G215" s="6" t="str">
        <f>IFERROR(__xludf.DUMMYFUNCTION("""COMPUTED_VALUE"""),"crime")</f>
        <v>crime</v>
      </c>
      <c r="H215" s="6" t="str">
        <f>IFERROR(__xludf.DUMMYFUNCTION("""COMPUTED_VALUE"""),"schumacher")</f>
        <v>schumacher</v>
      </c>
      <c r="I215" s="6" t="str">
        <f>IFERROR(__xludf.DUMMYFUNCTION("""COMPUTED_VALUE"""),"contribution")</f>
        <v>contribution</v>
      </c>
      <c r="J215" s="6" t="str">
        <f>IFERROR(__xludf.DUMMYFUNCTION("""COMPUTED_VALUE"""),"term")</f>
        <v>term</v>
      </c>
      <c r="L215" s="6" t="str">
        <f>IFERROR(__xludf.DUMMYFUNCTION("""COMPUTED_VALUE"""),"recommendation")</f>
        <v>recommendation</v>
      </c>
      <c r="M215" s="6" t="str">
        <f>IFERROR(__xludf.DUMMYFUNCTION("""COMPUTED_VALUE"""),"interior")</f>
        <v>interior</v>
      </c>
      <c r="N215" s="6" t="str">
        <f>IFERROR(__xludf.DUMMYFUNCTION("""COMPUTED_VALUE"""),"forget")</f>
        <v>forget</v>
      </c>
      <c r="P215" s="6" t="str">
        <f>IFERROR(__xludf.DUMMYFUNCTION("""COMPUTED_VALUE"""),"ultimate")</f>
        <v>ultimate</v>
      </c>
      <c r="Q215" s="6" t="str">
        <f>IFERROR(__xludf.DUMMYFUNCTION("""COMPUTED_VALUE"""),"heart")</f>
        <v>heart</v>
      </c>
      <c r="S215" s="6" t="str">
        <f>IFERROR(__xludf.DUMMYFUNCTION("""COMPUTED_VALUE"""),"supposed")</f>
        <v>supposed</v>
      </c>
    </row>
    <row r="216">
      <c r="A216" s="6" t="str">
        <f>IFERROR(__xludf.DUMMYFUNCTION("""COMPUTED_VALUE"""),"fiercely")</f>
        <v>fiercely</v>
      </c>
      <c r="B216" s="6"/>
      <c r="C216" s="6" t="str">
        <f>IFERROR(__xludf.DUMMYFUNCTION("""COMPUTED_VALUE"""),"transforms")</f>
        <v>transforms</v>
      </c>
      <c r="D216" s="6"/>
      <c r="G216" s="6" t="str">
        <f>IFERROR(__xludf.DUMMYFUNCTION("""COMPUTED_VALUE"""),"celebration")</f>
        <v>celebration</v>
      </c>
      <c r="H216" s="6" t="str">
        <f>IFERROR(__xludf.DUMMYFUNCTION("""COMPUTED_VALUE"""),"shallow")</f>
        <v>shallow</v>
      </c>
      <c r="I216" s="6" t="str">
        <f>IFERROR(__xludf.DUMMYFUNCTION("""COMPUTED_VALUE"""),"receives")</f>
        <v>receives</v>
      </c>
      <c r="J216" s="6" t="str">
        <f>IFERROR(__xludf.DUMMYFUNCTION("""COMPUTED_VALUE"""),"emotions")</f>
        <v>emotions</v>
      </c>
      <c r="L216" s="6" t="str">
        <f>IFERROR(__xludf.DUMMYFUNCTION("""COMPUTED_VALUE"""),"essentially")</f>
        <v>essentially</v>
      </c>
      <c r="M216" s="6" t="str">
        <f>IFERROR(__xludf.DUMMYFUNCTION("""COMPUTED_VALUE"""),"together")</f>
        <v>together</v>
      </c>
      <c r="N216" s="6" t="str">
        <f>IFERROR(__xludf.DUMMYFUNCTION("""COMPUTED_VALUE"""),"section")</f>
        <v>section</v>
      </c>
      <c r="P216" s="6" t="str">
        <f>IFERROR(__xludf.DUMMYFUNCTION("""COMPUTED_VALUE"""),"epic")</f>
        <v>epic</v>
      </c>
      <c r="Q216" s="6" t="str">
        <f>IFERROR(__xludf.DUMMYFUNCTION("""COMPUTED_VALUE"""),"adaptation")</f>
        <v>adaptation</v>
      </c>
      <c r="S216" s="6" t="str">
        <f>IFERROR(__xludf.DUMMYFUNCTION("""COMPUTED_VALUE"""),"rock")</f>
        <v>rock</v>
      </c>
    </row>
    <row r="217">
      <c r="A217" s="6" t="str">
        <f>IFERROR(__xludf.DUMMYFUNCTION("""COMPUTED_VALUE"""),"wreckage")</f>
        <v>wreckage</v>
      </c>
      <c r="B217" s="6"/>
      <c r="C217" s="6" t="str">
        <f>IFERROR(__xludf.DUMMYFUNCTION("""COMPUTED_VALUE"""),"liability")</f>
        <v>liability</v>
      </c>
      <c r="D217" s="6"/>
      <c r="G217" s="6" t="str">
        <f>IFERROR(__xludf.DUMMYFUNCTION("""COMPUTED_VALUE"""),"metaphor")</f>
        <v>metaphor</v>
      </c>
      <c r="H217" s="6" t="str">
        <f>IFERROR(__xludf.DUMMYFUNCTION("""COMPUTED_VALUE"""),"targeted")</f>
        <v>targeted</v>
      </c>
      <c r="I217" s="6" t="str">
        <f>IFERROR(__xludf.DUMMYFUNCTION("""COMPUTED_VALUE"""),"characteristic")</f>
        <v>characteristic</v>
      </c>
      <c r="J217" s="6" t="str">
        <f>IFERROR(__xludf.DUMMYFUNCTION("""COMPUTED_VALUE"""),"confessions")</f>
        <v>confessions</v>
      </c>
      <c r="L217" s="6" t="str">
        <f>IFERROR(__xludf.DUMMYFUNCTION("""COMPUTED_VALUE"""),"filmmakers")</f>
        <v>filmmakers</v>
      </c>
      <c r="M217" s="6" t="str">
        <f>IFERROR(__xludf.DUMMYFUNCTION("""COMPUTED_VALUE"""),"sisters")</f>
        <v>sisters</v>
      </c>
      <c r="N217" s="6" t="str">
        <f>IFERROR(__xludf.DUMMYFUNCTION("""COMPUTED_VALUE"""),"aisles")</f>
        <v>aisles</v>
      </c>
      <c r="P217" s="6" t="str">
        <f>IFERROR(__xludf.DUMMYFUNCTION("""COMPUTED_VALUE"""),"ii")</f>
        <v>ii</v>
      </c>
      <c r="Q217" s="6" t="str">
        <f>IFERROR(__xludf.DUMMYFUNCTION("""COMPUTED_VALUE"""),"descends")</f>
        <v>descends</v>
      </c>
      <c r="S217" s="6" t="str">
        <f>IFERROR(__xludf.DUMMYFUNCTION("""COMPUTED_VALUE"""),"roll")</f>
        <v>roll</v>
      </c>
    </row>
    <row r="218">
      <c r="A218" s="6" t="str">
        <f>IFERROR(__xludf.DUMMYFUNCTION("""COMPUTED_VALUE"""),"ordeal")</f>
        <v>ordeal</v>
      </c>
      <c r="B218" s="6"/>
      <c r="C218" s="6" t="str">
        <f>IFERROR(__xludf.DUMMYFUNCTION("""COMPUTED_VALUE"""),"motionless")</f>
        <v>motionless</v>
      </c>
      <c r="D218" s="6"/>
      <c r="G218" s="6" t="str">
        <f>IFERROR(__xludf.DUMMYFUNCTION("""COMPUTED_VALUE"""),"retains")</f>
        <v>retains</v>
      </c>
      <c r="H218" s="6" t="str">
        <f>IFERROR(__xludf.DUMMYFUNCTION("""COMPUTED_VALUE"""),"carnage")</f>
        <v>carnage</v>
      </c>
      <c r="I218" s="6" t="str">
        <f>IFERROR(__xludf.DUMMYFUNCTION("""COMPUTED_VALUE"""),"pale")</f>
        <v>pale</v>
      </c>
      <c r="J218" s="6" t="str">
        <f>IFERROR(__xludf.DUMMYFUNCTION("""COMPUTED_VALUE"""),"title")</f>
        <v>title</v>
      </c>
      <c r="L218" s="6" t="str">
        <f>IFERROR(__xludf.DUMMYFUNCTION("""COMPUTED_VALUE"""),"smart")</f>
        <v>smart</v>
      </c>
      <c r="M218" s="6" t="str">
        <f>IFERROR(__xludf.DUMMYFUNCTION("""COMPUTED_VALUE"""),"close")</f>
        <v>close</v>
      </c>
      <c r="N218" s="6" t="str">
        <f>IFERROR(__xludf.DUMMYFUNCTION("""COMPUTED_VALUE"""),"*")</f>
        <v>*</v>
      </c>
      <c r="P218" s="6" t="str">
        <f>IFERROR(__xludf.DUMMYFUNCTION("""COMPUTED_VALUE"""),"hardly")</f>
        <v>hardly</v>
      </c>
      <c r="Q218" s="6" t="str">
        <f>IFERROR(__xludf.DUMMYFUNCTION("""COMPUTED_VALUE"""),"noir")</f>
        <v>noir</v>
      </c>
      <c r="S218" s="6" t="str">
        <f>IFERROR(__xludf.DUMMYFUNCTION("""COMPUTED_VALUE"""),"surprise")</f>
        <v>surprise</v>
      </c>
    </row>
    <row r="219">
      <c r="A219" s="6" t="str">
        <f>IFERROR(__xludf.DUMMYFUNCTION("""COMPUTED_VALUE"""),"discarded")</f>
        <v>discarded</v>
      </c>
      <c r="B219" s="6"/>
      <c r="C219" s="6" t="str">
        <f>IFERROR(__xludf.DUMMYFUNCTION("""COMPUTED_VALUE"""),"overview")</f>
        <v>overview</v>
      </c>
      <c r="D219" s="6"/>
      <c r="G219" s="6" t="str">
        <f>IFERROR(__xludf.DUMMYFUNCTION("""COMPUTED_VALUE"""),"handsome")</f>
        <v>handsome</v>
      </c>
      <c r="H219" s="6" t="str">
        <f>IFERROR(__xludf.DUMMYFUNCTION("""COMPUTED_VALUE"""),"handheld")</f>
        <v>handheld</v>
      </c>
      <c r="I219" s="6" t="str">
        <f>IFERROR(__xludf.DUMMYFUNCTION("""COMPUTED_VALUE"""),"classical")</f>
        <v>classical</v>
      </c>
      <c r="J219" s="6" t="str">
        <f>IFERROR(__xludf.DUMMYFUNCTION("""COMPUTED_VALUE"""),"thin")</f>
        <v>thin</v>
      </c>
      <c r="L219" s="6" t="str">
        <f>IFERROR(__xludf.DUMMYFUNCTION("""COMPUTED_VALUE"""),"seats")</f>
        <v>seats</v>
      </c>
      <c r="M219" s="6" t="str">
        <f>IFERROR(__xludf.DUMMYFUNCTION("""COMPUTED_VALUE"""),"served")</f>
        <v>served</v>
      </c>
      <c r="N219" s="6" t="str">
        <f>IFERROR(__xludf.DUMMYFUNCTION("""COMPUTED_VALUE"""),"dog")</f>
        <v>dog</v>
      </c>
      <c r="P219" s="6" t="str">
        <f>IFERROR(__xludf.DUMMYFUNCTION("""COMPUTED_VALUE"""),"fans")</f>
        <v>fans</v>
      </c>
      <c r="Q219" s="6" t="str">
        <f>IFERROR(__xludf.DUMMYFUNCTION("""COMPUTED_VALUE"""),"tight")</f>
        <v>tight</v>
      </c>
      <c r="S219" s="6" t="str">
        <f>IFERROR(__xludf.DUMMYFUNCTION("""COMPUTED_VALUE"""),"trying")</f>
        <v>trying</v>
      </c>
    </row>
    <row r="220">
      <c r="A220" s="6" t="str">
        <f>IFERROR(__xludf.DUMMYFUNCTION("""COMPUTED_VALUE"""),"humming")</f>
        <v>humming</v>
      </c>
      <c r="B220" s="6"/>
      <c r="C220" s="6" t="str">
        <f>IFERROR(__xludf.DUMMYFUNCTION("""COMPUTED_VALUE"""),"vain")</f>
        <v>vain</v>
      </c>
      <c r="D220" s="6"/>
      <c r="G220" s="6" t="str">
        <f>IFERROR(__xludf.DUMMYFUNCTION("""COMPUTED_VALUE"""),"drama")</f>
        <v>drama</v>
      </c>
      <c r="H220" s="6" t="str">
        <f>IFERROR(__xludf.DUMMYFUNCTION("""COMPUTED_VALUE"""),"footage")</f>
        <v>footage</v>
      </c>
      <c r="I220" s="6" t="str">
        <f>IFERROR(__xludf.DUMMYFUNCTION("""COMPUTED_VALUE"""),"successful")</f>
        <v>successful</v>
      </c>
      <c r="J220" s="6" t="str">
        <f>IFERROR(__xludf.DUMMYFUNCTION("""COMPUTED_VALUE"""),"wildlife")</f>
        <v>wildlife</v>
      </c>
      <c r="L220" s="6" t="str">
        <f>IFERROR(__xludf.DUMMYFUNCTION("""COMPUTED_VALUE"""),"immersed")</f>
        <v>immersed</v>
      </c>
      <c r="M220" s="6" t="str">
        <f>IFERROR(__xludf.DUMMYFUNCTION("""COMPUTED_VALUE"""),"bloody")</f>
        <v>bloody</v>
      </c>
      <c r="N220" s="6" t="str">
        <f>IFERROR(__xludf.DUMMYFUNCTION("""COMPUTED_VALUE"""),"tear")</f>
        <v>tear</v>
      </c>
      <c r="P220" s="6" t="str">
        <f>IFERROR(__xludf.DUMMYFUNCTION("""COMPUTED_VALUE"""),"translation")</f>
        <v>translation</v>
      </c>
      <c r="Q220" s="6" t="str">
        <f>IFERROR(__xludf.DUMMYFUNCTION("""COMPUTED_VALUE"""),"works")</f>
        <v>works</v>
      </c>
      <c r="S220" s="6" t="str">
        <f>IFERROR(__xludf.DUMMYFUNCTION("""COMPUTED_VALUE"""),"tries")</f>
        <v>tries</v>
      </c>
    </row>
    <row r="221">
      <c r="A221" s="6" t="str">
        <f>IFERROR(__xludf.DUMMYFUNCTION("""COMPUTED_VALUE"""),"commands")</f>
        <v>commands</v>
      </c>
      <c r="B221" s="6"/>
      <c r="C221" s="6" t="str">
        <f>IFERROR(__xludf.DUMMYFUNCTION("""COMPUTED_VALUE"""),"satisfactory")</f>
        <v>satisfactory</v>
      </c>
      <c r="D221" s="6"/>
      <c r="G221" s="6" t="str">
        <f>IFERROR(__xludf.DUMMYFUNCTION("""COMPUTED_VALUE"""),"debut")</f>
        <v>debut</v>
      </c>
      <c r="H221" s="6" t="str">
        <f>IFERROR(__xludf.DUMMYFUNCTION("""COMPUTED_VALUE"""),"fiddle")</f>
        <v>fiddle</v>
      </c>
      <c r="I221" s="6" t="str">
        <f>IFERROR(__xludf.DUMMYFUNCTION("""COMPUTED_VALUE"""),"seeing")</f>
        <v>seeing</v>
      </c>
      <c r="J221" s="6" t="str">
        <f>IFERROR(__xludf.DUMMYFUNCTION("""COMPUTED_VALUE"""),"structured")</f>
        <v>structured</v>
      </c>
      <c r="L221" s="6" t="str">
        <f>IFERROR(__xludf.DUMMYFUNCTION("""COMPUTED_VALUE"""),"film")</f>
        <v>film</v>
      </c>
      <c r="M221" s="6" t="str">
        <f>IFERROR(__xludf.DUMMYFUNCTION("""COMPUTED_VALUE"""),"group")</f>
        <v>group</v>
      </c>
      <c r="N221" s="6" t="str">
        <f>IFERROR(__xludf.DUMMYFUNCTION("""COMPUTED_VALUE"""),"promise")</f>
        <v>promise</v>
      </c>
      <c r="P221" s="6" t="str">
        <f>IFERROR(__xludf.DUMMYFUNCTION("""COMPUTED_VALUE"""),"forces")</f>
        <v>forces</v>
      </c>
      <c r="Q221" s="6" t="str">
        <f>IFERROR(__xludf.DUMMYFUNCTION("""COMPUTED_VALUE"""),"derivative")</f>
        <v>derivative</v>
      </c>
      <c r="S221" s="6" t="str">
        <f>IFERROR(__xludf.DUMMYFUNCTION("""COMPUTED_VALUE"""),"grab")</f>
        <v>grab</v>
      </c>
    </row>
    <row r="222">
      <c r="A222" s="6" t="str">
        <f>IFERROR(__xludf.DUMMYFUNCTION("""COMPUTED_VALUE"""),"yields")</f>
        <v>yields</v>
      </c>
      <c r="B222" s="6"/>
      <c r="C222" s="6" t="str">
        <f>IFERROR(__xludf.DUMMYFUNCTION("""COMPUTED_VALUE"""),"scoring")</f>
        <v>scoring</v>
      </c>
      <c r="D222" s="6"/>
      <c r="G222" s="6" t="str">
        <f>IFERROR(__xludf.DUMMYFUNCTION("""COMPUTED_VALUE"""),"fine")</f>
        <v>fine</v>
      </c>
      <c r="H222" s="6" t="str">
        <f>IFERROR(__xludf.DUMMYFUNCTION("""COMPUTED_VALUE"""),"folly")</f>
        <v>folly</v>
      </c>
      <c r="I222" s="6" t="str">
        <f>IFERROR(__xludf.DUMMYFUNCTION("""COMPUTED_VALUE"""),"moving")</f>
        <v>moving</v>
      </c>
      <c r="J222" s="6" t="str">
        <f>IFERROR(__xludf.DUMMYFUNCTION("""COMPUTED_VALUE"""),"adventurous")</f>
        <v>adventurous</v>
      </c>
      <c r="L222" s="6" t="str">
        <f>IFERROR(__xludf.DUMMYFUNCTION("""COMPUTED_VALUE"""),"movement")</f>
        <v>movement</v>
      </c>
      <c r="M222" s="6" t="str">
        <f>IFERROR(__xludf.DUMMYFUNCTION("""COMPUTED_VALUE"""),"destination")</f>
        <v>destination</v>
      </c>
      <c r="N222" s="6" t="str">
        <f>IFERROR(__xludf.DUMMYFUNCTION("""COMPUTED_VALUE"""),"face")</f>
        <v>face</v>
      </c>
      <c r="P222" s="6" t="str">
        <f>IFERROR(__xludf.DUMMYFUNCTION("""COMPUTED_VALUE"""),"considerable")</f>
        <v>considerable</v>
      </c>
      <c r="Q222" s="6" t="str">
        <f>IFERROR(__xludf.DUMMYFUNCTION("""COMPUTED_VALUE"""),"sequel")</f>
        <v>sequel</v>
      </c>
      <c r="S222" s="6" t="str">
        <f>IFERROR(__xludf.DUMMYFUNCTION("""COMPUTED_VALUE"""),"service")</f>
        <v>service</v>
      </c>
    </row>
    <row r="223">
      <c r="A223" s="6" t="str">
        <f>IFERROR(__xludf.DUMMYFUNCTION("""COMPUTED_VALUE"""),"naive")</f>
        <v>naive</v>
      </c>
      <c r="B223" s="6"/>
      <c r="C223" s="6" t="str">
        <f>IFERROR(__xludf.DUMMYFUNCTION("""COMPUTED_VALUE"""),"disastrous")</f>
        <v>disastrous</v>
      </c>
      <c r="D223" s="6"/>
      <c r="G223" s="6" t="str">
        <f>IFERROR(__xludf.DUMMYFUNCTION("""COMPUTED_VALUE"""),"beings")</f>
        <v>beings</v>
      </c>
      <c r="H223" s="6" t="str">
        <f>IFERROR(__xludf.DUMMYFUNCTION("""COMPUTED_VALUE"""),"nomination")</f>
        <v>nomination</v>
      </c>
      <c r="I223" s="6" t="str">
        <f>IFERROR(__xludf.DUMMYFUNCTION("""COMPUTED_VALUE"""),"intelligent")</f>
        <v>intelligent</v>
      </c>
      <c r="J223" s="6" t="str">
        <f>IFERROR(__xludf.DUMMYFUNCTION("""COMPUTED_VALUE"""),"worth")</f>
        <v>worth</v>
      </c>
      <c r="L223" s="6" t="str">
        <f>IFERROR(__xludf.DUMMYFUNCTION("""COMPUTED_VALUE"""),"popcorn")</f>
        <v>popcorn</v>
      </c>
      <c r="M223" s="6" t="str">
        <f>IFERROR(__xludf.DUMMYFUNCTION("""COMPUTED_VALUE"""),"reminded")</f>
        <v>reminded</v>
      </c>
      <c r="N223" s="6" t="str">
        <f>IFERROR(__xludf.DUMMYFUNCTION("""COMPUTED_VALUE"""),"red")</f>
        <v>red</v>
      </c>
      <c r="P223" s="6" t="str">
        <f>IFERROR(__xludf.DUMMYFUNCTION("""COMPUTED_VALUE"""),"scattered")</f>
        <v>scattered</v>
      </c>
      <c r="Q223" s="6" t="str">
        <f>IFERROR(__xludf.DUMMYFUNCTION("""COMPUTED_VALUE"""),"archives")</f>
        <v>archives</v>
      </c>
      <c r="S223" s="6" t="str">
        <f>IFERROR(__xludf.DUMMYFUNCTION("""COMPUTED_VALUE"""),"special")</f>
        <v>special</v>
      </c>
    </row>
    <row r="224">
      <c r="A224" s="6" t="str">
        <f>IFERROR(__xludf.DUMMYFUNCTION("""COMPUTED_VALUE"""),"grenade")</f>
        <v>grenade</v>
      </c>
      <c r="B224" s="6"/>
      <c r="C224" s="6" t="str">
        <f>IFERROR(__xludf.DUMMYFUNCTION("""COMPUTED_VALUE"""),"stripped")</f>
        <v>stripped</v>
      </c>
      <c r="D224" s="6"/>
      <c r="G224" s="6" t="str">
        <f>IFERROR(__xludf.DUMMYFUNCTION("""COMPUTED_VALUE"""),"contribution")</f>
        <v>contribution</v>
      </c>
      <c r="H224" s="6" t="str">
        <f>IFERROR(__xludf.DUMMYFUNCTION("""COMPUTED_VALUE"""),"offering")</f>
        <v>offering</v>
      </c>
      <c r="I224" s="6" t="str">
        <f>IFERROR(__xludf.DUMMYFUNCTION("""COMPUTED_VALUE"""),"appears")</f>
        <v>appears</v>
      </c>
      <c r="J224" s="6" t="str">
        <f>IFERROR(__xludf.DUMMYFUNCTION("""COMPUTED_VALUE"""),"schumacher")</f>
        <v>schumacher</v>
      </c>
      <c r="L224" s="6" t="str">
        <f>IFERROR(__xludf.DUMMYFUNCTION("""COMPUTED_VALUE"""),"skin")</f>
        <v>skin</v>
      </c>
      <c r="M224" s="6" t="str">
        <f>IFERROR(__xludf.DUMMYFUNCTION("""COMPUTED_VALUE"""),"slightly")</f>
        <v>slightly</v>
      </c>
      <c r="N224" s="6" t="str">
        <f>IFERROR(__xludf.DUMMYFUNCTION("""COMPUTED_VALUE"""),"open")</f>
        <v>open</v>
      </c>
      <c r="P224" s="6" t="str">
        <f>IFERROR(__xludf.DUMMYFUNCTION("""COMPUTED_VALUE"""),"fashion")</f>
        <v>fashion</v>
      </c>
      <c r="Q224" s="6" t="str">
        <f>IFERROR(__xludf.DUMMYFUNCTION("""COMPUTED_VALUE"""),"disney")</f>
        <v>disney</v>
      </c>
      <c r="S224" s="6" t="str">
        <f>IFERROR(__xludf.DUMMYFUNCTION("""COMPUTED_VALUE"""),"important")</f>
        <v>important</v>
      </c>
    </row>
    <row r="225">
      <c r="A225" s="6" t="str">
        <f>IFERROR(__xludf.DUMMYFUNCTION("""COMPUTED_VALUE"""),"transforms")</f>
        <v>transforms</v>
      </c>
      <c r="B225" s="6"/>
      <c r="C225" s="6" t="str">
        <f>IFERROR(__xludf.DUMMYFUNCTION("""COMPUTED_VALUE"""),"attracting")</f>
        <v>attracting</v>
      </c>
      <c r="D225" s="6"/>
      <c r="G225" s="6" t="str">
        <f>IFERROR(__xludf.DUMMYFUNCTION("""COMPUTED_VALUE"""),"characteristic")</f>
        <v>characteristic</v>
      </c>
      <c r="H225" s="6" t="str">
        <f>IFERROR(__xludf.DUMMYFUNCTION("""COMPUTED_VALUE"""),"oscar")</f>
        <v>oscar</v>
      </c>
      <c r="I225" s="6" t="str">
        <f>IFERROR(__xludf.DUMMYFUNCTION("""COMPUTED_VALUE"""),"poet")</f>
        <v>poet</v>
      </c>
      <c r="J225" s="6" t="str">
        <f>IFERROR(__xludf.DUMMYFUNCTION("""COMPUTED_VALUE"""),"shallow")</f>
        <v>shallow</v>
      </c>
      <c r="L225" s="6" t="str">
        <f>IFERROR(__xludf.DUMMYFUNCTION("""COMPUTED_VALUE"""),"late")</f>
        <v>late</v>
      </c>
      <c r="M225" s="6" t="str">
        <f>IFERROR(__xludf.DUMMYFUNCTION("""COMPUTED_VALUE"""),"feels")</f>
        <v>feels</v>
      </c>
      <c r="N225" s="6" t="str">
        <f>IFERROR(__xludf.DUMMYFUNCTION("""COMPUTED_VALUE"""),"score")</f>
        <v>score</v>
      </c>
      <c r="P225" s="6" t="str">
        <f>IFERROR(__xludf.DUMMYFUNCTION("""COMPUTED_VALUE"""),"bold")</f>
        <v>bold</v>
      </c>
      <c r="Q225" s="6" t="str">
        <f>IFERROR(__xludf.DUMMYFUNCTION("""COMPUTED_VALUE"""),"despite")</f>
        <v>despite</v>
      </c>
      <c r="S225" s="6" t="str">
        <f>IFERROR(__xludf.DUMMYFUNCTION("""COMPUTED_VALUE"""),"reveals")</f>
        <v>reveals</v>
      </c>
    </row>
    <row r="226">
      <c r="A226" s="6" t="str">
        <f>IFERROR(__xludf.DUMMYFUNCTION("""COMPUTED_VALUE"""),"liability")</f>
        <v>liability</v>
      </c>
      <c r="B226" s="6"/>
      <c r="C226" s="6" t="str">
        <f>IFERROR(__xludf.DUMMYFUNCTION("""COMPUTED_VALUE"""),"effectiveness")</f>
        <v>effectiveness</v>
      </c>
      <c r="D226" s="6"/>
      <c r="G226" s="6" t="str">
        <f>IFERROR(__xludf.DUMMYFUNCTION("""COMPUTED_VALUE"""),"pale")</f>
        <v>pale</v>
      </c>
      <c r="H226" s="6" t="str">
        <f>IFERROR(__xludf.DUMMYFUNCTION("""COMPUTED_VALUE"""),"esther")</f>
        <v>esther</v>
      </c>
      <c r="I226" s="6" t="str">
        <f>IFERROR(__xludf.DUMMYFUNCTION("""COMPUTED_VALUE"""),"looking")</f>
        <v>looking</v>
      </c>
      <c r="J226" s="6" t="str">
        <f>IFERROR(__xludf.DUMMYFUNCTION("""COMPUTED_VALUE"""),"targeted")</f>
        <v>targeted</v>
      </c>
      <c r="L226" s="6" t="str">
        <f>IFERROR(__xludf.DUMMYFUNCTION("""COMPUTED_VALUE"""),"lobby")</f>
        <v>lobby</v>
      </c>
      <c r="M226" s="6" t="str">
        <f>IFERROR(__xludf.DUMMYFUNCTION("""COMPUTED_VALUE"""),"throughout")</f>
        <v>throughout</v>
      </c>
      <c r="N226" s="6" t="str">
        <f>IFERROR(__xludf.DUMMYFUNCTION("""COMPUTED_VALUE"""),"high")</f>
        <v>high</v>
      </c>
      <c r="P226" s="6" t="str">
        <f>IFERROR(__xludf.DUMMYFUNCTION("""COMPUTED_VALUE"""),"standards")</f>
        <v>standards</v>
      </c>
      <c r="Q226" s="6" t="str">
        <f>IFERROR(__xludf.DUMMYFUNCTION("""COMPUTED_VALUE"""),"fights")</f>
        <v>fights</v>
      </c>
      <c r="S226" s="6" t="str">
        <f>IFERROR(__xludf.DUMMYFUNCTION("""COMPUTED_VALUE"""),"promise")</f>
        <v>promise</v>
      </c>
    </row>
    <row r="227">
      <c r="A227" s="6" t="str">
        <f>IFERROR(__xludf.DUMMYFUNCTION("""COMPUTED_VALUE"""),"slapping")</f>
        <v>slapping</v>
      </c>
      <c r="B227" s="6"/>
      <c r="C227" s="6" t="str">
        <f>IFERROR(__xludf.DUMMYFUNCTION("""COMPUTED_VALUE"""),"error")</f>
        <v>error</v>
      </c>
      <c r="D227" s="6"/>
      <c r="G227" s="6" t="str">
        <f>IFERROR(__xludf.DUMMYFUNCTION("""COMPUTED_VALUE"""),"juliette")</f>
        <v>juliette</v>
      </c>
      <c r="H227" s="6" t="str">
        <f>IFERROR(__xludf.DUMMYFUNCTION("""COMPUTED_VALUE"""),"exercise")</f>
        <v>exercise</v>
      </c>
      <c r="I227" s="6" t="str">
        <f>IFERROR(__xludf.DUMMYFUNCTION("""COMPUTED_VALUE"""),"summer")</f>
        <v>summer</v>
      </c>
      <c r="J227" s="6" t="str">
        <f>IFERROR(__xludf.DUMMYFUNCTION("""COMPUTED_VALUE"""),"carnage")</f>
        <v>carnage</v>
      </c>
      <c r="L227" s="6" t="str">
        <f>IFERROR(__xludf.DUMMYFUNCTION("""COMPUTED_VALUE"""),"upon")</f>
        <v>upon</v>
      </c>
      <c r="M227" s="6" t="str">
        <f>IFERROR(__xludf.DUMMYFUNCTION("""COMPUTED_VALUE"""),"change")</f>
        <v>change</v>
      </c>
      <c r="N227" s="6" t="str">
        <f>IFERROR(__xludf.DUMMYFUNCTION("""COMPUTED_VALUE"""),"offering")</f>
        <v>offering</v>
      </c>
      <c r="P227" s="6" t="str">
        <f>IFERROR(__xludf.DUMMYFUNCTION("""COMPUTED_VALUE"""),"effects")</f>
        <v>effects</v>
      </c>
      <c r="Q227" s="6" t="str">
        <f>IFERROR(__xludf.DUMMYFUNCTION("""COMPUTED_VALUE"""),"ambitions")</f>
        <v>ambitions</v>
      </c>
      <c r="S227" s="6" t="str">
        <f>IFERROR(__xludf.DUMMYFUNCTION("""COMPUTED_VALUE"""),"wait")</f>
        <v>wait</v>
      </c>
    </row>
    <row r="228">
      <c r="A228" s="6" t="str">
        <f>IFERROR(__xludf.DUMMYFUNCTION("""COMPUTED_VALUE"""),"motionless")</f>
        <v>motionless</v>
      </c>
      <c r="B228" s="6"/>
      <c r="C228" s="6" t="str">
        <f>IFERROR(__xludf.DUMMYFUNCTION("""COMPUTED_VALUE"""),"deficit")</f>
        <v>deficit</v>
      </c>
      <c r="D228" s="6"/>
      <c r="G228" s="6" t="str">
        <f>IFERROR(__xludf.DUMMYFUNCTION("""COMPUTED_VALUE"""),"affecting")</f>
        <v>affecting</v>
      </c>
      <c r="H228" s="6" t="str">
        <f>IFERROR(__xludf.DUMMYFUNCTION("""COMPUTED_VALUE"""),"halfway")</f>
        <v>halfway</v>
      </c>
      <c r="I228" s="6" t="str">
        <f>IFERROR(__xludf.DUMMYFUNCTION("""COMPUTED_VALUE"""),"subject")</f>
        <v>subject</v>
      </c>
      <c r="J228" s="6" t="str">
        <f>IFERROR(__xludf.DUMMYFUNCTION("""COMPUTED_VALUE"""),"blair")</f>
        <v>blair</v>
      </c>
      <c r="L228" s="6" t="str">
        <f>IFERROR(__xludf.DUMMYFUNCTION("""COMPUTED_VALUE"""),"interviews")</f>
        <v>interviews</v>
      </c>
      <c r="M228" s="6" t="str">
        <f>IFERROR(__xludf.DUMMYFUNCTION("""COMPUTED_VALUE"""),"heart")</f>
        <v>heart</v>
      </c>
      <c r="N228" s="6" t="str">
        <f>IFERROR(__xludf.DUMMYFUNCTION("""COMPUTED_VALUE"""),"broad")</f>
        <v>broad</v>
      </c>
      <c r="P228" s="6" t="str">
        <f>IFERROR(__xludf.DUMMYFUNCTION("""COMPUTED_VALUE"""),"mess")</f>
        <v>mess</v>
      </c>
      <c r="Q228" s="6" t="str">
        <f>IFERROR(__xludf.DUMMYFUNCTION("""COMPUTED_VALUE"""),"compelling")</f>
        <v>compelling</v>
      </c>
      <c r="S228" s="6" t="str">
        <f>IFERROR(__xludf.DUMMYFUNCTION("""COMPUTED_VALUE"""),"death")</f>
        <v>death</v>
      </c>
    </row>
    <row r="229">
      <c r="A229" s="6" t="str">
        <f>IFERROR(__xludf.DUMMYFUNCTION("""COMPUTED_VALUE"""),"numb")</f>
        <v>numb</v>
      </c>
      <c r="B229" s="6"/>
      <c r="C229" s="6" t="str">
        <f>IFERROR(__xludf.DUMMYFUNCTION("""COMPUTED_VALUE"""),"beaches")</f>
        <v>beaches</v>
      </c>
      <c r="D229" s="6"/>
      <c r="G229" s="6" t="str">
        <f>IFERROR(__xludf.DUMMYFUNCTION("""COMPUTED_VALUE"""),"mira")</f>
        <v>mira</v>
      </c>
      <c r="H229" s="6" t="str">
        <f>IFERROR(__xludf.DUMMYFUNCTION("""COMPUTED_VALUE"""),"grips")</f>
        <v>grips</v>
      </c>
      <c r="I229" s="6" t="str">
        <f>IFERROR(__xludf.DUMMYFUNCTION("""COMPUTED_VALUE"""),"overcome")</f>
        <v>overcome</v>
      </c>
      <c r="J229" s="6" t="str">
        <f>IFERROR(__xludf.DUMMYFUNCTION("""COMPUTED_VALUE"""),"footage")</f>
        <v>footage</v>
      </c>
      <c r="L229" s="6" t="str">
        <f>IFERROR(__xludf.DUMMYFUNCTION("""COMPUTED_VALUE"""),"optimistic")</f>
        <v>optimistic</v>
      </c>
      <c r="M229" s="6" t="str">
        <f>IFERROR(__xludf.DUMMYFUNCTION("""COMPUTED_VALUE"""),"make")</f>
        <v>make</v>
      </c>
      <c r="N229" s="6" t="str">
        <f>IFERROR(__xludf.DUMMYFUNCTION("""COMPUTED_VALUE"""),"hours")</f>
        <v>hours</v>
      </c>
      <c r="P229" s="6" t="str">
        <f>IFERROR(__xludf.DUMMYFUNCTION("""COMPUTED_VALUE"""),"warmth")</f>
        <v>warmth</v>
      </c>
      <c r="Q229" s="6" t="str">
        <f>IFERROR(__xludf.DUMMYFUNCTION("""COMPUTED_VALUE"""),"runs")</f>
        <v>runs</v>
      </c>
      <c r="S229" s="6" t="str">
        <f>IFERROR(__xludf.DUMMYFUNCTION("""COMPUTED_VALUE"""),"theatrical")</f>
        <v>theatrical</v>
      </c>
    </row>
    <row r="230">
      <c r="A230" s="6" t="str">
        <f>IFERROR(__xludf.DUMMYFUNCTION("""COMPUTED_VALUE"""),"overview")</f>
        <v>overview</v>
      </c>
      <c r="B230" s="6"/>
      <c r="C230" s="6" t="str">
        <f>IFERROR(__xludf.DUMMYFUNCTION("""COMPUTED_VALUE"""),"destructive")</f>
        <v>destructive</v>
      </c>
      <c r="D230" s="6"/>
      <c r="G230" s="6" t="str">
        <f>IFERROR(__xludf.DUMMYFUNCTION("""COMPUTED_VALUE"""),"limitations")</f>
        <v>limitations</v>
      </c>
      <c r="H230" s="6" t="str">
        <f>IFERROR(__xludf.DUMMYFUNCTION("""COMPUTED_VALUE"""),"fascinating")</f>
        <v>fascinating</v>
      </c>
      <c r="I230" s="6" t="str">
        <f>IFERROR(__xludf.DUMMYFUNCTION("""COMPUTED_VALUE"""),"fate")</f>
        <v>fate</v>
      </c>
      <c r="J230" s="6" t="str">
        <f>IFERROR(__xludf.DUMMYFUNCTION("""COMPUTED_VALUE"""),"fiddle")</f>
        <v>fiddle</v>
      </c>
      <c r="L230" s="6" t="str">
        <f>IFERROR(__xludf.DUMMYFUNCTION("""COMPUTED_VALUE"""),"problems")</f>
        <v>problems</v>
      </c>
      <c r="M230" s="6" t="str">
        <f>IFERROR(__xludf.DUMMYFUNCTION("""COMPUTED_VALUE"""),"whose")</f>
        <v>whose</v>
      </c>
      <c r="N230" s="6" t="str">
        <f>IFERROR(__xludf.DUMMYFUNCTION("""COMPUTED_VALUE"""),"bucks")</f>
        <v>bucks</v>
      </c>
      <c r="P230" s="6" t="str">
        <f>IFERROR(__xludf.DUMMYFUNCTION("""COMPUTED_VALUE"""),"gentle")</f>
        <v>gentle</v>
      </c>
      <c r="Q230" s="6" t="str">
        <f>IFERROR(__xludf.DUMMYFUNCTION("""COMPUTED_VALUE"""),"minutes")</f>
        <v>minutes</v>
      </c>
      <c r="S230" s="6" t="str">
        <f>IFERROR(__xludf.DUMMYFUNCTION("""COMPUTED_VALUE"""),"faith")</f>
        <v>faith</v>
      </c>
    </row>
    <row r="231">
      <c r="A231" s="6" t="str">
        <f>IFERROR(__xludf.DUMMYFUNCTION("""COMPUTED_VALUE"""),"vain")</f>
        <v>vain</v>
      </c>
      <c r="B231" s="6"/>
      <c r="C231" s="6" t="str">
        <f>IFERROR(__xludf.DUMMYFUNCTION("""COMPUTED_VALUE"""),"weighs")</f>
        <v>weighs</v>
      </c>
      <c r="D231" s="6"/>
      <c r="G231" s="6" t="str">
        <f>IFERROR(__xludf.DUMMYFUNCTION("""COMPUTED_VALUE"""),"classical")</f>
        <v>classical</v>
      </c>
      <c r="H231" s="6" t="str">
        <f>IFERROR(__xludf.DUMMYFUNCTION("""COMPUTED_VALUE"""),"martial")</f>
        <v>martial</v>
      </c>
      <c r="I231" s="6" t="str">
        <f>IFERROR(__xludf.DUMMYFUNCTION("""COMPUTED_VALUE"""),"low")</f>
        <v>low</v>
      </c>
      <c r="J231" s="6" t="str">
        <f>IFERROR(__xludf.DUMMYFUNCTION("""COMPUTED_VALUE"""),"nomination")</f>
        <v>nomination</v>
      </c>
      <c r="L231" s="6" t="str">
        <f>IFERROR(__xludf.DUMMYFUNCTION("""COMPUTED_VALUE"""),"mine")</f>
        <v>mine</v>
      </c>
      <c r="M231" s="6" t="str">
        <f>IFERROR(__xludf.DUMMYFUNCTION("""COMPUTED_VALUE"""),"childhood")</f>
        <v>childhood</v>
      </c>
      <c r="N231" s="6" t="str">
        <f>IFERROR(__xludf.DUMMYFUNCTION("""COMPUTED_VALUE"""),"sandwich")</f>
        <v>sandwich</v>
      </c>
      <c r="P231" s="6" t="str">
        <f>IFERROR(__xludf.DUMMYFUNCTION("""COMPUTED_VALUE"""),"sensitive")</f>
        <v>sensitive</v>
      </c>
      <c r="Q231" s="6" t="str">
        <f>IFERROR(__xludf.DUMMYFUNCTION("""COMPUTED_VALUE"""),"procession")</f>
        <v>procession</v>
      </c>
      <c r="S231" s="6" t="str">
        <f>IFERROR(__xludf.DUMMYFUNCTION("""COMPUTED_VALUE"""),"extraordinary")</f>
        <v>extraordinary</v>
      </c>
    </row>
    <row r="232">
      <c r="A232" s="6" t="str">
        <f>IFERROR(__xludf.DUMMYFUNCTION("""COMPUTED_VALUE"""),"scoring")</f>
        <v>scoring</v>
      </c>
      <c r="B232" s="6"/>
      <c r="D232" s="6"/>
      <c r="G232" s="6" t="str">
        <f>IFERROR(__xludf.DUMMYFUNCTION("""COMPUTED_VALUE"""),"successful")</f>
        <v>successful</v>
      </c>
      <c r="H232" s="6" t="str">
        <f>IFERROR(__xludf.DUMMYFUNCTION("""COMPUTED_VALUE"""),"rhythms")</f>
        <v>rhythms</v>
      </c>
      <c r="I232" s="6" t="str">
        <f>IFERROR(__xludf.DUMMYFUNCTION("""COMPUTED_VALUE"""),"walked")</f>
        <v>walked</v>
      </c>
      <c r="J232" s="6" t="str">
        <f>IFERROR(__xludf.DUMMYFUNCTION("""COMPUTED_VALUE"""),"offering")</f>
        <v>offering</v>
      </c>
      <c r="L232" s="6" t="str">
        <f>IFERROR(__xludf.DUMMYFUNCTION("""COMPUTED_VALUE"""),"obscure")</f>
        <v>obscure</v>
      </c>
      <c r="M232" s="6" t="str">
        <f>IFERROR(__xludf.DUMMYFUNCTION("""COMPUTED_VALUE"""),"using")</f>
        <v>using</v>
      </c>
      <c r="N232" s="6" t="str">
        <f>IFERROR(__xludf.DUMMYFUNCTION("""COMPUTED_VALUE"""),"body")</f>
        <v>body</v>
      </c>
      <c r="P232" s="6" t="str">
        <f>IFERROR(__xludf.DUMMYFUNCTION("""COMPUTED_VALUE"""),"script")</f>
        <v>script</v>
      </c>
      <c r="Q232" s="6" t="str">
        <f>IFERROR(__xludf.DUMMYFUNCTION("""COMPUTED_VALUE"""),"sweeping")</f>
        <v>sweeping</v>
      </c>
      <c r="S232" s="6" t="str">
        <f>IFERROR(__xludf.DUMMYFUNCTION("""COMPUTED_VALUE"""),"heart")</f>
        <v>heart</v>
      </c>
    </row>
    <row r="233">
      <c r="A233" s="6" t="str">
        <f>IFERROR(__xludf.DUMMYFUNCTION("""COMPUTED_VALUE"""),"explosive")</f>
        <v>explosive</v>
      </c>
      <c r="B233" s="6"/>
      <c r="D233" s="6"/>
      <c r="G233" s="6" t="str">
        <f>IFERROR(__xludf.DUMMYFUNCTION("""COMPUTED_VALUE"""),"seeing")</f>
        <v>seeing</v>
      </c>
      <c r="H233" s="6" t="str">
        <f>IFERROR(__xludf.DUMMYFUNCTION("""COMPUTED_VALUE"""),"stream")</f>
        <v>stream</v>
      </c>
      <c r="I233" s="6" t="str">
        <f>IFERROR(__xludf.DUMMYFUNCTION("""COMPUTED_VALUE"""),"backward")</f>
        <v>backward</v>
      </c>
      <c r="J233" s="6" t="str">
        <f>IFERROR(__xludf.DUMMYFUNCTION("""COMPUTED_VALUE"""),"esther")</f>
        <v>esther</v>
      </c>
      <c r="L233" s="6" t="str">
        <f>IFERROR(__xludf.DUMMYFUNCTION("""COMPUTED_VALUE"""),"wise")</f>
        <v>wise</v>
      </c>
      <c r="M233" s="6" t="str">
        <f>IFERROR(__xludf.DUMMYFUNCTION("""COMPUTED_VALUE"""),"animals")</f>
        <v>animals</v>
      </c>
      <c r="N233" s="6" t="str">
        <f>IFERROR(__xludf.DUMMYFUNCTION("""COMPUTED_VALUE"""),"separation")</f>
        <v>separation</v>
      </c>
      <c r="P233" s="6" t="str">
        <f>IFERROR(__xludf.DUMMYFUNCTION("""COMPUTED_VALUE"""),"working")</f>
        <v>working</v>
      </c>
      <c r="Q233" s="6" t="str">
        <f>IFERROR(__xludf.DUMMYFUNCTION("""COMPUTED_VALUE"""),"remarkable")</f>
        <v>remarkable</v>
      </c>
      <c r="S233" s="6" t="str">
        <f>IFERROR(__xludf.DUMMYFUNCTION("""COMPUTED_VALUE"""),"champion")</f>
        <v>champion</v>
      </c>
    </row>
    <row r="234">
      <c r="A234" s="6" t="str">
        <f>IFERROR(__xludf.DUMMYFUNCTION("""COMPUTED_VALUE"""),"disastrous")</f>
        <v>disastrous</v>
      </c>
      <c r="B234" s="6"/>
      <c r="D234" s="6"/>
      <c r="G234" s="6" t="str">
        <f>IFERROR(__xludf.DUMMYFUNCTION("""COMPUTED_VALUE"""),"moving")</f>
        <v>moving</v>
      </c>
      <c r="H234" s="6" t="str">
        <f>IFERROR(__xludf.DUMMYFUNCTION("""COMPUTED_VALUE"""),"manufactured")</f>
        <v>manufactured</v>
      </c>
      <c r="I234" s="6" t="str">
        <f>IFERROR(__xludf.DUMMYFUNCTION("""COMPUTED_VALUE"""),"copies")</f>
        <v>copies</v>
      </c>
      <c r="J234" s="6" t="str">
        <f>IFERROR(__xludf.DUMMYFUNCTION("""COMPUTED_VALUE"""),"halfway")</f>
        <v>halfway</v>
      </c>
      <c r="L234" s="6" t="str">
        <f>IFERROR(__xludf.DUMMYFUNCTION("""COMPUTED_VALUE"""),"letting")</f>
        <v>letting</v>
      </c>
      <c r="M234" s="6" t="str">
        <f>IFERROR(__xludf.DUMMYFUNCTION("""COMPUTED_VALUE"""),"manner")</f>
        <v>manner</v>
      </c>
      <c r="N234" s="6" t="str">
        <f>IFERROR(__xludf.DUMMYFUNCTION("""COMPUTED_VALUE"""),"moving")</f>
        <v>moving</v>
      </c>
      <c r="P234" s="6" t="str">
        <f>IFERROR(__xludf.DUMMYFUNCTION("""COMPUTED_VALUE"""),"ride")</f>
        <v>ride</v>
      </c>
      <c r="Q234" s="6" t="str">
        <f>IFERROR(__xludf.DUMMYFUNCTION("""COMPUTED_VALUE"""),"romance")</f>
        <v>romance</v>
      </c>
      <c r="S234" s="6" t="str">
        <f>IFERROR(__xludf.DUMMYFUNCTION("""COMPUTED_VALUE"""),"adaptation")</f>
        <v>adaptation</v>
      </c>
    </row>
    <row r="235">
      <c r="A235" s="6" t="str">
        <f>IFERROR(__xludf.DUMMYFUNCTION("""COMPUTED_VALUE"""),"attracting")</f>
        <v>attracting</v>
      </c>
      <c r="B235" s="6"/>
      <c r="D235" s="6"/>
      <c r="G235" s="6" t="str">
        <f>IFERROR(__xludf.DUMMYFUNCTION("""COMPUTED_VALUE"""),"intelligent")</f>
        <v>intelligent</v>
      </c>
      <c r="H235" s="6" t="str">
        <f>IFERROR(__xludf.DUMMYFUNCTION("""COMPUTED_VALUE"""),"credibility")</f>
        <v>credibility</v>
      </c>
      <c r="I235" s="6" t="str">
        <f>IFERROR(__xludf.DUMMYFUNCTION("""COMPUTED_VALUE"""),"interviews")</f>
        <v>interviews</v>
      </c>
      <c r="J235" s="6" t="str">
        <f>IFERROR(__xludf.DUMMYFUNCTION("""COMPUTED_VALUE"""),"grips")</f>
        <v>grips</v>
      </c>
      <c r="L235" s="6" t="str">
        <f>IFERROR(__xludf.DUMMYFUNCTION("""COMPUTED_VALUE"""),"reasons")</f>
        <v>reasons</v>
      </c>
      <c r="M235" s="6" t="str">
        <f>IFERROR(__xludf.DUMMYFUNCTION("""COMPUTED_VALUE"""),"although")</f>
        <v>although</v>
      </c>
      <c r="N235" s="6" t="str">
        <f>IFERROR(__xludf.DUMMYFUNCTION("""COMPUTED_VALUE"""),"reading")</f>
        <v>reading</v>
      </c>
      <c r="P235" s="6" t="str">
        <f>IFERROR(__xludf.DUMMYFUNCTION("""COMPUTED_VALUE"""),"dark")</f>
        <v>dark</v>
      </c>
      <c r="Q235" s="6" t="str">
        <f>IFERROR(__xludf.DUMMYFUNCTION("""COMPUTED_VALUE"""),"pleasant")</f>
        <v>pleasant</v>
      </c>
      <c r="S235" s="6" t="str">
        <f>IFERROR(__xludf.DUMMYFUNCTION("""COMPUTED_VALUE"""),"works")</f>
        <v>works</v>
      </c>
    </row>
    <row r="236">
      <c r="A236" s="6" t="str">
        <f>IFERROR(__xludf.DUMMYFUNCTION("""COMPUTED_VALUE"""),"effectiveness")</f>
        <v>effectiveness</v>
      </c>
      <c r="B236" s="6"/>
      <c r="D236" s="6"/>
      <c r="G236" s="6" t="str">
        <f>IFERROR(__xludf.DUMMYFUNCTION("""COMPUTED_VALUE"""),"accomplish")</f>
        <v>accomplish</v>
      </c>
      <c r="H236" s="6" t="str">
        <f>IFERROR(__xludf.DUMMYFUNCTION("""COMPUTED_VALUE"""),"actresses")</f>
        <v>actresses</v>
      </c>
      <c r="I236" s="6" t="str">
        <f>IFERROR(__xludf.DUMMYFUNCTION("""COMPUTED_VALUE"""),"failing")</f>
        <v>failing</v>
      </c>
      <c r="J236" s="6" t="str">
        <f>IFERROR(__xludf.DUMMYFUNCTION("""COMPUTED_VALUE"""),"fascinating")</f>
        <v>fascinating</v>
      </c>
      <c r="L236" s="6" t="str">
        <f>IFERROR(__xludf.DUMMYFUNCTION("""COMPUTED_VALUE"""),"vietnam")</f>
        <v>vietnam</v>
      </c>
      <c r="M236" s="6" t="str">
        <f>IFERROR(__xludf.DUMMYFUNCTION("""COMPUTED_VALUE"""),"clinic")</f>
        <v>clinic</v>
      </c>
      <c r="N236" s="6" t="str">
        <f>IFERROR(__xludf.DUMMYFUNCTION("""COMPUTED_VALUE"""),"known")</f>
        <v>known</v>
      </c>
      <c r="P236" s="6" t="str">
        <f>IFERROR(__xludf.DUMMYFUNCTION("""COMPUTED_VALUE"""),"add")</f>
        <v>add</v>
      </c>
      <c r="Q236" s="6" t="str">
        <f>IFERROR(__xludf.DUMMYFUNCTION("""COMPUTED_VALUE"""),"slightest")</f>
        <v>slightest</v>
      </c>
      <c r="S236" s="6" t="str">
        <f>IFERROR(__xludf.DUMMYFUNCTION("""COMPUTED_VALUE"""),"sea")</f>
        <v>sea</v>
      </c>
    </row>
    <row r="237">
      <c r="A237" s="6" t="str">
        <f>IFERROR(__xludf.DUMMYFUNCTION("""COMPUTED_VALUE"""),"ineffective")</f>
        <v>ineffective</v>
      </c>
      <c r="B237" s="6"/>
      <c r="D237" s="6"/>
      <c r="G237" s="6" t="str">
        <f>IFERROR(__xludf.DUMMYFUNCTION("""COMPUTED_VALUE"""),"poet")</f>
        <v>poet</v>
      </c>
      <c r="H237" s="6" t="str">
        <f>IFERROR(__xludf.DUMMYFUNCTION("""COMPUTED_VALUE"""),"nicely")</f>
        <v>nicely</v>
      </c>
      <c r="I237" s="6" t="str">
        <f>IFERROR(__xludf.DUMMYFUNCTION("""COMPUTED_VALUE"""),"soap")</f>
        <v>soap</v>
      </c>
      <c r="J237" s="6" t="str">
        <f>IFERROR(__xludf.DUMMYFUNCTION("""COMPUTED_VALUE"""),"jagged")</f>
        <v>jagged</v>
      </c>
      <c r="L237" s="6" t="str">
        <f>IFERROR(__xludf.DUMMYFUNCTION("""COMPUTED_VALUE"""),"extra")</f>
        <v>extra</v>
      </c>
      <c r="M237" s="6" t="str">
        <f>IFERROR(__xludf.DUMMYFUNCTION("""COMPUTED_VALUE"""),"previously")</f>
        <v>previously</v>
      </c>
      <c r="N237" s="6" t="str">
        <f>IFERROR(__xludf.DUMMYFUNCTION("""COMPUTED_VALUE"""),"original")</f>
        <v>original</v>
      </c>
      <c r="P237" s="6" t="str">
        <f>IFERROR(__xludf.DUMMYFUNCTION("""COMPUTED_VALUE"""),"yes")</f>
        <v>yes</v>
      </c>
      <c r="Q237" s="6" t="str">
        <f>IFERROR(__xludf.DUMMYFUNCTION("""COMPUTED_VALUE"""),"dash")</f>
        <v>dash</v>
      </c>
      <c r="S237" s="6" t="str">
        <f>IFERROR(__xludf.DUMMYFUNCTION("""COMPUTED_VALUE"""),"keeping")</f>
        <v>keeping</v>
      </c>
    </row>
    <row r="238">
      <c r="A238" s="6" t="str">
        <f>IFERROR(__xludf.DUMMYFUNCTION("""COMPUTED_VALUE"""),"error")</f>
        <v>error</v>
      </c>
      <c r="B238" s="6"/>
      <c r="D238" s="6"/>
      <c r="G238" s="6" t="str">
        <f>IFERROR(__xludf.DUMMYFUNCTION("""COMPUTED_VALUE"""),"looking")</f>
        <v>looking</v>
      </c>
      <c r="H238" s="6" t="str">
        <f>IFERROR(__xludf.DUMMYFUNCTION("""COMPUTED_VALUE"""),"quentin")</f>
        <v>quentin</v>
      </c>
      <c r="I238" s="6" t="str">
        <f>IFERROR(__xludf.DUMMYFUNCTION("""COMPUTED_VALUE"""),"species")</f>
        <v>species</v>
      </c>
      <c r="J238" s="6" t="str">
        <f>IFERROR(__xludf.DUMMYFUNCTION("""COMPUTED_VALUE"""),"arts")</f>
        <v>arts</v>
      </c>
      <c r="L238" s="6" t="str">
        <f>IFERROR(__xludf.DUMMYFUNCTION("""COMPUTED_VALUE"""),"thick")</f>
        <v>thick</v>
      </c>
      <c r="M238" s="6" t="str">
        <f>IFERROR(__xludf.DUMMYFUNCTION("""COMPUTED_VALUE"""),"portuguese")</f>
        <v>portuguese</v>
      </c>
      <c r="N238" s="6" t="str">
        <f>IFERROR(__xludf.DUMMYFUNCTION("""COMPUTED_VALUE"""),"license")</f>
        <v>license</v>
      </c>
      <c r="P238" s="6" t="str">
        <f>IFERROR(__xludf.DUMMYFUNCTION("""COMPUTED_VALUE"""),"entirely")</f>
        <v>entirely</v>
      </c>
      <c r="Q238" s="6" t="str">
        <f>IFERROR(__xludf.DUMMYFUNCTION("""COMPUTED_VALUE"""),"involved")</f>
        <v>involved</v>
      </c>
      <c r="S238" s="6" t="str">
        <f>IFERROR(__xludf.DUMMYFUNCTION("""COMPUTED_VALUE"""),"tight")</f>
        <v>tight</v>
      </c>
    </row>
    <row r="239">
      <c r="A239" s="6" t="str">
        <f>IFERROR(__xludf.DUMMYFUNCTION("""COMPUTED_VALUE"""),"beaches")</f>
        <v>beaches</v>
      </c>
      <c r="B239" s="6"/>
      <c r="D239" s="6"/>
      <c r="G239" s="6" t="str">
        <f>IFERROR(__xludf.DUMMYFUNCTION("""COMPUTED_VALUE"""),"sustain")</f>
        <v>sustain</v>
      </c>
      <c r="H239" s="6" t="str">
        <f>IFERROR(__xludf.DUMMYFUNCTION("""COMPUTED_VALUE"""),"desperately")</f>
        <v>desperately</v>
      </c>
      <c r="I239" s="6" t="str">
        <f>IFERROR(__xludf.DUMMYFUNCTION("""COMPUTED_VALUE"""),"tv")</f>
        <v>tv</v>
      </c>
      <c r="J239" s="6" t="str">
        <f>IFERROR(__xludf.DUMMYFUNCTION("""COMPUTED_VALUE"""),"rhythms")</f>
        <v>rhythms</v>
      </c>
      <c r="L239" s="6" t="str">
        <f>IFERROR(__xludf.DUMMYFUNCTION("""COMPUTED_VALUE"""),"hope")</f>
        <v>hope</v>
      </c>
      <c r="M239" s="6" t="str">
        <f>IFERROR(__xludf.DUMMYFUNCTION("""COMPUTED_VALUE"""),"excited")</f>
        <v>excited</v>
      </c>
      <c r="N239" s="6" t="str">
        <f>IFERROR(__xludf.DUMMYFUNCTION("""COMPUTED_VALUE"""),"passes")</f>
        <v>passes</v>
      </c>
      <c r="P239" s="6" t="str">
        <f>IFERROR(__xludf.DUMMYFUNCTION("""COMPUTED_VALUE"""),"exposure")</f>
        <v>exposure</v>
      </c>
      <c r="Q239" s="6" t="str">
        <f>IFERROR(__xludf.DUMMYFUNCTION("""COMPUTED_VALUE"""),"wildly")</f>
        <v>wildly</v>
      </c>
      <c r="S239" s="6" t="str">
        <f>IFERROR(__xludf.DUMMYFUNCTION("""COMPUTED_VALUE"""),"disney")</f>
        <v>disney</v>
      </c>
    </row>
    <row r="240">
      <c r="A240" s="6" t="str">
        <f>IFERROR(__xludf.DUMMYFUNCTION("""COMPUTED_VALUE"""),"destructive")</f>
        <v>destructive</v>
      </c>
      <c r="B240" s="6"/>
      <c r="D240" s="6"/>
      <c r="G240" s="6" t="str">
        <f>IFERROR(__xludf.DUMMYFUNCTION("""COMPUTED_VALUE"""),"summer")</f>
        <v>summer</v>
      </c>
      <c r="H240" s="6" t="str">
        <f>IFERROR(__xludf.DUMMYFUNCTION("""COMPUTED_VALUE"""),"hugh")</f>
        <v>hugh</v>
      </c>
      <c r="I240" s="6" t="str">
        <f>IFERROR(__xludf.DUMMYFUNCTION("""COMPUTED_VALUE"""),"question")</f>
        <v>question</v>
      </c>
      <c r="J240" s="6" t="str">
        <f>IFERROR(__xludf.DUMMYFUNCTION("""COMPUTED_VALUE"""),"stream")</f>
        <v>stream</v>
      </c>
      <c r="L240" s="6" t="str">
        <f>IFERROR(__xludf.DUMMYFUNCTION("""COMPUTED_VALUE"""),"master")</f>
        <v>master</v>
      </c>
      <c r="M240" s="6" t="str">
        <f>IFERROR(__xludf.DUMMYFUNCTION("""COMPUTED_VALUE"""),"live")</f>
        <v>live</v>
      </c>
      <c r="N240" s="6" t="str">
        <f>IFERROR(__xludf.DUMMYFUNCTION("""COMPUTED_VALUE"""),"wild")</f>
        <v>wild</v>
      </c>
      <c r="P240" s="6" t="str">
        <f>IFERROR(__xludf.DUMMYFUNCTION("""COMPUTED_VALUE"""),"affair")</f>
        <v>affair</v>
      </c>
      <c r="Q240" s="6" t="str">
        <f>IFERROR(__xludf.DUMMYFUNCTION("""COMPUTED_VALUE"""),"uneven")</f>
        <v>uneven</v>
      </c>
      <c r="S240" s="6" t="str">
        <f>IFERROR(__xludf.DUMMYFUNCTION("""COMPUTED_VALUE"""),"archives")</f>
        <v>archives</v>
      </c>
    </row>
    <row r="241">
      <c r="A241" s="6" t="str">
        <f>IFERROR(__xludf.DUMMYFUNCTION("""COMPUTED_VALUE"""),"contributions")</f>
        <v>contributions</v>
      </c>
      <c r="B241" s="6"/>
      <c r="D241" s="6"/>
      <c r="G241" s="6" t="str">
        <f>IFERROR(__xludf.DUMMYFUNCTION("""COMPUTED_VALUE"""),"ambitious")</f>
        <v>ambitious</v>
      </c>
      <c r="H241" s="6" t="str">
        <f>IFERROR(__xludf.DUMMYFUNCTION("""COMPUTED_VALUE"""),"grant")</f>
        <v>grant</v>
      </c>
      <c r="I241" s="6" t="str">
        <f>IFERROR(__xludf.DUMMYFUNCTION("""COMPUTED_VALUE"""),"wounds")</f>
        <v>wounds</v>
      </c>
      <c r="J241" s="6" t="str">
        <f>IFERROR(__xludf.DUMMYFUNCTION("""COMPUTED_VALUE"""),"slick")</f>
        <v>slick</v>
      </c>
      <c r="L241" s="6" t="str">
        <f>IFERROR(__xludf.DUMMYFUNCTION("""COMPUTED_VALUE"""),"star")</f>
        <v>star</v>
      </c>
      <c r="M241" s="6" t="str">
        <f>IFERROR(__xludf.DUMMYFUNCTION("""COMPUTED_VALUE"""),"born")</f>
        <v>born</v>
      </c>
      <c r="N241" s="6" t="str">
        <f>IFERROR(__xludf.DUMMYFUNCTION("""COMPUTED_VALUE"""),"french")</f>
        <v>french</v>
      </c>
      <c r="P241" s="6" t="str">
        <f>IFERROR(__xludf.DUMMYFUNCTION("""COMPUTED_VALUE"""),"brilliant")</f>
        <v>brilliant</v>
      </c>
      <c r="Q241" s="6" t="str">
        <f>IFERROR(__xludf.DUMMYFUNCTION("""COMPUTED_VALUE"""),"music")</f>
        <v>music</v>
      </c>
      <c r="S241" s="6" t="str">
        <f>IFERROR(__xludf.DUMMYFUNCTION("""COMPUTED_VALUE"""),"sequel")</f>
        <v>sequel</v>
      </c>
    </row>
    <row r="242">
      <c r="A242" s="6" t="str">
        <f>IFERROR(__xludf.DUMMYFUNCTION("""COMPUTED_VALUE"""),"flopped")</f>
        <v>flopped</v>
      </c>
      <c r="B242" s="6"/>
      <c r="D242" s="6"/>
      <c r="G242" s="6" t="str">
        <f>IFERROR(__xludf.DUMMYFUNCTION("""COMPUTED_VALUE"""),"subject")</f>
        <v>subject</v>
      </c>
      <c r="H242" s="6" t="str">
        <f>IFERROR(__xludf.DUMMYFUNCTION("""COMPUTED_VALUE"""),"insight")</f>
        <v>insight</v>
      </c>
      <c r="I242" s="6" t="str">
        <f>IFERROR(__xludf.DUMMYFUNCTION("""COMPUTED_VALUE"""),"failure")</f>
        <v>failure</v>
      </c>
      <c r="J242" s="6" t="str">
        <f>IFERROR(__xludf.DUMMYFUNCTION("""COMPUTED_VALUE"""),"actresses")</f>
        <v>actresses</v>
      </c>
      <c r="L242" s="6" t="str">
        <f>IFERROR(__xludf.DUMMYFUNCTION("""COMPUTED_VALUE"""),"myself")</f>
        <v>myself</v>
      </c>
      <c r="M242" s="6" t="str">
        <f>IFERROR(__xludf.DUMMYFUNCTION("""COMPUTED_VALUE"""),"heard")</f>
        <v>heard</v>
      </c>
      <c r="N242" s="6" t="str">
        <f>IFERROR(__xludf.DUMMYFUNCTION("""COMPUTED_VALUE"""),"imagine")</f>
        <v>imagine</v>
      </c>
      <c r="P242" s="6" t="str">
        <f>IFERROR(__xludf.DUMMYFUNCTION("""COMPUTED_VALUE"""),"tone")</f>
        <v>tone</v>
      </c>
      <c r="Q242" s="6" t="str">
        <f>IFERROR(__xludf.DUMMYFUNCTION("""COMPUTED_VALUE"""),"color")</f>
        <v>color</v>
      </c>
      <c r="S242" s="6" t="str">
        <f>IFERROR(__xludf.DUMMYFUNCTION("""COMPUTED_VALUE"""),"final")</f>
        <v>final</v>
      </c>
    </row>
    <row r="243">
      <c r="A243" s="6" t="str">
        <f>IFERROR(__xludf.DUMMYFUNCTION("""COMPUTED_VALUE"""),"weighs")</f>
        <v>weighs</v>
      </c>
      <c r="B243" s="6"/>
      <c r="D243" s="6"/>
      <c r="G243" s="6" t="str">
        <f>IFERROR(__xludf.DUMMYFUNCTION("""COMPUTED_VALUE"""),"overcome")</f>
        <v>overcome</v>
      </c>
      <c r="H243" s="6" t="str">
        <f>IFERROR(__xludf.DUMMYFUNCTION("""COMPUTED_VALUE"""),"brown")</f>
        <v>brown</v>
      </c>
      <c r="I243" s="6" t="str">
        <f>IFERROR(__xludf.DUMMYFUNCTION("""COMPUTED_VALUE"""),"suffering")</f>
        <v>suffering</v>
      </c>
      <c r="J243" s="6" t="str">
        <f>IFERROR(__xludf.DUMMYFUNCTION("""COMPUTED_VALUE"""),"nicely")</f>
        <v>nicely</v>
      </c>
      <c r="L243" s="6" t="str">
        <f>IFERROR(__xludf.DUMMYFUNCTION("""COMPUTED_VALUE"""),"prowess")</f>
        <v>prowess</v>
      </c>
      <c r="M243" s="6" t="str">
        <f>IFERROR(__xludf.DUMMYFUNCTION("""COMPUTED_VALUE"""),"living")</f>
        <v>living</v>
      </c>
      <c r="N243" s="6" t="str">
        <f>IFERROR(__xludf.DUMMYFUNCTION("""COMPUTED_VALUE"""),"merits")</f>
        <v>merits</v>
      </c>
      <c r="P243" s="6" t="str">
        <f>IFERROR(__xludf.DUMMYFUNCTION("""COMPUTED_VALUE"""),"positive")</f>
        <v>positive</v>
      </c>
      <c r="Q243" s="6" t="str">
        <f>IFERROR(__xludf.DUMMYFUNCTION("""COMPUTED_VALUE"""),"depth")</f>
        <v>depth</v>
      </c>
      <c r="S243" s="6" t="str">
        <f>IFERROR(__xludf.DUMMYFUNCTION("""COMPUTED_VALUE"""),"despite")</f>
        <v>despite</v>
      </c>
    </row>
    <row r="244">
      <c r="A244" s="6" t="str">
        <f>IFERROR(__xludf.DUMMYFUNCTION("""COMPUTED_VALUE"""),"shaking")</f>
        <v>shaking</v>
      </c>
      <c r="B244" s="6"/>
      <c r="D244" s="6"/>
      <c r="G244" s="6" t="str">
        <f>IFERROR(__xludf.DUMMYFUNCTION("""COMPUTED_VALUE"""),"carmen")</f>
        <v>carmen</v>
      </c>
      <c r="H244" s="6" t="str">
        <f>IFERROR(__xludf.DUMMYFUNCTION("""COMPUTED_VALUE"""),"celebration")</f>
        <v>celebration</v>
      </c>
      <c r="I244" s="6" t="str">
        <f>IFERROR(__xludf.DUMMYFUNCTION("""COMPUTED_VALUE"""),"powerful")</f>
        <v>powerful</v>
      </c>
      <c r="J244" s="6" t="str">
        <f>IFERROR(__xludf.DUMMYFUNCTION("""COMPUTED_VALUE"""),"quentin")</f>
        <v>quentin</v>
      </c>
      <c r="L244" s="6" t="str">
        <f>IFERROR(__xludf.DUMMYFUNCTION("""COMPUTED_VALUE"""),"intense")</f>
        <v>intense</v>
      </c>
      <c r="M244" s="6" t="str">
        <f>IFERROR(__xludf.DUMMYFUNCTION("""COMPUTED_VALUE"""),"special")</f>
        <v>special</v>
      </c>
      <c r="N244" s="6" t="str">
        <f>IFERROR(__xludf.DUMMYFUNCTION("""COMPUTED_VALUE"""),"slice")</f>
        <v>slice</v>
      </c>
      <c r="P244" s="6" t="str">
        <f>IFERROR(__xludf.DUMMYFUNCTION("""COMPUTED_VALUE"""),"seems")</f>
        <v>seems</v>
      </c>
      <c r="Q244" s="6" t="str">
        <f>IFERROR(__xludf.DUMMYFUNCTION("""COMPUTED_VALUE"""),"over")</f>
        <v>over</v>
      </c>
      <c r="S244" s="6" t="str">
        <f>IFERROR(__xludf.DUMMYFUNCTION("""COMPUTED_VALUE"""),"fights")</f>
        <v>fights</v>
      </c>
    </row>
    <row r="245">
      <c r="B245" s="6"/>
      <c r="D245" s="6"/>
      <c r="G245" s="6" t="str">
        <f>IFERROR(__xludf.DUMMYFUNCTION("""COMPUTED_VALUE"""),"fate")</f>
        <v>fate</v>
      </c>
      <c r="H245" s="6" t="str">
        <f>IFERROR(__xludf.DUMMYFUNCTION("""COMPUTED_VALUE"""),"metaphor")</f>
        <v>metaphor</v>
      </c>
      <c r="I245" s="6" t="str">
        <f>IFERROR(__xludf.DUMMYFUNCTION("""COMPUTED_VALUE"""),"making")</f>
        <v>making</v>
      </c>
      <c r="J245" s="6" t="str">
        <f>IFERROR(__xludf.DUMMYFUNCTION("""COMPUTED_VALUE"""),"hugh")</f>
        <v>hugh</v>
      </c>
      <c r="L245" s="6" t="str">
        <f>IFERROR(__xludf.DUMMYFUNCTION("""COMPUTED_VALUE"""),"product")</f>
        <v>product</v>
      </c>
      <c r="M245" s="6" t="str">
        <f>IFERROR(__xludf.DUMMYFUNCTION("""COMPUTED_VALUE"""),"previous")</f>
        <v>previous</v>
      </c>
      <c r="N245" s="6" t="str">
        <f>IFERROR(__xludf.DUMMYFUNCTION("""COMPUTED_VALUE"""),"attempt")</f>
        <v>attempt</v>
      </c>
      <c r="P245" s="6" t="str">
        <f>IFERROR(__xludf.DUMMYFUNCTION("""COMPUTED_VALUE"""),"acts")</f>
        <v>acts</v>
      </c>
      <c r="Q245" s="6" t="str">
        <f>IFERROR(__xludf.DUMMYFUNCTION("""COMPUTED_VALUE"""),"re")</f>
        <v>re</v>
      </c>
      <c r="S245" s="6" t="str">
        <f>IFERROR(__xludf.DUMMYFUNCTION("""COMPUTED_VALUE"""),"minutes")</f>
        <v>minutes</v>
      </c>
    </row>
    <row r="246">
      <c r="B246" s="6"/>
      <c r="D246" s="6"/>
      <c r="G246" s="6" t="str">
        <f>IFERROR(__xludf.DUMMYFUNCTION("""COMPUTED_VALUE"""),"ode")</f>
        <v>ode</v>
      </c>
      <c r="H246" s="6" t="str">
        <f>IFERROR(__xludf.DUMMYFUNCTION("""COMPUTED_VALUE"""),"wanting")</f>
        <v>wanting</v>
      </c>
      <c r="I246" s="6" t="str">
        <f>IFERROR(__xludf.DUMMYFUNCTION("""COMPUTED_VALUE"""),"needs")</f>
        <v>needs</v>
      </c>
      <c r="J246" s="6" t="str">
        <f>IFERROR(__xludf.DUMMYFUNCTION("""COMPUTED_VALUE"""),"grant")</f>
        <v>grant</v>
      </c>
      <c r="L246" s="6" t="str">
        <f>IFERROR(__xludf.DUMMYFUNCTION("""COMPUTED_VALUE"""),"acclaimed")</f>
        <v>acclaimed</v>
      </c>
      <c r="M246" s="6" t="str">
        <f>IFERROR(__xludf.DUMMYFUNCTION("""COMPUTED_VALUE"""),"search")</f>
        <v>search</v>
      </c>
      <c r="N246" s="6" t="str">
        <f>IFERROR(__xludf.DUMMYFUNCTION("""COMPUTED_VALUE"""),"holds")</f>
        <v>holds</v>
      </c>
      <c r="P246" s="6" t="str">
        <f>IFERROR(__xludf.DUMMYFUNCTION("""COMPUTED_VALUE"""),"kid")</f>
        <v>kid</v>
      </c>
      <c r="Q246" s="6" t="str">
        <f>IFERROR(__xludf.DUMMYFUNCTION("""COMPUTED_VALUE"""),"preliminary")</f>
        <v>preliminary</v>
      </c>
      <c r="S246" s="6" t="str">
        <f>IFERROR(__xludf.DUMMYFUNCTION("""COMPUTED_VALUE"""),"runs")</f>
        <v>runs</v>
      </c>
    </row>
    <row r="247">
      <c r="B247" s="6"/>
      <c r="D247" s="6"/>
      <c r="G247" s="6" t="str">
        <f>IFERROR(__xludf.DUMMYFUNCTION("""COMPUTED_VALUE"""),"muttering")</f>
        <v>muttering</v>
      </c>
      <c r="H247" s="6" t="str">
        <f>IFERROR(__xludf.DUMMYFUNCTION("""COMPUTED_VALUE"""),"retains")</f>
        <v>retains</v>
      </c>
      <c r="I247" s="6" t="str">
        <f>IFERROR(__xludf.DUMMYFUNCTION("""COMPUTED_VALUE"""),"passion")</f>
        <v>passion</v>
      </c>
      <c r="J247" s="6" t="str">
        <f>IFERROR(__xludf.DUMMYFUNCTION("""COMPUTED_VALUE"""),"insight")</f>
        <v>insight</v>
      </c>
      <c r="L247" s="6" t="str">
        <f>IFERROR(__xludf.DUMMYFUNCTION("""COMPUTED_VALUE"""),"eyes")</f>
        <v>eyes</v>
      </c>
      <c r="M247" s="6" t="str">
        <f>IFERROR(__xludf.DUMMYFUNCTION("""COMPUTED_VALUE"""),"certainly")</f>
        <v>certainly</v>
      </c>
      <c r="N247" s="6" t="str">
        <f>IFERROR(__xludf.DUMMYFUNCTION("""COMPUTED_VALUE"""),"please")</f>
        <v>please</v>
      </c>
      <c r="P247" s="6" t="str">
        <f>IFERROR(__xludf.DUMMYFUNCTION("""COMPUTED_VALUE"""),"may")</f>
        <v>may</v>
      </c>
      <c r="Q247" s="6" t="str">
        <f>IFERROR(__xludf.DUMMYFUNCTION("""COMPUTED_VALUE"""),"narrative")</f>
        <v>narrative</v>
      </c>
      <c r="S247" s="6">
        <f>IFERROR(__xludf.DUMMYFUNCTION("""COMPUTED_VALUE"""),84.0)</f>
        <v>84</v>
      </c>
    </row>
    <row r="248">
      <c r="B248" s="6"/>
      <c r="D248" s="6"/>
      <c r="G248" s="6" t="str">
        <f>IFERROR(__xludf.DUMMYFUNCTION("""COMPUTED_VALUE"""),"intact")</f>
        <v>intact</v>
      </c>
      <c r="H248" s="6" t="str">
        <f>IFERROR(__xludf.DUMMYFUNCTION("""COMPUTED_VALUE"""),"resonance")</f>
        <v>resonance</v>
      </c>
      <c r="I248" s="6" t="str">
        <f>IFERROR(__xludf.DUMMYFUNCTION("""COMPUTED_VALUE"""),"man")</f>
        <v>man</v>
      </c>
      <c r="J248" s="6" t="str">
        <f>IFERROR(__xludf.DUMMYFUNCTION("""COMPUTED_VALUE"""),"hours")</f>
        <v>hours</v>
      </c>
      <c r="L248" s="6" t="str">
        <f>IFERROR(__xludf.DUMMYFUNCTION("""COMPUTED_VALUE"""),"season")</f>
        <v>season</v>
      </c>
      <c r="M248" s="6" t="str">
        <f>IFERROR(__xludf.DUMMYFUNCTION("""COMPUTED_VALUE"""),"roll")</f>
        <v>roll</v>
      </c>
      <c r="N248" s="6" t="str">
        <f>IFERROR(__xludf.DUMMYFUNCTION("""COMPUTED_VALUE"""),"tongue")</f>
        <v>tongue</v>
      </c>
      <c r="P248" s="6" t="str">
        <f>IFERROR(__xludf.DUMMYFUNCTION("""COMPUTED_VALUE"""),"term")</f>
        <v>term</v>
      </c>
      <c r="Q248" s="6" t="str">
        <f>IFERROR(__xludf.DUMMYFUNCTION("""COMPUTED_VALUE"""),"frustrating")</f>
        <v>frustrating</v>
      </c>
      <c r="S248" s="6" t="str">
        <f>IFERROR(__xludf.DUMMYFUNCTION("""COMPUTED_VALUE"""),"mere")</f>
        <v>mere</v>
      </c>
    </row>
    <row r="249">
      <c r="B249" s="6"/>
      <c r="D249" s="6"/>
      <c r="G249" s="6" t="str">
        <f>IFERROR(__xludf.DUMMYFUNCTION("""COMPUTED_VALUE"""),"backward")</f>
        <v>backward</v>
      </c>
      <c r="H249" s="6" t="str">
        <f>IFERROR(__xludf.DUMMYFUNCTION("""COMPUTED_VALUE"""),"viewers")</f>
        <v>viewers</v>
      </c>
      <c r="I249" s="6" t="str">
        <f>IFERROR(__xludf.DUMMYFUNCTION("""COMPUTED_VALUE"""),"torture")</f>
        <v>torture</v>
      </c>
      <c r="J249" s="6" t="str">
        <f>IFERROR(__xludf.DUMMYFUNCTION("""COMPUTED_VALUE"""),"brown")</f>
        <v>brown</v>
      </c>
      <c r="L249" s="6" t="str">
        <f>IFERROR(__xludf.DUMMYFUNCTION("""COMPUTED_VALUE"""),"air")</f>
        <v>air</v>
      </c>
      <c r="M249" s="6" t="str">
        <f>IFERROR(__xludf.DUMMYFUNCTION("""COMPUTED_VALUE"""),"couple")</f>
        <v>couple</v>
      </c>
      <c r="N249" s="6" t="str">
        <f>IFERROR(__xludf.DUMMYFUNCTION("""COMPUTED_VALUE"""),"afraid")</f>
        <v>afraid</v>
      </c>
      <c r="P249" s="6" t="str">
        <f>IFERROR(__xludf.DUMMYFUNCTION("""COMPUTED_VALUE"""),"emotions")</f>
        <v>emotions</v>
      </c>
      <c r="Q249" s="6" t="str">
        <f>IFERROR(__xludf.DUMMYFUNCTION("""COMPUTED_VALUE"""),"trouble")</f>
        <v>trouble</v>
      </c>
      <c r="S249" s="6" t="str">
        <f>IFERROR(__xludf.DUMMYFUNCTION("""COMPUTED_VALUE"""),"romance")</f>
        <v>romance</v>
      </c>
    </row>
    <row r="250">
      <c r="B250" s="6"/>
      <c r="D250" s="6"/>
      <c r="G250" s="6" t="str">
        <f>IFERROR(__xludf.DUMMYFUNCTION("""COMPUTED_VALUE"""),"copies")</f>
        <v>copies</v>
      </c>
      <c r="H250" s="6" t="str">
        <f>IFERROR(__xludf.DUMMYFUNCTION("""COMPUTED_VALUE"""),"format")</f>
        <v>format</v>
      </c>
      <c r="I250" s="6" t="str">
        <f>IFERROR(__xludf.DUMMYFUNCTION("""COMPUTED_VALUE"""),"argentine")</f>
        <v>argentine</v>
      </c>
      <c r="J250" s="6" t="str">
        <f>IFERROR(__xludf.DUMMYFUNCTION("""COMPUTED_VALUE"""),"crime")</f>
        <v>crime</v>
      </c>
      <c r="L250" s="6" t="str">
        <f>IFERROR(__xludf.DUMMYFUNCTION("""COMPUTED_VALUE"""),"award")</f>
        <v>award</v>
      </c>
      <c r="M250" s="6" t="str">
        <f>IFERROR(__xludf.DUMMYFUNCTION("""COMPUTED_VALUE"""),"invited")</f>
        <v>invited</v>
      </c>
      <c r="N250" s="6" t="str">
        <f>IFERROR(__xludf.DUMMYFUNCTION("""COMPUTED_VALUE"""),"across")</f>
        <v>across</v>
      </c>
      <c r="P250" s="6" t="str">
        <f>IFERROR(__xludf.DUMMYFUNCTION("""COMPUTED_VALUE"""),"honest")</f>
        <v>honest</v>
      </c>
      <c r="Q250" s="6" t="str">
        <f>IFERROR(__xludf.DUMMYFUNCTION("""COMPUTED_VALUE"""),"amounts")</f>
        <v>amounts</v>
      </c>
      <c r="S250" s="6" t="str">
        <f>IFERROR(__xludf.DUMMYFUNCTION("""COMPUTED_VALUE"""),"remarkable")</f>
        <v>remarkable</v>
      </c>
    </row>
    <row r="251">
      <c r="B251" s="6"/>
      <c r="D251" s="6"/>
      <c r="G251" s="6" t="str">
        <f>IFERROR(__xludf.DUMMYFUNCTION("""COMPUTED_VALUE"""),"interviews")</f>
        <v>interviews</v>
      </c>
      <c r="H251" s="6" t="str">
        <f>IFERROR(__xludf.DUMMYFUNCTION("""COMPUTED_VALUE"""),"handsome")</f>
        <v>handsome</v>
      </c>
      <c r="I251" s="6" t="str">
        <f>IFERROR(__xludf.DUMMYFUNCTION("""COMPUTED_VALUE"""),"son")</f>
        <v>son</v>
      </c>
      <c r="J251" s="6" t="str">
        <f>IFERROR(__xludf.DUMMYFUNCTION("""COMPUTED_VALUE"""),"includes")</f>
        <v>includes</v>
      </c>
      <c r="L251" s="6" t="str">
        <f>IFERROR(__xludf.DUMMYFUNCTION("""COMPUTED_VALUE"""),"recipe")</f>
        <v>recipe</v>
      </c>
      <c r="M251" s="6" t="str">
        <f>IFERROR(__xludf.DUMMYFUNCTION("""COMPUTED_VALUE"""),"entire")</f>
        <v>entire</v>
      </c>
      <c r="N251" s="6" t="str">
        <f>IFERROR(__xludf.DUMMYFUNCTION("""COMPUTED_VALUE"""),"contribution")</f>
        <v>contribution</v>
      </c>
      <c r="P251" s="6" t="str">
        <f>IFERROR(__xludf.DUMMYFUNCTION("""COMPUTED_VALUE"""),"london")</f>
        <v>london</v>
      </c>
      <c r="Q251" s="6" t="str">
        <f>IFERROR(__xludf.DUMMYFUNCTION("""COMPUTED_VALUE"""),"unpredictable")</f>
        <v>unpredictable</v>
      </c>
      <c r="S251" s="6" t="str">
        <f>IFERROR(__xludf.DUMMYFUNCTION("""COMPUTED_VALUE"""),"pleasant")</f>
        <v>pleasant</v>
      </c>
    </row>
    <row r="252">
      <c r="B252" s="6"/>
      <c r="D252" s="6"/>
      <c r="G252" s="6" t="str">
        <f>IFERROR(__xludf.DUMMYFUNCTION("""COMPUTED_VALUE"""),"astonishing")</f>
        <v>astonishing</v>
      </c>
      <c r="H252" s="6" t="str">
        <f>IFERROR(__xludf.DUMMYFUNCTION("""COMPUTED_VALUE"""),"drama")</f>
        <v>drama</v>
      </c>
      <c r="I252" s="6" t="str">
        <f>IFERROR(__xludf.DUMMYFUNCTION("""COMPUTED_VALUE"""),"white")</f>
        <v>white</v>
      </c>
      <c r="J252" s="6" t="str">
        <f>IFERROR(__xludf.DUMMYFUNCTION("""COMPUTED_VALUE"""),"steven")</f>
        <v>steven</v>
      </c>
      <c r="L252" s="6" t="str">
        <f>IFERROR(__xludf.DUMMYFUNCTION("""COMPUTED_VALUE"""),"funny")</f>
        <v>funny</v>
      </c>
      <c r="M252" s="6" t="str">
        <f>IFERROR(__xludf.DUMMYFUNCTION("""COMPUTED_VALUE"""),"interaction")</f>
        <v>interaction</v>
      </c>
      <c r="N252" s="6" t="str">
        <f>IFERROR(__xludf.DUMMYFUNCTION("""COMPUTED_VALUE"""),"corner")</f>
        <v>corner</v>
      </c>
      <c r="P252" s="6" t="str">
        <f>IFERROR(__xludf.DUMMYFUNCTION("""COMPUTED_VALUE"""),"title")</f>
        <v>title</v>
      </c>
      <c r="Q252" s="6" t="str">
        <f>IFERROR(__xludf.DUMMYFUNCTION("""COMPUTED_VALUE"""),"spectacle")</f>
        <v>spectacle</v>
      </c>
      <c r="S252" s="6" t="str">
        <f>IFERROR(__xludf.DUMMYFUNCTION("""COMPUTED_VALUE"""),"involved")</f>
        <v>involved</v>
      </c>
    </row>
    <row r="253">
      <c r="B253" s="6"/>
      <c r="D253" s="6"/>
      <c r="G253" s="6" t="str">
        <f>IFERROR(__xludf.DUMMYFUNCTION("""COMPUTED_VALUE"""),"thrill")</f>
        <v>thrill</v>
      </c>
      <c r="H253" s="6" t="str">
        <f>IFERROR(__xludf.DUMMYFUNCTION("""COMPUTED_VALUE"""),"either")</f>
        <v>either</v>
      </c>
      <c r="I253" s="6" t="str">
        <f>IFERROR(__xludf.DUMMYFUNCTION("""COMPUTED_VALUE"""),"vulnerable")</f>
        <v>vulnerable</v>
      </c>
      <c r="J253" s="6" t="str">
        <f>IFERROR(__xludf.DUMMYFUNCTION("""COMPUTED_VALUE"""),"celebration")</f>
        <v>celebration</v>
      </c>
      <c r="L253" s="6" t="str">
        <f>IFERROR(__xludf.DUMMYFUNCTION("""COMPUTED_VALUE"""),"deliver")</f>
        <v>deliver</v>
      </c>
      <c r="M253" s="6" t="str">
        <f>IFERROR(__xludf.DUMMYFUNCTION("""COMPUTED_VALUE"""),"starting")</f>
        <v>starting</v>
      </c>
      <c r="N253" s="6" t="str">
        <f>IFERROR(__xludf.DUMMYFUNCTION("""COMPUTED_VALUE"""),"famous")</f>
        <v>famous</v>
      </c>
      <c r="P253" s="6" t="str">
        <f>IFERROR(__xludf.DUMMYFUNCTION("""COMPUTED_VALUE"""),"wildlife")</f>
        <v>wildlife</v>
      </c>
      <c r="Q253" s="6" t="str">
        <f>IFERROR(__xludf.DUMMYFUNCTION("""COMPUTED_VALUE"""),"epic")</f>
        <v>epic</v>
      </c>
      <c r="S253" s="6" t="str">
        <f>IFERROR(__xludf.DUMMYFUNCTION("""COMPUTED_VALUE"""),"shows")</f>
        <v>shows</v>
      </c>
    </row>
    <row r="254">
      <c r="B254" s="6"/>
      <c r="D254" s="6"/>
      <c r="G254" s="6" t="str">
        <f>IFERROR(__xludf.DUMMYFUNCTION("""COMPUTED_VALUE"""),"soap")</f>
        <v>soap</v>
      </c>
      <c r="H254" s="6" t="str">
        <f>IFERROR(__xludf.DUMMYFUNCTION("""COMPUTED_VALUE"""),"haunting")</f>
        <v>haunting</v>
      </c>
      <c r="I254" s="6" t="str">
        <f>IFERROR(__xludf.DUMMYFUNCTION("""COMPUTED_VALUE"""),"comics")</f>
        <v>comics</v>
      </c>
      <c r="J254" s="6" t="str">
        <f>IFERROR(__xludf.DUMMYFUNCTION("""COMPUTED_VALUE"""),"metaphor")</f>
        <v>metaphor</v>
      </c>
      <c r="L254" s="6" t="str">
        <f>IFERROR(__xludf.DUMMYFUNCTION("""COMPUTED_VALUE"""),"stiff")</f>
        <v>stiff</v>
      </c>
      <c r="M254" s="6" t="str">
        <f>IFERROR(__xludf.DUMMYFUNCTION("""COMPUTED_VALUE"""),"basic")</f>
        <v>basic</v>
      </c>
      <c r="N254" s="6" t="str">
        <f>IFERROR(__xludf.DUMMYFUNCTION("""COMPUTED_VALUE"""),"bigger")</f>
        <v>bigger</v>
      </c>
      <c r="P254" s="6" t="str">
        <f>IFERROR(__xludf.DUMMYFUNCTION("""COMPUTED_VALUE"""),"spare")</f>
        <v>spare</v>
      </c>
      <c r="Q254" s="6" t="str">
        <f>IFERROR(__xludf.DUMMYFUNCTION("""COMPUTED_VALUE"""),"ii")</f>
        <v>ii</v>
      </c>
      <c r="S254" s="6" t="str">
        <f>IFERROR(__xludf.DUMMYFUNCTION("""COMPUTED_VALUE"""),"acting")</f>
        <v>acting</v>
      </c>
    </row>
    <row r="255">
      <c r="B255" s="6"/>
      <c r="D255" s="6"/>
      <c r="G255" s="6" t="str">
        <f>IFERROR(__xludf.DUMMYFUNCTION("""COMPUTED_VALUE"""),"tv")</f>
        <v>tv</v>
      </c>
      <c r="H255" s="6" t="str">
        <f>IFERROR(__xludf.DUMMYFUNCTION("""COMPUTED_VALUE"""),"debut")</f>
        <v>debut</v>
      </c>
      <c r="I255" s="6" t="str">
        <f>IFERROR(__xludf.DUMMYFUNCTION("""COMPUTED_VALUE"""),"female")</f>
        <v>female</v>
      </c>
      <c r="J255" s="6" t="str">
        <f>IFERROR(__xludf.DUMMYFUNCTION("""COMPUTED_VALUE"""),"retains")</f>
        <v>retains</v>
      </c>
      <c r="L255" s="6" t="str">
        <f>IFERROR(__xludf.DUMMYFUNCTION("""COMPUTED_VALUE"""),"shoot")</f>
        <v>shoot</v>
      </c>
      <c r="M255" s="6" t="str">
        <f>IFERROR(__xludf.DUMMYFUNCTION("""COMPUTED_VALUE"""),"rate")</f>
        <v>rate</v>
      </c>
      <c r="N255" s="6" t="str">
        <f>IFERROR(__xludf.DUMMYFUNCTION("""COMPUTED_VALUE"""),"trying")</f>
        <v>trying</v>
      </c>
      <c r="P255" s="6" t="str">
        <f>IFERROR(__xludf.DUMMYFUNCTION("""COMPUTED_VALUE"""),"toward")</f>
        <v>toward</v>
      </c>
      <c r="Q255" s="6" t="str">
        <f>IFERROR(__xludf.DUMMYFUNCTION("""COMPUTED_VALUE"""),"hardly")</f>
        <v>hardly</v>
      </c>
      <c r="S255" s="6" t="str">
        <f>IFERROR(__xludf.DUMMYFUNCTION("""COMPUTED_VALUE"""),"license")</f>
        <v>license</v>
      </c>
    </row>
    <row r="256">
      <c r="B256" s="6"/>
      <c r="D256" s="6"/>
      <c r="G256" s="6" t="str">
        <f>IFERROR(__xludf.DUMMYFUNCTION("""COMPUTED_VALUE"""),"wounds")</f>
        <v>wounds</v>
      </c>
      <c r="H256" s="6" t="str">
        <f>IFERROR(__xludf.DUMMYFUNCTION("""COMPUTED_VALUE"""),"fine")</f>
        <v>fine</v>
      </c>
      <c r="I256" s="6" t="str">
        <f>IFERROR(__xludf.DUMMYFUNCTION("""COMPUTED_VALUE"""),"darling")</f>
        <v>darling</v>
      </c>
      <c r="J256" s="6" t="str">
        <f>IFERROR(__xludf.DUMMYFUNCTION("""COMPUTED_VALUE"""),"resonance")</f>
        <v>resonance</v>
      </c>
      <c r="L256" s="6" t="str">
        <f>IFERROR(__xludf.DUMMYFUNCTION("""COMPUTED_VALUE"""),"element")</f>
        <v>element</v>
      </c>
      <c r="M256" s="6" t="str">
        <f>IFERROR(__xludf.DUMMYFUNCTION("""COMPUTED_VALUE"""),"process")</f>
        <v>process</v>
      </c>
      <c r="N256" s="6" t="str">
        <f>IFERROR(__xludf.DUMMYFUNCTION("""COMPUTED_VALUE"""),"turns")</f>
        <v>turns</v>
      </c>
      <c r="P256" s="6" t="str">
        <f>IFERROR(__xludf.DUMMYFUNCTION("""COMPUTED_VALUE"""),"indian")</f>
        <v>indian</v>
      </c>
      <c r="Q256" s="6" t="str">
        <f>IFERROR(__xludf.DUMMYFUNCTION("""COMPUTED_VALUE"""),"conclusions")</f>
        <v>conclusions</v>
      </c>
      <c r="S256" s="6" t="str">
        <f>IFERROR(__xludf.DUMMYFUNCTION("""COMPUTED_VALUE"""),"music")</f>
        <v>music</v>
      </c>
    </row>
    <row r="257">
      <c r="B257" s="6"/>
      <c r="D257" s="6"/>
      <c r="G257" s="6" t="str">
        <f>IFERROR(__xludf.DUMMYFUNCTION("""COMPUTED_VALUE"""),"powerful")</f>
        <v>powerful</v>
      </c>
      <c r="H257" s="6" t="str">
        <f>IFERROR(__xludf.DUMMYFUNCTION("""COMPUTED_VALUE"""),"passages")</f>
        <v>passages</v>
      </c>
      <c r="I257" s="6" t="str">
        <f>IFERROR(__xludf.DUMMYFUNCTION("""COMPUTED_VALUE"""),"violence")</f>
        <v>violence</v>
      </c>
      <c r="J257" s="6" t="str">
        <f>IFERROR(__xludf.DUMMYFUNCTION("""COMPUTED_VALUE"""),"viewers")</f>
        <v>viewers</v>
      </c>
      <c r="L257" s="6" t="str">
        <f>IFERROR(__xludf.DUMMYFUNCTION("""COMPUTED_VALUE"""),"test")</f>
        <v>test</v>
      </c>
      <c r="M257" s="6" t="str">
        <f>IFERROR(__xludf.DUMMYFUNCTION("""COMPUTED_VALUE"""),"searching")</f>
        <v>searching</v>
      </c>
      <c r="N257" s="6" t="str">
        <f>IFERROR(__xludf.DUMMYFUNCTION("""COMPUTED_VALUE"""),"ago")</f>
        <v>ago</v>
      </c>
      <c r="P257" s="6" t="str">
        <f>IFERROR(__xludf.DUMMYFUNCTION("""COMPUTED_VALUE"""),"admission")</f>
        <v>admission</v>
      </c>
      <c r="Q257" s="6" t="str">
        <f>IFERROR(__xludf.DUMMYFUNCTION("""COMPUTED_VALUE"""),"dramas")</f>
        <v>dramas</v>
      </c>
      <c r="S257" s="6" t="str">
        <f>IFERROR(__xludf.DUMMYFUNCTION("""COMPUTED_VALUE"""),"want")</f>
        <v>want</v>
      </c>
    </row>
    <row r="258">
      <c r="B258" s="6"/>
      <c r="D258" s="6"/>
      <c r="G258" s="6" t="str">
        <f>IFERROR(__xludf.DUMMYFUNCTION("""COMPUTED_VALUE"""),"making")</f>
        <v>making</v>
      </c>
      <c r="H258" s="6" t="str">
        <f>IFERROR(__xludf.DUMMYFUNCTION("""COMPUTED_VALUE"""),"fore")</f>
        <v>fore</v>
      </c>
      <c r="I258" s="6" t="str">
        <f>IFERROR(__xludf.DUMMYFUNCTION("""COMPUTED_VALUE"""),"use")</f>
        <v>use</v>
      </c>
      <c r="J258" s="6" t="str">
        <f>IFERROR(__xludf.DUMMYFUNCTION("""COMPUTED_VALUE"""),"handsome")</f>
        <v>handsome</v>
      </c>
      <c r="L258" s="6" t="str">
        <f>IFERROR(__xludf.DUMMYFUNCTION("""COMPUTED_VALUE"""),"inspired")</f>
        <v>inspired</v>
      </c>
      <c r="M258" s="6" t="str">
        <f>IFERROR(__xludf.DUMMYFUNCTION("""COMPUTED_VALUE"""),"jacket")</f>
        <v>jacket</v>
      </c>
      <c r="N258" s="6" t="str">
        <f>IFERROR(__xludf.DUMMYFUNCTION("""COMPUTED_VALUE"""),"hell")</f>
        <v>hell</v>
      </c>
      <c r="P258" s="6" t="str">
        <f>IFERROR(__xludf.DUMMYFUNCTION("""COMPUTED_VALUE"""),"shallow")</f>
        <v>shallow</v>
      </c>
      <c r="Q258" s="6" t="str">
        <f>IFERROR(__xludf.DUMMYFUNCTION("""COMPUTED_VALUE"""),"ponder")</f>
        <v>ponder</v>
      </c>
      <c r="S258" s="6">
        <f>IFERROR(__xludf.DUMMYFUNCTION("""COMPUTED_VALUE"""),90.0)</f>
        <v>90</v>
      </c>
    </row>
    <row r="259">
      <c r="B259" s="6"/>
      <c r="D259" s="6"/>
      <c r="G259" s="6" t="str">
        <f>IFERROR(__xludf.DUMMYFUNCTION("""COMPUTED_VALUE"""),"passion")</f>
        <v>passion</v>
      </c>
      <c r="H259" s="6" t="str">
        <f>IFERROR(__xludf.DUMMYFUNCTION("""COMPUTED_VALUE"""),"beings")</f>
        <v>beings</v>
      </c>
      <c r="I259" s="6" t="str">
        <f>IFERROR(__xludf.DUMMYFUNCTION("""COMPUTED_VALUE"""),"lesser")</f>
        <v>lesser</v>
      </c>
      <c r="J259" s="6" t="str">
        <f>IFERROR(__xludf.DUMMYFUNCTION("""COMPUTED_VALUE"""),"either")</f>
        <v>either</v>
      </c>
      <c r="L259" s="6" t="str">
        <f>IFERROR(__xludf.DUMMYFUNCTION("""COMPUTED_VALUE"""),"color")</f>
        <v>color</v>
      </c>
      <c r="M259" s="6" t="str">
        <f>IFERROR(__xludf.DUMMYFUNCTION("""COMPUTED_VALUE"""),"ii")</f>
        <v>ii</v>
      </c>
      <c r="N259" s="6" t="str">
        <f>IFERROR(__xludf.DUMMYFUNCTION("""COMPUTED_VALUE"""),"key")</f>
        <v>key</v>
      </c>
      <c r="P259" s="6" t="str">
        <f>IFERROR(__xludf.DUMMYFUNCTION("""COMPUTED_VALUE"""),"targeted")</f>
        <v>targeted</v>
      </c>
      <c r="Q259" s="6" t="str">
        <f>IFERROR(__xludf.DUMMYFUNCTION("""COMPUTED_VALUE"""),"forces")</f>
        <v>forces</v>
      </c>
      <c r="S259" s="6" t="str">
        <f>IFERROR(__xludf.DUMMYFUNCTION("""COMPUTED_VALUE"""),"videos")</f>
        <v>videos</v>
      </c>
    </row>
    <row r="260">
      <c r="B260" s="6"/>
      <c r="D260" s="6"/>
      <c r="G260" s="6" t="str">
        <f>IFERROR(__xludf.DUMMYFUNCTION("""COMPUTED_VALUE"""),"rendering")</f>
        <v>rendering</v>
      </c>
      <c r="H260" s="6" t="str">
        <f>IFERROR(__xludf.DUMMYFUNCTION("""COMPUTED_VALUE"""),"gifted")</f>
        <v>gifted</v>
      </c>
      <c r="I260" s="6" t="str">
        <f>IFERROR(__xludf.DUMMYFUNCTION("""COMPUTED_VALUE"""),"continues")</f>
        <v>continues</v>
      </c>
      <c r="J260" s="6" t="str">
        <f>IFERROR(__xludf.DUMMYFUNCTION("""COMPUTED_VALUE"""),"haunting")</f>
        <v>haunting</v>
      </c>
      <c r="L260" s="6" t="str">
        <f>IFERROR(__xludf.DUMMYFUNCTION("""COMPUTED_VALUE"""),"monday")</f>
        <v>monday</v>
      </c>
      <c r="M260" s="6">
        <f>IFERROR(__xludf.DUMMYFUNCTION("""COMPUTED_VALUE"""),2001.0)</f>
        <v>2001</v>
      </c>
      <c r="N260" s="6" t="str">
        <f>IFERROR(__xludf.DUMMYFUNCTION("""COMPUTED_VALUE"""),"several")</f>
        <v>several</v>
      </c>
      <c r="P260" s="6" t="str">
        <f>IFERROR(__xludf.DUMMYFUNCTION("""COMPUTED_VALUE"""),"footage")</f>
        <v>footage</v>
      </c>
      <c r="Q260" s="6" t="str">
        <f>IFERROR(__xludf.DUMMYFUNCTION("""COMPUTED_VALUE"""),"considerable")</f>
        <v>considerable</v>
      </c>
      <c r="S260" s="6" t="str">
        <f>IFERROR(__xludf.DUMMYFUNCTION("""COMPUTED_VALUE"""),"color")</f>
        <v>color</v>
      </c>
    </row>
    <row r="261">
      <c r="B261" s="6"/>
      <c r="D261" s="6"/>
      <c r="G261" s="6" t="str">
        <f>IFERROR(__xludf.DUMMYFUNCTION("""COMPUTED_VALUE"""),"nonstop")</f>
        <v>nonstop</v>
      </c>
      <c r="H261" s="6" t="str">
        <f>IFERROR(__xludf.DUMMYFUNCTION("""COMPUTED_VALUE"""),"undead")</f>
        <v>undead</v>
      </c>
      <c r="I261" s="6" t="str">
        <f>IFERROR(__xludf.DUMMYFUNCTION("""COMPUTED_VALUE"""),"force")</f>
        <v>force</v>
      </c>
      <c r="J261" s="6" t="str">
        <f>IFERROR(__xludf.DUMMYFUNCTION("""COMPUTED_VALUE"""),"debut")</f>
        <v>debut</v>
      </c>
      <c r="L261" s="6" t="str">
        <f>IFERROR(__xludf.DUMMYFUNCTION("""COMPUTED_VALUE"""),"elbows")</f>
        <v>elbows</v>
      </c>
      <c r="M261" s="6" t="str">
        <f>IFERROR(__xludf.DUMMYFUNCTION("""COMPUTED_VALUE"""),"gear")</f>
        <v>gear</v>
      </c>
      <c r="N261" s="6" t="str">
        <f>IFERROR(__xludf.DUMMYFUNCTION("""COMPUTED_VALUE"""),"fill")</f>
        <v>fill</v>
      </c>
      <c r="P261" s="6" t="str">
        <f>IFERROR(__xludf.DUMMYFUNCTION("""COMPUTED_VALUE"""),"second")</f>
        <v>second</v>
      </c>
      <c r="Q261" s="6" t="str">
        <f>IFERROR(__xludf.DUMMYFUNCTION("""COMPUTED_VALUE"""),"scattered")</f>
        <v>scattered</v>
      </c>
      <c r="S261" s="6" t="str">
        <f>IFERROR(__xludf.DUMMYFUNCTION("""COMPUTED_VALUE"""),"depth")</f>
        <v>depth</v>
      </c>
    </row>
    <row r="262">
      <c r="B262" s="6"/>
      <c r="D262" s="6"/>
      <c r="G262" s="6" t="str">
        <f>IFERROR(__xludf.DUMMYFUNCTION("""COMPUTED_VALUE"""),"argentine")</f>
        <v>argentine</v>
      </c>
      <c r="H262" s="6" t="str">
        <f>IFERROR(__xludf.DUMMYFUNCTION("""COMPUTED_VALUE"""),"momentum")</f>
        <v>momentum</v>
      </c>
      <c r="I262" s="6" t="str">
        <f>IFERROR(__xludf.DUMMYFUNCTION("""COMPUTED_VALUE"""),"fury")</f>
        <v>fury</v>
      </c>
      <c r="J262" s="6" t="str">
        <f>IFERROR(__xludf.DUMMYFUNCTION("""COMPUTED_VALUE"""),"behind")</f>
        <v>behind</v>
      </c>
      <c r="L262" s="6" t="str">
        <f>IFERROR(__xludf.DUMMYFUNCTION("""COMPUTED_VALUE"""),"catches")</f>
        <v>catches</v>
      </c>
      <c r="M262" s="6" t="str">
        <f>IFERROR(__xludf.DUMMYFUNCTION("""COMPUTED_VALUE"""),"towards")</f>
        <v>towards</v>
      </c>
      <c r="N262" s="6" t="str">
        <f>IFERROR(__xludf.DUMMYFUNCTION("""COMPUTED_VALUE"""),"mountain")</f>
        <v>mountain</v>
      </c>
      <c r="P262" s="6" t="str">
        <f>IFERROR(__xludf.DUMMYFUNCTION("""COMPUTED_VALUE"""),"nomination")</f>
        <v>nomination</v>
      </c>
      <c r="Q262" s="6" t="str">
        <f>IFERROR(__xludf.DUMMYFUNCTION("""COMPUTED_VALUE"""),"fashion")</f>
        <v>fashion</v>
      </c>
      <c r="S262" s="6" t="str">
        <f>IFERROR(__xludf.DUMMYFUNCTION("""COMPUTED_VALUE"""),"able")</f>
        <v>able</v>
      </c>
    </row>
    <row r="263">
      <c r="B263" s="6"/>
      <c r="D263" s="6"/>
      <c r="G263" s="6" t="str">
        <f>IFERROR(__xludf.DUMMYFUNCTION("""COMPUTED_VALUE"""),"celebrates")</f>
        <v>celebrates</v>
      </c>
      <c r="H263" s="6" t="str">
        <f>IFERROR(__xludf.DUMMYFUNCTION("""COMPUTED_VALUE"""),"characteristic")</f>
        <v>characteristic</v>
      </c>
      <c r="I263" s="6" t="str">
        <f>IFERROR(__xludf.DUMMYFUNCTION("""COMPUTED_VALUE"""),"wooden")</f>
        <v>wooden</v>
      </c>
      <c r="J263" s="6" t="str">
        <f>IFERROR(__xludf.DUMMYFUNCTION("""COMPUTED_VALUE"""),"fine")</f>
        <v>fine</v>
      </c>
      <c r="L263" s="6" t="str">
        <f>IFERROR(__xludf.DUMMYFUNCTION("""COMPUTED_VALUE"""),"tight")</f>
        <v>tight</v>
      </c>
      <c r="M263" s="6" t="str">
        <f>IFERROR(__xludf.DUMMYFUNCTION("""COMPUTED_VALUE"""),"lean")</f>
        <v>lean</v>
      </c>
      <c r="N263" s="6" t="str">
        <f>IFERROR(__xludf.DUMMYFUNCTION("""COMPUTED_VALUE"""),"touch")</f>
        <v>touch</v>
      </c>
      <c r="P263" s="6" t="str">
        <f>IFERROR(__xludf.DUMMYFUNCTION("""COMPUTED_VALUE"""),"oscar")</f>
        <v>oscar</v>
      </c>
      <c r="Q263" s="6" t="str">
        <f>IFERROR(__xludf.DUMMYFUNCTION("""COMPUTED_VALUE"""),"standards")</f>
        <v>standards</v>
      </c>
      <c r="S263" s="6" t="str">
        <f>IFERROR(__xludf.DUMMYFUNCTION("""COMPUTED_VALUE"""),"hit")</f>
        <v>hit</v>
      </c>
    </row>
    <row r="264">
      <c r="B264" s="6"/>
      <c r="D264" s="6"/>
      <c r="G264" s="6" t="str">
        <f>IFERROR(__xludf.DUMMYFUNCTION("""COMPUTED_VALUE"""),"white")</f>
        <v>white</v>
      </c>
      <c r="H264" s="6" t="str">
        <f>IFERROR(__xludf.DUMMYFUNCTION("""COMPUTED_VALUE"""),"juliette")</f>
        <v>juliette</v>
      </c>
      <c r="I264" s="6" t="str">
        <f>IFERROR(__xludf.DUMMYFUNCTION("""COMPUTED_VALUE"""),"manner")</f>
        <v>manner</v>
      </c>
      <c r="J264" s="6" t="str">
        <f>IFERROR(__xludf.DUMMYFUNCTION("""COMPUTED_VALUE"""),"passages")</f>
        <v>passages</v>
      </c>
      <c r="L264" s="6" t="str">
        <f>IFERROR(__xludf.DUMMYFUNCTION("""COMPUTED_VALUE"""),"trademark")</f>
        <v>trademark</v>
      </c>
      <c r="M264" s="6" t="str">
        <f>IFERROR(__xludf.DUMMYFUNCTION("""COMPUTED_VALUE"""),"blue")</f>
        <v>blue</v>
      </c>
      <c r="N264" s="6" t="str">
        <f>IFERROR(__xludf.DUMMYFUNCTION("""COMPUTED_VALUE"""),"goes")</f>
        <v>goes</v>
      </c>
      <c r="P264" s="6" t="str">
        <f>IFERROR(__xludf.DUMMYFUNCTION("""COMPUTED_VALUE"""),"offering")</f>
        <v>offering</v>
      </c>
      <c r="Q264" s="6" t="str">
        <f>IFERROR(__xludf.DUMMYFUNCTION("""COMPUTED_VALUE"""),"backseat")</f>
        <v>backseat</v>
      </c>
      <c r="S264" s="6" t="str">
        <f>IFERROR(__xludf.DUMMYFUNCTION("""COMPUTED_VALUE"""),"day")</f>
        <v>day</v>
      </c>
    </row>
    <row r="265">
      <c r="B265" s="6"/>
      <c r="D265" s="6"/>
      <c r="G265" s="6" t="str">
        <f>IFERROR(__xludf.DUMMYFUNCTION("""COMPUTED_VALUE"""),"isolation")</f>
        <v>isolation</v>
      </c>
      <c r="H265" s="6" t="str">
        <f>IFERROR(__xludf.DUMMYFUNCTION("""COMPUTED_VALUE"""),"affecting")</f>
        <v>affecting</v>
      </c>
      <c r="I265" s="6" t="str">
        <f>IFERROR(__xludf.DUMMYFUNCTION("""COMPUTED_VALUE"""),"korean")</f>
        <v>korean</v>
      </c>
      <c r="J265" s="6" t="str">
        <f>IFERROR(__xludf.DUMMYFUNCTION("""COMPUTED_VALUE"""),"fore")</f>
        <v>fore</v>
      </c>
      <c r="L265" s="6" t="str">
        <f>IFERROR(__xludf.DUMMYFUNCTION("""COMPUTED_VALUE"""),"california")</f>
        <v>california</v>
      </c>
      <c r="M265" s="6" t="str">
        <f>IFERROR(__xludf.DUMMYFUNCTION("""COMPUTED_VALUE"""),"seat")</f>
        <v>seat</v>
      </c>
      <c r="N265" s="6" t="str">
        <f>IFERROR(__xludf.DUMMYFUNCTION("""COMPUTED_VALUE"""),"strong")</f>
        <v>strong</v>
      </c>
      <c r="P265" s="6" t="str">
        <f>IFERROR(__xludf.DUMMYFUNCTION("""COMPUTED_VALUE"""),"norwegian")</f>
        <v>norwegian</v>
      </c>
      <c r="Q265" s="6" t="str">
        <f>IFERROR(__xludf.DUMMYFUNCTION("""COMPUTED_VALUE"""),"mess")</f>
        <v>mess</v>
      </c>
      <c r="S265" s="6" t="str">
        <f>IFERROR(__xludf.DUMMYFUNCTION("""COMPUTED_VALUE"""),"trouble")</f>
        <v>trouble</v>
      </c>
    </row>
    <row r="266">
      <c r="B266" s="6"/>
      <c r="D266" s="6"/>
      <c r="G266" s="6" t="str">
        <f>IFERROR(__xludf.DUMMYFUNCTION("""COMPUTED_VALUE"""),"comics")</f>
        <v>comics</v>
      </c>
      <c r="H266" s="6" t="str">
        <f>IFERROR(__xludf.DUMMYFUNCTION("""COMPUTED_VALUE"""),"mira")</f>
        <v>mira</v>
      </c>
      <c r="I266" s="6" t="str">
        <f>IFERROR(__xludf.DUMMYFUNCTION("""COMPUTED_VALUE"""),"complete")</f>
        <v>complete</v>
      </c>
      <c r="J266" s="6" t="str">
        <f>IFERROR(__xludf.DUMMYFUNCTION("""COMPUTED_VALUE"""),"beings")</f>
        <v>beings</v>
      </c>
      <c r="L266" s="6" t="str">
        <f>IFERROR(__xludf.DUMMYFUNCTION("""COMPUTED_VALUE"""),"locations")</f>
        <v>locations</v>
      </c>
      <c r="M266" s="6" t="str">
        <f>IFERROR(__xludf.DUMMYFUNCTION("""COMPUTED_VALUE"""),"despite")</f>
        <v>despite</v>
      </c>
      <c r="N266" s="6" t="str">
        <f>IFERROR(__xludf.DUMMYFUNCTION("""COMPUTED_VALUE"""),"glass")</f>
        <v>glass</v>
      </c>
      <c r="P266" s="6" t="str">
        <f>IFERROR(__xludf.DUMMYFUNCTION("""COMPUTED_VALUE"""),"exercise")</f>
        <v>exercise</v>
      </c>
      <c r="Q266" s="6" t="str">
        <f>IFERROR(__xludf.DUMMYFUNCTION("""COMPUTED_VALUE"""),"flashes")</f>
        <v>flashes</v>
      </c>
      <c r="S266" s="6" t="str">
        <f>IFERROR(__xludf.DUMMYFUNCTION("""COMPUTED_VALUE"""),"narrative")</f>
        <v>narrative</v>
      </c>
    </row>
    <row r="267">
      <c r="B267" s="6"/>
      <c r="D267" s="6"/>
      <c r="G267" s="6" t="str">
        <f>IFERROR(__xludf.DUMMYFUNCTION("""COMPUTED_VALUE"""),"violence")</f>
        <v>violence</v>
      </c>
      <c r="H267" s="6" t="str">
        <f>IFERROR(__xludf.DUMMYFUNCTION("""COMPUTED_VALUE"""),"limitations")</f>
        <v>limitations</v>
      </c>
      <c r="I267" s="6" t="str">
        <f>IFERROR(__xludf.DUMMYFUNCTION("""COMPUTED_VALUE"""),"modern")</f>
        <v>modern</v>
      </c>
      <c r="J267" s="6" t="str">
        <f>IFERROR(__xludf.DUMMYFUNCTION("""COMPUTED_VALUE"""),"gifted")</f>
        <v>gifted</v>
      </c>
      <c r="L267" s="6" t="str">
        <f>IFERROR(__xludf.DUMMYFUNCTION("""COMPUTED_VALUE"""),"ends")</f>
        <v>ends</v>
      </c>
      <c r="M267" s="6" t="str">
        <f>IFERROR(__xludf.DUMMYFUNCTION("""COMPUTED_VALUE"""),"managed")</f>
        <v>managed</v>
      </c>
      <c r="N267" s="6" t="str">
        <f>IFERROR(__xludf.DUMMYFUNCTION("""COMPUTED_VALUE"""),"personality")</f>
        <v>personality</v>
      </c>
      <c r="P267" s="6" t="str">
        <f>IFERROR(__xludf.DUMMYFUNCTION("""COMPUTED_VALUE"""),"halfway")</f>
        <v>halfway</v>
      </c>
      <c r="Q267" s="6" t="str">
        <f>IFERROR(__xludf.DUMMYFUNCTION("""COMPUTED_VALUE"""),"reconciliation")</f>
        <v>reconciliation</v>
      </c>
      <c r="S267" s="6" t="str">
        <f>IFERROR(__xludf.DUMMYFUNCTION("""COMPUTED_VALUE"""),"amounts")</f>
        <v>amounts</v>
      </c>
    </row>
    <row r="268">
      <c r="B268" s="6"/>
      <c r="D268" s="6"/>
      <c r="G268" s="6" t="str">
        <f>IFERROR(__xludf.DUMMYFUNCTION("""COMPUTED_VALUE"""),"use")</f>
        <v>use</v>
      </c>
      <c r="H268" s="6" t="str">
        <f>IFERROR(__xludf.DUMMYFUNCTION("""COMPUTED_VALUE"""),"classical")</f>
        <v>classical</v>
      </c>
      <c r="I268" s="6" t="str">
        <f>IFERROR(__xludf.DUMMYFUNCTION("""COMPUTED_VALUE"""),"sexual")</f>
        <v>sexual</v>
      </c>
      <c r="J268" s="6" t="str">
        <f>IFERROR(__xludf.DUMMYFUNCTION("""COMPUTED_VALUE"""),"contribution")</f>
        <v>contribution</v>
      </c>
      <c r="L268" s="6" t="str">
        <f>IFERROR(__xludf.DUMMYFUNCTION("""COMPUTED_VALUE"""),"computer")</f>
        <v>computer</v>
      </c>
      <c r="M268" s="6" t="str">
        <f>IFERROR(__xludf.DUMMYFUNCTION("""COMPUTED_VALUE"""),"life")</f>
        <v>life</v>
      </c>
      <c r="N268" s="6" t="str">
        <f>IFERROR(__xludf.DUMMYFUNCTION("""COMPUTED_VALUE"""),"trouble")</f>
        <v>trouble</v>
      </c>
      <c r="P268" s="6" t="str">
        <f>IFERROR(__xludf.DUMMYFUNCTION("""COMPUTED_VALUE"""),"beginning")</f>
        <v>beginning</v>
      </c>
      <c r="Q268" s="6" t="str">
        <f>IFERROR(__xludf.DUMMYFUNCTION("""COMPUTED_VALUE"""),"sibling")</f>
        <v>sibling</v>
      </c>
      <c r="S268" s="6" t="str">
        <f>IFERROR(__xludf.DUMMYFUNCTION("""COMPUTED_VALUE"""),"preliminary")</f>
        <v>preliminary</v>
      </c>
    </row>
    <row r="269">
      <c r="B269" s="6"/>
      <c r="D269" s="6"/>
      <c r="G269" s="6" t="str">
        <f>IFERROR(__xludf.DUMMYFUNCTION("""COMPUTED_VALUE"""),"lesser")</f>
        <v>lesser</v>
      </c>
      <c r="H269" s="6" t="str">
        <f>IFERROR(__xludf.DUMMYFUNCTION("""COMPUTED_VALUE"""),"successful")</f>
        <v>successful</v>
      </c>
      <c r="I269" s="6" t="str">
        <f>IFERROR(__xludf.DUMMYFUNCTION("""COMPUTED_VALUE"""),"road")</f>
        <v>road</v>
      </c>
      <c r="J269" s="6" t="str">
        <f>IFERROR(__xludf.DUMMYFUNCTION("""COMPUTED_VALUE"""),"receives")</f>
        <v>receives</v>
      </c>
      <c r="L269" s="6" t="str">
        <f>IFERROR(__xludf.DUMMYFUNCTION("""COMPUTED_VALUE"""),"study")</f>
        <v>study</v>
      </c>
      <c r="M269" s="6" t="str">
        <f>IFERROR(__xludf.DUMMYFUNCTION("""COMPUTED_VALUE"""),"cheap")</f>
        <v>cheap</v>
      </c>
      <c r="N269" s="6" t="str">
        <f>IFERROR(__xludf.DUMMYFUNCTION("""COMPUTED_VALUE"""),"filled")</f>
        <v>filled</v>
      </c>
      <c r="P269" s="6" t="str">
        <f>IFERROR(__xludf.DUMMYFUNCTION("""COMPUTED_VALUE"""),"martial")</f>
        <v>martial</v>
      </c>
      <c r="Q269" s="6" t="str">
        <f>IFERROR(__xludf.DUMMYFUNCTION("""COMPUTED_VALUE"""),"gentle")</f>
        <v>gentle</v>
      </c>
      <c r="S269" s="6" t="str">
        <f>IFERROR(__xludf.DUMMYFUNCTION("""COMPUTED_VALUE"""),"screaming")</f>
        <v>screaming</v>
      </c>
    </row>
    <row r="270">
      <c r="B270" s="6"/>
      <c r="D270" s="6"/>
      <c r="G270" s="6" t="str">
        <f>IFERROR(__xludf.DUMMYFUNCTION("""COMPUTED_VALUE"""),"force")</f>
        <v>force</v>
      </c>
      <c r="H270" s="6" t="str">
        <f>IFERROR(__xludf.DUMMYFUNCTION("""COMPUTED_VALUE"""),"moving")</f>
        <v>moving</v>
      </c>
      <c r="I270" s="6" t="str">
        <f>IFERROR(__xludf.DUMMYFUNCTION("""COMPUTED_VALUE"""),"politics")</f>
        <v>politics</v>
      </c>
      <c r="J270" s="6" t="str">
        <f>IFERROR(__xludf.DUMMYFUNCTION("""COMPUTED_VALUE"""),"undead")</f>
        <v>undead</v>
      </c>
      <c r="L270" s="6" t="str">
        <f>IFERROR(__xludf.DUMMYFUNCTION("""COMPUTED_VALUE"""),"access")</f>
        <v>access</v>
      </c>
      <c r="M270" s="6" t="str">
        <f>IFERROR(__xludf.DUMMYFUNCTION("""COMPUTED_VALUE"""),"music")</f>
        <v>music</v>
      </c>
      <c r="N270" s="6" t="str">
        <f>IFERROR(__xludf.DUMMYFUNCTION("""COMPUTED_VALUE"""),"water")</f>
        <v>water</v>
      </c>
      <c r="P270" s="6" t="str">
        <f>IFERROR(__xludf.DUMMYFUNCTION("""COMPUTED_VALUE"""),"filmed")</f>
        <v>filmed</v>
      </c>
      <c r="Q270" s="6" t="str">
        <f>IFERROR(__xludf.DUMMYFUNCTION("""COMPUTED_VALUE"""),"script")</f>
        <v>script</v>
      </c>
      <c r="S270" s="6" t="str">
        <f>IFERROR(__xludf.DUMMYFUNCTION("""COMPUTED_VALUE"""),"ii")</f>
        <v>ii</v>
      </c>
    </row>
    <row r="271">
      <c r="B271" s="6"/>
      <c r="D271" s="6"/>
      <c r="G271" s="6" t="str">
        <f>IFERROR(__xludf.DUMMYFUNCTION("""COMPUTED_VALUE"""),"fury")</f>
        <v>fury</v>
      </c>
      <c r="H271" s="6" t="str">
        <f>IFERROR(__xludf.DUMMYFUNCTION("""COMPUTED_VALUE"""),"intelligent")</f>
        <v>intelligent</v>
      </c>
      <c r="I271" s="6" t="str">
        <f>IFERROR(__xludf.DUMMYFUNCTION("""COMPUTED_VALUE"""),"obvious")</f>
        <v>obvious</v>
      </c>
      <c r="J271" s="6" t="str">
        <f>IFERROR(__xludf.DUMMYFUNCTION("""COMPUTED_VALUE"""),"momentum")</f>
        <v>momentum</v>
      </c>
      <c r="L271" s="6" t="str">
        <f>IFERROR(__xludf.DUMMYFUNCTION("""COMPUTED_VALUE"""),"mug")</f>
        <v>mug</v>
      </c>
      <c r="M271" s="6" t="str">
        <f>IFERROR(__xludf.DUMMYFUNCTION("""COMPUTED_VALUE"""),"show")</f>
        <v>show</v>
      </c>
      <c r="N271" s="6" t="str">
        <f>IFERROR(__xludf.DUMMYFUNCTION("""COMPUTED_VALUE"""),"outside")</f>
        <v>outside</v>
      </c>
      <c r="P271" s="6" t="str">
        <f>IFERROR(__xludf.DUMMYFUNCTION("""COMPUTED_VALUE"""),"moves")</f>
        <v>moves</v>
      </c>
      <c r="Q271" s="6" t="str">
        <f>IFERROR(__xludf.DUMMYFUNCTION("""COMPUTED_VALUE"""),"ride")</f>
        <v>ride</v>
      </c>
      <c r="S271" s="6" t="str">
        <f>IFERROR(__xludf.DUMMYFUNCTION("""COMPUTED_VALUE"""),"epic")</f>
        <v>epic</v>
      </c>
    </row>
    <row r="272">
      <c r="B272" s="6"/>
      <c r="D272" s="6"/>
      <c r="G272" s="6" t="str">
        <f>IFERROR(__xludf.DUMMYFUNCTION("""COMPUTED_VALUE"""),"wooden")</f>
        <v>wooden</v>
      </c>
      <c r="H272" s="6" t="str">
        <f>IFERROR(__xludf.DUMMYFUNCTION("""COMPUTED_VALUE"""),"sequels")</f>
        <v>sequels</v>
      </c>
      <c r="I272" s="6" t="str">
        <f>IFERROR(__xludf.DUMMYFUNCTION("""COMPUTED_VALUE"""),"lived")</f>
        <v>lived</v>
      </c>
      <c r="J272" s="6" t="str">
        <f>IFERROR(__xludf.DUMMYFUNCTION("""COMPUTED_VALUE"""),"characteristic")</f>
        <v>characteristic</v>
      </c>
      <c r="L272" s="6" t="str">
        <f>IFERROR(__xludf.DUMMYFUNCTION("""COMPUTED_VALUE"""),"hand")</f>
        <v>hand</v>
      </c>
      <c r="M272" s="6" t="str">
        <f>IFERROR(__xludf.DUMMYFUNCTION("""COMPUTED_VALUE"""),"finish")</f>
        <v>finish</v>
      </c>
      <c r="N272" s="6" t="str">
        <f>IFERROR(__xludf.DUMMYFUNCTION("""COMPUTED_VALUE"""),"warm")</f>
        <v>warm</v>
      </c>
      <c r="P272" s="6" t="str">
        <f>IFERROR(__xludf.DUMMYFUNCTION("""COMPUTED_VALUE"""),"computer")</f>
        <v>computer</v>
      </c>
      <c r="Q272" s="6" t="str">
        <f>IFERROR(__xludf.DUMMYFUNCTION("""COMPUTED_VALUE"""),"predecessors")</f>
        <v>predecessors</v>
      </c>
      <c r="S272" s="6" t="str">
        <f>IFERROR(__xludf.DUMMYFUNCTION("""COMPUTED_VALUE"""),"hardly")</f>
        <v>hardly</v>
      </c>
    </row>
    <row r="273">
      <c r="B273" s="6"/>
      <c r="D273" s="6"/>
      <c r="G273" s="6" t="str">
        <f>IFERROR(__xludf.DUMMYFUNCTION("""COMPUTED_VALUE"""),"progresses")</f>
        <v>progresses</v>
      </c>
      <c r="H273" s="6" t="str">
        <f>IFERROR(__xludf.DUMMYFUNCTION("""COMPUTED_VALUE"""),"accomplish")</f>
        <v>accomplish</v>
      </c>
      <c r="I273" s="6" t="str">
        <f>IFERROR(__xludf.DUMMYFUNCTION("""COMPUTED_VALUE"""),"stupid")</f>
        <v>stupid</v>
      </c>
      <c r="J273" s="6" t="str">
        <f>IFERROR(__xludf.DUMMYFUNCTION("""COMPUTED_VALUE"""),"affecting")</f>
        <v>affecting</v>
      </c>
      <c r="L273" s="6" t="str">
        <f>IFERROR(__xludf.DUMMYFUNCTION("""COMPUTED_VALUE"""),"points")</f>
        <v>points</v>
      </c>
      <c r="M273" s="6" t="str">
        <f>IFERROR(__xludf.DUMMYFUNCTION("""COMPUTED_VALUE"""),"care")</f>
        <v>care</v>
      </c>
      <c r="N273" s="6" t="str">
        <f>IFERROR(__xludf.DUMMYFUNCTION("""COMPUTED_VALUE"""),"complaint")</f>
        <v>complaint</v>
      </c>
      <c r="P273" s="6" t="str">
        <f>IFERROR(__xludf.DUMMYFUNCTION("""COMPUTED_VALUE"""),"camera")</f>
        <v>camera</v>
      </c>
      <c r="Q273" s="6" t="str">
        <f>IFERROR(__xludf.DUMMYFUNCTION("""COMPUTED_VALUE"""),"dark")</f>
        <v>dark</v>
      </c>
      <c r="S273" s="6" t="str">
        <f>IFERROR(__xludf.DUMMYFUNCTION("""COMPUTED_VALUE"""),"forces")</f>
        <v>forces</v>
      </c>
    </row>
    <row r="274">
      <c r="B274" s="6"/>
      <c r="D274" s="6"/>
      <c r="G274" s="6" t="str">
        <f>IFERROR(__xludf.DUMMYFUNCTION("""COMPUTED_VALUE"""),"risks")</f>
        <v>risks</v>
      </c>
      <c r="H274" s="6" t="str">
        <f>IFERROR(__xludf.DUMMYFUNCTION("""COMPUTED_VALUE"""),"poet")</f>
        <v>poet</v>
      </c>
      <c r="I274" s="6" t="str">
        <f>IFERROR(__xludf.DUMMYFUNCTION("""COMPUTED_VALUE"""),"finally")</f>
        <v>finally</v>
      </c>
      <c r="J274" s="6" t="str">
        <f>IFERROR(__xludf.DUMMYFUNCTION("""COMPUTED_VALUE"""),"mira")</f>
        <v>mira</v>
      </c>
      <c r="L274" s="6" t="str">
        <f>IFERROR(__xludf.DUMMYFUNCTION("""COMPUTED_VALUE"""),"graceful")</f>
        <v>graceful</v>
      </c>
      <c r="M274" s="6" t="str">
        <f>IFERROR(__xludf.DUMMYFUNCTION("""COMPUTED_VALUE"""),"recent")</f>
        <v>recent</v>
      </c>
      <c r="N274" s="6" t="str">
        <f>IFERROR(__xludf.DUMMYFUNCTION("""COMPUTED_VALUE"""),"thin")</f>
        <v>thin</v>
      </c>
      <c r="P274" s="6" t="str">
        <f>IFERROR(__xludf.DUMMYFUNCTION("""COMPUTED_VALUE"""),"stream")</f>
        <v>stream</v>
      </c>
      <c r="Q274" s="6" t="str">
        <f>IFERROR(__xludf.DUMMYFUNCTION("""COMPUTED_VALUE"""),"add")</f>
        <v>add</v>
      </c>
      <c r="S274" s="6" t="str">
        <f>IFERROR(__xludf.DUMMYFUNCTION("""COMPUTED_VALUE"""),"speak")</f>
        <v>speak</v>
      </c>
    </row>
    <row r="275">
      <c r="B275" s="6"/>
      <c r="D275" s="6"/>
      <c r="G275" s="6" t="str">
        <f>IFERROR(__xludf.DUMMYFUNCTION("""COMPUTED_VALUE"""),"manner")</f>
        <v>manner</v>
      </c>
      <c r="H275" s="6" t="str">
        <f>IFERROR(__xludf.DUMMYFUNCTION("""COMPUTED_VALUE"""),"sustain")</f>
        <v>sustain</v>
      </c>
      <c r="I275" s="6" t="str">
        <f>IFERROR(__xludf.DUMMYFUNCTION("""COMPUTED_VALUE"""),"offensive")</f>
        <v>offensive</v>
      </c>
      <c r="J275" s="6" t="str">
        <f>IFERROR(__xludf.DUMMYFUNCTION("""COMPUTED_VALUE"""),"limitations")</f>
        <v>limitations</v>
      </c>
      <c r="L275" s="6" t="str">
        <f>IFERROR(__xludf.DUMMYFUNCTION("""COMPUTED_VALUE"""),"manage")</f>
        <v>manage</v>
      </c>
      <c r="M275" s="6" t="str">
        <f>IFERROR(__xludf.DUMMYFUNCTION("""COMPUTED_VALUE"""),"boot")</f>
        <v>boot</v>
      </c>
      <c r="N275" s="6" t="str">
        <f>IFERROR(__xludf.DUMMYFUNCTION("""COMPUTED_VALUE"""),"field")</f>
        <v>field</v>
      </c>
      <c r="P275" s="6" t="str">
        <f>IFERROR(__xludf.DUMMYFUNCTION("""COMPUTED_VALUE"""),"manufactured")</f>
        <v>manufactured</v>
      </c>
      <c r="Q275" s="6" t="str">
        <f>IFERROR(__xludf.DUMMYFUNCTION("""COMPUTED_VALUE"""),"pacing")</f>
        <v>pacing</v>
      </c>
      <c r="S275" s="6" t="str">
        <f>IFERROR(__xludf.DUMMYFUNCTION("""COMPUTED_VALUE"""),"large")</f>
        <v>large</v>
      </c>
    </row>
    <row r="276">
      <c r="B276" s="6"/>
      <c r="D276" s="6"/>
      <c r="G276" s="6" t="str">
        <f>IFERROR(__xludf.DUMMYFUNCTION("""COMPUTED_VALUE"""),"strongest")</f>
        <v>strongest</v>
      </c>
      <c r="H276" s="6" t="str">
        <f>IFERROR(__xludf.DUMMYFUNCTION("""COMPUTED_VALUE"""),"summer")</f>
        <v>summer</v>
      </c>
      <c r="I276" s="6" t="str">
        <f>IFERROR(__xludf.DUMMYFUNCTION("""COMPUTED_VALUE"""),"loose")</f>
        <v>loose</v>
      </c>
      <c r="J276" s="6" t="str">
        <f>IFERROR(__xludf.DUMMYFUNCTION("""COMPUTED_VALUE"""),"successful")</f>
        <v>successful</v>
      </c>
      <c r="L276" s="6" t="str">
        <f>IFERROR(__xludf.DUMMYFUNCTION("""COMPUTED_VALUE"""),"story")</f>
        <v>story</v>
      </c>
      <c r="M276" s="6" t="str">
        <f>IFERROR(__xludf.DUMMYFUNCTION("""COMPUTED_VALUE"""),"ride")</f>
        <v>ride</v>
      </c>
      <c r="N276" s="6" t="str">
        <f>IFERROR(__xludf.DUMMYFUNCTION("""COMPUTED_VALUE"""),"host")</f>
        <v>host</v>
      </c>
      <c r="P276" s="6" t="str">
        <f>IFERROR(__xludf.DUMMYFUNCTION("""COMPUTED_VALUE"""),"performed")</f>
        <v>performed</v>
      </c>
      <c r="Q276" s="6" t="str">
        <f>IFERROR(__xludf.DUMMYFUNCTION("""COMPUTED_VALUE"""),"entirely")</f>
        <v>entirely</v>
      </c>
      <c r="S276" s="6" t="str">
        <f>IFERROR(__xludf.DUMMYFUNCTION("""COMPUTED_VALUE"""),"considerable")</f>
        <v>considerable</v>
      </c>
    </row>
    <row r="277">
      <c r="B277" s="6"/>
      <c r="D277" s="6"/>
      <c r="G277" s="6" t="str">
        <f>IFERROR(__xludf.DUMMYFUNCTION("""COMPUTED_VALUE"""),"dover")</f>
        <v>dover</v>
      </c>
      <c r="H277" s="6" t="str">
        <f>IFERROR(__xludf.DUMMYFUNCTION("""COMPUTED_VALUE"""),"filmmaker")</f>
        <v>filmmaker</v>
      </c>
      <c r="I277" s="6" t="str">
        <f>IFERROR(__xludf.DUMMYFUNCTION("""COMPUTED_VALUE"""),"prove")</f>
        <v>prove</v>
      </c>
      <c r="J277" s="6" t="str">
        <f>IFERROR(__xludf.DUMMYFUNCTION("""COMPUTED_VALUE"""),"seeing")</f>
        <v>seeing</v>
      </c>
      <c r="L277" s="6" t="str">
        <f>IFERROR(__xludf.DUMMYFUNCTION("""COMPUTED_VALUE"""),"beloved")</f>
        <v>beloved</v>
      </c>
      <c r="M277" s="6" t="str">
        <f>IFERROR(__xludf.DUMMYFUNCTION("""COMPUTED_VALUE"""),"watch")</f>
        <v>watch</v>
      </c>
      <c r="N277" s="6" t="str">
        <f>IFERROR(__xludf.DUMMYFUNCTION("""COMPUTED_VALUE"""),"beginning")</f>
        <v>beginning</v>
      </c>
      <c r="P277" s="6" t="str">
        <f>IFERROR(__xludf.DUMMYFUNCTION("""COMPUTED_VALUE"""),"take")</f>
        <v>take</v>
      </c>
      <c r="Q277" s="6" t="str">
        <f>IFERROR(__xludf.DUMMYFUNCTION("""COMPUTED_VALUE"""),"exposure")</f>
        <v>exposure</v>
      </c>
      <c r="S277" s="6" t="str">
        <f>IFERROR(__xludf.DUMMYFUNCTION("""COMPUTED_VALUE"""),"largely")</f>
        <v>largely</v>
      </c>
    </row>
    <row r="278">
      <c r="B278" s="6"/>
      <c r="D278" s="6"/>
      <c r="G278" s="6" t="str">
        <f>IFERROR(__xludf.DUMMYFUNCTION("""COMPUTED_VALUE"""),"potent")</f>
        <v>potent</v>
      </c>
      <c r="H278" s="6" t="str">
        <f>IFERROR(__xludf.DUMMYFUNCTION("""COMPUTED_VALUE"""),"ambitious")</f>
        <v>ambitious</v>
      </c>
      <c r="I278" s="6" t="str">
        <f>IFERROR(__xludf.DUMMYFUNCTION("""COMPUTED_VALUE"""),"revealing")</f>
        <v>revealing</v>
      </c>
      <c r="J278" s="6" t="str">
        <f>IFERROR(__xludf.DUMMYFUNCTION("""COMPUTED_VALUE"""),"moving")</f>
        <v>moving</v>
      </c>
      <c r="L278" s="6" t="str">
        <f>IFERROR(__xludf.DUMMYFUNCTION("""COMPUTED_VALUE"""),"changes")</f>
        <v>changes</v>
      </c>
      <c r="M278" s="6" t="str">
        <f>IFERROR(__xludf.DUMMYFUNCTION("""COMPUTED_VALUE"""),"fish")</f>
        <v>fish</v>
      </c>
      <c r="N278" s="6" t="str">
        <f>IFERROR(__xludf.DUMMYFUNCTION("""COMPUTED_VALUE"""),"artists")</f>
        <v>artists</v>
      </c>
      <c r="P278" s="6" t="str">
        <f>IFERROR(__xludf.DUMMYFUNCTION("""COMPUTED_VALUE"""),"thanks")</f>
        <v>thanks</v>
      </c>
      <c r="Q278" s="6" t="str">
        <f>IFERROR(__xludf.DUMMYFUNCTION("""COMPUTED_VALUE"""),"breathless")</f>
        <v>breathless</v>
      </c>
      <c r="S278" s="6" t="str">
        <f>IFERROR(__xludf.DUMMYFUNCTION("""COMPUTED_VALUE"""),"fashion")</f>
        <v>fashion</v>
      </c>
    </row>
    <row r="279">
      <c r="B279" s="6"/>
      <c r="D279" s="6"/>
      <c r="G279" s="6" t="str">
        <f>IFERROR(__xludf.DUMMYFUNCTION("""COMPUTED_VALUE"""),"canvas")</f>
        <v>canvas</v>
      </c>
      <c r="H279" s="6" t="str">
        <f>IFERROR(__xludf.DUMMYFUNCTION("""COMPUTED_VALUE"""),"taboo")</f>
        <v>taboo</v>
      </c>
      <c r="I279" s="6" t="str">
        <f>IFERROR(__xludf.DUMMYFUNCTION("""COMPUTED_VALUE"""),"done")</f>
        <v>done</v>
      </c>
      <c r="J279" s="6" t="str">
        <f>IFERROR(__xludf.DUMMYFUNCTION("""COMPUTED_VALUE"""),"sequels")</f>
        <v>sequels</v>
      </c>
      <c r="L279" s="6" t="str">
        <f>IFERROR(__xludf.DUMMYFUNCTION("""COMPUTED_VALUE"""),"deep")</f>
        <v>deep</v>
      </c>
      <c r="M279" s="6" t="str">
        <f>IFERROR(__xludf.DUMMYFUNCTION("""COMPUTED_VALUE"""),"title")</f>
        <v>title</v>
      </c>
      <c r="N279" s="6" t="str">
        <f>IFERROR(__xludf.DUMMYFUNCTION("""COMPUTED_VALUE"""),"stand")</f>
        <v>stand</v>
      </c>
      <c r="P279" s="6" t="str">
        <f>IFERROR(__xludf.DUMMYFUNCTION("""COMPUTED_VALUE"""),"desperately")</f>
        <v>desperately</v>
      </c>
      <c r="Q279" s="6" t="str">
        <f>IFERROR(__xludf.DUMMYFUNCTION("""COMPUTED_VALUE"""),"tides")</f>
        <v>tides</v>
      </c>
      <c r="S279" s="6" t="str">
        <f>IFERROR(__xludf.DUMMYFUNCTION("""COMPUTED_VALUE"""),"scattered")</f>
        <v>scattered</v>
      </c>
    </row>
    <row r="280">
      <c r="B280" s="6"/>
      <c r="D280" s="6"/>
      <c r="G280" s="6" t="str">
        <f>IFERROR(__xludf.DUMMYFUNCTION("""COMPUTED_VALUE"""),"sexual")</f>
        <v>sexual</v>
      </c>
      <c r="H280" s="6" t="str">
        <f>IFERROR(__xludf.DUMMYFUNCTION("""COMPUTED_VALUE"""),"subject")</f>
        <v>subject</v>
      </c>
      <c r="I280" s="6" t="str">
        <f>IFERROR(__xludf.DUMMYFUNCTION("""COMPUTED_VALUE"""),"pace")</f>
        <v>pace</v>
      </c>
      <c r="J280" s="6" t="str">
        <f>IFERROR(__xludf.DUMMYFUNCTION("""COMPUTED_VALUE"""),"accomplish")</f>
        <v>accomplish</v>
      </c>
      <c r="L280" s="6" t="str">
        <f>IFERROR(__xludf.DUMMYFUNCTION("""COMPUTED_VALUE"""),"dean")</f>
        <v>dean</v>
      </c>
      <c r="M280" s="6" t="str">
        <f>IFERROR(__xludf.DUMMYFUNCTION("""COMPUTED_VALUE"""),"team")</f>
        <v>team</v>
      </c>
      <c r="N280" s="6" t="str">
        <f>IFERROR(__xludf.DUMMYFUNCTION("""COMPUTED_VALUE"""),"express")</f>
        <v>express</v>
      </c>
      <c r="P280" s="6" t="str">
        <f>IFERROR(__xludf.DUMMYFUNCTION("""COMPUTED_VALUE"""),"grow")</f>
        <v>grow</v>
      </c>
      <c r="Q280" s="6" t="str">
        <f>IFERROR(__xludf.DUMMYFUNCTION("""COMPUTED_VALUE"""),"predictable")</f>
        <v>predictable</v>
      </c>
      <c r="S280" s="6" t="str">
        <f>IFERROR(__xludf.DUMMYFUNCTION("""COMPUTED_VALUE"""),"standards")</f>
        <v>standards</v>
      </c>
    </row>
    <row r="281">
      <c r="B281" s="6"/>
      <c r="D281" s="6"/>
      <c r="G281" s="6" t="str">
        <f>IFERROR(__xludf.DUMMYFUNCTION("""COMPUTED_VALUE"""),"road")</f>
        <v>road</v>
      </c>
      <c r="H281" s="6" t="str">
        <f>IFERROR(__xludf.DUMMYFUNCTION("""COMPUTED_VALUE"""),"interference")</f>
        <v>interference</v>
      </c>
      <c r="I281" s="6" t="str">
        <f>IFERROR(__xludf.DUMMYFUNCTION("""COMPUTED_VALUE"""),"husband")</f>
        <v>husband</v>
      </c>
      <c r="J281" s="6" t="str">
        <f>IFERROR(__xludf.DUMMYFUNCTION("""COMPUTED_VALUE"""),"poet")</f>
        <v>poet</v>
      </c>
      <c r="L281" s="6" t="str">
        <f>IFERROR(__xludf.DUMMYFUNCTION("""COMPUTED_VALUE"""),"figure")</f>
        <v>figure</v>
      </c>
      <c r="M281" s="6" t="str">
        <f>IFERROR(__xludf.DUMMYFUNCTION("""COMPUTED_VALUE"""),"fans")</f>
        <v>fans</v>
      </c>
      <c r="N281" s="6" t="str">
        <f>IFERROR(__xludf.DUMMYFUNCTION("""COMPUTED_VALUE"""),"level")</f>
        <v>level</v>
      </c>
      <c r="P281" s="6" t="str">
        <f>IFERROR(__xludf.DUMMYFUNCTION("""COMPUTED_VALUE"""),"essentially")</f>
        <v>essentially</v>
      </c>
      <c r="Q281" s="6" t="str">
        <f>IFERROR(__xludf.DUMMYFUNCTION("""COMPUTED_VALUE"""),"entertaining")</f>
        <v>entertaining</v>
      </c>
      <c r="S281" s="6" t="str">
        <f>IFERROR(__xludf.DUMMYFUNCTION("""COMPUTED_VALUE"""),"chances")</f>
        <v>chances</v>
      </c>
    </row>
    <row r="282">
      <c r="B282" s="6"/>
      <c r="D282" s="6"/>
      <c r="G282" s="6" t="str">
        <f>IFERROR(__xludf.DUMMYFUNCTION("""COMPUTED_VALUE"""),"politics")</f>
        <v>politics</v>
      </c>
      <c r="H282" s="6" t="str">
        <f>IFERROR(__xludf.DUMMYFUNCTION("""COMPUTED_VALUE"""),"weaknesses")</f>
        <v>weaknesses</v>
      </c>
      <c r="I282" s="6" t="str">
        <f>IFERROR(__xludf.DUMMYFUNCTION("""COMPUTED_VALUE"""),"thrown")</f>
        <v>thrown</v>
      </c>
      <c r="J282" s="6" t="str">
        <f>IFERROR(__xludf.DUMMYFUNCTION("""COMPUTED_VALUE"""),"looking")</f>
        <v>looking</v>
      </c>
      <c r="L282" s="6" t="str">
        <f>IFERROR(__xludf.DUMMYFUNCTION("""COMPUTED_VALUE"""),"piece")</f>
        <v>piece</v>
      </c>
      <c r="M282" s="6" t="str">
        <f>IFERROR(__xludf.DUMMYFUNCTION("""COMPUTED_VALUE"""),"current")</f>
        <v>current</v>
      </c>
      <c r="N282" s="6" t="str">
        <f>IFERROR(__xludf.DUMMYFUNCTION("""COMPUTED_VALUE"""),"having")</f>
        <v>having</v>
      </c>
      <c r="P282" s="6" t="str">
        <f>IFERROR(__xludf.DUMMYFUNCTION("""COMPUTED_VALUE"""),"well")</f>
        <v>well</v>
      </c>
      <c r="Q282" s="6" t="str">
        <f>IFERROR(__xludf.DUMMYFUNCTION("""COMPUTED_VALUE"""),"subordinate")</f>
        <v>subordinate</v>
      </c>
      <c r="S282" s="6" t="str">
        <f>IFERROR(__xludf.DUMMYFUNCTION("""COMPUTED_VALUE"""),"actually")</f>
        <v>actually</v>
      </c>
    </row>
    <row r="283">
      <c r="B283" s="6"/>
      <c r="D283" s="6"/>
      <c r="G283" s="6" t="str">
        <f>IFERROR(__xludf.DUMMYFUNCTION("""COMPUTED_VALUE"""),"obvious")</f>
        <v>obvious</v>
      </c>
      <c r="H283" s="6" t="str">
        <f>IFERROR(__xludf.DUMMYFUNCTION("""COMPUTED_VALUE"""),"overcome")</f>
        <v>overcome</v>
      </c>
      <c r="I283" s="6" t="str">
        <f>IFERROR(__xludf.DUMMYFUNCTION("""COMPUTED_VALUE"""),"darker")</f>
        <v>darker</v>
      </c>
      <c r="J283" s="6" t="str">
        <f>IFERROR(__xludf.DUMMYFUNCTION("""COMPUTED_VALUE"""),"sustain")</f>
        <v>sustain</v>
      </c>
      <c r="L283" s="6" t="str">
        <f>IFERROR(__xludf.DUMMYFUNCTION("""COMPUTED_VALUE"""),"version")</f>
        <v>version</v>
      </c>
      <c r="M283" s="6" t="str">
        <f>IFERROR(__xludf.DUMMYFUNCTION("""COMPUTED_VALUE"""),"shot")</f>
        <v>shot</v>
      </c>
      <c r="N283" s="6" t="str">
        <f>IFERROR(__xludf.DUMMYFUNCTION("""COMPUTED_VALUE"""),"move")</f>
        <v>move</v>
      </c>
      <c r="P283" s="6" t="str">
        <f>IFERROR(__xludf.DUMMYFUNCTION("""COMPUTED_VALUE"""),"elevated")</f>
        <v>elevated</v>
      </c>
      <c r="Q283" s="6" t="str">
        <f>IFERROR(__xludf.DUMMYFUNCTION("""COMPUTED_VALUE"""),"technically")</f>
        <v>technically</v>
      </c>
      <c r="S283" s="6" t="str">
        <f>IFERROR(__xludf.DUMMYFUNCTION("""COMPUTED_VALUE"""),"thing")</f>
        <v>thing</v>
      </c>
    </row>
    <row r="284">
      <c r="B284" s="6"/>
      <c r="D284" s="6"/>
      <c r="G284" s="6" t="str">
        <f>IFERROR(__xludf.DUMMYFUNCTION("""COMPUTED_VALUE"""),"captures")</f>
        <v>captures</v>
      </c>
      <c r="H284" s="6" t="str">
        <f>IFERROR(__xludf.DUMMYFUNCTION("""COMPUTED_VALUE"""),"carmen")</f>
        <v>carmen</v>
      </c>
      <c r="I284" s="6" t="str">
        <f>IFERROR(__xludf.DUMMYFUNCTION("""COMPUTED_VALUE"""),"seeking")</f>
        <v>seeking</v>
      </c>
      <c r="J284" s="6" t="str">
        <f>IFERROR(__xludf.DUMMYFUNCTION("""COMPUTED_VALUE"""),"summer")</f>
        <v>summer</v>
      </c>
      <c r="L284" s="6" t="str">
        <f>IFERROR(__xludf.DUMMYFUNCTION("""COMPUTED_VALUE"""),"complex")</f>
        <v>complex</v>
      </c>
      <c r="M284" s="6" t="str">
        <f>IFERROR(__xludf.DUMMYFUNCTION("""COMPUTED_VALUE"""),"opening")</f>
        <v>opening</v>
      </c>
      <c r="N284" s="6" t="str">
        <f>IFERROR(__xludf.DUMMYFUNCTION("""COMPUTED_VALUE"""),"hoped")</f>
        <v>hoped</v>
      </c>
      <c r="P284" s="6" t="str">
        <f>IFERROR(__xludf.DUMMYFUNCTION("""COMPUTED_VALUE"""),"grant")</f>
        <v>grant</v>
      </c>
      <c r="Q284" s="6" t="str">
        <f>IFERROR(__xludf.DUMMYFUNCTION("""COMPUTED_VALUE"""),"tone")</f>
        <v>tone</v>
      </c>
      <c r="S284" s="6" t="str">
        <f>IFERROR(__xludf.DUMMYFUNCTION("""COMPUTED_VALUE"""),"whole")</f>
        <v>whole</v>
      </c>
    </row>
    <row r="285">
      <c r="B285" s="6"/>
      <c r="D285" s="6"/>
      <c r="G285" s="6" t="str">
        <f>IFERROR(__xludf.DUMMYFUNCTION("""COMPUTED_VALUE"""),"deserve")</f>
        <v>deserve</v>
      </c>
      <c r="H285" s="6" t="str">
        <f>IFERROR(__xludf.DUMMYFUNCTION("""COMPUTED_VALUE"""),"low")</f>
        <v>low</v>
      </c>
      <c r="I285" s="6" t="str">
        <f>IFERROR(__xludf.DUMMYFUNCTION("""COMPUTED_VALUE"""),"submarine")</f>
        <v>submarine</v>
      </c>
      <c r="J285" s="6" t="str">
        <f>IFERROR(__xludf.DUMMYFUNCTION("""COMPUTED_VALUE"""),"filmmaker")</f>
        <v>filmmaker</v>
      </c>
      <c r="L285" s="6" t="str">
        <f>IFERROR(__xludf.DUMMYFUNCTION("""COMPUTED_VALUE"""),"status")</f>
        <v>status</v>
      </c>
      <c r="M285" s="6" t="str">
        <f>IFERROR(__xludf.DUMMYFUNCTION("""COMPUTED_VALUE"""),"second")</f>
        <v>second</v>
      </c>
      <c r="N285" s="6" t="str">
        <f>IFERROR(__xludf.DUMMYFUNCTION("""COMPUTED_VALUE"""),"parts")</f>
        <v>parts</v>
      </c>
      <c r="P285" s="6" t="str">
        <f>IFERROR(__xludf.DUMMYFUNCTION("""COMPUTED_VALUE"""),"hugh")</f>
        <v>hugh</v>
      </c>
      <c r="Q285" s="6" t="str">
        <f>IFERROR(__xludf.DUMMYFUNCTION("""COMPUTED_VALUE"""),"dim")</f>
        <v>dim</v>
      </c>
      <c r="S285" s="6" t="str">
        <f>IFERROR(__xludf.DUMMYFUNCTION("""COMPUTED_VALUE"""),"mess")</f>
        <v>mess</v>
      </c>
    </row>
    <row r="286">
      <c r="B286" s="6"/>
      <c r="D286" s="6"/>
      <c r="G286" s="6" t="str">
        <f>IFERROR(__xludf.DUMMYFUNCTION("""COMPUTED_VALUE"""),"sexuality")</f>
        <v>sexuality</v>
      </c>
      <c r="H286" s="6" t="str">
        <f>IFERROR(__xludf.DUMMYFUNCTION("""COMPUTED_VALUE"""),"ode")</f>
        <v>ode</v>
      </c>
      <c r="I286" s="6" t="str">
        <f>IFERROR(__xludf.DUMMYFUNCTION("""COMPUTED_VALUE"""),"spirit")</f>
        <v>spirit</v>
      </c>
      <c r="J286" s="6" t="str">
        <f>IFERROR(__xludf.DUMMYFUNCTION("""COMPUTED_VALUE"""),"ambitious")</f>
        <v>ambitious</v>
      </c>
      <c r="L286" s="6" t="str">
        <f>IFERROR(__xludf.DUMMYFUNCTION("""COMPUTED_VALUE"""),"pack")</f>
        <v>pack</v>
      </c>
      <c r="M286" s="6" t="str">
        <f>IFERROR(__xludf.DUMMYFUNCTION("""COMPUTED_VALUE"""),"start")</f>
        <v>start</v>
      </c>
      <c r="N286" s="6" t="str">
        <f>IFERROR(__xludf.DUMMYFUNCTION("""COMPUTED_VALUE"""),"blues")</f>
        <v>blues</v>
      </c>
      <c r="P286" s="6" t="str">
        <f>IFERROR(__xludf.DUMMYFUNCTION("""COMPUTED_VALUE"""),"stay")</f>
        <v>stay</v>
      </c>
      <c r="Q286" s="6" t="str">
        <f>IFERROR(__xludf.DUMMYFUNCTION("""COMPUTED_VALUE"""),"quivering")</f>
        <v>quivering</v>
      </c>
      <c r="S286" s="6" t="str">
        <f>IFERROR(__xludf.DUMMYFUNCTION("""COMPUTED_VALUE"""),"path")</f>
        <v>path</v>
      </c>
    </row>
    <row r="287">
      <c r="B287" s="6"/>
      <c r="D287" s="6"/>
      <c r="G287" s="6" t="str">
        <f>IFERROR(__xludf.DUMMYFUNCTION("""COMPUTED_VALUE"""),"combining")</f>
        <v>combining</v>
      </c>
      <c r="H287" s="6" t="str">
        <f>IFERROR(__xludf.DUMMYFUNCTION("""COMPUTED_VALUE"""),"muttering")</f>
        <v>muttering</v>
      </c>
      <c r="I287" s="6" t="str">
        <f>IFERROR(__xludf.DUMMYFUNCTION("""COMPUTED_VALUE"""),"medium")</f>
        <v>medium</v>
      </c>
      <c r="J287" s="6" t="str">
        <f>IFERROR(__xludf.DUMMYFUNCTION("""COMPUTED_VALUE"""),"taboo")</f>
        <v>taboo</v>
      </c>
      <c r="L287" s="6" t="str">
        <f>IFERROR(__xludf.DUMMYFUNCTION("""COMPUTED_VALUE"""),"grace")</f>
        <v>grace</v>
      </c>
      <c r="M287" s="6" t="str">
        <f>IFERROR(__xludf.DUMMYFUNCTION("""COMPUTED_VALUE"""),"twice")</f>
        <v>twice</v>
      </c>
      <c r="N287" s="6" t="str">
        <f>IFERROR(__xludf.DUMMYFUNCTION("""COMPUTED_VALUE"""),"potential")</f>
        <v>potential</v>
      </c>
      <c r="P287" s="6" t="str">
        <f>IFERROR(__xludf.DUMMYFUNCTION("""COMPUTED_VALUE"""),"urban")</f>
        <v>urban</v>
      </c>
      <c r="Q287" s="6" t="str">
        <f>IFERROR(__xludf.DUMMYFUNCTION("""COMPUTED_VALUE"""),"term")</f>
        <v>term</v>
      </c>
      <c r="S287" s="6" t="str">
        <f>IFERROR(__xludf.DUMMYFUNCTION("""COMPUTED_VALUE"""),"gentle")</f>
        <v>gentle</v>
      </c>
    </row>
    <row r="288">
      <c r="B288" s="6"/>
      <c r="D288" s="6"/>
      <c r="G288" s="6" t="str">
        <f>IFERROR(__xludf.DUMMYFUNCTION("""COMPUTED_VALUE"""),"emotionally")</f>
        <v>emotionally</v>
      </c>
      <c r="H288" s="6" t="str">
        <f>IFERROR(__xludf.DUMMYFUNCTION("""COMPUTED_VALUE"""),"walked")</f>
        <v>walked</v>
      </c>
      <c r="I288" s="6" t="str">
        <f>IFERROR(__xludf.DUMMYFUNCTION("""COMPUTED_VALUE"""),"olympic")</f>
        <v>olympic</v>
      </c>
      <c r="J288" s="6" t="str">
        <f>IFERROR(__xludf.DUMMYFUNCTION("""COMPUTED_VALUE"""),"interference")</f>
        <v>interference</v>
      </c>
      <c r="L288" s="6" t="str">
        <f>IFERROR(__xludf.DUMMYFUNCTION("""COMPUTED_VALUE"""),"connected")</f>
        <v>connected</v>
      </c>
      <c r="M288" s="6" t="str">
        <f>IFERROR(__xludf.DUMMYFUNCTION("""COMPUTED_VALUE"""),"writing")</f>
        <v>writing</v>
      </c>
      <c r="N288" s="6" t="str">
        <f>IFERROR(__xludf.DUMMYFUNCTION("""COMPUTED_VALUE"""),"venture")</f>
        <v>venture</v>
      </c>
      <c r="P288" s="6" t="str">
        <f>IFERROR(__xludf.DUMMYFUNCTION("""COMPUTED_VALUE"""),"brown")</f>
        <v>brown</v>
      </c>
      <c r="Q288" s="6" t="str">
        <f>IFERROR(__xludf.DUMMYFUNCTION("""COMPUTED_VALUE"""),"emotions")</f>
        <v>emotions</v>
      </c>
      <c r="S288" s="6" t="str">
        <f>IFERROR(__xludf.DUMMYFUNCTION("""COMPUTED_VALUE"""),"script")</f>
        <v>script</v>
      </c>
    </row>
    <row r="289">
      <c r="B289" s="6"/>
      <c r="D289" s="6"/>
      <c r="G289" s="6" t="str">
        <f>IFERROR(__xludf.DUMMYFUNCTION("""COMPUTED_VALUE"""),"loose")</f>
        <v>loose</v>
      </c>
      <c r="H289" s="6" t="str">
        <f>IFERROR(__xludf.DUMMYFUNCTION("""COMPUTED_VALUE"""),"backward")</f>
        <v>backward</v>
      </c>
      <c r="I289" s="6" t="str">
        <f>IFERROR(__xludf.DUMMYFUNCTION("""COMPUTED_VALUE"""),"claude")</f>
        <v>claude</v>
      </c>
      <c r="J289" s="6" t="str">
        <f>IFERROR(__xludf.DUMMYFUNCTION("""COMPUTED_VALUE"""),"weaknesses")</f>
        <v>weaknesses</v>
      </c>
      <c r="L289" s="6" t="str">
        <f>IFERROR(__xludf.DUMMYFUNCTION("""COMPUTED_VALUE"""),"seconds")</f>
        <v>seconds</v>
      </c>
      <c r="M289" s="6" t="str">
        <f>IFERROR(__xludf.DUMMYFUNCTION("""COMPUTED_VALUE"""),"heights")</f>
        <v>heights</v>
      </c>
      <c r="N289" s="6" t="str">
        <f>IFERROR(__xludf.DUMMYFUNCTION("""COMPUTED_VALUE"""),"between")</f>
        <v>between</v>
      </c>
      <c r="P289" s="6" t="str">
        <f>IFERROR(__xludf.DUMMYFUNCTION("""COMPUTED_VALUE"""),"lane")</f>
        <v>lane</v>
      </c>
      <c r="Q289" s="6" t="str">
        <f>IFERROR(__xludf.DUMMYFUNCTION("""COMPUTED_VALUE"""),"honest")</f>
        <v>honest</v>
      </c>
      <c r="S289" s="6" t="str">
        <f>IFERROR(__xludf.DUMMYFUNCTION("""COMPUTED_VALUE"""),"expect")</f>
        <v>expect</v>
      </c>
    </row>
    <row r="290">
      <c r="B290" s="6"/>
      <c r="D290" s="6"/>
      <c r="G290" s="6" t="str">
        <f>IFERROR(__xludf.DUMMYFUNCTION("""COMPUTED_VALUE"""),"prove")</f>
        <v>prove</v>
      </c>
      <c r="H290" s="6" t="str">
        <f>IFERROR(__xludf.DUMMYFUNCTION("""COMPUTED_VALUE"""),"luminous")</f>
        <v>luminous</v>
      </c>
      <c r="I290" s="6" t="str">
        <f>IFERROR(__xludf.DUMMYFUNCTION("""COMPUTED_VALUE"""),"master")</f>
        <v>master</v>
      </c>
      <c r="J290" s="6" t="str">
        <f>IFERROR(__xludf.DUMMYFUNCTION("""COMPUTED_VALUE"""),"ode")</f>
        <v>ode</v>
      </c>
      <c r="L290" s="6" t="str">
        <f>IFERROR(__xludf.DUMMYFUNCTION("""COMPUTED_VALUE"""),"delivery")</f>
        <v>delivery</v>
      </c>
      <c r="M290" s="6" t="str">
        <f>IFERROR(__xludf.DUMMYFUNCTION("""COMPUTED_VALUE"""),"equal")</f>
        <v>equal</v>
      </c>
      <c r="N290" s="6" t="str">
        <f>IFERROR(__xludf.DUMMYFUNCTION("""COMPUTED_VALUE"""),"medium")</f>
        <v>medium</v>
      </c>
      <c r="P290" s="6" t="str">
        <f>IFERROR(__xludf.DUMMYFUNCTION("""COMPUTED_VALUE"""),"full")</f>
        <v>full</v>
      </c>
      <c r="Q290" s="6" t="str">
        <f>IFERROR(__xludf.DUMMYFUNCTION("""COMPUTED_VALUE"""),"lame")</f>
        <v>lame</v>
      </c>
      <c r="S290" s="6" t="str">
        <f>IFERROR(__xludf.DUMMYFUNCTION("""COMPUTED_VALUE"""),"potentially")</f>
        <v>potentially</v>
      </c>
    </row>
    <row r="291">
      <c r="B291" s="6"/>
      <c r="D291" s="6"/>
      <c r="G291" s="6" t="str">
        <f>IFERROR(__xludf.DUMMYFUNCTION("""COMPUTED_VALUE"""),"revealing")</f>
        <v>revealing</v>
      </c>
      <c r="H291" s="6" t="str">
        <f>IFERROR(__xludf.DUMMYFUNCTION("""COMPUTED_VALUE"""),"interviews")</f>
        <v>interviews</v>
      </c>
      <c r="I291" s="6" t="str">
        <f>IFERROR(__xludf.DUMMYFUNCTION("""COMPUTED_VALUE"""),"screenplay")</f>
        <v>screenplay</v>
      </c>
      <c r="J291" s="6" t="str">
        <f>IFERROR(__xludf.DUMMYFUNCTION("""COMPUTED_VALUE"""),"walked")</f>
        <v>walked</v>
      </c>
      <c r="L291" s="6" t="str">
        <f>IFERROR(__xludf.DUMMYFUNCTION("""COMPUTED_VALUE"""),"wear")</f>
        <v>wear</v>
      </c>
      <c r="M291" s="6" t="str">
        <f>IFERROR(__xludf.DUMMYFUNCTION("""COMPUTED_VALUE"""),"number")</f>
        <v>number</v>
      </c>
      <c r="N291" s="6" t="str">
        <f>IFERROR(__xludf.DUMMYFUNCTION("""COMPUTED_VALUE"""),"important")</f>
        <v>important</v>
      </c>
      <c r="P291" s="6" t="str">
        <f>IFERROR(__xludf.DUMMYFUNCTION("""COMPUTED_VALUE"""),"celebration")</f>
        <v>celebration</v>
      </c>
      <c r="Q291" s="6" t="str">
        <f>IFERROR(__xludf.DUMMYFUNCTION("""COMPUTED_VALUE"""),"confessions")</f>
        <v>confessions</v>
      </c>
      <c r="S291" s="6" t="str">
        <f>IFERROR(__xludf.DUMMYFUNCTION("""COMPUTED_VALUE"""),"girl")</f>
        <v>girl</v>
      </c>
    </row>
    <row r="292">
      <c r="B292" s="6"/>
      <c r="D292" s="6"/>
      <c r="G292" s="6" t="str">
        <f>IFERROR(__xludf.DUMMYFUNCTION("""COMPUTED_VALUE"""),"done")</f>
        <v>done</v>
      </c>
      <c r="H292" s="6" t="str">
        <f>IFERROR(__xludf.DUMMYFUNCTION("""COMPUTED_VALUE"""),"lynch")</f>
        <v>lynch</v>
      </c>
      <c r="I292" s="6" t="str">
        <f>IFERROR(__xludf.DUMMYFUNCTION("""COMPUTED_VALUE"""),"tale")</f>
        <v>tale</v>
      </c>
      <c r="J292" s="6" t="str">
        <f>IFERROR(__xludf.DUMMYFUNCTION("""COMPUTED_VALUE"""),"intact")</f>
        <v>intact</v>
      </c>
      <c r="L292" s="6" t="str">
        <f>IFERROR(__xludf.DUMMYFUNCTION("""COMPUTED_VALUE"""),"literal")</f>
        <v>literal</v>
      </c>
      <c r="M292" s="6" t="str">
        <f>IFERROR(__xludf.DUMMYFUNCTION("""COMPUTED_VALUE"""),"middle")</f>
        <v>middle</v>
      </c>
      <c r="N292" s="6" t="str">
        <f>IFERROR(__xludf.DUMMYFUNCTION("""COMPUTED_VALUE"""),"christmas")</f>
        <v>christmas</v>
      </c>
      <c r="P292" s="6" t="str">
        <f>IFERROR(__xludf.DUMMYFUNCTION("""COMPUTED_VALUE"""),"warm")</f>
        <v>warm</v>
      </c>
      <c r="Q292" s="6" t="str">
        <f>IFERROR(__xludf.DUMMYFUNCTION("""COMPUTED_VALUE"""),"london")</f>
        <v>london</v>
      </c>
      <c r="S292" s="6" t="str">
        <f>IFERROR(__xludf.DUMMYFUNCTION("""COMPUTED_VALUE"""),"bar")</f>
        <v>bar</v>
      </c>
    </row>
    <row r="293">
      <c r="B293" s="6"/>
      <c r="D293" s="6"/>
      <c r="G293" s="6" t="str">
        <f>IFERROR(__xludf.DUMMYFUNCTION("""COMPUTED_VALUE"""),"pace")</f>
        <v>pace</v>
      </c>
      <c r="H293" s="6" t="str">
        <f>IFERROR(__xludf.DUMMYFUNCTION("""COMPUTED_VALUE"""),"trier")</f>
        <v>trier</v>
      </c>
      <c r="I293" s="6" t="str">
        <f>IFERROR(__xludf.DUMMYFUNCTION("""COMPUTED_VALUE"""),"testament")</f>
        <v>testament</v>
      </c>
      <c r="J293" s="6" t="str">
        <f>IFERROR(__xludf.DUMMYFUNCTION("""COMPUTED_VALUE"""),"backward")</f>
        <v>backward</v>
      </c>
      <c r="L293" s="6" t="str">
        <f>IFERROR(__xludf.DUMMYFUNCTION("""COMPUTED_VALUE"""),"growth")</f>
        <v>growth</v>
      </c>
      <c r="M293" s="6" t="str">
        <f>IFERROR(__xludf.DUMMYFUNCTION("""COMPUTED_VALUE"""),"arms")</f>
        <v>arms</v>
      </c>
      <c r="N293" s="6" t="str">
        <f>IFERROR(__xludf.DUMMYFUNCTION("""COMPUTED_VALUE"""),"guest")</f>
        <v>guest</v>
      </c>
      <c r="P293" s="6" t="str">
        <f>IFERROR(__xludf.DUMMYFUNCTION("""COMPUTED_VALUE"""),"bridge")</f>
        <v>bridge</v>
      </c>
      <c r="Q293" s="6" t="str">
        <f>IFERROR(__xludf.DUMMYFUNCTION("""COMPUTED_VALUE"""),"slice")</f>
        <v>slice</v>
      </c>
      <c r="S293" s="6" t="str">
        <f>IFERROR(__xludf.DUMMYFUNCTION("""COMPUTED_VALUE"""),"loaded")</f>
        <v>loaded</v>
      </c>
    </row>
    <row r="294">
      <c r="B294" s="6"/>
      <c r="D294" s="6"/>
      <c r="G294" s="6" t="str">
        <f>IFERROR(__xludf.DUMMYFUNCTION("""COMPUTED_VALUE"""),"chilling")</f>
        <v>chilling</v>
      </c>
      <c r="H294" s="6" t="str">
        <f>IFERROR(__xludf.DUMMYFUNCTION("""COMPUTED_VALUE"""),"failing")</f>
        <v>failing</v>
      </c>
      <c r="I294" s="6" t="str">
        <f>IFERROR(__xludf.DUMMYFUNCTION("""COMPUTED_VALUE"""),"ability")</f>
        <v>ability</v>
      </c>
      <c r="J294" s="6" t="str">
        <f>IFERROR(__xludf.DUMMYFUNCTION("""COMPUTED_VALUE"""),"luminous")</f>
        <v>luminous</v>
      </c>
      <c r="L294" s="6" t="str">
        <f>IFERROR(__xludf.DUMMYFUNCTION("""COMPUTED_VALUE"""),"becomes")</f>
        <v>becomes</v>
      </c>
      <c r="M294" s="6" t="str">
        <f>IFERROR(__xludf.DUMMYFUNCTION("""COMPUTED_VALUE"""),"legs")</f>
        <v>legs</v>
      </c>
      <c r="N294" s="6" t="str">
        <f>IFERROR(__xludf.DUMMYFUNCTION("""COMPUTED_VALUE"""),"mile")</f>
        <v>mile</v>
      </c>
      <c r="P294" s="6" t="str">
        <f>IFERROR(__xludf.DUMMYFUNCTION("""COMPUTED_VALUE"""),"wanting")</f>
        <v>wanting</v>
      </c>
      <c r="Q294" s="6" t="str">
        <f>IFERROR(__xludf.DUMMYFUNCTION("""COMPUTED_VALUE"""),"title")</f>
        <v>title</v>
      </c>
      <c r="S294" s="6" t="str">
        <f>IFERROR(__xludf.DUMMYFUNCTION("""COMPUTED_VALUE"""),"ride")</f>
        <v>ride</v>
      </c>
    </row>
    <row r="295">
      <c r="B295" s="6"/>
      <c r="D295" s="6"/>
      <c r="G295" s="6" t="str">
        <f>IFERROR(__xludf.DUMMYFUNCTION("""COMPUTED_VALUE"""),"submarine")</f>
        <v>submarine</v>
      </c>
      <c r="H295" s="6" t="str">
        <f>IFERROR(__xludf.DUMMYFUNCTION("""COMPUTED_VALUE"""),"astonishing")</f>
        <v>astonishing</v>
      </c>
      <c r="I295" s="6" t="str">
        <f>IFERROR(__xludf.DUMMYFUNCTION("""COMPUTED_VALUE"""),"report")</f>
        <v>report</v>
      </c>
      <c r="J295" s="6" t="str">
        <f>IFERROR(__xludf.DUMMYFUNCTION("""COMPUTED_VALUE"""),"lynch")</f>
        <v>lynch</v>
      </c>
      <c r="L295" s="6" t="str">
        <f>IFERROR(__xludf.DUMMYFUNCTION("""COMPUTED_VALUE"""),"guessing")</f>
        <v>guessing</v>
      </c>
      <c r="M295" s="6" t="str">
        <f>IFERROR(__xludf.DUMMYFUNCTION("""COMPUTED_VALUE"""),"short")</f>
        <v>short</v>
      </c>
      <c r="N295" s="6" t="str">
        <f>IFERROR(__xludf.DUMMYFUNCTION("""COMPUTED_VALUE"""),"situation")</f>
        <v>situation</v>
      </c>
      <c r="P295" s="6" t="str">
        <f>IFERROR(__xludf.DUMMYFUNCTION("""COMPUTED_VALUE"""),"viewers")</f>
        <v>viewers</v>
      </c>
      <c r="Q295" s="6" t="str">
        <f>IFERROR(__xludf.DUMMYFUNCTION("""COMPUTED_VALUE"""),"delightful")</f>
        <v>delightful</v>
      </c>
      <c r="S295" s="6" t="str">
        <f>IFERROR(__xludf.DUMMYFUNCTION("""COMPUTED_VALUE"""),"enjoy")</f>
        <v>enjoy</v>
      </c>
    </row>
    <row r="296">
      <c r="B296" s="6"/>
      <c r="D296" s="6"/>
      <c r="G296" s="6" t="str">
        <f>IFERROR(__xludf.DUMMYFUNCTION("""COMPUTED_VALUE"""),"spirit")</f>
        <v>spirit</v>
      </c>
      <c r="H296" s="6" t="str">
        <f>IFERROR(__xludf.DUMMYFUNCTION("""COMPUTED_VALUE"""),"thrill")</f>
        <v>thrill</v>
      </c>
      <c r="I296" s="6" t="str">
        <f>IFERROR(__xludf.DUMMYFUNCTION("""COMPUTED_VALUE"""),"palestinian")</f>
        <v>palestinian</v>
      </c>
      <c r="J296" s="6" t="str">
        <f>IFERROR(__xludf.DUMMYFUNCTION("""COMPUTED_VALUE"""),"trier")</f>
        <v>trier</v>
      </c>
      <c r="L296" s="6" t="str">
        <f>IFERROR(__xludf.DUMMYFUNCTION("""COMPUTED_VALUE"""),"conventional")</f>
        <v>conventional</v>
      </c>
      <c r="M296" s="6" t="str">
        <f>IFERROR(__xludf.DUMMYFUNCTION("""COMPUTED_VALUE"""),"front")</f>
        <v>front</v>
      </c>
      <c r="N296" s="6" t="str">
        <f>IFERROR(__xludf.DUMMYFUNCTION("""COMPUTED_VALUE"""),"pick")</f>
        <v>pick</v>
      </c>
      <c r="P296" s="6" t="str">
        <f>IFERROR(__xludf.DUMMYFUNCTION("""COMPUTED_VALUE"""),"words")</f>
        <v>words</v>
      </c>
      <c r="Q296" s="6" t="str">
        <f>IFERROR(__xludf.DUMMYFUNCTION("""COMPUTED_VALUE"""),"wildlife")</f>
        <v>wildlife</v>
      </c>
      <c r="S296" s="6" t="str">
        <f>IFERROR(__xludf.DUMMYFUNCTION("""COMPUTED_VALUE"""),"dark")</f>
        <v>dark</v>
      </c>
    </row>
    <row r="297">
      <c r="B297" s="6"/>
      <c r="D297" s="6"/>
      <c r="G297" s="6" t="str">
        <f>IFERROR(__xludf.DUMMYFUNCTION("""COMPUTED_VALUE"""),"medium")</f>
        <v>medium</v>
      </c>
      <c r="H297" s="6" t="str">
        <f>IFERROR(__xludf.DUMMYFUNCTION("""COMPUTED_VALUE"""),"showdown")</f>
        <v>showdown</v>
      </c>
      <c r="I297" s="6" t="str">
        <f>IFERROR(__xludf.DUMMYFUNCTION("""COMPUTED_VALUE"""),"strong")</f>
        <v>strong</v>
      </c>
      <c r="J297" s="6" t="str">
        <f>IFERROR(__xludf.DUMMYFUNCTION("""COMPUTED_VALUE"""),"failing")</f>
        <v>failing</v>
      </c>
      <c r="L297" s="6" t="str">
        <f>IFERROR(__xludf.DUMMYFUNCTION("""COMPUTED_VALUE"""),"toward")</f>
        <v>toward</v>
      </c>
      <c r="M297" s="6" t="str">
        <f>IFERROR(__xludf.DUMMYFUNCTION("""COMPUTED_VALUE"""),"call")</f>
        <v>call</v>
      </c>
      <c r="N297" s="6" t="str">
        <f>IFERROR(__xludf.DUMMYFUNCTION("""COMPUTED_VALUE"""),"allowed")</f>
        <v>allowed</v>
      </c>
      <c r="P297" s="6" t="str">
        <f>IFERROR(__xludf.DUMMYFUNCTION("""COMPUTED_VALUE"""),"format")</f>
        <v>format</v>
      </c>
      <c r="Q297" s="6" t="str">
        <f>IFERROR(__xludf.DUMMYFUNCTION("""COMPUTED_VALUE"""),"spare")</f>
        <v>spare</v>
      </c>
      <c r="S297" s="6" t="str">
        <f>IFERROR(__xludf.DUMMYFUNCTION("""COMPUTED_VALUE"""),"add")</f>
        <v>add</v>
      </c>
    </row>
    <row r="298">
      <c r="B298" s="6"/>
      <c r="D298" s="6"/>
      <c r="G298" s="6" t="str">
        <f>IFERROR(__xludf.DUMMYFUNCTION("""COMPUTED_VALUE"""),"blend")</f>
        <v>blend</v>
      </c>
      <c r="H298" s="6" t="str">
        <f>IFERROR(__xludf.DUMMYFUNCTION("""COMPUTED_VALUE"""),"species")</f>
        <v>species</v>
      </c>
      <c r="I298" s="6" t="str">
        <f>IFERROR(__xludf.DUMMYFUNCTION("""COMPUTED_VALUE"""),"dragon")</f>
        <v>dragon</v>
      </c>
      <c r="J298" s="6" t="str">
        <f>IFERROR(__xludf.DUMMYFUNCTION("""COMPUTED_VALUE"""),"thrill")</f>
        <v>thrill</v>
      </c>
      <c r="L298" s="6" t="str">
        <f>IFERROR(__xludf.DUMMYFUNCTION("""COMPUTED_VALUE"""),"lets")</f>
        <v>lets</v>
      </c>
      <c r="M298" s="6" t="str">
        <f>IFERROR(__xludf.DUMMYFUNCTION("""COMPUTED_VALUE"""),"boy")</f>
        <v>boy</v>
      </c>
      <c r="N298" s="6" t="str">
        <f>IFERROR(__xludf.DUMMYFUNCTION("""COMPUTED_VALUE"""),"match")</f>
        <v>match</v>
      </c>
      <c r="P298" s="6" t="str">
        <f>IFERROR(__xludf.DUMMYFUNCTION("""COMPUTED_VALUE"""),"handsome")</f>
        <v>handsome</v>
      </c>
      <c r="Q298" s="6" t="str">
        <f>IFERROR(__xludf.DUMMYFUNCTION("""COMPUTED_VALUE"""),"structured")</f>
        <v>structured</v>
      </c>
      <c r="S298" s="6" t="str">
        <f>IFERROR(__xludf.DUMMYFUNCTION("""COMPUTED_VALUE"""),"give")</f>
        <v>give</v>
      </c>
    </row>
    <row r="299">
      <c r="B299" s="6"/>
      <c r="D299" s="6"/>
      <c r="G299" s="6" t="str">
        <f>IFERROR(__xludf.DUMMYFUNCTION("""COMPUTED_VALUE"""),"master")</f>
        <v>master</v>
      </c>
      <c r="H299" s="6" t="str">
        <f>IFERROR(__xludf.DUMMYFUNCTION("""COMPUTED_VALUE"""),"evade")</f>
        <v>evade</v>
      </c>
      <c r="I299" s="6" t="str">
        <f>IFERROR(__xludf.DUMMYFUNCTION("""COMPUTED_VALUE"""),"rodriguez")</f>
        <v>rodriguez</v>
      </c>
      <c r="J299" s="6" t="str">
        <f>IFERROR(__xludf.DUMMYFUNCTION("""COMPUTED_VALUE"""),"soap")</f>
        <v>soap</v>
      </c>
      <c r="L299" s="6" t="str">
        <f>IFERROR(__xludf.DUMMYFUNCTION("""COMPUTED_VALUE"""),"direction")</f>
        <v>direction</v>
      </c>
      <c r="M299" s="6" t="str">
        <f>IFERROR(__xludf.DUMMYFUNCTION("""COMPUTED_VALUE"""),"chance")</f>
        <v>chance</v>
      </c>
      <c r="N299" s="6" t="str">
        <f>IFERROR(__xludf.DUMMYFUNCTION("""COMPUTED_VALUE"""),"trick")</f>
        <v>trick</v>
      </c>
      <c r="P299" s="6" t="str">
        <f>IFERROR(__xludf.DUMMYFUNCTION("""COMPUTED_VALUE"""),"drama")</f>
        <v>drama</v>
      </c>
      <c r="Q299" s="6" t="str">
        <f>IFERROR(__xludf.DUMMYFUNCTION("""COMPUTED_VALUE"""),"adventurous")</f>
        <v>adventurous</v>
      </c>
      <c r="S299" s="6" t="str">
        <f>IFERROR(__xludf.DUMMYFUNCTION("""COMPUTED_VALUE"""),"entirely")</f>
        <v>entirely</v>
      </c>
    </row>
    <row r="300">
      <c r="B300" s="6"/>
      <c r="D300" s="6"/>
      <c r="G300" s="6" t="str">
        <f>IFERROR(__xludf.DUMMYFUNCTION("""COMPUTED_VALUE"""),"tale")</f>
        <v>tale</v>
      </c>
      <c r="H300" s="6" t="str">
        <f>IFERROR(__xludf.DUMMYFUNCTION("""COMPUTED_VALUE"""),"enjoyable")</f>
        <v>enjoyable</v>
      </c>
      <c r="I300" s="6" t="str">
        <f>IFERROR(__xludf.DUMMYFUNCTION("""COMPUTED_VALUE"""),"purpose")</f>
        <v>purpose</v>
      </c>
      <c r="J300" s="6" t="str">
        <f>IFERROR(__xludf.DUMMYFUNCTION("""COMPUTED_VALUE"""),"showdown")</f>
        <v>showdown</v>
      </c>
      <c r="L300" s="6" t="str">
        <f>IFERROR(__xludf.DUMMYFUNCTION("""COMPUTED_VALUE"""),"rare")</f>
        <v>rare</v>
      </c>
      <c r="M300" s="6" t="str">
        <f>IFERROR(__xludf.DUMMYFUNCTION("""COMPUTED_VALUE"""),"standard")</f>
        <v>standard</v>
      </c>
      <c r="N300" s="6" t="str">
        <f>IFERROR(__xludf.DUMMYFUNCTION("""COMPUTED_VALUE"""),"sane")</f>
        <v>sane</v>
      </c>
      <c r="P300" s="6" t="str">
        <f>IFERROR(__xludf.DUMMYFUNCTION("""COMPUTED_VALUE"""),"either")</f>
        <v>either</v>
      </c>
      <c r="Q300" s="6" t="str">
        <f>IFERROR(__xludf.DUMMYFUNCTION("""COMPUTED_VALUE"""),"toward")</f>
        <v>toward</v>
      </c>
      <c r="S300" s="6" t="str">
        <f>IFERROR(__xludf.DUMMYFUNCTION("""COMPUTED_VALUE"""),"exposure")</f>
        <v>exposure</v>
      </c>
    </row>
    <row r="301">
      <c r="B301" s="6"/>
      <c r="D301" s="6"/>
      <c r="G301" s="6" t="str">
        <f>IFERROR(__xludf.DUMMYFUNCTION("""COMPUTED_VALUE"""),"sitcom")</f>
        <v>sitcom</v>
      </c>
      <c r="H301" s="6" t="str">
        <f>IFERROR(__xludf.DUMMYFUNCTION("""COMPUTED_VALUE"""),"purely")</f>
        <v>purely</v>
      </c>
      <c r="I301" s="6" t="str">
        <f>IFERROR(__xludf.DUMMYFUNCTION("""COMPUTED_VALUE"""),"commercial")</f>
        <v>commercial</v>
      </c>
      <c r="J301" s="6" t="str">
        <f>IFERROR(__xludf.DUMMYFUNCTION("""COMPUTED_VALUE"""),"species")</f>
        <v>species</v>
      </c>
      <c r="L301" s="6" t="str">
        <f>IFERROR(__xludf.DUMMYFUNCTION("""COMPUTED_VALUE"""),"kill")</f>
        <v>kill</v>
      </c>
      <c r="M301" s="6" t="str">
        <f>IFERROR(__xludf.DUMMYFUNCTION("""COMPUTED_VALUE"""),"cheese")</f>
        <v>cheese</v>
      </c>
      <c r="N301" s="6" t="str">
        <f>IFERROR(__xludf.DUMMYFUNCTION("""COMPUTED_VALUE"""),"convinced")</f>
        <v>convinced</v>
      </c>
      <c r="P301" s="6" t="str">
        <f>IFERROR(__xludf.DUMMYFUNCTION("""COMPUTED_VALUE"""),"debut")</f>
        <v>debut</v>
      </c>
      <c r="Q301" s="6" t="str">
        <f>IFERROR(__xludf.DUMMYFUNCTION("""COMPUTED_VALUE"""),"indian")</f>
        <v>indian</v>
      </c>
      <c r="S301" s="6" t="str">
        <f>IFERROR(__xludf.DUMMYFUNCTION("""COMPUTED_VALUE"""),"things")</f>
        <v>things</v>
      </c>
    </row>
    <row r="302">
      <c r="B302" s="6"/>
      <c r="D302" s="6"/>
      <c r="G302" s="6" t="str">
        <f>IFERROR(__xludf.DUMMYFUNCTION("""COMPUTED_VALUE"""),"ability")</f>
        <v>ability</v>
      </c>
      <c r="H302" s="6" t="str">
        <f>IFERROR(__xludf.DUMMYFUNCTION("""COMPUTED_VALUE"""),"question")</f>
        <v>question</v>
      </c>
      <c r="I302" s="6" t="str">
        <f>IFERROR(__xludf.DUMMYFUNCTION("""COMPUTED_VALUE"""),"reality")</f>
        <v>reality</v>
      </c>
      <c r="J302" s="6" t="str">
        <f>IFERROR(__xludf.DUMMYFUNCTION("""COMPUTED_VALUE"""),"evade")</f>
        <v>evade</v>
      </c>
      <c r="L302" s="6" t="str">
        <f>IFERROR(__xludf.DUMMYFUNCTION("""COMPUTED_VALUE"""),"ticket")</f>
        <v>ticket</v>
      </c>
      <c r="M302" s="6" t="str">
        <f>IFERROR(__xludf.DUMMYFUNCTION("""COMPUTED_VALUE"""),"square")</f>
        <v>square</v>
      </c>
      <c r="N302" s="6" t="str">
        <f>IFERROR(__xludf.DUMMYFUNCTION("""COMPUTED_VALUE"""),"shelf")</f>
        <v>shelf</v>
      </c>
      <c r="P302" s="6" t="str">
        <f>IFERROR(__xludf.DUMMYFUNCTION("""COMPUTED_VALUE"""),"mainly")</f>
        <v>mainly</v>
      </c>
      <c r="Q302" s="6" t="str">
        <f>IFERROR(__xludf.DUMMYFUNCTION("""COMPUTED_VALUE"""),"schumacher")</f>
        <v>schumacher</v>
      </c>
      <c r="S302" s="6" t="str">
        <f>IFERROR(__xludf.DUMMYFUNCTION("""COMPUTED_VALUE"""),"significantly")</f>
        <v>significantly</v>
      </c>
    </row>
    <row r="303">
      <c r="B303" s="6"/>
      <c r="D303" s="6"/>
      <c r="G303" s="6" t="str">
        <f>IFERROR(__xludf.DUMMYFUNCTION("""COMPUTED_VALUE"""),"report")</f>
        <v>report</v>
      </c>
      <c r="H303" s="6" t="str">
        <f>IFERROR(__xludf.DUMMYFUNCTION("""COMPUTED_VALUE"""),"failure")</f>
        <v>failure</v>
      </c>
      <c r="I303" s="6" t="str">
        <f>IFERROR(__xludf.DUMMYFUNCTION("""COMPUTED_VALUE"""),"whatever")</f>
        <v>whatever</v>
      </c>
      <c r="J303" s="6" t="str">
        <f>IFERROR(__xludf.DUMMYFUNCTION("""COMPUTED_VALUE"""),"tv")</f>
        <v>tv</v>
      </c>
      <c r="L303" s="6" t="str">
        <f>IFERROR(__xludf.DUMMYFUNCTION("""COMPUTED_VALUE"""),"distracting")</f>
        <v>distracting</v>
      </c>
      <c r="M303" s="6" t="str">
        <f>IFERROR(__xludf.DUMMYFUNCTION("""COMPUTED_VALUE"""),"pace")</f>
        <v>pace</v>
      </c>
      <c r="N303" s="6" t="str">
        <f>IFERROR(__xludf.DUMMYFUNCTION("""COMPUTED_VALUE"""),"example")</f>
        <v>example</v>
      </c>
      <c r="P303" s="6" t="str">
        <f>IFERROR(__xludf.DUMMYFUNCTION("""COMPUTED_VALUE"""),"fine")</f>
        <v>fine</v>
      </c>
      <c r="Q303" s="6" t="str">
        <f>IFERROR(__xludf.DUMMYFUNCTION("""COMPUTED_VALUE"""),"shallow")</f>
        <v>shallow</v>
      </c>
      <c r="S303" s="6" t="str">
        <f>IFERROR(__xludf.DUMMYFUNCTION("""COMPUTED_VALUE"""),"professional")</f>
        <v>professional</v>
      </c>
    </row>
    <row r="304">
      <c r="B304" s="6"/>
      <c r="D304" s="6"/>
      <c r="G304" s="6" t="str">
        <f>IFERROR(__xludf.DUMMYFUNCTION("""COMPUTED_VALUE"""),"palestinian")</f>
        <v>palestinian</v>
      </c>
      <c r="H304" s="6" t="str">
        <f>IFERROR(__xludf.DUMMYFUNCTION("""COMPUTED_VALUE"""),"suffering")</f>
        <v>suffering</v>
      </c>
      <c r="I304" s="6" t="str">
        <f>IFERROR(__xludf.DUMMYFUNCTION("""COMPUTED_VALUE"""),"bombs")</f>
        <v>bombs</v>
      </c>
      <c r="J304" s="6" t="str">
        <f>IFERROR(__xludf.DUMMYFUNCTION("""COMPUTED_VALUE"""),"purely")</f>
        <v>purely</v>
      </c>
      <c r="L304" s="6" t="str">
        <f>IFERROR(__xludf.DUMMYFUNCTION("""COMPUTED_VALUE"""),"buttons")</f>
        <v>buttons</v>
      </c>
      <c r="M304" s="6" t="str">
        <f>IFERROR(__xludf.DUMMYFUNCTION("""COMPUTED_VALUE"""),"comes")</f>
        <v>comes</v>
      </c>
      <c r="N304" s="6" t="str">
        <f>IFERROR(__xludf.DUMMYFUNCTION("""COMPUTED_VALUE"""),"via")</f>
        <v>via</v>
      </c>
      <c r="P304" s="6" t="str">
        <f>IFERROR(__xludf.DUMMYFUNCTION("""COMPUTED_VALUE"""),"aimed")</f>
        <v>aimed</v>
      </c>
      <c r="Q304" s="6" t="str">
        <f>IFERROR(__xludf.DUMMYFUNCTION("""COMPUTED_VALUE"""),"targeted")</f>
        <v>targeted</v>
      </c>
      <c r="S304" s="6" t="str">
        <f>IFERROR(__xludf.DUMMYFUNCTION("""COMPUTED_VALUE"""),"smooth")</f>
        <v>smooth</v>
      </c>
    </row>
    <row r="305">
      <c r="B305" s="6"/>
      <c r="D305" s="6"/>
      <c r="G305" s="6" t="str">
        <f>IFERROR(__xludf.DUMMYFUNCTION("""COMPUTED_VALUE"""),"suffers")</f>
        <v>suffers</v>
      </c>
      <c r="H305" s="6" t="str">
        <f>IFERROR(__xludf.DUMMYFUNCTION("""COMPUTED_VALUE"""),"powerful")</f>
        <v>powerful</v>
      </c>
      <c r="I305" s="6" t="str">
        <f>IFERROR(__xludf.DUMMYFUNCTION("""COMPUTED_VALUE"""),"stories")</f>
        <v>stories</v>
      </c>
      <c r="J305" s="6" t="str">
        <f>IFERROR(__xludf.DUMMYFUNCTION("""COMPUTED_VALUE"""),"question")</f>
        <v>question</v>
      </c>
      <c r="L305" s="6" t="str">
        <f>IFERROR(__xludf.DUMMYFUNCTION("""COMPUTED_VALUE"""),"condition")</f>
        <v>condition</v>
      </c>
      <c r="M305" s="6" t="str">
        <f>IFERROR(__xludf.DUMMYFUNCTION("""COMPUTED_VALUE"""),"ca")</f>
        <v>ca</v>
      </c>
      <c r="N305" s="6" t="str">
        <f>IFERROR(__xludf.DUMMYFUNCTION("""COMPUTED_VALUE"""),"filmmakers")</f>
        <v>filmmakers</v>
      </c>
      <c r="P305" s="6" t="str">
        <f>IFERROR(__xludf.DUMMYFUNCTION("""COMPUTED_VALUE"""),"seats")</f>
        <v>seats</v>
      </c>
      <c r="Q305" s="6" t="str">
        <f>IFERROR(__xludf.DUMMYFUNCTION("""COMPUTED_VALUE"""),"carnage")</f>
        <v>carnage</v>
      </c>
      <c r="S305" s="6" t="str">
        <f>IFERROR(__xludf.DUMMYFUNCTION("""COMPUTED_VALUE"""),"change")</f>
        <v>change</v>
      </c>
    </row>
    <row r="306">
      <c r="B306" s="6"/>
      <c r="D306" s="6"/>
      <c r="G306" s="6" t="str">
        <f>IFERROR(__xludf.DUMMYFUNCTION("""COMPUTED_VALUE"""),"strong")</f>
        <v>strong</v>
      </c>
      <c r="H306" s="6" t="str">
        <f>IFERROR(__xludf.DUMMYFUNCTION("""COMPUTED_VALUE"""),"cinematography")</f>
        <v>cinematography</v>
      </c>
      <c r="I306" s="6" t="str">
        <f>IFERROR(__xludf.DUMMYFUNCTION("""COMPUTED_VALUE"""),"surface")</f>
        <v>surface</v>
      </c>
      <c r="J306" s="6" t="str">
        <f>IFERROR(__xludf.DUMMYFUNCTION("""COMPUTED_VALUE"""),"failure")</f>
        <v>failure</v>
      </c>
      <c r="L306" s="6" t="str">
        <f>IFERROR(__xludf.DUMMYFUNCTION("""COMPUTED_VALUE"""),"frame")</f>
        <v>frame</v>
      </c>
      <c r="M306" s="6" t="str">
        <f>IFERROR(__xludf.DUMMYFUNCTION("""COMPUTED_VALUE"""),"growing")</f>
        <v>growing</v>
      </c>
      <c r="N306" s="6" t="str">
        <f>IFERROR(__xludf.DUMMYFUNCTION("""COMPUTED_VALUE"""),"seats")</f>
        <v>seats</v>
      </c>
      <c r="P306" s="6" t="str">
        <f>IFERROR(__xludf.DUMMYFUNCTION("""COMPUTED_VALUE"""),"kids")</f>
        <v>kids</v>
      </c>
      <c r="Q306" s="6" t="str">
        <f>IFERROR(__xludf.DUMMYFUNCTION("""COMPUTED_VALUE"""),"footage")</f>
        <v>footage</v>
      </c>
      <c r="S306" s="6" t="str">
        <f>IFERROR(__xludf.DUMMYFUNCTION("""COMPUTED_VALUE"""),"tone")</f>
        <v>tone</v>
      </c>
    </row>
    <row r="307">
      <c r="B307" s="6"/>
      <c r="D307" s="6"/>
      <c r="G307" s="6" t="str">
        <f>IFERROR(__xludf.DUMMYFUNCTION("""COMPUTED_VALUE"""),"flickering")</f>
        <v>flickering</v>
      </c>
      <c r="H307" s="6" t="str">
        <f>IFERROR(__xludf.DUMMYFUNCTION("""COMPUTED_VALUE"""),"making")</f>
        <v>making</v>
      </c>
      <c r="I307" s="6" t="str">
        <f>IFERROR(__xludf.DUMMYFUNCTION("""COMPUTED_VALUE"""),"machine")</f>
        <v>machine</v>
      </c>
      <c r="J307" s="6" t="str">
        <f>IFERROR(__xludf.DUMMYFUNCTION("""COMPUTED_VALUE"""),"suffering")</f>
        <v>suffering</v>
      </c>
      <c r="L307" s="6" t="str">
        <f>IFERROR(__xludf.DUMMYFUNCTION("""COMPUTED_VALUE"""),"ability")</f>
        <v>ability</v>
      </c>
      <c r="M307" s="6" t="str">
        <f>IFERROR(__xludf.DUMMYFUNCTION("""COMPUTED_VALUE"""),"forget")</f>
        <v>forget</v>
      </c>
      <c r="N307" s="6" t="str">
        <f>IFERROR(__xludf.DUMMYFUNCTION("""COMPUTED_VALUE"""),"movie")</f>
        <v>movie</v>
      </c>
      <c r="P307" s="6" t="str">
        <f>IFERROR(__xludf.DUMMYFUNCTION("""COMPUTED_VALUE"""),"observation")</f>
        <v>observation</v>
      </c>
      <c r="Q307" s="6" t="str">
        <f>IFERROR(__xludf.DUMMYFUNCTION("""COMPUTED_VALUE"""),"fiddle")</f>
        <v>fiddle</v>
      </c>
      <c r="S307" s="6" t="str">
        <f>IFERROR(__xludf.DUMMYFUNCTION("""COMPUTED_VALUE"""),"beat")</f>
        <v>beat</v>
      </c>
    </row>
    <row r="308">
      <c r="B308" s="6"/>
      <c r="D308" s="6"/>
      <c r="G308" s="6" t="str">
        <f>IFERROR(__xludf.DUMMYFUNCTION("""COMPUTED_VALUE"""),"loses")</f>
        <v>loses</v>
      </c>
      <c r="H308" s="6" t="str">
        <f>IFERROR(__xludf.DUMMYFUNCTION("""COMPUTED_VALUE"""),"needs")</f>
        <v>needs</v>
      </c>
      <c r="I308" s="6" t="str">
        <f>IFERROR(__xludf.DUMMYFUNCTION("""COMPUTED_VALUE"""),"means")</f>
        <v>means</v>
      </c>
      <c r="J308" s="6" t="str">
        <f>IFERROR(__xludf.DUMMYFUNCTION("""COMPUTED_VALUE"""),"powerful")</f>
        <v>powerful</v>
      </c>
      <c r="L308" s="6" t="str">
        <f>IFERROR(__xludf.DUMMYFUNCTION("""COMPUTED_VALUE"""),"land")</f>
        <v>land</v>
      </c>
      <c r="M308" s="6" t="str">
        <f>IFERROR(__xludf.DUMMYFUNCTION("""COMPUTED_VALUE"""),"positive")</f>
        <v>positive</v>
      </c>
      <c r="N308" s="6" t="str">
        <f>IFERROR(__xludf.DUMMYFUNCTION("""COMPUTED_VALUE"""),"films")</f>
        <v>films</v>
      </c>
      <c r="P308" s="6" t="str">
        <f>IFERROR(__xludf.DUMMYFUNCTION("""COMPUTED_VALUE"""),"girls")</f>
        <v>girls</v>
      </c>
      <c r="Q308" s="6" t="str">
        <f>IFERROR(__xludf.DUMMYFUNCTION("""COMPUTED_VALUE"""),"second")</f>
        <v>second</v>
      </c>
      <c r="S308" s="6" t="str">
        <f>IFERROR(__xludf.DUMMYFUNCTION("""COMPUTED_VALUE"""),"inside")</f>
        <v>inside</v>
      </c>
    </row>
    <row r="309">
      <c r="B309" s="6"/>
      <c r="D309" s="6"/>
      <c r="G309" s="6" t="str">
        <f>IFERROR(__xludf.DUMMYFUNCTION("""COMPUTED_VALUE"""),"dragon")</f>
        <v>dragon</v>
      </c>
      <c r="H309" s="6" t="str">
        <f>IFERROR(__xludf.DUMMYFUNCTION("""COMPUTED_VALUE"""),"surreal")</f>
        <v>surreal</v>
      </c>
      <c r="I309" s="6" t="str">
        <f>IFERROR(__xludf.DUMMYFUNCTION("""COMPUTED_VALUE"""),"situation")</f>
        <v>situation</v>
      </c>
      <c r="J309" s="6" t="str">
        <f>IFERROR(__xludf.DUMMYFUNCTION("""COMPUTED_VALUE"""),"cinematography")</f>
        <v>cinematography</v>
      </c>
      <c r="L309" s="6" t="str">
        <f>IFERROR(__xludf.DUMMYFUNCTION("""COMPUTED_VALUE"""),"hall")</f>
        <v>hall</v>
      </c>
      <c r="M309" s="6" t="str">
        <f>IFERROR(__xludf.DUMMYFUNCTION("""COMPUTED_VALUE"""),"minute")</f>
        <v>minute</v>
      </c>
      <c r="N309" s="6" t="str">
        <f>IFERROR(__xludf.DUMMYFUNCTION("""COMPUTED_VALUE"""),"audience")</f>
        <v>audience</v>
      </c>
      <c r="P309" s="6" t="str">
        <f>IFERROR(__xludf.DUMMYFUNCTION("""COMPUTED_VALUE"""),"beings")</f>
        <v>beings</v>
      </c>
      <c r="Q309" s="6" t="str">
        <f>IFERROR(__xludf.DUMMYFUNCTION("""COMPUTED_VALUE"""),"nomination")</f>
        <v>nomination</v>
      </c>
      <c r="S309" s="6" t="str">
        <f>IFERROR(__xludf.DUMMYFUNCTION("""COMPUTED_VALUE"""),"term")</f>
        <v>term</v>
      </c>
    </row>
    <row r="310">
      <c r="B310" s="6"/>
      <c r="D310" s="6"/>
      <c r="G310" s="6" t="str">
        <f>IFERROR(__xludf.DUMMYFUNCTION("""COMPUTED_VALUE"""),"midway")</f>
        <v>midway</v>
      </c>
      <c r="H310" s="6" t="str">
        <f>IFERROR(__xludf.DUMMYFUNCTION("""COMPUTED_VALUE"""),"chateau")</f>
        <v>chateau</v>
      </c>
      <c r="I310" s="6" t="str">
        <f>IFERROR(__xludf.DUMMYFUNCTION("""COMPUTED_VALUE"""),"responsible")</f>
        <v>responsible</v>
      </c>
      <c r="J310" s="6" t="str">
        <f>IFERROR(__xludf.DUMMYFUNCTION("""COMPUTED_VALUE"""),"surreal")</f>
        <v>surreal</v>
      </c>
      <c r="L310" s="6" t="str">
        <f>IFERROR(__xludf.DUMMYFUNCTION("""COMPUTED_VALUE"""),"sweetly")</f>
        <v>sweetly</v>
      </c>
      <c r="M310" s="6" t="str">
        <f>IFERROR(__xludf.DUMMYFUNCTION("""COMPUTED_VALUE"""),"hanging")</f>
        <v>hanging</v>
      </c>
      <c r="N310" s="6" t="str">
        <f>IFERROR(__xludf.DUMMYFUNCTION("""COMPUTED_VALUE"""),"film")</f>
        <v>film</v>
      </c>
      <c r="P310" s="6" t="str">
        <f>IFERROR(__xludf.DUMMYFUNCTION("""COMPUTED_VALUE"""),"players")</f>
        <v>players</v>
      </c>
      <c r="Q310" s="6" t="str">
        <f>IFERROR(__xludf.DUMMYFUNCTION("""COMPUTED_VALUE"""),"offering")</f>
        <v>offering</v>
      </c>
      <c r="S310" s="6" t="str">
        <f>IFERROR(__xludf.DUMMYFUNCTION("""COMPUTED_VALUE"""),"respect")</f>
        <v>respect</v>
      </c>
    </row>
    <row r="311">
      <c r="B311" s="6"/>
      <c r="D311" s="6"/>
      <c r="G311" s="6" t="str">
        <f>IFERROR(__xludf.DUMMYFUNCTION("""COMPUTED_VALUE"""),"pleasing")</f>
        <v>pleasing</v>
      </c>
      <c r="H311" s="6" t="str">
        <f>IFERROR(__xludf.DUMMYFUNCTION("""COMPUTED_VALUE"""),"passion")</f>
        <v>passion</v>
      </c>
      <c r="I311" s="6" t="str">
        <f>IFERROR(__xludf.DUMMYFUNCTION("""COMPUTED_VALUE"""),"darkness")</f>
        <v>darkness</v>
      </c>
      <c r="J311" s="6" t="str">
        <f>IFERROR(__xludf.DUMMYFUNCTION("""COMPUTED_VALUE"""),"passion")</f>
        <v>passion</v>
      </c>
      <c r="L311" s="6" t="str">
        <f>IFERROR(__xludf.DUMMYFUNCTION("""COMPUTED_VALUE"""),"kinda")</f>
        <v>kinda</v>
      </c>
      <c r="M311" s="6" t="str">
        <f>IFERROR(__xludf.DUMMYFUNCTION("""COMPUTED_VALUE"""),"section")</f>
        <v>section</v>
      </c>
      <c r="N311" s="6" t="str">
        <f>IFERROR(__xludf.DUMMYFUNCTION("""COMPUTED_VALUE"""),"popcorn")</f>
        <v>popcorn</v>
      </c>
      <c r="P311" s="6" t="str">
        <f>IFERROR(__xludf.DUMMYFUNCTION("""COMPUTED_VALUE"""),"made")</f>
        <v>made</v>
      </c>
      <c r="Q311" s="6" t="str">
        <f>IFERROR(__xludf.DUMMYFUNCTION("""COMPUTED_VALUE"""),"kahn")</f>
        <v>kahn</v>
      </c>
      <c r="S311" s="6" t="str">
        <f>IFERROR(__xludf.DUMMYFUNCTION("""COMPUTED_VALUE"""),"showing")</f>
        <v>showing</v>
      </c>
    </row>
    <row r="312">
      <c r="B312" s="6"/>
      <c r="D312" s="6"/>
      <c r="G312" s="6" t="str">
        <f>IFERROR(__xludf.DUMMYFUNCTION("""COMPUTED_VALUE"""),"lightweight")</f>
        <v>lightweight</v>
      </c>
      <c r="H312" s="6" t="str">
        <f>IFERROR(__xludf.DUMMYFUNCTION("""COMPUTED_VALUE"""),"rendering")</f>
        <v>rendering</v>
      </c>
      <c r="I312" s="6">
        <f>IFERROR(__xludf.DUMMYFUNCTION("""COMPUTED_VALUE"""),1984.0)</f>
        <v>1984</v>
      </c>
      <c r="J312" s="6" t="str">
        <f>IFERROR(__xludf.DUMMYFUNCTION("""COMPUTED_VALUE"""),"man")</f>
        <v>man</v>
      </c>
      <c r="L312" s="6" t="str">
        <f>IFERROR(__xludf.DUMMYFUNCTION("""COMPUTED_VALUE"""),"darkness")</f>
        <v>darkness</v>
      </c>
      <c r="M312" s="6" t="str">
        <f>IFERROR(__xludf.DUMMYFUNCTION("""COMPUTED_VALUE"""),"*")</f>
        <v>*</v>
      </c>
      <c r="N312" s="6" t="str">
        <f>IFERROR(__xludf.DUMMYFUNCTION("""COMPUTED_VALUE"""),"skin")</f>
        <v>skin</v>
      </c>
      <c r="P312" s="6" t="str">
        <f>IFERROR(__xludf.DUMMYFUNCTION("""COMPUTED_VALUE"""),"dates")</f>
        <v>dates</v>
      </c>
      <c r="Q312" s="6" t="str">
        <f>IFERROR(__xludf.DUMMYFUNCTION("""COMPUTED_VALUE"""),"esther")</f>
        <v>esther</v>
      </c>
      <c r="S312" s="6" t="str">
        <f>IFERROR(__xludf.DUMMYFUNCTION("""COMPUTED_VALUE"""),"emotions")</f>
        <v>emotions</v>
      </c>
    </row>
    <row r="313">
      <c r="B313" s="6"/>
      <c r="D313" s="6"/>
      <c r="G313" s="6" t="str">
        <f>IFERROR(__xludf.DUMMYFUNCTION("""COMPUTED_VALUE"""),"commercial")</f>
        <v>commercial</v>
      </c>
      <c r="H313" s="6" t="str">
        <f>IFERROR(__xludf.DUMMYFUNCTION("""COMPUTED_VALUE"""),"man")</f>
        <v>man</v>
      </c>
      <c r="I313" s="6" t="str">
        <f>IFERROR(__xludf.DUMMYFUNCTION("""COMPUTED_VALUE"""),"predecessor")</f>
        <v>predecessor</v>
      </c>
      <c r="J313" s="6" t="str">
        <f>IFERROR(__xludf.DUMMYFUNCTION("""COMPUTED_VALUE"""),"partisans")</f>
        <v>partisans</v>
      </c>
      <c r="L313" s="6" t="str">
        <f>IFERROR(__xludf.DUMMYFUNCTION("""COMPUTED_VALUE"""),"laughter")</f>
        <v>laughter</v>
      </c>
      <c r="M313" s="6" t="str">
        <f>IFERROR(__xludf.DUMMYFUNCTION("""COMPUTED_VALUE"""),"dog")</f>
        <v>dog</v>
      </c>
      <c r="N313" s="6" t="str">
        <f>IFERROR(__xludf.DUMMYFUNCTION("""COMPUTED_VALUE"""),"station")</f>
        <v>station</v>
      </c>
      <c r="P313" s="6" t="str">
        <f>IFERROR(__xludf.DUMMYFUNCTION("""COMPUTED_VALUE"""),"sex")</f>
        <v>sex</v>
      </c>
      <c r="Q313" s="6" t="str">
        <f>IFERROR(__xludf.DUMMYFUNCTION("""COMPUTED_VALUE"""),"irritating")</f>
        <v>irritating</v>
      </c>
      <c r="S313" s="6" t="str">
        <f>IFERROR(__xludf.DUMMYFUNCTION("""COMPUTED_VALUE"""),"honest")</f>
        <v>honest</v>
      </c>
    </row>
    <row r="314">
      <c r="B314" s="6"/>
      <c r="D314" s="6"/>
      <c r="G314" s="6" t="str">
        <f>IFERROR(__xludf.DUMMYFUNCTION("""COMPUTED_VALUE"""),"hastily")</f>
        <v>hastily</v>
      </c>
      <c r="H314" s="6" t="str">
        <f>IFERROR(__xludf.DUMMYFUNCTION("""COMPUTED_VALUE"""),"dolls")</f>
        <v>dolls</v>
      </c>
      <c r="I314" s="6" t="str">
        <f>IFERROR(__xludf.DUMMYFUNCTION("""COMPUTED_VALUE"""),"romantic")</f>
        <v>romantic</v>
      </c>
      <c r="J314" s="6" t="str">
        <f>IFERROR(__xludf.DUMMYFUNCTION("""COMPUTED_VALUE"""),"argentine")</f>
        <v>argentine</v>
      </c>
      <c r="L314" s="6" t="str">
        <f>IFERROR(__xludf.DUMMYFUNCTION("""COMPUTED_VALUE"""),"underneath")</f>
        <v>underneath</v>
      </c>
      <c r="M314" s="6" t="str">
        <f>IFERROR(__xludf.DUMMYFUNCTION("""COMPUTED_VALUE"""),"four")</f>
        <v>four</v>
      </c>
      <c r="N314" s="6" t="str">
        <f>IFERROR(__xludf.DUMMYFUNCTION("""COMPUTED_VALUE"""),"late")</f>
        <v>late</v>
      </c>
      <c r="P314" s="6" t="str">
        <f>IFERROR(__xludf.DUMMYFUNCTION("""COMPUTED_VALUE"""),"becomes")</f>
        <v>becomes</v>
      </c>
      <c r="Q314" s="6" t="str">
        <f>IFERROR(__xludf.DUMMYFUNCTION("""COMPUTED_VALUE"""),"halfway")</f>
        <v>halfway</v>
      </c>
      <c r="S314" s="6" t="str">
        <f>IFERROR(__xludf.DUMMYFUNCTION("""COMPUTED_VALUE"""),"london")</f>
        <v>london</v>
      </c>
    </row>
    <row r="315">
      <c r="B315" s="6"/>
      <c r="D315" s="6"/>
      <c r="G315" s="6" t="str">
        <f>IFERROR(__xludf.DUMMYFUNCTION("""COMPUTED_VALUE"""),"bombs")</f>
        <v>bombs</v>
      </c>
      <c r="H315" s="6" t="str">
        <f>IFERROR(__xludf.DUMMYFUNCTION("""COMPUTED_VALUE"""),"nonstop")</f>
        <v>nonstop</v>
      </c>
      <c r="I315" s="6" t="str">
        <f>IFERROR(__xludf.DUMMYFUNCTION("""COMPUTED_VALUE"""),"teen")</f>
        <v>teen</v>
      </c>
      <c r="J315" s="6" t="str">
        <f>IFERROR(__xludf.DUMMYFUNCTION("""COMPUTED_VALUE"""),"son")</f>
        <v>son</v>
      </c>
      <c r="L315" s="6" t="str">
        <f>IFERROR(__xludf.DUMMYFUNCTION("""COMPUTED_VALUE"""),"wind")</f>
        <v>wind</v>
      </c>
      <c r="M315" s="6" t="str">
        <f>IFERROR(__xludf.DUMMYFUNCTION("""COMPUTED_VALUE"""),"tear")</f>
        <v>tear</v>
      </c>
      <c r="N315" s="6" t="str">
        <f>IFERROR(__xludf.DUMMYFUNCTION("""COMPUTED_VALUE"""),"set")</f>
        <v>set</v>
      </c>
      <c r="P315" s="6" t="str">
        <f>IFERROR(__xludf.DUMMYFUNCTION("""COMPUTED_VALUE"""),"demands")</f>
        <v>demands</v>
      </c>
      <c r="Q315" s="6" t="str">
        <f>IFERROR(__xludf.DUMMYFUNCTION("""COMPUTED_VALUE"""),"beginning")</f>
        <v>beginning</v>
      </c>
      <c r="S315" s="6" t="str">
        <f>IFERROR(__xludf.DUMMYFUNCTION("""COMPUTED_VALUE"""),"title")</f>
        <v>title</v>
      </c>
    </row>
    <row r="316">
      <c r="B316" s="6"/>
      <c r="D316" s="6"/>
      <c r="G316" s="6" t="str">
        <f>IFERROR(__xludf.DUMMYFUNCTION("""COMPUTED_VALUE"""),"stories")</f>
        <v>stories</v>
      </c>
      <c r="H316" s="6" t="str">
        <f>IFERROR(__xludf.DUMMYFUNCTION("""COMPUTED_VALUE"""),"partisans")</f>
        <v>partisans</v>
      </c>
      <c r="I316" s="6" t="str">
        <f>IFERROR(__xludf.DUMMYFUNCTION("""COMPUTED_VALUE"""),"acid")</f>
        <v>acid</v>
      </c>
      <c r="J316" s="6" t="str">
        <f>IFERROR(__xludf.DUMMYFUNCTION("""COMPUTED_VALUE"""),"celebrates")</f>
        <v>celebrates</v>
      </c>
      <c r="L316" s="6" t="str">
        <f>IFERROR(__xludf.DUMMYFUNCTION("""COMPUTED_VALUE"""),"shining")</f>
        <v>shining</v>
      </c>
      <c r="M316" s="6" t="str">
        <f>IFERROR(__xludf.DUMMYFUNCTION("""COMPUTED_VALUE"""),"promise")</f>
        <v>promise</v>
      </c>
      <c r="N316" s="6" t="str">
        <f>IFERROR(__xludf.DUMMYFUNCTION("""COMPUTED_VALUE"""),"upon")</f>
        <v>upon</v>
      </c>
      <c r="P316" s="6" t="str">
        <f>IFERROR(__xludf.DUMMYFUNCTION("""COMPUTED_VALUE"""),"merely")</f>
        <v>merely</v>
      </c>
      <c r="Q316" s="6" t="str">
        <f>IFERROR(__xludf.DUMMYFUNCTION("""COMPUTED_VALUE"""),"setup")</f>
        <v>setup</v>
      </c>
      <c r="S316" s="6" t="str">
        <f>IFERROR(__xludf.DUMMYFUNCTION("""COMPUTED_VALUE"""),"thin")</f>
        <v>thin</v>
      </c>
    </row>
    <row r="317">
      <c r="B317" s="6"/>
      <c r="D317" s="6"/>
      <c r="G317" s="6" t="str">
        <f>IFERROR(__xludf.DUMMYFUNCTION("""COMPUTED_VALUE"""),"stupidity")</f>
        <v>stupidity</v>
      </c>
      <c r="H317" s="6" t="str">
        <f>IFERROR(__xludf.DUMMYFUNCTION("""COMPUTED_VALUE"""),"torture")</f>
        <v>torture</v>
      </c>
      <c r="I317" s="6" t="str">
        <f>IFERROR(__xludf.DUMMYFUNCTION("""COMPUTED_VALUE"""),"sweet")</f>
        <v>sweet</v>
      </c>
      <c r="J317" s="6" t="str">
        <f>IFERROR(__xludf.DUMMYFUNCTION("""COMPUTED_VALUE"""),"white")</f>
        <v>white</v>
      </c>
      <c r="L317" s="6" t="str">
        <f>IFERROR(__xludf.DUMMYFUNCTION("""COMPUTED_VALUE"""),"frank")</f>
        <v>frank</v>
      </c>
      <c r="M317" s="6" t="str">
        <f>IFERROR(__xludf.DUMMYFUNCTION("""COMPUTED_VALUE"""),"face")</f>
        <v>face</v>
      </c>
      <c r="N317" s="6" t="str">
        <f>IFERROR(__xludf.DUMMYFUNCTION("""COMPUTED_VALUE"""),"handled")</f>
        <v>handled</v>
      </c>
      <c r="P317" s="6" t="str">
        <f>IFERROR(__xludf.DUMMYFUNCTION("""COMPUTED_VALUE"""),"culture")</f>
        <v>culture</v>
      </c>
      <c r="Q317" s="6" t="str">
        <f>IFERROR(__xludf.DUMMYFUNCTION("""COMPUTED_VALUE"""),"grips")</f>
        <v>grips</v>
      </c>
      <c r="S317" s="6" t="str">
        <f>IFERROR(__xludf.DUMMYFUNCTION("""COMPUTED_VALUE"""),"wildlife")</f>
        <v>wildlife</v>
      </c>
    </row>
    <row r="318">
      <c r="B318" s="6"/>
      <c r="D318" s="6"/>
      <c r="G318" s="6" t="str">
        <f>IFERROR(__xludf.DUMMYFUNCTION("""COMPUTED_VALUE"""),"depths")</f>
        <v>depths</v>
      </c>
      <c r="H318" s="6" t="str">
        <f>IFERROR(__xludf.DUMMYFUNCTION("""COMPUTED_VALUE"""),"argentine")</f>
        <v>argentine</v>
      </c>
      <c r="I318" s="6" t="str">
        <f>IFERROR(__xludf.DUMMYFUNCTION("""COMPUTED_VALUE"""),"construct")</f>
        <v>construct</v>
      </c>
      <c r="J318" s="6" t="str">
        <f>IFERROR(__xludf.DUMMYFUNCTION("""COMPUTED_VALUE"""),"vulnerable")</f>
        <v>vulnerable</v>
      </c>
      <c r="L318" s="6" t="str">
        <f>IFERROR(__xludf.DUMMYFUNCTION("""COMPUTED_VALUE"""),"pictures")</f>
        <v>pictures</v>
      </c>
      <c r="M318" s="6" t="str">
        <f>IFERROR(__xludf.DUMMYFUNCTION("""COMPUTED_VALUE"""),"red")</f>
        <v>red</v>
      </c>
      <c r="N318" s="6" t="str">
        <f>IFERROR(__xludf.DUMMYFUNCTION("""COMPUTED_VALUE"""),"optimistic")</f>
        <v>optimistic</v>
      </c>
      <c r="P318" s="6" t="str">
        <f>IFERROR(__xludf.DUMMYFUNCTION("""COMPUTED_VALUE"""),"delivered")</f>
        <v>delivered</v>
      </c>
      <c r="Q318" s="6" t="str">
        <f>IFERROR(__xludf.DUMMYFUNCTION("""COMPUTED_VALUE"""),"fascinating")</f>
        <v>fascinating</v>
      </c>
      <c r="S318" s="6" t="str">
        <f>IFERROR(__xludf.DUMMYFUNCTION("""COMPUTED_VALUE"""),"spare")</f>
        <v>spare</v>
      </c>
    </row>
    <row r="319">
      <c r="B319" s="6"/>
      <c r="D319" s="6"/>
      <c r="G319" s="6" t="str">
        <f>IFERROR(__xludf.DUMMYFUNCTION("""COMPUTED_VALUE"""),"machine")</f>
        <v>machine</v>
      </c>
      <c r="H319" s="6" t="str">
        <f>IFERROR(__xludf.DUMMYFUNCTION("""COMPUTED_VALUE"""),"celebrates")</f>
        <v>celebrates</v>
      </c>
      <c r="I319" s="6" t="str">
        <f>IFERROR(__xludf.DUMMYFUNCTION("""COMPUTED_VALUE"""),"trace")</f>
        <v>trace</v>
      </c>
      <c r="J319" s="6" t="str">
        <f>IFERROR(__xludf.DUMMYFUNCTION("""COMPUTED_VALUE"""),"isolation")</f>
        <v>isolation</v>
      </c>
      <c r="L319" s="6" t="str">
        <f>IFERROR(__xludf.DUMMYFUNCTION("""COMPUTED_VALUE"""),"circumstances")</f>
        <v>circumstances</v>
      </c>
      <c r="M319" s="6" t="str">
        <f>IFERROR(__xludf.DUMMYFUNCTION("""COMPUTED_VALUE"""),"open")</f>
        <v>open</v>
      </c>
      <c r="N319" s="6" t="str">
        <f>IFERROR(__xludf.DUMMYFUNCTION("""COMPUTED_VALUE"""),"tv")</f>
        <v>tv</v>
      </c>
      <c r="P319" s="6" t="str">
        <f>IFERROR(__xludf.DUMMYFUNCTION("""COMPUTED_VALUE"""),"scenes")</f>
        <v>scenes</v>
      </c>
      <c r="Q319" s="6" t="str">
        <f>IFERROR(__xludf.DUMMYFUNCTION("""COMPUTED_VALUE"""),"moves")</f>
        <v>moves</v>
      </c>
      <c r="S319" s="6" t="str">
        <f>IFERROR(__xludf.DUMMYFUNCTION("""COMPUTED_VALUE"""),"plain")</f>
        <v>plain</v>
      </c>
    </row>
    <row r="320">
      <c r="B320" s="6"/>
      <c r="D320" s="6"/>
      <c r="G320" s="6" t="str">
        <f>IFERROR(__xludf.DUMMYFUNCTION("""COMPUTED_VALUE"""),"complexity")</f>
        <v>complexity</v>
      </c>
      <c r="H320" s="6" t="str">
        <f>IFERROR(__xludf.DUMMYFUNCTION("""COMPUTED_VALUE"""),"white")</f>
        <v>white</v>
      </c>
      <c r="I320" s="6" t="str">
        <f>IFERROR(__xludf.DUMMYFUNCTION("""COMPUTED_VALUE"""),"debt")</f>
        <v>debt</v>
      </c>
      <c r="J320" s="6" t="str">
        <f>IFERROR(__xludf.DUMMYFUNCTION("""COMPUTED_VALUE"""),"plight")</f>
        <v>plight</v>
      </c>
      <c r="L320" s="6" t="str">
        <f>IFERROR(__xludf.DUMMYFUNCTION("""COMPUTED_VALUE"""),"screen")</f>
        <v>screen</v>
      </c>
      <c r="M320" s="6" t="str">
        <f>IFERROR(__xludf.DUMMYFUNCTION("""COMPUTED_VALUE"""),"score")</f>
        <v>score</v>
      </c>
      <c r="N320" s="6" t="str">
        <f>IFERROR(__xludf.DUMMYFUNCTION("""COMPUTED_VALUE"""),"sides")</f>
        <v>sides</v>
      </c>
      <c r="P320" s="6" t="str">
        <f>IFERROR(__xludf.DUMMYFUNCTION("""COMPUTED_VALUE"""),"gaining")</f>
        <v>gaining</v>
      </c>
      <c r="Q320" s="6" t="str">
        <f>IFERROR(__xludf.DUMMYFUNCTION("""COMPUTED_VALUE"""),"camera")</f>
        <v>camera</v>
      </c>
      <c r="S320" s="6" t="str">
        <f>IFERROR(__xludf.DUMMYFUNCTION("""COMPUTED_VALUE"""),"different")</f>
        <v>different</v>
      </c>
    </row>
    <row r="321">
      <c r="B321" s="6"/>
      <c r="D321" s="6"/>
      <c r="G321" s="6" t="str">
        <f>IFERROR(__xludf.DUMMYFUNCTION("""COMPUTED_VALUE"""),"means")</f>
        <v>means</v>
      </c>
      <c r="H321" s="6" t="str">
        <f>IFERROR(__xludf.DUMMYFUNCTION("""COMPUTED_VALUE"""),"vulnerable")</f>
        <v>vulnerable</v>
      </c>
      <c r="I321" s="6" t="str">
        <f>IFERROR(__xludf.DUMMYFUNCTION("""COMPUTED_VALUE"""),"laughed")</f>
        <v>laughed</v>
      </c>
      <c r="J321" s="6" t="str">
        <f>IFERROR(__xludf.DUMMYFUNCTION("""COMPUTED_VALUE"""),"watts")</f>
        <v>watts</v>
      </c>
      <c r="L321" s="6" t="str">
        <f>IFERROR(__xludf.DUMMYFUNCTION("""COMPUTED_VALUE"""),"distance")</f>
        <v>distance</v>
      </c>
      <c r="M321" s="6" t="str">
        <f>IFERROR(__xludf.DUMMYFUNCTION("""COMPUTED_VALUE"""),"high")</f>
        <v>high</v>
      </c>
      <c r="N321" s="6" t="str">
        <f>IFERROR(__xludf.DUMMYFUNCTION("""COMPUTED_VALUE"""),"women")</f>
        <v>women</v>
      </c>
      <c r="P321" s="6" t="str">
        <f>IFERROR(__xludf.DUMMYFUNCTION("""COMPUTED_VALUE"""),"sand")</f>
        <v>sand</v>
      </c>
      <c r="Q321" s="6" t="str">
        <f>IFERROR(__xludf.DUMMYFUNCTION("""COMPUTED_VALUE"""),"rhythms")</f>
        <v>rhythms</v>
      </c>
      <c r="S321" s="6" t="str">
        <f>IFERROR(__xludf.DUMMYFUNCTION("""COMPUTED_VALUE"""),"toward")</f>
        <v>toward</v>
      </c>
    </row>
    <row r="322">
      <c r="B322" s="6"/>
      <c r="D322" s="6"/>
      <c r="G322" s="6" t="str">
        <f>IFERROR(__xludf.DUMMYFUNCTION("""COMPUTED_VALUE"""),"situation")</f>
        <v>situation</v>
      </c>
      <c r="H322" s="6" t="str">
        <f>IFERROR(__xludf.DUMMYFUNCTION("""COMPUTED_VALUE"""),"isolation")</f>
        <v>isolation</v>
      </c>
      <c r="I322" s="6" t="str">
        <f>IFERROR(__xludf.DUMMYFUNCTION("""COMPUTED_VALUE"""),"laughter")</f>
        <v>laughter</v>
      </c>
      <c r="J322" s="6" t="str">
        <f>IFERROR(__xludf.DUMMYFUNCTION("""COMPUTED_VALUE"""),"female")</f>
        <v>female</v>
      </c>
      <c r="L322" s="6" t="str">
        <f>IFERROR(__xludf.DUMMYFUNCTION("""COMPUTED_VALUE"""),"perspective")</f>
        <v>perspective</v>
      </c>
      <c r="M322" s="6" t="str">
        <f>IFERROR(__xludf.DUMMYFUNCTION("""COMPUTED_VALUE"""),"puts")</f>
        <v>puts</v>
      </c>
      <c r="N322" s="6" t="str">
        <f>IFERROR(__xludf.DUMMYFUNCTION("""COMPUTED_VALUE"""),"c")</f>
        <v>c</v>
      </c>
      <c r="P322" s="6" t="str">
        <f>IFERROR(__xludf.DUMMYFUNCTION("""COMPUTED_VALUE"""),"characteristic")</f>
        <v>characteristic</v>
      </c>
      <c r="Q322" s="6" t="str">
        <f>IFERROR(__xludf.DUMMYFUNCTION("""COMPUTED_VALUE"""),"stream")</f>
        <v>stream</v>
      </c>
      <c r="S322" s="6" t="str">
        <f>IFERROR(__xludf.DUMMYFUNCTION("""COMPUTED_VALUE"""),"indian")</f>
        <v>indian</v>
      </c>
    </row>
    <row r="323">
      <c r="B323" s="6"/>
      <c r="D323" s="6"/>
      <c r="G323" s="6" t="str">
        <f>IFERROR(__xludf.DUMMYFUNCTION("""COMPUTED_VALUE"""),"darkness")</f>
        <v>darkness</v>
      </c>
      <c r="H323" s="6" t="str">
        <f>IFERROR(__xludf.DUMMYFUNCTION("""COMPUTED_VALUE"""),"plight")</f>
        <v>plight</v>
      </c>
      <c r="I323" s="6" t="str">
        <f>IFERROR(__xludf.DUMMYFUNCTION("""COMPUTED_VALUE"""),"philosophical")</f>
        <v>philosophical</v>
      </c>
      <c r="J323" s="6" t="str">
        <f>IFERROR(__xludf.DUMMYFUNCTION("""COMPUTED_VALUE"""),"darling")</f>
        <v>darling</v>
      </c>
      <c r="L323" s="6" t="str">
        <f>IFERROR(__xludf.DUMMYFUNCTION("""COMPUTED_VALUE"""),"winning")</f>
        <v>winning</v>
      </c>
      <c r="M323" s="6" t="str">
        <f>IFERROR(__xludf.DUMMYFUNCTION("""COMPUTED_VALUE"""),"offering")</f>
        <v>offering</v>
      </c>
      <c r="N323" s="6" t="str">
        <f>IFERROR(__xludf.DUMMYFUNCTION("""COMPUTED_VALUE"""),"wise")</f>
        <v>wise</v>
      </c>
      <c r="P323" s="6" t="str">
        <f>IFERROR(__xludf.DUMMYFUNCTION("""COMPUTED_VALUE"""),"classical")</f>
        <v>classical</v>
      </c>
      <c r="Q323" s="6" t="str">
        <f>IFERROR(__xludf.DUMMYFUNCTION("""COMPUTED_VALUE"""),"quintet")</f>
        <v>quintet</v>
      </c>
      <c r="S323" s="6" t="str">
        <f>IFERROR(__xludf.DUMMYFUNCTION("""COMPUTED_VALUE"""),"idea")</f>
        <v>idea</v>
      </c>
    </row>
    <row r="324">
      <c r="B324" s="6"/>
      <c r="D324" s="6"/>
      <c r="G324" s="6" t="str">
        <f>IFERROR(__xludf.DUMMYFUNCTION("""COMPUTED_VALUE"""),"insults")</f>
        <v>insults</v>
      </c>
      <c r="H324" s="6" t="str">
        <f>IFERROR(__xludf.DUMMYFUNCTION("""COMPUTED_VALUE"""),"watts")</f>
        <v>watts</v>
      </c>
      <c r="I324" s="6" t="str">
        <f>IFERROR(__xludf.DUMMYFUNCTION("""COMPUTED_VALUE"""),"drag")</f>
        <v>drag</v>
      </c>
      <c r="J324" s="6" t="str">
        <f>IFERROR(__xludf.DUMMYFUNCTION("""COMPUTED_VALUE"""),"violence")</f>
        <v>violence</v>
      </c>
      <c r="L324" s="6" t="str">
        <f>IFERROR(__xludf.DUMMYFUNCTION("""COMPUTED_VALUE"""),"spirit")</f>
        <v>spirit</v>
      </c>
      <c r="M324" s="6" t="str">
        <f>IFERROR(__xludf.DUMMYFUNCTION("""COMPUTED_VALUE"""),"broad")</f>
        <v>broad</v>
      </c>
      <c r="N324" s="6" t="str">
        <f>IFERROR(__xludf.DUMMYFUNCTION("""COMPUTED_VALUE"""),"letting")</f>
        <v>letting</v>
      </c>
      <c r="P324" s="6" t="str">
        <f>IFERROR(__xludf.DUMMYFUNCTION("""COMPUTED_VALUE"""),"successful")</f>
        <v>successful</v>
      </c>
      <c r="Q324" s="6" t="str">
        <f>IFERROR(__xludf.DUMMYFUNCTION("""COMPUTED_VALUE"""),"performed")</f>
        <v>performed</v>
      </c>
      <c r="S324" s="6" t="str">
        <f>IFERROR(__xludf.DUMMYFUNCTION("""COMPUTED_VALUE"""),"worth")</f>
        <v>worth</v>
      </c>
    </row>
    <row r="325">
      <c r="B325" s="6"/>
      <c r="D325" s="6"/>
      <c r="G325" s="6">
        <f>IFERROR(__xludf.DUMMYFUNCTION("""COMPUTED_VALUE"""),1984.0)</f>
        <v>1984</v>
      </c>
      <c r="H325" s="6" t="str">
        <f>IFERROR(__xludf.DUMMYFUNCTION("""COMPUTED_VALUE"""),"darling")</f>
        <v>darling</v>
      </c>
      <c r="I325" s="6" t="str">
        <f>IFERROR(__xludf.DUMMYFUNCTION("""COMPUTED_VALUE"""),"literary")</f>
        <v>literary</v>
      </c>
      <c r="J325" s="6" t="str">
        <f>IFERROR(__xludf.DUMMYFUNCTION("""COMPUTED_VALUE"""),"force")</f>
        <v>force</v>
      </c>
      <c r="L325" s="6" t="str">
        <f>IFERROR(__xludf.DUMMYFUNCTION("""COMPUTED_VALUE"""),"greater")</f>
        <v>greater</v>
      </c>
      <c r="M325" s="6" t="str">
        <f>IFERROR(__xludf.DUMMYFUNCTION("""COMPUTED_VALUE"""),"dozens")</f>
        <v>dozens</v>
      </c>
      <c r="N325" s="6" t="str">
        <f>IFERROR(__xludf.DUMMYFUNCTION("""COMPUTED_VALUE"""),"himself")</f>
        <v>himself</v>
      </c>
      <c r="P325" s="6" t="str">
        <f>IFERROR(__xludf.DUMMYFUNCTION("""COMPUTED_VALUE"""),"moving")</f>
        <v>moving</v>
      </c>
      <c r="Q325" s="6" t="str">
        <f>IFERROR(__xludf.DUMMYFUNCTION("""COMPUTED_VALUE"""),"actresses")</f>
        <v>actresses</v>
      </c>
      <c r="S325" s="6" t="str">
        <f>IFERROR(__xludf.DUMMYFUNCTION("""COMPUTED_VALUE"""),"produced")</f>
        <v>produced</v>
      </c>
    </row>
    <row r="326">
      <c r="B326" s="6"/>
      <c r="D326" s="6"/>
      <c r="G326" s="6" t="str">
        <f>IFERROR(__xludf.DUMMYFUNCTION("""COMPUTED_VALUE"""),"predecessor")</f>
        <v>predecessor</v>
      </c>
      <c r="H326" s="6" t="str">
        <f>IFERROR(__xludf.DUMMYFUNCTION("""COMPUTED_VALUE"""),"violence")</f>
        <v>violence</v>
      </c>
      <c r="I326" s="6" t="str">
        <f>IFERROR(__xludf.DUMMYFUNCTION("""COMPUTED_VALUE"""),"humans")</f>
        <v>humans</v>
      </c>
      <c r="J326" s="6" t="str">
        <f>IFERROR(__xludf.DUMMYFUNCTION("""COMPUTED_VALUE"""),"thriller")</f>
        <v>thriller</v>
      </c>
      <c r="L326" s="6" t="str">
        <f>IFERROR(__xludf.DUMMYFUNCTION("""COMPUTED_VALUE"""),"planet")</f>
        <v>planet</v>
      </c>
      <c r="M326" s="6" t="str">
        <f>IFERROR(__xludf.DUMMYFUNCTION("""COMPUTED_VALUE"""),"block")</f>
        <v>block</v>
      </c>
      <c r="N326" s="6" t="str">
        <f>IFERROR(__xludf.DUMMYFUNCTION("""COMPUTED_VALUE"""),"thick")</f>
        <v>thick</v>
      </c>
      <c r="P326" s="6" t="str">
        <f>IFERROR(__xludf.DUMMYFUNCTION("""COMPUTED_VALUE"""),"intelligent")</f>
        <v>intelligent</v>
      </c>
      <c r="Q326" s="6" t="str">
        <f>IFERROR(__xludf.DUMMYFUNCTION("""COMPUTED_VALUE"""),"nicely")</f>
        <v>nicely</v>
      </c>
      <c r="S326" s="6" t="str">
        <f>IFERROR(__xludf.DUMMYFUNCTION("""COMPUTED_VALUE"""),"please")</f>
        <v>please</v>
      </c>
    </row>
    <row r="327">
      <c r="B327" s="6"/>
      <c r="D327" s="6"/>
      <c r="G327" s="6" t="str">
        <f>IFERROR(__xludf.DUMMYFUNCTION("""COMPUTED_VALUE"""),"unexpectedly")</f>
        <v>unexpectedly</v>
      </c>
      <c r="H327" s="6" t="str">
        <f>IFERROR(__xludf.DUMMYFUNCTION("""COMPUTED_VALUE"""),"force")</f>
        <v>force</v>
      </c>
      <c r="I327" s="6" t="str">
        <f>IFERROR(__xludf.DUMMYFUNCTION("""COMPUTED_VALUE"""),"distant")</f>
        <v>distant</v>
      </c>
      <c r="J327" s="6" t="str">
        <f>IFERROR(__xludf.DUMMYFUNCTION("""COMPUTED_VALUE"""),"maternal")</f>
        <v>maternal</v>
      </c>
      <c r="L327" s="6" t="str">
        <f>IFERROR(__xludf.DUMMYFUNCTION("""COMPUTED_VALUE"""),"weary")</f>
        <v>weary</v>
      </c>
      <c r="M327" s="6" t="str">
        <f>IFERROR(__xludf.DUMMYFUNCTION("""COMPUTED_VALUE"""),"attractive")</f>
        <v>attractive</v>
      </c>
      <c r="N327" s="6" t="str">
        <f>IFERROR(__xludf.DUMMYFUNCTION("""COMPUTED_VALUE"""),"hope")</f>
        <v>hope</v>
      </c>
      <c r="P327" s="6" t="str">
        <f>IFERROR(__xludf.DUMMYFUNCTION("""COMPUTED_VALUE"""),"poet")</f>
        <v>poet</v>
      </c>
      <c r="Q327" s="6" t="str">
        <f>IFERROR(__xludf.DUMMYFUNCTION("""COMPUTED_VALUE"""),"lau")</f>
        <v>lau</v>
      </c>
      <c r="S327" s="6" t="str">
        <f>IFERROR(__xludf.DUMMYFUNCTION("""COMPUTED_VALUE"""),"styles")</f>
        <v>styles</v>
      </c>
    </row>
    <row r="328">
      <c r="B328" s="6"/>
      <c r="D328" s="6"/>
      <c r="G328" s="6" t="str">
        <f>IFERROR(__xludf.DUMMYFUNCTION("""COMPUTED_VALUE"""),"comedies")</f>
        <v>comedies</v>
      </c>
      <c r="H328" s="6" t="str">
        <f>IFERROR(__xludf.DUMMYFUNCTION("""COMPUTED_VALUE"""),"thriller")</f>
        <v>thriller</v>
      </c>
      <c r="I328" s="6" t="str">
        <f>IFERROR(__xludf.DUMMYFUNCTION("""COMPUTED_VALUE"""),"accomplished")</f>
        <v>accomplished</v>
      </c>
      <c r="J328" s="6" t="str">
        <f>IFERROR(__xludf.DUMMYFUNCTION("""COMPUTED_VALUE"""),"fury")</f>
        <v>fury</v>
      </c>
      <c r="L328" s="6" t="str">
        <f>IFERROR(__xludf.DUMMYFUNCTION("""COMPUTED_VALUE"""),"gentle")</f>
        <v>gentle</v>
      </c>
      <c r="M328" s="6" t="str">
        <f>IFERROR(__xludf.DUMMYFUNCTION("""COMPUTED_VALUE"""),"absolutely")</f>
        <v>absolutely</v>
      </c>
      <c r="N328" s="6" t="str">
        <f>IFERROR(__xludf.DUMMYFUNCTION("""COMPUTED_VALUE"""),"master")</f>
        <v>master</v>
      </c>
      <c r="P328" s="6" t="str">
        <f>IFERROR(__xludf.DUMMYFUNCTION("""COMPUTED_VALUE"""),"celebrated")</f>
        <v>celebrated</v>
      </c>
      <c r="Q328" s="6" t="str">
        <f>IFERROR(__xludf.DUMMYFUNCTION("""COMPUTED_VALUE"""),"thanks")</f>
        <v>thanks</v>
      </c>
      <c r="S328" s="6" t="str">
        <f>IFERROR(__xludf.DUMMYFUNCTION("""COMPUTED_VALUE"""),"shallow")</f>
        <v>shallow</v>
      </c>
    </row>
    <row r="329">
      <c r="B329" s="6"/>
      <c r="D329" s="6"/>
      <c r="G329" s="6" t="str">
        <f>IFERROR(__xludf.DUMMYFUNCTION("""COMPUTED_VALUE"""),"enduring")</f>
        <v>enduring</v>
      </c>
      <c r="H329" s="6" t="str">
        <f>IFERROR(__xludf.DUMMYFUNCTION("""COMPUTED_VALUE"""),"maternal")</f>
        <v>maternal</v>
      </c>
      <c r="I329" s="6" t="str">
        <f>IFERROR(__xludf.DUMMYFUNCTION("""COMPUTED_VALUE"""),"fears")</f>
        <v>fears</v>
      </c>
      <c r="J329" s="6" t="str">
        <f>IFERROR(__xludf.DUMMYFUNCTION("""COMPUTED_VALUE"""),"progresses")</f>
        <v>progresses</v>
      </c>
      <c r="L329" s="6" t="str">
        <f>IFERROR(__xludf.DUMMYFUNCTION("""COMPUTED_VALUE"""),"edge")</f>
        <v>edge</v>
      </c>
      <c r="M329" s="6" t="str">
        <f>IFERROR(__xludf.DUMMYFUNCTION("""COMPUTED_VALUE"""),"hours")</f>
        <v>hours</v>
      </c>
      <c r="N329" s="6" t="str">
        <f>IFERROR(__xludf.DUMMYFUNCTION("""COMPUTED_VALUE"""),"star")</f>
        <v>star</v>
      </c>
      <c r="P329" s="6" t="str">
        <f>IFERROR(__xludf.DUMMYFUNCTION("""COMPUTED_VALUE"""),"bound")</f>
        <v>bound</v>
      </c>
      <c r="Q329" s="6" t="str">
        <f>IFERROR(__xludf.DUMMYFUNCTION("""COMPUTED_VALUE"""),"quentin")</f>
        <v>quentin</v>
      </c>
      <c r="S329" s="6" t="str">
        <f>IFERROR(__xludf.DUMMYFUNCTION("""COMPUTED_VALUE"""),"targeted")</f>
        <v>targeted</v>
      </c>
    </row>
    <row r="330">
      <c r="B330" s="6"/>
      <c r="D330" s="6"/>
      <c r="G330" s="6" t="str">
        <f>IFERROR(__xludf.DUMMYFUNCTION("""COMPUTED_VALUE"""),"teen")</f>
        <v>teen</v>
      </c>
      <c r="H330" s="6" t="str">
        <f>IFERROR(__xludf.DUMMYFUNCTION("""COMPUTED_VALUE"""),"fury")</f>
        <v>fury</v>
      </c>
      <c r="I330" s="6" t="str">
        <f>IFERROR(__xludf.DUMMYFUNCTION("""COMPUTED_VALUE"""),"portrait")</f>
        <v>portrait</v>
      </c>
      <c r="J330" s="6" t="str">
        <f>IFERROR(__xludf.DUMMYFUNCTION("""COMPUTED_VALUE"""),"risks")</f>
        <v>risks</v>
      </c>
      <c r="L330" s="6" t="str">
        <f>IFERROR(__xludf.DUMMYFUNCTION("""COMPUTED_VALUE"""),"collapse")</f>
        <v>collapse</v>
      </c>
      <c r="M330" s="6" t="str">
        <f>IFERROR(__xludf.DUMMYFUNCTION("""COMPUTED_VALUE"""),"bring")</f>
        <v>bring</v>
      </c>
      <c r="N330" s="6" t="str">
        <f>IFERROR(__xludf.DUMMYFUNCTION("""COMPUTED_VALUE"""),"myself")</f>
        <v>myself</v>
      </c>
      <c r="P330" s="6" t="str">
        <f>IFERROR(__xludf.DUMMYFUNCTION("""COMPUTED_VALUE"""),"appeal")</f>
        <v>appeal</v>
      </c>
      <c r="Q330" s="6" t="str">
        <f>IFERROR(__xludf.DUMMYFUNCTION("""COMPUTED_VALUE"""),"grow")</f>
        <v>grow</v>
      </c>
      <c r="S330" s="6" t="str">
        <f>IFERROR(__xludf.DUMMYFUNCTION("""COMPUTED_VALUE"""),"footage")</f>
        <v>footage</v>
      </c>
    </row>
    <row r="331">
      <c r="B331" s="6"/>
      <c r="D331" s="6"/>
      <c r="G331" s="6" t="str">
        <f>IFERROR(__xludf.DUMMYFUNCTION("""COMPUTED_VALUE"""),"sweet")</f>
        <v>sweet</v>
      </c>
      <c r="H331" s="6" t="str">
        <f>IFERROR(__xludf.DUMMYFUNCTION("""COMPUTED_VALUE"""),"wooden")</f>
        <v>wooden</v>
      </c>
      <c r="I331" s="6" t="str">
        <f>IFERROR(__xludf.DUMMYFUNCTION("""COMPUTED_VALUE"""),"rare")</f>
        <v>rare</v>
      </c>
      <c r="J331" s="6" t="str">
        <f>IFERROR(__xludf.DUMMYFUNCTION("""COMPUTED_VALUE"""),"manner")</f>
        <v>manner</v>
      </c>
      <c r="L331" s="6" t="str">
        <f>IFERROR(__xludf.DUMMYFUNCTION("""COMPUTED_VALUE"""),"bags")</f>
        <v>bags</v>
      </c>
      <c r="M331" s="6" t="str">
        <f>IFERROR(__xludf.DUMMYFUNCTION("""COMPUTED_VALUE"""),"feet")</f>
        <v>feet</v>
      </c>
      <c r="N331" s="6" t="str">
        <f>IFERROR(__xludf.DUMMYFUNCTION("""COMPUTED_VALUE"""),"prowess")</f>
        <v>prowess</v>
      </c>
      <c r="P331" s="6" t="str">
        <f>IFERROR(__xludf.DUMMYFUNCTION("""COMPUTED_VALUE"""),"right")</f>
        <v>right</v>
      </c>
      <c r="Q331" s="6" t="str">
        <f>IFERROR(__xludf.DUMMYFUNCTION("""COMPUTED_VALUE"""),"well")</f>
        <v>well</v>
      </c>
      <c r="S331" s="6" t="str">
        <f>IFERROR(__xludf.DUMMYFUNCTION("""COMPUTED_VALUE"""),"second")</f>
        <v>second</v>
      </c>
    </row>
    <row r="332">
      <c r="B332" s="6"/>
      <c r="D332" s="6"/>
      <c r="G332" s="6" t="str">
        <f>IFERROR(__xludf.DUMMYFUNCTION("""COMPUTED_VALUE"""),"meaningful")</f>
        <v>meaningful</v>
      </c>
      <c r="H332" s="6" t="str">
        <f>IFERROR(__xludf.DUMMYFUNCTION("""COMPUTED_VALUE"""),"progresses")</f>
        <v>progresses</v>
      </c>
      <c r="I332" s="6" t="str">
        <f>IFERROR(__xludf.DUMMYFUNCTION("""COMPUTED_VALUE"""),"pain")</f>
        <v>pain</v>
      </c>
      <c r="J332" s="6" t="str">
        <f>IFERROR(__xludf.DUMMYFUNCTION("""COMPUTED_VALUE"""),"dover")</f>
        <v>dover</v>
      </c>
      <c r="L332" s="6" t="str">
        <f>IFERROR(__xludf.DUMMYFUNCTION("""COMPUTED_VALUE"""),"deserve")</f>
        <v>deserve</v>
      </c>
      <c r="M332" s="6" t="str">
        <f>IFERROR(__xludf.DUMMYFUNCTION("""COMPUTED_VALUE"""),"heat")</f>
        <v>heat</v>
      </c>
      <c r="N332" s="6" t="str">
        <f>IFERROR(__xludf.DUMMYFUNCTION("""COMPUTED_VALUE"""),"intense")</f>
        <v>intense</v>
      </c>
      <c r="P332" s="6" t="str">
        <f>IFERROR(__xludf.DUMMYFUNCTION("""COMPUTED_VALUE"""),"summer")</f>
        <v>summer</v>
      </c>
      <c r="Q332" s="6" t="str">
        <f>IFERROR(__xludf.DUMMYFUNCTION("""COMPUTED_VALUE"""),"elevated")</f>
        <v>elevated</v>
      </c>
      <c r="S332" s="6" t="str">
        <f>IFERROR(__xludf.DUMMYFUNCTION("""COMPUTED_VALUE"""),"somehow")</f>
        <v>somehow</v>
      </c>
    </row>
    <row r="333">
      <c r="B333" s="6"/>
      <c r="D333" s="6"/>
      <c r="G333" s="6" t="str">
        <f>IFERROR(__xludf.DUMMYFUNCTION("""COMPUTED_VALUE"""),"trace")</f>
        <v>trace</v>
      </c>
      <c r="H333" s="6" t="str">
        <f>IFERROR(__xludf.DUMMYFUNCTION("""COMPUTED_VALUE"""),"risks")</f>
        <v>risks</v>
      </c>
      <c r="I333" s="6" t="str">
        <f>IFERROR(__xludf.DUMMYFUNCTION("""COMPUTED_VALUE"""),"draws")</f>
        <v>draws</v>
      </c>
      <c r="J333" s="6" t="str">
        <f>IFERROR(__xludf.DUMMYFUNCTION("""COMPUTED_VALUE"""),"potent")</f>
        <v>potent</v>
      </c>
      <c r="L333" s="6" t="str">
        <f>IFERROR(__xludf.DUMMYFUNCTION("""COMPUTED_VALUE"""),"national")</f>
        <v>national</v>
      </c>
      <c r="M333" s="6" t="str">
        <f>IFERROR(__xludf.DUMMYFUNCTION("""COMPUTED_VALUE"""),"body")</f>
        <v>body</v>
      </c>
      <c r="N333" s="6" t="str">
        <f>IFERROR(__xludf.DUMMYFUNCTION("""COMPUTED_VALUE"""),"interest")</f>
        <v>interest</v>
      </c>
      <c r="P333" s="6" t="str">
        <f>IFERROR(__xludf.DUMMYFUNCTION("""COMPUTED_VALUE"""),"sofia")</f>
        <v>sofia</v>
      </c>
      <c r="Q333" s="6" t="str">
        <f>IFERROR(__xludf.DUMMYFUNCTION("""COMPUTED_VALUE"""),"grant")</f>
        <v>grant</v>
      </c>
      <c r="S333" s="6" t="str">
        <f>IFERROR(__xludf.DUMMYFUNCTION("""COMPUTED_VALUE"""),"offering")</f>
        <v>offering</v>
      </c>
    </row>
    <row r="334">
      <c r="B334" s="6"/>
      <c r="D334" s="6"/>
      <c r="G334" s="6" t="str">
        <f>IFERROR(__xludf.DUMMYFUNCTION("""COMPUTED_VALUE"""),"endeavors")</f>
        <v>endeavors</v>
      </c>
      <c r="H334" s="6" t="str">
        <f>IFERROR(__xludf.DUMMYFUNCTION("""COMPUTED_VALUE"""),"strongest")</f>
        <v>strongest</v>
      </c>
      <c r="I334" s="6" t="str">
        <f>IFERROR(__xludf.DUMMYFUNCTION("""COMPUTED_VALUE"""),"pieces")</f>
        <v>pieces</v>
      </c>
      <c r="J334" s="6" t="str">
        <f>IFERROR(__xludf.DUMMYFUNCTION("""COMPUTED_VALUE"""),"insult")</f>
        <v>insult</v>
      </c>
      <c r="L334" s="6" t="str">
        <f>IFERROR(__xludf.DUMMYFUNCTION("""COMPUTED_VALUE"""),"runs")</f>
        <v>runs</v>
      </c>
      <c r="M334" s="6" t="str">
        <f>IFERROR(__xludf.DUMMYFUNCTION("""COMPUTED_VALUE"""),"separation")</f>
        <v>separation</v>
      </c>
      <c r="N334" s="6" t="str">
        <f>IFERROR(__xludf.DUMMYFUNCTION("""COMPUTED_VALUE"""),"acclaimed")</f>
        <v>acclaimed</v>
      </c>
      <c r="P334" s="6" t="str">
        <f>IFERROR(__xludf.DUMMYFUNCTION("""COMPUTED_VALUE"""),"sister")</f>
        <v>sister</v>
      </c>
      <c r="Q334" s="6" t="str">
        <f>IFERROR(__xludf.DUMMYFUNCTION("""COMPUTED_VALUE"""),"hugh")</f>
        <v>hugh</v>
      </c>
      <c r="S334" s="6" t="str">
        <f>IFERROR(__xludf.DUMMYFUNCTION("""COMPUTED_VALUE"""),"nomination")</f>
        <v>nomination</v>
      </c>
    </row>
    <row r="335">
      <c r="B335" s="6"/>
      <c r="D335" s="6"/>
      <c r="G335" s="6" t="str">
        <f>IFERROR(__xludf.DUMMYFUNCTION("""COMPUTED_VALUE"""),"adhere")</f>
        <v>adhere</v>
      </c>
      <c r="H335" s="6" t="str">
        <f>IFERROR(__xludf.DUMMYFUNCTION("""COMPUTED_VALUE"""),"dover")</f>
        <v>dover</v>
      </c>
      <c r="I335" s="6" t="str">
        <f>IFERROR(__xludf.DUMMYFUNCTION("""COMPUTED_VALUE"""),"success")</f>
        <v>success</v>
      </c>
      <c r="J335" s="6" t="str">
        <f>IFERROR(__xludf.DUMMYFUNCTION("""COMPUTED_VALUE"""),"apartheid")</f>
        <v>apartheid</v>
      </c>
      <c r="L335" s="6" t="str">
        <f>IFERROR(__xludf.DUMMYFUNCTION("""COMPUTED_VALUE"""),"certain")</f>
        <v>certain</v>
      </c>
      <c r="M335" s="6" t="str">
        <f>IFERROR(__xludf.DUMMYFUNCTION("""COMPUTED_VALUE"""),"information")</f>
        <v>information</v>
      </c>
      <c r="N335" s="6" t="str">
        <f>IFERROR(__xludf.DUMMYFUNCTION("""COMPUTED_VALUE"""),"designed")</f>
        <v>designed</v>
      </c>
      <c r="P335" s="6" t="str">
        <f>IFERROR(__xludf.DUMMYFUNCTION("""COMPUTED_VALUE"""),"subject")</f>
        <v>subject</v>
      </c>
      <c r="Q335" s="6" t="str">
        <f>IFERROR(__xludf.DUMMYFUNCTION("""COMPUTED_VALUE"""),"stay")</f>
        <v>stay</v>
      </c>
      <c r="S335" s="6" t="str">
        <f>IFERROR(__xludf.DUMMYFUNCTION("""COMPUTED_VALUE"""),"also")</f>
        <v>also</v>
      </c>
    </row>
    <row r="336">
      <c r="B336" s="6"/>
      <c r="D336" s="6"/>
      <c r="G336" s="6" t="str">
        <f>IFERROR(__xludf.DUMMYFUNCTION("""COMPUTED_VALUE"""),"laughter")</f>
        <v>laughter</v>
      </c>
      <c r="H336" s="6" t="str">
        <f>IFERROR(__xludf.DUMMYFUNCTION("""COMPUTED_VALUE"""),"potent")</f>
        <v>potent</v>
      </c>
      <c r="I336" s="6" t="str">
        <f>IFERROR(__xludf.DUMMYFUNCTION("""COMPUTED_VALUE"""),"unexpected")</f>
        <v>unexpected</v>
      </c>
      <c r="J336" s="6" t="str">
        <f>IFERROR(__xludf.DUMMYFUNCTION("""COMPUTED_VALUE"""),"canvas")</f>
        <v>canvas</v>
      </c>
      <c r="L336" s="6" t="str">
        <f>IFERROR(__xludf.DUMMYFUNCTION("""COMPUTED_VALUE"""),"sum")</f>
        <v>sum</v>
      </c>
      <c r="M336" s="6" t="str">
        <f>IFERROR(__xludf.DUMMYFUNCTION("""COMPUTED_VALUE"""),"moving")</f>
        <v>moving</v>
      </c>
      <c r="N336" s="6" t="str">
        <f>IFERROR(__xludf.DUMMYFUNCTION("""COMPUTED_VALUE"""),"eyes")</f>
        <v>eyes</v>
      </c>
      <c r="P336" s="6" t="str">
        <f>IFERROR(__xludf.DUMMYFUNCTION("""COMPUTED_VALUE"""),"overcome")</f>
        <v>overcome</v>
      </c>
      <c r="Q336" s="6" t="str">
        <f>IFERROR(__xludf.DUMMYFUNCTION("""COMPUTED_VALUE"""),"urban")</f>
        <v>urban</v>
      </c>
      <c r="S336" s="6" t="str">
        <f>IFERROR(__xludf.DUMMYFUNCTION("""COMPUTED_VALUE"""),"unusual")</f>
        <v>unusual</v>
      </c>
    </row>
    <row r="337">
      <c r="B337" s="6"/>
      <c r="D337" s="6"/>
      <c r="G337" s="6" t="str">
        <f>IFERROR(__xludf.DUMMYFUNCTION("""COMPUTED_VALUE"""),"invention")</f>
        <v>invention</v>
      </c>
      <c r="H337" s="6" t="str">
        <f>IFERROR(__xludf.DUMMYFUNCTION("""COMPUTED_VALUE"""),"seeks")</f>
        <v>seeks</v>
      </c>
      <c r="I337" s="6" t="str">
        <f>IFERROR(__xludf.DUMMYFUNCTION("""COMPUTED_VALUE"""),"dream")</f>
        <v>dream</v>
      </c>
      <c r="J337" s="6" t="str">
        <f>IFERROR(__xludf.DUMMYFUNCTION("""COMPUTED_VALUE"""),"irony")</f>
        <v>irony</v>
      </c>
      <c r="L337" s="6" t="str">
        <f>IFERROR(__xludf.DUMMYFUNCTION("""COMPUTED_VALUE"""),"situations")</f>
        <v>situations</v>
      </c>
      <c r="M337" s="6" t="str">
        <f>IFERROR(__xludf.DUMMYFUNCTION("""COMPUTED_VALUE"""),"reading")</f>
        <v>reading</v>
      </c>
      <c r="N337" s="6" t="str">
        <f>IFERROR(__xludf.DUMMYFUNCTION("""COMPUTED_VALUE"""),"air")</f>
        <v>air</v>
      </c>
      <c r="P337" s="6" t="str">
        <f>IFERROR(__xludf.DUMMYFUNCTION("""COMPUTED_VALUE"""),"run")</f>
        <v>run</v>
      </c>
      <c r="Q337" s="6" t="str">
        <f>IFERROR(__xludf.DUMMYFUNCTION("""COMPUTED_VALUE"""),"insight")</f>
        <v>insight</v>
      </c>
      <c r="S337" s="6" t="str">
        <f>IFERROR(__xludf.DUMMYFUNCTION("""COMPUTED_VALUE"""),"beginning")</f>
        <v>beginning</v>
      </c>
    </row>
    <row r="338">
      <c r="B338" s="6"/>
      <c r="D338" s="6"/>
      <c r="G338" s="6" t="str">
        <f>IFERROR(__xludf.DUMMYFUNCTION("""COMPUTED_VALUE"""),"drag")</f>
        <v>drag</v>
      </c>
      <c r="H338" s="6" t="str">
        <f>IFERROR(__xludf.DUMMYFUNCTION("""COMPUTED_VALUE"""),"insult")</f>
        <v>insult</v>
      </c>
      <c r="I338" s="6" t="str">
        <f>IFERROR(__xludf.DUMMYFUNCTION("""COMPUTED_VALUE"""),"frustration")</f>
        <v>frustration</v>
      </c>
      <c r="J338" s="6" t="str">
        <f>IFERROR(__xludf.DUMMYFUNCTION("""COMPUTED_VALUE"""),"modern")</f>
        <v>modern</v>
      </c>
      <c r="L338" s="6" t="str">
        <f>IFERROR(__xludf.DUMMYFUNCTION("""COMPUTED_VALUE"""),"sensitive")</f>
        <v>sensitive</v>
      </c>
      <c r="M338" s="6" t="str">
        <f>IFERROR(__xludf.DUMMYFUNCTION("""COMPUTED_VALUE"""),"attention")</f>
        <v>attention</v>
      </c>
      <c r="N338" s="6" t="str">
        <f>IFERROR(__xludf.DUMMYFUNCTION("""COMPUTED_VALUE"""),"through")</f>
        <v>through</v>
      </c>
      <c r="P338" s="6" t="str">
        <f>IFERROR(__xludf.DUMMYFUNCTION("""COMPUTED_VALUE"""),"cover")</f>
        <v>cover</v>
      </c>
      <c r="Q338" s="6" t="str">
        <f>IFERROR(__xludf.DUMMYFUNCTION("""COMPUTED_VALUE"""),"genuine")</f>
        <v>genuine</v>
      </c>
      <c r="S338" s="6" t="str">
        <f>IFERROR(__xludf.DUMMYFUNCTION("""COMPUTED_VALUE"""),"halfway")</f>
        <v>halfway</v>
      </c>
    </row>
    <row r="339">
      <c r="B339" s="6"/>
      <c r="D339" s="6"/>
      <c r="G339" s="6" t="str">
        <f>IFERROR(__xludf.DUMMYFUNCTION("""COMPUTED_VALUE"""),"juvenile")</f>
        <v>juvenile</v>
      </c>
      <c r="H339" s="6" t="str">
        <f>IFERROR(__xludf.DUMMYFUNCTION("""COMPUTED_VALUE"""),"apartheid")</f>
        <v>apartheid</v>
      </c>
      <c r="I339" s="6" t="str">
        <f>IFERROR(__xludf.DUMMYFUNCTION("""COMPUTED_VALUE"""),"pleasure")</f>
        <v>pleasure</v>
      </c>
      <c r="J339" s="6" t="str">
        <f>IFERROR(__xludf.DUMMYFUNCTION("""COMPUTED_VALUE"""),"thematic")</f>
        <v>thematic</v>
      </c>
      <c r="L339" s="6" t="str">
        <f>IFERROR(__xludf.DUMMYFUNCTION("""COMPUTED_VALUE"""),"productions")</f>
        <v>productions</v>
      </c>
      <c r="M339" s="6" t="str">
        <f>IFERROR(__xludf.DUMMYFUNCTION("""COMPUTED_VALUE"""),"fingers")</f>
        <v>fingers</v>
      </c>
      <c r="N339" s="6" t="str">
        <f>IFERROR(__xludf.DUMMYFUNCTION("""COMPUTED_VALUE"""),"recipe")</f>
        <v>recipe</v>
      </c>
      <c r="P339" s="6" t="str">
        <f>IFERROR(__xludf.DUMMYFUNCTION("""COMPUTED_VALUE"""),"low")</f>
        <v>low</v>
      </c>
      <c r="Q339" s="6" t="str">
        <f>IFERROR(__xludf.DUMMYFUNCTION("""COMPUTED_VALUE"""),"tones")</f>
        <v>tones</v>
      </c>
      <c r="S339" s="6" t="str">
        <f>IFERROR(__xludf.DUMMYFUNCTION("""COMPUTED_VALUE"""),"hard")</f>
        <v>hard</v>
      </c>
    </row>
    <row r="340">
      <c r="B340" s="6"/>
      <c r="D340" s="6"/>
      <c r="G340" s="6" t="str">
        <f>IFERROR(__xludf.DUMMYFUNCTION("""COMPUTED_VALUE"""),"literary")</f>
        <v>literary</v>
      </c>
      <c r="H340" s="6" t="str">
        <f>IFERROR(__xludf.DUMMYFUNCTION("""COMPUTED_VALUE"""),"korean")</f>
        <v>korean</v>
      </c>
      <c r="I340" s="6" t="str">
        <f>IFERROR(__xludf.DUMMYFUNCTION("""COMPUTED_VALUE"""),"bottom")</f>
        <v>bottom</v>
      </c>
      <c r="J340" s="6" t="str">
        <f>IFERROR(__xludf.DUMMYFUNCTION("""COMPUTED_VALUE"""),"smug")</f>
        <v>smug</v>
      </c>
      <c r="L340" s="6" t="str">
        <f>IFERROR(__xludf.DUMMYFUNCTION("""COMPUTED_VALUE"""),"cult")</f>
        <v>cult</v>
      </c>
      <c r="M340" s="6" t="str">
        <f>IFERROR(__xludf.DUMMYFUNCTION("""COMPUTED_VALUE"""),"known")</f>
        <v>known</v>
      </c>
      <c r="N340" s="6" t="str">
        <f>IFERROR(__xludf.DUMMYFUNCTION("""COMPUTED_VALUE"""),"cry")</f>
        <v>cry</v>
      </c>
      <c r="P340" s="6" t="str">
        <f>IFERROR(__xludf.DUMMYFUNCTION("""COMPUTED_VALUE"""),"walked")</f>
        <v>walked</v>
      </c>
      <c r="Q340" s="6" t="str">
        <f>IFERROR(__xludf.DUMMYFUNCTION("""COMPUTED_VALUE"""),"brown")</f>
        <v>brown</v>
      </c>
      <c r="S340" s="6" t="str">
        <f>IFERROR(__xludf.DUMMYFUNCTION("""COMPUTED_VALUE"""),"arts")</f>
        <v>arts</v>
      </c>
    </row>
    <row r="341">
      <c r="B341" s="6"/>
      <c r="D341" s="6"/>
      <c r="G341" s="6" t="str">
        <f>IFERROR(__xludf.DUMMYFUNCTION("""COMPUTED_VALUE"""),"distant")</f>
        <v>distant</v>
      </c>
      <c r="H341" s="6" t="str">
        <f>IFERROR(__xludf.DUMMYFUNCTION("""COMPUTED_VALUE"""),"canvas")</f>
        <v>canvas</v>
      </c>
      <c r="I341" s="6" t="str">
        <f>IFERROR(__xludf.DUMMYFUNCTION("""COMPUTED_VALUE"""),"guilty")</f>
        <v>guilty</v>
      </c>
      <c r="J341" s="6" t="str">
        <f>IFERROR(__xludf.DUMMYFUNCTION("""COMPUTED_VALUE"""),"equations")</f>
        <v>equations</v>
      </c>
      <c r="L341" s="6" t="str">
        <f>IFERROR(__xludf.DUMMYFUNCTION("""COMPUTED_VALUE"""),"dance")</f>
        <v>dance</v>
      </c>
      <c r="M341" s="6" t="str">
        <f>IFERROR(__xludf.DUMMYFUNCTION("""COMPUTED_VALUE"""),"wants")</f>
        <v>wants</v>
      </c>
      <c r="N341" s="6" t="str">
        <f>IFERROR(__xludf.DUMMYFUNCTION("""COMPUTED_VALUE"""),"funny")</f>
        <v>funny</v>
      </c>
      <c r="P341" s="6" t="str">
        <f>IFERROR(__xludf.DUMMYFUNCTION("""COMPUTED_VALUE"""),"transition")</f>
        <v>transition</v>
      </c>
      <c r="Q341" s="6" t="str">
        <f>IFERROR(__xludf.DUMMYFUNCTION("""COMPUTED_VALUE"""),"lane")</f>
        <v>lane</v>
      </c>
      <c r="S341" s="6" t="str">
        <f>IFERROR(__xludf.DUMMYFUNCTION("""COMPUTED_VALUE"""),"camera")</f>
        <v>camera</v>
      </c>
    </row>
    <row r="342">
      <c r="B342" s="6"/>
      <c r="D342" s="6"/>
      <c r="G342" s="6" t="str">
        <f>IFERROR(__xludf.DUMMYFUNCTION("""COMPUTED_VALUE"""),"witty")</f>
        <v>witty</v>
      </c>
      <c r="H342" s="6" t="str">
        <f>IFERROR(__xludf.DUMMYFUNCTION("""COMPUTED_VALUE"""),"irony")</f>
        <v>irony</v>
      </c>
      <c r="I342" s="6" t="str">
        <f>IFERROR(__xludf.DUMMYFUNCTION("""COMPUTED_VALUE"""),"miracle")</f>
        <v>miracle</v>
      </c>
      <c r="J342" s="6" t="str">
        <f>IFERROR(__xludf.DUMMYFUNCTION("""COMPUTED_VALUE"""),"captures")</f>
        <v>captures</v>
      </c>
      <c r="L342" s="6" t="str">
        <f>IFERROR(__xludf.DUMMYFUNCTION("""COMPUTED_VALUE"""),"adult")</f>
        <v>adult</v>
      </c>
      <c r="M342" s="6" t="str">
        <f>IFERROR(__xludf.DUMMYFUNCTION("""COMPUTED_VALUE"""),"hotel")</f>
        <v>hotel</v>
      </c>
      <c r="N342" s="6" t="str">
        <f>IFERROR(__xludf.DUMMYFUNCTION("""COMPUTED_VALUE"""),"stiff")</f>
        <v>stiff</v>
      </c>
      <c r="P342" s="6" t="str">
        <f>IFERROR(__xludf.DUMMYFUNCTION("""COMPUTED_VALUE"""),"stage")</f>
        <v>stage</v>
      </c>
      <c r="Q342" s="6" t="str">
        <f>IFERROR(__xludf.DUMMYFUNCTION("""COMPUTED_VALUE"""),"celebration")</f>
        <v>celebration</v>
      </c>
      <c r="S342" s="6" t="str">
        <f>IFERROR(__xludf.DUMMYFUNCTION("""COMPUTED_VALUE"""),"moves")</f>
        <v>moves</v>
      </c>
    </row>
    <row r="343">
      <c r="B343" s="6"/>
      <c r="D343" s="6"/>
      <c r="G343" s="6" t="str">
        <f>IFERROR(__xludf.DUMMYFUNCTION("""COMPUTED_VALUE"""),"accomplished")</f>
        <v>accomplished</v>
      </c>
      <c r="H343" s="6" t="str">
        <f>IFERROR(__xludf.DUMMYFUNCTION("""COMPUTED_VALUE"""),"complete")</f>
        <v>complete</v>
      </c>
      <c r="I343" s="6" t="str">
        <f>IFERROR(__xludf.DUMMYFUNCTION("""COMPUTED_VALUE"""),"lewis")</f>
        <v>lewis</v>
      </c>
      <c r="J343" s="6" t="str">
        <f>IFERROR(__xludf.DUMMYFUNCTION("""COMPUTED_VALUE"""),"deserve")</f>
        <v>deserve</v>
      </c>
      <c r="L343" s="6" t="str">
        <f>IFERROR(__xludf.DUMMYFUNCTION("""COMPUTED_VALUE"""),"starts")</f>
        <v>starts</v>
      </c>
      <c r="M343" s="6" t="str">
        <f>IFERROR(__xludf.DUMMYFUNCTION("""COMPUTED_VALUE"""),"room")</f>
        <v>room</v>
      </c>
      <c r="N343" s="6" t="str">
        <f>IFERROR(__xludf.DUMMYFUNCTION("""COMPUTED_VALUE"""),"marked")</f>
        <v>marked</v>
      </c>
      <c r="P343" s="6" t="str">
        <f>IFERROR(__xludf.DUMMYFUNCTION("""COMPUTED_VALUE"""),"screen")</f>
        <v>screen</v>
      </c>
      <c r="Q343" s="6" t="str">
        <f>IFERROR(__xludf.DUMMYFUNCTION("""COMPUTED_VALUE"""),"warm")</f>
        <v>warm</v>
      </c>
      <c r="S343" s="6" t="str">
        <f>IFERROR(__xludf.DUMMYFUNCTION("""COMPUTED_VALUE"""),"stream")</f>
        <v>stream</v>
      </c>
    </row>
    <row r="344">
      <c r="B344" s="6"/>
      <c r="D344" s="6"/>
      <c r="G344" s="6" t="str">
        <f>IFERROR(__xludf.DUMMYFUNCTION("""COMPUTED_VALUE"""),"fears")</f>
        <v>fears</v>
      </c>
      <c r="H344" s="6" t="str">
        <f>IFERROR(__xludf.DUMMYFUNCTION("""COMPUTED_VALUE"""),"thematic")</f>
        <v>thematic</v>
      </c>
      <c r="I344" s="6" t="str">
        <f>IFERROR(__xludf.DUMMYFUNCTION("""COMPUTED_VALUE"""),"davies")</f>
        <v>davies</v>
      </c>
      <c r="J344" s="6" t="str">
        <f>IFERROR(__xludf.DUMMYFUNCTION("""COMPUTED_VALUE"""),"stupid")</f>
        <v>stupid</v>
      </c>
      <c r="L344" s="6" t="str">
        <f>IFERROR(__xludf.DUMMYFUNCTION("""COMPUTED_VALUE"""),"peas")</f>
        <v>peas</v>
      </c>
      <c r="M344" s="6" t="str">
        <f>IFERROR(__xludf.DUMMYFUNCTION("""COMPUTED_VALUE"""),"original")</f>
        <v>original</v>
      </c>
      <c r="N344" s="6" t="str">
        <f>IFERROR(__xludf.DUMMYFUNCTION("""COMPUTED_VALUE"""),"accept")</f>
        <v>accept</v>
      </c>
      <c r="P344" s="6" t="str">
        <f>IFERROR(__xludf.DUMMYFUNCTION("""COMPUTED_VALUE"""),"next")</f>
        <v>next</v>
      </c>
      <c r="Q344" s="6" t="str">
        <f>IFERROR(__xludf.DUMMYFUNCTION("""COMPUTED_VALUE"""),"metaphor")</f>
        <v>metaphor</v>
      </c>
      <c r="S344" s="6" t="str">
        <f>IFERROR(__xludf.DUMMYFUNCTION("""COMPUTED_VALUE"""),"street")</f>
        <v>street</v>
      </c>
    </row>
    <row r="345">
      <c r="B345" s="6"/>
      <c r="D345" s="6"/>
      <c r="G345" s="6" t="str">
        <f>IFERROR(__xludf.DUMMYFUNCTION("""COMPUTED_VALUE"""),"portrait")</f>
        <v>portrait</v>
      </c>
      <c r="H345" s="6" t="str">
        <f>IFERROR(__xludf.DUMMYFUNCTION("""COMPUTED_VALUE"""),"road")</f>
        <v>road</v>
      </c>
      <c r="I345" s="6" t="str">
        <f>IFERROR(__xludf.DUMMYFUNCTION("""COMPUTED_VALUE"""),"office")</f>
        <v>office</v>
      </c>
      <c r="J345" s="6" t="str">
        <f>IFERROR(__xludf.DUMMYFUNCTION("""COMPUTED_VALUE"""),"sexuality")</f>
        <v>sexuality</v>
      </c>
      <c r="L345" s="6" t="str">
        <f>IFERROR(__xludf.DUMMYFUNCTION("""COMPUTED_VALUE"""),"mood")</f>
        <v>mood</v>
      </c>
      <c r="M345" s="6" t="str">
        <f>IFERROR(__xludf.DUMMYFUNCTION("""COMPUTED_VALUE"""),"diesel")</f>
        <v>diesel</v>
      </c>
      <c r="N345" s="6" t="str">
        <f>IFERROR(__xludf.DUMMYFUNCTION("""COMPUTED_VALUE"""),"shoot")</f>
        <v>shoot</v>
      </c>
      <c r="P345" s="6" t="str">
        <f>IFERROR(__xludf.DUMMYFUNCTION("""COMPUTED_VALUE"""),"backward")</f>
        <v>backward</v>
      </c>
      <c r="Q345" s="6" t="str">
        <f>IFERROR(__xludf.DUMMYFUNCTION("""COMPUTED_VALUE"""),"retains")</f>
        <v>retains</v>
      </c>
      <c r="S345" s="6" t="str">
        <f>IFERROR(__xludf.DUMMYFUNCTION("""COMPUTED_VALUE"""),"claim")</f>
        <v>claim</v>
      </c>
    </row>
    <row r="346">
      <c r="B346" s="6"/>
      <c r="D346" s="6"/>
      <c r="G346" s="6" t="str">
        <f>IFERROR(__xludf.DUMMYFUNCTION("""COMPUTED_VALUE"""),"rare")</f>
        <v>rare</v>
      </c>
      <c r="H346" s="6" t="str">
        <f>IFERROR(__xludf.DUMMYFUNCTION("""COMPUTED_VALUE"""),"politics")</f>
        <v>politics</v>
      </c>
      <c r="I346" s="6" t="str">
        <f>IFERROR(__xludf.DUMMYFUNCTION("""COMPUTED_VALUE"""),"none")</f>
        <v>none</v>
      </c>
      <c r="J346" s="6" t="str">
        <f>IFERROR(__xludf.DUMMYFUNCTION("""COMPUTED_VALUE"""),"combining")</f>
        <v>combining</v>
      </c>
      <c r="L346" s="6" t="str">
        <f>IFERROR(__xludf.DUMMYFUNCTION("""COMPUTED_VALUE"""),"count")</f>
        <v>count</v>
      </c>
      <c r="M346" s="6" t="str">
        <f>IFERROR(__xludf.DUMMYFUNCTION("""COMPUTED_VALUE"""),"license")</f>
        <v>license</v>
      </c>
      <c r="N346" s="6" t="str">
        <f>IFERROR(__xludf.DUMMYFUNCTION("""COMPUTED_VALUE"""),"test")</f>
        <v>test</v>
      </c>
      <c r="P346" s="6" t="str">
        <f>IFERROR(__xludf.DUMMYFUNCTION("""COMPUTED_VALUE"""),"giant")</f>
        <v>giant</v>
      </c>
      <c r="Q346" s="6" t="str">
        <f>IFERROR(__xludf.DUMMYFUNCTION("""COMPUTED_VALUE"""),"resonance")</f>
        <v>resonance</v>
      </c>
      <c r="S346" s="6" t="str">
        <f>IFERROR(__xludf.DUMMYFUNCTION("""COMPUTED_VALUE"""),"performed")</f>
        <v>performed</v>
      </c>
    </row>
    <row r="347">
      <c r="B347" s="6"/>
      <c r="D347" s="6"/>
      <c r="G347" s="6" t="str">
        <f>IFERROR(__xludf.DUMMYFUNCTION("""COMPUTED_VALUE"""),"pain")</f>
        <v>pain</v>
      </c>
      <c r="H347" s="6" t="str">
        <f>IFERROR(__xludf.DUMMYFUNCTION("""COMPUTED_VALUE"""),"smug")</f>
        <v>smug</v>
      </c>
      <c r="I347" s="6" t="str">
        <f>IFERROR(__xludf.DUMMYFUNCTION("""COMPUTED_VALUE"""),"poem")</f>
        <v>poem</v>
      </c>
      <c r="J347" s="6" t="str">
        <f>IFERROR(__xludf.DUMMYFUNCTION("""COMPUTED_VALUE"""),"indictment")</f>
        <v>indictment</v>
      </c>
      <c r="L347" s="6" t="str">
        <f>IFERROR(__xludf.DUMMYFUNCTION("""COMPUTED_VALUE"""),"builds")</f>
        <v>builds</v>
      </c>
      <c r="M347" s="6" t="str">
        <f>IFERROR(__xludf.DUMMYFUNCTION("""COMPUTED_VALUE"""),"passes")</f>
        <v>passes</v>
      </c>
      <c r="N347" s="6" t="str">
        <f>IFERROR(__xludf.DUMMYFUNCTION("""COMPUTED_VALUE"""),"seemingly")</f>
        <v>seemingly</v>
      </c>
      <c r="P347" s="6" t="str">
        <f>IFERROR(__xludf.DUMMYFUNCTION("""COMPUTED_VALUE"""),"interviews")</f>
        <v>interviews</v>
      </c>
      <c r="Q347" s="6" t="str">
        <f>IFERROR(__xludf.DUMMYFUNCTION("""COMPUTED_VALUE"""),"viewers")</f>
        <v>viewers</v>
      </c>
      <c r="S347" s="6" t="str">
        <f>IFERROR(__xludf.DUMMYFUNCTION("""COMPUTED_VALUE"""),"valuable")</f>
        <v>valuable</v>
      </c>
    </row>
    <row r="348">
      <c r="B348" s="6"/>
      <c r="D348" s="6"/>
      <c r="G348" s="6" t="str">
        <f>IFERROR(__xludf.DUMMYFUNCTION("""COMPUTED_VALUE"""),"draws")</f>
        <v>draws</v>
      </c>
      <c r="H348" s="6" t="str">
        <f>IFERROR(__xludf.DUMMYFUNCTION("""COMPUTED_VALUE"""),"obvious")</f>
        <v>obvious</v>
      </c>
      <c r="I348" s="6">
        <f>IFERROR(__xludf.DUMMYFUNCTION("""COMPUTED_VALUE"""),1989.0)</f>
        <v>1989</v>
      </c>
      <c r="J348" s="6" t="str">
        <f>IFERROR(__xludf.DUMMYFUNCTION("""COMPUTED_VALUE"""),"finally")</f>
        <v>finally</v>
      </c>
      <c r="L348" s="6" t="str">
        <f>IFERROR(__xludf.DUMMYFUNCTION("""COMPUTED_VALUE"""),"involved")</f>
        <v>involved</v>
      </c>
      <c r="M348" s="6" t="str">
        <f>IFERROR(__xludf.DUMMYFUNCTION("""COMPUTED_VALUE"""),"authority")</f>
        <v>authority</v>
      </c>
      <c r="N348" s="6" t="str">
        <f>IFERROR(__xludf.DUMMYFUNCTION("""COMPUTED_VALUE"""),"color")</f>
        <v>color</v>
      </c>
      <c r="P348" s="6" t="str">
        <f>IFERROR(__xludf.DUMMYFUNCTION("""COMPUTED_VALUE"""),"decades")</f>
        <v>decades</v>
      </c>
      <c r="Q348" s="6" t="str">
        <f>IFERROR(__xludf.DUMMYFUNCTION("""COMPUTED_VALUE"""),"handsome")</f>
        <v>handsome</v>
      </c>
      <c r="S348" s="6" t="str">
        <f>IFERROR(__xludf.DUMMYFUNCTION("""COMPUTED_VALUE"""),"thanks")</f>
        <v>thanks</v>
      </c>
    </row>
    <row r="349">
      <c r="B349" s="6"/>
      <c r="D349" s="6"/>
      <c r="G349" s="6" t="str">
        <f>IFERROR(__xludf.DUMMYFUNCTION("""COMPUTED_VALUE"""),"compassion")</f>
        <v>compassion</v>
      </c>
      <c r="H349" s="6" t="str">
        <f>IFERROR(__xludf.DUMMYFUNCTION("""COMPUTED_VALUE"""),"equations")</f>
        <v>equations</v>
      </c>
      <c r="I349" s="6" t="str">
        <f>IFERROR(__xludf.DUMMYFUNCTION("""COMPUTED_VALUE"""),"maintain")</f>
        <v>maintain</v>
      </c>
      <c r="J349" s="6" t="str">
        <f>IFERROR(__xludf.DUMMYFUNCTION("""COMPUTED_VALUE"""),"offensive")</f>
        <v>offensive</v>
      </c>
      <c r="L349" s="6" t="str">
        <f>IFERROR(__xludf.DUMMYFUNCTION("""COMPUTED_VALUE"""),"laughs")</f>
        <v>laughs</v>
      </c>
      <c r="M349" s="6" t="str">
        <f>IFERROR(__xludf.DUMMYFUNCTION("""COMPUTED_VALUE"""),"running")</f>
        <v>running</v>
      </c>
      <c r="N349" s="6" t="str">
        <f>IFERROR(__xludf.DUMMYFUNCTION("""COMPUTED_VALUE"""),"weeks")</f>
        <v>weeks</v>
      </c>
      <c r="P349" s="6" t="str">
        <f>IFERROR(__xludf.DUMMYFUNCTION("""COMPUTED_VALUE"""),"failing")</f>
        <v>failing</v>
      </c>
      <c r="Q349" s="6" t="str">
        <f>IFERROR(__xludf.DUMMYFUNCTION("""COMPUTED_VALUE"""),"either")</f>
        <v>either</v>
      </c>
      <c r="S349" s="6" t="str">
        <f>IFERROR(__xludf.DUMMYFUNCTION("""COMPUTED_VALUE"""),"grow")</f>
        <v>grow</v>
      </c>
    </row>
    <row r="350">
      <c r="B350" s="6"/>
      <c r="D350" s="6"/>
      <c r="G350" s="6" t="str">
        <f>IFERROR(__xludf.DUMMYFUNCTION("""COMPUTED_VALUE"""),"success")</f>
        <v>success</v>
      </c>
      <c r="H350" s="6" t="str">
        <f>IFERROR(__xludf.DUMMYFUNCTION("""COMPUTED_VALUE"""),"captures")</f>
        <v>captures</v>
      </c>
      <c r="I350" s="6" t="str">
        <f>IFERROR(__xludf.DUMMYFUNCTION("""COMPUTED_VALUE"""),"heavily")</f>
        <v>heavily</v>
      </c>
      <c r="J350" s="6" t="str">
        <f>IFERROR(__xludf.DUMMYFUNCTION("""COMPUTED_VALUE"""),"clause")</f>
        <v>clause</v>
      </c>
      <c r="L350" s="6" t="str">
        <f>IFERROR(__xludf.DUMMYFUNCTION("""COMPUTED_VALUE"""),"add")</f>
        <v>add</v>
      </c>
      <c r="M350" s="6" t="str">
        <f>IFERROR(__xludf.DUMMYFUNCTION("""COMPUTED_VALUE"""),"difficult")</f>
        <v>difficult</v>
      </c>
      <c r="N350" s="6" t="str">
        <f>IFERROR(__xludf.DUMMYFUNCTION("""COMPUTED_VALUE"""),"children")</f>
        <v>children</v>
      </c>
      <c r="P350" s="6" t="str">
        <f>IFERROR(__xludf.DUMMYFUNCTION("""COMPUTED_VALUE"""),"growth")</f>
        <v>growth</v>
      </c>
      <c r="Q350" s="6" t="str">
        <f>IFERROR(__xludf.DUMMYFUNCTION("""COMPUTED_VALUE"""),"debut")</f>
        <v>debut</v>
      </c>
      <c r="S350" s="6" t="str">
        <f>IFERROR(__xludf.DUMMYFUNCTION("""COMPUTED_VALUE"""),"collection")</f>
        <v>collection</v>
      </c>
    </row>
    <row r="351">
      <c r="B351" s="6"/>
      <c r="D351" s="6"/>
      <c r="G351" s="6" t="str">
        <f>IFERROR(__xludf.DUMMYFUNCTION("""COMPUTED_VALUE"""),"strengths")</f>
        <v>strengths</v>
      </c>
      <c r="H351" s="6" t="str">
        <f>IFERROR(__xludf.DUMMYFUNCTION("""COMPUTED_VALUE"""),"deserve")</f>
        <v>deserve</v>
      </c>
      <c r="I351" s="6" t="str">
        <f>IFERROR(__xludf.DUMMYFUNCTION("""COMPUTED_VALUE"""),"pile")</f>
        <v>pile</v>
      </c>
      <c r="J351" s="6" t="str">
        <f>IFERROR(__xludf.DUMMYFUNCTION("""COMPUTED_VALUE"""),"loose")</f>
        <v>loose</v>
      </c>
      <c r="L351" s="6" t="str">
        <f>IFERROR(__xludf.DUMMYFUNCTION("""COMPUTED_VALUE"""),"urban")</f>
        <v>urban</v>
      </c>
      <c r="M351" s="6" t="str">
        <f>IFERROR(__xludf.DUMMYFUNCTION("""COMPUTED_VALUE"""),"native")</f>
        <v>native</v>
      </c>
      <c r="N351" s="6" t="str">
        <f>IFERROR(__xludf.DUMMYFUNCTION("""COMPUTED_VALUE"""),"monday")</f>
        <v>monday</v>
      </c>
      <c r="P351" s="6" t="str">
        <f>IFERROR(__xludf.DUMMYFUNCTION("""COMPUTED_VALUE"""),"opera")</f>
        <v>opera</v>
      </c>
      <c r="Q351" s="6" t="str">
        <f>IFERROR(__xludf.DUMMYFUNCTION("""COMPUTED_VALUE"""),"haunting")</f>
        <v>haunting</v>
      </c>
      <c r="S351" s="6" t="str">
        <f>IFERROR(__xludf.DUMMYFUNCTION("""COMPUTED_VALUE"""),"well")</f>
        <v>well</v>
      </c>
    </row>
    <row r="352">
      <c r="B352" s="6"/>
      <c r="D352" s="6"/>
      <c r="G352" s="6" t="str">
        <f>IFERROR(__xludf.DUMMYFUNCTION("""COMPUTED_VALUE"""),"stiff")</f>
        <v>stiff</v>
      </c>
      <c r="H352" s="6" t="str">
        <f>IFERROR(__xludf.DUMMYFUNCTION("""COMPUTED_VALUE"""),"stupid")</f>
        <v>stupid</v>
      </c>
      <c r="I352" s="6" t="str">
        <f>IFERROR(__xludf.DUMMYFUNCTION("""COMPUTED_VALUE"""),"souls")</f>
        <v>souls</v>
      </c>
      <c r="J352" s="6" t="str">
        <f>IFERROR(__xludf.DUMMYFUNCTION("""COMPUTED_VALUE"""),"prove")</f>
        <v>prove</v>
      </c>
      <c r="L352" s="6" t="str">
        <f>IFERROR(__xludf.DUMMYFUNCTION("""COMPUTED_VALUE"""),"bits")</f>
        <v>bits</v>
      </c>
      <c r="M352" s="6" t="str">
        <f>IFERROR(__xludf.DUMMYFUNCTION("""COMPUTED_VALUE"""),"wild")</f>
        <v>wild</v>
      </c>
      <c r="N352" s="6" t="str">
        <f>IFERROR(__xludf.DUMMYFUNCTION("""COMPUTED_VALUE"""),"japanese")</f>
        <v>japanese</v>
      </c>
      <c r="P352" s="6" t="str">
        <f>IFERROR(__xludf.DUMMYFUNCTION("""COMPUTED_VALUE"""),"simply")</f>
        <v>simply</v>
      </c>
      <c r="Q352" s="6" t="str">
        <f>IFERROR(__xludf.DUMMYFUNCTION("""COMPUTED_VALUE"""),"mainly")</f>
        <v>mainly</v>
      </c>
      <c r="S352" s="6" t="str">
        <f>IFERROR(__xludf.DUMMYFUNCTION("""COMPUTED_VALUE"""),"rest")</f>
        <v>rest</v>
      </c>
    </row>
    <row r="353">
      <c r="B353" s="6"/>
      <c r="D353" s="6"/>
      <c r="G353" s="6" t="str">
        <f>IFERROR(__xludf.DUMMYFUNCTION("""COMPUTED_VALUE"""),"miracles")</f>
        <v>miracles</v>
      </c>
      <c r="H353" s="6" t="str">
        <f>IFERROR(__xludf.DUMMYFUNCTION("""COMPUTED_VALUE"""),"sexuality")</f>
        <v>sexuality</v>
      </c>
      <c r="I353" s="6" t="str">
        <f>IFERROR(__xludf.DUMMYFUNCTION("""COMPUTED_VALUE"""),"hint")</f>
        <v>hint</v>
      </c>
      <c r="J353" s="6" t="str">
        <f>IFERROR(__xludf.DUMMYFUNCTION("""COMPUTED_VALUE"""),"revealing")</f>
        <v>revealing</v>
      </c>
      <c r="L353" s="6" t="str">
        <f>IFERROR(__xludf.DUMMYFUNCTION("""COMPUTED_VALUE"""),"scarcely")</f>
        <v>scarcely</v>
      </c>
      <c r="M353" s="6" t="str">
        <f>IFERROR(__xludf.DUMMYFUNCTION("""COMPUTED_VALUE"""),"french")</f>
        <v>french</v>
      </c>
      <c r="N353" s="6" t="str">
        <f>IFERROR(__xludf.DUMMYFUNCTION("""COMPUTED_VALUE"""),"catches")</f>
        <v>catches</v>
      </c>
      <c r="P353" s="6" t="str">
        <f>IFERROR(__xludf.DUMMYFUNCTION("""COMPUTED_VALUE"""),"species")</f>
        <v>species</v>
      </c>
      <c r="Q353" s="6" t="str">
        <f>IFERROR(__xludf.DUMMYFUNCTION("""COMPUTED_VALUE"""),"fine")</f>
        <v>fine</v>
      </c>
      <c r="S353" s="6" t="str">
        <f>IFERROR(__xludf.DUMMYFUNCTION("""COMPUTED_VALUE"""),"elevated")</f>
        <v>elevated</v>
      </c>
    </row>
    <row r="354">
      <c r="B354" s="6"/>
      <c r="D354" s="6"/>
      <c r="G354" s="6" t="str">
        <f>IFERROR(__xludf.DUMMYFUNCTION("""COMPUTED_VALUE"""),"miracle")</f>
        <v>miracle</v>
      </c>
      <c r="H354" s="6" t="str">
        <f>IFERROR(__xludf.DUMMYFUNCTION("""COMPUTED_VALUE"""),"combining")</f>
        <v>combining</v>
      </c>
      <c r="I354" s="6" t="str">
        <f>IFERROR(__xludf.DUMMYFUNCTION("""COMPUTED_VALUE"""),"ages")</f>
        <v>ages</v>
      </c>
      <c r="J354" s="6" t="str">
        <f>IFERROR(__xludf.DUMMYFUNCTION("""COMPUTED_VALUE"""),"done")</f>
        <v>done</v>
      </c>
      <c r="L354" s="6" t="str">
        <f>IFERROR(__xludf.DUMMYFUNCTION("""COMPUTED_VALUE"""),"built")</f>
        <v>built</v>
      </c>
      <c r="M354" s="6" t="str">
        <f>IFERROR(__xludf.DUMMYFUNCTION("""COMPUTED_VALUE"""),"imagine")</f>
        <v>imagine</v>
      </c>
      <c r="N354" s="6" t="str">
        <f>IFERROR(__xludf.DUMMYFUNCTION("""COMPUTED_VALUE"""),"tight")</f>
        <v>tight</v>
      </c>
      <c r="P354" s="6" t="str">
        <f>IFERROR(__xludf.DUMMYFUNCTION("""COMPUTED_VALUE"""),"leaves")</f>
        <v>leaves</v>
      </c>
      <c r="Q354" s="6" t="str">
        <f>IFERROR(__xludf.DUMMYFUNCTION("""COMPUTED_VALUE"""),"seats")</f>
        <v>seats</v>
      </c>
      <c r="S354" s="6" t="str">
        <f>IFERROR(__xludf.DUMMYFUNCTION("""COMPUTED_VALUE"""),"grant")</f>
        <v>grant</v>
      </c>
    </row>
    <row r="355">
      <c r="B355" s="6"/>
      <c r="D355" s="6"/>
      <c r="G355" s="6" t="str">
        <f>IFERROR(__xludf.DUMMYFUNCTION("""COMPUTED_VALUE"""),"lewis")</f>
        <v>lewis</v>
      </c>
      <c r="H355" s="6" t="str">
        <f>IFERROR(__xludf.DUMMYFUNCTION("""COMPUTED_VALUE"""),"indictment")</f>
        <v>indictment</v>
      </c>
      <c r="I355" s="6" t="str">
        <f>IFERROR(__xludf.DUMMYFUNCTION("""COMPUTED_VALUE"""),"immediate")</f>
        <v>immediate</v>
      </c>
      <c r="J355" s="6" t="str">
        <f>IFERROR(__xludf.DUMMYFUNCTION("""COMPUTED_VALUE"""),"illumination")</f>
        <v>illumination</v>
      </c>
      <c r="L355" s="6" t="str">
        <f>IFERROR(__xludf.DUMMYFUNCTION("""COMPUTED_VALUE"""),"sketch")</f>
        <v>sketch</v>
      </c>
      <c r="M355" s="6" t="str">
        <f>IFERROR(__xludf.DUMMYFUNCTION("""COMPUTED_VALUE"""),"interested")</f>
        <v>interested</v>
      </c>
      <c r="N355" s="6" t="str">
        <f>IFERROR(__xludf.DUMMYFUNCTION("""COMPUTED_VALUE"""),"trademark")</f>
        <v>trademark</v>
      </c>
      <c r="P355" s="6" t="str">
        <f>IFERROR(__xludf.DUMMYFUNCTION("""COMPUTED_VALUE"""),"question")</f>
        <v>question</v>
      </c>
      <c r="Q355" s="6" t="str">
        <f>IFERROR(__xludf.DUMMYFUNCTION("""COMPUTED_VALUE"""),"passages")</f>
        <v>passages</v>
      </c>
      <c r="S355" s="6" t="str">
        <f>IFERROR(__xludf.DUMMYFUNCTION("""COMPUTED_VALUE"""),"hugh")</f>
        <v>hugh</v>
      </c>
    </row>
    <row r="356">
      <c r="B356" s="6"/>
      <c r="D356" s="6"/>
      <c r="G356" s="6" t="str">
        <f>IFERROR(__xludf.DUMMYFUNCTION("""COMPUTED_VALUE"""),"office")</f>
        <v>office</v>
      </c>
      <c r="H356" s="6" t="str">
        <f>IFERROR(__xludf.DUMMYFUNCTION("""COMPUTED_VALUE"""),"offensive")</f>
        <v>offensive</v>
      </c>
      <c r="I356" s="6" t="str">
        <f>IFERROR(__xludf.DUMMYFUNCTION("""COMPUTED_VALUE"""),"worry")</f>
        <v>worry</v>
      </c>
      <c r="J356" s="6" t="str">
        <f>IFERROR(__xludf.DUMMYFUNCTION("""COMPUTED_VALUE"""),"chilling")</f>
        <v>chilling</v>
      </c>
      <c r="L356" s="6" t="str">
        <f>IFERROR(__xludf.DUMMYFUNCTION("""COMPUTED_VALUE"""),"message")</f>
        <v>message</v>
      </c>
      <c r="M356" s="6" t="str">
        <f>IFERROR(__xludf.DUMMYFUNCTION("""COMPUTED_VALUE"""),"girls")</f>
        <v>girls</v>
      </c>
      <c r="N356" s="6" t="str">
        <f>IFERROR(__xludf.DUMMYFUNCTION("""COMPUTED_VALUE"""),"california")</f>
        <v>california</v>
      </c>
      <c r="P356" s="6" t="str">
        <f>IFERROR(__xludf.DUMMYFUNCTION("""COMPUTED_VALUE"""),"open")</f>
        <v>open</v>
      </c>
      <c r="Q356" s="6" t="str">
        <f>IFERROR(__xludf.DUMMYFUNCTION("""COMPUTED_VALUE"""),"beings")</f>
        <v>beings</v>
      </c>
      <c r="S356" s="6" t="str">
        <f>IFERROR(__xludf.DUMMYFUNCTION("""COMPUTED_VALUE"""),"early")</f>
        <v>early</v>
      </c>
    </row>
    <row r="357">
      <c r="B357" s="6"/>
      <c r="D357" s="6"/>
      <c r="G357" s="6" t="str">
        <f>IFERROR(__xludf.DUMMYFUNCTION("""COMPUTED_VALUE"""),"bullets")</f>
        <v>bullets</v>
      </c>
      <c r="H357" s="6" t="str">
        <f>IFERROR(__xludf.DUMMYFUNCTION("""COMPUTED_VALUE"""),"clause")</f>
        <v>clause</v>
      </c>
      <c r="I357" s="6" t="str">
        <f>IFERROR(__xludf.DUMMYFUNCTION("""COMPUTED_VALUE"""),"convince")</f>
        <v>convince</v>
      </c>
      <c r="J357" s="6" t="str">
        <f>IFERROR(__xludf.DUMMYFUNCTION("""COMPUTED_VALUE"""),"reefs")</f>
        <v>reefs</v>
      </c>
      <c r="L357" s="6" t="str">
        <f>IFERROR(__xludf.DUMMYFUNCTION("""COMPUTED_VALUE"""),"date")</f>
        <v>date</v>
      </c>
      <c r="M357" s="6" t="str">
        <f>IFERROR(__xludf.DUMMYFUNCTION("""COMPUTED_VALUE"""),"random")</f>
        <v>random</v>
      </c>
      <c r="N357" s="6" t="str">
        <f>IFERROR(__xludf.DUMMYFUNCTION("""COMPUTED_VALUE"""),"forgotten")</f>
        <v>forgotten</v>
      </c>
      <c r="P357" s="6" t="str">
        <f>IFERROR(__xludf.DUMMYFUNCTION("""COMPUTED_VALUE"""),"failure")</f>
        <v>failure</v>
      </c>
      <c r="Q357" s="6" t="str">
        <f>IFERROR(__xludf.DUMMYFUNCTION("""COMPUTED_VALUE"""),"players")</f>
        <v>players</v>
      </c>
      <c r="S357" s="6" t="str">
        <f>IFERROR(__xludf.DUMMYFUNCTION("""COMPUTED_VALUE"""),"stay")</f>
        <v>stay</v>
      </c>
    </row>
    <row r="358">
      <c r="B358" s="6"/>
      <c r="D358" s="6"/>
      <c r="G358" s="6" t="str">
        <f>IFERROR(__xludf.DUMMYFUNCTION("""COMPUTED_VALUE"""),"convincing")</f>
        <v>convincing</v>
      </c>
      <c r="H358" s="6" t="str">
        <f>IFERROR(__xludf.DUMMYFUNCTION("""COMPUTED_VALUE"""),"emotionally")</f>
        <v>emotionally</v>
      </c>
      <c r="I358" s="6" t="str">
        <f>IFERROR(__xludf.DUMMYFUNCTION("""COMPUTED_VALUE"""),"documentary")</f>
        <v>documentary</v>
      </c>
      <c r="J358" s="6" t="str">
        <f>IFERROR(__xludf.DUMMYFUNCTION("""COMPUTED_VALUE"""),"submarine")</f>
        <v>submarine</v>
      </c>
      <c r="L358" s="6" t="str">
        <f>IFERROR(__xludf.DUMMYFUNCTION("""COMPUTED_VALUE"""),"machine")</f>
        <v>machine</v>
      </c>
      <c r="M358" s="6" t="str">
        <f>IFERROR(__xludf.DUMMYFUNCTION("""COMPUTED_VALUE"""),"brought")</f>
        <v>brought</v>
      </c>
      <c r="N358" s="6" t="str">
        <f>IFERROR(__xludf.DUMMYFUNCTION("""COMPUTED_VALUE"""),"wave")</f>
        <v>wave</v>
      </c>
      <c r="P358" s="6" t="str">
        <f>IFERROR(__xludf.DUMMYFUNCTION("""COMPUTED_VALUE"""),"suffering")</f>
        <v>suffering</v>
      </c>
      <c r="Q358" s="6" t="str">
        <f>IFERROR(__xludf.DUMMYFUNCTION("""COMPUTED_VALUE"""),"gifted")</f>
        <v>gifted</v>
      </c>
      <c r="S358" s="6" t="str">
        <f>IFERROR(__xludf.DUMMYFUNCTION("""COMPUTED_VALUE"""),"arrive")</f>
        <v>arrive</v>
      </c>
    </row>
    <row r="359">
      <c r="B359" s="6"/>
      <c r="D359" s="6"/>
      <c r="G359" s="6" t="str">
        <f>IFERROR(__xludf.DUMMYFUNCTION("""COMPUTED_VALUE"""),"affection")</f>
        <v>affection</v>
      </c>
      <c r="H359" s="6" t="str">
        <f>IFERROR(__xludf.DUMMYFUNCTION("""COMPUTED_VALUE"""),"loose")</f>
        <v>loose</v>
      </c>
      <c r="I359" s="6" t="str">
        <f>IFERROR(__xludf.DUMMYFUNCTION("""COMPUTED_VALUE"""),"kills")</f>
        <v>kills</v>
      </c>
      <c r="J359" s="6" t="str">
        <f>IFERROR(__xludf.DUMMYFUNCTION("""COMPUTED_VALUE"""),"supernatural")</f>
        <v>supernatural</v>
      </c>
      <c r="L359" s="6" t="str">
        <f>IFERROR(__xludf.DUMMYFUNCTION("""COMPUTED_VALUE"""),"pure")</f>
        <v>pure</v>
      </c>
      <c r="M359" s="6" t="str">
        <f>IFERROR(__xludf.DUMMYFUNCTION("""COMPUTED_VALUE"""),"attempt")</f>
        <v>attempt</v>
      </c>
      <c r="N359" s="6" t="str">
        <f>IFERROR(__xludf.DUMMYFUNCTION("""COMPUTED_VALUE"""),"connection")</f>
        <v>connection</v>
      </c>
      <c r="P359" s="6" t="str">
        <f>IFERROR(__xludf.DUMMYFUNCTION("""COMPUTED_VALUE"""),"powerful")</f>
        <v>powerful</v>
      </c>
      <c r="Q359" s="6" t="str">
        <f>IFERROR(__xludf.DUMMYFUNCTION("""COMPUTED_VALUE"""),"fore")</f>
        <v>fore</v>
      </c>
      <c r="S359" s="6" t="str">
        <f>IFERROR(__xludf.DUMMYFUNCTION("""COMPUTED_VALUE"""),"urban")</f>
        <v>urban</v>
      </c>
    </row>
    <row r="360">
      <c r="B360" s="6"/>
      <c r="D360" s="6"/>
      <c r="G360" s="6" t="str">
        <f>IFERROR(__xludf.DUMMYFUNCTION("""COMPUTED_VALUE"""),"souls")</f>
        <v>souls</v>
      </c>
      <c r="H360" s="6" t="str">
        <f>IFERROR(__xludf.DUMMYFUNCTION("""COMPUTED_VALUE"""),"revealing")</f>
        <v>revealing</v>
      </c>
      <c r="I360" s="6" t="str">
        <f>IFERROR(__xludf.DUMMYFUNCTION("""COMPUTED_VALUE"""),"edge")</f>
        <v>edge</v>
      </c>
      <c r="J360" s="6" t="str">
        <f>IFERROR(__xludf.DUMMYFUNCTION("""COMPUTED_VALUE"""),"simulate")</f>
        <v>simulate</v>
      </c>
      <c r="L360" s="6" t="str">
        <f>IFERROR(__xludf.DUMMYFUNCTION("""COMPUTED_VALUE"""),"preceded")</f>
        <v>preceded</v>
      </c>
      <c r="M360" s="6" t="str">
        <f>IFERROR(__xludf.DUMMYFUNCTION("""COMPUTED_VALUE"""),"eating")</f>
        <v>eating</v>
      </c>
      <c r="N360" s="6" t="str">
        <f>IFERROR(__xludf.DUMMYFUNCTION("""COMPUTED_VALUE"""),"access")</f>
        <v>access</v>
      </c>
      <c r="P360" s="6" t="str">
        <f>IFERROR(__xludf.DUMMYFUNCTION("""COMPUTED_VALUE"""),"clinic")</f>
        <v>clinic</v>
      </c>
      <c r="Q360" s="6" t="str">
        <f>IFERROR(__xludf.DUMMYFUNCTION("""COMPUTED_VALUE"""),"made")</f>
        <v>made</v>
      </c>
      <c r="S360" s="6" t="str">
        <f>IFERROR(__xludf.DUMMYFUNCTION("""COMPUTED_VALUE"""),"hours")</f>
        <v>hours</v>
      </c>
    </row>
    <row r="361">
      <c r="B361" s="6"/>
      <c r="D361" s="6"/>
      <c r="G361" s="6" t="str">
        <f>IFERROR(__xludf.DUMMYFUNCTION("""COMPUTED_VALUE"""),"substances")</f>
        <v>substances</v>
      </c>
      <c r="H361" s="6" t="str">
        <f>IFERROR(__xludf.DUMMYFUNCTION("""COMPUTED_VALUE"""),"illumination")</f>
        <v>illumination</v>
      </c>
      <c r="I361" s="6" t="str">
        <f>IFERROR(__xludf.DUMMYFUNCTION("""COMPUTED_VALUE"""),"ranks")</f>
        <v>ranks</v>
      </c>
      <c r="J361" s="6" t="str">
        <f>IFERROR(__xludf.DUMMYFUNCTION("""COMPUTED_VALUE"""),"idiots")</f>
        <v>idiots</v>
      </c>
      <c r="L361" s="6" t="str">
        <f>IFERROR(__xludf.DUMMYFUNCTION("""COMPUTED_VALUE"""),"matters")</f>
        <v>matters</v>
      </c>
      <c r="M361" s="6" t="str">
        <f>IFERROR(__xludf.DUMMYFUNCTION("""COMPUTED_VALUE"""),"appeal")</f>
        <v>appeal</v>
      </c>
      <c r="N361" s="6" t="str">
        <f>IFERROR(__xludf.DUMMYFUNCTION("""COMPUTED_VALUE"""),"mug")</f>
        <v>mug</v>
      </c>
      <c r="P361" s="6" t="str">
        <f>IFERROR(__xludf.DUMMYFUNCTION("""COMPUTED_VALUE"""),"reason")</f>
        <v>reason</v>
      </c>
      <c r="Q361" s="6" t="str">
        <f>IFERROR(__xludf.DUMMYFUNCTION("""COMPUTED_VALUE"""),"dates")</f>
        <v>dates</v>
      </c>
      <c r="S361" s="6" t="str">
        <f>IFERROR(__xludf.DUMMYFUNCTION("""COMPUTED_VALUE"""),"brown")</f>
        <v>brown</v>
      </c>
    </row>
    <row r="362">
      <c r="B362" s="6"/>
      <c r="D362" s="6"/>
      <c r="G362" s="6" t="str">
        <f>IFERROR(__xludf.DUMMYFUNCTION("""COMPUTED_VALUE"""),"subjected")</f>
        <v>subjected</v>
      </c>
      <c r="H362" s="6" t="str">
        <f>IFERROR(__xludf.DUMMYFUNCTION("""COMPUTED_VALUE"""),"darker")</f>
        <v>darker</v>
      </c>
      <c r="I362" s="6" t="str">
        <f>IFERROR(__xludf.DUMMYFUNCTION("""COMPUTED_VALUE"""),"courage")</f>
        <v>courage</v>
      </c>
      <c r="J362" s="6" t="str">
        <f>IFERROR(__xludf.DUMMYFUNCTION("""COMPUTED_VALUE"""),"spirit")</f>
        <v>spirit</v>
      </c>
      <c r="L362" s="6" t="str">
        <f>IFERROR(__xludf.DUMMYFUNCTION("""COMPUTED_VALUE"""),"smirk")</f>
        <v>smirk</v>
      </c>
      <c r="M362" s="6" t="str">
        <f>IFERROR(__xludf.DUMMYFUNCTION("""COMPUTED_VALUE"""),"holds")</f>
        <v>holds</v>
      </c>
      <c r="N362" s="6" t="str">
        <f>IFERROR(__xludf.DUMMYFUNCTION("""COMPUTED_VALUE"""),"points")</f>
        <v>points</v>
      </c>
      <c r="P362" s="6" t="str">
        <f>IFERROR(__xludf.DUMMYFUNCTION("""COMPUTED_VALUE"""),"needs")</f>
        <v>needs</v>
      </c>
      <c r="Q362" s="6" t="str">
        <f>IFERROR(__xludf.DUMMYFUNCTION("""COMPUTED_VALUE"""),"demands")</f>
        <v>demands</v>
      </c>
      <c r="S362" s="6" t="str">
        <f>IFERROR(__xludf.DUMMYFUNCTION("""COMPUTED_VALUE"""),"includes")</f>
        <v>includes</v>
      </c>
    </row>
    <row r="363">
      <c r="B363" s="6"/>
      <c r="D363" s="6"/>
      <c r="G363" s="6" t="str">
        <f>IFERROR(__xludf.DUMMYFUNCTION("""COMPUTED_VALUE"""),"worry")</f>
        <v>worry</v>
      </c>
      <c r="H363" s="6" t="str">
        <f>IFERROR(__xludf.DUMMYFUNCTION("""COMPUTED_VALUE"""),"chilling")</f>
        <v>chilling</v>
      </c>
      <c r="I363" s="6" t="str">
        <f>IFERROR(__xludf.DUMMYFUNCTION("""COMPUTED_VALUE"""),"intellectual")</f>
        <v>intellectual</v>
      </c>
      <c r="J363" s="6" t="str">
        <f>IFERROR(__xludf.DUMMYFUNCTION("""COMPUTED_VALUE"""),"medium")</f>
        <v>medium</v>
      </c>
      <c r="L363" s="6" t="str">
        <f>IFERROR(__xludf.DUMMYFUNCTION("""COMPUTED_VALUE"""),"comic")</f>
        <v>comic</v>
      </c>
      <c r="M363" s="6" t="str">
        <f>IFERROR(__xludf.DUMMYFUNCTION("""COMPUTED_VALUE"""),"please")</f>
        <v>please</v>
      </c>
      <c r="N363" s="6" t="str">
        <f>IFERROR(__xludf.DUMMYFUNCTION("""COMPUTED_VALUE"""),"added")</f>
        <v>added</v>
      </c>
      <c r="P363" s="6" t="str">
        <f>IFERROR(__xludf.DUMMYFUNCTION("""COMPUTED_VALUE"""),"demanding")</f>
        <v>demanding</v>
      </c>
      <c r="Q363" s="6" t="str">
        <f>IFERROR(__xludf.DUMMYFUNCTION("""COMPUTED_VALUE"""),"undead")</f>
        <v>undead</v>
      </c>
      <c r="S363" s="6" t="str">
        <f>IFERROR(__xludf.DUMMYFUNCTION("""COMPUTED_VALUE"""),"crime")</f>
        <v>crime</v>
      </c>
    </row>
    <row r="364">
      <c r="B364" s="6"/>
      <c r="D364" s="6"/>
      <c r="G364" s="6" t="str">
        <f>IFERROR(__xludf.DUMMYFUNCTION("""COMPUTED_VALUE"""),"convince")</f>
        <v>convince</v>
      </c>
      <c r="H364" s="6" t="str">
        <f>IFERROR(__xludf.DUMMYFUNCTION("""COMPUTED_VALUE"""),"reefs")</f>
        <v>reefs</v>
      </c>
      <c r="I364" s="6" t="str">
        <f>IFERROR(__xludf.DUMMYFUNCTION("""COMPUTED_VALUE"""),"general")</f>
        <v>general</v>
      </c>
      <c r="J364" s="6" t="str">
        <f>IFERROR(__xludf.DUMMYFUNCTION("""COMPUTED_VALUE"""),"gaping")</f>
        <v>gaping</v>
      </c>
      <c r="L364" s="6" t="str">
        <f>IFERROR(__xludf.DUMMYFUNCTION("""COMPUTED_VALUE"""),"carried")</f>
        <v>carried</v>
      </c>
      <c r="M364" s="6" t="str">
        <f>IFERROR(__xludf.DUMMYFUNCTION("""COMPUTED_VALUE"""),"tongue")</f>
        <v>tongue</v>
      </c>
      <c r="N364" s="6" t="str">
        <f>IFERROR(__xludf.DUMMYFUNCTION("""COMPUTED_VALUE"""),"executed")</f>
        <v>executed</v>
      </c>
      <c r="P364" s="6" t="str">
        <f>IFERROR(__xludf.DUMMYFUNCTION("""COMPUTED_VALUE"""),"making")</f>
        <v>making</v>
      </c>
      <c r="Q364" s="6" t="str">
        <f>IFERROR(__xludf.DUMMYFUNCTION("""COMPUTED_VALUE"""),"merely")</f>
        <v>merely</v>
      </c>
      <c r="S364" s="6" t="str">
        <f>IFERROR(__xludf.DUMMYFUNCTION("""COMPUTED_VALUE"""),"lane")</f>
        <v>lane</v>
      </c>
    </row>
    <row r="365">
      <c r="B365" s="6"/>
      <c r="D365" s="6"/>
      <c r="G365" s="6" t="str">
        <f>IFERROR(__xludf.DUMMYFUNCTION("""COMPUTED_VALUE"""),"documentary")</f>
        <v>documentary</v>
      </c>
      <c r="H365" s="6" t="str">
        <f>IFERROR(__xludf.DUMMYFUNCTION("""COMPUTED_VALUE"""),"submarine")</f>
        <v>submarine</v>
      </c>
      <c r="I365" s="6" t="str">
        <f>IFERROR(__xludf.DUMMYFUNCTION("""COMPUTED_VALUE"""),"bore")</f>
        <v>bore</v>
      </c>
      <c r="J365" s="6" t="str">
        <f>IFERROR(__xludf.DUMMYFUNCTION("""COMPUTED_VALUE"""),"olympic")</f>
        <v>olympic</v>
      </c>
      <c r="L365" s="6" t="str">
        <f>IFERROR(__xludf.DUMMYFUNCTION("""COMPUTED_VALUE"""),"pants")</f>
        <v>pants</v>
      </c>
      <c r="M365" s="6" t="str">
        <f>IFERROR(__xludf.DUMMYFUNCTION("""COMPUTED_VALUE"""),"afraid")</f>
        <v>afraid</v>
      </c>
      <c r="N365" s="6" t="str">
        <f>IFERROR(__xludf.DUMMYFUNCTION("""COMPUTED_VALUE"""),"graceful")</f>
        <v>graceful</v>
      </c>
      <c r="P365" s="6" t="str">
        <f>IFERROR(__xludf.DUMMYFUNCTION("""COMPUTED_VALUE"""),"passion")</f>
        <v>passion</v>
      </c>
      <c r="Q365" s="6" t="str">
        <f>IFERROR(__xludf.DUMMYFUNCTION("""COMPUTED_VALUE"""),"momentum")</f>
        <v>momentum</v>
      </c>
      <c r="S365" s="6" t="str">
        <f>IFERROR(__xludf.DUMMYFUNCTION("""COMPUTED_VALUE"""),"fighting")</f>
        <v>fighting</v>
      </c>
    </row>
    <row r="366">
      <c r="B366" s="6"/>
      <c r="D366" s="6"/>
      <c r="G366" s="6" t="str">
        <f>IFERROR(__xludf.DUMMYFUNCTION("""COMPUTED_VALUE"""),"edge")</f>
        <v>edge</v>
      </c>
      <c r="H366" s="6" t="str">
        <f>IFERROR(__xludf.DUMMYFUNCTION("""COMPUTED_VALUE"""),"supernatural")</f>
        <v>supernatural</v>
      </c>
      <c r="I366" s="6" t="str">
        <f>IFERROR(__xludf.DUMMYFUNCTION("""COMPUTED_VALUE"""),"suspect")</f>
        <v>suspect</v>
      </c>
      <c r="J366" s="6" t="str">
        <f>IFERROR(__xludf.DUMMYFUNCTION("""COMPUTED_VALUE"""),"blend")</f>
        <v>blend</v>
      </c>
      <c r="L366" s="6" t="str">
        <f>IFERROR(__xludf.DUMMYFUNCTION("""COMPUTED_VALUE"""),"performance")</f>
        <v>performance</v>
      </c>
      <c r="M366" s="6" t="str">
        <f>IFERROR(__xludf.DUMMYFUNCTION("""COMPUTED_VALUE"""),"across")</f>
        <v>across</v>
      </c>
      <c r="N366" s="6" t="str">
        <f>IFERROR(__xludf.DUMMYFUNCTION("""COMPUTED_VALUE"""),"manage")</f>
        <v>manage</v>
      </c>
      <c r="P366" s="6" t="str">
        <f>IFERROR(__xludf.DUMMYFUNCTION("""COMPUTED_VALUE"""),"formula")</f>
        <v>formula</v>
      </c>
      <c r="Q366" s="6" t="str">
        <f>IFERROR(__xludf.DUMMYFUNCTION("""COMPUTED_VALUE"""),"sand")</f>
        <v>sand</v>
      </c>
      <c r="S366" s="6" t="str">
        <f>IFERROR(__xludf.DUMMYFUNCTION("""COMPUTED_VALUE"""),"steven")</f>
        <v>steven</v>
      </c>
    </row>
    <row r="367">
      <c r="B367" s="6"/>
      <c r="D367" s="6"/>
      <c r="G367" s="6" t="str">
        <f>IFERROR(__xludf.DUMMYFUNCTION("""COMPUTED_VALUE"""),"courage")</f>
        <v>courage</v>
      </c>
      <c r="H367" s="6" t="str">
        <f>IFERROR(__xludf.DUMMYFUNCTION("""COMPUTED_VALUE"""),"paranoid")</f>
        <v>paranoid</v>
      </c>
      <c r="I367" s="6" t="str">
        <f>IFERROR(__xludf.DUMMYFUNCTION("""COMPUTED_VALUE"""),"involving")</f>
        <v>involving</v>
      </c>
      <c r="J367" s="6" t="str">
        <f>IFERROR(__xludf.DUMMYFUNCTION("""COMPUTED_VALUE"""),"claude")</f>
        <v>claude</v>
      </c>
      <c r="L367" s="6" t="str">
        <f>IFERROR(__xludf.DUMMYFUNCTION("""COMPUTED_VALUE"""),"avid")</f>
        <v>avid</v>
      </c>
      <c r="M367" s="6" t="str">
        <f>IFERROR(__xludf.DUMMYFUNCTION("""COMPUTED_VALUE"""),"contribution")</f>
        <v>contribution</v>
      </c>
      <c r="N367" s="6" t="str">
        <f>IFERROR(__xludf.DUMMYFUNCTION("""COMPUTED_VALUE"""),"present")</f>
        <v>present</v>
      </c>
      <c r="P367" s="6" t="str">
        <f>IFERROR(__xludf.DUMMYFUNCTION("""COMPUTED_VALUE"""),"wrong")</f>
        <v>wrong</v>
      </c>
      <c r="Q367" s="6" t="str">
        <f>IFERROR(__xludf.DUMMYFUNCTION("""COMPUTED_VALUE"""),"characteristic")</f>
        <v>characteristic</v>
      </c>
      <c r="S367" s="6" t="str">
        <f>IFERROR(__xludf.DUMMYFUNCTION("""COMPUTED_VALUE"""),"water")</f>
        <v>water</v>
      </c>
    </row>
    <row r="368">
      <c r="B368" s="6"/>
      <c r="D368" s="6"/>
      <c r="G368" s="6" t="str">
        <f>IFERROR(__xludf.DUMMYFUNCTION("""COMPUTED_VALUE"""),"intellectual")</f>
        <v>intellectual</v>
      </c>
      <c r="H368" s="6" t="str">
        <f>IFERROR(__xludf.DUMMYFUNCTION("""COMPUTED_VALUE"""),"simulate")</f>
        <v>simulate</v>
      </c>
      <c r="I368" s="6" t="str">
        <f>IFERROR(__xludf.DUMMYFUNCTION("""COMPUTED_VALUE"""),"universal")</f>
        <v>universal</v>
      </c>
      <c r="J368" s="6" t="str">
        <f>IFERROR(__xludf.DUMMYFUNCTION("""COMPUTED_VALUE"""),"master")</f>
        <v>master</v>
      </c>
      <c r="L368" s="6" t="str">
        <f>IFERROR(__xludf.DUMMYFUNCTION("""COMPUTED_VALUE"""),"suit")</f>
        <v>suit</v>
      </c>
      <c r="M368" s="6" t="str">
        <f>IFERROR(__xludf.DUMMYFUNCTION("""COMPUTED_VALUE"""),"corner")</f>
        <v>corner</v>
      </c>
      <c r="N368" s="6" t="str">
        <f>IFERROR(__xludf.DUMMYFUNCTION("""COMPUTED_VALUE"""),"story")</f>
        <v>story</v>
      </c>
      <c r="P368" s="6" t="str">
        <f>IFERROR(__xludf.DUMMYFUNCTION("""COMPUTED_VALUE"""),"distance")</f>
        <v>distance</v>
      </c>
      <c r="Q368" s="6" t="str">
        <f>IFERROR(__xludf.DUMMYFUNCTION("""COMPUTED_VALUE"""),"affecting")</f>
        <v>affecting</v>
      </c>
      <c r="S368" s="6" t="str">
        <f>IFERROR(__xludf.DUMMYFUNCTION("""COMPUTED_VALUE"""),"red")</f>
        <v>red</v>
      </c>
    </row>
    <row r="369">
      <c r="B369" s="6"/>
      <c r="D369" s="6"/>
      <c r="G369" s="6" t="str">
        <f>IFERROR(__xludf.DUMMYFUNCTION("""COMPUTED_VALUE"""),"meditation")</f>
        <v>meditation</v>
      </c>
      <c r="H369" s="6" t="str">
        <f>IFERROR(__xludf.DUMMYFUNCTION("""COMPUTED_VALUE"""),"idiots")</f>
        <v>idiots</v>
      </c>
      <c r="I369" s="6" t="str">
        <f>IFERROR(__xludf.DUMMYFUNCTION("""COMPUTED_VALUE"""),"edited")</f>
        <v>edited</v>
      </c>
      <c r="J369" s="6" t="str">
        <f>IFERROR(__xludf.DUMMYFUNCTION("""COMPUTED_VALUE"""),"inuit")</f>
        <v>inuit</v>
      </c>
      <c r="L369" s="6" t="str">
        <f>IFERROR(__xludf.DUMMYFUNCTION("""COMPUTED_VALUE"""),"marvel")</f>
        <v>marvel</v>
      </c>
      <c r="M369" s="6" t="str">
        <f>IFERROR(__xludf.DUMMYFUNCTION("""COMPUTED_VALUE"""),"famous")</f>
        <v>famous</v>
      </c>
      <c r="N369" s="6" t="str">
        <f>IFERROR(__xludf.DUMMYFUNCTION("""COMPUTED_VALUE"""),"soap")</f>
        <v>soap</v>
      </c>
      <c r="P369" s="6" t="str">
        <f>IFERROR(__xludf.DUMMYFUNCTION("""COMPUTED_VALUE"""),"man")</f>
        <v>man</v>
      </c>
      <c r="Q369" s="6" t="str">
        <f>IFERROR(__xludf.DUMMYFUNCTION("""COMPUTED_VALUE"""),"mira")</f>
        <v>mira</v>
      </c>
      <c r="S369" s="6" t="str">
        <f>IFERROR(__xludf.DUMMYFUNCTION("""COMPUTED_VALUE"""),"energy")</f>
        <v>energy</v>
      </c>
    </row>
    <row r="370">
      <c r="B370" s="6"/>
      <c r="D370" s="6"/>
      <c r="G370" s="6" t="str">
        <f>IFERROR(__xludf.DUMMYFUNCTION("""COMPUTED_VALUE"""),"outsiders")</f>
        <v>outsiders</v>
      </c>
      <c r="H370" s="6" t="str">
        <f>IFERROR(__xludf.DUMMYFUNCTION("""COMPUTED_VALUE"""),"spirit")</f>
        <v>spirit</v>
      </c>
      <c r="I370" s="6" t="str">
        <f>IFERROR(__xludf.DUMMYFUNCTION("""COMPUTED_VALUE"""),"badly")</f>
        <v>badly</v>
      </c>
      <c r="J370" s="6" t="str">
        <f>IFERROR(__xludf.DUMMYFUNCTION("""COMPUTED_VALUE"""),"screenplay")</f>
        <v>screenplay</v>
      </c>
      <c r="L370" s="6" t="str">
        <f>IFERROR(__xludf.DUMMYFUNCTION("""COMPUTED_VALUE"""),"scope")</f>
        <v>scope</v>
      </c>
      <c r="M370" s="6" t="str">
        <f>IFERROR(__xludf.DUMMYFUNCTION("""COMPUTED_VALUE"""),"bigger")</f>
        <v>bigger</v>
      </c>
      <c r="N370" s="6" t="str">
        <f>IFERROR(__xludf.DUMMYFUNCTION("""COMPUTED_VALUE"""),"beloved")</f>
        <v>beloved</v>
      </c>
      <c r="P370" s="6" t="str">
        <f>IFERROR(__xludf.DUMMYFUNCTION("""COMPUTED_VALUE"""),"torture")</f>
        <v>torture</v>
      </c>
      <c r="Q370" s="6" t="str">
        <f>IFERROR(__xludf.DUMMYFUNCTION("""COMPUTED_VALUE"""),"limitations")</f>
        <v>limitations</v>
      </c>
      <c r="S370" s="6" t="str">
        <f>IFERROR(__xludf.DUMMYFUNCTION("""COMPUTED_VALUE"""),"warm")</f>
        <v>warm</v>
      </c>
    </row>
    <row r="371">
      <c r="B371" s="6"/>
      <c r="D371" s="6"/>
      <c r="G371" s="6" t="str">
        <f>IFERROR(__xludf.DUMMYFUNCTION("""COMPUTED_VALUE"""),"humorous")</f>
        <v>humorous</v>
      </c>
      <c r="H371" s="6" t="str">
        <f>IFERROR(__xludf.DUMMYFUNCTION("""COMPUTED_VALUE"""),"gaping")</f>
        <v>gaping</v>
      </c>
      <c r="I371" s="6" t="str">
        <f>IFERROR(__xludf.DUMMYFUNCTION("""COMPUTED_VALUE"""),"check")</f>
        <v>check</v>
      </c>
      <c r="J371" s="6" t="str">
        <f>IFERROR(__xludf.DUMMYFUNCTION("""COMPUTED_VALUE"""),"bored")</f>
        <v>bored</v>
      </c>
      <c r="L371" s="6" t="str">
        <f>IFERROR(__xludf.DUMMYFUNCTION("""COMPUTED_VALUE"""),"international")</f>
        <v>international</v>
      </c>
      <c r="M371" s="6" t="str">
        <f>IFERROR(__xludf.DUMMYFUNCTION("""COMPUTED_VALUE"""),"trying")</f>
        <v>trying</v>
      </c>
      <c r="N371" s="6" t="str">
        <f>IFERROR(__xludf.DUMMYFUNCTION("""COMPUTED_VALUE"""),"sufficiently")</f>
        <v>sufficiently</v>
      </c>
      <c r="P371" s="6" t="str">
        <f>IFERROR(__xludf.DUMMYFUNCTION("""COMPUTED_VALUE"""),"argentine")</f>
        <v>argentine</v>
      </c>
      <c r="Q371" s="6" t="str">
        <f>IFERROR(__xludf.DUMMYFUNCTION("""COMPUTED_VALUE"""),"successful")</f>
        <v>successful</v>
      </c>
      <c r="S371" s="6" t="str">
        <f>IFERROR(__xludf.DUMMYFUNCTION("""COMPUTED_VALUE"""),"celebration")</f>
        <v>celebration</v>
      </c>
    </row>
    <row r="372">
      <c r="B372" s="6"/>
      <c r="D372" s="6"/>
      <c r="G372" s="6" t="str">
        <f>IFERROR(__xludf.DUMMYFUNCTION("""COMPUTED_VALUE"""),"bore")</f>
        <v>bore</v>
      </c>
      <c r="H372" s="6" t="str">
        <f>IFERROR(__xludf.DUMMYFUNCTION("""COMPUTED_VALUE"""),"claude")</f>
        <v>claude</v>
      </c>
      <c r="I372" s="6" t="str">
        <f>IFERROR(__xludf.DUMMYFUNCTION("""COMPUTED_VALUE"""),"ticket")</f>
        <v>ticket</v>
      </c>
      <c r="J372" s="6" t="str">
        <f>IFERROR(__xludf.DUMMYFUNCTION("""COMPUTED_VALUE"""),"thoughtful")</f>
        <v>thoughtful</v>
      </c>
      <c r="L372" s="6" t="str">
        <f>IFERROR(__xludf.DUMMYFUNCTION("""COMPUTED_VALUE"""),"traffic")</f>
        <v>traffic</v>
      </c>
      <c r="M372" s="6" t="str">
        <f>IFERROR(__xludf.DUMMYFUNCTION("""COMPUTED_VALUE"""),"turns")</f>
        <v>turns</v>
      </c>
      <c r="N372" s="6" t="str">
        <f>IFERROR(__xludf.DUMMYFUNCTION("""COMPUTED_VALUE"""),"deep")</f>
        <v>deep</v>
      </c>
      <c r="P372" s="6" t="str">
        <f>IFERROR(__xludf.DUMMYFUNCTION("""COMPUTED_VALUE"""),"bride")</f>
        <v>bride</v>
      </c>
      <c r="Q372" s="6" t="str">
        <f>IFERROR(__xludf.DUMMYFUNCTION("""COMPUTED_VALUE"""),"moving")</f>
        <v>moving</v>
      </c>
      <c r="S372" s="6" t="str">
        <f>IFERROR(__xludf.DUMMYFUNCTION("""COMPUTED_VALUE"""),"home")</f>
        <v>home</v>
      </c>
    </row>
    <row r="373">
      <c r="B373" s="6"/>
      <c r="D373" s="6"/>
      <c r="G373" s="6" t="str">
        <f>IFERROR(__xludf.DUMMYFUNCTION("""COMPUTED_VALUE"""),"involving")</f>
        <v>involving</v>
      </c>
      <c r="H373" s="6" t="str">
        <f>IFERROR(__xludf.DUMMYFUNCTION("""COMPUTED_VALUE"""),"master")</f>
        <v>master</v>
      </c>
      <c r="I373" s="6" t="str">
        <f>IFERROR(__xludf.DUMMYFUNCTION("""COMPUTED_VALUE"""),"complicated")</f>
        <v>complicated</v>
      </c>
      <c r="J373" s="6" t="str">
        <f>IFERROR(__xludf.DUMMYFUNCTION("""COMPUTED_VALUE"""),"tale")</f>
        <v>tale</v>
      </c>
      <c r="L373" s="6" t="str">
        <f>IFERROR(__xludf.DUMMYFUNCTION("""COMPUTED_VALUE"""),"catching")</f>
        <v>catching</v>
      </c>
      <c r="M373" s="6" t="str">
        <f>IFERROR(__xludf.DUMMYFUNCTION("""COMPUTED_VALUE"""),"ago")</f>
        <v>ago</v>
      </c>
      <c r="N373" s="6" t="str">
        <f>IFERROR(__xludf.DUMMYFUNCTION("""COMPUTED_VALUE"""),"conditioning")</f>
        <v>conditioning</v>
      </c>
      <c r="P373" s="6" t="str">
        <f>IFERROR(__xludf.DUMMYFUNCTION("""COMPUTED_VALUE"""),"points")</f>
        <v>points</v>
      </c>
      <c r="Q373" s="6" t="str">
        <f>IFERROR(__xludf.DUMMYFUNCTION("""COMPUTED_VALUE"""),"sequels")</f>
        <v>sequels</v>
      </c>
      <c r="S373" s="6" t="str">
        <f>IFERROR(__xludf.DUMMYFUNCTION("""COMPUTED_VALUE"""),"added")</f>
        <v>added</v>
      </c>
    </row>
    <row r="374">
      <c r="B374" s="6"/>
      <c r="D374" s="6"/>
      <c r="G374" s="6" t="str">
        <f>IFERROR(__xludf.DUMMYFUNCTION("""COMPUTED_VALUE"""),"universal")</f>
        <v>universal</v>
      </c>
      <c r="H374" s="6" t="str">
        <f>IFERROR(__xludf.DUMMYFUNCTION("""COMPUTED_VALUE"""),"inuit")</f>
        <v>inuit</v>
      </c>
      <c r="I374" s="6" t="str">
        <f>IFERROR(__xludf.DUMMYFUNCTION("""COMPUTED_VALUE"""),"deals")</f>
        <v>deals</v>
      </c>
      <c r="J374" s="6" t="str">
        <f>IFERROR(__xludf.DUMMYFUNCTION("""COMPUTED_VALUE"""),"sitcom")</f>
        <v>sitcom</v>
      </c>
      <c r="L374" s="6" t="str">
        <f>IFERROR(__xludf.DUMMYFUNCTION("""COMPUTED_VALUE"""),"brothers")</f>
        <v>brothers</v>
      </c>
      <c r="M374" s="6" t="str">
        <f>IFERROR(__xludf.DUMMYFUNCTION("""COMPUTED_VALUE"""),"hell")</f>
        <v>hell</v>
      </c>
      <c r="N374" s="6" t="str">
        <f>IFERROR(__xludf.DUMMYFUNCTION("""COMPUTED_VALUE"""),"piece")</f>
        <v>piece</v>
      </c>
      <c r="P374" s="6" t="str">
        <f>IFERROR(__xludf.DUMMYFUNCTION("""COMPUTED_VALUE"""),"white")</f>
        <v>white</v>
      </c>
      <c r="Q374" s="6" t="str">
        <f>IFERROR(__xludf.DUMMYFUNCTION("""COMPUTED_VALUE"""),"accomplish")</f>
        <v>accomplish</v>
      </c>
      <c r="S374" s="6" t="str">
        <f>IFERROR(__xludf.DUMMYFUNCTION("""COMPUTED_VALUE"""),"viewers")</f>
        <v>viewers</v>
      </c>
    </row>
    <row r="375">
      <c r="B375" s="6"/>
      <c r="D375" s="6"/>
      <c r="G375" s="6" t="str">
        <f>IFERROR(__xludf.DUMMYFUNCTION("""COMPUTED_VALUE"""),"sands")</f>
        <v>sands</v>
      </c>
      <c r="H375" s="6" t="str">
        <f>IFERROR(__xludf.DUMMYFUNCTION("""COMPUTED_VALUE"""),"screenplay")</f>
        <v>screenplay</v>
      </c>
      <c r="I375" s="6" t="str">
        <f>IFERROR(__xludf.DUMMYFUNCTION("""COMPUTED_VALUE"""),"quarter")</f>
        <v>quarter</v>
      </c>
      <c r="J375" s="6" t="str">
        <f>IFERROR(__xludf.DUMMYFUNCTION("""COMPUTED_VALUE"""),"report")</f>
        <v>report</v>
      </c>
      <c r="L375" s="6" t="str">
        <f>IFERROR(__xludf.DUMMYFUNCTION("""COMPUTED_VALUE"""),"contains")</f>
        <v>contains</v>
      </c>
      <c r="M375" s="6" t="str">
        <f>IFERROR(__xludf.DUMMYFUNCTION("""COMPUTED_VALUE"""),"key")</f>
        <v>key</v>
      </c>
      <c r="N375" s="6" t="str">
        <f>IFERROR(__xludf.DUMMYFUNCTION("""COMPUTED_VALUE"""),"version")</f>
        <v>version</v>
      </c>
      <c r="P375" s="6" t="str">
        <f>IFERROR(__xludf.DUMMYFUNCTION("""COMPUTED_VALUE"""),"wrapped")</f>
        <v>wrapped</v>
      </c>
      <c r="Q375" s="6" t="str">
        <f>IFERROR(__xludf.DUMMYFUNCTION("""COMPUTED_VALUE"""),"playwright")</f>
        <v>playwright</v>
      </c>
      <c r="S375" s="6" t="str">
        <f>IFERROR(__xludf.DUMMYFUNCTION("""COMPUTED_VALUE"""),"handsome")</f>
        <v>handsome</v>
      </c>
    </row>
    <row r="376">
      <c r="B376" s="6"/>
      <c r="D376" s="6"/>
      <c r="G376" s="6" t="str">
        <f>IFERROR(__xludf.DUMMYFUNCTION("""COMPUTED_VALUE"""),"ticket")</f>
        <v>ticket</v>
      </c>
      <c r="H376" s="6" t="str">
        <f>IFERROR(__xludf.DUMMYFUNCTION("""COMPUTED_VALUE"""),"thoughtful")</f>
        <v>thoughtful</v>
      </c>
      <c r="I376" s="6" t="str">
        <f>IFERROR(__xludf.DUMMYFUNCTION("""COMPUTED_VALUE"""),"ensemble")</f>
        <v>ensemble</v>
      </c>
      <c r="J376" s="6" t="str">
        <f>IFERROR(__xludf.DUMMYFUNCTION("""COMPUTED_VALUE"""),"palestinian")</f>
        <v>palestinian</v>
      </c>
      <c r="L376" s="6" t="str">
        <f>IFERROR(__xludf.DUMMYFUNCTION("""COMPUTED_VALUE"""),"devices")</f>
        <v>devices</v>
      </c>
      <c r="M376" s="6" t="str">
        <f>IFERROR(__xludf.DUMMYFUNCTION("""COMPUTED_VALUE"""),"several")</f>
        <v>several</v>
      </c>
      <c r="N376" s="6" t="str">
        <f>IFERROR(__xludf.DUMMYFUNCTION("""COMPUTED_VALUE"""),"pack")</f>
        <v>pack</v>
      </c>
      <c r="P376" s="6" t="str">
        <f>IFERROR(__xludf.DUMMYFUNCTION("""COMPUTED_VALUE"""),"vulnerable")</f>
        <v>vulnerable</v>
      </c>
      <c r="Q376" s="6" t="str">
        <f>IFERROR(__xludf.DUMMYFUNCTION("""COMPUTED_VALUE"""),"poet")</f>
        <v>poet</v>
      </c>
      <c r="S376" s="6" t="str">
        <f>IFERROR(__xludf.DUMMYFUNCTION("""COMPUTED_VALUE"""),"either")</f>
        <v>either</v>
      </c>
    </row>
    <row r="377">
      <c r="B377" s="6"/>
      <c r="D377" s="6"/>
      <c r="G377" s="6" t="str">
        <f>IFERROR(__xludf.DUMMYFUNCTION("""COMPUTED_VALUE"""),"pantheon")</f>
        <v>pantheon</v>
      </c>
      <c r="H377" s="6" t="str">
        <f>IFERROR(__xludf.DUMMYFUNCTION("""COMPUTED_VALUE"""),"tale")</f>
        <v>tale</v>
      </c>
      <c r="I377" s="6" t="str">
        <f>IFERROR(__xludf.DUMMYFUNCTION("""COMPUTED_VALUE"""),"painful")</f>
        <v>painful</v>
      </c>
      <c r="J377" s="6" t="str">
        <f>IFERROR(__xludf.DUMMYFUNCTION("""COMPUTED_VALUE"""),"strong")</f>
        <v>strong</v>
      </c>
      <c r="L377" s="6" t="str">
        <f>IFERROR(__xludf.DUMMYFUNCTION("""COMPUTED_VALUE"""),"miracle")</f>
        <v>miracle</v>
      </c>
      <c r="M377" s="6" t="str">
        <f>IFERROR(__xludf.DUMMYFUNCTION("""COMPUTED_VALUE"""),"fill")</f>
        <v>fill</v>
      </c>
      <c r="N377" s="6" t="str">
        <f>IFERROR(__xludf.DUMMYFUNCTION("""COMPUTED_VALUE"""),"speak")</f>
        <v>speak</v>
      </c>
      <c r="P377" s="6" t="str">
        <f>IFERROR(__xludf.DUMMYFUNCTION("""COMPUTED_VALUE"""),"frame")</f>
        <v>frame</v>
      </c>
      <c r="Q377" s="6" t="str">
        <f>IFERROR(__xludf.DUMMYFUNCTION("""COMPUTED_VALUE"""),"celebrated")</f>
        <v>celebrated</v>
      </c>
      <c r="S377" s="6" t="str">
        <f>IFERROR(__xludf.DUMMYFUNCTION("""COMPUTED_VALUE"""),"behind")</f>
        <v>behind</v>
      </c>
    </row>
    <row r="378">
      <c r="B378" s="6"/>
      <c r="D378" s="6"/>
      <c r="G378" s="6" t="str">
        <f>IFERROR(__xludf.DUMMYFUNCTION("""COMPUTED_VALUE"""),"complicated")</f>
        <v>complicated</v>
      </c>
      <c r="H378" s="6" t="str">
        <f>IFERROR(__xludf.DUMMYFUNCTION("""COMPUTED_VALUE"""),"sitcom")</f>
        <v>sitcom</v>
      </c>
      <c r="I378" s="6" t="str">
        <f>IFERROR(__xludf.DUMMYFUNCTION("""COMPUTED_VALUE"""),"psychology")</f>
        <v>psychology</v>
      </c>
      <c r="J378" s="6" t="str">
        <f>IFERROR(__xludf.DUMMYFUNCTION("""COMPUTED_VALUE"""),"flickering")</f>
        <v>flickering</v>
      </c>
      <c r="L378" s="6" t="str">
        <f>IFERROR(__xludf.DUMMYFUNCTION("""COMPUTED_VALUE"""),"stories")</f>
        <v>stories</v>
      </c>
      <c r="M378" s="6" t="str">
        <f>IFERROR(__xludf.DUMMYFUNCTION("""COMPUTED_VALUE"""),"afternoon")</f>
        <v>afternoon</v>
      </c>
      <c r="N378" s="6" t="str">
        <f>IFERROR(__xludf.DUMMYFUNCTION("""COMPUTED_VALUE"""),"grace")</f>
        <v>grace</v>
      </c>
      <c r="P378" s="6" t="str">
        <f>IFERROR(__xludf.DUMMYFUNCTION("""COMPUTED_VALUE"""),"darling")</f>
        <v>darling</v>
      </c>
      <c r="Q378" s="6" t="str">
        <f>IFERROR(__xludf.DUMMYFUNCTION("""COMPUTED_VALUE"""),"sustain")</f>
        <v>sustain</v>
      </c>
      <c r="S378" s="6" t="str">
        <f>IFERROR(__xludf.DUMMYFUNCTION("""COMPUTED_VALUE"""),"debut")</f>
        <v>debut</v>
      </c>
    </row>
    <row r="379">
      <c r="B379" s="6"/>
      <c r="D379" s="6"/>
      <c r="G379" s="6" t="str">
        <f>IFERROR(__xludf.DUMMYFUNCTION("""COMPUTED_VALUE"""),"comedic")</f>
        <v>comedic</v>
      </c>
      <c r="H379" s="6" t="str">
        <f>IFERROR(__xludf.DUMMYFUNCTION("""COMPUTED_VALUE"""),"testament")</f>
        <v>testament</v>
      </c>
      <c r="I379" s="6" t="str">
        <f>IFERROR(__xludf.DUMMYFUNCTION("""COMPUTED_VALUE"""),"allows")</f>
        <v>allows</v>
      </c>
      <c r="J379" s="6" t="str">
        <f>IFERROR(__xludf.DUMMYFUNCTION("""COMPUTED_VALUE"""),"loses")</f>
        <v>loses</v>
      </c>
      <c r="L379" s="6" t="str">
        <f>IFERROR(__xludf.DUMMYFUNCTION("""COMPUTED_VALUE"""),"martha")</f>
        <v>martha</v>
      </c>
      <c r="M379" s="6" t="str">
        <f>IFERROR(__xludf.DUMMYFUNCTION("""COMPUTED_VALUE"""),"prime")</f>
        <v>prime</v>
      </c>
      <c r="N379" s="6" t="str">
        <f>IFERROR(__xludf.DUMMYFUNCTION("""COMPUTED_VALUE"""),"saving")</f>
        <v>saving</v>
      </c>
      <c r="P379" s="6" t="str">
        <f>IFERROR(__xludf.DUMMYFUNCTION("""COMPUTED_VALUE"""),"violence")</f>
        <v>violence</v>
      </c>
      <c r="Q379" s="6" t="str">
        <f>IFERROR(__xludf.DUMMYFUNCTION("""COMPUTED_VALUE"""),"right")</f>
        <v>right</v>
      </c>
      <c r="S379" s="6" t="str">
        <f>IFERROR(__xludf.DUMMYFUNCTION("""COMPUTED_VALUE"""),"fine")</f>
        <v>fine</v>
      </c>
    </row>
    <row r="380">
      <c r="B380" s="6"/>
      <c r="D380" s="6"/>
      <c r="G380" s="6" t="str">
        <f>IFERROR(__xludf.DUMMYFUNCTION("""COMPUTED_VALUE"""),"quarter")</f>
        <v>quarter</v>
      </c>
      <c r="H380" s="6" t="str">
        <f>IFERROR(__xludf.DUMMYFUNCTION("""COMPUTED_VALUE"""),"ability")</f>
        <v>ability</v>
      </c>
      <c r="I380" s="6" t="str">
        <f>IFERROR(__xludf.DUMMYFUNCTION("""COMPUTED_VALUE"""),"renowned")</f>
        <v>renowned</v>
      </c>
      <c r="J380" s="6" t="str">
        <f>IFERROR(__xludf.DUMMYFUNCTION("""COMPUTED_VALUE"""),"midway")</f>
        <v>midway</v>
      </c>
      <c r="L380" s="6" t="str">
        <f>IFERROR(__xludf.DUMMYFUNCTION("""COMPUTED_VALUE"""),"rug")</f>
        <v>rug</v>
      </c>
      <c r="M380" s="6" t="str">
        <f>IFERROR(__xludf.DUMMYFUNCTION("""COMPUTED_VALUE"""),"mountain")</f>
        <v>mountain</v>
      </c>
      <c r="N380" s="6" t="str">
        <f>IFERROR(__xludf.DUMMYFUNCTION("""COMPUTED_VALUE"""),"themselves")</f>
        <v>themselves</v>
      </c>
      <c r="P380" s="6" t="str">
        <f>IFERROR(__xludf.DUMMYFUNCTION("""COMPUTED_VALUE"""),"humanity")</f>
        <v>humanity</v>
      </c>
      <c r="Q380" s="6" t="str">
        <f>IFERROR(__xludf.DUMMYFUNCTION("""COMPUTED_VALUE"""),"summer")</f>
        <v>summer</v>
      </c>
      <c r="S380" s="6" t="str">
        <f>IFERROR(__xludf.DUMMYFUNCTION("""COMPUTED_VALUE"""),"mainly")</f>
        <v>mainly</v>
      </c>
    </row>
    <row r="381">
      <c r="B381" s="6"/>
      <c r="D381" s="6"/>
      <c r="G381" s="6" t="str">
        <f>IFERROR(__xludf.DUMMYFUNCTION("""COMPUTED_VALUE"""),"ensemble")</f>
        <v>ensemble</v>
      </c>
      <c r="H381" s="6" t="str">
        <f>IFERROR(__xludf.DUMMYFUNCTION("""COMPUTED_VALUE"""),"report")</f>
        <v>report</v>
      </c>
      <c r="I381" s="6" t="str">
        <f>IFERROR(__xludf.DUMMYFUNCTION("""COMPUTED_VALUE"""),"professionals")</f>
        <v>professionals</v>
      </c>
      <c r="J381" s="6" t="str">
        <f>IFERROR(__xludf.DUMMYFUNCTION("""COMPUTED_VALUE"""),"rodriguez")</f>
        <v>rodriguez</v>
      </c>
      <c r="L381" s="6" t="str">
        <f>IFERROR(__xludf.DUMMYFUNCTION("""COMPUTED_VALUE"""),"freedom")</f>
        <v>freedom</v>
      </c>
      <c r="M381" s="6" t="str">
        <f>IFERROR(__xludf.DUMMYFUNCTION("""COMPUTED_VALUE"""),"moment")</f>
        <v>moment</v>
      </c>
      <c r="N381" s="6" t="str">
        <f>IFERROR(__xludf.DUMMYFUNCTION("""COMPUTED_VALUE"""),"seconds")</f>
        <v>seconds</v>
      </c>
      <c r="P381" s="6" t="str">
        <f>IFERROR(__xludf.DUMMYFUNCTION("""COMPUTED_VALUE"""),"force")</f>
        <v>force</v>
      </c>
      <c r="Q381" s="6" t="str">
        <f>IFERROR(__xludf.DUMMYFUNCTION("""COMPUTED_VALUE"""),"filmmaker")</f>
        <v>filmmaker</v>
      </c>
      <c r="S381" s="6" t="str">
        <f>IFERROR(__xludf.DUMMYFUNCTION("""COMPUTED_VALUE"""),"seats")</f>
        <v>seats</v>
      </c>
    </row>
    <row r="382">
      <c r="B382" s="6"/>
      <c r="D382" s="6"/>
      <c r="G382" s="6" t="str">
        <f>IFERROR(__xludf.DUMMYFUNCTION("""COMPUTED_VALUE"""),"psychology")</f>
        <v>psychology</v>
      </c>
      <c r="H382" s="6" t="str">
        <f>IFERROR(__xludf.DUMMYFUNCTION("""COMPUTED_VALUE"""),"palestinian")</f>
        <v>palestinian</v>
      </c>
      <c r="I382" s="6" t="str">
        <f>IFERROR(__xludf.DUMMYFUNCTION("""COMPUTED_VALUE"""),"marvel")</f>
        <v>marvel</v>
      </c>
      <c r="J382" s="6" t="str">
        <f>IFERROR(__xludf.DUMMYFUNCTION("""COMPUTED_VALUE"""),"pleasing")</f>
        <v>pleasing</v>
      </c>
      <c r="L382" s="6" t="str">
        <f>IFERROR(__xludf.DUMMYFUNCTION("""COMPUTED_VALUE"""),"adequately")</f>
        <v>adequately</v>
      </c>
      <c r="M382" s="6" t="str">
        <f>IFERROR(__xludf.DUMMYFUNCTION("""COMPUTED_VALUE"""),"evening")</f>
        <v>evening</v>
      </c>
      <c r="N382" s="6" t="str">
        <f>IFERROR(__xludf.DUMMYFUNCTION("""COMPUTED_VALUE"""),"concerned")</f>
        <v>concerned</v>
      </c>
      <c r="P382" s="6" t="str">
        <f>IFERROR(__xludf.DUMMYFUNCTION("""COMPUTED_VALUE"""),"fury")</f>
        <v>fury</v>
      </c>
      <c r="Q382" s="6" t="str">
        <f>IFERROR(__xludf.DUMMYFUNCTION("""COMPUTED_VALUE"""),"ambitious")</f>
        <v>ambitious</v>
      </c>
      <c r="S382" s="6" t="str">
        <f>IFERROR(__xludf.DUMMYFUNCTION("""COMPUTED_VALUE"""),"swim")</f>
        <v>swim</v>
      </c>
    </row>
    <row r="383">
      <c r="B383" s="6"/>
      <c r="D383" s="6"/>
      <c r="G383" s="6" t="str">
        <f>IFERROR(__xludf.DUMMYFUNCTION("""COMPUTED_VALUE"""),"renowned")</f>
        <v>renowned</v>
      </c>
      <c r="H383" s="6" t="str">
        <f>IFERROR(__xludf.DUMMYFUNCTION("""COMPUTED_VALUE"""),"suffers")</f>
        <v>suffers</v>
      </c>
      <c r="I383" s="6" t="str">
        <f>IFERROR(__xludf.DUMMYFUNCTION("""COMPUTED_VALUE"""),"sequences")</f>
        <v>sequences</v>
      </c>
      <c r="J383" s="6" t="str">
        <f>IFERROR(__xludf.DUMMYFUNCTION("""COMPUTED_VALUE"""),"purpose")</f>
        <v>purpose</v>
      </c>
      <c r="L383" s="6" t="str">
        <f>IFERROR(__xludf.DUMMYFUNCTION("""COMPUTED_VALUE"""),"straight")</f>
        <v>straight</v>
      </c>
      <c r="M383" s="6" t="str">
        <f>IFERROR(__xludf.DUMMYFUNCTION("""COMPUTED_VALUE"""),"touch")</f>
        <v>touch</v>
      </c>
      <c r="N383" s="6" t="str">
        <f>IFERROR(__xludf.DUMMYFUNCTION("""COMPUTED_VALUE"""),"wear")</f>
        <v>wear</v>
      </c>
      <c r="P383" s="6" t="str">
        <f>IFERROR(__xludf.DUMMYFUNCTION("""COMPUTED_VALUE"""),"complex")</f>
        <v>complex</v>
      </c>
      <c r="Q383" s="6" t="str">
        <f>IFERROR(__xludf.DUMMYFUNCTION("""COMPUTED_VALUE"""),"sofia")</f>
        <v>sofia</v>
      </c>
      <c r="S383" s="6" t="str">
        <f>IFERROR(__xludf.DUMMYFUNCTION("""COMPUTED_VALUE"""),"spot")</f>
        <v>spot</v>
      </c>
    </row>
    <row r="384">
      <c r="B384" s="6"/>
      <c r="D384" s="6"/>
      <c r="G384" s="6" t="str">
        <f>IFERROR(__xludf.DUMMYFUNCTION("""COMPUTED_VALUE"""),"professionals")</f>
        <v>professionals</v>
      </c>
      <c r="H384" s="6" t="str">
        <f>IFERROR(__xludf.DUMMYFUNCTION("""COMPUTED_VALUE"""),"strong")</f>
        <v>strong</v>
      </c>
      <c r="I384" s="6" t="str">
        <f>IFERROR(__xludf.DUMMYFUNCTION("""COMPUTED_VALUE"""),"fantasy")</f>
        <v>fantasy</v>
      </c>
      <c r="J384" s="6" t="str">
        <f>IFERROR(__xludf.DUMMYFUNCTION("""COMPUTED_VALUE"""),"triumphant")</f>
        <v>triumphant</v>
      </c>
      <c r="L384" s="6" t="str">
        <f>IFERROR(__xludf.DUMMYFUNCTION("""COMPUTED_VALUE"""),"ear")</f>
        <v>ear</v>
      </c>
      <c r="M384" s="6" t="str">
        <f>IFERROR(__xludf.DUMMYFUNCTION("""COMPUTED_VALUE"""),"goes")</f>
        <v>goes</v>
      </c>
      <c r="N384" s="6" t="str">
        <f>IFERROR(__xludf.DUMMYFUNCTION("""COMPUTED_VALUE"""),"respect")</f>
        <v>respect</v>
      </c>
      <c r="P384" s="6" t="str">
        <f>IFERROR(__xludf.DUMMYFUNCTION("""COMPUTED_VALUE"""),"wooden")</f>
        <v>wooden</v>
      </c>
      <c r="Q384" s="6" t="str">
        <f>IFERROR(__xludf.DUMMYFUNCTION("""COMPUTED_VALUE"""),"sister")</f>
        <v>sister</v>
      </c>
      <c r="S384" s="6" t="str">
        <f>IFERROR(__xludf.DUMMYFUNCTION("""COMPUTED_VALUE"""),"made")</f>
        <v>made</v>
      </c>
    </row>
    <row r="385">
      <c r="B385" s="6"/>
      <c r="D385" s="6"/>
      <c r="G385" s="6" t="str">
        <f>IFERROR(__xludf.DUMMYFUNCTION("""COMPUTED_VALUE"""),"colorful")</f>
        <v>colorful</v>
      </c>
      <c r="H385" s="6" t="str">
        <f>IFERROR(__xludf.DUMMYFUNCTION("""COMPUTED_VALUE"""),"flickering")</f>
        <v>flickering</v>
      </c>
      <c r="I385" s="6" t="str">
        <f>IFERROR(__xludf.DUMMYFUNCTION("""COMPUTED_VALUE"""),"pulls")</f>
        <v>pulls</v>
      </c>
      <c r="J385" s="6" t="str">
        <f>IFERROR(__xludf.DUMMYFUNCTION("""COMPUTED_VALUE"""),"wry")</f>
        <v>wry</v>
      </c>
      <c r="L385" s="6" t="str">
        <f>IFERROR(__xludf.DUMMYFUNCTION("""COMPUTED_VALUE"""),"elevated")</f>
        <v>elevated</v>
      </c>
      <c r="M385" s="6" t="str">
        <f>IFERROR(__xludf.DUMMYFUNCTION("""COMPUTED_VALUE"""),"center")</f>
        <v>center</v>
      </c>
      <c r="N385" s="6" t="str">
        <f>IFERROR(__xludf.DUMMYFUNCTION("""COMPUTED_VALUE"""),"recognize")</f>
        <v>recognize</v>
      </c>
      <c r="P385" s="6" t="str">
        <f>IFERROR(__xludf.DUMMYFUNCTION("""COMPUTED_VALUE"""),"brothers")</f>
        <v>brothers</v>
      </c>
      <c r="Q385" s="6" t="str">
        <f>IFERROR(__xludf.DUMMYFUNCTION("""COMPUTED_VALUE"""),"taboo")</f>
        <v>taboo</v>
      </c>
      <c r="S385" s="6" t="str">
        <f>IFERROR(__xludf.DUMMYFUNCTION("""COMPUTED_VALUE"""),"players")</f>
        <v>players</v>
      </c>
    </row>
    <row r="386">
      <c r="B386" s="6"/>
      <c r="D386" s="6"/>
      <c r="G386" s="6" t="str">
        <f>IFERROR(__xludf.DUMMYFUNCTION("""COMPUTED_VALUE"""),"marvel")</f>
        <v>marvel</v>
      </c>
      <c r="H386" s="6" t="str">
        <f>IFERROR(__xludf.DUMMYFUNCTION("""COMPUTED_VALUE"""),"dragon")</f>
        <v>dragon</v>
      </c>
      <c r="I386" s="6" t="str">
        <f>IFERROR(__xludf.DUMMYFUNCTION("""COMPUTED_VALUE"""),"result")</f>
        <v>result</v>
      </c>
      <c r="J386" s="6" t="str">
        <f>IFERROR(__xludf.DUMMYFUNCTION("""COMPUTED_VALUE"""),"plots")</f>
        <v>plots</v>
      </c>
      <c r="L386" s="6" t="str">
        <f>IFERROR(__xludf.DUMMYFUNCTION("""COMPUTED_VALUE"""),"japan")</f>
        <v>japan</v>
      </c>
      <c r="M386" s="6" t="str">
        <f>IFERROR(__xludf.DUMMYFUNCTION("""COMPUTED_VALUE"""),"strong")</f>
        <v>strong</v>
      </c>
      <c r="N386" s="6" t="str">
        <f>IFERROR(__xludf.DUMMYFUNCTION("""COMPUTED_VALUE"""),"handling")</f>
        <v>handling</v>
      </c>
      <c r="P386" s="6" t="str">
        <f>IFERROR(__xludf.DUMMYFUNCTION("""COMPUTED_VALUE"""),"excitement")</f>
        <v>excitement</v>
      </c>
      <c r="Q386" s="6" t="str">
        <f>IFERROR(__xludf.DUMMYFUNCTION("""COMPUTED_VALUE"""),"weaknesses")</f>
        <v>weaknesses</v>
      </c>
      <c r="S386" s="6" t="str">
        <f>IFERROR(__xludf.DUMMYFUNCTION("""COMPUTED_VALUE"""),"contribution")</f>
        <v>contribution</v>
      </c>
    </row>
    <row r="387">
      <c r="B387" s="6"/>
      <c r="D387" s="6"/>
      <c r="G387" s="6" t="str">
        <f>IFERROR(__xludf.DUMMYFUNCTION("""COMPUTED_VALUE"""),"pulls")</f>
        <v>pulls</v>
      </c>
      <c r="H387" s="6" t="str">
        <f>IFERROR(__xludf.DUMMYFUNCTION("""COMPUTED_VALUE"""),"midway")</f>
        <v>midway</v>
      </c>
      <c r="I387" s="6" t="str">
        <f>IFERROR(__xludf.DUMMYFUNCTION("""COMPUTED_VALUE"""),"emerging")</f>
        <v>emerging</v>
      </c>
      <c r="J387" s="6" t="str">
        <f>IFERROR(__xludf.DUMMYFUNCTION("""COMPUTED_VALUE"""),"reality")</f>
        <v>reality</v>
      </c>
      <c r="L387" s="6" t="str">
        <f>IFERROR(__xludf.DUMMYFUNCTION("""COMPUTED_VALUE"""),"oscar")</f>
        <v>oscar</v>
      </c>
      <c r="M387" s="6" t="str">
        <f>IFERROR(__xludf.DUMMYFUNCTION("""COMPUTED_VALUE"""),"glass")</f>
        <v>glass</v>
      </c>
      <c r="N387" s="6" t="str">
        <f>IFERROR(__xludf.DUMMYFUNCTION("""COMPUTED_VALUE"""),"growth")</f>
        <v>growth</v>
      </c>
      <c r="P387" s="6" t="str">
        <f>IFERROR(__xludf.DUMMYFUNCTION("""COMPUTED_VALUE"""),"empty")</f>
        <v>empty</v>
      </c>
      <c r="Q387" s="6" t="str">
        <f>IFERROR(__xludf.DUMMYFUNCTION("""COMPUTED_VALUE"""),"interference")</f>
        <v>interference</v>
      </c>
      <c r="S387" s="6" t="str">
        <f>IFERROR(__xludf.DUMMYFUNCTION("""COMPUTED_VALUE"""),"beings")</f>
        <v>beings</v>
      </c>
    </row>
    <row r="388">
      <c r="B388" s="6"/>
      <c r="D388" s="6"/>
      <c r="G388" s="6" t="str">
        <f>IFERROR(__xludf.DUMMYFUNCTION("""COMPUTED_VALUE"""),"entity")</f>
        <v>entity</v>
      </c>
      <c r="H388" s="6" t="str">
        <f>IFERROR(__xludf.DUMMYFUNCTION("""COMPUTED_VALUE"""),"rodriguez")</f>
        <v>rodriguez</v>
      </c>
      <c r="I388" s="6" t="str">
        <f>IFERROR(__xludf.DUMMYFUNCTION("""COMPUTED_VALUE"""),"entity")</f>
        <v>entity</v>
      </c>
      <c r="J388" s="6" t="str">
        <f>IFERROR(__xludf.DUMMYFUNCTION("""COMPUTED_VALUE"""),"whatever")</f>
        <v>whatever</v>
      </c>
      <c r="L388" s="6" t="str">
        <f>IFERROR(__xludf.DUMMYFUNCTION("""COMPUTED_VALUE"""),"bag")</f>
        <v>bag</v>
      </c>
      <c r="M388" s="6" t="str">
        <f>IFERROR(__xludf.DUMMYFUNCTION("""COMPUTED_VALUE"""),"personality")</f>
        <v>personality</v>
      </c>
      <c r="N388" s="6" t="str">
        <f>IFERROR(__xludf.DUMMYFUNCTION("""COMPUTED_VALUE"""),"conventional")</f>
        <v>conventional</v>
      </c>
      <c r="P388" s="6" t="str">
        <f>IFERROR(__xludf.DUMMYFUNCTION("""COMPUTED_VALUE"""),"problems")</f>
        <v>problems</v>
      </c>
      <c r="Q388" s="6" t="str">
        <f>IFERROR(__xludf.DUMMYFUNCTION("""COMPUTED_VALUE"""),"yourself")</f>
        <v>yourself</v>
      </c>
      <c r="S388" s="6" t="str">
        <f>IFERROR(__xludf.DUMMYFUNCTION("""COMPUTED_VALUE"""),"school")</f>
        <v>school</v>
      </c>
    </row>
    <row r="389">
      <c r="B389" s="6"/>
      <c r="D389" s="6"/>
      <c r="G389" s="6" t="str">
        <f>IFERROR(__xludf.DUMMYFUNCTION("""COMPUTED_VALUE"""),"moonlight")</f>
        <v>moonlight</v>
      </c>
      <c r="H389" s="6" t="str">
        <f>IFERROR(__xludf.DUMMYFUNCTION("""COMPUTED_VALUE"""),"pleasing")</f>
        <v>pleasing</v>
      </c>
      <c r="I389" s="6" t="str">
        <f>IFERROR(__xludf.DUMMYFUNCTION("""COMPUTED_VALUE"""),"tax")</f>
        <v>tax</v>
      </c>
      <c r="J389" s="6" t="str">
        <f>IFERROR(__xludf.DUMMYFUNCTION("""COMPUTED_VALUE"""),"plotted")</f>
        <v>plotted</v>
      </c>
      <c r="L389" s="6" t="str">
        <f>IFERROR(__xludf.DUMMYFUNCTION("""COMPUTED_VALUE"""),"sinks")</f>
        <v>sinks</v>
      </c>
      <c r="M389" s="6" t="str">
        <f>IFERROR(__xludf.DUMMYFUNCTION("""COMPUTED_VALUE"""),"trouble")</f>
        <v>trouble</v>
      </c>
      <c r="N389" s="6" t="str">
        <f>IFERROR(__xludf.DUMMYFUNCTION("""COMPUTED_VALUE"""),"toward")</f>
        <v>toward</v>
      </c>
      <c r="P389" s="6" t="str">
        <f>IFERROR(__xludf.DUMMYFUNCTION("""COMPUTED_VALUE"""),"achieve")</f>
        <v>achieve</v>
      </c>
      <c r="Q389" s="6" t="str">
        <f>IFERROR(__xludf.DUMMYFUNCTION("""COMPUTED_VALUE"""),"cover")</f>
        <v>cover</v>
      </c>
      <c r="S389" s="6" t="str">
        <f>IFERROR(__xludf.DUMMYFUNCTION("""COMPUTED_VALUE"""),"high")</f>
        <v>high</v>
      </c>
    </row>
    <row r="390">
      <c r="B390" s="6"/>
      <c r="D390" s="6"/>
      <c r="G390" s="6" t="str">
        <f>IFERROR(__xludf.DUMMYFUNCTION("""COMPUTED_VALUE"""),"pianist")</f>
        <v>pianist</v>
      </c>
      <c r="H390" s="6" t="str">
        <f>IFERROR(__xludf.DUMMYFUNCTION("""COMPUTED_VALUE"""),"purpose")</f>
        <v>purpose</v>
      </c>
      <c r="I390" s="6" t="str">
        <f>IFERROR(__xludf.DUMMYFUNCTION("""COMPUTED_VALUE"""),"pianist")</f>
        <v>pianist</v>
      </c>
      <c r="J390" s="6" t="str">
        <f>IFERROR(__xludf.DUMMYFUNCTION("""COMPUTED_VALUE"""),"bombs")</f>
        <v>bombs</v>
      </c>
      <c r="L390" s="6" t="str">
        <f>IFERROR(__xludf.DUMMYFUNCTION("""COMPUTED_VALUE"""),"mainly")</f>
        <v>mainly</v>
      </c>
      <c r="M390" s="6" t="str">
        <f>IFERROR(__xludf.DUMMYFUNCTION("""COMPUTED_VALUE"""),"filled")</f>
        <v>filled</v>
      </c>
      <c r="N390" s="6" t="str">
        <f>IFERROR(__xludf.DUMMYFUNCTION("""COMPUTED_VALUE"""),"lets")</f>
        <v>lets</v>
      </c>
      <c r="P390" s="6" t="str">
        <f>IFERROR(__xludf.DUMMYFUNCTION("""COMPUTED_VALUE"""),"era")</f>
        <v>era</v>
      </c>
      <c r="Q390" s="6" t="str">
        <f>IFERROR(__xludf.DUMMYFUNCTION("""COMPUTED_VALUE"""),"ode")</f>
        <v>ode</v>
      </c>
      <c r="S390" s="6" t="str">
        <f>IFERROR(__xludf.DUMMYFUNCTION("""COMPUTED_VALUE"""),"dates")</f>
        <v>dates</v>
      </c>
    </row>
    <row r="391">
      <c r="B391" s="6"/>
      <c r="D391" s="6"/>
      <c r="G391" s="6" t="str">
        <f>IFERROR(__xludf.DUMMYFUNCTION("""COMPUTED_VALUE"""),"martha")</f>
        <v>martha</v>
      </c>
      <c r="H391" s="6" t="str">
        <f>IFERROR(__xludf.DUMMYFUNCTION("""COMPUTED_VALUE"""),"lightweight")</f>
        <v>lightweight</v>
      </c>
      <c r="I391" s="6" t="str">
        <f>IFERROR(__xludf.DUMMYFUNCTION("""COMPUTED_VALUE"""),"represented")</f>
        <v>represented</v>
      </c>
      <c r="J391" s="6" t="str">
        <f>IFERROR(__xludf.DUMMYFUNCTION("""COMPUTED_VALUE"""),"surface")</f>
        <v>surface</v>
      </c>
      <c r="L391" s="6" t="str">
        <f>IFERROR(__xludf.DUMMYFUNCTION("""COMPUTED_VALUE"""),"spare")</f>
        <v>spare</v>
      </c>
      <c r="M391" s="6" t="str">
        <f>IFERROR(__xludf.DUMMYFUNCTION("""COMPUTED_VALUE"""),"rooms")</f>
        <v>rooms</v>
      </c>
      <c r="N391" s="6" t="str">
        <f>IFERROR(__xludf.DUMMYFUNCTION("""COMPUTED_VALUE"""),"direction")</f>
        <v>direction</v>
      </c>
      <c r="P391" s="6" t="str">
        <f>IFERROR(__xludf.DUMMYFUNCTION("""COMPUTED_VALUE"""),"auto")</f>
        <v>auto</v>
      </c>
      <c r="Q391" s="6" t="str">
        <f>IFERROR(__xludf.DUMMYFUNCTION("""COMPUTED_VALUE"""),"walked")</f>
        <v>walked</v>
      </c>
      <c r="S391" s="6" t="str">
        <f>IFERROR(__xludf.DUMMYFUNCTION("""COMPUTED_VALUE"""),"excellent")</f>
        <v>excellent</v>
      </c>
    </row>
    <row r="392">
      <c r="B392" s="6"/>
      <c r="D392" s="6"/>
      <c r="G392" s="6" t="str">
        <f>IFERROR(__xludf.DUMMYFUNCTION("""COMPUTED_VALUE"""),"stewart")</f>
        <v>stewart</v>
      </c>
      <c r="H392" s="6" t="str">
        <f>IFERROR(__xludf.DUMMYFUNCTION("""COMPUTED_VALUE"""),"triumphant")</f>
        <v>triumphant</v>
      </c>
      <c r="I392" s="6" t="str">
        <f>IFERROR(__xludf.DUMMYFUNCTION("""COMPUTED_VALUE"""),"martha")</f>
        <v>martha</v>
      </c>
      <c r="J392" s="6" t="str">
        <f>IFERROR(__xludf.DUMMYFUNCTION("""COMPUTED_VALUE"""),"stupidity")</f>
        <v>stupidity</v>
      </c>
      <c r="L392" s="6" t="str">
        <f>IFERROR(__xludf.DUMMYFUNCTION("""COMPUTED_VALUE"""),"weight")</f>
        <v>weight</v>
      </c>
      <c r="M392" s="6" t="str">
        <f>IFERROR(__xludf.DUMMYFUNCTION("""COMPUTED_VALUE"""),"water")</f>
        <v>water</v>
      </c>
      <c r="N392" s="6" t="str">
        <f>IFERROR(__xludf.DUMMYFUNCTION("""COMPUTED_VALUE"""),"rare")</f>
        <v>rare</v>
      </c>
      <c r="P392" s="6" t="str">
        <f>IFERROR(__xludf.DUMMYFUNCTION("""COMPUTED_VALUE"""),"document")</f>
        <v>document</v>
      </c>
      <c r="Q392" s="6" t="str">
        <f>IFERROR(__xludf.DUMMYFUNCTION("""COMPUTED_VALUE"""),"stage")</f>
        <v>stage</v>
      </c>
      <c r="S392" s="6" t="str">
        <f>IFERROR(__xludf.DUMMYFUNCTION("""COMPUTED_VALUE"""),"demands")</f>
        <v>demands</v>
      </c>
    </row>
    <row r="393">
      <c r="B393" s="6"/>
      <c r="D393" s="6"/>
      <c r="G393" s="6" t="str">
        <f>IFERROR(__xludf.DUMMYFUNCTION("""COMPUTED_VALUE"""),"rapid")</f>
        <v>rapid</v>
      </c>
      <c r="H393" s="6" t="str">
        <f>IFERROR(__xludf.DUMMYFUNCTION("""COMPUTED_VALUE"""),"wry")</f>
        <v>wry</v>
      </c>
      <c r="I393" s="6" t="str">
        <f>IFERROR(__xludf.DUMMYFUNCTION("""COMPUTED_VALUE"""),"stewart")</f>
        <v>stewart</v>
      </c>
      <c r="J393" s="6" t="str">
        <f>IFERROR(__xludf.DUMMYFUNCTION("""COMPUTED_VALUE"""),"machine")</f>
        <v>machine</v>
      </c>
      <c r="L393" s="6" t="str">
        <f>IFERROR(__xludf.DUMMYFUNCTION("""COMPUTED_VALUE"""),"strength")</f>
        <v>strength</v>
      </c>
      <c r="M393" s="6" t="str">
        <f>IFERROR(__xludf.DUMMYFUNCTION("""COMPUTED_VALUE"""),"bother")</f>
        <v>bother</v>
      </c>
      <c r="N393" s="6" t="str">
        <f>IFERROR(__xludf.DUMMYFUNCTION("""COMPUTED_VALUE"""),"ticket")</f>
        <v>ticket</v>
      </c>
      <c r="P393" s="6" t="str">
        <f>IFERROR(__xludf.DUMMYFUNCTION("""COMPUTED_VALUE"""),"imagination")</f>
        <v>imagination</v>
      </c>
      <c r="Q393" s="6" t="str">
        <f>IFERROR(__xludf.DUMMYFUNCTION("""COMPUTED_VALUE"""),"next")</f>
        <v>next</v>
      </c>
      <c r="S393" s="6" t="str">
        <f>IFERROR(__xludf.DUMMYFUNCTION("""COMPUTED_VALUE"""),"receives")</f>
        <v>receives</v>
      </c>
    </row>
    <row r="394">
      <c r="B394" s="6"/>
      <c r="D394" s="6"/>
      <c r="G394" s="6" t="str">
        <f>IFERROR(__xludf.DUMMYFUNCTION("""COMPUTED_VALUE"""),"clever")</f>
        <v>clever</v>
      </c>
      <c r="H394" s="6" t="str">
        <f>IFERROR(__xludf.DUMMYFUNCTION("""COMPUTED_VALUE"""),"mayhem")</f>
        <v>mayhem</v>
      </c>
      <c r="I394" s="6" t="str">
        <f>IFERROR(__xludf.DUMMYFUNCTION("""COMPUTED_VALUE"""),"rapid")</f>
        <v>rapid</v>
      </c>
      <c r="J394" s="6" t="str">
        <f>IFERROR(__xludf.DUMMYFUNCTION("""COMPUTED_VALUE"""),"complexity")</f>
        <v>complexity</v>
      </c>
      <c r="L394" s="6" t="str">
        <f>IFERROR(__xludf.DUMMYFUNCTION("""COMPUTED_VALUE"""),"replaced")</f>
        <v>replaced</v>
      </c>
      <c r="M394" s="6" t="str">
        <f>IFERROR(__xludf.DUMMYFUNCTION("""COMPUTED_VALUE"""),"believe")</f>
        <v>believe</v>
      </c>
      <c r="N394" s="6" t="str">
        <f>IFERROR(__xludf.DUMMYFUNCTION("""COMPUTED_VALUE"""),"stretched")</f>
        <v>stretched</v>
      </c>
      <c r="P394" s="6" t="str">
        <f>IFERROR(__xludf.DUMMYFUNCTION("""COMPUTED_VALUE"""),"serious")</f>
        <v>serious</v>
      </c>
      <c r="Q394" s="6" t="str">
        <f>IFERROR(__xludf.DUMMYFUNCTION("""COMPUTED_VALUE"""),"backward")</f>
        <v>backward</v>
      </c>
      <c r="S394" s="6" t="str">
        <f>IFERROR(__xludf.DUMMYFUNCTION("""COMPUTED_VALUE"""),"blast")</f>
        <v>blast</v>
      </c>
    </row>
    <row r="395">
      <c r="B395" s="6"/>
      <c r="D395" s="6"/>
      <c r="G395" s="6" t="str">
        <f>IFERROR(__xludf.DUMMYFUNCTION("""COMPUTED_VALUE"""),"intense")</f>
        <v>intense</v>
      </c>
      <c r="H395" s="6" t="str">
        <f>IFERROR(__xludf.DUMMYFUNCTION("""COMPUTED_VALUE"""),"plots")</f>
        <v>plots</v>
      </c>
      <c r="I395" s="6" t="str">
        <f>IFERROR(__xludf.DUMMYFUNCTION("""COMPUTED_VALUE"""),"virtually")</f>
        <v>virtually</v>
      </c>
      <c r="J395" s="6" t="str">
        <f>IFERROR(__xludf.DUMMYFUNCTION("""COMPUTED_VALUE"""),"means")</f>
        <v>means</v>
      </c>
      <c r="L395" s="6" t="str">
        <f>IFERROR(__xludf.DUMMYFUNCTION("""COMPUTED_VALUE"""),"significant")</f>
        <v>significant</v>
      </c>
      <c r="M395" s="6" t="str">
        <f>IFERROR(__xludf.DUMMYFUNCTION("""COMPUTED_VALUE"""),"wrapped")</f>
        <v>wrapped</v>
      </c>
      <c r="N395" s="6" t="str">
        <f>IFERROR(__xludf.DUMMYFUNCTION("""COMPUTED_VALUE"""),"exit")</f>
        <v>exit</v>
      </c>
      <c r="P395" s="6" t="str">
        <f>IFERROR(__xludf.DUMMYFUNCTION("""COMPUTED_VALUE"""),"turns")</f>
        <v>turns</v>
      </c>
      <c r="Q395" s="6" t="str">
        <f>IFERROR(__xludf.DUMMYFUNCTION("""COMPUTED_VALUE"""),"giant")</f>
        <v>giant</v>
      </c>
      <c r="S395" s="6" t="str">
        <f>IFERROR(__xludf.DUMMYFUNCTION("""COMPUTED_VALUE"""),"merely")</f>
        <v>merely</v>
      </c>
    </row>
    <row r="396">
      <c r="B396" s="6"/>
      <c r="D396" s="6"/>
      <c r="G396" s="6" t="str">
        <f>IFERROR(__xludf.DUMMYFUNCTION("""COMPUTED_VALUE"""),"sides")</f>
        <v>sides</v>
      </c>
      <c r="H396" s="6" t="str">
        <f>IFERROR(__xludf.DUMMYFUNCTION("""COMPUTED_VALUE"""),"plotted")</f>
        <v>plotted</v>
      </c>
      <c r="I396" s="6" t="str">
        <f>IFERROR(__xludf.DUMMYFUNCTION("""COMPUTED_VALUE"""),"intense")</f>
        <v>intense</v>
      </c>
      <c r="J396" s="6" t="str">
        <f>IFERROR(__xludf.DUMMYFUNCTION("""COMPUTED_VALUE"""),"situation")</f>
        <v>situation</v>
      </c>
      <c r="L396" s="6" t="str">
        <f>IFERROR(__xludf.DUMMYFUNCTION("""COMPUTED_VALUE"""),"holiday")</f>
        <v>holiday</v>
      </c>
      <c r="M396" s="6" t="str">
        <f>IFERROR(__xludf.DUMMYFUNCTION("""COMPUTED_VALUE"""),"outside")</f>
        <v>outside</v>
      </c>
      <c r="N396" s="6" t="str">
        <f>IFERROR(__xludf.DUMMYFUNCTION("""COMPUTED_VALUE"""),"ourselves")</f>
        <v>ourselves</v>
      </c>
      <c r="P396" s="6" t="str">
        <f>IFERROR(__xludf.DUMMYFUNCTION("""COMPUTED_VALUE"""),"gradually")</f>
        <v>gradually</v>
      </c>
      <c r="Q396" s="6" t="str">
        <f>IFERROR(__xludf.DUMMYFUNCTION("""COMPUTED_VALUE"""),"exciting")</f>
        <v>exciting</v>
      </c>
      <c r="S396" s="6" t="str">
        <f>IFERROR(__xludf.DUMMYFUNCTION("""COMPUTED_VALUE"""),"private")</f>
        <v>private</v>
      </c>
    </row>
    <row r="397">
      <c r="B397" s="6"/>
      <c r="D397" s="6"/>
      <c r="G397" s="6" t="str">
        <f>IFERROR(__xludf.DUMMYFUNCTION("""COMPUTED_VALUE"""),"exaggerated")</f>
        <v>exaggerated</v>
      </c>
      <c r="H397" s="6" t="str">
        <f>IFERROR(__xludf.DUMMYFUNCTION("""COMPUTED_VALUE"""),"hastily")</f>
        <v>hastily</v>
      </c>
      <c r="I397" s="6" t="str">
        <f>IFERROR(__xludf.DUMMYFUNCTION("""COMPUTED_VALUE"""),"sides")</f>
        <v>sides</v>
      </c>
      <c r="J397" s="6" t="str">
        <f>IFERROR(__xludf.DUMMYFUNCTION("""COMPUTED_VALUE"""),"darkness")</f>
        <v>darkness</v>
      </c>
      <c r="L397" s="6" t="str">
        <f>IFERROR(__xludf.DUMMYFUNCTION("""COMPUTED_VALUE"""),"mind")</f>
        <v>mind</v>
      </c>
      <c r="M397" s="6" t="str">
        <f>IFERROR(__xludf.DUMMYFUNCTION("""COMPUTED_VALUE"""),"warm")</f>
        <v>warm</v>
      </c>
      <c r="N397" s="6" t="str">
        <f>IFERROR(__xludf.DUMMYFUNCTION("""COMPUTED_VALUE"""),"buttons")</f>
        <v>buttons</v>
      </c>
      <c r="P397" s="6" t="str">
        <f>IFERROR(__xludf.DUMMYFUNCTION("""COMPUTED_VALUE"""),"describe")</f>
        <v>describe</v>
      </c>
      <c r="Q397" s="6" t="str">
        <f>IFERROR(__xludf.DUMMYFUNCTION("""COMPUTED_VALUE"""),"luminous")</f>
        <v>luminous</v>
      </c>
      <c r="S397" s="6" t="str">
        <f>IFERROR(__xludf.DUMMYFUNCTION("""COMPUTED_VALUE"""),"sand")</f>
        <v>sand</v>
      </c>
    </row>
    <row r="398">
      <c r="B398" s="6"/>
      <c r="D398" s="6"/>
      <c r="G398" s="6" t="str">
        <f>IFERROR(__xludf.DUMMYFUNCTION("""COMPUTED_VALUE"""),"yarn")</f>
        <v>yarn</v>
      </c>
      <c r="H398" s="6" t="str">
        <f>IFERROR(__xludf.DUMMYFUNCTION("""COMPUTED_VALUE"""),"bombs")</f>
        <v>bombs</v>
      </c>
      <c r="I398" s="6" t="str">
        <f>IFERROR(__xludf.DUMMYFUNCTION("""COMPUTED_VALUE"""),"pulling")</f>
        <v>pulling</v>
      </c>
      <c r="J398" s="6" t="str">
        <f>IFERROR(__xludf.DUMMYFUNCTION("""COMPUTED_VALUE"""),"predecessor")</f>
        <v>predecessor</v>
      </c>
      <c r="L398" s="6" t="str">
        <f>IFERROR(__xludf.DUMMYFUNCTION("""COMPUTED_VALUE"""),"imagination")</f>
        <v>imagination</v>
      </c>
      <c r="M398" s="6" t="str">
        <f>IFERROR(__xludf.DUMMYFUNCTION("""COMPUTED_VALUE"""),"thin")</f>
        <v>thin</v>
      </c>
      <c r="N398" s="6" t="str">
        <f>IFERROR(__xludf.DUMMYFUNCTION("""COMPUTED_VALUE"""),"condition")</f>
        <v>condition</v>
      </c>
      <c r="P398" s="6">
        <f>IFERROR(__xludf.DUMMYFUNCTION("""COMPUTED_VALUE"""),2002.0)</f>
        <v>2002</v>
      </c>
      <c r="Q398" s="6" t="str">
        <f>IFERROR(__xludf.DUMMYFUNCTION("""COMPUTED_VALUE"""),"decades")</f>
        <v>decades</v>
      </c>
      <c r="S398" s="6" t="str">
        <f>IFERROR(__xludf.DUMMYFUNCTION("""COMPUTED_VALUE"""),"characteristic")</f>
        <v>characteristic</v>
      </c>
    </row>
    <row r="399">
      <c r="B399" s="6"/>
      <c r="D399" s="6"/>
      <c r="G399" s="6" t="str">
        <f>IFERROR(__xludf.DUMMYFUNCTION("""COMPUTED_VALUE"""),"bite")</f>
        <v>bite</v>
      </c>
      <c r="H399" s="6" t="str">
        <f>IFERROR(__xludf.DUMMYFUNCTION("""COMPUTED_VALUE"""),"stories")</f>
        <v>stories</v>
      </c>
      <c r="I399" s="6" t="str">
        <f>IFERROR(__xludf.DUMMYFUNCTION("""COMPUTED_VALUE"""),"bite")</f>
        <v>bite</v>
      </c>
      <c r="J399" s="6" t="str">
        <f>IFERROR(__xludf.DUMMYFUNCTION("""COMPUTED_VALUE"""),"unexpectedly")</f>
        <v>unexpectedly</v>
      </c>
      <c r="L399" s="6">
        <f>IFERROR(__xludf.DUMMYFUNCTION("""COMPUTED_VALUE"""),1957.0)</f>
        <v>1957</v>
      </c>
      <c r="M399" s="6" t="str">
        <f>IFERROR(__xludf.DUMMYFUNCTION("""COMPUTED_VALUE"""),"ate")</f>
        <v>ate</v>
      </c>
      <c r="N399" s="6" t="str">
        <f>IFERROR(__xludf.DUMMYFUNCTION("""COMPUTED_VALUE"""),"frame")</f>
        <v>frame</v>
      </c>
      <c r="P399" s="6" t="str">
        <f>IFERROR(__xludf.DUMMYFUNCTION("""COMPUTED_VALUE"""),"korean")</f>
        <v>korean</v>
      </c>
      <c r="Q399" s="6" t="str">
        <f>IFERROR(__xludf.DUMMYFUNCTION("""COMPUTED_VALUE"""),"trier")</f>
        <v>trier</v>
      </c>
      <c r="S399" s="6" t="str">
        <f>IFERROR(__xludf.DUMMYFUNCTION("""COMPUTED_VALUE"""),"honestly")</f>
        <v>honestly</v>
      </c>
    </row>
    <row r="400">
      <c r="B400" s="6"/>
      <c r="D400" s="6"/>
      <c r="G400" s="6" t="str">
        <f>IFERROR(__xludf.DUMMYFUNCTION("""COMPUTED_VALUE"""),"punishment")</f>
        <v>punishment</v>
      </c>
      <c r="H400" s="6" t="str">
        <f>IFERROR(__xludf.DUMMYFUNCTION("""COMPUTED_VALUE"""),"surface")</f>
        <v>surface</v>
      </c>
      <c r="I400" s="6" t="str">
        <f>IFERROR(__xludf.DUMMYFUNCTION("""COMPUTED_VALUE"""),"punishment")</f>
        <v>punishment</v>
      </c>
      <c r="J400" s="6" t="str">
        <f>IFERROR(__xludf.DUMMYFUNCTION("""COMPUTED_VALUE"""),"comedies")</f>
        <v>comedies</v>
      </c>
      <c r="L400" s="6" t="str">
        <f>IFERROR(__xludf.DUMMYFUNCTION("""COMPUTED_VALUE"""),"characters")</f>
        <v>characters</v>
      </c>
      <c r="M400" s="6" t="str">
        <f>IFERROR(__xludf.DUMMYFUNCTION("""COMPUTED_VALUE"""),"murder")</f>
        <v>murder</v>
      </c>
      <c r="N400" s="6" t="str">
        <f>IFERROR(__xludf.DUMMYFUNCTION("""COMPUTED_VALUE"""),"impact")</f>
        <v>impact</v>
      </c>
      <c r="P400" s="6" t="str">
        <f>IFERROR(__xludf.DUMMYFUNCTION("""COMPUTED_VALUE"""),"historical")</f>
        <v>historical</v>
      </c>
      <c r="Q400" s="6" t="str">
        <f>IFERROR(__xludf.DUMMYFUNCTION("""COMPUTED_VALUE"""),"lynch")</f>
        <v>lynch</v>
      </c>
      <c r="S400" s="6" t="str">
        <f>IFERROR(__xludf.DUMMYFUNCTION("""COMPUTED_VALUE"""),"successful")</f>
        <v>successful</v>
      </c>
    </row>
    <row r="401">
      <c r="B401" s="6"/>
      <c r="D401" s="6"/>
      <c r="G401" s="6" t="str">
        <f>IFERROR(__xludf.DUMMYFUNCTION("""COMPUTED_VALUE"""),"stanley")</f>
        <v>stanley</v>
      </c>
      <c r="H401" s="6" t="str">
        <f>IFERROR(__xludf.DUMMYFUNCTION("""COMPUTED_VALUE"""),"stupidity")</f>
        <v>stupidity</v>
      </c>
      <c r="I401" s="6" t="str">
        <f>IFERROR(__xludf.DUMMYFUNCTION("""COMPUTED_VALUE"""),"today")</f>
        <v>today</v>
      </c>
      <c r="J401" s="6" t="str">
        <f>IFERROR(__xludf.DUMMYFUNCTION("""COMPUTED_VALUE"""),"enduring")</f>
        <v>enduring</v>
      </c>
      <c r="L401" s="6" t="str">
        <f>IFERROR(__xludf.DUMMYFUNCTION("""COMPUTED_VALUE"""),"memorable")</f>
        <v>memorable</v>
      </c>
      <c r="M401" s="6" t="str">
        <f>IFERROR(__xludf.DUMMYFUNCTION("""COMPUTED_VALUE"""),"field")</f>
        <v>field</v>
      </c>
      <c r="N401" s="6" t="str">
        <f>IFERROR(__xludf.DUMMYFUNCTION("""COMPUTED_VALUE"""),"office")</f>
        <v>office</v>
      </c>
      <c r="P401" s="6" t="str">
        <f>IFERROR(__xludf.DUMMYFUNCTION("""COMPUTED_VALUE"""),"assured")</f>
        <v>assured</v>
      </c>
      <c r="Q401" s="6" t="str">
        <f>IFERROR(__xludf.DUMMYFUNCTION("""COMPUTED_VALUE"""),"failing")</f>
        <v>failing</v>
      </c>
      <c r="S401" s="6" t="str">
        <f>IFERROR(__xludf.DUMMYFUNCTION("""COMPUTED_VALUE"""),"seeing")</f>
        <v>seeing</v>
      </c>
    </row>
    <row r="402">
      <c r="B402" s="6"/>
      <c r="D402" s="6"/>
      <c r="G402" s="6" t="str">
        <f>IFERROR(__xludf.DUMMYFUNCTION("""COMPUTED_VALUE"""),"trademark")</f>
        <v>trademark</v>
      </c>
      <c r="H402" s="6" t="str">
        <f>IFERROR(__xludf.DUMMYFUNCTION("""COMPUTED_VALUE"""),"depths")</f>
        <v>depths</v>
      </c>
      <c r="I402" s="6" t="str">
        <f>IFERROR(__xludf.DUMMYFUNCTION("""COMPUTED_VALUE"""),"stanley")</f>
        <v>stanley</v>
      </c>
      <c r="J402" s="6" t="str">
        <f>IFERROR(__xludf.DUMMYFUNCTION("""COMPUTED_VALUE"""),"wan")</f>
        <v>wan</v>
      </c>
      <c r="L402" s="6" t="str">
        <f>IFERROR(__xludf.DUMMYFUNCTION("""COMPUTED_VALUE"""),"shape")</f>
        <v>shape</v>
      </c>
      <c r="M402" s="6" t="str">
        <f>IFERROR(__xludf.DUMMYFUNCTION("""COMPUTED_VALUE"""),"host")</f>
        <v>host</v>
      </c>
      <c r="N402" s="6" t="str">
        <f>IFERROR(__xludf.DUMMYFUNCTION("""COMPUTED_VALUE"""),"talk")</f>
        <v>talk</v>
      </c>
      <c r="P402" s="6" t="str">
        <f>IFERROR(__xludf.DUMMYFUNCTION("""COMPUTED_VALUE"""),"complete")</f>
        <v>complete</v>
      </c>
      <c r="Q402" s="6" t="str">
        <f>IFERROR(__xludf.DUMMYFUNCTION("""COMPUTED_VALUE"""),"thrill")</f>
        <v>thrill</v>
      </c>
      <c r="S402" s="6" t="str">
        <f>IFERROR(__xludf.DUMMYFUNCTION("""COMPUTED_VALUE"""),"moving")</f>
        <v>moving</v>
      </c>
    </row>
    <row r="403">
      <c r="B403" s="6"/>
      <c r="D403" s="6"/>
      <c r="G403" s="6" t="str">
        <f>IFERROR(__xludf.DUMMYFUNCTION("""COMPUTED_VALUE"""),"stylistic")</f>
        <v>stylistic</v>
      </c>
      <c r="H403" s="6" t="str">
        <f>IFERROR(__xludf.DUMMYFUNCTION("""COMPUTED_VALUE"""),"machine")</f>
        <v>machine</v>
      </c>
      <c r="I403" s="6" t="str">
        <f>IFERROR(__xludf.DUMMYFUNCTION("""COMPUTED_VALUE"""),"wore")</f>
        <v>wore</v>
      </c>
      <c r="J403" s="6" t="str">
        <f>IFERROR(__xludf.DUMMYFUNCTION("""COMPUTED_VALUE"""),"sweet")</f>
        <v>sweet</v>
      </c>
      <c r="L403" s="6" t="str">
        <f>IFERROR(__xludf.DUMMYFUNCTION("""COMPUTED_VALUE"""),"report")</f>
        <v>report</v>
      </c>
      <c r="M403" s="6" t="str">
        <f>IFERROR(__xludf.DUMMYFUNCTION("""COMPUTED_VALUE"""),"rolling")</f>
        <v>rolling</v>
      </c>
      <c r="N403" s="6" t="str">
        <f>IFERROR(__xludf.DUMMYFUNCTION("""COMPUTED_VALUE"""),"land")</f>
        <v>land</v>
      </c>
      <c r="P403" s="6" t="str">
        <f>IFERROR(__xludf.DUMMYFUNCTION("""COMPUTED_VALUE"""),"solid")</f>
        <v>solid</v>
      </c>
      <c r="Q403" s="6" t="str">
        <f>IFERROR(__xludf.DUMMYFUNCTION("""COMPUTED_VALUE"""),"growth")</f>
        <v>growth</v>
      </c>
      <c r="S403" s="6" t="str">
        <f>IFERROR(__xludf.DUMMYFUNCTION("""COMPUTED_VALUE"""),"poet")</f>
        <v>poet</v>
      </c>
    </row>
    <row r="404">
      <c r="B404" s="6"/>
      <c r="D404" s="6"/>
      <c r="G404" s="6" t="str">
        <f>IFERROR(__xludf.DUMMYFUNCTION("""COMPUTED_VALUE"""),"daring")</f>
        <v>daring</v>
      </c>
      <c r="H404" s="6" t="str">
        <f>IFERROR(__xludf.DUMMYFUNCTION("""COMPUTED_VALUE"""),"complexity")</f>
        <v>complexity</v>
      </c>
      <c r="I404" s="6" t="str">
        <f>IFERROR(__xludf.DUMMYFUNCTION("""COMPUTED_VALUE"""),"capable")</f>
        <v>capable</v>
      </c>
      <c r="J404" s="6" t="str">
        <f>IFERROR(__xludf.DUMMYFUNCTION("""COMPUTED_VALUE"""),"delight")</f>
        <v>delight</v>
      </c>
      <c r="L404" s="6" t="str">
        <f>IFERROR(__xludf.DUMMYFUNCTION("""COMPUTED_VALUE"""),"misunderstanding")</f>
        <v>misunderstanding</v>
      </c>
      <c r="M404" s="6" t="str">
        <f>IFERROR(__xludf.DUMMYFUNCTION("""COMPUTED_VALUE"""),"building")</f>
        <v>building</v>
      </c>
      <c r="N404" s="6" t="str">
        <f>IFERROR(__xludf.DUMMYFUNCTION("""COMPUTED_VALUE"""),"written")</f>
        <v>written</v>
      </c>
      <c r="P404" s="6" t="str">
        <f>IFERROR(__xludf.DUMMYFUNCTION("""COMPUTED_VALUE"""),"politics")</f>
        <v>politics</v>
      </c>
      <c r="Q404" s="6" t="str">
        <f>IFERROR(__xludf.DUMMYFUNCTION("""COMPUTED_VALUE"""),"opera")</f>
        <v>opera</v>
      </c>
      <c r="S404" s="6" t="str">
        <f>IFERROR(__xludf.DUMMYFUNCTION("""COMPUTED_VALUE"""),"celebrated")</f>
        <v>celebrated</v>
      </c>
    </row>
    <row r="405">
      <c r="B405" s="6"/>
      <c r="D405" s="6"/>
      <c r="G405" s="6" t="str">
        <f>IFERROR(__xludf.DUMMYFUNCTION("""COMPUTED_VALUE"""),"wo")</f>
        <v>wo</v>
      </c>
      <c r="H405" s="6" t="str">
        <f>IFERROR(__xludf.DUMMYFUNCTION("""COMPUTED_VALUE"""),"darkness")</f>
        <v>darkness</v>
      </c>
      <c r="I405" s="6" t="str">
        <f>IFERROR(__xludf.DUMMYFUNCTION("""COMPUTED_VALUE"""),"marina")</f>
        <v>marina</v>
      </c>
      <c r="J405" s="6" t="str">
        <f>IFERROR(__xludf.DUMMYFUNCTION("""COMPUTED_VALUE"""),"harvesting")</f>
        <v>harvesting</v>
      </c>
      <c r="L405" s="6" t="str">
        <f>IFERROR(__xludf.DUMMYFUNCTION("""COMPUTED_VALUE"""),"controversy")</f>
        <v>controversy</v>
      </c>
      <c r="M405" s="6" t="str">
        <f>IFERROR(__xludf.DUMMYFUNCTION("""COMPUTED_VALUE"""),"beginning")</f>
        <v>beginning</v>
      </c>
      <c r="N405" s="6" t="str">
        <f>IFERROR(__xludf.DUMMYFUNCTION("""COMPUTED_VALUE"""),"hall")</f>
        <v>hall</v>
      </c>
      <c r="P405" s="6" t="str">
        <f>IFERROR(__xludf.DUMMYFUNCTION("""COMPUTED_VALUE"""),"road")</f>
        <v>road</v>
      </c>
      <c r="Q405" s="6" t="str">
        <f>IFERROR(__xludf.DUMMYFUNCTION("""COMPUTED_VALUE"""),"showdown")</f>
        <v>showdown</v>
      </c>
      <c r="S405" s="6" t="str">
        <f>IFERROR(__xludf.DUMMYFUNCTION("""COMPUTED_VALUE"""),"looking")</f>
        <v>looking</v>
      </c>
    </row>
    <row r="406">
      <c r="B406" s="6"/>
      <c r="D406" s="6"/>
      <c r="G406" s="6" t="str">
        <f>IFERROR(__xludf.DUMMYFUNCTION("""COMPUTED_VALUE"""),"convey")</f>
        <v>convey</v>
      </c>
      <c r="H406" s="6" t="str">
        <f>IFERROR(__xludf.DUMMYFUNCTION("""COMPUTED_VALUE"""),"insults")</f>
        <v>insults</v>
      </c>
      <c r="I406" s="6" t="str">
        <f>IFERROR(__xludf.DUMMYFUNCTION("""COMPUTED_VALUE"""),"holly")</f>
        <v>holly</v>
      </c>
      <c r="J406" s="6" t="str">
        <f>IFERROR(__xludf.DUMMYFUNCTION("""COMPUTED_VALUE"""),"construct")</f>
        <v>construct</v>
      </c>
      <c r="L406" s="6" t="str">
        <f>IFERROR(__xludf.DUMMYFUNCTION("""COMPUTED_VALUE"""),"gangs")</f>
        <v>gangs</v>
      </c>
      <c r="M406" s="6" t="str">
        <f>IFERROR(__xludf.DUMMYFUNCTION("""COMPUTED_VALUE"""),"artists")</f>
        <v>artists</v>
      </c>
      <c r="N406" s="6" t="str">
        <f>IFERROR(__xludf.DUMMYFUNCTION("""COMPUTED_VALUE"""),"industry")</f>
        <v>industry</v>
      </c>
      <c r="P406" s="6" t="str">
        <f>IFERROR(__xludf.DUMMYFUNCTION("""COMPUTED_VALUE"""),"obvious")</f>
        <v>obvious</v>
      </c>
      <c r="Q406" s="6" t="str">
        <f>IFERROR(__xludf.DUMMYFUNCTION("""COMPUTED_VALUE"""),"species")</f>
        <v>species</v>
      </c>
      <c r="S406" s="6" t="str">
        <f>IFERROR(__xludf.DUMMYFUNCTION("""COMPUTED_VALUE"""),"grade")</f>
        <v>grade</v>
      </c>
    </row>
    <row r="407">
      <c r="B407" s="6"/>
      <c r="D407" s="6"/>
      <c r="G407" s="6" t="str">
        <f>IFERROR(__xludf.DUMMYFUNCTION("""COMPUTED_VALUE"""),"spanning")</f>
        <v>spanning</v>
      </c>
      <c r="H407" s="6">
        <f>IFERROR(__xludf.DUMMYFUNCTION("""COMPUTED_VALUE"""),1984.0)</f>
        <v>1984</v>
      </c>
      <c r="I407" s="6" t="str">
        <f>IFERROR(__xludf.DUMMYFUNCTION("""COMPUTED_VALUE"""),"say")</f>
        <v>say</v>
      </c>
      <c r="J407" s="6" t="str">
        <f>IFERROR(__xludf.DUMMYFUNCTION("""COMPUTED_VALUE"""),"laughed")</f>
        <v>laughed</v>
      </c>
      <c r="L407" s="6" t="str">
        <f>IFERROR(__xludf.DUMMYFUNCTION("""COMPUTED_VALUE"""),"larger")</f>
        <v>larger</v>
      </c>
      <c r="M407" s="6" t="str">
        <f>IFERROR(__xludf.DUMMYFUNCTION("""COMPUTED_VALUE"""),"teach")</f>
        <v>teach</v>
      </c>
      <c r="N407" s="6" t="str">
        <f>IFERROR(__xludf.DUMMYFUNCTION("""COMPUTED_VALUE"""),"sweetly")</f>
        <v>sweetly</v>
      </c>
      <c r="P407" s="6" t="str">
        <f>IFERROR(__xludf.DUMMYFUNCTION("""COMPUTED_VALUE"""),"stupid")</f>
        <v>stupid</v>
      </c>
      <c r="Q407" s="6" t="str">
        <f>IFERROR(__xludf.DUMMYFUNCTION("""COMPUTED_VALUE"""),"evade")</f>
        <v>evade</v>
      </c>
      <c r="S407" s="6" t="str">
        <f>IFERROR(__xludf.DUMMYFUNCTION("""COMPUTED_VALUE"""),"right")</f>
        <v>right</v>
      </c>
    </row>
    <row r="408">
      <c r="B408" s="6"/>
      <c r="D408" s="6"/>
      <c r="G408" s="6" t="str">
        <f>IFERROR(__xludf.DUMMYFUNCTION("""COMPUTED_VALUE"""),"emerge")</f>
        <v>emerge</v>
      </c>
      <c r="H408" s="6" t="str">
        <f>IFERROR(__xludf.DUMMYFUNCTION("""COMPUTED_VALUE"""),"predecessor")</f>
        <v>predecessor</v>
      </c>
      <c r="I408" s="6" t="str">
        <f>IFERROR(__xludf.DUMMYFUNCTION("""COMPUTED_VALUE"""),"movements")</f>
        <v>movements</v>
      </c>
      <c r="J408" s="6" t="str">
        <f>IFERROR(__xludf.DUMMYFUNCTION("""COMPUTED_VALUE"""),"laughter")</f>
        <v>laughter</v>
      </c>
      <c r="L408" s="6" t="str">
        <f>IFERROR(__xludf.DUMMYFUNCTION("""COMPUTED_VALUE"""),"holes")</f>
        <v>holes</v>
      </c>
      <c r="M408" s="6" t="str">
        <f>IFERROR(__xludf.DUMMYFUNCTION("""COMPUTED_VALUE"""),"wood")</f>
        <v>wood</v>
      </c>
      <c r="N408" s="6" t="str">
        <f>IFERROR(__xludf.DUMMYFUNCTION("""COMPUTED_VALUE"""),"resident")</f>
        <v>resident</v>
      </c>
      <c r="P408" s="6" t="str">
        <f>IFERROR(__xludf.DUMMYFUNCTION("""COMPUTED_VALUE"""),"elements")</f>
        <v>elements</v>
      </c>
      <c r="Q408" s="6" t="str">
        <f>IFERROR(__xludf.DUMMYFUNCTION("""COMPUTED_VALUE"""),"leaves")</f>
        <v>leaves</v>
      </c>
      <c r="S408" s="6" t="str">
        <f>IFERROR(__xludf.DUMMYFUNCTION("""COMPUTED_VALUE"""),"end")</f>
        <v>end</v>
      </c>
    </row>
    <row r="409">
      <c r="B409" s="6"/>
      <c r="D409" s="6"/>
      <c r="G409" s="6" t="str">
        <f>IFERROR(__xludf.DUMMYFUNCTION("""COMPUTED_VALUE"""),"say")</f>
        <v>say</v>
      </c>
      <c r="H409" s="6" t="str">
        <f>IFERROR(__xludf.DUMMYFUNCTION("""COMPUTED_VALUE"""),"unexpectedly")</f>
        <v>unexpectedly</v>
      </c>
      <c r="I409" s="6" t="str">
        <f>IFERROR(__xludf.DUMMYFUNCTION("""COMPUTED_VALUE"""),"evolution")</f>
        <v>evolution</v>
      </c>
      <c r="J409" s="6" t="str">
        <f>IFERROR(__xludf.DUMMYFUNCTION("""COMPUTED_VALUE"""),"philosophical")</f>
        <v>philosophical</v>
      </c>
      <c r="L409" s="6" t="str">
        <f>IFERROR(__xludf.DUMMYFUNCTION("""COMPUTED_VALUE"""),"leather")</f>
        <v>leather</v>
      </c>
      <c r="M409" s="6" t="str">
        <f>IFERROR(__xludf.DUMMYFUNCTION("""COMPUTED_VALUE"""),"stand")</f>
        <v>stand</v>
      </c>
      <c r="N409" s="6" t="str">
        <f>IFERROR(__xludf.DUMMYFUNCTION("""COMPUTED_VALUE"""),"knowing")</f>
        <v>knowing</v>
      </c>
      <c r="P409" s="6" t="str">
        <f>IFERROR(__xludf.DUMMYFUNCTION("""COMPUTED_VALUE"""),"mood")</f>
        <v>mood</v>
      </c>
      <c r="Q409" s="6" t="str">
        <f>IFERROR(__xludf.DUMMYFUNCTION("""COMPUTED_VALUE"""),"purely")</f>
        <v>purely</v>
      </c>
      <c r="S409" s="6" t="str">
        <f>IFERROR(__xludf.DUMMYFUNCTION("""COMPUTED_VALUE"""),"summer")</f>
        <v>summer</v>
      </c>
    </row>
    <row r="410">
      <c r="B410" s="6"/>
      <c r="D410" s="6"/>
      <c r="G410" s="6" t="str">
        <f>IFERROR(__xludf.DUMMYFUNCTION("""COMPUTED_VALUE"""),"movements")</f>
        <v>movements</v>
      </c>
      <c r="H410" s="6" t="str">
        <f>IFERROR(__xludf.DUMMYFUNCTION("""COMPUTED_VALUE"""),"comedies")</f>
        <v>comedies</v>
      </c>
      <c r="I410" s="6" t="str">
        <f>IFERROR(__xludf.DUMMYFUNCTION("""COMPUTED_VALUE"""),"particularly")</f>
        <v>particularly</v>
      </c>
      <c r="J410" s="6" t="str">
        <f>IFERROR(__xludf.DUMMYFUNCTION("""COMPUTED_VALUE"""),"drag")</f>
        <v>drag</v>
      </c>
      <c r="L410" s="6" t="str">
        <f>IFERROR(__xludf.DUMMYFUNCTION("""COMPUTED_VALUE"""),"packages")</f>
        <v>packages</v>
      </c>
      <c r="M410" s="6" t="str">
        <f>IFERROR(__xludf.DUMMYFUNCTION("""COMPUTED_VALUE"""),"express")</f>
        <v>express</v>
      </c>
      <c r="N410" s="6" t="str">
        <f>IFERROR(__xludf.DUMMYFUNCTION("""COMPUTED_VALUE"""),"darkness")</f>
        <v>darkness</v>
      </c>
      <c r="P410" s="6" t="str">
        <f>IFERROR(__xludf.DUMMYFUNCTION("""COMPUTED_VALUE"""),"offensive")</f>
        <v>offensive</v>
      </c>
      <c r="Q410" s="6" t="str">
        <f>IFERROR(__xludf.DUMMYFUNCTION("""COMPUTED_VALUE"""),"question")</f>
        <v>question</v>
      </c>
      <c r="S410" s="6" t="str">
        <f>IFERROR(__xludf.DUMMYFUNCTION("""COMPUTED_VALUE"""),"days")</f>
        <v>days</v>
      </c>
    </row>
    <row r="411">
      <c r="B411" s="6"/>
      <c r="D411" s="6"/>
      <c r="G411" s="6" t="str">
        <f>IFERROR(__xludf.DUMMYFUNCTION("""COMPUTED_VALUE"""),"evolution")</f>
        <v>evolution</v>
      </c>
      <c r="H411" s="6" t="str">
        <f>IFERROR(__xludf.DUMMYFUNCTION("""COMPUTED_VALUE"""),"enduring")</f>
        <v>enduring</v>
      </c>
      <c r="I411" s="6" t="str">
        <f>IFERROR(__xludf.DUMMYFUNCTION("""COMPUTED_VALUE"""),"tired")</f>
        <v>tired</v>
      </c>
      <c r="J411" s="6" t="str">
        <f>IFERROR(__xludf.DUMMYFUNCTION("""COMPUTED_VALUE"""),"literary")</f>
        <v>literary</v>
      </c>
      <c r="L411" s="6" t="str">
        <f>IFERROR(__xludf.DUMMYFUNCTION("""COMPUTED_VALUE"""),"comparison")</f>
        <v>comparison</v>
      </c>
      <c r="M411" s="6" t="str">
        <f>IFERROR(__xludf.DUMMYFUNCTION("""COMPUTED_VALUE"""),"spring")</f>
        <v>spring</v>
      </c>
      <c r="N411" s="6" t="str">
        <f>IFERROR(__xludf.DUMMYFUNCTION("""COMPUTED_VALUE"""),"laughter")</f>
        <v>laughter</v>
      </c>
      <c r="P411" s="6" t="str">
        <f>IFERROR(__xludf.DUMMYFUNCTION("""COMPUTED_VALUE"""),"engage")</f>
        <v>engage</v>
      </c>
      <c r="Q411" s="6" t="str">
        <f>IFERROR(__xludf.DUMMYFUNCTION("""COMPUTED_VALUE"""),"open")</f>
        <v>open</v>
      </c>
      <c r="S411" s="6" t="str">
        <f>IFERROR(__xludf.DUMMYFUNCTION("""COMPUTED_VALUE"""),"especially")</f>
        <v>especially</v>
      </c>
    </row>
    <row r="412">
      <c r="B412" s="6"/>
      <c r="D412" s="6"/>
      <c r="G412" s="6" t="str">
        <f>IFERROR(__xludf.DUMMYFUNCTION("""COMPUTED_VALUE"""),"escaped")</f>
        <v>escaped</v>
      </c>
      <c r="H412" s="6" t="str">
        <f>IFERROR(__xludf.DUMMYFUNCTION("""COMPUTED_VALUE"""),"teen")</f>
        <v>teen</v>
      </c>
      <c r="I412" s="6" t="str">
        <f>IFERROR(__xludf.DUMMYFUNCTION("""COMPUTED_VALUE"""),"escape")</f>
        <v>escape</v>
      </c>
      <c r="J412" s="6" t="str">
        <f>IFERROR(__xludf.DUMMYFUNCTION("""COMPUTED_VALUE"""),"dull")</f>
        <v>dull</v>
      </c>
      <c r="L412" s="6" t="str">
        <f>IFERROR(__xludf.DUMMYFUNCTION("""COMPUTED_VALUE"""),"effective")</f>
        <v>effective</v>
      </c>
      <c r="M412" s="6" t="str">
        <f>IFERROR(__xludf.DUMMYFUNCTION("""COMPUTED_VALUE"""),"simple")</f>
        <v>simple</v>
      </c>
      <c r="N412" s="6" t="str">
        <f>IFERROR(__xludf.DUMMYFUNCTION("""COMPUTED_VALUE"""),"underneath")</f>
        <v>underneath</v>
      </c>
      <c r="P412" s="6" t="str">
        <f>IFERROR(__xludf.DUMMYFUNCTION("""COMPUTED_VALUE"""),"loose")</f>
        <v>loose</v>
      </c>
      <c r="Q412" s="6" t="str">
        <f>IFERROR(__xludf.DUMMYFUNCTION("""COMPUTED_VALUE"""),"failure")</f>
        <v>failure</v>
      </c>
      <c r="S412" s="6" t="str">
        <f>IFERROR(__xludf.DUMMYFUNCTION("""COMPUTED_VALUE"""),"serve")</f>
        <v>serve</v>
      </c>
    </row>
    <row r="413">
      <c r="B413" s="6"/>
      <c r="D413" s="6"/>
      <c r="G413" s="6" t="str">
        <f>IFERROR(__xludf.DUMMYFUNCTION("""COMPUTED_VALUE"""),"soundtrack")</f>
        <v>soundtrack</v>
      </c>
      <c r="H413" s="6" t="str">
        <f>IFERROR(__xludf.DUMMYFUNCTION("""COMPUTED_VALUE"""),"wan")</f>
        <v>wan</v>
      </c>
      <c r="I413" s="6" t="str">
        <f>IFERROR(__xludf.DUMMYFUNCTION("""COMPUTED_VALUE"""),"escaped")</f>
        <v>escaped</v>
      </c>
      <c r="J413" s="6" t="str">
        <f>IFERROR(__xludf.DUMMYFUNCTION("""COMPUTED_VALUE"""),"witty")</f>
        <v>witty</v>
      </c>
      <c r="L413" s="6" t="str">
        <f>IFERROR(__xludf.DUMMYFUNCTION("""COMPUTED_VALUE"""),"stage")</f>
        <v>stage</v>
      </c>
      <c r="M413" s="6" t="str">
        <f>IFERROR(__xludf.DUMMYFUNCTION("""COMPUTED_VALUE"""),"level")</f>
        <v>level</v>
      </c>
      <c r="N413" s="6" t="str">
        <f>IFERROR(__xludf.DUMMYFUNCTION("""COMPUTED_VALUE"""),"plays")</f>
        <v>plays</v>
      </c>
      <c r="P413" s="6" t="str">
        <f>IFERROR(__xludf.DUMMYFUNCTION("""COMPUTED_VALUE"""),"revealing")</f>
        <v>revealing</v>
      </c>
      <c r="Q413" s="6" t="str">
        <f>IFERROR(__xludf.DUMMYFUNCTION("""COMPUTED_VALUE"""),"suffering")</f>
        <v>suffering</v>
      </c>
      <c r="S413" s="6" t="str">
        <f>IFERROR(__xludf.DUMMYFUNCTION("""COMPUTED_VALUE"""),"sister")</f>
        <v>sister</v>
      </c>
    </row>
    <row r="414">
      <c r="B414" s="6"/>
      <c r="D414" s="6"/>
      <c r="G414" s="6" t="str">
        <f>IFERROR(__xludf.DUMMYFUNCTION("""COMPUTED_VALUE"""),"quality")</f>
        <v>quality</v>
      </c>
      <c r="H414" s="6" t="str">
        <f>IFERROR(__xludf.DUMMYFUNCTION("""COMPUTED_VALUE"""),"sweet")</f>
        <v>sweet</v>
      </c>
      <c r="I414" s="6" t="str">
        <f>IFERROR(__xludf.DUMMYFUNCTION("""COMPUTED_VALUE"""),"dug")</f>
        <v>dug</v>
      </c>
      <c r="J414" s="6" t="str">
        <f>IFERROR(__xludf.DUMMYFUNCTION("""COMPUTED_VALUE"""),"accomplished")</f>
        <v>accomplished</v>
      </c>
      <c r="L414" s="6" t="str">
        <f>IFERROR(__xludf.DUMMYFUNCTION("""COMPUTED_VALUE"""),"fool")</f>
        <v>fool</v>
      </c>
      <c r="M414" s="6" t="str">
        <f>IFERROR(__xludf.DUMMYFUNCTION("""COMPUTED_VALUE"""),"cup")</f>
        <v>cup</v>
      </c>
      <c r="N414" s="6" t="str">
        <f>IFERROR(__xludf.DUMMYFUNCTION("""COMPUTED_VALUE"""),"shining")</f>
        <v>shining</v>
      </c>
      <c r="P414" s="6" t="str">
        <f>IFERROR(__xludf.DUMMYFUNCTION("""COMPUTED_VALUE"""),"study")</f>
        <v>study</v>
      </c>
      <c r="Q414" s="6" t="str">
        <f>IFERROR(__xludf.DUMMYFUNCTION("""COMPUTED_VALUE"""),"powerful")</f>
        <v>powerful</v>
      </c>
      <c r="S414" s="6" t="str">
        <f>IFERROR(__xludf.DUMMYFUNCTION("""COMPUTED_VALUE"""),"sofia")</f>
        <v>sofia</v>
      </c>
    </row>
    <row r="415">
      <c r="B415" s="6"/>
      <c r="D415" s="6"/>
      <c r="G415" s="6" t="str">
        <f>IFERROR(__xludf.DUMMYFUNCTION("""COMPUTED_VALUE"""),"nba")</f>
        <v>nba</v>
      </c>
      <c r="H415" s="6" t="str">
        <f>IFERROR(__xludf.DUMMYFUNCTION("""COMPUTED_VALUE"""),"delight")</f>
        <v>delight</v>
      </c>
      <c r="I415" s="6" t="str">
        <f>IFERROR(__xludf.DUMMYFUNCTION("""COMPUTED_VALUE"""),"kennedy")</f>
        <v>kennedy</v>
      </c>
      <c r="J415" s="6" t="str">
        <f>IFERROR(__xludf.DUMMYFUNCTION("""COMPUTED_VALUE"""),"primal")</f>
        <v>primal</v>
      </c>
      <c r="L415" s="6" t="str">
        <f>IFERROR(__xludf.DUMMYFUNCTION("""COMPUTED_VALUE"""),"washington")</f>
        <v>washington</v>
      </c>
      <c r="M415" s="6" t="str">
        <f>IFERROR(__xludf.DUMMYFUNCTION("""COMPUTED_VALUE"""),"length")</f>
        <v>length</v>
      </c>
      <c r="N415" s="6" t="str">
        <f>IFERROR(__xludf.DUMMYFUNCTION("""COMPUTED_VALUE"""),"distance")</f>
        <v>distance</v>
      </c>
      <c r="P415" s="6" t="str">
        <f>IFERROR(__xludf.DUMMYFUNCTION("""COMPUTED_VALUE"""),"fairly")</f>
        <v>fairly</v>
      </c>
      <c r="Q415" s="6" t="str">
        <f>IFERROR(__xludf.DUMMYFUNCTION("""COMPUTED_VALUE"""),"clinic")</f>
        <v>clinic</v>
      </c>
      <c r="S415" s="6" t="str">
        <f>IFERROR(__xludf.DUMMYFUNCTION("""COMPUTED_VALUE"""),"process")</f>
        <v>process</v>
      </c>
    </row>
    <row r="416">
      <c r="B416" s="6"/>
      <c r="D416" s="6"/>
      <c r="G416" s="6" t="str">
        <f>IFERROR(__xludf.DUMMYFUNCTION("""COMPUTED_VALUE"""),"layers")</f>
        <v>layers</v>
      </c>
      <c r="H416" s="6" t="str">
        <f>IFERROR(__xludf.DUMMYFUNCTION("""COMPUTED_VALUE"""),"meaningful")</f>
        <v>meaningful</v>
      </c>
      <c r="I416" s="6" t="str">
        <f>IFERROR(__xludf.DUMMYFUNCTION("""COMPUTED_VALUE"""),"soundtrack")</f>
        <v>soundtrack</v>
      </c>
      <c r="J416" s="6" t="str">
        <f>IFERROR(__xludf.DUMMYFUNCTION("""COMPUTED_VALUE"""),"fears")</f>
        <v>fears</v>
      </c>
      <c r="L416" s="6" t="str">
        <f>IFERROR(__xludf.DUMMYFUNCTION("""COMPUTED_VALUE"""),"exciting")</f>
        <v>exciting</v>
      </c>
      <c r="M416" s="6" t="str">
        <f>IFERROR(__xludf.DUMMYFUNCTION("""COMPUTED_VALUE"""),"move")</f>
        <v>move</v>
      </c>
      <c r="N416" s="6" t="str">
        <f>IFERROR(__xludf.DUMMYFUNCTION("""COMPUTED_VALUE"""),"perspective")</f>
        <v>perspective</v>
      </c>
      <c r="P416" s="6" t="str">
        <f>IFERROR(__xludf.DUMMYFUNCTION("""COMPUTED_VALUE"""),"job")</f>
        <v>job</v>
      </c>
      <c r="Q416" s="6" t="str">
        <f>IFERROR(__xludf.DUMMYFUNCTION("""COMPUTED_VALUE"""),"cinematography")</f>
        <v>cinematography</v>
      </c>
      <c r="S416" s="6" t="str">
        <f>IFERROR(__xludf.DUMMYFUNCTION("""COMPUTED_VALUE"""),"cover")</f>
        <v>cover</v>
      </c>
    </row>
    <row r="417">
      <c r="B417" s="6"/>
      <c r="D417" s="6"/>
      <c r="G417" s="6" t="str">
        <f>IFERROR(__xludf.DUMMYFUNCTION("""COMPUTED_VALUE"""),"deadly")</f>
        <v>deadly</v>
      </c>
      <c r="H417" s="6" t="str">
        <f>IFERROR(__xludf.DUMMYFUNCTION("""COMPUTED_VALUE"""),"harvesting")</f>
        <v>harvesting</v>
      </c>
      <c r="I417" s="6" t="str">
        <f>IFERROR(__xludf.DUMMYFUNCTION("""COMPUTED_VALUE"""),"quality")</f>
        <v>quality</v>
      </c>
      <c r="J417" s="6" t="str">
        <f>IFERROR(__xludf.DUMMYFUNCTION("""COMPUTED_VALUE"""),"portrait")</f>
        <v>portrait</v>
      </c>
      <c r="L417" s="6" t="str">
        <f>IFERROR(__xludf.DUMMYFUNCTION("""COMPUTED_VALUE"""),"convention")</f>
        <v>convention</v>
      </c>
      <c r="M417" s="6" t="str">
        <f>IFERROR(__xludf.DUMMYFUNCTION("""COMPUTED_VALUE"""),"hoped")</f>
        <v>hoped</v>
      </c>
      <c r="N417" s="6" t="str">
        <f>IFERROR(__xludf.DUMMYFUNCTION("""COMPUTED_VALUE"""),"w")</f>
        <v>w</v>
      </c>
      <c r="P417" s="6" t="str">
        <f>IFERROR(__xludf.DUMMYFUNCTION("""COMPUTED_VALUE"""),"daughters")</f>
        <v>daughters</v>
      </c>
      <c r="Q417" s="6" t="str">
        <f>IFERROR(__xludf.DUMMYFUNCTION("""COMPUTED_VALUE"""),"surreal")</f>
        <v>surreal</v>
      </c>
      <c r="S417" s="6" t="str">
        <f>IFERROR(__xludf.DUMMYFUNCTION("""COMPUTED_VALUE"""),"walked")</f>
        <v>walked</v>
      </c>
    </row>
    <row r="418">
      <c r="B418" s="6"/>
      <c r="D418" s="6"/>
      <c r="G418" s="6" t="str">
        <f>IFERROR(__xludf.DUMMYFUNCTION("""COMPUTED_VALUE"""),"striking")</f>
        <v>striking</v>
      </c>
      <c r="H418" s="6" t="str">
        <f>IFERROR(__xludf.DUMMYFUNCTION("""COMPUTED_VALUE"""),"construct")</f>
        <v>construct</v>
      </c>
      <c r="I418" s="6" t="str">
        <f>IFERROR(__xludf.DUMMYFUNCTION("""COMPUTED_VALUE"""),"twist")</f>
        <v>twist</v>
      </c>
      <c r="J418" s="6" t="str">
        <f>IFERROR(__xludf.DUMMYFUNCTION("""COMPUTED_VALUE"""),"rare")</f>
        <v>rare</v>
      </c>
      <c r="L418" s="6" t="str">
        <f>IFERROR(__xludf.DUMMYFUNCTION("""COMPUTED_VALUE"""),"vin")</f>
        <v>vin</v>
      </c>
      <c r="M418" s="6" t="str">
        <f>IFERROR(__xludf.DUMMYFUNCTION("""COMPUTED_VALUE"""),"parts")</f>
        <v>parts</v>
      </c>
      <c r="N418" s="6" t="str">
        <f>IFERROR(__xludf.DUMMYFUNCTION("""COMPUTED_VALUE"""),"winning")</f>
        <v>winning</v>
      </c>
      <c r="P418" s="6" t="str">
        <f>IFERROR(__xludf.DUMMYFUNCTION("""COMPUTED_VALUE"""),"darker")</f>
        <v>darker</v>
      </c>
      <c r="Q418" s="6" t="str">
        <f>IFERROR(__xludf.DUMMYFUNCTION("""COMPUTED_VALUE"""),"passion")</f>
        <v>passion</v>
      </c>
      <c r="S418" s="6" t="str">
        <f>IFERROR(__xludf.DUMMYFUNCTION("""COMPUTED_VALUE"""),"stage")</f>
        <v>stage</v>
      </c>
    </row>
    <row r="419">
      <c r="B419" s="6"/>
      <c r="D419" s="6"/>
      <c r="G419" s="6" t="str">
        <f>IFERROR(__xludf.DUMMYFUNCTION("""COMPUTED_VALUE"""),"animation")</f>
        <v>animation</v>
      </c>
      <c r="H419" s="6" t="str">
        <f>IFERROR(__xludf.DUMMYFUNCTION("""COMPUTED_VALUE"""),"trace")</f>
        <v>trace</v>
      </c>
      <c r="I419" s="6">
        <f>IFERROR(__xludf.DUMMYFUNCTION("""COMPUTED_VALUE"""),20.0)</f>
        <v>20</v>
      </c>
      <c r="J419" s="6" t="str">
        <f>IFERROR(__xludf.DUMMYFUNCTION("""COMPUTED_VALUE"""),"draws")</f>
        <v>draws</v>
      </c>
      <c r="L419" s="6" t="str">
        <f>IFERROR(__xludf.DUMMYFUNCTION("""COMPUTED_VALUE"""),"sets")</f>
        <v>sets</v>
      </c>
      <c r="M419" s="6" t="str">
        <f>IFERROR(__xludf.DUMMYFUNCTION("""COMPUTED_VALUE"""),"forest")</f>
        <v>forest</v>
      </c>
      <c r="N419" s="6" t="str">
        <f>IFERROR(__xludf.DUMMYFUNCTION("""COMPUTED_VALUE"""),"event")</f>
        <v>event</v>
      </c>
      <c r="P419" s="6" t="str">
        <f>IFERROR(__xludf.DUMMYFUNCTION("""COMPUTED_VALUE"""),"created")</f>
        <v>created</v>
      </c>
      <c r="Q419" s="6" t="str">
        <f>IFERROR(__xludf.DUMMYFUNCTION("""COMPUTED_VALUE"""),"formula")</f>
        <v>formula</v>
      </c>
      <c r="S419" s="6" t="str">
        <f>IFERROR(__xludf.DUMMYFUNCTION("""COMPUTED_VALUE"""),"next")</f>
        <v>next</v>
      </c>
    </row>
    <row r="420">
      <c r="B420" s="6"/>
      <c r="D420" s="6"/>
      <c r="G420" s="6" t="str">
        <f>IFERROR(__xludf.DUMMYFUNCTION("""COMPUTED_VALUE"""),"task")</f>
        <v>task</v>
      </c>
      <c r="H420" s="6" t="str">
        <f>IFERROR(__xludf.DUMMYFUNCTION("""COMPUTED_VALUE"""),"debt")</f>
        <v>debt</v>
      </c>
      <c r="I420" s="6" t="str">
        <f>IFERROR(__xludf.DUMMYFUNCTION("""COMPUTED_VALUE"""),"nba")</f>
        <v>nba</v>
      </c>
      <c r="J420" s="6" t="str">
        <f>IFERROR(__xludf.DUMMYFUNCTION("""COMPUTED_VALUE"""),"compassion")</f>
        <v>compassion</v>
      </c>
      <c r="L420" s="6" t="str">
        <f>IFERROR(__xludf.DUMMYFUNCTION("""COMPUTED_VALUE"""),"spark")</f>
        <v>spark</v>
      </c>
      <c r="M420" s="6" t="str">
        <f>IFERROR(__xludf.DUMMYFUNCTION("""COMPUTED_VALUE"""),"whether")</f>
        <v>whether</v>
      </c>
      <c r="N420" s="6" t="str">
        <f>IFERROR(__xludf.DUMMYFUNCTION("""COMPUTED_VALUE"""),"crime")</f>
        <v>crime</v>
      </c>
      <c r="P420" s="6" t="str">
        <f>IFERROR(__xludf.DUMMYFUNCTION("""COMPUTED_VALUE"""),"fewer")</f>
        <v>fewer</v>
      </c>
      <c r="Q420" s="6" t="str">
        <f>IFERROR(__xludf.DUMMYFUNCTION("""COMPUTED_VALUE"""),"distance")</f>
        <v>distance</v>
      </c>
      <c r="S420" s="6" t="str">
        <f>IFERROR(__xludf.DUMMYFUNCTION("""COMPUTED_VALUE"""),"sitting")</f>
        <v>sitting</v>
      </c>
    </row>
    <row r="421">
      <c r="B421" s="6"/>
      <c r="D421" s="6"/>
      <c r="G421" s="6" t="str">
        <f>IFERROR(__xludf.DUMMYFUNCTION("""COMPUTED_VALUE"""),"creating")</f>
        <v>creating</v>
      </c>
      <c r="H421" s="6" t="str">
        <f>IFERROR(__xludf.DUMMYFUNCTION("""COMPUTED_VALUE"""),"laughed")</f>
        <v>laughed</v>
      </c>
      <c r="I421" s="6" t="str">
        <f>IFERROR(__xludf.DUMMYFUNCTION("""COMPUTED_VALUE"""),"layers")</f>
        <v>layers</v>
      </c>
      <c r="J421" s="6" t="str">
        <f>IFERROR(__xludf.DUMMYFUNCTION("""COMPUTED_VALUE"""),"success")</f>
        <v>success</v>
      </c>
      <c r="L421" s="6" t="str">
        <f>IFERROR(__xludf.DUMMYFUNCTION("""COMPUTED_VALUE"""),"measure")</f>
        <v>measure</v>
      </c>
      <c r="M421" s="6" t="str">
        <f>IFERROR(__xludf.DUMMYFUNCTION("""COMPUTED_VALUE"""),"blues")</f>
        <v>blues</v>
      </c>
      <c r="N421" s="6" t="str">
        <f>IFERROR(__xludf.DUMMYFUNCTION("""COMPUTED_VALUE"""),"spirit")</f>
        <v>spirit</v>
      </c>
      <c r="P421" s="6" t="str">
        <f>IFERROR(__xludf.DUMMYFUNCTION("""COMPUTED_VALUE"""),"deep")</f>
        <v>deep</v>
      </c>
      <c r="Q421" s="6" t="str">
        <f>IFERROR(__xludf.DUMMYFUNCTION("""COMPUTED_VALUE"""),"man")</f>
        <v>man</v>
      </c>
      <c r="S421" s="6" t="str">
        <f>IFERROR(__xludf.DUMMYFUNCTION("""COMPUTED_VALUE"""),"ellen")</f>
        <v>ellen</v>
      </c>
    </row>
    <row r="422">
      <c r="B422" s="6"/>
      <c r="D422" s="6"/>
      <c r="G422" s="6" t="str">
        <f>IFERROR(__xludf.DUMMYFUNCTION("""COMPUTED_VALUE"""),"timeless")</f>
        <v>timeless</v>
      </c>
      <c r="H422" s="6" t="str">
        <f>IFERROR(__xludf.DUMMYFUNCTION("""COMPUTED_VALUE"""),"endeavors")</f>
        <v>endeavors</v>
      </c>
      <c r="I422" s="6" t="str">
        <f>IFERROR(__xludf.DUMMYFUNCTION("""COMPUTED_VALUE"""),"deadly")</f>
        <v>deadly</v>
      </c>
      <c r="J422" s="6" t="str">
        <f>IFERROR(__xludf.DUMMYFUNCTION("""COMPUTED_VALUE"""),"bard")</f>
        <v>bard</v>
      </c>
      <c r="L422" s="6" t="str">
        <f>IFERROR(__xludf.DUMMYFUNCTION("""COMPUTED_VALUE"""),"performances")</f>
        <v>performances</v>
      </c>
      <c r="M422" s="6" t="str">
        <f>IFERROR(__xludf.DUMMYFUNCTION("""COMPUTED_VALUE"""),"potential")</f>
        <v>potential</v>
      </c>
      <c r="N422" s="6" t="str">
        <f>IFERROR(__xludf.DUMMYFUNCTION("""COMPUTED_VALUE"""),"greater")</f>
        <v>greater</v>
      </c>
      <c r="P422" s="6" t="str">
        <f>IFERROR(__xludf.DUMMYFUNCTION("""COMPUTED_VALUE"""),"submarine")</f>
        <v>submarine</v>
      </c>
      <c r="Q422" s="6" t="str">
        <f>IFERROR(__xludf.DUMMYFUNCTION("""COMPUTED_VALUE"""),"partisans")</f>
        <v>partisans</v>
      </c>
      <c r="S422" s="6" t="str">
        <f>IFERROR(__xludf.DUMMYFUNCTION("""COMPUTED_VALUE"""),"giant")</f>
        <v>giant</v>
      </c>
    </row>
    <row r="423">
      <c r="B423" s="6"/>
      <c r="D423" s="6"/>
      <c r="G423" s="6" t="str">
        <f>IFERROR(__xludf.DUMMYFUNCTION("""COMPUTED_VALUE"""),"humane")</f>
        <v>humane</v>
      </c>
      <c r="H423" s="6" t="str">
        <f>IFERROR(__xludf.DUMMYFUNCTION("""COMPUTED_VALUE"""),"adhere")</f>
        <v>adhere</v>
      </c>
      <c r="I423" s="6" t="str">
        <f>IFERROR(__xludf.DUMMYFUNCTION("""COMPUTED_VALUE"""),"frequently")</f>
        <v>frequently</v>
      </c>
      <c r="J423" s="6" t="str">
        <f>IFERROR(__xludf.DUMMYFUNCTION("""COMPUTED_VALUE"""),"strengths")</f>
        <v>strengths</v>
      </c>
      <c r="L423" s="6" t="str">
        <f>IFERROR(__xludf.DUMMYFUNCTION("""COMPUTED_VALUE"""),"kid")</f>
        <v>kid</v>
      </c>
      <c r="M423" s="6" t="str">
        <f>IFERROR(__xludf.DUMMYFUNCTION("""COMPUTED_VALUE"""),"venture")</f>
        <v>venture</v>
      </c>
      <c r="N423" s="6" t="str">
        <f>IFERROR(__xludf.DUMMYFUNCTION("""COMPUTED_VALUE"""),"watching")</f>
        <v>watching</v>
      </c>
      <c r="P423" s="6" t="str">
        <f>IFERROR(__xludf.DUMMYFUNCTION("""COMPUTED_VALUE"""),"grand")</f>
        <v>grand</v>
      </c>
      <c r="Q423" s="6" t="str">
        <f>IFERROR(__xludf.DUMMYFUNCTION("""COMPUTED_VALUE"""),"argentine")</f>
        <v>argentine</v>
      </c>
      <c r="S423" s="6" t="str">
        <f>IFERROR(__xludf.DUMMYFUNCTION("""COMPUTED_VALUE"""),"backward")</f>
        <v>backward</v>
      </c>
    </row>
    <row r="424">
      <c r="B424" s="6"/>
      <c r="D424" s="6"/>
      <c r="G424" s="6" t="str">
        <f>IFERROR(__xludf.DUMMYFUNCTION("""COMPUTED_VALUE"""),"side")</f>
        <v>side</v>
      </c>
      <c r="H424" s="6" t="str">
        <f>IFERROR(__xludf.DUMMYFUNCTION("""COMPUTED_VALUE"""),"laughter")</f>
        <v>laughter</v>
      </c>
      <c r="I424" s="6" t="str">
        <f>IFERROR(__xludf.DUMMYFUNCTION("""COMPUTED_VALUE"""),"striking")</f>
        <v>striking</v>
      </c>
      <c r="J424" s="6" t="str">
        <f>IFERROR(__xludf.DUMMYFUNCTION("""COMPUTED_VALUE"""),"stiff")</f>
        <v>stiff</v>
      </c>
      <c r="L424" s="6" t="str">
        <f>IFERROR(__xludf.DUMMYFUNCTION("""COMPUTED_VALUE"""),"language")</f>
        <v>language</v>
      </c>
      <c r="M424" s="6" t="str">
        <f>IFERROR(__xludf.DUMMYFUNCTION("""COMPUTED_VALUE"""),"aged")</f>
        <v>aged</v>
      </c>
      <c r="N424" s="6" t="str">
        <f>IFERROR(__xludf.DUMMYFUNCTION("""COMPUTED_VALUE"""),"planet")</f>
        <v>planet</v>
      </c>
      <c r="P424" s="6" t="str">
        <f>IFERROR(__xludf.DUMMYFUNCTION("""COMPUTED_VALUE"""),"found")</f>
        <v>found</v>
      </c>
      <c r="Q424" s="6" t="str">
        <f>IFERROR(__xludf.DUMMYFUNCTION("""COMPUTED_VALUE"""),"bride")</f>
        <v>bride</v>
      </c>
      <c r="S424" s="6" t="str">
        <f>IFERROR(__xludf.DUMMYFUNCTION("""COMPUTED_VALUE"""),"three")</f>
        <v>three</v>
      </c>
    </row>
    <row r="425">
      <c r="B425" s="6"/>
      <c r="D425" s="6"/>
      <c r="G425" s="6" t="str">
        <f>IFERROR(__xludf.DUMMYFUNCTION("""COMPUTED_VALUE"""),"entertain")</f>
        <v>entertain</v>
      </c>
      <c r="H425" s="6" t="str">
        <f>IFERROR(__xludf.DUMMYFUNCTION("""COMPUTED_VALUE"""),"philosophical")</f>
        <v>philosophical</v>
      </c>
      <c r="I425" s="6" t="str">
        <f>IFERROR(__xludf.DUMMYFUNCTION("""COMPUTED_VALUE"""),"impressive")</f>
        <v>impressive</v>
      </c>
      <c r="J425" s="6" t="str">
        <f>IFERROR(__xludf.DUMMYFUNCTION("""COMPUTED_VALUE"""),"antics")</f>
        <v>antics</v>
      </c>
      <c r="L425" s="6" t="str">
        <f>IFERROR(__xludf.DUMMYFUNCTION("""COMPUTED_VALUE"""),"successful")</f>
        <v>successful</v>
      </c>
      <c r="M425" s="6" t="str">
        <f>IFERROR(__xludf.DUMMYFUNCTION("""COMPUTED_VALUE"""),"cuts")</f>
        <v>cuts</v>
      </c>
      <c r="N425" s="6" t="str">
        <f>IFERROR(__xludf.DUMMYFUNCTION("""COMPUTED_VALUE"""),"weary")</f>
        <v>weary</v>
      </c>
      <c r="P425" s="6" t="str">
        <f>IFERROR(__xludf.DUMMYFUNCTION("""COMPUTED_VALUE"""),"star")</f>
        <v>star</v>
      </c>
      <c r="Q425" s="6" t="str">
        <f>IFERROR(__xludf.DUMMYFUNCTION("""COMPUTED_VALUE"""),"celebrates")</f>
        <v>celebrates</v>
      </c>
      <c r="S425" s="6" t="str">
        <f>IFERROR(__xludf.DUMMYFUNCTION("""COMPUTED_VALUE"""),"ago")</f>
        <v>ago</v>
      </c>
    </row>
    <row r="426">
      <c r="B426" s="6"/>
      <c r="D426" s="6"/>
      <c r="G426" s="6" t="str">
        <f>IFERROR(__xludf.DUMMYFUNCTION("""COMPUTED_VALUE"""),"provocative")</f>
        <v>provocative</v>
      </c>
      <c r="H426" s="6" t="str">
        <f>IFERROR(__xludf.DUMMYFUNCTION("""COMPUTED_VALUE"""),"invention")</f>
        <v>invention</v>
      </c>
      <c r="I426" s="6" t="str">
        <f>IFERROR(__xludf.DUMMYFUNCTION("""COMPUTED_VALUE"""),"biography")</f>
        <v>biography</v>
      </c>
      <c r="J426" s="6" t="str">
        <f>IFERROR(__xludf.DUMMYFUNCTION("""COMPUTED_VALUE"""),"bottom")</f>
        <v>bottom</v>
      </c>
      <c r="L426" s="6" t="str">
        <f>IFERROR(__xludf.DUMMYFUNCTION("""COMPUTED_VALUE"""),"wash")</f>
        <v>wash</v>
      </c>
      <c r="M426" s="6" t="str">
        <f>IFERROR(__xludf.DUMMYFUNCTION("""COMPUTED_VALUE"""),"medium")</f>
        <v>medium</v>
      </c>
      <c r="N426" s="6" t="str">
        <f>IFERROR(__xludf.DUMMYFUNCTION("""COMPUTED_VALUE"""),"stays")</f>
        <v>stays</v>
      </c>
      <c r="P426" s="6" t="str">
        <f>IFERROR(__xludf.DUMMYFUNCTION("""COMPUTED_VALUE"""),"spirit")</f>
        <v>spirit</v>
      </c>
      <c r="Q426" s="6" t="str">
        <f>IFERROR(__xludf.DUMMYFUNCTION("""COMPUTED_VALUE"""),"points")</f>
        <v>points</v>
      </c>
      <c r="S426" s="6" t="str">
        <f>IFERROR(__xludf.DUMMYFUNCTION("""COMPUTED_VALUE"""),"decades")</f>
        <v>decades</v>
      </c>
    </row>
    <row r="427">
      <c r="B427" s="6"/>
      <c r="D427" s="6"/>
      <c r="G427" s="6" t="str">
        <f>IFERROR(__xludf.DUMMYFUNCTION("""COMPUTED_VALUE"""),"sharp")</f>
        <v>sharp</v>
      </c>
      <c r="H427" s="6" t="str">
        <f>IFERROR(__xludf.DUMMYFUNCTION("""COMPUTED_VALUE"""),"drag")</f>
        <v>drag</v>
      </c>
      <c r="I427" s="6" t="str">
        <f>IFERROR(__xludf.DUMMYFUNCTION("""COMPUTED_VALUE"""),"animation")</f>
        <v>animation</v>
      </c>
      <c r="J427" s="6" t="str">
        <f>IFERROR(__xludf.DUMMYFUNCTION("""COMPUTED_VALUE"""),"miracles")</f>
        <v>miracles</v>
      </c>
      <c r="L427" s="6" t="str">
        <f>IFERROR(__xludf.DUMMYFUNCTION("""COMPUTED_VALUE"""),"phenomenon")</f>
        <v>phenomenon</v>
      </c>
      <c r="M427" s="6">
        <f>IFERROR(__xludf.DUMMYFUNCTION("""COMPUTED_VALUE"""),95.0)</f>
        <v>95</v>
      </c>
      <c r="N427" s="6" t="str">
        <f>IFERROR(__xludf.DUMMYFUNCTION("""COMPUTED_VALUE"""),"gentle")</f>
        <v>gentle</v>
      </c>
      <c r="P427" s="6" t="str">
        <f>IFERROR(__xludf.DUMMYFUNCTION("""COMPUTED_VALUE"""),"holes")</f>
        <v>holes</v>
      </c>
      <c r="Q427" s="6" t="str">
        <f>IFERROR(__xludf.DUMMYFUNCTION("""COMPUTED_VALUE"""),"white")</f>
        <v>white</v>
      </c>
      <c r="S427" s="6" t="str">
        <f>IFERROR(__xludf.DUMMYFUNCTION("""COMPUTED_VALUE"""),"von")</f>
        <v>von</v>
      </c>
    </row>
    <row r="428">
      <c r="B428" s="6"/>
      <c r="D428" s="6"/>
      <c r="G428" s="6" t="str">
        <f>IFERROR(__xludf.DUMMYFUNCTION("""COMPUTED_VALUE"""),"distinctive")</f>
        <v>distinctive</v>
      </c>
      <c r="H428" s="6" t="str">
        <f>IFERROR(__xludf.DUMMYFUNCTION("""COMPUTED_VALUE"""),"juvenile")</f>
        <v>juvenile</v>
      </c>
      <c r="I428" s="6" t="str">
        <f>IFERROR(__xludf.DUMMYFUNCTION("""COMPUTED_VALUE"""),"task")</f>
        <v>task</v>
      </c>
      <c r="J428" s="6" t="str">
        <f>IFERROR(__xludf.DUMMYFUNCTION("""COMPUTED_VALUE"""),"miracle")</f>
        <v>miracle</v>
      </c>
      <c r="L428" s="6" t="str">
        <f>IFERROR(__xludf.DUMMYFUNCTION("""COMPUTED_VALUE"""),"robinson")</f>
        <v>robinson</v>
      </c>
      <c r="M428" s="6" t="str">
        <f>IFERROR(__xludf.DUMMYFUNCTION("""COMPUTED_VALUE"""),"important")</f>
        <v>important</v>
      </c>
      <c r="N428" s="6" t="str">
        <f>IFERROR(__xludf.DUMMYFUNCTION("""COMPUTED_VALUE"""),"edge")</f>
        <v>edge</v>
      </c>
      <c r="P428" s="6" t="str">
        <f>IFERROR(__xludf.DUMMYFUNCTION("""COMPUTED_VALUE"""),"claude")</f>
        <v>claude</v>
      </c>
      <c r="Q428" s="6" t="str">
        <f>IFERROR(__xludf.DUMMYFUNCTION("""COMPUTED_VALUE"""),"vulnerable")</f>
        <v>vulnerable</v>
      </c>
      <c r="S428" s="6" t="str">
        <f>IFERROR(__xludf.DUMMYFUNCTION("""COMPUTED_VALUE"""),"failing")</f>
        <v>failing</v>
      </c>
    </row>
    <row r="429">
      <c r="B429" s="6"/>
      <c r="D429" s="6"/>
      <c r="G429" s="6" t="str">
        <f>IFERROR(__xludf.DUMMYFUNCTION("""COMPUTED_VALUE"""),"demonstrate")</f>
        <v>demonstrate</v>
      </c>
      <c r="H429" s="6" t="str">
        <f>IFERROR(__xludf.DUMMYFUNCTION("""COMPUTED_VALUE"""),"literary")</f>
        <v>literary</v>
      </c>
      <c r="I429" s="6" t="str">
        <f>IFERROR(__xludf.DUMMYFUNCTION("""COMPUTED_VALUE"""),"creating")</f>
        <v>creating</v>
      </c>
      <c r="J429" s="6" t="str">
        <f>IFERROR(__xludf.DUMMYFUNCTION("""COMPUTED_VALUE"""),"lewis")</f>
        <v>lewis</v>
      </c>
      <c r="L429" s="6" t="str">
        <f>IFERROR(__xludf.DUMMYFUNCTION("""COMPUTED_VALUE"""),"anderson")</f>
        <v>anderson</v>
      </c>
      <c r="M429" s="6" t="str">
        <f>IFERROR(__xludf.DUMMYFUNCTION("""COMPUTED_VALUE"""),"sit")</f>
        <v>sit</v>
      </c>
      <c r="N429" s="6" t="str">
        <f>IFERROR(__xludf.DUMMYFUNCTION("""COMPUTED_VALUE"""),"sleeve")</f>
        <v>sleeve</v>
      </c>
      <c r="P429" s="6" t="str">
        <f>IFERROR(__xludf.DUMMYFUNCTION("""COMPUTED_VALUE"""),"master")</f>
        <v>master</v>
      </c>
      <c r="Q429" s="6" t="str">
        <f>IFERROR(__xludf.DUMMYFUNCTION("""COMPUTED_VALUE"""),"watts")</f>
        <v>watts</v>
      </c>
      <c r="S429" s="6" t="str">
        <f>IFERROR(__xludf.DUMMYFUNCTION("""COMPUTED_VALUE"""),"growth")</f>
        <v>growth</v>
      </c>
    </row>
    <row r="430">
      <c r="B430" s="6"/>
      <c r="D430" s="6"/>
      <c r="G430" s="6" t="str">
        <f>IFERROR(__xludf.DUMMYFUNCTION("""COMPUTED_VALUE"""),"aims")</f>
        <v>aims</v>
      </c>
      <c r="H430" s="6" t="str">
        <f>IFERROR(__xludf.DUMMYFUNCTION("""COMPUTED_VALUE"""),"distant")</f>
        <v>distant</v>
      </c>
      <c r="I430" s="6" t="str">
        <f>IFERROR(__xludf.DUMMYFUNCTION("""COMPUTED_VALUE"""),"featuring")</f>
        <v>featuring</v>
      </c>
      <c r="J430" s="6" t="str">
        <f>IFERROR(__xludf.DUMMYFUNCTION("""COMPUTED_VALUE"""),"davies")</f>
        <v>davies</v>
      </c>
      <c r="L430" s="6" t="str">
        <f>IFERROR(__xludf.DUMMYFUNCTION("""COMPUTED_VALUE"""),"muttering")</f>
        <v>muttering</v>
      </c>
      <c r="M430" s="6" t="str">
        <f>IFERROR(__xludf.DUMMYFUNCTION("""COMPUTED_VALUE"""),"gay")</f>
        <v>gay</v>
      </c>
      <c r="N430" s="6" t="str">
        <f>IFERROR(__xludf.DUMMYFUNCTION("""COMPUTED_VALUE"""),"collapse")</f>
        <v>collapse</v>
      </c>
      <c r="P430" s="6" t="str">
        <f>IFERROR(__xludf.DUMMYFUNCTION("""COMPUTED_VALUE"""),"screenplay")</f>
        <v>screenplay</v>
      </c>
      <c r="Q430" s="6" t="str">
        <f>IFERROR(__xludf.DUMMYFUNCTION("""COMPUTED_VALUE"""),"isolation")</f>
        <v>isolation</v>
      </c>
      <c r="S430" s="6" t="str">
        <f>IFERROR(__xludf.DUMMYFUNCTION("""COMPUTED_VALUE"""),"opera")</f>
        <v>opera</v>
      </c>
    </row>
    <row r="431">
      <c r="B431" s="6"/>
      <c r="D431" s="6"/>
      <c r="G431" s="6" t="str">
        <f>IFERROR(__xludf.DUMMYFUNCTION("""COMPUTED_VALUE"""),"monty")</f>
        <v>monty</v>
      </c>
      <c r="H431" s="6" t="str">
        <f>IFERROR(__xludf.DUMMYFUNCTION("""COMPUTED_VALUE"""),"dull")</f>
        <v>dull</v>
      </c>
      <c r="I431" s="6" t="str">
        <f>IFERROR(__xludf.DUMMYFUNCTION("""COMPUTED_VALUE"""),"eastern")</f>
        <v>eastern</v>
      </c>
      <c r="J431" s="6" t="str">
        <f>IFERROR(__xludf.DUMMYFUNCTION("""COMPUTED_VALUE"""),"bleak")</f>
        <v>bleak</v>
      </c>
      <c r="L431" s="6" t="str">
        <f>IFERROR(__xludf.DUMMYFUNCTION("""COMPUTED_VALUE"""),"waltz")</f>
        <v>waltz</v>
      </c>
      <c r="M431" s="6" t="str">
        <f>IFERROR(__xludf.DUMMYFUNCTION("""COMPUTED_VALUE"""),"christmas")</f>
        <v>christmas</v>
      </c>
      <c r="N431" s="6" t="str">
        <f>IFERROR(__xludf.DUMMYFUNCTION("""COMPUTED_VALUE"""),"bags")</f>
        <v>bags</v>
      </c>
      <c r="P431" s="6" t="str">
        <f>IFERROR(__xludf.DUMMYFUNCTION("""COMPUTED_VALUE"""),"wish")</f>
        <v>wish</v>
      </c>
      <c r="Q431" s="6" t="str">
        <f>IFERROR(__xludf.DUMMYFUNCTION("""COMPUTED_VALUE"""),"plight")</f>
        <v>plight</v>
      </c>
      <c r="S431" s="6" t="str">
        <f>IFERROR(__xludf.DUMMYFUNCTION("""COMPUTED_VALUE"""),"frozen")</f>
        <v>frozen</v>
      </c>
    </row>
    <row r="432">
      <c r="B432" s="6"/>
      <c r="D432" s="6"/>
      <c r="G432" s="6" t="str">
        <f>IFERROR(__xludf.DUMMYFUNCTION("""COMPUTED_VALUE"""),"accuracy")</f>
        <v>accuracy</v>
      </c>
      <c r="H432" s="6" t="str">
        <f>IFERROR(__xludf.DUMMYFUNCTION("""COMPUTED_VALUE"""),"witty")</f>
        <v>witty</v>
      </c>
      <c r="I432" s="6" t="str">
        <f>IFERROR(__xludf.DUMMYFUNCTION("""COMPUTED_VALUE"""),"side")</f>
        <v>side</v>
      </c>
      <c r="J432" s="6" t="str">
        <f>IFERROR(__xludf.DUMMYFUNCTION("""COMPUTED_VALUE"""),"each")</f>
        <v>each</v>
      </c>
      <c r="L432" s="6" t="str">
        <f>IFERROR(__xludf.DUMMYFUNCTION("""COMPUTED_VALUE"""),"created")</f>
        <v>created</v>
      </c>
      <c r="M432" s="6" t="str">
        <f>IFERROR(__xludf.DUMMYFUNCTION("""COMPUTED_VALUE"""),"existed")</f>
        <v>existed</v>
      </c>
      <c r="N432" s="6" t="str">
        <f>IFERROR(__xludf.DUMMYFUNCTION("""COMPUTED_VALUE"""),"deserve")</f>
        <v>deserve</v>
      </c>
      <c r="P432" s="6" t="str">
        <f>IFERROR(__xludf.DUMMYFUNCTION("""COMPUTED_VALUE"""),"tale")</f>
        <v>tale</v>
      </c>
      <c r="Q432" s="6" t="str">
        <f>IFERROR(__xludf.DUMMYFUNCTION("""COMPUTED_VALUE"""),"frame")</f>
        <v>frame</v>
      </c>
      <c r="S432" s="6" t="str">
        <f>IFERROR(__xludf.DUMMYFUNCTION("""COMPUTED_VALUE"""),"soap")</f>
        <v>soap</v>
      </c>
    </row>
    <row r="433">
      <c r="B433" s="6"/>
      <c r="D433" s="6"/>
      <c r="G433" s="6" t="str">
        <f>IFERROR(__xludf.DUMMYFUNCTION("""COMPUTED_VALUE"""),"grounded")</f>
        <v>grounded</v>
      </c>
      <c r="H433" s="6" t="str">
        <f>IFERROR(__xludf.DUMMYFUNCTION("""COMPUTED_VALUE"""),"accomplished")</f>
        <v>accomplished</v>
      </c>
      <c r="I433" s="6" t="str">
        <f>IFERROR(__xludf.DUMMYFUNCTION("""COMPUTED_VALUE"""),"neither")</f>
        <v>neither</v>
      </c>
      <c r="J433" s="6" t="str">
        <f>IFERROR(__xludf.DUMMYFUNCTION("""COMPUTED_VALUE"""),"office")</f>
        <v>office</v>
      </c>
      <c r="L433" s="6" t="str">
        <f>IFERROR(__xludf.DUMMYFUNCTION("""COMPUTED_VALUE"""),"forces")</f>
        <v>forces</v>
      </c>
      <c r="M433" s="6" t="str">
        <f>IFERROR(__xludf.DUMMYFUNCTION("""COMPUTED_VALUE"""),"necessarily")</f>
        <v>necessarily</v>
      </c>
      <c r="N433" s="6" t="str">
        <f>IFERROR(__xludf.DUMMYFUNCTION("""COMPUTED_VALUE"""),"runs")</f>
        <v>runs</v>
      </c>
      <c r="P433" s="6" t="str">
        <f>IFERROR(__xludf.DUMMYFUNCTION("""COMPUTED_VALUE"""),"raw")</f>
        <v>raw</v>
      </c>
      <c r="Q433" s="6" t="str">
        <f>IFERROR(__xludf.DUMMYFUNCTION("""COMPUTED_VALUE"""),"darling")</f>
        <v>darling</v>
      </c>
      <c r="S433" s="6" t="str">
        <f>IFERROR(__xludf.DUMMYFUNCTION("""COMPUTED_VALUE"""),"greatly")</f>
        <v>greatly</v>
      </c>
    </row>
    <row r="434">
      <c r="B434" s="6"/>
      <c r="D434" s="6"/>
      <c r="G434" s="6" t="str">
        <f>IFERROR(__xludf.DUMMYFUNCTION("""COMPUTED_VALUE"""),"khan")</f>
        <v>khan</v>
      </c>
      <c r="H434" s="6" t="str">
        <f>IFERROR(__xludf.DUMMYFUNCTION("""COMPUTED_VALUE"""),"primal")</f>
        <v>primal</v>
      </c>
      <c r="I434" s="6" t="str">
        <f>IFERROR(__xludf.DUMMYFUNCTION("""COMPUTED_VALUE"""),"longest")</f>
        <v>longest</v>
      </c>
      <c r="J434" s="6" t="str">
        <f>IFERROR(__xludf.DUMMYFUNCTION("""COMPUTED_VALUE"""),"bullets")</f>
        <v>bullets</v>
      </c>
      <c r="L434" s="6" t="str">
        <f>IFERROR(__xludf.DUMMYFUNCTION("""COMPUTED_VALUE"""),"fight")</f>
        <v>fight</v>
      </c>
      <c r="M434" s="6" t="str">
        <f>IFERROR(__xludf.DUMMYFUNCTION("""COMPUTED_VALUE"""),"mean")</f>
        <v>mean</v>
      </c>
      <c r="N434" s="6" t="str">
        <f>IFERROR(__xludf.DUMMYFUNCTION("""COMPUTED_VALUE"""),"sum")</f>
        <v>sum</v>
      </c>
      <c r="P434" s="6" t="str">
        <f>IFERROR(__xludf.DUMMYFUNCTION("""COMPUTED_VALUE"""),"testament")</f>
        <v>testament</v>
      </c>
      <c r="Q434" s="6" t="str">
        <f>IFERROR(__xludf.DUMMYFUNCTION("""COMPUTED_VALUE"""),"violence")</f>
        <v>violence</v>
      </c>
      <c r="S434" s="6" t="str">
        <f>IFERROR(__xludf.DUMMYFUNCTION("""COMPUTED_VALUE"""),"free")</f>
        <v>free</v>
      </c>
    </row>
    <row r="435">
      <c r="B435" s="6"/>
      <c r="D435" s="6"/>
      <c r="G435" s="6" t="str">
        <f>IFERROR(__xludf.DUMMYFUNCTION("""COMPUTED_VALUE"""),"vu")</f>
        <v>vu</v>
      </c>
      <c r="H435" s="6" t="str">
        <f>IFERROR(__xludf.DUMMYFUNCTION("""COMPUTED_VALUE"""),"cope")</f>
        <v>cope</v>
      </c>
      <c r="I435" s="6" t="str">
        <f>IFERROR(__xludf.DUMMYFUNCTION("""COMPUTED_VALUE"""),"sharp")</f>
        <v>sharp</v>
      </c>
      <c r="J435" s="6" t="str">
        <f>IFERROR(__xludf.DUMMYFUNCTION("""COMPUTED_VALUE"""),"poem")</f>
        <v>poem</v>
      </c>
      <c r="L435" s="6" t="str">
        <f>IFERROR(__xludf.DUMMYFUNCTION("""COMPUTED_VALUE"""),"english")</f>
        <v>english</v>
      </c>
      <c r="M435" s="6" t="str">
        <f>IFERROR(__xludf.DUMMYFUNCTION("""COMPUTED_VALUE"""),"double")</f>
        <v>double</v>
      </c>
      <c r="N435" s="6" t="str">
        <f>IFERROR(__xludf.DUMMYFUNCTION("""COMPUTED_VALUE"""),"productions")</f>
        <v>productions</v>
      </c>
      <c r="P435" s="6" t="str">
        <f>IFERROR(__xludf.DUMMYFUNCTION("""COMPUTED_VALUE"""),"ability")</f>
        <v>ability</v>
      </c>
      <c r="Q435" s="6" t="str">
        <f>IFERROR(__xludf.DUMMYFUNCTION("""COMPUTED_VALUE"""),"humanity")</f>
        <v>humanity</v>
      </c>
      <c r="S435" s="6" t="str">
        <f>IFERROR(__xludf.DUMMYFUNCTION("""COMPUTED_VALUE"""),"species")</f>
        <v>species</v>
      </c>
    </row>
    <row r="436">
      <c r="B436" s="6"/>
      <c r="D436" s="6"/>
      <c r="G436" s="6" t="str">
        <f>IFERROR(__xludf.DUMMYFUNCTION("""COMPUTED_VALUE"""),"generation")</f>
        <v>generation</v>
      </c>
      <c r="H436" s="6" t="str">
        <f>IFERROR(__xludf.DUMMYFUNCTION("""COMPUTED_VALUE"""),"fears")</f>
        <v>fears</v>
      </c>
      <c r="I436" s="6" t="str">
        <f>IFERROR(__xludf.DUMMYFUNCTION("""COMPUTED_VALUE"""),"distinctive")</f>
        <v>distinctive</v>
      </c>
      <c r="J436" s="6" t="str">
        <f>IFERROR(__xludf.DUMMYFUNCTION("""COMPUTED_VALUE"""),"convincing")</f>
        <v>convincing</v>
      </c>
      <c r="L436" s="6" t="str">
        <f>IFERROR(__xludf.DUMMYFUNCTION("""COMPUTED_VALUE"""),"satisfactory")</f>
        <v>satisfactory</v>
      </c>
      <c r="M436" s="6" t="str">
        <f>IFERROR(__xludf.DUMMYFUNCTION("""COMPUTED_VALUE"""),"use")</f>
        <v>use</v>
      </c>
      <c r="N436" s="6" t="str">
        <f>IFERROR(__xludf.DUMMYFUNCTION("""COMPUTED_VALUE"""),"dance")</f>
        <v>dance</v>
      </c>
      <c r="P436" s="6" t="str">
        <f>IFERROR(__xludf.DUMMYFUNCTION("""COMPUTED_VALUE"""),"shoulders")</f>
        <v>shoulders</v>
      </c>
      <c r="Q436" s="6" t="str">
        <f>IFERROR(__xludf.DUMMYFUNCTION("""COMPUTED_VALUE"""),"force")</f>
        <v>force</v>
      </c>
      <c r="S436" s="6" t="str">
        <f>IFERROR(__xludf.DUMMYFUNCTION("""COMPUTED_VALUE"""),"tv")</f>
        <v>tv</v>
      </c>
    </row>
    <row r="437">
      <c r="B437" s="6"/>
      <c r="D437" s="6"/>
      <c r="G437" s="6" t="str">
        <f>IFERROR(__xludf.DUMMYFUNCTION("""COMPUTED_VALUE"""),"episodes")</f>
        <v>episodes</v>
      </c>
      <c r="H437" s="6" t="str">
        <f>IFERROR(__xludf.DUMMYFUNCTION("""COMPUTED_VALUE"""),"portrait")</f>
        <v>portrait</v>
      </c>
      <c r="I437" s="6" t="str">
        <f>IFERROR(__xludf.DUMMYFUNCTION("""COMPUTED_VALUE"""),"aims")</f>
        <v>aims</v>
      </c>
      <c r="J437" s="6" t="str">
        <f>IFERROR(__xludf.DUMMYFUNCTION("""COMPUTED_VALUE"""),"viewer")</f>
        <v>viewer</v>
      </c>
      <c r="L437" s="6" t="str">
        <f>IFERROR(__xludf.DUMMYFUNCTION("""COMPUTED_VALUE"""),"fall")</f>
        <v>fall</v>
      </c>
      <c r="M437" s="6" t="str">
        <f>IFERROR(__xludf.DUMMYFUNCTION("""COMPUTED_VALUE"""),"guest")</f>
        <v>guest</v>
      </c>
      <c r="N437" s="6" t="str">
        <f>IFERROR(__xludf.DUMMYFUNCTION("""COMPUTED_VALUE"""),"adult")</f>
        <v>adult</v>
      </c>
      <c r="P437" s="6" t="str">
        <f>IFERROR(__xludf.DUMMYFUNCTION("""COMPUTED_VALUE"""),"broad")</f>
        <v>broad</v>
      </c>
      <c r="Q437" s="6" t="str">
        <f>IFERROR(__xludf.DUMMYFUNCTION("""COMPUTED_VALUE"""),"thriller")</f>
        <v>thriller</v>
      </c>
      <c r="S437" s="6" t="str">
        <f>IFERROR(__xludf.DUMMYFUNCTION("""COMPUTED_VALUE"""),"leaves")</f>
        <v>leaves</v>
      </c>
    </row>
    <row r="438">
      <c r="B438" s="6"/>
      <c r="D438" s="6"/>
      <c r="G438" s="6" t="str">
        <f>IFERROR(__xludf.DUMMYFUNCTION("""COMPUTED_VALUE"""),"bile")</f>
        <v>bile</v>
      </c>
      <c r="H438" s="6" t="str">
        <f>IFERROR(__xludf.DUMMYFUNCTION("""COMPUTED_VALUE"""),"rare")</f>
        <v>rare</v>
      </c>
      <c r="I438" s="6" t="str">
        <f>IFERROR(__xludf.DUMMYFUNCTION("""COMPUTED_VALUE"""),"civic")</f>
        <v>civic</v>
      </c>
      <c r="J438" s="6" t="str">
        <f>IFERROR(__xludf.DUMMYFUNCTION("""COMPUTED_VALUE"""),"useless")</f>
        <v>useless</v>
      </c>
      <c r="L438" s="6" t="str">
        <f>IFERROR(__xludf.DUMMYFUNCTION("""COMPUTED_VALUE"""),"jon")</f>
        <v>jon</v>
      </c>
      <c r="M438" s="6" t="str">
        <f>IFERROR(__xludf.DUMMYFUNCTION("""COMPUTED_VALUE"""),"credit")</f>
        <v>credit</v>
      </c>
      <c r="N438" s="6" t="str">
        <f>IFERROR(__xludf.DUMMYFUNCTION("""COMPUTED_VALUE"""),"starts")</f>
        <v>starts</v>
      </c>
      <c r="P438" s="6" t="str">
        <f>IFERROR(__xludf.DUMMYFUNCTION("""COMPUTED_VALUE"""),"report")</f>
        <v>report</v>
      </c>
      <c r="Q438" s="6" t="str">
        <f>IFERROR(__xludf.DUMMYFUNCTION("""COMPUTED_VALUE"""),"maternal")</f>
        <v>maternal</v>
      </c>
      <c r="S438" s="6" t="str">
        <f>IFERROR(__xludf.DUMMYFUNCTION("""COMPUTED_VALUE"""),"question")</f>
        <v>question</v>
      </c>
    </row>
    <row r="439">
      <c r="B439" s="6"/>
      <c r="D439" s="6"/>
      <c r="G439" s="6" t="str">
        <f>IFERROR(__xludf.DUMMYFUNCTION("""COMPUTED_VALUE"""),"amused")</f>
        <v>amused</v>
      </c>
      <c r="H439" s="6" t="str">
        <f>IFERROR(__xludf.DUMMYFUNCTION("""COMPUTED_VALUE"""),"draws")</f>
        <v>draws</v>
      </c>
      <c r="I439" s="6" t="str">
        <f>IFERROR(__xludf.DUMMYFUNCTION("""COMPUTED_VALUE"""),"place")</f>
        <v>place</v>
      </c>
      <c r="J439" s="6" t="str">
        <f>IFERROR(__xludf.DUMMYFUNCTION("""COMPUTED_VALUE"""),"pile")</f>
        <v>pile</v>
      </c>
      <c r="L439" s="6" t="str">
        <f>IFERROR(__xludf.DUMMYFUNCTION("""COMPUTED_VALUE"""),"angle")</f>
        <v>angle</v>
      </c>
      <c r="M439" s="6" t="str">
        <f>IFERROR(__xludf.DUMMYFUNCTION("""COMPUTED_VALUE"""),"mile")</f>
        <v>mile</v>
      </c>
      <c r="N439" s="6" t="str">
        <f>IFERROR(__xludf.DUMMYFUNCTION("""COMPUTED_VALUE"""),"peas")</f>
        <v>peas</v>
      </c>
      <c r="P439" s="6" t="str">
        <f>IFERROR(__xludf.DUMMYFUNCTION("""COMPUTED_VALUE"""),"abuse")</f>
        <v>abuse</v>
      </c>
      <c r="Q439" s="6" t="str">
        <f>IFERROR(__xludf.DUMMYFUNCTION("""COMPUTED_VALUE"""),"fury")</f>
        <v>fury</v>
      </c>
      <c r="S439" s="6" t="str">
        <f>IFERROR(__xludf.DUMMYFUNCTION("""COMPUTED_VALUE"""),"open")</f>
        <v>open</v>
      </c>
    </row>
    <row r="440">
      <c r="B440" s="6"/>
      <c r="D440" s="6"/>
      <c r="G440" s="6" t="str">
        <f>IFERROR(__xludf.DUMMYFUNCTION("""COMPUTED_VALUE"""),"skill")</f>
        <v>skill</v>
      </c>
      <c r="H440" s="6" t="str">
        <f>IFERROR(__xludf.DUMMYFUNCTION("""COMPUTED_VALUE"""),"fails")</f>
        <v>fails</v>
      </c>
      <c r="I440" s="6" t="str">
        <f>IFERROR(__xludf.DUMMYFUNCTION("""COMPUTED_VALUE"""),"dreams")</f>
        <v>dreams</v>
      </c>
      <c r="J440" s="6" t="str">
        <f>IFERROR(__xludf.DUMMYFUNCTION("""COMPUTED_VALUE"""),"pathology")</f>
        <v>pathology</v>
      </c>
      <c r="L440" s="6" t="str">
        <f>IFERROR(__xludf.DUMMYFUNCTION("""COMPUTED_VALUE"""),"celebration")</f>
        <v>celebration</v>
      </c>
      <c r="M440" s="6" t="str">
        <f>IFERROR(__xludf.DUMMYFUNCTION("""COMPUTED_VALUE"""),"situation")</f>
        <v>situation</v>
      </c>
      <c r="N440" s="6" t="str">
        <f>IFERROR(__xludf.DUMMYFUNCTION("""COMPUTED_VALUE"""),"mood")</f>
        <v>mood</v>
      </c>
      <c r="P440" s="6" t="str">
        <f>IFERROR(__xludf.DUMMYFUNCTION("""COMPUTED_VALUE"""),"fake")</f>
        <v>fake</v>
      </c>
      <c r="Q440" s="6" t="str">
        <f>IFERROR(__xludf.DUMMYFUNCTION("""COMPUTED_VALUE"""),"risks")</f>
        <v>risks</v>
      </c>
      <c r="S440" s="6" t="str">
        <f>IFERROR(__xludf.DUMMYFUNCTION("""COMPUTED_VALUE"""),"failure")</f>
        <v>failure</v>
      </c>
    </row>
    <row r="441">
      <c r="B441" s="6"/>
      <c r="D441" s="6"/>
      <c r="G441" s="6" t="str">
        <f>IFERROR(__xludf.DUMMYFUNCTION("""COMPUTED_VALUE"""),"entertained")</f>
        <v>entertained</v>
      </c>
      <c r="H441" s="6" t="str">
        <f>IFERROR(__xludf.DUMMYFUNCTION("""COMPUTED_VALUE"""),"compassion")</f>
        <v>compassion</v>
      </c>
      <c r="I441" s="6" t="str">
        <f>IFERROR(__xludf.DUMMYFUNCTION("""COMPUTED_VALUE"""),"kevin")</f>
        <v>kevin</v>
      </c>
      <c r="J441" s="6" t="str">
        <f>IFERROR(__xludf.DUMMYFUNCTION("""COMPUTED_VALUE"""),"souls")</f>
        <v>souls</v>
      </c>
      <c r="L441" s="6" t="str">
        <f>IFERROR(__xludf.DUMMYFUNCTION("""COMPUTED_VALUE"""),"attach")</f>
        <v>attach</v>
      </c>
      <c r="M441" s="6" t="str">
        <f>IFERROR(__xludf.DUMMYFUNCTION("""COMPUTED_VALUE"""),"pick")</f>
        <v>pick</v>
      </c>
      <c r="N441" s="6" t="str">
        <f>IFERROR(__xludf.DUMMYFUNCTION("""COMPUTED_VALUE"""),"record")</f>
        <v>record</v>
      </c>
      <c r="P441" s="6" t="str">
        <f>IFERROR(__xludf.DUMMYFUNCTION("""COMPUTED_VALUE"""),"palestinian")</f>
        <v>palestinian</v>
      </c>
      <c r="Q441" s="6" t="str">
        <f>IFERROR(__xludf.DUMMYFUNCTION("""COMPUTED_VALUE"""),"progresses")</f>
        <v>progresses</v>
      </c>
      <c r="S441" s="6" t="str">
        <f>IFERROR(__xludf.DUMMYFUNCTION("""COMPUTED_VALUE"""),"suffering")</f>
        <v>suffering</v>
      </c>
    </row>
    <row r="442">
      <c r="B442" s="6"/>
      <c r="D442" s="6"/>
      <c r="G442" s="6" t="str">
        <f>IFERROR(__xludf.DUMMYFUNCTION("""COMPUTED_VALUE"""),"vampire")</f>
        <v>vampire</v>
      </c>
      <c r="H442" s="6" t="str">
        <f>IFERROR(__xludf.DUMMYFUNCTION("""COMPUTED_VALUE"""),"unexpected")</f>
        <v>unexpected</v>
      </c>
      <c r="I442" s="6" t="str">
        <f>IFERROR(__xludf.DUMMYFUNCTION("""COMPUTED_VALUE"""),"khan")</f>
        <v>khan</v>
      </c>
      <c r="J442" s="6" t="str">
        <f>IFERROR(__xludf.DUMMYFUNCTION("""COMPUTED_VALUE"""),"immediate")</f>
        <v>immediate</v>
      </c>
      <c r="L442" s="6" t="str">
        <f>IFERROR(__xludf.DUMMYFUNCTION("""COMPUTED_VALUE"""),"rattling")</f>
        <v>rattling</v>
      </c>
      <c r="M442" s="6" t="str">
        <f>IFERROR(__xludf.DUMMYFUNCTION("""COMPUTED_VALUE"""),"allowed")</f>
        <v>allowed</v>
      </c>
      <c r="N442" s="6" t="str">
        <f>IFERROR(__xludf.DUMMYFUNCTION("""COMPUTED_VALUE"""),"count")</f>
        <v>count</v>
      </c>
      <c r="P442" s="6" t="str">
        <f>IFERROR(__xludf.DUMMYFUNCTION("""COMPUTED_VALUE"""),"israeli")</f>
        <v>israeli</v>
      </c>
      <c r="Q442" s="6" t="str">
        <f>IFERROR(__xludf.DUMMYFUNCTION("""COMPUTED_VALUE"""),"brothers")</f>
        <v>brothers</v>
      </c>
      <c r="S442" s="6" t="str">
        <f>IFERROR(__xludf.DUMMYFUNCTION("""COMPUTED_VALUE"""),"powerful")</f>
        <v>powerful</v>
      </c>
    </row>
    <row r="443">
      <c r="B443" s="6"/>
      <c r="D443" s="6"/>
      <c r="G443" s="6" t="str">
        <f>IFERROR(__xludf.DUMMYFUNCTION("""COMPUTED_VALUE"""),"typical")</f>
        <v>typical</v>
      </c>
      <c r="H443" s="6" t="str">
        <f>IFERROR(__xludf.DUMMYFUNCTION("""COMPUTED_VALUE"""),"bard")</f>
        <v>bard</v>
      </c>
      <c r="I443" s="6" t="str">
        <f>IFERROR(__xludf.DUMMYFUNCTION("""COMPUTED_VALUE"""),"generation")</f>
        <v>generation</v>
      </c>
      <c r="J443" s="6" t="str">
        <f>IFERROR(__xludf.DUMMYFUNCTION("""COMPUTED_VALUE"""),"substances")</f>
        <v>substances</v>
      </c>
      <c r="L443" s="6" t="str">
        <f>IFERROR(__xludf.DUMMYFUNCTION("""COMPUTED_VALUE"""),"psychology")</f>
        <v>psychology</v>
      </c>
      <c r="M443" s="6" t="str">
        <f>IFERROR(__xludf.DUMMYFUNCTION("""COMPUTED_VALUE"""),"sexual")</f>
        <v>sexual</v>
      </c>
      <c r="N443" s="6" t="str">
        <f>IFERROR(__xludf.DUMMYFUNCTION("""COMPUTED_VALUE"""),"seeing")</f>
        <v>seeing</v>
      </c>
      <c r="P443" s="6" t="str">
        <f>IFERROR(__xludf.DUMMYFUNCTION("""COMPUTED_VALUE"""),"strong")</f>
        <v>strong</v>
      </c>
      <c r="Q443" s="6" t="str">
        <f>IFERROR(__xludf.DUMMYFUNCTION("""COMPUTED_VALUE"""),"dover")</f>
        <v>dover</v>
      </c>
      <c r="S443" s="6" t="str">
        <f>IFERROR(__xludf.DUMMYFUNCTION("""COMPUTED_VALUE"""),"clinic")</f>
        <v>clinic</v>
      </c>
    </row>
    <row r="444">
      <c r="B444" s="6"/>
      <c r="D444" s="6"/>
      <c r="G444" s="6" t="str">
        <f>IFERROR(__xludf.DUMMYFUNCTION("""COMPUTED_VALUE"""),"fierce")</f>
        <v>fierce</v>
      </c>
      <c r="H444" s="6" t="str">
        <f>IFERROR(__xludf.DUMMYFUNCTION("""COMPUTED_VALUE"""),"strengths")</f>
        <v>strengths</v>
      </c>
      <c r="I444" s="6" t="str">
        <f>IFERROR(__xludf.DUMMYFUNCTION("""COMPUTED_VALUE"""),"episodes")</f>
        <v>episodes</v>
      </c>
      <c r="J444" s="6" t="str">
        <f>IFERROR(__xludf.DUMMYFUNCTION("""COMPUTED_VALUE"""),"subjected")</f>
        <v>subjected</v>
      </c>
      <c r="L444" s="6" t="str">
        <f>IFERROR(__xludf.DUMMYFUNCTION("""COMPUTED_VALUE"""),"hospital")</f>
        <v>hospital</v>
      </c>
      <c r="M444" s="6" t="str">
        <f>IFERROR(__xludf.DUMMYFUNCTION("""COMPUTED_VALUE"""),"member")</f>
        <v>member</v>
      </c>
      <c r="N444" s="6" t="str">
        <f>IFERROR(__xludf.DUMMYFUNCTION("""COMPUTED_VALUE"""),"means")</f>
        <v>means</v>
      </c>
      <c r="P444" s="6" t="str">
        <f>IFERROR(__xludf.DUMMYFUNCTION("""COMPUTED_VALUE"""),"nearly")</f>
        <v>nearly</v>
      </c>
      <c r="Q444" s="6" t="str">
        <f>IFERROR(__xludf.DUMMYFUNCTION("""COMPUTED_VALUE"""),"potent")</f>
        <v>potent</v>
      </c>
      <c r="S444" s="6" t="str">
        <f>IFERROR(__xludf.DUMMYFUNCTION("""COMPUTED_VALUE"""),"wonderful")</f>
        <v>wonderful</v>
      </c>
    </row>
    <row r="445">
      <c r="B445" s="6"/>
      <c r="D445" s="6"/>
      <c r="G445" s="6" t="str">
        <f>IFERROR(__xludf.DUMMYFUNCTION("""COMPUTED_VALUE"""),"crippled")</f>
        <v>crippled</v>
      </c>
      <c r="H445" s="6" t="str">
        <f>IFERROR(__xludf.DUMMYFUNCTION("""COMPUTED_VALUE"""),"dream")</f>
        <v>dream</v>
      </c>
      <c r="I445" s="6" t="str">
        <f>IFERROR(__xludf.DUMMYFUNCTION("""COMPUTED_VALUE"""),"skill")</f>
        <v>skill</v>
      </c>
      <c r="J445" s="6" t="str">
        <f>IFERROR(__xludf.DUMMYFUNCTION("""COMPUTED_VALUE"""),"convince")</f>
        <v>convince</v>
      </c>
      <c r="L445" s="6" t="str">
        <f>IFERROR(__xludf.DUMMYFUNCTION("""COMPUTED_VALUE"""),"rigid")</f>
        <v>rigid</v>
      </c>
      <c r="M445" s="6" t="str">
        <f>IFERROR(__xludf.DUMMYFUNCTION("""COMPUTED_VALUE"""),"match")</f>
        <v>match</v>
      </c>
      <c r="N445" s="6" t="str">
        <f>IFERROR(__xludf.DUMMYFUNCTION("""COMPUTED_VALUE"""),"shots")</f>
        <v>shots</v>
      </c>
      <c r="P445" s="6" t="str">
        <f>IFERROR(__xludf.DUMMYFUNCTION("""COMPUTED_VALUE"""),"dragon")</f>
        <v>dragon</v>
      </c>
      <c r="Q445" s="6" t="str">
        <f>IFERROR(__xludf.DUMMYFUNCTION("""COMPUTED_VALUE"""),"excitement")</f>
        <v>excitement</v>
      </c>
      <c r="S445" s="6" t="str">
        <f>IFERROR(__xludf.DUMMYFUNCTION("""COMPUTED_VALUE"""),"level")</f>
        <v>level</v>
      </c>
    </row>
    <row r="446">
      <c r="B446" s="6"/>
      <c r="D446" s="6"/>
      <c r="G446" s="6" t="str">
        <f>IFERROR(__xludf.DUMMYFUNCTION("""COMPUTED_VALUE"""),"repetitive")</f>
        <v>repetitive</v>
      </c>
      <c r="H446" s="6" t="str">
        <f>IFERROR(__xludf.DUMMYFUNCTION("""COMPUTED_VALUE"""),"stiff")</f>
        <v>stiff</v>
      </c>
      <c r="I446" s="6" t="str">
        <f>IFERROR(__xludf.DUMMYFUNCTION("""COMPUTED_VALUE"""),"vampire")</f>
        <v>vampire</v>
      </c>
      <c r="J446" s="6" t="str">
        <f>IFERROR(__xludf.DUMMYFUNCTION("""COMPUTED_VALUE"""),"racism")</f>
        <v>racism</v>
      </c>
      <c r="L446" s="6" t="str">
        <f>IFERROR(__xludf.DUMMYFUNCTION("""COMPUTED_VALUE"""),"rewards")</f>
        <v>rewards</v>
      </c>
      <c r="M446" s="6" t="str">
        <f>IFERROR(__xludf.DUMMYFUNCTION("""COMPUTED_VALUE"""),"flat")</f>
        <v>flat</v>
      </c>
      <c r="N446" s="6" t="str">
        <f>IFERROR(__xludf.DUMMYFUNCTION("""COMPUTED_VALUE"""),"creek")</f>
        <v>creek</v>
      </c>
      <c r="P446" s="6" t="str">
        <f>IFERROR(__xludf.DUMMYFUNCTION("""COMPUTED_VALUE"""),"rodriguez")</f>
        <v>rodriguez</v>
      </c>
      <c r="Q446" s="6" t="str">
        <f>IFERROR(__xludf.DUMMYFUNCTION("""COMPUTED_VALUE"""),"insult")</f>
        <v>insult</v>
      </c>
      <c r="S446" s="6" t="str">
        <f>IFERROR(__xludf.DUMMYFUNCTION("""COMPUTED_VALUE"""),"material")</f>
        <v>material</v>
      </c>
    </row>
    <row r="447">
      <c r="B447" s="6"/>
      <c r="D447" s="6"/>
      <c r="G447" s="6" t="str">
        <f>IFERROR(__xludf.DUMMYFUNCTION("""COMPUTED_VALUE"""),"spell")</f>
        <v>spell</v>
      </c>
      <c r="H447" s="6" t="str">
        <f>IFERROR(__xludf.DUMMYFUNCTION("""COMPUTED_VALUE"""),"frustration")</f>
        <v>frustration</v>
      </c>
      <c r="I447" s="6" t="str">
        <f>IFERROR(__xludf.DUMMYFUNCTION("""COMPUTED_VALUE"""),"determined")</f>
        <v>determined</v>
      </c>
      <c r="J447" s="6" t="str">
        <f>IFERROR(__xludf.DUMMYFUNCTION("""COMPUTED_VALUE"""),"edge")</f>
        <v>edge</v>
      </c>
      <c r="L447" s="6" t="str">
        <f>IFERROR(__xludf.DUMMYFUNCTION("""COMPUTED_VALUE"""),"factor")</f>
        <v>factor</v>
      </c>
      <c r="M447" s="6" t="str">
        <f>IFERROR(__xludf.DUMMYFUNCTION("""COMPUTED_VALUE"""),"trick")</f>
        <v>trick</v>
      </c>
      <c r="N447" s="6" t="str">
        <f>IFERROR(__xludf.DUMMYFUNCTION("""COMPUTED_VALUE"""),"jokes")</f>
        <v>jokes</v>
      </c>
      <c r="P447" s="6" t="str">
        <f>IFERROR(__xludf.DUMMYFUNCTION("""COMPUTED_VALUE"""),"roger")</f>
        <v>roger</v>
      </c>
      <c r="Q447" s="6" t="str">
        <f>IFERROR(__xludf.DUMMYFUNCTION("""COMPUTED_VALUE"""),"empty")</f>
        <v>empty</v>
      </c>
      <c r="S447" s="6" t="str">
        <f>IFERROR(__xludf.DUMMYFUNCTION("""COMPUTED_VALUE"""),"passion")</f>
        <v>passion</v>
      </c>
    </row>
    <row r="448">
      <c r="B448" s="6"/>
      <c r="D448" s="6"/>
      <c r="G448" s="6" t="str">
        <f>IFERROR(__xludf.DUMMYFUNCTION("""COMPUTED_VALUE"""),"brutally")</f>
        <v>brutally</v>
      </c>
      <c r="H448" s="6" t="str">
        <f>IFERROR(__xludf.DUMMYFUNCTION("""COMPUTED_VALUE"""),"antics")</f>
        <v>antics</v>
      </c>
      <c r="I448" s="6" t="str">
        <f>IFERROR(__xludf.DUMMYFUNCTION("""COMPUTED_VALUE"""),"typical")</f>
        <v>typical</v>
      </c>
      <c r="J448" s="6" t="str">
        <f>IFERROR(__xludf.DUMMYFUNCTION("""COMPUTED_VALUE"""),"satire")</f>
        <v>satire</v>
      </c>
      <c r="L448" s="6" t="str">
        <f>IFERROR(__xludf.DUMMYFUNCTION("""COMPUTED_VALUE"""),"moments")</f>
        <v>moments</v>
      </c>
      <c r="M448" s="6" t="str">
        <f>IFERROR(__xludf.DUMMYFUNCTION("""COMPUTED_VALUE"""),"fabric")</f>
        <v>fabric</v>
      </c>
      <c r="N448" s="6" t="str">
        <f>IFERROR(__xludf.DUMMYFUNCTION("""COMPUTED_VALUE"""),"involved")</f>
        <v>involved</v>
      </c>
      <c r="P448" s="6" t="str">
        <f>IFERROR(__xludf.DUMMYFUNCTION("""COMPUTED_VALUE"""),"mitchell")</f>
        <v>mitchell</v>
      </c>
      <c r="Q448" s="6" t="str">
        <f>IFERROR(__xludf.DUMMYFUNCTION("""COMPUTED_VALUE"""),"apartheid")</f>
        <v>apartheid</v>
      </c>
      <c r="S448" s="6" t="str">
        <f>IFERROR(__xludf.DUMMYFUNCTION("""COMPUTED_VALUE"""),"formula")</f>
        <v>formula</v>
      </c>
    </row>
    <row r="449">
      <c r="B449" s="6"/>
      <c r="D449" s="6"/>
      <c r="G449" s="6" t="str">
        <f>IFERROR(__xludf.DUMMYFUNCTION("""COMPUTED_VALUE"""),"tolerate")</f>
        <v>tolerate</v>
      </c>
      <c r="H449" s="6" t="str">
        <f>IFERROR(__xludf.DUMMYFUNCTION("""COMPUTED_VALUE"""),"miracles")</f>
        <v>miracles</v>
      </c>
      <c r="I449" s="6" t="str">
        <f>IFERROR(__xludf.DUMMYFUNCTION("""COMPUTED_VALUE"""),"fierce")</f>
        <v>fierce</v>
      </c>
      <c r="J449" s="6" t="str">
        <f>IFERROR(__xludf.DUMMYFUNCTION("""COMPUTED_VALUE"""),"courage")</f>
        <v>courage</v>
      </c>
      <c r="L449" s="6" t="str">
        <f>IFERROR(__xludf.DUMMYFUNCTION("""COMPUTED_VALUE"""),"fluid")</f>
        <v>fluid</v>
      </c>
      <c r="M449" s="6" t="str">
        <f>IFERROR(__xludf.DUMMYFUNCTION("""COMPUTED_VALUE"""),"parents")</f>
        <v>parents</v>
      </c>
      <c r="N449" s="6" t="str">
        <f>IFERROR(__xludf.DUMMYFUNCTION("""COMPUTED_VALUE"""),"slick")</f>
        <v>slick</v>
      </c>
      <c r="P449" s="6" t="str">
        <f>IFERROR(__xludf.DUMMYFUNCTION("""COMPUTED_VALUE"""),"purpose")</f>
        <v>purpose</v>
      </c>
      <c r="Q449" s="6" t="str">
        <f>IFERROR(__xludf.DUMMYFUNCTION("""COMPUTED_VALUE"""),"auto")</f>
        <v>auto</v>
      </c>
      <c r="S449" s="6" t="str">
        <f>IFERROR(__xludf.DUMMYFUNCTION("""COMPUTED_VALUE"""),"distance")</f>
        <v>distance</v>
      </c>
    </row>
    <row r="450">
      <c r="B450" s="6"/>
      <c r="D450" s="6"/>
      <c r="G450" s="6" t="str">
        <f>IFERROR(__xludf.DUMMYFUNCTION("""COMPUTED_VALUE"""),"breadth")</f>
        <v>breadth</v>
      </c>
      <c r="H450" s="6" t="str">
        <f>IFERROR(__xludf.DUMMYFUNCTION("""COMPUTED_VALUE"""),"miracle")</f>
        <v>miracle</v>
      </c>
      <c r="I450" s="6" t="str">
        <f>IFERROR(__xludf.DUMMYFUNCTION("""COMPUTED_VALUE"""),"fallen")</f>
        <v>fallen</v>
      </c>
      <c r="J450" s="6" t="str">
        <f>IFERROR(__xludf.DUMMYFUNCTION("""COMPUTED_VALUE"""),"embracing")</f>
        <v>embracing</v>
      </c>
      <c r="L450" s="6" t="str">
        <f>IFERROR(__xludf.DUMMYFUNCTION("""COMPUTED_VALUE"""),"parent")</f>
        <v>parent</v>
      </c>
      <c r="M450" s="6" t="str">
        <f>IFERROR(__xludf.DUMMYFUNCTION("""COMPUTED_VALUE"""),"convinced")</f>
        <v>convinced</v>
      </c>
      <c r="N450" s="6" t="str">
        <f>IFERROR(__xludf.DUMMYFUNCTION("""COMPUTED_VALUE"""),"add")</f>
        <v>add</v>
      </c>
      <c r="P450" s="6" t="str">
        <f>IFERROR(__xludf.DUMMYFUNCTION("""COMPUTED_VALUE"""),"sake")</f>
        <v>sake</v>
      </c>
      <c r="Q450" s="6" t="str">
        <f>IFERROR(__xludf.DUMMYFUNCTION("""COMPUTED_VALUE"""),"lingering")</f>
        <v>lingering</v>
      </c>
      <c r="S450" s="6" t="str">
        <f>IFERROR(__xludf.DUMMYFUNCTION("""COMPUTED_VALUE"""),"man")</f>
        <v>man</v>
      </c>
    </row>
    <row r="451">
      <c r="B451" s="6"/>
      <c r="D451" s="6"/>
      <c r="G451" s="6" t="str">
        <f>IFERROR(__xludf.DUMMYFUNCTION("""COMPUTED_VALUE"""),"poverty")</f>
        <v>poverty</v>
      </c>
      <c r="H451" s="6" t="str">
        <f>IFERROR(__xludf.DUMMYFUNCTION("""COMPUTED_VALUE"""),"lewis")</f>
        <v>lewis</v>
      </c>
      <c r="I451" s="6" t="str">
        <f>IFERROR(__xludf.DUMMYFUNCTION("""COMPUTED_VALUE"""),"spell")</f>
        <v>spell</v>
      </c>
      <c r="J451" s="6" t="str">
        <f>IFERROR(__xludf.DUMMYFUNCTION("""COMPUTED_VALUE"""),"intellectual")</f>
        <v>intellectual</v>
      </c>
      <c r="L451" s="6" t="str">
        <f>IFERROR(__xludf.DUMMYFUNCTION("""COMPUTED_VALUE"""),"sex")</f>
        <v>sex</v>
      </c>
      <c r="M451" s="6" t="str">
        <f>IFERROR(__xludf.DUMMYFUNCTION("""COMPUTED_VALUE"""),"essentially")</f>
        <v>essentially</v>
      </c>
      <c r="N451" s="6" t="str">
        <f>IFERROR(__xludf.DUMMYFUNCTION("""COMPUTED_VALUE"""),"routine")</f>
        <v>routine</v>
      </c>
      <c r="P451" s="6" t="str">
        <f>IFERROR(__xludf.DUMMYFUNCTION("""COMPUTED_VALUE"""),"colors")</f>
        <v>colors</v>
      </c>
      <c r="Q451" s="6" t="str">
        <f>IFERROR(__xludf.DUMMYFUNCTION("""COMPUTED_VALUE"""),"appealing")</f>
        <v>appealing</v>
      </c>
      <c r="S451" s="6" t="str">
        <f>IFERROR(__xludf.DUMMYFUNCTION("""COMPUTED_VALUE"""),"son")</f>
        <v>son</v>
      </c>
    </row>
    <row r="452">
      <c r="B452" s="6"/>
      <c r="D452" s="6"/>
      <c r="G452" s="6" t="str">
        <f>IFERROR(__xludf.DUMMYFUNCTION("""COMPUTED_VALUE"""),"enthusiasm")</f>
        <v>enthusiasm</v>
      </c>
      <c r="H452" s="6" t="str">
        <f>IFERROR(__xludf.DUMMYFUNCTION("""COMPUTED_VALUE"""),"davies")</f>
        <v>davies</v>
      </c>
      <c r="I452" s="6" t="str">
        <f>IFERROR(__xludf.DUMMYFUNCTION("""COMPUTED_VALUE"""),"scandal")</f>
        <v>scandal</v>
      </c>
      <c r="J452" s="6" t="str">
        <f>IFERROR(__xludf.DUMMYFUNCTION("""COMPUTED_VALUE"""),"meditation")</f>
        <v>meditation</v>
      </c>
      <c r="L452" s="6" t="str">
        <f>IFERROR(__xludf.DUMMYFUNCTION("""COMPUTED_VALUE"""),"developed")</f>
        <v>developed</v>
      </c>
      <c r="M452" s="6" t="str">
        <f>IFERROR(__xludf.DUMMYFUNCTION("""COMPUTED_VALUE"""),"example")</f>
        <v>example</v>
      </c>
      <c r="N452" s="6" t="str">
        <f>IFERROR(__xludf.DUMMYFUNCTION("""COMPUTED_VALUE"""),"urban")</f>
        <v>urban</v>
      </c>
      <c r="P452" s="6" t="str">
        <f>IFERROR(__xludf.DUMMYFUNCTION("""COMPUTED_VALUE"""),"money")</f>
        <v>money</v>
      </c>
      <c r="Q452" s="6" t="str">
        <f>IFERROR(__xludf.DUMMYFUNCTION("""COMPUTED_VALUE"""),"irrelevant")</f>
        <v>irrelevant</v>
      </c>
      <c r="S452" s="6" t="str">
        <f>IFERROR(__xludf.DUMMYFUNCTION("""COMPUTED_VALUE"""),"argentine")</f>
        <v>argentine</v>
      </c>
    </row>
    <row r="453">
      <c r="B453" s="6"/>
      <c r="D453" s="6"/>
      <c r="G453" s="6" t="str">
        <f>IFERROR(__xludf.DUMMYFUNCTION("""COMPUTED_VALUE"""),"shoot")</f>
        <v>shoot</v>
      </c>
      <c r="H453" s="6" t="str">
        <f>IFERROR(__xludf.DUMMYFUNCTION("""COMPUTED_VALUE"""),"bleak")</f>
        <v>bleak</v>
      </c>
      <c r="I453" s="6" t="str">
        <f>IFERROR(__xludf.DUMMYFUNCTION("""COMPUTED_VALUE"""),"cool")</f>
        <v>cool</v>
      </c>
      <c r="J453" s="6" t="str">
        <f>IFERROR(__xludf.DUMMYFUNCTION("""COMPUTED_VALUE"""),"outsiders")</f>
        <v>outsiders</v>
      </c>
      <c r="L453" s="6" t="str">
        <f>IFERROR(__xludf.DUMMYFUNCTION("""COMPUTED_VALUE"""),"complicated")</f>
        <v>complicated</v>
      </c>
      <c r="M453" s="6">
        <f>IFERROR(__xludf.DUMMYFUNCTION("""COMPUTED_VALUE"""),99.0)</f>
        <v>99</v>
      </c>
      <c r="N453" s="6" t="str">
        <f>IFERROR(__xludf.DUMMYFUNCTION("""COMPUTED_VALUE"""),"scarcely")</f>
        <v>scarcely</v>
      </c>
      <c r="P453" s="6" t="str">
        <f>IFERROR(__xludf.DUMMYFUNCTION("""COMPUTED_VALUE"""),"searching")</f>
        <v>searching</v>
      </c>
      <c r="Q453" s="6" t="str">
        <f>IFERROR(__xludf.DUMMYFUNCTION("""COMPUTED_VALUE"""),"turns")</f>
        <v>turns</v>
      </c>
      <c r="S453" s="6" t="str">
        <f>IFERROR(__xludf.DUMMYFUNCTION("""COMPUTED_VALUE"""),"bride")</f>
        <v>bride</v>
      </c>
    </row>
    <row r="454">
      <c r="B454" s="6"/>
      <c r="D454" s="6"/>
      <c r="G454" s="6" t="str">
        <f>IFERROR(__xludf.DUMMYFUNCTION("""COMPUTED_VALUE"""),"murder")</f>
        <v>murder</v>
      </c>
      <c r="H454" s="6" t="str">
        <f>IFERROR(__xludf.DUMMYFUNCTION("""COMPUTED_VALUE"""),"sincere")</f>
        <v>sincere</v>
      </c>
      <c r="I454" s="6" t="str">
        <f>IFERROR(__xludf.DUMMYFUNCTION("""COMPUTED_VALUE"""),"upper")</f>
        <v>upper</v>
      </c>
      <c r="J454" s="6" t="str">
        <f>IFERROR(__xludf.DUMMYFUNCTION("""COMPUTED_VALUE"""),"humorous")</f>
        <v>humorous</v>
      </c>
      <c r="L454" s="6" t="str">
        <f>IFERROR(__xludf.DUMMYFUNCTION("""COMPUTED_VALUE"""),"equivalent")</f>
        <v>equivalent</v>
      </c>
      <c r="M454" s="6" t="str">
        <f>IFERROR(__xludf.DUMMYFUNCTION("""COMPUTED_VALUE"""),"via")</f>
        <v>via</v>
      </c>
      <c r="N454" s="6" t="str">
        <f>IFERROR(__xludf.DUMMYFUNCTION("""COMPUTED_VALUE"""),"built")</f>
        <v>built</v>
      </c>
      <c r="P454" s="6" t="str">
        <f>IFERROR(__xludf.DUMMYFUNCTION("""COMPUTED_VALUE"""),"bombs")</f>
        <v>bombs</v>
      </c>
      <c r="Q454" s="6" t="str">
        <f>IFERROR(__xludf.DUMMYFUNCTION("""COMPUTED_VALUE"""),"gradually")</f>
        <v>gradually</v>
      </c>
      <c r="S454" s="6" t="str">
        <f>IFERROR(__xludf.DUMMYFUNCTION("""COMPUTED_VALUE"""),"white")</f>
        <v>white</v>
      </c>
    </row>
    <row r="455">
      <c r="B455" s="6"/>
      <c r="D455" s="6"/>
      <c r="G455" s="6" t="str">
        <f>IFERROR(__xludf.DUMMYFUNCTION("""COMPUTED_VALUE"""),"remarkably")</f>
        <v>remarkably</v>
      </c>
      <c r="H455" s="6" t="str">
        <f>IFERROR(__xludf.DUMMYFUNCTION("""COMPUTED_VALUE"""),"bullets")</f>
        <v>bullets</v>
      </c>
      <c r="I455" s="6" t="str">
        <f>IFERROR(__xludf.DUMMYFUNCTION("""COMPUTED_VALUE"""),"poverty")</f>
        <v>poverty</v>
      </c>
      <c r="J455" s="6" t="str">
        <f>IFERROR(__xludf.DUMMYFUNCTION("""COMPUTED_VALUE"""),"bore")</f>
        <v>bore</v>
      </c>
      <c r="L455" s="6" t="str">
        <f>IFERROR(__xludf.DUMMYFUNCTION("""COMPUTED_VALUE"""),"barrels")</f>
        <v>barrels</v>
      </c>
      <c r="M455" s="6" t="str">
        <f>IFERROR(__xludf.DUMMYFUNCTION("""COMPUTED_VALUE"""),"harris")</f>
        <v>harris</v>
      </c>
      <c r="N455" s="6" t="str">
        <f>IFERROR(__xludf.DUMMYFUNCTION("""COMPUTED_VALUE"""),"scene")</f>
        <v>scene</v>
      </c>
      <c r="P455" s="6" t="str">
        <f>IFERROR(__xludf.DUMMYFUNCTION("""COMPUTED_VALUE"""),"stories")</f>
        <v>stories</v>
      </c>
      <c r="Q455" s="6">
        <f>IFERROR(__xludf.DUMMYFUNCTION("""COMPUTED_VALUE"""),2002.0)</f>
        <v>2002</v>
      </c>
      <c r="S455" s="6" t="str">
        <f>IFERROR(__xludf.DUMMYFUNCTION("""COMPUTED_VALUE"""),"points")</f>
        <v>points</v>
      </c>
    </row>
    <row r="456">
      <c r="B456" s="6"/>
      <c r="D456" s="6"/>
      <c r="G456" s="6" t="str">
        <f>IFERROR(__xludf.DUMMYFUNCTION("""COMPUTED_VALUE"""),"cheese")</f>
        <v>cheese</v>
      </c>
      <c r="H456" s="6" t="str">
        <f>IFERROR(__xludf.DUMMYFUNCTION("""COMPUTED_VALUE"""),"none")</f>
        <v>none</v>
      </c>
      <c r="I456" s="6" t="str">
        <f>IFERROR(__xludf.DUMMYFUNCTION("""COMPUTED_VALUE"""),"spite")</f>
        <v>spite</v>
      </c>
      <c r="J456" s="6" t="str">
        <f>IFERROR(__xludf.DUMMYFUNCTION("""COMPUTED_VALUE"""),"involving")</f>
        <v>involving</v>
      </c>
      <c r="L456" s="6" t="str">
        <f>IFERROR(__xludf.DUMMYFUNCTION("""COMPUTED_VALUE"""),"train")</f>
        <v>train</v>
      </c>
      <c r="M456" s="6" t="str">
        <f>IFERROR(__xludf.DUMMYFUNCTION("""COMPUTED_VALUE"""),"smart")</f>
        <v>smart</v>
      </c>
      <c r="N456" s="6" t="str">
        <f>IFERROR(__xludf.DUMMYFUNCTION("""COMPUTED_VALUE"""),"insurance")</f>
        <v>insurance</v>
      </c>
      <c r="P456" s="6" t="str">
        <f>IFERROR(__xludf.DUMMYFUNCTION("""COMPUTED_VALUE"""),"surface")</f>
        <v>surface</v>
      </c>
      <c r="Q456" s="6" t="str">
        <f>IFERROR(__xludf.DUMMYFUNCTION("""COMPUTED_VALUE"""),"canvas")</f>
        <v>canvas</v>
      </c>
      <c r="S456" s="6" t="str">
        <f>IFERROR(__xludf.DUMMYFUNCTION("""COMPUTED_VALUE"""),"aspects")</f>
        <v>aspects</v>
      </c>
    </row>
    <row r="457">
      <c r="B457" s="6"/>
      <c r="D457" s="6"/>
      <c r="G457" s="6" t="str">
        <f>IFERROR(__xludf.DUMMYFUNCTION("""COMPUTED_VALUE"""),"topic")</f>
        <v>topic</v>
      </c>
      <c r="H457" s="6" t="str">
        <f>IFERROR(__xludf.DUMMYFUNCTION("""COMPUTED_VALUE"""),"poem")</f>
        <v>poem</v>
      </c>
      <c r="I457" s="6" t="str">
        <f>IFERROR(__xludf.DUMMYFUNCTION("""COMPUTED_VALUE"""),"shoot")</f>
        <v>shoot</v>
      </c>
      <c r="J457" s="6" t="str">
        <f>IFERROR(__xludf.DUMMYFUNCTION("""COMPUTED_VALUE"""),"titular")</f>
        <v>titular</v>
      </c>
      <c r="L457" s="6" t="str">
        <f>IFERROR(__xludf.DUMMYFUNCTION("""COMPUTED_VALUE"""),"barrel")</f>
        <v>barrel</v>
      </c>
      <c r="M457" s="6" t="str">
        <f>IFERROR(__xludf.DUMMYFUNCTION("""COMPUTED_VALUE"""),"seats")</f>
        <v>seats</v>
      </c>
      <c r="N457" s="6" t="str">
        <f>IFERROR(__xludf.DUMMYFUNCTION("""COMPUTED_VALUE"""),"worried")</f>
        <v>worried</v>
      </c>
      <c r="P457" s="6" t="str">
        <f>IFERROR(__xludf.DUMMYFUNCTION("""COMPUTED_VALUE"""),"mouth")</f>
        <v>mouth</v>
      </c>
      <c r="Q457" s="6" t="str">
        <f>IFERROR(__xludf.DUMMYFUNCTION("""COMPUTED_VALUE"""),"historical")</f>
        <v>historical</v>
      </c>
      <c r="S457" s="6" t="str">
        <f>IFERROR(__xludf.DUMMYFUNCTION("""COMPUTED_VALUE"""),"equally")</f>
        <v>equally</v>
      </c>
    </row>
    <row r="458">
      <c r="B458" s="6"/>
      <c r="D458" s="6"/>
      <c r="G458" s="6" t="str">
        <f>IFERROR(__xludf.DUMMYFUNCTION("""COMPUTED_VALUE"""),"insistent")</f>
        <v>insistent</v>
      </c>
      <c r="H458" s="6" t="str">
        <f>IFERROR(__xludf.DUMMYFUNCTION("""COMPUTED_VALUE"""),"convincing")</f>
        <v>convincing</v>
      </c>
      <c r="I458" s="6" t="str">
        <f>IFERROR(__xludf.DUMMYFUNCTION("""COMPUTED_VALUE"""),"murder")</f>
        <v>murder</v>
      </c>
      <c r="J458" s="6" t="str">
        <f>IFERROR(__xludf.DUMMYFUNCTION("""COMPUTED_VALUE"""),"edited")</f>
        <v>edited</v>
      </c>
      <c r="L458" s="6" t="str">
        <f>IFERROR(__xludf.DUMMYFUNCTION("""COMPUTED_VALUE"""),"beaches")</f>
        <v>beaches</v>
      </c>
      <c r="M458" s="6" t="str">
        <f>IFERROR(__xludf.DUMMYFUNCTION("""COMPUTED_VALUE"""),"movie")</f>
        <v>movie</v>
      </c>
      <c r="N458" s="6" t="str">
        <f>IFERROR(__xludf.DUMMYFUNCTION("""COMPUTED_VALUE"""),"message")</f>
        <v>message</v>
      </c>
      <c r="P458" s="6" t="str">
        <f>IFERROR(__xludf.DUMMYFUNCTION("""COMPUTED_VALUE"""),"machine")</f>
        <v>machine</v>
      </c>
      <c r="Q458" s="6" t="str">
        <f>IFERROR(__xludf.DUMMYFUNCTION("""COMPUTED_VALUE"""),"irony")</f>
        <v>irony</v>
      </c>
      <c r="S458" s="6" t="str">
        <f>IFERROR(__xludf.DUMMYFUNCTION("""COMPUTED_VALUE"""),"frame")</f>
        <v>frame</v>
      </c>
    </row>
    <row r="459">
      <c r="B459" s="6"/>
      <c r="D459" s="6"/>
      <c r="G459" s="6" t="str">
        <f>IFERROR(__xludf.DUMMYFUNCTION("""COMPUTED_VALUE"""),"survival")</f>
        <v>survival</v>
      </c>
      <c r="H459" s="6" t="str">
        <f>IFERROR(__xludf.DUMMYFUNCTION("""COMPUTED_VALUE"""),"viewer")</f>
        <v>viewer</v>
      </c>
      <c r="I459" s="6" t="str">
        <f>IFERROR(__xludf.DUMMYFUNCTION("""COMPUTED_VALUE"""),"matthew")</f>
        <v>matthew</v>
      </c>
      <c r="J459" s="6" t="str">
        <f>IFERROR(__xludf.DUMMYFUNCTION("""COMPUTED_VALUE"""),"unnecessary")</f>
        <v>unnecessary</v>
      </c>
      <c r="L459" s="6" t="str">
        <f>IFERROR(__xludf.DUMMYFUNCTION("""COMPUTED_VALUE"""),"sweeping")</f>
        <v>sweeping</v>
      </c>
      <c r="M459" s="6" t="str">
        <f>IFERROR(__xludf.DUMMYFUNCTION("""COMPUTED_VALUE"""),"films")</f>
        <v>films</v>
      </c>
      <c r="N459" s="6" t="str">
        <f>IFERROR(__xludf.DUMMYFUNCTION("""COMPUTED_VALUE"""),"machine")</f>
        <v>machine</v>
      </c>
      <c r="P459" s="6" t="str">
        <f>IFERROR(__xludf.DUMMYFUNCTION("""COMPUTED_VALUE"""),"orthodox")</f>
        <v>orthodox</v>
      </c>
      <c r="Q459" s="6" t="str">
        <f>IFERROR(__xludf.DUMMYFUNCTION("""COMPUTED_VALUE"""),"solid")</f>
        <v>solid</v>
      </c>
      <c r="S459" s="6" t="str">
        <f>IFERROR(__xludf.DUMMYFUNCTION("""COMPUTED_VALUE"""),"vulnerable")</f>
        <v>vulnerable</v>
      </c>
    </row>
    <row r="460">
      <c r="B460" s="6"/>
      <c r="D460" s="6"/>
      <c r="G460" s="6" t="str">
        <f>IFERROR(__xludf.DUMMYFUNCTION("""COMPUTED_VALUE"""),"victories")</f>
        <v>victories</v>
      </c>
      <c r="H460" s="6" t="str">
        <f>IFERROR(__xludf.DUMMYFUNCTION("""COMPUTED_VALUE"""),"maintain")</f>
        <v>maintain</v>
      </c>
      <c r="I460" s="6" t="str">
        <f>IFERROR(__xludf.DUMMYFUNCTION("""COMPUTED_VALUE"""),"cheese")</f>
        <v>cheese</v>
      </c>
      <c r="J460" s="6" t="str">
        <f>IFERROR(__xludf.DUMMYFUNCTION("""COMPUTED_VALUE"""),"simone")</f>
        <v>simone</v>
      </c>
      <c r="L460" s="6" t="str">
        <f>IFERROR(__xludf.DUMMYFUNCTION("""COMPUTED_VALUE"""),"niche")</f>
        <v>niche</v>
      </c>
      <c r="M460" s="6" t="str">
        <f>IFERROR(__xludf.DUMMYFUNCTION("""COMPUTED_VALUE"""),"movies")</f>
        <v>movies</v>
      </c>
      <c r="N460" s="6" t="str">
        <f>IFERROR(__xludf.DUMMYFUNCTION("""COMPUTED_VALUE"""),"further")</f>
        <v>further</v>
      </c>
      <c r="P460" s="6" t="str">
        <f>IFERROR(__xludf.DUMMYFUNCTION("""COMPUTED_VALUE"""),"favor")</f>
        <v>favor</v>
      </c>
      <c r="Q460" s="6" t="str">
        <f>IFERROR(__xludf.DUMMYFUNCTION("""COMPUTED_VALUE"""),"thematic")</f>
        <v>thematic</v>
      </c>
      <c r="S460" s="6" t="str">
        <f>IFERROR(__xludf.DUMMYFUNCTION("""COMPUTED_VALUE"""),"female")</f>
        <v>female</v>
      </c>
    </row>
    <row r="461">
      <c r="B461" s="6"/>
      <c r="D461" s="6"/>
      <c r="G461" s="6" t="str">
        <f>IFERROR(__xludf.DUMMYFUNCTION("""COMPUTED_VALUE"""),"routine")</f>
        <v>routine</v>
      </c>
      <c r="H461" s="6" t="str">
        <f>IFERROR(__xludf.DUMMYFUNCTION("""COMPUTED_VALUE"""),"pile")</f>
        <v>pile</v>
      </c>
      <c r="I461" s="6" t="str">
        <f>IFERROR(__xludf.DUMMYFUNCTION("""COMPUTED_VALUE"""),"topic")</f>
        <v>topic</v>
      </c>
      <c r="J461" s="6" t="str">
        <f>IFERROR(__xludf.DUMMYFUNCTION("""COMPUTED_VALUE"""),"ticket")</f>
        <v>ticket</v>
      </c>
      <c r="L461" s="6" t="str">
        <f>IFERROR(__xludf.DUMMYFUNCTION("""COMPUTED_VALUE"""),"objective")</f>
        <v>objective</v>
      </c>
      <c r="M461" s="6" t="str">
        <f>IFERROR(__xludf.DUMMYFUNCTION("""COMPUTED_VALUE"""),"audience")</f>
        <v>audience</v>
      </c>
      <c r="N461" s="6" t="str">
        <f>IFERROR(__xludf.DUMMYFUNCTION("""COMPUTED_VALUE"""),"shoots")</f>
        <v>shoots</v>
      </c>
      <c r="P461" s="6" t="str">
        <f>IFERROR(__xludf.DUMMYFUNCTION("""COMPUTED_VALUE"""),"dramatic")</f>
        <v>dramatic</v>
      </c>
      <c r="Q461" s="6" t="str">
        <f>IFERROR(__xludf.DUMMYFUNCTION("""COMPUTED_VALUE"""),"smug")</f>
        <v>smug</v>
      </c>
      <c r="S461" s="6" t="str">
        <f>IFERROR(__xludf.DUMMYFUNCTION("""COMPUTED_VALUE"""),"darling")</f>
        <v>darling</v>
      </c>
    </row>
    <row r="462">
      <c r="B462" s="6"/>
      <c r="D462" s="6"/>
      <c r="G462" s="6" t="str">
        <f>IFERROR(__xludf.DUMMYFUNCTION("""COMPUTED_VALUE"""),"morning")</f>
        <v>morning</v>
      </c>
      <c r="H462" s="6" t="str">
        <f>IFERROR(__xludf.DUMMYFUNCTION("""COMPUTED_VALUE"""),"affection")</f>
        <v>affection</v>
      </c>
      <c r="I462" s="6" t="str">
        <f>IFERROR(__xludf.DUMMYFUNCTION("""COMPUTED_VALUE"""),"survival")</f>
        <v>survival</v>
      </c>
      <c r="J462" s="6" t="str">
        <f>IFERROR(__xludf.DUMMYFUNCTION("""COMPUTED_VALUE"""),"pantheon")</f>
        <v>pantheon</v>
      </c>
      <c r="L462" s="6" t="str">
        <f>IFERROR(__xludf.DUMMYFUNCTION("""COMPUTED_VALUE"""),"bile")</f>
        <v>bile</v>
      </c>
      <c r="M462" s="6" t="str">
        <f>IFERROR(__xludf.DUMMYFUNCTION("""COMPUTED_VALUE"""),"film")</f>
        <v>film</v>
      </c>
      <c r="N462" s="6" t="str">
        <f>IFERROR(__xludf.DUMMYFUNCTION("""COMPUTED_VALUE"""),"pure")</f>
        <v>pure</v>
      </c>
      <c r="P462" s="6" t="str">
        <f>IFERROR(__xludf.DUMMYFUNCTION("""COMPUTED_VALUE"""),"darkness")</f>
        <v>darkness</v>
      </c>
      <c r="Q462" s="6" t="str">
        <f>IFERROR(__xludf.DUMMYFUNCTION("""COMPUTED_VALUE"""),"equations")</f>
        <v>equations</v>
      </c>
      <c r="S462" s="6" t="str">
        <f>IFERROR(__xludf.DUMMYFUNCTION("""COMPUTED_VALUE"""),"violence")</f>
        <v>violence</v>
      </c>
    </row>
    <row r="463">
      <c r="B463" s="6"/>
      <c r="D463" s="6"/>
      <c r="G463" s="6" t="str">
        <f>IFERROR(__xludf.DUMMYFUNCTION("""COMPUTED_VALUE"""),"brightly")</f>
        <v>brightly</v>
      </c>
      <c r="H463" s="6" t="str">
        <f>IFERROR(__xludf.DUMMYFUNCTION("""COMPUTED_VALUE"""),"pathology")</f>
        <v>pathology</v>
      </c>
      <c r="I463" s="6" t="str">
        <f>IFERROR(__xludf.DUMMYFUNCTION("""COMPUTED_VALUE"""),"psychological")</f>
        <v>psychological</v>
      </c>
      <c r="J463" s="6" t="str">
        <f>IFERROR(__xludf.DUMMYFUNCTION("""COMPUTED_VALUE"""),"complicated")</f>
        <v>complicated</v>
      </c>
      <c r="L463" s="6" t="str">
        <f>IFERROR(__xludf.DUMMYFUNCTION("""COMPUTED_VALUE"""),"remembrance")</f>
        <v>remembrance</v>
      </c>
      <c r="M463" s="6" t="str">
        <f>IFERROR(__xludf.DUMMYFUNCTION("""COMPUTED_VALUE"""),"movement")</f>
        <v>movement</v>
      </c>
      <c r="N463" s="6" t="str">
        <f>IFERROR(__xludf.DUMMYFUNCTION("""COMPUTED_VALUE"""),"matters")</f>
        <v>matters</v>
      </c>
      <c r="P463" s="6" t="str">
        <f>IFERROR(__xludf.DUMMYFUNCTION("""COMPUTED_VALUE"""),"loud")</f>
        <v>loud</v>
      </c>
      <c r="Q463" s="6" t="str">
        <f>IFERROR(__xludf.DUMMYFUNCTION("""COMPUTED_VALUE"""),"captures")</f>
        <v>captures</v>
      </c>
      <c r="S463" s="6" t="str">
        <f>IFERROR(__xludf.DUMMYFUNCTION("""COMPUTED_VALUE"""),"humanity")</f>
        <v>humanity</v>
      </c>
    </row>
    <row r="464">
      <c r="B464" s="6"/>
      <c r="D464" s="6"/>
      <c r="G464" s="6" t="str">
        <f>IFERROR(__xludf.DUMMYFUNCTION("""COMPUTED_VALUE"""),"playful")</f>
        <v>playful</v>
      </c>
      <c r="H464" s="6" t="str">
        <f>IFERROR(__xludf.DUMMYFUNCTION("""COMPUTED_VALUE"""),"souls")</f>
        <v>souls</v>
      </c>
      <c r="I464" s="6" t="str">
        <f>IFERROR(__xludf.DUMMYFUNCTION("""COMPUTED_VALUE"""),"victories")</f>
        <v>victories</v>
      </c>
      <c r="J464" s="6" t="str">
        <f>IFERROR(__xludf.DUMMYFUNCTION("""COMPUTED_VALUE"""),"comedic")</f>
        <v>comedic</v>
      </c>
      <c r="L464" s="6" t="str">
        <f>IFERROR(__xludf.DUMMYFUNCTION("""COMPUTED_VALUE"""),"relies")</f>
        <v>relies</v>
      </c>
      <c r="M464" s="6" t="str">
        <f>IFERROR(__xludf.DUMMYFUNCTION("""COMPUTED_VALUE"""),"members")</f>
        <v>members</v>
      </c>
      <c r="N464" s="6" t="str">
        <f>IFERROR(__xludf.DUMMYFUNCTION("""COMPUTED_VALUE"""),"carried")</f>
        <v>carried</v>
      </c>
      <c r="P464" s="6">
        <f>IFERROR(__xludf.DUMMYFUNCTION("""COMPUTED_VALUE"""),1984.0)</f>
        <v>1984</v>
      </c>
      <c r="Q464" s="6" t="str">
        <f>IFERROR(__xludf.DUMMYFUNCTION("""COMPUTED_VALUE"""),"deserve")</f>
        <v>deserve</v>
      </c>
      <c r="S464" s="6" t="str">
        <f>IFERROR(__xludf.DUMMYFUNCTION("""COMPUTED_VALUE"""),"force")</f>
        <v>force</v>
      </c>
    </row>
    <row r="465">
      <c r="B465" s="6"/>
      <c r="D465" s="6"/>
      <c r="G465" s="6" t="str">
        <f>IFERROR(__xludf.DUMMYFUNCTION("""COMPUTED_VALUE"""),"nicholas")</f>
        <v>nicholas</v>
      </c>
      <c r="H465" s="6" t="str">
        <f>IFERROR(__xludf.DUMMYFUNCTION("""COMPUTED_VALUE"""),"ages")</f>
        <v>ages</v>
      </c>
      <c r="I465" s="6" t="str">
        <f>IFERROR(__xludf.DUMMYFUNCTION("""COMPUTED_VALUE"""),"class")</f>
        <v>class</v>
      </c>
      <c r="J465" s="6" t="str">
        <f>IFERROR(__xludf.DUMMYFUNCTION("""COMPUTED_VALUE"""),"ensemble")</f>
        <v>ensemble</v>
      </c>
      <c r="L465" s="6" t="str">
        <f>IFERROR(__xludf.DUMMYFUNCTION("""COMPUTED_VALUE"""),"neil")</f>
        <v>neil</v>
      </c>
      <c r="M465" s="6" t="str">
        <f>IFERROR(__xludf.DUMMYFUNCTION("""COMPUTED_VALUE"""),"laugh")</f>
        <v>laugh</v>
      </c>
      <c r="N465" s="6" t="str">
        <f>IFERROR(__xludf.DUMMYFUNCTION("""COMPUTED_VALUE"""),"pants")</f>
        <v>pants</v>
      </c>
      <c r="P465" s="6" t="str">
        <f>IFERROR(__xludf.DUMMYFUNCTION("""COMPUTED_VALUE"""),"waste")</f>
        <v>waste</v>
      </c>
      <c r="Q465" s="6" t="str">
        <f>IFERROR(__xludf.DUMMYFUNCTION("""COMPUTED_VALUE"""),"stupid")</f>
        <v>stupid</v>
      </c>
      <c r="S465" s="6" t="str">
        <f>IFERROR(__xludf.DUMMYFUNCTION("""COMPUTED_VALUE"""),"fury")</f>
        <v>fury</v>
      </c>
    </row>
    <row r="466">
      <c r="B466" s="6"/>
      <c r="D466" s="6"/>
      <c r="G466" s="6" t="str">
        <f>IFERROR(__xludf.DUMMYFUNCTION("""COMPUTED_VALUE"""),"optimistic")</f>
        <v>optimistic</v>
      </c>
      <c r="H466" s="6" t="str">
        <f>IFERROR(__xludf.DUMMYFUNCTION("""COMPUTED_VALUE"""),"substances")</f>
        <v>substances</v>
      </c>
      <c r="I466" s="6" t="str">
        <f>IFERROR(__xludf.DUMMYFUNCTION("""COMPUTED_VALUE"""),"routine")</f>
        <v>routine</v>
      </c>
      <c r="J466" s="6" t="str">
        <f>IFERROR(__xludf.DUMMYFUNCTION("""COMPUTED_VALUE"""),"symbolism")</f>
        <v>symbolism</v>
      </c>
      <c r="L466" s="6" t="str">
        <f>IFERROR(__xludf.DUMMYFUNCTION("""COMPUTED_VALUE"""),"colors")</f>
        <v>colors</v>
      </c>
      <c r="M466" s="6" t="str">
        <f>IFERROR(__xludf.DUMMYFUNCTION("""COMPUTED_VALUE"""),"skin")</f>
        <v>skin</v>
      </c>
      <c r="N466" s="6" t="str">
        <f>IFERROR(__xludf.DUMMYFUNCTION("""COMPUTED_VALUE"""),"performance")</f>
        <v>performance</v>
      </c>
      <c r="P466" s="6" t="str">
        <f>IFERROR(__xludf.DUMMYFUNCTION("""COMPUTED_VALUE"""),"predecessor")</f>
        <v>predecessor</v>
      </c>
      <c r="Q466" s="6" t="str">
        <f>IFERROR(__xludf.DUMMYFUNCTION("""COMPUTED_VALUE"""),"sexuality")</f>
        <v>sexuality</v>
      </c>
      <c r="S466" s="6" t="str">
        <f>IFERROR(__xludf.DUMMYFUNCTION("""COMPUTED_VALUE"""),"manner")</f>
        <v>manner</v>
      </c>
    </row>
    <row r="467">
      <c r="B467" s="6"/>
      <c r="D467" s="6"/>
      <c r="G467" s="6" t="str">
        <f>IFERROR(__xludf.DUMMYFUNCTION("""COMPUTED_VALUE"""),"dogs")</f>
        <v>dogs</v>
      </c>
      <c r="H467" s="6" t="str">
        <f>IFERROR(__xludf.DUMMYFUNCTION("""COMPUTED_VALUE"""),"subjected")</f>
        <v>subjected</v>
      </c>
      <c r="I467" s="6" t="str">
        <f>IFERROR(__xludf.DUMMYFUNCTION("""COMPUTED_VALUE"""),"morning")</f>
        <v>morning</v>
      </c>
      <c r="J467" s="6" t="str">
        <f>IFERROR(__xludf.DUMMYFUNCTION("""COMPUTED_VALUE"""),"psychology")</f>
        <v>psychology</v>
      </c>
      <c r="L467" s="6" t="str">
        <f>IFERROR(__xludf.DUMMYFUNCTION("""COMPUTED_VALUE"""),"stretch")</f>
        <v>stretch</v>
      </c>
      <c r="M467" s="6" t="str">
        <f>IFERROR(__xludf.DUMMYFUNCTION("""COMPUTED_VALUE"""),"station")</f>
        <v>station</v>
      </c>
      <c r="N467" s="6" t="str">
        <f>IFERROR(__xludf.DUMMYFUNCTION("""COMPUTED_VALUE"""),"avid")</f>
        <v>avid</v>
      </c>
      <c r="P467" s="6" t="str">
        <f>IFERROR(__xludf.DUMMYFUNCTION("""COMPUTED_VALUE"""),"sets")</f>
        <v>sets</v>
      </c>
      <c r="Q467" s="6" t="str">
        <f>IFERROR(__xludf.DUMMYFUNCTION("""COMPUTED_VALUE"""),"combining")</f>
        <v>combining</v>
      </c>
      <c r="S467" s="6" t="str">
        <f>IFERROR(__xludf.DUMMYFUNCTION("""COMPUTED_VALUE"""),"brothers")</f>
        <v>brothers</v>
      </c>
    </row>
    <row r="468">
      <c r="B468" s="6"/>
      <c r="D468" s="6"/>
      <c r="G468" s="6" t="str">
        <f>IFERROR(__xludf.DUMMYFUNCTION("""COMPUTED_VALUE"""),"smarter")</f>
        <v>smarter</v>
      </c>
      <c r="H468" s="6" t="str">
        <f>IFERROR(__xludf.DUMMYFUNCTION("""COMPUTED_VALUE"""),"documentary")</f>
        <v>documentary</v>
      </c>
      <c r="I468" s="6" t="str">
        <f>IFERROR(__xludf.DUMMYFUNCTION("""COMPUTED_VALUE"""),"british")</f>
        <v>british</v>
      </c>
      <c r="J468" s="6" t="str">
        <f>IFERROR(__xludf.DUMMYFUNCTION("""COMPUTED_VALUE"""),"endless")</f>
        <v>endless</v>
      </c>
      <c r="L468" s="6" t="str">
        <f>IFERROR(__xludf.DUMMYFUNCTION("""COMPUTED_VALUE"""),"share")</f>
        <v>share</v>
      </c>
      <c r="M468" s="6" t="str">
        <f>IFERROR(__xludf.DUMMYFUNCTION("""COMPUTED_VALUE"""),"late")</f>
        <v>late</v>
      </c>
      <c r="N468" s="6" t="str">
        <f>IFERROR(__xludf.DUMMYFUNCTION("""COMPUTED_VALUE"""),"suit")</f>
        <v>suit</v>
      </c>
      <c r="P468" s="6" t="str">
        <f>IFERROR(__xludf.DUMMYFUNCTION("""COMPUTED_VALUE"""),"sentence")</f>
        <v>sentence</v>
      </c>
      <c r="Q468" s="6" t="str">
        <f>IFERROR(__xludf.DUMMYFUNCTION("""COMPUTED_VALUE"""),"elements")</f>
        <v>elements</v>
      </c>
      <c r="S468" s="6" t="str">
        <f>IFERROR(__xludf.DUMMYFUNCTION("""COMPUTED_VALUE"""),"miss")</f>
        <v>miss</v>
      </c>
    </row>
    <row r="469">
      <c r="B469" s="6"/>
      <c r="D469" s="6"/>
      <c r="G469" s="6" t="str">
        <f>IFERROR(__xludf.DUMMYFUNCTION("""COMPUTED_VALUE"""),"pack")</f>
        <v>pack</v>
      </c>
      <c r="H469" s="6" t="str">
        <f>IFERROR(__xludf.DUMMYFUNCTION("""COMPUTED_VALUE"""),"racism")</f>
        <v>racism</v>
      </c>
      <c r="I469" s="6" t="str">
        <f>IFERROR(__xludf.DUMMYFUNCTION("""COMPUTED_VALUE"""),"actor")</f>
        <v>actor</v>
      </c>
      <c r="J469" s="6" t="str">
        <f>IFERROR(__xludf.DUMMYFUNCTION("""COMPUTED_VALUE"""),"scenic")</f>
        <v>scenic</v>
      </c>
      <c r="L469" s="6" t="str">
        <f>IFERROR(__xludf.DUMMYFUNCTION("""COMPUTED_VALUE"""),"dare")</f>
        <v>dare</v>
      </c>
      <c r="M469" s="6" t="str">
        <f>IFERROR(__xludf.DUMMYFUNCTION("""COMPUTED_VALUE"""),"set")</f>
        <v>set</v>
      </c>
      <c r="N469" s="6" t="str">
        <f>IFERROR(__xludf.DUMMYFUNCTION("""COMPUTED_VALUE"""),"younger")</f>
        <v>younger</v>
      </c>
      <c r="P469" s="6" t="str">
        <f>IFERROR(__xludf.DUMMYFUNCTION("""COMPUTED_VALUE"""),"subjects")</f>
        <v>subjects</v>
      </c>
      <c r="Q469" s="6" t="str">
        <f>IFERROR(__xludf.DUMMYFUNCTION("""COMPUTED_VALUE"""),"mood")</f>
        <v>mood</v>
      </c>
      <c r="S469" s="6" t="str">
        <f>IFERROR(__xludf.DUMMYFUNCTION("""COMPUTED_VALUE"""),"outstanding")</f>
        <v>outstanding</v>
      </c>
    </row>
    <row r="470">
      <c r="B470" s="6"/>
      <c r="D470" s="6"/>
      <c r="G470" s="6" t="str">
        <f>IFERROR(__xludf.DUMMYFUNCTION("""COMPUTED_VALUE"""),"measured")</f>
        <v>measured</v>
      </c>
      <c r="H470" s="6" t="str">
        <f>IFERROR(__xludf.DUMMYFUNCTION("""COMPUTED_VALUE"""),"edge")</f>
        <v>edge</v>
      </c>
      <c r="I470" s="6" t="str">
        <f>IFERROR(__xludf.DUMMYFUNCTION("""COMPUTED_VALUE"""),"nicholas")</f>
        <v>nicholas</v>
      </c>
      <c r="J470" s="6" t="str">
        <f>IFERROR(__xludf.DUMMYFUNCTION("""COMPUTED_VALUE"""),"allows")</f>
        <v>allows</v>
      </c>
      <c r="L470" s="6" t="str">
        <f>IFERROR(__xludf.DUMMYFUNCTION("""COMPUTED_VALUE"""),"thousand")</f>
        <v>thousand</v>
      </c>
      <c r="M470" s="6" t="str">
        <f>IFERROR(__xludf.DUMMYFUNCTION("""COMPUTED_VALUE"""),"directions")</f>
        <v>directions</v>
      </c>
      <c r="N470" s="6" t="str">
        <f>IFERROR(__xludf.DUMMYFUNCTION("""COMPUTED_VALUE"""),"social")</f>
        <v>social</v>
      </c>
      <c r="P470" s="6" t="str">
        <f>IFERROR(__xludf.DUMMYFUNCTION("""COMPUTED_VALUE"""),"teen")</f>
        <v>teen</v>
      </c>
      <c r="Q470" s="6" t="str">
        <f>IFERROR(__xludf.DUMMYFUNCTION("""COMPUTED_VALUE"""),"indictment")</f>
        <v>indictment</v>
      </c>
      <c r="S470" s="6" t="str">
        <f>IFERROR(__xludf.DUMMYFUNCTION("""COMPUTED_VALUE"""),"excitement")</f>
        <v>excitement</v>
      </c>
    </row>
    <row r="471">
      <c r="B471" s="6"/>
      <c r="D471" s="6"/>
      <c r="G471" s="6" t="str">
        <f>IFERROR(__xludf.DUMMYFUNCTION("""COMPUTED_VALUE"""),"tremendous")</f>
        <v>tremendous</v>
      </c>
      <c r="H471" s="6" t="str">
        <f>IFERROR(__xludf.DUMMYFUNCTION("""COMPUTED_VALUE"""),"satire")</f>
        <v>satire</v>
      </c>
      <c r="I471" s="6" t="str">
        <f>IFERROR(__xludf.DUMMYFUNCTION("""COMPUTED_VALUE"""),"coming")</f>
        <v>coming</v>
      </c>
      <c r="J471" s="6" t="str">
        <f>IFERROR(__xludf.DUMMYFUNCTION("""COMPUTED_VALUE"""),"renowned")</f>
        <v>renowned</v>
      </c>
      <c r="L471" s="6" t="str">
        <f>IFERROR(__xludf.DUMMYFUNCTION("""COMPUTED_VALUE"""),"songs")</f>
        <v>songs</v>
      </c>
      <c r="M471" s="6" t="str">
        <f>IFERROR(__xludf.DUMMYFUNCTION("""COMPUTED_VALUE"""),"lobby")</f>
        <v>lobby</v>
      </c>
      <c r="N471" s="6" t="str">
        <f>IFERROR(__xludf.DUMMYFUNCTION("""COMPUTED_VALUE"""),"marvel")</f>
        <v>marvel</v>
      </c>
      <c r="P471" s="6" t="str">
        <f>IFERROR(__xludf.DUMMYFUNCTION("""COMPUTED_VALUE"""),"sweet")</f>
        <v>sweet</v>
      </c>
      <c r="Q471" s="6" t="str">
        <f>IFERROR(__xludf.DUMMYFUNCTION("""COMPUTED_VALUE"""),"offensive")</f>
        <v>offensive</v>
      </c>
      <c r="S471" s="6" t="str">
        <f>IFERROR(__xludf.DUMMYFUNCTION("""COMPUTED_VALUE"""),"empty")</f>
        <v>empty</v>
      </c>
    </row>
    <row r="472">
      <c r="B472" s="6"/>
      <c r="D472" s="6"/>
      <c r="G472" s="6" t="str">
        <f>IFERROR(__xludf.DUMMYFUNCTION("""COMPUTED_VALUE"""),"aged")</f>
        <v>aged</v>
      </c>
      <c r="H472" s="6" t="str">
        <f>IFERROR(__xludf.DUMMYFUNCTION("""COMPUTED_VALUE"""),"courage")</f>
        <v>courage</v>
      </c>
      <c r="I472" s="6" t="str">
        <f>IFERROR(__xludf.DUMMYFUNCTION("""COMPUTED_VALUE"""),"dogs")</f>
        <v>dogs</v>
      </c>
      <c r="J472" s="6" t="str">
        <f>IFERROR(__xludf.DUMMYFUNCTION("""COMPUTED_VALUE"""),"vibrant")</f>
        <v>vibrant</v>
      </c>
      <c r="L472" s="6" t="str">
        <f>IFERROR(__xludf.DUMMYFUNCTION("""COMPUTED_VALUE"""),"opera")</f>
        <v>opera</v>
      </c>
      <c r="M472" s="6" t="str">
        <f>IFERROR(__xludf.DUMMYFUNCTION("""COMPUTED_VALUE"""),"upon")</f>
        <v>upon</v>
      </c>
      <c r="N472" s="6" t="str">
        <f>IFERROR(__xludf.DUMMYFUNCTION("""COMPUTED_VALUE"""),"flight")</f>
        <v>flight</v>
      </c>
      <c r="P472" s="6" t="str">
        <f>IFERROR(__xludf.DUMMYFUNCTION("""COMPUTED_VALUE"""),"purposes")</f>
        <v>purposes</v>
      </c>
      <c r="Q472" s="6" t="str">
        <f>IFERROR(__xludf.DUMMYFUNCTION("""COMPUTED_VALUE"""),"clause")</f>
        <v>clause</v>
      </c>
      <c r="S472" s="6" t="str">
        <f>IFERROR(__xludf.DUMMYFUNCTION("""COMPUTED_VALUE"""),"greek")</f>
        <v>greek</v>
      </c>
    </row>
    <row r="473">
      <c r="B473" s="6"/>
      <c r="D473" s="6"/>
      <c r="G473" s="6" t="str">
        <f>IFERROR(__xludf.DUMMYFUNCTION("""COMPUTED_VALUE"""),"permits")</f>
        <v>permits</v>
      </c>
      <c r="H473" s="6" t="str">
        <f>IFERROR(__xludf.DUMMYFUNCTION("""COMPUTED_VALUE"""),"embracing")</f>
        <v>embracing</v>
      </c>
      <c r="I473" s="6" t="str">
        <f>IFERROR(__xludf.DUMMYFUNCTION("""COMPUTED_VALUE"""),"pack")</f>
        <v>pack</v>
      </c>
      <c r="J473" s="6" t="str">
        <f>IFERROR(__xludf.DUMMYFUNCTION("""COMPUTED_VALUE"""),"colorful")</f>
        <v>colorful</v>
      </c>
      <c r="L473" s="6" t="str">
        <f>IFERROR(__xludf.DUMMYFUNCTION("""COMPUTED_VALUE"""),"wrestling")</f>
        <v>wrestling</v>
      </c>
      <c r="M473" s="6" t="str">
        <f>IFERROR(__xludf.DUMMYFUNCTION("""COMPUTED_VALUE"""),"handled")</f>
        <v>handled</v>
      </c>
      <c r="N473" s="6" t="str">
        <f>IFERROR(__xludf.DUMMYFUNCTION("""COMPUTED_VALUE"""),"terminal")</f>
        <v>terminal</v>
      </c>
      <c r="P473" s="6" t="str">
        <f>IFERROR(__xludf.DUMMYFUNCTION("""COMPUTED_VALUE"""),"beneath")</f>
        <v>beneath</v>
      </c>
      <c r="Q473" s="6" t="str">
        <f>IFERROR(__xludf.DUMMYFUNCTION("""COMPUTED_VALUE"""),"engage")</f>
        <v>engage</v>
      </c>
      <c r="S473" s="6" t="str">
        <f>IFERROR(__xludf.DUMMYFUNCTION("""COMPUTED_VALUE"""),"wedding")</f>
        <v>wedding</v>
      </c>
    </row>
    <row r="474">
      <c r="B474" s="6"/>
      <c r="D474" s="6"/>
      <c r="G474" s="6" t="str">
        <f>IFERROR(__xludf.DUMMYFUNCTION("""COMPUTED_VALUE"""),"acute")</f>
        <v>acute</v>
      </c>
      <c r="H474" s="6" t="str">
        <f>IFERROR(__xludf.DUMMYFUNCTION("""COMPUTED_VALUE"""),"intellectual")</f>
        <v>intellectual</v>
      </c>
      <c r="I474" s="6" t="str">
        <f>IFERROR(__xludf.DUMMYFUNCTION("""COMPUTED_VALUE"""),"measured")</f>
        <v>measured</v>
      </c>
      <c r="J474" s="6" t="str">
        <f>IFERROR(__xludf.DUMMYFUNCTION("""COMPUTED_VALUE"""),"marvel")</f>
        <v>marvel</v>
      </c>
      <c r="L474" s="6" t="str">
        <f>IFERROR(__xludf.DUMMYFUNCTION("""COMPUTED_VALUE"""),"entertain")</f>
        <v>entertain</v>
      </c>
      <c r="M474" s="6" t="str">
        <f>IFERROR(__xludf.DUMMYFUNCTION("""COMPUTED_VALUE"""),"shower")</f>
        <v>shower</v>
      </c>
      <c r="N474" s="6" t="str">
        <f>IFERROR(__xludf.DUMMYFUNCTION("""COMPUTED_VALUE"""),"brothers")</f>
        <v>brothers</v>
      </c>
      <c r="P474" s="6" t="str">
        <f>IFERROR(__xludf.DUMMYFUNCTION("""COMPUTED_VALUE"""),"construct")</f>
        <v>construct</v>
      </c>
      <c r="Q474" s="6" t="str">
        <f>IFERROR(__xludf.DUMMYFUNCTION("""COMPUTED_VALUE"""),"were")</f>
        <v>were</v>
      </c>
      <c r="S474" s="6" t="str">
        <f>IFERROR(__xludf.DUMMYFUNCTION("""COMPUTED_VALUE"""),"auto")</f>
        <v>auto</v>
      </c>
    </row>
    <row r="475">
      <c r="B475" s="6"/>
      <c r="D475" s="6"/>
      <c r="G475" s="6" t="str">
        <f>IFERROR(__xludf.DUMMYFUNCTION("""COMPUTED_VALUE"""),"spirituality")</f>
        <v>spirituality</v>
      </c>
      <c r="H475" s="6" t="str">
        <f>IFERROR(__xludf.DUMMYFUNCTION("""COMPUTED_VALUE"""),"meditation")</f>
        <v>meditation</v>
      </c>
      <c r="I475" s="6" t="str">
        <f>IFERROR(__xludf.DUMMYFUNCTION("""COMPUTED_VALUE"""),"aged")</f>
        <v>aged</v>
      </c>
      <c r="J475" s="6" t="str">
        <f>IFERROR(__xludf.DUMMYFUNCTION("""COMPUTED_VALUE"""),"sequences")</f>
        <v>sequences</v>
      </c>
      <c r="L475" s="6" t="str">
        <f>IFERROR(__xludf.DUMMYFUNCTION("""COMPUTED_VALUE"""),"siren")</f>
        <v>siren</v>
      </c>
      <c r="M475" s="6" t="str">
        <f>IFERROR(__xludf.DUMMYFUNCTION("""COMPUTED_VALUE"""),"noise")</f>
        <v>noise</v>
      </c>
      <c r="N475" s="6" t="str">
        <f>IFERROR(__xludf.DUMMYFUNCTION("""COMPUTED_VALUE"""),"miracle")</f>
        <v>miracle</v>
      </c>
      <c r="P475" s="6" t="str">
        <f>IFERROR(__xludf.DUMMYFUNCTION("""COMPUTED_VALUE"""),"trace")</f>
        <v>trace</v>
      </c>
      <c r="Q475" s="6" t="str">
        <f>IFERROR(__xludf.DUMMYFUNCTION("""COMPUTED_VALUE"""),"loose")</f>
        <v>loose</v>
      </c>
      <c r="S475" s="6" t="str">
        <f>IFERROR(__xludf.DUMMYFUNCTION("""COMPUTED_VALUE"""),"slow")</f>
        <v>slow</v>
      </c>
    </row>
    <row r="476">
      <c r="B476" s="6"/>
      <c r="D476" s="6"/>
      <c r="G476" s="6" t="str">
        <f>IFERROR(__xludf.DUMMYFUNCTION("""COMPUTED_VALUE"""),"burr")</f>
        <v>burr</v>
      </c>
      <c r="H476" s="6" t="str">
        <f>IFERROR(__xludf.DUMMYFUNCTION("""COMPUTED_VALUE"""),"freddy")</f>
        <v>freddy</v>
      </c>
      <c r="I476" s="6" t="str">
        <f>IFERROR(__xludf.DUMMYFUNCTION("""COMPUTED_VALUE"""),"eddie")</f>
        <v>eddie</v>
      </c>
      <c r="J476" s="6" t="str">
        <f>IFERROR(__xludf.DUMMYFUNCTION("""COMPUTED_VALUE"""),"pulls")</f>
        <v>pulls</v>
      </c>
      <c r="L476" s="6" t="str">
        <f>IFERROR(__xludf.DUMMYFUNCTION("""COMPUTED_VALUE"""),"documentary")</f>
        <v>documentary</v>
      </c>
      <c r="M476" s="6" t="str">
        <f>IFERROR(__xludf.DUMMYFUNCTION("""COMPUTED_VALUE"""),"interviews")</f>
        <v>interviews</v>
      </c>
      <c r="N476" s="6" t="str">
        <f>IFERROR(__xludf.DUMMYFUNCTION("""COMPUTED_VALUE"""),"martha")</f>
        <v>martha</v>
      </c>
      <c r="P476" s="6" t="str">
        <f>IFERROR(__xludf.DUMMYFUNCTION("""COMPUTED_VALUE"""),"knows")</f>
        <v>knows</v>
      </c>
      <c r="Q476" s="6" t="str">
        <f>IFERROR(__xludf.DUMMYFUNCTION("""COMPUTED_VALUE"""),"revealing")</f>
        <v>revealing</v>
      </c>
      <c r="S476" s="6" t="str">
        <f>IFERROR(__xludf.DUMMYFUNCTION("""COMPUTED_VALUE"""),"marking")</f>
        <v>marking</v>
      </c>
    </row>
    <row r="477">
      <c r="B477" s="6"/>
      <c r="D477" s="6"/>
      <c r="G477" s="6" t="str">
        <f>IFERROR(__xludf.DUMMYFUNCTION("""COMPUTED_VALUE"""),"punching")</f>
        <v>punching</v>
      </c>
      <c r="H477" s="6" t="str">
        <f>IFERROR(__xludf.DUMMYFUNCTION("""COMPUTED_VALUE"""),"stereotypes")</f>
        <v>stereotypes</v>
      </c>
      <c r="I477" s="6" t="str">
        <f>IFERROR(__xludf.DUMMYFUNCTION("""COMPUTED_VALUE"""),"liberation")</f>
        <v>liberation</v>
      </c>
      <c r="J477" s="6" t="str">
        <f>IFERROR(__xludf.DUMMYFUNCTION("""COMPUTED_VALUE"""),"illustrates")</f>
        <v>illustrates</v>
      </c>
      <c r="L477" s="6" t="str">
        <f>IFERROR(__xludf.DUMMYFUNCTION("""COMPUTED_VALUE"""),"prevents")</f>
        <v>prevents</v>
      </c>
      <c r="M477" s="6" t="str">
        <f>IFERROR(__xludf.DUMMYFUNCTION("""COMPUTED_VALUE"""),"shore")</f>
        <v>shore</v>
      </c>
      <c r="N477" s="6" t="str">
        <f>IFERROR(__xludf.DUMMYFUNCTION("""COMPUTED_VALUE"""),"rug")</f>
        <v>rug</v>
      </c>
      <c r="P477" s="6" t="str">
        <f>IFERROR(__xludf.DUMMYFUNCTION("""COMPUTED_VALUE"""),"debt")</f>
        <v>debt</v>
      </c>
      <c r="Q477" s="6" t="str">
        <f>IFERROR(__xludf.DUMMYFUNCTION("""COMPUTED_VALUE"""),"job")</f>
        <v>job</v>
      </c>
      <c r="S477" s="6" t="str">
        <f>IFERROR(__xludf.DUMMYFUNCTION("""COMPUTED_VALUE"""),"turns")</f>
        <v>turns</v>
      </c>
    </row>
    <row r="478">
      <c r="B478" s="6"/>
      <c r="D478" s="6"/>
      <c r="G478" s="6" t="str">
        <f>IFERROR(__xludf.DUMMYFUNCTION("""COMPUTED_VALUE"""),"moved")</f>
        <v>moved</v>
      </c>
      <c r="H478" s="6" t="str">
        <f>IFERROR(__xludf.DUMMYFUNCTION("""COMPUTED_VALUE"""),"outsiders")</f>
        <v>outsiders</v>
      </c>
      <c r="I478" s="6" t="str">
        <f>IFERROR(__xludf.DUMMYFUNCTION("""COMPUTED_VALUE"""),"dynamic")</f>
        <v>dynamic</v>
      </c>
      <c r="J478" s="6" t="str">
        <f>IFERROR(__xludf.DUMMYFUNCTION("""COMPUTED_VALUE"""),"result")</f>
        <v>result</v>
      </c>
      <c r="L478" s="6" t="str">
        <f>IFERROR(__xludf.DUMMYFUNCTION("""COMPUTED_VALUE"""),"effort")</f>
        <v>effort</v>
      </c>
      <c r="M478" s="6" t="str">
        <f>IFERROR(__xludf.DUMMYFUNCTION("""COMPUTED_VALUE"""),"channel")</f>
        <v>channel</v>
      </c>
      <c r="N478" s="6" t="str">
        <f>IFERROR(__xludf.DUMMYFUNCTION("""COMPUTED_VALUE"""),"shooting")</f>
        <v>shooting</v>
      </c>
      <c r="P478" s="6" t="str">
        <f>IFERROR(__xludf.DUMMYFUNCTION("""COMPUTED_VALUE"""),"laughed")</f>
        <v>laughed</v>
      </c>
      <c r="Q478" s="6" t="str">
        <f>IFERROR(__xludf.DUMMYFUNCTION("""COMPUTED_VALUE"""),"illumination")</f>
        <v>illumination</v>
      </c>
      <c r="S478" s="6" t="str">
        <f>IFERROR(__xludf.DUMMYFUNCTION("""COMPUTED_VALUE"""),"gradually")</f>
        <v>gradually</v>
      </c>
    </row>
    <row r="479">
      <c r="B479" s="6"/>
      <c r="D479" s="6"/>
      <c r="G479" s="6" t="str">
        <f>IFERROR(__xludf.DUMMYFUNCTION("""COMPUTED_VALUE"""),"reckless")</f>
        <v>reckless</v>
      </c>
      <c r="H479" s="6" t="str">
        <f>IFERROR(__xludf.DUMMYFUNCTION("""COMPUTED_VALUE"""),"bore")</f>
        <v>bore</v>
      </c>
      <c r="I479" s="6" t="str">
        <f>IFERROR(__xludf.DUMMYFUNCTION("""COMPUTED_VALUE"""),"moved")</f>
        <v>moved</v>
      </c>
      <c r="J479" s="6" t="str">
        <f>IFERROR(__xludf.DUMMYFUNCTION("""COMPUTED_VALUE"""),"emerging")</f>
        <v>emerging</v>
      </c>
      <c r="L479" s="6" t="str">
        <f>IFERROR(__xludf.DUMMYFUNCTION("""COMPUTED_VALUE"""),"bears")</f>
        <v>bears</v>
      </c>
      <c r="M479" s="6" t="str">
        <f>IFERROR(__xludf.DUMMYFUNCTION("""COMPUTED_VALUE"""),"tv")</f>
        <v>tv</v>
      </c>
      <c r="N479" s="6" t="str">
        <f>IFERROR(__xludf.DUMMYFUNCTION("""COMPUTED_VALUE"""),"adequately")</f>
        <v>adequately</v>
      </c>
      <c r="P479" s="6" t="str">
        <f>IFERROR(__xludf.DUMMYFUNCTION("""COMPUTED_VALUE"""),"laughter")</f>
        <v>laughter</v>
      </c>
      <c r="Q479" s="6" t="str">
        <f>IFERROR(__xludf.DUMMYFUNCTION("""COMPUTED_VALUE"""),"created")</f>
        <v>created</v>
      </c>
      <c r="S479" s="6">
        <f>IFERROR(__xludf.DUMMYFUNCTION("""COMPUTED_VALUE"""),2002.0)</f>
        <v>2002</v>
      </c>
    </row>
    <row r="480">
      <c r="B480" s="6"/>
      <c r="D480" s="6"/>
      <c r="G480" s="6" t="str">
        <f>IFERROR(__xludf.DUMMYFUNCTION("""COMPUTED_VALUE"""),"startling")</f>
        <v>startling</v>
      </c>
      <c r="H480" s="6" t="str">
        <f>IFERROR(__xludf.DUMMYFUNCTION("""COMPUTED_VALUE"""),"involving")</f>
        <v>involving</v>
      </c>
      <c r="I480" s="6" t="str">
        <f>IFERROR(__xludf.DUMMYFUNCTION("""COMPUTED_VALUE"""),"cia")</f>
        <v>cia</v>
      </c>
      <c r="J480" s="6" t="str">
        <f>IFERROR(__xludf.DUMMYFUNCTION("""COMPUTED_VALUE"""),"entity")</f>
        <v>entity</v>
      </c>
      <c r="L480" s="6" t="str">
        <f>IFERROR(__xludf.DUMMYFUNCTION("""COMPUTED_VALUE"""),"justice")</f>
        <v>justice</v>
      </c>
      <c r="M480" s="6" t="str">
        <f>IFERROR(__xludf.DUMMYFUNCTION("""COMPUTED_VALUE"""),"problems")</f>
        <v>problems</v>
      </c>
      <c r="N480" s="6" t="str">
        <f>IFERROR(__xludf.DUMMYFUNCTION("""COMPUTED_VALUE"""),"straight")</f>
        <v>straight</v>
      </c>
      <c r="P480" s="6" t="str">
        <f>IFERROR(__xludf.DUMMYFUNCTION("""COMPUTED_VALUE"""),"need")</f>
        <v>need</v>
      </c>
      <c r="Q480" s="6" t="str">
        <f>IFERROR(__xludf.DUMMYFUNCTION("""COMPUTED_VALUE"""),"chilling")</f>
        <v>chilling</v>
      </c>
      <c r="S480" s="6" t="str">
        <f>IFERROR(__xludf.DUMMYFUNCTION("""COMPUTED_VALUE"""),"historical")</f>
        <v>historical</v>
      </c>
    </row>
    <row r="481">
      <c r="B481" s="6"/>
      <c r="D481" s="6"/>
      <c r="G481" s="6" t="str">
        <f>IFERROR(__xludf.DUMMYFUNCTION("""COMPUTED_VALUE"""),"widow")</f>
        <v>widow</v>
      </c>
      <c r="H481" s="6" t="str">
        <f>IFERROR(__xludf.DUMMYFUNCTION("""COMPUTED_VALUE"""),"universal")</f>
        <v>universal</v>
      </c>
      <c r="I481" s="6" t="str">
        <f>IFERROR(__xludf.DUMMYFUNCTION("""COMPUTED_VALUE"""),"changing")</f>
        <v>changing</v>
      </c>
      <c r="J481" s="6" t="str">
        <f>IFERROR(__xludf.DUMMYFUNCTION("""COMPUTED_VALUE"""),"pianist")</f>
        <v>pianist</v>
      </c>
      <c r="L481" s="6" t="str">
        <f>IFERROR(__xludf.DUMMYFUNCTION("""COMPUTED_VALUE"""),"force")</f>
        <v>force</v>
      </c>
      <c r="M481" s="6" t="str">
        <f>IFERROR(__xludf.DUMMYFUNCTION("""COMPUTED_VALUE"""),"finding")</f>
        <v>finding</v>
      </c>
      <c r="N481" s="6" t="str">
        <f>IFERROR(__xludf.DUMMYFUNCTION("""COMPUTED_VALUE"""),"turkey")</f>
        <v>turkey</v>
      </c>
      <c r="P481" s="6" t="str">
        <f>IFERROR(__xludf.DUMMYFUNCTION("""COMPUTED_VALUE"""),"laws")</f>
        <v>laws</v>
      </c>
      <c r="Q481" s="6" t="str">
        <f>IFERROR(__xludf.DUMMYFUNCTION("""COMPUTED_VALUE"""),"reefs")</f>
        <v>reefs</v>
      </c>
      <c r="S481" s="6" t="str">
        <f>IFERROR(__xludf.DUMMYFUNCTION("""COMPUTED_VALUE"""),"modern")</f>
        <v>modern</v>
      </c>
    </row>
    <row r="482">
      <c r="B482" s="6"/>
      <c r="D482" s="6"/>
      <c r="G482" s="6" t="str">
        <f>IFERROR(__xludf.DUMMYFUNCTION("""COMPUTED_VALUE"""),"french")</f>
        <v>french</v>
      </c>
      <c r="H482" s="6" t="str">
        <f>IFERROR(__xludf.DUMMYFUNCTION("""COMPUTED_VALUE"""),"titular")</f>
        <v>titular</v>
      </c>
      <c r="I482" s="6" t="str">
        <f>IFERROR(__xludf.DUMMYFUNCTION("""COMPUTED_VALUE"""),"transformation")</f>
        <v>transformation</v>
      </c>
      <c r="J482" s="6" t="str">
        <f>IFERROR(__xludf.DUMMYFUNCTION("""COMPUTED_VALUE"""),"detached")</f>
        <v>detached</v>
      </c>
      <c r="L482" s="6" t="str">
        <f>IFERROR(__xludf.DUMMYFUNCTION("""COMPUTED_VALUE"""),"insights")</f>
        <v>insights</v>
      </c>
      <c r="M482" s="6" t="str">
        <f>IFERROR(__xludf.DUMMYFUNCTION("""COMPUTED_VALUE"""),"enter")</f>
        <v>enter</v>
      </c>
      <c r="N482" s="6" t="str">
        <f>IFERROR(__xludf.DUMMYFUNCTION("""COMPUTED_VALUE"""),"elevated")</f>
        <v>elevated</v>
      </c>
      <c r="P482" s="6" t="str">
        <f>IFERROR(__xludf.DUMMYFUNCTION("""COMPUTED_VALUE"""),"philosophical")</f>
        <v>philosophical</v>
      </c>
      <c r="Q482" s="6" t="str">
        <f>IFERROR(__xludf.DUMMYFUNCTION("""COMPUTED_VALUE"""),"deep")</f>
        <v>deep</v>
      </c>
      <c r="S482" s="6" t="str">
        <f>IFERROR(__xludf.DUMMYFUNCTION("""COMPUTED_VALUE"""),"solid")</f>
        <v>solid</v>
      </c>
    </row>
    <row r="483">
      <c r="B483" s="6"/>
      <c r="D483" s="6"/>
      <c r="G483" s="6" t="str">
        <f>IFERROR(__xludf.DUMMYFUNCTION("""COMPUTED_VALUE"""),"devoid")</f>
        <v>devoid</v>
      </c>
      <c r="H483" s="6" t="str">
        <f>IFERROR(__xludf.DUMMYFUNCTION("""COMPUTED_VALUE"""),"sands")</f>
        <v>sands</v>
      </c>
      <c r="I483" s="6" t="str">
        <f>IFERROR(__xludf.DUMMYFUNCTION("""COMPUTED_VALUE"""),"widow")</f>
        <v>widow</v>
      </c>
      <c r="J483" s="6" t="str">
        <f>IFERROR(__xludf.DUMMYFUNCTION("""COMPUTED_VALUE"""),"lush")</f>
        <v>lush</v>
      </c>
      <c r="L483" s="6" t="str">
        <f>IFERROR(__xludf.DUMMYFUNCTION("""COMPUTED_VALUE"""),"traditions")</f>
        <v>traditions</v>
      </c>
      <c r="M483" s="6" t="str">
        <f>IFERROR(__xludf.DUMMYFUNCTION("""COMPUTED_VALUE"""),"sides")</f>
        <v>sides</v>
      </c>
      <c r="N483" s="6" t="str">
        <f>IFERROR(__xludf.DUMMYFUNCTION("""COMPUTED_VALUE"""),"japan")</f>
        <v>japan</v>
      </c>
      <c r="P483" s="6" t="str">
        <f>IFERROR(__xludf.DUMMYFUNCTION("""COMPUTED_VALUE"""),"drag")</f>
        <v>drag</v>
      </c>
      <c r="Q483" s="6" t="str">
        <f>IFERROR(__xludf.DUMMYFUNCTION("""COMPUTED_VALUE"""),"supernatural")</f>
        <v>supernatural</v>
      </c>
      <c r="S483" s="6" t="str">
        <f>IFERROR(__xludf.DUMMYFUNCTION("""COMPUTED_VALUE"""),"stupid")</f>
        <v>stupid</v>
      </c>
    </row>
    <row r="484">
      <c r="B484" s="6"/>
      <c r="D484" s="6"/>
      <c r="G484" s="6" t="str">
        <f>IFERROR(__xludf.DUMMYFUNCTION("""COMPUTED_VALUE"""),"fatal")</f>
        <v>fatal</v>
      </c>
      <c r="H484" s="6" t="str">
        <f>IFERROR(__xludf.DUMMYFUNCTION("""COMPUTED_VALUE"""),"edited")</f>
        <v>edited</v>
      </c>
      <c r="I484" s="6" t="str">
        <f>IFERROR(__xludf.DUMMYFUNCTION("""COMPUTED_VALUE"""),"french")</f>
        <v>french</v>
      </c>
      <c r="J484" s="6" t="str">
        <f>IFERROR(__xludf.DUMMYFUNCTION("""COMPUTED_VALUE"""),"martha")</f>
        <v>martha</v>
      </c>
      <c r="L484" s="6" t="str">
        <f>IFERROR(__xludf.DUMMYFUNCTION("""COMPUTED_VALUE"""),"display")</f>
        <v>display</v>
      </c>
      <c r="M484" s="6" t="str">
        <f>IFERROR(__xludf.DUMMYFUNCTION("""COMPUTED_VALUE"""),"women")</f>
        <v>women</v>
      </c>
      <c r="N484" s="6" t="str">
        <f>IFERROR(__xludf.DUMMYFUNCTION("""COMPUTED_VALUE"""),"nail")</f>
        <v>nail</v>
      </c>
      <c r="P484" s="6" t="str">
        <f>IFERROR(__xludf.DUMMYFUNCTION("""COMPUTED_VALUE"""),"required")</f>
        <v>required</v>
      </c>
      <c r="Q484" s="6" t="str">
        <f>IFERROR(__xludf.DUMMYFUNCTION("""COMPUTED_VALUE"""),"submarine")</f>
        <v>submarine</v>
      </c>
      <c r="S484" s="6" t="str">
        <f>IFERROR(__xludf.DUMMYFUNCTION("""COMPUTED_VALUE"""),"elements")</f>
        <v>elements</v>
      </c>
    </row>
    <row r="485">
      <c r="B485" s="6"/>
      <c r="D485" s="6"/>
      <c r="G485" s="6" t="str">
        <f>IFERROR(__xludf.DUMMYFUNCTION("""COMPUTED_VALUE"""),"glossy")</f>
        <v>glossy</v>
      </c>
      <c r="H485" s="6" t="str">
        <f>IFERROR(__xludf.DUMMYFUNCTION("""COMPUTED_VALUE"""),"unnecessary")</f>
        <v>unnecessary</v>
      </c>
      <c r="I485" s="6" t="str">
        <f>IFERROR(__xludf.DUMMYFUNCTION("""COMPUTED_VALUE"""),"wonder")</f>
        <v>wonder</v>
      </c>
      <c r="J485" s="6" t="str">
        <f>IFERROR(__xludf.DUMMYFUNCTION("""COMPUTED_VALUE"""),"rapid")</f>
        <v>rapid</v>
      </c>
      <c r="L485" s="6" t="str">
        <f>IFERROR(__xludf.DUMMYFUNCTION("""COMPUTED_VALUE"""),"masculine")</f>
        <v>masculine</v>
      </c>
      <c r="M485" s="6" t="str">
        <f>IFERROR(__xludf.DUMMYFUNCTION("""COMPUTED_VALUE"""),"mine")</f>
        <v>mine</v>
      </c>
      <c r="N485" s="6" t="str">
        <f>IFERROR(__xludf.DUMMYFUNCTION("""COMPUTED_VALUE"""),"syrup")</f>
        <v>syrup</v>
      </c>
      <c r="P485" s="6" t="str">
        <f>IFERROR(__xludf.DUMMYFUNCTION("""COMPUTED_VALUE"""),"hop")</f>
        <v>hop</v>
      </c>
      <c r="Q485" s="6" t="str">
        <f>IFERROR(__xludf.DUMMYFUNCTION("""COMPUTED_VALUE"""),"grand")</f>
        <v>grand</v>
      </c>
      <c r="S485" s="6" t="str">
        <f>IFERROR(__xludf.DUMMYFUNCTION("""COMPUTED_VALUE"""),"mood")</f>
        <v>mood</v>
      </c>
    </row>
    <row r="486">
      <c r="B486" s="6"/>
      <c r="D486" s="6"/>
      <c r="G486" s="6" t="str">
        <f>IFERROR(__xludf.DUMMYFUNCTION("""COMPUTED_VALUE"""),"waters")</f>
        <v>waters</v>
      </c>
      <c r="H486" s="6" t="str">
        <f>IFERROR(__xludf.DUMMYFUNCTION("""COMPUTED_VALUE"""),"badly")</f>
        <v>badly</v>
      </c>
      <c r="I486" s="6" t="str">
        <f>IFERROR(__xludf.DUMMYFUNCTION("""COMPUTED_VALUE"""),"waters")</f>
        <v>waters</v>
      </c>
      <c r="J486" s="6" t="str">
        <f>IFERROR(__xludf.DUMMYFUNCTION("""COMPUTED_VALUE"""),"virtually")</f>
        <v>virtually</v>
      </c>
      <c r="L486" s="6" t="str">
        <f>IFERROR(__xludf.DUMMYFUNCTION("""COMPUTED_VALUE"""),"vaguely")</f>
        <v>vaguely</v>
      </c>
      <c r="M486" s="6" t="str">
        <f>IFERROR(__xludf.DUMMYFUNCTION("""COMPUTED_VALUE"""),"wise")</f>
        <v>wise</v>
      </c>
      <c r="N486" s="6" t="str">
        <f>IFERROR(__xludf.DUMMYFUNCTION("""COMPUTED_VALUE"""),"chosen")</f>
        <v>chosen</v>
      </c>
      <c r="P486" s="6" t="str">
        <f>IFERROR(__xludf.DUMMYFUNCTION("""COMPUTED_VALUE"""),"literary")</f>
        <v>literary</v>
      </c>
      <c r="Q486" s="6" t="str">
        <f>IFERROR(__xludf.DUMMYFUNCTION("""COMPUTED_VALUE"""),"found")</f>
        <v>found</v>
      </c>
      <c r="S486" s="6" t="str">
        <f>IFERROR(__xludf.DUMMYFUNCTION("""COMPUTED_VALUE"""),"heated")</f>
        <v>heated</v>
      </c>
    </row>
    <row r="487">
      <c r="B487" s="6"/>
      <c r="D487" s="6"/>
      <c r="G487" s="6" t="str">
        <f>IFERROR(__xludf.DUMMYFUNCTION("""COMPUTED_VALUE"""),"surprising")</f>
        <v>surprising</v>
      </c>
      <c r="H487" s="6" t="str">
        <f>IFERROR(__xludf.DUMMYFUNCTION("""COMPUTED_VALUE"""),"simone")</f>
        <v>simone</v>
      </c>
      <c r="I487" s="6" t="str">
        <f>IFERROR(__xludf.DUMMYFUNCTION("""COMPUTED_VALUE"""),"qualify")</f>
        <v>qualify</v>
      </c>
      <c r="J487" s="6" t="str">
        <f>IFERROR(__xludf.DUMMYFUNCTION("""COMPUTED_VALUE"""),"clever")</f>
        <v>clever</v>
      </c>
      <c r="L487" s="6" t="str">
        <f>IFERROR(__xludf.DUMMYFUNCTION("""COMPUTED_VALUE"""),"flick")</f>
        <v>flick</v>
      </c>
      <c r="M487" s="6" t="str">
        <f>IFERROR(__xludf.DUMMYFUNCTION("""COMPUTED_VALUE"""),"letting")</f>
        <v>letting</v>
      </c>
      <c r="N487" s="6" t="str">
        <f>IFERROR(__xludf.DUMMYFUNCTION("""COMPUTED_VALUE"""),"bag")</f>
        <v>bag</v>
      </c>
      <c r="P487" s="6" t="str">
        <f>IFERROR(__xludf.DUMMYFUNCTION("""COMPUTED_VALUE"""),"distant")</f>
        <v>distant</v>
      </c>
      <c r="Q487" s="6" t="str">
        <f>IFERROR(__xludf.DUMMYFUNCTION("""COMPUTED_VALUE"""),"avid")</f>
        <v>avid</v>
      </c>
      <c r="S487" s="6" t="str">
        <f>IFERROR(__xludf.DUMMYFUNCTION("""COMPUTED_VALUE"""),"across")</f>
        <v>across</v>
      </c>
    </row>
    <row r="488">
      <c r="B488" s="6"/>
      <c r="D488" s="6"/>
      <c r="G488" s="6" t="str">
        <f>IFERROR(__xludf.DUMMYFUNCTION("""COMPUTED_VALUE"""),"bollywood")</f>
        <v>bollywood</v>
      </c>
      <c r="H488" s="6" t="str">
        <f>IFERROR(__xludf.DUMMYFUNCTION("""COMPUTED_VALUE"""),"check")</f>
        <v>check</v>
      </c>
      <c r="I488" s="6" t="str">
        <f>IFERROR(__xludf.DUMMYFUNCTION("""COMPUTED_VALUE"""),"followed")</f>
        <v>followed</v>
      </c>
      <c r="J488" s="6" t="str">
        <f>IFERROR(__xludf.DUMMYFUNCTION("""COMPUTED_VALUE"""),"plunging")</f>
        <v>plunging</v>
      </c>
      <c r="L488" s="6" t="str">
        <f>IFERROR(__xludf.DUMMYFUNCTION("""COMPUTED_VALUE"""),"gloss")</f>
        <v>gloss</v>
      </c>
      <c r="M488" s="6" t="str">
        <f>IFERROR(__xludf.DUMMYFUNCTION("""COMPUTED_VALUE"""),"reasons")</f>
        <v>reasons</v>
      </c>
      <c r="N488" s="6" t="str">
        <f>IFERROR(__xludf.DUMMYFUNCTION("""COMPUTED_VALUE"""),"mainly")</f>
        <v>mainly</v>
      </c>
      <c r="P488" s="6" t="str">
        <f>IFERROR(__xludf.DUMMYFUNCTION("""COMPUTED_VALUE"""),"accomplished")</f>
        <v>accomplished</v>
      </c>
      <c r="Q488" s="6" t="str">
        <f>IFERROR(__xludf.DUMMYFUNCTION("""COMPUTED_VALUE"""),"star")</f>
        <v>star</v>
      </c>
      <c r="S488" s="6" t="str">
        <f>IFERROR(__xludf.DUMMYFUNCTION("""COMPUTED_VALUE"""),"finally")</f>
        <v>finally</v>
      </c>
    </row>
    <row r="489">
      <c r="B489" s="6"/>
      <c r="D489" s="6"/>
      <c r="G489" s="6" t="str">
        <f>IFERROR(__xludf.DUMMYFUNCTION("""COMPUTED_VALUE"""),"remotely")</f>
        <v>remotely</v>
      </c>
      <c r="H489" s="6" t="str">
        <f>IFERROR(__xludf.DUMMYFUNCTION("""COMPUTED_VALUE"""),"ticket")</f>
        <v>ticket</v>
      </c>
      <c r="I489" s="6" t="str">
        <f>IFERROR(__xludf.DUMMYFUNCTION("""COMPUTED_VALUE"""),"nelson")</f>
        <v>nelson</v>
      </c>
      <c r="J489" s="6" t="str">
        <f>IFERROR(__xludf.DUMMYFUNCTION("""COMPUTED_VALUE"""),"intense")</f>
        <v>intense</v>
      </c>
      <c r="L489" s="6" t="str">
        <f>IFERROR(__xludf.DUMMYFUNCTION("""COMPUTED_VALUE"""),"plans")</f>
        <v>plans</v>
      </c>
      <c r="M489" s="6" t="str">
        <f>IFERROR(__xludf.DUMMYFUNCTION("""COMPUTED_VALUE"""),"vietnam")</f>
        <v>vietnam</v>
      </c>
      <c r="N489" s="6" t="str">
        <f>IFERROR(__xludf.DUMMYFUNCTION("""COMPUTED_VALUE"""),"realize")</f>
        <v>realize</v>
      </c>
      <c r="P489" s="6" t="str">
        <f>IFERROR(__xludf.DUMMYFUNCTION("""COMPUTED_VALUE"""),"fears")</f>
        <v>fears</v>
      </c>
      <c r="Q489" s="6" t="str">
        <f>IFERROR(__xludf.DUMMYFUNCTION("""COMPUTED_VALUE"""),"simulate")</f>
        <v>simulate</v>
      </c>
      <c r="S489" s="6" t="str">
        <f>IFERROR(__xludf.DUMMYFUNCTION("""COMPUTED_VALUE"""),"offensive")</f>
        <v>offensive</v>
      </c>
    </row>
    <row r="490">
      <c r="B490" s="6"/>
      <c r="D490" s="6"/>
      <c r="G490" s="6" t="str">
        <f>IFERROR(__xludf.DUMMYFUNCTION("""COMPUTED_VALUE"""),"profoundly")</f>
        <v>profoundly</v>
      </c>
      <c r="H490" s="6" t="str">
        <f>IFERROR(__xludf.DUMMYFUNCTION("""COMPUTED_VALUE"""),"pantheon")</f>
        <v>pantheon</v>
      </c>
      <c r="I490" s="6" t="str">
        <f>IFERROR(__xludf.DUMMYFUNCTION("""COMPUTED_VALUE"""),"possibility")</f>
        <v>possibility</v>
      </c>
      <c r="J490" s="6" t="str">
        <f>IFERROR(__xludf.DUMMYFUNCTION("""COMPUTED_VALUE"""),"sides")</f>
        <v>sides</v>
      </c>
      <c r="L490" s="6" t="str">
        <f>IFERROR(__xludf.DUMMYFUNCTION("""COMPUTED_VALUE"""),"geared")</f>
        <v>geared</v>
      </c>
      <c r="M490" s="6" t="str">
        <f>IFERROR(__xludf.DUMMYFUNCTION("""COMPUTED_VALUE"""),"extra")</f>
        <v>extra</v>
      </c>
      <c r="N490" s="6" t="str">
        <f>IFERROR(__xludf.DUMMYFUNCTION("""COMPUTED_VALUE"""),"spare")</f>
        <v>spare</v>
      </c>
      <c r="P490" s="6" t="str">
        <f>IFERROR(__xludf.DUMMYFUNCTION("""COMPUTED_VALUE"""),"portrait")</f>
        <v>portrait</v>
      </c>
      <c r="Q490" s="6" t="str">
        <f>IFERROR(__xludf.DUMMYFUNCTION("""COMPUTED_VALUE"""),"shovel")</f>
        <v>shovel</v>
      </c>
      <c r="S490" s="6" t="str">
        <f>IFERROR(__xludf.DUMMYFUNCTION("""COMPUTED_VALUE"""),"children")</f>
        <v>children</v>
      </c>
    </row>
    <row r="491">
      <c r="B491" s="6"/>
      <c r="D491" s="6"/>
      <c r="G491" s="6" t="str">
        <f>IFERROR(__xludf.DUMMYFUNCTION("""COMPUTED_VALUE"""),"followed")</f>
        <v>followed</v>
      </c>
      <c r="H491" s="6" t="str">
        <f>IFERROR(__xludf.DUMMYFUNCTION("""COMPUTED_VALUE"""),"complicated")</f>
        <v>complicated</v>
      </c>
      <c r="I491" s="6" t="str">
        <f>IFERROR(__xludf.DUMMYFUNCTION("""COMPUTED_VALUE"""),"lopez")</f>
        <v>lopez</v>
      </c>
      <c r="J491" s="6" t="str">
        <f>IFERROR(__xludf.DUMMYFUNCTION("""COMPUTED_VALUE"""),"pulling")</f>
        <v>pulling</v>
      </c>
      <c r="L491" s="6" t="str">
        <f>IFERROR(__xludf.DUMMYFUNCTION("""COMPUTED_VALUE"""),"drown")</f>
        <v>drown</v>
      </c>
      <c r="M491" s="6" t="str">
        <f>IFERROR(__xludf.DUMMYFUNCTION("""COMPUTED_VALUE"""),"sense")</f>
        <v>sense</v>
      </c>
      <c r="N491" s="6" t="str">
        <f>IFERROR(__xludf.DUMMYFUNCTION("""COMPUTED_VALUE"""),"weight")</f>
        <v>weight</v>
      </c>
      <c r="P491" s="6" t="str">
        <f>IFERROR(__xludf.DUMMYFUNCTION("""COMPUTED_VALUE"""),"rare")</f>
        <v>rare</v>
      </c>
      <c r="Q491" s="6" t="str">
        <f>IFERROR(__xludf.DUMMYFUNCTION("""COMPUTED_VALUE"""),"idiots")</f>
        <v>idiots</v>
      </c>
      <c r="S491" s="6" t="str">
        <f>IFERROR(__xludf.DUMMYFUNCTION("""COMPUTED_VALUE"""),"santa")</f>
        <v>santa</v>
      </c>
    </row>
    <row r="492">
      <c r="B492" s="6"/>
      <c r="D492" s="6"/>
      <c r="G492" s="6" t="str">
        <f>IFERROR(__xludf.DUMMYFUNCTION("""COMPUTED_VALUE"""),"poetic")</f>
        <v>poetic</v>
      </c>
      <c r="H492" s="6" t="str">
        <f>IFERROR(__xludf.DUMMYFUNCTION("""COMPUTED_VALUE"""),"comedic")</f>
        <v>comedic</v>
      </c>
      <c r="I492" s="6" t="str">
        <f>IFERROR(__xludf.DUMMYFUNCTION("""COMPUTED_VALUE"""),"relationships")</f>
        <v>relationships</v>
      </c>
      <c r="J492" s="6" t="str">
        <f>IFERROR(__xludf.DUMMYFUNCTION("""COMPUTED_VALUE"""),"faithful")</f>
        <v>faithful</v>
      </c>
      <c r="L492" s="6" t="str">
        <f>IFERROR(__xludf.DUMMYFUNCTION("""COMPUTED_VALUE"""),"enacted")</f>
        <v>enacted</v>
      </c>
      <c r="M492" s="6" t="str">
        <f>IFERROR(__xludf.DUMMYFUNCTION("""COMPUTED_VALUE"""),"thick")</f>
        <v>thick</v>
      </c>
      <c r="N492" s="6" t="str">
        <f>IFERROR(__xludf.DUMMYFUNCTION("""COMPUTED_VALUE"""),"strength")</f>
        <v>strength</v>
      </c>
      <c r="P492" s="6" t="str">
        <f>IFERROR(__xludf.DUMMYFUNCTION("""COMPUTED_VALUE"""),"draws")</f>
        <v>draws</v>
      </c>
      <c r="Q492" s="6" t="str">
        <f>IFERROR(__xludf.DUMMYFUNCTION("""COMPUTED_VALUE"""),"spirit")</f>
        <v>spirit</v>
      </c>
      <c r="S492" s="6" t="str">
        <f>IFERROR(__xludf.DUMMYFUNCTION("""COMPUTED_VALUE"""),"engage")</f>
        <v>engage</v>
      </c>
    </row>
    <row r="493">
      <c r="B493" s="6"/>
      <c r="D493" s="6"/>
      <c r="G493" s="6" t="str">
        <f>IFERROR(__xludf.DUMMYFUNCTION("""COMPUTED_VALUE"""),"brilliance")</f>
        <v>brilliance</v>
      </c>
      <c r="H493" s="6" t="str">
        <f>IFERROR(__xludf.DUMMYFUNCTION("""COMPUTED_VALUE"""),"ensemble")</f>
        <v>ensemble</v>
      </c>
      <c r="I493" s="6" t="str">
        <f>IFERROR(__xludf.DUMMYFUNCTION("""COMPUTED_VALUE"""),"anderson")</f>
        <v>anderson</v>
      </c>
      <c r="J493" s="6" t="str">
        <f>IFERROR(__xludf.DUMMYFUNCTION("""COMPUTED_VALUE"""),"exaggerated")</f>
        <v>exaggerated</v>
      </c>
      <c r="L493" s="6" t="str">
        <f>IFERROR(__xludf.DUMMYFUNCTION("""COMPUTED_VALUE"""),"held")</f>
        <v>held</v>
      </c>
      <c r="M493" s="6" t="str">
        <f>IFERROR(__xludf.DUMMYFUNCTION("""COMPUTED_VALUE"""),"hope")</f>
        <v>hope</v>
      </c>
      <c r="N493" s="6" t="str">
        <f>IFERROR(__xludf.DUMMYFUNCTION("""COMPUTED_VALUE"""),"heads")</f>
        <v>heads</v>
      </c>
      <c r="P493" s="6" t="str">
        <f>IFERROR(__xludf.DUMMYFUNCTION("""COMPUTED_VALUE"""),"bits")</f>
        <v>bits</v>
      </c>
      <c r="Q493" s="6" t="str">
        <f>IFERROR(__xludf.DUMMYFUNCTION("""COMPUTED_VALUE"""),"gaping")</f>
        <v>gaping</v>
      </c>
      <c r="S493" s="6" t="str">
        <f>IFERROR(__xludf.DUMMYFUNCTION("""COMPUTED_VALUE"""),"loose")</f>
        <v>loose</v>
      </c>
    </row>
    <row r="494">
      <c r="B494" s="6"/>
      <c r="D494" s="6"/>
      <c r="G494" s="6" t="str">
        <f>IFERROR(__xludf.DUMMYFUNCTION("""COMPUTED_VALUE"""),"relationships")</f>
        <v>relationships</v>
      </c>
      <c r="H494" s="6" t="str">
        <f>IFERROR(__xludf.DUMMYFUNCTION("""COMPUTED_VALUE"""),"painful")</f>
        <v>painful</v>
      </c>
      <c r="I494" s="6" t="str">
        <f>IFERROR(__xludf.DUMMYFUNCTION("""COMPUTED_VALUE"""),"possible")</f>
        <v>possible</v>
      </c>
      <c r="J494" s="6" t="str">
        <f>IFERROR(__xludf.DUMMYFUNCTION("""COMPUTED_VALUE"""),"yarn")</f>
        <v>yarn</v>
      </c>
      <c r="L494" s="6" t="str">
        <f>IFERROR(__xludf.DUMMYFUNCTION("""COMPUTED_VALUE"""),"naturally")</f>
        <v>naturally</v>
      </c>
      <c r="M494" s="6" t="str">
        <f>IFERROR(__xludf.DUMMYFUNCTION("""COMPUTED_VALUE"""),"master")</f>
        <v>master</v>
      </c>
      <c r="N494" s="6" t="str">
        <f>IFERROR(__xludf.DUMMYFUNCTION("""COMPUTED_VALUE"""),"belly")</f>
        <v>belly</v>
      </c>
      <c r="P494" s="6" t="str">
        <f>IFERROR(__xludf.DUMMYFUNCTION("""COMPUTED_VALUE"""),"midnight")</f>
        <v>midnight</v>
      </c>
      <c r="Q494" s="6" t="str">
        <f>IFERROR(__xludf.DUMMYFUNCTION("""COMPUTED_VALUE"""),"claude")</f>
        <v>claude</v>
      </c>
      <c r="S494" s="6" t="str">
        <f>IFERROR(__xludf.DUMMYFUNCTION("""COMPUTED_VALUE"""),"prove")</f>
        <v>prove</v>
      </c>
    </row>
    <row r="495">
      <c r="B495" s="6"/>
      <c r="D495" s="6"/>
      <c r="G495" s="6" t="str">
        <f>IFERROR(__xludf.DUMMYFUNCTION("""COMPUTED_VALUE"""),"gaps")</f>
        <v>gaps</v>
      </c>
      <c r="H495" s="6" t="str">
        <f>IFERROR(__xludf.DUMMYFUNCTION("""COMPUTED_VALUE"""),"symbolism")</f>
        <v>symbolism</v>
      </c>
      <c r="I495" s="6" t="str">
        <f>IFERROR(__xludf.DUMMYFUNCTION("""COMPUTED_VALUE"""),"rises")</f>
        <v>rises</v>
      </c>
      <c r="J495" s="6" t="str">
        <f>IFERROR(__xludf.DUMMYFUNCTION("""COMPUTED_VALUE"""),"bite")</f>
        <v>bite</v>
      </c>
      <c r="L495" s="6" t="str">
        <f>IFERROR(__xludf.DUMMYFUNCTION("""COMPUTED_VALUE"""),"thrilling")</f>
        <v>thrilling</v>
      </c>
      <c r="M495" s="6" t="str">
        <f>IFERROR(__xludf.DUMMYFUNCTION("""COMPUTED_VALUE"""),"star")</f>
        <v>star</v>
      </c>
      <c r="N495" s="6" t="str">
        <f>IFERROR(__xludf.DUMMYFUNCTION("""COMPUTED_VALUE"""),"unit")</f>
        <v>unit</v>
      </c>
      <c r="P495" s="6" t="str">
        <f>IFERROR(__xludf.DUMMYFUNCTION("""COMPUTED_VALUE"""),"mind")</f>
        <v>mind</v>
      </c>
      <c r="Q495" s="6" t="str">
        <f>IFERROR(__xludf.DUMMYFUNCTION("""COMPUTED_VALUE"""),"master")</f>
        <v>master</v>
      </c>
      <c r="S495" s="6" t="str">
        <f>IFERROR(__xludf.DUMMYFUNCTION("""COMPUTED_VALUE"""),"main")</f>
        <v>main</v>
      </c>
    </row>
    <row r="496">
      <c r="B496" s="6"/>
      <c r="D496" s="6"/>
      <c r="G496" s="6" t="str">
        <f>IFERROR(__xludf.DUMMYFUNCTION("""COMPUTED_VALUE"""),"rae")</f>
        <v>rae</v>
      </c>
      <c r="H496" s="6" t="str">
        <f>IFERROR(__xludf.DUMMYFUNCTION("""COMPUTED_VALUE"""),"psychology")</f>
        <v>psychology</v>
      </c>
      <c r="I496" s="6" t="str">
        <f>IFERROR(__xludf.DUMMYFUNCTION("""COMPUTED_VALUE"""),"loyal")</f>
        <v>loyal</v>
      </c>
      <c r="J496" s="6" t="str">
        <f>IFERROR(__xludf.DUMMYFUNCTION("""COMPUTED_VALUE"""),"innocence")</f>
        <v>innocence</v>
      </c>
      <c r="L496" s="6" t="str">
        <f>IFERROR(__xludf.DUMMYFUNCTION("""COMPUTED_VALUE"""),"staged")</f>
        <v>staged</v>
      </c>
      <c r="M496" s="6" t="str">
        <f>IFERROR(__xludf.DUMMYFUNCTION("""COMPUTED_VALUE"""),"feeling")</f>
        <v>feeling</v>
      </c>
      <c r="N496" s="6" t="str">
        <f>IFERROR(__xludf.DUMMYFUNCTION("""COMPUTED_VALUE"""),"replaced")</f>
        <v>replaced</v>
      </c>
      <c r="P496" s="6" t="str">
        <f>IFERROR(__xludf.DUMMYFUNCTION("""COMPUTED_VALUE"""),"busy")</f>
        <v>busy</v>
      </c>
      <c r="Q496" s="6" t="str">
        <f>IFERROR(__xludf.DUMMYFUNCTION("""COMPUTED_VALUE"""),"inuit")</f>
        <v>inuit</v>
      </c>
      <c r="S496" s="6" t="str">
        <f>IFERROR(__xludf.DUMMYFUNCTION("""COMPUTED_VALUE"""),"revealing")</f>
        <v>revealing</v>
      </c>
    </row>
    <row r="497">
      <c r="B497" s="6"/>
      <c r="D497" s="6"/>
      <c r="G497" s="6" t="str">
        <f>IFERROR(__xludf.DUMMYFUNCTION("""COMPUTED_VALUE"""),"understands")</f>
        <v>understands</v>
      </c>
      <c r="H497" s="6" t="str">
        <f>IFERROR(__xludf.DUMMYFUNCTION("""COMPUTED_VALUE"""),"allows")</f>
        <v>allows</v>
      </c>
      <c r="I497" s="6" t="str">
        <f>IFERROR(__xludf.DUMMYFUNCTION("""COMPUTED_VALUE"""),"ian")</f>
        <v>ian</v>
      </c>
      <c r="J497" s="6" t="str">
        <f>IFERROR(__xludf.DUMMYFUNCTION("""COMPUTED_VALUE"""),"today")</f>
        <v>today</v>
      </c>
      <c r="L497" s="6" t="str">
        <f>IFERROR(__xludf.DUMMYFUNCTION("""COMPUTED_VALUE"""),"stops")</f>
        <v>stops</v>
      </c>
      <c r="M497" s="6" t="str">
        <f>IFERROR(__xludf.DUMMYFUNCTION("""COMPUTED_VALUE"""),"intense")</f>
        <v>intense</v>
      </c>
      <c r="N497" s="6" t="str">
        <f>IFERROR(__xludf.DUMMYFUNCTION("""COMPUTED_VALUE"""),"conduct")</f>
        <v>conduct</v>
      </c>
      <c r="P497" s="6" t="str">
        <f>IFERROR(__xludf.DUMMYFUNCTION("""COMPUTED_VALUE"""),"unexpected")</f>
        <v>unexpected</v>
      </c>
      <c r="Q497" s="6" t="str">
        <f>IFERROR(__xludf.DUMMYFUNCTION("""COMPUTED_VALUE"""),"screenplay")</f>
        <v>screenplay</v>
      </c>
      <c r="S497" s="6" t="str">
        <f>IFERROR(__xludf.DUMMYFUNCTION("""COMPUTED_VALUE"""),"done")</f>
        <v>done</v>
      </c>
    </row>
    <row r="498">
      <c r="B498" s="6"/>
      <c r="D498" s="6"/>
      <c r="G498" s="6" t="str">
        <f>IFERROR(__xludf.DUMMYFUNCTION("""COMPUTED_VALUE"""),"anderson")</f>
        <v>anderson</v>
      </c>
      <c r="H498" s="6" t="str">
        <f>IFERROR(__xludf.DUMMYFUNCTION("""COMPUTED_VALUE"""),"renowned")</f>
        <v>renowned</v>
      </c>
      <c r="I498" s="6" t="str">
        <f>IFERROR(__xludf.DUMMYFUNCTION("""COMPUTED_VALUE"""),"minds")</f>
        <v>minds</v>
      </c>
      <c r="J498" s="6" t="str">
        <f>IFERROR(__xludf.DUMMYFUNCTION("""COMPUTED_VALUE"""),"tackles")</f>
        <v>tackles</v>
      </c>
      <c r="L498" s="6" t="str">
        <f>IFERROR(__xludf.DUMMYFUNCTION("""COMPUTED_VALUE"""),"painted")</f>
        <v>painted</v>
      </c>
      <c r="M498" s="6" t="str">
        <f>IFERROR(__xludf.DUMMYFUNCTION("""COMPUTED_VALUE"""),"product")</f>
        <v>product</v>
      </c>
      <c r="N498" s="6" t="str">
        <f>IFERROR(__xludf.DUMMYFUNCTION("""COMPUTED_VALUE"""),"ship")</f>
        <v>ship</v>
      </c>
      <c r="P498" s="6" t="str">
        <f>IFERROR(__xludf.DUMMYFUNCTION("""COMPUTED_VALUE"""),"bone")</f>
        <v>bone</v>
      </c>
      <c r="Q498" s="6" t="str">
        <f>IFERROR(__xludf.DUMMYFUNCTION("""COMPUTED_VALUE"""),"wish")</f>
        <v>wish</v>
      </c>
      <c r="S498" s="6" t="str">
        <f>IFERROR(__xludf.DUMMYFUNCTION("""COMPUTED_VALUE"""),"job")</f>
        <v>job</v>
      </c>
    </row>
    <row r="499">
      <c r="B499" s="6"/>
      <c r="D499" s="6"/>
      <c r="G499" s="6" t="str">
        <f>IFERROR(__xludf.DUMMYFUNCTION("""COMPUTED_VALUE"""),"possible")</f>
        <v>possible</v>
      </c>
      <c r="H499" s="6" t="str">
        <f>IFERROR(__xludf.DUMMYFUNCTION("""COMPUTED_VALUE"""),"professionals")</f>
        <v>professionals</v>
      </c>
      <c r="I499" s="6" t="str">
        <f>IFERROR(__xludf.DUMMYFUNCTION("""COMPUTED_VALUE"""),"justice")</f>
        <v>justice</v>
      </c>
      <c r="J499" s="6" t="str">
        <f>IFERROR(__xludf.DUMMYFUNCTION("""COMPUTED_VALUE"""),"kwan")</f>
        <v>kwan</v>
      </c>
      <c r="L499" s="6" t="str">
        <f>IFERROR(__xludf.DUMMYFUNCTION("""COMPUTED_VALUE"""),"band")</f>
        <v>band</v>
      </c>
      <c r="M499" s="6" t="str">
        <f>IFERROR(__xludf.DUMMYFUNCTION("""COMPUTED_VALUE"""),"interest")</f>
        <v>interest</v>
      </c>
      <c r="N499" s="6" t="str">
        <f>IFERROR(__xludf.DUMMYFUNCTION("""COMPUTED_VALUE"""),"holiday")</f>
        <v>holiday</v>
      </c>
      <c r="P499" s="6" t="str">
        <f>IFERROR(__xludf.DUMMYFUNCTION("""COMPUTED_VALUE"""),"dream")</f>
        <v>dream</v>
      </c>
      <c r="Q499" s="6" t="str">
        <f>IFERROR(__xludf.DUMMYFUNCTION("""COMPUTED_VALUE"""),"tale")</f>
        <v>tale</v>
      </c>
      <c r="S499" s="6" t="str">
        <f>IFERROR(__xludf.DUMMYFUNCTION("""COMPUTED_VALUE"""),"created")</f>
        <v>created</v>
      </c>
    </row>
    <row r="500">
      <c r="B500" s="6"/>
      <c r="D500" s="6"/>
      <c r="G500" s="6" t="str">
        <f>IFERROR(__xludf.DUMMYFUNCTION("""COMPUTED_VALUE"""),"rises")</f>
        <v>rises</v>
      </c>
      <c r="H500" s="6" t="str">
        <f>IFERROR(__xludf.DUMMYFUNCTION("""COMPUTED_VALUE"""),"reacting")</f>
        <v>reacting</v>
      </c>
      <c r="I500" s="6" t="str">
        <f>IFERROR(__xludf.DUMMYFUNCTION("""COMPUTED_VALUE"""),"someone")</f>
        <v>someone</v>
      </c>
      <c r="J500" s="6" t="str">
        <f>IFERROR(__xludf.DUMMYFUNCTION("""COMPUTED_VALUE"""),"stanley")</f>
        <v>stanley</v>
      </c>
      <c r="L500" s="6" t="str">
        <f>IFERROR(__xludf.DUMMYFUNCTION("""COMPUTED_VALUE"""),"minds")</f>
        <v>minds</v>
      </c>
      <c r="M500" s="6" t="str">
        <f>IFERROR(__xludf.DUMMYFUNCTION("""COMPUTED_VALUE"""),"designed")</f>
        <v>designed</v>
      </c>
      <c r="N500" s="6" t="str">
        <f>IFERROR(__xludf.DUMMYFUNCTION("""COMPUTED_VALUE"""),"vehicle")</f>
        <v>vehicle</v>
      </c>
      <c r="P500" s="6" t="str">
        <f>IFERROR(__xludf.DUMMYFUNCTION("""COMPUTED_VALUE"""),"lives")</f>
        <v>lives</v>
      </c>
      <c r="Q500" s="6" t="str">
        <f>IFERROR(__xludf.DUMMYFUNCTION("""COMPUTED_VALUE"""),"thoughtful")</f>
        <v>thoughtful</v>
      </c>
      <c r="S500" s="6" t="str">
        <f>IFERROR(__xludf.DUMMYFUNCTION("""COMPUTED_VALUE"""),"filming")</f>
        <v>filming</v>
      </c>
    </row>
    <row r="501">
      <c r="B501" s="6"/>
      <c r="D501" s="6"/>
      <c r="G501" s="6" t="str">
        <f>IFERROR(__xludf.DUMMYFUNCTION("""COMPUTED_VALUE"""),"wherein")</f>
        <v>wherein</v>
      </c>
      <c r="H501" s="6" t="str">
        <f>IFERROR(__xludf.DUMMYFUNCTION("""COMPUTED_VALUE"""),"vibrant")</f>
        <v>vibrant</v>
      </c>
      <c r="I501" s="6" t="str">
        <f>IFERROR(__xludf.DUMMYFUNCTION("""COMPUTED_VALUE"""),"achievement")</f>
        <v>achievement</v>
      </c>
      <c r="J501" s="6" t="str">
        <f>IFERROR(__xludf.DUMMYFUNCTION("""COMPUTED_VALUE"""),"clive")</f>
        <v>clive</v>
      </c>
      <c r="L501" s="6" t="str">
        <f>IFERROR(__xludf.DUMMYFUNCTION("""COMPUTED_VALUE"""),"engaged")</f>
        <v>engaged</v>
      </c>
      <c r="M501" s="6" t="str">
        <f>IFERROR(__xludf.DUMMYFUNCTION("""COMPUTED_VALUE"""),"indeed")</f>
        <v>indeed</v>
      </c>
      <c r="N501" s="6" t="str">
        <f>IFERROR(__xludf.DUMMYFUNCTION("""COMPUTED_VALUE"""),"con")</f>
        <v>con</v>
      </c>
      <c r="P501" s="6" t="str">
        <f>IFERROR(__xludf.DUMMYFUNCTION("""COMPUTED_VALUE"""),"frustration")</f>
        <v>frustration</v>
      </c>
      <c r="Q501" s="6" t="str">
        <f>IFERROR(__xludf.DUMMYFUNCTION("""COMPUTED_VALUE"""),"raw")</f>
        <v>raw</v>
      </c>
      <c r="S501" s="6" t="str">
        <f>IFERROR(__xludf.DUMMYFUNCTION("""COMPUTED_VALUE"""),"break")</f>
        <v>break</v>
      </c>
    </row>
    <row r="502">
      <c r="B502" s="6"/>
      <c r="D502" s="6"/>
      <c r="G502" s="6" t="str">
        <f>IFERROR(__xludf.DUMMYFUNCTION("""COMPUTED_VALUE"""),"holm")</f>
        <v>holm</v>
      </c>
      <c r="H502" s="6" t="str">
        <f>IFERROR(__xludf.DUMMYFUNCTION("""COMPUTED_VALUE"""),"colorful")</f>
        <v>colorful</v>
      </c>
      <c r="I502" s="6" t="str">
        <f>IFERROR(__xludf.DUMMYFUNCTION("""COMPUTED_VALUE"""),"morgan")</f>
        <v>morgan</v>
      </c>
      <c r="J502" s="6" t="str">
        <f>IFERROR(__xludf.DUMMYFUNCTION("""COMPUTED_VALUE"""),"barker")</f>
        <v>barker</v>
      </c>
      <c r="L502" s="6" t="str">
        <f>IFERROR(__xludf.DUMMYFUNCTION("""COMPUTED_VALUE"""),"entertainment")</f>
        <v>entertainment</v>
      </c>
      <c r="M502" s="6" t="str">
        <f>IFERROR(__xludf.DUMMYFUNCTION("""COMPUTED_VALUE"""),"list")</f>
        <v>list</v>
      </c>
      <c r="N502" s="6" t="str">
        <f>IFERROR(__xludf.DUMMYFUNCTION("""COMPUTED_VALUE"""),"mind")</f>
        <v>mind</v>
      </c>
      <c r="P502" s="6" t="str">
        <f>IFERROR(__xludf.DUMMYFUNCTION("""COMPUTED_VALUE"""),"winning")</f>
        <v>winning</v>
      </c>
      <c r="Q502" s="6" t="str">
        <f>IFERROR(__xludf.DUMMYFUNCTION("""COMPUTED_VALUE"""),"sitcom")</f>
        <v>sitcom</v>
      </c>
      <c r="S502" s="6" t="str">
        <f>IFERROR(__xludf.DUMMYFUNCTION("""COMPUTED_VALUE"""),"deep")</f>
        <v>deep</v>
      </c>
    </row>
    <row r="503">
      <c r="B503" s="6"/>
      <c r="D503" s="6"/>
      <c r="G503" s="6" t="str">
        <f>IFERROR(__xludf.DUMMYFUNCTION("""COMPUTED_VALUE"""),"minds")</f>
        <v>minds</v>
      </c>
      <c r="H503" s="6" t="str">
        <f>IFERROR(__xludf.DUMMYFUNCTION("""COMPUTED_VALUE"""),"marvel")</f>
        <v>marvel</v>
      </c>
      <c r="I503" s="6" t="str">
        <f>IFERROR(__xludf.DUMMYFUNCTION("""COMPUTED_VALUE"""),"logic")</f>
        <v>logic</v>
      </c>
      <c r="J503" s="6" t="str">
        <f>IFERROR(__xludf.DUMMYFUNCTION("""COMPUTED_VALUE"""),"recognizable")</f>
        <v>recognizable</v>
      </c>
      <c r="L503" s="6" t="str">
        <f>IFERROR(__xludf.DUMMYFUNCTION("""COMPUTED_VALUE"""),"filmed")</f>
        <v>filmed</v>
      </c>
      <c r="M503" s="6" t="str">
        <f>IFERROR(__xludf.DUMMYFUNCTION("""COMPUTED_VALUE"""),"eyes")</f>
        <v>eyes</v>
      </c>
      <c r="N503" s="6">
        <f>IFERROR(__xludf.DUMMYFUNCTION("""COMPUTED_VALUE"""),1957.0)</f>
        <v>1957</v>
      </c>
      <c r="P503" s="6" t="str">
        <f>IFERROR(__xludf.DUMMYFUNCTION("""COMPUTED_VALUE"""),"barrel")</f>
        <v>barrel</v>
      </c>
      <c r="Q503" s="6" t="str">
        <f>IFERROR(__xludf.DUMMYFUNCTION("""COMPUTED_VALUE"""),"shoulders")</f>
        <v>shoulders</v>
      </c>
      <c r="S503" s="6" t="str">
        <f>IFERROR(__xludf.DUMMYFUNCTION("""COMPUTED_VALUE"""),"submarine")</f>
        <v>submarine</v>
      </c>
    </row>
    <row r="504">
      <c r="B504" s="6"/>
      <c r="D504" s="6"/>
      <c r="G504" s="6" t="str">
        <f>IFERROR(__xludf.DUMMYFUNCTION("""COMPUTED_VALUE"""),"justice")</f>
        <v>justice</v>
      </c>
      <c r="H504" s="6" t="str">
        <f>IFERROR(__xludf.DUMMYFUNCTION("""COMPUTED_VALUE"""),"sequences")</f>
        <v>sequences</v>
      </c>
      <c r="I504" s="6" t="str">
        <f>IFERROR(__xludf.DUMMYFUNCTION("""COMPUTED_VALUE"""),"grey")</f>
        <v>grey</v>
      </c>
      <c r="J504" s="6" t="str">
        <f>IFERROR(__xludf.DUMMYFUNCTION("""COMPUTED_VALUE"""),"propelled")</f>
        <v>propelled</v>
      </c>
      <c r="L504" s="6" t="str">
        <f>IFERROR(__xludf.DUMMYFUNCTION("""COMPUTED_VALUE"""),"illness")</f>
        <v>illness</v>
      </c>
      <c r="M504" s="6" t="str">
        <f>IFERROR(__xludf.DUMMYFUNCTION("""COMPUTED_VALUE"""),"season")</f>
        <v>season</v>
      </c>
      <c r="N504" s="6" t="str">
        <f>IFERROR(__xludf.DUMMYFUNCTION("""COMPUTED_VALUE"""),"characters")</f>
        <v>characters</v>
      </c>
      <c r="P504" s="6" t="str">
        <f>IFERROR(__xludf.DUMMYFUNCTION("""COMPUTED_VALUE"""),"miracle")</f>
        <v>miracle</v>
      </c>
      <c r="Q504" s="6" t="str">
        <f>IFERROR(__xludf.DUMMYFUNCTION("""COMPUTED_VALUE"""),"broad")</f>
        <v>broad</v>
      </c>
      <c r="S504" s="6" t="str">
        <f>IFERROR(__xludf.DUMMYFUNCTION("""COMPUTED_VALUE"""),"grand")</f>
        <v>grand</v>
      </c>
    </row>
    <row r="505">
      <c r="B505" s="6"/>
      <c r="D505" s="6"/>
      <c r="G505" s="6" t="str">
        <f>IFERROR(__xludf.DUMMYFUNCTION("""COMPUTED_VALUE"""),"portray")</f>
        <v>portray</v>
      </c>
      <c r="H505" s="6" t="str">
        <f>IFERROR(__xludf.DUMMYFUNCTION("""COMPUTED_VALUE"""),"fantasy")</f>
        <v>fantasy</v>
      </c>
      <c r="I505" s="6" t="str">
        <f>IFERROR(__xludf.DUMMYFUNCTION("""COMPUTED_VALUE"""),"zone")</f>
        <v>zone</v>
      </c>
      <c r="J505" s="6" t="str">
        <f>IFERROR(__xludf.DUMMYFUNCTION("""COMPUTED_VALUE"""),"spielberg")</f>
        <v>spielberg</v>
      </c>
      <c r="L505" s="6" t="str">
        <f>IFERROR(__xludf.DUMMYFUNCTION("""COMPUTED_VALUE"""),"camera")</f>
        <v>camera</v>
      </c>
      <c r="M505" s="6" t="str">
        <f>IFERROR(__xludf.DUMMYFUNCTION("""COMPUTED_VALUE"""),"window")</f>
        <v>window</v>
      </c>
      <c r="N505" s="6" t="str">
        <f>IFERROR(__xludf.DUMMYFUNCTION("""COMPUTED_VALUE"""),"terms")</f>
        <v>terms</v>
      </c>
      <c r="P505" s="6" t="str">
        <f>IFERROR(__xludf.DUMMYFUNCTION("""COMPUTED_VALUE"""),"lewis")</f>
        <v>lewis</v>
      </c>
      <c r="Q505" s="6" t="str">
        <f>IFERROR(__xludf.DUMMYFUNCTION("""COMPUTED_VALUE"""),"report")</f>
        <v>report</v>
      </c>
      <c r="S505" s="6" t="str">
        <f>IFERROR(__xludf.DUMMYFUNCTION("""COMPUTED_VALUE"""),"found")</f>
        <v>found</v>
      </c>
    </row>
    <row r="506">
      <c r="B506" s="6"/>
      <c r="D506" s="6"/>
      <c r="G506" s="6" t="str">
        <f>IFERROR(__xludf.DUMMYFUNCTION("""COMPUTED_VALUE"""),"someone")</f>
        <v>someone</v>
      </c>
      <c r="H506" s="6" t="str">
        <f>IFERROR(__xludf.DUMMYFUNCTION("""COMPUTED_VALUE"""),"pulls")</f>
        <v>pulls</v>
      </c>
      <c r="I506" s="6" t="str">
        <f>IFERROR(__xludf.DUMMYFUNCTION("""COMPUTED_VALUE"""),"generated")</f>
        <v>generated</v>
      </c>
      <c r="J506" s="6" t="str">
        <f>IFERROR(__xludf.DUMMYFUNCTION("""COMPUTED_VALUE"""),"trademark")</f>
        <v>trademark</v>
      </c>
      <c r="L506" s="6" t="str">
        <f>IFERROR(__xludf.DUMMYFUNCTION("""COMPUTED_VALUE"""),"intimidated")</f>
        <v>intimidated</v>
      </c>
      <c r="M506" s="6" t="str">
        <f>IFERROR(__xludf.DUMMYFUNCTION("""COMPUTED_VALUE"""),"air")</f>
        <v>air</v>
      </c>
      <c r="N506" s="6" t="str">
        <f>IFERROR(__xludf.DUMMYFUNCTION("""COMPUTED_VALUE"""),"memorable")</f>
        <v>memorable</v>
      </c>
      <c r="P506" s="6" t="str">
        <f>IFERROR(__xludf.DUMMYFUNCTION("""COMPUTED_VALUE"""),"davies")</f>
        <v>davies</v>
      </c>
      <c r="Q506" s="6" t="str">
        <f>IFERROR(__xludf.DUMMYFUNCTION("""COMPUTED_VALUE"""),"abuse")</f>
        <v>abuse</v>
      </c>
      <c r="S506" s="6" t="str">
        <f>IFERROR(__xludf.DUMMYFUNCTION("""COMPUTED_VALUE"""),"audience")</f>
        <v>audience</v>
      </c>
    </row>
    <row r="507">
      <c r="B507" s="6"/>
      <c r="D507" s="6"/>
      <c r="G507" s="6" t="str">
        <f>IFERROR(__xludf.DUMMYFUNCTION("""COMPUTED_VALUE"""),"achievement")</f>
        <v>achievement</v>
      </c>
      <c r="H507" s="6" t="str">
        <f>IFERROR(__xludf.DUMMYFUNCTION("""COMPUTED_VALUE"""),"illustrates")</f>
        <v>illustrates</v>
      </c>
      <c r="I507" s="6" t="str">
        <f>IFERROR(__xludf.DUMMYFUNCTION("""COMPUTED_VALUE"""),"rain")</f>
        <v>rain</v>
      </c>
      <c r="J507" s="6" t="str">
        <f>IFERROR(__xludf.DUMMYFUNCTION("""COMPUTED_VALUE"""),"capable")</f>
        <v>capable</v>
      </c>
      <c r="L507" s="6" t="str">
        <f>IFERROR(__xludf.DUMMYFUNCTION("""COMPUTED_VALUE"""),"draws")</f>
        <v>draws</v>
      </c>
      <c r="M507" s="6" t="str">
        <f>IFERROR(__xludf.DUMMYFUNCTION("""COMPUTED_VALUE"""),"award")</f>
        <v>award</v>
      </c>
      <c r="N507" s="6" t="str">
        <f>IFERROR(__xludf.DUMMYFUNCTION("""COMPUTED_VALUE"""),"davis")</f>
        <v>davis</v>
      </c>
      <c r="P507" s="6" t="str">
        <f>IFERROR(__xludf.DUMMYFUNCTION("""COMPUTED_VALUE"""),"perspective")</f>
        <v>perspective</v>
      </c>
      <c r="Q507" s="6" t="str">
        <f>IFERROR(__xludf.DUMMYFUNCTION("""COMPUTED_VALUE"""),"fake")</f>
        <v>fake</v>
      </c>
      <c r="S507" s="6" t="str">
        <f>IFERROR(__xludf.DUMMYFUNCTION("""COMPUTED_VALUE"""),"lead")</f>
        <v>lead</v>
      </c>
    </row>
    <row r="508">
      <c r="B508" s="6"/>
      <c r="D508" s="6"/>
      <c r="G508" s="6" t="str">
        <f>IFERROR(__xludf.DUMMYFUNCTION("""COMPUTED_VALUE"""),"monumental")</f>
        <v>monumental</v>
      </c>
      <c r="H508" s="6" t="str">
        <f>IFERROR(__xludf.DUMMYFUNCTION("""COMPUTED_VALUE"""),"restoring")</f>
        <v>restoring</v>
      </c>
      <c r="I508" s="6" t="str">
        <f>IFERROR(__xludf.DUMMYFUNCTION("""COMPUTED_VALUE"""),"expression")</f>
        <v>expression</v>
      </c>
      <c r="J508" s="6" t="str">
        <f>IFERROR(__xludf.DUMMYFUNCTION("""COMPUTED_VALUE"""),"revelations")</f>
        <v>revelations</v>
      </c>
      <c r="L508" s="6" t="str">
        <f>IFERROR(__xludf.DUMMYFUNCTION("""COMPUTED_VALUE"""),"associated")</f>
        <v>associated</v>
      </c>
      <c r="M508" s="6" t="str">
        <f>IFERROR(__xludf.DUMMYFUNCTION("""COMPUTED_VALUE"""),"cry")</f>
        <v>cry</v>
      </c>
      <c r="N508" s="6" t="str">
        <f>IFERROR(__xludf.DUMMYFUNCTION("""COMPUTED_VALUE"""),"report")</f>
        <v>report</v>
      </c>
      <c r="P508" s="6" t="str">
        <f>IFERROR(__xludf.DUMMYFUNCTION("""COMPUTED_VALUE"""),"holiday")</f>
        <v>holiday</v>
      </c>
      <c r="Q508" s="6" t="str">
        <f>IFERROR(__xludf.DUMMYFUNCTION("""COMPUTED_VALUE"""),"palestinian")</f>
        <v>palestinian</v>
      </c>
      <c r="S508" s="6" t="str">
        <f>IFERROR(__xludf.DUMMYFUNCTION("""COMPUTED_VALUE"""),"star")</f>
        <v>star</v>
      </c>
    </row>
    <row r="509">
      <c r="B509" s="6"/>
      <c r="D509" s="6"/>
      <c r="G509" s="6" t="str">
        <f>IFERROR(__xludf.DUMMYFUNCTION("""COMPUTED_VALUE"""),"morgan")</f>
        <v>morgan</v>
      </c>
      <c r="H509" s="6" t="str">
        <f>IFERROR(__xludf.DUMMYFUNCTION("""COMPUTED_VALUE"""),"emerging")</f>
        <v>emerging</v>
      </c>
      <c r="I509" s="6" t="str">
        <f>IFERROR(__xludf.DUMMYFUNCTION("""COMPUTED_VALUE"""),"resist")</f>
        <v>resist</v>
      </c>
      <c r="J509" s="6" t="str">
        <f>IFERROR(__xludf.DUMMYFUNCTION("""COMPUTED_VALUE"""),"stylistic")</f>
        <v>stylistic</v>
      </c>
      <c r="L509" s="6" t="str">
        <f>IFERROR(__xludf.DUMMYFUNCTION("""COMPUTED_VALUE"""),"truth")</f>
        <v>truth</v>
      </c>
      <c r="M509" s="6" t="str">
        <f>IFERROR(__xludf.DUMMYFUNCTION("""COMPUTED_VALUE"""),"funny")</f>
        <v>funny</v>
      </c>
      <c r="N509" s="6" t="str">
        <f>IFERROR(__xludf.DUMMYFUNCTION("""COMPUTED_VALUE"""),"york")</f>
        <v>york</v>
      </c>
      <c r="P509" s="6" t="str">
        <f>IFERROR(__xludf.DUMMYFUNCTION("""COMPUTED_VALUE"""),"none")</f>
        <v>none</v>
      </c>
      <c r="Q509" s="6" t="str">
        <f>IFERROR(__xludf.DUMMYFUNCTION("""COMPUTED_VALUE"""),"israeli")</f>
        <v>israeli</v>
      </c>
      <c r="S509" s="6" t="str">
        <f>IFERROR(__xludf.DUMMYFUNCTION("""COMPUTED_VALUE"""),"spirit")</f>
        <v>spirit</v>
      </c>
    </row>
    <row r="510">
      <c r="B510" s="6"/>
      <c r="D510" s="6"/>
      <c r="G510" s="6" t="str">
        <f>IFERROR(__xludf.DUMMYFUNCTION("""COMPUTED_VALUE"""),"judd")</f>
        <v>judd</v>
      </c>
      <c r="H510" s="6" t="str">
        <f>IFERROR(__xludf.DUMMYFUNCTION("""COMPUTED_VALUE"""),"entity")</f>
        <v>entity</v>
      </c>
      <c r="I510" s="6" t="str">
        <f>IFERROR(__xludf.DUMMYFUNCTION("""COMPUTED_VALUE"""),"pulse")</f>
        <v>pulse</v>
      </c>
      <c r="J510" s="6" t="str">
        <f>IFERROR(__xludf.DUMMYFUNCTION("""COMPUTED_VALUE"""),"layered")</f>
        <v>layered</v>
      </c>
      <c r="L510" s="6" t="str">
        <f>IFERROR(__xludf.DUMMYFUNCTION("""COMPUTED_VALUE"""),"de")</f>
        <v>de</v>
      </c>
      <c r="M510" s="6" t="str">
        <f>IFERROR(__xludf.DUMMYFUNCTION("""COMPUTED_VALUE"""),"deliver")</f>
        <v>deliver</v>
      </c>
      <c r="N510" s="6" t="str">
        <f>IFERROR(__xludf.DUMMYFUNCTION("""COMPUTED_VALUE"""),"controversy")</f>
        <v>controversy</v>
      </c>
      <c r="P510" s="6" t="str">
        <f>IFERROR(__xludf.DUMMYFUNCTION("""COMPUTED_VALUE"""),"poem")</f>
        <v>poem</v>
      </c>
      <c r="Q510" s="6" t="str">
        <f>IFERROR(__xludf.DUMMYFUNCTION("""COMPUTED_VALUE"""),"strong")</f>
        <v>strong</v>
      </c>
      <c r="S510" s="6" t="str">
        <f>IFERROR(__xludf.DUMMYFUNCTION("""COMPUTED_VALUE"""),"medium")</f>
        <v>medium</v>
      </c>
    </row>
    <row r="511">
      <c r="B511" s="6"/>
      <c r="D511" s="6"/>
      <c r="G511" s="6" t="str">
        <f>IFERROR(__xludf.DUMMYFUNCTION("""COMPUTED_VALUE"""),"zone")</f>
        <v>zone</v>
      </c>
      <c r="H511" s="6" t="str">
        <f>IFERROR(__xludf.DUMMYFUNCTION("""COMPUTED_VALUE"""),"moonlight")</f>
        <v>moonlight</v>
      </c>
      <c r="I511" s="6" t="str">
        <f>IFERROR(__xludf.DUMMYFUNCTION("""COMPUTED_VALUE"""),"attract")</f>
        <v>attract</v>
      </c>
      <c r="J511" s="6" t="str">
        <f>IFERROR(__xludf.DUMMYFUNCTION("""COMPUTED_VALUE"""),"daring")</f>
        <v>daring</v>
      </c>
      <c r="L511" s="6" t="str">
        <f>IFERROR(__xludf.DUMMYFUNCTION("""COMPUTED_VALUE"""),"violent")</f>
        <v>violent</v>
      </c>
      <c r="M511" s="6" t="str">
        <f>IFERROR(__xludf.DUMMYFUNCTION("""COMPUTED_VALUE"""),"marked")</f>
        <v>marked</v>
      </c>
      <c r="N511" s="6" t="str">
        <f>IFERROR(__xludf.DUMMYFUNCTION("""COMPUTED_VALUE"""),"pointed")</f>
        <v>pointed</v>
      </c>
      <c r="P511" s="6" t="str">
        <f>IFERROR(__xludf.DUMMYFUNCTION("""COMPUTED_VALUE"""),"patient")</f>
        <v>patient</v>
      </c>
      <c r="Q511" s="6" t="str">
        <f>IFERROR(__xludf.DUMMYFUNCTION("""COMPUTED_VALUE"""),"flickering")</f>
        <v>flickering</v>
      </c>
      <c r="S511" s="6" t="str">
        <f>IFERROR(__xludf.DUMMYFUNCTION("""COMPUTED_VALUE"""),"team")</f>
        <v>team</v>
      </c>
    </row>
    <row r="512">
      <c r="B512" s="6"/>
      <c r="D512" s="6"/>
      <c r="G512" s="6" t="str">
        <f>IFERROR(__xludf.DUMMYFUNCTION("""COMPUTED_VALUE"""),"graceful")</f>
        <v>graceful</v>
      </c>
      <c r="H512" s="6" t="str">
        <f>IFERROR(__xludf.DUMMYFUNCTION("""COMPUTED_VALUE"""),"pianist")</f>
        <v>pianist</v>
      </c>
      <c r="I512" s="6" t="str">
        <f>IFERROR(__xludf.DUMMYFUNCTION("""COMPUTED_VALUE"""),"struggling")</f>
        <v>struggling</v>
      </c>
      <c r="J512" s="6" t="str">
        <f>IFERROR(__xludf.DUMMYFUNCTION("""COMPUTED_VALUE"""),"spanning")</f>
        <v>spanning</v>
      </c>
      <c r="L512" s="6" t="str">
        <f>IFERROR(__xludf.DUMMYFUNCTION("""COMPUTED_VALUE"""),"wears")</f>
        <v>wears</v>
      </c>
      <c r="M512" s="6" t="str">
        <f>IFERROR(__xludf.DUMMYFUNCTION("""COMPUTED_VALUE"""),"accept")</f>
        <v>accept</v>
      </c>
      <c r="N512" s="6" t="str">
        <f>IFERROR(__xludf.DUMMYFUNCTION("""COMPUTED_VALUE"""),"phrase")</f>
        <v>phrase</v>
      </c>
      <c r="P512" s="6" t="str">
        <f>IFERROR(__xludf.DUMMYFUNCTION("""COMPUTED_VALUE"""),"maintain")</f>
        <v>maintain</v>
      </c>
      <c r="Q512" s="6" t="str">
        <f>IFERROR(__xludf.DUMMYFUNCTION("""COMPUTED_VALUE"""),"midway")</f>
        <v>midway</v>
      </c>
      <c r="S512" s="6" t="str">
        <f>IFERROR(__xludf.DUMMYFUNCTION("""COMPUTED_VALUE"""),"olympic")</f>
        <v>olympic</v>
      </c>
    </row>
    <row r="513">
      <c r="B513" s="6"/>
      <c r="D513" s="6"/>
      <c r="G513" s="6" t="str">
        <f>IFERROR(__xludf.DUMMYFUNCTION("""COMPUTED_VALUE"""),"frantic")</f>
        <v>frantic</v>
      </c>
      <c r="H513" s="6" t="str">
        <f>IFERROR(__xludf.DUMMYFUNCTION("""COMPUTED_VALUE"""),"detached")</f>
        <v>detached</v>
      </c>
      <c r="I513" s="6" t="str">
        <f>IFERROR(__xludf.DUMMYFUNCTION("""COMPUTED_VALUE"""),"1970s")</f>
        <v>1970s</v>
      </c>
      <c r="J513" s="6" t="str">
        <f>IFERROR(__xludf.DUMMYFUNCTION("""COMPUTED_VALUE"""),"marina")</f>
        <v>marina</v>
      </c>
      <c r="L513" s="6" t="str">
        <f>IFERROR(__xludf.DUMMYFUNCTION("""COMPUTED_VALUE"""),"spirited")</f>
        <v>spirited</v>
      </c>
      <c r="M513" s="6" t="str">
        <f>IFERROR(__xludf.DUMMYFUNCTION("""COMPUTED_VALUE"""),"departure")</f>
        <v>departure</v>
      </c>
      <c r="N513" s="6" t="str">
        <f>IFERROR(__xludf.DUMMYFUNCTION("""COMPUTED_VALUE"""),"kong")</f>
        <v>kong</v>
      </c>
      <c r="P513" s="6" t="str">
        <f>IFERROR(__xludf.DUMMYFUNCTION("""COMPUTED_VALUE"""),"pile")</f>
        <v>pile</v>
      </c>
      <c r="Q513" s="6" t="str">
        <f>IFERROR(__xludf.DUMMYFUNCTION("""COMPUTED_VALUE"""),"rodriguez")</f>
        <v>rodriguez</v>
      </c>
      <c r="S513" s="6" t="str">
        <f>IFERROR(__xludf.DUMMYFUNCTION("""COMPUTED_VALUE"""),"master")</f>
        <v>master</v>
      </c>
    </row>
    <row r="514">
      <c r="B514" s="6"/>
      <c r="D514" s="6"/>
      <c r="G514" s="6" t="str">
        <f>IFERROR(__xludf.DUMMYFUNCTION("""COMPUTED_VALUE"""),"expression")</f>
        <v>expression</v>
      </c>
      <c r="H514" s="6" t="str">
        <f>IFERROR(__xludf.DUMMYFUNCTION("""COMPUTED_VALUE"""),"represented")</f>
        <v>represented</v>
      </c>
      <c r="I514" s="6" t="str">
        <f>IFERROR(__xludf.DUMMYFUNCTION("""COMPUTED_VALUE"""),"scientist")</f>
        <v>scientist</v>
      </c>
      <c r="J514" s="6" t="str">
        <f>IFERROR(__xludf.DUMMYFUNCTION("""COMPUTED_VALUE"""),"holly")</f>
        <v>holly</v>
      </c>
      <c r="L514" s="6" t="str">
        <f>IFERROR(__xludf.DUMMYFUNCTION("""COMPUTED_VALUE"""),"festival")</f>
        <v>festival</v>
      </c>
      <c r="M514" s="6" t="str">
        <f>IFERROR(__xludf.DUMMYFUNCTION("""COMPUTED_VALUE"""),"shoot")</f>
        <v>shoot</v>
      </c>
      <c r="N514" s="6" t="str">
        <f>IFERROR(__xludf.DUMMYFUNCTION("""COMPUTED_VALUE"""),"production")</f>
        <v>production</v>
      </c>
      <c r="P514" s="6" t="str">
        <f>IFERROR(__xludf.DUMMYFUNCTION("""COMPUTED_VALUE"""),"vietnam")</f>
        <v>vietnam</v>
      </c>
      <c r="Q514" s="6" t="str">
        <f>IFERROR(__xludf.DUMMYFUNCTION("""COMPUTED_VALUE"""),"pleasing")</f>
        <v>pleasing</v>
      </c>
      <c r="S514" s="6" t="str">
        <f>IFERROR(__xludf.DUMMYFUNCTION("""COMPUTED_VALUE"""),"claude")</f>
        <v>claude</v>
      </c>
    </row>
    <row r="515">
      <c r="B515" s="6"/>
      <c r="D515" s="6"/>
      <c r="G515" s="6" t="str">
        <f>IFERROR(__xludf.DUMMYFUNCTION("""COMPUTED_VALUE"""),"obligatory")</f>
        <v>obligatory</v>
      </c>
      <c r="H515" s="6" t="str">
        <f>IFERROR(__xludf.DUMMYFUNCTION("""COMPUTED_VALUE"""),"lush")</f>
        <v>lush</v>
      </c>
      <c r="I515" s="6" t="str">
        <f>IFERROR(__xludf.DUMMYFUNCTION("""COMPUTED_VALUE"""),"chan")</f>
        <v>chan</v>
      </c>
      <c r="J515" s="6" t="str">
        <f>IFERROR(__xludf.DUMMYFUNCTION("""COMPUTED_VALUE"""),"emerge")</f>
        <v>emerge</v>
      </c>
      <c r="L515" s="6" t="str">
        <f>IFERROR(__xludf.DUMMYFUNCTION("""COMPUTED_VALUE"""),"blanket")</f>
        <v>blanket</v>
      </c>
      <c r="M515" s="6" t="str">
        <f>IFERROR(__xludf.DUMMYFUNCTION("""COMPUTED_VALUE"""),"pool")</f>
        <v>pool</v>
      </c>
      <c r="N515" s="6" t="str">
        <f>IFERROR(__xludf.DUMMYFUNCTION("""COMPUTED_VALUE"""),"titles")</f>
        <v>titles</v>
      </c>
      <c r="P515" s="6" t="str">
        <f>IFERROR(__xludf.DUMMYFUNCTION("""COMPUTED_VALUE"""),"souls")</f>
        <v>souls</v>
      </c>
      <c r="Q515" s="6" t="str">
        <f>IFERROR(__xludf.DUMMYFUNCTION("""COMPUTED_VALUE"""),"fare")</f>
        <v>fare</v>
      </c>
      <c r="S515" s="6" t="str">
        <f>IFERROR(__xludf.DUMMYFUNCTION("""COMPUTED_VALUE"""),"screenplay")</f>
        <v>screenplay</v>
      </c>
    </row>
    <row r="516">
      <c r="B516" s="6"/>
      <c r="D516" s="6"/>
      <c r="G516" s="6" t="str">
        <f>IFERROR(__xludf.DUMMYFUNCTION("""COMPUTED_VALUE"""),"pulse")</f>
        <v>pulse</v>
      </c>
      <c r="H516" s="6" t="str">
        <f>IFERROR(__xludf.DUMMYFUNCTION("""COMPUTED_VALUE"""),"martha")</f>
        <v>martha</v>
      </c>
      <c r="I516" s="6" t="str">
        <f>IFERROR(__xludf.DUMMYFUNCTION("""COMPUTED_VALUE"""),"corruption")</f>
        <v>corruption</v>
      </c>
      <c r="J516" s="6" t="str">
        <f>IFERROR(__xludf.DUMMYFUNCTION("""COMPUTED_VALUE"""),"passionate")</f>
        <v>passionate</v>
      </c>
      <c r="L516" s="6" t="str">
        <f>IFERROR(__xludf.DUMMYFUNCTION("""COMPUTED_VALUE"""),"crack")</f>
        <v>crack</v>
      </c>
      <c r="M516" s="6" t="str">
        <f>IFERROR(__xludf.DUMMYFUNCTION("""COMPUTED_VALUE"""),"element")</f>
        <v>element</v>
      </c>
      <c r="N516" s="6" t="str">
        <f>IFERROR(__xludf.DUMMYFUNCTION("""COMPUTED_VALUE"""),"steady")</f>
        <v>steady</v>
      </c>
      <c r="P516" s="6" t="str">
        <f>IFERROR(__xludf.DUMMYFUNCTION("""COMPUTED_VALUE"""),"ages")</f>
        <v>ages</v>
      </c>
      <c r="Q516" s="6" t="str">
        <f>IFERROR(__xludf.DUMMYFUNCTION("""COMPUTED_VALUE"""),"purpose")</f>
        <v>purpose</v>
      </c>
      <c r="S516" s="6" t="str">
        <f>IFERROR(__xludf.DUMMYFUNCTION("""COMPUTED_VALUE"""),"wish")</f>
        <v>wish</v>
      </c>
    </row>
    <row r="517">
      <c r="B517" s="6"/>
      <c r="D517" s="6"/>
      <c r="G517" s="6" t="str">
        <f>IFERROR(__xludf.DUMMYFUNCTION("""COMPUTED_VALUE"""),"attract")</f>
        <v>attract</v>
      </c>
      <c r="H517" s="6" t="str">
        <f>IFERROR(__xludf.DUMMYFUNCTION("""COMPUTED_VALUE"""),"rapid")</f>
        <v>rapid</v>
      </c>
      <c r="I517" s="6" t="str">
        <f>IFERROR(__xludf.DUMMYFUNCTION("""COMPUTED_VALUE"""),"christian")</f>
        <v>christian</v>
      </c>
      <c r="J517" s="6" t="str">
        <f>IFERROR(__xludf.DUMMYFUNCTION("""COMPUTED_VALUE"""),"evolution")</f>
        <v>evolution</v>
      </c>
      <c r="L517" s="6" t="str">
        <f>IFERROR(__xludf.DUMMYFUNCTION("""COMPUTED_VALUE"""),"meaning")</f>
        <v>meaning</v>
      </c>
      <c r="M517" s="6" t="str">
        <f>IFERROR(__xludf.DUMMYFUNCTION("""COMPUTED_VALUE"""),"test")</f>
        <v>test</v>
      </c>
      <c r="N517" s="6" t="str">
        <f>IFERROR(__xludf.DUMMYFUNCTION("""COMPUTED_VALUE"""),"beach")</f>
        <v>beach</v>
      </c>
      <c r="P517" s="6" t="str">
        <f>IFERROR(__xludf.DUMMYFUNCTION("""COMPUTED_VALUE"""),"adventure")</f>
        <v>adventure</v>
      </c>
      <c r="Q517" s="6" t="str">
        <f>IFERROR(__xludf.DUMMYFUNCTION("""COMPUTED_VALUE"""),"triumphant")</f>
        <v>triumphant</v>
      </c>
      <c r="S517" s="6" t="str">
        <f>IFERROR(__xludf.DUMMYFUNCTION("""COMPUTED_VALUE"""),"raw")</f>
        <v>raw</v>
      </c>
    </row>
    <row r="518">
      <c r="B518" s="6"/>
      <c r="D518" s="6"/>
      <c r="G518" s="6" t="str">
        <f>IFERROR(__xludf.DUMMYFUNCTION("""COMPUTED_VALUE"""),"stirring")</f>
        <v>stirring</v>
      </c>
      <c r="H518" s="6" t="str">
        <f>IFERROR(__xludf.DUMMYFUNCTION("""COMPUTED_VALUE"""),"virtually")</f>
        <v>virtually</v>
      </c>
      <c r="I518" s="6" t="str">
        <f>IFERROR(__xludf.DUMMYFUNCTION("""COMPUTED_VALUE"""),"triangle")</f>
        <v>triangle</v>
      </c>
      <c r="J518" s="6" t="str">
        <f>IFERROR(__xludf.DUMMYFUNCTION("""COMPUTED_VALUE"""),"adolescents")</f>
        <v>adolescents</v>
      </c>
      <c r="L518" s="6" t="str">
        <f>IFERROR(__xludf.DUMMYFUNCTION("""COMPUTED_VALUE"""),"classify")</f>
        <v>classify</v>
      </c>
      <c r="M518" s="6" t="str">
        <f>IFERROR(__xludf.DUMMYFUNCTION("""COMPUTED_VALUE"""),"seemingly")</f>
        <v>seemingly</v>
      </c>
      <c r="N518" s="6" t="str">
        <f>IFERROR(__xludf.DUMMYFUNCTION("""COMPUTED_VALUE"""),"stage")</f>
        <v>stage</v>
      </c>
      <c r="P518" s="6" t="str">
        <f>IFERROR(__xludf.DUMMYFUNCTION("""COMPUTED_VALUE"""),"documentary")</f>
        <v>documentary</v>
      </c>
      <c r="Q518" s="6" t="str">
        <f>IFERROR(__xludf.DUMMYFUNCTION("""COMPUTED_VALUE"""),"wry")</f>
        <v>wry</v>
      </c>
      <c r="S518" s="6" t="str">
        <f>IFERROR(__xludf.DUMMYFUNCTION("""COMPUTED_VALUE"""),"tale")</f>
        <v>tale</v>
      </c>
    </row>
    <row r="519">
      <c r="B519" s="6"/>
      <c r="D519" s="6"/>
      <c r="G519" s="6" t="str">
        <f>IFERROR(__xludf.DUMMYFUNCTION("""COMPUTED_VALUE"""),"flourish")</f>
        <v>flourish</v>
      </c>
      <c r="H519" s="6" t="str">
        <f>IFERROR(__xludf.DUMMYFUNCTION("""COMPUTED_VALUE"""),"clever")</f>
        <v>clever</v>
      </c>
      <c r="I519" s="6" t="str">
        <f>IFERROR(__xludf.DUMMYFUNCTION("""COMPUTED_VALUE"""),"leon")</f>
        <v>leon</v>
      </c>
      <c r="J519" s="6" t="str">
        <f>IFERROR(__xludf.DUMMYFUNCTION("""COMPUTED_VALUE"""),"tired")</f>
        <v>tired</v>
      </c>
      <c r="L519" s="6" t="str">
        <f>IFERROR(__xludf.DUMMYFUNCTION("""COMPUTED_VALUE"""),"intent")</f>
        <v>intent</v>
      </c>
      <c r="M519" s="6" t="str">
        <f>IFERROR(__xludf.DUMMYFUNCTION("""COMPUTED_VALUE"""),"inspired")</f>
        <v>inspired</v>
      </c>
      <c r="N519" s="6" t="str">
        <f>IFERROR(__xludf.DUMMYFUNCTION("""COMPUTED_VALUE"""),"pull")</f>
        <v>pull</v>
      </c>
      <c r="P519" s="6" t="str">
        <f>IFERROR(__xludf.DUMMYFUNCTION("""COMPUTED_VALUE"""),"edge")</f>
        <v>edge</v>
      </c>
      <c r="Q519" s="6" t="str">
        <f>IFERROR(__xludf.DUMMYFUNCTION("""COMPUTED_VALUE"""),"plots")</f>
        <v>plots</v>
      </c>
      <c r="S519" s="6" t="str">
        <f>IFERROR(__xludf.DUMMYFUNCTION("""COMPUTED_VALUE"""),"shoulders")</f>
        <v>shoulders</v>
      </c>
    </row>
    <row r="520">
      <c r="B520" s="6"/>
      <c r="D520" s="6"/>
      <c r="G520" s="6" t="str">
        <f>IFERROR(__xludf.DUMMYFUNCTION("""COMPUTED_VALUE"""),"chan")</f>
        <v>chan</v>
      </c>
      <c r="H520" s="6" t="str">
        <f>IFERROR(__xludf.DUMMYFUNCTION("""COMPUTED_VALUE"""),"plunging")</f>
        <v>plunging</v>
      </c>
      <c r="I520" s="6" t="str">
        <f>IFERROR(__xludf.DUMMYFUNCTION("""COMPUTED_VALUE"""),"equivalent")</f>
        <v>equivalent</v>
      </c>
      <c r="J520" s="6" t="str">
        <f>IFERROR(__xludf.DUMMYFUNCTION("""COMPUTED_VALUE"""),"scrutiny")</f>
        <v>scrutiny</v>
      </c>
      <c r="L520" s="6" t="str">
        <f>IFERROR(__xludf.DUMMYFUNCTION("""COMPUTED_VALUE"""),"fashioned")</f>
        <v>fashioned</v>
      </c>
      <c r="M520" s="6" t="str">
        <f>IFERROR(__xludf.DUMMYFUNCTION("""COMPUTED_VALUE"""),"putting")</f>
        <v>putting</v>
      </c>
      <c r="N520" s="6" t="str">
        <f>IFERROR(__xludf.DUMMYFUNCTION("""COMPUTED_VALUE"""),"answer")</f>
        <v>answer</v>
      </c>
      <c r="P520" s="6" t="str">
        <f>IFERROR(__xludf.DUMMYFUNCTION("""COMPUTED_VALUE"""),"courage")</f>
        <v>courage</v>
      </c>
      <c r="Q520" s="6" t="str">
        <f>IFERROR(__xludf.DUMMYFUNCTION("""COMPUTED_VALUE"""),"sentimental")</f>
        <v>sentimental</v>
      </c>
      <c r="S520" s="6" t="str">
        <f>IFERROR(__xludf.DUMMYFUNCTION("""COMPUTED_VALUE"""),"broad")</f>
        <v>broad</v>
      </c>
    </row>
    <row r="521">
      <c r="B521" s="6"/>
      <c r="D521" s="6"/>
      <c r="G521" s="6" t="str">
        <f>IFERROR(__xludf.DUMMYFUNCTION("""COMPUTED_VALUE"""),"problematic")</f>
        <v>problematic</v>
      </c>
      <c r="H521" s="6" t="str">
        <f>IFERROR(__xludf.DUMMYFUNCTION("""COMPUTED_VALUE"""),"intense")</f>
        <v>intense</v>
      </c>
      <c r="I521" s="6" t="str">
        <f>IFERROR(__xludf.DUMMYFUNCTION("""COMPUTED_VALUE"""),"secrets")</f>
        <v>secrets</v>
      </c>
      <c r="J521" s="6" t="str">
        <f>IFERROR(__xludf.DUMMYFUNCTION("""COMPUTED_VALUE"""),"radiant")</f>
        <v>radiant</v>
      </c>
      <c r="L521" s="6" t="str">
        <f>IFERROR(__xludf.DUMMYFUNCTION("""COMPUTED_VALUE"""),"midway")</f>
        <v>midway</v>
      </c>
      <c r="M521" s="6" t="str">
        <f>IFERROR(__xludf.DUMMYFUNCTION("""COMPUTED_VALUE"""),"color")</f>
        <v>color</v>
      </c>
      <c r="N521" s="6" t="str">
        <f>IFERROR(__xludf.DUMMYFUNCTION("""COMPUTED_VALUE"""),"phones")</f>
        <v>phones</v>
      </c>
      <c r="P521" s="6" t="str">
        <f>IFERROR(__xludf.DUMMYFUNCTION("""COMPUTED_VALUE"""),"top")</f>
        <v>top</v>
      </c>
      <c r="Q521" s="6" t="str">
        <f>IFERROR(__xludf.DUMMYFUNCTION("""COMPUTED_VALUE"""),"plotted")</f>
        <v>plotted</v>
      </c>
      <c r="S521" s="6" t="str">
        <f>IFERROR(__xludf.DUMMYFUNCTION("""COMPUTED_VALUE"""),"report")</f>
        <v>report</v>
      </c>
    </row>
    <row r="522">
      <c r="B522" s="6"/>
      <c r="D522" s="6"/>
      <c r="G522" s="6" t="str">
        <f>IFERROR(__xludf.DUMMYFUNCTION("""COMPUTED_VALUE"""),"corruption")</f>
        <v>corruption</v>
      </c>
      <c r="H522" s="6" t="str">
        <f>IFERROR(__xludf.DUMMYFUNCTION("""COMPUTED_VALUE"""),"faithful")</f>
        <v>faithful</v>
      </c>
      <c r="I522" s="6" t="str">
        <f>IFERROR(__xludf.DUMMYFUNCTION("""COMPUTED_VALUE"""),"sexy")</f>
        <v>sexy</v>
      </c>
      <c r="J522" s="6" t="str">
        <f>IFERROR(__xludf.DUMMYFUNCTION("""COMPUTED_VALUE"""),"kennedy")</f>
        <v>kennedy</v>
      </c>
      <c r="L522" s="6" t="str">
        <f>IFERROR(__xludf.DUMMYFUNCTION("""COMPUTED_VALUE"""),"adventure")</f>
        <v>adventure</v>
      </c>
      <c r="M522" s="6" t="str">
        <f>IFERROR(__xludf.DUMMYFUNCTION("""COMPUTED_VALUE"""),"weeks")</f>
        <v>weeks</v>
      </c>
      <c r="N522" s="6" t="str">
        <f>IFERROR(__xludf.DUMMYFUNCTION("""COMPUTED_VALUE"""),"exciting")</f>
        <v>exciting</v>
      </c>
      <c r="P522" s="6" t="str">
        <f>IFERROR(__xludf.DUMMYFUNCTION("""COMPUTED_VALUE"""),"graduated")</f>
        <v>graduated</v>
      </c>
      <c r="Q522" s="6" t="str">
        <f>IFERROR(__xludf.DUMMYFUNCTION("""COMPUTED_VALUE"""),"drown")</f>
        <v>drown</v>
      </c>
      <c r="S522" s="6" t="str">
        <f>IFERROR(__xludf.DUMMYFUNCTION("""COMPUTED_VALUE"""),"abuse")</f>
        <v>abuse</v>
      </c>
    </row>
    <row r="523">
      <c r="B523" s="6"/>
      <c r="D523" s="6"/>
      <c r="G523" s="6" t="str">
        <f>IFERROR(__xludf.DUMMYFUNCTION("""COMPUTED_VALUE"""),"christian")</f>
        <v>christian</v>
      </c>
      <c r="H523" s="6" t="str">
        <f>IFERROR(__xludf.DUMMYFUNCTION("""COMPUTED_VALUE"""),"exaggerated")</f>
        <v>exaggerated</v>
      </c>
      <c r="I523" s="6" t="str">
        <f>IFERROR(__xludf.DUMMYFUNCTION("""COMPUTED_VALUE"""),"magnetic")</f>
        <v>magnetic</v>
      </c>
      <c r="J523" s="6" t="str">
        <f>IFERROR(__xludf.DUMMYFUNCTION("""COMPUTED_VALUE"""),"speculation")</f>
        <v>speculation</v>
      </c>
      <c r="L523" s="6" t="str">
        <f>IFERROR(__xludf.DUMMYFUNCTION("""COMPUTED_VALUE"""),"journey")</f>
        <v>journey</v>
      </c>
      <c r="M523" s="6" t="str">
        <f>IFERROR(__xludf.DUMMYFUNCTION("""COMPUTED_VALUE"""),"children")</f>
        <v>children</v>
      </c>
      <c r="N523" s="6" t="str">
        <f>IFERROR(__xludf.DUMMYFUNCTION("""COMPUTED_VALUE"""),"vin")</f>
        <v>vin</v>
      </c>
      <c r="P523" s="6" t="str">
        <f>IFERROR(__xludf.DUMMYFUNCTION("""COMPUTED_VALUE"""),"intellectual")</f>
        <v>intellectual</v>
      </c>
      <c r="Q523" s="6" t="str">
        <f>IFERROR(__xludf.DUMMYFUNCTION("""COMPUTED_VALUE"""),"bombs")</f>
        <v>bombs</v>
      </c>
      <c r="S523" s="6" t="str">
        <f>IFERROR(__xludf.DUMMYFUNCTION("""COMPUTED_VALUE"""),"fake")</f>
        <v>fake</v>
      </c>
    </row>
    <row r="524">
      <c r="B524" s="6"/>
      <c r="D524" s="6"/>
      <c r="G524" s="6" t="str">
        <f>IFERROR(__xludf.DUMMYFUNCTION("""COMPUTED_VALUE"""),"triangle")</f>
        <v>triangle</v>
      </c>
      <c r="H524" s="6" t="str">
        <f>IFERROR(__xludf.DUMMYFUNCTION("""COMPUTED_VALUE"""),"yarn")</f>
        <v>yarn</v>
      </c>
      <c r="I524" s="6" t="str">
        <f>IFERROR(__xludf.DUMMYFUNCTION("""COMPUTED_VALUE"""),"legacy")</f>
        <v>legacy</v>
      </c>
      <c r="J524" s="6" t="str">
        <f>IFERROR(__xludf.DUMMYFUNCTION("""COMPUTED_VALUE"""),"soundtrack")</f>
        <v>soundtrack</v>
      </c>
      <c r="L524" s="6" t="str">
        <f>IFERROR(__xludf.DUMMYFUNCTION("""COMPUTED_VALUE"""),"landscape")</f>
        <v>landscape</v>
      </c>
      <c r="M524" s="6" t="str">
        <f>IFERROR(__xludf.DUMMYFUNCTION("""COMPUTED_VALUE"""),"monday")</f>
        <v>monday</v>
      </c>
      <c r="N524" s="6" t="str">
        <f>IFERROR(__xludf.DUMMYFUNCTION("""COMPUTED_VALUE"""),"sets")</f>
        <v>sets</v>
      </c>
      <c r="P524" s="6" t="str">
        <f>IFERROR(__xludf.DUMMYFUNCTION("""COMPUTED_VALUE"""),"test")</f>
        <v>test</v>
      </c>
      <c r="Q524" s="6" t="str">
        <f>IFERROR(__xludf.DUMMYFUNCTION("""COMPUTED_VALUE"""),"surface")</f>
        <v>surface</v>
      </c>
      <c r="S524" s="6" t="str">
        <f>IFERROR(__xludf.DUMMYFUNCTION("""COMPUTED_VALUE"""),"israeli")</f>
        <v>israeli</v>
      </c>
    </row>
    <row r="525">
      <c r="B525" s="6"/>
      <c r="D525" s="6"/>
      <c r="G525" s="6" t="str">
        <f>IFERROR(__xludf.DUMMYFUNCTION("""COMPUTED_VALUE"""),"equivalent")</f>
        <v>equivalent</v>
      </c>
      <c r="H525" s="6" t="str">
        <f>IFERROR(__xludf.DUMMYFUNCTION("""COMPUTED_VALUE"""),"punishment")</f>
        <v>punishment</v>
      </c>
      <c r="I525" s="6" t="str">
        <f>IFERROR(__xludf.DUMMYFUNCTION("""COMPUTED_VALUE"""),"evil")</f>
        <v>evil</v>
      </c>
      <c r="J525" s="6">
        <f>IFERROR(__xludf.DUMMYFUNCTION("""COMPUTED_VALUE"""),20.0)</f>
        <v>20</v>
      </c>
      <c r="L525" s="6" t="str">
        <f>IFERROR(__xludf.DUMMYFUNCTION("""COMPUTED_VALUE"""),"exercise")</f>
        <v>exercise</v>
      </c>
      <c r="M525" s="6" t="str">
        <f>IFERROR(__xludf.DUMMYFUNCTION("""COMPUTED_VALUE"""),"lift")</f>
        <v>lift</v>
      </c>
      <c r="N525" s="6" t="str">
        <f>IFERROR(__xludf.DUMMYFUNCTION("""COMPUTED_VALUE"""),"spark")</f>
        <v>spark</v>
      </c>
      <c r="P525" s="6" t="str">
        <f>IFERROR(__xludf.DUMMYFUNCTION("""COMPUTED_VALUE"""),"observations")</f>
        <v>observations</v>
      </c>
      <c r="Q525" s="6" t="str">
        <f>IFERROR(__xludf.DUMMYFUNCTION("""COMPUTED_VALUE"""),"stupidity")</f>
        <v>stupidity</v>
      </c>
      <c r="S525" s="6" t="str">
        <f>IFERROR(__xludf.DUMMYFUNCTION("""COMPUTED_VALUE"""),"palestinian")</f>
        <v>palestinian</v>
      </c>
    </row>
    <row r="526">
      <c r="B526" s="6"/>
      <c r="D526" s="6"/>
      <c r="G526" s="6" t="str">
        <f>IFERROR(__xludf.DUMMYFUNCTION("""COMPUTED_VALUE"""),"bracing")</f>
        <v>bracing</v>
      </c>
      <c r="H526" s="6" t="str">
        <f>IFERROR(__xludf.DUMMYFUNCTION("""COMPUTED_VALUE"""),"innocence")</f>
        <v>innocence</v>
      </c>
      <c r="I526" s="6" t="str">
        <f>IFERROR(__xludf.DUMMYFUNCTION("""COMPUTED_VALUE"""),"trees")</f>
        <v>trees</v>
      </c>
      <c r="J526" s="6" t="str">
        <f>IFERROR(__xludf.DUMMYFUNCTION("""COMPUTED_VALUE"""),"layers")</f>
        <v>layers</v>
      </c>
      <c r="L526" s="6" t="str">
        <f>IFERROR(__xludf.DUMMYFUNCTION("""COMPUTED_VALUE"""),"tool")</f>
        <v>tool</v>
      </c>
      <c r="M526" s="6" t="str">
        <f>IFERROR(__xludf.DUMMYFUNCTION("""COMPUTED_VALUE"""),"japanese")</f>
        <v>japanese</v>
      </c>
      <c r="N526" s="6" t="str">
        <f>IFERROR(__xludf.DUMMYFUNCTION("""COMPUTED_VALUE"""),"onto")</f>
        <v>onto</v>
      </c>
      <c r="P526" s="6" t="str">
        <f>IFERROR(__xludf.DUMMYFUNCTION("""COMPUTED_VALUE"""),"filled")</f>
        <v>filled</v>
      </c>
      <c r="Q526" s="6" t="str">
        <f>IFERROR(__xludf.DUMMYFUNCTION("""COMPUTED_VALUE"""),"machine")</f>
        <v>machine</v>
      </c>
      <c r="S526" s="6" t="str">
        <f>IFERROR(__xludf.DUMMYFUNCTION("""COMPUTED_VALUE"""),"strong")</f>
        <v>strong</v>
      </c>
    </row>
    <row r="527">
      <c r="B527" s="6"/>
      <c r="D527" s="6"/>
      <c r="G527" s="6" t="str">
        <f>IFERROR(__xludf.DUMMYFUNCTION("""COMPUTED_VALUE"""),"smoky")</f>
        <v>smoky</v>
      </c>
      <c r="H527" s="6" t="str">
        <f>IFERROR(__xludf.DUMMYFUNCTION("""COMPUTED_VALUE"""),"tackles")</f>
        <v>tackles</v>
      </c>
      <c r="I527" s="6" t="str">
        <f>IFERROR(__xludf.DUMMYFUNCTION("""COMPUTED_VALUE"""),"suitable")</f>
        <v>suitable</v>
      </c>
      <c r="J527" s="6" t="str">
        <f>IFERROR(__xludf.DUMMYFUNCTION("""COMPUTED_VALUE"""),"deadly")</f>
        <v>deadly</v>
      </c>
      <c r="L527" s="6" t="str">
        <f>IFERROR(__xludf.DUMMYFUNCTION("""COMPUTED_VALUE"""),"map")</f>
        <v>map</v>
      </c>
      <c r="M527" s="6" t="str">
        <f>IFERROR(__xludf.DUMMYFUNCTION("""COMPUTED_VALUE"""),"tight")</f>
        <v>tight</v>
      </c>
      <c r="N527" s="6" t="str">
        <f>IFERROR(__xludf.DUMMYFUNCTION("""COMPUTED_VALUE"""),"dying")</f>
        <v>dying</v>
      </c>
      <c r="P527" s="6" t="str">
        <f>IFERROR(__xludf.DUMMYFUNCTION("""COMPUTED_VALUE"""),"ill")</f>
        <v>ill</v>
      </c>
      <c r="Q527" s="6" t="str">
        <f>IFERROR(__xludf.DUMMYFUNCTION("""COMPUTED_VALUE"""),"complexity")</f>
        <v>complexity</v>
      </c>
      <c r="S527" s="6" t="str">
        <f>IFERROR(__xludf.DUMMYFUNCTION("""COMPUTED_VALUE"""),"fire")</f>
        <v>fire</v>
      </c>
    </row>
    <row r="528">
      <c r="B528" s="6"/>
      <c r="D528" s="6"/>
      <c r="G528" s="6" t="str">
        <f>IFERROR(__xludf.DUMMYFUNCTION("""COMPUTED_VALUE"""),"ghosts")</f>
        <v>ghosts</v>
      </c>
      <c r="H528" s="6" t="str">
        <f>IFERROR(__xludf.DUMMYFUNCTION("""COMPUTED_VALUE"""),"grotesque")</f>
        <v>grotesque</v>
      </c>
      <c r="I528" s="6" t="str">
        <f>IFERROR(__xludf.DUMMYFUNCTION("""COMPUTED_VALUE"""),"magic")</f>
        <v>magic</v>
      </c>
      <c r="J528" s="6" t="str">
        <f>IFERROR(__xludf.DUMMYFUNCTION("""COMPUTED_VALUE"""),"frequently")</f>
        <v>frequently</v>
      </c>
      <c r="L528" s="6" t="str">
        <f>IFERROR(__xludf.DUMMYFUNCTION("""COMPUTED_VALUE"""),"images")</f>
        <v>images</v>
      </c>
      <c r="M528" s="6" t="str">
        <f>IFERROR(__xludf.DUMMYFUNCTION("""COMPUTED_VALUE"""),"california")</f>
        <v>california</v>
      </c>
      <c r="N528" s="6" t="str">
        <f>IFERROR(__xludf.DUMMYFUNCTION("""COMPUTED_VALUE"""),"successful")</f>
        <v>successful</v>
      </c>
      <c r="P528" s="6" t="str">
        <f>IFERROR(__xludf.DUMMYFUNCTION("""COMPUTED_VALUE"""),"bore")</f>
        <v>bore</v>
      </c>
      <c r="Q528" s="6" t="str">
        <f>IFERROR(__xludf.DUMMYFUNCTION("""COMPUTED_VALUE"""),"dramatic")</f>
        <v>dramatic</v>
      </c>
      <c r="S528" s="6" t="str">
        <f>IFERROR(__xludf.DUMMYFUNCTION("""COMPUTED_VALUE"""),"rodriguez")</f>
        <v>rodriguez</v>
      </c>
    </row>
    <row r="529">
      <c r="B529" s="6"/>
      <c r="D529" s="6"/>
      <c r="G529" s="6" t="str">
        <f>IFERROR(__xludf.DUMMYFUNCTION("""COMPUTED_VALUE"""),"praises")</f>
        <v>praises</v>
      </c>
      <c r="H529" s="6" t="str">
        <f>IFERROR(__xludf.DUMMYFUNCTION("""COMPUTED_VALUE"""),"kwan")</f>
        <v>kwan</v>
      </c>
      <c r="I529" s="6" t="str">
        <f>IFERROR(__xludf.DUMMYFUNCTION("""COMPUTED_VALUE"""),"innovation")</f>
        <v>innovation</v>
      </c>
      <c r="J529" s="6" t="str">
        <f>IFERROR(__xludf.DUMMYFUNCTION("""COMPUTED_VALUE"""),"chords")</f>
        <v>chords</v>
      </c>
      <c r="L529" s="6" t="str">
        <f>IFERROR(__xludf.DUMMYFUNCTION("""COMPUTED_VALUE"""),"kicking")</f>
        <v>kicking</v>
      </c>
      <c r="M529" s="6" t="str">
        <f>IFERROR(__xludf.DUMMYFUNCTION("""COMPUTED_VALUE"""),"locations")</f>
        <v>locations</v>
      </c>
      <c r="N529" s="6" t="str">
        <f>IFERROR(__xludf.DUMMYFUNCTION("""COMPUTED_VALUE"""),"wash")</f>
        <v>wash</v>
      </c>
      <c r="P529" s="6" t="str">
        <f>IFERROR(__xludf.DUMMYFUNCTION("""COMPUTED_VALUE"""),"universal")</f>
        <v>universal</v>
      </c>
      <c r="Q529" s="6" t="str">
        <f>IFERROR(__xludf.DUMMYFUNCTION("""COMPUTED_VALUE"""),"darkness")</f>
        <v>darkness</v>
      </c>
      <c r="S529" s="6" t="str">
        <f>IFERROR(__xludf.DUMMYFUNCTION("""COMPUTED_VALUE"""),"move")</f>
        <v>move</v>
      </c>
    </row>
    <row r="530">
      <c r="B530" s="6"/>
      <c r="D530" s="6"/>
      <c r="G530" s="6" t="str">
        <f>IFERROR(__xludf.DUMMYFUNCTION("""COMPUTED_VALUE"""),"destiny")</f>
        <v>destiny</v>
      </c>
      <c r="H530" s="6" t="str">
        <f>IFERROR(__xludf.DUMMYFUNCTION("""COMPUTED_VALUE"""),"stanley")</f>
        <v>stanley</v>
      </c>
      <c r="I530" s="6" t="str">
        <f>IFERROR(__xludf.DUMMYFUNCTION("""COMPUTED_VALUE"""),"notice")</f>
        <v>notice</v>
      </c>
      <c r="J530" s="6" t="str">
        <f>IFERROR(__xludf.DUMMYFUNCTION("""COMPUTED_VALUE"""),"impressive")</f>
        <v>impressive</v>
      </c>
      <c r="L530" s="6" t="str">
        <f>IFERROR(__xludf.DUMMYFUNCTION("""COMPUTED_VALUE"""),"brains")</f>
        <v>brains</v>
      </c>
      <c r="M530" s="6" t="str">
        <f>IFERROR(__xludf.DUMMYFUNCTION("""COMPUTED_VALUE"""),"forgotten")</f>
        <v>forgotten</v>
      </c>
      <c r="N530" s="6" t="str">
        <f>IFERROR(__xludf.DUMMYFUNCTION("""COMPUTED_VALUE"""),"phenomenon")</f>
        <v>phenomenon</v>
      </c>
      <c r="P530" s="6" t="str">
        <f>IFERROR(__xludf.DUMMYFUNCTION("""COMPUTED_VALUE"""),"involving")</f>
        <v>involving</v>
      </c>
      <c r="Q530" s="6" t="str">
        <f>IFERROR(__xludf.DUMMYFUNCTION("""COMPUTED_VALUE"""),"loud")</f>
        <v>loud</v>
      </c>
      <c r="S530" s="6" t="str">
        <f>IFERROR(__xludf.DUMMYFUNCTION("""COMPUTED_VALUE"""),"purpose")</f>
        <v>purpose</v>
      </c>
    </row>
    <row r="531">
      <c r="B531" s="6"/>
      <c r="D531" s="6"/>
      <c r="G531" s="6" t="str">
        <f>IFERROR(__xludf.DUMMYFUNCTION("""COMPUTED_VALUE"""),"innovation")</f>
        <v>innovation</v>
      </c>
      <c r="H531" s="6" t="str">
        <f>IFERROR(__xludf.DUMMYFUNCTION("""COMPUTED_VALUE"""),"wore")</f>
        <v>wore</v>
      </c>
      <c r="I531" s="6" t="str">
        <f>IFERROR(__xludf.DUMMYFUNCTION("""COMPUTED_VALUE"""),"violent")</f>
        <v>violent</v>
      </c>
      <c r="J531" s="6" t="str">
        <f>IFERROR(__xludf.DUMMYFUNCTION("""COMPUTED_VALUE"""),"biography")</f>
        <v>biography</v>
      </c>
      <c r="L531" s="6" t="str">
        <f>IFERROR(__xludf.DUMMYFUNCTION("""COMPUTED_VALUE"""),"cellular")</f>
        <v>cellular</v>
      </c>
      <c r="M531" s="6" t="str">
        <f>IFERROR(__xludf.DUMMYFUNCTION("""COMPUTED_VALUE"""),"dress")</f>
        <v>dress</v>
      </c>
      <c r="N531" s="6" t="str">
        <f>IFERROR(__xludf.DUMMYFUNCTION("""COMPUTED_VALUE"""),"created")</f>
        <v>created</v>
      </c>
      <c r="P531" s="6" t="str">
        <f>IFERROR(__xludf.DUMMYFUNCTION("""COMPUTED_VALUE"""),"liberal")</f>
        <v>liberal</v>
      </c>
      <c r="Q531" s="6" t="str">
        <f>IFERROR(__xludf.DUMMYFUNCTION("""COMPUTED_VALUE"""),"predecessor")</f>
        <v>predecessor</v>
      </c>
      <c r="S531" s="6" t="str">
        <f>IFERROR(__xludf.DUMMYFUNCTION("""COMPUTED_VALUE"""),"christmas")</f>
        <v>christmas</v>
      </c>
    </row>
    <row r="532">
      <c r="B532" s="6"/>
      <c r="D532" s="6"/>
      <c r="G532" s="6" t="str">
        <f>IFERROR(__xludf.DUMMYFUNCTION("""COMPUTED_VALUE"""),"glaring")</f>
        <v>glaring</v>
      </c>
      <c r="H532" s="6" t="str">
        <f>IFERROR(__xludf.DUMMYFUNCTION("""COMPUTED_VALUE"""),"clive")</f>
        <v>clive</v>
      </c>
      <c r="I532" s="6" t="str">
        <f>IFERROR(__xludf.DUMMYFUNCTION("""COMPUTED_VALUE"""),"crowd")</f>
        <v>crowd</v>
      </c>
      <c r="J532" s="6" t="str">
        <f>IFERROR(__xludf.DUMMYFUNCTION("""COMPUTED_VALUE"""),"narrator")</f>
        <v>narrator</v>
      </c>
      <c r="L532" s="6" t="str">
        <f>IFERROR(__xludf.DUMMYFUNCTION("""COMPUTED_VALUE"""),"scream")</f>
        <v>scream</v>
      </c>
      <c r="M532" s="6" t="str">
        <f>IFERROR(__xludf.DUMMYFUNCTION("""COMPUTED_VALUE"""),"mall")</f>
        <v>mall</v>
      </c>
      <c r="N532" s="6" t="str">
        <f>IFERROR(__xludf.DUMMYFUNCTION("""COMPUTED_VALUE"""),"forces")</f>
        <v>forces</v>
      </c>
      <c r="P532" s="6" t="str">
        <f>IFERROR(__xludf.DUMMYFUNCTION("""COMPUTED_VALUE"""),"sequence")</f>
        <v>sequence</v>
      </c>
      <c r="Q532" s="6" t="str">
        <f>IFERROR(__xludf.DUMMYFUNCTION("""COMPUTED_VALUE"""),"sets")</f>
        <v>sets</v>
      </c>
      <c r="S532" s="6" t="str">
        <f>IFERROR(__xludf.DUMMYFUNCTION("""COMPUTED_VALUE"""),"reality")</f>
        <v>reality</v>
      </c>
    </row>
    <row r="533">
      <c r="B533" s="6"/>
      <c r="D533" s="6"/>
      <c r="G533" s="6" t="str">
        <f>IFERROR(__xludf.DUMMYFUNCTION("""COMPUTED_VALUE"""),"vulgar")</f>
        <v>vulgar</v>
      </c>
      <c r="H533" s="6" t="str">
        <f>IFERROR(__xludf.DUMMYFUNCTION("""COMPUTED_VALUE"""),"barker")</f>
        <v>barker</v>
      </c>
      <c r="I533" s="6" t="str">
        <f>IFERROR(__xludf.DUMMYFUNCTION("""COMPUTED_VALUE"""),"belongs")</f>
        <v>belongs</v>
      </c>
      <c r="J533" s="6" t="str">
        <f>IFERROR(__xludf.DUMMYFUNCTION("""COMPUTED_VALUE"""),"task")</f>
        <v>task</v>
      </c>
      <c r="L533" s="6" t="str">
        <f>IFERROR(__xludf.DUMMYFUNCTION("""COMPUTED_VALUE"""),"sink")</f>
        <v>sink</v>
      </c>
      <c r="M533" s="6" t="str">
        <f>IFERROR(__xludf.DUMMYFUNCTION("""COMPUTED_VALUE"""),"century")</f>
        <v>century</v>
      </c>
      <c r="N533" s="6" t="str">
        <f>IFERROR(__xludf.DUMMYFUNCTION("""COMPUTED_VALUE"""),"memory")</f>
        <v>memory</v>
      </c>
      <c r="P533" s="6" t="str">
        <f>IFERROR(__xludf.DUMMYFUNCTION("""COMPUTED_VALUE"""),"edited")</f>
        <v>edited</v>
      </c>
      <c r="Q533" s="6" t="str">
        <f>IFERROR(__xludf.DUMMYFUNCTION("""COMPUTED_VALUE"""),"unexpectedly")</f>
        <v>unexpectedly</v>
      </c>
      <c r="S533" s="6" t="str">
        <f>IFERROR(__xludf.DUMMYFUNCTION("""COMPUTED_VALUE"""),"various")</f>
        <v>various</v>
      </c>
    </row>
    <row r="534">
      <c r="B534" s="6"/>
      <c r="D534" s="6"/>
      <c r="G534" s="6" t="str">
        <f>IFERROR(__xludf.DUMMYFUNCTION("""COMPUTED_VALUE"""),"violent")</f>
        <v>violent</v>
      </c>
      <c r="H534" s="6" t="str">
        <f>IFERROR(__xludf.DUMMYFUNCTION("""COMPUTED_VALUE"""),"recognizable")</f>
        <v>recognizable</v>
      </c>
      <c r="I534" s="6" t="str">
        <f>IFERROR(__xludf.DUMMYFUNCTION("""COMPUTED_VALUE"""),"country")</f>
        <v>country</v>
      </c>
      <c r="J534" s="6" t="str">
        <f>IFERROR(__xludf.DUMMYFUNCTION("""COMPUTED_VALUE"""),"heroine")</f>
        <v>heroine</v>
      </c>
      <c r="L534" s="6" t="str">
        <f>IFERROR(__xludf.DUMMYFUNCTION("""COMPUTED_VALUE"""),"scale")</f>
        <v>scale</v>
      </c>
      <c r="M534" s="6" t="str">
        <f>IFERROR(__xludf.DUMMYFUNCTION("""COMPUTED_VALUE"""),"wave")</f>
        <v>wave</v>
      </c>
      <c r="N534" s="6" t="str">
        <f>IFERROR(__xludf.DUMMYFUNCTION("""COMPUTED_VALUE"""),"fight")</f>
        <v>fight</v>
      </c>
      <c r="P534" s="6" t="str">
        <f>IFERROR(__xludf.DUMMYFUNCTION("""COMPUTED_VALUE"""),"badly")</f>
        <v>badly</v>
      </c>
      <c r="Q534" s="6" t="str">
        <f>IFERROR(__xludf.DUMMYFUNCTION("""COMPUTED_VALUE"""),"comedies")</f>
        <v>comedies</v>
      </c>
      <c r="S534" s="6" t="str">
        <f>IFERROR(__xludf.DUMMYFUNCTION("""COMPUTED_VALUE"""),"whatever")</f>
        <v>whatever</v>
      </c>
    </row>
    <row r="535">
      <c r="B535" s="6"/>
      <c r="D535" s="6"/>
      <c r="G535" s="6" t="str">
        <f>IFERROR(__xludf.DUMMYFUNCTION("""COMPUTED_VALUE"""),"pokemon")</f>
        <v>pokemon</v>
      </c>
      <c r="H535" s="6" t="str">
        <f>IFERROR(__xludf.DUMMYFUNCTION("""COMPUTED_VALUE"""),"propelled")</f>
        <v>propelled</v>
      </c>
      <c r="I535" s="6" t="str">
        <f>IFERROR(__xludf.DUMMYFUNCTION("""COMPUTED_VALUE"""),"jacques")</f>
        <v>jacques</v>
      </c>
      <c r="J535" s="6" t="str">
        <f>IFERROR(__xludf.DUMMYFUNCTION("""COMPUTED_VALUE"""),"dramatically")</f>
        <v>dramatically</v>
      </c>
      <c r="L535" s="6" t="str">
        <f>IFERROR(__xludf.DUMMYFUNCTION("""COMPUTED_VALUE"""),"charismatic")</f>
        <v>charismatic</v>
      </c>
      <c r="M535" s="6" t="str">
        <f>IFERROR(__xludf.DUMMYFUNCTION("""COMPUTED_VALUE"""),"ends")</f>
        <v>ends</v>
      </c>
      <c r="N535" s="6" t="str">
        <f>IFERROR(__xludf.DUMMYFUNCTION("""COMPUTED_VALUE"""),"blend")</f>
        <v>blend</v>
      </c>
      <c r="P535" s="6" t="str">
        <f>IFERROR(__xludf.DUMMYFUNCTION("""COMPUTED_VALUE"""),"check")</f>
        <v>check</v>
      </c>
      <c r="Q535" s="6" t="str">
        <f>IFERROR(__xludf.DUMMYFUNCTION("""COMPUTED_VALUE"""),"enduring")</f>
        <v>enduring</v>
      </c>
      <c r="S535" s="6" t="str">
        <f>IFERROR(__xludf.DUMMYFUNCTION("""COMPUTED_VALUE"""),"wet")</f>
        <v>wet</v>
      </c>
    </row>
    <row r="536">
      <c r="B536" s="6"/>
      <c r="D536" s="6"/>
      <c r="G536" s="6" t="str">
        <f>IFERROR(__xludf.DUMMYFUNCTION("""COMPUTED_VALUE"""),"crowd")</f>
        <v>crowd</v>
      </c>
      <c r="H536" s="6" t="str">
        <f>IFERROR(__xludf.DUMMYFUNCTION("""COMPUTED_VALUE"""),"spielberg")</f>
        <v>spielberg</v>
      </c>
      <c r="I536" s="6" t="str">
        <f>IFERROR(__xludf.DUMMYFUNCTION("""COMPUTED_VALUE"""),"bonds")</f>
        <v>bonds</v>
      </c>
      <c r="J536" s="6" t="str">
        <f>IFERROR(__xludf.DUMMYFUNCTION("""COMPUTED_VALUE"""),"side")</f>
        <v>side</v>
      </c>
      <c r="L536" s="6" t="str">
        <f>IFERROR(__xludf.DUMMYFUNCTION("""COMPUTED_VALUE"""),"splash")</f>
        <v>splash</v>
      </c>
      <c r="M536" s="6" t="str">
        <f>IFERROR(__xludf.DUMMYFUNCTION("""COMPUTED_VALUE"""),"computer")</f>
        <v>computer</v>
      </c>
      <c r="N536" s="6" t="str">
        <f>IFERROR(__xludf.DUMMYFUNCTION("""COMPUTED_VALUE"""),"satisfactory")</f>
        <v>satisfactory</v>
      </c>
      <c r="P536" s="6" t="str">
        <f>IFERROR(__xludf.DUMMYFUNCTION("""COMPUTED_VALUE"""),"instead")</f>
        <v>instead</v>
      </c>
      <c r="Q536" s="6" t="str">
        <f>IFERROR(__xludf.DUMMYFUNCTION("""COMPUTED_VALUE"""),"subjects")</f>
        <v>subjects</v>
      </c>
      <c r="S536" s="6" t="str">
        <f>IFERROR(__xludf.DUMMYFUNCTION("""COMPUTED_VALUE"""),"cry")</f>
        <v>cry</v>
      </c>
    </row>
    <row r="537">
      <c r="B537" s="6"/>
      <c r="D537" s="6"/>
      <c r="G537" s="6" t="str">
        <f>IFERROR(__xludf.DUMMYFUNCTION("""COMPUTED_VALUE"""),"incorporates")</f>
        <v>incorporates</v>
      </c>
      <c r="H537" s="6" t="str">
        <f>IFERROR(__xludf.DUMMYFUNCTION("""COMPUTED_VALUE"""),"trademark")</f>
        <v>trademark</v>
      </c>
      <c r="I537" s="6" t="str">
        <f>IFERROR(__xludf.DUMMYFUNCTION("""COMPUTED_VALUE"""),"ended")</f>
        <v>ended</v>
      </c>
      <c r="J537" s="6" t="str">
        <f>IFERROR(__xludf.DUMMYFUNCTION("""COMPUTED_VALUE"""),"neither")</f>
        <v>neither</v>
      </c>
      <c r="L537" s="6" t="str">
        <f>IFERROR(__xludf.DUMMYFUNCTION("""COMPUTED_VALUE"""),"lunar")</f>
        <v>lunar</v>
      </c>
      <c r="M537" s="6" t="str">
        <f>IFERROR(__xludf.DUMMYFUNCTION("""COMPUTED_VALUE"""),"study")</f>
        <v>study</v>
      </c>
      <c r="N537" s="6" t="str">
        <f>IFERROR(__xludf.DUMMYFUNCTION("""COMPUTED_VALUE"""),"barry")</f>
        <v>barry</v>
      </c>
      <c r="P537" s="6" t="str">
        <f>IFERROR(__xludf.DUMMYFUNCTION("""COMPUTED_VALUE"""),"dvd")</f>
        <v>dvd</v>
      </c>
      <c r="Q537" s="6" t="str">
        <f>IFERROR(__xludf.DUMMYFUNCTION("""COMPUTED_VALUE"""),"flick")</f>
        <v>flick</v>
      </c>
      <c r="S537" s="6" t="str">
        <f>IFERROR(__xludf.DUMMYFUNCTION("""COMPUTED_VALUE"""),"future")</f>
        <v>future</v>
      </c>
    </row>
    <row r="538">
      <c r="B538" s="6"/>
      <c r="D538" s="6"/>
      <c r="G538" s="6" t="str">
        <f>IFERROR(__xludf.DUMMYFUNCTION("""COMPUTED_VALUE"""),"jacques")</f>
        <v>jacques</v>
      </c>
      <c r="H538" s="6" t="str">
        <f>IFERROR(__xludf.DUMMYFUNCTION("""COMPUTED_VALUE"""),"revelations")</f>
        <v>revelations</v>
      </c>
      <c r="I538" s="6" t="str">
        <f>IFERROR(__xludf.DUMMYFUNCTION("""COMPUTED_VALUE"""),"governments")</f>
        <v>governments</v>
      </c>
      <c r="J538" s="6" t="str">
        <f>IFERROR(__xludf.DUMMYFUNCTION("""COMPUTED_VALUE"""),"provocative")</f>
        <v>provocative</v>
      </c>
      <c r="L538" s="6" t="str">
        <f>IFERROR(__xludf.DUMMYFUNCTION("""COMPUTED_VALUE"""),"admission")</f>
        <v>admission</v>
      </c>
      <c r="M538" s="6" t="str">
        <f>IFERROR(__xludf.DUMMYFUNCTION("""COMPUTED_VALUE"""),"connection")</f>
        <v>connection</v>
      </c>
      <c r="N538" s="6" t="str">
        <f>IFERROR(__xludf.DUMMYFUNCTION("""COMPUTED_VALUE"""),"fall")</f>
        <v>fall</v>
      </c>
      <c r="P538" s="6" t="str">
        <f>IFERROR(__xludf.DUMMYFUNCTION("""COMPUTED_VALUE"""),"ticket")</f>
        <v>ticket</v>
      </c>
      <c r="Q538" s="6" t="str">
        <f>IFERROR(__xludf.DUMMYFUNCTION("""COMPUTED_VALUE"""),"wan")</f>
        <v>wan</v>
      </c>
      <c r="S538" s="6" t="str">
        <f>IFERROR(__xludf.DUMMYFUNCTION("""COMPUTED_VALUE"""),"max")</f>
        <v>max</v>
      </c>
    </row>
    <row r="539">
      <c r="B539" s="6"/>
      <c r="D539" s="6"/>
      <c r="G539" s="6" t="str">
        <f>IFERROR(__xludf.DUMMYFUNCTION("""COMPUTED_VALUE"""),"diversion")</f>
        <v>diversion</v>
      </c>
      <c r="H539" s="6" t="str">
        <f>IFERROR(__xludf.DUMMYFUNCTION("""COMPUTED_VALUE"""),"stylistic")</f>
        <v>stylistic</v>
      </c>
      <c r="I539" s="6" t="str">
        <f>IFERROR(__xludf.DUMMYFUNCTION("""COMPUTED_VALUE"""),"reconstruction")</f>
        <v>reconstruction</v>
      </c>
      <c r="J539" s="6" t="str">
        <f>IFERROR(__xludf.DUMMYFUNCTION("""COMPUTED_VALUE"""),"longest")</f>
        <v>longest</v>
      </c>
      <c r="L539" s="6" t="str">
        <f>IFERROR(__xludf.DUMMYFUNCTION("""COMPUTED_VALUE"""),"accurate")</f>
        <v>accurate</v>
      </c>
      <c r="M539" s="6" t="str">
        <f>IFERROR(__xludf.DUMMYFUNCTION("""COMPUTED_VALUE"""),"access")</f>
        <v>access</v>
      </c>
      <c r="N539" s="6" t="str">
        <f>IFERROR(__xludf.DUMMYFUNCTION("""COMPUTED_VALUE"""),"jon")</f>
        <v>jon</v>
      </c>
      <c r="P539" s="6" t="str">
        <f>IFERROR(__xludf.DUMMYFUNCTION("""COMPUTED_VALUE"""),"smart")</f>
        <v>smart</v>
      </c>
      <c r="Q539" s="6" t="str">
        <f>IFERROR(__xludf.DUMMYFUNCTION("""COMPUTED_VALUE"""),"oddly")</f>
        <v>oddly</v>
      </c>
      <c r="S539" s="6" t="str">
        <f>IFERROR(__xludf.DUMMYFUNCTION("""COMPUTED_VALUE"""),"bombs")</f>
        <v>bombs</v>
      </c>
    </row>
    <row r="540">
      <c r="B540" s="6"/>
      <c r="D540" s="6"/>
      <c r="G540" s="6" t="str">
        <f>IFERROR(__xludf.DUMMYFUNCTION("""COMPUTED_VALUE"""),"freaks")</f>
        <v>freaks</v>
      </c>
      <c r="H540" s="6" t="str">
        <f>IFERROR(__xludf.DUMMYFUNCTION("""COMPUTED_VALUE"""),"layered")</f>
        <v>layered</v>
      </c>
      <c r="I540" s="6" t="str">
        <f>IFERROR(__xludf.DUMMYFUNCTION("""COMPUTED_VALUE"""),"trade")</f>
        <v>trade</v>
      </c>
      <c r="J540" s="6" t="str">
        <f>IFERROR(__xludf.DUMMYFUNCTION("""COMPUTED_VALUE"""),"sharp")</f>
        <v>sharp</v>
      </c>
      <c r="L540" s="6" t="str">
        <f>IFERROR(__xludf.DUMMYFUNCTION("""COMPUTED_VALUE"""),"chick")</f>
        <v>chick</v>
      </c>
      <c r="M540" s="6" t="str">
        <f>IFERROR(__xludf.DUMMYFUNCTION("""COMPUTED_VALUE"""),"normally")</f>
        <v>normally</v>
      </c>
      <c r="N540" s="6" t="str">
        <f>IFERROR(__xludf.DUMMYFUNCTION("""COMPUTED_VALUE"""),"angle")</f>
        <v>angle</v>
      </c>
      <c r="P540" s="6" t="str">
        <f>IFERROR(__xludf.DUMMYFUNCTION("""COMPUTED_VALUE"""),"complicated")</f>
        <v>complicated</v>
      </c>
      <c r="Q540" s="6" t="str">
        <f>IFERROR(__xludf.DUMMYFUNCTION("""COMPUTED_VALUE"""),"sweet")</f>
        <v>sweet</v>
      </c>
      <c r="S540" s="6" t="str">
        <f>IFERROR(__xludf.DUMMYFUNCTION("""COMPUTED_VALUE"""),"surface")</f>
        <v>surface</v>
      </c>
    </row>
    <row r="541">
      <c r="B541" s="6"/>
      <c r="D541" s="6"/>
      <c r="G541" s="6" t="str">
        <f>IFERROR(__xludf.DUMMYFUNCTION("""COMPUTED_VALUE"""),"bonds")</f>
        <v>bonds</v>
      </c>
      <c r="H541" s="6" t="str">
        <f>IFERROR(__xludf.DUMMYFUNCTION("""COMPUTED_VALUE"""),"daring")</f>
        <v>daring</v>
      </c>
      <c r="I541" s="6" t="str">
        <f>IFERROR(__xludf.DUMMYFUNCTION("""COMPUTED_VALUE"""),"episode")</f>
        <v>episode</v>
      </c>
      <c r="J541" s="6" t="str">
        <f>IFERROR(__xludf.DUMMYFUNCTION("""COMPUTED_VALUE"""),"discourse")</f>
        <v>discourse</v>
      </c>
      <c r="L541" s="6" t="str">
        <f>IFERROR(__xludf.DUMMYFUNCTION("""COMPUTED_VALUE"""),"fare")</f>
        <v>fare</v>
      </c>
      <c r="M541" s="6" t="str">
        <f>IFERROR(__xludf.DUMMYFUNCTION("""COMPUTED_VALUE"""),"hand")</f>
        <v>hand</v>
      </c>
      <c r="N541" s="6" t="str">
        <f>IFERROR(__xludf.DUMMYFUNCTION("""COMPUTED_VALUE"""),"ring")</f>
        <v>ring</v>
      </c>
      <c r="P541" s="6" t="str">
        <f>IFERROR(__xludf.DUMMYFUNCTION("""COMPUTED_VALUE"""),"context")</f>
        <v>context</v>
      </c>
      <c r="Q541" s="6" t="str">
        <f>IFERROR(__xludf.DUMMYFUNCTION("""COMPUTED_VALUE"""),"delight")</f>
        <v>delight</v>
      </c>
      <c r="S541" s="6" t="str">
        <f>IFERROR(__xludf.DUMMYFUNCTION("""COMPUTED_VALUE"""),"machine")</f>
        <v>machine</v>
      </c>
    </row>
    <row r="542">
      <c r="B542" s="6"/>
      <c r="D542" s="6"/>
      <c r="G542" s="6" t="str">
        <f>IFERROR(__xludf.DUMMYFUNCTION("""COMPUTED_VALUE"""),"anatomical")</f>
        <v>anatomical</v>
      </c>
      <c r="H542" s="6" t="str">
        <f>IFERROR(__xludf.DUMMYFUNCTION("""COMPUTED_VALUE"""),"convey")</f>
        <v>convey</v>
      </c>
      <c r="I542" s="6" t="str">
        <f>IFERROR(__xludf.DUMMYFUNCTION("""COMPUTED_VALUE"""),"artificial")</f>
        <v>artificial</v>
      </c>
      <c r="J542" s="6" t="str">
        <f>IFERROR(__xludf.DUMMYFUNCTION("""COMPUTED_VALUE"""),"distinctive")</f>
        <v>distinctive</v>
      </c>
      <c r="L542" s="6" t="str">
        <f>IFERROR(__xludf.DUMMYFUNCTION("""COMPUTED_VALUE"""),"identification")</f>
        <v>identification</v>
      </c>
      <c r="M542" s="6" t="str">
        <f>IFERROR(__xludf.DUMMYFUNCTION("""COMPUTED_VALUE"""),"handle")</f>
        <v>handle</v>
      </c>
      <c r="N542" s="6" t="str">
        <f>IFERROR(__xludf.DUMMYFUNCTION("""COMPUTED_VALUE"""),"celebration")</f>
        <v>celebration</v>
      </c>
      <c r="P542" s="6" t="str">
        <f>IFERROR(__xludf.DUMMYFUNCTION("""COMPUTED_VALUE"""),"aware")</f>
        <v>aware</v>
      </c>
      <c r="Q542" s="6" t="str">
        <f>IFERROR(__xludf.DUMMYFUNCTION("""COMPUTED_VALUE"""),"harvesting")</f>
        <v>harvesting</v>
      </c>
      <c r="S542" s="6" t="str">
        <f>IFERROR(__xludf.DUMMYFUNCTION("""COMPUTED_VALUE"""),"familiar")</f>
        <v>familiar</v>
      </c>
    </row>
    <row r="543">
      <c r="B543" s="6"/>
      <c r="D543" s="6"/>
      <c r="G543" s="6" t="str">
        <f>IFERROR(__xludf.DUMMYFUNCTION("""COMPUTED_VALUE"""),"reconstruction")</f>
        <v>reconstruction</v>
      </c>
      <c r="H543" s="6" t="str">
        <f>IFERROR(__xludf.DUMMYFUNCTION("""COMPUTED_VALUE"""),"spanning")</f>
        <v>spanning</v>
      </c>
      <c r="I543" s="6" t="str">
        <f>IFERROR(__xludf.DUMMYFUNCTION("""COMPUTED_VALUE"""),"demons")</f>
        <v>demons</v>
      </c>
      <c r="J543" s="6" t="str">
        <f>IFERROR(__xludf.DUMMYFUNCTION("""COMPUTED_VALUE"""),"demonstrate")</f>
        <v>demonstrate</v>
      </c>
      <c r="L543" s="6" t="str">
        <f>IFERROR(__xludf.DUMMYFUNCTION("""COMPUTED_VALUE"""),"effect")</f>
        <v>effect</v>
      </c>
      <c r="M543" s="6" t="str">
        <f>IFERROR(__xludf.DUMMYFUNCTION("""COMPUTED_VALUE"""),"points")</f>
        <v>points</v>
      </c>
      <c r="N543" s="6" t="str">
        <f>IFERROR(__xludf.DUMMYFUNCTION("""COMPUTED_VALUE"""),"attach")</f>
        <v>attach</v>
      </c>
      <c r="P543" s="6" t="str">
        <f>IFERROR(__xludf.DUMMYFUNCTION("""COMPUTED_VALUE"""),"ensemble")</f>
        <v>ensemble</v>
      </c>
      <c r="Q543" s="6" t="str">
        <f>IFERROR(__xludf.DUMMYFUNCTION("""COMPUTED_VALUE"""),"purposes")</f>
        <v>purposes</v>
      </c>
      <c r="S543" s="6" t="str">
        <f>IFERROR(__xludf.DUMMYFUNCTION("""COMPUTED_VALUE"""),"among")</f>
        <v>among</v>
      </c>
    </row>
    <row r="544">
      <c r="B544" s="6"/>
      <c r="D544" s="6"/>
      <c r="G544" s="6" t="str">
        <f>IFERROR(__xludf.DUMMYFUNCTION("""COMPUTED_VALUE"""),"episode")</f>
        <v>episode</v>
      </c>
      <c r="H544" s="6" t="str">
        <f>IFERROR(__xludf.DUMMYFUNCTION("""COMPUTED_VALUE"""),"marina")</f>
        <v>marina</v>
      </c>
      <c r="I544" s="6" t="str">
        <f>IFERROR(__xludf.DUMMYFUNCTION("""COMPUTED_VALUE"""),"blank")</f>
        <v>blank</v>
      </c>
      <c r="J544" s="6" t="str">
        <f>IFERROR(__xludf.DUMMYFUNCTION("""COMPUTED_VALUE"""),"blown")</f>
        <v>blown</v>
      </c>
      <c r="L544" s="6" t="str">
        <f>IFERROR(__xludf.DUMMYFUNCTION("""COMPUTED_VALUE"""),"peace")</f>
        <v>peace</v>
      </c>
      <c r="M544" s="6" t="str">
        <f>IFERROR(__xludf.DUMMYFUNCTION("""COMPUTED_VALUE"""),"added")</f>
        <v>added</v>
      </c>
      <c r="N544" s="6" t="str">
        <f>IFERROR(__xludf.DUMMYFUNCTION("""COMPUTED_VALUE"""),"rattling")</f>
        <v>rattling</v>
      </c>
      <c r="P544" s="6" t="str">
        <f>IFERROR(__xludf.DUMMYFUNCTION("""COMPUTED_VALUE"""),"painful")</f>
        <v>painful</v>
      </c>
      <c r="Q544" s="6" t="str">
        <f>IFERROR(__xludf.DUMMYFUNCTION("""COMPUTED_VALUE"""),"beneath")</f>
        <v>beneath</v>
      </c>
      <c r="S544" s="6" t="str">
        <f>IFERROR(__xludf.DUMMYFUNCTION("""COMPUTED_VALUE"""),"means")</f>
        <v>means</v>
      </c>
    </row>
    <row r="545">
      <c r="B545" s="6"/>
      <c r="D545" s="6"/>
      <c r="G545" s="6" t="str">
        <f>IFERROR(__xludf.DUMMYFUNCTION("""COMPUTED_VALUE"""),"opaque")</f>
        <v>opaque</v>
      </c>
      <c r="H545" s="6" t="str">
        <f>IFERROR(__xludf.DUMMYFUNCTION("""COMPUTED_VALUE"""),"holly")</f>
        <v>holly</v>
      </c>
      <c r="I545" s="6" t="str">
        <f>IFERROR(__xludf.DUMMYFUNCTION("""COMPUTED_VALUE"""),"flow")</f>
        <v>flow</v>
      </c>
      <c r="J545" s="6" t="str">
        <f>IFERROR(__xludf.DUMMYFUNCTION("""COMPUTED_VALUE"""),"aims")</f>
        <v>aims</v>
      </c>
      <c r="L545" s="6" t="str">
        <f>IFERROR(__xludf.DUMMYFUNCTION("""COMPUTED_VALUE"""),"engaging")</f>
        <v>engaging</v>
      </c>
      <c r="M545" s="6" t="str">
        <f>IFERROR(__xludf.DUMMYFUNCTION("""COMPUTED_VALUE"""),"executed")</f>
        <v>executed</v>
      </c>
      <c r="N545" s="6" t="str">
        <f>IFERROR(__xludf.DUMMYFUNCTION("""COMPUTED_VALUE"""),"psychology")</f>
        <v>psychology</v>
      </c>
      <c r="P545" s="6" t="str">
        <f>IFERROR(__xludf.DUMMYFUNCTION("""COMPUTED_VALUE"""),"american")</f>
        <v>american</v>
      </c>
      <c r="Q545" s="6" t="str">
        <f>IFERROR(__xludf.DUMMYFUNCTION("""COMPUTED_VALUE"""),"construct")</f>
        <v>construct</v>
      </c>
      <c r="S545" s="6" t="str">
        <f>IFERROR(__xludf.DUMMYFUNCTION("""COMPUTED_VALUE"""),"situation")</f>
        <v>situation</v>
      </c>
    </row>
    <row r="546">
      <c r="B546" s="6"/>
      <c r="D546" s="6"/>
      <c r="G546" s="6" t="str">
        <f>IFERROR(__xludf.DUMMYFUNCTION("""COMPUTED_VALUE"""),"borrowed")</f>
        <v>borrowed</v>
      </c>
      <c r="H546" s="6" t="str">
        <f>IFERROR(__xludf.DUMMYFUNCTION("""COMPUTED_VALUE"""),"emerge")</f>
        <v>emerge</v>
      </c>
      <c r="I546" s="6" t="str">
        <f>IFERROR(__xludf.DUMMYFUNCTION("""COMPUTED_VALUE"""),"abstract")</f>
        <v>abstract</v>
      </c>
      <c r="J546" s="6" t="str">
        <f>IFERROR(__xludf.DUMMYFUNCTION("""COMPUTED_VALUE"""),"assaults")</f>
        <v>assaults</v>
      </c>
      <c r="L546" s="6" t="str">
        <f>IFERROR(__xludf.DUMMYFUNCTION("""COMPUTED_VALUE"""),"stuffing")</f>
        <v>stuffing</v>
      </c>
      <c r="M546" s="6" t="str">
        <f>IFERROR(__xludf.DUMMYFUNCTION("""COMPUTED_VALUE"""),"manage")</f>
        <v>manage</v>
      </c>
      <c r="N546" s="6" t="str">
        <f>IFERROR(__xludf.DUMMYFUNCTION("""COMPUTED_VALUE"""),"catch")</f>
        <v>catch</v>
      </c>
      <c r="P546" s="6" t="str">
        <f>IFERROR(__xludf.DUMMYFUNCTION("""COMPUTED_VALUE"""),"psychology")</f>
        <v>psychology</v>
      </c>
      <c r="Q546" s="6" t="str">
        <f>IFERROR(__xludf.DUMMYFUNCTION("""COMPUTED_VALUE"""),"knows")</f>
        <v>knows</v>
      </c>
      <c r="S546" s="6" t="str">
        <f>IFERROR(__xludf.DUMMYFUNCTION("""COMPUTED_VALUE"""),"dramatic")</f>
        <v>dramatic</v>
      </c>
    </row>
    <row r="547">
      <c r="B547" s="6"/>
      <c r="D547" s="6"/>
      <c r="G547" s="6" t="str">
        <f>IFERROR(__xludf.DUMMYFUNCTION("""COMPUTED_VALUE"""),"demons")</f>
        <v>demons</v>
      </c>
      <c r="H547" s="6" t="str">
        <f>IFERROR(__xludf.DUMMYFUNCTION("""COMPUTED_VALUE"""),"passionate")</f>
        <v>passionate</v>
      </c>
      <c r="I547" s="6" t="str">
        <f>IFERROR(__xludf.DUMMYFUNCTION("""COMPUTED_VALUE"""),"yale")</f>
        <v>yale</v>
      </c>
      <c r="J547" s="6" t="str">
        <f>IFERROR(__xludf.DUMMYFUNCTION("""COMPUTED_VALUE"""),"accuracy")</f>
        <v>accuracy</v>
      </c>
      <c r="L547" s="6" t="str">
        <f>IFERROR(__xludf.DUMMYFUNCTION("""COMPUTED_VALUE"""),"crawl")</f>
        <v>crawl</v>
      </c>
      <c r="M547" s="6" t="str">
        <f>IFERROR(__xludf.DUMMYFUNCTION("""COMPUTED_VALUE"""),"present")</f>
        <v>present</v>
      </c>
      <c r="N547" s="6" t="str">
        <f>IFERROR(__xludf.DUMMYFUNCTION("""COMPUTED_VALUE"""),"ellen")</f>
        <v>ellen</v>
      </c>
      <c r="P547" s="6" t="str">
        <f>IFERROR(__xludf.DUMMYFUNCTION("""COMPUTED_VALUE"""),"renowned")</f>
        <v>renowned</v>
      </c>
      <c r="Q547" s="6" t="str">
        <f>IFERROR(__xludf.DUMMYFUNCTION("""COMPUTED_VALUE"""),"vanity")</f>
        <v>vanity</v>
      </c>
      <c r="S547" s="6" t="str">
        <f>IFERROR(__xludf.DUMMYFUNCTION("""COMPUTED_VALUE"""),"darkness")</f>
        <v>darkness</v>
      </c>
    </row>
    <row r="548">
      <c r="B548" s="6"/>
      <c r="D548" s="6"/>
      <c r="G548" s="6" t="str">
        <f>IFERROR(__xludf.DUMMYFUNCTION("""COMPUTED_VALUE"""),"lark")</f>
        <v>lark</v>
      </c>
      <c r="H548" s="6" t="str">
        <f>IFERROR(__xludf.DUMMYFUNCTION("""COMPUTED_VALUE"""),"evolution")</f>
        <v>evolution</v>
      </c>
      <c r="I548" s="6" t="str">
        <f>IFERROR(__xludf.DUMMYFUNCTION("""COMPUTED_VALUE"""),"gave")</f>
        <v>gave</v>
      </c>
      <c r="J548" s="6" t="str">
        <f>IFERROR(__xludf.DUMMYFUNCTION("""COMPUTED_VALUE"""),"grounded")</f>
        <v>grounded</v>
      </c>
      <c r="L548" s="6" t="str">
        <f>IFERROR(__xludf.DUMMYFUNCTION("""COMPUTED_VALUE"""),"toes")</f>
        <v>toes</v>
      </c>
      <c r="M548" s="6" t="str">
        <f>IFERROR(__xludf.DUMMYFUNCTION("""COMPUTED_VALUE"""),"story")</f>
        <v>story</v>
      </c>
      <c r="N548" s="6" t="str">
        <f>IFERROR(__xludf.DUMMYFUNCTION("""COMPUTED_VALUE"""),"factor")</f>
        <v>factor</v>
      </c>
      <c r="P548" s="6" t="str">
        <f>IFERROR(__xludf.DUMMYFUNCTION("""COMPUTED_VALUE"""),"americans")</f>
        <v>americans</v>
      </c>
      <c r="Q548" s="6" t="str">
        <f>IFERROR(__xludf.DUMMYFUNCTION("""COMPUTED_VALUE"""),"laughed")</f>
        <v>laughed</v>
      </c>
      <c r="S548" s="6" t="str">
        <f>IFERROR(__xludf.DUMMYFUNCTION("""COMPUTED_VALUE"""),"loud")</f>
        <v>loud</v>
      </c>
    </row>
    <row r="549">
      <c r="B549" s="6"/>
      <c r="D549" s="6"/>
      <c r="G549" s="6" t="str">
        <f>IFERROR(__xludf.DUMMYFUNCTION("""COMPUTED_VALUE"""),"flow")</f>
        <v>flow</v>
      </c>
      <c r="H549" s="6" t="str">
        <f>IFERROR(__xludf.DUMMYFUNCTION("""COMPUTED_VALUE"""),"adolescents")</f>
        <v>adolescents</v>
      </c>
      <c r="I549" s="6" t="str">
        <f>IFERROR(__xludf.DUMMYFUNCTION("""COMPUTED_VALUE"""),"twisted")</f>
        <v>twisted</v>
      </c>
      <c r="J549" s="6" t="str">
        <f>IFERROR(__xludf.DUMMYFUNCTION("""COMPUTED_VALUE"""),"realism")</f>
        <v>realism</v>
      </c>
      <c r="L549" s="6" t="str">
        <f>IFERROR(__xludf.DUMMYFUNCTION("""COMPUTED_VALUE"""),"dim")</f>
        <v>dim</v>
      </c>
      <c r="M549" s="6" t="str">
        <f>IFERROR(__xludf.DUMMYFUNCTION("""COMPUTED_VALUE"""),"soap")</f>
        <v>soap</v>
      </c>
      <c r="N549" s="6" t="str">
        <f>IFERROR(__xludf.DUMMYFUNCTION("""COMPUTED_VALUE"""),"moments")</f>
        <v>moments</v>
      </c>
      <c r="P549" s="6" t="str">
        <f>IFERROR(__xludf.DUMMYFUNCTION("""COMPUTED_VALUE"""),"allows")</f>
        <v>allows</v>
      </c>
      <c r="Q549" s="6" t="str">
        <f>IFERROR(__xludf.DUMMYFUNCTION("""COMPUTED_VALUE"""),"lizard")</f>
        <v>lizard</v>
      </c>
      <c r="S549" s="6" t="str">
        <f>IFERROR(__xludf.DUMMYFUNCTION("""COMPUTED_VALUE"""),"provides")</f>
        <v>provides</v>
      </c>
    </row>
    <row r="550">
      <c r="B550" s="6"/>
      <c r="D550" s="6"/>
      <c r="G550" s="6" t="str">
        <f>IFERROR(__xludf.DUMMYFUNCTION("""COMPUTED_VALUE"""),"stimulating")</f>
        <v>stimulating</v>
      </c>
      <c r="H550" s="6" t="str">
        <f>IFERROR(__xludf.DUMMYFUNCTION("""COMPUTED_VALUE"""),"tired")</f>
        <v>tired</v>
      </c>
      <c r="I550" s="6" t="str">
        <f>IFERROR(__xludf.DUMMYFUNCTION("""COMPUTED_VALUE"""),"friendship")</f>
        <v>friendship</v>
      </c>
      <c r="J550" s="6" t="str">
        <f>IFERROR(__xludf.DUMMYFUNCTION("""COMPUTED_VALUE"""),"novak")</f>
        <v>novak</v>
      </c>
      <c r="L550" s="6" t="str">
        <f>IFERROR(__xludf.DUMMYFUNCTION("""COMPUTED_VALUE"""),"tomorrow")</f>
        <v>tomorrow</v>
      </c>
      <c r="M550" s="6" t="str">
        <f>IFERROR(__xludf.DUMMYFUNCTION("""COMPUTED_VALUE"""),"changes")</f>
        <v>changes</v>
      </c>
      <c r="N550" s="6" t="str">
        <f>IFERROR(__xludf.DUMMYFUNCTION("""COMPUTED_VALUE"""),"fluid")</f>
        <v>fluid</v>
      </c>
      <c r="P550" s="6" t="str">
        <f>IFERROR(__xludf.DUMMYFUNCTION("""COMPUTED_VALUE"""),"winners")</f>
        <v>winners</v>
      </c>
      <c r="Q550" s="6" t="str">
        <f>IFERROR(__xludf.DUMMYFUNCTION("""COMPUTED_VALUE"""),"laughter")</f>
        <v>laughter</v>
      </c>
      <c r="S550" s="6" t="str">
        <f>IFERROR(__xludf.DUMMYFUNCTION("""COMPUTED_VALUE"""),"predecessor")</f>
        <v>predecessor</v>
      </c>
    </row>
    <row r="551">
      <c r="B551" s="6"/>
      <c r="D551" s="6"/>
      <c r="G551" s="6" t="str">
        <f>IFERROR(__xludf.DUMMYFUNCTION("""COMPUTED_VALUE"""),"twisted")</f>
        <v>twisted</v>
      </c>
      <c r="H551" s="6" t="str">
        <f>IFERROR(__xludf.DUMMYFUNCTION("""COMPUTED_VALUE"""),"scrutiny")</f>
        <v>scrutiny</v>
      </c>
      <c r="I551" s="6" t="str">
        <f>IFERROR(__xludf.DUMMYFUNCTION("""COMPUTED_VALUE"""),"constant")</f>
        <v>constant</v>
      </c>
      <c r="J551" s="6" t="str">
        <f>IFERROR(__xludf.DUMMYFUNCTION("""COMPUTED_VALUE"""),"maturity")</f>
        <v>maturity</v>
      </c>
      <c r="L551" s="6" t="str">
        <f>IFERROR(__xludf.DUMMYFUNCTION("""COMPUTED_VALUE"""),"expects")</f>
        <v>expects</v>
      </c>
      <c r="M551" s="6" t="str">
        <f>IFERROR(__xludf.DUMMYFUNCTION("""COMPUTED_VALUE"""),"step")</f>
        <v>step</v>
      </c>
      <c r="N551" s="6" t="str">
        <f>IFERROR(__xludf.DUMMYFUNCTION("""COMPUTED_VALUE"""),"object")</f>
        <v>object</v>
      </c>
      <c r="P551" s="6" t="str">
        <f>IFERROR(__xludf.DUMMYFUNCTION("""COMPUTED_VALUE"""),"professionals")</f>
        <v>professionals</v>
      </c>
      <c r="Q551" s="6" t="str">
        <f>IFERROR(__xludf.DUMMYFUNCTION("""COMPUTED_VALUE"""),"need")</f>
        <v>need</v>
      </c>
      <c r="S551" s="6" t="str">
        <f>IFERROR(__xludf.DUMMYFUNCTION("""COMPUTED_VALUE"""),"sets")</f>
        <v>sets</v>
      </c>
    </row>
    <row r="552">
      <c r="B552" s="6"/>
      <c r="D552" s="6"/>
      <c r="G552" s="6" t="str">
        <f>IFERROR(__xludf.DUMMYFUNCTION("""COMPUTED_VALUE"""),"friendship")</f>
        <v>friendship</v>
      </c>
      <c r="H552" s="6" t="str">
        <f>IFERROR(__xludf.DUMMYFUNCTION("""COMPUTED_VALUE"""),"radiant")</f>
        <v>radiant</v>
      </c>
      <c r="I552" s="6" t="str">
        <f>IFERROR(__xludf.DUMMYFUNCTION("""COMPUTED_VALUE"""),"offers")</f>
        <v>offers</v>
      </c>
      <c r="J552" s="6" t="str">
        <f>IFERROR(__xludf.DUMMYFUNCTION("""COMPUTED_VALUE"""),"devotees")</f>
        <v>devotees</v>
      </c>
      <c r="L552" s="6" t="str">
        <f>IFERROR(__xludf.DUMMYFUNCTION("""COMPUTED_VALUE"""),"episode")</f>
        <v>episode</v>
      </c>
      <c r="M552" s="6" t="str">
        <f>IFERROR(__xludf.DUMMYFUNCTION("""COMPUTED_VALUE"""),"deep")</f>
        <v>deep</v>
      </c>
      <c r="N552" s="6" t="str">
        <f>IFERROR(__xludf.DUMMYFUNCTION("""COMPUTED_VALUE"""),"complicated")</f>
        <v>complicated</v>
      </c>
      <c r="P552" s="6" t="str">
        <f>IFERROR(__xludf.DUMMYFUNCTION("""COMPUTED_VALUE"""),"receive")</f>
        <v>receive</v>
      </c>
      <c r="Q552" s="6" t="str">
        <f>IFERROR(__xludf.DUMMYFUNCTION("""COMPUTED_VALUE"""),"philosophical")</f>
        <v>philosophical</v>
      </c>
      <c r="S552" s="6" t="str">
        <f>IFERROR(__xludf.DUMMYFUNCTION("""COMPUTED_VALUE"""),"doubt")</f>
        <v>doubt</v>
      </c>
    </row>
    <row r="553">
      <c r="B553" s="6"/>
      <c r="D553" s="6"/>
      <c r="G553" s="6" t="str">
        <f>IFERROR(__xludf.DUMMYFUNCTION("""COMPUTED_VALUE"""),"gall")</f>
        <v>gall</v>
      </c>
      <c r="H553" s="6" t="str">
        <f>IFERROR(__xludf.DUMMYFUNCTION("""COMPUTED_VALUE"""),"escaped")</f>
        <v>escaped</v>
      </c>
      <c r="I553" s="6" t="str">
        <f>IFERROR(__xludf.DUMMYFUNCTION("""COMPUTED_VALUE"""),"identification")</f>
        <v>identification</v>
      </c>
      <c r="J553" s="6" t="str">
        <f>IFERROR(__xludf.DUMMYFUNCTION("""COMPUTED_VALUE"""),"episodes")</f>
        <v>episodes</v>
      </c>
      <c r="L553" s="6" t="str">
        <f>IFERROR(__xludf.DUMMYFUNCTION("""COMPUTED_VALUE"""),"zone")</f>
        <v>zone</v>
      </c>
      <c r="M553" s="6" t="str">
        <f>IFERROR(__xludf.DUMMYFUNCTION("""COMPUTED_VALUE"""),"advance")</f>
        <v>advance</v>
      </c>
      <c r="N553" s="6" t="str">
        <f>IFERROR(__xludf.DUMMYFUNCTION("""COMPUTED_VALUE"""),"barrels")</f>
        <v>barrels</v>
      </c>
      <c r="P553" s="6" t="str">
        <f>IFERROR(__xludf.DUMMYFUNCTION("""COMPUTED_VALUE"""),"rarely")</f>
        <v>rarely</v>
      </c>
      <c r="Q553" s="6" t="str">
        <f>IFERROR(__xludf.DUMMYFUNCTION("""COMPUTED_VALUE"""),"drag")</f>
        <v>drag</v>
      </c>
      <c r="S553" s="6" t="str">
        <f>IFERROR(__xludf.DUMMYFUNCTION("""COMPUTED_VALUE"""),"subjects")</f>
        <v>subjects</v>
      </c>
    </row>
    <row r="554">
      <c r="B554" s="6"/>
      <c r="D554" s="6"/>
      <c r="G554" s="6" t="str">
        <f>IFERROR(__xludf.DUMMYFUNCTION("""COMPUTED_VALUE"""),"identification")</f>
        <v>identification</v>
      </c>
      <c r="H554" s="6" t="str">
        <f>IFERROR(__xludf.DUMMYFUNCTION("""COMPUTED_VALUE"""),"kennedy")</f>
        <v>kennedy</v>
      </c>
      <c r="I554" s="6" t="str">
        <f>IFERROR(__xludf.DUMMYFUNCTION("""COMPUTED_VALUE"""),"connection")</f>
        <v>connection</v>
      </c>
      <c r="J554" s="6" t="str">
        <f>IFERROR(__xludf.DUMMYFUNCTION("""COMPUTED_VALUE"""),"bile")</f>
        <v>bile</v>
      </c>
      <c r="L554" s="6" t="str">
        <f>IFERROR(__xludf.DUMMYFUNCTION("""COMPUTED_VALUE"""),"amounts")</f>
        <v>amounts</v>
      </c>
      <c r="M554" s="6" t="str">
        <f>IFERROR(__xludf.DUMMYFUNCTION("""COMPUTED_VALUE"""),"dean")</f>
        <v>dean</v>
      </c>
      <c r="N554" s="6" t="str">
        <f>IFERROR(__xludf.DUMMYFUNCTION("""COMPUTED_VALUE"""),"barrel")</f>
        <v>barrel</v>
      </c>
      <c r="P554" s="6" t="str">
        <f>IFERROR(__xludf.DUMMYFUNCTION("""COMPUTED_VALUE"""),"locations")</f>
        <v>locations</v>
      </c>
      <c r="Q554" s="6" t="str">
        <f>IFERROR(__xludf.DUMMYFUNCTION("""COMPUTED_VALUE"""),"hop")</f>
        <v>hop</v>
      </c>
      <c r="S554" s="6" t="str">
        <f>IFERROR(__xludf.DUMMYFUNCTION("""COMPUTED_VALUE"""),"sweet")</f>
        <v>sweet</v>
      </c>
    </row>
    <row r="555">
      <c r="B555" s="6"/>
      <c r="D555" s="6"/>
      <c r="G555" s="6" t="str">
        <f>IFERROR(__xludf.DUMMYFUNCTION("""COMPUTED_VALUE"""),"connection")</f>
        <v>connection</v>
      </c>
      <c r="H555" s="6" t="str">
        <f>IFERROR(__xludf.DUMMYFUNCTION("""COMPUTED_VALUE"""),"speculation")</f>
        <v>speculation</v>
      </c>
      <c r="I555" s="6" t="str">
        <f>IFERROR(__xludf.DUMMYFUNCTION("""COMPUTED_VALUE"""),"built")</f>
        <v>built</v>
      </c>
      <c r="J555" s="6" t="str">
        <f>IFERROR(__xludf.DUMMYFUNCTION("""COMPUTED_VALUE"""),"faulty")</f>
        <v>faulty</v>
      </c>
      <c r="L555" s="6" t="str">
        <f>IFERROR(__xludf.DUMMYFUNCTION("""COMPUTED_VALUE"""),"injuries")</f>
        <v>injuries</v>
      </c>
      <c r="M555" s="6" t="str">
        <f>IFERROR(__xludf.DUMMYFUNCTION("""COMPUTED_VALUE"""),"figure")</f>
        <v>figure</v>
      </c>
      <c r="N555" s="6" t="str">
        <f>IFERROR(__xludf.DUMMYFUNCTION("""COMPUTED_VALUE"""),"realizing")</f>
        <v>realizing</v>
      </c>
      <c r="P555" s="6" t="str">
        <f>IFERROR(__xludf.DUMMYFUNCTION("""COMPUTED_VALUE"""),"marvel")</f>
        <v>marvel</v>
      </c>
      <c r="Q555" s="6" t="str">
        <f>IFERROR(__xludf.DUMMYFUNCTION("""COMPUTED_VALUE"""),"literary")</f>
        <v>literary</v>
      </c>
      <c r="S555" s="6" t="str">
        <f>IFERROR(__xludf.DUMMYFUNCTION("""COMPUTED_VALUE"""),"asks")</f>
        <v>asks</v>
      </c>
    </row>
    <row r="556">
      <c r="B556" s="6"/>
      <c r="D556" s="6"/>
      <c r="G556" s="6" t="str">
        <f>IFERROR(__xludf.DUMMYFUNCTION("""COMPUTED_VALUE"""),"built")</f>
        <v>built</v>
      </c>
      <c r="H556" s="6" t="str">
        <f>IFERROR(__xludf.DUMMYFUNCTION("""COMPUTED_VALUE"""),"assassination")</f>
        <v>assassination</v>
      </c>
      <c r="I556" s="6" t="str">
        <f>IFERROR(__xludf.DUMMYFUNCTION("""COMPUTED_VALUE"""),"mainstream")</f>
        <v>mainstream</v>
      </c>
      <c r="J556" s="6" t="str">
        <f>IFERROR(__xludf.DUMMYFUNCTION("""COMPUTED_VALUE"""),"amused")</f>
        <v>amused</v>
      </c>
      <c r="L556" s="6" t="str">
        <f>IFERROR(__xludf.DUMMYFUNCTION("""COMPUTED_VALUE"""),"lawrence")</f>
        <v>lawrence</v>
      </c>
      <c r="M556" s="6" t="str">
        <f>IFERROR(__xludf.DUMMYFUNCTION("""COMPUTED_VALUE"""),"quarter")</f>
        <v>quarter</v>
      </c>
      <c r="N556" s="6" t="str">
        <f>IFERROR(__xludf.DUMMYFUNCTION("""COMPUTED_VALUE"""),"sweeping")</f>
        <v>sweeping</v>
      </c>
      <c r="P556" s="6" t="str">
        <f>IFERROR(__xludf.DUMMYFUNCTION("""COMPUTED_VALUE"""),"sequences")</f>
        <v>sequences</v>
      </c>
      <c r="Q556" s="6" t="str">
        <f>IFERROR(__xludf.DUMMYFUNCTION("""COMPUTED_VALUE"""),"dull")</f>
        <v>dull</v>
      </c>
      <c r="S556" s="6" t="str">
        <f>IFERROR(__xludf.DUMMYFUNCTION("""COMPUTED_VALUE"""),"beneath")</f>
        <v>beneath</v>
      </c>
    </row>
    <row r="557">
      <c r="B557" s="6"/>
      <c r="D557" s="6"/>
      <c r="G557" s="6" t="str">
        <f>IFERROR(__xludf.DUMMYFUNCTION("""COMPUTED_VALUE"""),"retaining")</f>
        <v>retaining</v>
      </c>
      <c r="H557" s="6" t="str">
        <f>IFERROR(__xludf.DUMMYFUNCTION("""COMPUTED_VALUE"""),"soundtrack")</f>
        <v>soundtrack</v>
      </c>
      <c r="I557" s="6" t="str">
        <f>IFERROR(__xludf.DUMMYFUNCTION("""COMPUTED_VALUE"""),"got")</f>
        <v>got</v>
      </c>
      <c r="J557" s="6" t="str">
        <f>IFERROR(__xludf.DUMMYFUNCTION("""COMPUTED_VALUE"""),"skill")</f>
        <v>skill</v>
      </c>
      <c r="L557" s="6" t="str">
        <f>IFERROR(__xludf.DUMMYFUNCTION("""COMPUTED_VALUE"""),"lane")</f>
        <v>lane</v>
      </c>
      <c r="M557" s="6" t="str">
        <f>IFERROR(__xludf.DUMMYFUNCTION("""COMPUTED_VALUE"""),"piece")</f>
        <v>piece</v>
      </c>
      <c r="N557" s="6" t="str">
        <f>IFERROR(__xludf.DUMMYFUNCTION("""COMPUTED_VALUE"""),"niche")</f>
        <v>niche</v>
      </c>
      <c r="P557" s="6" t="str">
        <f>IFERROR(__xludf.DUMMYFUNCTION("""COMPUTED_VALUE"""),"pulls")</f>
        <v>pulls</v>
      </c>
      <c r="Q557" s="6" t="str">
        <f>IFERROR(__xludf.DUMMYFUNCTION("""COMPUTED_VALUE"""),"witty")</f>
        <v>witty</v>
      </c>
      <c r="S557" s="6" t="str">
        <f>IFERROR(__xludf.DUMMYFUNCTION("""COMPUTED_VALUE"""),"purposes")</f>
        <v>purposes</v>
      </c>
    </row>
    <row r="558">
      <c r="B558" s="6"/>
      <c r="D558" s="6"/>
      <c r="G558" s="6" t="str">
        <f>IFERROR(__xludf.DUMMYFUNCTION("""COMPUTED_VALUE"""),"mainstream")</f>
        <v>mainstream</v>
      </c>
      <c r="H558" s="6" t="str">
        <f>IFERROR(__xludf.DUMMYFUNCTION("""COMPUTED_VALUE"""),"layers")</f>
        <v>layers</v>
      </c>
      <c r="I558" s="6" t="str">
        <f>IFERROR(__xludf.DUMMYFUNCTION("""COMPUTED_VALUE"""),"creates")</f>
        <v>creates</v>
      </c>
      <c r="J558" s="6" t="str">
        <f>IFERROR(__xludf.DUMMYFUNCTION("""COMPUTED_VALUE"""),"bela")</f>
        <v>bela</v>
      </c>
      <c r="L558" s="6" t="str">
        <f>IFERROR(__xludf.DUMMYFUNCTION("""COMPUTED_VALUE"""),"liability")</f>
        <v>liability</v>
      </c>
      <c r="M558" s="6" t="str">
        <f>IFERROR(__xludf.DUMMYFUNCTION("""COMPUTED_VALUE"""),"version")</f>
        <v>version</v>
      </c>
      <c r="N558" s="6" t="str">
        <f>IFERROR(__xludf.DUMMYFUNCTION("""COMPUTED_VALUE"""),"energy")</f>
        <v>energy</v>
      </c>
      <c r="P558" s="6" t="str">
        <f>IFERROR(__xludf.DUMMYFUNCTION("""COMPUTED_VALUE"""),"fantasy")</f>
        <v>fantasy</v>
      </c>
      <c r="Q558" s="6" t="str">
        <f>IFERROR(__xludf.DUMMYFUNCTION("""COMPUTED_VALUE"""),"buttons")</f>
        <v>buttons</v>
      </c>
      <c r="S558" s="6" t="str">
        <f>IFERROR(__xludf.DUMMYFUNCTION("""COMPUTED_VALUE"""),"bigger")</f>
        <v>bigger</v>
      </c>
    </row>
    <row r="559">
      <c r="B559" s="6"/>
      <c r="D559" s="6"/>
      <c r="G559" s="6" t="str">
        <f>IFERROR(__xludf.DUMMYFUNCTION("""COMPUTED_VALUE"""),"integrity")</f>
        <v>integrity</v>
      </c>
      <c r="H559" s="6" t="str">
        <f>IFERROR(__xludf.DUMMYFUNCTION("""COMPUTED_VALUE"""),"deadly")</f>
        <v>deadly</v>
      </c>
      <c r="I559" s="6" t="str">
        <f>IFERROR(__xludf.DUMMYFUNCTION("""COMPUTED_VALUE"""),"call")</f>
        <v>call</v>
      </c>
      <c r="J559" s="6" t="str">
        <f>IFERROR(__xludf.DUMMYFUNCTION("""COMPUTED_VALUE"""),"vampire")</f>
        <v>vampire</v>
      </c>
      <c r="L559" s="6" t="str">
        <f>IFERROR(__xludf.DUMMYFUNCTION("""COMPUTED_VALUE"""),"details")</f>
        <v>details</v>
      </c>
      <c r="M559" s="6" t="str">
        <f>IFERROR(__xludf.DUMMYFUNCTION("""COMPUTED_VALUE"""),"complex")</f>
        <v>complex</v>
      </c>
      <c r="N559" s="6" t="str">
        <f>IFERROR(__xludf.DUMMYFUNCTION("""COMPUTED_VALUE"""),"bile")</f>
        <v>bile</v>
      </c>
      <c r="P559" s="6" t="str">
        <f>IFERROR(__xludf.DUMMYFUNCTION("""COMPUTED_VALUE"""),"ally")</f>
        <v>ally</v>
      </c>
      <c r="Q559" s="6" t="str">
        <f>IFERROR(__xludf.DUMMYFUNCTION("""COMPUTED_VALUE"""),"accomplished")</f>
        <v>accomplished</v>
      </c>
      <c r="S559" s="6" t="str">
        <f>IFERROR(__xludf.DUMMYFUNCTION("""COMPUTED_VALUE"""),"highly")</f>
        <v>highly</v>
      </c>
    </row>
    <row r="560">
      <c r="B560" s="6"/>
      <c r="D560" s="6"/>
      <c r="G560" s="6" t="str">
        <f>IFERROR(__xludf.DUMMYFUNCTION("""COMPUTED_VALUE"""),"gangs")</f>
        <v>gangs</v>
      </c>
      <c r="H560" s="6" t="str">
        <f>IFERROR(__xludf.DUMMYFUNCTION("""COMPUTED_VALUE"""),"chords")</f>
        <v>chords</v>
      </c>
      <c r="I560" s="6" t="str">
        <f>IFERROR(__xludf.DUMMYFUNCTION("""COMPUTED_VALUE"""),"note")</f>
        <v>note</v>
      </c>
      <c r="J560" s="6" t="str">
        <f>IFERROR(__xludf.DUMMYFUNCTION("""COMPUTED_VALUE"""),"determined")</f>
        <v>determined</v>
      </c>
      <c r="L560" s="6" t="str">
        <f>IFERROR(__xludf.DUMMYFUNCTION("""COMPUTED_VALUE"""),"bone")</f>
        <v>bone</v>
      </c>
      <c r="M560" s="6" t="str">
        <f>IFERROR(__xludf.DUMMYFUNCTION("""COMPUTED_VALUE"""),"status")</f>
        <v>status</v>
      </c>
      <c r="N560" s="6" t="str">
        <f>IFERROR(__xludf.DUMMYFUNCTION("""COMPUTED_VALUE"""),"remembrance")</f>
        <v>remembrance</v>
      </c>
      <c r="P560" s="6" t="str">
        <f>IFERROR(__xludf.DUMMYFUNCTION("""COMPUTED_VALUE"""),"sum")</f>
        <v>sum</v>
      </c>
      <c r="Q560" s="6" t="str">
        <f>IFERROR(__xludf.DUMMYFUNCTION("""COMPUTED_VALUE"""),"primal")</f>
        <v>primal</v>
      </c>
      <c r="S560" s="6" t="str">
        <f>IFERROR(__xludf.DUMMYFUNCTION("""COMPUTED_VALUE"""),"assembled")</f>
        <v>assembled</v>
      </c>
    </row>
    <row r="561">
      <c r="B561" s="6"/>
      <c r="D561" s="6"/>
      <c r="G561" s="6" t="str">
        <f>IFERROR(__xludf.DUMMYFUNCTION("""COMPUTED_VALUE"""),"got")</f>
        <v>got</v>
      </c>
      <c r="H561" s="6" t="str">
        <f>IFERROR(__xludf.DUMMYFUNCTION("""COMPUTED_VALUE"""),"striking")</f>
        <v>striking</v>
      </c>
      <c r="I561" s="6" t="str">
        <f>IFERROR(__xludf.DUMMYFUNCTION("""COMPUTED_VALUE"""),"friend")</f>
        <v>friend</v>
      </c>
      <c r="J561" s="6" t="str">
        <f>IFERROR(__xludf.DUMMYFUNCTION("""COMPUTED_VALUE"""),"fierce")</f>
        <v>fierce</v>
      </c>
      <c r="L561" s="6" t="str">
        <f>IFERROR(__xludf.DUMMYFUNCTION("""COMPUTED_VALUE"""),"drag")</f>
        <v>drag</v>
      </c>
      <c r="M561" s="6" t="str">
        <f>IFERROR(__xludf.DUMMYFUNCTION("""COMPUTED_VALUE"""),"pack")</f>
        <v>pack</v>
      </c>
      <c r="N561" s="6" t="str">
        <f>IFERROR(__xludf.DUMMYFUNCTION("""COMPUTED_VALUE"""),"named")</f>
        <v>named</v>
      </c>
      <c r="P561" s="6" t="str">
        <f>IFERROR(__xludf.DUMMYFUNCTION("""COMPUTED_VALUE"""),"parts")</f>
        <v>parts</v>
      </c>
      <c r="Q561" s="6" t="str">
        <f>IFERROR(__xludf.DUMMYFUNCTION("""COMPUTED_VALUE"""),"fears")</f>
        <v>fears</v>
      </c>
      <c r="S561" s="6" t="str">
        <f>IFERROR(__xludf.DUMMYFUNCTION("""COMPUTED_VALUE"""),"construct")</f>
        <v>construct</v>
      </c>
    </row>
    <row r="562">
      <c r="B562" s="6"/>
      <c r="D562" s="6"/>
      <c r="G562" s="6" t="str">
        <f>IFERROR(__xludf.DUMMYFUNCTION("""COMPUTED_VALUE"""),"call")</f>
        <v>call</v>
      </c>
      <c r="H562" s="6" t="str">
        <f>IFERROR(__xludf.DUMMYFUNCTION("""COMPUTED_VALUE"""),"impressive")</f>
        <v>impressive</v>
      </c>
      <c r="I562" s="6" t="str">
        <f>IFERROR(__xludf.DUMMYFUNCTION("""COMPUTED_VALUE"""),"workshops")</f>
        <v>workshops</v>
      </c>
      <c r="J562" s="6" t="str">
        <f>IFERROR(__xludf.DUMMYFUNCTION("""COMPUTED_VALUE"""),"repetitive")</f>
        <v>repetitive</v>
      </c>
      <c r="L562" s="6" t="str">
        <f>IFERROR(__xludf.DUMMYFUNCTION("""COMPUTED_VALUE"""),"power")</f>
        <v>power</v>
      </c>
      <c r="M562" s="6" t="str">
        <f>IFERROR(__xludf.DUMMYFUNCTION("""COMPUTED_VALUE"""),"speak")</f>
        <v>speak</v>
      </c>
      <c r="N562" s="6" t="str">
        <f>IFERROR(__xludf.DUMMYFUNCTION("""COMPUTED_VALUE"""),"relies")</f>
        <v>relies</v>
      </c>
      <c r="P562" s="6" t="str">
        <f>IFERROR(__xludf.DUMMYFUNCTION("""COMPUTED_VALUE"""),"collegiate")</f>
        <v>collegiate</v>
      </c>
      <c r="Q562" s="6" t="str">
        <f>IFERROR(__xludf.DUMMYFUNCTION("""COMPUTED_VALUE"""),"portrait")</f>
        <v>portrait</v>
      </c>
      <c r="S562" s="6" t="str">
        <f>IFERROR(__xludf.DUMMYFUNCTION("""COMPUTED_VALUE"""),"knows")</f>
        <v>knows</v>
      </c>
    </row>
    <row r="563">
      <c r="B563" s="6"/>
      <c r="D563" s="6"/>
      <c r="G563" s="6" t="str">
        <f>IFERROR(__xludf.DUMMYFUNCTION("""COMPUTED_VALUE"""),"inflammatory")</f>
        <v>inflammatory</v>
      </c>
      <c r="H563" s="6" t="str">
        <f>IFERROR(__xludf.DUMMYFUNCTION("""COMPUTED_VALUE"""),"biography")</f>
        <v>biography</v>
      </c>
      <c r="I563" s="6" t="str">
        <f>IFERROR(__xludf.DUMMYFUNCTION("""COMPUTED_VALUE"""),"affected")</f>
        <v>affected</v>
      </c>
      <c r="J563" s="6" t="str">
        <f>IFERROR(__xludf.DUMMYFUNCTION("""COMPUTED_VALUE"""),"melancholy")</f>
        <v>melancholy</v>
      </c>
      <c r="L563" s="6" t="str">
        <f>IFERROR(__xludf.DUMMYFUNCTION("""COMPUTED_VALUE"""),"form")</f>
        <v>form</v>
      </c>
      <c r="M563" s="6" t="str">
        <f>IFERROR(__xludf.DUMMYFUNCTION("""COMPUTED_VALUE"""),"grace")</f>
        <v>grace</v>
      </c>
      <c r="N563" s="6" t="str">
        <f>IFERROR(__xludf.DUMMYFUNCTION("""COMPUTED_VALUE"""),"former")</f>
        <v>former</v>
      </c>
      <c r="P563" s="6" t="str">
        <f>IFERROR(__xludf.DUMMYFUNCTION("""COMPUTED_VALUE"""),"national")</f>
        <v>national</v>
      </c>
      <c r="Q563" s="6" t="str">
        <f>IFERROR(__xludf.DUMMYFUNCTION("""COMPUTED_VALUE"""),"rare")</f>
        <v>rare</v>
      </c>
      <c r="S563" s="6" t="str">
        <f>IFERROR(__xludf.DUMMYFUNCTION("""COMPUTED_VALUE"""),"laughed")</f>
        <v>laughed</v>
      </c>
    </row>
    <row r="564">
      <c r="B564" s="6"/>
      <c r="D564" s="6"/>
      <c r="G564" s="6" t="str">
        <f>IFERROR(__xludf.DUMMYFUNCTION("""COMPUTED_VALUE"""),"note")</f>
        <v>note</v>
      </c>
      <c r="H564" s="6" t="str">
        <f>IFERROR(__xludf.DUMMYFUNCTION("""COMPUTED_VALUE"""),"narrator")</f>
        <v>narrator</v>
      </c>
      <c r="I564" s="6" t="str">
        <f>IFERROR(__xludf.DUMMYFUNCTION("""COMPUTED_VALUE"""),"carol")</f>
        <v>carol</v>
      </c>
      <c r="J564" s="6" t="str">
        <f>IFERROR(__xludf.DUMMYFUNCTION("""COMPUTED_VALUE"""),"fallen")</f>
        <v>fallen</v>
      </c>
      <c r="L564" s="6" t="str">
        <f>IFERROR(__xludf.DUMMYFUNCTION("""COMPUTED_VALUE"""),"impress")</f>
        <v>impress</v>
      </c>
      <c r="M564" s="6" t="str">
        <f>IFERROR(__xludf.DUMMYFUNCTION("""COMPUTED_VALUE"""),"saving")</f>
        <v>saving</v>
      </c>
      <c r="N564" s="6" t="str">
        <f>IFERROR(__xludf.DUMMYFUNCTION("""COMPUTED_VALUE"""),"conan")</f>
        <v>conan</v>
      </c>
      <c r="P564" s="6" t="str">
        <f>IFERROR(__xludf.DUMMYFUNCTION("""COMPUTED_VALUE"""),"factor")</f>
        <v>factor</v>
      </c>
      <c r="Q564" s="6" t="str">
        <f>IFERROR(__xludf.DUMMYFUNCTION("""COMPUTED_VALUE"""),"draws")</f>
        <v>draws</v>
      </c>
      <c r="S564" s="6" t="str">
        <f>IFERROR(__xludf.DUMMYFUNCTION("""COMPUTED_VALUE"""),"need")</f>
        <v>need</v>
      </c>
    </row>
    <row r="565">
      <c r="B565" s="6"/>
      <c r="D565" s="6"/>
      <c r="G565" s="6" t="str">
        <f>IFERROR(__xludf.DUMMYFUNCTION("""COMPUTED_VALUE"""),"friend")</f>
        <v>friend</v>
      </c>
      <c r="H565" s="6" t="str">
        <f>IFERROR(__xludf.DUMMYFUNCTION("""COMPUTED_VALUE"""),"animation")</f>
        <v>animation</v>
      </c>
      <c r="I565" s="6" t="str">
        <f>IFERROR(__xludf.DUMMYFUNCTION("""COMPUTED_VALUE"""),"dollars")</f>
        <v>dollars</v>
      </c>
      <c r="J565" s="6" t="str">
        <f>IFERROR(__xludf.DUMMYFUNCTION("""COMPUTED_VALUE"""),"spell")</f>
        <v>spell</v>
      </c>
      <c r="L565" s="6" t="str">
        <f>IFERROR(__xludf.DUMMYFUNCTION("""COMPUTED_VALUE"""),"cast")</f>
        <v>cast</v>
      </c>
      <c r="M565" s="6" t="str">
        <f>IFERROR(__xludf.DUMMYFUNCTION("""COMPUTED_VALUE"""),"connected")</f>
        <v>connected</v>
      </c>
      <c r="N565" s="6" t="str">
        <f>IFERROR(__xludf.DUMMYFUNCTION("""COMPUTED_VALUE"""),"neil")</f>
        <v>neil</v>
      </c>
      <c r="P565" s="6" t="str">
        <f>IFERROR(__xludf.DUMMYFUNCTION("""COMPUTED_VALUE"""),"emerging")</f>
        <v>emerging</v>
      </c>
      <c r="Q565" s="6" t="str">
        <f>IFERROR(__xludf.DUMMYFUNCTION("""COMPUTED_VALUE"""),"midnight")</f>
        <v>midnight</v>
      </c>
      <c r="S565" s="6" t="str">
        <f>IFERROR(__xludf.DUMMYFUNCTION("""COMPUTED_VALUE"""),"laughter")</f>
        <v>laughter</v>
      </c>
    </row>
    <row r="566">
      <c r="B566" s="6"/>
      <c r="D566" s="6"/>
      <c r="G566" s="6" t="str">
        <f>IFERROR(__xludf.DUMMYFUNCTION("""COMPUTED_VALUE"""),"inactive")</f>
        <v>inactive</v>
      </c>
      <c r="H566" s="6" t="str">
        <f>IFERROR(__xludf.DUMMYFUNCTION("""COMPUTED_VALUE"""),"heroine")</f>
        <v>heroine</v>
      </c>
      <c r="I566" s="6" t="str">
        <f>IFERROR(__xludf.DUMMYFUNCTION("""COMPUTED_VALUE"""),"crimes")</f>
        <v>crimes</v>
      </c>
      <c r="J566" s="6" t="str">
        <f>IFERROR(__xludf.DUMMYFUNCTION("""COMPUTED_VALUE"""),"brutally")</f>
        <v>brutally</v>
      </c>
      <c r="L566" s="6" t="str">
        <f>IFERROR(__xludf.DUMMYFUNCTION("""COMPUTED_VALUE"""),"rhythm")</f>
        <v>rhythm</v>
      </c>
      <c r="M566" s="6" t="str">
        <f>IFERROR(__xludf.DUMMYFUNCTION("""COMPUTED_VALUE"""),"names")</f>
        <v>names</v>
      </c>
      <c r="N566" s="6" t="str">
        <f>IFERROR(__xludf.DUMMYFUNCTION("""COMPUTED_VALUE"""),"margin")</f>
        <v>margin</v>
      </c>
      <c r="P566" s="6" t="str">
        <f>IFERROR(__xludf.DUMMYFUNCTION("""COMPUTED_VALUE"""),"entity")</f>
        <v>entity</v>
      </c>
      <c r="Q566" s="6" t="str">
        <f>IFERROR(__xludf.DUMMYFUNCTION("""COMPUTED_VALUE"""),"mind")</f>
        <v>mind</v>
      </c>
      <c r="S566" s="6" t="str">
        <f>IFERROR(__xludf.DUMMYFUNCTION("""COMPUTED_VALUE"""),"philosophical")</f>
        <v>philosophical</v>
      </c>
    </row>
    <row r="567">
      <c r="B567" s="6"/>
      <c r="D567" s="6"/>
      <c r="G567" s="6" t="str">
        <f>IFERROR(__xludf.DUMMYFUNCTION("""COMPUTED_VALUE"""),"memorable")</f>
        <v>memorable</v>
      </c>
      <c r="H567" s="6" t="str">
        <f>IFERROR(__xludf.DUMMYFUNCTION("""COMPUTED_VALUE"""),"dramatically")</f>
        <v>dramatically</v>
      </c>
      <c r="I567" s="6" t="str">
        <f>IFERROR(__xludf.DUMMYFUNCTION("""COMPUTED_VALUE"""),"20th")</f>
        <v>20th</v>
      </c>
      <c r="J567" s="6" t="str">
        <f>IFERROR(__xludf.DUMMYFUNCTION("""COMPUTED_VALUE"""),"tolerate")</f>
        <v>tolerate</v>
      </c>
      <c r="L567" s="6" t="str">
        <f>IFERROR(__xludf.DUMMYFUNCTION("""COMPUTED_VALUE"""),"pardon")</f>
        <v>pardon</v>
      </c>
      <c r="M567" s="6" t="str">
        <f>IFERROR(__xludf.DUMMYFUNCTION("""COMPUTED_VALUE"""),"seconds")</f>
        <v>seconds</v>
      </c>
      <c r="N567" s="6" t="str">
        <f>IFERROR(__xludf.DUMMYFUNCTION("""COMPUTED_VALUE"""),"uses")</f>
        <v>uses</v>
      </c>
      <c r="P567" s="6" t="str">
        <f>IFERROR(__xludf.DUMMYFUNCTION("""COMPUTED_VALUE"""),"audiences")</f>
        <v>audiences</v>
      </c>
      <c r="Q567" s="6" t="str">
        <f>IFERROR(__xludf.DUMMYFUNCTION("""COMPUTED_VALUE"""),"compassion")</f>
        <v>compassion</v>
      </c>
      <c r="S567" s="6" t="str">
        <f>IFERROR(__xludf.DUMMYFUNCTION("""COMPUTED_VALUE"""),"drag")</f>
        <v>drag</v>
      </c>
    </row>
    <row r="568">
      <c r="B568" s="6"/>
      <c r="D568" s="6"/>
      <c r="G568" s="6" t="str">
        <f>IFERROR(__xludf.DUMMYFUNCTION("""COMPUTED_VALUE"""),"workshops")</f>
        <v>workshops</v>
      </c>
      <c r="H568" s="6" t="str">
        <f>IFERROR(__xludf.DUMMYFUNCTION("""COMPUTED_VALUE"""),"compassionate")</f>
        <v>compassionate</v>
      </c>
      <c r="I568" s="6" t="str">
        <f>IFERROR(__xludf.DUMMYFUNCTION("""COMPUTED_VALUE"""),"century")</f>
        <v>century</v>
      </c>
      <c r="J568" s="6" t="str">
        <f>IFERROR(__xludf.DUMMYFUNCTION("""COMPUTED_VALUE"""),"baroque")</f>
        <v>baroque</v>
      </c>
      <c r="L568" s="6" t="str">
        <f>IFERROR(__xludf.DUMMYFUNCTION("""COMPUTED_VALUE"""),"fashion")</f>
        <v>fashion</v>
      </c>
      <c r="M568" s="6" t="str">
        <f>IFERROR(__xludf.DUMMYFUNCTION("""COMPUTED_VALUE"""),"provide")</f>
        <v>provide</v>
      </c>
      <c r="N568" s="6" t="str">
        <f>IFERROR(__xludf.DUMMYFUNCTION("""COMPUTED_VALUE"""),"degree")</f>
        <v>degree</v>
      </c>
      <c r="P568" s="6" t="str">
        <f>IFERROR(__xludf.DUMMYFUNCTION("""COMPUTED_VALUE"""),"sign")</f>
        <v>sign</v>
      </c>
      <c r="Q568" s="6" t="str">
        <f>IFERROR(__xludf.DUMMYFUNCTION("""COMPUTED_VALUE"""),"sleeper")</f>
        <v>sleeper</v>
      </c>
      <c r="S568" s="6" t="str">
        <f>IFERROR(__xludf.DUMMYFUNCTION("""COMPUTED_VALUE"""),"directing")</f>
        <v>directing</v>
      </c>
    </row>
    <row r="569">
      <c r="B569" s="6"/>
      <c r="D569" s="6"/>
      <c r="G569" s="6" t="str">
        <f>IFERROR(__xludf.DUMMYFUNCTION("""COMPUTED_VALUE"""),"affected")</f>
        <v>affected</v>
      </c>
      <c r="H569" s="6" t="str">
        <f>IFERROR(__xludf.DUMMYFUNCTION("""COMPUTED_VALUE"""),"timeless")</f>
        <v>timeless</v>
      </c>
      <c r="I569" s="6" t="str">
        <f>IFERROR(__xludf.DUMMYFUNCTION("""COMPUTED_VALUE"""),"france")</f>
        <v>france</v>
      </c>
      <c r="J569" s="6" t="str">
        <f>IFERROR(__xludf.DUMMYFUNCTION("""COMPUTED_VALUE"""),"cool")</f>
        <v>cool</v>
      </c>
      <c r="L569" s="6" t="str">
        <f>IFERROR(__xludf.DUMMYFUNCTION("""COMPUTED_VALUE"""),"subtle")</f>
        <v>subtle</v>
      </c>
      <c r="M569" s="6" t="str">
        <f>IFERROR(__xludf.DUMMYFUNCTION("""COMPUTED_VALUE"""),"settle")</f>
        <v>settle</v>
      </c>
      <c r="N569" s="6" t="str">
        <f>IFERROR(__xludf.DUMMYFUNCTION("""COMPUTED_VALUE"""),"vs")</f>
        <v>vs</v>
      </c>
      <c r="P569" s="6" t="str">
        <f>IFERROR(__xludf.DUMMYFUNCTION("""COMPUTED_VALUE"""),"mile")</f>
        <v>mile</v>
      </c>
      <c r="Q569" s="6" t="str">
        <f>IFERROR(__xludf.DUMMYFUNCTION("""COMPUTED_VALUE"""),"bard")</f>
        <v>bard</v>
      </c>
      <c r="S569" s="6" t="str">
        <f>IFERROR(__xludf.DUMMYFUNCTION("""COMPUTED_VALUE"""),"hop")</f>
        <v>hop</v>
      </c>
    </row>
    <row r="570">
      <c r="B570" s="6"/>
      <c r="D570" s="6"/>
      <c r="G570" s="6" t="str">
        <f>IFERROR(__xludf.DUMMYFUNCTION("""COMPUTED_VALUE"""),"hurley")</f>
        <v>hurley</v>
      </c>
      <c r="H570" s="6" t="str">
        <f>IFERROR(__xludf.DUMMYFUNCTION("""COMPUTED_VALUE"""),"eastern")</f>
        <v>eastern</v>
      </c>
      <c r="I570" s="6" t="str">
        <f>IFERROR(__xludf.DUMMYFUNCTION("""COMPUTED_VALUE"""),"spin")</f>
        <v>spin</v>
      </c>
      <c r="J570" s="6" t="str">
        <f>IFERROR(__xludf.DUMMYFUNCTION("""COMPUTED_VALUE"""),"breadth")</f>
        <v>breadth</v>
      </c>
      <c r="L570" s="6" t="str">
        <f>IFERROR(__xludf.DUMMYFUNCTION("""COMPUTED_VALUE"""),"fuss")</f>
        <v>fuss</v>
      </c>
      <c r="M570" s="6" t="str">
        <f>IFERROR(__xludf.DUMMYFUNCTION("""COMPUTED_VALUE"""),"settled")</f>
        <v>settled</v>
      </c>
      <c r="N570" s="6" t="str">
        <f>IFERROR(__xludf.DUMMYFUNCTION("""COMPUTED_VALUE"""),"share")</f>
        <v>share</v>
      </c>
      <c r="P570" s="6" t="str">
        <f>IFERROR(__xludf.DUMMYFUNCTION("""COMPUTED_VALUE"""),"nerve")</f>
        <v>nerve</v>
      </c>
      <c r="Q570" s="6" t="str">
        <f>IFERROR(__xludf.DUMMYFUNCTION("""COMPUTED_VALUE"""),"imitation")</f>
        <v>imitation</v>
      </c>
      <c r="S570" s="6" t="str">
        <f>IFERROR(__xludf.DUMMYFUNCTION("""COMPUTED_VALUE"""),"literary")</f>
        <v>literary</v>
      </c>
    </row>
    <row r="571">
      <c r="B571" s="6"/>
      <c r="D571" s="6"/>
      <c r="G571" s="6" t="str">
        <f>IFERROR(__xludf.DUMMYFUNCTION("""COMPUTED_VALUE"""),"reassuring")</f>
        <v>reassuring</v>
      </c>
      <c r="H571" s="6" t="str">
        <f>IFERROR(__xludf.DUMMYFUNCTION("""COMPUTED_VALUE"""),"humane")</f>
        <v>humane</v>
      </c>
      <c r="I571" s="6" t="str">
        <f>IFERROR(__xludf.DUMMYFUNCTION("""COMPUTED_VALUE"""),"revealed")</f>
        <v>revealed</v>
      </c>
      <c r="J571" s="6" t="str">
        <f>IFERROR(__xludf.DUMMYFUNCTION("""COMPUTED_VALUE"""),"poverty")</f>
        <v>poverty</v>
      </c>
      <c r="L571" s="6" t="str">
        <f>IFERROR(__xludf.DUMMYFUNCTION("""COMPUTED_VALUE"""),"sewing")</f>
        <v>sewing</v>
      </c>
      <c r="M571" s="6" t="str">
        <f>IFERROR(__xludf.DUMMYFUNCTION("""COMPUTED_VALUE"""),"brother")</f>
        <v>brother</v>
      </c>
      <c r="N571" s="6" t="str">
        <f>IFERROR(__xludf.DUMMYFUNCTION("""COMPUTED_VALUE"""),"extreme")</f>
        <v>extreme</v>
      </c>
      <c r="P571" s="6" t="str">
        <f>IFERROR(__xludf.DUMMYFUNCTION("""COMPUTED_VALUE"""),"execution")</f>
        <v>execution</v>
      </c>
      <c r="Q571" s="6" t="str">
        <f>IFERROR(__xludf.DUMMYFUNCTION("""COMPUTED_VALUE"""),"bone")</f>
        <v>bone</v>
      </c>
      <c r="S571" s="6" t="str">
        <f>IFERROR(__xludf.DUMMYFUNCTION("""COMPUTED_VALUE"""),"remote")</f>
        <v>remote</v>
      </c>
    </row>
    <row r="572">
      <c r="B572" s="6"/>
      <c r="D572" s="6"/>
      <c r="G572" s="6" t="str">
        <f>IFERROR(__xludf.DUMMYFUNCTION("""COMPUTED_VALUE"""),"intricate")</f>
        <v>intricate</v>
      </c>
      <c r="H572" s="6" t="str">
        <f>IFERROR(__xludf.DUMMYFUNCTION("""COMPUTED_VALUE"""),"neither")</f>
        <v>neither</v>
      </c>
      <c r="I572" s="6" t="str">
        <f>IFERROR(__xludf.DUMMYFUNCTION("""COMPUTED_VALUE"""),"fisher")</f>
        <v>fisher</v>
      </c>
      <c r="J572" s="6" t="str">
        <f>IFERROR(__xludf.DUMMYFUNCTION("""COMPUTED_VALUE"""),"hardship")</f>
        <v>hardship</v>
      </c>
      <c r="L572" s="6" t="str">
        <f>IFERROR(__xludf.DUMMYFUNCTION("""COMPUTED_VALUE"""),"characterization")</f>
        <v>characterization</v>
      </c>
      <c r="M572" s="6" t="str">
        <f>IFERROR(__xludf.DUMMYFUNCTION("""COMPUTED_VALUE"""),"streets")</f>
        <v>streets</v>
      </c>
      <c r="N572" s="6" t="str">
        <f>IFERROR(__xludf.DUMMYFUNCTION("""COMPUTED_VALUE"""),"wondering")</f>
        <v>wondering</v>
      </c>
      <c r="P572" s="6" t="str">
        <f>IFERROR(__xludf.DUMMYFUNCTION("""COMPUTED_VALUE"""),"bit")</f>
        <v>bit</v>
      </c>
      <c r="Q572" s="6" t="str">
        <f>IFERROR(__xludf.DUMMYFUNCTION("""COMPUTED_VALUE"""),"strengths")</f>
        <v>strengths</v>
      </c>
      <c r="S572" s="6" t="str">
        <f>IFERROR(__xludf.DUMMYFUNCTION("""COMPUTED_VALUE"""),"really")</f>
        <v>really</v>
      </c>
    </row>
    <row r="573">
      <c r="B573" s="6"/>
      <c r="D573" s="6"/>
      <c r="G573" s="6" t="str">
        <f>IFERROR(__xludf.DUMMYFUNCTION("""COMPUTED_VALUE"""),"20th")</f>
        <v>20th</v>
      </c>
      <c r="H573" s="6" t="str">
        <f>IFERROR(__xludf.DUMMYFUNCTION("""COMPUTED_VALUE"""),"entertain")</f>
        <v>entertain</v>
      </c>
      <c r="I573" s="6" t="str">
        <f>IFERROR(__xludf.DUMMYFUNCTION("""COMPUTED_VALUE"""),"happiness")</f>
        <v>happiness</v>
      </c>
      <c r="J573" s="6" t="str">
        <f>IFERROR(__xludf.DUMMYFUNCTION("""COMPUTED_VALUE"""),"spite")</f>
        <v>spite</v>
      </c>
      <c r="L573" s="6" t="str">
        <f>IFERROR(__xludf.DUMMYFUNCTION("""COMPUTED_VALUE"""),"references")</f>
        <v>references</v>
      </c>
      <c r="M573" s="6" t="str">
        <f>IFERROR(__xludf.DUMMYFUNCTION("""COMPUTED_VALUE"""),"delivery")</f>
        <v>delivery</v>
      </c>
      <c r="N573" s="6" t="str">
        <f>IFERROR(__xludf.DUMMYFUNCTION("""COMPUTED_VALUE"""),"treatment")</f>
        <v>treatment</v>
      </c>
      <c r="P573" s="6" t="str">
        <f>IFERROR(__xludf.DUMMYFUNCTION("""COMPUTED_VALUE"""),"pianist")</f>
        <v>pianist</v>
      </c>
      <c r="Q573" s="6" t="str">
        <f>IFERROR(__xludf.DUMMYFUNCTION("""COMPUTED_VALUE"""),"stiff")</f>
        <v>stiff</v>
      </c>
      <c r="S573" s="6" t="str">
        <f>IFERROR(__xludf.DUMMYFUNCTION("""COMPUTED_VALUE"""),"push")</f>
        <v>push</v>
      </c>
    </row>
    <row r="574">
      <c r="B574" s="6"/>
      <c r="D574" s="6"/>
      <c r="G574" s="6" t="str">
        <f>IFERROR(__xludf.DUMMYFUNCTION("""COMPUTED_VALUE"""),"century")</f>
        <v>century</v>
      </c>
      <c r="H574" s="6" t="str">
        <f>IFERROR(__xludf.DUMMYFUNCTION("""COMPUTED_VALUE"""),"provocative")</f>
        <v>provocative</v>
      </c>
      <c r="I574" s="6" t="str">
        <f>IFERROR(__xludf.DUMMYFUNCTION("""COMPUTED_VALUE"""),"let")</f>
        <v>let</v>
      </c>
      <c r="J574" s="6" t="str">
        <f>IFERROR(__xludf.DUMMYFUNCTION("""COMPUTED_VALUE"""),"protagonists")</f>
        <v>protagonists</v>
      </c>
      <c r="L574" s="6" t="str">
        <f>IFERROR(__xludf.DUMMYFUNCTION("""COMPUTED_VALUE"""),"achieve")</f>
        <v>achieve</v>
      </c>
      <c r="M574" s="6" t="str">
        <f>IFERROR(__xludf.DUMMYFUNCTION("""COMPUTED_VALUE"""),"concerned")</f>
        <v>concerned</v>
      </c>
      <c r="N574" s="6" t="str">
        <f>IFERROR(__xludf.DUMMYFUNCTION("""COMPUTED_VALUE"""),"thousand")</f>
        <v>thousand</v>
      </c>
      <c r="P574" s="6" t="str">
        <f>IFERROR(__xludf.DUMMYFUNCTION("""COMPUTED_VALUE"""),"represented")</f>
        <v>represented</v>
      </c>
      <c r="Q574" s="6" t="str">
        <f>IFERROR(__xludf.DUMMYFUNCTION("""COMPUTED_VALUE"""),"stimulus")</f>
        <v>stimulus</v>
      </c>
      <c r="S574" s="6" t="str">
        <f>IFERROR(__xludf.DUMMYFUNCTION("""COMPUTED_VALUE"""),"accomplished")</f>
        <v>accomplished</v>
      </c>
    </row>
    <row r="575">
      <c r="B575" s="6"/>
      <c r="D575" s="6"/>
      <c r="G575" s="6" t="str">
        <f>IFERROR(__xludf.DUMMYFUNCTION("""COMPUTED_VALUE"""),"destined")</f>
        <v>destined</v>
      </c>
      <c r="H575" s="6" t="str">
        <f>IFERROR(__xludf.DUMMYFUNCTION("""COMPUTED_VALUE"""),"longest")</f>
        <v>longest</v>
      </c>
      <c r="I575" s="6" t="str">
        <f>IFERROR(__xludf.DUMMYFUNCTION("""COMPUTED_VALUE"""),"came")</f>
        <v>came</v>
      </c>
      <c r="J575" s="6" t="str">
        <f>IFERROR(__xludf.DUMMYFUNCTION("""COMPUTED_VALUE"""),"shoot")</f>
        <v>shoot</v>
      </c>
      <c r="L575" s="6" t="str">
        <f>IFERROR(__xludf.DUMMYFUNCTION("""COMPUTED_VALUE"""),"sharp")</f>
        <v>sharp</v>
      </c>
      <c r="M575" s="6" t="str">
        <f>IFERROR(__xludf.DUMMYFUNCTION("""COMPUTED_VALUE"""),"similar")</f>
        <v>similar</v>
      </c>
      <c r="N575" s="6" t="str">
        <f>IFERROR(__xludf.DUMMYFUNCTION("""COMPUTED_VALUE"""),"opera")</f>
        <v>opera</v>
      </c>
      <c r="P575" s="6" t="str">
        <f>IFERROR(__xludf.DUMMYFUNCTION("""COMPUTED_VALUE"""),"chase")</f>
        <v>chase</v>
      </c>
      <c r="Q575" s="6" t="str">
        <f>IFERROR(__xludf.DUMMYFUNCTION("""COMPUTED_VALUE"""),"winning")</f>
        <v>winning</v>
      </c>
      <c r="S575" s="6" t="str">
        <f>IFERROR(__xludf.DUMMYFUNCTION("""COMPUTED_VALUE"""),"mysterious")</f>
        <v>mysterious</v>
      </c>
    </row>
    <row r="576">
      <c r="B576" s="6"/>
      <c r="D576" s="6"/>
      <c r="G576" s="6" t="str">
        <f>IFERROR(__xludf.DUMMYFUNCTION("""COMPUTED_VALUE"""),"misses")</f>
        <v>misses</v>
      </c>
      <c r="H576" s="6" t="str">
        <f>IFERROR(__xludf.DUMMYFUNCTION("""COMPUTED_VALUE"""),"sharp")</f>
        <v>sharp</v>
      </c>
      <c r="I576" s="6" t="str">
        <f>IFERROR(__xludf.DUMMYFUNCTION("""COMPUTED_VALUE"""),"teacher")</f>
        <v>teacher</v>
      </c>
      <c r="J576" s="6" t="str">
        <f>IFERROR(__xludf.DUMMYFUNCTION("""COMPUTED_VALUE"""),"remarkably")</f>
        <v>remarkably</v>
      </c>
      <c r="L576" s="6" t="str">
        <f>IFERROR(__xludf.DUMMYFUNCTION("""COMPUTED_VALUE"""),"brush")</f>
        <v>brush</v>
      </c>
      <c r="M576" s="6" t="str">
        <f>IFERROR(__xludf.DUMMYFUNCTION("""COMPUTED_VALUE"""),"mixing")</f>
        <v>mixing</v>
      </c>
      <c r="N576" s="6" t="str">
        <f>IFERROR(__xludf.DUMMYFUNCTION("""COMPUTED_VALUE"""),"siren")</f>
        <v>siren</v>
      </c>
      <c r="P576" s="6" t="str">
        <f>IFERROR(__xludf.DUMMYFUNCTION("""COMPUTED_VALUE"""),"martha")</f>
        <v>martha</v>
      </c>
      <c r="Q576" s="6" t="str">
        <f>IFERROR(__xludf.DUMMYFUNCTION("""COMPUTED_VALUE"""),"antics")</f>
        <v>antics</v>
      </c>
      <c r="S576" s="6" t="str">
        <f>IFERROR(__xludf.DUMMYFUNCTION("""COMPUTED_VALUE"""),"fears")</f>
        <v>fears</v>
      </c>
    </row>
    <row r="577">
      <c r="B577" s="6"/>
      <c r="D577" s="6"/>
      <c r="G577" s="6" t="str">
        <f>IFERROR(__xludf.DUMMYFUNCTION("""COMPUTED_VALUE"""),"revealed")</f>
        <v>revealed</v>
      </c>
      <c r="H577" s="6" t="str">
        <f>IFERROR(__xludf.DUMMYFUNCTION("""COMPUTED_VALUE"""),"discourse")</f>
        <v>discourse</v>
      </c>
      <c r="I577" s="6" t="str">
        <f>IFERROR(__xludf.DUMMYFUNCTION("""COMPUTED_VALUE"""),"increasingly")</f>
        <v>increasingly</v>
      </c>
      <c r="J577" s="6" t="str">
        <f>IFERROR(__xludf.DUMMYFUNCTION("""COMPUTED_VALUE"""),"cheese")</f>
        <v>cheese</v>
      </c>
      <c r="L577" s="6" t="str">
        <f>IFERROR(__xludf.DUMMYFUNCTION("""COMPUTED_VALUE"""),"layers")</f>
        <v>layers</v>
      </c>
      <c r="M577" s="6" t="str">
        <f>IFERROR(__xludf.DUMMYFUNCTION("""COMPUTED_VALUE"""),"wear")</f>
        <v>wear</v>
      </c>
      <c r="N577" s="6" t="str">
        <f>IFERROR(__xludf.DUMMYFUNCTION("""COMPUTED_VALUE"""),"videos")</f>
        <v>videos</v>
      </c>
      <c r="P577" s="6" t="str">
        <f>IFERROR(__xludf.DUMMYFUNCTION("""COMPUTED_VALUE"""),"rapid")</f>
        <v>rapid</v>
      </c>
      <c r="Q577" s="6" t="str">
        <f>IFERROR(__xludf.DUMMYFUNCTION("""COMPUTED_VALUE"""),"barrel")</f>
        <v>barrel</v>
      </c>
      <c r="S577" s="6" t="str">
        <f>IFERROR(__xludf.DUMMYFUNCTION("""COMPUTED_VALUE"""),"friends")</f>
        <v>friends</v>
      </c>
    </row>
    <row r="578">
      <c r="B578" s="6"/>
      <c r="D578" s="6"/>
      <c r="G578" s="6" t="str">
        <f>IFERROR(__xludf.DUMMYFUNCTION("""COMPUTED_VALUE"""),"cheat")</f>
        <v>cheat</v>
      </c>
      <c r="H578" s="6" t="str">
        <f>IFERROR(__xludf.DUMMYFUNCTION("""COMPUTED_VALUE"""),"distinctive")</f>
        <v>distinctive</v>
      </c>
      <c r="I578" s="6" t="str">
        <f>IFERROR(__xludf.DUMMYFUNCTION("""COMPUTED_VALUE"""),"roberts")</f>
        <v>roberts</v>
      </c>
      <c r="J578" s="6" t="str">
        <f>IFERROR(__xludf.DUMMYFUNCTION("""COMPUTED_VALUE"""),"topic")</f>
        <v>topic</v>
      </c>
      <c r="L578" s="6" t="str">
        <f>IFERROR(__xludf.DUMMYFUNCTION("""COMPUTED_VALUE"""),"sword")</f>
        <v>sword</v>
      </c>
      <c r="M578" s="6" t="str">
        <f>IFERROR(__xludf.DUMMYFUNCTION("""COMPUTED_VALUE"""),"nails")</f>
        <v>nails</v>
      </c>
      <c r="N578" s="6" t="str">
        <f>IFERROR(__xludf.DUMMYFUNCTION("""COMPUTED_VALUE"""),"bears")</f>
        <v>bears</v>
      </c>
      <c r="P578" s="6" t="str">
        <f>IFERROR(__xludf.DUMMYFUNCTION("""COMPUTED_VALUE"""),"virtually")</f>
        <v>virtually</v>
      </c>
      <c r="Q578" s="6" t="str">
        <f>IFERROR(__xludf.DUMMYFUNCTION("""COMPUTED_VALUE"""),"miracles")</f>
        <v>miracles</v>
      </c>
      <c r="S578" s="6" t="str">
        <f>IFERROR(__xludf.DUMMYFUNCTION("""COMPUTED_VALUE"""),"portrait")</f>
        <v>portrait</v>
      </c>
    </row>
    <row r="579">
      <c r="B579" s="6"/>
      <c r="D579" s="6"/>
      <c r="G579" s="6" t="str">
        <f>IFERROR(__xludf.DUMMYFUNCTION("""COMPUTED_VALUE"""),"odyssey")</f>
        <v>odyssey</v>
      </c>
      <c r="H579" s="6" t="str">
        <f>IFERROR(__xludf.DUMMYFUNCTION("""COMPUTED_VALUE"""),"demonstrate")</f>
        <v>demonstrate</v>
      </c>
      <c r="I579" s="6" t="str">
        <f>IFERROR(__xludf.DUMMYFUNCTION("""COMPUTED_VALUE"""),"workshop")</f>
        <v>workshop</v>
      </c>
      <c r="J579" s="6" t="str">
        <f>IFERROR(__xludf.DUMMYFUNCTION("""COMPUTED_VALUE"""),"insistent")</f>
        <v>insistent</v>
      </c>
      <c r="L579" s="6" t="str">
        <f>IFERROR(__xludf.DUMMYFUNCTION("""COMPUTED_VALUE"""),"lingering")</f>
        <v>lingering</v>
      </c>
      <c r="M579" s="6" t="str">
        <f>IFERROR(__xludf.DUMMYFUNCTION("""COMPUTED_VALUE"""),"package")</f>
        <v>package</v>
      </c>
      <c r="N579" s="6" t="str">
        <f>IFERROR(__xludf.DUMMYFUNCTION("""COMPUTED_VALUE"""),"justice")</f>
        <v>justice</v>
      </c>
      <c r="P579" s="6" t="str">
        <f>IFERROR(__xludf.DUMMYFUNCTION("""COMPUTED_VALUE"""),"public")</f>
        <v>public</v>
      </c>
      <c r="Q579" s="6" t="str">
        <f>IFERROR(__xludf.DUMMYFUNCTION("""COMPUTED_VALUE"""),"miracle")</f>
        <v>miracle</v>
      </c>
      <c r="S579" s="6" t="str">
        <f>IFERROR(__xludf.DUMMYFUNCTION("""COMPUTED_VALUE"""),"rare")</f>
        <v>rare</v>
      </c>
    </row>
    <row r="580">
      <c r="B580" s="6"/>
      <c r="D580" s="6"/>
      <c r="G580" s="6" t="str">
        <f>IFERROR(__xludf.DUMMYFUNCTION("""COMPUTED_VALUE"""),"mcgrath")</f>
        <v>mcgrath</v>
      </c>
      <c r="H580" s="6" t="str">
        <f>IFERROR(__xludf.DUMMYFUNCTION("""COMPUTED_VALUE"""),"blown")</f>
        <v>blown</v>
      </c>
      <c r="I580" s="6" t="str">
        <f>IFERROR(__xludf.DUMMYFUNCTION("""COMPUTED_VALUE"""),"certain")</f>
        <v>certain</v>
      </c>
      <c r="J580" s="6" t="str">
        <f>IFERROR(__xludf.DUMMYFUNCTION("""COMPUTED_VALUE"""),"survival")</f>
        <v>survival</v>
      </c>
      <c r="L580" s="6" t="str">
        <f>IFERROR(__xludf.DUMMYFUNCTION("""COMPUTED_VALUE"""),"teeth")</f>
        <v>teeth</v>
      </c>
      <c r="M580" s="6" t="str">
        <f>IFERROR(__xludf.DUMMYFUNCTION("""COMPUTED_VALUE"""),"respect")</f>
        <v>respect</v>
      </c>
      <c r="N580" s="6" t="str">
        <f>IFERROR(__xludf.DUMMYFUNCTION("""COMPUTED_VALUE"""),"pays")</f>
        <v>pays</v>
      </c>
      <c r="P580" s="6" t="str">
        <f>IFERROR(__xludf.DUMMYFUNCTION("""COMPUTED_VALUE"""),"getting")</f>
        <v>getting</v>
      </c>
      <c r="Q580" s="6" t="str">
        <f>IFERROR(__xludf.DUMMYFUNCTION("""COMPUTED_VALUE"""),"lewis")</f>
        <v>lewis</v>
      </c>
      <c r="S580" s="6" t="str">
        <f>IFERROR(__xludf.DUMMYFUNCTION("""COMPUTED_VALUE"""),"root")</f>
        <v>root</v>
      </c>
    </row>
    <row r="581">
      <c r="B581" s="6"/>
      <c r="D581" s="6"/>
      <c r="G581" s="6" t="str">
        <f>IFERROR(__xludf.DUMMYFUNCTION("""COMPUTED_VALUE"""),"lavish")</f>
        <v>lavish</v>
      </c>
      <c r="H581" s="6" t="str">
        <f>IFERROR(__xludf.DUMMYFUNCTION("""COMPUTED_VALUE"""),"aims")</f>
        <v>aims</v>
      </c>
      <c r="I581" s="6" t="b">
        <f>IFERROR(__xludf.DUMMYFUNCTION("""COMPUTED_VALUE"""),FALSE)</f>
        <v>0</v>
      </c>
      <c r="J581" s="6" t="str">
        <f>IFERROR(__xludf.DUMMYFUNCTION("""COMPUTED_VALUE"""),"coherent")</f>
        <v>coherent</v>
      </c>
      <c r="L581" s="6" t="str">
        <f>IFERROR(__xludf.DUMMYFUNCTION("""COMPUTED_VALUE"""),"chilly")</f>
        <v>chilly</v>
      </c>
      <c r="M581" s="6" t="str">
        <f>IFERROR(__xludf.DUMMYFUNCTION("""COMPUTED_VALUE"""),"reception")</f>
        <v>reception</v>
      </c>
      <c r="N581" s="6" t="str">
        <f>IFERROR(__xludf.DUMMYFUNCTION("""COMPUTED_VALUE"""),"force")</f>
        <v>force</v>
      </c>
      <c r="P581" s="6" t="str">
        <f>IFERROR(__xludf.DUMMYFUNCTION("""COMPUTED_VALUE"""),"underneath")</f>
        <v>underneath</v>
      </c>
      <c r="Q581" s="6" t="str">
        <f>IFERROR(__xludf.DUMMYFUNCTION("""COMPUTED_VALUE"""),"remembering")</f>
        <v>remembering</v>
      </c>
      <c r="S581" s="6" t="str">
        <f>IFERROR(__xludf.DUMMYFUNCTION("""COMPUTED_VALUE"""),"draws")</f>
        <v>draws</v>
      </c>
    </row>
    <row r="582">
      <c r="B582" s="6"/>
      <c r="D582" s="6"/>
      <c r="G582" s="6" t="str">
        <f>IFERROR(__xludf.DUMMYFUNCTION("""COMPUTED_VALUE"""),"teacher")</f>
        <v>teacher</v>
      </c>
      <c r="H582" s="6" t="str">
        <f>IFERROR(__xludf.DUMMYFUNCTION("""COMPUTED_VALUE"""),"monty")</f>
        <v>monty</v>
      </c>
      <c r="I582" s="6" t="str">
        <f>IFERROR(__xludf.DUMMYFUNCTION("""COMPUTED_VALUE"""),"weight")</f>
        <v>weight</v>
      </c>
      <c r="J582" s="6" t="str">
        <f>IFERROR(__xludf.DUMMYFUNCTION("""COMPUTED_VALUE"""),"victories")</f>
        <v>victories</v>
      </c>
      <c r="L582" s="6" t="str">
        <f>IFERROR(__xludf.DUMMYFUNCTION("""COMPUTED_VALUE"""),"physical")</f>
        <v>physical</v>
      </c>
      <c r="M582" s="6" t="str">
        <f>IFERROR(__xludf.DUMMYFUNCTION("""COMPUTED_VALUE"""),"clients")</f>
        <v>clients</v>
      </c>
      <c r="N582" s="6" t="str">
        <f>IFERROR(__xludf.DUMMYFUNCTION("""COMPUTED_VALUE"""),"exterior")</f>
        <v>exterior</v>
      </c>
      <c r="P582" s="6" t="str">
        <f>IFERROR(__xludf.DUMMYFUNCTION("""COMPUTED_VALUE"""),"deeper")</f>
        <v>deeper</v>
      </c>
      <c r="Q582" s="6" t="str">
        <f>IFERROR(__xludf.DUMMYFUNCTION("""COMPUTED_VALUE"""),"davies")</f>
        <v>davies</v>
      </c>
      <c r="S582" s="6" t="str">
        <f>IFERROR(__xludf.DUMMYFUNCTION("""COMPUTED_VALUE"""),"midnight")</f>
        <v>midnight</v>
      </c>
    </row>
    <row r="583">
      <c r="B583" s="6"/>
      <c r="D583" s="6"/>
      <c r="G583" s="6" t="str">
        <f>IFERROR(__xludf.DUMMYFUNCTION("""COMPUTED_VALUE"""),"reduces")</f>
        <v>reduces</v>
      </c>
      <c r="H583" s="6" t="str">
        <f>IFERROR(__xludf.DUMMYFUNCTION("""COMPUTED_VALUE"""),"assaults")</f>
        <v>assaults</v>
      </c>
      <c r="I583" s="6" t="str">
        <f>IFERROR(__xludf.DUMMYFUNCTION("""COMPUTED_VALUE"""),"devices")</f>
        <v>devices</v>
      </c>
      <c r="J583" s="6" t="str">
        <f>IFERROR(__xludf.DUMMYFUNCTION("""COMPUTED_VALUE"""),"dynamics")</f>
        <v>dynamics</v>
      </c>
      <c r="L583" s="6" t="str">
        <f>IFERROR(__xludf.DUMMYFUNCTION("""COMPUTED_VALUE"""),"ode")</f>
        <v>ode</v>
      </c>
      <c r="M583" s="6" t="str">
        <f>IFERROR(__xludf.DUMMYFUNCTION("""COMPUTED_VALUE"""),"recognize")</f>
        <v>recognize</v>
      </c>
      <c r="N583" s="6" t="str">
        <f>IFERROR(__xludf.DUMMYFUNCTION("""COMPUTED_VALUE"""),"pot")</f>
        <v>pot</v>
      </c>
      <c r="P583" s="6" t="str">
        <f>IFERROR(__xludf.DUMMYFUNCTION("""COMPUTED_VALUE"""),"intense")</f>
        <v>intense</v>
      </c>
      <c r="Q583" s="6" t="str">
        <f>IFERROR(__xludf.DUMMYFUNCTION("""COMPUTED_VALUE"""),"perspective")</f>
        <v>perspective</v>
      </c>
      <c r="S583" s="6" t="str">
        <f>IFERROR(__xludf.DUMMYFUNCTION("""COMPUTED_VALUE"""),"mind")</f>
        <v>mind</v>
      </c>
    </row>
    <row r="584">
      <c r="B584" s="6"/>
      <c r="D584" s="6"/>
      <c r="G584" s="6" t="str">
        <f>IFERROR(__xludf.DUMMYFUNCTION("""COMPUTED_VALUE"""),"specimen")</f>
        <v>specimen</v>
      </c>
      <c r="H584" s="6" t="str">
        <f>IFERROR(__xludf.DUMMYFUNCTION("""COMPUTED_VALUE"""),"accuracy")</f>
        <v>accuracy</v>
      </c>
      <c r="I584" s="6" t="str">
        <f>IFERROR(__xludf.DUMMYFUNCTION("""COMPUTED_VALUE"""),"conventional")</f>
        <v>conventional</v>
      </c>
      <c r="J584" s="6" t="str">
        <f>IFERROR(__xludf.DUMMYFUNCTION("""COMPUTED_VALUE"""),"struggles")</f>
        <v>struggles</v>
      </c>
      <c r="L584" s="6" t="str">
        <f>IFERROR(__xludf.DUMMYFUNCTION("""COMPUTED_VALUE"""),"violence")</f>
        <v>violence</v>
      </c>
      <c r="M584" s="6" t="str">
        <f>IFERROR(__xludf.DUMMYFUNCTION("""COMPUTED_VALUE"""),"handling")</f>
        <v>handling</v>
      </c>
      <c r="N584" s="6" t="str">
        <f>IFERROR(__xludf.DUMMYFUNCTION("""COMPUTED_VALUE"""),"insights")</f>
        <v>insights</v>
      </c>
      <c r="P584" s="6" t="str">
        <f>IFERROR(__xludf.DUMMYFUNCTION("""COMPUTED_VALUE"""),"improved")</f>
        <v>improved</v>
      </c>
      <c r="Q584" s="6" t="str">
        <f>IFERROR(__xludf.DUMMYFUNCTION("""COMPUTED_VALUE"""),"bleak")</f>
        <v>bleak</v>
      </c>
      <c r="S584" s="6" t="str">
        <f>IFERROR(__xludf.DUMMYFUNCTION("""COMPUTED_VALUE"""),"success")</f>
        <v>success</v>
      </c>
    </row>
    <row r="585">
      <c r="B585" s="6"/>
      <c r="D585" s="6"/>
      <c r="G585" s="6" t="str">
        <f>IFERROR(__xludf.DUMMYFUNCTION("""COMPUTED_VALUE"""),"workshop")</f>
        <v>workshop</v>
      </c>
      <c r="H585" s="6" t="str">
        <f>IFERROR(__xludf.DUMMYFUNCTION("""COMPUTED_VALUE"""),"grounded")</f>
        <v>grounded</v>
      </c>
      <c r="I585" s="6" t="str">
        <f>IFERROR(__xludf.DUMMYFUNCTION("""COMPUTED_VALUE"""),"manhattan")</f>
        <v>manhattan</v>
      </c>
      <c r="J585" s="6" t="str">
        <f>IFERROR(__xludf.DUMMYFUNCTION("""COMPUTED_VALUE"""),"class")</f>
        <v>class</v>
      </c>
      <c r="L585" s="6" t="str">
        <f>IFERROR(__xludf.DUMMYFUNCTION("""COMPUTED_VALUE"""),"manages")</f>
        <v>manages</v>
      </c>
      <c r="M585" s="6" t="str">
        <f>IFERROR(__xludf.DUMMYFUNCTION("""COMPUTED_VALUE"""),"drop")</f>
        <v>drop</v>
      </c>
      <c r="N585" s="6" t="str">
        <f>IFERROR(__xludf.DUMMYFUNCTION("""COMPUTED_VALUE"""),"traditions")</f>
        <v>traditions</v>
      </c>
      <c r="P585" s="6" t="str">
        <f>IFERROR(__xludf.DUMMYFUNCTION("""COMPUTED_VALUE"""),"upon")</f>
        <v>upon</v>
      </c>
      <c r="Q585" s="6" t="str">
        <f>IFERROR(__xludf.DUMMYFUNCTION("""COMPUTED_VALUE"""),"holiday")</f>
        <v>holiday</v>
      </c>
      <c r="S585" s="6" t="str">
        <f>IFERROR(__xludf.DUMMYFUNCTION("""COMPUTED_VALUE"""),"bone")</f>
        <v>bone</v>
      </c>
    </row>
    <row r="586">
      <c r="B586" s="6"/>
      <c r="D586" s="6"/>
      <c r="G586" s="6" t="str">
        <f>IFERROR(__xludf.DUMMYFUNCTION("""COMPUTED_VALUE"""),"grasping")</f>
        <v>grasping</v>
      </c>
      <c r="H586" s="6" t="str">
        <f>IFERROR(__xludf.DUMMYFUNCTION("""COMPUTED_VALUE"""),"realism")</f>
        <v>realism</v>
      </c>
      <c r="I586" s="6" t="str">
        <f>IFERROR(__xludf.DUMMYFUNCTION("""COMPUTED_VALUE"""),"rage")</f>
        <v>rage</v>
      </c>
      <c r="J586" s="6" t="str">
        <f>IFERROR(__xludf.DUMMYFUNCTION("""COMPUTED_VALUE"""),"routine")</f>
        <v>routine</v>
      </c>
      <c r="L586" s="6" t="str">
        <f>IFERROR(__xludf.DUMMYFUNCTION("""COMPUTED_VALUE"""),"grand")</f>
        <v>grand</v>
      </c>
      <c r="M586" s="6" t="str">
        <f>IFERROR(__xludf.DUMMYFUNCTION("""COMPUTED_VALUE"""),"growth")</f>
        <v>growth</v>
      </c>
      <c r="N586" s="6" t="str">
        <f>IFERROR(__xludf.DUMMYFUNCTION("""COMPUTED_VALUE"""),"artistic")</f>
        <v>artistic</v>
      </c>
      <c r="P586" s="6" t="str">
        <f>IFERROR(__xludf.DUMMYFUNCTION("""COMPUTED_VALUE"""),"walk")</f>
        <v>walk</v>
      </c>
      <c r="Q586" s="6" t="str">
        <f>IFERROR(__xludf.DUMMYFUNCTION("""COMPUTED_VALUE"""),"bullets")</f>
        <v>bullets</v>
      </c>
      <c r="S586" s="6" t="str">
        <f>IFERROR(__xludf.DUMMYFUNCTION("""COMPUTED_VALUE"""),"hispanic")</f>
        <v>hispanic</v>
      </c>
    </row>
    <row r="587">
      <c r="B587" s="6"/>
      <c r="D587" s="6"/>
      <c r="G587" s="6" t="str">
        <f>IFERROR(__xludf.DUMMYFUNCTION("""COMPUTED_VALUE"""),"vigorously")</f>
        <v>vigorously</v>
      </c>
      <c r="H587" s="6" t="str">
        <f>IFERROR(__xludf.DUMMYFUNCTION("""COMPUTED_VALUE"""),"novak")</f>
        <v>novak</v>
      </c>
      <c r="I587" s="6" t="str">
        <f>IFERROR(__xludf.DUMMYFUNCTION("""COMPUTED_VALUE"""),"firing")</f>
        <v>firing</v>
      </c>
      <c r="J587" s="6" t="str">
        <f>IFERROR(__xludf.DUMMYFUNCTION("""COMPUTED_VALUE"""),"nicholas")</f>
        <v>nicholas</v>
      </c>
      <c r="L587" s="6" t="str">
        <f>IFERROR(__xludf.DUMMYFUNCTION("""COMPUTED_VALUE"""),"jones")</f>
        <v>jones</v>
      </c>
      <c r="M587" s="6" t="str">
        <f>IFERROR(__xludf.DUMMYFUNCTION("""COMPUTED_VALUE"""),"becomes")</f>
        <v>becomes</v>
      </c>
      <c r="N587" s="6" t="str">
        <f>IFERROR(__xludf.DUMMYFUNCTION("""COMPUTED_VALUE"""),"round")</f>
        <v>round</v>
      </c>
      <c r="P587" s="6" t="str">
        <f>IFERROR(__xludf.DUMMYFUNCTION("""COMPUTED_VALUE"""),"remember")</f>
        <v>remember</v>
      </c>
      <c r="Q587" s="6" t="str">
        <f>IFERROR(__xludf.DUMMYFUNCTION("""COMPUTED_VALUE"""),"hail")</f>
        <v>hail</v>
      </c>
      <c r="S587" s="6" t="str">
        <f>IFERROR(__xludf.DUMMYFUNCTION("""COMPUTED_VALUE"""),"winning")</f>
        <v>winning</v>
      </c>
    </row>
    <row r="588">
      <c r="B588" s="6"/>
      <c r="D588" s="6"/>
      <c r="G588" s="6" t="str">
        <f>IFERROR(__xludf.DUMMYFUNCTION("""COMPUTED_VALUE"""),"improvisation")</f>
        <v>improvisation</v>
      </c>
      <c r="H588" s="6" t="str">
        <f>IFERROR(__xludf.DUMMYFUNCTION("""COMPUTED_VALUE"""),"civic")</f>
        <v>civic</v>
      </c>
      <c r="I588" s="6" t="str">
        <f>IFERROR(__xludf.DUMMYFUNCTION("""COMPUTED_VALUE"""),"witnesses")</f>
        <v>witnesses</v>
      </c>
      <c r="J588" s="6" t="str">
        <f>IFERROR(__xludf.DUMMYFUNCTION("""COMPUTED_VALUE"""),"optimistic")</f>
        <v>optimistic</v>
      </c>
      <c r="L588" s="6" t="str">
        <f>IFERROR(__xludf.DUMMYFUNCTION("""COMPUTED_VALUE"""),"covers")</f>
        <v>covers</v>
      </c>
      <c r="M588" s="6" t="str">
        <f>IFERROR(__xludf.DUMMYFUNCTION("""COMPUTED_VALUE"""),"conventional")</f>
        <v>conventional</v>
      </c>
      <c r="N588" s="6" t="str">
        <f>IFERROR(__xludf.DUMMYFUNCTION("""COMPUTED_VALUE"""),"surrounding")</f>
        <v>surrounding</v>
      </c>
      <c r="P588" s="6" t="str">
        <f>IFERROR(__xludf.DUMMYFUNCTION("""COMPUTED_VALUE"""),"punishment")</f>
        <v>punishment</v>
      </c>
      <c r="Q588" s="6" t="str">
        <f>IFERROR(__xludf.DUMMYFUNCTION("""COMPUTED_VALUE"""),"poem")</f>
        <v>poem</v>
      </c>
      <c r="S588" s="6" t="str">
        <f>IFERROR(__xludf.DUMMYFUNCTION("""COMPUTED_VALUE"""),"bottom")</f>
        <v>bottom</v>
      </c>
    </row>
    <row r="589">
      <c r="B589" s="6"/>
      <c r="D589" s="6"/>
      <c r="G589" s="6" t="str">
        <f>IFERROR(__xludf.DUMMYFUNCTION("""COMPUTED_VALUE"""),"certain")</f>
        <v>certain</v>
      </c>
      <c r="H589" s="6" t="str">
        <f>IFERROR(__xludf.DUMMYFUNCTION("""COMPUTED_VALUE"""),"place")</f>
        <v>place</v>
      </c>
      <c r="I589" s="6" t="str">
        <f>IFERROR(__xludf.DUMMYFUNCTION("""COMPUTED_VALUE"""),"revolutionary")</f>
        <v>revolutionary</v>
      </c>
      <c r="J589" s="6" t="str">
        <f>IFERROR(__xludf.DUMMYFUNCTION("""COMPUTED_VALUE"""),"dogs")</f>
        <v>dogs</v>
      </c>
      <c r="L589" s="6" t="str">
        <f>IFERROR(__xludf.DUMMYFUNCTION("""COMPUTED_VALUE"""),"pony")</f>
        <v>pony</v>
      </c>
      <c r="M589" s="6" t="str">
        <f>IFERROR(__xludf.DUMMYFUNCTION("""COMPUTED_VALUE"""),"toward")</f>
        <v>toward</v>
      </c>
      <c r="N589" s="6" t="str">
        <f>IFERROR(__xludf.DUMMYFUNCTION("""COMPUTED_VALUE"""),"laughing")</f>
        <v>laughing</v>
      </c>
      <c r="P589" s="6" t="str">
        <f>IFERROR(__xludf.DUMMYFUNCTION("""COMPUTED_VALUE"""),"hero")</f>
        <v>hero</v>
      </c>
      <c r="Q589" s="6" t="str">
        <f>IFERROR(__xludf.DUMMYFUNCTION("""COMPUTED_VALUE"""),"convincing")</f>
        <v>convincing</v>
      </c>
      <c r="S589" s="6" t="str">
        <f>IFERROR(__xludf.DUMMYFUNCTION("""COMPUTED_VALUE"""),"barrel")</f>
        <v>barrel</v>
      </c>
    </row>
    <row r="590">
      <c r="B590" s="6"/>
      <c r="D590" s="6"/>
      <c r="G590" s="6" t="str">
        <f>IFERROR(__xludf.DUMMYFUNCTION("""COMPUTED_VALUE"""),"crises")</f>
        <v>crises</v>
      </c>
      <c r="H590" s="6" t="str">
        <f>IFERROR(__xludf.DUMMYFUNCTION("""COMPUTED_VALUE"""),"maturity")</f>
        <v>maturity</v>
      </c>
      <c r="I590" s="6" t="str">
        <f>IFERROR(__xludf.DUMMYFUNCTION("""COMPUTED_VALUE"""),"unlikely")</f>
        <v>unlikely</v>
      </c>
      <c r="J590" s="6" t="str">
        <f>IFERROR(__xludf.DUMMYFUNCTION("""COMPUTED_VALUE"""),"smarter")</f>
        <v>smarter</v>
      </c>
      <c r="L590" s="6" t="str">
        <f>IFERROR(__xludf.DUMMYFUNCTION("""COMPUTED_VALUE"""),"pleasing")</f>
        <v>pleasing</v>
      </c>
      <c r="M590" s="6" t="str">
        <f>IFERROR(__xludf.DUMMYFUNCTION("""COMPUTED_VALUE"""),"prefer")</f>
        <v>prefer</v>
      </c>
      <c r="N590" s="6" t="str">
        <f>IFERROR(__xludf.DUMMYFUNCTION("""COMPUTED_VALUE"""),"masculine")</f>
        <v>masculine</v>
      </c>
      <c r="P590" s="6" t="str">
        <f>IFERROR(__xludf.DUMMYFUNCTION("""COMPUTED_VALUE"""),"keeps")</f>
        <v>keeps</v>
      </c>
      <c r="Q590" s="6" t="str">
        <f>IFERROR(__xludf.DUMMYFUNCTION("""COMPUTED_VALUE"""),"viewer")</f>
        <v>viewer</v>
      </c>
      <c r="S590" s="6" t="str">
        <f>IFERROR(__xludf.DUMMYFUNCTION("""COMPUTED_VALUE"""),"miracle")</f>
        <v>miracle</v>
      </c>
    </row>
    <row r="591">
      <c r="B591" s="6"/>
      <c r="D591" s="6"/>
      <c r="G591" s="6" t="str">
        <f>IFERROR(__xludf.DUMMYFUNCTION("""COMPUTED_VALUE"""),"weight")</f>
        <v>weight</v>
      </c>
      <c r="H591" s="6" t="str">
        <f>IFERROR(__xludf.DUMMYFUNCTION("""COMPUTED_VALUE"""),"elegance")</f>
        <v>elegance</v>
      </c>
      <c r="I591" s="6" t="str">
        <f>IFERROR(__xludf.DUMMYFUNCTION("""COMPUTED_VALUE"""),"centuries")</f>
        <v>centuries</v>
      </c>
      <c r="J591" s="6" t="str">
        <f>IFERROR(__xludf.DUMMYFUNCTION("""COMPUTED_VALUE"""),"pack")</f>
        <v>pack</v>
      </c>
      <c r="L591" s="6" t="str">
        <f>IFERROR(__xludf.DUMMYFUNCTION("""COMPUTED_VALUE"""),"beauty")</f>
        <v>beauty</v>
      </c>
      <c r="M591" s="6" t="str">
        <f>IFERROR(__xludf.DUMMYFUNCTION("""COMPUTED_VALUE"""),"direction")</f>
        <v>direction</v>
      </c>
      <c r="N591" s="6" t="str">
        <f>IFERROR(__xludf.DUMMYFUNCTION("""COMPUTED_VALUE"""),"wake")</f>
        <v>wake</v>
      </c>
      <c r="P591" s="6" t="str">
        <f>IFERROR(__xludf.DUMMYFUNCTION("""COMPUTED_VALUE"""),"stanley")</f>
        <v>stanley</v>
      </c>
      <c r="Q591" s="6" t="str">
        <f>IFERROR(__xludf.DUMMYFUNCTION("""COMPUTED_VALUE"""),"patient")</f>
        <v>patient</v>
      </c>
      <c r="S591" s="6" t="str">
        <f>IFERROR(__xludf.DUMMYFUNCTION("""COMPUTED_VALUE"""),"lewis")</f>
        <v>lewis</v>
      </c>
    </row>
    <row r="592">
      <c r="B592" s="6"/>
      <c r="D592" s="6"/>
      <c r="G592" s="6" t="str">
        <f>IFERROR(__xludf.DUMMYFUNCTION("""COMPUTED_VALUE"""),"peculiar")</f>
        <v>peculiar</v>
      </c>
      <c r="H592" s="6" t="str">
        <f>IFERROR(__xludf.DUMMYFUNCTION("""COMPUTED_VALUE"""),"devotees")</f>
        <v>devotees</v>
      </c>
      <c r="I592" s="6" t="str">
        <f>IFERROR(__xludf.DUMMYFUNCTION("""COMPUTED_VALUE"""),"spiritual")</f>
        <v>spiritual</v>
      </c>
      <c r="J592" s="6" t="str">
        <f>IFERROR(__xludf.DUMMYFUNCTION("""COMPUTED_VALUE"""),"permits")</f>
        <v>permits</v>
      </c>
      <c r="L592" s="6" t="str">
        <f>IFERROR(__xludf.DUMMYFUNCTION("""COMPUTED_VALUE"""),"epic")</f>
        <v>epic</v>
      </c>
      <c r="M592" s="6" t="str">
        <f>IFERROR(__xludf.DUMMYFUNCTION("""COMPUTED_VALUE"""),"cancer")</f>
        <v>cancer</v>
      </c>
      <c r="N592" s="6" t="str">
        <f>IFERROR(__xludf.DUMMYFUNCTION("""COMPUTED_VALUE"""),"goofy")</f>
        <v>goofy</v>
      </c>
      <c r="P592" s="6" t="str">
        <f>IFERROR(__xludf.DUMMYFUNCTION("""COMPUTED_VALUE"""),"hong")</f>
        <v>hong</v>
      </c>
      <c r="Q592" s="6" t="str">
        <f>IFERROR(__xludf.DUMMYFUNCTION("""COMPUTED_VALUE"""),"timely")</f>
        <v>timely</v>
      </c>
      <c r="S592" s="6" t="str">
        <f>IFERROR(__xludf.DUMMYFUNCTION("""COMPUTED_VALUE"""),"via")</f>
        <v>via</v>
      </c>
    </row>
    <row r="593">
      <c r="B593" s="6"/>
      <c r="D593" s="6"/>
      <c r="G593" s="6" t="str">
        <f>IFERROR(__xludf.DUMMYFUNCTION("""COMPUTED_VALUE"""),"backgrounds")</f>
        <v>backgrounds</v>
      </c>
      <c r="H593" s="6" t="str">
        <f>IFERROR(__xludf.DUMMYFUNCTION("""COMPUTED_VALUE"""),"generation")</f>
        <v>generation</v>
      </c>
      <c r="I593" s="6" t="str">
        <f>IFERROR(__xludf.DUMMYFUNCTION("""COMPUTED_VALUE"""),"studios")</f>
        <v>studios</v>
      </c>
      <c r="J593" s="6" t="str">
        <f>IFERROR(__xludf.DUMMYFUNCTION("""COMPUTED_VALUE"""),"acute")</f>
        <v>acute</v>
      </c>
      <c r="L593" s="6" t="str">
        <f>IFERROR(__xludf.DUMMYFUNCTION("""COMPUTED_VALUE"""),"delivering")</f>
        <v>delivering</v>
      </c>
      <c r="M593" s="6" t="str">
        <f>IFERROR(__xludf.DUMMYFUNCTION("""COMPUTED_VALUE"""),"rare")</f>
        <v>rare</v>
      </c>
      <c r="N593" s="6" t="str">
        <f>IFERROR(__xludf.DUMMYFUNCTION("""COMPUTED_VALUE"""),"structure")</f>
        <v>structure</v>
      </c>
      <c r="P593" s="6" t="str">
        <f>IFERROR(__xludf.DUMMYFUNCTION("""COMPUTED_VALUE"""),"wore")</f>
        <v>wore</v>
      </c>
      <c r="Q593" s="6" t="str">
        <f>IFERROR(__xludf.DUMMYFUNCTION("""COMPUTED_VALUE"""),"pile")</f>
        <v>pile</v>
      </c>
      <c r="S593" s="6" t="str">
        <f>IFERROR(__xludf.DUMMYFUNCTION("""COMPUTED_VALUE"""),"perspective")</f>
        <v>perspective</v>
      </c>
    </row>
    <row r="594">
      <c r="B594" s="6"/>
      <c r="D594" s="6"/>
      <c r="G594" s="6" t="str">
        <f>IFERROR(__xludf.DUMMYFUNCTION("""COMPUTED_VALUE"""),"devices")</f>
        <v>devices</v>
      </c>
      <c r="H594" s="6" t="str">
        <f>IFERROR(__xludf.DUMMYFUNCTION("""COMPUTED_VALUE"""),"episodes")</f>
        <v>episodes</v>
      </c>
      <c r="I594" s="6" t="str">
        <f>IFERROR(__xludf.DUMMYFUNCTION("""COMPUTED_VALUE"""),"laboratory")</f>
        <v>laboratory</v>
      </c>
      <c r="J594" s="6" t="str">
        <f>IFERROR(__xludf.DUMMYFUNCTION("""COMPUTED_VALUE"""),"splendid")</f>
        <v>splendid</v>
      </c>
      <c r="L594" s="6" t="str">
        <f>IFERROR(__xludf.DUMMYFUNCTION("""COMPUTED_VALUE"""),"viewing")</f>
        <v>viewing</v>
      </c>
      <c r="M594" s="6" t="str">
        <f>IFERROR(__xludf.DUMMYFUNCTION("""COMPUTED_VALUE"""),"kill")</f>
        <v>kill</v>
      </c>
      <c r="N594" s="6" t="str">
        <f>IFERROR(__xludf.DUMMYFUNCTION("""COMPUTED_VALUE"""),"flick")</f>
        <v>flick</v>
      </c>
      <c r="P594" s="6" t="str">
        <f>IFERROR(__xludf.DUMMYFUNCTION("""COMPUTED_VALUE"""),"motion")</f>
        <v>motion</v>
      </c>
      <c r="Q594" s="6" t="str">
        <f>IFERROR(__xludf.DUMMYFUNCTION("""COMPUTED_VALUE"""),"pathology")</f>
        <v>pathology</v>
      </c>
      <c r="S594" s="6" t="str">
        <f>IFERROR(__xludf.DUMMYFUNCTION("""COMPUTED_VALUE"""),"davies")</f>
        <v>davies</v>
      </c>
    </row>
    <row r="595">
      <c r="B595" s="6"/>
      <c r="D595" s="6"/>
      <c r="G595" s="6" t="str">
        <f>IFERROR(__xludf.DUMMYFUNCTION("""COMPUTED_VALUE"""),"fundamentally")</f>
        <v>fundamentally</v>
      </c>
      <c r="H595" s="6" t="str">
        <f>IFERROR(__xludf.DUMMYFUNCTION("""COMPUTED_VALUE"""),"bile")</f>
        <v>bile</v>
      </c>
      <c r="I595" s="6" t="str">
        <f>IFERROR(__xludf.DUMMYFUNCTION("""COMPUTED_VALUE"""),"consequences")</f>
        <v>consequences</v>
      </c>
      <c r="J595" s="6" t="str">
        <f>IFERROR(__xludf.DUMMYFUNCTION("""COMPUTED_VALUE"""),"absorbing")</f>
        <v>absorbing</v>
      </c>
      <c r="L595" s="6" t="str">
        <f>IFERROR(__xludf.DUMMYFUNCTION("""COMPUTED_VALUE"""),"romance")</f>
        <v>romance</v>
      </c>
      <c r="M595" s="6" t="str">
        <f>IFERROR(__xludf.DUMMYFUNCTION("""COMPUTED_VALUE"""),"ticket")</f>
        <v>ticket</v>
      </c>
      <c r="N595" s="6" t="str">
        <f>IFERROR(__xludf.DUMMYFUNCTION("""COMPUTED_VALUE"""),"begin")</f>
        <v>begin</v>
      </c>
      <c r="P595" s="6" t="str">
        <f>IFERROR(__xludf.DUMMYFUNCTION("""COMPUTED_VALUE"""),"ends")</f>
        <v>ends</v>
      </c>
      <c r="Q595" s="6" t="str">
        <f>IFERROR(__xludf.DUMMYFUNCTION("""COMPUTED_VALUE"""),"souls")</f>
        <v>souls</v>
      </c>
      <c r="S595" s="6" t="str">
        <f>IFERROR(__xludf.DUMMYFUNCTION("""COMPUTED_VALUE"""),"father")</f>
        <v>father</v>
      </c>
    </row>
    <row r="596">
      <c r="B596" s="6"/>
      <c r="D596" s="6"/>
      <c r="G596" s="6" t="str">
        <f>IFERROR(__xludf.DUMMYFUNCTION("""COMPUTED_VALUE"""),"conventional")</f>
        <v>conventional</v>
      </c>
      <c r="H596" s="6" t="str">
        <f>IFERROR(__xludf.DUMMYFUNCTION("""COMPUTED_VALUE"""),"faulty")</f>
        <v>faulty</v>
      </c>
      <c r="I596" s="6" t="str">
        <f>IFERROR(__xludf.DUMMYFUNCTION("""COMPUTED_VALUE"""),"later")</f>
        <v>later</v>
      </c>
      <c r="J596" s="6" t="str">
        <f>IFERROR(__xludf.DUMMYFUNCTION("""COMPUTED_VALUE"""),"spirituality")</f>
        <v>spirituality</v>
      </c>
      <c r="L596" s="6" t="str">
        <f>IFERROR(__xludf.DUMMYFUNCTION("""COMPUTED_VALUE"""),"skill")</f>
        <v>skill</v>
      </c>
      <c r="M596" s="6" t="str">
        <f>IFERROR(__xludf.DUMMYFUNCTION("""COMPUTED_VALUE"""),"due")</f>
        <v>due</v>
      </c>
      <c r="N596" s="6" t="str">
        <f>IFERROR(__xludf.DUMMYFUNCTION("""COMPUTED_VALUE"""),"x")</f>
        <v>x</v>
      </c>
      <c r="P596" s="6" t="str">
        <f>IFERROR(__xludf.DUMMYFUNCTION("""COMPUTED_VALUE"""),"score")</f>
        <v>score</v>
      </c>
      <c r="Q596" s="6" t="str">
        <f>IFERROR(__xludf.DUMMYFUNCTION("""COMPUTED_VALUE"""),"adventure")</f>
        <v>adventure</v>
      </c>
      <c r="S596" s="6" t="str">
        <f>IFERROR(__xludf.DUMMYFUNCTION("""COMPUTED_VALUE"""),"domestic")</f>
        <v>domestic</v>
      </c>
    </row>
    <row r="597">
      <c r="B597" s="6"/>
      <c r="D597" s="6"/>
      <c r="G597" s="6" t="str">
        <f>IFERROR(__xludf.DUMMYFUNCTION("""COMPUTED_VALUE"""),"prevents")</f>
        <v>prevents</v>
      </c>
      <c r="H597" s="6" t="str">
        <f>IFERROR(__xludf.DUMMYFUNCTION("""COMPUTED_VALUE"""),"amused")</f>
        <v>amused</v>
      </c>
      <c r="I597" s="6" t="str">
        <f>IFERROR(__xludf.DUMMYFUNCTION("""COMPUTED_VALUE"""),"jonathan")</f>
        <v>jonathan</v>
      </c>
      <c r="J597" s="6" t="str">
        <f>IFERROR(__xludf.DUMMYFUNCTION("""COMPUTED_VALUE"""),"treatise")</f>
        <v>treatise</v>
      </c>
      <c r="L597" s="6" t="str">
        <f>IFERROR(__xludf.DUMMYFUNCTION("""COMPUTED_VALUE"""),"scares")</f>
        <v>scares</v>
      </c>
      <c r="M597" s="6" t="str">
        <f>IFERROR(__xludf.DUMMYFUNCTION("""COMPUTED_VALUE"""),"stretched")</f>
        <v>stretched</v>
      </c>
      <c r="N597" s="6" t="str">
        <f>IFERROR(__xludf.DUMMYFUNCTION("""COMPUTED_VALUE"""),"sight")</f>
        <v>sight</v>
      </c>
      <c r="P597" s="6" t="str">
        <f>IFERROR(__xludf.DUMMYFUNCTION("""COMPUTED_VALUE"""),"planet")</f>
        <v>planet</v>
      </c>
      <c r="Q597" s="6" t="str">
        <f>IFERROR(__xludf.DUMMYFUNCTION("""COMPUTED_VALUE"""),"substances")</f>
        <v>substances</v>
      </c>
      <c r="S597" s="6" t="str">
        <f>IFERROR(__xludf.DUMMYFUNCTION("""COMPUTED_VALUE"""),"office")</f>
        <v>office</v>
      </c>
    </row>
    <row r="598">
      <c r="B598" s="6"/>
      <c r="D598" s="6"/>
      <c r="G598" s="6" t="str">
        <f>IFERROR(__xludf.DUMMYFUNCTION("""COMPUTED_VALUE"""),"firing")</f>
        <v>firing</v>
      </c>
      <c r="H598" s="6" t="str">
        <f>IFERROR(__xludf.DUMMYFUNCTION("""COMPUTED_VALUE"""),"skill")</f>
        <v>skill</v>
      </c>
      <c r="I598" s="6" t="str">
        <f>IFERROR(__xludf.DUMMYFUNCTION("""COMPUTED_VALUE"""),"critics")</f>
        <v>critics</v>
      </c>
      <c r="J598" s="6" t="str">
        <f>IFERROR(__xludf.DUMMYFUNCTION("""COMPUTED_VALUE"""),"liberation")</f>
        <v>liberation</v>
      </c>
      <c r="L598" s="6" t="str">
        <f>IFERROR(__xludf.DUMMYFUNCTION("""COMPUTED_VALUE"""),"obstacles")</f>
        <v>obstacles</v>
      </c>
      <c r="M598" s="6" t="str">
        <f>IFERROR(__xludf.DUMMYFUNCTION("""COMPUTED_VALUE"""),"budget")</f>
        <v>budget</v>
      </c>
      <c r="N598" s="6" t="str">
        <f>IFERROR(__xludf.DUMMYFUNCTION("""COMPUTED_VALUE"""),"gloss")</f>
        <v>gloss</v>
      </c>
      <c r="P598" s="6" t="str">
        <f>IFERROR(__xludf.DUMMYFUNCTION("""COMPUTED_VALUE"""),"ethnic")</f>
        <v>ethnic</v>
      </c>
      <c r="Q598" s="6" t="str">
        <f>IFERROR(__xludf.DUMMYFUNCTION("""COMPUTED_VALUE"""),"subjected")</f>
        <v>subjected</v>
      </c>
      <c r="S598" s="6" t="str">
        <f>IFERROR(__xludf.DUMMYFUNCTION("""COMPUTED_VALUE"""),"holiday")</f>
        <v>holiday</v>
      </c>
    </row>
    <row r="599">
      <c r="B599" s="6"/>
      <c r="D599" s="6"/>
      <c r="G599" s="6" t="str">
        <f>IFERROR(__xludf.DUMMYFUNCTION("""COMPUTED_VALUE"""),"witnesses")</f>
        <v>witnesses</v>
      </c>
      <c r="H599" s="6" t="str">
        <f>IFERROR(__xludf.DUMMYFUNCTION("""COMPUTED_VALUE"""),"vampire")</f>
        <v>vampire</v>
      </c>
      <c r="I599" s="6" t="str">
        <f>IFERROR(__xludf.DUMMYFUNCTION("""COMPUTED_VALUE"""),"explains")</f>
        <v>explains</v>
      </c>
      <c r="J599" s="6" t="str">
        <f>IFERROR(__xludf.DUMMYFUNCTION("""COMPUTED_VALUE"""),"caine")</f>
        <v>caine</v>
      </c>
      <c r="L599" s="6" t="str">
        <f>IFERROR(__xludf.DUMMYFUNCTION("""COMPUTED_VALUE"""),"attempts")</f>
        <v>attempts</v>
      </c>
      <c r="M599" s="6" t="str">
        <f>IFERROR(__xludf.DUMMYFUNCTION("""COMPUTED_VALUE"""),"exit")</f>
        <v>exit</v>
      </c>
      <c r="N599" s="6" t="str">
        <f>IFERROR(__xludf.DUMMYFUNCTION("""COMPUTED_VALUE"""),"concert")</f>
        <v>concert</v>
      </c>
      <c r="P599" s="6" t="str">
        <f>IFERROR(__xludf.DUMMYFUNCTION("""COMPUTED_VALUE"""),"journey")</f>
        <v>journey</v>
      </c>
      <c r="Q599" s="6" t="str">
        <f>IFERROR(__xludf.DUMMYFUNCTION("""COMPUTED_VALUE"""),"racism")</f>
        <v>racism</v>
      </c>
      <c r="S599" s="6" t="str">
        <f>IFERROR(__xludf.DUMMYFUNCTION("""COMPUTED_VALUE"""),"extended")</f>
        <v>extended</v>
      </c>
    </row>
    <row r="600">
      <c r="B600" s="6"/>
      <c r="D600" s="6"/>
      <c r="G600" s="6" t="str">
        <f>IFERROR(__xludf.DUMMYFUNCTION("""COMPUTED_VALUE"""),"revolutionary")</f>
        <v>revolutionary</v>
      </c>
      <c r="H600" s="6" t="str">
        <f>IFERROR(__xludf.DUMMYFUNCTION("""COMPUTED_VALUE"""),"determined")</f>
        <v>determined</v>
      </c>
      <c r="I600" s="6" t="str">
        <f>IFERROR(__xludf.DUMMYFUNCTION("""COMPUTED_VALUE"""),"ones")</f>
        <v>ones</v>
      </c>
      <c r="J600" s="6" t="str">
        <f>IFERROR(__xludf.DUMMYFUNCTION("""COMPUTED_VALUE"""),"punching")</f>
        <v>punching</v>
      </c>
      <c r="L600" s="6" t="str">
        <f>IFERROR(__xludf.DUMMYFUNCTION("""COMPUTED_VALUE"""),"tends")</f>
        <v>tends</v>
      </c>
      <c r="M600" s="6" t="str">
        <f>IFERROR(__xludf.DUMMYFUNCTION("""COMPUTED_VALUE"""),"photos")</f>
        <v>photos</v>
      </c>
      <c r="N600" s="6" t="str">
        <f>IFERROR(__xludf.DUMMYFUNCTION("""COMPUTED_VALUE"""),"drawings")</f>
        <v>drawings</v>
      </c>
      <c r="P600" s="6" t="str">
        <f>IFERROR(__xludf.DUMMYFUNCTION("""COMPUTED_VALUE"""),"marina")</f>
        <v>marina</v>
      </c>
      <c r="Q600" s="6" t="str">
        <f>IFERROR(__xludf.DUMMYFUNCTION("""COMPUTED_VALUE"""),"edge")</f>
        <v>edge</v>
      </c>
      <c r="S600" s="6" t="str">
        <f>IFERROR(__xludf.DUMMYFUNCTION("""COMPUTED_VALUE"""),"poem")</f>
        <v>poem</v>
      </c>
    </row>
    <row r="601">
      <c r="B601" s="6"/>
      <c r="D601" s="6"/>
      <c r="G601" s="6" t="str">
        <f>IFERROR(__xludf.DUMMYFUNCTION("""COMPUTED_VALUE"""),"obstacles")</f>
        <v>obstacles</v>
      </c>
      <c r="H601" s="6" t="str">
        <f>IFERROR(__xludf.DUMMYFUNCTION("""COMPUTED_VALUE"""),"typical")</f>
        <v>typical</v>
      </c>
      <c r="I601" s="6" t="str">
        <f>IFERROR(__xludf.DUMMYFUNCTION("""COMPUTED_VALUE"""),"songs")</f>
        <v>songs</v>
      </c>
      <c r="J601" s="6" t="str">
        <f>IFERROR(__xludf.DUMMYFUNCTION("""COMPUTED_VALUE"""),"dynamic")</f>
        <v>dynamic</v>
      </c>
      <c r="L601" s="6" t="str">
        <f>IFERROR(__xludf.DUMMYFUNCTION("""COMPUTED_VALUE"""),"joy")</f>
        <v>joy</v>
      </c>
      <c r="M601" s="6" t="str">
        <f>IFERROR(__xludf.DUMMYFUNCTION("""COMPUTED_VALUE"""),"slip")</f>
        <v>slip</v>
      </c>
      <c r="N601" s="6" t="str">
        <f>IFERROR(__xludf.DUMMYFUNCTION("""COMPUTED_VALUE"""),"men")</f>
        <v>men</v>
      </c>
      <c r="P601" s="6" t="str">
        <f>IFERROR(__xludf.DUMMYFUNCTION("""COMPUTED_VALUE"""),"holly")</f>
        <v>holly</v>
      </c>
      <c r="Q601" s="6" t="str">
        <f>IFERROR(__xludf.DUMMYFUNCTION("""COMPUTED_VALUE"""),"satire")</f>
        <v>satire</v>
      </c>
      <c r="S601" s="6" t="str">
        <f>IFERROR(__xludf.DUMMYFUNCTION("""COMPUTED_VALUE"""),"patient")</f>
        <v>patient</v>
      </c>
    </row>
    <row r="602">
      <c r="B602" s="6"/>
      <c r="D602" s="6"/>
      <c r="G602" s="6" t="str">
        <f>IFERROR(__xludf.DUMMYFUNCTION("""COMPUTED_VALUE"""),"spiritual")</f>
        <v>spiritual</v>
      </c>
      <c r="H602" s="6" t="str">
        <f>IFERROR(__xludf.DUMMYFUNCTION("""COMPUTED_VALUE"""),"fierce")</f>
        <v>fierce</v>
      </c>
      <c r="I602" s="6" t="str">
        <f>IFERROR(__xludf.DUMMYFUNCTION("""COMPUTED_VALUE"""),"committed")</f>
        <v>committed</v>
      </c>
      <c r="J602" s="6" t="str">
        <f>IFERROR(__xludf.DUMMYFUNCTION("""COMPUTED_VALUE"""),"moved")</f>
        <v>moved</v>
      </c>
      <c r="L602" s="6" t="str">
        <f>IFERROR(__xludf.DUMMYFUNCTION("""COMPUTED_VALUE"""),"banquet")</f>
        <v>banquet</v>
      </c>
      <c r="M602" s="6" t="str">
        <f>IFERROR(__xludf.DUMMYFUNCTION("""COMPUTED_VALUE"""),"condition")</f>
        <v>condition</v>
      </c>
      <c r="N602" s="6" t="str">
        <f>IFERROR(__xludf.DUMMYFUNCTION("""COMPUTED_VALUE"""),"geared")</f>
        <v>geared</v>
      </c>
      <c r="P602" s="6" t="str">
        <f>IFERROR(__xludf.DUMMYFUNCTION("""COMPUTED_VALUE"""),"dare")</f>
        <v>dare</v>
      </c>
      <c r="Q602" s="6" t="str">
        <f>IFERROR(__xludf.DUMMYFUNCTION("""COMPUTED_VALUE"""),"debuts")</f>
        <v>debuts</v>
      </c>
      <c r="S602" s="6" t="str">
        <f>IFERROR(__xludf.DUMMYFUNCTION("""COMPUTED_VALUE"""),"seven")</f>
        <v>seven</v>
      </c>
    </row>
    <row r="603">
      <c r="B603" s="6"/>
      <c r="D603" s="6"/>
      <c r="G603" s="6" t="str">
        <f>IFERROR(__xludf.DUMMYFUNCTION("""COMPUTED_VALUE"""),"sympathetic")</f>
        <v>sympathetic</v>
      </c>
      <c r="H603" s="6" t="str">
        <f>IFERROR(__xludf.DUMMYFUNCTION("""COMPUTED_VALUE"""),"crippled")</f>
        <v>crippled</v>
      </c>
      <c r="I603" s="6" t="str">
        <f>IFERROR(__xludf.DUMMYFUNCTION("""COMPUTED_VALUE"""),"commanding")</f>
        <v>commanding</v>
      </c>
      <c r="J603" s="6" t="str">
        <f>IFERROR(__xludf.DUMMYFUNCTION("""COMPUTED_VALUE"""),"reckless")</f>
        <v>reckless</v>
      </c>
      <c r="L603" s="6" t="str">
        <f>IFERROR(__xludf.DUMMYFUNCTION("""COMPUTED_VALUE"""),"newcomers")</f>
        <v>newcomers</v>
      </c>
      <c r="M603" s="6" t="str">
        <f>IFERROR(__xludf.DUMMYFUNCTION("""COMPUTED_VALUE"""),"earlier")</f>
        <v>earlier</v>
      </c>
      <c r="N603" s="6" t="str">
        <f>IFERROR(__xludf.DUMMYFUNCTION("""COMPUTED_VALUE"""),"occasionally")</f>
        <v>occasionally</v>
      </c>
      <c r="P603" s="6" t="str">
        <f>IFERROR(__xludf.DUMMYFUNCTION("""COMPUTED_VALUE"""),"evolution")</f>
        <v>evolution</v>
      </c>
      <c r="Q603" s="6" t="str">
        <f>IFERROR(__xludf.DUMMYFUNCTION("""COMPUTED_VALUE"""),"teddy")</f>
        <v>teddy</v>
      </c>
      <c r="S603" s="6" t="str">
        <f>IFERROR(__xludf.DUMMYFUNCTION("""COMPUTED_VALUE"""),"pile")</f>
        <v>pile</v>
      </c>
    </row>
    <row r="604">
      <c r="B604" s="6"/>
      <c r="D604" s="6"/>
      <c r="G604" s="6" t="str">
        <f>IFERROR(__xludf.DUMMYFUNCTION("""COMPUTED_VALUE"""),"consequences")</f>
        <v>consequences</v>
      </c>
      <c r="H604" s="6" t="str">
        <f>IFERROR(__xludf.DUMMYFUNCTION("""COMPUTED_VALUE"""),"tragedy")</f>
        <v>tragedy</v>
      </c>
      <c r="I604" s="6" t="str">
        <f>IFERROR(__xludf.DUMMYFUNCTION("""COMPUTED_VALUE"""),"figured")</f>
        <v>figured</v>
      </c>
      <c r="J604" s="6" t="str">
        <f>IFERROR(__xludf.DUMMYFUNCTION("""COMPUTED_VALUE"""),"strain")</f>
        <v>strain</v>
      </c>
      <c r="L604" s="6" t="str">
        <f>IFERROR(__xludf.DUMMYFUNCTION("""COMPUTED_VALUE"""),"glued")</f>
        <v>glued</v>
      </c>
      <c r="M604" s="6" t="str">
        <f>IFERROR(__xludf.DUMMYFUNCTION("""COMPUTED_VALUE"""),"frame")</f>
        <v>frame</v>
      </c>
      <c r="N604" s="6" t="str">
        <f>IFERROR(__xludf.DUMMYFUNCTION("""COMPUTED_VALUE"""),"seven")</f>
        <v>seven</v>
      </c>
      <c r="P604" s="6" t="str">
        <f>IFERROR(__xludf.DUMMYFUNCTION("""COMPUTED_VALUE"""),"greater")</f>
        <v>greater</v>
      </c>
      <c r="Q604" s="6" t="str">
        <f>IFERROR(__xludf.DUMMYFUNCTION("""COMPUTED_VALUE"""),"courage")</f>
        <v>courage</v>
      </c>
      <c r="S604" s="6" t="str">
        <f>IFERROR(__xludf.DUMMYFUNCTION("""COMPUTED_VALUE"""),"efficiency")</f>
        <v>efficiency</v>
      </c>
    </row>
    <row r="605">
      <c r="B605" s="6"/>
      <c r="D605" s="6"/>
      <c r="G605" s="6" t="str">
        <f>IFERROR(__xludf.DUMMYFUNCTION("""COMPUTED_VALUE"""),"critics")</f>
        <v>critics</v>
      </c>
      <c r="H605" s="6" t="str">
        <f>IFERROR(__xludf.DUMMYFUNCTION("""COMPUTED_VALUE"""),"repetitive")</f>
        <v>repetitive</v>
      </c>
      <c r="I605" s="6" t="str">
        <f>IFERROR(__xludf.DUMMYFUNCTION("""COMPUTED_VALUE"""),"dismissed")</f>
        <v>dismissed</v>
      </c>
      <c r="J605" s="6" t="str">
        <f>IFERROR(__xludf.DUMMYFUNCTION("""COMPUTED_VALUE"""),"gripping")</f>
        <v>gripping</v>
      </c>
      <c r="L605" s="6" t="str">
        <f>IFERROR(__xludf.DUMMYFUNCTION("""COMPUTED_VALUE"""),"clever")</f>
        <v>clever</v>
      </c>
      <c r="M605" s="6" t="str">
        <f>IFERROR(__xludf.DUMMYFUNCTION("""COMPUTED_VALUE"""),"impact")</f>
        <v>impact</v>
      </c>
      <c r="N605" s="6" t="str">
        <f>IFERROR(__xludf.DUMMYFUNCTION("""COMPUTED_VALUE"""),"drown")</f>
        <v>drown</v>
      </c>
      <c r="P605" s="6" t="str">
        <f>IFERROR(__xludf.DUMMYFUNCTION("""COMPUTED_VALUE"""),"tired")</f>
        <v>tired</v>
      </c>
      <c r="Q605" s="6" t="str">
        <f>IFERROR(__xludf.DUMMYFUNCTION("""COMPUTED_VALUE"""),"top")</f>
        <v>top</v>
      </c>
      <c r="S605" s="6" t="str">
        <f>IFERROR(__xludf.DUMMYFUNCTION("""COMPUTED_VALUE"""),"tell")</f>
        <v>tell</v>
      </c>
    </row>
    <row r="606">
      <c r="B606" s="6"/>
      <c r="D606" s="6"/>
      <c r="G606" s="6" t="str">
        <f>IFERROR(__xludf.DUMMYFUNCTION("""COMPUTED_VALUE"""),"paints")</f>
        <v>paints</v>
      </c>
      <c r="H606" s="6" t="str">
        <f>IFERROR(__xludf.DUMMYFUNCTION("""COMPUTED_VALUE"""),"melancholy")</f>
        <v>melancholy</v>
      </c>
      <c r="I606" s="6" t="str">
        <f>IFERROR(__xludf.DUMMYFUNCTION("""COMPUTED_VALUE"""),"forced")</f>
        <v>forced</v>
      </c>
      <c r="J606" s="6" t="str">
        <f>IFERROR(__xludf.DUMMYFUNCTION("""COMPUTED_VALUE"""),"startling")</f>
        <v>startling</v>
      </c>
      <c r="L606" s="6" t="str">
        <f>IFERROR(__xludf.DUMMYFUNCTION("""COMPUTED_VALUE"""),"mildly")</f>
        <v>mildly</v>
      </c>
      <c r="M606" s="6" t="str">
        <f>IFERROR(__xludf.DUMMYFUNCTION("""COMPUTED_VALUE"""),"ability")</f>
        <v>ability</v>
      </c>
      <c r="N606" s="6" t="str">
        <f>IFERROR(__xludf.DUMMYFUNCTION("""COMPUTED_VALUE"""),"keeping")</f>
        <v>keeping</v>
      </c>
      <c r="P606" s="6" t="str">
        <f>IFERROR(__xludf.DUMMYFUNCTION("""COMPUTED_VALUE"""),"mark")</f>
        <v>mark</v>
      </c>
      <c r="Q606" s="6" t="str">
        <f>IFERROR(__xludf.DUMMYFUNCTION("""COMPUTED_VALUE"""),"embracing")</f>
        <v>embracing</v>
      </c>
      <c r="S606" s="6" t="str">
        <f>IFERROR(__xludf.DUMMYFUNCTION("""COMPUTED_VALUE"""),"souls")</f>
        <v>souls</v>
      </c>
    </row>
    <row r="607">
      <c r="B607" s="6"/>
      <c r="D607" s="6"/>
      <c r="G607" s="6" t="str">
        <f>IFERROR(__xludf.DUMMYFUNCTION("""COMPUTED_VALUE"""),"competence")</f>
        <v>competence</v>
      </c>
      <c r="H607" s="6" t="str">
        <f>IFERROR(__xludf.DUMMYFUNCTION("""COMPUTED_VALUE"""),"fallen")</f>
        <v>fallen</v>
      </c>
      <c r="I607" s="6" t="str">
        <f>IFERROR(__xludf.DUMMYFUNCTION("""COMPUTED_VALUE"""),"revolution")</f>
        <v>revolution</v>
      </c>
      <c r="J607" s="6" t="str">
        <f>IFERROR(__xludf.DUMMYFUNCTION("""COMPUTED_VALUE"""),"transformation")</f>
        <v>transformation</v>
      </c>
      <c r="L607" s="6" t="str">
        <f>IFERROR(__xludf.DUMMYFUNCTION("""COMPUTED_VALUE"""),"enables")</f>
        <v>enables</v>
      </c>
      <c r="M607" s="6" t="str">
        <f>IFERROR(__xludf.DUMMYFUNCTION("""COMPUTED_VALUE"""),"office")</f>
        <v>office</v>
      </c>
      <c r="N607" s="6" t="str">
        <f>IFERROR(__xludf.DUMMYFUNCTION("""COMPUTED_VALUE"""),"enacted")</f>
        <v>enacted</v>
      </c>
      <c r="P607" s="6" t="str">
        <f>IFERROR(__xludf.DUMMYFUNCTION("""COMPUTED_VALUE"""),"skin")</f>
        <v>skin</v>
      </c>
      <c r="Q607" s="6" t="str">
        <f>IFERROR(__xludf.DUMMYFUNCTION("""COMPUTED_VALUE"""),"intellectual")</f>
        <v>intellectual</v>
      </c>
      <c r="S607" s="6" t="str">
        <f>IFERROR(__xludf.DUMMYFUNCTION("""COMPUTED_VALUE"""),"adventure")</f>
        <v>adventure</v>
      </c>
    </row>
    <row r="608">
      <c r="B608" s="6"/>
      <c r="D608" s="6"/>
      <c r="G608" s="6" t="str">
        <f>IFERROR(__xludf.DUMMYFUNCTION("""COMPUTED_VALUE"""),"clarity")</f>
        <v>clarity</v>
      </c>
      <c r="H608" s="6" t="str">
        <f>IFERROR(__xludf.DUMMYFUNCTION("""COMPUTED_VALUE"""),"spell")</f>
        <v>spell</v>
      </c>
      <c r="I608" s="6" t="str">
        <f>IFERROR(__xludf.DUMMYFUNCTION("""COMPUTED_VALUE"""),"gear")</f>
        <v>gear</v>
      </c>
      <c r="J608" s="6" t="str">
        <f>IFERROR(__xludf.DUMMYFUNCTION("""COMPUTED_VALUE"""),"widow")</f>
        <v>widow</v>
      </c>
      <c r="L608" s="6" t="str">
        <f>IFERROR(__xludf.DUMMYFUNCTION("""COMPUTED_VALUE"""),"passion")</f>
        <v>passion</v>
      </c>
      <c r="M608" s="6" t="str">
        <f>IFERROR(__xludf.DUMMYFUNCTION("""COMPUTED_VALUE"""),"talk")</f>
        <v>talk</v>
      </c>
      <c r="N608" s="6" t="str">
        <f>IFERROR(__xludf.DUMMYFUNCTION("""COMPUTED_VALUE"""),"held")</f>
        <v>held</v>
      </c>
      <c r="P608" s="6" t="str">
        <f>IFERROR(__xludf.DUMMYFUNCTION("""COMPUTED_VALUE"""),"escaped")</f>
        <v>escaped</v>
      </c>
      <c r="Q608" s="6" t="str">
        <f>IFERROR(__xludf.DUMMYFUNCTION("""COMPUTED_VALUE"""),"test")</f>
        <v>test</v>
      </c>
      <c r="S608" s="6" t="str">
        <f>IFERROR(__xludf.DUMMYFUNCTION("""COMPUTED_VALUE"""),"immediate")</f>
        <v>immediate</v>
      </c>
    </row>
    <row r="609">
      <c r="B609" s="6"/>
      <c r="D609" s="6"/>
      <c r="G609" s="6" t="str">
        <f>IFERROR(__xludf.DUMMYFUNCTION("""COMPUTED_VALUE"""),"chuckle")</f>
        <v>chuckle</v>
      </c>
      <c r="H609" s="6" t="str">
        <f>IFERROR(__xludf.DUMMYFUNCTION("""COMPUTED_VALUE"""),"brutally")</f>
        <v>brutally</v>
      </c>
      <c r="I609" s="6" t="str">
        <f>IFERROR(__xludf.DUMMYFUNCTION("""COMPUTED_VALUE"""),"technology")</f>
        <v>technology</v>
      </c>
      <c r="J609" s="6" t="str">
        <f>IFERROR(__xludf.DUMMYFUNCTION("""COMPUTED_VALUE"""),"tunisian")</f>
        <v>tunisian</v>
      </c>
      <c r="L609" s="6" t="str">
        <f>IFERROR(__xludf.DUMMYFUNCTION("""COMPUTED_VALUE"""),"sympathy")</f>
        <v>sympathy</v>
      </c>
      <c r="M609" s="6" t="str">
        <f>IFERROR(__xludf.DUMMYFUNCTION("""COMPUTED_VALUE"""),"land")</f>
        <v>land</v>
      </c>
      <c r="N609" s="6" t="str">
        <f>IFERROR(__xludf.DUMMYFUNCTION("""COMPUTED_VALUE"""),"naturally")</f>
        <v>naturally</v>
      </c>
      <c r="P609" s="6" t="str">
        <f>IFERROR(__xludf.DUMMYFUNCTION("""COMPUTED_VALUE"""),"kennedy")</f>
        <v>kennedy</v>
      </c>
      <c r="Q609" s="6" t="str">
        <f>IFERROR(__xludf.DUMMYFUNCTION("""COMPUTED_VALUE"""),"meditation")</f>
        <v>meditation</v>
      </c>
      <c r="S609" s="6" t="str">
        <f>IFERROR(__xludf.DUMMYFUNCTION("""COMPUTED_VALUE"""),"convince")</f>
        <v>convince</v>
      </c>
    </row>
    <row r="610">
      <c r="B610" s="6"/>
      <c r="D610" s="6"/>
      <c r="G610" s="6" t="str">
        <f>IFERROR(__xludf.DUMMYFUNCTION("""COMPUTED_VALUE"""),"ones")</f>
        <v>ones</v>
      </c>
      <c r="H610" s="6" t="str">
        <f>IFERROR(__xludf.DUMMYFUNCTION("""COMPUTED_VALUE"""),"tolerate")</f>
        <v>tolerate</v>
      </c>
      <c r="I610" s="6" t="str">
        <f>IFERROR(__xludf.DUMMYFUNCTION("""COMPUTED_VALUE"""),"status")</f>
        <v>status</v>
      </c>
      <c r="J610" s="6" t="str">
        <f>IFERROR(__xludf.DUMMYFUNCTION("""COMPUTED_VALUE"""),"french")</f>
        <v>french</v>
      </c>
      <c r="L610" s="6" t="str">
        <f>IFERROR(__xludf.DUMMYFUNCTION("""COMPUTED_VALUE"""),"mechanical")</f>
        <v>mechanical</v>
      </c>
      <c r="M610" s="6" t="str">
        <f>IFERROR(__xludf.DUMMYFUNCTION("""COMPUTED_VALUE"""),"written")</f>
        <v>written</v>
      </c>
      <c r="N610" s="6" t="str">
        <f>IFERROR(__xludf.DUMMYFUNCTION("""COMPUTED_VALUE"""),"staged")</f>
        <v>staged</v>
      </c>
      <c r="P610" s="6" t="str">
        <f>IFERROR(__xludf.DUMMYFUNCTION("""COMPUTED_VALUE"""),"inspired")</f>
        <v>inspired</v>
      </c>
      <c r="Q610" s="6" t="str">
        <f>IFERROR(__xludf.DUMMYFUNCTION("""COMPUTED_VALUE"""),"moody")</f>
        <v>moody</v>
      </c>
      <c r="S610" s="6" t="str">
        <f>IFERROR(__xludf.DUMMYFUNCTION("""COMPUTED_VALUE"""),"edge")</f>
        <v>edge</v>
      </c>
    </row>
    <row r="611">
      <c r="B611" s="6"/>
      <c r="D611" s="6"/>
      <c r="G611" s="6" t="str">
        <f>IFERROR(__xludf.DUMMYFUNCTION("""COMPUTED_VALUE"""),"songs")</f>
        <v>songs</v>
      </c>
      <c r="H611" s="6" t="str">
        <f>IFERROR(__xludf.DUMMYFUNCTION("""COMPUTED_VALUE"""),"scandal")</f>
        <v>scandal</v>
      </c>
      <c r="I611" s="6" t="str">
        <f>IFERROR(__xludf.DUMMYFUNCTION("""COMPUTED_VALUE"""),"pat")</f>
        <v>pat</v>
      </c>
      <c r="J611" s="6" t="str">
        <f>IFERROR(__xludf.DUMMYFUNCTION("""COMPUTED_VALUE"""),"spotlight")</f>
        <v>spotlight</v>
      </c>
      <c r="L611" s="6" t="str">
        <f>IFERROR(__xludf.DUMMYFUNCTION("""COMPUTED_VALUE"""),"successes")</f>
        <v>successes</v>
      </c>
      <c r="M611" s="6" t="str">
        <f>IFERROR(__xludf.DUMMYFUNCTION("""COMPUTED_VALUE"""),"hall")</f>
        <v>hall</v>
      </c>
      <c r="N611" s="6" t="str">
        <f>IFERROR(__xludf.DUMMYFUNCTION("""COMPUTED_VALUE"""),"strikes")</f>
        <v>strikes</v>
      </c>
      <c r="P611" s="6" t="str">
        <f>IFERROR(__xludf.DUMMYFUNCTION("""COMPUTED_VALUE"""),"attempt")</f>
        <v>attempt</v>
      </c>
      <c r="Q611" s="6" t="str">
        <f>IFERROR(__xludf.DUMMYFUNCTION("""COMPUTED_VALUE"""),"outsiders")</f>
        <v>outsiders</v>
      </c>
      <c r="S611" s="6" t="str">
        <f>IFERROR(__xludf.DUMMYFUNCTION("""COMPUTED_VALUE"""),"top")</f>
        <v>top</v>
      </c>
    </row>
    <row r="612">
      <c r="B612" s="6"/>
      <c r="D612" s="6"/>
      <c r="G612" s="6" t="str">
        <f>IFERROR(__xludf.DUMMYFUNCTION("""COMPUTED_VALUE"""),"committed")</f>
        <v>committed</v>
      </c>
      <c r="H612" s="6" t="str">
        <f>IFERROR(__xludf.DUMMYFUNCTION("""COMPUTED_VALUE"""),"baroque")</f>
        <v>baroque</v>
      </c>
      <c r="I612" s="6" t="str">
        <f>IFERROR(__xludf.DUMMYFUNCTION("""COMPUTED_VALUE"""),"dubbed")</f>
        <v>dubbed</v>
      </c>
      <c r="J612" s="6" t="str">
        <f>IFERROR(__xludf.DUMMYFUNCTION("""COMPUTED_VALUE"""),"devoid")</f>
        <v>devoid</v>
      </c>
      <c r="L612" s="6" t="str">
        <f>IFERROR(__xludf.DUMMYFUNCTION("""COMPUTED_VALUE"""),"span")</f>
        <v>span</v>
      </c>
      <c r="M612" s="6" t="str">
        <f>IFERROR(__xludf.DUMMYFUNCTION("""COMPUTED_VALUE"""),"industry")</f>
        <v>industry</v>
      </c>
      <c r="N612" s="6" t="str">
        <f>IFERROR(__xludf.DUMMYFUNCTION("""COMPUTED_VALUE"""),"stops")</f>
        <v>stops</v>
      </c>
      <c r="P612" s="6" t="str">
        <f>IFERROR(__xludf.DUMMYFUNCTION("""COMPUTED_VALUE"""),"soundtrack")</f>
        <v>soundtrack</v>
      </c>
      <c r="Q612" s="6" t="str">
        <f>IFERROR(__xludf.DUMMYFUNCTION("""COMPUTED_VALUE"""),"observations")</f>
        <v>observations</v>
      </c>
      <c r="S612" s="6" t="str">
        <f>IFERROR(__xludf.DUMMYFUNCTION("""COMPUTED_VALUE"""),"courage")</f>
        <v>courage</v>
      </c>
    </row>
    <row r="613">
      <c r="B613" s="6"/>
      <c r="D613" s="6"/>
      <c r="G613" s="6" t="str">
        <f>IFERROR(__xludf.DUMMYFUNCTION("""COMPUTED_VALUE"""),"tends")</f>
        <v>tends</v>
      </c>
      <c r="H613" s="6" t="str">
        <f>IFERROR(__xludf.DUMMYFUNCTION("""COMPUTED_VALUE"""),"breadth")</f>
        <v>breadth</v>
      </c>
      <c r="I613" s="6" t="str">
        <f>IFERROR(__xludf.DUMMYFUNCTION("""COMPUTED_VALUE"""),"turkey")</f>
        <v>turkey</v>
      </c>
      <c r="J613" s="6" t="str">
        <f>IFERROR(__xludf.DUMMYFUNCTION("""COMPUTED_VALUE"""),"fatal")</f>
        <v>fatal</v>
      </c>
      <c r="L613" s="6" t="str">
        <f>IFERROR(__xludf.DUMMYFUNCTION("""COMPUTED_VALUE"""),"stealing")</f>
        <v>stealing</v>
      </c>
      <c r="M613" s="6" t="str">
        <f>IFERROR(__xludf.DUMMYFUNCTION("""COMPUTED_VALUE"""),"resident")</f>
        <v>resident</v>
      </c>
      <c r="N613" s="6" t="str">
        <f>IFERROR(__xludf.DUMMYFUNCTION("""COMPUTED_VALUE"""),"lighting")</f>
        <v>lighting</v>
      </c>
      <c r="P613" s="6" t="str">
        <f>IFERROR(__xludf.DUMMYFUNCTION("""COMPUTED_VALUE"""),"concepts")</f>
        <v>concepts</v>
      </c>
      <c r="Q613" s="6" t="str">
        <f>IFERROR(__xludf.DUMMYFUNCTION("""COMPUTED_VALUE"""),"filled")</f>
        <v>filled</v>
      </c>
      <c r="S613" s="6" t="str">
        <f>IFERROR(__xludf.DUMMYFUNCTION("""COMPUTED_VALUE"""),"target")</f>
        <v>target</v>
      </c>
    </row>
    <row r="614">
      <c r="B614" s="6"/>
      <c r="D614" s="6"/>
      <c r="G614" s="6" t="str">
        <f>IFERROR(__xludf.DUMMYFUNCTION("""COMPUTED_VALUE"""),"comprehension")</f>
        <v>comprehension</v>
      </c>
      <c r="H614" s="6" t="str">
        <f>IFERROR(__xludf.DUMMYFUNCTION("""COMPUTED_VALUE"""),"poverty")</f>
        <v>poverty</v>
      </c>
      <c r="I614" s="6" t="str">
        <f>IFERROR(__xludf.DUMMYFUNCTION("""COMPUTED_VALUE"""),"documented")</f>
        <v>documented</v>
      </c>
      <c r="J614" s="6" t="str">
        <f>IFERROR(__xludf.DUMMYFUNCTION("""COMPUTED_VALUE"""),"desperation")</f>
        <v>desperation</v>
      </c>
      <c r="L614" s="6" t="str">
        <f>IFERROR(__xludf.DUMMYFUNCTION("""COMPUTED_VALUE"""),"circle")</f>
        <v>circle</v>
      </c>
      <c r="M614" s="6" t="str">
        <f>IFERROR(__xludf.DUMMYFUNCTION("""COMPUTED_VALUE"""),"rules")</f>
        <v>rules</v>
      </c>
      <c r="N614" s="6" t="str">
        <f>IFERROR(__xludf.DUMMYFUNCTION("""COMPUTED_VALUE"""),"band")</f>
        <v>band</v>
      </c>
      <c r="P614" s="6" t="str">
        <f>IFERROR(__xludf.DUMMYFUNCTION("""COMPUTED_VALUE"""),"layers")</f>
        <v>layers</v>
      </c>
      <c r="Q614" s="6" t="str">
        <f>IFERROR(__xludf.DUMMYFUNCTION("""COMPUTED_VALUE"""),"bore")</f>
        <v>bore</v>
      </c>
      <c r="S614" s="6" t="str">
        <f>IFERROR(__xludf.DUMMYFUNCTION("""COMPUTED_VALUE"""),"test")</f>
        <v>test</v>
      </c>
    </row>
    <row r="615">
      <c r="B615" s="6"/>
      <c r="D615" s="6"/>
      <c r="G615" s="6" t="str">
        <f>IFERROR(__xludf.DUMMYFUNCTION("""COMPUTED_VALUE"""),"dazzling")</f>
        <v>dazzling</v>
      </c>
      <c r="H615" s="6" t="str">
        <f>IFERROR(__xludf.DUMMYFUNCTION("""COMPUTED_VALUE"""),"hardship")</f>
        <v>hardship</v>
      </c>
      <c r="I615" s="6" t="str">
        <f>IFERROR(__xludf.DUMMYFUNCTION("""COMPUTED_VALUE"""),"english")</f>
        <v>english</v>
      </c>
      <c r="J615" s="6" t="str">
        <f>IFERROR(__xludf.DUMMYFUNCTION("""COMPUTED_VALUE"""),"glossy")</f>
        <v>glossy</v>
      </c>
      <c r="L615" s="6" t="str">
        <f>IFERROR(__xludf.DUMMYFUNCTION("""COMPUTED_VALUE"""),"tendency")</f>
        <v>tendency</v>
      </c>
      <c r="M615" s="6" t="str">
        <f>IFERROR(__xludf.DUMMYFUNCTION("""COMPUTED_VALUE"""),"strict")</f>
        <v>strict</v>
      </c>
      <c r="N615" s="6" t="str">
        <f>IFERROR(__xludf.DUMMYFUNCTION("""COMPUTED_VALUE"""),"stark")</f>
        <v>stark</v>
      </c>
      <c r="P615" s="6" t="str">
        <f>IFERROR(__xludf.DUMMYFUNCTION("""COMPUTED_VALUE"""),"deadly")</f>
        <v>deadly</v>
      </c>
      <c r="Q615" s="6" t="str">
        <f>IFERROR(__xludf.DUMMYFUNCTION("""COMPUTED_VALUE"""),"involving")</f>
        <v>involving</v>
      </c>
      <c r="S615" s="6" t="str">
        <f>IFERROR(__xludf.DUMMYFUNCTION("""COMPUTED_VALUE"""),"intellectual")</f>
        <v>intellectual</v>
      </c>
    </row>
    <row r="616">
      <c r="B616" s="6"/>
      <c r="D616" s="6"/>
      <c r="G616" s="6" t="str">
        <f>IFERROR(__xludf.DUMMYFUNCTION("""COMPUTED_VALUE"""),"fabricated")</f>
        <v>fabricated</v>
      </c>
      <c r="H616" s="6" t="str">
        <f>IFERROR(__xludf.DUMMYFUNCTION("""COMPUTED_VALUE"""),"enthusiasm")</f>
        <v>enthusiasm</v>
      </c>
      <c r="I616" s="6" t="str">
        <f>IFERROR(__xludf.DUMMYFUNCTION("""COMPUTED_VALUE"""),"america")</f>
        <v>america</v>
      </c>
      <c r="J616" s="6" t="str">
        <f>IFERROR(__xludf.DUMMYFUNCTION("""COMPUTED_VALUE"""),"bollywood")</f>
        <v>bollywood</v>
      </c>
      <c r="L616" s="6" t="str">
        <f>IFERROR(__xludf.DUMMYFUNCTION("""COMPUTED_VALUE"""),"wholly")</f>
        <v>wholly</v>
      </c>
      <c r="M616" s="6" t="str">
        <f>IFERROR(__xludf.DUMMYFUNCTION("""COMPUTED_VALUE"""),"knowing")</f>
        <v>knowing</v>
      </c>
      <c r="N616" s="6" t="str">
        <f>IFERROR(__xludf.DUMMYFUNCTION("""COMPUTED_VALUE"""),"minds")</f>
        <v>minds</v>
      </c>
      <c r="P616" s="6" t="str">
        <f>IFERROR(__xludf.DUMMYFUNCTION("""COMPUTED_VALUE"""),"striking")</f>
        <v>striking</v>
      </c>
      <c r="Q616" s="6" t="str">
        <f>IFERROR(__xludf.DUMMYFUNCTION("""COMPUTED_VALUE"""),"titular")</f>
        <v>titular</v>
      </c>
      <c r="S616" s="6" t="str">
        <f>IFERROR(__xludf.DUMMYFUNCTION("""COMPUTED_VALUE"""),"filled")</f>
        <v>filled</v>
      </c>
    </row>
    <row r="617">
      <c r="B617" s="6"/>
      <c r="D617" s="6"/>
      <c r="G617" s="6" t="str">
        <f>IFERROR(__xludf.DUMMYFUNCTION("""COMPUTED_VALUE"""),"payne")</f>
        <v>payne</v>
      </c>
      <c r="H617" s="6" t="str">
        <f>IFERROR(__xludf.DUMMYFUNCTION("""COMPUTED_VALUE"""),"protagonists")</f>
        <v>protagonists</v>
      </c>
      <c r="I617" s="6" t="str">
        <f>IFERROR(__xludf.DUMMYFUNCTION("""COMPUTED_VALUE"""),"holds")</f>
        <v>holds</v>
      </c>
      <c r="J617" s="6" t="str">
        <f>IFERROR(__xludf.DUMMYFUNCTION("""COMPUTED_VALUE"""),"devastating")</f>
        <v>devastating</v>
      </c>
      <c r="L617" s="6" t="str">
        <f>IFERROR(__xludf.DUMMYFUNCTION("""COMPUTED_VALUE"""),"shaky")</f>
        <v>shaky</v>
      </c>
      <c r="M617" s="6" t="str">
        <f>IFERROR(__xludf.DUMMYFUNCTION("""COMPUTED_VALUE"""),"system")</f>
        <v>system</v>
      </c>
      <c r="N617" s="6" t="str">
        <f>IFERROR(__xludf.DUMMYFUNCTION("""COMPUTED_VALUE"""),"entertainment")</f>
        <v>entertainment</v>
      </c>
      <c r="P617" s="6" t="str">
        <f>IFERROR(__xludf.DUMMYFUNCTION("""COMPUTED_VALUE"""),"impressive")</f>
        <v>impressive</v>
      </c>
      <c r="Q617" s="6" t="str">
        <f>IFERROR(__xludf.DUMMYFUNCTION("""COMPUTED_VALUE"""),"sequence")</f>
        <v>sequence</v>
      </c>
      <c r="S617" s="6" t="str">
        <f>IFERROR(__xludf.DUMMYFUNCTION("""COMPUTED_VALUE"""),"dealing")</f>
        <v>dealing</v>
      </c>
    </row>
    <row r="618">
      <c r="B618" s="6"/>
      <c r="D618" s="6"/>
      <c r="G618" s="6" t="str">
        <f>IFERROR(__xludf.DUMMYFUNCTION("""COMPUTED_VALUE"""),"indifference")</f>
        <v>indifference</v>
      </c>
      <c r="H618" s="6" t="str">
        <f>IFERROR(__xludf.DUMMYFUNCTION("""COMPUTED_VALUE"""),"shoot")</f>
        <v>shoot</v>
      </c>
      <c r="I618" s="6" t="str">
        <f>IFERROR(__xludf.DUMMYFUNCTION("""COMPUTED_VALUE"""),"spike")</f>
        <v>spike</v>
      </c>
      <c r="J618" s="6" t="str">
        <f>IFERROR(__xludf.DUMMYFUNCTION("""COMPUTED_VALUE"""),"profoundly")</f>
        <v>profoundly</v>
      </c>
      <c r="L618" s="6" t="str">
        <f>IFERROR(__xludf.DUMMYFUNCTION("""COMPUTED_VALUE"""),"shoulders")</f>
        <v>shoulders</v>
      </c>
      <c r="M618" s="6" t="str">
        <f>IFERROR(__xludf.DUMMYFUNCTION("""COMPUTED_VALUE"""),"darkness")</f>
        <v>darkness</v>
      </c>
      <c r="N618" s="6" t="str">
        <f>IFERROR(__xludf.DUMMYFUNCTION("""COMPUTED_VALUE"""),"illness")</f>
        <v>illness</v>
      </c>
      <c r="P618" s="6" t="str">
        <f>IFERROR(__xludf.DUMMYFUNCTION("""COMPUTED_VALUE"""),"king")</f>
        <v>king</v>
      </c>
      <c r="Q618" s="6" t="str">
        <f>IFERROR(__xludf.DUMMYFUNCTION("""COMPUTED_VALUE"""),"edited")</f>
        <v>edited</v>
      </c>
      <c r="S618" s="6" t="str">
        <f>IFERROR(__xludf.DUMMYFUNCTION("""COMPUTED_VALUE"""),"observations")</f>
        <v>observations</v>
      </c>
    </row>
    <row r="619">
      <c r="B619" s="6"/>
      <c r="D619" s="6"/>
      <c r="G619" s="6" t="str">
        <f>IFERROR(__xludf.DUMMYFUNCTION("""COMPUTED_VALUE"""),"revolution")</f>
        <v>revolution</v>
      </c>
      <c r="H619" s="6" t="str">
        <f>IFERROR(__xludf.DUMMYFUNCTION("""COMPUTED_VALUE"""),"murder")</f>
        <v>murder</v>
      </c>
      <c r="I619" s="6" t="str">
        <f>IFERROR(__xludf.DUMMYFUNCTION("""COMPUTED_VALUE"""),"arguments")</f>
        <v>arguments</v>
      </c>
      <c r="J619" s="6" t="str">
        <f>IFERROR(__xludf.DUMMYFUNCTION("""COMPUTED_VALUE"""),"achievements")</f>
        <v>achievements</v>
      </c>
      <c r="L619" s="6" t="str">
        <f>IFERROR(__xludf.DUMMYFUNCTION("""COMPUTED_VALUE"""),"rae")</f>
        <v>rae</v>
      </c>
      <c r="M619" s="6" t="str">
        <f>IFERROR(__xludf.DUMMYFUNCTION("""COMPUTED_VALUE"""),"buddy")</f>
        <v>buddy</v>
      </c>
      <c r="N619" s="6" t="str">
        <f>IFERROR(__xludf.DUMMYFUNCTION("""COMPUTED_VALUE"""),"camera")</f>
        <v>camera</v>
      </c>
      <c r="P619" s="6" t="str">
        <f>IFERROR(__xludf.DUMMYFUNCTION("""COMPUTED_VALUE"""),"middle")</f>
        <v>middle</v>
      </c>
      <c r="Q619" s="6" t="str">
        <f>IFERROR(__xludf.DUMMYFUNCTION("""COMPUTED_VALUE"""),"unnecessary")</f>
        <v>unnecessary</v>
      </c>
      <c r="S619" s="6" t="str">
        <f>IFERROR(__xludf.DUMMYFUNCTION("""COMPUTED_VALUE"""),"mostly")</f>
        <v>mostly</v>
      </c>
    </row>
    <row r="620">
      <c r="B620" s="6"/>
      <c r="D620" s="6"/>
      <c r="G620" s="6" t="str">
        <f>IFERROR(__xludf.DUMMYFUNCTION("""COMPUTED_VALUE"""),"precisely")</f>
        <v>precisely</v>
      </c>
      <c r="H620" s="6" t="str">
        <f>IFERROR(__xludf.DUMMYFUNCTION("""COMPUTED_VALUE"""),"remarkably")</f>
        <v>remarkably</v>
      </c>
      <c r="I620" s="6" t="str">
        <f>IFERROR(__xludf.DUMMYFUNCTION("""COMPUTED_VALUE"""),"feat")</f>
        <v>feat</v>
      </c>
      <c r="J620" s="6" t="str">
        <f>IFERROR(__xludf.DUMMYFUNCTION("""COMPUTED_VALUE"""),"poetic")</f>
        <v>poetic</v>
      </c>
      <c r="L620" s="6" t="str">
        <f>IFERROR(__xludf.DUMMYFUNCTION("""COMPUTED_VALUE"""),"performing")</f>
        <v>performing</v>
      </c>
      <c r="M620" s="6" t="str">
        <f>IFERROR(__xludf.DUMMYFUNCTION("""COMPUTED_VALUE"""),"laughter")</f>
        <v>laughter</v>
      </c>
      <c r="N620" s="6" t="str">
        <f>IFERROR(__xludf.DUMMYFUNCTION("""COMPUTED_VALUE"""),"draws")</f>
        <v>draws</v>
      </c>
      <c r="P620" s="6" t="str">
        <f>IFERROR(__xludf.DUMMYFUNCTION("""COMPUTED_VALUE"""),"biography")</f>
        <v>biography</v>
      </c>
      <c r="Q620" s="6" t="str">
        <f>IFERROR(__xludf.DUMMYFUNCTION("""COMPUTED_VALUE"""),"wholly")</f>
        <v>wholly</v>
      </c>
      <c r="S620" s="6" t="str">
        <f>IFERROR(__xludf.DUMMYFUNCTION("""COMPUTED_VALUE"""),"bore")</f>
        <v>bore</v>
      </c>
    </row>
    <row r="621">
      <c r="B621" s="6"/>
      <c r="D621" s="6"/>
      <c r="G621" s="6" t="str">
        <f>IFERROR(__xludf.DUMMYFUNCTION("""COMPUTED_VALUE"""),"gear")</f>
        <v>gear</v>
      </c>
      <c r="H621" s="6" t="str">
        <f>IFERROR(__xludf.DUMMYFUNCTION("""COMPUTED_VALUE"""),"insistent")</f>
        <v>insistent</v>
      </c>
      <c r="I621" s="6" t="str">
        <f>IFERROR(__xludf.DUMMYFUNCTION("""COMPUTED_VALUE"""),"rising")</f>
        <v>rising</v>
      </c>
      <c r="J621" s="6" t="str">
        <f>IFERROR(__xludf.DUMMYFUNCTION("""COMPUTED_VALUE"""),"brilliance")</f>
        <v>brilliance</v>
      </c>
      <c r="L621" s="6" t="str">
        <f>IFERROR(__xludf.DUMMYFUNCTION("""COMPUTED_VALUE"""),"emotionally")</f>
        <v>emotionally</v>
      </c>
      <c r="M621" s="6" t="str">
        <f>IFERROR(__xludf.DUMMYFUNCTION("""COMPUTED_VALUE"""),"rush")</f>
        <v>rush</v>
      </c>
      <c r="N621" s="6" t="str">
        <f>IFERROR(__xludf.DUMMYFUNCTION("""COMPUTED_VALUE"""),"honesty")</f>
        <v>honesty</v>
      </c>
      <c r="P621" s="6" t="str">
        <f>IFERROR(__xludf.DUMMYFUNCTION("""COMPUTED_VALUE"""),"animation")</f>
        <v>animation</v>
      </c>
      <c r="Q621" s="6" t="str">
        <f>IFERROR(__xludf.DUMMYFUNCTION("""COMPUTED_VALUE"""),"awkwardly")</f>
        <v>awkwardly</v>
      </c>
      <c r="S621" s="6" t="str">
        <f>IFERROR(__xludf.DUMMYFUNCTION("""COMPUTED_VALUE"""),"mix")</f>
        <v>mix</v>
      </c>
    </row>
    <row r="622">
      <c r="B622" s="6"/>
      <c r="D622" s="6"/>
      <c r="G622" s="6" t="str">
        <f>IFERROR(__xludf.DUMMYFUNCTION("""COMPUTED_VALUE"""),"technology")</f>
        <v>technology</v>
      </c>
      <c r="H622" s="6" t="str">
        <f>IFERROR(__xludf.DUMMYFUNCTION("""COMPUTED_VALUE"""),"nausea")</f>
        <v>nausea</v>
      </c>
      <c r="I622" s="6" t="str">
        <f>IFERROR(__xludf.DUMMYFUNCTION("""COMPUTED_VALUE"""),"hunter")</f>
        <v>hunter</v>
      </c>
      <c r="J622" s="6" t="str">
        <f>IFERROR(__xludf.DUMMYFUNCTION("""COMPUTED_VALUE"""),"sloppy")</f>
        <v>sloppy</v>
      </c>
      <c r="L622" s="6" t="str">
        <f>IFERROR(__xludf.DUMMYFUNCTION("""COMPUTED_VALUE"""),"blockbuster")</f>
        <v>blockbuster</v>
      </c>
      <c r="M622" s="6" t="str">
        <f>IFERROR(__xludf.DUMMYFUNCTION("""COMPUTED_VALUE"""),"underneath")</f>
        <v>underneath</v>
      </c>
      <c r="N622" s="6" t="str">
        <f>IFERROR(__xludf.DUMMYFUNCTION("""COMPUTED_VALUE"""),"race")</f>
        <v>race</v>
      </c>
      <c r="P622" s="6" t="str">
        <f>IFERROR(__xludf.DUMMYFUNCTION("""COMPUTED_VALUE"""),"impossible")</f>
        <v>impossible</v>
      </c>
      <c r="Q622" s="6" t="str">
        <f>IFERROR(__xludf.DUMMYFUNCTION("""COMPUTED_VALUE"""),"simone")</f>
        <v>simone</v>
      </c>
      <c r="S622" s="6" t="str">
        <f>IFERROR(__xludf.DUMMYFUNCTION("""COMPUTED_VALUE"""),"involving")</f>
        <v>involving</v>
      </c>
    </row>
    <row r="623">
      <c r="B623" s="6"/>
      <c r="D623" s="6"/>
      <c r="G623" s="6" t="str">
        <f>IFERROR(__xludf.DUMMYFUNCTION("""COMPUTED_VALUE"""),"inspirational")</f>
        <v>inspirational</v>
      </c>
      <c r="H623" s="6" t="str">
        <f>IFERROR(__xludf.DUMMYFUNCTION("""COMPUTED_VALUE"""),"survival")</f>
        <v>survival</v>
      </c>
      <c r="I623" s="6" t="str">
        <f>IFERROR(__xludf.DUMMYFUNCTION("""COMPUTED_VALUE"""),"jake")</f>
        <v>jake</v>
      </c>
      <c r="J623" s="6" t="str">
        <f>IFERROR(__xludf.DUMMYFUNCTION("""COMPUTED_VALUE"""),"sparkling")</f>
        <v>sparkling</v>
      </c>
      <c r="L623" s="6" t="str">
        <f>IFERROR(__xludf.DUMMYFUNCTION("""COMPUTED_VALUE"""),"moore")</f>
        <v>moore</v>
      </c>
      <c r="M623" s="6" t="str">
        <f>IFERROR(__xludf.DUMMYFUNCTION("""COMPUTED_VALUE"""),"wind")</f>
        <v>wind</v>
      </c>
      <c r="N623" s="6" t="str">
        <f>IFERROR(__xludf.DUMMYFUNCTION("""COMPUTED_VALUE"""),"latter")</f>
        <v>latter</v>
      </c>
      <c r="P623" s="6" t="str">
        <f>IFERROR(__xludf.DUMMYFUNCTION("""COMPUTED_VALUE"""),"detail")</f>
        <v>detail</v>
      </c>
      <c r="Q623" s="6" t="str">
        <f>IFERROR(__xludf.DUMMYFUNCTION("""COMPUTED_VALUE"""),"ticket")</f>
        <v>ticket</v>
      </c>
      <c r="S623" s="6" t="str">
        <f>IFERROR(__xludf.DUMMYFUNCTION("""COMPUTED_VALUE"""),"exterior")</f>
        <v>exterior</v>
      </c>
    </row>
    <row r="624">
      <c r="B624" s="6"/>
      <c r="D624" s="6"/>
      <c r="G624" s="6" t="str">
        <f>IFERROR(__xludf.DUMMYFUNCTION("""COMPUTED_VALUE"""),"status")</f>
        <v>status</v>
      </c>
      <c r="H624" s="6" t="str">
        <f>IFERROR(__xludf.DUMMYFUNCTION("""COMPUTED_VALUE"""),"psychological")</f>
        <v>psychological</v>
      </c>
      <c r="I624" s="6" t="str">
        <f>IFERROR(__xludf.DUMMYFUNCTION("""COMPUTED_VALUE"""),"dependent")</f>
        <v>dependent</v>
      </c>
      <c r="J624" s="6" t="str">
        <f>IFERROR(__xludf.DUMMYFUNCTION("""COMPUTED_VALUE"""),"lopez")</f>
        <v>lopez</v>
      </c>
      <c r="L624" s="6" t="str">
        <f>IFERROR(__xludf.DUMMYFUNCTION("""COMPUTED_VALUE"""),"expressions")</f>
        <v>expressions</v>
      </c>
      <c r="M624" s="6" t="str">
        <f>IFERROR(__xludf.DUMMYFUNCTION("""COMPUTED_VALUE"""),"plays")</f>
        <v>plays</v>
      </c>
      <c r="N624" s="6" t="str">
        <f>IFERROR(__xludf.DUMMYFUNCTION("""COMPUTED_VALUE"""),"truth")</f>
        <v>truth</v>
      </c>
      <c r="P624" s="6" t="str">
        <f>IFERROR(__xludf.DUMMYFUNCTION("""COMPUTED_VALUE"""),"grace")</f>
        <v>grace</v>
      </c>
      <c r="Q624" s="6" t="str">
        <f>IFERROR(__xludf.DUMMYFUNCTION("""COMPUTED_VALUE"""),"pantheon")</f>
        <v>pantheon</v>
      </c>
      <c r="S624" s="6" t="str">
        <f>IFERROR(__xludf.DUMMYFUNCTION("""COMPUTED_VALUE"""),"designed")</f>
        <v>designed</v>
      </c>
    </row>
    <row r="625">
      <c r="B625" s="6"/>
      <c r="D625" s="6"/>
      <c r="G625" s="6" t="str">
        <f>IFERROR(__xludf.DUMMYFUNCTION("""COMPUTED_VALUE"""),"jerking")</f>
        <v>jerking</v>
      </c>
      <c r="H625" s="6" t="str">
        <f>IFERROR(__xludf.DUMMYFUNCTION("""COMPUTED_VALUE"""),"coherent")</f>
        <v>coherent</v>
      </c>
      <c r="I625" s="6" t="str">
        <f>IFERROR(__xludf.DUMMYFUNCTION("""COMPUTED_VALUE"""),"uncertain")</f>
        <v>uncertain</v>
      </c>
      <c r="J625" s="6" t="str">
        <f>IFERROR(__xludf.DUMMYFUNCTION("""COMPUTED_VALUE"""),"rae")</f>
        <v>rae</v>
      </c>
      <c r="L625" s="6" t="str">
        <f>IFERROR(__xludf.DUMMYFUNCTION("""COMPUTED_VALUE"""),"ripe")</f>
        <v>ripe</v>
      </c>
      <c r="M625" s="6" t="str">
        <f>IFERROR(__xludf.DUMMYFUNCTION("""COMPUTED_VALUE"""),"cotton")</f>
        <v>cotton</v>
      </c>
      <c r="N625" s="6" t="str">
        <f>IFERROR(__xludf.DUMMYFUNCTION("""COMPUTED_VALUE"""),"wears")</f>
        <v>wears</v>
      </c>
      <c r="P625" s="6" t="str">
        <f>IFERROR(__xludf.DUMMYFUNCTION("""COMPUTED_VALUE"""),"fall")</f>
        <v>fall</v>
      </c>
      <c r="Q625" s="6" t="str">
        <f>IFERROR(__xludf.DUMMYFUNCTION("""COMPUTED_VALUE"""),"complicated")</f>
        <v>complicated</v>
      </c>
      <c r="S625" s="6" t="str">
        <f>IFERROR(__xludf.DUMMYFUNCTION("""COMPUTED_VALUE"""),"edited")</f>
        <v>edited</v>
      </c>
    </row>
    <row r="626">
      <c r="B626" s="6"/>
      <c r="D626" s="6"/>
      <c r="G626" s="6" t="str">
        <f>IFERROR(__xludf.DUMMYFUNCTION("""COMPUTED_VALUE"""),"turkey")</f>
        <v>turkey</v>
      </c>
      <c r="H626" s="6" t="str">
        <f>IFERROR(__xludf.DUMMYFUNCTION("""COMPUTED_VALUE"""),"victories")</f>
        <v>victories</v>
      </c>
      <c r="I626" s="6" t="str">
        <f>IFERROR(__xludf.DUMMYFUNCTION("""COMPUTED_VALUE"""),"editing")</f>
        <v>editing</v>
      </c>
      <c r="J626" s="6" t="str">
        <f>IFERROR(__xludf.DUMMYFUNCTION("""COMPUTED_VALUE"""),"baffled")</f>
        <v>baffled</v>
      </c>
      <c r="L626" s="6" t="str">
        <f>IFERROR(__xludf.DUMMYFUNCTION("""COMPUTED_VALUE"""),"practiced")</f>
        <v>practiced</v>
      </c>
      <c r="M626" s="6" t="str">
        <f>IFERROR(__xludf.DUMMYFUNCTION("""COMPUTED_VALUE"""),"shining")</f>
        <v>shining</v>
      </c>
      <c r="N626" s="6" t="str">
        <f>IFERROR(__xludf.DUMMYFUNCTION("""COMPUTED_VALUE"""),"spirited")</f>
        <v>spirited</v>
      </c>
      <c r="P626" s="6" t="str">
        <f>IFERROR(__xludf.DUMMYFUNCTION("""COMPUTED_VALUE"""),"eastern")</f>
        <v>eastern</v>
      </c>
      <c r="Q626" s="6" t="str">
        <f>IFERROR(__xludf.DUMMYFUNCTION("""COMPUTED_VALUE"""),"comedic")</f>
        <v>comedic</v>
      </c>
      <c r="S626" s="6" t="str">
        <f>IFERROR(__xludf.DUMMYFUNCTION("""COMPUTED_VALUE"""),"sequence")</f>
        <v>sequence</v>
      </c>
    </row>
    <row r="627">
      <c r="B627" s="6"/>
      <c r="D627" s="6"/>
      <c r="G627" s="6" t="str">
        <f>IFERROR(__xludf.DUMMYFUNCTION("""COMPUTED_VALUE"""),"documented")</f>
        <v>documented</v>
      </c>
      <c r="H627" s="6" t="str">
        <f>IFERROR(__xludf.DUMMYFUNCTION("""COMPUTED_VALUE"""),"dynamics")</f>
        <v>dynamics</v>
      </c>
      <c r="I627" s="6" t="str">
        <f>IFERROR(__xludf.DUMMYFUNCTION("""COMPUTED_VALUE"""),"strength")</f>
        <v>strength</v>
      </c>
      <c r="J627" s="6" t="str">
        <f>IFERROR(__xludf.DUMMYFUNCTION("""COMPUTED_VALUE"""),"cannes")</f>
        <v>cannes</v>
      </c>
      <c r="L627" s="6" t="str">
        <f>IFERROR(__xludf.DUMMYFUNCTION("""COMPUTED_VALUE"""),"concentration")</f>
        <v>concentration</v>
      </c>
      <c r="M627" s="6" t="str">
        <f>IFERROR(__xludf.DUMMYFUNCTION("""COMPUTED_VALUE"""),"frank")</f>
        <v>frank</v>
      </c>
      <c r="N627" s="6" t="str">
        <f>IFERROR(__xludf.DUMMYFUNCTION("""COMPUTED_VALUE"""),"festival")</f>
        <v>festival</v>
      </c>
      <c r="P627" s="6" t="str">
        <f>IFERROR(__xludf.DUMMYFUNCTION("""COMPUTED_VALUE"""),"neither")</f>
        <v>neither</v>
      </c>
      <c r="Q627" s="6" t="str">
        <f>IFERROR(__xludf.DUMMYFUNCTION("""COMPUTED_VALUE"""),"aware")</f>
        <v>aware</v>
      </c>
      <c r="S627" s="6" t="str">
        <f>IFERROR(__xludf.DUMMYFUNCTION("""COMPUTED_VALUE"""),"ticket")</f>
        <v>ticket</v>
      </c>
    </row>
    <row r="628">
      <c r="B628" s="6"/>
      <c r="D628" s="6"/>
      <c r="G628" s="6" t="str">
        <f>IFERROR(__xludf.DUMMYFUNCTION("""COMPUTED_VALUE"""),"popcorn")</f>
        <v>popcorn</v>
      </c>
      <c r="H628" s="6" t="str">
        <f>IFERROR(__xludf.DUMMYFUNCTION("""COMPUTED_VALUE"""),"class")</f>
        <v>class</v>
      </c>
      <c r="I628" s="6" t="str">
        <f>IFERROR(__xludf.DUMMYFUNCTION("""COMPUTED_VALUE"""),"confident")</f>
        <v>confident</v>
      </c>
      <c r="J628" s="6" t="str">
        <f>IFERROR(__xludf.DUMMYFUNCTION("""COMPUTED_VALUE"""),"raphael")</f>
        <v>raphael</v>
      </c>
      <c r="L628" s="6" t="str">
        <f>IFERROR(__xludf.DUMMYFUNCTION("""COMPUTED_VALUE"""),"teacher")</f>
        <v>teacher</v>
      </c>
      <c r="M628" s="6" t="str">
        <f>IFERROR(__xludf.DUMMYFUNCTION("""COMPUTED_VALUE"""),"pictures")</f>
        <v>pictures</v>
      </c>
      <c r="N628" s="6" t="str">
        <f>IFERROR(__xludf.DUMMYFUNCTION("""COMPUTED_VALUE"""),"blanket")</f>
        <v>blanket</v>
      </c>
      <c r="P628" s="6" t="str">
        <f>IFERROR(__xludf.DUMMYFUNCTION("""COMPUTED_VALUE"""),"mean")</f>
        <v>mean</v>
      </c>
      <c r="Q628" s="6" t="str">
        <f>IFERROR(__xludf.DUMMYFUNCTION("""COMPUTED_VALUE"""),"ensemble")</f>
        <v>ensemble</v>
      </c>
      <c r="S628" s="6" t="str">
        <f>IFERROR(__xludf.DUMMYFUNCTION("""COMPUTED_VALUE"""),"complicated")</f>
        <v>complicated</v>
      </c>
    </row>
    <row r="629">
      <c r="B629" s="6"/>
      <c r="D629" s="6"/>
      <c r="G629" s="6" t="str">
        <f>IFERROR(__xludf.DUMMYFUNCTION("""COMPUTED_VALUE"""),"english")</f>
        <v>english</v>
      </c>
      <c r="H629" s="6" t="str">
        <f>IFERROR(__xludf.DUMMYFUNCTION("""COMPUTED_VALUE"""),"morning")</f>
        <v>morning</v>
      </c>
      <c r="I629" s="6" t="str">
        <f>IFERROR(__xludf.DUMMYFUNCTION("""COMPUTED_VALUE"""),"directors")</f>
        <v>directors</v>
      </c>
      <c r="J629" s="6" t="str">
        <f>IFERROR(__xludf.DUMMYFUNCTION("""COMPUTED_VALUE"""),"possible")</f>
        <v>possible</v>
      </c>
      <c r="L629" s="6" t="str">
        <f>IFERROR(__xludf.DUMMYFUNCTION("""COMPUTED_VALUE"""),"bear")</f>
        <v>bear</v>
      </c>
      <c r="M629" s="6" t="str">
        <f>IFERROR(__xludf.DUMMYFUNCTION("""COMPUTED_VALUE"""),"circumstances")</f>
        <v>circumstances</v>
      </c>
      <c r="N629" s="6" t="str">
        <f>IFERROR(__xludf.DUMMYFUNCTION("""COMPUTED_VALUE"""),"meaning")</f>
        <v>meaning</v>
      </c>
      <c r="P629" s="6" t="str">
        <f>IFERROR(__xludf.DUMMYFUNCTION("""COMPUTED_VALUE"""),"stops")</f>
        <v>stops</v>
      </c>
      <c r="Q629" s="6" t="str">
        <f>IFERROR(__xludf.DUMMYFUNCTION("""COMPUTED_VALUE"""),"american")</f>
        <v>american</v>
      </c>
      <c r="S629" s="6" t="str">
        <f>IFERROR(__xludf.DUMMYFUNCTION("""COMPUTED_VALUE"""),"live")</f>
        <v>live</v>
      </c>
    </row>
    <row r="630">
      <c r="B630" s="6"/>
      <c r="D630" s="6"/>
      <c r="G630" s="6" t="str">
        <f>IFERROR(__xludf.DUMMYFUNCTION("""COMPUTED_VALUE"""),"randall")</f>
        <v>randall</v>
      </c>
      <c r="H630" s="6" t="str">
        <f>IFERROR(__xludf.DUMMYFUNCTION("""COMPUTED_VALUE"""),"brightly")</f>
        <v>brightly</v>
      </c>
      <c r="I630" s="6" t="str">
        <f>IFERROR(__xludf.DUMMYFUNCTION("""COMPUTED_VALUE"""),"stephen")</f>
        <v>stephen</v>
      </c>
      <c r="J630" s="6" t="str">
        <f>IFERROR(__xludf.DUMMYFUNCTION("""COMPUTED_VALUE"""),"rises")</f>
        <v>rises</v>
      </c>
      <c r="L630" s="6" t="str">
        <f>IFERROR(__xludf.DUMMYFUNCTION("""COMPUTED_VALUE"""),"string")</f>
        <v>string</v>
      </c>
      <c r="M630" s="6" t="str">
        <f>IFERROR(__xludf.DUMMYFUNCTION("""COMPUTED_VALUE"""),"screen")</f>
        <v>screen</v>
      </c>
      <c r="N630" s="6" t="str">
        <f>IFERROR(__xludf.DUMMYFUNCTION("""COMPUTED_VALUE"""),"mere")</f>
        <v>mere</v>
      </c>
      <c r="P630" s="6" t="str">
        <f>IFERROR(__xludf.DUMMYFUNCTION("""COMPUTED_VALUE"""),"longest")</f>
        <v>longest</v>
      </c>
      <c r="Q630" s="6" t="str">
        <f>IFERROR(__xludf.DUMMYFUNCTION("""COMPUTED_VALUE"""),"symbolism")</f>
        <v>symbolism</v>
      </c>
      <c r="S630" s="6" t="str">
        <f>IFERROR(__xludf.DUMMYFUNCTION("""COMPUTED_VALUE"""),"aware")</f>
        <v>aware</v>
      </c>
    </row>
    <row r="631">
      <c r="B631" s="6"/>
      <c r="D631" s="6"/>
      <c r="G631" s="6" t="str">
        <f>IFERROR(__xludf.DUMMYFUNCTION("""COMPUTED_VALUE"""),"insights")</f>
        <v>insights</v>
      </c>
      <c r="H631" s="6" t="str">
        <f>IFERROR(__xludf.DUMMYFUNCTION("""COMPUTED_VALUE"""),"british")</f>
        <v>british</v>
      </c>
      <c r="I631" s="6" t="str">
        <f>IFERROR(__xludf.DUMMYFUNCTION("""COMPUTED_VALUE"""),"fact")</f>
        <v>fact</v>
      </c>
      <c r="J631" s="6" t="str">
        <f>IFERROR(__xludf.DUMMYFUNCTION("""COMPUTED_VALUE"""),"wherein")</f>
        <v>wherein</v>
      </c>
      <c r="L631" s="6" t="str">
        <f>IFERROR(__xludf.DUMMYFUNCTION("""COMPUTED_VALUE"""),"diver")</f>
        <v>diver</v>
      </c>
      <c r="M631" s="6" t="str">
        <f>IFERROR(__xludf.DUMMYFUNCTION("""COMPUTED_VALUE"""),"distance")</f>
        <v>distance</v>
      </c>
      <c r="N631" s="6" t="str">
        <f>IFERROR(__xludf.DUMMYFUNCTION("""COMPUTED_VALUE"""),"classify")</f>
        <v>classify</v>
      </c>
      <c r="P631" s="6" t="str">
        <f>IFERROR(__xludf.DUMMYFUNCTION("""COMPUTED_VALUE"""),"sharp")</f>
        <v>sharp</v>
      </c>
      <c r="Q631" s="6" t="str">
        <f>IFERROR(__xludf.DUMMYFUNCTION("""COMPUTED_VALUE"""),"psychology")</f>
        <v>psychology</v>
      </c>
      <c r="S631" s="6" t="str">
        <f>IFERROR(__xludf.DUMMYFUNCTION("""COMPUTED_VALUE"""),"pull")</f>
        <v>pull</v>
      </c>
    </row>
    <row r="632">
      <c r="B632" s="6"/>
      <c r="D632" s="6"/>
      <c r="G632" s="6" t="str">
        <f>IFERROR(__xludf.DUMMYFUNCTION("""COMPUTED_VALUE"""),"pushes")</f>
        <v>pushes</v>
      </c>
      <c r="H632" s="6" t="str">
        <f>IFERROR(__xludf.DUMMYFUNCTION("""COMPUTED_VALUE"""),"actor")</f>
        <v>actor</v>
      </c>
      <c r="I632" s="6" t="str">
        <f>IFERROR(__xludf.DUMMYFUNCTION("""COMPUTED_VALUE"""),"publishing")</f>
        <v>publishing</v>
      </c>
      <c r="J632" s="6" t="str">
        <f>IFERROR(__xludf.DUMMYFUNCTION("""COMPUTED_VALUE"""),"holm")</f>
        <v>holm</v>
      </c>
      <c r="L632" s="6" t="str">
        <f>IFERROR(__xludf.DUMMYFUNCTION("""COMPUTED_VALUE"""),"imaginative")</f>
        <v>imaginative</v>
      </c>
      <c r="M632" s="6" t="str">
        <f>IFERROR(__xludf.DUMMYFUNCTION("""COMPUTED_VALUE"""),"perspective")</f>
        <v>perspective</v>
      </c>
      <c r="N632" s="6" t="str">
        <f>IFERROR(__xludf.DUMMYFUNCTION("""COMPUTED_VALUE"""),"intent")</f>
        <v>intent</v>
      </c>
      <c r="P632" s="6" t="str">
        <f>IFERROR(__xludf.DUMMYFUNCTION("""COMPUTED_VALUE"""),"distinctive")</f>
        <v>distinctive</v>
      </c>
      <c r="Q632" s="6" t="str">
        <f>IFERROR(__xludf.DUMMYFUNCTION("""COMPUTED_VALUE"""),"stalker")</f>
        <v>stalker</v>
      </c>
      <c r="S632" s="6" t="str">
        <f>IFERROR(__xludf.DUMMYFUNCTION("""COMPUTED_VALUE"""),"ensemble")</f>
        <v>ensemble</v>
      </c>
    </row>
    <row r="633">
      <c r="B633" s="6"/>
      <c r="D633" s="6"/>
      <c r="G633" s="6" t="str">
        <f>IFERROR(__xludf.DUMMYFUNCTION("""COMPUTED_VALUE"""),"holds")</f>
        <v>holds</v>
      </c>
      <c r="H633" s="6" t="str">
        <f>IFERROR(__xludf.DUMMYFUNCTION("""COMPUTED_VALUE"""),"playful")</f>
        <v>playful</v>
      </c>
      <c r="I633" s="6" t="str">
        <f>IFERROR(__xludf.DUMMYFUNCTION("""COMPUTED_VALUE"""),"william")</f>
        <v>william</v>
      </c>
      <c r="J633" s="6" t="str">
        <f>IFERROR(__xludf.DUMMYFUNCTION("""COMPUTED_VALUE"""),"ian")</f>
        <v>ian</v>
      </c>
      <c r="L633" s="6" t="str">
        <f>IFERROR(__xludf.DUMMYFUNCTION("""COMPUTED_VALUE"""),"expense")</f>
        <v>expense</v>
      </c>
      <c r="M633" s="6" t="str">
        <f>IFERROR(__xludf.DUMMYFUNCTION("""COMPUTED_VALUE"""),"winning")</f>
        <v>winning</v>
      </c>
      <c r="N633" s="6" t="str">
        <f>IFERROR(__xludf.DUMMYFUNCTION("""COMPUTED_VALUE"""),"candy")</f>
        <v>candy</v>
      </c>
      <c r="P633" s="6" t="str">
        <f>IFERROR(__xludf.DUMMYFUNCTION("""COMPUTED_VALUE"""),"safe")</f>
        <v>safe</v>
      </c>
      <c r="Q633" s="6" t="str">
        <f>IFERROR(__xludf.DUMMYFUNCTION("""COMPUTED_VALUE"""),"renowned")</f>
        <v>renowned</v>
      </c>
      <c r="S633" s="6" t="str">
        <f>IFERROR(__xludf.DUMMYFUNCTION("""COMPUTED_VALUE"""),"american")</f>
        <v>american</v>
      </c>
    </row>
    <row r="634">
      <c r="B634" s="6"/>
      <c r="D634" s="6"/>
      <c r="G634" s="6" t="str">
        <f>IFERROR(__xludf.DUMMYFUNCTION("""COMPUTED_VALUE"""),"spike")</f>
        <v>spike</v>
      </c>
      <c r="H634" s="6" t="str">
        <f>IFERROR(__xludf.DUMMYFUNCTION("""COMPUTED_VALUE"""),"nicholas")</f>
        <v>nicholas</v>
      </c>
      <c r="I634" s="6" t="str">
        <f>IFERROR(__xludf.DUMMYFUNCTION("""COMPUTED_VALUE"""),"hollow")</f>
        <v>hollow</v>
      </c>
      <c r="J634" s="6" t="str">
        <f>IFERROR(__xludf.DUMMYFUNCTION("""COMPUTED_VALUE"""),"minds")</f>
        <v>minds</v>
      </c>
      <c r="L634" s="6" t="str">
        <f>IFERROR(__xludf.DUMMYFUNCTION("""COMPUTED_VALUE"""),"profound")</f>
        <v>profound</v>
      </c>
      <c r="M634" s="6" t="str">
        <f>IFERROR(__xludf.DUMMYFUNCTION("""COMPUTED_VALUE"""),"event")</f>
        <v>event</v>
      </c>
      <c r="N634" s="6" t="str">
        <f>IFERROR(__xludf.DUMMYFUNCTION("""COMPUTED_VALUE"""),"fashioned")</f>
        <v>fashioned</v>
      </c>
      <c r="P634" s="6" t="str">
        <f>IFERROR(__xludf.DUMMYFUNCTION("""COMPUTED_VALUE"""),"discipline")</f>
        <v>discipline</v>
      </c>
      <c r="Q634" s="6" t="str">
        <f>IFERROR(__xludf.DUMMYFUNCTION("""COMPUTED_VALUE"""),"allows")</f>
        <v>allows</v>
      </c>
      <c r="S634" s="6" t="str">
        <f>IFERROR(__xludf.DUMMYFUNCTION("""COMPUTED_VALUE"""),"psychology")</f>
        <v>psychology</v>
      </c>
    </row>
    <row r="635">
      <c r="B635" s="6"/>
      <c r="D635" s="6"/>
      <c r="G635" s="6" t="str">
        <f>IFERROR(__xludf.DUMMYFUNCTION("""COMPUTED_VALUE"""),"arguments")</f>
        <v>arguments</v>
      </c>
      <c r="H635" s="6" t="str">
        <f>IFERROR(__xludf.DUMMYFUNCTION("""COMPUTED_VALUE"""),"optimistic")</f>
        <v>optimistic</v>
      </c>
      <c r="I635" s="6" t="str">
        <f>IFERROR(__xludf.DUMMYFUNCTION("""COMPUTED_VALUE"""),"burning")</f>
        <v>burning</v>
      </c>
      <c r="J635" s="6" t="str">
        <f>IFERROR(__xludf.DUMMYFUNCTION("""COMPUTED_VALUE"""),"justice")</f>
        <v>justice</v>
      </c>
      <c r="L635" s="6" t="str">
        <f>IFERROR(__xludf.DUMMYFUNCTION("""COMPUTED_VALUE"""),"stimulus")</f>
        <v>stimulus</v>
      </c>
      <c r="M635" s="6" t="str">
        <f>IFERROR(__xludf.DUMMYFUNCTION("""COMPUTED_VALUE"""),"crime")</f>
        <v>crime</v>
      </c>
      <c r="N635" s="6" t="str">
        <f>IFERROR(__xludf.DUMMYFUNCTION("""COMPUTED_VALUE"""),"midway")</f>
        <v>midway</v>
      </c>
      <c r="P635" s="6" t="str">
        <f>IFERROR(__xludf.DUMMYFUNCTION("""COMPUTED_VALUE"""),"samuel")</f>
        <v>samuel</v>
      </c>
      <c r="Q635" s="6" t="str">
        <f>IFERROR(__xludf.DUMMYFUNCTION("""COMPUTED_VALUE"""),"receive")</f>
        <v>receive</v>
      </c>
      <c r="S635" s="6" t="str">
        <f>IFERROR(__xludf.DUMMYFUNCTION("""COMPUTED_VALUE"""),"allows")</f>
        <v>allows</v>
      </c>
    </row>
    <row r="636">
      <c r="B636" s="6"/>
      <c r="D636" s="6"/>
      <c r="G636" s="6" t="str">
        <f>IFERROR(__xludf.DUMMYFUNCTION("""COMPUTED_VALUE"""),"catches")</f>
        <v>catches</v>
      </c>
      <c r="H636" s="6" t="str">
        <f>IFERROR(__xludf.DUMMYFUNCTION("""COMPUTED_VALUE"""),"smarter")</f>
        <v>smarter</v>
      </c>
      <c r="I636" s="6" t="str">
        <f>IFERROR(__xludf.DUMMYFUNCTION("""COMPUTED_VALUE"""),"sensation")</f>
        <v>sensation</v>
      </c>
      <c r="J636" s="6" t="str">
        <f>IFERROR(__xludf.DUMMYFUNCTION("""COMPUTED_VALUE"""),"dawson")</f>
        <v>dawson</v>
      </c>
      <c r="L636" s="6" t="str">
        <f>IFERROR(__xludf.DUMMYFUNCTION("""COMPUTED_VALUE"""),"expectation")</f>
        <v>expectation</v>
      </c>
      <c r="M636" s="6" t="str">
        <f>IFERROR(__xludf.DUMMYFUNCTION("""COMPUTED_VALUE"""),"spirit")</f>
        <v>spirit</v>
      </c>
      <c r="N636" s="6" t="str">
        <f>IFERROR(__xludf.DUMMYFUNCTION("""COMPUTED_VALUE"""),"adventure")</f>
        <v>adventure</v>
      </c>
      <c r="P636" s="6" t="str">
        <f>IFERROR(__xludf.DUMMYFUNCTION("""COMPUTED_VALUE"""),"jackson")</f>
        <v>jackson</v>
      </c>
      <c r="Q636" s="6" t="str">
        <f>IFERROR(__xludf.DUMMYFUNCTION("""COMPUTED_VALUE"""),"vibrant")</f>
        <v>vibrant</v>
      </c>
      <c r="S636" s="6" t="str">
        <f>IFERROR(__xludf.DUMMYFUNCTION("""COMPUTED_VALUE"""),"renowned")</f>
        <v>renowned</v>
      </c>
    </row>
    <row r="637">
      <c r="B637" s="6"/>
      <c r="D637" s="6"/>
      <c r="G637" s="6" t="str">
        <f>IFERROR(__xludf.DUMMYFUNCTION("""COMPUTED_VALUE"""),"newcomer")</f>
        <v>newcomer</v>
      </c>
      <c r="H637" s="6" t="str">
        <f>IFERROR(__xludf.DUMMYFUNCTION("""COMPUTED_VALUE"""),"pack")</f>
        <v>pack</v>
      </c>
      <c r="I637" s="6" t="str">
        <f>IFERROR(__xludf.DUMMYFUNCTION("""COMPUTED_VALUE"""),"portrayed")</f>
        <v>portrayed</v>
      </c>
      <c r="J637" s="6" t="str">
        <f>IFERROR(__xludf.DUMMYFUNCTION("""COMPUTED_VALUE"""),"portray")</f>
        <v>portray</v>
      </c>
      <c r="L637" s="6" t="str">
        <f>IFERROR(__xludf.DUMMYFUNCTION("""COMPUTED_VALUE"""),"technology")</f>
        <v>technology</v>
      </c>
      <c r="M637" s="6" t="str">
        <f>IFERROR(__xludf.DUMMYFUNCTION("""COMPUTED_VALUE"""),"greater")</f>
        <v>greater</v>
      </c>
      <c r="N637" s="6" t="str">
        <f>IFERROR(__xludf.DUMMYFUNCTION("""COMPUTED_VALUE"""),"journey")</f>
        <v>journey</v>
      </c>
      <c r="P637" s="6" t="str">
        <f>IFERROR(__xludf.DUMMYFUNCTION("""COMPUTED_VALUE"""),"aims")</f>
        <v>aims</v>
      </c>
      <c r="Q637" s="6" t="str">
        <f>IFERROR(__xludf.DUMMYFUNCTION("""COMPUTED_VALUE"""),"colorful")</f>
        <v>colorful</v>
      </c>
      <c r="S637" s="6" t="str">
        <f>IFERROR(__xludf.DUMMYFUNCTION("""COMPUTED_VALUE"""),"receive")</f>
        <v>receive</v>
      </c>
    </row>
    <row r="638">
      <c r="B638" s="6"/>
      <c r="D638" s="6"/>
      <c r="G638" s="6" t="str">
        <f>IFERROR(__xludf.DUMMYFUNCTION("""COMPUTED_VALUE"""),"charismatic")</f>
        <v>charismatic</v>
      </c>
      <c r="H638" s="6" t="str">
        <f>IFERROR(__xludf.DUMMYFUNCTION("""COMPUTED_VALUE"""),"measured")</f>
        <v>measured</v>
      </c>
      <c r="I638" s="6">
        <f>IFERROR(__xludf.DUMMYFUNCTION("""COMPUTED_VALUE"""),30.0)</f>
        <v>30</v>
      </c>
      <c r="J638" s="6" t="str">
        <f>IFERROR(__xludf.DUMMYFUNCTION("""COMPUTED_VALUE"""),"someone")</f>
        <v>someone</v>
      </c>
      <c r="L638" s="6" t="str">
        <f>IFERROR(__xludf.DUMMYFUNCTION("""COMPUTED_VALUE"""),"themes")</f>
        <v>themes</v>
      </c>
      <c r="M638" s="6" t="str">
        <f>IFERROR(__xludf.DUMMYFUNCTION("""COMPUTED_VALUE"""),"watching")</f>
        <v>watching</v>
      </c>
      <c r="N638" s="6" t="str">
        <f>IFERROR(__xludf.DUMMYFUNCTION("""COMPUTED_VALUE"""),"landscape")</f>
        <v>landscape</v>
      </c>
      <c r="P638" s="6" t="str">
        <f>IFERROR(__xludf.DUMMYFUNCTION("""COMPUTED_VALUE"""),"sounding")</f>
        <v>sounding</v>
      </c>
      <c r="Q638" s="6" t="str">
        <f>IFERROR(__xludf.DUMMYFUNCTION("""COMPUTED_VALUE"""),"photographic")</f>
        <v>photographic</v>
      </c>
      <c r="S638" s="6" t="str">
        <f>IFERROR(__xludf.DUMMYFUNCTION("""COMPUTED_VALUE"""),"introduction")</f>
        <v>introduction</v>
      </c>
    </row>
    <row r="639">
      <c r="B639" s="6"/>
      <c r="D639" s="6"/>
      <c r="G639" s="6" t="str">
        <f>IFERROR(__xludf.DUMMYFUNCTION("""COMPUTED_VALUE"""),"rising")</f>
        <v>rising</v>
      </c>
      <c r="H639" s="6" t="str">
        <f>IFERROR(__xludf.DUMMYFUNCTION("""COMPUTED_VALUE"""),"permits")</f>
        <v>permits</v>
      </c>
      <c r="I639" s="6" t="str">
        <f>IFERROR(__xludf.DUMMYFUNCTION("""COMPUTED_VALUE"""),"themes")</f>
        <v>themes</v>
      </c>
      <c r="J639" s="6" t="str">
        <f>IFERROR(__xludf.DUMMYFUNCTION("""COMPUTED_VALUE"""),"responsibilities")</f>
        <v>responsibilities</v>
      </c>
      <c r="L639" s="6" t="str">
        <f>IFERROR(__xludf.DUMMYFUNCTION("""COMPUTED_VALUE"""),"brushes")</f>
        <v>brushes</v>
      </c>
      <c r="M639" s="6" t="str">
        <f>IFERROR(__xludf.DUMMYFUNCTION("""COMPUTED_VALUE"""),"planet")</f>
        <v>planet</v>
      </c>
      <c r="N639" s="6" t="str">
        <f>IFERROR(__xludf.DUMMYFUNCTION("""COMPUTED_VALUE"""),"fellow")</f>
        <v>fellow</v>
      </c>
      <c r="P639" s="6" t="str">
        <f>IFERROR(__xludf.DUMMYFUNCTION("""COMPUTED_VALUE"""),"visual")</f>
        <v>visual</v>
      </c>
      <c r="Q639" s="6" t="str">
        <f>IFERROR(__xludf.DUMMYFUNCTION("""COMPUTED_VALUE"""),"marvel")</f>
        <v>marvel</v>
      </c>
      <c r="S639" s="6" t="str">
        <f>IFERROR(__xludf.DUMMYFUNCTION("""COMPUTED_VALUE"""),"parade")</f>
        <v>parade</v>
      </c>
    </row>
    <row r="640">
      <c r="B640" s="6"/>
      <c r="D640" s="6"/>
      <c r="G640" s="6" t="str">
        <f>IFERROR(__xludf.DUMMYFUNCTION("""COMPUTED_VALUE"""),"harmless")</f>
        <v>harmless</v>
      </c>
      <c r="H640" s="6" t="str">
        <f>IFERROR(__xludf.DUMMYFUNCTION("""COMPUTED_VALUE"""),"acute")</f>
        <v>acute</v>
      </c>
      <c r="I640" s="6" t="str">
        <f>IFERROR(__xludf.DUMMYFUNCTION("""COMPUTED_VALUE"""),"noble")</f>
        <v>noble</v>
      </c>
      <c r="J640" s="6" t="str">
        <f>IFERROR(__xludf.DUMMYFUNCTION("""COMPUTED_VALUE"""),"achievement")</f>
        <v>achievement</v>
      </c>
      <c r="L640" s="6" t="str">
        <f>IFERROR(__xludf.DUMMYFUNCTION("""COMPUTED_VALUE"""),"instrument")</f>
        <v>instrument</v>
      </c>
      <c r="M640" s="6" t="str">
        <f>IFERROR(__xludf.DUMMYFUNCTION("""COMPUTED_VALUE"""),"wondered")</f>
        <v>wondered</v>
      </c>
      <c r="N640" s="6" t="str">
        <f>IFERROR(__xludf.DUMMYFUNCTION("""COMPUTED_VALUE"""),"tool")</f>
        <v>tool</v>
      </c>
      <c r="P640" s="6" t="str">
        <f>IFERROR(__xludf.DUMMYFUNCTION("""COMPUTED_VALUE"""),"close")</f>
        <v>close</v>
      </c>
      <c r="Q640" s="6" t="str">
        <f>IFERROR(__xludf.DUMMYFUNCTION("""COMPUTED_VALUE"""),"sequences")</f>
        <v>sequences</v>
      </c>
      <c r="S640" s="6" t="str">
        <f>IFERROR(__xludf.DUMMYFUNCTION("""COMPUTED_VALUE"""),"forcing")</f>
        <v>forcing</v>
      </c>
    </row>
    <row r="641">
      <c r="B641" s="6"/>
      <c r="D641" s="6"/>
      <c r="G641" s="6" t="str">
        <f>IFERROR(__xludf.DUMMYFUNCTION("""COMPUTED_VALUE"""),"miraculous")</f>
        <v>miraculous</v>
      </c>
      <c r="H641" s="6" t="str">
        <f>IFERROR(__xludf.DUMMYFUNCTION("""COMPUTED_VALUE"""),"splendid")</f>
        <v>splendid</v>
      </c>
      <c r="I641" s="6" t="str">
        <f>IFERROR(__xludf.DUMMYFUNCTION("""COMPUTED_VALUE"""),"strict")</f>
        <v>strict</v>
      </c>
      <c r="J641" s="6" t="str">
        <f>IFERROR(__xludf.DUMMYFUNCTION("""COMPUTED_VALUE"""),"monumental")</f>
        <v>monumental</v>
      </c>
      <c r="L641" s="6" t="str">
        <f>IFERROR(__xludf.DUMMYFUNCTION("""COMPUTED_VALUE"""),"trumpet")</f>
        <v>trumpet</v>
      </c>
      <c r="M641" s="6" t="str">
        <f>IFERROR(__xludf.DUMMYFUNCTION("""COMPUTED_VALUE"""),"blind")</f>
        <v>blind</v>
      </c>
      <c r="N641" s="6" t="str">
        <f>IFERROR(__xludf.DUMMYFUNCTION("""COMPUTED_VALUE"""),"valuable")</f>
        <v>valuable</v>
      </c>
      <c r="P641" s="6" t="str">
        <f>IFERROR(__xludf.DUMMYFUNCTION("""COMPUTED_VALUE"""),"moral")</f>
        <v>moral</v>
      </c>
      <c r="Q641" s="6" t="str">
        <f>IFERROR(__xludf.DUMMYFUNCTION("""COMPUTED_VALUE"""),"pulls")</f>
        <v>pulls</v>
      </c>
      <c r="S641" s="6" t="str">
        <f>IFERROR(__xludf.DUMMYFUNCTION("""COMPUTED_VALUE"""),"marvel")</f>
        <v>marvel</v>
      </c>
    </row>
    <row r="642">
      <c r="B642" s="6"/>
      <c r="D642" s="6"/>
      <c r="G642" s="6" t="str">
        <f>IFERROR(__xludf.DUMMYFUNCTION("""COMPUTED_VALUE"""),"adequately")</f>
        <v>adequately</v>
      </c>
      <c r="H642" s="6" t="str">
        <f>IFERROR(__xludf.DUMMYFUNCTION("""COMPUTED_VALUE"""),"absorbing")</f>
        <v>absorbing</v>
      </c>
      <c r="I642" s="6" t="str">
        <f>IFERROR(__xludf.DUMMYFUNCTION("""COMPUTED_VALUE"""),"innocent")</f>
        <v>innocent</v>
      </c>
      <c r="J642" s="6" t="str">
        <f>IFERROR(__xludf.DUMMYFUNCTION("""COMPUTED_VALUE"""),"morgan")</f>
        <v>morgan</v>
      </c>
      <c r="L642" s="6" t="str">
        <f>IFERROR(__xludf.DUMMYFUNCTION("""COMPUTED_VALUE"""),"ed")</f>
        <v>ed</v>
      </c>
      <c r="M642" s="6" t="str">
        <f>IFERROR(__xludf.DUMMYFUNCTION("""COMPUTED_VALUE"""),"ye")</f>
        <v>ye</v>
      </c>
      <c r="N642" s="6" t="str">
        <f>IFERROR(__xludf.DUMMYFUNCTION("""COMPUTED_VALUE"""),"map")</f>
        <v>map</v>
      </c>
      <c r="P642" s="6" t="str">
        <f>IFERROR(__xludf.DUMMYFUNCTION("""COMPUTED_VALUE"""),"frank")</f>
        <v>frank</v>
      </c>
      <c r="Q642" s="6" t="str">
        <f>IFERROR(__xludf.DUMMYFUNCTION("""COMPUTED_VALUE"""),"illustrates")</f>
        <v>illustrates</v>
      </c>
      <c r="S642" s="6" t="str">
        <f>IFERROR(__xludf.DUMMYFUNCTION("""COMPUTED_VALUE"""),"pulls")</f>
        <v>pulls</v>
      </c>
    </row>
    <row r="643">
      <c r="B643" s="6"/>
      <c r="D643" s="6"/>
      <c r="G643" s="6" t="str">
        <f>IFERROR(__xludf.DUMMYFUNCTION("""COMPUTED_VALUE"""),"uncertain")</f>
        <v>uncertain</v>
      </c>
      <c r="H643" s="6" t="str">
        <f>IFERROR(__xludf.DUMMYFUNCTION("""COMPUTED_VALUE"""),"spirituality")</f>
        <v>spirituality</v>
      </c>
      <c r="I643" s="6" t="str">
        <f>IFERROR(__xludf.DUMMYFUNCTION("""COMPUTED_VALUE"""),"panic")</f>
        <v>panic</v>
      </c>
      <c r="J643" s="6" t="str">
        <f>IFERROR(__xludf.DUMMYFUNCTION("""COMPUTED_VALUE"""),"freeman")</f>
        <v>freeman</v>
      </c>
      <c r="L643" s="6" t="str">
        <f>IFERROR(__xludf.DUMMYFUNCTION("""COMPUTED_VALUE"""),"accurately")</f>
        <v>accurately</v>
      </c>
      <c r="M643" s="6" t="str">
        <f>IFERROR(__xludf.DUMMYFUNCTION("""COMPUTED_VALUE"""),"waters")</f>
        <v>waters</v>
      </c>
      <c r="N643" s="6" t="str">
        <f>IFERROR(__xludf.DUMMYFUNCTION("""COMPUTED_VALUE"""),"images")</f>
        <v>images</v>
      </c>
      <c r="P643" s="6" t="str">
        <f>IFERROR(__xludf.DUMMYFUNCTION("""COMPUTED_VALUE"""),"democracy")</f>
        <v>democracy</v>
      </c>
      <c r="Q643" s="6" t="str">
        <f>IFERROR(__xludf.DUMMYFUNCTION("""COMPUTED_VALUE"""),"sum")</f>
        <v>sum</v>
      </c>
      <c r="S643" s="6" t="str">
        <f>IFERROR(__xludf.DUMMYFUNCTION("""COMPUTED_VALUE"""),"sequences")</f>
        <v>sequences</v>
      </c>
    </row>
    <row r="644">
      <c r="B644" s="6"/>
      <c r="D644" s="6"/>
      <c r="G644" s="6" t="str">
        <f>IFERROR(__xludf.DUMMYFUNCTION("""COMPUTED_VALUE"""),"morally")</f>
        <v>morally</v>
      </c>
      <c r="H644" s="6" t="str">
        <f>IFERROR(__xludf.DUMMYFUNCTION("""COMPUTED_VALUE"""),"treatise")</f>
        <v>treatise</v>
      </c>
      <c r="I644" s="6" t="str">
        <f>IFERROR(__xludf.DUMMYFUNCTION("""COMPUTED_VALUE"""),"manage")</f>
        <v>manage</v>
      </c>
      <c r="J644" s="6" t="str">
        <f>IFERROR(__xludf.DUMMYFUNCTION("""COMPUTED_VALUE"""),"judd")</f>
        <v>judd</v>
      </c>
      <c r="L644" s="6" t="str">
        <f>IFERROR(__xludf.DUMMYFUNCTION("""COMPUTED_VALUE"""),"humanity")</f>
        <v>humanity</v>
      </c>
      <c r="M644" s="6" t="str">
        <f>IFERROR(__xludf.DUMMYFUNCTION("""COMPUTED_VALUE"""),"travel")</f>
        <v>travel</v>
      </c>
      <c r="N644" s="6" t="str">
        <f>IFERROR(__xludf.DUMMYFUNCTION("""COMPUTED_VALUE"""),"cellular")</f>
        <v>cellular</v>
      </c>
      <c r="P644" s="6" t="str">
        <f>IFERROR(__xludf.DUMMYFUNCTION("""COMPUTED_VALUE"""),"civic")</f>
        <v>civic</v>
      </c>
      <c r="Q644" s="6" t="str">
        <f>IFERROR(__xludf.DUMMYFUNCTION("""COMPUTED_VALUE"""),"parts")</f>
        <v>parts</v>
      </c>
      <c r="S644" s="6" t="str">
        <f>IFERROR(__xludf.DUMMYFUNCTION("""COMPUTED_VALUE"""),"result")</f>
        <v>result</v>
      </c>
    </row>
    <row r="645">
      <c r="B645" s="6"/>
      <c r="D645" s="6"/>
      <c r="G645" s="6" t="str">
        <f>IFERROR(__xludf.DUMMYFUNCTION("""COMPUTED_VALUE"""),"veil")</f>
        <v>veil</v>
      </c>
      <c r="H645" s="6" t="str">
        <f>IFERROR(__xludf.DUMMYFUNCTION("""COMPUTED_VALUE"""),"liberation")</f>
        <v>liberation</v>
      </c>
      <c r="I645" s="6" t="str">
        <f>IFERROR(__xludf.DUMMYFUNCTION("""COMPUTED_VALUE"""),"wants")</f>
        <v>wants</v>
      </c>
      <c r="J645" s="6" t="str">
        <f>IFERROR(__xludf.DUMMYFUNCTION("""COMPUTED_VALUE"""),"grey")</f>
        <v>grey</v>
      </c>
      <c r="L645" s="6" t="str">
        <f>IFERROR(__xludf.DUMMYFUNCTION("""COMPUTED_VALUE"""),"recovery")</f>
        <v>recovery</v>
      </c>
      <c r="M645" s="6" t="str">
        <f>IFERROR(__xludf.DUMMYFUNCTION("""COMPUTED_VALUE"""),"exhausted")</f>
        <v>exhausted</v>
      </c>
      <c r="N645" s="6" t="str">
        <f>IFERROR(__xludf.DUMMYFUNCTION("""COMPUTED_VALUE"""),"boat")</f>
        <v>boat</v>
      </c>
      <c r="P645" s="6" t="str">
        <f>IFERROR(__xludf.DUMMYFUNCTION("""COMPUTED_VALUE"""),"place")</f>
        <v>place</v>
      </c>
      <c r="Q645" s="6" t="str">
        <f>IFERROR(__xludf.DUMMYFUNCTION("""COMPUTED_VALUE"""),"collegiate")</f>
        <v>collegiate</v>
      </c>
      <c r="S645" s="6" t="str">
        <f>IFERROR(__xludf.DUMMYFUNCTION("""COMPUTED_VALUE"""),"parts")</f>
        <v>parts</v>
      </c>
    </row>
    <row r="646">
      <c r="B646" s="6"/>
      <c r="D646" s="6"/>
      <c r="G646" s="6" t="str">
        <f>IFERROR(__xludf.DUMMYFUNCTION("""COMPUTED_VALUE"""),"editing")</f>
        <v>editing</v>
      </c>
      <c r="H646" s="6" t="str">
        <f>IFERROR(__xludf.DUMMYFUNCTION("""COMPUTED_VALUE"""),"caine")</f>
        <v>caine</v>
      </c>
      <c r="I646" s="6" t="str">
        <f>IFERROR(__xludf.DUMMYFUNCTION("""COMPUTED_VALUE"""),"african")</f>
        <v>african</v>
      </c>
      <c r="J646" s="6" t="str">
        <f>IFERROR(__xludf.DUMMYFUNCTION("""COMPUTED_VALUE"""),"shadowy")</f>
        <v>shadowy</v>
      </c>
      <c r="L646" s="6" t="str">
        <f>IFERROR(__xludf.DUMMYFUNCTION("""COMPUTED_VALUE"""),"clarity")</f>
        <v>clarity</v>
      </c>
      <c r="M646" s="6" t="str">
        <f>IFERROR(__xludf.DUMMYFUNCTION("""COMPUTED_VALUE"""),"gentle")</f>
        <v>gentle</v>
      </c>
      <c r="N646" s="6" t="str">
        <f>IFERROR(__xludf.DUMMYFUNCTION("""COMPUTED_VALUE"""),"splash")</f>
        <v>splash</v>
      </c>
      <c r="P646" s="6" t="str">
        <f>IFERROR(__xludf.DUMMYFUNCTION("""COMPUTED_VALUE"""),"spy")</f>
        <v>spy</v>
      </c>
      <c r="Q646" s="6" t="str">
        <f>IFERROR(__xludf.DUMMYFUNCTION("""COMPUTED_VALUE"""),"factor")</f>
        <v>factor</v>
      </c>
      <c r="S646" s="6" t="str">
        <f>IFERROR(__xludf.DUMMYFUNCTION("""COMPUTED_VALUE"""),"sort")</f>
        <v>sort</v>
      </c>
    </row>
    <row r="647">
      <c r="B647" s="6"/>
      <c r="D647" s="6"/>
      <c r="G647" s="6" t="str">
        <f>IFERROR(__xludf.DUMMYFUNCTION("""COMPUTED_VALUE"""),"strength")</f>
        <v>strength</v>
      </c>
      <c r="H647" s="6" t="str">
        <f>IFERROR(__xludf.DUMMYFUNCTION("""COMPUTED_VALUE"""),"punching")</f>
        <v>punching</v>
      </c>
      <c r="I647" s="6" t="str">
        <f>IFERROR(__xludf.DUMMYFUNCTION("""COMPUTED_VALUE"""),"range")</f>
        <v>range</v>
      </c>
      <c r="J647" s="6" t="str">
        <f>IFERROR(__xludf.DUMMYFUNCTION("""COMPUTED_VALUE"""),"generated")</f>
        <v>generated</v>
      </c>
      <c r="L647" s="6" t="str">
        <f>IFERROR(__xludf.DUMMYFUNCTION("""COMPUTED_VALUE"""),"astonishing")</f>
        <v>astonishing</v>
      </c>
      <c r="M647" s="6" t="str">
        <f>IFERROR(__xludf.DUMMYFUNCTION("""COMPUTED_VALUE"""),"edge")</f>
        <v>edge</v>
      </c>
      <c r="N647" s="6" t="str">
        <f>IFERROR(__xludf.DUMMYFUNCTION("""COMPUTED_VALUE"""),"lunar")</f>
        <v>lunar</v>
      </c>
      <c r="P647" s="6" t="str">
        <f>IFERROR(__xludf.DUMMYFUNCTION("""COMPUTED_VALUE"""),"adult")</f>
        <v>adult</v>
      </c>
      <c r="Q647" s="6" t="str">
        <f>IFERROR(__xludf.DUMMYFUNCTION("""COMPUTED_VALUE"""),"emerging")</f>
        <v>emerging</v>
      </c>
      <c r="S647" s="6" t="str">
        <f>IFERROR(__xludf.DUMMYFUNCTION("""COMPUTED_VALUE"""),"sum")</f>
        <v>sum</v>
      </c>
    </row>
    <row r="648">
      <c r="B648" s="6"/>
      <c r="D648" s="6"/>
      <c r="G648" s="6" t="str">
        <f>IFERROR(__xludf.DUMMYFUNCTION("""COMPUTED_VALUE"""),"scripts")</f>
        <v>scripts</v>
      </c>
      <c r="H648" s="6" t="str">
        <f>IFERROR(__xludf.DUMMYFUNCTION("""COMPUTED_VALUE"""),"reckless")</f>
        <v>reckless</v>
      </c>
      <c r="I648" s="6" t="str">
        <f>IFERROR(__xludf.DUMMYFUNCTION("""COMPUTED_VALUE"""),"rise")</f>
        <v>rise</v>
      </c>
      <c r="J648" s="6" t="str">
        <f>IFERROR(__xludf.DUMMYFUNCTION("""COMPUTED_VALUE"""),"graceful")</f>
        <v>graceful</v>
      </c>
      <c r="L648" s="6" t="str">
        <f>IFERROR(__xludf.DUMMYFUNCTION("""COMPUTED_VALUE"""),"panic")</f>
        <v>panic</v>
      </c>
      <c r="M648" s="6" t="str">
        <f>IFERROR(__xludf.DUMMYFUNCTION("""COMPUTED_VALUE"""),"makeup")</f>
        <v>makeup</v>
      </c>
      <c r="N648" s="6" t="str">
        <f>IFERROR(__xludf.DUMMYFUNCTION("""COMPUTED_VALUE"""),"accurate")</f>
        <v>accurate</v>
      </c>
      <c r="P648" s="6" t="str">
        <f>IFERROR(__xludf.DUMMYFUNCTION("""COMPUTED_VALUE"""),"episodes")</f>
        <v>episodes</v>
      </c>
      <c r="Q648" s="6" t="str">
        <f>IFERROR(__xludf.DUMMYFUNCTION("""COMPUTED_VALUE"""),"entity")</f>
        <v>entity</v>
      </c>
      <c r="S648" s="6" t="str">
        <f>IFERROR(__xludf.DUMMYFUNCTION("""COMPUTED_VALUE"""),"reduced")</f>
        <v>reduced</v>
      </c>
    </row>
    <row r="649">
      <c r="B649" s="6"/>
      <c r="D649" s="6"/>
      <c r="G649" s="6" t="str">
        <f>IFERROR(__xludf.DUMMYFUNCTION("""COMPUTED_VALUE"""),"abandon")</f>
        <v>abandon</v>
      </c>
      <c r="H649" s="6" t="str">
        <f>IFERROR(__xludf.DUMMYFUNCTION("""COMPUTED_VALUE"""),"cia")</f>
        <v>cia</v>
      </c>
      <c r="I649" s="6" t="str">
        <f>IFERROR(__xludf.DUMMYFUNCTION("""COMPUTED_VALUE"""),"broadway")</f>
        <v>broadway</v>
      </c>
      <c r="J649" s="6" t="str">
        <f>IFERROR(__xludf.DUMMYFUNCTION("""COMPUTED_VALUE"""),"frantic")</f>
        <v>frantic</v>
      </c>
      <c r="L649" s="6" t="str">
        <f>IFERROR(__xludf.DUMMYFUNCTION("""COMPUTED_VALUE"""),"ne")</f>
        <v>ne</v>
      </c>
      <c r="M649" s="6" t="str">
        <f>IFERROR(__xludf.DUMMYFUNCTION("""COMPUTED_VALUE"""),"collapse")</f>
        <v>collapse</v>
      </c>
      <c r="N649" s="6" t="str">
        <f>IFERROR(__xludf.DUMMYFUNCTION("""COMPUTED_VALUE"""),"trailer")</f>
        <v>trailer</v>
      </c>
      <c r="P649" s="6" t="str">
        <f>IFERROR(__xludf.DUMMYFUNCTION("""COMPUTED_VALUE"""),"generation")</f>
        <v>generation</v>
      </c>
      <c r="Q649" s="6" t="str">
        <f>IFERROR(__xludf.DUMMYFUNCTION("""COMPUTED_VALUE"""),"audiences")</f>
        <v>audiences</v>
      </c>
      <c r="S649" s="6" t="str">
        <f>IFERROR(__xludf.DUMMYFUNCTION("""COMPUTED_VALUE"""),"collegiate")</f>
        <v>collegiate</v>
      </c>
    </row>
    <row r="650">
      <c r="B650" s="6"/>
      <c r="D650" s="6"/>
      <c r="G650" s="6" t="str">
        <f>IFERROR(__xludf.DUMMYFUNCTION("""COMPUTED_VALUE"""),"directors")</f>
        <v>directors</v>
      </c>
      <c r="H650" s="6" t="str">
        <f>IFERROR(__xludf.DUMMYFUNCTION("""COMPUTED_VALUE"""),"changing")</f>
        <v>changing</v>
      </c>
      <c r="I650" s="6" t="str">
        <f>IFERROR(__xludf.DUMMYFUNCTION("""COMPUTED_VALUE"""),"occupation")</f>
        <v>occupation</v>
      </c>
      <c r="J650" s="6" t="str">
        <f>IFERROR(__xludf.DUMMYFUNCTION("""COMPUTED_VALUE"""),"expression")</f>
        <v>expression</v>
      </c>
      <c r="L650" s="6" t="str">
        <f>IFERROR(__xludf.DUMMYFUNCTION("""COMPUTED_VALUE"""),"promotion")</f>
        <v>promotion</v>
      </c>
      <c r="M650" s="6" t="str">
        <f>IFERROR(__xludf.DUMMYFUNCTION("""COMPUTED_VALUE"""),"bags")</f>
        <v>bags</v>
      </c>
      <c r="N650" s="6" t="str">
        <f>IFERROR(__xludf.DUMMYFUNCTION("""COMPUTED_VALUE"""),"chick")</f>
        <v>chick</v>
      </c>
      <c r="P650" s="6" t="str">
        <f>IFERROR(__xludf.DUMMYFUNCTION("""COMPUTED_VALUE"""),"constructed")</f>
        <v>constructed</v>
      </c>
      <c r="Q650" s="6" t="str">
        <f>IFERROR(__xludf.DUMMYFUNCTION("""COMPUTED_VALUE"""),"sign")</f>
        <v>sign</v>
      </c>
      <c r="S650" s="6" t="str">
        <f>IFERROR(__xludf.DUMMYFUNCTION("""COMPUTED_VALUE"""),"factor")</f>
        <v>factor</v>
      </c>
    </row>
    <row r="651">
      <c r="B651" s="6"/>
      <c r="D651" s="6"/>
      <c r="G651" s="6" t="str">
        <f>IFERROR(__xludf.DUMMYFUNCTION("""COMPUTED_VALUE"""),"fact")</f>
        <v>fact</v>
      </c>
      <c r="H651" s="6" t="str">
        <f>IFERROR(__xludf.DUMMYFUNCTION("""COMPUTED_VALUE"""),"gripping")</f>
        <v>gripping</v>
      </c>
      <c r="I651" s="6" t="str">
        <f>IFERROR(__xludf.DUMMYFUNCTION("""COMPUTED_VALUE"""),"german")</f>
        <v>german</v>
      </c>
      <c r="J651" s="6" t="str">
        <f>IFERROR(__xludf.DUMMYFUNCTION("""COMPUTED_VALUE"""),"frontman")</f>
        <v>frontman</v>
      </c>
      <c r="L651" s="6" t="str">
        <f>IFERROR(__xludf.DUMMYFUNCTION("""COMPUTED_VALUE"""),"patch")</f>
        <v>patch</v>
      </c>
      <c r="M651" s="6" t="str">
        <f>IFERROR(__xludf.DUMMYFUNCTION("""COMPUTED_VALUE"""),"national")</f>
        <v>national</v>
      </c>
      <c r="N651" s="6" t="str">
        <f>IFERROR(__xludf.DUMMYFUNCTION("""COMPUTED_VALUE"""),"fare")</f>
        <v>fare</v>
      </c>
      <c r="P651" s="6" t="str">
        <f>IFERROR(__xludf.DUMMYFUNCTION("""COMPUTED_VALUE"""),"skill")</f>
        <v>skill</v>
      </c>
      <c r="Q651" s="6" t="str">
        <f>IFERROR(__xludf.DUMMYFUNCTION("""COMPUTED_VALUE"""),"mile")</f>
        <v>mile</v>
      </c>
      <c r="S651" s="6" t="str">
        <f>IFERROR(__xludf.DUMMYFUNCTION("""COMPUTED_VALUE"""),"released")</f>
        <v>released</v>
      </c>
    </row>
    <row r="652">
      <c r="B652" s="6"/>
      <c r="D652" s="6"/>
      <c r="G652" s="6" t="str">
        <f>IFERROR(__xludf.DUMMYFUNCTION("""COMPUTED_VALUE"""),"hollow")</f>
        <v>hollow</v>
      </c>
      <c r="H652" s="6" t="str">
        <f>IFERROR(__xludf.DUMMYFUNCTION("""COMPUTED_VALUE"""),"startling")</f>
        <v>startling</v>
      </c>
      <c r="I652" s="6" t="str">
        <f>IFERROR(__xludf.DUMMYFUNCTION("""COMPUTED_VALUE"""),"survivors")</f>
        <v>survivors</v>
      </c>
      <c r="J652" s="6" t="str">
        <f>IFERROR(__xludf.DUMMYFUNCTION("""COMPUTED_VALUE"""),"energetic")</f>
        <v>energetic</v>
      </c>
      <c r="L652" s="6" t="str">
        <f>IFERROR(__xludf.DUMMYFUNCTION("""COMPUTED_VALUE"""),"million")</f>
        <v>million</v>
      </c>
      <c r="M652" s="6" t="str">
        <f>IFERROR(__xludf.DUMMYFUNCTION("""COMPUTED_VALUE"""),"news")</f>
        <v>news</v>
      </c>
      <c r="N652" s="6" t="str">
        <f>IFERROR(__xludf.DUMMYFUNCTION("""COMPUTED_VALUE"""),"identification")</f>
        <v>identification</v>
      </c>
      <c r="P652" s="6" t="str">
        <f>IFERROR(__xludf.DUMMYFUNCTION("""COMPUTED_VALUE"""),"vampire")</f>
        <v>vampire</v>
      </c>
      <c r="Q652" s="6" t="str">
        <f>IFERROR(__xludf.DUMMYFUNCTION("""COMPUTED_VALUE"""),"nerve")</f>
        <v>nerve</v>
      </c>
      <c r="S652" s="6" t="str">
        <f>IFERROR(__xludf.DUMMYFUNCTION("""COMPUTED_VALUE"""),"major")</f>
        <v>major</v>
      </c>
    </row>
    <row r="653">
      <c r="B653" s="6"/>
      <c r="D653" s="6"/>
      <c r="G653" s="6" t="str">
        <f>IFERROR(__xludf.DUMMYFUNCTION("""COMPUTED_VALUE"""),"beginnings")</f>
        <v>beginnings</v>
      </c>
      <c r="H653" s="6" t="str">
        <f>IFERROR(__xludf.DUMMYFUNCTION("""COMPUTED_VALUE"""),"transformation")</f>
        <v>transformation</v>
      </c>
      <c r="I653" s="6" t="str">
        <f>IFERROR(__xludf.DUMMYFUNCTION("""COMPUTED_VALUE"""),"blade")</f>
        <v>blade</v>
      </c>
      <c r="J653" s="6" t="str">
        <f>IFERROR(__xludf.DUMMYFUNCTION("""COMPUTED_VALUE"""),"resist")</f>
        <v>resist</v>
      </c>
      <c r="L653" s="6" t="str">
        <f>IFERROR(__xludf.DUMMYFUNCTION("""COMPUTED_VALUE"""),"numbers")</f>
        <v>numbers</v>
      </c>
      <c r="M653" s="6" t="str">
        <f>IFERROR(__xludf.DUMMYFUNCTION("""COMPUTED_VALUE"""),"runs")</f>
        <v>runs</v>
      </c>
      <c r="N653" s="6" t="str">
        <f>IFERROR(__xludf.DUMMYFUNCTION("""COMPUTED_VALUE"""),"effect")</f>
        <v>effect</v>
      </c>
      <c r="P653" s="6" t="str">
        <f>IFERROR(__xludf.DUMMYFUNCTION("""COMPUTED_VALUE"""),"determined")</f>
        <v>determined</v>
      </c>
      <c r="Q653" s="6" t="str">
        <f>IFERROR(__xludf.DUMMYFUNCTION("""COMPUTED_VALUE"""),"bit")</f>
        <v>bit</v>
      </c>
      <c r="S653" s="6" t="str">
        <f>IFERROR(__xludf.DUMMYFUNCTION("""COMPUTED_VALUE"""),"emerging")</f>
        <v>emerging</v>
      </c>
    </row>
    <row r="654">
      <c r="B654" s="6"/>
      <c r="D654" s="6"/>
      <c r="G654" s="6" t="str">
        <f>IFERROR(__xludf.DUMMYFUNCTION("""COMPUTED_VALUE"""),"definitive")</f>
        <v>definitive</v>
      </c>
      <c r="H654" s="6" t="str">
        <f>IFERROR(__xludf.DUMMYFUNCTION("""COMPUTED_VALUE"""),"widow")</f>
        <v>widow</v>
      </c>
      <c r="I654" s="6" t="str">
        <f>IFERROR(__xludf.DUMMYFUNCTION("""COMPUTED_VALUE"""),"shock")</f>
        <v>shock</v>
      </c>
      <c r="J654" s="6" t="str">
        <f>IFERROR(__xludf.DUMMYFUNCTION("""COMPUTED_VALUE"""),"pulse")</f>
        <v>pulse</v>
      </c>
      <c r="L654" s="6" t="str">
        <f>IFERROR(__xludf.DUMMYFUNCTION("""COMPUTED_VALUE"""),"portrayal")</f>
        <v>portrayal</v>
      </c>
      <c r="M654" s="6" t="str">
        <f>IFERROR(__xludf.DUMMYFUNCTION("""COMPUTED_VALUE"""),"certain")</f>
        <v>certain</v>
      </c>
      <c r="N654" s="6" t="str">
        <f>IFERROR(__xludf.DUMMYFUNCTION("""COMPUTED_VALUE"""),"considered")</f>
        <v>considered</v>
      </c>
      <c r="P654" s="6" t="str">
        <f>IFERROR(__xludf.DUMMYFUNCTION("""COMPUTED_VALUE"""),"typical")</f>
        <v>typical</v>
      </c>
      <c r="Q654" s="6" t="str">
        <f>IFERROR(__xludf.DUMMYFUNCTION("""COMPUTED_VALUE"""),"pianist")</f>
        <v>pianist</v>
      </c>
      <c r="S654" s="6" t="str">
        <f>IFERROR(__xludf.DUMMYFUNCTION("""COMPUTED_VALUE"""),"entity")</f>
        <v>entity</v>
      </c>
    </row>
    <row r="655">
      <c r="B655" s="6"/>
      <c r="D655" s="6"/>
      <c r="G655" s="6" t="str">
        <f>IFERROR(__xludf.DUMMYFUNCTION("""COMPUTED_VALUE"""),"sensation")</f>
        <v>sensation</v>
      </c>
      <c r="H655" s="6" t="str">
        <f>IFERROR(__xludf.DUMMYFUNCTION("""COMPUTED_VALUE"""),"tunisian")</f>
        <v>tunisian</v>
      </c>
      <c r="I655" s="6" t="str">
        <f>IFERROR(__xludf.DUMMYFUNCTION("""COMPUTED_VALUE"""),"arrangements")</f>
        <v>arrangements</v>
      </c>
      <c r="J655" s="6" t="str">
        <f>IFERROR(__xludf.DUMMYFUNCTION("""COMPUTED_VALUE"""),"subconscious")</f>
        <v>subconscious</v>
      </c>
      <c r="L655" s="6" t="str">
        <f>IFERROR(__xludf.DUMMYFUNCTION("""COMPUTED_VALUE"""),"cage")</f>
        <v>cage</v>
      </c>
      <c r="M655" s="6" t="str">
        <f>IFERROR(__xludf.DUMMYFUNCTION("""COMPUTED_VALUE"""),"sum")</f>
        <v>sum</v>
      </c>
      <c r="N655" s="6" t="str">
        <f>IFERROR(__xludf.DUMMYFUNCTION("""COMPUTED_VALUE"""),"arrangements")</f>
        <v>arrangements</v>
      </c>
      <c r="P655" s="6" t="str">
        <f>IFERROR(__xludf.DUMMYFUNCTION("""COMPUTED_VALUE"""),"heavy")</f>
        <v>heavy</v>
      </c>
      <c r="Q655" s="6" t="str">
        <f>IFERROR(__xludf.DUMMYFUNCTION("""COMPUTED_VALUE"""),"detached")</f>
        <v>detached</v>
      </c>
      <c r="S655" s="6" t="str">
        <f>IFERROR(__xludf.DUMMYFUNCTION("""COMPUTED_VALUE"""),"audiences")</f>
        <v>audiences</v>
      </c>
    </row>
    <row r="656">
      <c r="B656" s="6"/>
      <c r="D656" s="6"/>
      <c r="G656" s="6" t="str">
        <f>IFERROR(__xludf.DUMMYFUNCTION("""COMPUTED_VALUE"""),"sincerity")</f>
        <v>sincerity</v>
      </c>
      <c r="H656" s="6" t="str">
        <f>IFERROR(__xludf.DUMMYFUNCTION("""COMPUTED_VALUE"""),"french")</f>
        <v>french</v>
      </c>
      <c r="I656" s="6" t="str">
        <f>IFERROR(__xludf.DUMMYFUNCTION("""COMPUTED_VALUE"""),"access")</f>
        <v>access</v>
      </c>
      <c r="J656" s="6" t="str">
        <f>IFERROR(__xludf.DUMMYFUNCTION("""COMPUTED_VALUE"""),"stirring")</f>
        <v>stirring</v>
      </c>
      <c r="L656" s="6" t="str">
        <f>IFERROR(__xludf.DUMMYFUNCTION("""COMPUTED_VALUE"""),"political")</f>
        <v>political</v>
      </c>
      <c r="M656" s="6" t="str">
        <f>IFERROR(__xludf.DUMMYFUNCTION("""COMPUTED_VALUE"""),"situations")</f>
        <v>situations</v>
      </c>
      <c r="N656" s="6" t="str">
        <f>IFERROR(__xludf.DUMMYFUNCTION("""COMPUTED_VALUE"""),"bouquet")</f>
        <v>bouquet</v>
      </c>
      <c r="P656" s="6" t="str">
        <f>IFERROR(__xludf.DUMMYFUNCTION("""COMPUTED_VALUE"""),"fierce")</f>
        <v>fierce</v>
      </c>
      <c r="Q656" s="6" t="str">
        <f>IFERROR(__xludf.DUMMYFUNCTION("""COMPUTED_VALUE"""),"premise")</f>
        <v>premise</v>
      </c>
      <c r="S656" s="6" t="str">
        <f>IFERROR(__xludf.DUMMYFUNCTION("""COMPUTED_VALUE"""),"brain")</f>
        <v>brain</v>
      </c>
    </row>
    <row r="657">
      <c r="B657" s="6"/>
      <c r="D657" s="6"/>
      <c r="G657" s="6" t="str">
        <f>IFERROR(__xludf.DUMMYFUNCTION("""COMPUTED_VALUE"""),"unchanged")</f>
        <v>unchanged</v>
      </c>
      <c r="H657" s="6" t="str">
        <f>IFERROR(__xludf.DUMMYFUNCTION("""COMPUTED_VALUE"""),"wonder")</f>
        <v>wonder</v>
      </c>
      <c r="I657" s="6" t="str">
        <f>IFERROR(__xludf.DUMMYFUNCTION("""COMPUTED_VALUE"""),"journalism")</f>
        <v>journalism</v>
      </c>
      <c r="J657" s="6" t="str">
        <f>IFERROR(__xludf.DUMMYFUNCTION("""COMPUTED_VALUE"""),"struggling")</f>
        <v>struggling</v>
      </c>
      <c r="L657" s="6" t="str">
        <f>IFERROR(__xludf.DUMMYFUNCTION("""COMPUTED_VALUE"""),"roman")</f>
        <v>roman</v>
      </c>
      <c r="M657" s="6" t="str">
        <f>IFERROR(__xludf.DUMMYFUNCTION("""COMPUTED_VALUE"""),"sensitive")</f>
        <v>sensitive</v>
      </c>
      <c r="N657" s="6" t="str">
        <f>IFERROR(__xludf.DUMMYFUNCTION("""COMPUTED_VALUE"""),"peace")</f>
        <v>peace</v>
      </c>
      <c r="P657" s="6" t="str">
        <f>IFERROR(__xludf.DUMMYFUNCTION("""COMPUTED_VALUE"""),"dance")</f>
        <v>dance</v>
      </c>
      <c r="Q657" s="6" t="str">
        <f>IFERROR(__xludf.DUMMYFUNCTION("""COMPUTED_VALUE"""),"lush")</f>
        <v>lush</v>
      </c>
      <c r="S657" s="6" t="str">
        <f>IFERROR(__xludf.DUMMYFUNCTION("""COMPUTED_VALUE"""),"sign")</f>
        <v>sign</v>
      </c>
    </row>
    <row r="658">
      <c r="B658" s="6"/>
      <c r="D658" s="6"/>
      <c r="G658" s="6" t="str">
        <f>IFERROR(__xludf.DUMMYFUNCTION("""COMPUTED_VALUE"""),"endeavor")</f>
        <v>endeavor</v>
      </c>
      <c r="H658" s="6" t="str">
        <f>IFERROR(__xludf.DUMMYFUNCTION("""COMPUTED_VALUE"""),"devoid")</f>
        <v>devoid</v>
      </c>
      <c r="I658" s="6" t="str">
        <f>IFERROR(__xludf.DUMMYFUNCTION("""COMPUTED_VALUE"""),"threat")</f>
        <v>threat</v>
      </c>
      <c r="J658" s="6" t="str">
        <f>IFERROR(__xludf.DUMMYFUNCTION("""COMPUTED_VALUE"""),"flourish")</f>
        <v>flourish</v>
      </c>
      <c r="L658" s="6" t="str">
        <f>IFERROR(__xludf.DUMMYFUNCTION("""COMPUTED_VALUE"""),"relegated")</f>
        <v>relegated</v>
      </c>
      <c r="M658" s="6">
        <f>IFERROR(__xludf.DUMMYFUNCTION("""COMPUTED_VALUE"""),100.0)</f>
        <v>100</v>
      </c>
      <c r="N658" s="6" t="str">
        <f>IFERROR(__xludf.DUMMYFUNCTION("""COMPUTED_VALUE"""),"engaging")</f>
        <v>engaging</v>
      </c>
      <c r="P658" s="6" t="str">
        <f>IFERROR(__xludf.DUMMYFUNCTION("""COMPUTED_VALUE"""),"duke")</f>
        <v>duke</v>
      </c>
      <c r="Q658" s="6" t="str">
        <f>IFERROR(__xludf.DUMMYFUNCTION("""COMPUTED_VALUE"""),"chase")</f>
        <v>chase</v>
      </c>
      <c r="S658" s="6" t="str">
        <f>IFERROR(__xludf.DUMMYFUNCTION("""COMPUTED_VALUE"""),"buy")</f>
        <v>buy</v>
      </c>
    </row>
    <row r="659">
      <c r="B659" s="6"/>
      <c r="D659" s="6"/>
      <c r="G659" s="6" t="str">
        <f>IFERROR(__xludf.DUMMYFUNCTION("""COMPUTED_VALUE"""),"sensual")</f>
        <v>sensual</v>
      </c>
      <c r="H659" s="6" t="str">
        <f>IFERROR(__xludf.DUMMYFUNCTION("""COMPUTED_VALUE"""),"fatal")</f>
        <v>fatal</v>
      </c>
      <c r="I659" s="6" t="str">
        <f>IFERROR(__xludf.DUMMYFUNCTION("""COMPUTED_VALUE"""),"critical")</f>
        <v>critical</v>
      </c>
      <c r="J659" s="6" t="str">
        <f>IFERROR(__xludf.DUMMYFUNCTION("""COMPUTED_VALUE"""),"chan")</f>
        <v>chan</v>
      </c>
      <c r="L659" s="6" t="str">
        <f>IFERROR(__xludf.DUMMYFUNCTION("""COMPUTED_VALUE"""),"ways")</f>
        <v>ways</v>
      </c>
      <c r="M659" s="6" t="str">
        <f>IFERROR(__xludf.DUMMYFUNCTION("""COMPUTED_VALUE"""),"productions")</f>
        <v>productions</v>
      </c>
      <c r="N659" s="6" t="str">
        <f>IFERROR(__xludf.DUMMYFUNCTION("""COMPUTED_VALUE"""),"stuffing")</f>
        <v>stuffing</v>
      </c>
      <c r="P659" s="6" t="str">
        <f>IFERROR(__xludf.DUMMYFUNCTION("""COMPUTED_VALUE"""),"lady")</f>
        <v>lady</v>
      </c>
      <c r="Q659" s="6" t="str">
        <f>IFERROR(__xludf.DUMMYFUNCTION("""COMPUTED_VALUE"""),"martha")</f>
        <v>martha</v>
      </c>
      <c r="S659" s="6" t="str">
        <f>IFERROR(__xludf.DUMMYFUNCTION("""COMPUTED_VALUE"""),"mile")</f>
        <v>mile</v>
      </c>
    </row>
    <row r="660">
      <c r="B660" s="6"/>
      <c r="D660" s="6"/>
      <c r="G660" s="6" t="str">
        <f>IFERROR(__xludf.DUMMYFUNCTION("""COMPUTED_VALUE"""),"cerebral")</f>
        <v>cerebral</v>
      </c>
      <c r="H660" s="6" t="str">
        <f>IFERROR(__xludf.DUMMYFUNCTION("""COMPUTED_VALUE"""),"desperation")</f>
        <v>desperation</v>
      </c>
      <c r="I660" s="6" t="str">
        <f>IFERROR(__xludf.DUMMYFUNCTION("""COMPUTED_VALUE"""),"convinced")</f>
        <v>convinced</v>
      </c>
      <c r="J660" s="6" t="str">
        <f>IFERROR(__xludf.DUMMYFUNCTION("""COMPUTED_VALUE"""),"problematic")</f>
        <v>problematic</v>
      </c>
      <c r="L660" s="6" t="str">
        <f>IFERROR(__xludf.DUMMYFUNCTION("""COMPUTED_VALUE"""),"slightest")</f>
        <v>slightest</v>
      </c>
      <c r="M660" s="6" t="str">
        <f>IFERROR(__xludf.DUMMYFUNCTION("""COMPUTED_VALUE"""),"cult")</f>
        <v>cult</v>
      </c>
      <c r="N660" s="6" t="str">
        <f>IFERROR(__xludf.DUMMYFUNCTION("""COMPUTED_VALUE"""),"dim")</f>
        <v>dim</v>
      </c>
      <c r="P660" s="6" t="str">
        <f>IFERROR(__xludf.DUMMYFUNCTION("""COMPUTED_VALUE"""),"chinese")</f>
        <v>chinese</v>
      </c>
      <c r="Q660" s="6" t="str">
        <f>IFERROR(__xludf.DUMMYFUNCTION("""COMPUTED_VALUE"""),"rapid")</f>
        <v>rapid</v>
      </c>
      <c r="S660" s="6" t="str">
        <f>IFERROR(__xludf.DUMMYFUNCTION("""COMPUTED_VALUE"""),"nerve")</f>
        <v>nerve</v>
      </c>
    </row>
    <row r="661">
      <c r="B661" s="6"/>
      <c r="D661" s="6"/>
      <c r="G661" s="6" t="str">
        <f>IFERROR(__xludf.DUMMYFUNCTION("""COMPUTED_VALUE"""),"manners")</f>
        <v>manners</v>
      </c>
      <c r="H661" s="6" t="str">
        <f>IFERROR(__xludf.DUMMYFUNCTION("""COMPUTED_VALUE"""),"glossy")</f>
        <v>glossy</v>
      </c>
      <c r="I661" s="6" t="str">
        <f>IFERROR(__xludf.DUMMYFUNCTION("""COMPUTED_VALUE"""),"teach")</f>
        <v>teach</v>
      </c>
      <c r="J661" s="6" t="str">
        <f>IFERROR(__xludf.DUMMYFUNCTION("""COMPUTED_VALUE"""),"hilarious")</f>
        <v>hilarious</v>
      </c>
      <c r="L661" s="6" t="str">
        <f>IFERROR(__xludf.DUMMYFUNCTION("""COMPUTED_VALUE"""),"races")</f>
        <v>races</v>
      </c>
      <c r="M661" s="6" t="str">
        <f>IFERROR(__xludf.DUMMYFUNCTION("""COMPUTED_VALUE"""),"dancing")</f>
        <v>dancing</v>
      </c>
      <c r="N661" s="6" t="str">
        <f>IFERROR(__xludf.DUMMYFUNCTION("""COMPUTED_VALUE"""),"tomorrow")</f>
        <v>tomorrow</v>
      </c>
      <c r="P661" s="6" t="str">
        <f>IFERROR(__xludf.DUMMYFUNCTION("""COMPUTED_VALUE"""),"adventures")</f>
        <v>adventures</v>
      </c>
      <c r="Q661" s="6" t="str">
        <f>IFERROR(__xludf.DUMMYFUNCTION("""COMPUTED_VALUE"""),"virtually")</f>
        <v>virtually</v>
      </c>
      <c r="S661" s="6" t="str">
        <f>IFERROR(__xludf.DUMMYFUNCTION("""COMPUTED_VALUE"""),"bit")</f>
        <v>bit</v>
      </c>
    </row>
    <row r="662">
      <c r="B662" s="6"/>
      <c r="D662" s="6"/>
      <c r="G662" s="6" t="str">
        <f>IFERROR(__xludf.DUMMYFUNCTION("""COMPUTED_VALUE"""),"prism")</f>
        <v>prism</v>
      </c>
      <c r="H662" s="6" t="str">
        <f>IFERROR(__xludf.DUMMYFUNCTION("""COMPUTED_VALUE"""),"exquisite")</f>
        <v>exquisite</v>
      </c>
      <c r="I662" s="6" t="str">
        <f>IFERROR(__xludf.DUMMYFUNCTION("""COMPUTED_VALUE"""),"eye")</f>
        <v>eye</v>
      </c>
      <c r="J662" s="6" t="str">
        <f>IFERROR(__xludf.DUMMYFUNCTION("""COMPUTED_VALUE"""),"fantasia")</f>
        <v>fantasia</v>
      </c>
      <c r="L662" s="6" t="str">
        <f>IFERROR(__xludf.DUMMYFUNCTION("""COMPUTED_VALUE"""),"horse")</f>
        <v>horse</v>
      </c>
      <c r="M662" s="6" t="str">
        <f>IFERROR(__xludf.DUMMYFUNCTION("""COMPUTED_VALUE"""),"dance")</f>
        <v>dance</v>
      </c>
      <c r="N662" s="6" t="str">
        <f>IFERROR(__xludf.DUMMYFUNCTION("""COMPUTED_VALUE"""),"partly")</f>
        <v>partly</v>
      </c>
      <c r="P662" s="6" t="str">
        <f>IFERROR(__xludf.DUMMYFUNCTION("""COMPUTED_VALUE"""),"spell")</f>
        <v>spell</v>
      </c>
      <c r="Q662" s="6" t="str">
        <f>IFERROR(__xludf.DUMMYFUNCTION("""COMPUTED_VALUE"""),"clever")</f>
        <v>clever</v>
      </c>
      <c r="S662" s="6" t="str">
        <f>IFERROR(__xludf.DUMMYFUNCTION("""COMPUTED_VALUE"""),"broken")</f>
        <v>broken</v>
      </c>
    </row>
    <row r="663">
      <c r="B663" s="6"/>
      <c r="D663" s="6"/>
      <c r="G663" s="6" t="str">
        <f>IFERROR(__xludf.DUMMYFUNCTION("""COMPUTED_VALUE"""),"themes")</f>
        <v>themes</v>
      </c>
      <c r="H663" s="6" t="str">
        <f>IFERROR(__xludf.DUMMYFUNCTION("""COMPUTED_VALUE"""),"bollywood")</f>
        <v>bollywood</v>
      </c>
      <c r="I663" s="6" t="str">
        <f>IFERROR(__xludf.DUMMYFUNCTION("""COMPUTED_VALUE"""),"blind")</f>
        <v>blind</v>
      </c>
      <c r="J663" s="6" t="str">
        <f>IFERROR(__xludf.DUMMYFUNCTION("""COMPUTED_VALUE"""),"biographical")</f>
        <v>biographical</v>
      </c>
      <c r="L663" s="6" t="str">
        <f>IFERROR(__xludf.DUMMYFUNCTION("""COMPUTED_VALUE"""),"soccer")</f>
        <v>soccer</v>
      </c>
      <c r="M663" s="6" t="str">
        <f>IFERROR(__xludf.DUMMYFUNCTION("""COMPUTED_VALUE"""),"adult")</f>
        <v>adult</v>
      </c>
      <c r="N663" s="6" t="str">
        <f>IFERROR(__xludf.DUMMYFUNCTION("""COMPUTED_VALUE"""),"expects")</f>
        <v>expects</v>
      </c>
      <c r="P663" s="6" t="str">
        <f>IFERROR(__xludf.DUMMYFUNCTION("""COMPUTED_VALUE"""),"previous")</f>
        <v>previous</v>
      </c>
      <c r="Q663" s="6" t="str">
        <f>IFERROR(__xludf.DUMMYFUNCTION("""COMPUTED_VALUE"""),"public")</f>
        <v>public</v>
      </c>
      <c r="S663" s="6" t="str">
        <f>IFERROR(__xludf.DUMMYFUNCTION("""COMPUTED_VALUE"""),"pianist")</f>
        <v>pianist</v>
      </c>
    </row>
    <row r="664">
      <c r="B664" s="6"/>
      <c r="D664" s="6"/>
      <c r="G664" s="6" t="str">
        <f>IFERROR(__xludf.DUMMYFUNCTION("""COMPUTED_VALUE"""),"noble")</f>
        <v>noble</v>
      </c>
      <c r="H664" s="6" t="str">
        <f>IFERROR(__xludf.DUMMYFUNCTION("""COMPUTED_VALUE"""),"devastating")</f>
        <v>devastating</v>
      </c>
      <c r="I664" s="6" t="str">
        <f>IFERROR(__xludf.DUMMYFUNCTION("""COMPUTED_VALUE"""),"grandfather")</f>
        <v>grandfather</v>
      </c>
      <c r="J664" s="6" t="str">
        <f>IFERROR(__xludf.DUMMYFUNCTION("""COMPUTED_VALUE"""),"triangle")</f>
        <v>triangle</v>
      </c>
      <c r="L664" s="6" t="str">
        <f>IFERROR(__xludf.DUMMYFUNCTION("""COMPUTED_VALUE"""),"hug")</f>
        <v>hug</v>
      </c>
      <c r="M664" s="6" t="str">
        <f>IFERROR(__xludf.DUMMYFUNCTION("""COMPUTED_VALUE"""),"starts")</f>
        <v>starts</v>
      </c>
      <c r="N664" s="6" t="str">
        <f>IFERROR(__xludf.DUMMYFUNCTION("""COMPUTED_VALUE"""),"squeeze")</f>
        <v>squeeze</v>
      </c>
      <c r="P664" s="6" t="str">
        <f>IFERROR(__xludf.DUMMYFUNCTION("""COMPUTED_VALUE"""),"fallen")</f>
        <v>fallen</v>
      </c>
      <c r="Q664" s="6" t="str">
        <f>IFERROR(__xludf.DUMMYFUNCTION("""COMPUTED_VALUE"""),"plunging")</f>
        <v>plunging</v>
      </c>
      <c r="S664" s="6" t="str">
        <f>IFERROR(__xludf.DUMMYFUNCTION("""COMPUTED_VALUE"""),"ship")</f>
        <v>ship</v>
      </c>
    </row>
    <row r="665">
      <c r="B665" s="6"/>
      <c r="D665" s="6"/>
      <c r="G665" s="6" t="str">
        <f>IFERROR(__xludf.DUMMYFUNCTION("""COMPUTED_VALUE"""),"strict")</f>
        <v>strict</v>
      </c>
      <c r="H665" s="6" t="str">
        <f>IFERROR(__xludf.DUMMYFUNCTION("""COMPUTED_VALUE"""),"profoundly")</f>
        <v>profoundly</v>
      </c>
      <c r="I665" s="6" t="str">
        <f>IFERROR(__xludf.DUMMYFUNCTION("""COMPUTED_VALUE"""),"composition")</f>
        <v>composition</v>
      </c>
      <c r="J665" s="6" t="str">
        <f>IFERROR(__xludf.DUMMYFUNCTION("""COMPUTED_VALUE"""),"leon")</f>
        <v>leon</v>
      </c>
      <c r="L665" s="6" t="str">
        <f>IFERROR(__xludf.DUMMYFUNCTION("""COMPUTED_VALUE"""),"saddle")</f>
        <v>saddle</v>
      </c>
      <c r="M665" s="6" t="str">
        <f>IFERROR(__xludf.DUMMYFUNCTION("""COMPUTED_VALUE"""),"ones")</f>
        <v>ones</v>
      </c>
      <c r="N665" s="6" t="str">
        <f>IFERROR(__xludf.DUMMYFUNCTION("""COMPUTED_VALUE"""),"amounts")</f>
        <v>amounts</v>
      </c>
      <c r="P665" s="6" t="str">
        <f>IFERROR(__xludf.DUMMYFUNCTION("""COMPUTED_VALUE"""),"scandal")</f>
        <v>scandal</v>
      </c>
      <c r="Q665" s="6" t="str">
        <f>IFERROR(__xludf.DUMMYFUNCTION("""COMPUTED_VALUE"""),"getting")</f>
        <v>getting</v>
      </c>
      <c r="S665" s="6" t="str">
        <f>IFERROR(__xludf.DUMMYFUNCTION("""COMPUTED_VALUE"""),"chase")</f>
        <v>chase</v>
      </c>
    </row>
    <row r="666">
      <c r="B666" s="6"/>
      <c r="D666" s="6"/>
      <c r="G666" s="6" t="str">
        <f>IFERROR(__xludf.DUMMYFUNCTION("""COMPUTED_VALUE"""),"inherently")</f>
        <v>inherently</v>
      </c>
      <c r="H666" s="6" t="str">
        <f>IFERROR(__xludf.DUMMYFUNCTION("""COMPUTED_VALUE"""),"achievements")</f>
        <v>achievements</v>
      </c>
      <c r="I666" s="6" t="str">
        <f>IFERROR(__xludf.DUMMYFUNCTION("""COMPUTED_VALUE"""),"mature")</f>
        <v>mature</v>
      </c>
      <c r="J666" s="6" t="str">
        <f>IFERROR(__xludf.DUMMYFUNCTION("""COMPUTED_VALUE"""),"during")</f>
        <v>during</v>
      </c>
      <c r="L666" s="6" t="str">
        <f>IFERROR(__xludf.DUMMYFUNCTION("""COMPUTED_VALUE"""),"seek")</f>
        <v>seek</v>
      </c>
      <c r="M666" s="6" t="str">
        <f>IFERROR(__xludf.DUMMYFUNCTION("""COMPUTED_VALUE"""),"cared")</f>
        <v>cared</v>
      </c>
      <c r="N666" s="6" t="str">
        <f>IFERROR(__xludf.DUMMYFUNCTION("""COMPUTED_VALUE"""),"injuries")</f>
        <v>injuries</v>
      </c>
      <c r="P666" s="6" t="str">
        <f>IFERROR(__xludf.DUMMYFUNCTION("""COMPUTED_VALUE"""),"historic")</f>
        <v>historic</v>
      </c>
      <c r="Q666" s="6" t="str">
        <f>IFERROR(__xludf.DUMMYFUNCTION("""COMPUTED_VALUE"""),"underneath")</f>
        <v>underneath</v>
      </c>
      <c r="S666" s="6" t="str">
        <f>IFERROR(__xludf.DUMMYFUNCTION("""COMPUTED_VALUE"""),"program")</f>
        <v>program</v>
      </c>
    </row>
    <row r="667">
      <c r="B667" s="6"/>
      <c r="D667" s="6"/>
      <c r="G667" s="6" t="str">
        <f>IFERROR(__xludf.DUMMYFUNCTION("""COMPUTED_VALUE"""),"innocent")</f>
        <v>innocent</v>
      </c>
      <c r="H667" s="6" t="str">
        <f>IFERROR(__xludf.DUMMYFUNCTION("""COMPUTED_VALUE"""),"bullock")</f>
        <v>bullock</v>
      </c>
      <c r="I667" s="6" t="str">
        <f>IFERROR(__xludf.DUMMYFUNCTION("""COMPUTED_VALUE"""),"house")</f>
        <v>house</v>
      </c>
      <c r="J667" s="6" t="str">
        <f>IFERROR(__xludf.DUMMYFUNCTION("""COMPUTED_VALUE"""),"satirical")</f>
        <v>satirical</v>
      </c>
      <c r="L667" s="6" t="str">
        <f>IFERROR(__xludf.DUMMYFUNCTION("""COMPUTED_VALUE"""),"payne")</f>
        <v>payne</v>
      </c>
      <c r="M667" s="6" t="str">
        <f>IFERROR(__xludf.DUMMYFUNCTION("""COMPUTED_VALUE"""),"discussion")</f>
        <v>discussion</v>
      </c>
      <c r="N667" s="6" t="str">
        <f>IFERROR(__xludf.DUMMYFUNCTION("""COMPUTED_VALUE"""),"lawrence")</f>
        <v>lawrence</v>
      </c>
      <c r="P667" s="6" t="str">
        <f>IFERROR(__xludf.DUMMYFUNCTION("""COMPUTED_VALUE"""),"packed")</f>
        <v>packed</v>
      </c>
      <c r="Q667" s="6" t="str">
        <f>IFERROR(__xludf.DUMMYFUNCTION("""COMPUTED_VALUE"""),"deeper")</f>
        <v>deeper</v>
      </c>
      <c r="S667" s="6" t="str">
        <f>IFERROR(__xludf.DUMMYFUNCTION("""COMPUTED_VALUE"""),"martha")</f>
        <v>martha</v>
      </c>
    </row>
    <row r="668">
      <c r="B668" s="6"/>
      <c r="D668" s="6"/>
      <c r="G668" s="6" t="str">
        <f>IFERROR(__xludf.DUMMYFUNCTION("""COMPUTED_VALUE"""),"betrayal")</f>
        <v>betrayal</v>
      </c>
      <c r="H668" s="6" t="str">
        <f>IFERROR(__xludf.DUMMYFUNCTION("""COMPUTED_VALUE"""),"poetic")</f>
        <v>poetic</v>
      </c>
      <c r="I668" s="6" t="str">
        <f>IFERROR(__xludf.DUMMYFUNCTION("""COMPUTED_VALUE"""),"commerce")</f>
        <v>commerce</v>
      </c>
      <c r="J668" s="6" t="str">
        <f>IFERROR(__xludf.DUMMYFUNCTION("""COMPUTED_VALUE"""),"pained")</f>
        <v>pained</v>
      </c>
      <c r="L668" s="6" t="str">
        <f>IFERROR(__xludf.DUMMYFUNCTION("""COMPUTED_VALUE"""),"breathe")</f>
        <v>breathe</v>
      </c>
      <c r="M668" s="6" t="str">
        <f>IFERROR(__xludf.DUMMYFUNCTION("""COMPUTED_VALUE"""),"regarding")</f>
        <v>regarding</v>
      </c>
      <c r="N668" s="6" t="str">
        <f>IFERROR(__xludf.DUMMYFUNCTION("""COMPUTED_VALUE"""),"lane")</f>
        <v>lane</v>
      </c>
      <c r="P668" s="6" t="str">
        <f>IFERROR(__xludf.DUMMYFUNCTION("""COMPUTED_VALUE"""),"poverty")</f>
        <v>poverty</v>
      </c>
      <c r="Q668" s="6" t="str">
        <f>IFERROR(__xludf.DUMMYFUNCTION("""COMPUTED_VALUE"""),"rug")</f>
        <v>rug</v>
      </c>
      <c r="S668" s="6" t="str">
        <f>IFERROR(__xludf.DUMMYFUNCTION("""COMPUTED_VALUE"""),"rapid")</f>
        <v>rapid</v>
      </c>
    </row>
    <row r="669">
      <c r="B669" s="6"/>
      <c r="D669" s="6"/>
      <c r="G669" s="6" t="str">
        <f>IFERROR(__xludf.DUMMYFUNCTION("""COMPUTED_VALUE"""),"panic")</f>
        <v>panic</v>
      </c>
      <c r="H669" s="6" t="str">
        <f>IFERROR(__xludf.DUMMYFUNCTION("""COMPUTED_VALUE"""),"brilliance")</f>
        <v>brilliance</v>
      </c>
      <c r="I669" s="6" t="str">
        <f>IFERROR(__xludf.DUMMYFUNCTION("""COMPUTED_VALUE"""),"consciousness")</f>
        <v>consciousness</v>
      </c>
      <c r="J669" s="6" t="str">
        <f>IFERROR(__xludf.DUMMYFUNCTION("""COMPUTED_VALUE"""),"bracing")</f>
        <v>bracing</v>
      </c>
      <c r="L669" s="6" t="str">
        <f>IFERROR(__xludf.DUMMYFUNCTION("""COMPUTED_VALUE"""),"deeply")</f>
        <v>deeply</v>
      </c>
      <c r="M669" s="6" t="str">
        <f>IFERROR(__xludf.DUMMYFUNCTION("""COMPUTED_VALUE"""),"plane")</f>
        <v>plane</v>
      </c>
      <c r="N669" s="6" t="str">
        <f>IFERROR(__xludf.DUMMYFUNCTION("""COMPUTED_VALUE"""),"falls")</f>
        <v>falls</v>
      </c>
      <c r="P669" s="6" t="str">
        <f>IFERROR(__xludf.DUMMYFUNCTION("""COMPUTED_VALUE"""),"hour")</f>
        <v>hour</v>
      </c>
      <c r="Q669" s="6" t="str">
        <f>IFERROR(__xludf.DUMMYFUNCTION("""COMPUTED_VALUE"""),"intense")</f>
        <v>intense</v>
      </c>
      <c r="S669" s="6" t="str">
        <f>IFERROR(__xludf.DUMMYFUNCTION("""COMPUTED_VALUE"""),"virtually")</f>
        <v>virtually</v>
      </c>
    </row>
    <row r="670">
      <c r="B670" s="6"/>
      <c r="D670" s="6"/>
      <c r="G670" s="6" t="str">
        <f>IFERROR(__xludf.DUMMYFUNCTION("""COMPUTED_VALUE"""),"glued")</f>
        <v>glued</v>
      </c>
      <c r="H670" s="6" t="str">
        <f>IFERROR(__xludf.DUMMYFUNCTION("""COMPUTED_VALUE"""),"sloppy")</f>
        <v>sloppy</v>
      </c>
      <c r="I670" s="6" t="str">
        <f>IFERROR(__xludf.DUMMYFUNCTION("""COMPUTED_VALUE"""),"steady")</f>
        <v>steady</v>
      </c>
      <c r="J670" s="6" t="str">
        <f>IFERROR(__xludf.DUMMYFUNCTION("""COMPUTED_VALUE"""),"motives")</f>
        <v>motives</v>
      </c>
      <c r="L670" s="6" t="str">
        <f>IFERROR(__xludf.DUMMYFUNCTION("""COMPUTED_VALUE"""),"modest")</f>
        <v>modest</v>
      </c>
      <c r="M670" s="6" t="str">
        <f>IFERROR(__xludf.DUMMYFUNCTION("""COMPUTED_VALUE"""),"mood")</f>
        <v>mood</v>
      </c>
      <c r="N670" s="6" t="str">
        <f>IFERROR(__xludf.DUMMYFUNCTION("""COMPUTED_VALUE"""),"touches")</f>
        <v>touches</v>
      </c>
      <c r="P670" s="6" t="str">
        <f>IFERROR(__xludf.DUMMYFUNCTION("""COMPUTED_VALUE"""),"kill")</f>
        <v>kill</v>
      </c>
      <c r="Q670" s="6" t="str">
        <f>IFERROR(__xludf.DUMMYFUNCTION("""COMPUTED_VALUE"""),"faithful")</f>
        <v>faithful</v>
      </c>
      <c r="S670" s="6" t="str">
        <f>IFERROR(__xludf.DUMMYFUNCTION("""COMPUTED_VALUE"""),"looked")</f>
        <v>looked</v>
      </c>
    </row>
    <row r="671">
      <c r="B671" s="6"/>
      <c r="D671" s="6"/>
      <c r="G671" s="6" t="str">
        <f>IFERROR(__xludf.DUMMYFUNCTION("""COMPUTED_VALUE"""),"manage")</f>
        <v>manage</v>
      </c>
      <c r="H671" s="6" t="str">
        <f>IFERROR(__xludf.DUMMYFUNCTION("""COMPUTED_VALUE"""),"sparkling")</f>
        <v>sparkling</v>
      </c>
      <c r="I671" s="6" t="str">
        <f>IFERROR(__xludf.DUMMYFUNCTION("""COMPUTED_VALUE"""),"naturally")</f>
        <v>naturally</v>
      </c>
      <c r="J671" s="6" t="str">
        <f>IFERROR(__xludf.DUMMYFUNCTION("""COMPUTED_VALUE"""),"sexy")</f>
        <v>sexy</v>
      </c>
      <c r="L671" s="6" t="str">
        <f>IFERROR(__xludf.DUMMYFUNCTION("""COMPUTED_VALUE"""),"mature")</f>
        <v>mature</v>
      </c>
      <c r="M671" s="6" t="str">
        <f>IFERROR(__xludf.DUMMYFUNCTION("""COMPUTED_VALUE"""),"record")</f>
        <v>record</v>
      </c>
      <c r="N671" s="6" t="str">
        <f>IFERROR(__xludf.DUMMYFUNCTION("""COMPUTED_VALUE"""),"bone")</f>
        <v>bone</v>
      </c>
      <c r="P671" s="6" t="str">
        <f>IFERROR(__xludf.DUMMYFUNCTION("""COMPUTED_VALUE"""),"head")</f>
        <v>head</v>
      </c>
      <c r="Q671" s="6" t="str">
        <f>IFERROR(__xludf.DUMMYFUNCTION("""COMPUTED_VALUE"""),"exaggerated")</f>
        <v>exaggerated</v>
      </c>
      <c r="S671" s="6" t="str">
        <f>IFERROR(__xludf.DUMMYFUNCTION("""COMPUTED_VALUE"""),"production")</f>
        <v>production</v>
      </c>
    </row>
    <row r="672">
      <c r="B672" s="6"/>
      <c r="D672" s="6"/>
      <c r="G672" s="6" t="str">
        <f>IFERROR(__xludf.DUMMYFUNCTION("""COMPUTED_VALUE"""),"accuse")</f>
        <v>accuse</v>
      </c>
      <c r="H672" s="6" t="str">
        <f>IFERROR(__xludf.DUMMYFUNCTION("""COMPUTED_VALUE"""),"lopez")</f>
        <v>lopez</v>
      </c>
      <c r="I672" s="6" t="str">
        <f>IFERROR(__xludf.DUMMYFUNCTION("""COMPUTED_VALUE"""),"siege")</f>
        <v>siege</v>
      </c>
      <c r="J672" s="6" t="str">
        <f>IFERROR(__xludf.DUMMYFUNCTION("""COMPUTED_VALUE"""),"magnetic")</f>
        <v>magnetic</v>
      </c>
      <c r="L672" s="6" t="str">
        <f>IFERROR(__xludf.DUMMYFUNCTION("""COMPUTED_VALUE"""),"morals")</f>
        <v>morals</v>
      </c>
      <c r="M672" s="6" t="str">
        <f>IFERROR(__xludf.DUMMYFUNCTION("""COMPUTED_VALUE"""),"count")</f>
        <v>count</v>
      </c>
      <c r="N672" s="6" t="str">
        <f>IFERROR(__xludf.DUMMYFUNCTION("""COMPUTED_VALUE"""),"drag")</f>
        <v>drag</v>
      </c>
      <c r="P672" s="6" t="str">
        <f>IFERROR(__xludf.DUMMYFUNCTION("""COMPUTED_VALUE"""),"shoot")</f>
        <v>shoot</v>
      </c>
      <c r="Q672" s="6" t="str">
        <f>IFERROR(__xludf.DUMMYFUNCTION("""COMPUTED_VALUE"""),"upon")</f>
        <v>upon</v>
      </c>
      <c r="S672" s="6" t="str">
        <f>IFERROR(__xludf.DUMMYFUNCTION("""COMPUTED_VALUE"""),"public")</f>
        <v>public</v>
      </c>
    </row>
    <row r="673">
      <c r="B673" s="6"/>
      <c r="D673" s="6"/>
      <c r="G673" s="6" t="str">
        <f>IFERROR(__xludf.DUMMYFUNCTION("""COMPUTED_VALUE"""),"wants")</f>
        <v>wants</v>
      </c>
      <c r="H673" s="6" t="str">
        <f>IFERROR(__xludf.DUMMYFUNCTION("""COMPUTED_VALUE"""),"relationships")</f>
        <v>relationships</v>
      </c>
      <c r="I673" s="6" t="str">
        <f>IFERROR(__xludf.DUMMYFUNCTION("""COMPUTED_VALUE"""),"gravity")</f>
        <v>gravity</v>
      </c>
      <c r="J673" s="6" t="str">
        <f>IFERROR(__xludf.DUMMYFUNCTION("""COMPUTED_VALUE"""),"lunatic")</f>
        <v>lunatic</v>
      </c>
      <c r="L673" s="6" t="str">
        <f>IFERROR(__xludf.DUMMYFUNCTION("""COMPUTED_VALUE"""),"essence")</f>
        <v>essence</v>
      </c>
      <c r="M673" s="6" t="str">
        <f>IFERROR(__xludf.DUMMYFUNCTION("""COMPUTED_VALUE"""),"seeing")</f>
        <v>seeing</v>
      </c>
      <c r="N673" s="6" t="str">
        <f>IFERROR(__xludf.DUMMYFUNCTION("""COMPUTED_VALUE"""),"topic")</f>
        <v>topic</v>
      </c>
      <c r="P673" s="6" t="str">
        <f>IFERROR(__xludf.DUMMYFUNCTION("""COMPUTED_VALUE"""),"murder")</f>
        <v>murder</v>
      </c>
      <c r="Q673" s="6" t="str">
        <f>IFERROR(__xludf.DUMMYFUNCTION("""COMPUTED_VALUE"""),"yarn")</f>
        <v>yarn</v>
      </c>
      <c r="S673" s="6" t="str">
        <f>IFERROR(__xludf.DUMMYFUNCTION("""COMPUTED_VALUE"""),"getting")</f>
        <v>getting</v>
      </c>
    </row>
    <row r="674">
      <c r="B674" s="6"/>
      <c r="D674" s="6"/>
      <c r="G674" s="6" t="str">
        <f>IFERROR(__xludf.DUMMYFUNCTION("""COMPUTED_VALUE"""),"african")</f>
        <v>african</v>
      </c>
      <c r="H674" s="6" t="str">
        <f>IFERROR(__xludf.DUMMYFUNCTION("""COMPUTED_VALUE"""),"norma")</f>
        <v>norma</v>
      </c>
      <c r="I674" s="6" t="str">
        <f>IFERROR(__xludf.DUMMYFUNCTION("""COMPUTED_VALUE"""),"popular")</f>
        <v>popular</v>
      </c>
      <c r="J674" s="6" t="str">
        <f>IFERROR(__xludf.DUMMYFUNCTION("""COMPUTED_VALUE"""),"monstrous")</f>
        <v>monstrous</v>
      </c>
      <c r="L674" s="6" t="str">
        <f>IFERROR(__xludf.DUMMYFUNCTION("""COMPUTED_VALUE"""),"spontaneous")</f>
        <v>spontaneous</v>
      </c>
      <c r="M674" s="6" t="str">
        <f>IFERROR(__xludf.DUMMYFUNCTION("""COMPUTED_VALUE"""),"sporting")</f>
        <v>sporting</v>
      </c>
      <c r="N674" s="6" t="str">
        <f>IFERROR(__xludf.DUMMYFUNCTION("""COMPUTED_VALUE"""),"load")</f>
        <v>load</v>
      </c>
      <c r="P674" s="6" t="str">
        <f>IFERROR(__xludf.DUMMYFUNCTION("""COMPUTED_VALUE"""),"survival")</f>
        <v>survival</v>
      </c>
      <c r="Q674" s="6" t="str">
        <f>IFERROR(__xludf.DUMMYFUNCTION("""COMPUTED_VALUE"""),"walk")</f>
        <v>walk</v>
      </c>
      <c r="S674" s="6" t="str">
        <f>IFERROR(__xludf.DUMMYFUNCTION("""COMPUTED_VALUE"""),"sides")</f>
        <v>sides</v>
      </c>
    </row>
    <row r="675">
      <c r="B675" s="6"/>
      <c r="D675" s="6"/>
      <c r="G675" s="6" t="str">
        <f>IFERROR(__xludf.DUMMYFUNCTION("""COMPUTED_VALUE"""),"odds")</f>
        <v>odds</v>
      </c>
      <c r="H675" s="6" t="str">
        <f>IFERROR(__xludf.DUMMYFUNCTION("""COMPUTED_VALUE"""),"rae")</f>
        <v>rae</v>
      </c>
      <c r="I675" s="6" t="str">
        <f>IFERROR(__xludf.DUMMYFUNCTION("""COMPUTED_VALUE"""),"damage")</f>
        <v>damage</v>
      </c>
      <c r="J675" s="6" t="str">
        <f>IFERROR(__xludf.DUMMYFUNCTION("""COMPUTED_VALUE"""),"inherent")</f>
        <v>inherent</v>
      </c>
      <c r="L675" s="6" t="str">
        <f>IFERROR(__xludf.DUMMYFUNCTION("""COMPUTED_VALUE"""),"timing")</f>
        <v>timing</v>
      </c>
      <c r="M675" s="6" t="str">
        <f>IFERROR(__xludf.DUMMYFUNCTION("""COMPUTED_VALUE"""),"means")</f>
        <v>means</v>
      </c>
      <c r="N675" s="6" t="str">
        <f>IFERROR(__xludf.DUMMYFUNCTION("""COMPUTED_VALUE"""),"prove")</f>
        <v>prove</v>
      </c>
      <c r="P675" s="6" t="str">
        <f>IFERROR(__xludf.DUMMYFUNCTION("""COMPUTED_VALUE"""),"psychological")</f>
        <v>psychological</v>
      </c>
      <c r="Q675" s="6" t="str">
        <f>IFERROR(__xludf.DUMMYFUNCTION("""COMPUTED_VALUE"""),"remember")</f>
        <v>remember</v>
      </c>
      <c r="S675" s="6" t="str">
        <f>IFERROR(__xludf.DUMMYFUNCTION("""COMPUTED_VALUE"""),"pulling")</f>
        <v>pulling</v>
      </c>
    </row>
    <row r="676">
      <c r="B676" s="6"/>
      <c r="D676" s="6"/>
      <c r="G676" s="6" t="str">
        <f>IFERROR(__xludf.DUMMYFUNCTION("""COMPUTED_VALUE"""),"verve")</f>
        <v>verve</v>
      </c>
      <c r="H676" s="6" t="str">
        <f>IFERROR(__xludf.DUMMYFUNCTION("""COMPUTED_VALUE"""),"cannes")</f>
        <v>cannes</v>
      </c>
      <c r="I676" s="6" t="str">
        <f>IFERROR(__xludf.DUMMYFUNCTION("""COMPUTED_VALUE"""),"christopher")</f>
        <v>christopher</v>
      </c>
      <c r="J676" s="6" t="str">
        <f>IFERROR(__xludf.DUMMYFUNCTION("""COMPUTED_VALUE"""),"swinging")</f>
        <v>swinging</v>
      </c>
      <c r="L676" s="6" t="str">
        <f>IFERROR(__xludf.DUMMYFUNCTION("""COMPUTED_VALUE"""),"collision")</f>
        <v>collision</v>
      </c>
      <c r="M676" s="6" t="str">
        <f>IFERROR(__xludf.DUMMYFUNCTION("""COMPUTED_VALUE"""),"attract")</f>
        <v>attract</v>
      </c>
      <c r="N676" s="6" t="str">
        <f>IFERROR(__xludf.DUMMYFUNCTION("""COMPUTED_VALUE"""),"form")</f>
        <v>form</v>
      </c>
      <c r="P676" s="6" t="str">
        <f>IFERROR(__xludf.DUMMYFUNCTION("""COMPUTED_VALUE"""),"victories")</f>
        <v>victories</v>
      </c>
      <c r="Q676" s="6" t="str">
        <f>IFERROR(__xludf.DUMMYFUNCTION("""COMPUTED_VALUE"""),"innocence")</f>
        <v>innocence</v>
      </c>
      <c r="S676" s="6" t="str">
        <f>IFERROR(__xludf.DUMMYFUNCTION("""COMPUTED_VALUE"""),"intense")</f>
        <v>intense</v>
      </c>
    </row>
    <row r="677">
      <c r="B677" s="6"/>
      <c r="D677" s="6"/>
      <c r="G677" s="6" t="str">
        <f>IFERROR(__xludf.DUMMYFUNCTION("""COMPUTED_VALUE"""),"bleed")</f>
        <v>bleed</v>
      </c>
      <c r="H677" s="6" t="str">
        <f>IFERROR(__xludf.DUMMYFUNCTION("""COMPUTED_VALUE"""),"raphael")</f>
        <v>raphael</v>
      </c>
      <c r="I677" s="6" t="str">
        <f>IFERROR(__xludf.DUMMYFUNCTION("""COMPUTED_VALUE"""),"warrior")</f>
        <v>warrior</v>
      </c>
      <c r="J677" s="6" t="str">
        <f>IFERROR(__xludf.DUMMYFUNCTION("""COMPUTED_VALUE"""),"praises")</f>
        <v>praises</v>
      </c>
      <c r="L677" s="6" t="str">
        <f>IFERROR(__xludf.DUMMYFUNCTION("""COMPUTED_VALUE"""),"measured")</f>
        <v>measured</v>
      </c>
      <c r="M677" s="6" t="str">
        <f>IFERROR(__xludf.DUMMYFUNCTION("""COMPUTED_VALUE"""),"shots")</f>
        <v>shots</v>
      </c>
      <c r="N677" s="6" t="str">
        <f>IFERROR(__xludf.DUMMYFUNCTION("""COMPUTED_VALUE"""),"impress")</f>
        <v>impress</v>
      </c>
      <c r="P677" s="6" t="str">
        <f>IFERROR(__xludf.DUMMYFUNCTION("""COMPUTED_VALUE"""),"class")</f>
        <v>class</v>
      </c>
      <c r="Q677" s="6" t="str">
        <f>IFERROR(__xludf.DUMMYFUNCTION("""COMPUTED_VALUE"""),"hero")</f>
        <v>hero</v>
      </c>
      <c r="S677" s="6" t="str">
        <f>IFERROR(__xludf.DUMMYFUNCTION("""COMPUTED_VALUE"""),"deeper")</f>
        <v>deeper</v>
      </c>
    </row>
    <row r="678">
      <c r="B678" s="6"/>
      <c r="D678" s="6"/>
      <c r="G678" s="6" t="str">
        <f>IFERROR(__xludf.DUMMYFUNCTION("""COMPUTED_VALUE"""),"broadway")</f>
        <v>broadway</v>
      </c>
      <c r="H678" s="6" t="str">
        <f>IFERROR(__xludf.DUMMYFUNCTION("""COMPUTED_VALUE"""),"understands")</f>
        <v>understands</v>
      </c>
      <c r="I678" s="6" t="str">
        <f>IFERROR(__xludf.DUMMYFUNCTION("""COMPUTED_VALUE"""),"proud")</f>
        <v>proud</v>
      </c>
      <c r="J678" s="6" t="str">
        <f>IFERROR(__xludf.DUMMYFUNCTION("""COMPUTED_VALUE"""),"ecological")</f>
        <v>ecological</v>
      </c>
      <c r="L678" s="6" t="str">
        <f>IFERROR(__xludf.DUMMYFUNCTION("""COMPUTED_VALUE"""),"companion")</f>
        <v>companion</v>
      </c>
      <c r="M678" s="6" t="str">
        <f>IFERROR(__xludf.DUMMYFUNCTION("""COMPUTED_VALUE"""),"creek")</f>
        <v>creek</v>
      </c>
      <c r="N678" s="6" t="str">
        <f>IFERROR(__xludf.DUMMYFUNCTION("""COMPUTED_VALUE"""),"cast")</f>
        <v>cast</v>
      </c>
      <c r="P678" s="6" t="str">
        <f>IFERROR(__xludf.DUMMYFUNCTION("""COMPUTED_VALUE"""),"nonetheless")</f>
        <v>nonetheless</v>
      </c>
      <c r="Q678" s="6" t="str">
        <f>IFERROR(__xludf.DUMMYFUNCTION("""COMPUTED_VALUE"""),"tackles")</f>
        <v>tackles</v>
      </c>
      <c r="S678" s="6" t="str">
        <f>IFERROR(__xludf.DUMMYFUNCTION("""COMPUTED_VALUE"""),"underneath")</f>
        <v>underneath</v>
      </c>
    </row>
    <row r="679">
      <c r="B679" s="6"/>
      <c r="D679" s="6"/>
      <c r="G679" s="6" t="str">
        <f>IFERROR(__xludf.DUMMYFUNCTION("""COMPUTED_VALUE"""),"spirited")</f>
        <v>spirited</v>
      </c>
      <c r="H679" s="6" t="str">
        <f>IFERROR(__xludf.DUMMYFUNCTION("""COMPUTED_VALUE"""),"anderson")</f>
        <v>anderson</v>
      </c>
      <c r="I679" s="6" t="str">
        <f>IFERROR(__xludf.DUMMYFUNCTION("""COMPUTED_VALUE"""),"convention")</f>
        <v>convention</v>
      </c>
      <c r="J679" s="6" t="str">
        <f>IFERROR(__xludf.DUMMYFUNCTION("""COMPUTED_VALUE"""),"sociological")</f>
        <v>sociological</v>
      </c>
      <c r="L679" s="6" t="str">
        <f>IFERROR(__xludf.DUMMYFUNCTION("""COMPUTED_VALUE"""),"inspire")</f>
        <v>inspire</v>
      </c>
      <c r="M679" s="6" t="str">
        <f>IFERROR(__xludf.DUMMYFUNCTION("""COMPUTED_VALUE"""),"involved")</f>
        <v>involved</v>
      </c>
      <c r="N679" s="6" t="str">
        <f>IFERROR(__xludf.DUMMYFUNCTION("""COMPUTED_VALUE"""),"ending")</f>
        <v>ending</v>
      </c>
      <c r="P679" s="6" t="str">
        <f>IFERROR(__xludf.DUMMYFUNCTION("""COMPUTED_VALUE"""),"cheap")</f>
        <v>cheap</v>
      </c>
      <c r="Q679" s="6" t="str">
        <f>IFERROR(__xludf.DUMMYFUNCTION("""COMPUTED_VALUE"""),"stanley")</f>
        <v>stanley</v>
      </c>
      <c r="S679" s="6" t="str">
        <f>IFERROR(__xludf.DUMMYFUNCTION("""COMPUTED_VALUE"""),"constantly")</f>
        <v>constantly</v>
      </c>
    </row>
    <row r="680">
      <c r="B680" s="6"/>
      <c r="D680" s="6"/>
      <c r="G680" s="6" t="str">
        <f>IFERROR(__xludf.DUMMYFUNCTION("""COMPUTED_VALUE"""),"awakening")</f>
        <v>awakening</v>
      </c>
      <c r="H680" s="6" t="str">
        <f>IFERROR(__xludf.DUMMYFUNCTION("""COMPUTED_VALUE"""),"wherein")</f>
        <v>wherein</v>
      </c>
      <c r="I680" s="6">
        <f>IFERROR(__xludf.DUMMYFUNCTION("""COMPUTED_VALUE"""),15.0)</f>
        <v>15</v>
      </c>
      <c r="J680" s="6" t="str">
        <f>IFERROR(__xludf.DUMMYFUNCTION("""COMPUTED_VALUE"""),"teenagers")</f>
        <v>teenagers</v>
      </c>
      <c r="L680" s="6" t="str">
        <f>IFERROR(__xludf.DUMMYFUNCTION("""COMPUTED_VALUE"""),"elephant")</f>
        <v>elephant</v>
      </c>
      <c r="M680" s="6" t="str">
        <f>IFERROR(__xludf.DUMMYFUNCTION("""COMPUTED_VALUE"""),"advice")</f>
        <v>advice</v>
      </c>
      <c r="N680" s="6" t="str">
        <f>IFERROR(__xludf.DUMMYFUNCTION("""COMPUTED_VALUE"""),"rhythm")</f>
        <v>rhythm</v>
      </c>
      <c r="P680" s="6" t="str">
        <f>IFERROR(__xludf.DUMMYFUNCTION("""COMPUTED_VALUE"""),"morning")</f>
        <v>morning</v>
      </c>
      <c r="Q680" s="6" t="str">
        <f>IFERROR(__xludf.DUMMYFUNCTION("""COMPUTED_VALUE"""),"kwan")</f>
        <v>kwan</v>
      </c>
      <c r="S680" s="6" t="str">
        <f>IFERROR(__xludf.DUMMYFUNCTION("""COMPUTED_VALUE"""),"numerous")</f>
        <v>numerous</v>
      </c>
    </row>
    <row r="681">
      <c r="B681" s="6"/>
      <c r="D681" s="6"/>
      <c r="G681" s="6" t="str">
        <f>IFERROR(__xludf.DUMMYFUNCTION("""COMPUTED_VALUE"""),"fathers")</f>
        <v>fathers</v>
      </c>
      <c r="H681" s="6" t="str">
        <f>IFERROR(__xludf.DUMMYFUNCTION("""COMPUTED_VALUE"""),"loyal")</f>
        <v>loyal</v>
      </c>
      <c r="I681" s="6" t="str">
        <f>IFERROR(__xludf.DUMMYFUNCTION("""COMPUTED_VALUE"""),"depression")</f>
        <v>depression</v>
      </c>
      <c r="J681" s="6" t="str">
        <f>IFERROR(__xludf.DUMMYFUNCTION("""COMPUTED_VALUE"""),"notice")</f>
        <v>notice</v>
      </c>
      <c r="L681" s="6" t="str">
        <f>IFERROR(__xludf.DUMMYFUNCTION("""COMPUTED_VALUE"""),"exposure")</f>
        <v>exposure</v>
      </c>
      <c r="M681" s="6" t="str">
        <f>IFERROR(__xludf.DUMMYFUNCTION("""COMPUTED_VALUE"""),"add")</f>
        <v>add</v>
      </c>
      <c r="N681" s="6" t="str">
        <f>IFERROR(__xludf.DUMMYFUNCTION("""COMPUTED_VALUE"""),"pardon")</f>
        <v>pardon</v>
      </c>
      <c r="P681" s="6" t="str">
        <f>IFERROR(__xludf.DUMMYFUNCTION("""COMPUTED_VALUE"""),"saturday")</f>
        <v>saturday</v>
      </c>
      <c r="Q681" s="6" t="str">
        <f>IFERROR(__xludf.DUMMYFUNCTION("""COMPUTED_VALUE"""),"versatile")</f>
        <v>versatile</v>
      </c>
      <c r="S681" s="6" t="str">
        <f>IFERROR(__xludf.DUMMYFUNCTION("""COMPUTED_VALUE"""),"upon")</f>
        <v>upon</v>
      </c>
    </row>
    <row r="682">
      <c r="B682" s="6"/>
      <c r="D682" s="6"/>
      <c r="G682" s="6" t="str">
        <f>IFERROR(__xludf.DUMMYFUNCTION("""COMPUTED_VALUE"""),"obscure")</f>
        <v>obscure</v>
      </c>
      <c r="H682" s="6" t="str">
        <f>IFERROR(__xludf.DUMMYFUNCTION("""COMPUTED_VALUE"""),"holm")</f>
        <v>holm</v>
      </c>
      <c r="I682" s="6" t="str">
        <f>IFERROR(__xludf.DUMMYFUNCTION("""COMPUTED_VALUE"""),"hughes")</f>
        <v>hughes</v>
      </c>
      <c r="J682" s="6" t="str">
        <f>IFERROR(__xludf.DUMMYFUNCTION("""COMPUTED_VALUE"""),"vulgar")</f>
        <v>vulgar</v>
      </c>
      <c r="L682" s="6" t="str">
        <f>IFERROR(__xludf.DUMMYFUNCTION("""COMPUTED_VALUE"""),"shallow")</f>
        <v>shallow</v>
      </c>
      <c r="M682" s="6" t="str">
        <f>IFERROR(__xludf.DUMMYFUNCTION("""COMPUTED_VALUE"""),"routine")</f>
        <v>routine</v>
      </c>
      <c r="N682" s="6" t="str">
        <f>IFERROR(__xludf.DUMMYFUNCTION("""COMPUTED_VALUE"""),"fashion")</f>
        <v>fashion</v>
      </c>
      <c r="P682" s="6" t="str">
        <f>IFERROR(__xludf.DUMMYFUNCTION("""COMPUTED_VALUE"""),"actor")</f>
        <v>actor</v>
      </c>
      <c r="Q682" s="6" t="str">
        <f>IFERROR(__xludf.DUMMYFUNCTION("""COMPUTED_VALUE"""),"hong")</f>
        <v>hong</v>
      </c>
      <c r="S682" s="6" t="str">
        <f>IFERROR(__xludf.DUMMYFUNCTION("""COMPUTED_VALUE"""),"walk")</f>
        <v>walk</v>
      </c>
    </row>
    <row r="683">
      <c r="B683" s="6"/>
      <c r="D683" s="6"/>
      <c r="G683" s="6" t="str">
        <f>IFERROR(__xludf.DUMMYFUNCTION("""COMPUTED_VALUE"""),"impacts")</f>
        <v>impacts</v>
      </c>
      <c r="H683" s="6" t="str">
        <f>IFERROR(__xludf.DUMMYFUNCTION("""COMPUTED_VALUE"""),"ian")</f>
        <v>ian</v>
      </c>
      <c r="I683" s="6" t="str">
        <f>IFERROR(__xludf.DUMMYFUNCTION("""COMPUTED_VALUE"""),"elder")</f>
        <v>elder</v>
      </c>
      <c r="J683" s="6" t="str">
        <f>IFERROR(__xludf.DUMMYFUNCTION("""COMPUTED_VALUE"""),"pokemon")</f>
        <v>pokemon</v>
      </c>
      <c r="L683" s="6" t="str">
        <f>IFERROR(__xludf.DUMMYFUNCTION("""COMPUTED_VALUE"""),"excitement")</f>
        <v>excitement</v>
      </c>
      <c r="M683" s="6" t="str">
        <f>IFERROR(__xludf.DUMMYFUNCTION("""COMPUTED_VALUE"""),"urban")</f>
        <v>urban</v>
      </c>
      <c r="N683" s="6" t="str">
        <f>IFERROR(__xludf.DUMMYFUNCTION("""COMPUTED_VALUE"""),"subtle")</f>
        <v>subtle</v>
      </c>
      <c r="P683" s="6" t="str">
        <f>IFERROR(__xludf.DUMMYFUNCTION("""COMPUTED_VALUE"""),"british")</f>
        <v>british</v>
      </c>
      <c r="Q683" s="6" t="str">
        <f>IFERROR(__xludf.DUMMYFUNCTION("""COMPUTED_VALUE"""),"me")</f>
        <v>me</v>
      </c>
      <c r="S683" s="6" t="str">
        <f>IFERROR(__xludf.DUMMYFUNCTION("""COMPUTED_VALUE"""),"remember")</f>
        <v>remember</v>
      </c>
    </row>
    <row r="684">
      <c r="B684" s="6"/>
      <c r="D684" s="6"/>
      <c r="G684" s="6" t="str">
        <f>IFERROR(__xludf.DUMMYFUNCTION("""COMPUTED_VALUE"""),"blade")</f>
        <v>blade</v>
      </c>
      <c r="H684" s="6" t="str">
        <f>IFERROR(__xludf.DUMMYFUNCTION("""COMPUTED_VALUE"""),"minds")</f>
        <v>minds</v>
      </c>
      <c r="I684" s="6" t="str">
        <f>IFERROR(__xludf.DUMMYFUNCTION("""COMPUTED_VALUE"""),"musical")</f>
        <v>musical</v>
      </c>
      <c r="J684" s="6" t="str">
        <f>IFERROR(__xludf.DUMMYFUNCTION("""COMPUTED_VALUE"""),"incorporates")</f>
        <v>incorporates</v>
      </c>
      <c r="L684" s="6" t="str">
        <f>IFERROR(__xludf.DUMMYFUNCTION("""COMPUTED_VALUE"""),"handsome")</f>
        <v>handsome</v>
      </c>
      <c r="M684" s="6" t="str">
        <f>IFERROR(__xludf.DUMMYFUNCTION("""COMPUTED_VALUE"""),"mention")</f>
        <v>mention</v>
      </c>
      <c r="N684" s="6" t="str">
        <f>IFERROR(__xludf.DUMMYFUNCTION("""COMPUTED_VALUE"""),"sudden")</f>
        <v>sudden</v>
      </c>
      <c r="P684" s="6" t="str">
        <f>IFERROR(__xludf.DUMMYFUNCTION("""COMPUTED_VALUE"""),"nicholas")</f>
        <v>nicholas</v>
      </c>
      <c r="Q684" s="6" t="str">
        <f>IFERROR(__xludf.DUMMYFUNCTION("""COMPUTED_VALUE"""),"refreshing")</f>
        <v>refreshing</v>
      </c>
      <c r="S684" s="6" t="str">
        <f>IFERROR(__xludf.DUMMYFUNCTION("""COMPUTED_VALUE"""),"bite")</f>
        <v>bite</v>
      </c>
    </row>
    <row r="685">
      <c r="B685" s="6"/>
      <c r="D685" s="6"/>
      <c r="G685" s="6" t="str">
        <f>IFERROR(__xludf.DUMMYFUNCTION("""COMPUTED_VALUE"""),"arrangements")</f>
        <v>arrangements</v>
      </c>
      <c r="H685" s="6" t="str">
        <f>IFERROR(__xludf.DUMMYFUNCTION("""COMPUTED_VALUE"""),"justice")</f>
        <v>justice</v>
      </c>
      <c r="I685" s="6" t="str">
        <f>IFERROR(__xludf.DUMMYFUNCTION("""COMPUTED_VALUE"""),"terror")</f>
        <v>terror</v>
      </c>
      <c r="J685" s="6" t="str">
        <f>IFERROR(__xludf.DUMMYFUNCTION("""COMPUTED_VALUE"""),"transporting")</f>
        <v>transporting</v>
      </c>
      <c r="L685" s="6" t="str">
        <f>IFERROR(__xludf.DUMMYFUNCTION("""COMPUTED_VALUE"""),"hong")</f>
        <v>hong</v>
      </c>
      <c r="M685" s="6" t="str">
        <f>IFERROR(__xludf.DUMMYFUNCTION("""COMPUTED_VALUE"""),"bits")</f>
        <v>bits</v>
      </c>
      <c r="N685" s="6" t="str">
        <f>IFERROR(__xludf.DUMMYFUNCTION("""COMPUTED_VALUE"""),"characterization")</f>
        <v>characterization</v>
      </c>
      <c r="P685" s="6" t="str">
        <f>IFERROR(__xludf.DUMMYFUNCTION("""COMPUTED_VALUE"""),"finds")</f>
        <v>finds</v>
      </c>
      <c r="Q685" s="6" t="str">
        <f>IFERROR(__xludf.DUMMYFUNCTION("""COMPUTED_VALUE"""),"clive")</f>
        <v>clive</v>
      </c>
      <c r="S685" s="6" t="str">
        <f>IFERROR(__xludf.DUMMYFUNCTION("""COMPUTED_VALUE"""),"hero")</f>
        <v>hero</v>
      </c>
    </row>
    <row r="686">
      <c r="B686" s="6"/>
      <c r="D686" s="6"/>
      <c r="G686" s="6" t="str">
        <f>IFERROR(__xludf.DUMMYFUNCTION("""COMPUTED_VALUE"""),"uncanny")</f>
        <v>uncanny</v>
      </c>
      <c r="H686" s="6" t="str">
        <f>IFERROR(__xludf.DUMMYFUNCTION("""COMPUTED_VALUE"""),"dawson")</f>
        <v>dawson</v>
      </c>
      <c r="I686" s="6" t="str">
        <f>IFERROR(__xludf.DUMMYFUNCTION("""COMPUTED_VALUE"""),"naval")</f>
        <v>naval</v>
      </c>
      <c r="J686" s="6" t="str">
        <f>IFERROR(__xludf.DUMMYFUNCTION("""COMPUTED_VALUE"""),"diaz")</f>
        <v>diaz</v>
      </c>
      <c r="L686" s="6" t="str">
        <f>IFERROR(__xludf.DUMMYFUNCTION("""COMPUTED_VALUE"""),"loose")</f>
        <v>loose</v>
      </c>
      <c r="M686" s="6" t="str">
        <f>IFERROR(__xludf.DUMMYFUNCTION("""COMPUTED_VALUE"""),"appearance")</f>
        <v>appearance</v>
      </c>
      <c r="N686" s="6" t="str">
        <f>IFERROR(__xludf.DUMMYFUNCTION("""COMPUTED_VALUE"""),"references")</f>
        <v>references</v>
      </c>
      <c r="P686" s="6" t="str">
        <f>IFERROR(__xludf.DUMMYFUNCTION("""COMPUTED_VALUE"""),"pack")</f>
        <v>pack</v>
      </c>
      <c r="Q686" s="6" t="str">
        <f>IFERROR(__xludf.DUMMYFUNCTION("""COMPUTED_VALUE"""),"barker")</f>
        <v>barker</v>
      </c>
      <c r="S686" s="6" t="str">
        <f>IFERROR(__xludf.DUMMYFUNCTION("""COMPUTED_VALUE"""),"fiction")</f>
        <v>fiction</v>
      </c>
    </row>
    <row r="687">
      <c r="B687" s="6"/>
      <c r="D687" s="6"/>
      <c r="G687" s="6" t="str">
        <f>IFERROR(__xludf.DUMMYFUNCTION("""COMPUTED_VALUE"""),"access")</f>
        <v>access</v>
      </c>
      <c r="H687" s="6" t="str">
        <f>IFERROR(__xludf.DUMMYFUNCTION("""COMPUTED_VALUE"""),"portray")</f>
        <v>portray</v>
      </c>
      <c r="I687" s="6" t="str">
        <f>IFERROR(__xludf.DUMMYFUNCTION("""COMPUTED_VALUE"""),"tears")</f>
        <v>tears</v>
      </c>
      <c r="J687" s="6" t="str">
        <f>IFERROR(__xludf.DUMMYFUNCTION("""COMPUTED_VALUE"""),"belongs")</f>
        <v>belongs</v>
      </c>
      <c r="L687" s="6" t="str">
        <f>IFERROR(__xludf.DUMMYFUNCTION("""COMPUTED_VALUE"""),"detailed")</f>
        <v>detailed</v>
      </c>
      <c r="M687" s="6" t="str">
        <f>IFERROR(__xludf.DUMMYFUNCTION("""COMPUTED_VALUE"""),"built")</f>
        <v>built</v>
      </c>
      <c r="N687" s="6" t="str">
        <f>IFERROR(__xludf.DUMMYFUNCTION("""COMPUTED_VALUE"""),"sharp")</f>
        <v>sharp</v>
      </c>
      <c r="P687" s="6" t="str">
        <f>IFERROR(__xludf.DUMMYFUNCTION("""COMPUTED_VALUE"""),"biggest")</f>
        <v>biggest</v>
      </c>
      <c r="Q687" s="6" t="str">
        <f>IFERROR(__xludf.DUMMYFUNCTION("""COMPUTED_VALUE"""),"motion")</f>
        <v>motion</v>
      </c>
      <c r="S687" s="6" t="str">
        <f>IFERROR(__xludf.DUMMYFUNCTION("""COMPUTED_VALUE"""),"today")</f>
        <v>today</v>
      </c>
    </row>
    <row r="688">
      <c r="B688" s="6"/>
      <c r="D688" s="6"/>
      <c r="G688" s="6" t="str">
        <f>IFERROR(__xludf.DUMMYFUNCTION("""COMPUTED_VALUE"""),"godfrey")</f>
        <v>godfrey</v>
      </c>
      <c r="H688" s="6" t="str">
        <f>IFERROR(__xludf.DUMMYFUNCTION("""COMPUTED_VALUE"""),"someone")</f>
        <v>someone</v>
      </c>
      <c r="I688" s="6" t="str">
        <f>IFERROR(__xludf.DUMMYFUNCTION("""COMPUTED_VALUE"""),"chamber")</f>
        <v>chamber</v>
      </c>
      <c r="J688" s="6" t="str">
        <f>IFERROR(__xludf.DUMMYFUNCTION("""COMPUTED_VALUE"""),"country")</f>
        <v>country</v>
      </c>
      <c r="L688" s="6" t="str">
        <f>IFERROR(__xludf.DUMMYFUNCTION("""COMPUTED_VALUE"""),"appealing")</f>
        <v>appealing</v>
      </c>
      <c r="M688" s="6" t="str">
        <f>IFERROR(__xludf.DUMMYFUNCTION("""COMPUTED_VALUE"""),"scene")</f>
        <v>scene</v>
      </c>
      <c r="N688" s="6" t="str">
        <f>IFERROR(__xludf.DUMMYFUNCTION("""COMPUTED_VALUE"""),"brush")</f>
        <v>brush</v>
      </c>
      <c r="P688" s="6" t="str">
        <f>IFERROR(__xludf.DUMMYFUNCTION("""COMPUTED_VALUE"""),"couple")</f>
        <v>couple</v>
      </c>
      <c r="Q688" s="6" t="str">
        <f>IFERROR(__xludf.DUMMYFUNCTION("""COMPUTED_VALUE"""),"recognizable")</f>
        <v>recognizable</v>
      </c>
      <c r="S688" s="6" t="str">
        <f>IFERROR(__xludf.DUMMYFUNCTION("""COMPUTED_VALUE"""),"sad")</f>
        <v>sad</v>
      </c>
    </row>
    <row r="689">
      <c r="B689" s="6"/>
      <c r="D689" s="6"/>
      <c r="G689" s="6" t="str">
        <f>IFERROR(__xludf.DUMMYFUNCTION("""COMPUTED_VALUE"""),"zipper")</f>
        <v>zipper</v>
      </c>
      <c r="H689" s="6" t="str">
        <f>IFERROR(__xludf.DUMMYFUNCTION("""COMPUTED_VALUE"""),"monumental")</f>
        <v>monumental</v>
      </c>
      <c r="I689" s="6" t="str">
        <f>IFERROR(__xludf.DUMMYFUNCTION("""COMPUTED_VALUE"""),"cultural")</f>
        <v>cultural</v>
      </c>
      <c r="J689" s="6" t="str">
        <f>IFERROR(__xludf.DUMMYFUNCTION("""COMPUTED_VALUE"""),"jacques")</f>
        <v>jacques</v>
      </c>
      <c r="L689" s="6" t="str">
        <f>IFERROR(__xludf.DUMMYFUNCTION("""COMPUTED_VALUE"""),"image")</f>
        <v>image</v>
      </c>
      <c r="M689" s="6" t="str">
        <f>IFERROR(__xludf.DUMMYFUNCTION("""COMPUTED_VALUE"""),"insurance")</f>
        <v>insurance</v>
      </c>
      <c r="N689" s="6" t="str">
        <f>IFERROR(__xludf.DUMMYFUNCTION("""COMPUTED_VALUE"""),"invest")</f>
        <v>invest</v>
      </c>
      <c r="P689" s="6" t="str">
        <f>IFERROR(__xludf.DUMMYFUNCTION("""COMPUTED_VALUE"""),"measured")</f>
        <v>measured</v>
      </c>
      <c r="Q689" s="6" t="str">
        <f>IFERROR(__xludf.DUMMYFUNCTION("""COMPUTED_VALUE"""),"propelled")</f>
        <v>propelled</v>
      </c>
      <c r="S689" s="6" t="str">
        <f>IFERROR(__xludf.DUMMYFUNCTION("""COMPUTED_VALUE"""),"hong")</f>
        <v>hong</v>
      </c>
    </row>
    <row r="690">
      <c r="B690" s="6"/>
      <c r="D690" s="6"/>
      <c r="G690" s="6" t="str">
        <f>IFERROR(__xludf.DUMMYFUNCTION("""COMPUTED_VALUE"""),"reflective")</f>
        <v>reflective</v>
      </c>
      <c r="H690" s="6" t="str">
        <f>IFERROR(__xludf.DUMMYFUNCTION("""COMPUTED_VALUE"""),"morgan")</f>
        <v>morgan</v>
      </c>
      <c r="I690" s="6" t="str">
        <f>IFERROR(__xludf.DUMMYFUNCTION("""COMPUTED_VALUE"""),"shorter")</f>
        <v>shorter</v>
      </c>
      <c r="J690" s="6" t="str">
        <f>IFERROR(__xludf.DUMMYFUNCTION("""COMPUTED_VALUE"""),"diversion")</f>
        <v>diversion</v>
      </c>
      <c r="L690" s="6" t="str">
        <f>IFERROR(__xludf.DUMMYFUNCTION("""COMPUTED_VALUE"""),"cinema")</f>
        <v>cinema</v>
      </c>
      <c r="M690" s="6" t="str">
        <f>IFERROR(__xludf.DUMMYFUNCTION("""COMPUTED_VALUE"""),"flood")</f>
        <v>flood</v>
      </c>
      <c r="N690" s="6" t="str">
        <f>IFERROR(__xludf.DUMMYFUNCTION("""COMPUTED_VALUE"""),"pressed")</f>
        <v>pressed</v>
      </c>
      <c r="P690" s="6" t="str">
        <f>IFERROR(__xludf.DUMMYFUNCTION("""COMPUTED_VALUE"""),"figure")</f>
        <v>figure</v>
      </c>
      <c r="Q690" s="6" t="str">
        <f>IFERROR(__xludf.DUMMYFUNCTION("""COMPUTED_VALUE"""),"spielberg")</f>
        <v>spielberg</v>
      </c>
      <c r="S690" s="6" t="str">
        <f>IFERROR(__xludf.DUMMYFUNCTION("""COMPUTED_VALUE"""),"stanley")</f>
        <v>stanley</v>
      </c>
    </row>
    <row r="691">
      <c r="B691" s="6"/>
      <c r="D691" s="6"/>
      <c r="G691" s="6" t="str">
        <f>IFERROR(__xludf.DUMMYFUNCTION("""COMPUTED_VALUE"""),"threat")</f>
        <v>threat</v>
      </c>
      <c r="H691" s="6" t="str">
        <f>IFERROR(__xludf.DUMMYFUNCTION("""COMPUTED_VALUE"""),"freeman")</f>
        <v>freeman</v>
      </c>
      <c r="I691" s="6" t="str">
        <f>IFERROR(__xludf.DUMMYFUNCTION("""COMPUTED_VALUE"""),"trailer")</f>
        <v>trailer</v>
      </c>
      <c r="J691" s="6" t="str">
        <f>IFERROR(__xludf.DUMMYFUNCTION("""COMPUTED_VALUE"""),"bonds")</f>
        <v>bonds</v>
      </c>
      <c r="L691" s="6" t="str">
        <f>IFERROR(__xludf.DUMMYFUNCTION("""COMPUTED_VALUE"""),"director")</f>
        <v>director</v>
      </c>
      <c r="M691" s="6" t="str">
        <f>IFERROR(__xludf.DUMMYFUNCTION("""COMPUTED_VALUE"""),"worried")</f>
        <v>worried</v>
      </c>
      <c r="N691" s="6" t="str">
        <f>IFERROR(__xludf.DUMMYFUNCTION("""COMPUTED_VALUE"""),"layers")</f>
        <v>layers</v>
      </c>
      <c r="P691" s="6" t="str">
        <f>IFERROR(__xludf.DUMMYFUNCTION("""COMPUTED_VALUE"""),"murphy")</f>
        <v>murphy</v>
      </c>
      <c r="Q691" s="6" t="str">
        <f>IFERROR(__xludf.DUMMYFUNCTION("""COMPUTED_VALUE"""),"trademark")</f>
        <v>trademark</v>
      </c>
      <c r="S691" s="6" t="str">
        <f>IFERROR(__xludf.DUMMYFUNCTION("""COMPUTED_VALUE"""),"motion")</f>
        <v>motion</v>
      </c>
    </row>
    <row r="692">
      <c r="B692" s="6"/>
      <c r="D692" s="6"/>
      <c r="G692" s="6" t="str">
        <f>IFERROR(__xludf.DUMMYFUNCTION("""COMPUTED_VALUE"""),"expense")</f>
        <v>expense</v>
      </c>
      <c r="H692" s="6" t="str">
        <f>IFERROR(__xludf.DUMMYFUNCTION("""COMPUTED_VALUE"""),"judd")</f>
        <v>judd</v>
      </c>
      <c r="I692" s="6" t="str">
        <f>IFERROR(__xludf.DUMMYFUNCTION("""COMPUTED_VALUE"""),"pit")</f>
        <v>pit</v>
      </c>
      <c r="J692" s="6" t="str">
        <f>IFERROR(__xludf.DUMMYFUNCTION("""COMPUTED_VALUE"""),"anatomical")</f>
        <v>anatomical</v>
      </c>
      <c r="L692" s="6" t="str">
        <f>IFERROR(__xludf.DUMMYFUNCTION("""COMPUTED_VALUE"""),"observation")</f>
        <v>observation</v>
      </c>
      <c r="M692" s="6" t="str">
        <f>IFERROR(__xludf.DUMMYFUNCTION("""COMPUTED_VALUE"""),"message")</f>
        <v>message</v>
      </c>
      <c r="N692" s="6" t="str">
        <f>IFERROR(__xludf.DUMMYFUNCTION("""COMPUTED_VALUE"""),"lingering")</f>
        <v>lingering</v>
      </c>
      <c r="P692" s="6" t="str">
        <f>IFERROR(__xludf.DUMMYFUNCTION("""COMPUTED_VALUE"""),"host")</f>
        <v>host</v>
      </c>
      <c r="Q692" s="6" t="str">
        <f>IFERROR(__xludf.DUMMYFUNCTION("""COMPUTED_VALUE"""),"score")</f>
        <v>score</v>
      </c>
      <c r="S692" s="6" t="str">
        <f>IFERROR(__xludf.DUMMYFUNCTION("""COMPUTED_VALUE"""),"presents")</f>
        <v>presents</v>
      </c>
    </row>
    <row r="693">
      <c r="B693" s="6"/>
      <c r="D693" s="6"/>
      <c r="G693" s="6" t="str">
        <f>IFERROR(__xludf.DUMMYFUNCTION("""COMPUTED_VALUE"""),"critical")</f>
        <v>critical</v>
      </c>
      <c r="H693" s="6" t="str">
        <f>IFERROR(__xludf.DUMMYFUNCTION("""COMPUTED_VALUE"""),"logic")</f>
        <v>logic</v>
      </c>
      <c r="I693" s="6" t="str">
        <f>IFERROR(__xludf.DUMMYFUNCTION("""COMPUTED_VALUE"""),"circuit")</f>
        <v>circuit</v>
      </c>
      <c r="J693" s="6" t="str">
        <f>IFERROR(__xludf.DUMMYFUNCTION("""COMPUTED_VALUE"""),"rely")</f>
        <v>rely</v>
      </c>
      <c r="L693" s="6" t="str">
        <f>IFERROR(__xludf.DUMMYFUNCTION("""COMPUTED_VALUE"""),"perception")</f>
        <v>perception</v>
      </c>
      <c r="M693" s="6" t="str">
        <f>IFERROR(__xludf.DUMMYFUNCTION("""COMPUTED_VALUE"""),"allow")</f>
        <v>allow</v>
      </c>
      <c r="N693" s="6" t="str">
        <f>IFERROR(__xludf.DUMMYFUNCTION("""COMPUTED_VALUE"""),"teeth")</f>
        <v>teeth</v>
      </c>
      <c r="P693" s="6" t="str">
        <f>IFERROR(__xludf.DUMMYFUNCTION("""COMPUTED_VALUE"""),"liberation")</f>
        <v>liberation</v>
      </c>
      <c r="Q693" s="6" t="str">
        <f>IFERROR(__xludf.DUMMYFUNCTION("""COMPUTED_VALUE"""),"revelations")</f>
        <v>revelations</v>
      </c>
      <c r="S693" s="6" t="str">
        <f>IFERROR(__xludf.DUMMYFUNCTION("""COMPUTED_VALUE"""),"score")</f>
        <v>score</v>
      </c>
    </row>
    <row r="694">
      <c r="B694" s="6"/>
      <c r="D694" s="6"/>
      <c r="G694" s="6" t="str">
        <f>IFERROR(__xludf.DUMMYFUNCTION("""COMPUTED_VALUE"""),"convinced")</f>
        <v>convinced</v>
      </c>
      <c r="H694" s="6" t="str">
        <f>IFERROR(__xludf.DUMMYFUNCTION("""COMPUTED_VALUE"""),"grey")</f>
        <v>grey</v>
      </c>
      <c r="I694" s="6" t="str">
        <f>IFERROR(__xludf.DUMMYFUNCTION("""COMPUTED_VALUE"""),"sell")</f>
        <v>sell</v>
      </c>
      <c r="J694" s="6" t="str">
        <f>IFERROR(__xludf.DUMMYFUNCTION("""COMPUTED_VALUE"""),"elegant")</f>
        <v>elegant</v>
      </c>
      <c r="L694" s="6" t="str">
        <f>IFERROR(__xludf.DUMMYFUNCTION("""COMPUTED_VALUE"""),"warmth")</f>
        <v>warmth</v>
      </c>
      <c r="M694" s="6" t="str">
        <f>IFERROR(__xludf.DUMMYFUNCTION("""COMPUTED_VALUE"""),"date")</f>
        <v>date</v>
      </c>
      <c r="N694" s="6" t="str">
        <f>IFERROR(__xludf.DUMMYFUNCTION("""COMPUTED_VALUE"""),"singer")</f>
        <v>singer</v>
      </c>
      <c r="P694" s="6" t="str">
        <f>IFERROR(__xludf.DUMMYFUNCTION("""COMPUTED_VALUE"""),"impression")</f>
        <v>impression</v>
      </c>
      <c r="Q694" s="6" t="str">
        <f>IFERROR(__xludf.DUMMYFUNCTION("""COMPUTED_VALUE"""),"planet")</f>
        <v>planet</v>
      </c>
      <c r="S694" s="6" t="str">
        <f>IFERROR(__xludf.DUMMYFUNCTION("""COMPUTED_VALUE"""),"capable")</f>
        <v>capable</v>
      </c>
    </row>
    <row r="695">
      <c r="B695" s="6"/>
      <c r="D695" s="6"/>
      <c r="G695" s="6" t="str">
        <f>IFERROR(__xludf.DUMMYFUNCTION("""COMPUTED_VALUE"""),"tens")</f>
        <v>tens</v>
      </c>
      <c r="H695" s="6" t="str">
        <f>IFERROR(__xludf.DUMMYFUNCTION("""COMPUTED_VALUE"""),"zone")</f>
        <v>zone</v>
      </c>
      <c r="I695" s="6" t="str">
        <f>IFERROR(__xludf.DUMMYFUNCTION("""COMPUTED_VALUE"""),"swept")</f>
        <v>swept</v>
      </c>
      <c r="J695" s="6" t="str">
        <f>IFERROR(__xludf.DUMMYFUNCTION("""COMPUTED_VALUE"""),"majors")</f>
        <v>majors</v>
      </c>
      <c r="L695" s="6" t="str">
        <f>IFERROR(__xludf.DUMMYFUNCTION("""COMPUTED_VALUE"""),"restraint")</f>
        <v>restraint</v>
      </c>
      <c r="M695" s="6" t="str">
        <f>IFERROR(__xludf.DUMMYFUNCTION("""COMPUTED_VALUE"""),"machine")</f>
        <v>machine</v>
      </c>
      <c r="N695" s="6" t="str">
        <f>IFERROR(__xludf.DUMMYFUNCTION("""COMPUTED_VALUE"""),"released")</f>
        <v>released</v>
      </c>
      <c r="P695" s="6" t="str">
        <f>IFERROR(__xludf.DUMMYFUNCTION("""COMPUTED_VALUE"""),"stand")</f>
        <v>stand</v>
      </c>
      <c r="Q695" s="6" t="str">
        <f>IFERROR(__xludf.DUMMYFUNCTION("""COMPUTED_VALUE"""),"mug")</f>
        <v>mug</v>
      </c>
      <c r="S695" s="6" t="str">
        <f>IFERROR(__xludf.DUMMYFUNCTION("""COMPUTED_VALUE"""),"planet")</f>
        <v>planet</v>
      </c>
    </row>
    <row r="696">
      <c r="B696" s="6"/>
      <c r="D696" s="6"/>
      <c r="G696" s="6" t="str">
        <f>IFERROR(__xludf.DUMMYFUNCTION("""COMPUTED_VALUE"""),"teach")</f>
        <v>teach</v>
      </c>
      <c r="H696" s="6" t="str">
        <f>IFERROR(__xludf.DUMMYFUNCTION("""COMPUTED_VALUE"""),"shadowy")</f>
        <v>shadowy</v>
      </c>
      <c r="I696" s="6" t="str">
        <f>IFERROR(__xludf.DUMMYFUNCTION("""COMPUTED_VALUE"""),"phone")</f>
        <v>phone</v>
      </c>
      <c r="J696" s="6" t="str">
        <f>IFERROR(__xludf.DUMMYFUNCTION("""COMPUTED_VALUE"""),"governments")</f>
        <v>governments</v>
      </c>
      <c r="L696" s="6" t="str">
        <f>IFERROR(__xludf.DUMMYFUNCTION("""COMPUTED_VALUE"""),"song")</f>
        <v>song</v>
      </c>
      <c r="M696" s="6" t="str">
        <f>IFERROR(__xludf.DUMMYFUNCTION("""COMPUTED_VALUE"""),"higher")</f>
        <v>higher</v>
      </c>
      <c r="N696" s="6" t="str">
        <f>IFERROR(__xludf.DUMMYFUNCTION("""COMPUTED_VALUE"""),"ode")</f>
        <v>ode</v>
      </c>
      <c r="P696" s="6" t="str">
        <f>IFERROR(__xludf.DUMMYFUNCTION("""COMPUTED_VALUE"""),"childhood")</f>
        <v>childhood</v>
      </c>
      <c r="Q696" s="6" t="str">
        <f>IFERROR(__xludf.DUMMYFUNCTION("""COMPUTED_VALUE"""),"ethnic")</f>
        <v>ethnic</v>
      </c>
      <c r="S696" s="6" t="str">
        <f>IFERROR(__xludf.DUMMYFUNCTION("""COMPUTED_VALUE"""),"ethnic")</f>
        <v>ethnic</v>
      </c>
    </row>
    <row r="697">
      <c r="B697" s="6"/>
      <c r="D697" s="6"/>
      <c r="G697" s="6" t="str">
        <f>IFERROR(__xludf.DUMMYFUNCTION("""COMPUTED_VALUE"""),"eye")</f>
        <v>eye</v>
      </c>
      <c r="H697" s="6" t="str">
        <f>IFERROR(__xludf.DUMMYFUNCTION("""COMPUTED_VALUE"""),"generated")</f>
        <v>generated</v>
      </c>
      <c r="I697" s="6" t="str">
        <f>IFERROR(__xludf.DUMMYFUNCTION("""COMPUTED_VALUE"""),"quietly")</f>
        <v>quietly</v>
      </c>
      <c r="J697" s="6" t="str">
        <f>IFERROR(__xludf.DUMMYFUNCTION("""COMPUTED_VALUE"""),"reconstruction")</f>
        <v>reconstruction</v>
      </c>
      <c r="L697" s="6" t="str">
        <f>IFERROR(__xludf.DUMMYFUNCTION("""COMPUTED_VALUE"""),"fabricated")</f>
        <v>fabricated</v>
      </c>
      <c r="M697" s="6" t="str">
        <f>IFERROR(__xludf.DUMMYFUNCTION("""COMPUTED_VALUE"""),"pure")</f>
        <v>pure</v>
      </c>
      <c r="N697" s="6" t="str">
        <f>IFERROR(__xludf.DUMMYFUNCTION("""COMPUTED_VALUE"""),"violence")</f>
        <v>violence</v>
      </c>
      <c r="P697" s="6" t="str">
        <f>IFERROR(__xludf.DUMMYFUNCTION("""COMPUTED_VALUE"""),"writer")</f>
        <v>writer</v>
      </c>
      <c r="Q697" s="6" t="str">
        <f>IFERROR(__xludf.DUMMYFUNCTION("""COMPUTED_VALUE"""),"stylistic")</f>
        <v>stylistic</v>
      </c>
      <c r="S697" s="6" t="str">
        <f>IFERROR(__xludf.DUMMYFUNCTION("""COMPUTED_VALUE"""),"journey")</f>
        <v>journey</v>
      </c>
    </row>
    <row r="698">
      <c r="B698" s="6"/>
      <c r="D698" s="6"/>
      <c r="G698" s="6" t="str">
        <f>IFERROR(__xludf.DUMMYFUNCTION("""COMPUTED_VALUE"""),"blind")</f>
        <v>blind</v>
      </c>
      <c r="H698" s="6" t="str">
        <f>IFERROR(__xludf.DUMMYFUNCTION("""COMPUTED_VALUE"""),"graceful")</f>
        <v>graceful</v>
      </c>
      <c r="I698" s="6" t="str">
        <f>IFERROR(__xludf.DUMMYFUNCTION("""COMPUTED_VALUE"""),"peak")</f>
        <v>peak</v>
      </c>
      <c r="J698" s="6" t="str">
        <f>IFERROR(__xludf.DUMMYFUNCTION("""COMPUTED_VALUE"""),"opaque")</f>
        <v>opaque</v>
      </c>
      <c r="L698" s="6" t="str">
        <f>IFERROR(__xludf.DUMMYFUNCTION("""COMPUTED_VALUE"""),"subject")</f>
        <v>subject</v>
      </c>
      <c r="M698" s="6" t="str">
        <f>IFERROR(__xludf.DUMMYFUNCTION("""COMPUTED_VALUE"""),"matters")</f>
        <v>matters</v>
      </c>
      <c r="N698" s="6" t="str">
        <f>IFERROR(__xludf.DUMMYFUNCTION("""COMPUTED_VALUE"""),"manages")</f>
        <v>manages</v>
      </c>
      <c r="P698" s="6" t="str">
        <f>IFERROR(__xludf.DUMMYFUNCTION("""COMPUTED_VALUE"""),"ultimately")</f>
        <v>ultimately</v>
      </c>
      <c r="Q698" s="6" t="str">
        <f>IFERROR(__xludf.DUMMYFUNCTION("""COMPUTED_VALUE"""),"layered")</f>
        <v>layered</v>
      </c>
      <c r="S698" s="6" t="str">
        <f>IFERROR(__xludf.DUMMYFUNCTION("""COMPUTED_VALUE"""),"holly")</f>
        <v>holly</v>
      </c>
    </row>
    <row r="699">
      <c r="B699" s="6"/>
      <c r="D699" s="6"/>
      <c r="G699" s="6" t="str">
        <f>IFERROR(__xludf.DUMMYFUNCTION("""COMPUTED_VALUE"""),"possess")</f>
        <v>possess</v>
      </c>
      <c r="H699" s="6" t="str">
        <f>IFERROR(__xludf.DUMMYFUNCTION("""COMPUTED_VALUE"""),"frontman")</f>
        <v>frontman</v>
      </c>
      <c r="I699" s="6" t="str">
        <f>IFERROR(__xludf.DUMMYFUNCTION("""COMPUTED_VALUE"""),"savage")</f>
        <v>savage</v>
      </c>
      <c r="J699" s="6" t="str">
        <f>IFERROR(__xludf.DUMMYFUNCTION("""COMPUTED_VALUE"""),"borrowed")</f>
        <v>borrowed</v>
      </c>
      <c r="L699" s="6" t="str">
        <f>IFERROR(__xludf.DUMMYFUNCTION("""COMPUTED_VALUE"""),"lewis")</f>
        <v>lewis</v>
      </c>
      <c r="M699" s="6" t="str">
        <f>IFERROR(__xludf.DUMMYFUNCTION("""COMPUTED_VALUE"""),"primary")</f>
        <v>primary</v>
      </c>
      <c r="N699" s="6" t="str">
        <f>IFERROR(__xludf.DUMMYFUNCTION("""COMPUTED_VALUE"""),"grand")</f>
        <v>grand</v>
      </c>
      <c r="P699" s="6" t="str">
        <f>IFERROR(__xludf.DUMMYFUNCTION("""COMPUTED_VALUE"""),"four")</f>
        <v>four</v>
      </c>
      <c r="Q699" s="6" t="str">
        <f>IFERROR(__xludf.DUMMYFUNCTION("""COMPUTED_VALUE"""),"daring")</f>
        <v>daring</v>
      </c>
      <c r="S699" s="6" t="str">
        <f>IFERROR(__xludf.DUMMYFUNCTION("""COMPUTED_VALUE"""),"marina")</f>
        <v>marina</v>
      </c>
    </row>
    <row r="700">
      <c r="B700" s="6"/>
      <c r="D700" s="6"/>
      <c r="G700" s="6" t="str">
        <f>IFERROR(__xludf.DUMMYFUNCTION("""COMPUTED_VALUE"""),"adjective")</f>
        <v>adjective</v>
      </c>
      <c r="H700" s="6" t="str">
        <f>IFERROR(__xludf.DUMMYFUNCTION("""COMPUTED_VALUE"""),"energetic")</f>
        <v>energetic</v>
      </c>
      <c r="I700" s="6" t="str">
        <f>IFERROR(__xludf.DUMMYFUNCTION("""COMPUTED_VALUE"""),"philosophy")</f>
        <v>philosophy</v>
      </c>
      <c r="J700" s="6" t="str">
        <f>IFERROR(__xludf.DUMMYFUNCTION("""COMPUTED_VALUE"""),"demons")</f>
        <v>demons</v>
      </c>
      <c r="L700" s="6" t="str">
        <f>IFERROR(__xludf.DUMMYFUNCTION("""COMPUTED_VALUE"""),"carved")</f>
        <v>carved</v>
      </c>
      <c r="M700" s="6" t="str">
        <f>IFERROR(__xludf.DUMMYFUNCTION("""COMPUTED_VALUE"""),"comic")</f>
        <v>comic</v>
      </c>
      <c r="N700" s="6" t="str">
        <f>IFERROR(__xludf.DUMMYFUNCTION("""COMPUTED_VALUE"""),"gas")</f>
        <v>gas</v>
      </c>
      <c r="P700" s="6" t="str">
        <f>IFERROR(__xludf.DUMMYFUNCTION("""COMPUTED_VALUE"""),"changing")</f>
        <v>changing</v>
      </c>
      <c r="Q700" s="6" t="str">
        <f>IFERROR(__xludf.DUMMYFUNCTION("""COMPUTED_VALUE"""),"haute")</f>
        <v>haute</v>
      </c>
      <c r="S700" s="6" t="str">
        <f>IFERROR(__xludf.DUMMYFUNCTION("""COMPUTED_VALUE"""),"degree")</f>
        <v>degree</v>
      </c>
    </row>
    <row r="701">
      <c r="B701" s="6"/>
      <c r="D701" s="6"/>
      <c r="G701" s="6" t="str">
        <f>IFERROR(__xludf.DUMMYFUNCTION("""COMPUTED_VALUE"""),"grandfather")</f>
        <v>grandfather</v>
      </c>
      <c r="H701" s="6" t="str">
        <f>IFERROR(__xludf.DUMMYFUNCTION("""COMPUTED_VALUE"""),"resist")</f>
        <v>resist</v>
      </c>
      <c r="I701" s="6" t="str">
        <f>IFERROR(__xludf.DUMMYFUNCTION("""COMPUTED_VALUE"""),"hell")</f>
        <v>hell</v>
      </c>
      <c r="J701" s="6" t="str">
        <f>IFERROR(__xludf.DUMMYFUNCTION("""COMPUTED_VALUE"""),"blank")</f>
        <v>blank</v>
      </c>
      <c r="L701" s="6" t="str">
        <f>IFERROR(__xludf.DUMMYFUNCTION("""COMPUTED_VALUE"""),"tract")</f>
        <v>tract</v>
      </c>
      <c r="M701" s="6" t="str">
        <f>IFERROR(__xludf.DUMMYFUNCTION("""COMPUTED_VALUE"""),"carried")</f>
        <v>carried</v>
      </c>
      <c r="N701" s="6" t="str">
        <f>IFERROR(__xludf.DUMMYFUNCTION("""COMPUTED_VALUE"""),"covers")</f>
        <v>covers</v>
      </c>
      <c r="P701" s="6" t="str">
        <f>IFERROR(__xludf.DUMMYFUNCTION("""COMPUTED_VALUE"""),"thinking")</f>
        <v>thinking</v>
      </c>
      <c r="Q701" s="6" t="str">
        <f>IFERROR(__xludf.DUMMYFUNCTION("""COMPUTED_VALUE"""),"tick")</f>
        <v>tick</v>
      </c>
      <c r="S701" s="6" t="str">
        <f>IFERROR(__xludf.DUMMYFUNCTION("""COMPUTED_VALUE"""),"name")</f>
        <v>name</v>
      </c>
    </row>
    <row r="702">
      <c r="B702" s="6"/>
      <c r="D702" s="6"/>
      <c r="G702" s="6" t="str">
        <f>IFERROR(__xludf.DUMMYFUNCTION("""COMPUTED_VALUE"""),"imaginative")</f>
        <v>imaginative</v>
      </c>
      <c r="H702" s="6" t="str">
        <f>IFERROR(__xludf.DUMMYFUNCTION("""COMPUTED_VALUE"""),"amusing")</f>
        <v>amusing</v>
      </c>
      <c r="I702" s="6">
        <f>IFERROR(__xludf.DUMMYFUNCTION("""COMPUTED_VALUE"""),86.0)</f>
        <v>86</v>
      </c>
      <c r="J702" s="6" t="str">
        <f>IFERROR(__xludf.DUMMYFUNCTION("""COMPUTED_VALUE"""),"lark")</f>
        <v>lark</v>
      </c>
      <c r="L702" s="6" t="str">
        <f>IFERROR(__xludf.DUMMYFUNCTION("""COMPUTED_VALUE"""),"observations")</f>
        <v>observations</v>
      </c>
      <c r="M702" s="6" t="str">
        <f>IFERROR(__xludf.DUMMYFUNCTION("""COMPUTED_VALUE"""),"comics")</f>
        <v>comics</v>
      </c>
      <c r="N702" s="6" t="str">
        <f>IFERROR(__xludf.DUMMYFUNCTION("""COMPUTED_VALUE"""),"pleasing")</f>
        <v>pleasing</v>
      </c>
      <c r="P702" s="6" t="str">
        <f>IFERROR(__xludf.DUMMYFUNCTION("""COMPUTED_VALUE"""),"cia")</f>
        <v>cia</v>
      </c>
      <c r="Q702" s="6" t="str">
        <f>IFERROR(__xludf.DUMMYFUNCTION("""COMPUTED_VALUE"""),"spanning")</f>
        <v>spanning</v>
      </c>
      <c r="S702" s="6" t="str">
        <f>IFERROR(__xludf.DUMMYFUNCTION("""COMPUTED_VALUE"""),"greater")</f>
        <v>greater</v>
      </c>
    </row>
    <row r="703">
      <c r="B703" s="6"/>
      <c r="D703" s="6"/>
      <c r="G703" s="6" t="str">
        <f>IFERROR(__xludf.DUMMYFUNCTION("""COMPUTED_VALUE"""),"digest")</f>
        <v>digest</v>
      </c>
      <c r="H703" s="6" t="str">
        <f>IFERROR(__xludf.DUMMYFUNCTION("""COMPUTED_VALUE"""),"obligatory")</f>
        <v>obligatory</v>
      </c>
      <c r="I703" s="6" t="str">
        <f>IFERROR(__xludf.DUMMYFUNCTION("""COMPUTED_VALUE"""),"handling")</f>
        <v>handling</v>
      </c>
      <c r="J703" s="6" t="str">
        <f>IFERROR(__xludf.DUMMYFUNCTION("""COMPUTED_VALUE"""),"pipeline")</f>
        <v>pipeline</v>
      </c>
      <c r="L703" s="6" t="str">
        <f>IFERROR(__xludf.DUMMYFUNCTION("""COMPUTED_VALUE"""),"slap")</f>
        <v>slap</v>
      </c>
      <c r="M703" s="6" t="str">
        <f>IFERROR(__xludf.DUMMYFUNCTION("""COMPUTED_VALUE"""),"pants")</f>
        <v>pants</v>
      </c>
      <c r="N703" s="6" t="str">
        <f>IFERROR(__xludf.DUMMYFUNCTION("""COMPUTED_VALUE"""),"beauty")</f>
        <v>beauty</v>
      </c>
      <c r="P703" s="6" t="str">
        <f>IFERROR(__xludf.DUMMYFUNCTION("""COMPUTED_VALUE"""),"ryan")</f>
        <v>ryan</v>
      </c>
      <c r="Q703" s="6" t="str">
        <f>IFERROR(__xludf.DUMMYFUNCTION("""COMPUTED_VALUE"""),"journey")</f>
        <v>journey</v>
      </c>
      <c r="S703" s="6" t="str">
        <f>IFERROR(__xludf.DUMMYFUNCTION("""COMPUTED_VALUE"""),"evolution")</f>
        <v>evolution</v>
      </c>
    </row>
    <row r="704">
      <c r="B704" s="6"/>
      <c r="D704" s="6"/>
      <c r="G704" s="6" t="str">
        <f>IFERROR(__xludf.DUMMYFUNCTION("""COMPUTED_VALUE"""),"mounting")</f>
        <v>mounting</v>
      </c>
      <c r="H704" s="6" t="str">
        <f>IFERROR(__xludf.DUMMYFUNCTION("""COMPUTED_VALUE"""),"pulse")</f>
        <v>pulse</v>
      </c>
      <c r="I704" s="6" t="str">
        <f>IFERROR(__xludf.DUMMYFUNCTION("""COMPUTED_VALUE"""),"rushed")</f>
        <v>rushed</v>
      </c>
      <c r="J704" s="6" t="str">
        <f>IFERROR(__xludf.DUMMYFUNCTION("""COMPUTED_VALUE"""),"abstract")</f>
        <v>abstract</v>
      </c>
      <c r="L704" s="6" t="str">
        <f>IFERROR(__xludf.DUMMYFUNCTION("""COMPUTED_VALUE"""),"evans")</f>
        <v>evans</v>
      </c>
      <c r="M704" s="6" t="str">
        <f>IFERROR(__xludf.DUMMYFUNCTION("""COMPUTED_VALUE"""),"performance")</f>
        <v>performance</v>
      </c>
      <c r="N704" s="6" t="str">
        <f>IFERROR(__xludf.DUMMYFUNCTION("""COMPUTED_VALUE"""),"bitten")</f>
        <v>bitten</v>
      </c>
      <c r="P704" s="6" t="str">
        <f>IFERROR(__xludf.DUMMYFUNCTION("""COMPUTED_VALUE"""),"precious")</f>
        <v>precious</v>
      </c>
      <c r="Q704" s="6" t="str">
        <f>IFERROR(__xludf.DUMMYFUNCTION("""COMPUTED_VALUE"""),"marina")</f>
        <v>marina</v>
      </c>
      <c r="S704" s="6" t="str">
        <f>IFERROR(__xludf.DUMMYFUNCTION("""COMPUTED_VALUE"""),"tired")</f>
        <v>tired</v>
      </c>
    </row>
    <row r="705">
      <c r="B705" s="6"/>
      <c r="D705" s="6"/>
      <c r="G705" s="6" t="str">
        <f>IFERROR(__xludf.DUMMYFUNCTION("""COMPUTED_VALUE"""),"composition")</f>
        <v>composition</v>
      </c>
      <c r="H705" s="6" t="str">
        <f>IFERROR(__xludf.DUMMYFUNCTION("""COMPUTED_VALUE"""),"subconscious")</f>
        <v>subconscious</v>
      </c>
      <c r="I705" s="6" t="str">
        <f>IFERROR(__xludf.DUMMYFUNCTION("""COMPUTED_VALUE"""),"print")</f>
        <v>print</v>
      </c>
      <c r="J705" s="6" t="str">
        <f>IFERROR(__xludf.DUMMYFUNCTION("""COMPUTED_VALUE"""),"diaries")</f>
        <v>diaries</v>
      </c>
      <c r="L705" s="6" t="str">
        <f>IFERROR(__xludf.DUMMYFUNCTION("""COMPUTED_VALUE"""),"effectiveness")</f>
        <v>effectiveness</v>
      </c>
      <c r="M705" s="6" t="str">
        <f>IFERROR(__xludf.DUMMYFUNCTION("""COMPUTED_VALUE"""),"yard")</f>
        <v>yard</v>
      </c>
      <c r="N705" s="6" t="str">
        <f>IFERROR(__xludf.DUMMYFUNCTION("""COMPUTED_VALUE"""),"necessary")</f>
        <v>necessary</v>
      </c>
      <c r="P705" s="6" t="str">
        <f>IFERROR(__xludf.DUMMYFUNCTION("""COMPUTED_VALUE"""),"dead")</f>
        <v>dead</v>
      </c>
      <c r="Q705" s="6" t="str">
        <f>IFERROR(__xludf.DUMMYFUNCTION("""COMPUTED_VALUE"""),"holly")</f>
        <v>holly</v>
      </c>
      <c r="S705" s="6" t="str">
        <f>IFERROR(__xludf.DUMMYFUNCTION("""COMPUTED_VALUE"""),"skin")</f>
        <v>skin</v>
      </c>
    </row>
    <row r="706">
      <c r="B706" s="6"/>
      <c r="D706" s="6"/>
      <c r="G706" s="6" t="str">
        <f>IFERROR(__xludf.DUMMYFUNCTION("""COMPUTED_VALUE"""),"credible")</f>
        <v>credible</v>
      </c>
      <c r="H706" s="6" t="str">
        <f>IFERROR(__xludf.DUMMYFUNCTION("""COMPUTED_VALUE"""),"cynical")</f>
        <v>cynical</v>
      </c>
      <c r="I706" s="6" t="str">
        <f>IFERROR(__xludf.DUMMYFUNCTION("""COMPUTED_VALUE"""),"copy")</f>
        <v>copy</v>
      </c>
      <c r="J706" s="6" t="str">
        <f>IFERROR(__xludf.DUMMYFUNCTION("""COMPUTED_VALUE"""),"reel")</f>
        <v>reel</v>
      </c>
      <c r="L706" s="6" t="str">
        <f>IFERROR(__xludf.DUMMYFUNCTION("""COMPUTED_VALUE"""),"lifetime")</f>
        <v>lifetime</v>
      </c>
      <c r="M706" s="6" t="str">
        <f>IFERROR(__xludf.DUMMYFUNCTION("""COMPUTED_VALUE"""),"video")</f>
        <v>video</v>
      </c>
      <c r="N706" s="6" t="str">
        <f>IFERROR(__xludf.DUMMYFUNCTION("""COMPUTED_VALUE"""),"epic")</f>
        <v>epic</v>
      </c>
      <c r="P706" s="6" t="str">
        <f>IFERROR(__xludf.DUMMYFUNCTION("""COMPUTED_VALUE"""),"unlike")</f>
        <v>unlike</v>
      </c>
      <c r="Q706" s="6" t="str">
        <f>IFERROR(__xludf.DUMMYFUNCTION("""COMPUTED_VALUE"""),"emerge")</f>
        <v>emerge</v>
      </c>
      <c r="S706" s="6" t="str">
        <f>IFERROR(__xludf.DUMMYFUNCTION("""COMPUTED_VALUE"""),"perhaps")</f>
        <v>perhaps</v>
      </c>
    </row>
    <row r="707">
      <c r="B707" s="6"/>
      <c r="D707" s="6"/>
      <c r="G707" s="6" t="str">
        <f>IFERROR(__xludf.DUMMYFUNCTION("""COMPUTED_VALUE"""),"mature")</f>
        <v>mature</v>
      </c>
      <c r="H707" s="6" t="str">
        <f>IFERROR(__xludf.DUMMYFUNCTION("""COMPUTED_VALUE"""),"stirring")</f>
        <v>stirring</v>
      </c>
      <c r="I707" s="6" t="str">
        <f>IFERROR(__xludf.DUMMYFUNCTION("""COMPUTED_VALUE"""),"mad")</f>
        <v>mad</v>
      </c>
      <c r="J707" s="6" t="str">
        <f>IFERROR(__xludf.DUMMYFUNCTION("""COMPUTED_VALUE"""),"courtship")</f>
        <v>courtship</v>
      </c>
      <c r="L707" s="6" t="str">
        <f>IFERROR(__xludf.DUMMYFUNCTION("""COMPUTED_VALUE"""),"gravity")</f>
        <v>gravity</v>
      </c>
      <c r="M707" s="6" t="str">
        <f>IFERROR(__xludf.DUMMYFUNCTION("""COMPUTED_VALUE"""),"suit")</f>
        <v>suit</v>
      </c>
      <c r="N707" s="6" t="str">
        <f>IFERROR(__xludf.DUMMYFUNCTION("""COMPUTED_VALUE"""),"elaborate")</f>
        <v>elaborate</v>
      </c>
      <c r="P707" s="6" t="str">
        <f>IFERROR(__xludf.DUMMYFUNCTION("""COMPUTED_VALUE"""),"nice")</f>
        <v>nice</v>
      </c>
      <c r="Q707" s="6" t="str">
        <f>IFERROR(__xludf.DUMMYFUNCTION("""COMPUTED_VALUE"""),"passionate")</f>
        <v>passionate</v>
      </c>
      <c r="S707" s="6" t="str">
        <f>IFERROR(__xludf.DUMMYFUNCTION("""COMPUTED_VALUE"""),"last")</f>
        <v>last</v>
      </c>
    </row>
    <row r="708">
      <c r="B708" s="6"/>
      <c r="D708" s="6"/>
      <c r="G708" s="6" t="str">
        <f>IFERROR(__xludf.DUMMYFUNCTION("""COMPUTED_VALUE"""),"complications")</f>
        <v>complications</v>
      </c>
      <c r="H708" s="6" t="str">
        <f>IFERROR(__xludf.DUMMYFUNCTION("""COMPUTED_VALUE"""),"struggling")</f>
        <v>struggling</v>
      </c>
      <c r="I708" s="6" t="str">
        <f>IFERROR(__xludf.DUMMYFUNCTION("""COMPUTED_VALUE"""),"wise")</f>
        <v>wise</v>
      </c>
      <c r="J708" s="6" t="str">
        <f>IFERROR(__xludf.DUMMYFUNCTION("""COMPUTED_VALUE"""),"yale")</f>
        <v>yale</v>
      </c>
      <c r="L708" s="6" t="str">
        <f>IFERROR(__xludf.DUMMYFUNCTION("""COMPUTED_VALUE"""),"critical")</f>
        <v>critical</v>
      </c>
      <c r="M708" s="6" t="str">
        <f>IFERROR(__xludf.DUMMYFUNCTION("""COMPUTED_VALUE"""),"younger")</f>
        <v>younger</v>
      </c>
      <c r="N708" s="6" t="str">
        <f>IFERROR(__xludf.DUMMYFUNCTION("""COMPUTED_VALUE"""),"jersey")</f>
        <v>jersey</v>
      </c>
      <c r="P708" s="6" t="str">
        <f>IFERROR(__xludf.DUMMYFUNCTION("""COMPUTED_VALUE"""),"transformation")</f>
        <v>transformation</v>
      </c>
      <c r="Q708" s="6" t="str">
        <f>IFERROR(__xludf.DUMMYFUNCTION("""COMPUTED_VALUE"""),"adolescents")</f>
        <v>adolescents</v>
      </c>
      <c r="S708" s="6" t="str">
        <f>IFERROR(__xludf.DUMMYFUNCTION("""COMPUTED_VALUE"""),"kennedy")</f>
        <v>kennedy</v>
      </c>
    </row>
    <row r="709">
      <c r="B709" s="6"/>
      <c r="D709" s="6"/>
      <c r="G709" s="6" t="str">
        <f>IFERROR(__xludf.DUMMYFUNCTION("""COMPUTED_VALUE"""),"commerce")</f>
        <v>commerce</v>
      </c>
      <c r="H709" s="6" t="str">
        <f>IFERROR(__xludf.DUMMYFUNCTION("""COMPUTED_VALUE"""),"flourish")</f>
        <v>flourish</v>
      </c>
      <c r="I709" s="6" t="str">
        <f>IFERROR(__xludf.DUMMYFUNCTION("""COMPUTED_VALUE"""),"anime")</f>
        <v>anime</v>
      </c>
      <c r="J709" s="6" t="str">
        <f>IFERROR(__xludf.DUMMYFUNCTION("""COMPUTED_VALUE"""),"twisted")</f>
        <v>twisted</v>
      </c>
      <c r="L709" s="6" t="str">
        <f>IFERROR(__xludf.DUMMYFUNCTION("""COMPUTED_VALUE"""),"apparatus")</f>
        <v>apparatus</v>
      </c>
      <c r="M709" s="6" t="str">
        <f>IFERROR(__xludf.DUMMYFUNCTION("""COMPUTED_VALUE"""),"adults")</f>
        <v>adults</v>
      </c>
      <c r="N709" s="6" t="str">
        <f>IFERROR(__xludf.DUMMYFUNCTION("""COMPUTED_VALUE"""),"denying")</f>
        <v>denying</v>
      </c>
      <c r="P709" s="6" t="str">
        <f>IFERROR(__xludf.DUMMYFUNCTION("""COMPUTED_VALUE"""),"widow")</f>
        <v>widow</v>
      </c>
      <c r="Q709" s="6" t="str">
        <f>IFERROR(__xludf.DUMMYFUNCTION("""COMPUTED_VALUE"""),"evolution")</f>
        <v>evolution</v>
      </c>
      <c r="S709" s="6" t="str">
        <f>IFERROR(__xludf.DUMMYFUNCTION("""COMPUTED_VALUE"""),"attempt")</f>
        <v>attempt</v>
      </c>
    </row>
    <row r="710">
      <c r="B710" s="6"/>
      <c r="D710" s="6"/>
      <c r="G710" s="6" t="str">
        <f>IFERROR(__xludf.DUMMYFUNCTION("""COMPUTED_VALUE"""),"subtly")</f>
        <v>subtly</v>
      </c>
      <c r="H710" s="6" t="str">
        <f>IFERROR(__xludf.DUMMYFUNCTION("""COMPUTED_VALUE"""),"sprawling")</f>
        <v>sprawling</v>
      </c>
      <c r="I710" s="6" t="str">
        <f>IFERROR(__xludf.DUMMYFUNCTION("""COMPUTED_VALUE"""),"accused")</f>
        <v>accused</v>
      </c>
      <c r="J710" s="6" t="str">
        <f>IFERROR(__xludf.DUMMYFUNCTION("""COMPUTED_VALUE"""),"constant")</f>
        <v>constant</v>
      </c>
      <c r="L710" s="6" t="str">
        <f>IFERROR(__xludf.DUMMYFUNCTION("""COMPUTED_VALUE"""),"compassion")</f>
        <v>compassion</v>
      </c>
      <c r="M710" s="6" t="str">
        <f>IFERROR(__xludf.DUMMYFUNCTION("""COMPUTED_VALUE"""),"unsuccessful")</f>
        <v>unsuccessful</v>
      </c>
      <c r="N710" s="6" t="str">
        <f>IFERROR(__xludf.DUMMYFUNCTION("""COMPUTED_VALUE"""),"distract")</f>
        <v>distract</v>
      </c>
      <c r="P710" s="6" t="str">
        <f>IFERROR(__xludf.DUMMYFUNCTION("""COMPUTED_VALUE"""),"drawn")</f>
        <v>drawn</v>
      </c>
      <c r="Q710" s="6" t="str">
        <f>IFERROR(__xludf.DUMMYFUNCTION("""COMPUTED_VALUE"""),"greater")</f>
        <v>greater</v>
      </c>
      <c r="S710" s="6" t="str">
        <f>IFERROR(__xludf.DUMMYFUNCTION("""COMPUTED_VALUE"""),"soundtrack")</f>
        <v>soundtrack</v>
      </c>
    </row>
    <row r="711">
      <c r="B711" s="6"/>
      <c r="D711" s="6"/>
      <c r="G711" s="6" t="str">
        <f>IFERROR(__xludf.DUMMYFUNCTION("""COMPUTED_VALUE"""),"waltz")</f>
        <v>waltz</v>
      </c>
      <c r="H711" s="6" t="str">
        <f>IFERROR(__xludf.DUMMYFUNCTION("""COMPUTED_VALUE"""),"scientist")</f>
        <v>scientist</v>
      </c>
      <c r="I711" s="6" t="str">
        <f>IFERROR(__xludf.DUMMYFUNCTION("""COMPUTED_VALUE"""),"distinguished")</f>
        <v>distinguished</v>
      </c>
      <c r="J711" s="6" t="str">
        <f>IFERROR(__xludf.DUMMYFUNCTION("""COMPUTED_VALUE"""),"gall")</f>
        <v>gall</v>
      </c>
      <c r="L711" s="6" t="str">
        <f>IFERROR(__xludf.DUMMYFUNCTION("""COMPUTED_VALUE"""),"vigorously")</f>
        <v>vigorously</v>
      </c>
      <c r="M711" s="6" t="str">
        <f>IFERROR(__xludf.DUMMYFUNCTION("""COMPUTED_VALUE"""),"social")</f>
        <v>social</v>
      </c>
      <c r="N711" s="6" t="str">
        <f>IFERROR(__xludf.DUMMYFUNCTION("""COMPUTED_VALUE"""),"viewing")</f>
        <v>viewing</v>
      </c>
      <c r="P711" s="6" t="str">
        <f>IFERROR(__xludf.DUMMYFUNCTION("""COMPUTED_VALUE"""),"soccer")</f>
        <v>soccer</v>
      </c>
      <c r="Q711" s="6" t="str">
        <f>IFERROR(__xludf.DUMMYFUNCTION("""COMPUTED_VALUE"""),"tired")</f>
        <v>tired</v>
      </c>
      <c r="S711" s="6">
        <f>IFERROR(__xludf.DUMMYFUNCTION("""COMPUTED_VALUE"""),20.0)</f>
        <v>20</v>
      </c>
    </row>
    <row r="712">
      <c r="B712" s="6"/>
      <c r="D712" s="6"/>
      <c r="G712" s="6" t="str">
        <f>IFERROR(__xludf.DUMMYFUNCTION("""COMPUTED_VALUE"""),"provoke")</f>
        <v>provoke</v>
      </c>
      <c r="H712" s="6" t="str">
        <f>IFERROR(__xludf.DUMMYFUNCTION("""COMPUTED_VALUE"""),"chan")</f>
        <v>chan</v>
      </c>
      <c r="I712" s="6" t="str">
        <f>IFERROR(__xludf.DUMMYFUNCTION("""COMPUTED_VALUE"""),"reign")</f>
        <v>reign</v>
      </c>
      <c r="J712" s="6" t="str">
        <f>IFERROR(__xludf.DUMMYFUNCTION("""COMPUTED_VALUE"""),"identification")</f>
        <v>identification</v>
      </c>
      <c r="L712" s="6" t="str">
        <f>IFERROR(__xludf.DUMMYFUNCTION("""COMPUTED_VALUE"""),"fiddle")</f>
        <v>fiddle</v>
      </c>
      <c r="M712" s="6" t="str">
        <f>IFERROR(__xludf.DUMMYFUNCTION("""COMPUTED_VALUE"""),"marvel")</f>
        <v>marvel</v>
      </c>
      <c r="N712" s="6" t="str">
        <f>IFERROR(__xludf.DUMMYFUNCTION("""COMPUTED_VALUE"""),"romance")</f>
        <v>romance</v>
      </c>
      <c r="P712" s="6" t="str">
        <f>IFERROR(__xludf.DUMMYFUNCTION("""COMPUTED_VALUE"""),"festival")</f>
        <v>festival</v>
      </c>
      <c r="Q712" s="6" t="str">
        <f>IFERROR(__xludf.DUMMYFUNCTION("""COMPUTED_VALUE"""),"scrutiny")</f>
        <v>scrutiny</v>
      </c>
      <c r="S712" s="6" t="str">
        <f>IFERROR(__xludf.DUMMYFUNCTION("""COMPUTED_VALUE"""),"load")</f>
        <v>load</v>
      </c>
    </row>
    <row r="713">
      <c r="B713" s="6"/>
      <c r="D713" s="6"/>
      <c r="G713" s="6" t="str">
        <f>IFERROR(__xludf.DUMMYFUNCTION("""COMPUTED_VALUE"""),"consciousness")</f>
        <v>consciousness</v>
      </c>
      <c r="H713" s="6" t="str">
        <f>IFERROR(__xludf.DUMMYFUNCTION("""COMPUTED_VALUE"""),"problematic")</f>
        <v>problematic</v>
      </c>
      <c r="I713" s="6" t="str">
        <f>IFERROR(__xludf.DUMMYFUNCTION("""COMPUTED_VALUE"""),"grin")</f>
        <v>grin</v>
      </c>
      <c r="J713" s="6" t="str">
        <f>IFERROR(__xludf.DUMMYFUNCTION("""COMPUTED_VALUE"""),"connection")</f>
        <v>connection</v>
      </c>
      <c r="L713" s="6" t="str">
        <f>IFERROR(__xludf.DUMMYFUNCTION("""COMPUTED_VALUE"""),"accuse")</f>
        <v>accuse</v>
      </c>
      <c r="M713" s="6" t="str">
        <f>IFERROR(__xludf.DUMMYFUNCTION("""COMPUTED_VALUE"""),"scope")</f>
        <v>scope</v>
      </c>
      <c r="N713" s="6" t="str">
        <f>IFERROR(__xludf.DUMMYFUNCTION("""COMPUTED_VALUE"""),"skill")</f>
        <v>skill</v>
      </c>
      <c r="P713" s="6" t="str">
        <f>IFERROR(__xludf.DUMMYFUNCTION("""COMPUTED_VALUE"""),"george")</f>
        <v>george</v>
      </c>
      <c r="Q713" s="6" t="str">
        <f>IFERROR(__xludf.DUMMYFUNCTION("""COMPUTED_VALUE"""),"skin")</f>
        <v>skin</v>
      </c>
      <c r="S713" s="6" t="str">
        <f>IFERROR(__xludf.DUMMYFUNCTION("""COMPUTED_VALUE"""),"paper")</f>
        <v>paper</v>
      </c>
    </row>
    <row r="714">
      <c r="B714" s="6"/>
      <c r="D714" s="6"/>
      <c r="G714" s="6" t="str">
        <f>IFERROR(__xludf.DUMMYFUNCTION("""COMPUTED_VALUE"""),"conceptual")</f>
        <v>conceptual</v>
      </c>
      <c r="H714" s="6" t="str">
        <f>IFERROR(__xludf.DUMMYFUNCTION("""COMPUTED_VALUE"""),"hilarious")</f>
        <v>hilarious</v>
      </c>
      <c r="I714" s="6" t="str">
        <f>IFERROR(__xludf.DUMMYFUNCTION("""COMPUTED_VALUE"""),"marry")</f>
        <v>marry</v>
      </c>
      <c r="J714" s="6" t="str">
        <f>IFERROR(__xludf.DUMMYFUNCTION("""COMPUTED_VALUE"""),"built")</f>
        <v>built</v>
      </c>
      <c r="L714" s="6" t="str">
        <f>IFERROR(__xludf.DUMMYFUNCTION("""COMPUTED_VALUE"""),"scoring")</f>
        <v>scoring</v>
      </c>
      <c r="M714" s="6" t="str">
        <f>IFERROR(__xludf.DUMMYFUNCTION("""COMPUTED_VALUE"""),"international")</f>
        <v>international</v>
      </c>
      <c r="N714" s="6" t="str">
        <f>IFERROR(__xludf.DUMMYFUNCTION("""COMPUTED_VALUE"""),"scares")</f>
        <v>scares</v>
      </c>
      <c r="P714" s="6" t="str">
        <f>IFERROR(__xludf.DUMMYFUNCTION("""COMPUTED_VALUE"""),"french")</f>
        <v>french</v>
      </c>
      <c r="Q714" s="6" t="str">
        <f>IFERROR(__xludf.DUMMYFUNCTION("""COMPUTED_VALUE"""),"radiant")</f>
        <v>radiant</v>
      </c>
      <c r="S714" s="6" t="str">
        <f>IFERROR(__xludf.DUMMYFUNCTION("""COMPUTED_VALUE"""),"layers")</f>
        <v>layers</v>
      </c>
    </row>
    <row r="715">
      <c r="B715" s="6"/>
      <c r="D715" s="6"/>
      <c r="G715" s="6" t="str">
        <f>IFERROR(__xludf.DUMMYFUNCTION("""COMPUTED_VALUE"""),"devote")</f>
        <v>devote</v>
      </c>
      <c r="H715" s="6" t="str">
        <f>IFERROR(__xludf.DUMMYFUNCTION("""COMPUTED_VALUE"""),"fantasia")</f>
        <v>fantasia</v>
      </c>
      <c r="I715" s="6" t="str">
        <f>IFERROR(__xludf.DUMMYFUNCTION("""COMPUTED_VALUE"""),"wang")</f>
        <v>wang</v>
      </c>
      <c r="J715" s="6" t="str">
        <f>IFERROR(__xludf.DUMMYFUNCTION("""COMPUTED_VALUE"""),"retaining")</f>
        <v>retaining</v>
      </c>
      <c r="L715" s="6" t="str">
        <f>IFERROR(__xludf.DUMMYFUNCTION("""COMPUTED_VALUE"""),"creativity")</f>
        <v>creativity</v>
      </c>
      <c r="M715" s="6" t="str">
        <f>IFERROR(__xludf.DUMMYFUNCTION("""COMPUTED_VALUE"""),"flight")</f>
        <v>flight</v>
      </c>
      <c r="N715" s="6" t="str">
        <f>IFERROR(__xludf.DUMMYFUNCTION("""COMPUTED_VALUE"""),"del")</f>
        <v>del</v>
      </c>
      <c r="P715" s="6" t="str">
        <f>IFERROR(__xludf.DUMMYFUNCTION("""COMPUTED_VALUE"""),"wonder")</f>
        <v>wonder</v>
      </c>
      <c r="Q715" s="6" t="str">
        <f>IFERROR(__xludf.DUMMYFUNCTION("""COMPUTED_VALUE"""),"speculation")</f>
        <v>speculation</v>
      </c>
      <c r="S715" s="6" t="str">
        <f>IFERROR(__xludf.DUMMYFUNCTION("""COMPUTED_VALUE"""),"deadly")</f>
        <v>deadly</v>
      </c>
    </row>
    <row r="716">
      <c r="B716" s="6"/>
      <c r="D716" s="6"/>
      <c r="G716" s="6" t="str">
        <f>IFERROR(__xludf.DUMMYFUNCTION("""COMPUTED_VALUE"""),"steady")</f>
        <v>steady</v>
      </c>
      <c r="H716" s="6" t="str">
        <f>IFERROR(__xludf.DUMMYFUNCTION("""COMPUTED_VALUE"""),"biographical")</f>
        <v>biographical</v>
      </c>
      <c r="I716" s="6" t="str">
        <f>IFERROR(__xludf.DUMMYFUNCTION("""COMPUTED_VALUE"""),"surrender")</f>
        <v>surrender</v>
      </c>
      <c r="J716" s="6" t="str">
        <f>IFERROR(__xludf.DUMMYFUNCTION("""COMPUTED_VALUE"""),"mainstream")</f>
        <v>mainstream</v>
      </c>
      <c r="L716" s="6" t="str">
        <f>IFERROR(__xludf.DUMMYFUNCTION("""COMPUTED_VALUE"""),"professionals")</f>
        <v>professionals</v>
      </c>
      <c r="M716" s="6" t="str">
        <f>IFERROR(__xludf.DUMMYFUNCTION("""COMPUTED_VALUE"""),"terminal")</f>
        <v>terminal</v>
      </c>
      <c r="N716" s="6" t="str">
        <f>IFERROR(__xludf.DUMMYFUNCTION("""COMPUTED_VALUE"""),"touched")</f>
        <v>touched</v>
      </c>
      <c r="P716" s="6" t="str">
        <f>IFERROR(__xludf.DUMMYFUNCTION("""COMPUTED_VALUE"""),"developed")</f>
        <v>developed</v>
      </c>
      <c r="Q716" s="6" t="str">
        <f>IFERROR(__xludf.DUMMYFUNCTION("""COMPUTED_VALUE"""),"kennedy")</f>
        <v>kennedy</v>
      </c>
      <c r="S716" s="6" t="str">
        <f>IFERROR(__xludf.DUMMYFUNCTION("""COMPUTED_VALUE"""),"frequently")</f>
        <v>frequently</v>
      </c>
    </row>
    <row r="717">
      <c r="B717" s="6"/>
      <c r="D717" s="6"/>
      <c r="G717" s="6" t="str">
        <f>IFERROR(__xludf.DUMMYFUNCTION("""COMPUTED_VALUE"""),"puzzle")</f>
        <v>puzzle</v>
      </c>
      <c r="H717" s="6" t="str">
        <f>IFERROR(__xludf.DUMMYFUNCTION("""COMPUTED_VALUE"""),"christian")</f>
        <v>christian</v>
      </c>
      <c r="I717" s="6" t="str">
        <f>IFERROR(__xludf.DUMMYFUNCTION("""COMPUTED_VALUE"""),"several")</f>
        <v>several</v>
      </c>
      <c r="J717" s="6" t="str">
        <f>IFERROR(__xludf.DUMMYFUNCTION("""COMPUTED_VALUE"""),"menacing")</f>
        <v>menacing</v>
      </c>
      <c r="L717" s="6" t="str">
        <f>IFERROR(__xludf.DUMMYFUNCTION("""COMPUTED_VALUE"""),"yielded")</f>
        <v>yielded</v>
      </c>
      <c r="M717" s="6" t="str">
        <f>IFERROR(__xludf.DUMMYFUNCTION("""COMPUTED_VALUE"""),"shorter")</f>
        <v>shorter</v>
      </c>
      <c r="N717" s="6" t="str">
        <f>IFERROR(__xludf.DUMMYFUNCTION("""COMPUTED_VALUE"""),"sacrifice")</f>
        <v>sacrifice</v>
      </c>
      <c r="P717" s="6" t="str">
        <f>IFERROR(__xludf.DUMMYFUNCTION("""COMPUTED_VALUE"""),"fully")</f>
        <v>fully</v>
      </c>
      <c r="Q717" s="6" t="str">
        <f>IFERROR(__xludf.DUMMYFUNCTION("""COMPUTED_VALUE"""),"attempt")</f>
        <v>attempt</v>
      </c>
      <c r="S717" s="6" t="str">
        <f>IFERROR(__xludf.DUMMYFUNCTION("""COMPUTED_VALUE"""),"impressive")</f>
        <v>impressive</v>
      </c>
    </row>
    <row r="718">
      <c r="B718" s="6"/>
      <c r="D718" s="6"/>
      <c r="G718" s="6" t="str">
        <f>IFERROR(__xludf.DUMMYFUNCTION("""COMPUTED_VALUE"""),"naturally")</f>
        <v>naturally</v>
      </c>
      <c r="H718" s="6" t="str">
        <f>IFERROR(__xludf.DUMMYFUNCTION("""COMPUTED_VALUE"""),"triangle")</f>
        <v>triangle</v>
      </c>
      <c r="I718" s="6" t="str">
        <f>IFERROR(__xludf.DUMMYFUNCTION("""COMPUTED_VALUE"""),"secretary")</f>
        <v>secretary</v>
      </c>
      <c r="J718" s="6" t="str">
        <f>IFERROR(__xludf.DUMMYFUNCTION("""COMPUTED_VALUE"""),"nor")</f>
        <v>nor</v>
      </c>
      <c r="L718" s="6" t="str">
        <f>IFERROR(__xludf.DUMMYFUNCTION("""COMPUTED_VALUE"""),"distant")</f>
        <v>distant</v>
      </c>
      <c r="M718" s="6" t="str">
        <f>IFERROR(__xludf.DUMMYFUNCTION("""COMPUTED_VALUE"""),"traffic")</f>
        <v>traffic</v>
      </c>
      <c r="N718" s="6" t="str">
        <f>IFERROR(__xludf.DUMMYFUNCTION("""COMPUTED_VALUE"""),"obstacles")</f>
        <v>obstacles</v>
      </c>
      <c r="P718" s="6" t="str">
        <f>IFERROR(__xludf.DUMMYFUNCTION("""COMPUTED_VALUE"""),"vincent")</f>
        <v>vincent</v>
      </c>
      <c r="Q718" s="6" t="str">
        <f>IFERROR(__xludf.DUMMYFUNCTION("""COMPUTED_VALUE"""),"soundtrack")</f>
        <v>soundtrack</v>
      </c>
      <c r="S718" s="6" t="str">
        <f>IFERROR(__xludf.DUMMYFUNCTION("""COMPUTED_VALUE"""),"king")</f>
        <v>king</v>
      </c>
    </row>
    <row r="719">
      <c r="B719" s="6"/>
      <c r="D719" s="6"/>
      <c r="G719" s="6" t="str">
        <f>IFERROR(__xludf.DUMMYFUNCTION("""COMPUTED_VALUE"""),"corpse")</f>
        <v>corpse</v>
      </c>
      <c r="H719" s="6" t="str">
        <f>IFERROR(__xludf.DUMMYFUNCTION("""COMPUTED_VALUE"""),"leon")</f>
        <v>leon</v>
      </c>
      <c r="I719" s="6" t="str">
        <f>IFERROR(__xludf.DUMMYFUNCTION("""COMPUTED_VALUE"""),"boat")</f>
        <v>boat</v>
      </c>
      <c r="J719" s="6" t="str">
        <f>IFERROR(__xludf.DUMMYFUNCTION("""COMPUTED_VALUE"""),"got")</f>
        <v>got</v>
      </c>
      <c r="L719" s="6" t="str">
        <f>IFERROR(__xludf.DUMMYFUNCTION("""COMPUTED_VALUE"""),"experimental")</f>
        <v>experimental</v>
      </c>
      <c r="M719" s="6" t="str">
        <f>IFERROR(__xludf.DUMMYFUNCTION("""COMPUTED_VALUE"""),"catching")</f>
        <v>catching</v>
      </c>
      <c r="N719" s="6" t="str">
        <f>IFERROR(__xludf.DUMMYFUNCTION("""COMPUTED_VALUE"""),"attempts")</f>
        <v>attempts</v>
      </c>
      <c r="P719" s="6" t="str">
        <f>IFERROR(__xludf.DUMMYFUNCTION("""COMPUTED_VALUE"""),"sisters")</f>
        <v>sisters</v>
      </c>
      <c r="Q719" s="6" t="str">
        <f>IFERROR(__xludf.DUMMYFUNCTION("""COMPUTED_VALUE"""),"layers")</f>
        <v>layers</v>
      </c>
      <c r="S719" s="6" t="str">
        <f>IFERROR(__xludf.DUMMYFUNCTION("""COMPUTED_VALUE"""),"middle")</f>
        <v>middle</v>
      </c>
    </row>
    <row r="720">
      <c r="B720" s="6"/>
      <c r="D720" s="6"/>
      <c r="G720" s="6" t="str">
        <f>IFERROR(__xludf.DUMMYFUNCTION("""COMPUTED_VALUE"""),"gravity")</f>
        <v>gravity</v>
      </c>
      <c r="H720" s="6" t="str">
        <f>IFERROR(__xludf.DUMMYFUNCTION("""COMPUTED_VALUE"""),"satirical")</f>
        <v>satirical</v>
      </c>
      <c r="I720" s="6" t="str">
        <f>IFERROR(__xludf.DUMMYFUNCTION("""COMPUTED_VALUE"""),"13th")</f>
        <v>13th</v>
      </c>
      <c r="J720" s="6" t="str">
        <f>IFERROR(__xludf.DUMMYFUNCTION("""COMPUTED_VALUE"""),"creates")</f>
        <v>creates</v>
      </c>
      <c r="L720" s="6" t="str">
        <f>IFERROR(__xludf.DUMMYFUNCTION("""COMPUTED_VALUE"""),"emerges")</f>
        <v>emerges</v>
      </c>
      <c r="M720" s="6" t="str">
        <f>IFERROR(__xludf.DUMMYFUNCTION("""COMPUTED_VALUE"""),"brothers")</f>
        <v>brothers</v>
      </c>
      <c r="N720" s="6" t="str">
        <f>IFERROR(__xludf.DUMMYFUNCTION("""COMPUTED_VALUE"""),"project")</f>
        <v>project</v>
      </c>
      <c r="P720" s="6" t="str">
        <f>IFERROR(__xludf.DUMMYFUNCTION("""COMPUTED_VALUE"""),"lopez")</f>
        <v>lopez</v>
      </c>
      <c r="Q720" s="6" t="str">
        <f>IFERROR(__xludf.DUMMYFUNCTION("""COMPUTED_VALUE"""),"deadly")</f>
        <v>deadly</v>
      </c>
      <c r="S720" s="6" t="str">
        <f>IFERROR(__xludf.DUMMYFUNCTION("""COMPUTED_VALUE"""),"biography")</f>
        <v>biography</v>
      </c>
    </row>
    <row r="721">
      <c r="B721" s="6"/>
      <c r="D721" s="6"/>
      <c r="G721" s="6" t="str">
        <f>IFERROR(__xludf.DUMMYFUNCTION("""COMPUTED_VALUE"""),"damage")</f>
        <v>damage</v>
      </c>
      <c r="H721" s="6" t="str">
        <f>IFERROR(__xludf.DUMMYFUNCTION("""COMPUTED_VALUE"""),"pained")</f>
        <v>pained</v>
      </c>
      <c r="I721" s="6" t="str">
        <f>IFERROR(__xludf.DUMMYFUNCTION("""COMPUTED_VALUE"""),"meets")</f>
        <v>meets</v>
      </c>
      <c r="J721" s="6" t="str">
        <f>IFERROR(__xludf.DUMMYFUNCTION("""COMPUTED_VALUE"""),"demonstrating")</f>
        <v>demonstrating</v>
      </c>
      <c r="L721" s="6" t="str">
        <f>IFERROR(__xludf.DUMMYFUNCTION("""COMPUTED_VALUE"""),"bow")</f>
        <v>bow</v>
      </c>
      <c r="M721" s="6" t="str">
        <f>IFERROR(__xludf.DUMMYFUNCTION("""COMPUTED_VALUE"""),"careful")</f>
        <v>careful</v>
      </c>
      <c r="N721" s="6" t="str">
        <f>IFERROR(__xludf.DUMMYFUNCTION("""COMPUTED_VALUE"""),"joy")</f>
        <v>joy</v>
      </c>
      <c r="P721" s="6" t="str">
        <f>IFERROR(__xludf.DUMMYFUNCTION("""COMPUTED_VALUE"""),"relationships")</f>
        <v>relationships</v>
      </c>
      <c r="Q721" s="6" t="str">
        <f>IFERROR(__xludf.DUMMYFUNCTION("""COMPUTED_VALUE"""),"chords")</f>
        <v>chords</v>
      </c>
      <c r="S721" s="6" t="str">
        <f>IFERROR(__xludf.DUMMYFUNCTION("""COMPUTED_VALUE"""),"task")</f>
        <v>task</v>
      </c>
    </row>
    <row r="722">
      <c r="B722" s="6"/>
      <c r="D722" s="6"/>
      <c r="G722" s="6" t="str">
        <f>IFERROR(__xludf.DUMMYFUNCTION("""COMPUTED_VALUE"""),"jealousy")</f>
        <v>jealousy</v>
      </c>
      <c r="H722" s="6" t="str">
        <f>IFERROR(__xludf.DUMMYFUNCTION("""COMPUTED_VALUE"""),"equivalent")</f>
        <v>equivalent</v>
      </c>
      <c r="I722" s="6" t="str">
        <f>IFERROR(__xludf.DUMMYFUNCTION("""COMPUTED_VALUE"""),"indians")</f>
        <v>indians</v>
      </c>
      <c r="J722" s="6" t="str">
        <f>IFERROR(__xludf.DUMMYFUNCTION("""COMPUTED_VALUE"""),"encouraging")</f>
        <v>encouraging</v>
      </c>
      <c r="L722" s="6" t="str">
        <f>IFERROR(__xludf.DUMMYFUNCTION("""COMPUTED_VALUE"""),"battle")</f>
        <v>battle</v>
      </c>
      <c r="M722" s="6" t="str">
        <f>IFERROR(__xludf.DUMMYFUNCTION("""COMPUTED_VALUE"""),"contains")</f>
        <v>contains</v>
      </c>
      <c r="N722" s="6" t="str">
        <f>IFERROR(__xludf.DUMMYFUNCTION("""COMPUTED_VALUE"""),"banquet")</f>
        <v>banquet</v>
      </c>
      <c r="P722" s="6" t="str">
        <f>IFERROR(__xludf.DUMMYFUNCTION("""COMPUTED_VALUE"""),"focused")</f>
        <v>focused</v>
      </c>
      <c r="Q722" s="6" t="str">
        <f>IFERROR(__xludf.DUMMYFUNCTION("""COMPUTED_VALUE"""),"sadness")</f>
        <v>sadness</v>
      </c>
      <c r="S722" s="6" t="str">
        <f>IFERROR(__xludf.DUMMYFUNCTION("""COMPUTED_VALUE"""),"impossible")</f>
        <v>impossible</v>
      </c>
    </row>
    <row r="723">
      <c r="B723" s="6"/>
      <c r="D723" s="6"/>
      <c r="G723" s="6" t="str">
        <f>IFERROR(__xludf.DUMMYFUNCTION("""COMPUTED_VALUE"""),"christopher")</f>
        <v>christopher</v>
      </c>
      <c r="H723" s="6" t="str">
        <f>IFERROR(__xludf.DUMMYFUNCTION("""COMPUTED_VALUE"""),"bracing")</f>
        <v>bracing</v>
      </c>
      <c r="I723" s="6" t="str">
        <f>IFERROR(__xludf.DUMMYFUNCTION("""COMPUTED_VALUE"""),"friday")</f>
        <v>friday</v>
      </c>
      <c r="J723" s="6" t="str">
        <f>IFERROR(__xludf.DUMMYFUNCTION("""COMPUTED_VALUE"""),"note")</f>
        <v>note</v>
      </c>
      <c r="L723" s="6" t="str">
        <f>IFERROR(__xludf.DUMMYFUNCTION("""COMPUTED_VALUE"""),"positively")</f>
        <v>positively</v>
      </c>
      <c r="M723" s="6" t="str">
        <f>IFERROR(__xludf.DUMMYFUNCTION("""COMPUTED_VALUE"""),"devices")</f>
        <v>devices</v>
      </c>
      <c r="N723" s="6" t="str">
        <f>IFERROR(__xludf.DUMMYFUNCTION("""COMPUTED_VALUE"""),"glued")</f>
        <v>glued</v>
      </c>
      <c r="P723" s="6" t="str">
        <f>IFERROR(__xludf.DUMMYFUNCTION("""COMPUTED_VALUE"""),"relegated")</f>
        <v>relegated</v>
      </c>
      <c r="Q723" s="6" t="str">
        <f>IFERROR(__xludf.DUMMYFUNCTION("""COMPUTED_VALUE"""),"impressive")</f>
        <v>impressive</v>
      </c>
      <c r="S723" s="6" t="str">
        <f>IFERROR(__xludf.DUMMYFUNCTION("""COMPUTED_VALUE"""),"detail")</f>
        <v>detail</v>
      </c>
    </row>
    <row r="724">
      <c r="B724" s="6"/>
      <c r="D724" s="6"/>
      <c r="G724" s="6" t="str">
        <f>IFERROR(__xludf.DUMMYFUNCTION("""COMPUTED_VALUE"""),"classify")</f>
        <v>classify</v>
      </c>
      <c r="H724" s="6" t="str">
        <f>IFERROR(__xludf.DUMMYFUNCTION("""COMPUTED_VALUE"""),"secrets")</f>
        <v>secrets</v>
      </c>
      <c r="I724" s="6" t="str">
        <f>IFERROR(__xludf.DUMMYFUNCTION("""COMPUTED_VALUE"""),"wallace")</f>
        <v>wallace</v>
      </c>
      <c r="J724" s="6" t="str">
        <f>IFERROR(__xludf.DUMMYFUNCTION("""COMPUTED_VALUE"""),"dickens")</f>
        <v>dickens</v>
      </c>
      <c r="L724" s="6" t="str">
        <f>IFERROR(__xludf.DUMMYFUNCTION("""COMPUTED_VALUE"""),"signals")</f>
        <v>signals</v>
      </c>
      <c r="M724" s="6" t="str">
        <f>IFERROR(__xludf.DUMMYFUNCTION("""COMPUTED_VALUE"""),"miracle")</f>
        <v>miracle</v>
      </c>
      <c r="N724" s="6" t="str">
        <f>IFERROR(__xludf.DUMMYFUNCTION("""COMPUTED_VALUE"""),"clever")</f>
        <v>clever</v>
      </c>
      <c r="P724" s="6" t="str">
        <f>IFERROR(__xludf.DUMMYFUNCTION("""COMPUTED_VALUE"""),"zealand")</f>
        <v>zealand</v>
      </c>
      <c r="Q724" s="6" t="str">
        <f>IFERROR(__xludf.DUMMYFUNCTION("""COMPUTED_VALUE"""),"king")</f>
        <v>king</v>
      </c>
      <c r="S724" s="6" t="str">
        <f>IFERROR(__xludf.DUMMYFUNCTION("""COMPUTED_VALUE"""),"church")</f>
        <v>church</v>
      </c>
    </row>
    <row r="725">
      <c r="B725" s="6"/>
      <c r="D725" s="6"/>
      <c r="G725" s="6" t="str">
        <f>IFERROR(__xludf.DUMMYFUNCTION("""COMPUTED_VALUE"""),"convention")</f>
        <v>convention</v>
      </c>
      <c r="H725" s="6" t="str">
        <f>IFERROR(__xludf.DUMMYFUNCTION("""COMPUTED_VALUE"""),"motives")</f>
        <v>motives</v>
      </c>
      <c r="I725" s="6" t="str">
        <f>IFERROR(__xludf.DUMMYFUNCTION("""COMPUTED_VALUE"""),"notion")</f>
        <v>notion</v>
      </c>
      <c r="J725" s="6" t="str">
        <f>IFERROR(__xludf.DUMMYFUNCTION("""COMPUTED_VALUE"""),"expresses")</f>
        <v>expresses</v>
      </c>
      <c r="L725" s="6" t="str">
        <f>IFERROR(__xludf.DUMMYFUNCTION("""COMPUTED_VALUE"""),"spreads")</f>
        <v>spreads</v>
      </c>
      <c r="M725" s="6" t="str">
        <f>IFERROR(__xludf.DUMMYFUNCTION("""COMPUTED_VALUE"""),"stories")</f>
        <v>stories</v>
      </c>
      <c r="N725" s="6" t="str">
        <f>IFERROR(__xludf.DUMMYFUNCTION("""COMPUTED_VALUE"""),"passion")</f>
        <v>passion</v>
      </c>
      <c r="P725" s="6" t="str">
        <f>IFERROR(__xludf.DUMMYFUNCTION("""COMPUTED_VALUE"""),"strange")</f>
        <v>strange</v>
      </c>
      <c r="Q725" s="6" t="str">
        <f>IFERROR(__xludf.DUMMYFUNCTION("""COMPUTED_VALUE"""),"lola")</f>
        <v>lola</v>
      </c>
      <c r="S725" s="6" t="str">
        <f>IFERROR(__xludf.DUMMYFUNCTION("""COMPUTED_VALUE"""),"fall")</f>
        <v>fall</v>
      </c>
    </row>
    <row r="726">
      <c r="B726" s="6"/>
      <c r="D726" s="6"/>
      <c r="G726" s="6" t="str">
        <f>IFERROR(__xludf.DUMMYFUNCTION("""COMPUTED_VALUE"""),"urgently")</f>
        <v>urgently</v>
      </c>
      <c r="H726" s="6" t="str">
        <f>IFERROR(__xludf.DUMMYFUNCTION("""COMPUTED_VALUE"""),"sexy")</f>
        <v>sexy</v>
      </c>
      <c r="I726" s="6" t="str">
        <f>IFERROR(__xludf.DUMMYFUNCTION("""COMPUTED_VALUE"""),"animals")</f>
        <v>animals</v>
      </c>
      <c r="J726" s="6" t="str">
        <f>IFERROR(__xludf.DUMMYFUNCTION("""COMPUTED_VALUE"""),"evergreen")</f>
        <v>evergreen</v>
      </c>
      <c r="L726" s="6" t="str">
        <f>IFERROR(__xludf.DUMMYFUNCTION("""COMPUTED_VALUE"""),"leads")</f>
        <v>leads</v>
      </c>
      <c r="M726" s="6" t="str">
        <f>IFERROR(__xludf.DUMMYFUNCTION("""COMPUTED_VALUE"""),"attraction")</f>
        <v>attraction</v>
      </c>
      <c r="N726" s="6" t="str">
        <f>IFERROR(__xludf.DUMMYFUNCTION("""COMPUTED_VALUE"""),"personalities")</f>
        <v>personalities</v>
      </c>
      <c r="P726" s="6" t="str">
        <f>IFERROR(__xludf.DUMMYFUNCTION("""COMPUTED_VALUE"""),"anderson")</f>
        <v>anderson</v>
      </c>
      <c r="Q726" s="6" t="str">
        <f>IFERROR(__xludf.DUMMYFUNCTION("""COMPUTED_VALUE"""),"middle")</f>
        <v>middle</v>
      </c>
      <c r="S726" s="6" t="str">
        <f>IFERROR(__xludf.DUMMYFUNCTION("""COMPUTED_VALUE"""),"grace")</f>
        <v>grace</v>
      </c>
    </row>
    <row r="727">
      <c r="B727" s="6"/>
      <c r="D727" s="6"/>
      <c r="G727" s="6" t="str">
        <f>IFERROR(__xludf.DUMMYFUNCTION("""COMPUTED_VALUE"""),"gasping")</f>
        <v>gasping</v>
      </c>
      <c r="H727" s="6" t="str">
        <f>IFERROR(__xludf.DUMMYFUNCTION("""COMPUTED_VALUE"""),"magnetic")</f>
        <v>magnetic</v>
      </c>
      <c r="I727" s="6" t="str">
        <f>IFERROR(__xludf.DUMMYFUNCTION("""COMPUTED_VALUE"""),"lifetime")</f>
        <v>lifetime</v>
      </c>
      <c r="J727" s="6" t="str">
        <f>IFERROR(__xludf.DUMMYFUNCTION("""COMPUTED_VALUE"""),"inactive")</f>
        <v>inactive</v>
      </c>
      <c r="L727" s="6" t="str">
        <f>IFERROR(__xludf.DUMMYFUNCTION("""COMPUTED_VALUE"""),"nemesis")</f>
        <v>nemesis</v>
      </c>
      <c r="M727" s="6" t="str">
        <f>IFERROR(__xludf.DUMMYFUNCTION("""COMPUTED_VALUE"""),"martha")</f>
        <v>martha</v>
      </c>
      <c r="N727" s="6" t="str">
        <f>IFERROR(__xludf.DUMMYFUNCTION("""COMPUTED_VALUE"""),"remaining")</f>
        <v>remaining</v>
      </c>
      <c r="P727" s="6" t="str">
        <f>IFERROR(__xludf.DUMMYFUNCTION("""COMPUTED_VALUE"""),"calm")</f>
        <v>calm</v>
      </c>
      <c r="Q727" s="6" t="str">
        <f>IFERROR(__xludf.DUMMYFUNCTION("""COMPUTED_VALUE"""),"biography")</f>
        <v>biography</v>
      </c>
      <c r="S727" s="6" t="str">
        <f>IFERROR(__xludf.DUMMYFUNCTION("""COMPUTED_VALUE"""),"side")</f>
        <v>side</v>
      </c>
    </row>
    <row r="728">
      <c r="B728" s="6"/>
      <c r="D728" s="6"/>
      <c r="G728" s="6" t="str">
        <f>IFERROR(__xludf.DUMMYFUNCTION("""COMPUTED_VALUE"""),"workings")</f>
        <v>workings</v>
      </c>
      <c r="H728" s="6" t="str">
        <f>IFERROR(__xludf.DUMMYFUNCTION("""COMPUTED_VALUE"""),"legacy")</f>
        <v>legacy</v>
      </c>
      <c r="I728" s="6" t="str">
        <f>IFERROR(__xludf.DUMMYFUNCTION("""COMPUTED_VALUE"""),"beaten")</f>
        <v>beaten</v>
      </c>
      <c r="J728" s="6" t="str">
        <f>IFERROR(__xludf.DUMMYFUNCTION("""COMPUTED_VALUE"""),"memorable")</f>
        <v>memorable</v>
      </c>
      <c r="L728" s="6" t="str">
        <f>IFERROR(__xludf.DUMMYFUNCTION("""COMPUTED_VALUE"""),"finely")</f>
        <v>finely</v>
      </c>
      <c r="M728" s="6" t="str">
        <f>IFERROR(__xludf.DUMMYFUNCTION("""COMPUTED_VALUE"""),"freedom")</f>
        <v>freedom</v>
      </c>
      <c r="N728" s="6" t="str">
        <f>IFERROR(__xludf.DUMMYFUNCTION("""COMPUTED_VALUE"""),"mechanical")</f>
        <v>mechanical</v>
      </c>
      <c r="P728" s="6" t="str">
        <f>IFERROR(__xludf.DUMMYFUNCTION("""COMPUTED_VALUE"""),"loyal")</f>
        <v>loyal</v>
      </c>
      <c r="Q728" s="6" t="str">
        <f>IFERROR(__xludf.DUMMYFUNCTION("""COMPUTED_VALUE"""),"narrator")</f>
        <v>narrator</v>
      </c>
      <c r="S728" s="6" t="str">
        <f>IFERROR(__xludf.DUMMYFUNCTION("""COMPUTED_VALUE"""),"neither")</f>
        <v>neither</v>
      </c>
    </row>
    <row r="729">
      <c r="B729" s="6"/>
      <c r="D729" s="6"/>
      <c r="G729" s="6" t="str">
        <f>IFERROR(__xludf.DUMMYFUNCTION("""COMPUTED_VALUE"""),"heightened")</f>
        <v>heightened</v>
      </c>
      <c r="H729" s="6" t="str">
        <f>IFERROR(__xludf.DUMMYFUNCTION("""COMPUTED_VALUE"""),"lunatic")</f>
        <v>lunatic</v>
      </c>
      <c r="I729" s="6" t="str">
        <f>IFERROR(__xludf.DUMMYFUNCTION("""COMPUTED_VALUE"""),"necessarily")</f>
        <v>necessarily</v>
      </c>
      <c r="J729" s="6" t="str">
        <f>IFERROR(__xludf.DUMMYFUNCTION("""COMPUTED_VALUE"""),"affected")</f>
        <v>affected</v>
      </c>
      <c r="L729" s="6" t="str">
        <f>IFERROR(__xludf.DUMMYFUNCTION("""COMPUTED_VALUE"""),"conflict")</f>
        <v>conflict</v>
      </c>
      <c r="M729" s="6" t="str">
        <f>IFERROR(__xludf.DUMMYFUNCTION("""COMPUTED_VALUE"""),"stewart")</f>
        <v>stewart</v>
      </c>
      <c r="N729" s="6" t="str">
        <f>IFERROR(__xludf.DUMMYFUNCTION("""COMPUTED_VALUE"""),"span")</f>
        <v>span</v>
      </c>
      <c r="P729" s="6" t="str">
        <f>IFERROR(__xludf.DUMMYFUNCTION("""COMPUTED_VALUE"""),"harry")</f>
        <v>harry</v>
      </c>
      <c r="Q729" s="6" t="str">
        <f>IFERROR(__xludf.DUMMYFUNCTION("""COMPUTED_VALUE"""),"impossible")</f>
        <v>impossible</v>
      </c>
      <c r="S729" s="6" t="str">
        <f>IFERROR(__xludf.DUMMYFUNCTION("""COMPUTED_VALUE"""),"longest")</f>
        <v>longest</v>
      </c>
    </row>
    <row r="730">
      <c r="B730" s="6"/>
      <c r="D730" s="6"/>
      <c r="G730" s="6" t="str">
        <f>IFERROR(__xludf.DUMMYFUNCTION("""COMPUTED_VALUE"""),"virtues")</f>
        <v>virtues</v>
      </c>
      <c r="H730" s="6" t="str">
        <f>IFERROR(__xludf.DUMMYFUNCTION("""COMPUTED_VALUE"""),"monstrous")</f>
        <v>monstrous</v>
      </c>
      <c r="I730" s="6" t="str">
        <f>IFERROR(__xludf.DUMMYFUNCTION("""COMPUTED_VALUE"""),"shanghai")</f>
        <v>shanghai</v>
      </c>
      <c r="J730" s="6" t="str">
        <f>IFERROR(__xludf.DUMMYFUNCTION("""COMPUTED_VALUE"""),"sham")</f>
        <v>sham</v>
      </c>
      <c r="L730" s="6" t="str">
        <f>IFERROR(__xludf.DUMMYFUNCTION("""COMPUTED_VALUE"""),"canvas")</f>
        <v>canvas</v>
      </c>
      <c r="M730" s="6" t="str">
        <f>IFERROR(__xludf.DUMMYFUNCTION("""COMPUTED_VALUE"""),"shooting")</f>
        <v>shooting</v>
      </c>
      <c r="N730" s="6" t="str">
        <f>IFERROR(__xludf.DUMMYFUNCTION("""COMPUTED_VALUE"""),"arguments")</f>
        <v>arguments</v>
      </c>
      <c r="P730" s="6" t="str">
        <f>IFERROR(__xludf.DUMMYFUNCTION("""COMPUTED_VALUE"""),"ian")</f>
        <v>ian</v>
      </c>
      <c r="Q730" s="6" t="str">
        <f>IFERROR(__xludf.DUMMYFUNCTION("""COMPUTED_VALUE"""),"detail")</f>
        <v>detail</v>
      </c>
      <c r="S730" s="6" t="str">
        <f>IFERROR(__xludf.DUMMYFUNCTION("""COMPUTED_VALUE"""),"literally")</f>
        <v>literally</v>
      </c>
    </row>
    <row r="731">
      <c r="B731" s="6"/>
      <c r="D731" s="6"/>
      <c r="G731" s="6" t="str">
        <f>IFERROR(__xludf.DUMMYFUNCTION("""COMPUTED_VALUE"""),"cameo")</f>
        <v>cameo</v>
      </c>
      <c r="H731" s="6" t="str">
        <f>IFERROR(__xludf.DUMMYFUNCTION("""COMPUTED_VALUE"""),"inherent")</f>
        <v>inherent</v>
      </c>
      <c r="I731" s="6" t="str">
        <f>IFERROR(__xludf.DUMMYFUNCTION("""COMPUTED_VALUE"""),"larger")</f>
        <v>larger</v>
      </c>
      <c r="J731" s="6" t="str">
        <f>IFERROR(__xludf.DUMMYFUNCTION("""COMPUTED_VALUE"""),"intricate")</f>
        <v>intricate</v>
      </c>
      <c r="L731" s="6" t="str">
        <f>IFERROR(__xludf.DUMMYFUNCTION("""COMPUTED_VALUE"""),"spy")</f>
        <v>spy</v>
      </c>
      <c r="M731" s="6" t="str">
        <f>IFERROR(__xludf.DUMMYFUNCTION("""COMPUTED_VALUE"""),"guns")</f>
        <v>guns</v>
      </c>
      <c r="N731" s="6" t="str">
        <f>IFERROR(__xludf.DUMMYFUNCTION("""COMPUTED_VALUE"""),"stealing")</f>
        <v>stealing</v>
      </c>
      <c r="P731" s="6" t="str">
        <f>IFERROR(__xludf.DUMMYFUNCTION("""COMPUTED_VALUE"""),"minds")</f>
        <v>minds</v>
      </c>
      <c r="Q731" s="6" t="str">
        <f>IFERROR(__xludf.DUMMYFUNCTION("""COMPUTED_VALUE"""),"heroine")</f>
        <v>heroine</v>
      </c>
      <c r="S731" s="6" t="str">
        <f>IFERROR(__xludf.DUMMYFUNCTION("""COMPUTED_VALUE"""),"stops")</f>
        <v>stops</v>
      </c>
    </row>
    <row r="732">
      <c r="B732" s="6"/>
      <c r="D732" s="6"/>
      <c r="G732" s="6" t="str">
        <f>IFERROR(__xludf.DUMMYFUNCTION("""COMPUTED_VALUE"""),"abyss")</f>
        <v>abyss</v>
      </c>
      <c r="H732" s="6" t="str">
        <f>IFERROR(__xludf.DUMMYFUNCTION("""COMPUTED_VALUE"""),"ghosts")</f>
        <v>ghosts</v>
      </c>
      <c r="I732" s="6" t="str">
        <f>IFERROR(__xludf.DUMMYFUNCTION("""COMPUTED_VALUE"""),"conflict")</f>
        <v>conflict</v>
      </c>
      <c r="J732" s="6" t="str">
        <f>IFERROR(__xludf.DUMMYFUNCTION("""COMPUTED_VALUE"""),"crimes")</f>
        <v>crimes</v>
      </c>
      <c r="L732" s="6" t="str">
        <f>IFERROR(__xludf.DUMMYFUNCTION("""COMPUTED_VALUE"""),"hearts")</f>
        <v>hearts</v>
      </c>
      <c r="M732" s="6" t="str">
        <f>IFERROR(__xludf.DUMMYFUNCTION("""COMPUTED_VALUE"""),"straight")</f>
        <v>straight</v>
      </c>
      <c r="N732" s="6" t="str">
        <f>IFERROR(__xludf.DUMMYFUNCTION("""COMPUTED_VALUE"""),"tendency")</f>
        <v>tendency</v>
      </c>
      <c r="P732" s="6" t="str">
        <f>IFERROR(__xludf.DUMMYFUNCTION("""COMPUTED_VALUE"""),"hearts")</f>
        <v>hearts</v>
      </c>
      <c r="Q732" s="6" t="str">
        <f>IFERROR(__xludf.DUMMYFUNCTION("""COMPUTED_VALUE"""),"dramatically")</f>
        <v>dramatically</v>
      </c>
      <c r="S732" s="6" t="str">
        <f>IFERROR(__xludf.DUMMYFUNCTION("""COMPUTED_VALUE"""),"sharp")</f>
        <v>sharp</v>
      </c>
    </row>
    <row r="733">
      <c r="B733" s="6"/>
      <c r="D733" s="6"/>
      <c r="G733" s="6" t="str">
        <f>IFERROR(__xludf.DUMMYFUNCTION("""COMPUTED_VALUE"""),"depression")</f>
        <v>depression</v>
      </c>
      <c r="H733" s="6" t="str">
        <f>IFERROR(__xludf.DUMMYFUNCTION("""COMPUTED_VALUE"""),"praises")</f>
        <v>praises</v>
      </c>
      <c r="I733" s="6" t="str">
        <f>IFERROR(__xludf.DUMMYFUNCTION("""COMPUTED_VALUE"""),"vital")</f>
        <v>vital</v>
      </c>
      <c r="J733" s="6" t="str">
        <f>IFERROR(__xludf.DUMMYFUNCTION("""COMPUTED_VALUE"""),"20th")</f>
        <v>20th</v>
      </c>
      <c r="L733" s="6" t="str">
        <f>IFERROR(__xludf.DUMMYFUNCTION("""COMPUTED_VALUE"""),"symbolic")</f>
        <v>symbolic</v>
      </c>
      <c r="M733" s="6" t="str">
        <f>IFERROR(__xludf.DUMMYFUNCTION("""COMPUTED_VALUE"""),"ear")</f>
        <v>ear</v>
      </c>
      <c r="N733" s="6" t="str">
        <f>IFERROR(__xludf.DUMMYFUNCTION("""COMPUTED_VALUE"""),"12th")</f>
        <v>12th</v>
      </c>
      <c r="P733" s="6" t="str">
        <f>IFERROR(__xludf.DUMMYFUNCTION("""COMPUTED_VALUE"""),"justice")</f>
        <v>justice</v>
      </c>
      <c r="Q733" s="6" t="str">
        <f>IFERROR(__xludf.DUMMYFUNCTION("""COMPUTED_VALUE"""),"hugely")</f>
        <v>hugely</v>
      </c>
      <c r="S733" s="6" t="str">
        <f>IFERROR(__xludf.DUMMYFUNCTION("""COMPUTED_VALUE"""),"distinctive")</f>
        <v>distinctive</v>
      </c>
    </row>
    <row r="734">
      <c r="B734" s="6"/>
      <c r="D734" s="6"/>
      <c r="G734" s="6" t="str">
        <f>IFERROR(__xludf.DUMMYFUNCTION("""COMPUTED_VALUE"""),"sinks")</f>
        <v>sinks</v>
      </c>
      <c r="H734" s="6" t="str">
        <f>IFERROR(__xludf.DUMMYFUNCTION("""COMPUTED_VALUE"""),"destiny")</f>
        <v>destiny</v>
      </c>
      <c r="I734" s="6" t="str">
        <f>IFERROR(__xludf.DUMMYFUNCTION("""COMPUTED_VALUE"""),"classics")</f>
        <v>classics</v>
      </c>
      <c r="J734" s="6" t="str">
        <f>IFERROR(__xludf.DUMMYFUNCTION("""COMPUTED_VALUE"""),"france")</f>
        <v>france</v>
      </c>
      <c r="L734" s="6" t="str">
        <f>IFERROR(__xludf.DUMMYFUNCTION("""COMPUTED_VALUE"""),"championship")</f>
        <v>championship</v>
      </c>
      <c r="M734" s="6" t="str">
        <f>IFERROR(__xludf.DUMMYFUNCTION("""COMPUTED_VALUE"""),"schedule")</f>
        <v>schedule</v>
      </c>
      <c r="N734" s="6" t="str">
        <f>IFERROR(__xludf.DUMMYFUNCTION("""COMPUTED_VALUE"""),"pit")</f>
        <v>pit</v>
      </c>
      <c r="P734" s="6" t="str">
        <f>IFERROR(__xludf.DUMMYFUNCTION("""COMPUTED_VALUE"""),"etc")</f>
        <v>etc</v>
      </c>
      <c r="Q734" s="6" t="str">
        <f>IFERROR(__xludf.DUMMYFUNCTION("""COMPUTED_VALUE"""),"grace")</f>
        <v>grace</v>
      </c>
      <c r="S734" s="6" t="str">
        <f>IFERROR(__xludf.DUMMYFUNCTION("""COMPUTED_VALUE"""),"reserved")</f>
        <v>reserved</v>
      </c>
    </row>
    <row r="735">
      <c r="B735" s="6"/>
      <c r="D735" s="6"/>
      <c r="G735" s="6" t="str">
        <f>IFERROR(__xludf.DUMMYFUNCTION("""COMPUTED_VALUE"""),"comprehend")</f>
        <v>comprehend</v>
      </c>
      <c r="H735" s="6" t="str">
        <f>IFERROR(__xludf.DUMMYFUNCTION("""COMPUTED_VALUE"""),"ecological")</f>
        <v>ecological</v>
      </c>
      <c r="I735" s="6" t="str">
        <f>IFERROR(__xludf.DUMMYFUNCTION("""COMPUTED_VALUE"""),"shooting")</f>
        <v>shooting</v>
      </c>
      <c r="J735" s="6" t="str">
        <f>IFERROR(__xludf.DUMMYFUNCTION("""COMPUTED_VALUE"""),"destined")</f>
        <v>destined</v>
      </c>
      <c r="L735" s="6" t="str">
        <f>IFERROR(__xludf.DUMMYFUNCTION("""COMPUTED_VALUE"""),"courageous")</f>
        <v>courageous</v>
      </c>
      <c r="M735" s="6" t="str">
        <f>IFERROR(__xludf.DUMMYFUNCTION("""COMPUTED_VALUE"""),"turkey")</f>
        <v>turkey</v>
      </c>
      <c r="N735" s="6" t="str">
        <f>IFERROR(__xludf.DUMMYFUNCTION("""COMPUTED_VALUE"""),"occasional")</f>
        <v>occasional</v>
      </c>
      <c r="P735" s="6" t="str">
        <f>IFERROR(__xludf.DUMMYFUNCTION("""COMPUTED_VALUE"""),"someone")</f>
        <v>someone</v>
      </c>
      <c r="Q735" s="6" t="str">
        <f>IFERROR(__xludf.DUMMYFUNCTION("""COMPUTED_VALUE"""),"fall")</f>
        <v>fall</v>
      </c>
      <c r="S735" s="6" t="str">
        <f>IFERROR(__xludf.DUMMYFUNCTION("""COMPUTED_VALUE"""),"safe")</f>
        <v>safe</v>
      </c>
    </row>
    <row r="736">
      <c r="B736" s="6"/>
      <c r="D736" s="6"/>
      <c r="G736" s="6" t="str">
        <f>IFERROR(__xludf.DUMMYFUNCTION("""COMPUTED_VALUE"""),"lifts")</f>
        <v>lifts</v>
      </c>
      <c r="H736" s="6" t="str">
        <f>IFERROR(__xludf.DUMMYFUNCTION("""COMPUTED_VALUE"""),"suitable")</f>
        <v>suitable</v>
      </c>
      <c r="I736" s="6" t="str">
        <f>IFERROR(__xludf.DUMMYFUNCTION("""COMPUTED_VALUE"""),"wave")</f>
        <v>wave</v>
      </c>
      <c r="J736" s="6" t="str">
        <f>IFERROR(__xludf.DUMMYFUNCTION("""COMPUTED_VALUE"""),"griffith")</f>
        <v>griffith</v>
      </c>
      <c r="L736" s="6" t="str">
        <f>IFERROR(__xludf.DUMMYFUNCTION("""COMPUTED_VALUE"""),"evolve")</f>
        <v>evolve</v>
      </c>
      <c r="M736" s="6" t="str">
        <f>IFERROR(__xludf.DUMMYFUNCTION("""COMPUTED_VALUE"""),"ideas")</f>
        <v>ideas</v>
      </c>
      <c r="N736" s="6" t="str">
        <f>IFERROR(__xludf.DUMMYFUNCTION("""COMPUTED_VALUE"""),"wholly")</f>
        <v>wholly</v>
      </c>
      <c r="P736" s="6" t="str">
        <f>IFERROR(__xludf.DUMMYFUNCTION("""COMPUTED_VALUE"""),"logic")</f>
        <v>logic</v>
      </c>
      <c r="Q736" s="6" t="str">
        <f>IFERROR(__xludf.DUMMYFUNCTION("""COMPUTED_VALUE"""),"genuinely")</f>
        <v>genuinely</v>
      </c>
      <c r="S736" s="6" t="str">
        <f>IFERROR(__xludf.DUMMYFUNCTION("""COMPUTED_VALUE"""),"discipline")</f>
        <v>discipline</v>
      </c>
    </row>
    <row r="737">
      <c r="B737" s="6"/>
      <c r="D737" s="6"/>
      <c r="G737" s="6" t="str">
        <f>IFERROR(__xludf.DUMMYFUNCTION("""COMPUTED_VALUE"""),"manipulation")</f>
        <v>manipulation</v>
      </c>
      <c r="H737" s="6" t="str">
        <f>IFERROR(__xludf.DUMMYFUNCTION("""COMPUTED_VALUE"""),"sociological")</f>
        <v>sociological</v>
      </c>
      <c r="I737" s="6" t="str">
        <f>IFERROR(__xludf.DUMMYFUNCTION("""COMPUTED_VALUE"""),"toss")</f>
        <v>toss</v>
      </c>
      <c r="J737" s="6" t="str">
        <f>IFERROR(__xludf.DUMMYFUNCTION("""COMPUTED_VALUE"""),"spin")</f>
        <v>spin</v>
      </c>
      <c r="L737" s="6" t="str">
        <f>IFERROR(__xludf.DUMMYFUNCTION("""COMPUTED_VALUE"""),"role")</f>
        <v>role</v>
      </c>
      <c r="M737" s="6" t="str">
        <f>IFERROR(__xludf.DUMMYFUNCTION("""COMPUTED_VALUE"""),"rent")</f>
        <v>rent</v>
      </c>
      <c r="N737" s="6" t="str">
        <f>IFERROR(__xludf.DUMMYFUNCTION("""COMPUTED_VALUE"""),"committed")</f>
        <v>committed</v>
      </c>
      <c r="P737" s="6" t="str">
        <f>IFERROR(__xludf.DUMMYFUNCTION("""COMPUTED_VALUE"""),"morgan")</f>
        <v>morgan</v>
      </c>
      <c r="Q737" s="6" t="str">
        <f>IFERROR(__xludf.DUMMYFUNCTION("""COMPUTED_VALUE"""),"neither")</f>
        <v>neither</v>
      </c>
      <c r="S737" s="6" t="str">
        <f>IFERROR(__xludf.DUMMYFUNCTION("""COMPUTED_VALUE"""),"aims")</f>
        <v>aims</v>
      </c>
    </row>
    <row r="738">
      <c r="B738" s="6"/>
      <c r="D738" s="6"/>
      <c r="G738" s="6" t="str">
        <f>IFERROR(__xludf.DUMMYFUNCTION("""COMPUTED_VALUE"""),"optimism")</f>
        <v>optimism</v>
      </c>
      <c r="H738" s="6" t="str">
        <f>IFERROR(__xludf.DUMMYFUNCTION("""COMPUTED_VALUE"""),"innovation")</f>
        <v>innovation</v>
      </c>
      <c r="I738" s="6" t="str">
        <f>IFERROR(__xludf.DUMMYFUNCTION("""COMPUTED_VALUE"""),"crosses")</f>
        <v>crosses</v>
      </c>
      <c r="J738" s="6" t="str">
        <f>IFERROR(__xludf.DUMMYFUNCTION("""COMPUTED_VALUE"""),"strangely")</f>
        <v>strangely</v>
      </c>
      <c r="L738" s="6" t="str">
        <f>IFERROR(__xludf.DUMMYFUNCTION("""COMPUTED_VALUE"""),"careers")</f>
        <v>careers</v>
      </c>
      <c r="M738" s="6" t="str">
        <f>IFERROR(__xludf.DUMMYFUNCTION("""COMPUTED_VALUE"""),"elevated")</f>
        <v>elevated</v>
      </c>
      <c r="N738" s="6" t="str">
        <f>IFERROR(__xludf.DUMMYFUNCTION("""COMPUTED_VALUE"""),"shoulders")</f>
        <v>shoulders</v>
      </c>
      <c r="P738" s="6" t="str">
        <f>IFERROR(__xludf.DUMMYFUNCTION("""COMPUTED_VALUE"""),"zone")</f>
        <v>zone</v>
      </c>
      <c r="Q738" s="6" t="str">
        <f>IFERROR(__xludf.DUMMYFUNCTION("""COMPUTED_VALUE"""),"provocative")</f>
        <v>provocative</v>
      </c>
      <c r="S738" s="6" t="str">
        <f>IFERROR(__xludf.DUMMYFUNCTION("""COMPUTED_VALUE"""),"close")</f>
        <v>close</v>
      </c>
    </row>
    <row r="739">
      <c r="B739" s="6"/>
      <c r="D739" s="6"/>
      <c r="G739" s="6" t="str">
        <f>IFERROR(__xludf.DUMMYFUNCTION("""COMPUTED_VALUE"""),"hughes")</f>
        <v>hughes</v>
      </c>
      <c r="H739" s="6" t="str">
        <f>IFERROR(__xludf.DUMMYFUNCTION("""COMPUTED_VALUE"""),"glaring")</f>
        <v>glaring</v>
      </c>
      <c r="I739" s="6" t="str">
        <f>IFERROR(__xludf.DUMMYFUNCTION("""COMPUTED_VALUE"""),"interpretation")</f>
        <v>interpretation</v>
      </c>
      <c r="J739" s="6" t="str">
        <f>IFERROR(__xludf.DUMMYFUNCTION("""COMPUTED_VALUE"""),"fisher")</f>
        <v>fisher</v>
      </c>
      <c r="L739" s="6" t="str">
        <f>IFERROR(__xludf.DUMMYFUNCTION("""COMPUTED_VALUE"""),"serial")</f>
        <v>serial</v>
      </c>
      <c r="M739" s="6" t="str">
        <f>IFERROR(__xludf.DUMMYFUNCTION("""COMPUTED_VALUE"""),"japan")</f>
        <v>japan</v>
      </c>
      <c r="N739" s="6" t="str">
        <f>IFERROR(__xludf.DUMMYFUNCTION("""COMPUTED_VALUE"""),"rae")</f>
        <v>rae</v>
      </c>
      <c r="P739" s="6" t="str">
        <f>IFERROR(__xludf.DUMMYFUNCTION("""COMPUTED_VALUE"""),"attempts")</f>
        <v>attempts</v>
      </c>
      <c r="Q739" s="6" t="str">
        <f>IFERROR(__xludf.DUMMYFUNCTION("""COMPUTED_VALUE"""),"stops")</f>
        <v>stops</v>
      </c>
      <c r="S739" s="6" t="str">
        <f>IFERROR(__xludf.DUMMYFUNCTION("""COMPUTED_VALUE"""),"visual")</f>
        <v>visual</v>
      </c>
    </row>
    <row r="740">
      <c r="B740" s="6"/>
      <c r="D740" s="6"/>
      <c r="G740" s="6" t="str">
        <f>IFERROR(__xludf.DUMMYFUNCTION("""COMPUTED_VALUE"""),"musical")</f>
        <v>musical</v>
      </c>
      <c r="H740" s="6" t="str">
        <f>IFERROR(__xludf.DUMMYFUNCTION("""COMPUTED_VALUE"""),"vulgar")</f>
        <v>vulgar</v>
      </c>
      <c r="I740" s="6" t="str">
        <f>IFERROR(__xludf.DUMMYFUNCTION("""COMPUTED_VALUE"""),"emotion")</f>
        <v>emotion</v>
      </c>
      <c r="J740" s="6" t="str">
        <f>IFERROR(__xludf.DUMMYFUNCTION("""COMPUTED_VALUE"""),"odyssey")</f>
        <v>odyssey</v>
      </c>
      <c r="L740" s="6" t="str">
        <f>IFERROR(__xludf.DUMMYFUNCTION("""COMPUTED_VALUE"""),"dramas")</f>
        <v>dramas</v>
      </c>
      <c r="M740" s="6" t="str">
        <f>IFERROR(__xludf.DUMMYFUNCTION("""COMPUTED_VALUE"""),"lips")</f>
        <v>lips</v>
      </c>
      <c r="N740" s="6" t="str">
        <f>IFERROR(__xludf.DUMMYFUNCTION("""COMPUTED_VALUE"""),"lee")</f>
        <v>lee</v>
      </c>
      <c r="P740" s="6" t="str">
        <f>IFERROR(__xludf.DUMMYFUNCTION("""COMPUTED_VALUE"""),"grey")</f>
        <v>grey</v>
      </c>
      <c r="Q740" s="6" t="str">
        <f>IFERROR(__xludf.DUMMYFUNCTION("""COMPUTED_VALUE"""),"longest")</f>
        <v>longest</v>
      </c>
      <c r="S740" s="6" t="str">
        <f>IFERROR(__xludf.DUMMYFUNCTION("""COMPUTED_VALUE"""),"social")</f>
        <v>social</v>
      </c>
    </row>
    <row r="741">
      <c r="B741" s="6"/>
      <c r="D741" s="6"/>
      <c r="G741" s="6" t="str">
        <f>IFERROR(__xludf.DUMMYFUNCTION("""COMPUTED_VALUE"""),"terror")</f>
        <v>terror</v>
      </c>
      <c r="H741" s="6" t="str">
        <f>IFERROR(__xludf.DUMMYFUNCTION("""COMPUTED_VALUE"""),"violent")</f>
        <v>violent</v>
      </c>
      <c r="I741" s="6" t="str">
        <f>IFERROR(__xludf.DUMMYFUNCTION("""COMPUTED_VALUE"""),"shifted")</f>
        <v>shifted</v>
      </c>
      <c r="J741" s="6" t="str">
        <f>IFERROR(__xludf.DUMMYFUNCTION("""COMPUTED_VALUE"""),"hopkins")</f>
        <v>hopkins</v>
      </c>
      <c r="L741" s="6" t="str">
        <f>IFERROR(__xludf.DUMMYFUNCTION("""COMPUTED_VALUE"""),"notable")</f>
        <v>notable</v>
      </c>
      <c r="M741" s="6" t="str">
        <f>IFERROR(__xludf.DUMMYFUNCTION("""COMPUTED_VALUE"""),"oscar")</f>
        <v>oscar</v>
      </c>
      <c r="N741" s="6" t="str">
        <f>IFERROR(__xludf.DUMMYFUNCTION("""COMPUTED_VALUE"""),"performing")</f>
        <v>performing</v>
      </c>
      <c r="P741" s="6" t="str">
        <f>IFERROR(__xludf.DUMMYFUNCTION("""COMPUTED_VALUE"""),"generated")</f>
        <v>generated</v>
      </c>
      <c r="Q741" s="6" t="str">
        <f>IFERROR(__xludf.DUMMYFUNCTION("""COMPUTED_VALUE"""),"sharp")</f>
        <v>sharp</v>
      </c>
      <c r="S741" s="6" t="str">
        <f>IFERROR(__xludf.DUMMYFUNCTION("""COMPUTED_VALUE"""),"democracy")</f>
        <v>democracy</v>
      </c>
    </row>
    <row r="742">
      <c r="B742" s="6"/>
      <c r="D742" s="6"/>
      <c r="G742" s="6" t="str">
        <f>IFERROR(__xludf.DUMMYFUNCTION("""COMPUTED_VALUE"""),"intentions")</f>
        <v>intentions</v>
      </c>
      <c r="H742" s="6" t="str">
        <f>IFERROR(__xludf.DUMMYFUNCTION("""COMPUTED_VALUE"""),"pokemon")</f>
        <v>pokemon</v>
      </c>
      <c r="I742" s="6" t="str">
        <f>IFERROR(__xludf.DUMMYFUNCTION("""COMPUTED_VALUE"""),"television")</f>
        <v>television</v>
      </c>
      <c r="J742" s="6" t="str">
        <f>IFERROR(__xludf.DUMMYFUNCTION("""COMPUTED_VALUE"""),"establishes")</f>
        <v>establishes</v>
      </c>
      <c r="L742" s="6" t="str">
        <f>IFERROR(__xludf.DUMMYFUNCTION("""COMPUTED_VALUE"""),"understands")</f>
        <v>understands</v>
      </c>
      <c r="M742" s="6" t="str">
        <f>IFERROR(__xludf.DUMMYFUNCTION("""COMPUTED_VALUE"""),"chosen")</f>
        <v>chosen</v>
      </c>
      <c r="N742" s="6" t="str">
        <f>IFERROR(__xludf.DUMMYFUNCTION("""COMPUTED_VALUE"""),"proposal")</f>
        <v>proposal</v>
      </c>
      <c r="P742" s="6" t="str">
        <f>IFERROR(__xludf.DUMMYFUNCTION("""COMPUTED_VALUE"""),"else")</f>
        <v>else</v>
      </c>
      <c r="Q742" s="6" t="str">
        <f>IFERROR(__xludf.DUMMYFUNCTION("""COMPUTED_VALUE"""),"discourse")</f>
        <v>discourse</v>
      </c>
      <c r="S742" s="6" t="str">
        <f>IFERROR(__xludf.DUMMYFUNCTION("""COMPUTED_VALUE"""),"contemporary")</f>
        <v>contemporary</v>
      </c>
    </row>
    <row r="743">
      <c r="B743" s="6"/>
      <c r="D743" s="6"/>
      <c r="G743" s="6" t="str">
        <f>IFERROR(__xludf.DUMMYFUNCTION("""COMPUTED_VALUE"""),"genesis")</f>
        <v>genesis</v>
      </c>
      <c r="H743" s="6" t="str">
        <f>IFERROR(__xludf.DUMMYFUNCTION("""COMPUTED_VALUE"""),"incorporates")</f>
        <v>incorporates</v>
      </c>
      <c r="I743" s="6" t="str">
        <f>IFERROR(__xludf.DUMMYFUNCTION("""COMPUTED_VALUE"""),"capture")</f>
        <v>capture</v>
      </c>
      <c r="J743" s="6" t="str">
        <f>IFERROR(__xludf.DUMMYFUNCTION("""COMPUTED_VALUE"""),"metropolis")</f>
        <v>metropolis</v>
      </c>
      <c r="L743" s="6" t="str">
        <f>IFERROR(__xludf.DUMMYFUNCTION("""COMPUTED_VALUE"""),"molly")</f>
        <v>molly</v>
      </c>
      <c r="M743" s="6" t="str">
        <f>IFERROR(__xludf.DUMMYFUNCTION("""COMPUTED_VALUE"""),"bag")</f>
        <v>bag</v>
      </c>
      <c r="N743" s="6" t="str">
        <f>IFERROR(__xludf.DUMMYFUNCTION("""COMPUTED_VALUE"""),"turning")</f>
        <v>turning</v>
      </c>
      <c r="P743" s="6" t="str">
        <f>IFERROR(__xludf.DUMMYFUNCTION("""COMPUTED_VALUE"""),"season")</f>
        <v>season</v>
      </c>
      <c r="Q743" s="6" t="str">
        <f>IFERROR(__xludf.DUMMYFUNCTION("""COMPUTED_VALUE"""),"distinctive")</f>
        <v>distinctive</v>
      </c>
      <c r="S743" s="6" t="str">
        <f>IFERROR(__xludf.DUMMYFUNCTION("""COMPUTED_VALUE"""),"adult")</f>
        <v>adult</v>
      </c>
    </row>
    <row r="744">
      <c r="B744" s="6"/>
      <c r="D744" s="6"/>
      <c r="G744" s="6" t="str">
        <f>IFERROR(__xludf.DUMMYFUNCTION("""COMPUTED_VALUE"""),"naval")</f>
        <v>naval</v>
      </c>
      <c r="H744" s="6" t="str">
        <f>IFERROR(__xludf.DUMMYFUNCTION("""COMPUTED_VALUE"""),"transporting")</f>
        <v>transporting</v>
      </c>
      <c r="I744" s="6" t="str">
        <f>IFERROR(__xludf.DUMMYFUNCTION("""COMPUTED_VALUE"""),"operational")</f>
        <v>operational</v>
      </c>
      <c r="J744" s="6" t="str">
        <f>IFERROR(__xludf.DUMMYFUNCTION("""COMPUTED_VALUE"""),"villain")</f>
        <v>villain</v>
      </c>
      <c r="L744" s="6" t="str">
        <f>IFERROR(__xludf.DUMMYFUNCTION("""COMPUTED_VALUE"""),"acute")</f>
        <v>acute</v>
      </c>
      <c r="M744" s="6" t="str">
        <f>IFERROR(__xludf.DUMMYFUNCTION("""COMPUTED_VALUE"""),"mainly")</f>
        <v>mainly</v>
      </c>
      <c r="N744" s="6" t="str">
        <f>IFERROR(__xludf.DUMMYFUNCTION("""COMPUTED_VALUE"""),"blockbuster")</f>
        <v>blockbuster</v>
      </c>
      <c r="P744" s="6" t="str">
        <f>IFERROR(__xludf.DUMMYFUNCTION("""COMPUTED_VALUE"""),"resist")</f>
        <v>resist</v>
      </c>
      <c r="Q744" s="6" t="str">
        <f>IFERROR(__xludf.DUMMYFUNCTION("""COMPUTED_VALUE"""),"demonstrate")</f>
        <v>demonstrate</v>
      </c>
      <c r="S744" s="6" t="str">
        <f>IFERROR(__xludf.DUMMYFUNCTION("""COMPUTED_VALUE"""),"episodes")</f>
        <v>episodes</v>
      </c>
    </row>
    <row r="745">
      <c r="B745" s="6"/>
      <c r="D745" s="6"/>
      <c r="G745" s="6" t="str">
        <f>IFERROR(__xludf.DUMMYFUNCTION("""COMPUTED_VALUE"""),"chamber")</f>
        <v>chamber</v>
      </c>
      <c r="H745" s="6" t="str">
        <f>IFERROR(__xludf.DUMMYFUNCTION("""COMPUTED_VALUE"""),"diaz")</f>
        <v>diaz</v>
      </c>
      <c r="I745" s="6" t="str">
        <f>IFERROR(__xludf.DUMMYFUNCTION("""COMPUTED_VALUE"""),"cult")</f>
        <v>cult</v>
      </c>
      <c r="J745" s="6" t="str">
        <f>IFERROR(__xludf.DUMMYFUNCTION("""COMPUTED_VALUE"""),"let")</f>
        <v>let</v>
      </c>
      <c r="L745" s="6" t="str">
        <f>IFERROR(__xludf.DUMMYFUNCTION("""COMPUTED_VALUE"""),"trace")</f>
        <v>trace</v>
      </c>
      <c r="M745" s="6" t="str">
        <f>IFERROR(__xludf.DUMMYFUNCTION("""COMPUTED_VALUE"""),"realize")</f>
        <v>realize</v>
      </c>
      <c r="N745" s="6" t="str">
        <f>IFERROR(__xludf.DUMMYFUNCTION("""COMPUTED_VALUE"""),"moore")</f>
        <v>moore</v>
      </c>
      <c r="P745" s="6" t="str">
        <f>IFERROR(__xludf.DUMMYFUNCTION("""COMPUTED_VALUE"""),"pulse")</f>
        <v>pulse</v>
      </c>
      <c r="Q745" s="6" t="str">
        <f>IFERROR(__xludf.DUMMYFUNCTION("""COMPUTED_VALUE"""),"n")</f>
        <v>n</v>
      </c>
      <c r="S745" s="6" t="str">
        <f>IFERROR(__xludf.DUMMYFUNCTION("""COMPUTED_VALUE"""),"constructed")</f>
        <v>constructed</v>
      </c>
    </row>
    <row r="746">
      <c r="B746" s="6"/>
      <c r="D746" s="6"/>
      <c r="G746" s="6" t="str">
        <f>IFERROR(__xludf.DUMMYFUNCTION("""COMPUTED_VALUE"""),"frightening")</f>
        <v>frightening</v>
      </c>
      <c r="H746" s="6" t="str">
        <f>IFERROR(__xludf.DUMMYFUNCTION("""COMPUTED_VALUE"""),"belongs")</f>
        <v>belongs</v>
      </c>
      <c r="I746" s="6" t="str">
        <f>IFERROR(__xludf.DUMMYFUNCTION("""COMPUTED_VALUE"""),"heard")</f>
        <v>heard</v>
      </c>
      <c r="J746" s="6" t="str">
        <f>IFERROR(__xludf.DUMMYFUNCTION("""COMPUTED_VALUE"""),"teacher")</f>
        <v>teacher</v>
      </c>
      <c r="L746" s="6">
        <f>IFERROR(__xludf.DUMMYFUNCTION("""COMPUTED_VALUE"""),1993.0)</f>
        <v>1993</v>
      </c>
      <c r="M746" s="6" t="str">
        <f>IFERROR(__xludf.DUMMYFUNCTION("""COMPUTED_VALUE"""),"spare")</f>
        <v>spare</v>
      </c>
      <c r="N746" s="6" t="str">
        <f>IFERROR(__xludf.DUMMYFUNCTION("""COMPUTED_VALUE"""),"expressions")</f>
        <v>expressions</v>
      </c>
      <c r="P746" s="6" t="str">
        <f>IFERROR(__xludf.DUMMYFUNCTION("""COMPUTED_VALUE"""),"struggling")</f>
        <v>struggling</v>
      </c>
      <c r="Q746" s="6" t="str">
        <f>IFERROR(__xludf.DUMMYFUNCTION("""COMPUTED_VALUE"""),"blown")</f>
        <v>blown</v>
      </c>
      <c r="S746" s="6" t="str">
        <f>IFERROR(__xludf.DUMMYFUNCTION("""COMPUTED_VALUE"""),"skill")</f>
        <v>skill</v>
      </c>
    </row>
    <row r="747">
      <c r="B747" s="6"/>
      <c r="D747" s="6"/>
      <c r="G747" s="6" t="str">
        <f>IFERROR(__xludf.DUMMYFUNCTION("""COMPUTED_VALUE"""),"cultural")</f>
        <v>cultural</v>
      </c>
      <c r="H747" s="6" t="str">
        <f>IFERROR(__xludf.DUMMYFUNCTION("""COMPUTED_VALUE"""),"jacques")</f>
        <v>jacques</v>
      </c>
      <c r="I747" s="6" t="str">
        <f>IFERROR(__xludf.DUMMYFUNCTION("""COMPUTED_VALUE"""),"inspiration")</f>
        <v>inspiration</v>
      </c>
      <c r="J747" s="6" t="str">
        <f>IFERROR(__xludf.DUMMYFUNCTION("""COMPUTED_VALUE"""),"increasingly")</f>
        <v>increasingly</v>
      </c>
      <c r="L747" s="6" t="str">
        <f>IFERROR(__xludf.DUMMYFUNCTION("""COMPUTED_VALUE"""),"manufactured")</f>
        <v>manufactured</v>
      </c>
      <c r="M747" s="6" t="str">
        <f>IFERROR(__xludf.DUMMYFUNCTION("""COMPUTED_VALUE"""),"presentation")</f>
        <v>presentation</v>
      </c>
      <c r="N747" s="6" t="str">
        <f>IFERROR(__xludf.DUMMYFUNCTION("""COMPUTED_VALUE"""),"ripe")</f>
        <v>ripe</v>
      </c>
      <c r="P747" s="6" t="str">
        <f>IFERROR(__xludf.DUMMYFUNCTION("""COMPUTED_VALUE"""),"tier")</f>
        <v>tier</v>
      </c>
      <c r="Q747" s="6" t="str">
        <f>IFERROR(__xludf.DUMMYFUNCTION("""COMPUTED_VALUE"""),"safe")</f>
        <v>safe</v>
      </c>
      <c r="S747" s="6" t="str">
        <f>IFERROR(__xludf.DUMMYFUNCTION("""COMPUTED_VALUE"""),"determined")</f>
        <v>determined</v>
      </c>
    </row>
    <row r="748">
      <c r="B748" s="6"/>
      <c r="D748" s="6"/>
      <c r="G748" s="6" t="str">
        <f>IFERROR(__xludf.DUMMYFUNCTION("""COMPUTED_VALUE"""),"shorter")</f>
        <v>shorter</v>
      </c>
      <c r="H748" s="6" t="str">
        <f>IFERROR(__xludf.DUMMYFUNCTION("""COMPUTED_VALUE"""),"diversion")</f>
        <v>diversion</v>
      </c>
      <c r="I748" s="6" t="str">
        <f>IFERROR(__xludf.DUMMYFUNCTION("""COMPUTED_VALUE"""),"awareness")</f>
        <v>awareness</v>
      </c>
      <c r="J748" s="6" t="str">
        <f>IFERROR(__xludf.DUMMYFUNCTION("""COMPUTED_VALUE"""),"plotting")</f>
        <v>plotting</v>
      </c>
      <c r="L748" s="6" t="str">
        <f>IFERROR(__xludf.DUMMYFUNCTION("""COMPUTED_VALUE"""),"humidity")</f>
        <v>humidity</v>
      </c>
      <c r="M748" s="6" t="str">
        <f>IFERROR(__xludf.DUMMYFUNCTION("""COMPUTED_VALUE"""),"decision")</f>
        <v>decision</v>
      </c>
      <c r="N748" s="6" t="str">
        <f>IFERROR(__xludf.DUMMYFUNCTION("""COMPUTED_VALUE"""),"stone")</f>
        <v>stone</v>
      </c>
      <c r="P748" s="6" t="str">
        <f>IFERROR(__xludf.DUMMYFUNCTION("""COMPUTED_VALUE"""),"scientist")</f>
        <v>scientist</v>
      </c>
      <c r="Q748" s="6" t="str">
        <f>IFERROR(__xludf.DUMMYFUNCTION("""COMPUTED_VALUE"""),"discipline")</f>
        <v>discipline</v>
      </c>
      <c r="S748" s="6" t="str">
        <f>IFERROR(__xludf.DUMMYFUNCTION("""COMPUTED_VALUE"""),"vampire")</f>
        <v>vampire</v>
      </c>
    </row>
    <row r="749">
      <c r="B749" s="6"/>
      <c r="D749" s="6"/>
      <c r="G749" s="6" t="str">
        <f>IFERROR(__xludf.DUMMYFUNCTION("""COMPUTED_VALUE"""),"amid")</f>
        <v>amid</v>
      </c>
      <c r="H749" s="6" t="str">
        <f>IFERROR(__xludf.DUMMYFUNCTION("""COMPUTED_VALUE"""),"legged")</f>
        <v>legged</v>
      </c>
      <c r="I749" s="6" t="str">
        <f>IFERROR(__xludf.DUMMYFUNCTION("""COMPUTED_VALUE"""),"mortal")</f>
        <v>mortal</v>
      </c>
      <c r="J749" s="6" t="str">
        <f>IFERROR(__xludf.DUMMYFUNCTION("""COMPUTED_VALUE"""),"specimen")</f>
        <v>specimen</v>
      </c>
      <c r="L749" s="6" t="str">
        <f>IFERROR(__xludf.DUMMYFUNCTION("""COMPUTED_VALUE"""),"sung")</f>
        <v>sung</v>
      </c>
      <c r="M749" s="6" t="str">
        <f>IFERROR(__xludf.DUMMYFUNCTION("""COMPUTED_VALUE"""),"weight")</f>
        <v>weight</v>
      </c>
      <c r="N749" s="6" t="str">
        <f>IFERROR(__xludf.DUMMYFUNCTION("""COMPUTED_VALUE"""),"parade")</f>
        <v>parade</v>
      </c>
      <c r="P749" s="6" t="str">
        <f>IFERROR(__xludf.DUMMYFUNCTION("""COMPUTED_VALUE"""),"chan")</f>
        <v>chan</v>
      </c>
      <c r="Q749" s="6" t="str">
        <f>IFERROR(__xludf.DUMMYFUNCTION("""COMPUTED_VALUE"""),"aims")</f>
        <v>aims</v>
      </c>
      <c r="S749" s="6" t="str">
        <f>IFERROR(__xludf.DUMMYFUNCTION("""COMPUTED_VALUE"""),"dance")</f>
        <v>dance</v>
      </c>
    </row>
    <row r="750">
      <c r="B750" s="6"/>
      <c r="D750" s="6"/>
      <c r="G750" s="6" t="str">
        <f>IFERROR(__xludf.DUMMYFUNCTION("""COMPUTED_VALUE"""),"trailer")</f>
        <v>trailer</v>
      </c>
      <c r="H750" s="6" t="str">
        <f>IFERROR(__xludf.DUMMYFUNCTION("""COMPUTED_VALUE"""),"freaks")</f>
        <v>freaks</v>
      </c>
      <c r="I750" s="6" t="str">
        <f>IFERROR(__xludf.DUMMYFUNCTION("""COMPUTED_VALUE"""),"intent")</f>
        <v>intent</v>
      </c>
      <c r="J750" s="6" t="str">
        <f>IFERROR(__xludf.DUMMYFUNCTION("""COMPUTED_VALUE"""),"shrill")</f>
        <v>shrill</v>
      </c>
      <c r="L750" s="6" t="str">
        <f>IFERROR(__xludf.DUMMYFUNCTION("""COMPUTED_VALUE"""),"bid")</f>
        <v>bid</v>
      </c>
      <c r="M750" s="6" t="str">
        <f>IFERROR(__xludf.DUMMYFUNCTION("""COMPUTED_VALUE"""),"strength")</f>
        <v>strength</v>
      </c>
      <c r="N750" s="6" t="str">
        <f>IFERROR(__xludf.DUMMYFUNCTION("""COMPUTED_VALUE"""),"concentration")</f>
        <v>concentration</v>
      </c>
      <c r="P750" s="6" t="str">
        <f>IFERROR(__xludf.DUMMYFUNCTION("""COMPUTED_VALUE"""),"tender")</f>
        <v>tender</v>
      </c>
      <c r="Q750" s="6" t="str">
        <f>IFERROR(__xludf.DUMMYFUNCTION("""COMPUTED_VALUE"""),"visual")</f>
        <v>visual</v>
      </c>
      <c r="S750" s="6" t="str">
        <f>IFERROR(__xludf.DUMMYFUNCTION("""COMPUTED_VALUE"""),"fierce")</f>
        <v>fierce</v>
      </c>
    </row>
    <row r="751">
      <c r="B751" s="6"/>
      <c r="D751" s="6"/>
      <c r="G751" s="6" t="str">
        <f>IFERROR(__xludf.DUMMYFUNCTION("""COMPUTED_VALUE"""),"futuristic")</f>
        <v>futuristic</v>
      </c>
      <c r="H751" s="6" t="str">
        <f>IFERROR(__xludf.DUMMYFUNCTION("""COMPUTED_VALUE"""),"bonds")</f>
        <v>bonds</v>
      </c>
      <c r="I751" s="6" t="str">
        <f>IFERROR(__xludf.DUMMYFUNCTION("""COMPUTED_VALUE"""),"swear")</f>
        <v>swear</v>
      </c>
      <c r="J751" s="6" t="str">
        <f>IFERROR(__xludf.DUMMYFUNCTION("""COMPUTED_VALUE"""),"sinister")</f>
        <v>sinister</v>
      </c>
      <c r="L751" s="6" t="str">
        <f>IFERROR(__xludf.DUMMYFUNCTION("""COMPUTED_VALUE"""),"projects")</f>
        <v>projects</v>
      </c>
      <c r="M751" s="6" t="str">
        <f>IFERROR(__xludf.DUMMYFUNCTION("""COMPUTED_VALUE"""),"assume")</f>
        <v>assume</v>
      </c>
      <c r="N751" s="6" t="str">
        <f>IFERROR(__xludf.DUMMYFUNCTION("""COMPUTED_VALUE"""),"teacher")</f>
        <v>teacher</v>
      </c>
      <c r="P751" s="6" t="str">
        <f>IFERROR(__xludf.DUMMYFUNCTION("""COMPUTED_VALUE"""),"reflection")</f>
        <v>reflection</v>
      </c>
      <c r="Q751" s="6" t="str">
        <f>IFERROR(__xludf.DUMMYFUNCTION("""COMPUTED_VALUE"""),"close")</f>
        <v>close</v>
      </c>
      <c r="S751" s="6" t="str">
        <f>IFERROR(__xludf.DUMMYFUNCTION("""COMPUTED_VALUE"""),"lady")</f>
        <v>lady</v>
      </c>
    </row>
    <row r="752">
      <c r="B752" s="6"/>
      <c r="D752" s="6"/>
      <c r="G752" s="6" t="str">
        <f>IFERROR(__xludf.DUMMYFUNCTION("""COMPUTED_VALUE"""),"autopsy")</f>
        <v>autopsy</v>
      </c>
      <c r="H752" s="6" t="str">
        <f>IFERROR(__xludf.DUMMYFUNCTION("""COMPUTED_VALUE"""),"anatomical")</f>
        <v>anatomical</v>
      </c>
      <c r="I752" s="6" t="str">
        <f>IFERROR(__xludf.DUMMYFUNCTION("""COMPUTED_VALUE"""),"invasion")</f>
        <v>invasion</v>
      </c>
      <c r="J752" s="6" t="str">
        <f>IFERROR(__xludf.DUMMYFUNCTION("""COMPUTED_VALUE"""),"aground")</f>
        <v>aground</v>
      </c>
      <c r="L752" s="6" t="str">
        <f>IFERROR(__xludf.DUMMYFUNCTION("""COMPUTED_VALUE"""),"denial")</f>
        <v>denial</v>
      </c>
      <c r="M752" s="6" t="str">
        <f>IFERROR(__xludf.DUMMYFUNCTION("""COMPUTED_VALUE"""),"heads")</f>
        <v>heads</v>
      </c>
      <c r="N752" s="6" t="str">
        <f>IFERROR(__xludf.DUMMYFUNCTION("""COMPUTED_VALUE"""),"copy")</f>
        <v>copy</v>
      </c>
      <c r="P752" s="6" t="str">
        <f>IFERROR(__xludf.DUMMYFUNCTION("""COMPUTED_VALUE"""),"political")</f>
        <v>political</v>
      </c>
      <c r="Q752" s="6" t="str">
        <f>IFERROR(__xludf.DUMMYFUNCTION("""COMPUTED_VALUE"""),"assaults")</f>
        <v>assaults</v>
      </c>
      <c r="S752" s="6" t="str">
        <f>IFERROR(__xludf.DUMMYFUNCTION("""COMPUTED_VALUE"""),"city")</f>
        <v>city</v>
      </c>
    </row>
    <row r="753">
      <c r="B753" s="6"/>
      <c r="D753" s="6"/>
      <c r="G753" s="6" t="str">
        <f>IFERROR(__xludf.DUMMYFUNCTION("""COMPUTED_VALUE"""),"pit")</f>
        <v>pit</v>
      </c>
      <c r="H753" s="6" t="str">
        <f>IFERROR(__xludf.DUMMYFUNCTION("""COMPUTED_VALUE"""),"rely")</f>
        <v>rely</v>
      </c>
      <c r="I753" s="6" t="str">
        <f>IFERROR(__xludf.DUMMYFUNCTION("""COMPUTED_VALUE"""),"vietnamese")</f>
        <v>vietnamese</v>
      </c>
      <c r="J753" s="6" t="str">
        <f>IFERROR(__xludf.DUMMYFUNCTION("""COMPUTED_VALUE"""),"roberts")</f>
        <v>roberts</v>
      </c>
      <c r="L753" s="6" t="str">
        <f>IFERROR(__xludf.DUMMYFUNCTION("""COMPUTED_VALUE"""),"zipper")</f>
        <v>zipper</v>
      </c>
      <c r="M753" s="6" t="str">
        <f>IFERROR(__xludf.DUMMYFUNCTION("""COMPUTED_VALUE"""),"belly")</f>
        <v>belly</v>
      </c>
      <c r="N753" s="6" t="str">
        <f>IFERROR(__xludf.DUMMYFUNCTION("""COMPUTED_VALUE"""),"bear")</f>
        <v>bear</v>
      </c>
      <c r="P753" s="6" t="str">
        <f>IFERROR(__xludf.DUMMYFUNCTION("""COMPUTED_VALUE"""),"christian")</f>
        <v>christian</v>
      </c>
      <c r="Q753" s="6" t="str">
        <f>IFERROR(__xludf.DUMMYFUNCTION("""COMPUTED_VALUE"""),"realism")</f>
        <v>realism</v>
      </c>
      <c r="S753" s="6" t="str">
        <f>IFERROR(__xludf.DUMMYFUNCTION("""COMPUTED_VALUE"""),"york")</f>
        <v>york</v>
      </c>
    </row>
    <row r="754">
      <c r="B754" s="6"/>
      <c r="D754" s="6"/>
      <c r="G754" s="6" t="str">
        <f>IFERROR(__xludf.DUMMYFUNCTION("""COMPUTED_VALUE"""),"circuit")</f>
        <v>circuit</v>
      </c>
      <c r="H754" s="6" t="str">
        <f>IFERROR(__xludf.DUMMYFUNCTION("""COMPUTED_VALUE"""),"elegant")</f>
        <v>elegant</v>
      </c>
      <c r="I754" s="6" t="str">
        <f>IFERROR(__xludf.DUMMYFUNCTION("""COMPUTED_VALUE"""),"thousands")</f>
        <v>thousands</v>
      </c>
      <c r="J754" s="6" t="str">
        <f>IFERROR(__xludf.DUMMYFUNCTION("""COMPUTED_VALUE"""),"workshop")</f>
        <v>workshop</v>
      </c>
      <c r="L754" s="6" t="str">
        <f>IFERROR(__xludf.DUMMYFUNCTION("""COMPUTED_VALUE"""),"gasping")</f>
        <v>gasping</v>
      </c>
      <c r="M754" s="6" t="str">
        <f>IFERROR(__xludf.DUMMYFUNCTION("""COMPUTED_VALUE"""),"unit")</f>
        <v>unit</v>
      </c>
      <c r="N754" s="6" t="str">
        <f>IFERROR(__xludf.DUMMYFUNCTION("""COMPUTED_VALUE"""),"diver")</f>
        <v>diver</v>
      </c>
      <c r="P754" s="6" t="str">
        <f>IFERROR(__xludf.DUMMYFUNCTION("""COMPUTED_VALUE"""),"triangle")</f>
        <v>triangle</v>
      </c>
      <c r="Q754" s="6" t="str">
        <f>IFERROR(__xludf.DUMMYFUNCTION("""COMPUTED_VALUE"""),"novak")</f>
        <v>novak</v>
      </c>
      <c r="S754" s="6" t="str">
        <f>IFERROR(__xludf.DUMMYFUNCTION("""COMPUTED_VALUE"""),"past")</f>
        <v>past</v>
      </c>
    </row>
    <row r="755">
      <c r="B755" s="6"/>
      <c r="D755" s="6"/>
      <c r="G755" s="6" t="str">
        <f>IFERROR(__xludf.DUMMYFUNCTION("""COMPUTED_VALUE"""),"wig")</f>
        <v>wig</v>
      </c>
      <c r="H755" s="6" t="str">
        <f>IFERROR(__xludf.DUMMYFUNCTION("""COMPUTED_VALUE"""),"majors")</f>
        <v>majors</v>
      </c>
      <c r="I755" s="6" t="str">
        <f>IFERROR(__xludf.DUMMYFUNCTION("""COMPUTED_VALUE"""),"theories")</f>
        <v>theories</v>
      </c>
      <c r="J755" s="6" t="str">
        <f>IFERROR(__xludf.DUMMYFUNCTION("""COMPUTED_VALUE"""),"resemble")</f>
        <v>resemble</v>
      </c>
      <c r="L755" s="6" t="str">
        <f>IFERROR(__xludf.DUMMYFUNCTION("""COMPUTED_VALUE"""),"relentless")</f>
        <v>relentless</v>
      </c>
      <c r="M755" s="6" t="str">
        <f>IFERROR(__xludf.DUMMYFUNCTION("""COMPUTED_VALUE"""),"replaced")</f>
        <v>replaced</v>
      </c>
      <c r="N755" s="6" t="str">
        <f>IFERROR(__xludf.DUMMYFUNCTION("""COMPUTED_VALUE"""),"martin")</f>
        <v>martin</v>
      </c>
      <c r="P755" s="6" t="str">
        <f>IFERROR(__xludf.DUMMYFUNCTION("""COMPUTED_VALUE"""),"leon")</f>
        <v>leon</v>
      </c>
      <c r="Q755" s="6" t="str">
        <f>IFERROR(__xludf.DUMMYFUNCTION("""COMPUTED_VALUE"""),"grounded")</f>
        <v>grounded</v>
      </c>
      <c r="S755" s="6" t="str">
        <f>IFERROR(__xludf.DUMMYFUNCTION("""COMPUTED_VALUE"""),"chinese")</f>
        <v>chinese</v>
      </c>
    </row>
    <row r="756">
      <c r="B756" s="6"/>
      <c r="D756" s="6"/>
      <c r="G756" s="6" t="str">
        <f>IFERROR(__xludf.DUMMYFUNCTION("""COMPUTED_VALUE"""),"spontaneous")</f>
        <v>spontaneous</v>
      </c>
      <c r="H756" s="6" t="str">
        <f>IFERROR(__xludf.DUMMYFUNCTION("""COMPUTED_VALUE"""),"governments")</f>
        <v>governments</v>
      </c>
      <c r="I756" s="6" t="str">
        <f>IFERROR(__xludf.DUMMYFUNCTION("""COMPUTED_VALUE"""),"variant")</f>
        <v>variant</v>
      </c>
      <c r="J756" s="6" t="str">
        <f>IFERROR(__xludf.DUMMYFUNCTION("""COMPUTED_VALUE"""),"vigorously")</f>
        <v>vigorously</v>
      </c>
      <c r="L756" s="6" t="str">
        <f>IFERROR(__xludf.DUMMYFUNCTION("""COMPUTED_VALUE"""),"spell")</f>
        <v>spell</v>
      </c>
      <c r="M756" s="6" t="str">
        <f>IFERROR(__xludf.DUMMYFUNCTION("""COMPUTED_VALUE"""),"conduct")</f>
        <v>conduct</v>
      </c>
      <c r="N756" s="6" t="str">
        <f>IFERROR(__xludf.DUMMYFUNCTION("""COMPUTED_VALUE"""),"imaginative")</f>
        <v>imaginative</v>
      </c>
      <c r="P756" s="6" t="str">
        <f>IFERROR(__xludf.DUMMYFUNCTION("""COMPUTED_VALUE"""),"novel")</f>
        <v>novel</v>
      </c>
      <c r="Q756" s="6" t="str">
        <f>IFERROR(__xludf.DUMMYFUNCTION("""COMPUTED_VALUE"""),"accuracy")</f>
        <v>accuracy</v>
      </c>
      <c r="S756" s="6" t="str">
        <f>IFERROR(__xludf.DUMMYFUNCTION("""COMPUTED_VALUE"""),"ah")</f>
        <v>ah</v>
      </c>
    </row>
    <row r="757">
      <c r="B757" s="6"/>
      <c r="D757" s="6"/>
      <c r="G757" s="6" t="str">
        <f>IFERROR(__xludf.DUMMYFUNCTION("""COMPUTED_VALUE"""),"swept")</f>
        <v>swept</v>
      </c>
      <c r="H757" s="6" t="str">
        <f>IFERROR(__xludf.DUMMYFUNCTION("""COMPUTED_VALUE"""),"reconstruction")</f>
        <v>reconstruction</v>
      </c>
      <c r="I757" s="6" t="str">
        <f>IFERROR(__xludf.DUMMYFUNCTION("""COMPUTED_VALUE"""),"captured")</f>
        <v>captured</v>
      </c>
      <c r="J757" s="6" t="str">
        <f>IFERROR(__xludf.DUMMYFUNCTION("""COMPUTED_VALUE"""),"improvisation")</f>
        <v>improvisation</v>
      </c>
      <c r="L757" s="6" t="str">
        <f>IFERROR(__xludf.DUMMYFUNCTION("""COMPUTED_VALUE"""),"novels")</f>
        <v>novels</v>
      </c>
      <c r="M757" s="6" t="str">
        <f>IFERROR(__xludf.DUMMYFUNCTION("""COMPUTED_VALUE"""),"attack")</f>
        <v>attack</v>
      </c>
      <c r="N757" s="6" t="str">
        <f>IFERROR(__xludf.DUMMYFUNCTION("""COMPUTED_VALUE"""),"profound")</f>
        <v>profound</v>
      </c>
      <c r="P757" s="6" t="str">
        <f>IFERROR(__xludf.DUMMYFUNCTION("""COMPUTED_VALUE"""),"monster")</f>
        <v>monster</v>
      </c>
      <c r="Q757" s="6" t="str">
        <f>IFERROR(__xludf.DUMMYFUNCTION("""COMPUTED_VALUE"""),"democracy")</f>
        <v>democracy</v>
      </c>
      <c r="S757" s="6" t="str">
        <f>IFERROR(__xludf.DUMMYFUNCTION("""COMPUTED_VALUE"""),"fill")</f>
        <v>fill</v>
      </c>
    </row>
    <row r="758">
      <c r="B758" s="6"/>
      <c r="D758" s="6"/>
      <c r="G758" s="6" t="str">
        <f>IFERROR(__xludf.DUMMYFUNCTION("""COMPUTED_VALUE"""),"lad")</f>
        <v>lad</v>
      </c>
      <c r="H758" s="6" t="str">
        <f>IFERROR(__xludf.DUMMYFUNCTION("""COMPUTED_VALUE"""),"episode")</f>
        <v>episode</v>
      </c>
      <c r="I758" s="6" t="str">
        <f>IFERROR(__xludf.DUMMYFUNCTION("""COMPUTED_VALUE"""),"equal")</f>
        <v>equal</v>
      </c>
      <c r="J758" s="6" t="str">
        <f>IFERROR(__xludf.DUMMYFUNCTION("""COMPUTED_VALUE"""),"experimentation")</f>
        <v>experimentation</v>
      </c>
      <c r="L758" s="6" t="str">
        <f>IFERROR(__xludf.DUMMYFUNCTION("""COMPUTED_VALUE"""),"sack")</f>
        <v>sack</v>
      </c>
      <c r="M758" s="6" t="str">
        <f>IFERROR(__xludf.DUMMYFUNCTION("""COMPUTED_VALUE"""),"picked")</f>
        <v>picked</v>
      </c>
      <c r="N758" s="6" t="str">
        <f>IFERROR(__xludf.DUMMYFUNCTION("""COMPUTED_VALUE"""),"stimulus")</f>
        <v>stimulus</v>
      </c>
      <c r="P758" s="6" t="str">
        <f>IFERROR(__xludf.DUMMYFUNCTION("""COMPUTED_VALUE"""),"equivalent")</f>
        <v>equivalent</v>
      </c>
      <c r="Q758" s="6" t="str">
        <f>IFERROR(__xludf.DUMMYFUNCTION("""COMPUTED_VALUE"""),"maturity")</f>
        <v>maturity</v>
      </c>
      <c r="S758" s="6" t="str">
        <f>IFERROR(__xludf.DUMMYFUNCTION("""COMPUTED_VALUE"""),"previous")</f>
        <v>previous</v>
      </c>
    </row>
    <row r="759">
      <c r="B759" s="6"/>
      <c r="D759" s="6"/>
      <c r="G759" s="6" t="str">
        <f>IFERROR(__xludf.DUMMYFUNCTION("""COMPUTED_VALUE"""),"quietly")</f>
        <v>quietly</v>
      </c>
      <c r="H759" s="6" t="str">
        <f>IFERROR(__xludf.DUMMYFUNCTION("""COMPUTED_VALUE"""),"opaque")</f>
        <v>opaque</v>
      </c>
      <c r="I759" s="6" t="str">
        <f>IFERROR(__xludf.DUMMYFUNCTION("""COMPUTED_VALUE"""),"handful")</f>
        <v>handful</v>
      </c>
      <c r="J759" s="6" t="str">
        <f>IFERROR(__xludf.DUMMYFUNCTION("""COMPUTED_VALUE"""),"ceremonies")</f>
        <v>ceremonies</v>
      </c>
      <c r="L759" s="6" t="str">
        <f>IFERROR(__xludf.DUMMYFUNCTION("""COMPUTED_VALUE"""),"fellowship")</f>
        <v>fellowship</v>
      </c>
      <c r="M759" s="6" t="str">
        <f>IFERROR(__xludf.DUMMYFUNCTION("""COMPUTED_VALUE"""),"ship")</f>
        <v>ship</v>
      </c>
      <c r="N759" s="6" t="str">
        <f>IFERROR(__xludf.DUMMYFUNCTION("""COMPUTED_VALUE"""),"ed")</f>
        <v>ed</v>
      </c>
      <c r="P759" s="6" t="str">
        <f>IFERROR(__xludf.DUMMYFUNCTION("""COMPUTED_VALUE"""),"wound")</f>
        <v>wound</v>
      </c>
      <c r="Q759" s="6" t="str">
        <f>IFERROR(__xludf.DUMMYFUNCTION("""COMPUTED_VALUE"""),"adult")</f>
        <v>adult</v>
      </c>
      <c r="S759" s="6" t="str">
        <f>IFERROR(__xludf.DUMMYFUNCTION("""COMPUTED_VALUE"""),"fallen")</f>
        <v>fallen</v>
      </c>
    </row>
    <row r="760">
      <c r="B760" s="6"/>
      <c r="D760" s="6"/>
      <c r="G760" s="6" t="str">
        <f>IFERROR(__xludf.DUMMYFUNCTION("""COMPUTED_VALUE"""),"peak")</f>
        <v>peak</v>
      </c>
      <c r="H760" s="6" t="str">
        <f>IFERROR(__xludf.DUMMYFUNCTION("""COMPUTED_VALUE"""),"artificial")</f>
        <v>artificial</v>
      </c>
      <c r="I760" s="6" t="str">
        <f>IFERROR(__xludf.DUMMYFUNCTION("""COMPUTED_VALUE"""),"sara")</f>
        <v>sara</v>
      </c>
      <c r="J760" s="6" t="str">
        <f>IFERROR(__xludf.DUMMYFUNCTION("""COMPUTED_VALUE"""),"crises")</f>
        <v>crises</v>
      </c>
      <c r="L760" s="6" t="str">
        <f>IFERROR(__xludf.DUMMYFUNCTION("""COMPUTED_VALUE"""),"sands")</f>
        <v>sands</v>
      </c>
      <c r="M760" s="6" t="str">
        <f>IFERROR(__xludf.DUMMYFUNCTION("""COMPUTED_VALUE"""),"significant")</f>
        <v>significant</v>
      </c>
      <c r="N760" s="6" t="str">
        <f>IFERROR(__xludf.DUMMYFUNCTION("""COMPUTED_VALUE"""),"accurately")</f>
        <v>accurately</v>
      </c>
      <c r="P760" s="6" t="str">
        <f>IFERROR(__xludf.DUMMYFUNCTION("""COMPUTED_VALUE"""),"staring")</f>
        <v>staring</v>
      </c>
      <c r="Q760" s="6" t="str">
        <f>IFERROR(__xludf.DUMMYFUNCTION("""COMPUTED_VALUE"""),"rendered")</f>
        <v>rendered</v>
      </c>
      <c r="S760" s="6" t="str">
        <f>IFERROR(__xludf.DUMMYFUNCTION("""COMPUTED_VALUE"""),"spell")</f>
        <v>spell</v>
      </c>
    </row>
    <row r="761">
      <c r="B761" s="6"/>
      <c r="D761" s="6"/>
      <c r="G761" s="6" t="str">
        <f>IFERROR(__xludf.DUMMYFUNCTION("""COMPUTED_VALUE"""),"philosophy")</f>
        <v>philosophy</v>
      </c>
      <c r="H761" s="6" t="str">
        <f>IFERROR(__xludf.DUMMYFUNCTION("""COMPUTED_VALUE"""),"demons")</f>
        <v>demons</v>
      </c>
      <c r="I761" s="6" t="str">
        <f>IFERROR(__xludf.DUMMYFUNCTION("""COMPUTED_VALUE"""),"realizing")</f>
        <v>realizing</v>
      </c>
      <c r="J761" s="6" t="str">
        <f>IFERROR(__xludf.DUMMYFUNCTION("""COMPUTED_VALUE"""),"weight")</f>
        <v>weight</v>
      </c>
      <c r="L761" s="6" t="str">
        <f>IFERROR(__xludf.DUMMYFUNCTION("""COMPUTED_VALUE"""),"surroundings")</f>
        <v>surroundings</v>
      </c>
      <c r="M761" s="6" t="str">
        <f>IFERROR(__xludf.DUMMYFUNCTION("""COMPUTED_VALUE"""),"holiday")</f>
        <v>holiday</v>
      </c>
      <c r="N761" s="6" t="str">
        <f>IFERROR(__xludf.DUMMYFUNCTION("""COMPUTED_VALUE"""),"humanity")</f>
        <v>humanity</v>
      </c>
      <c r="P761" s="6" t="str">
        <f>IFERROR(__xludf.DUMMYFUNCTION("""COMPUTED_VALUE"""),"secrets")</f>
        <v>secrets</v>
      </c>
      <c r="Q761" s="6" t="str">
        <f>IFERROR(__xludf.DUMMYFUNCTION("""COMPUTED_VALUE"""),"devotees")</f>
        <v>devotees</v>
      </c>
      <c r="S761" s="6" t="str">
        <f>IFERROR(__xludf.DUMMYFUNCTION("""COMPUTED_VALUE"""),"cool")</f>
        <v>cool</v>
      </c>
    </row>
    <row r="762">
      <c r="B762" s="6"/>
      <c r="D762" s="6"/>
      <c r="G762" s="6" t="str">
        <f>IFERROR(__xludf.DUMMYFUNCTION("""COMPUTED_VALUE"""),"hell")</f>
        <v>hell</v>
      </c>
      <c r="H762" s="6" t="str">
        <f>IFERROR(__xludf.DUMMYFUNCTION("""COMPUTED_VALUE"""),"blank")</f>
        <v>blank</v>
      </c>
      <c r="I762" s="6" t="str">
        <f>IFERROR(__xludf.DUMMYFUNCTION("""COMPUTED_VALUE"""),"warfare")</f>
        <v>warfare</v>
      </c>
      <c r="J762" s="6" t="str">
        <f>IFERROR(__xludf.DUMMYFUNCTION("""COMPUTED_VALUE"""),"peculiar")</f>
        <v>peculiar</v>
      </c>
      <c r="L762" s="6" t="str">
        <f>IFERROR(__xludf.DUMMYFUNCTION("""COMPUTED_VALUE"""),"bridge")</f>
        <v>bridge</v>
      </c>
      <c r="M762" s="6" t="str">
        <f>IFERROR(__xludf.DUMMYFUNCTION("""COMPUTED_VALUE"""),"vehicle")</f>
        <v>vehicle</v>
      </c>
      <c r="N762" s="6" t="str">
        <f>IFERROR(__xludf.DUMMYFUNCTION("""COMPUTED_VALUE"""),"recovery")</f>
        <v>recovery</v>
      </c>
      <c r="P762" s="6" t="str">
        <f>IFERROR(__xludf.DUMMYFUNCTION("""COMPUTED_VALUE"""),"truth")</f>
        <v>truth</v>
      </c>
      <c r="Q762" s="6" t="str">
        <f>IFERROR(__xludf.DUMMYFUNCTION("""COMPUTED_VALUE"""),"episodes")</f>
        <v>episodes</v>
      </c>
      <c r="S762" s="6" t="str">
        <f>IFERROR(__xludf.DUMMYFUNCTION("""COMPUTED_VALUE"""),"handled")</f>
        <v>handled</v>
      </c>
    </row>
    <row r="763">
      <c r="B763" s="6"/>
      <c r="D763" s="6"/>
      <c r="G763" s="6">
        <f>IFERROR(__xludf.DUMMYFUNCTION("""COMPUTED_VALUE"""),86.0)</f>
        <v>86</v>
      </c>
      <c r="H763" s="6" t="str">
        <f>IFERROR(__xludf.DUMMYFUNCTION("""COMPUTED_VALUE"""),"lark")</f>
        <v>lark</v>
      </c>
      <c r="I763" s="6" t="str">
        <f>IFERROR(__xludf.DUMMYFUNCTION("""COMPUTED_VALUE"""),"primarily")</f>
        <v>primarily</v>
      </c>
      <c r="J763" s="6" t="str">
        <f>IFERROR(__xludf.DUMMYFUNCTION("""COMPUTED_VALUE"""),"conventional")</f>
        <v>conventional</v>
      </c>
      <c r="L763" s="6" t="str">
        <f>IFERROR(__xludf.DUMMYFUNCTION("""COMPUTED_VALUE"""),"abandoned")</f>
        <v>abandoned</v>
      </c>
      <c r="M763" s="6" t="str">
        <f>IFERROR(__xludf.DUMMYFUNCTION("""COMPUTED_VALUE"""),"con")</f>
        <v>con</v>
      </c>
      <c r="N763" s="6" t="str">
        <f>IFERROR(__xludf.DUMMYFUNCTION("""COMPUTED_VALUE"""),"clarity")</f>
        <v>clarity</v>
      </c>
      <c r="P763" s="6" t="str">
        <f>IFERROR(__xludf.DUMMYFUNCTION("""COMPUTED_VALUE"""),"substance")</f>
        <v>substance</v>
      </c>
      <c r="Q763" s="6" t="str">
        <f>IFERROR(__xludf.DUMMYFUNCTION("""COMPUTED_VALUE"""),"bile")</f>
        <v>bile</v>
      </c>
      <c r="S763" s="6" t="str">
        <f>IFERROR(__xludf.DUMMYFUNCTION("""COMPUTED_VALUE"""),"vision")</f>
        <v>vision</v>
      </c>
    </row>
    <row r="764">
      <c r="B764" s="6"/>
      <c r="D764" s="6"/>
      <c r="G764" s="6" t="str">
        <f>IFERROR(__xludf.DUMMYFUNCTION("""COMPUTED_VALUE"""),"handling")</f>
        <v>handling</v>
      </c>
      <c r="H764" s="6" t="str">
        <f>IFERROR(__xludf.DUMMYFUNCTION("""COMPUTED_VALUE"""),"pipeline")</f>
        <v>pipeline</v>
      </c>
      <c r="I764" s="6" t="str">
        <f>IFERROR(__xludf.DUMMYFUNCTION("""COMPUTED_VALUE"""),"vehicle")</f>
        <v>vehicle</v>
      </c>
      <c r="J764" s="6" t="str">
        <f>IFERROR(__xludf.DUMMYFUNCTION("""COMPUTED_VALUE"""),"manhattan")</f>
        <v>manhattan</v>
      </c>
      <c r="L764" s="6" t="str">
        <f>IFERROR(__xludf.DUMMYFUNCTION("""COMPUTED_VALUE"""),"balancing")</f>
        <v>balancing</v>
      </c>
      <c r="M764" s="6" t="str">
        <f>IFERROR(__xludf.DUMMYFUNCTION("""COMPUTED_VALUE"""),"mind")</f>
        <v>mind</v>
      </c>
      <c r="N764" s="6" t="str">
        <f>IFERROR(__xludf.DUMMYFUNCTION("""COMPUTED_VALUE"""),"league")</f>
        <v>league</v>
      </c>
      <c r="P764" s="6" t="str">
        <f>IFERROR(__xludf.DUMMYFUNCTION("""COMPUTED_VALUE"""),"sexy")</f>
        <v>sexy</v>
      </c>
      <c r="Q764" s="6" t="str">
        <f>IFERROR(__xludf.DUMMYFUNCTION("""COMPUTED_VALUE"""),"faulty")</f>
        <v>faulty</v>
      </c>
      <c r="S764" s="6" t="str">
        <f>IFERROR(__xludf.DUMMYFUNCTION("""COMPUTED_VALUE"""),"clearly")</f>
        <v>clearly</v>
      </c>
    </row>
    <row r="765">
      <c r="B765" s="6"/>
      <c r="D765" s="6"/>
      <c r="G765" s="6" t="str">
        <f>IFERROR(__xludf.DUMMYFUNCTION("""COMPUTED_VALUE"""),"curiosity")</f>
        <v>curiosity</v>
      </c>
      <c r="H765" s="6" t="str">
        <f>IFERROR(__xludf.DUMMYFUNCTION("""COMPUTED_VALUE"""),"flow")</f>
        <v>flow</v>
      </c>
      <c r="I765" s="6" t="str">
        <f>IFERROR(__xludf.DUMMYFUNCTION("""COMPUTED_VALUE"""),"thick")</f>
        <v>thick</v>
      </c>
      <c r="J765" s="6" t="str">
        <f>IFERROR(__xludf.DUMMYFUNCTION("""COMPUTED_VALUE"""),"skies")</f>
        <v>skies</v>
      </c>
      <c r="L765" s="6" t="str">
        <f>IFERROR(__xludf.DUMMYFUNCTION("""COMPUTED_VALUE"""),"sterling")</f>
        <v>sterling</v>
      </c>
      <c r="M765" s="6" t="str">
        <f>IFERROR(__xludf.DUMMYFUNCTION("""COMPUTED_VALUE"""),"imagination")</f>
        <v>imagination</v>
      </c>
      <c r="N765" s="6" t="str">
        <f>IFERROR(__xludf.DUMMYFUNCTION("""COMPUTED_VALUE"""),"panic")</f>
        <v>panic</v>
      </c>
      <c r="P765" s="6" t="str">
        <f>IFERROR(__xludf.DUMMYFUNCTION("""COMPUTED_VALUE"""),"smoking")</f>
        <v>smoking</v>
      </c>
      <c r="Q765" s="6" t="str">
        <f>IFERROR(__xludf.DUMMYFUNCTION("""COMPUTED_VALUE"""),"constructed")</f>
        <v>constructed</v>
      </c>
      <c r="S765" s="6" t="str">
        <f>IFERROR(__xludf.DUMMYFUNCTION("""COMPUTED_VALUE"""),"poverty")</f>
        <v>poverty</v>
      </c>
    </row>
    <row r="766">
      <c r="B766" s="6"/>
      <c r="D766" s="6"/>
      <c r="G766" s="6" t="str">
        <f>IFERROR(__xludf.DUMMYFUNCTION("""COMPUTED_VALUE"""),"technological")</f>
        <v>technological</v>
      </c>
      <c r="H766" s="6" t="str">
        <f>IFERROR(__xludf.DUMMYFUNCTION("""COMPUTED_VALUE"""),"abstract")</f>
        <v>abstract</v>
      </c>
      <c r="I766" s="6" t="str">
        <f>IFERROR(__xludf.DUMMYFUNCTION("""COMPUTED_VALUE"""),"radical")</f>
        <v>radical</v>
      </c>
      <c r="J766" s="6" t="str">
        <f>IFERROR(__xludf.DUMMYFUNCTION("""COMPUTED_VALUE"""),"firing")</f>
        <v>firing</v>
      </c>
      <c r="L766" s="6" t="str">
        <f>IFERROR(__xludf.DUMMYFUNCTION("""COMPUTED_VALUE"""),"mill")</f>
        <v>mill</v>
      </c>
      <c r="M766" s="6">
        <f>IFERROR(__xludf.DUMMYFUNCTION("""COMPUTED_VALUE"""),1957.0)</f>
        <v>1957</v>
      </c>
      <c r="N766" s="6" t="str">
        <f>IFERROR(__xludf.DUMMYFUNCTION("""COMPUTED_VALUE"""),"patch")</f>
        <v>patch</v>
      </c>
      <c r="P766" s="6" t="str">
        <f>IFERROR(__xludf.DUMMYFUNCTION("""COMPUTED_VALUE"""),"lock")</f>
        <v>lock</v>
      </c>
      <c r="Q766" s="6" t="str">
        <f>IFERROR(__xludf.DUMMYFUNCTION("""COMPUTED_VALUE"""),"skill")</f>
        <v>skill</v>
      </c>
      <c r="S766" s="6" t="str">
        <f>IFERROR(__xludf.DUMMYFUNCTION("""COMPUTED_VALUE"""),"spite")</f>
        <v>spite</v>
      </c>
    </row>
    <row r="767">
      <c r="B767" s="6"/>
      <c r="D767" s="6"/>
      <c r="G767" s="6" t="str">
        <f>IFERROR(__xludf.DUMMYFUNCTION("""COMPUTED_VALUE"""),"copy")</f>
        <v>copy</v>
      </c>
      <c r="H767" s="6" t="str">
        <f>IFERROR(__xludf.DUMMYFUNCTION("""COMPUTED_VALUE"""),"diaries")</f>
        <v>diaries</v>
      </c>
      <c r="I767" s="6">
        <f>IFERROR(__xludf.DUMMYFUNCTION("""COMPUTED_VALUE"""),1993.0)</f>
        <v>1993</v>
      </c>
      <c r="J767" s="6" t="str">
        <f>IFERROR(__xludf.DUMMYFUNCTION("""COMPUTED_VALUE"""),"testimony")</f>
        <v>testimony</v>
      </c>
      <c r="L767" s="6" t="str">
        <f>IFERROR(__xludf.DUMMYFUNCTION("""COMPUTED_VALUE"""),"translation")</f>
        <v>translation</v>
      </c>
      <c r="M767" s="6" t="str">
        <f>IFERROR(__xludf.DUMMYFUNCTION("""COMPUTED_VALUE"""),"characters")</f>
        <v>characters</v>
      </c>
      <c r="N767" s="6" t="str">
        <f>IFERROR(__xludf.DUMMYFUNCTION("""COMPUTED_VALUE"""),"butt")</f>
        <v>butt</v>
      </c>
      <c r="P767" s="6" t="str">
        <f>IFERROR(__xludf.DUMMYFUNCTION("""COMPUTED_VALUE"""),"professor")</f>
        <v>professor</v>
      </c>
      <c r="Q767" s="6" t="str">
        <f>IFERROR(__xludf.DUMMYFUNCTION("""COMPUTED_VALUE"""),"amused")</f>
        <v>amused</v>
      </c>
      <c r="S767" s="6" t="str">
        <f>IFERROR(__xludf.DUMMYFUNCTION("""COMPUTED_VALUE"""),"taken")</f>
        <v>taken</v>
      </c>
    </row>
    <row r="768">
      <c r="B768" s="6"/>
      <c r="D768" s="6"/>
      <c r="G768" s="6" t="str">
        <f>IFERROR(__xludf.DUMMYFUNCTION("""COMPUTED_VALUE"""),"depict")</f>
        <v>depict</v>
      </c>
      <c r="H768" s="6" t="str">
        <f>IFERROR(__xludf.DUMMYFUNCTION("""COMPUTED_VALUE"""),"stimulating")</f>
        <v>stimulating</v>
      </c>
      <c r="I768" s="6" t="str">
        <f>IFERROR(__xludf.DUMMYFUNCTION("""COMPUTED_VALUE"""),"state")</f>
        <v>state</v>
      </c>
      <c r="J768" s="6" t="str">
        <f>IFERROR(__xludf.DUMMYFUNCTION("""COMPUTED_VALUE"""),"witnesses")</f>
        <v>witnesses</v>
      </c>
      <c r="L768" s="6" t="str">
        <f>IFERROR(__xludf.DUMMYFUNCTION("""COMPUTED_VALUE"""),"poking")</f>
        <v>poking</v>
      </c>
      <c r="M768" s="6" t="str">
        <f>IFERROR(__xludf.DUMMYFUNCTION("""COMPUTED_VALUE"""),"child")</f>
        <v>child</v>
      </c>
      <c r="N768" s="6" t="str">
        <f>IFERROR(__xludf.DUMMYFUNCTION("""COMPUTED_VALUE"""),"million")</f>
        <v>million</v>
      </c>
      <c r="P768" s="6" t="str">
        <f>IFERROR(__xludf.DUMMYFUNCTION("""COMPUTED_VALUE"""),"magnetic")</f>
        <v>magnetic</v>
      </c>
      <c r="Q768" s="6" t="str">
        <f>IFERROR(__xludf.DUMMYFUNCTION("""COMPUTED_VALUE"""),"vampire")</f>
        <v>vampire</v>
      </c>
      <c r="S768" s="6" t="str">
        <f>IFERROR(__xludf.DUMMYFUNCTION("""COMPUTED_VALUE"""),"shoot")</f>
        <v>shoot</v>
      </c>
    </row>
    <row r="769">
      <c r="B769" s="6"/>
      <c r="D769" s="6"/>
      <c r="G769" s="6" t="str">
        <f>IFERROR(__xludf.DUMMYFUNCTION("""COMPUTED_VALUE"""),"homosexual")</f>
        <v>homosexual</v>
      </c>
      <c r="H769" s="6" t="str">
        <f>IFERROR(__xludf.DUMMYFUNCTION("""COMPUTED_VALUE"""),"reel")</f>
        <v>reel</v>
      </c>
      <c r="I769" s="6" t="str">
        <f>IFERROR(__xludf.DUMMYFUNCTION("""COMPUTED_VALUE"""),"duck")</f>
        <v>duck</v>
      </c>
      <c r="J769" s="6" t="str">
        <f>IFERROR(__xludf.DUMMYFUNCTION("""COMPUTED_VALUE"""),"revolutionary")</f>
        <v>revolutionary</v>
      </c>
      <c r="L769" s="6" t="str">
        <f>IFERROR(__xludf.DUMMYFUNCTION("""COMPUTED_VALUE"""),"alternately")</f>
        <v>alternately</v>
      </c>
      <c r="M769" s="6" t="str">
        <f>IFERROR(__xludf.DUMMYFUNCTION("""COMPUTED_VALUE"""),"terms")</f>
        <v>terms</v>
      </c>
      <c r="N769" s="6" t="str">
        <f>IFERROR(__xludf.DUMMYFUNCTION("""COMPUTED_VALUE"""),"numbers")</f>
        <v>numbers</v>
      </c>
      <c r="P769" s="6" t="str">
        <f>IFERROR(__xludf.DUMMYFUNCTION("""COMPUTED_VALUE"""),"honor")</f>
        <v>honor</v>
      </c>
      <c r="Q769" s="6" t="str">
        <f>IFERROR(__xludf.DUMMYFUNCTION("""COMPUTED_VALUE"""),"determined")</f>
        <v>determined</v>
      </c>
      <c r="S769" s="6" t="str">
        <f>IFERROR(__xludf.DUMMYFUNCTION("""COMPUTED_VALUE"""),"determine")</f>
        <v>determine</v>
      </c>
    </row>
    <row r="770">
      <c r="B770" s="6"/>
      <c r="D770" s="6"/>
      <c r="G770" s="6" t="str">
        <f>IFERROR(__xludf.DUMMYFUNCTION("""COMPUTED_VALUE"""),"wise")</f>
        <v>wise</v>
      </c>
      <c r="H770" s="6" t="str">
        <f>IFERROR(__xludf.DUMMYFUNCTION("""COMPUTED_VALUE"""),"courtship")</f>
        <v>courtship</v>
      </c>
      <c r="I770" s="6" t="str">
        <f>IFERROR(__xludf.DUMMYFUNCTION("""COMPUTED_VALUE"""),"painting")</f>
        <v>painting</v>
      </c>
      <c r="J770" s="6" t="str">
        <f>IFERROR(__xludf.DUMMYFUNCTION("""COMPUTED_VALUE"""),"obstacles")</f>
        <v>obstacles</v>
      </c>
      <c r="L770" s="6" t="str">
        <f>IFERROR(__xludf.DUMMYFUNCTION("""COMPUTED_VALUE"""),"ironic")</f>
        <v>ironic</v>
      </c>
      <c r="M770" s="6" t="str">
        <f>IFERROR(__xludf.DUMMYFUNCTION("""COMPUTED_VALUE"""),"shape")</f>
        <v>shape</v>
      </c>
      <c r="N770" s="6" t="str">
        <f>IFERROR(__xludf.DUMMYFUNCTION("""COMPUTED_VALUE"""),"portrayal")</f>
        <v>portrayal</v>
      </c>
      <c r="P770" s="6" t="str">
        <f>IFERROR(__xludf.DUMMYFUNCTION("""COMPUTED_VALUE"""),"legacy")</f>
        <v>legacy</v>
      </c>
      <c r="Q770" s="6" t="str">
        <f>IFERROR(__xludf.DUMMYFUNCTION("""COMPUTED_VALUE"""),"fierce")</f>
        <v>fierce</v>
      </c>
      <c r="S770" s="6" t="str">
        <f>IFERROR(__xludf.DUMMYFUNCTION("""COMPUTED_VALUE"""),"following")</f>
        <v>following</v>
      </c>
    </row>
    <row r="771">
      <c r="B771" s="6"/>
      <c r="D771" s="6"/>
      <c r="G771" s="6" t="str">
        <f>IFERROR(__xludf.DUMMYFUNCTION("""COMPUTED_VALUE"""),"anime")</f>
        <v>anime</v>
      </c>
      <c r="H771" s="6" t="str">
        <f>IFERROR(__xludf.DUMMYFUNCTION("""COMPUTED_VALUE"""),"yale")</f>
        <v>yale</v>
      </c>
      <c r="I771" s="6" t="str">
        <f>IFERROR(__xludf.DUMMYFUNCTION("""COMPUTED_VALUE"""),"marine")</f>
        <v>marine</v>
      </c>
      <c r="J771" s="6" t="str">
        <f>IFERROR(__xludf.DUMMYFUNCTION("""COMPUTED_VALUE"""),"centuries")</f>
        <v>centuries</v>
      </c>
      <c r="L771" s="6" t="str">
        <f>IFERROR(__xludf.DUMMYFUNCTION("""COMPUTED_VALUE"""),"communal")</f>
        <v>communal</v>
      </c>
      <c r="M771" s="6" t="str">
        <f>IFERROR(__xludf.DUMMYFUNCTION("""COMPUTED_VALUE"""),"davis")</f>
        <v>davis</v>
      </c>
      <c r="N771" s="6" t="str">
        <f>IFERROR(__xludf.DUMMYFUNCTION("""COMPUTED_VALUE"""),"allowing")</f>
        <v>allowing</v>
      </c>
      <c r="P771" s="6" t="str">
        <f>IFERROR(__xludf.DUMMYFUNCTION("""COMPUTED_VALUE"""),"mixture")</f>
        <v>mixture</v>
      </c>
      <c r="Q771" s="6" t="str">
        <f>IFERROR(__xludf.DUMMYFUNCTION("""COMPUTED_VALUE"""),"dance")</f>
        <v>dance</v>
      </c>
      <c r="S771" s="6" t="str">
        <f>IFERROR(__xludf.DUMMYFUNCTION("""COMPUTED_VALUE"""),"cheese")</f>
        <v>cheese</v>
      </c>
    </row>
    <row r="772">
      <c r="B772" s="6"/>
      <c r="D772" s="6"/>
      <c r="G772" s="6" t="str">
        <f>IFERROR(__xludf.DUMMYFUNCTION("""COMPUTED_VALUE"""),"distinguished")</f>
        <v>distinguished</v>
      </c>
      <c r="H772" s="6" t="str">
        <f>IFERROR(__xludf.DUMMYFUNCTION("""COMPUTED_VALUE"""),"twisted")</f>
        <v>twisted</v>
      </c>
      <c r="I772" s="6" t="str">
        <f>IFERROR(__xludf.DUMMYFUNCTION("""COMPUTED_VALUE"""),"seat")</f>
        <v>seat</v>
      </c>
      <c r="J772" s="6" t="str">
        <f>IFERROR(__xludf.DUMMYFUNCTION("""COMPUTED_VALUE"""),"spiritual")</f>
        <v>spiritual</v>
      </c>
      <c r="L772" s="6" t="str">
        <f>IFERROR(__xludf.DUMMYFUNCTION("""COMPUTED_VALUE"""),"holmes")</f>
        <v>holmes</v>
      </c>
      <c r="M772" s="6" t="str">
        <f>IFERROR(__xludf.DUMMYFUNCTION("""COMPUTED_VALUE"""),"report")</f>
        <v>report</v>
      </c>
      <c r="N772" s="6" t="str">
        <f>IFERROR(__xludf.DUMMYFUNCTION("""COMPUTED_VALUE"""),"political")</f>
        <v>political</v>
      </c>
      <c r="P772" s="6" t="str">
        <f>IFERROR(__xludf.DUMMYFUNCTION("""COMPUTED_VALUE"""),"painted")</f>
        <v>painted</v>
      </c>
      <c r="Q772" s="6" t="str">
        <f>IFERROR(__xludf.DUMMYFUNCTION("""COMPUTED_VALUE"""),"lady")</f>
        <v>lady</v>
      </c>
      <c r="S772" s="6" t="str">
        <f>IFERROR(__xludf.DUMMYFUNCTION("""COMPUTED_VALUE"""),"chosen")</f>
        <v>chosen</v>
      </c>
    </row>
    <row r="773">
      <c r="B773" s="6"/>
      <c r="D773" s="6"/>
      <c r="G773" s="6" t="str">
        <f>IFERROR(__xludf.DUMMYFUNCTION("""COMPUTED_VALUE"""),"tortured")</f>
        <v>tortured</v>
      </c>
      <c r="H773" s="6" t="str">
        <f>IFERROR(__xludf.DUMMYFUNCTION("""COMPUTED_VALUE"""),"friendship")</f>
        <v>friendship</v>
      </c>
      <c r="I773" s="6" t="str">
        <f>IFERROR(__xludf.DUMMYFUNCTION("""COMPUTED_VALUE"""),"strikes")</f>
        <v>strikes</v>
      </c>
      <c r="J773" s="6" t="str">
        <f>IFERROR(__xludf.DUMMYFUNCTION("""COMPUTED_VALUE"""),"studios")</f>
        <v>studios</v>
      </c>
      <c r="L773" s="6" t="str">
        <f>IFERROR(__xludf.DUMMYFUNCTION("""COMPUTED_VALUE"""),"yearning")</f>
        <v>yearning</v>
      </c>
      <c r="M773" s="6" t="str">
        <f>IFERROR(__xludf.DUMMYFUNCTION("""COMPUTED_VALUE"""),"york")</f>
        <v>york</v>
      </c>
      <c r="N773" s="6" t="str">
        <f>IFERROR(__xludf.DUMMYFUNCTION("""COMPUTED_VALUE"""),"roman")</f>
        <v>roman</v>
      </c>
      <c r="P773" s="6" t="str">
        <f>IFERROR(__xludf.DUMMYFUNCTION("""COMPUTED_VALUE"""),"suitable")</f>
        <v>suitable</v>
      </c>
      <c r="Q773" s="6" t="str">
        <f>IFERROR(__xludf.DUMMYFUNCTION("""COMPUTED_VALUE"""),"chinese")</f>
        <v>chinese</v>
      </c>
      <c r="S773" s="6" t="str">
        <f>IFERROR(__xludf.DUMMYFUNCTION("""COMPUTED_VALUE"""),"topic")</f>
        <v>topic</v>
      </c>
    </row>
    <row r="774">
      <c r="B774" s="6"/>
      <c r="D774" s="6"/>
      <c r="G774" s="6" t="str">
        <f>IFERROR(__xludf.DUMMYFUNCTION("""COMPUTED_VALUE"""),"projectile")</f>
        <v>projectile</v>
      </c>
      <c r="H774" s="6" t="str">
        <f>IFERROR(__xludf.DUMMYFUNCTION("""COMPUTED_VALUE"""),"constant")</f>
        <v>constant</v>
      </c>
      <c r="I774" s="6" t="str">
        <f>IFERROR(__xludf.DUMMYFUNCTION("""COMPUTED_VALUE"""),"empire")</f>
        <v>empire</v>
      </c>
      <c r="J774" s="6" t="str">
        <f>IFERROR(__xludf.DUMMYFUNCTION("""COMPUTED_VALUE"""),"laboratory")</f>
        <v>laboratory</v>
      </c>
      <c r="L774" s="6" t="str">
        <f>IFERROR(__xludf.DUMMYFUNCTION("""COMPUTED_VALUE"""),"operative")</f>
        <v>operative</v>
      </c>
      <c r="M774" s="6" t="str">
        <f>IFERROR(__xludf.DUMMYFUNCTION("""COMPUTED_VALUE"""),"controversy")</f>
        <v>controversy</v>
      </c>
      <c r="N774" s="6" t="str">
        <f>IFERROR(__xludf.DUMMYFUNCTION("""COMPUTED_VALUE"""),"relegated")</f>
        <v>relegated</v>
      </c>
      <c r="P774" s="6" t="str">
        <f>IFERROR(__xludf.DUMMYFUNCTION("""COMPUTED_VALUE"""),"message")</f>
        <v>message</v>
      </c>
      <c r="Q774" s="6" t="str">
        <f>IFERROR(__xludf.DUMMYFUNCTION("""COMPUTED_VALUE"""),"repetitive")</f>
        <v>repetitive</v>
      </c>
      <c r="S774" s="6" t="str">
        <f>IFERROR(__xludf.DUMMYFUNCTION("""COMPUTED_VALUE"""),"survival")</f>
        <v>survival</v>
      </c>
    </row>
    <row r="775">
      <c r="B775" s="6"/>
      <c r="D775" s="6"/>
      <c r="G775" s="6" t="str">
        <f>IFERROR(__xludf.DUMMYFUNCTION("""COMPUTED_VALUE"""),"portrays")</f>
        <v>portrays</v>
      </c>
      <c r="H775" s="6" t="str">
        <f>IFERROR(__xludf.DUMMYFUNCTION("""COMPUTED_VALUE"""),"identification")</f>
        <v>identification</v>
      </c>
      <c r="I775" s="6" t="str">
        <f>IFERROR(__xludf.DUMMYFUNCTION("""COMPUTED_VALUE"""),"treasure")</f>
        <v>treasure</v>
      </c>
      <c r="J775" s="6" t="str">
        <f>IFERROR(__xludf.DUMMYFUNCTION("""COMPUTED_VALUE"""),"schemes")</f>
        <v>schemes</v>
      </c>
      <c r="L775" s="6" t="str">
        <f>IFERROR(__xludf.DUMMYFUNCTION("""COMPUTED_VALUE"""),"gradually")</f>
        <v>gradually</v>
      </c>
      <c r="M775" s="6" t="str">
        <f>IFERROR(__xludf.DUMMYFUNCTION("""COMPUTED_VALUE"""),"box")</f>
        <v>box</v>
      </c>
      <c r="N775" s="6" t="str">
        <f>IFERROR(__xludf.DUMMYFUNCTION("""COMPUTED_VALUE"""),"ways")</f>
        <v>ways</v>
      </c>
      <c r="P775" s="6" t="str">
        <f>IFERROR(__xludf.DUMMYFUNCTION("""COMPUTED_VALUE"""),"delicate")</f>
        <v>delicate</v>
      </c>
      <c r="Q775" s="6" t="str">
        <f>IFERROR(__xludf.DUMMYFUNCTION("""COMPUTED_VALUE"""),"melancholy")</f>
        <v>melancholy</v>
      </c>
      <c r="S775" s="6" t="str">
        <f>IFERROR(__xludf.DUMMYFUNCTION("""COMPUTED_VALUE"""),"bare")</f>
        <v>bare</v>
      </c>
    </row>
    <row r="776">
      <c r="B776" s="6"/>
      <c r="D776" s="6"/>
      <c r="G776" s="6" t="str">
        <f>IFERROR(__xludf.DUMMYFUNCTION("""COMPUTED_VALUE"""),"grin")</f>
        <v>grin</v>
      </c>
      <c r="H776" s="6" t="str">
        <f>IFERROR(__xludf.DUMMYFUNCTION("""COMPUTED_VALUE"""),"built")</f>
        <v>built</v>
      </c>
      <c r="I776" s="6" t="str">
        <f>IFERROR(__xludf.DUMMYFUNCTION("""COMPUTED_VALUE"""),"concern")</f>
        <v>concern</v>
      </c>
      <c r="J776" s="6" t="str">
        <f>IFERROR(__xludf.DUMMYFUNCTION("""COMPUTED_VALUE"""),"critics")</f>
        <v>critics</v>
      </c>
      <c r="L776" s="6" t="str">
        <f>IFERROR(__xludf.DUMMYFUNCTION("""COMPUTED_VALUE"""),"hop")</f>
        <v>hop</v>
      </c>
      <c r="M776" s="6" t="str">
        <f>IFERROR(__xludf.DUMMYFUNCTION("""COMPUTED_VALUE"""),"pointed")</f>
        <v>pointed</v>
      </c>
      <c r="N776" s="6" t="str">
        <f>IFERROR(__xludf.DUMMYFUNCTION("""COMPUTED_VALUE"""),"slightest")</f>
        <v>slightest</v>
      </c>
      <c r="P776" s="6" t="str">
        <f>IFERROR(__xludf.DUMMYFUNCTION("""COMPUTED_VALUE"""),"commentary")</f>
        <v>commentary</v>
      </c>
      <c r="Q776" s="6" t="str">
        <f>IFERROR(__xludf.DUMMYFUNCTION("""COMPUTED_VALUE"""),"spell")</f>
        <v>spell</v>
      </c>
      <c r="S776" s="6" t="str">
        <f>IFERROR(__xludf.DUMMYFUNCTION("""COMPUTED_VALUE"""),"victories")</f>
        <v>victories</v>
      </c>
    </row>
    <row r="777">
      <c r="B777" s="6"/>
      <c r="D777" s="6"/>
      <c r="G777" s="6" t="str">
        <f>IFERROR(__xludf.DUMMYFUNCTION("""COMPUTED_VALUE"""),"marry")</f>
        <v>marry</v>
      </c>
      <c r="H777" s="6" t="str">
        <f>IFERROR(__xludf.DUMMYFUNCTION("""COMPUTED_VALUE"""),"retaining")</f>
        <v>retaining</v>
      </c>
      <c r="I777" s="6" t="str">
        <f>IFERROR(__xludf.DUMMYFUNCTION("""COMPUTED_VALUE"""),"bear")</f>
        <v>bear</v>
      </c>
      <c r="J777" s="6" t="str">
        <f>IFERROR(__xludf.DUMMYFUNCTION("""COMPUTED_VALUE"""),"paints")</f>
        <v>paints</v>
      </c>
      <c r="L777" s="6" t="str">
        <f>IFERROR(__xludf.DUMMYFUNCTION("""COMPUTED_VALUE"""),"drains")</f>
        <v>drains</v>
      </c>
      <c r="M777" s="6" t="str">
        <f>IFERROR(__xludf.DUMMYFUNCTION("""COMPUTED_VALUE"""),"phrase")</f>
        <v>phrase</v>
      </c>
      <c r="N777" s="6" t="str">
        <f>IFERROR(__xludf.DUMMYFUNCTION("""COMPUTED_VALUE"""),"races")</f>
        <v>races</v>
      </c>
      <c r="P777" s="6" t="str">
        <f>IFERROR(__xludf.DUMMYFUNCTION("""COMPUTED_VALUE"""),"innovation")</f>
        <v>innovation</v>
      </c>
      <c r="Q777" s="6" t="str">
        <f>IFERROR(__xludf.DUMMYFUNCTION("""COMPUTED_VALUE"""),"previous")</f>
        <v>previous</v>
      </c>
      <c r="S777" s="6" t="str">
        <f>IFERROR(__xludf.DUMMYFUNCTION("""COMPUTED_VALUE"""),"class")</f>
        <v>class</v>
      </c>
    </row>
    <row r="778">
      <c r="B778" s="6"/>
      <c r="D778" s="6"/>
      <c r="G778" s="6" t="str">
        <f>IFERROR(__xludf.DUMMYFUNCTION("""COMPUTED_VALUE"""),"disguise")</f>
        <v>disguise</v>
      </c>
      <c r="H778" s="6" t="str">
        <f>IFERROR(__xludf.DUMMYFUNCTION("""COMPUTED_VALUE"""),"mainstream")</f>
        <v>mainstream</v>
      </c>
      <c r="I778" s="6" t="str">
        <f>IFERROR(__xludf.DUMMYFUNCTION("""COMPUTED_VALUE"""),"advantage")</f>
        <v>advantage</v>
      </c>
      <c r="J778" s="6" t="str">
        <f>IFERROR(__xludf.DUMMYFUNCTION("""COMPUTED_VALUE"""),"clarity")</f>
        <v>clarity</v>
      </c>
      <c r="L778" s="6" t="str">
        <f>IFERROR(__xludf.DUMMYFUNCTION("""COMPUTED_VALUE"""),"wisdom")</f>
        <v>wisdom</v>
      </c>
      <c r="M778" s="6" t="str">
        <f>IFERROR(__xludf.DUMMYFUNCTION("""COMPUTED_VALUE"""),"larger")</f>
        <v>larger</v>
      </c>
      <c r="N778" s="6" t="str">
        <f>IFERROR(__xludf.DUMMYFUNCTION("""COMPUTED_VALUE"""),"horse")</f>
        <v>horse</v>
      </c>
      <c r="P778" s="6" t="str">
        <f>IFERROR(__xludf.DUMMYFUNCTION("""COMPUTED_VALUE"""),"violent")</f>
        <v>violent</v>
      </c>
      <c r="Q778" s="6" t="str">
        <f>IFERROR(__xludf.DUMMYFUNCTION("""COMPUTED_VALUE"""),"fallen")</f>
        <v>fallen</v>
      </c>
      <c r="S778" s="6" t="str">
        <f>IFERROR(__xludf.DUMMYFUNCTION("""COMPUTED_VALUE"""),"routine")</f>
        <v>routine</v>
      </c>
    </row>
    <row r="779">
      <c r="B779" s="6"/>
      <c r="D779" s="6"/>
      <c r="G779" s="6" t="str">
        <f>IFERROR(__xludf.DUMMYFUNCTION("""COMPUTED_VALUE"""),"surrender")</f>
        <v>surrender</v>
      </c>
      <c r="H779" s="6" t="str">
        <f>IFERROR(__xludf.DUMMYFUNCTION("""COMPUTED_VALUE"""),"menacing")</f>
        <v>menacing</v>
      </c>
      <c r="I779" s="6" t="str">
        <f>IFERROR(__xludf.DUMMYFUNCTION("""COMPUTED_VALUE"""),"happens")</f>
        <v>happens</v>
      </c>
      <c r="J779" s="6" t="str">
        <f>IFERROR(__xludf.DUMMYFUNCTION("""COMPUTED_VALUE"""),"chuckle")</f>
        <v>chuckle</v>
      </c>
      <c r="L779" s="6" t="str">
        <f>IFERROR(__xludf.DUMMYFUNCTION("""COMPUTED_VALUE"""),"stein")</f>
        <v>stein</v>
      </c>
      <c r="M779" s="6" t="str">
        <f>IFERROR(__xludf.DUMMYFUNCTION("""COMPUTED_VALUE"""),"kong")</f>
        <v>kong</v>
      </c>
      <c r="N779" s="6" t="str">
        <f>IFERROR(__xludf.DUMMYFUNCTION("""COMPUTED_VALUE"""),"soccer")</f>
        <v>soccer</v>
      </c>
      <c r="P779" s="6" t="str">
        <f>IFERROR(__xludf.DUMMYFUNCTION("""COMPUTED_VALUE"""),"mill")</f>
        <v>mill</v>
      </c>
      <c r="Q779" s="6" t="str">
        <f>IFERROR(__xludf.DUMMYFUNCTION("""COMPUTED_VALUE"""),"brutally")</f>
        <v>brutally</v>
      </c>
      <c r="S779" s="6" t="str">
        <f>IFERROR(__xludf.DUMMYFUNCTION("""COMPUTED_VALUE"""),"race")</f>
        <v>race</v>
      </c>
    </row>
    <row r="780">
      <c r="B780" s="6"/>
      <c r="D780" s="6"/>
      <c r="G780" s="6" t="str">
        <f>IFERROR(__xludf.DUMMYFUNCTION("""COMPUTED_VALUE"""),"profound")</f>
        <v>profound</v>
      </c>
      <c r="H780" s="6" t="str">
        <f>IFERROR(__xludf.DUMMYFUNCTION("""COMPUTED_VALUE"""),"gangs")</f>
        <v>gangs</v>
      </c>
      <c r="I780" s="6" t="str">
        <f>IFERROR(__xludf.DUMMYFUNCTION("""COMPUTED_VALUE"""),"campus")</f>
        <v>campus</v>
      </c>
      <c r="J780" s="6" t="str">
        <f>IFERROR(__xludf.DUMMYFUNCTION("""COMPUTED_VALUE"""),"deliberate")</f>
        <v>deliberate</v>
      </c>
      <c r="L780" s="6" t="str">
        <f>IFERROR(__xludf.DUMMYFUNCTION("""COMPUTED_VALUE"""),"suffers")</f>
        <v>suffers</v>
      </c>
      <c r="M780" s="6" t="str">
        <f>IFERROR(__xludf.DUMMYFUNCTION("""COMPUTED_VALUE"""),"holes")</f>
        <v>holes</v>
      </c>
      <c r="N780" s="6" t="str">
        <f>IFERROR(__xludf.DUMMYFUNCTION("""COMPUTED_VALUE"""),"loses")</f>
        <v>loses</v>
      </c>
      <c r="P780" s="6" t="str">
        <f>IFERROR(__xludf.DUMMYFUNCTION("""COMPUTED_VALUE"""),"somewhat")</f>
        <v>somewhat</v>
      </c>
      <c r="Q780" s="6" t="str">
        <f>IFERROR(__xludf.DUMMYFUNCTION("""COMPUTED_VALUE"""),"tolerate")</f>
        <v>tolerate</v>
      </c>
      <c r="S780" s="6" t="str">
        <f>IFERROR(__xludf.DUMMYFUNCTION("""COMPUTED_VALUE"""),"cheap")</f>
        <v>cheap</v>
      </c>
    </row>
    <row r="781">
      <c r="B781" s="6"/>
      <c r="D781" s="6"/>
      <c r="G781" s="6" t="str">
        <f>IFERROR(__xludf.DUMMYFUNCTION("""COMPUTED_VALUE"""),"restrictive")</f>
        <v>restrictive</v>
      </c>
      <c r="H781" s="6" t="str">
        <f>IFERROR(__xludf.DUMMYFUNCTION("""COMPUTED_VALUE"""),"got")</f>
        <v>got</v>
      </c>
      <c r="I781" s="6" t="str">
        <f>IFERROR(__xludf.DUMMYFUNCTION("""COMPUTED_VALUE"""),"conduct")</f>
        <v>conduct</v>
      </c>
      <c r="J781" s="6" t="str">
        <f>IFERROR(__xludf.DUMMYFUNCTION("""COMPUTED_VALUE"""),"uhf")</f>
        <v>uhf</v>
      </c>
      <c r="L781" s="6" t="str">
        <f>IFERROR(__xludf.DUMMYFUNCTION("""COMPUTED_VALUE"""),"loosely")</f>
        <v>loosely</v>
      </c>
      <c r="M781" s="6" t="str">
        <f>IFERROR(__xludf.DUMMYFUNCTION("""COMPUTED_VALUE"""),"jack")</f>
        <v>jack</v>
      </c>
      <c r="N781" s="6" t="str">
        <f>IFERROR(__xludf.DUMMYFUNCTION("""COMPUTED_VALUE"""),"saddle")</f>
        <v>saddle</v>
      </c>
      <c r="P781" s="6" t="str">
        <f>IFERROR(__xludf.DUMMYFUNCTION("""COMPUTED_VALUE"""),"allen")</f>
        <v>allen</v>
      </c>
      <c r="Q781" s="6" t="str">
        <f>IFERROR(__xludf.DUMMYFUNCTION("""COMPUTED_VALUE"""),"baroque")</f>
        <v>baroque</v>
      </c>
      <c r="S781" s="6" t="str">
        <f>IFERROR(__xludf.DUMMYFUNCTION("""COMPUTED_VALUE"""),"wanted")</f>
        <v>wanted</v>
      </c>
    </row>
    <row r="782">
      <c r="B782" s="6"/>
      <c r="D782" s="6"/>
      <c r="G782" s="6" t="str">
        <f>IFERROR(__xludf.DUMMYFUNCTION("""COMPUTED_VALUE"""),"dubious")</f>
        <v>dubious</v>
      </c>
      <c r="H782" s="6" t="str">
        <f>IFERROR(__xludf.DUMMYFUNCTION("""COMPUTED_VALUE"""),"creates")</f>
        <v>creates</v>
      </c>
      <c r="I782" s="6" t="str">
        <f>IFERROR(__xludf.DUMMYFUNCTION("""COMPUTED_VALUE"""),"kiss")</f>
        <v>kiss</v>
      </c>
      <c r="J782" s="6" t="str">
        <f>IFERROR(__xludf.DUMMYFUNCTION("""COMPUTED_VALUE"""),"maneuvers")</f>
        <v>maneuvers</v>
      </c>
      <c r="L782" s="6" t="str">
        <f>IFERROR(__xludf.DUMMYFUNCTION("""COMPUTED_VALUE"""),"rosario")</f>
        <v>rosario</v>
      </c>
      <c r="M782" s="6" t="str">
        <f>IFERROR(__xludf.DUMMYFUNCTION("""COMPUTED_VALUE"""),"leather")</f>
        <v>leather</v>
      </c>
      <c r="N782" s="6" t="str">
        <f>IFERROR(__xludf.DUMMYFUNCTION("""COMPUTED_VALUE"""),"payne")</f>
        <v>payne</v>
      </c>
      <c r="P782" s="6" t="str">
        <f>IFERROR(__xludf.DUMMYFUNCTION("""COMPUTED_VALUE"""),"breathe")</f>
        <v>breathe</v>
      </c>
      <c r="Q782" s="6" t="str">
        <f>IFERROR(__xludf.DUMMYFUNCTION("""COMPUTED_VALUE"""),"breadth")</f>
        <v>breadth</v>
      </c>
      <c r="S782" s="6" t="str">
        <f>IFERROR(__xludf.DUMMYFUNCTION("""COMPUTED_VALUE"""),"vs")</f>
        <v>vs</v>
      </c>
    </row>
    <row r="783">
      <c r="B783" s="6"/>
      <c r="D783" s="6"/>
      <c r="G783" s="6" t="str">
        <f>IFERROR(__xludf.DUMMYFUNCTION("""COMPUTED_VALUE"""),"cheer")</f>
        <v>cheer</v>
      </c>
      <c r="H783" s="6" t="str">
        <f>IFERROR(__xludf.DUMMYFUNCTION("""COMPUTED_VALUE"""),"demonstrating")</f>
        <v>demonstrating</v>
      </c>
      <c r="I783" s="6" t="str">
        <f>IFERROR(__xludf.DUMMYFUNCTION("""COMPUTED_VALUE"""),"alabama")</f>
        <v>alabama</v>
      </c>
      <c r="J783" s="6" t="str">
        <f>IFERROR(__xludf.DUMMYFUNCTION("""COMPUTED_VALUE"""),"twists")</f>
        <v>twists</v>
      </c>
      <c r="L783" s="6" t="str">
        <f>IFERROR(__xludf.DUMMYFUNCTION("""COMPUTED_VALUE"""),"singh")</f>
        <v>singh</v>
      </c>
      <c r="M783" s="6" t="str">
        <f>IFERROR(__xludf.DUMMYFUNCTION("""COMPUTED_VALUE"""),"action")</f>
        <v>action</v>
      </c>
      <c r="N783" s="6" t="str">
        <f>IFERROR(__xludf.DUMMYFUNCTION("""COMPUTED_VALUE"""),"stages")</f>
        <v>stages</v>
      </c>
      <c r="P783" s="6" t="str">
        <f>IFERROR(__xludf.DUMMYFUNCTION("""COMPUTED_VALUE"""),"went")</f>
        <v>went</v>
      </c>
      <c r="Q783" s="6" t="str">
        <f>IFERROR(__xludf.DUMMYFUNCTION("""COMPUTED_VALUE"""),"hardship")</f>
        <v>hardship</v>
      </c>
      <c r="S783" s="6" t="str">
        <f>IFERROR(__xludf.DUMMYFUNCTION("""COMPUTED_VALUE"""),"round")</f>
        <v>round</v>
      </c>
    </row>
    <row r="784">
      <c r="B784" s="6"/>
      <c r="D784" s="6"/>
      <c r="G784" s="6" t="str">
        <f>IFERROR(__xludf.DUMMYFUNCTION("""COMPUTED_VALUE"""),"several")</f>
        <v>several</v>
      </c>
      <c r="H784" s="6" t="str">
        <f>IFERROR(__xludf.DUMMYFUNCTION("""COMPUTED_VALUE"""),"encouraging")</f>
        <v>encouraging</v>
      </c>
      <c r="I784" s="6" t="str">
        <f>IFERROR(__xludf.DUMMYFUNCTION("""COMPUTED_VALUE"""),"blonde")</f>
        <v>blonde</v>
      </c>
      <c r="J784" s="6" t="str">
        <f>IFERROR(__xludf.DUMMYFUNCTION("""COMPUTED_VALUE"""),"committed")</f>
        <v>committed</v>
      </c>
      <c r="L784" s="6" t="str">
        <f>IFERROR(__xludf.DUMMYFUNCTION("""COMPUTED_VALUE"""),"noir")</f>
        <v>noir</v>
      </c>
      <c r="M784" s="6" t="str">
        <f>IFERROR(__xludf.DUMMYFUNCTION("""COMPUTED_VALUE"""),"research")</f>
        <v>research</v>
      </c>
      <c r="N784" s="6" t="str">
        <f>IFERROR(__xludf.DUMMYFUNCTION("""COMPUTED_VALUE"""),"breathe")</f>
        <v>breathe</v>
      </c>
      <c r="P784" s="6" t="str">
        <f>IFERROR(__xludf.DUMMYFUNCTION("""COMPUTED_VALUE"""),"straight")</f>
        <v>straight</v>
      </c>
      <c r="Q784" s="6" t="str">
        <f>IFERROR(__xludf.DUMMYFUNCTION("""COMPUTED_VALUE"""),"poverty")</f>
        <v>poverty</v>
      </c>
      <c r="S784" s="6" t="str">
        <f>IFERROR(__xludf.DUMMYFUNCTION("""COMPUTED_VALUE"""),"japanese")</f>
        <v>japanese</v>
      </c>
    </row>
    <row r="785">
      <c r="B785" s="6"/>
      <c r="D785" s="6"/>
      <c r="G785" s="6" t="str">
        <f>IFERROR(__xludf.DUMMYFUNCTION("""COMPUTED_VALUE"""),"secretary")</f>
        <v>secretary</v>
      </c>
      <c r="H785" s="6" t="str">
        <f>IFERROR(__xludf.DUMMYFUNCTION("""COMPUTED_VALUE"""),"note")</f>
        <v>note</v>
      </c>
      <c r="I785" s="6" t="str">
        <f>IFERROR(__xludf.DUMMYFUNCTION("""COMPUTED_VALUE"""),"producer")</f>
        <v>producer</v>
      </c>
      <c r="J785" s="6" t="str">
        <f>IFERROR(__xludf.DUMMYFUNCTION("""COMPUTED_VALUE"""),"commanding")</f>
        <v>commanding</v>
      </c>
      <c r="L785" s="6" t="str">
        <f>IFERROR(__xludf.DUMMYFUNCTION("""COMPUTED_VALUE"""),"abyss")</f>
        <v>abyss</v>
      </c>
      <c r="M785" s="6" t="str">
        <f>IFERROR(__xludf.DUMMYFUNCTION("""COMPUTED_VALUE"""),"normal")</f>
        <v>normal</v>
      </c>
      <c r="N785" s="6" t="str">
        <f>IFERROR(__xludf.DUMMYFUNCTION("""COMPUTED_VALUE"""),"deeply")</f>
        <v>deeply</v>
      </c>
      <c r="P785" s="6" t="str">
        <f>IFERROR(__xludf.DUMMYFUNCTION("""COMPUTED_VALUE"""),"light")</f>
        <v>light</v>
      </c>
      <c r="Q785" s="6" t="str">
        <f>IFERROR(__xludf.DUMMYFUNCTION("""COMPUTED_VALUE"""),"protagonists")</f>
        <v>protagonists</v>
      </c>
      <c r="S785" s="6" t="str">
        <f>IFERROR(__xludf.DUMMYFUNCTION("""COMPUTED_VALUE"""),"saturday")</f>
        <v>saturday</v>
      </c>
    </row>
    <row r="786">
      <c r="B786" s="6"/>
      <c r="D786" s="6"/>
      <c r="G786" s="6" t="str">
        <f>IFERROR(__xludf.DUMMYFUNCTION("""COMPUTED_VALUE"""),"boat")</f>
        <v>boat</v>
      </c>
      <c r="H786" s="6" t="str">
        <f>IFERROR(__xludf.DUMMYFUNCTION("""COMPUTED_VALUE"""),"friend")</f>
        <v>friend</v>
      </c>
      <c r="I786" s="6" t="str">
        <f>IFERROR(__xludf.DUMMYFUNCTION("""COMPUTED_VALUE"""),"impact")</f>
        <v>impact</v>
      </c>
      <c r="J786" s="6" t="str">
        <f>IFERROR(__xludf.DUMMYFUNCTION("""COMPUTED_VALUE"""),"comprehension")</f>
        <v>comprehension</v>
      </c>
      <c r="L786" s="6" t="str">
        <f>IFERROR(__xludf.DUMMYFUNCTION("""COMPUTED_VALUE"""),"depths")</f>
        <v>depths</v>
      </c>
      <c r="M786" s="6" t="str">
        <f>IFERROR(__xludf.DUMMYFUNCTION("""COMPUTED_VALUE"""),"production")</f>
        <v>production</v>
      </c>
      <c r="N786" s="6" t="str">
        <f>IFERROR(__xludf.DUMMYFUNCTION("""COMPUTED_VALUE"""),"mature")</f>
        <v>mature</v>
      </c>
      <c r="P786" s="6" t="str">
        <f>IFERROR(__xludf.DUMMYFUNCTION("""COMPUTED_VALUE"""),"li")</f>
        <v>li</v>
      </c>
      <c r="Q786" s="6" t="str">
        <f>IFERROR(__xludf.DUMMYFUNCTION("""COMPUTED_VALUE"""),"shoot")</f>
        <v>shoot</v>
      </c>
      <c r="S786" s="6" t="str">
        <f>IFERROR(__xludf.DUMMYFUNCTION("""COMPUTED_VALUE"""),"begins")</f>
        <v>begins</v>
      </c>
    </row>
    <row r="787">
      <c r="B787" s="6"/>
      <c r="D787" s="6"/>
      <c r="G787" s="6" t="str">
        <f>IFERROR(__xludf.DUMMYFUNCTION("""COMPUTED_VALUE"""),"13th")</f>
        <v>13th</v>
      </c>
      <c r="H787" s="6" t="str">
        <f>IFERROR(__xludf.DUMMYFUNCTION("""COMPUTED_VALUE"""),"dickens")</f>
        <v>dickens</v>
      </c>
      <c r="I787" s="6" t="str">
        <f>IFERROR(__xludf.DUMMYFUNCTION("""COMPUTED_VALUE"""),"tales")</f>
        <v>tales</v>
      </c>
      <c r="J787" s="6" t="str">
        <f>IFERROR(__xludf.DUMMYFUNCTION("""COMPUTED_VALUE"""),"dazzling")</f>
        <v>dazzling</v>
      </c>
      <c r="L787" s="6" t="str">
        <f>IFERROR(__xludf.DUMMYFUNCTION("""COMPUTED_VALUE"""),"relying")</f>
        <v>relying</v>
      </c>
      <c r="M787" s="6" t="str">
        <f>IFERROR(__xludf.DUMMYFUNCTION("""COMPUTED_VALUE"""),"titles")</f>
        <v>titles</v>
      </c>
      <c r="N787" s="6" t="str">
        <f>IFERROR(__xludf.DUMMYFUNCTION("""COMPUTED_VALUE"""),"anticipated")</f>
        <v>anticipated</v>
      </c>
      <c r="P787" s="6" t="str">
        <f>IFERROR(__xludf.DUMMYFUNCTION("""COMPUTED_VALUE"""),"moore")</f>
        <v>moore</v>
      </c>
      <c r="Q787" s="6" t="str">
        <f>IFERROR(__xludf.DUMMYFUNCTION("""COMPUTED_VALUE"""),"remarkably")</f>
        <v>remarkably</v>
      </c>
      <c r="S787" s="6">
        <f>IFERROR(__xludf.DUMMYFUNCTION("""COMPUTED_VALUE"""),140.0)</f>
        <v>140</v>
      </c>
    </row>
    <row r="788">
      <c r="B788" s="6"/>
      <c r="D788" s="6"/>
      <c r="G788" s="6" t="str">
        <f>IFERROR(__xludf.DUMMYFUNCTION("""COMPUTED_VALUE"""),"incarnation")</f>
        <v>incarnation</v>
      </c>
      <c r="H788" s="6" t="str">
        <f>IFERROR(__xludf.DUMMYFUNCTION("""COMPUTED_VALUE"""),"expresses")</f>
        <v>expresses</v>
      </c>
      <c r="I788" s="6" t="str">
        <f>IFERROR(__xludf.DUMMYFUNCTION("""COMPUTED_VALUE"""),"deaths")</f>
        <v>deaths</v>
      </c>
      <c r="J788" s="6" t="str">
        <f>IFERROR(__xludf.DUMMYFUNCTION("""COMPUTED_VALUE"""),"fabricated")</f>
        <v>fabricated</v>
      </c>
      <c r="L788" s="6" t="str">
        <f>IFERROR(__xludf.DUMMYFUNCTION("""COMPUTED_VALUE"""),"reassuring")</f>
        <v>reassuring</v>
      </c>
      <c r="M788" s="6" t="str">
        <f>IFERROR(__xludf.DUMMYFUNCTION("""COMPUTED_VALUE"""),"steady")</f>
        <v>steady</v>
      </c>
      <c r="N788" s="6" t="str">
        <f>IFERROR(__xludf.DUMMYFUNCTION("""COMPUTED_VALUE"""),"presence")</f>
        <v>presence</v>
      </c>
      <c r="P788" s="6" t="str">
        <f>IFERROR(__xludf.DUMMYFUNCTION("""COMPUTED_VALUE"""),"starting")</f>
        <v>starting</v>
      </c>
      <c r="Q788" s="6" t="str">
        <f>IFERROR(__xludf.DUMMYFUNCTION("""COMPUTED_VALUE"""),"insistent")</f>
        <v>insistent</v>
      </c>
      <c r="S788" s="6" t="str">
        <f>IFERROR(__xludf.DUMMYFUNCTION("""COMPUTED_VALUE"""),"finds")</f>
        <v>finds</v>
      </c>
    </row>
    <row r="789">
      <c r="B789" s="6"/>
      <c r="D789" s="6"/>
      <c r="G789" s="6" t="str">
        <f>IFERROR(__xludf.DUMMYFUNCTION("""COMPUTED_VALUE"""),"inevitable")</f>
        <v>inevitable</v>
      </c>
      <c r="H789" s="6" t="str">
        <f>IFERROR(__xludf.DUMMYFUNCTION("""COMPUTED_VALUE"""),"evergreen")</f>
        <v>evergreen</v>
      </c>
      <c r="I789" s="6" t="str">
        <f>IFERROR(__xludf.DUMMYFUNCTION("""COMPUTED_VALUE"""),"cannon")</f>
        <v>cannon</v>
      </c>
      <c r="J789" s="6" t="str">
        <f>IFERROR(__xludf.DUMMYFUNCTION("""COMPUTED_VALUE"""),"dismissed")</f>
        <v>dismissed</v>
      </c>
      <c r="L789" s="6" t="str">
        <f>IFERROR(__xludf.DUMMYFUNCTION("""COMPUTED_VALUE"""),"allen")</f>
        <v>allen</v>
      </c>
      <c r="M789" s="6" t="str">
        <f>IFERROR(__xludf.DUMMYFUNCTION("""COMPUTED_VALUE"""),"comparison")</f>
        <v>comparison</v>
      </c>
      <c r="N789" s="6" t="str">
        <f>IFERROR(__xludf.DUMMYFUNCTION("""COMPUTED_VALUE"""),"essence")</f>
        <v>essence</v>
      </c>
      <c r="P789" s="6" t="str">
        <f>IFERROR(__xludf.DUMMYFUNCTION("""COMPUTED_VALUE"""),"rank")</f>
        <v>rank</v>
      </c>
      <c r="Q789" s="6" t="str">
        <f>IFERROR(__xludf.DUMMYFUNCTION("""COMPUTED_VALUE"""),"survival")</f>
        <v>survival</v>
      </c>
      <c r="S789" s="6" t="str">
        <f>IFERROR(__xludf.DUMMYFUNCTION("""COMPUTED_VALUE"""),"nicholas")</f>
        <v>nicholas</v>
      </c>
    </row>
    <row r="790">
      <c r="B790" s="6"/>
      <c r="D790" s="6"/>
      <c r="G790" s="6" t="str">
        <f>IFERROR(__xludf.DUMMYFUNCTION("""COMPUTED_VALUE"""),"distinguishing")</f>
        <v>distinguishing</v>
      </c>
      <c r="H790" s="6" t="str">
        <f>IFERROR(__xludf.DUMMYFUNCTION("""COMPUTED_VALUE"""),"inactive")</f>
        <v>inactive</v>
      </c>
      <c r="I790" s="6" t="str">
        <f>IFERROR(__xludf.DUMMYFUNCTION("""COMPUTED_VALUE"""),"refugees")</f>
        <v>refugees</v>
      </c>
      <c r="J790" s="6" t="str">
        <f>IFERROR(__xludf.DUMMYFUNCTION("""COMPUTED_VALUE"""),"forced")</f>
        <v>forced</v>
      </c>
      <c r="L790" s="6" t="str">
        <f>IFERROR(__xludf.DUMMYFUNCTION("""COMPUTED_VALUE"""),"socially")</f>
        <v>socially</v>
      </c>
      <c r="M790" s="6" t="str">
        <f>IFERROR(__xludf.DUMMYFUNCTION("""COMPUTED_VALUE"""),"effective")</f>
        <v>effective</v>
      </c>
      <c r="N790" s="6" t="str">
        <f>IFERROR(__xludf.DUMMYFUNCTION("""COMPUTED_VALUE"""),"spontaneous")</f>
        <v>spontaneous</v>
      </c>
      <c r="P790" s="6" t="str">
        <f>IFERROR(__xludf.DUMMYFUNCTION("""COMPUTED_VALUE"""),"belongs")</f>
        <v>belongs</v>
      </c>
      <c r="Q790" s="6" t="str">
        <f>IFERROR(__xludf.DUMMYFUNCTION("""COMPUTED_VALUE"""),"coherent")</f>
        <v>coherent</v>
      </c>
      <c r="S790" s="6" t="str">
        <f>IFERROR(__xludf.DUMMYFUNCTION("""COMPUTED_VALUE"""),"pack")</f>
        <v>pack</v>
      </c>
    </row>
    <row r="791">
      <c r="B791" s="6"/>
      <c r="D791" s="6"/>
      <c r="G791" s="6" t="str">
        <f>IFERROR(__xludf.DUMMYFUNCTION("""COMPUTED_VALUE"""),"wallace")</f>
        <v>wallace</v>
      </c>
      <c r="H791" s="6" t="str">
        <f>IFERROR(__xludf.DUMMYFUNCTION("""COMPUTED_VALUE"""),"markedly")</f>
        <v>markedly</v>
      </c>
      <c r="I791" s="6" t="str">
        <f>IFERROR(__xludf.DUMMYFUNCTION("""COMPUTED_VALUE"""),"alien")</f>
        <v>alien</v>
      </c>
      <c r="J791" s="6" t="str">
        <f>IFERROR(__xludf.DUMMYFUNCTION("""COMPUTED_VALUE"""),"schmidt")</f>
        <v>schmidt</v>
      </c>
      <c r="L791" s="6" t="str">
        <f>IFERROR(__xludf.DUMMYFUNCTION("""COMPUTED_VALUE"""),"toss")</f>
        <v>toss</v>
      </c>
      <c r="M791" s="6" t="str">
        <f>IFERROR(__xludf.DUMMYFUNCTION("""COMPUTED_VALUE"""),"beach")</f>
        <v>beach</v>
      </c>
      <c r="N791" s="6" t="str">
        <f>IFERROR(__xludf.DUMMYFUNCTION("""COMPUTED_VALUE"""),"susan")</f>
        <v>susan</v>
      </c>
      <c r="P791" s="6" t="str">
        <f>IFERROR(__xludf.DUMMYFUNCTION("""COMPUTED_VALUE"""),"jacques")</f>
        <v>jacques</v>
      </c>
      <c r="Q791" s="6" t="str">
        <f>IFERROR(__xludf.DUMMYFUNCTION("""COMPUTED_VALUE"""),"victories")</f>
        <v>victories</v>
      </c>
      <c r="S791" s="6" t="str">
        <f>IFERROR(__xludf.DUMMYFUNCTION("""COMPUTED_VALUE"""),"dogs")</f>
        <v>dogs</v>
      </c>
    </row>
    <row r="792">
      <c r="B792" s="6"/>
      <c r="D792" s="6"/>
      <c r="G792" s="6" t="str">
        <f>IFERROR(__xludf.DUMMYFUNCTION("""COMPUTED_VALUE"""),"transparency")</f>
        <v>transparency</v>
      </c>
      <c r="H792" s="6" t="str">
        <f>IFERROR(__xludf.DUMMYFUNCTION("""COMPUTED_VALUE"""),"memorable")</f>
        <v>memorable</v>
      </c>
      <c r="I792" s="6" t="str">
        <f>IFERROR(__xludf.DUMMYFUNCTION("""COMPUTED_VALUE"""),"careful")</f>
        <v>careful</v>
      </c>
      <c r="J792" s="6" t="str">
        <f>IFERROR(__xludf.DUMMYFUNCTION("""COMPUTED_VALUE"""),"payne")</f>
        <v>payne</v>
      </c>
      <c r="L792" s="6" t="str">
        <f>IFERROR(__xludf.DUMMYFUNCTION("""COMPUTED_VALUE"""),"sequence")</f>
        <v>sequence</v>
      </c>
      <c r="M792" s="6" t="str">
        <f>IFERROR(__xludf.DUMMYFUNCTION("""COMPUTED_VALUE"""),"stage")</f>
        <v>stage</v>
      </c>
      <c r="N792" s="6" t="str">
        <f>IFERROR(__xludf.DUMMYFUNCTION("""COMPUTED_VALUE"""),"timing")</f>
        <v>timing</v>
      </c>
      <c r="P792" s="6" t="str">
        <f>IFERROR(__xludf.DUMMYFUNCTION("""COMPUTED_VALUE"""),"pitch")</f>
        <v>pitch</v>
      </c>
      <c r="Q792" s="6" t="str">
        <f>IFERROR(__xludf.DUMMYFUNCTION("""COMPUTED_VALUE"""),"bizarre")</f>
        <v>bizarre</v>
      </c>
      <c r="S792" s="6" t="str">
        <f>IFERROR(__xludf.DUMMYFUNCTION("""COMPUTED_VALUE"""),"couple")</f>
        <v>couple</v>
      </c>
    </row>
    <row r="793">
      <c r="B793" s="6"/>
      <c r="D793" s="6"/>
      <c r="G793" s="6" t="str">
        <f>IFERROR(__xludf.DUMMYFUNCTION("""COMPUTED_VALUE"""),"hampered")</f>
        <v>hampered</v>
      </c>
      <c r="H793" s="6" t="str">
        <f>IFERROR(__xludf.DUMMYFUNCTION("""COMPUTED_VALUE"""),"affected")</f>
        <v>affected</v>
      </c>
      <c r="I793" s="6" t="str">
        <f>IFERROR(__xludf.DUMMYFUNCTION("""COMPUTED_VALUE"""),"varying")</f>
        <v>varying</v>
      </c>
      <c r="J793" s="6" t="str">
        <f>IFERROR(__xludf.DUMMYFUNCTION("""COMPUTED_VALUE"""),"uneasy")</f>
        <v>uneasy</v>
      </c>
      <c r="L793" s="6" t="str">
        <f>IFERROR(__xludf.DUMMYFUNCTION("""COMPUTED_VALUE"""),"aims")</f>
        <v>aims</v>
      </c>
      <c r="M793" s="6" t="str">
        <f>IFERROR(__xludf.DUMMYFUNCTION("""COMPUTED_VALUE"""),"pull")</f>
        <v>pull</v>
      </c>
      <c r="N793" s="6" t="str">
        <f>IFERROR(__xludf.DUMMYFUNCTION("""COMPUTED_VALUE"""),"father")</f>
        <v>father</v>
      </c>
      <c r="P793" s="6" t="str">
        <f>IFERROR(__xludf.DUMMYFUNCTION("""COMPUTED_VALUE"""),"bonds")</f>
        <v>bonds</v>
      </c>
      <c r="Q793" s="6" t="str">
        <f>IFERROR(__xludf.DUMMYFUNCTION("""COMPUTED_VALUE"""),"dynamics")</f>
        <v>dynamics</v>
      </c>
      <c r="S793" s="6" t="str">
        <f>IFERROR(__xludf.DUMMYFUNCTION("""COMPUTED_VALUE"""),"stuck")</f>
        <v>stuck</v>
      </c>
    </row>
    <row r="794">
      <c r="B794" s="6"/>
      <c r="D794" s="6"/>
      <c r="G794" s="6" t="str">
        <f>IFERROR(__xludf.DUMMYFUNCTION("""COMPUTED_VALUE"""),"notion")</f>
        <v>notion</v>
      </c>
      <c r="H794" s="6" t="str">
        <f>IFERROR(__xludf.DUMMYFUNCTION("""COMPUTED_VALUE"""),"hurley")</f>
        <v>hurley</v>
      </c>
      <c r="I794" s="6" t="str">
        <f>IFERROR(__xludf.DUMMYFUNCTION("""COMPUTED_VALUE"""),"carries")</f>
        <v>carries</v>
      </c>
      <c r="J794" s="6" t="str">
        <f>IFERROR(__xludf.DUMMYFUNCTION("""COMPUTED_VALUE"""),"indifference")</f>
        <v>indifference</v>
      </c>
      <c r="L794" s="6" t="str">
        <f>IFERROR(__xludf.DUMMYFUNCTION("""COMPUTED_VALUE"""),"believing")</f>
        <v>believing</v>
      </c>
      <c r="M794" s="6" t="str">
        <f>IFERROR(__xludf.DUMMYFUNCTION("""COMPUTED_VALUE"""),"answer")</f>
        <v>answer</v>
      </c>
      <c r="N794" s="6" t="str">
        <f>IFERROR(__xludf.DUMMYFUNCTION("""COMPUTED_VALUE"""),"values")</f>
        <v>values</v>
      </c>
      <c r="P794" s="6" t="str">
        <f>IFERROR(__xludf.DUMMYFUNCTION("""COMPUTED_VALUE"""),"barely")</f>
        <v>barely</v>
      </c>
      <c r="Q794" s="6" t="str">
        <f>IFERROR(__xludf.DUMMYFUNCTION("""COMPUTED_VALUE"""),"class")</f>
        <v>class</v>
      </c>
      <c r="S794" s="6" t="str">
        <f>IFERROR(__xludf.DUMMYFUNCTION("""COMPUTED_VALUE"""),"variety")</f>
        <v>variety</v>
      </c>
    </row>
    <row r="795">
      <c r="B795" s="6"/>
      <c r="D795" s="6"/>
      <c r="G795" s="6" t="str">
        <f>IFERROR(__xludf.DUMMYFUNCTION("""COMPUTED_VALUE"""),"animals")</f>
        <v>animals</v>
      </c>
      <c r="H795" s="6" t="str">
        <f>IFERROR(__xludf.DUMMYFUNCTION("""COMPUTED_VALUE"""),"carol")</f>
        <v>carol</v>
      </c>
      <c r="I795" s="6" t="str">
        <f>IFERROR(__xludf.DUMMYFUNCTION("""COMPUTED_VALUE"""),"oliver")</f>
        <v>oliver</v>
      </c>
      <c r="J795" s="6" t="str">
        <f>IFERROR(__xludf.DUMMYFUNCTION("""COMPUTED_VALUE"""),"revolution")</f>
        <v>revolution</v>
      </c>
      <c r="L795" s="6" t="str">
        <f>IFERROR(__xludf.DUMMYFUNCTION("""COMPUTED_VALUE"""),"axel")</f>
        <v>axel</v>
      </c>
      <c r="M795" s="6" t="str">
        <f>IFERROR(__xludf.DUMMYFUNCTION("""COMPUTED_VALUE"""),"fool")</f>
        <v>fool</v>
      </c>
      <c r="N795" s="6" t="str">
        <f>IFERROR(__xludf.DUMMYFUNCTION("""COMPUTED_VALUE"""),"companion")</f>
        <v>companion</v>
      </c>
      <c r="P795" s="6" t="str">
        <f>IFERROR(__xludf.DUMMYFUNCTION("""COMPUTED_VALUE"""),"governments")</f>
        <v>governments</v>
      </c>
      <c r="Q795" s="6" t="str">
        <f>IFERROR(__xludf.DUMMYFUNCTION("""COMPUTED_VALUE"""),"cheap")</f>
        <v>cheap</v>
      </c>
      <c r="S795" s="6" t="str">
        <f>IFERROR(__xludf.DUMMYFUNCTION("""COMPUTED_VALUE"""),"host")</f>
        <v>host</v>
      </c>
    </row>
    <row r="796">
      <c r="B796" s="6"/>
      <c r="D796" s="6"/>
      <c r="G796" s="6" t="str">
        <f>IFERROR(__xludf.DUMMYFUNCTION("""COMPUTED_VALUE"""),"proficiency")</f>
        <v>proficiency</v>
      </c>
      <c r="H796" s="6" t="str">
        <f>IFERROR(__xludf.DUMMYFUNCTION("""COMPUTED_VALUE"""),"reassuring")</f>
        <v>reassuring</v>
      </c>
      <c r="I796" s="6" t="str">
        <f>IFERROR(__xludf.DUMMYFUNCTION("""COMPUTED_VALUE"""),"lens")</f>
        <v>lens</v>
      </c>
      <c r="J796" s="6" t="str">
        <f>IFERROR(__xludf.DUMMYFUNCTION("""COMPUTED_VALUE"""),"precisely")</f>
        <v>precisely</v>
      </c>
      <c r="L796" s="6" t="str">
        <f>IFERROR(__xludf.DUMMYFUNCTION("""COMPUTED_VALUE"""),"omitted")</f>
        <v>omitted</v>
      </c>
      <c r="M796" s="6" t="str">
        <f>IFERROR(__xludf.DUMMYFUNCTION("""COMPUTED_VALUE"""),"washington")</f>
        <v>washington</v>
      </c>
      <c r="N796" s="6" t="str">
        <f>IFERROR(__xludf.DUMMYFUNCTION("""COMPUTED_VALUE"""),"inspire")</f>
        <v>inspire</v>
      </c>
      <c r="P796" s="6" t="str">
        <f>IFERROR(__xludf.DUMMYFUNCTION("""COMPUTED_VALUE"""),"reconstruction")</f>
        <v>reconstruction</v>
      </c>
      <c r="Q796" s="6" t="str">
        <f>IFERROR(__xludf.DUMMYFUNCTION("""COMPUTED_VALUE"""),"saturday")</f>
        <v>saturday</v>
      </c>
      <c r="S796" s="6" t="str">
        <f>IFERROR(__xludf.DUMMYFUNCTION("""COMPUTED_VALUE"""),"marked")</f>
        <v>marked</v>
      </c>
    </row>
    <row r="797">
      <c r="B797" s="6"/>
      <c r="D797" s="6"/>
      <c r="G797" s="6" t="str">
        <f>IFERROR(__xludf.DUMMYFUNCTION("""COMPUTED_VALUE"""),"crucial")</f>
        <v>crucial</v>
      </c>
      <c r="H797" s="6" t="str">
        <f>IFERROR(__xludf.DUMMYFUNCTION("""COMPUTED_VALUE"""),"intricate")</f>
        <v>intricate</v>
      </c>
      <c r="I797" s="6" t="str">
        <f>IFERROR(__xludf.DUMMYFUNCTION("""COMPUTED_VALUE"""),"exposition")</f>
        <v>exposition</v>
      </c>
      <c r="J797" s="6" t="str">
        <f>IFERROR(__xludf.DUMMYFUNCTION("""COMPUTED_VALUE"""),"gear")</f>
        <v>gear</v>
      </c>
      <c r="L797" s="6" t="str">
        <f>IFERROR(__xludf.DUMMYFUNCTION("""COMPUTED_VALUE"""),"distinguish")</f>
        <v>distinguish</v>
      </c>
      <c r="M797" s="6" t="str">
        <f>IFERROR(__xludf.DUMMYFUNCTION("""COMPUTED_VALUE"""),"convention")</f>
        <v>convention</v>
      </c>
      <c r="N797" s="6" t="str">
        <f>IFERROR(__xludf.DUMMYFUNCTION("""COMPUTED_VALUE"""),"entry")</f>
        <v>entry</v>
      </c>
      <c r="P797" s="6" t="str">
        <f>IFERROR(__xludf.DUMMYFUNCTION("""COMPUTED_VALUE"""),"fight")</f>
        <v>fight</v>
      </c>
      <c r="Q797" s="6" t="str">
        <f>IFERROR(__xludf.DUMMYFUNCTION("""COMPUTED_VALUE"""),"nicholas")</f>
        <v>nicholas</v>
      </c>
      <c r="S797" s="6" t="str">
        <f>IFERROR(__xludf.DUMMYFUNCTION("""COMPUTED_VALUE"""),"liberation")</f>
        <v>liberation</v>
      </c>
    </row>
    <row r="798">
      <c r="B798" s="6"/>
      <c r="D798" s="6"/>
      <c r="G798" s="6" t="str">
        <f>IFERROR(__xludf.DUMMYFUNCTION("""COMPUTED_VALUE"""),"searing")</f>
        <v>searing</v>
      </c>
      <c r="H798" s="6" t="str">
        <f>IFERROR(__xludf.DUMMYFUNCTION("""COMPUTED_VALUE"""),"crimes")</f>
        <v>crimes</v>
      </c>
      <c r="I798" s="6" t="str">
        <f>IFERROR(__xludf.DUMMYFUNCTION("""COMPUTED_VALUE"""),"losing")</f>
        <v>losing</v>
      </c>
      <c r="J798" s="6" t="str">
        <f>IFERROR(__xludf.DUMMYFUNCTION("""COMPUTED_VALUE"""),"loneliness")</f>
        <v>loneliness</v>
      </c>
      <c r="L798" s="6" t="str">
        <f>IFERROR(__xludf.DUMMYFUNCTION("""COMPUTED_VALUE"""),"monumental")</f>
        <v>monumental</v>
      </c>
      <c r="M798" s="6" t="str">
        <f>IFERROR(__xludf.DUMMYFUNCTION("""COMPUTED_VALUE"""),"sets")</f>
        <v>sets</v>
      </c>
      <c r="N798" s="6" t="str">
        <f>IFERROR(__xludf.DUMMYFUNCTION("""COMPUTED_VALUE"""),"elephant")</f>
        <v>elephant</v>
      </c>
      <c r="P798" s="6" t="str">
        <f>IFERROR(__xludf.DUMMYFUNCTION("""COMPUTED_VALUE"""),"god")</f>
        <v>god</v>
      </c>
      <c r="Q798" s="6" t="str">
        <f>IFERROR(__xludf.DUMMYFUNCTION("""COMPUTED_VALUE"""),"optimistic")</f>
        <v>optimistic</v>
      </c>
      <c r="S798" s="6" t="str">
        <f>IFERROR(__xludf.DUMMYFUNCTION("""COMPUTED_VALUE"""),"selection")</f>
        <v>selection</v>
      </c>
    </row>
    <row r="799">
      <c r="B799" s="6"/>
      <c r="D799" s="6"/>
      <c r="G799" s="6" t="str">
        <f>IFERROR(__xludf.DUMMYFUNCTION("""COMPUTED_VALUE"""),"lifetime")</f>
        <v>lifetime</v>
      </c>
      <c r="H799" s="6" t="str">
        <f>IFERROR(__xludf.DUMMYFUNCTION("""COMPUTED_VALUE"""),"20th")</f>
        <v>20th</v>
      </c>
      <c r="I799" s="6" t="str">
        <f>IFERROR(__xludf.DUMMYFUNCTION("""COMPUTED_VALUE"""),"chemistry")</f>
        <v>chemistry</v>
      </c>
      <c r="J799" s="6" t="str">
        <f>IFERROR(__xludf.DUMMYFUNCTION("""COMPUTED_VALUE"""),"notwithstanding")</f>
        <v>notwithstanding</v>
      </c>
      <c r="L799" s="6" t="str">
        <f>IFERROR(__xludf.DUMMYFUNCTION("""COMPUTED_VALUE"""),"suggests")</f>
        <v>suggests</v>
      </c>
      <c r="M799" s="6" t="str">
        <f>IFERROR(__xludf.DUMMYFUNCTION("""COMPUTED_VALUE"""),"onto")</f>
        <v>onto</v>
      </c>
      <c r="N799" s="6" t="str">
        <f>IFERROR(__xludf.DUMMYFUNCTION("""COMPUTED_VALUE"""),"exposure")</f>
        <v>exposure</v>
      </c>
      <c r="P799" s="6" t="str">
        <f>IFERROR(__xludf.DUMMYFUNCTION("""COMPUTED_VALUE"""),"memorial")</f>
        <v>memorial</v>
      </c>
      <c r="Q799" s="6" t="str">
        <f>IFERROR(__xludf.DUMMYFUNCTION("""COMPUTED_VALUE"""),"finds")</f>
        <v>finds</v>
      </c>
      <c r="S799" s="6" t="str">
        <f>IFERROR(__xludf.DUMMYFUNCTION("""COMPUTED_VALUE"""),"impression")</f>
        <v>impression</v>
      </c>
    </row>
    <row r="800">
      <c r="B800" s="6"/>
      <c r="D800" s="6"/>
      <c r="G800" s="6" t="str">
        <f>IFERROR(__xludf.DUMMYFUNCTION("""COMPUTED_VALUE"""),"fearless")</f>
        <v>fearless</v>
      </c>
      <c r="H800" s="6" t="str">
        <f>IFERROR(__xludf.DUMMYFUNCTION("""COMPUTED_VALUE"""),"france")</f>
        <v>france</v>
      </c>
      <c r="I800" s="6" t="str">
        <f>IFERROR(__xludf.DUMMYFUNCTION("""COMPUTED_VALUE"""),"gibson")</f>
        <v>gibson</v>
      </c>
      <c r="J800" s="6" t="str">
        <f>IFERROR(__xludf.DUMMYFUNCTION("""COMPUTED_VALUE"""),"inspirational")</f>
        <v>inspirational</v>
      </c>
      <c r="L800" s="6" t="str">
        <f>IFERROR(__xludf.DUMMYFUNCTION("""COMPUTED_VALUE"""),"ventures")</f>
        <v>ventures</v>
      </c>
      <c r="M800" s="6" t="str">
        <f>IFERROR(__xludf.DUMMYFUNCTION("""COMPUTED_VALUE"""),"measure")</f>
        <v>measure</v>
      </c>
      <c r="N800" s="6" t="str">
        <f>IFERROR(__xludf.DUMMYFUNCTION("""COMPUTED_VALUE"""),"shallow")</f>
        <v>shallow</v>
      </c>
      <c r="P800" s="6" t="str">
        <f>IFERROR(__xludf.DUMMYFUNCTION("""COMPUTED_VALUE"""),"episode")</f>
        <v>episode</v>
      </c>
      <c r="Q800" s="6" t="str">
        <f>IFERROR(__xludf.DUMMYFUNCTION("""COMPUTED_VALUE"""),"smarter")</f>
        <v>smarter</v>
      </c>
      <c r="S800" s="6" t="str">
        <f>IFERROR(__xludf.DUMMYFUNCTION("""COMPUTED_VALUE"""),"stand")</f>
        <v>stand</v>
      </c>
    </row>
    <row r="801">
      <c r="B801" s="6"/>
      <c r="D801" s="6"/>
      <c r="G801" s="6" t="str">
        <f>IFERROR(__xludf.DUMMYFUNCTION("""COMPUTED_VALUE"""),"niche")</f>
        <v>niche</v>
      </c>
      <c r="H801" s="6" t="str">
        <f>IFERROR(__xludf.DUMMYFUNCTION("""COMPUTED_VALUE"""),"destined")</f>
        <v>destined</v>
      </c>
      <c r="I801" s="6" t="str">
        <f>IFERROR(__xludf.DUMMYFUNCTION("""COMPUTED_VALUE"""),"control")</f>
        <v>control</v>
      </c>
      <c r="J801" s="6" t="str">
        <f>IFERROR(__xludf.DUMMYFUNCTION("""COMPUTED_VALUE"""),"pat")</f>
        <v>pat</v>
      </c>
      <c r="L801" s="6" t="str">
        <f>IFERROR(__xludf.DUMMYFUNCTION("""COMPUTED_VALUE"""),"players")</f>
        <v>players</v>
      </c>
      <c r="M801" s="6" t="str">
        <f>IFERROR(__xludf.DUMMYFUNCTION("""COMPUTED_VALUE"""),"performances")</f>
        <v>performances</v>
      </c>
      <c r="N801" s="6" t="str">
        <f>IFERROR(__xludf.DUMMYFUNCTION("""COMPUTED_VALUE"""),"excitement")</f>
        <v>excitement</v>
      </c>
      <c r="P801" s="6" t="str">
        <f>IFERROR(__xludf.DUMMYFUNCTION("""COMPUTED_VALUE"""),"artificial")</f>
        <v>artificial</v>
      </c>
      <c r="Q801" s="6" t="str">
        <f>IFERROR(__xludf.DUMMYFUNCTION("""COMPUTED_VALUE"""),"pack")</f>
        <v>pack</v>
      </c>
      <c r="S801" s="6" t="str">
        <f>IFERROR(__xludf.DUMMYFUNCTION("""COMPUTED_VALUE"""),"childhood")</f>
        <v>childhood</v>
      </c>
    </row>
    <row r="802">
      <c r="B802" s="6"/>
      <c r="D802" s="6"/>
      <c r="G802" s="6" t="str">
        <f>IFERROR(__xludf.DUMMYFUNCTION("""COMPUTED_VALUE"""),"beaten")</f>
        <v>beaten</v>
      </c>
      <c r="H802" s="6" t="str">
        <f>IFERROR(__xludf.DUMMYFUNCTION("""COMPUTED_VALUE"""),"griffith")</f>
        <v>griffith</v>
      </c>
      <c r="I802" s="6" t="str">
        <f>IFERROR(__xludf.DUMMYFUNCTION("""COMPUTED_VALUE"""),"wrestling")</f>
        <v>wrestling</v>
      </c>
      <c r="J802" s="6" t="str">
        <f>IFERROR(__xludf.DUMMYFUNCTION("""COMPUTED_VALUE"""),"jerking")</f>
        <v>jerking</v>
      </c>
      <c r="L802" s="6" t="str">
        <f>IFERROR(__xludf.DUMMYFUNCTION("""COMPUTED_VALUE"""),"purposes")</f>
        <v>purposes</v>
      </c>
      <c r="M802" s="6" t="str">
        <f>IFERROR(__xludf.DUMMYFUNCTION("""COMPUTED_VALUE"""),"cooper")</f>
        <v>cooper</v>
      </c>
      <c r="N802" s="6" t="str">
        <f>IFERROR(__xludf.DUMMYFUNCTION("""COMPUTED_VALUE"""),"handsome")</f>
        <v>handsome</v>
      </c>
      <c r="P802" s="6" t="str">
        <f>IFERROR(__xludf.DUMMYFUNCTION("""COMPUTED_VALUE"""),"pair")</f>
        <v>pair</v>
      </c>
      <c r="Q802" s="6" t="str">
        <f>IFERROR(__xludf.DUMMYFUNCTION("""COMPUTED_VALUE"""),"couple")</f>
        <v>couple</v>
      </c>
      <c r="S802" s="6" t="str">
        <f>IFERROR(__xludf.DUMMYFUNCTION("""COMPUTED_VALUE"""),"perfectly")</f>
        <v>perfectly</v>
      </c>
    </row>
    <row r="803">
      <c r="B803" s="6"/>
      <c r="D803" s="6"/>
      <c r="G803" s="6" t="str">
        <f>IFERROR(__xludf.DUMMYFUNCTION("""COMPUTED_VALUE"""),"necessarily")</f>
        <v>necessarily</v>
      </c>
      <c r="H803" s="6" t="str">
        <f>IFERROR(__xludf.DUMMYFUNCTION("""COMPUTED_VALUE"""),"misses")</f>
        <v>misses</v>
      </c>
      <c r="I803" s="6" t="str">
        <f>IFERROR(__xludf.DUMMYFUNCTION("""COMPUTED_VALUE"""),"edward")</f>
        <v>edward</v>
      </c>
      <c r="J803" s="6" t="str">
        <f>IFERROR(__xludf.DUMMYFUNCTION("""COMPUTED_VALUE"""),"dubbed")</f>
        <v>dubbed</v>
      </c>
      <c r="L803" s="6" t="str">
        <f>IFERROR(__xludf.DUMMYFUNCTION("""COMPUTED_VALUE"""),"chest")</f>
        <v>chest</v>
      </c>
      <c r="M803" s="6" t="str">
        <f>IFERROR(__xludf.DUMMYFUNCTION("""COMPUTED_VALUE"""),"clock")</f>
        <v>clock</v>
      </c>
      <c r="N803" s="6" t="str">
        <f>IFERROR(__xludf.DUMMYFUNCTION("""COMPUTED_VALUE"""),"hong")</f>
        <v>hong</v>
      </c>
      <c r="P803" s="6" t="str">
        <f>IFERROR(__xludf.DUMMYFUNCTION("""COMPUTED_VALUE"""),"demons")</f>
        <v>demons</v>
      </c>
      <c r="Q803" s="6" t="str">
        <f>IFERROR(__xludf.DUMMYFUNCTION("""COMPUTED_VALUE"""),"against")</f>
        <v>against</v>
      </c>
      <c r="S803" s="6" t="str">
        <f>IFERROR(__xludf.DUMMYFUNCTION("""COMPUTED_VALUE"""),"writer")</f>
        <v>writer</v>
      </c>
    </row>
    <row r="804">
      <c r="B804" s="6"/>
      <c r="D804" s="6"/>
      <c r="G804" s="6" t="str">
        <f>IFERROR(__xludf.DUMMYFUNCTION("""COMPUTED_VALUE"""),"slack")</f>
        <v>slack</v>
      </c>
      <c r="H804" s="6" t="str">
        <f>IFERROR(__xludf.DUMMYFUNCTION("""COMPUTED_VALUE"""),"employs")</f>
        <v>employs</v>
      </c>
      <c r="I804" s="6" t="str">
        <f>IFERROR(__xludf.DUMMYFUNCTION("""COMPUTED_VALUE"""),"shining")</f>
        <v>shining</v>
      </c>
      <c r="J804" s="6" t="str">
        <f>IFERROR(__xludf.DUMMYFUNCTION("""COMPUTED_VALUE"""),"turkey")</f>
        <v>turkey</v>
      </c>
      <c r="L804" s="6" t="str">
        <f>IFERROR(__xludf.DUMMYFUNCTION("""COMPUTED_VALUE"""),"bound")</f>
        <v>bound</v>
      </c>
      <c r="M804" s="6" t="str">
        <f>IFERROR(__xludf.DUMMYFUNCTION("""COMPUTED_VALUE"""),"kid")</f>
        <v>kid</v>
      </c>
      <c r="N804" s="6" t="str">
        <f>IFERROR(__xludf.DUMMYFUNCTION("""COMPUTED_VALUE"""),"loose")</f>
        <v>loose</v>
      </c>
      <c r="P804" s="6" t="str">
        <f>IFERROR(__xludf.DUMMYFUNCTION("""COMPUTED_VALUE"""),"blank")</f>
        <v>blank</v>
      </c>
      <c r="Q804" s="6" t="str">
        <f>IFERROR(__xludf.DUMMYFUNCTION("""COMPUTED_VALUE"""),"behold")</f>
        <v>behold</v>
      </c>
      <c r="S804" s="6" t="str">
        <f>IFERROR(__xludf.DUMMYFUNCTION("""COMPUTED_VALUE"""),"michael")</f>
        <v>michael</v>
      </c>
    </row>
    <row r="805">
      <c r="B805" s="6"/>
      <c r="D805" s="6"/>
      <c r="G805" s="6" t="str">
        <f>IFERROR(__xludf.DUMMYFUNCTION("""COMPUTED_VALUE"""),"shanghai")</f>
        <v>shanghai</v>
      </c>
      <c r="H805" s="6" t="str">
        <f>IFERROR(__xludf.DUMMYFUNCTION("""COMPUTED_VALUE"""),"strangely")</f>
        <v>strangely</v>
      </c>
      <c r="I805" s="6" t="str">
        <f>IFERROR(__xludf.DUMMYFUNCTION("""COMPUTED_VALUE"""),"drawing")</f>
        <v>drawing</v>
      </c>
      <c r="J805" s="6" t="str">
        <f>IFERROR(__xludf.DUMMYFUNCTION("""COMPUTED_VALUE"""),"documented")</f>
        <v>documented</v>
      </c>
      <c r="L805" s="6" t="str">
        <f>IFERROR(__xludf.DUMMYFUNCTION("""COMPUTED_VALUE"""),"randall")</f>
        <v>randall</v>
      </c>
      <c r="M805" s="6" t="str">
        <f>IFERROR(__xludf.DUMMYFUNCTION("""COMPUTED_VALUE"""),"windows")</f>
        <v>windows</v>
      </c>
      <c r="N805" s="6" t="str">
        <f>IFERROR(__xludf.DUMMYFUNCTION("""COMPUTED_VALUE"""),"appealing")</f>
        <v>appealing</v>
      </c>
      <c r="P805" s="6" t="str">
        <f>IFERROR(__xludf.DUMMYFUNCTION("""COMPUTED_VALUE"""),"faces")</f>
        <v>faces</v>
      </c>
      <c r="Q805" s="6" t="str">
        <f>IFERROR(__xludf.DUMMYFUNCTION("""COMPUTED_VALUE"""),"permits")</f>
        <v>permits</v>
      </c>
      <c r="S805" s="6" t="str">
        <f>IFERROR(__xludf.DUMMYFUNCTION("""COMPUTED_VALUE"""),"moved")</f>
        <v>moved</v>
      </c>
    </row>
    <row r="806">
      <c r="B806" s="6"/>
      <c r="D806" s="6"/>
      <c r="G806" s="6" t="str">
        <f>IFERROR(__xludf.DUMMYFUNCTION("""COMPUTED_VALUE"""),"larger")</f>
        <v>larger</v>
      </c>
      <c r="H806" s="6" t="str">
        <f>IFERROR(__xludf.DUMMYFUNCTION("""COMPUTED_VALUE"""),"cute")</f>
        <v>cute</v>
      </c>
      <c r="I806" s="6" t="str">
        <f>IFERROR(__xludf.DUMMYFUNCTION("""COMPUTED_VALUE"""),"enters")</f>
        <v>enters</v>
      </c>
      <c r="J806" s="6" t="str">
        <f>IFERROR(__xludf.DUMMYFUNCTION("""COMPUTED_VALUE"""),"popcorn")</f>
        <v>popcorn</v>
      </c>
      <c r="L806" s="6" t="str">
        <f>IFERROR(__xludf.DUMMYFUNCTION("""COMPUTED_VALUE"""),"deserved")</f>
        <v>deserved</v>
      </c>
      <c r="M806" s="6" t="str">
        <f>IFERROR(__xludf.DUMMYFUNCTION("""COMPUTED_VALUE"""),"dying")</f>
        <v>dying</v>
      </c>
      <c r="N806" s="6" t="str">
        <f>IFERROR(__xludf.DUMMYFUNCTION("""COMPUTED_VALUE"""),"surprises")</f>
        <v>surprises</v>
      </c>
      <c r="P806" s="6" t="str">
        <f>IFERROR(__xludf.DUMMYFUNCTION("""COMPUTED_VALUE"""),"flow")</f>
        <v>flow</v>
      </c>
      <c r="Q806" s="6" t="str">
        <f>IFERROR(__xludf.DUMMYFUNCTION("""COMPUTED_VALUE"""),"acute")</f>
        <v>acute</v>
      </c>
      <c r="S806" s="6" t="str">
        <f>IFERROR(__xludf.DUMMYFUNCTION("""COMPUTED_VALUE"""),"ultimately")</f>
        <v>ultimately</v>
      </c>
    </row>
    <row r="807">
      <c r="B807" s="6"/>
      <c r="D807" s="6"/>
      <c r="G807" s="6" t="str">
        <f>IFERROR(__xludf.DUMMYFUNCTION("""COMPUTED_VALUE"""),"conflict")</f>
        <v>conflict</v>
      </c>
      <c r="H807" s="6" t="str">
        <f>IFERROR(__xludf.DUMMYFUNCTION("""COMPUTED_VALUE"""),"liberties")</f>
        <v>liberties</v>
      </c>
      <c r="I807" s="6" t="str">
        <f>IFERROR(__xludf.DUMMYFUNCTION("""COMPUTED_VALUE"""),"accurate")</f>
        <v>accurate</v>
      </c>
      <c r="J807" s="6" t="str">
        <f>IFERROR(__xludf.DUMMYFUNCTION("""COMPUTED_VALUE"""),"america")</f>
        <v>america</v>
      </c>
      <c r="L807" s="6" t="str">
        <f>IFERROR(__xludf.DUMMYFUNCTION("""COMPUTED_VALUE"""),"padded")</f>
        <v>padded</v>
      </c>
      <c r="M807" s="6" t="str">
        <f>IFERROR(__xludf.DUMMYFUNCTION("""COMPUTED_VALUE"""),"swept")</f>
        <v>swept</v>
      </c>
      <c r="N807" s="6" t="str">
        <f>IFERROR(__xludf.DUMMYFUNCTION("""COMPUTED_VALUE"""),"cinema")</f>
        <v>cinema</v>
      </c>
      <c r="P807" s="6" t="str">
        <f>IFERROR(__xludf.DUMMYFUNCTION("""COMPUTED_VALUE"""),"abstract")</f>
        <v>abstract</v>
      </c>
      <c r="Q807" s="6" t="str">
        <f>IFERROR(__xludf.DUMMYFUNCTION("""COMPUTED_VALUE"""),"splendid")</f>
        <v>splendid</v>
      </c>
      <c r="S807" s="6" t="str">
        <f>IFERROR(__xludf.DUMMYFUNCTION("""COMPUTED_VALUE"""),"dynamic")</f>
        <v>dynamic</v>
      </c>
    </row>
    <row r="808">
      <c r="B808" s="6"/>
      <c r="D808" s="6"/>
      <c r="G808" s="6" t="str">
        <f>IFERROR(__xludf.DUMMYFUNCTION("""COMPUTED_VALUE"""),"vital")</f>
        <v>vital</v>
      </c>
      <c r="H808" s="6" t="str">
        <f>IFERROR(__xludf.DUMMYFUNCTION("""COMPUTED_VALUE"""),"cheat")</f>
        <v>cheat</v>
      </c>
      <c r="I808" s="6" t="str">
        <f>IFERROR(__xludf.DUMMYFUNCTION("""COMPUTED_VALUE"""),"owen")</f>
        <v>owen</v>
      </c>
      <c r="J808" s="6" t="str">
        <f>IFERROR(__xludf.DUMMYFUNCTION("""COMPUTED_VALUE"""),"randall")</f>
        <v>randall</v>
      </c>
      <c r="L808" s="6" t="str">
        <f>IFERROR(__xludf.DUMMYFUNCTION("""COMPUTED_VALUE"""),"rally")</f>
        <v>rally</v>
      </c>
      <c r="M808" s="6" t="str">
        <f>IFERROR(__xludf.DUMMYFUNCTION("""COMPUTED_VALUE"""),"language")</f>
        <v>language</v>
      </c>
      <c r="N808" s="6" t="str">
        <f>IFERROR(__xludf.DUMMYFUNCTION("""COMPUTED_VALUE"""),"director")</f>
        <v>director</v>
      </c>
      <c r="P808" s="6" t="str">
        <f>IFERROR(__xludf.DUMMYFUNCTION("""COMPUTED_VALUE"""),"paul")</f>
        <v>paul</v>
      </c>
      <c r="Q808" s="6" t="str">
        <f>IFERROR(__xludf.DUMMYFUNCTION("""COMPUTED_VALUE"""),"host")</f>
        <v>host</v>
      </c>
      <c r="S808" s="6" t="str">
        <f>IFERROR(__xludf.DUMMYFUNCTION("""COMPUTED_VALUE"""),"begin")</f>
        <v>begin</v>
      </c>
    </row>
    <row r="809">
      <c r="B809" s="6"/>
      <c r="D809" s="6"/>
      <c r="G809" s="6" t="str">
        <f>IFERROR(__xludf.DUMMYFUNCTION("""COMPUTED_VALUE"""),"sweetly")</f>
        <v>sweetly</v>
      </c>
      <c r="H809" s="6" t="str">
        <f>IFERROR(__xludf.DUMMYFUNCTION("""COMPUTED_VALUE"""),"fisher")</f>
        <v>fisher</v>
      </c>
      <c r="I809" s="6" t="str">
        <f>IFERROR(__xludf.DUMMYFUNCTION("""COMPUTED_VALUE"""),"derived")</f>
        <v>derived</v>
      </c>
      <c r="J809" s="6" t="str">
        <f>IFERROR(__xludf.DUMMYFUNCTION("""COMPUTED_VALUE"""),"insights")</f>
        <v>insights</v>
      </c>
      <c r="L809" s="6" t="str">
        <f>IFERROR(__xludf.DUMMYFUNCTION("""COMPUTED_VALUE"""),"renowned")</f>
        <v>renowned</v>
      </c>
      <c r="M809" s="6" t="str">
        <f>IFERROR(__xludf.DUMMYFUNCTION("""COMPUTED_VALUE"""),"successful")</f>
        <v>successful</v>
      </c>
      <c r="N809" s="6" t="str">
        <f>IFERROR(__xludf.DUMMYFUNCTION("""COMPUTED_VALUE"""),"glory")</f>
        <v>glory</v>
      </c>
      <c r="P809" s="6" t="str">
        <f>IFERROR(__xludf.DUMMYFUNCTION("""COMPUTED_VALUE"""),"jones")</f>
        <v>jones</v>
      </c>
      <c r="Q809" s="6" t="str">
        <f>IFERROR(__xludf.DUMMYFUNCTION("""COMPUTED_VALUE"""),"spirituality")</f>
        <v>spirituality</v>
      </c>
      <c r="S809" s="6" t="str">
        <f>IFERROR(__xludf.DUMMYFUNCTION("""COMPUTED_VALUE"""),"thinking")</f>
        <v>thinking</v>
      </c>
    </row>
    <row r="810">
      <c r="B810" s="6"/>
      <c r="D810" s="6"/>
      <c r="G810" s="6" t="str">
        <f>IFERROR(__xludf.DUMMYFUNCTION("""COMPUTED_VALUE"""),"infectious")</f>
        <v>infectious</v>
      </c>
      <c r="H810" s="6" t="str">
        <f>IFERROR(__xludf.DUMMYFUNCTION("""COMPUTED_VALUE"""),"odyssey")</f>
        <v>odyssey</v>
      </c>
      <c r="I810" s="6" t="str">
        <f>IFERROR(__xludf.DUMMYFUNCTION("""COMPUTED_VALUE"""),"victims")</f>
        <v>victims</v>
      </c>
      <c r="J810" s="6" t="str">
        <f>IFERROR(__xludf.DUMMYFUNCTION("""COMPUTED_VALUE"""),"tensions")</f>
        <v>tensions</v>
      </c>
      <c r="L810" s="6" t="str">
        <f>IFERROR(__xludf.DUMMYFUNCTION("""COMPUTED_VALUE"""),"russian")</f>
        <v>russian</v>
      </c>
      <c r="M810" s="6" t="str">
        <f>IFERROR(__xludf.DUMMYFUNCTION("""COMPUTED_VALUE"""),"wash")</f>
        <v>wash</v>
      </c>
      <c r="N810" s="6" t="str">
        <f>IFERROR(__xludf.DUMMYFUNCTION("""COMPUTED_VALUE"""),"restraint")</f>
        <v>restraint</v>
      </c>
      <c r="P810" s="6" t="str">
        <f>IFERROR(__xludf.DUMMYFUNCTION("""COMPUTED_VALUE"""),"yale")</f>
        <v>yale</v>
      </c>
      <c r="Q810" s="6" t="str">
        <f>IFERROR(__xludf.DUMMYFUNCTION("""COMPUTED_VALUE"""),"treatise")</f>
        <v>treatise</v>
      </c>
      <c r="S810" s="6" t="str">
        <f>IFERROR(__xludf.DUMMYFUNCTION("""COMPUTED_VALUE"""),"agent")</f>
        <v>agent</v>
      </c>
    </row>
    <row r="811">
      <c r="B811" s="6"/>
      <c r="D811" s="6"/>
      <c r="G811" s="6" t="str">
        <f>IFERROR(__xludf.DUMMYFUNCTION("""COMPUTED_VALUE"""),"brooding")</f>
        <v>brooding</v>
      </c>
      <c r="H811" s="6" t="str">
        <f>IFERROR(__xludf.DUMMYFUNCTION("""COMPUTED_VALUE"""),"mcgrath")</f>
        <v>mcgrath</v>
      </c>
      <c r="I811" s="6" t="str">
        <f>IFERROR(__xludf.DUMMYFUNCTION("""COMPUTED_VALUE"""),"heritage")</f>
        <v>heritage</v>
      </c>
      <c r="J811" s="6" t="str">
        <f>IFERROR(__xludf.DUMMYFUNCTION("""COMPUTED_VALUE"""),"pushes")</f>
        <v>pushes</v>
      </c>
      <c r="L811" s="6" t="str">
        <f>IFERROR(__xludf.DUMMYFUNCTION("""COMPUTED_VALUE"""),"tier")</f>
        <v>tier</v>
      </c>
      <c r="M811" s="6" t="str">
        <f>IFERROR(__xludf.DUMMYFUNCTION("""COMPUTED_VALUE"""),"phenomenon")</f>
        <v>phenomenon</v>
      </c>
      <c r="N811" s="6" t="str">
        <f>IFERROR(__xludf.DUMMYFUNCTION("""COMPUTED_VALUE"""),"song")</f>
        <v>song</v>
      </c>
      <c r="P811" s="6" t="str">
        <f>IFERROR(__xludf.DUMMYFUNCTION("""COMPUTED_VALUE"""),"twisted")</f>
        <v>twisted</v>
      </c>
      <c r="Q811" s="6" t="str">
        <f>IFERROR(__xludf.DUMMYFUNCTION("""COMPUTED_VALUE"""),"absorbing")</f>
        <v>absorbing</v>
      </c>
      <c r="S811" s="6" t="str">
        <f>IFERROR(__xludf.DUMMYFUNCTION("""COMPUTED_VALUE"""),"falls")</f>
        <v>falls</v>
      </c>
    </row>
    <row r="812">
      <c r="B812" s="6"/>
      <c r="D812" s="6"/>
      <c r="G812" s="6" t="str">
        <f>IFERROR(__xludf.DUMMYFUNCTION("""COMPUTED_VALUE"""),"modest")</f>
        <v>modest</v>
      </c>
      <c r="H812" s="6" t="str">
        <f>IFERROR(__xludf.DUMMYFUNCTION("""COMPUTED_VALUE"""),"hopkins")</f>
        <v>hopkins</v>
      </c>
      <c r="I812" s="6" t="str">
        <f>IFERROR(__xludf.DUMMYFUNCTION("""COMPUTED_VALUE"""),"proceedings")</f>
        <v>proceedings</v>
      </c>
      <c r="J812" s="6" t="str">
        <f>IFERROR(__xludf.DUMMYFUNCTION("""COMPUTED_VALUE"""),"holds")</f>
        <v>holds</v>
      </c>
      <c r="L812" s="6" t="str">
        <f>IFERROR(__xludf.DUMMYFUNCTION("""COMPUTED_VALUE"""),"instincts")</f>
        <v>instincts</v>
      </c>
      <c r="M812" s="6" t="str">
        <f>IFERROR(__xludf.DUMMYFUNCTION("""COMPUTED_VALUE"""),"robinson")</f>
        <v>robinson</v>
      </c>
      <c r="N812" s="6" t="str">
        <f>IFERROR(__xludf.DUMMYFUNCTION("""COMPUTED_VALUE"""),"fabricated")</f>
        <v>fabricated</v>
      </c>
      <c r="P812" s="6" t="str">
        <f>IFERROR(__xludf.DUMMYFUNCTION("""COMPUTED_VALUE"""),"friendship")</f>
        <v>friendship</v>
      </c>
      <c r="Q812" s="6" t="str">
        <f>IFERROR(__xludf.DUMMYFUNCTION("""COMPUTED_VALUE"""),"liberation")</f>
        <v>liberation</v>
      </c>
      <c r="S812" s="6" t="str">
        <f>IFERROR(__xludf.DUMMYFUNCTION("""COMPUTED_VALUE"""),"precious")</f>
        <v>precious</v>
      </c>
    </row>
    <row r="813">
      <c r="B813" s="6"/>
      <c r="D813" s="6"/>
      <c r="G813" s="6" t="str">
        <f>IFERROR(__xludf.DUMMYFUNCTION("""COMPUTED_VALUE"""),"shooting")</f>
        <v>shooting</v>
      </c>
      <c r="H813" s="6" t="str">
        <f>IFERROR(__xludf.DUMMYFUNCTION("""COMPUTED_VALUE"""),"establishes")</f>
        <v>establishes</v>
      </c>
      <c r="I813" s="6" t="str">
        <f>IFERROR(__xludf.DUMMYFUNCTION("""COMPUTED_VALUE"""),"adds")</f>
        <v>adds</v>
      </c>
      <c r="J813" s="6" t="str">
        <f>IFERROR(__xludf.DUMMYFUNCTION("""COMPUTED_VALUE"""),"eyre")</f>
        <v>eyre</v>
      </c>
      <c r="L813" s="6" t="str">
        <f>IFERROR(__xludf.DUMMYFUNCTION("""COMPUTED_VALUE"""),"paranoia")</f>
        <v>paranoia</v>
      </c>
      <c r="M813" s="6" t="str">
        <f>IFERROR(__xludf.DUMMYFUNCTION("""COMPUTED_VALUE"""),"anderson")</f>
        <v>anderson</v>
      </c>
      <c r="N813" s="6" t="str">
        <f>IFERROR(__xludf.DUMMYFUNCTION("""COMPUTED_VALUE"""),"benefit")</f>
        <v>benefit</v>
      </c>
      <c r="P813" s="6" t="str">
        <f>IFERROR(__xludf.DUMMYFUNCTION("""COMPUTED_VALUE"""),"bond")</f>
        <v>bond</v>
      </c>
      <c r="Q813" s="6" t="str">
        <f>IFERROR(__xludf.DUMMYFUNCTION("""COMPUTED_VALUE"""),"impression")</f>
        <v>impression</v>
      </c>
      <c r="S813" s="6" t="str">
        <f>IFERROR(__xludf.DUMMYFUNCTION("""COMPUTED_VALUE"""),"quickly")</f>
        <v>quickly</v>
      </c>
    </row>
    <row r="814">
      <c r="B814" s="6"/>
      <c r="D814" s="6"/>
      <c r="G814" s="6" t="str">
        <f>IFERROR(__xludf.DUMMYFUNCTION("""COMPUTED_VALUE"""),"wave")</f>
        <v>wave</v>
      </c>
      <c r="H814" s="6" t="str">
        <f>IFERROR(__xludf.DUMMYFUNCTION("""COMPUTED_VALUE"""),"metropolis")</f>
        <v>metropolis</v>
      </c>
      <c r="I814" s="6" t="str">
        <f>IFERROR(__xludf.DUMMYFUNCTION("""COMPUTED_VALUE"""),"paint")</f>
        <v>paint</v>
      </c>
      <c r="J814" s="6" t="str">
        <f>IFERROR(__xludf.DUMMYFUNCTION("""COMPUTED_VALUE"""),"examine")</f>
        <v>examine</v>
      </c>
      <c r="L814" s="6" t="str">
        <f>IFERROR(__xludf.DUMMYFUNCTION("""COMPUTED_VALUE"""),"surrender")</f>
        <v>surrender</v>
      </c>
      <c r="M814" s="6" t="str">
        <f>IFERROR(__xludf.DUMMYFUNCTION("""COMPUTED_VALUE"""),"created")</f>
        <v>created</v>
      </c>
      <c r="N814" s="6" t="str">
        <f>IFERROR(__xludf.DUMMYFUNCTION("""COMPUTED_VALUE"""),"lewis")</f>
        <v>lewis</v>
      </c>
      <c r="P814" s="6" t="str">
        <f>IFERROR(__xludf.DUMMYFUNCTION("""COMPUTED_VALUE"""),"constant")</f>
        <v>constant</v>
      </c>
      <c r="Q814" s="6" t="str">
        <f>IFERROR(__xludf.DUMMYFUNCTION("""COMPUTED_VALUE"""),"stand")</f>
        <v>stand</v>
      </c>
      <c r="S814" s="6" t="str">
        <f>IFERROR(__xludf.DUMMYFUNCTION("""COMPUTED_VALUE"""),"drawn")</f>
        <v>drawn</v>
      </c>
    </row>
    <row r="815">
      <c r="B815" s="6"/>
      <c r="D815" s="6"/>
      <c r="G815" s="6" t="str">
        <f>IFERROR(__xludf.DUMMYFUNCTION("""COMPUTED_VALUE"""),"conspicuous")</f>
        <v>conspicuous</v>
      </c>
      <c r="H815" s="6" t="str">
        <f>IFERROR(__xludf.DUMMYFUNCTION("""COMPUTED_VALUE"""),"villain")</f>
        <v>villain</v>
      </c>
      <c r="I815" s="6" t="str">
        <f>IFERROR(__xludf.DUMMYFUNCTION("""COMPUTED_VALUE"""),"improvement")</f>
        <v>improvement</v>
      </c>
      <c r="J815" s="6" t="str">
        <f>IFERROR(__xludf.DUMMYFUNCTION("""COMPUTED_VALUE"""),"arguments")</f>
        <v>arguments</v>
      </c>
      <c r="L815" s="6" t="str">
        <f>IFERROR(__xludf.DUMMYFUNCTION("""COMPUTED_VALUE"""),"orlando")</f>
        <v>orlando</v>
      </c>
      <c r="M815" s="6" t="str">
        <f>IFERROR(__xludf.DUMMYFUNCTION("""COMPUTED_VALUE"""),"forces")</f>
        <v>forces</v>
      </c>
      <c r="N815" s="6" t="str">
        <f>IFERROR(__xludf.DUMMYFUNCTION("""COMPUTED_VALUE"""),"carved")</f>
        <v>carved</v>
      </c>
      <c r="P815" s="6" t="str">
        <f>IFERROR(__xludf.DUMMYFUNCTION("""COMPUTED_VALUE"""),"leads")</f>
        <v>leads</v>
      </c>
      <c r="Q815" s="6" t="str">
        <f>IFERROR(__xludf.DUMMYFUNCTION("""COMPUTED_VALUE"""),"childhood")</f>
        <v>childhood</v>
      </c>
      <c r="S815" s="6" t="str">
        <f>IFERROR(__xludf.DUMMYFUNCTION("""COMPUTED_VALUE"""),"belly")</f>
        <v>belly</v>
      </c>
    </row>
    <row r="816">
      <c r="B816" s="6"/>
      <c r="D816" s="6"/>
      <c r="G816" s="6" t="str">
        <f>IFERROR(__xludf.DUMMYFUNCTION("""COMPUTED_VALUE"""),"toss")</f>
        <v>toss</v>
      </c>
      <c r="H816" s="6" t="str">
        <f>IFERROR(__xludf.DUMMYFUNCTION("""COMPUTED_VALUE"""),"let")</f>
        <v>let</v>
      </c>
      <c r="I816" s="6" t="str">
        <f>IFERROR(__xludf.DUMMYFUNCTION("""COMPUTED_VALUE"""),"soldiers")</f>
        <v>soldiers</v>
      </c>
      <c r="J816" s="6" t="str">
        <f>IFERROR(__xludf.DUMMYFUNCTION("""COMPUTED_VALUE"""),"catches")</f>
        <v>catches</v>
      </c>
      <c r="L816" s="6" t="str">
        <f>IFERROR(__xludf.DUMMYFUNCTION("""COMPUTED_VALUE"""),"wooden")</f>
        <v>wooden</v>
      </c>
      <c r="M816" s="6" t="str">
        <f>IFERROR(__xludf.DUMMYFUNCTION("""COMPUTED_VALUE"""),"memory")</f>
        <v>memory</v>
      </c>
      <c r="N816" s="6" t="str">
        <f>IFERROR(__xludf.DUMMYFUNCTION("""COMPUTED_VALUE"""),"observations")</f>
        <v>observations</v>
      </c>
      <c r="P816" s="6" t="str">
        <f>IFERROR(__xludf.DUMMYFUNCTION("""COMPUTED_VALUE"""),"identification")</f>
        <v>identification</v>
      </c>
      <c r="Q816" s="6" t="str">
        <f>IFERROR(__xludf.DUMMYFUNCTION("""COMPUTED_VALUE"""),"writer")</f>
        <v>writer</v>
      </c>
      <c r="S816" s="6" t="str">
        <f>IFERROR(__xludf.DUMMYFUNCTION("""COMPUTED_VALUE"""),"widow")</f>
        <v>widow</v>
      </c>
    </row>
    <row r="817">
      <c r="B817" s="6"/>
      <c r="D817" s="6"/>
      <c r="G817" s="6" t="str">
        <f>IFERROR(__xludf.DUMMYFUNCTION("""COMPUTED_VALUE"""),"imaginary")</f>
        <v>imaginary</v>
      </c>
      <c r="H817" s="6" t="str">
        <f>IFERROR(__xludf.DUMMYFUNCTION("""COMPUTED_VALUE"""),"lavish")</f>
        <v>lavish</v>
      </c>
      <c r="I817" s="6" t="str">
        <f>IFERROR(__xludf.DUMMYFUNCTION("""COMPUTED_VALUE"""),"listening")</f>
        <v>listening</v>
      </c>
      <c r="J817" s="6" t="str">
        <f>IFERROR(__xludf.DUMMYFUNCTION("""COMPUTED_VALUE"""),"newcomer")</f>
        <v>newcomer</v>
      </c>
      <c r="L817" s="6" t="str">
        <f>IFERROR(__xludf.DUMMYFUNCTION("""COMPUTED_VALUE"""),"christian")</f>
        <v>christian</v>
      </c>
      <c r="M817" s="6" t="str">
        <f>IFERROR(__xludf.DUMMYFUNCTION("""COMPUTED_VALUE"""),"fight")</f>
        <v>fight</v>
      </c>
      <c r="N817" s="6" t="str">
        <f>IFERROR(__xludf.DUMMYFUNCTION("""COMPUTED_VALUE"""),"television")</f>
        <v>television</v>
      </c>
      <c r="P817" s="6" t="str">
        <f>IFERROR(__xludf.DUMMYFUNCTION("""COMPUTED_VALUE"""),"built")</f>
        <v>built</v>
      </c>
      <c r="Q817" s="6" t="str">
        <f>IFERROR(__xludf.DUMMYFUNCTION("""COMPUTED_VALUE"""),"caine")</f>
        <v>caine</v>
      </c>
      <c r="S817" s="6" t="str">
        <f>IFERROR(__xludf.DUMMYFUNCTION("""COMPUTED_VALUE"""),"transformation")</f>
        <v>transformation</v>
      </c>
    </row>
    <row r="818">
      <c r="B818" s="6"/>
      <c r="D818" s="6"/>
      <c r="G818" s="6" t="str">
        <f>IFERROR(__xludf.DUMMYFUNCTION("""COMPUTED_VALUE"""),"crosses")</f>
        <v>crosses</v>
      </c>
      <c r="H818" s="6" t="str">
        <f>IFERROR(__xludf.DUMMYFUNCTION("""COMPUTED_VALUE"""),"teacher")</f>
        <v>teacher</v>
      </c>
      <c r="I818" s="6" t="str">
        <f>IFERROR(__xludf.DUMMYFUNCTION("""COMPUTED_VALUE"""),"lawrence")</f>
        <v>lawrence</v>
      </c>
      <c r="J818" s="6" t="str">
        <f>IFERROR(__xludf.DUMMYFUNCTION("""COMPUTED_VALUE"""),"hoffman")</f>
        <v>hoffman</v>
      </c>
      <c r="L818" s="6" t="str">
        <f>IFERROR(__xludf.DUMMYFUNCTION("""COMPUTED_VALUE"""),"prospect")</f>
        <v>prospect</v>
      </c>
      <c r="M818" s="6" t="str">
        <f>IFERROR(__xludf.DUMMYFUNCTION("""COMPUTED_VALUE"""),"english")</f>
        <v>english</v>
      </c>
      <c r="N818" s="6" t="str">
        <f>IFERROR(__xludf.DUMMYFUNCTION("""COMPUTED_VALUE"""),"slap")</f>
        <v>slap</v>
      </c>
      <c r="P818" s="6" t="str">
        <f>IFERROR(__xludf.DUMMYFUNCTION("""COMPUTED_VALUE"""),"hotels")</f>
        <v>hotels</v>
      </c>
      <c r="Q818" s="6" t="str">
        <f>IFERROR(__xludf.DUMMYFUNCTION("""COMPUTED_VALUE"""),"punching")</f>
        <v>punching</v>
      </c>
      <c r="S818" s="6" t="str">
        <f>IFERROR(__xludf.DUMMYFUNCTION("""COMPUTED_VALUE"""),"soccer")</f>
        <v>soccer</v>
      </c>
    </row>
    <row r="819">
      <c r="B819" s="6"/>
      <c r="D819" s="6"/>
      <c r="G819" s="6" t="str">
        <f>IFERROR(__xludf.DUMMYFUNCTION("""COMPUTED_VALUE"""),"definitions")</f>
        <v>definitions</v>
      </c>
      <c r="H819" s="6" t="str">
        <f>IFERROR(__xludf.DUMMYFUNCTION("""COMPUTED_VALUE"""),"increasingly")</f>
        <v>increasingly</v>
      </c>
      <c r="I819" s="6" t="str">
        <f>IFERROR(__xludf.DUMMYFUNCTION("""COMPUTED_VALUE"""),"tied")</f>
        <v>tied</v>
      </c>
      <c r="J819" s="6" t="str">
        <f>IFERROR(__xludf.DUMMYFUNCTION("""COMPUTED_VALUE"""),"feat")</f>
        <v>feat</v>
      </c>
      <c r="L819" s="6" t="str">
        <f>IFERROR(__xludf.DUMMYFUNCTION("""COMPUTED_VALUE"""),"web")</f>
        <v>web</v>
      </c>
      <c r="M819" s="6" t="str">
        <f>IFERROR(__xludf.DUMMYFUNCTION("""COMPUTED_VALUE"""),"barry")</f>
        <v>barry</v>
      </c>
      <c r="N819" s="6" t="str">
        <f>IFERROR(__xludf.DUMMYFUNCTION("""COMPUTED_VALUE"""),"pitched")</f>
        <v>pitched</v>
      </c>
      <c r="P819" s="6" t="str">
        <f>IFERROR(__xludf.DUMMYFUNCTION("""COMPUTED_VALUE"""),"smaller")</f>
        <v>smaller</v>
      </c>
      <c r="Q819" s="6" t="str">
        <f>IFERROR(__xludf.DUMMYFUNCTION("""COMPUTED_VALUE"""),"sweetheart")</f>
        <v>sweetheart</v>
      </c>
      <c r="S819" s="6" t="str">
        <f>IFERROR(__xludf.DUMMYFUNCTION("""COMPUTED_VALUE"""),"festival")</f>
        <v>festival</v>
      </c>
    </row>
    <row r="820">
      <c r="B820" s="6"/>
      <c r="D820" s="6"/>
      <c r="G820" s="6" t="str">
        <f>IFERROR(__xludf.DUMMYFUNCTION("""COMPUTED_VALUE"""),"thud")</f>
        <v>thud</v>
      </c>
      <c r="H820" s="6" t="str">
        <f>IFERROR(__xludf.DUMMYFUNCTION("""COMPUTED_VALUE"""),"plotting")</f>
        <v>plotting</v>
      </c>
      <c r="I820" s="6" t="str">
        <f>IFERROR(__xludf.DUMMYFUNCTION("""COMPUTED_VALUE"""),"traditions")</f>
        <v>traditions</v>
      </c>
      <c r="J820" s="6" t="str">
        <f>IFERROR(__xludf.DUMMYFUNCTION("""COMPUTED_VALUE"""),"harmless")</f>
        <v>harmless</v>
      </c>
      <c r="L820" s="6" t="str">
        <f>IFERROR(__xludf.DUMMYFUNCTION("""COMPUTED_VALUE"""),"possibilities")</f>
        <v>possibilities</v>
      </c>
      <c r="M820" s="6" t="str">
        <f>IFERROR(__xludf.DUMMYFUNCTION("""COMPUTED_VALUE"""),"fall")</f>
        <v>fall</v>
      </c>
      <c r="N820" s="6" t="str">
        <f>IFERROR(__xludf.DUMMYFUNCTION("""COMPUTED_VALUE"""),"effectiveness")</f>
        <v>effectiveness</v>
      </c>
      <c r="P820" s="6" t="str">
        <f>IFERROR(__xludf.DUMMYFUNCTION("""COMPUTED_VALUE"""),"mainstream")</f>
        <v>mainstream</v>
      </c>
      <c r="Q820" s="6" t="str">
        <f>IFERROR(__xludf.DUMMYFUNCTION("""COMPUTED_VALUE"""),"ultimately")</f>
        <v>ultimately</v>
      </c>
      <c r="S820" s="6" t="str">
        <f>IFERROR(__xludf.DUMMYFUNCTION("""COMPUTED_VALUE"""),"george")</f>
        <v>george</v>
      </c>
    </row>
    <row r="821">
      <c r="B821" s="6"/>
      <c r="D821" s="6"/>
      <c r="G821" s="6" t="str">
        <f>IFERROR(__xludf.DUMMYFUNCTION("""COMPUTED_VALUE"""),"interpretation")</f>
        <v>interpretation</v>
      </c>
      <c r="H821" s="6" t="str">
        <f>IFERROR(__xludf.DUMMYFUNCTION("""COMPUTED_VALUE"""),"reduces")</f>
        <v>reduces</v>
      </c>
      <c r="I821" s="6" t="str">
        <f>IFERROR(__xludf.DUMMYFUNCTION("""COMPUTED_VALUE"""),"dinner")</f>
        <v>dinner</v>
      </c>
      <c r="J821" s="6" t="str">
        <f>IFERROR(__xludf.DUMMYFUNCTION("""COMPUTED_VALUE"""),"vulnerability")</f>
        <v>vulnerability</v>
      </c>
      <c r="L821" s="6" t="str">
        <f>IFERROR(__xludf.DUMMYFUNCTION("""COMPUTED_VALUE"""),"outsiders")</f>
        <v>outsiders</v>
      </c>
      <c r="M821" s="6" t="str">
        <f>IFERROR(__xludf.DUMMYFUNCTION("""COMPUTED_VALUE"""),"jon")</f>
        <v>jon</v>
      </c>
      <c r="N821" s="6" t="str">
        <f>IFERROR(__xludf.DUMMYFUNCTION("""COMPUTED_VALUE"""),"remote")</f>
        <v>remote</v>
      </c>
      <c r="P821" s="6" t="str">
        <f>IFERROR(__xludf.DUMMYFUNCTION("""COMPUTED_VALUE"""),"bears")</f>
        <v>bears</v>
      </c>
      <c r="Q821" s="6" t="str">
        <f>IFERROR(__xludf.DUMMYFUNCTION("""COMPUTED_VALUE"""),"reckless")</f>
        <v>reckless</v>
      </c>
      <c r="S821" s="6" t="str">
        <f>IFERROR(__xludf.DUMMYFUNCTION("""COMPUTED_VALUE"""),"terry")</f>
        <v>terry</v>
      </c>
    </row>
    <row r="822">
      <c r="B822" s="6"/>
      <c r="D822" s="6"/>
      <c r="G822" s="6" t="str">
        <f>IFERROR(__xludf.DUMMYFUNCTION("""COMPUTED_VALUE"""),"lyrical")</f>
        <v>lyrical</v>
      </c>
      <c r="H822" s="6" t="str">
        <f>IFERROR(__xludf.DUMMYFUNCTION("""COMPUTED_VALUE"""),"specimen")</f>
        <v>specimen</v>
      </c>
      <c r="I822" s="6" t="str">
        <f>IFERROR(__xludf.DUMMYFUNCTION("""COMPUTED_VALUE"""),"uncle")</f>
        <v>uncle</v>
      </c>
      <c r="J822" s="6" t="str">
        <f>IFERROR(__xludf.DUMMYFUNCTION("""COMPUTED_VALUE"""),"miraculous")</f>
        <v>miraculous</v>
      </c>
      <c r="L822" s="6" t="str">
        <f>IFERROR(__xludf.DUMMYFUNCTION("""COMPUTED_VALUE"""),"beginnings")</f>
        <v>beginnings</v>
      </c>
      <c r="M822" s="6" t="str">
        <f>IFERROR(__xludf.DUMMYFUNCTION("""COMPUTED_VALUE"""),"angle")</f>
        <v>angle</v>
      </c>
      <c r="N822" s="6" t="str">
        <f>IFERROR(__xludf.DUMMYFUNCTION("""COMPUTED_VALUE"""),"compassion")</f>
        <v>compassion</v>
      </c>
      <c r="P822" s="6" t="str">
        <f>IFERROR(__xludf.DUMMYFUNCTION("""COMPUTED_VALUE"""),"spent")</f>
        <v>spent</v>
      </c>
      <c r="Q822" s="6" t="str">
        <f>IFERROR(__xludf.DUMMYFUNCTION("""COMPUTED_VALUE"""),"thinking")</f>
        <v>thinking</v>
      </c>
      <c r="S822" s="6" t="str">
        <f>IFERROR(__xludf.DUMMYFUNCTION("""COMPUTED_VALUE"""),"french")</f>
        <v>french</v>
      </c>
    </row>
    <row r="823">
      <c r="B823" s="6"/>
      <c r="D823" s="6"/>
      <c r="G823" s="6" t="str">
        <f>IFERROR(__xludf.DUMMYFUNCTION("""COMPUTED_VALUE"""),"blockbuster")</f>
        <v>blockbuster</v>
      </c>
      <c r="H823" s="6" t="str">
        <f>IFERROR(__xludf.DUMMYFUNCTION("""COMPUTED_VALUE"""),"shrill")</f>
        <v>shrill</v>
      </c>
      <c r="I823" s="6" t="str">
        <f>IFERROR(__xludf.DUMMYFUNCTION("""COMPUTED_VALUE"""),"academy")</f>
        <v>academy</v>
      </c>
      <c r="J823" s="6" t="str">
        <f>IFERROR(__xludf.DUMMYFUNCTION("""COMPUTED_VALUE"""),"adequately")</f>
        <v>adequately</v>
      </c>
      <c r="L823" s="6" t="str">
        <f>IFERROR(__xludf.DUMMYFUNCTION("""COMPUTED_VALUE"""),"americans")</f>
        <v>americans</v>
      </c>
      <c r="M823" s="6" t="str">
        <f>IFERROR(__xludf.DUMMYFUNCTION("""COMPUTED_VALUE"""),"bolt")</f>
        <v>bolt</v>
      </c>
      <c r="N823" s="6" t="str">
        <f>IFERROR(__xludf.DUMMYFUNCTION("""COMPUTED_VALUE"""),"vigorously")</f>
        <v>vigorously</v>
      </c>
      <c r="P823" s="6" t="str">
        <f>IFERROR(__xludf.DUMMYFUNCTION("""COMPUTED_VALUE"""),"got")</f>
        <v>got</v>
      </c>
      <c r="Q823" s="6" t="str">
        <f>IFERROR(__xludf.DUMMYFUNCTION("""COMPUTED_VALUE"""),"precious")</f>
        <v>precious</v>
      </c>
      <c r="S823" s="6" t="str">
        <f>IFERROR(__xludf.DUMMYFUNCTION("""COMPUTED_VALUE"""),"fully")</f>
        <v>fully</v>
      </c>
    </row>
    <row r="824">
      <c r="B824" s="6"/>
      <c r="D824" s="6"/>
      <c r="G824" s="6" t="str">
        <f>IFERROR(__xludf.DUMMYFUNCTION("""COMPUTED_VALUE"""),"exploitation")</f>
        <v>exploitation</v>
      </c>
      <c r="H824" s="6" t="str">
        <f>IFERROR(__xludf.DUMMYFUNCTION("""COMPUTED_VALUE"""),"sinister")</f>
        <v>sinister</v>
      </c>
      <c r="I824" s="6" t="str">
        <f>IFERROR(__xludf.DUMMYFUNCTION("""COMPUTED_VALUE"""),"equation")</f>
        <v>equation</v>
      </c>
      <c r="J824" s="6" t="str">
        <f>IFERROR(__xludf.DUMMYFUNCTION("""COMPUTED_VALUE"""),"eerie")</f>
        <v>eerie</v>
      </c>
      <c r="L824" s="6" t="str">
        <f>IFERROR(__xludf.DUMMYFUNCTION("""COMPUTED_VALUE"""),"televised")</f>
        <v>televised</v>
      </c>
      <c r="M824" s="6" t="str">
        <f>IFERROR(__xludf.DUMMYFUNCTION("""COMPUTED_VALUE"""),"ring")</f>
        <v>ring</v>
      </c>
      <c r="N824" s="6" t="str">
        <f>IFERROR(__xludf.DUMMYFUNCTION("""COMPUTED_VALUE"""),"j")</f>
        <v>j</v>
      </c>
      <c r="P824" s="6" t="str">
        <f>IFERROR(__xludf.DUMMYFUNCTION("""COMPUTED_VALUE"""),"creates")</f>
        <v>creates</v>
      </c>
      <c r="Q824" s="6" t="str">
        <f>IFERROR(__xludf.DUMMYFUNCTION("""COMPUTED_VALUE"""),"gripping")</f>
        <v>gripping</v>
      </c>
      <c r="S824" s="6" t="str">
        <f>IFERROR(__xludf.DUMMYFUNCTION("""COMPUTED_VALUE"""),"wake")</f>
        <v>wake</v>
      </c>
    </row>
    <row r="825">
      <c r="B825" s="6"/>
      <c r="D825" s="6"/>
      <c r="G825" s="6" t="str">
        <f>IFERROR(__xludf.DUMMYFUNCTION("""COMPUTED_VALUE"""),"populated")</f>
        <v>populated</v>
      </c>
      <c r="H825" s="6" t="str">
        <f>IFERROR(__xludf.DUMMYFUNCTION("""COMPUTED_VALUE"""),"aground")</f>
        <v>aground</v>
      </c>
      <c r="I825" s="6" t="str">
        <f>IFERROR(__xludf.DUMMYFUNCTION("""COMPUTED_VALUE"""),"mexican")</f>
        <v>mexican</v>
      </c>
      <c r="J825" s="6" t="str">
        <f>IFERROR(__xludf.DUMMYFUNCTION("""COMPUTED_VALUE"""),"uncertain")</f>
        <v>uncertain</v>
      </c>
      <c r="L825" s="6" t="str">
        <f>IFERROR(__xludf.DUMMYFUNCTION("""COMPUTED_VALUE"""),"whale")</f>
        <v>whale</v>
      </c>
      <c r="M825" s="6" t="str">
        <f>IFERROR(__xludf.DUMMYFUNCTION("""COMPUTED_VALUE"""),"series")</f>
        <v>series</v>
      </c>
      <c r="N825" s="6" t="str">
        <f>IFERROR(__xludf.DUMMYFUNCTION("""COMPUTED_VALUE"""),"fiddle")</f>
        <v>fiddle</v>
      </c>
      <c r="P825" s="6" t="str">
        <f>IFERROR(__xludf.DUMMYFUNCTION("""COMPUTED_VALUE"""),"note")</f>
        <v>note</v>
      </c>
      <c r="Q825" s="6" t="str">
        <f>IFERROR(__xludf.DUMMYFUNCTION("""COMPUTED_VALUE"""),"tunisian")</f>
        <v>tunisian</v>
      </c>
      <c r="S825" s="6" t="str">
        <f>IFERROR(__xludf.DUMMYFUNCTION("""COMPUTED_VALUE"""),"sisters")</f>
        <v>sisters</v>
      </c>
    </row>
    <row r="826">
      <c r="B826" s="6"/>
      <c r="D826" s="6"/>
      <c r="G826" s="6" t="str">
        <f>IFERROR(__xludf.DUMMYFUNCTION("""COMPUTED_VALUE"""),"emotion")</f>
        <v>emotion</v>
      </c>
      <c r="H826" s="6" t="str">
        <f>IFERROR(__xludf.DUMMYFUNCTION("""COMPUTED_VALUE"""),"painfully")</f>
        <v>painfully</v>
      </c>
      <c r="I826" s="6" t="str">
        <f>IFERROR(__xludf.DUMMYFUNCTION("""COMPUTED_VALUE"""),"prevention")</f>
        <v>prevention</v>
      </c>
      <c r="J826" s="6" t="str">
        <f>IFERROR(__xludf.DUMMYFUNCTION("""COMPUTED_VALUE"""),"morally")</f>
        <v>morally</v>
      </c>
      <c r="L826" s="6" t="str">
        <f>IFERROR(__xludf.DUMMYFUNCTION("""COMPUTED_VALUE"""),"chasing")</f>
        <v>chasing</v>
      </c>
      <c r="M826" s="6" t="str">
        <f>IFERROR(__xludf.DUMMYFUNCTION("""COMPUTED_VALUE"""),"celebration")</f>
        <v>celebration</v>
      </c>
      <c r="N826" s="6" t="str">
        <f>IFERROR(__xludf.DUMMYFUNCTION("""COMPUTED_VALUE"""),"potentially")</f>
        <v>potentially</v>
      </c>
      <c r="P826" s="6" t="str">
        <f>IFERROR(__xludf.DUMMYFUNCTION("""COMPUTED_VALUE"""),"friend")</f>
        <v>friend</v>
      </c>
      <c r="Q826" s="6" t="str">
        <f>IFERROR(__xludf.DUMMYFUNCTION("""COMPUTED_VALUE"""),"startling")</f>
        <v>startling</v>
      </c>
      <c r="S826" s="6" t="str">
        <f>IFERROR(__xludf.DUMMYFUNCTION("""COMPUTED_VALUE"""),"quiet")</f>
        <v>quiet</v>
      </c>
    </row>
    <row r="827">
      <c r="B827" s="6"/>
      <c r="D827" s="6"/>
      <c r="G827" s="6" t="str">
        <f>IFERROR(__xludf.DUMMYFUNCTION("""COMPUTED_VALUE"""),"triumph")</f>
        <v>triumph</v>
      </c>
      <c r="H827" s="6" t="str">
        <f>IFERROR(__xludf.DUMMYFUNCTION("""COMPUTED_VALUE"""),"roberts")</f>
        <v>roberts</v>
      </c>
      <c r="I827" s="6" t="str">
        <f>IFERROR(__xludf.DUMMYFUNCTION("""COMPUTED_VALUE"""),"soul")</f>
        <v>soul</v>
      </c>
      <c r="J827" s="6" t="str">
        <f>IFERROR(__xludf.DUMMYFUNCTION("""COMPUTED_VALUE"""),"veil")</f>
        <v>veil</v>
      </c>
      <c r="L827" s="6" t="str">
        <f>IFERROR(__xludf.DUMMYFUNCTION("""COMPUTED_VALUE"""),"hopeful")</f>
        <v>hopeful</v>
      </c>
      <c r="M827" s="6" t="str">
        <f>IFERROR(__xludf.DUMMYFUNCTION("""COMPUTED_VALUE"""),"creating")</f>
        <v>creating</v>
      </c>
      <c r="N827" s="6" t="str">
        <f>IFERROR(__xludf.DUMMYFUNCTION("""COMPUTED_VALUE"""),"digital")</f>
        <v>digital</v>
      </c>
      <c r="P827" s="6" t="str">
        <f>IFERROR(__xludf.DUMMYFUNCTION("""COMPUTED_VALUE"""),"chris")</f>
        <v>chris</v>
      </c>
      <c r="Q827" s="6" t="str">
        <f>IFERROR(__xludf.DUMMYFUNCTION("""COMPUTED_VALUE"""),"transformation")</f>
        <v>transformation</v>
      </c>
      <c r="S827" s="6" t="str">
        <f>IFERROR(__xludf.DUMMYFUNCTION("""COMPUTED_VALUE"""),"lopez")</f>
        <v>lopez</v>
      </c>
    </row>
    <row r="828">
      <c r="B828" s="6"/>
      <c r="D828" s="6"/>
      <c r="G828" s="6" t="str">
        <f>IFERROR(__xludf.DUMMYFUNCTION("""COMPUTED_VALUE"""),"wesley")</f>
        <v>wesley</v>
      </c>
      <c r="H828" s="6" t="str">
        <f>IFERROR(__xludf.DUMMYFUNCTION("""COMPUTED_VALUE"""),"workshop")</f>
        <v>workshop</v>
      </c>
      <c r="I828" s="6" t="str">
        <f>IFERROR(__xludf.DUMMYFUNCTION("""COMPUTED_VALUE"""),"warriors")</f>
        <v>warriors</v>
      </c>
      <c r="J828" s="6" t="str">
        <f>IFERROR(__xludf.DUMMYFUNCTION("""COMPUTED_VALUE"""),"editing")</f>
        <v>editing</v>
      </c>
      <c r="L828" s="6" t="str">
        <f>IFERROR(__xludf.DUMMYFUNCTION("""COMPUTED_VALUE"""),"memorial")</f>
        <v>memorial</v>
      </c>
      <c r="M828" s="6" t="str">
        <f>IFERROR(__xludf.DUMMYFUNCTION("""COMPUTED_VALUE"""),"bang")</f>
        <v>bang</v>
      </c>
      <c r="N828" s="6" t="str">
        <f>IFERROR(__xludf.DUMMYFUNCTION("""COMPUTED_VALUE"""),"scoring")</f>
        <v>scoring</v>
      </c>
      <c r="P828" s="6" t="str">
        <f>IFERROR(__xludf.DUMMYFUNCTION("""COMPUTED_VALUE"""),"columbus")</f>
        <v>columbus</v>
      </c>
      <c r="Q828" s="6" t="str">
        <f>IFERROR(__xludf.DUMMYFUNCTION("""COMPUTED_VALUE"""),"widow")</f>
        <v>widow</v>
      </c>
      <c r="S828" s="6" t="str">
        <f>IFERROR(__xludf.DUMMYFUNCTION("""COMPUTED_VALUE"""),"focused")</f>
        <v>focused</v>
      </c>
    </row>
    <row r="829">
      <c r="B829" s="6"/>
      <c r="D829" s="6"/>
      <c r="G829" s="6" t="str">
        <f>IFERROR(__xludf.DUMMYFUNCTION("""COMPUTED_VALUE"""),"breakthrough")</f>
        <v>breakthrough</v>
      </c>
      <c r="H829" s="6" t="str">
        <f>IFERROR(__xludf.DUMMYFUNCTION("""COMPUTED_VALUE"""),"grasping")</f>
        <v>grasping</v>
      </c>
      <c r="I829" s="6" t="str">
        <f>IFERROR(__xludf.DUMMYFUNCTION("""COMPUTED_VALUE"""),"lowered")</f>
        <v>lowered</v>
      </c>
      <c r="J829" s="6" t="str">
        <f>IFERROR(__xludf.DUMMYFUNCTION("""COMPUTED_VALUE"""),"strength")</f>
        <v>strength</v>
      </c>
      <c r="L829" s="6" t="str">
        <f>IFERROR(__xludf.DUMMYFUNCTION("""COMPUTED_VALUE"""),"scenes")</f>
        <v>scenes</v>
      </c>
      <c r="M829" s="6" t="str">
        <f>IFERROR(__xludf.DUMMYFUNCTION("""COMPUTED_VALUE"""),"state")</f>
        <v>state</v>
      </c>
      <c r="N829" s="6" t="str">
        <f>IFERROR(__xludf.DUMMYFUNCTION("""COMPUTED_VALUE"""),"material")</f>
        <v>material</v>
      </c>
      <c r="P829" s="6" t="str">
        <f>IFERROR(__xludf.DUMMYFUNCTION("""COMPUTED_VALUE"""),"basic")</f>
        <v>basic</v>
      </c>
      <c r="Q829" s="6" t="str">
        <f>IFERROR(__xludf.DUMMYFUNCTION("""COMPUTED_VALUE"""),"drawn")</f>
        <v>drawn</v>
      </c>
      <c r="S829" s="6" t="str">
        <f>IFERROR(__xludf.DUMMYFUNCTION("""COMPUTED_VALUE"""),"philadelphia")</f>
        <v>philadelphia</v>
      </c>
    </row>
    <row r="830">
      <c r="B830" s="6"/>
      <c r="D830" s="6"/>
      <c r="G830" s="6" t="str">
        <f>IFERROR(__xludf.DUMMYFUNCTION("""COMPUTED_VALUE"""),"television")</f>
        <v>television</v>
      </c>
      <c r="H830" s="6" t="str">
        <f>IFERROR(__xludf.DUMMYFUNCTION("""COMPUTED_VALUE"""),"resemble")</f>
        <v>resemble</v>
      </c>
      <c r="I830" s="6" t="str">
        <f>IFERROR(__xludf.DUMMYFUNCTION("""COMPUTED_VALUE"""),"gang")</f>
        <v>gang</v>
      </c>
      <c r="J830" s="6" t="str">
        <f>IFERROR(__xludf.DUMMYFUNCTION("""COMPUTED_VALUE"""),"confident")</f>
        <v>confident</v>
      </c>
      <c r="L830" s="6" t="str">
        <f>IFERROR(__xludf.DUMMYFUNCTION("""COMPUTED_VALUE"""),"rounded")</f>
        <v>rounded</v>
      </c>
      <c r="M830" s="6" t="str">
        <f>IFERROR(__xludf.DUMMYFUNCTION("""COMPUTED_VALUE"""),"psychology")</f>
        <v>psychology</v>
      </c>
      <c r="N830" s="6" t="str">
        <f>IFERROR(__xludf.DUMMYFUNCTION("""COMPUTED_VALUE"""),"silly")</f>
        <v>silly</v>
      </c>
      <c r="P830" s="6" t="str">
        <f>IFERROR(__xludf.DUMMYFUNCTION("""COMPUTED_VALUE"""),"affected")</f>
        <v>affected</v>
      </c>
      <c r="Q830" s="6" t="str">
        <f>IFERROR(__xludf.DUMMYFUNCTION("""COMPUTED_VALUE"""),"soccer")</f>
        <v>soccer</v>
      </c>
      <c r="S830" s="6" t="str">
        <f>IFERROR(__xludf.DUMMYFUNCTION("""COMPUTED_VALUE"""),"relegated")</f>
        <v>relegated</v>
      </c>
    </row>
    <row r="831">
      <c r="B831" s="6"/>
      <c r="D831" s="6"/>
      <c r="G831" s="6" t="str">
        <f>IFERROR(__xludf.DUMMYFUNCTION("""COMPUTED_VALUE"""),"assumes")</f>
        <v>assumes</v>
      </c>
      <c r="H831" s="6" t="str">
        <f>IFERROR(__xludf.DUMMYFUNCTION("""COMPUTED_VALUE"""),"vigorously")</f>
        <v>vigorously</v>
      </c>
      <c r="I831" s="6" t="str">
        <f>IFERROR(__xludf.DUMMYFUNCTION("""COMPUTED_VALUE"""),"slip")</f>
        <v>slip</v>
      </c>
      <c r="J831" s="6" t="str">
        <f>IFERROR(__xludf.DUMMYFUNCTION("""COMPUTED_VALUE"""),"scripts")</f>
        <v>scripts</v>
      </c>
      <c r="L831" s="6" t="str">
        <f>IFERROR(__xludf.DUMMYFUNCTION("""COMPUTED_VALUE"""),"inspirational")</f>
        <v>inspirational</v>
      </c>
      <c r="M831" s="6" t="str">
        <f>IFERROR(__xludf.DUMMYFUNCTION("""COMPUTED_VALUE"""),"hospital")</f>
        <v>hospital</v>
      </c>
      <c r="N831" s="6" t="str">
        <f>IFERROR(__xludf.DUMMYFUNCTION("""COMPUTED_VALUE"""),"success")</f>
        <v>success</v>
      </c>
      <c r="P831" s="6" t="str">
        <f>IFERROR(__xludf.DUMMYFUNCTION("""COMPUTED_VALUE"""),"foundation")</f>
        <v>foundation</v>
      </c>
      <c r="Q831" s="6" t="str">
        <f>IFERROR(__xludf.DUMMYFUNCTION("""COMPUTED_VALUE"""),"stab")</f>
        <v>stab</v>
      </c>
      <c r="S831" s="6" t="str">
        <f>IFERROR(__xludf.DUMMYFUNCTION("""COMPUTED_VALUE"""),"strange")</f>
        <v>strange</v>
      </c>
    </row>
    <row r="832">
      <c r="B832" s="6"/>
      <c r="D832" s="6"/>
      <c r="G832" s="6" t="str">
        <f>IFERROR(__xludf.DUMMYFUNCTION("""COMPUTED_VALUE"""),"capture")</f>
        <v>capture</v>
      </c>
      <c r="H832" s="6" t="str">
        <f>IFERROR(__xludf.DUMMYFUNCTION("""COMPUTED_VALUE"""),"improvisation")</f>
        <v>improvisation</v>
      </c>
      <c r="I832" s="6" t="str">
        <f>IFERROR(__xludf.DUMMYFUNCTION("""COMPUTED_VALUE"""),"lectures")</f>
        <v>lectures</v>
      </c>
      <c r="J832" s="6" t="str">
        <f>IFERROR(__xludf.DUMMYFUNCTION("""COMPUTED_VALUE"""),"abandon")</f>
        <v>abandon</v>
      </c>
      <c r="L832" s="6" t="str">
        <f>IFERROR(__xludf.DUMMYFUNCTION("""COMPUTED_VALUE"""),"cartoon")</f>
        <v>cartoon</v>
      </c>
      <c r="M832" s="6" t="str">
        <f>IFERROR(__xludf.DUMMYFUNCTION("""COMPUTED_VALUE"""),"catch")</f>
        <v>catch</v>
      </c>
      <c r="N832" s="6" t="str">
        <f>IFERROR(__xludf.DUMMYFUNCTION("""COMPUTED_VALUE"""),"mothers")</f>
        <v>mothers</v>
      </c>
      <c r="P832" s="6" t="str">
        <f>IFERROR(__xludf.DUMMYFUNCTION("""COMPUTED_VALUE"""),"relative")</f>
        <v>relative</v>
      </c>
      <c r="Q832" s="6" t="str">
        <f>IFERROR(__xludf.DUMMYFUNCTION("""COMPUTED_VALUE"""),"festival")</f>
        <v>festival</v>
      </c>
      <c r="S832" s="6" t="str">
        <f>IFERROR(__xludf.DUMMYFUNCTION("""COMPUTED_VALUE"""),"possible")</f>
        <v>possible</v>
      </c>
    </row>
    <row r="833">
      <c r="B833" s="6"/>
      <c r="D833" s="6"/>
      <c r="G833" s="6" t="str">
        <f>IFERROR(__xludf.DUMMYFUNCTION("""COMPUTED_VALUE"""),"penetrating")</f>
        <v>penetrating</v>
      </c>
      <c r="H833" s="6" t="str">
        <f>IFERROR(__xludf.DUMMYFUNCTION("""COMPUTED_VALUE"""),"experimentation")</f>
        <v>experimentation</v>
      </c>
      <c r="I833" s="6" t="str">
        <f>IFERROR(__xludf.DUMMYFUNCTION("""COMPUTED_VALUE"""),"terrorist")</f>
        <v>terrorist</v>
      </c>
      <c r="J833" s="6" t="str">
        <f>IFERROR(__xludf.DUMMYFUNCTION("""COMPUTED_VALUE"""),"directors")</f>
        <v>directors</v>
      </c>
      <c r="L833" s="6" t="str">
        <f>IFERROR(__xludf.DUMMYFUNCTION("""COMPUTED_VALUE"""),"flow")</f>
        <v>flow</v>
      </c>
      <c r="M833" s="6" t="str">
        <f>IFERROR(__xludf.DUMMYFUNCTION("""COMPUTED_VALUE"""),"ellen")</f>
        <v>ellen</v>
      </c>
      <c r="N833" s="6" t="str">
        <f>IFERROR(__xludf.DUMMYFUNCTION("""COMPUTED_VALUE"""),"brain")</f>
        <v>brain</v>
      </c>
      <c r="P833" s="6" t="str">
        <f>IFERROR(__xludf.DUMMYFUNCTION("""COMPUTED_VALUE"""),"objective")</f>
        <v>objective</v>
      </c>
      <c r="Q833" s="6" t="str">
        <f>IFERROR(__xludf.DUMMYFUNCTION("""COMPUTED_VALUE"""),"george")</f>
        <v>george</v>
      </c>
      <c r="S833" s="6" t="str">
        <f>IFERROR(__xludf.DUMMYFUNCTION("""COMPUTED_VALUE"""),"calm")</f>
        <v>calm</v>
      </c>
    </row>
    <row r="834">
      <c r="B834" s="6"/>
      <c r="D834" s="6"/>
      <c r="G834" s="6" t="str">
        <f>IFERROR(__xludf.DUMMYFUNCTION("""COMPUTED_VALUE"""),"fascination")</f>
        <v>fascination</v>
      </c>
      <c r="H834" s="6" t="str">
        <f>IFERROR(__xludf.DUMMYFUNCTION("""COMPUTED_VALUE"""),"certain")</f>
        <v>certain</v>
      </c>
      <c r="I834" s="6" t="str">
        <f>IFERROR(__xludf.DUMMYFUNCTION("""COMPUTED_VALUE"""),"gaze")</f>
        <v>gaze</v>
      </c>
      <c r="J834" s="6" t="str">
        <f>IFERROR(__xludf.DUMMYFUNCTION("""COMPUTED_VALUE"""),"stephen")</f>
        <v>stephen</v>
      </c>
      <c r="L834" s="6" t="str">
        <f>IFERROR(__xludf.DUMMYFUNCTION("""COMPUTED_VALUE"""),"lavish")</f>
        <v>lavish</v>
      </c>
      <c r="M834" s="6" t="str">
        <f>IFERROR(__xludf.DUMMYFUNCTION("""COMPUTED_VALUE"""),"factor")</f>
        <v>factor</v>
      </c>
      <c r="N834" s="6" t="str">
        <f>IFERROR(__xludf.DUMMYFUNCTION("""COMPUTED_VALUE"""),"emerges")</f>
        <v>emerges</v>
      </c>
      <c r="P834" s="6" t="str">
        <f>IFERROR(__xludf.DUMMYFUNCTION("""COMPUTED_VALUE"""),"sung")</f>
        <v>sung</v>
      </c>
      <c r="Q834" s="6" t="str">
        <f>IFERROR(__xludf.DUMMYFUNCTION("""COMPUTED_VALUE"""),"french")</f>
        <v>french</v>
      </c>
      <c r="S834" s="6" t="str">
        <f>IFERROR(__xludf.DUMMYFUNCTION("""COMPUTED_VALUE"""),"rises")</f>
        <v>rises</v>
      </c>
    </row>
    <row r="835">
      <c r="B835" s="6"/>
      <c r="D835" s="6"/>
      <c r="G835" s="6" t="str">
        <f>IFERROR(__xludf.DUMMYFUNCTION("""COMPUTED_VALUE"""),"operational")</f>
        <v>operational</v>
      </c>
      <c r="H835" s="6" t="str">
        <f>IFERROR(__xludf.DUMMYFUNCTION("""COMPUTED_VALUE"""),"ceremonies")</f>
        <v>ceremonies</v>
      </c>
      <c r="I835" s="6" t="str">
        <f>IFERROR(__xludf.DUMMYFUNCTION("""COMPUTED_VALUE"""),"birmingham")</f>
        <v>birmingham</v>
      </c>
      <c r="J835" s="6" t="str">
        <f>IFERROR(__xludf.DUMMYFUNCTION("""COMPUTED_VALUE"""),"richer")</f>
        <v>richer</v>
      </c>
      <c r="L835" s="6" t="str">
        <f>IFERROR(__xludf.DUMMYFUNCTION("""COMPUTED_VALUE"""),"colorful")</f>
        <v>colorful</v>
      </c>
      <c r="M835" s="6" t="str">
        <f>IFERROR(__xludf.DUMMYFUNCTION("""COMPUTED_VALUE"""),"moments")</f>
        <v>moments</v>
      </c>
      <c r="N835" s="6" t="str">
        <f>IFERROR(__xludf.DUMMYFUNCTION("""COMPUTED_VALUE"""),"bow")</f>
        <v>bow</v>
      </c>
      <c r="P835" s="6" t="str">
        <f>IFERROR(__xludf.DUMMYFUNCTION("""COMPUTED_VALUE"""),"carol")</f>
        <v>carol</v>
      </c>
      <c r="Q835" s="6" t="str">
        <f>IFERROR(__xludf.DUMMYFUNCTION("""COMPUTED_VALUE"""),"devoid")</f>
        <v>devoid</v>
      </c>
      <c r="S835" s="6" t="str">
        <f>IFERROR(__xludf.DUMMYFUNCTION("""COMPUTED_VALUE"""),"ian")</f>
        <v>ian</v>
      </c>
    </row>
    <row r="836">
      <c r="B836" s="6"/>
      <c r="D836" s="6"/>
      <c r="G836" s="6" t="str">
        <f>IFERROR(__xludf.DUMMYFUNCTION("""COMPUTED_VALUE"""),"vague")</f>
        <v>vague</v>
      </c>
      <c r="H836" s="6" t="str">
        <f>IFERROR(__xludf.DUMMYFUNCTION("""COMPUTED_VALUE"""),"crises")</f>
        <v>crises</v>
      </c>
      <c r="I836" s="6" t="str">
        <f>IFERROR(__xludf.DUMMYFUNCTION("""COMPUTED_VALUE"""),"rules")</f>
        <v>rules</v>
      </c>
      <c r="J836" s="6" t="str">
        <f>IFERROR(__xludf.DUMMYFUNCTION("""COMPUTED_VALUE"""),"publishing")</f>
        <v>publishing</v>
      </c>
      <c r="L836" s="6" t="str">
        <f>IFERROR(__xludf.DUMMYFUNCTION("""COMPUTED_VALUE"""),"teen")</f>
        <v>teen</v>
      </c>
      <c r="M836" s="6" t="str">
        <f>IFERROR(__xludf.DUMMYFUNCTION("""COMPUTED_VALUE"""),"proper")</f>
        <v>proper</v>
      </c>
      <c r="N836" s="6" t="str">
        <f>IFERROR(__xludf.DUMMYFUNCTION("""COMPUTED_VALUE"""),"battle")</f>
        <v>battle</v>
      </c>
      <c r="P836" s="6" t="str">
        <f>IFERROR(__xludf.DUMMYFUNCTION("""COMPUTED_VALUE"""),"product")</f>
        <v>product</v>
      </c>
      <c r="Q836" s="6" t="str">
        <f>IFERROR(__xludf.DUMMYFUNCTION("""COMPUTED_VALUE"""),"fatal")</f>
        <v>fatal</v>
      </c>
      <c r="S836" s="6" t="str">
        <f>IFERROR(__xludf.DUMMYFUNCTION("""COMPUTED_VALUE"""),"minds")</f>
        <v>minds</v>
      </c>
    </row>
    <row r="837">
      <c r="B837" s="6"/>
      <c r="D837" s="6"/>
      <c r="G837" s="6" t="str">
        <f>IFERROR(__xludf.DUMMYFUNCTION("""COMPUTED_VALUE"""),"cult")</f>
        <v>cult</v>
      </c>
      <c r="H837" s="6" t="b">
        <f>IFERROR(__xludf.DUMMYFUNCTION("""COMPUTED_VALUE"""),FALSE)</f>
        <v>0</v>
      </c>
      <c r="I837" s="6">
        <f>IFERROR(__xludf.DUMMYFUNCTION("""COMPUTED_VALUE"""),89.0)</f>
        <v>89</v>
      </c>
      <c r="J837" s="6" t="str">
        <f>IFERROR(__xludf.DUMMYFUNCTION("""COMPUTED_VALUE"""),"hearst")</f>
        <v>hearst</v>
      </c>
      <c r="L837" s="6" t="str">
        <f>IFERROR(__xludf.DUMMYFUNCTION("""COMPUTED_VALUE"""),"biting")</f>
        <v>biting</v>
      </c>
      <c r="M837" s="6" t="str">
        <f>IFERROR(__xludf.DUMMYFUNCTION("""COMPUTED_VALUE"""),"fluid")</f>
        <v>fluid</v>
      </c>
      <c r="N837" s="6" t="str">
        <f>IFERROR(__xludf.DUMMYFUNCTION("""COMPUTED_VALUE"""),"vision")</f>
        <v>vision</v>
      </c>
      <c r="P837" s="6" t="str">
        <f>IFERROR(__xludf.DUMMYFUNCTION("""COMPUTED_VALUE"""),"crimes")</f>
        <v>crimes</v>
      </c>
      <c r="Q837" s="6" t="str">
        <f>IFERROR(__xludf.DUMMYFUNCTION("""COMPUTED_VALUE"""),"desperation")</f>
        <v>desperation</v>
      </c>
      <c r="S837" s="6" t="str">
        <f>IFERROR(__xludf.DUMMYFUNCTION("""COMPUTED_VALUE"""),"justice")</f>
        <v>justice</v>
      </c>
    </row>
    <row r="838">
      <c r="B838" s="6"/>
      <c r="D838" s="6"/>
      <c r="G838" s="6" t="str">
        <f>IFERROR(__xludf.DUMMYFUNCTION("""COMPUTED_VALUE"""),"undone")</f>
        <v>undone</v>
      </c>
      <c r="H838" s="6" t="str">
        <f>IFERROR(__xludf.DUMMYFUNCTION("""COMPUTED_VALUE"""),"weight")</f>
        <v>weight</v>
      </c>
      <c r="I838" s="6" t="str">
        <f>IFERROR(__xludf.DUMMYFUNCTION("""COMPUTED_VALUE"""),"israel")</f>
        <v>israel</v>
      </c>
      <c r="J838" s="6" t="str">
        <f>IFERROR(__xludf.DUMMYFUNCTION("""COMPUTED_VALUE"""),"william")</f>
        <v>william</v>
      </c>
      <c r="L838" s="6" t="str">
        <f>IFERROR(__xludf.DUMMYFUNCTION("""COMPUTED_VALUE"""),"audiences")</f>
        <v>audiences</v>
      </c>
      <c r="M838" s="6" t="str">
        <f>IFERROR(__xludf.DUMMYFUNCTION("""COMPUTED_VALUE"""),"parent")</f>
        <v>parent</v>
      </c>
      <c r="N838" s="6" t="str">
        <f>IFERROR(__xludf.DUMMYFUNCTION("""COMPUTED_VALUE"""),"spreads")</f>
        <v>spreads</v>
      </c>
      <c r="P838" s="6" t="str">
        <f>IFERROR(__xludf.DUMMYFUNCTION("""COMPUTED_VALUE"""),"france")</f>
        <v>france</v>
      </c>
      <c r="Q838" s="6" t="str">
        <f>IFERROR(__xludf.DUMMYFUNCTION("""COMPUTED_VALUE"""),"glossy")</f>
        <v>glossy</v>
      </c>
      <c r="S838" s="6" t="str">
        <f>IFERROR(__xludf.DUMMYFUNCTION("""COMPUTED_VALUE"""),"etc")</f>
        <v>etc</v>
      </c>
    </row>
    <row r="839">
      <c r="B839" s="6"/>
      <c r="D839" s="6"/>
      <c r="G839" s="6" t="str">
        <f>IFERROR(__xludf.DUMMYFUNCTION("""COMPUTED_VALUE"""),"heard")</f>
        <v>heard</v>
      </c>
      <c r="H839" s="6" t="str">
        <f>IFERROR(__xludf.DUMMYFUNCTION("""COMPUTED_VALUE"""),"devices")</f>
        <v>devices</v>
      </c>
      <c r="I839" s="6" t="str">
        <f>IFERROR(__xludf.DUMMYFUNCTION("""COMPUTED_VALUE"""),"michel")</f>
        <v>michel</v>
      </c>
      <c r="J839" s="6" t="str">
        <f>IFERROR(__xludf.DUMMYFUNCTION("""COMPUTED_VALUE"""),"hollow")</f>
        <v>hollow</v>
      </c>
      <c r="L839" s="6" t="str">
        <f>IFERROR(__xludf.DUMMYFUNCTION("""COMPUTED_VALUE"""),"connect")</f>
        <v>connect</v>
      </c>
      <c r="M839" s="6" t="str">
        <f>IFERROR(__xludf.DUMMYFUNCTION("""COMPUTED_VALUE"""),"sex")</f>
        <v>sex</v>
      </c>
      <c r="N839" s="6" t="str">
        <f>IFERROR(__xludf.DUMMYFUNCTION("""COMPUTED_VALUE"""),"task")</f>
        <v>task</v>
      </c>
      <c r="P839" s="6" t="str">
        <f>IFERROR(__xludf.DUMMYFUNCTION("""COMPUTED_VALUE"""),"20th")</f>
        <v>20th</v>
      </c>
      <c r="Q839" s="6" t="str">
        <f>IFERROR(__xludf.DUMMYFUNCTION("""COMPUTED_VALUE"""),"fully")</f>
        <v>fully</v>
      </c>
      <c r="S839" s="6" t="str">
        <f>IFERROR(__xludf.DUMMYFUNCTION("""COMPUTED_VALUE"""),"heads")</f>
        <v>heads</v>
      </c>
    </row>
    <row r="840">
      <c r="B840" s="6"/>
      <c r="D840" s="6"/>
      <c r="G840" s="6" t="str">
        <f>IFERROR(__xludf.DUMMYFUNCTION("""COMPUTED_VALUE"""),"nicholson")</f>
        <v>nicholson</v>
      </c>
      <c r="H840" s="6" t="str">
        <f>IFERROR(__xludf.DUMMYFUNCTION("""COMPUTED_VALUE"""),"fundamentally")</f>
        <v>fundamentally</v>
      </c>
      <c r="I840" s="6" t="str">
        <f>IFERROR(__xludf.DUMMYFUNCTION("""COMPUTED_VALUE"""),"gay")</f>
        <v>gay</v>
      </c>
      <c r="J840" s="6" t="str">
        <f>IFERROR(__xludf.DUMMYFUNCTION("""COMPUTED_VALUE"""),"burning")</f>
        <v>burning</v>
      </c>
      <c r="L840" s="6" t="str">
        <f>IFERROR(__xludf.DUMMYFUNCTION("""COMPUTED_VALUE"""),"accomplished")</f>
        <v>accomplished</v>
      </c>
      <c r="M840" s="6" t="str">
        <f>IFERROR(__xludf.DUMMYFUNCTION("""COMPUTED_VALUE"""),"january")</f>
        <v>january</v>
      </c>
      <c r="N840" s="6" t="str">
        <f>IFERROR(__xludf.DUMMYFUNCTION("""COMPUTED_VALUE"""),"smash")</f>
        <v>smash</v>
      </c>
      <c r="P840" s="6" t="str">
        <f>IFERROR(__xludf.DUMMYFUNCTION("""COMPUTED_VALUE"""),"bags")</f>
        <v>bags</v>
      </c>
      <c r="Q840" s="6" t="str">
        <f>IFERROR(__xludf.DUMMYFUNCTION("""COMPUTED_VALUE"""),"r")</f>
        <v>r</v>
      </c>
      <c r="S840" s="6" t="str">
        <f>IFERROR(__xludf.DUMMYFUNCTION("""COMPUTED_VALUE"""),"someone")</f>
        <v>someone</v>
      </c>
    </row>
    <row r="841">
      <c r="B841" s="6"/>
      <c r="D841" s="6"/>
      <c r="G841" s="6" t="str">
        <f>IFERROR(__xludf.DUMMYFUNCTION("""COMPUTED_VALUE"""),"mortal")</f>
        <v>mortal</v>
      </c>
      <c r="H841" s="6" t="str">
        <f>IFERROR(__xludf.DUMMYFUNCTION("""COMPUTED_VALUE"""),"conventional")</f>
        <v>conventional</v>
      </c>
      <c r="I841" s="6" t="str">
        <f>IFERROR(__xludf.DUMMYFUNCTION("""COMPUTED_VALUE"""),"conservative")</f>
        <v>conservative</v>
      </c>
      <c r="J841" s="6" t="str">
        <f>IFERROR(__xludf.DUMMYFUNCTION("""COMPUTED_VALUE"""),"unchanged")</f>
        <v>unchanged</v>
      </c>
      <c r="L841" s="6" t="str">
        <f>IFERROR(__xludf.DUMMYFUNCTION("""COMPUTED_VALUE"""),"nation")</f>
        <v>nation</v>
      </c>
      <c r="M841" s="6" t="str">
        <f>IFERROR(__xludf.DUMMYFUNCTION("""COMPUTED_VALUE"""),"damage")</f>
        <v>damage</v>
      </c>
      <c r="N841" s="6" t="str">
        <f>IFERROR(__xludf.DUMMYFUNCTION("""COMPUTED_VALUE"""),"leads")</f>
        <v>leads</v>
      </c>
      <c r="P841" s="6" t="str">
        <f>IFERROR(__xludf.DUMMYFUNCTION("""COMPUTED_VALUE"""),"suit")</f>
        <v>suit</v>
      </c>
      <c r="Q841" s="6" t="str">
        <f>IFERROR(__xludf.DUMMYFUNCTION("""COMPUTED_VALUE"""),"bollywood")</f>
        <v>bollywood</v>
      </c>
      <c r="S841" s="6" t="str">
        <f>IFERROR(__xludf.DUMMYFUNCTION("""COMPUTED_VALUE"""),"forget")</f>
        <v>forget</v>
      </c>
    </row>
    <row r="842">
      <c r="B842" s="6"/>
      <c r="D842" s="6"/>
      <c r="G842" s="6" t="str">
        <f>IFERROR(__xludf.DUMMYFUNCTION("""COMPUTED_VALUE"""),"intent")</f>
        <v>intent</v>
      </c>
      <c r="H842" s="6" t="str">
        <f>IFERROR(__xludf.DUMMYFUNCTION("""COMPUTED_VALUE"""),"manhattan")</f>
        <v>manhattan</v>
      </c>
      <c r="I842" s="6" t="str">
        <f>IFERROR(__xludf.DUMMYFUNCTION("""COMPUTED_VALUE"""),"suspected")</f>
        <v>suspected</v>
      </c>
      <c r="J842" s="6" t="str">
        <f>IFERROR(__xludf.DUMMYFUNCTION("""COMPUTED_VALUE"""),"portrayed")</f>
        <v>portrayed</v>
      </c>
      <c r="L842" s="6" t="str">
        <f>IFERROR(__xludf.DUMMYFUNCTION("""COMPUTED_VALUE"""),"strokes")</f>
        <v>strokes</v>
      </c>
      <c r="M842" s="6" t="str">
        <f>IFERROR(__xludf.DUMMYFUNCTION("""COMPUTED_VALUE"""),"developed")</f>
        <v>developed</v>
      </c>
      <c r="N842" s="6" t="str">
        <f>IFERROR(__xludf.DUMMYFUNCTION("""COMPUTED_VALUE"""),"conflict")</f>
        <v>conflict</v>
      </c>
      <c r="P842" s="6" t="str">
        <f>IFERROR(__xludf.DUMMYFUNCTION("""COMPUTED_VALUE"""),"ordinary")</f>
        <v>ordinary</v>
      </c>
      <c r="Q842" s="6" t="str">
        <f>IFERROR(__xludf.DUMMYFUNCTION("""COMPUTED_VALUE"""),"devastating")</f>
        <v>devastating</v>
      </c>
      <c r="S842" s="6" t="str">
        <f>IFERROR(__xludf.DUMMYFUNCTION("""COMPUTED_VALUE"""),"achievement")</f>
        <v>achievement</v>
      </c>
    </row>
    <row r="843">
      <c r="B843" s="6"/>
      <c r="D843" s="6"/>
      <c r="G843" s="6" t="str">
        <f>IFERROR(__xludf.DUMMYFUNCTION("""COMPUTED_VALUE"""),"creeping")</f>
        <v>creeping</v>
      </c>
      <c r="H843" s="6" t="str">
        <f>IFERROR(__xludf.DUMMYFUNCTION("""COMPUTED_VALUE"""),"skies")</f>
        <v>skies</v>
      </c>
      <c r="I843" s="6" t="str">
        <f>IFERROR(__xludf.DUMMYFUNCTION("""COMPUTED_VALUE"""),"fool")</f>
        <v>fool</v>
      </c>
      <c r="J843" s="6" t="str">
        <f>IFERROR(__xludf.DUMMYFUNCTION("""COMPUTED_VALUE"""),"groundbreaking")</f>
        <v>groundbreaking</v>
      </c>
      <c r="L843" s="6" t="str">
        <f>IFERROR(__xludf.DUMMYFUNCTION("""COMPUTED_VALUE"""),"graduated")</f>
        <v>graduated</v>
      </c>
      <c r="M843" s="6" t="str">
        <f>IFERROR(__xludf.DUMMYFUNCTION("""COMPUTED_VALUE"""),"object")</f>
        <v>object</v>
      </c>
      <c r="N843" s="6" t="str">
        <f>IFERROR(__xludf.DUMMYFUNCTION("""COMPUTED_VALUE"""),"canvas")</f>
        <v>canvas</v>
      </c>
      <c r="P843" s="6" t="str">
        <f>IFERROR(__xludf.DUMMYFUNCTION("""COMPUTED_VALUE"""),"performing")</f>
        <v>performing</v>
      </c>
      <c r="Q843" s="6" t="str">
        <f>IFERROR(__xludf.DUMMYFUNCTION("""COMPUTED_VALUE"""),"profoundly")</f>
        <v>profoundly</v>
      </c>
      <c r="S843" s="6" t="str">
        <f>IFERROR(__xludf.DUMMYFUNCTION("""COMPUTED_VALUE"""),"morgan")</f>
        <v>morgan</v>
      </c>
    </row>
    <row r="844">
      <c r="B844" s="6"/>
      <c r="D844" s="6"/>
      <c r="G844" s="6" t="str">
        <f>IFERROR(__xludf.DUMMYFUNCTION("""COMPUTED_VALUE"""),"invasion")</f>
        <v>invasion</v>
      </c>
      <c r="H844" s="6" t="str">
        <f>IFERROR(__xludf.DUMMYFUNCTION("""COMPUTED_VALUE"""),"prevents")</f>
        <v>prevents</v>
      </c>
      <c r="I844" s="6" t="str">
        <f>IFERROR(__xludf.DUMMYFUNCTION("""COMPUTED_VALUE"""),"kenneth")</f>
        <v>kenneth</v>
      </c>
      <c r="J844" s="6" t="str">
        <f>IFERROR(__xludf.DUMMYFUNCTION("""COMPUTED_VALUE"""),"musicals")</f>
        <v>musicals</v>
      </c>
      <c r="L844" s="6" t="str">
        <f>IFERROR(__xludf.DUMMYFUNCTION("""COMPUTED_VALUE"""),"canon")</f>
        <v>canon</v>
      </c>
      <c r="M844" s="6" t="str">
        <f>IFERROR(__xludf.DUMMYFUNCTION("""COMPUTED_VALUE"""),"complicated")</f>
        <v>complicated</v>
      </c>
      <c r="N844" s="6" t="str">
        <f>IFERROR(__xludf.DUMMYFUNCTION("""COMPUTED_VALUE"""),"symbolic")</f>
        <v>symbolic</v>
      </c>
      <c r="P844" s="6" t="str">
        <f>IFERROR(__xludf.DUMMYFUNCTION("""COMPUTED_VALUE"""),"ethics")</f>
        <v>ethics</v>
      </c>
      <c r="Q844" s="6" t="str">
        <f>IFERROR(__xludf.DUMMYFUNCTION("""COMPUTED_VALUE"""),"homosexuality")</f>
        <v>homosexuality</v>
      </c>
      <c r="S844" s="6" t="str">
        <f>IFERROR(__xludf.DUMMYFUNCTION("""COMPUTED_VALUE"""),"robin")</f>
        <v>robin</v>
      </c>
    </row>
    <row r="845">
      <c r="B845" s="6"/>
      <c r="D845" s="6"/>
      <c r="G845" s="6" t="str">
        <f>IFERROR(__xludf.DUMMYFUNCTION("""COMPUTED_VALUE"""),"myers")</f>
        <v>myers</v>
      </c>
      <c r="H845" s="6" t="str">
        <f>IFERROR(__xludf.DUMMYFUNCTION("""COMPUTED_VALUE"""),"firing")</f>
        <v>firing</v>
      </c>
      <c r="I845" s="6" t="str">
        <f>IFERROR(__xludf.DUMMYFUNCTION("""COMPUTED_VALUE"""),"arrow")</f>
        <v>arrow</v>
      </c>
      <c r="J845" s="6">
        <f>IFERROR(__xludf.DUMMYFUNCTION("""COMPUTED_VALUE"""),30.0)</f>
        <v>30</v>
      </c>
      <c r="L845" s="6" t="str">
        <f>IFERROR(__xludf.DUMMYFUNCTION("""COMPUTED_VALUE"""),"embrace")</f>
        <v>embrace</v>
      </c>
      <c r="M845" s="6" t="str">
        <f>IFERROR(__xludf.DUMMYFUNCTION("""COMPUTED_VALUE"""),"equivalent")</f>
        <v>equivalent</v>
      </c>
      <c r="N845" s="6" t="str">
        <f>IFERROR(__xludf.DUMMYFUNCTION("""COMPUTED_VALUE"""),"championship")</f>
        <v>championship</v>
      </c>
      <c r="P845" s="6" t="str">
        <f>IFERROR(__xludf.DUMMYFUNCTION("""COMPUTED_VALUE"""),"fisher")</f>
        <v>fisher</v>
      </c>
      <c r="Q845" s="6" t="str">
        <f>IFERROR(__xludf.DUMMYFUNCTION("""COMPUTED_VALUE"""),"achievements")</f>
        <v>achievements</v>
      </c>
      <c r="S845" s="6" t="str">
        <f>IFERROR(__xludf.DUMMYFUNCTION("""COMPUTED_VALUE"""),"laughing")</f>
        <v>laughing</v>
      </c>
    </row>
    <row r="846">
      <c r="B846" s="6"/>
      <c r="D846" s="6"/>
      <c r="G846" s="6" t="str">
        <f>IFERROR(__xludf.DUMMYFUNCTION("""COMPUTED_VALUE"""),"variant")</f>
        <v>variant</v>
      </c>
      <c r="H846" s="6" t="str">
        <f>IFERROR(__xludf.DUMMYFUNCTION("""COMPUTED_VALUE"""),"testimony")</f>
        <v>testimony</v>
      </c>
      <c r="I846" s="6" t="str">
        <f>IFERROR(__xludf.DUMMYFUNCTION("""COMPUTED_VALUE"""),"kissing")</f>
        <v>kissing</v>
      </c>
      <c r="J846" s="6" t="str">
        <f>IFERROR(__xludf.DUMMYFUNCTION("""COMPUTED_VALUE"""),"sensual")</f>
        <v>sensual</v>
      </c>
      <c r="L846" s="6" t="str">
        <f>IFERROR(__xludf.DUMMYFUNCTION("""COMPUTED_VALUE"""),"pulls")</f>
        <v>pulls</v>
      </c>
      <c r="M846" s="6" t="str">
        <f>IFERROR(__xludf.DUMMYFUNCTION("""COMPUTED_VALUE"""),"properly")</f>
        <v>properly</v>
      </c>
      <c r="N846" s="6" t="str">
        <f>IFERROR(__xludf.DUMMYFUNCTION("""COMPUTED_VALUE"""),"courageous")</f>
        <v>courageous</v>
      </c>
      <c r="P846" s="6" t="str">
        <f>IFERROR(__xludf.DUMMYFUNCTION("""COMPUTED_VALUE"""),"colored")</f>
        <v>colored</v>
      </c>
      <c r="Q846" s="6" t="str">
        <f>IFERROR(__xludf.DUMMYFUNCTION("""COMPUTED_VALUE"""),"poetic")</f>
        <v>poetic</v>
      </c>
      <c r="S846" s="6" t="str">
        <f>IFERROR(__xludf.DUMMYFUNCTION("""COMPUTED_VALUE"""),"grey")</f>
        <v>grey</v>
      </c>
    </row>
    <row r="847">
      <c r="B847" s="6"/>
      <c r="D847" s="6"/>
      <c r="G847" s="6" t="str">
        <f>IFERROR(__xludf.DUMMYFUNCTION("""COMPUTED_VALUE"""),"counterparts")</f>
        <v>counterparts</v>
      </c>
      <c r="H847" s="6" t="str">
        <f>IFERROR(__xludf.DUMMYFUNCTION("""COMPUTED_VALUE"""),"revolutionary")</f>
        <v>revolutionary</v>
      </c>
      <c r="I847" s="6" t="str">
        <f>IFERROR(__xludf.DUMMYFUNCTION("""COMPUTED_VALUE"""),"famous")</f>
        <v>famous</v>
      </c>
      <c r="J847" s="6" t="str">
        <f>IFERROR(__xludf.DUMMYFUNCTION("""COMPUTED_VALUE"""),"cerebral")</f>
        <v>cerebral</v>
      </c>
      <c r="L847" s="6" t="str">
        <f>IFERROR(__xludf.DUMMYFUNCTION("""COMPUTED_VALUE"""),"broadway")</f>
        <v>broadway</v>
      </c>
      <c r="M847" s="6" t="str">
        <f>IFERROR(__xludf.DUMMYFUNCTION("""COMPUTED_VALUE"""),"depending")</f>
        <v>depending</v>
      </c>
      <c r="N847" s="6" t="str">
        <f>IFERROR(__xludf.DUMMYFUNCTION("""COMPUTED_VALUE"""),"evolve")</f>
        <v>evolve</v>
      </c>
      <c r="P847" s="6" t="str">
        <f>IFERROR(__xludf.DUMMYFUNCTION("""COMPUTED_VALUE"""),"seriously")</f>
        <v>seriously</v>
      </c>
      <c r="Q847" s="6" t="str">
        <f>IFERROR(__xludf.DUMMYFUNCTION("""COMPUTED_VALUE"""),"brilliance")</f>
        <v>brilliance</v>
      </c>
      <c r="S847" s="6" t="str">
        <f>IFERROR(__xludf.DUMMYFUNCTION("""COMPUTED_VALUE"""),"attempts")</f>
        <v>attempts</v>
      </c>
    </row>
    <row r="848">
      <c r="B848" s="6"/>
      <c r="D848" s="6"/>
      <c r="G848" s="6" t="str">
        <f>IFERROR(__xludf.DUMMYFUNCTION("""COMPUTED_VALUE"""),"equal")</f>
        <v>equal</v>
      </c>
      <c r="H848" s="6" t="str">
        <f>IFERROR(__xludf.DUMMYFUNCTION("""COMPUTED_VALUE"""),"obstacles")</f>
        <v>obstacles</v>
      </c>
      <c r="I848" s="6" t="str">
        <f>IFERROR(__xludf.DUMMYFUNCTION("""COMPUTED_VALUE"""),"object")</f>
        <v>object</v>
      </c>
      <c r="J848" s="6" t="str">
        <f>IFERROR(__xludf.DUMMYFUNCTION("""COMPUTED_VALUE"""),"prism")</f>
        <v>prism</v>
      </c>
      <c r="L848" s="6" t="str">
        <f>IFERROR(__xludf.DUMMYFUNCTION("""COMPUTED_VALUE"""),"relationships")</f>
        <v>relationships</v>
      </c>
      <c r="M848" s="6" t="str">
        <f>IFERROR(__xludf.DUMMYFUNCTION("""COMPUTED_VALUE"""),"gap")</f>
        <v>gap</v>
      </c>
      <c r="N848" s="6" t="str">
        <f>IFERROR(__xludf.DUMMYFUNCTION("""COMPUTED_VALUE"""),"careers")</f>
        <v>careers</v>
      </c>
      <c r="P848" s="6" t="str">
        <f>IFERROR(__xludf.DUMMYFUNCTION("""COMPUTED_VALUE"""),"let")</f>
        <v>let</v>
      </c>
      <c r="Q848" s="6" t="str">
        <f>IFERROR(__xludf.DUMMYFUNCTION("""COMPUTED_VALUE"""),"sloppy")</f>
        <v>sloppy</v>
      </c>
      <c r="S848" s="6" t="str">
        <f>IFERROR(__xludf.DUMMYFUNCTION("""COMPUTED_VALUE"""),"generated")</f>
        <v>generated</v>
      </c>
    </row>
    <row r="849">
      <c r="B849" s="6"/>
      <c r="D849" s="6"/>
      <c r="G849" s="6" t="str">
        <f>IFERROR(__xludf.DUMMYFUNCTION("""COMPUTED_VALUE"""),"realizing")</f>
        <v>realizing</v>
      </c>
      <c r="H849" s="6" t="str">
        <f>IFERROR(__xludf.DUMMYFUNCTION("""COMPUTED_VALUE"""),"centuries")</f>
        <v>centuries</v>
      </c>
      <c r="I849" s="6" t="str">
        <f>IFERROR(__xludf.DUMMYFUNCTION("""COMPUTED_VALUE"""),"hole")</f>
        <v>hole</v>
      </c>
      <c r="J849" s="6" t="str">
        <f>IFERROR(__xludf.DUMMYFUNCTION("""COMPUTED_VALUE"""),"inherently")</f>
        <v>inherently</v>
      </c>
      <c r="L849" s="6" t="str">
        <f>IFERROR(__xludf.DUMMYFUNCTION("""COMPUTED_VALUE"""),"meaningful")</f>
        <v>meaningful</v>
      </c>
      <c r="M849" s="6" t="str">
        <f>IFERROR(__xludf.DUMMYFUNCTION("""COMPUTED_VALUE"""),"train")</f>
        <v>train</v>
      </c>
      <c r="N849" s="6" t="str">
        <f>IFERROR(__xludf.DUMMYFUNCTION("""COMPUTED_VALUE"""),"brief")</f>
        <v>brief</v>
      </c>
      <c r="P849" s="6" t="str">
        <f>IFERROR(__xludf.DUMMYFUNCTION("""COMPUTED_VALUE"""),"places")</f>
        <v>places</v>
      </c>
      <c r="Q849" s="6" t="str">
        <f>IFERROR(__xludf.DUMMYFUNCTION("""COMPUTED_VALUE"""),"sparkling")</f>
        <v>sparkling</v>
      </c>
      <c r="S849" s="6" t="str">
        <f>IFERROR(__xludf.DUMMYFUNCTION("""COMPUTED_VALUE"""),"lighting")</f>
        <v>lighting</v>
      </c>
    </row>
    <row r="850">
      <c r="B850" s="6"/>
      <c r="D850" s="6"/>
      <c r="G850" s="6" t="str">
        <f>IFERROR(__xludf.DUMMYFUNCTION("""COMPUTED_VALUE"""),"warfare")</f>
        <v>warfare</v>
      </c>
      <c r="H850" s="6" t="str">
        <f>IFERROR(__xludf.DUMMYFUNCTION("""COMPUTED_VALUE"""),"spiritual")</f>
        <v>spiritual</v>
      </c>
      <c r="I850" s="6">
        <f>IFERROR(__xludf.DUMMYFUNCTION("""COMPUTED_VALUE"""),83.0)</f>
        <v>83</v>
      </c>
      <c r="J850" s="6" t="str">
        <f>IFERROR(__xludf.DUMMYFUNCTION("""COMPUTED_VALUE"""),"innocent")</f>
        <v>innocent</v>
      </c>
      <c r="L850" s="6" t="str">
        <f>IFERROR(__xludf.DUMMYFUNCTION("""COMPUTED_VALUE"""),"disney")</f>
        <v>disney</v>
      </c>
      <c r="M850" s="6" t="str">
        <f>IFERROR(__xludf.DUMMYFUNCTION("""COMPUTED_VALUE"""),"barrel")</f>
        <v>barrel</v>
      </c>
      <c r="N850" s="6" t="str">
        <f>IFERROR(__xludf.DUMMYFUNCTION("""COMPUTED_VALUE"""),"serial")</f>
        <v>serial</v>
      </c>
      <c r="P850" s="6" t="str">
        <f>IFERROR(__xludf.DUMMYFUNCTION("""COMPUTED_VALUE"""),"teacher")</f>
        <v>teacher</v>
      </c>
      <c r="Q850" s="6" t="str">
        <f>IFERROR(__xludf.DUMMYFUNCTION("""COMPUTED_VALUE"""),"sisters")</f>
        <v>sisters</v>
      </c>
      <c r="S850" s="6" t="str">
        <f>IFERROR(__xludf.DUMMYFUNCTION("""COMPUTED_VALUE"""),"expression")</f>
        <v>expression</v>
      </c>
    </row>
    <row r="851">
      <c r="B851" s="6"/>
      <c r="D851" s="6"/>
      <c r="G851" s="6" t="str">
        <f>IFERROR(__xludf.DUMMYFUNCTION("""COMPUTED_VALUE"""),"lets")</f>
        <v>lets</v>
      </c>
      <c r="H851" s="6" t="str">
        <f>IFERROR(__xludf.DUMMYFUNCTION("""COMPUTED_VALUE"""),"inspiring")</f>
        <v>inspiring</v>
      </c>
      <c r="I851" s="6" t="str">
        <f>IFERROR(__xludf.DUMMYFUNCTION("""COMPUTED_VALUE"""),"significance")</f>
        <v>significance</v>
      </c>
      <c r="J851" s="6" t="str">
        <f>IFERROR(__xludf.DUMMYFUNCTION("""COMPUTED_VALUE"""),"betrayal")</f>
        <v>betrayal</v>
      </c>
      <c r="L851" s="6" t="str">
        <f>IFERROR(__xludf.DUMMYFUNCTION("""COMPUTED_VALUE"""),"technical")</f>
        <v>technical</v>
      </c>
      <c r="M851" s="6" t="str">
        <f>IFERROR(__xludf.DUMMYFUNCTION("""COMPUTED_VALUE"""),"realizing")</f>
        <v>realizing</v>
      </c>
      <c r="N851" s="6" t="str">
        <f>IFERROR(__xludf.DUMMYFUNCTION("""COMPUTED_VALUE"""),"dramas")</f>
        <v>dramas</v>
      </c>
      <c r="P851" s="6" t="str">
        <f>IFERROR(__xludf.DUMMYFUNCTION("""COMPUTED_VALUE"""),"increasingly")</f>
        <v>increasingly</v>
      </c>
      <c r="Q851" s="6" t="str">
        <f>IFERROR(__xludf.DUMMYFUNCTION("""COMPUTED_VALUE"""),"lopez")</f>
        <v>lopez</v>
      </c>
      <c r="S851" s="6" t="str">
        <f>IFERROR(__xludf.DUMMYFUNCTION("""COMPUTED_VALUE"""),"resist")</f>
        <v>resist</v>
      </c>
    </row>
    <row r="852">
      <c r="B852" s="6"/>
      <c r="D852" s="6"/>
      <c r="G852" s="6" t="str">
        <f>IFERROR(__xludf.DUMMYFUNCTION("""COMPUTED_VALUE"""),"tuned")</f>
        <v>tuned</v>
      </c>
      <c r="H852" s="6" t="str">
        <f>IFERROR(__xludf.DUMMYFUNCTION("""COMPUTED_VALUE"""),"stunt")</f>
        <v>stunt</v>
      </c>
      <c r="I852" s="6" t="str">
        <f>IFERROR(__xludf.DUMMYFUNCTION("""COMPUTED_VALUE"""),"responsibility")</f>
        <v>responsibility</v>
      </c>
      <c r="J852" s="6" t="str">
        <f>IFERROR(__xludf.DUMMYFUNCTION("""COMPUTED_VALUE"""),"panic")</f>
        <v>panic</v>
      </c>
      <c r="L852" s="6" t="str">
        <f>IFERROR(__xludf.DUMMYFUNCTION("""COMPUTED_VALUE"""),"extraordinary")</f>
        <v>extraordinary</v>
      </c>
      <c r="M852" s="6" t="str">
        <f>IFERROR(__xludf.DUMMYFUNCTION("""COMPUTED_VALUE"""),"notes")</f>
        <v>notes</v>
      </c>
      <c r="N852" s="6" t="str">
        <f>IFERROR(__xludf.DUMMYFUNCTION("""COMPUTED_VALUE"""),"molly")</f>
        <v>molly</v>
      </c>
      <c r="P852" s="6" t="str">
        <f>IFERROR(__xludf.DUMMYFUNCTION("""COMPUTED_VALUE"""),"worked")</f>
        <v>worked</v>
      </c>
      <c r="Q852" s="6" t="str">
        <f>IFERROR(__xludf.DUMMYFUNCTION("""COMPUTED_VALUE"""),"rae")</f>
        <v>rae</v>
      </c>
      <c r="S852" s="6" t="str">
        <f>IFERROR(__xludf.DUMMYFUNCTION("""COMPUTED_VALUE"""),"array")</f>
        <v>array</v>
      </c>
    </row>
    <row r="853">
      <c r="B853" s="6"/>
      <c r="D853" s="6"/>
      <c r="G853" s="6" t="str">
        <f>IFERROR(__xludf.DUMMYFUNCTION("""COMPUTED_VALUE"""),"vehicle")</f>
        <v>vehicle</v>
      </c>
      <c r="H853" s="6" t="str">
        <f>IFERROR(__xludf.DUMMYFUNCTION("""COMPUTED_VALUE"""),"laboratory")</f>
        <v>laboratory</v>
      </c>
      <c r="I853" s="6" t="str">
        <f>IFERROR(__xludf.DUMMYFUNCTION("""COMPUTED_VALUE"""),"sink")</f>
        <v>sink</v>
      </c>
      <c r="J853" s="6" t="str">
        <f>IFERROR(__xludf.DUMMYFUNCTION("""COMPUTED_VALUE"""),"glued")</f>
        <v>glued</v>
      </c>
      <c r="L853" s="6" t="str">
        <f>IFERROR(__xludf.DUMMYFUNCTION("""COMPUTED_VALUE"""),"tolerate")</f>
        <v>tolerate</v>
      </c>
      <c r="M853" s="6" t="str">
        <f>IFERROR(__xludf.DUMMYFUNCTION("""COMPUTED_VALUE"""),"energy")</f>
        <v>energy</v>
      </c>
      <c r="N853" s="6" t="str">
        <f>IFERROR(__xludf.DUMMYFUNCTION("""COMPUTED_VALUE"""),"jagged")</f>
        <v>jagged</v>
      </c>
      <c r="P853" s="6" t="str">
        <f>IFERROR(__xludf.DUMMYFUNCTION("""COMPUTED_VALUE"""),"development")</f>
        <v>development</v>
      </c>
      <c r="Q853" s="6" t="str">
        <f>IFERROR(__xludf.DUMMYFUNCTION("""COMPUTED_VALUE"""),"am")</f>
        <v>am</v>
      </c>
      <c r="S853" s="6" t="str">
        <f>IFERROR(__xludf.DUMMYFUNCTION("""COMPUTED_VALUE"""),"pulse")</f>
        <v>pulse</v>
      </c>
    </row>
    <row r="854">
      <c r="B854" s="6"/>
      <c r="D854" s="6"/>
      <c r="G854" s="6" t="str">
        <f>IFERROR(__xludf.DUMMYFUNCTION("""COMPUTED_VALUE"""),"delivering")</f>
        <v>delivering</v>
      </c>
      <c r="H854" s="6" t="str">
        <f>IFERROR(__xludf.DUMMYFUNCTION("""COMPUTED_VALUE"""),"schemes")</f>
        <v>schemes</v>
      </c>
      <c r="I854" s="6" t="str">
        <f>IFERROR(__xludf.DUMMYFUNCTION("""COMPUTED_VALUE"""),"bid")</f>
        <v>bid</v>
      </c>
      <c r="J854" s="6" t="str">
        <f>IFERROR(__xludf.DUMMYFUNCTION("""COMPUTED_VALUE"""),"manage")</f>
        <v>manage</v>
      </c>
      <c r="L854" s="6" t="str">
        <f>IFERROR(__xludf.DUMMYFUNCTION("""COMPUTED_VALUE"""),"maintains")</f>
        <v>maintains</v>
      </c>
      <c r="M854" s="6" t="str">
        <f>IFERROR(__xludf.DUMMYFUNCTION("""COMPUTED_VALUE"""),"objective")</f>
        <v>objective</v>
      </c>
      <c r="N854" s="6" t="str">
        <f>IFERROR(__xludf.DUMMYFUNCTION("""COMPUTED_VALUE"""),"acute")</f>
        <v>acute</v>
      </c>
      <c r="P854" s="6" t="str">
        <f>IFERROR(__xludf.DUMMYFUNCTION("""COMPUTED_VALUE"""),"visit")</f>
        <v>visit</v>
      </c>
      <c r="Q854" s="6" t="str">
        <f>IFERROR(__xludf.DUMMYFUNCTION("""COMPUTED_VALUE"""),"cannes")</f>
        <v>cannes</v>
      </c>
      <c r="S854" s="6" t="str">
        <f>IFERROR(__xludf.DUMMYFUNCTION("""COMPUTED_VALUE"""),"pressed")</f>
        <v>pressed</v>
      </c>
    </row>
    <row r="855">
      <c r="B855" s="6"/>
      <c r="D855" s="6"/>
      <c r="G855" s="6" t="str">
        <f>IFERROR(__xludf.DUMMYFUNCTION("""COMPUTED_VALUE"""),"brink")</f>
        <v>brink</v>
      </c>
      <c r="H855" s="6" t="str">
        <f>IFERROR(__xludf.DUMMYFUNCTION("""COMPUTED_VALUE"""),"consequences")</f>
        <v>consequences</v>
      </c>
      <c r="I855" s="6" t="str">
        <f>IFERROR(__xludf.DUMMYFUNCTION("""COMPUTED_VALUE"""),"detailed")</f>
        <v>detailed</v>
      </c>
      <c r="J855" s="6" t="str">
        <f>IFERROR(__xludf.DUMMYFUNCTION("""COMPUTED_VALUE"""),"range")</f>
        <v>range</v>
      </c>
      <c r="L855" s="6" t="str">
        <f>IFERROR(__xludf.DUMMYFUNCTION("""COMPUTED_VALUE"""),"risks")</f>
        <v>risks</v>
      </c>
      <c r="M855" s="6" t="str">
        <f>IFERROR(__xludf.DUMMYFUNCTION("""COMPUTED_VALUE"""),"named")</f>
        <v>named</v>
      </c>
      <c r="N855" s="6">
        <f>IFERROR(__xludf.DUMMYFUNCTION("""COMPUTED_VALUE"""),1993.0)</f>
        <v>1993</v>
      </c>
      <c r="P855" s="6" t="str">
        <f>IFERROR(__xludf.DUMMYFUNCTION("""COMPUTED_VALUE"""),"seconds")</f>
        <v>seconds</v>
      </c>
      <c r="Q855" s="6" t="str">
        <f>IFERROR(__xludf.DUMMYFUNCTION("""COMPUTED_VALUE"""),"focused")</f>
        <v>focused</v>
      </c>
      <c r="S855" s="6" t="str">
        <f>IFERROR(__xludf.DUMMYFUNCTION("""COMPUTED_VALUE"""),"meat")</f>
        <v>meat</v>
      </c>
    </row>
    <row r="856">
      <c r="B856" s="6"/>
      <c r="D856" s="6"/>
      <c r="G856" s="6" t="str">
        <f>IFERROR(__xludf.DUMMYFUNCTION("""COMPUTED_VALUE"""),"thick")</f>
        <v>thick</v>
      </c>
      <c r="H856" s="6" t="str">
        <f>IFERROR(__xludf.DUMMYFUNCTION("""COMPUTED_VALUE"""),"critics")</f>
        <v>critics</v>
      </c>
      <c r="I856" s="6" t="str">
        <f>IFERROR(__xludf.DUMMYFUNCTION("""COMPUTED_VALUE"""),"anne")</f>
        <v>anne</v>
      </c>
      <c r="J856" s="6" t="str">
        <f>IFERROR(__xludf.DUMMYFUNCTION("""COMPUTED_VALUE"""),"odds")</f>
        <v>odds</v>
      </c>
      <c r="L856" s="6" t="str">
        <f>IFERROR(__xludf.DUMMYFUNCTION("""COMPUTED_VALUE"""),"reynolds")</f>
        <v>reynolds</v>
      </c>
      <c r="M856" s="6" t="str">
        <f>IFERROR(__xludf.DUMMYFUNCTION("""COMPUTED_VALUE"""),"society")</f>
        <v>society</v>
      </c>
      <c r="N856" s="6" t="str">
        <f>IFERROR(__xludf.DUMMYFUNCTION("""COMPUTED_VALUE"""),"denial")</f>
        <v>denial</v>
      </c>
      <c r="P856" s="6" t="str">
        <f>IFERROR(__xludf.DUMMYFUNCTION("""COMPUTED_VALUE"""),"roberts")</f>
        <v>roberts</v>
      </c>
      <c r="Q856" s="6" t="str">
        <f>IFERROR(__xludf.DUMMYFUNCTION("""COMPUTED_VALUE"""),"raphael")</f>
        <v>raphael</v>
      </c>
      <c r="S856" s="6" t="str">
        <f>IFERROR(__xludf.DUMMYFUNCTION("""COMPUTED_VALUE"""),"hungry")</f>
        <v>hungry</v>
      </c>
    </row>
    <row r="857">
      <c r="B857" s="6"/>
      <c r="D857" s="6"/>
      <c r="G857" s="6" t="str">
        <f>IFERROR(__xludf.DUMMYFUNCTION("""COMPUTED_VALUE"""),"unbearable")</f>
        <v>unbearable</v>
      </c>
      <c r="H857" s="6" t="str">
        <f>IFERROR(__xludf.DUMMYFUNCTION("""COMPUTED_VALUE"""),"paints")</f>
        <v>paints</v>
      </c>
      <c r="I857" s="6" t="str">
        <f>IFERROR(__xludf.DUMMYFUNCTION("""COMPUTED_VALUE"""),"adam")</f>
        <v>adam</v>
      </c>
      <c r="J857" s="6" t="str">
        <f>IFERROR(__xludf.DUMMYFUNCTION("""COMPUTED_VALUE"""),"broadway")</f>
        <v>broadway</v>
      </c>
      <c r="L857" s="6" t="str">
        <f>IFERROR(__xludf.DUMMYFUNCTION("""COMPUTED_VALUE"""),"ad")</f>
        <v>ad</v>
      </c>
      <c r="M857" s="6" t="str">
        <f>IFERROR(__xludf.DUMMYFUNCTION("""COMPUTED_VALUE"""),"former")</f>
        <v>former</v>
      </c>
      <c r="N857" s="6" t="str">
        <f>IFERROR(__xludf.DUMMYFUNCTION("""COMPUTED_VALUE"""),"zipper")</f>
        <v>zipper</v>
      </c>
      <c r="P857" s="6" t="str">
        <f>IFERROR(__xludf.DUMMYFUNCTION("""COMPUTED_VALUE"""),"workshop")</f>
        <v>workshop</v>
      </c>
      <c r="Q857" s="6" t="str">
        <f>IFERROR(__xludf.DUMMYFUNCTION("""COMPUTED_VALUE"""),"relegated")</f>
        <v>relegated</v>
      </c>
      <c r="S857" s="6" t="str">
        <f>IFERROR(__xludf.DUMMYFUNCTION("""COMPUTED_VALUE"""),"knock")</f>
        <v>knock</v>
      </c>
    </row>
    <row r="858">
      <c r="B858" s="6"/>
      <c r="D858" s="6"/>
      <c r="G858" s="6" t="str">
        <f>IFERROR(__xludf.DUMMYFUNCTION("""COMPUTED_VALUE"""),"undergo")</f>
        <v>undergo</v>
      </c>
      <c r="H858" s="6" t="str">
        <f>IFERROR(__xludf.DUMMYFUNCTION("""COMPUTED_VALUE"""),"competence")</f>
        <v>competence</v>
      </c>
      <c r="I858" s="6" t="str">
        <f>IFERROR(__xludf.DUMMYFUNCTION("""COMPUTED_VALUE"""),"technologies")</f>
        <v>technologies</v>
      </c>
      <c r="J858" s="6" t="str">
        <f>IFERROR(__xludf.DUMMYFUNCTION("""COMPUTED_VALUE"""),"jolly")</f>
        <v>jolly</v>
      </c>
      <c r="L858" s="6" t="str">
        <f>IFERROR(__xludf.DUMMYFUNCTION("""COMPUTED_VALUE"""),"powerhouse")</f>
        <v>powerhouse</v>
      </c>
      <c r="M858" s="6" t="str">
        <f>IFERROR(__xludf.DUMMYFUNCTION("""COMPUTED_VALUE"""),"commercial")</f>
        <v>commercial</v>
      </c>
      <c r="N858" s="6" t="str">
        <f>IFERROR(__xludf.DUMMYFUNCTION("""COMPUTED_VALUE"""),"adams")</f>
        <v>adams</v>
      </c>
      <c r="P858" s="6" t="str">
        <f>IFERROR(__xludf.DUMMYFUNCTION("""COMPUTED_VALUE"""),"duration")</f>
        <v>duration</v>
      </c>
      <c r="Q858" s="6" t="str">
        <f>IFERROR(__xludf.DUMMYFUNCTION("""COMPUTED_VALUE"""),"strange")</f>
        <v>strange</v>
      </c>
      <c r="S858" s="6" t="str">
        <f>IFERROR(__xludf.DUMMYFUNCTION("""COMPUTED_VALUE"""),"excited")</f>
        <v>excited</v>
      </c>
    </row>
    <row r="859">
      <c r="B859" s="6"/>
      <c r="D859" s="6"/>
      <c r="G859" s="6" t="str">
        <f>IFERROR(__xludf.DUMMYFUNCTION("""COMPUTED_VALUE"""),"personalities")</f>
        <v>personalities</v>
      </c>
      <c r="H859" s="6" t="str">
        <f>IFERROR(__xludf.DUMMYFUNCTION("""COMPUTED_VALUE"""),"clarity")</f>
        <v>clarity</v>
      </c>
      <c r="I859" s="6" t="str">
        <f>IFERROR(__xludf.DUMMYFUNCTION("""COMPUTED_VALUE"""),"gun")</f>
        <v>gun</v>
      </c>
      <c r="J859" s="6" t="str">
        <f>IFERROR(__xludf.DUMMYFUNCTION("""COMPUTED_VALUE"""),"occupation")</f>
        <v>occupation</v>
      </c>
      <c r="L859" s="6" t="str">
        <f>IFERROR(__xludf.DUMMYFUNCTION("""COMPUTED_VALUE"""),"specimen")</f>
        <v>specimen</v>
      </c>
      <c r="M859" s="6" t="str">
        <f>IFERROR(__xludf.DUMMYFUNCTION("""COMPUTED_VALUE"""),"neil")</f>
        <v>neil</v>
      </c>
      <c r="N859" s="6" t="str">
        <f>IFERROR(__xludf.DUMMYFUNCTION("""COMPUTED_VALUE"""),"pretend")</f>
        <v>pretend</v>
      </c>
      <c r="P859" s="6" t="str">
        <f>IFERROR(__xludf.DUMMYFUNCTION("""COMPUTED_VALUE"""),"certain")</f>
        <v>certain</v>
      </c>
      <c r="Q859" s="6" t="str">
        <f>IFERROR(__xludf.DUMMYFUNCTION("""COMPUTED_VALUE"""),"calm")</f>
        <v>calm</v>
      </c>
      <c r="S859" s="6" t="str">
        <f>IFERROR(__xludf.DUMMYFUNCTION("""COMPUTED_VALUE"""),"struggling")</f>
        <v>struggling</v>
      </c>
    </row>
    <row r="860">
      <c r="B860" s="6"/>
      <c r="D860" s="6"/>
      <c r="G860" s="6" t="str">
        <f>IFERROR(__xludf.DUMMYFUNCTION("""COMPUTED_VALUE"""),"sterling")</f>
        <v>sterling</v>
      </c>
      <c r="H860" s="6" t="str">
        <f>IFERROR(__xludf.DUMMYFUNCTION("""COMPUTED_VALUE"""),"chuckle")</f>
        <v>chuckle</v>
      </c>
      <c r="I860" s="6" t="str">
        <f>IFERROR(__xludf.DUMMYFUNCTION("""COMPUTED_VALUE"""),"taylor")</f>
        <v>taylor</v>
      </c>
      <c r="J860" s="6" t="str">
        <f>IFERROR(__xludf.DUMMYFUNCTION("""COMPUTED_VALUE"""),"spirited")</f>
        <v>spirited</v>
      </c>
      <c r="L860" s="6" t="str">
        <f>IFERROR(__xludf.DUMMYFUNCTION("""COMPUTED_VALUE"""),"fights")</f>
        <v>fights</v>
      </c>
      <c r="M860" s="6" t="str">
        <f>IFERROR(__xludf.DUMMYFUNCTION("""COMPUTED_VALUE"""),"margin")</f>
        <v>margin</v>
      </c>
      <c r="N860" s="6" t="str">
        <f>IFERROR(__xludf.DUMMYFUNCTION("""COMPUTED_VALUE"""),"relentless")</f>
        <v>relentless</v>
      </c>
      <c r="P860" s="6" t="b">
        <f>IFERROR(__xludf.DUMMYFUNCTION("""COMPUTED_VALUE"""),FALSE)</f>
        <v>0</v>
      </c>
      <c r="Q860" s="6" t="str">
        <f>IFERROR(__xludf.DUMMYFUNCTION("""COMPUTED_VALUE"""),"wherein")</f>
        <v>wherein</v>
      </c>
      <c r="S860" s="6" t="str">
        <f>IFERROR(__xludf.DUMMYFUNCTION("""COMPUTED_VALUE"""),"tier")</f>
        <v>tier</v>
      </c>
    </row>
    <row r="861">
      <c r="B861" s="6"/>
      <c r="D861" s="6"/>
      <c r="G861" s="6">
        <f>IFERROR(__xludf.DUMMYFUNCTION("""COMPUTED_VALUE"""),1993.0)</f>
        <v>1993</v>
      </c>
      <c r="H861" s="6" t="str">
        <f>IFERROR(__xludf.DUMMYFUNCTION("""COMPUTED_VALUE"""),"songs")</f>
        <v>songs</v>
      </c>
      <c r="I861" s="6" t="str">
        <f>IFERROR(__xludf.DUMMYFUNCTION("""COMPUTED_VALUE"""),"harvard")</f>
        <v>harvard</v>
      </c>
      <c r="J861" s="6" t="str">
        <f>IFERROR(__xludf.DUMMYFUNCTION("""COMPUTED_VALUE"""),"awakening")</f>
        <v>awakening</v>
      </c>
      <c r="L861" s="6" t="str">
        <f>IFERROR(__xludf.DUMMYFUNCTION("""COMPUTED_VALUE"""),"sadness")</f>
        <v>sadness</v>
      </c>
      <c r="M861" s="6" t="str">
        <f>IFERROR(__xludf.DUMMYFUNCTION("""COMPUTED_VALUE"""),"consider")</f>
        <v>consider</v>
      </c>
      <c r="N861" s="6" t="str">
        <f>IFERROR(__xludf.DUMMYFUNCTION("""COMPUTED_VALUE"""),"spell")</f>
        <v>spell</v>
      </c>
      <c r="P861" s="6" t="str">
        <f>IFERROR(__xludf.DUMMYFUNCTION("""COMPUTED_VALUE"""),"weight")</f>
        <v>weight</v>
      </c>
      <c r="Q861" s="6" t="str">
        <f>IFERROR(__xludf.DUMMYFUNCTION("""COMPUTED_VALUE"""),"cops")</f>
        <v>cops</v>
      </c>
      <c r="S861" s="6" t="str">
        <f>IFERROR(__xludf.DUMMYFUNCTION("""COMPUTED_VALUE"""),"touched")</f>
        <v>touched</v>
      </c>
    </row>
    <row r="862">
      <c r="B862" s="6"/>
      <c r="D862" s="6"/>
      <c r="G862" s="6" t="str">
        <f>IFERROR(__xludf.DUMMYFUNCTION("""COMPUTED_VALUE"""),"courageous")</f>
        <v>courageous</v>
      </c>
      <c r="H862" s="6" t="str">
        <f>IFERROR(__xludf.DUMMYFUNCTION("""COMPUTED_VALUE"""),"uhf")</f>
        <v>uhf</v>
      </c>
      <c r="I862" s="6" t="str">
        <f>IFERROR(__xludf.DUMMYFUNCTION("""COMPUTED_VALUE"""),"reynolds")</f>
        <v>reynolds</v>
      </c>
      <c r="J862" s="6" t="str">
        <f>IFERROR(__xludf.DUMMYFUNCTION("""COMPUTED_VALUE"""),"fathers")</f>
        <v>fathers</v>
      </c>
      <c r="L862" s="6" t="str">
        <f>IFERROR(__xludf.DUMMYFUNCTION("""COMPUTED_VALUE"""),"dialogue")</f>
        <v>dialogue</v>
      </c>
      <c r="M862" s="6" t="str">
        <f>IFERROR(__xludf.DUMMYFUNCTION("""COMPUTED_VALUE"""),"net")</f>
        <v>net</v>
      </c>
      <c r="N862" s="6" t="str">
        <f>IFERROR(__xludf.DUMMYFUNCTION("""COMPUTED_VALUE"""),"von")</f>
        <v>von</v>
      </c>
      <c r="P862" s="6" t="str">
        <f>IFERROR(__xludf.DUMMYFUNCTION("""COMPUTED_VALUE"""),"devices")</f>
        <v>devices</v>
      </c>
      <c r="Q862" s="6" t="str">
        <f>IFERROR(__xludf.DUMMYFUNCTION("""COMPUTED_VALUE"""),"holm")</f>
        <v>holm</v>
      </c>
      <c r="S862" s="6" t="str">
        <f>IFERROR(__xludf.DUMMYFUNCTION("""COMPUTED_VALUE"""),"fit")</f>
        <v>fit</v>
      </c>
    </row>
    <row r="863">
      <c r="B863" s="6"/>
      <c r="D863" s="6"/>
      <c r="G863" s="6" t="str">
        <f>IFERROR(__xludf.DUMMYFUNCTION("""COMPUTED_VALUE"""),"allegiance")</f>
        <v>allegiance</v>
      </c>
      <c r="H863" s="6" t="str">
        <f>IFERROR(__xludf.DUMMYFUNCTION("""COMPUTED_VALUE"""),"maneuvers")</f>
        <v>maneuvers</v>
      </c>
      <c r="I863" s="6" t="str">
        <f>IFERROR(__xludf.DUMMYFUNCTION("""COMPUTED_VALUE"""),"gently")</f>
        <v>gently</v>
      </c>
      <c r="J863" s="6" t="str">
        <f>IFERROR(__xludf.DUMMYFUNCTION("""COMPUTED_VALUE"""),"survivors")</f>
        <v>survivors</v>
      </c>
      <c r="L863" s="6" t="str">
        <f>IFERROR(__xludf.DUMMYFUNCTION("""COMPUTED_VALUE"""),"equation")</f>
        <v>equation</v>
      </c>
      <c r="M863" s="6" t="str">
        <f>IFERROR(__xludf.DUMMYFUNCTION("""COMPUTED_VALUE"""),"colors")</f>
        <v>colors</v>
      </c>
      <c r="N863" s="6" t="str">
        <f>IFERROR(__xludf.DUMMYFUNCTION("""COMPUTED_VALUE"""),"sack")</f>
        <v>sack</v>
      </c>
      <c r="P863" s="6" t="str">
        <f>IFERROR(__xludf.DUMMYFUNCTION("""COMPUTED_VALUE"""),"conventional")</f>
        <v>conventional</v>
      </c>
      <c r="Q863" s="6" t="str">
        <f>IFERROR(__xludf.DUMMYFUNCTION("""COMPUTED_VALUE"""),"ian")</f>
        <v>ian</v>
      </c>
      <c r="S863" s="6" t="str">
        <f>IFERROR(__xludf.DUMMYFUNCTION("""COMPUTED_VALUE"""),"chan")</f>
        <v>chan</v>
      </c>
    </row>
    <row r="864">
      <c r="B864" s="6"/>
      <c r="D864" s="6"/>
      <c r="G864" s="6" t="str">
        <f>IFERROR(__xludf.DUMMYFUNCTION("""COMPUTED_VALUE"""),"orchard")</f>
        <v>orchard</v>
      </c>
      <c r="H864" s="6" t="str">
        <f>IFERROR(__xludf.DUMMYFUNCTION("""COMPUTED_VALUE"""),"commanding")</f>
        <v>commanding</v>
      </c>
      <c r="I864" s="6" t="str">
        <f>IFERROR(__xludf.DUMMYFUNCTION("""COMPUTED_VALUE"""),"strategic")</f>
        <v>strategic</v>
      </c>
      <c r="J864" s="6" t="str">
        <f>IFERROR(__xludf.DUMMYFUNCTION("""COMPUTED_VALUE"""),"erotic")</f>
        <v>erotic</v>
      </c>
      <c r="L864" s="6" t="str">
        <f>IFERROR(__xludf.DUMMYFUNCTION("""COMPUTED_VALUE"""),"forgiven")</f>
        <v>forgiven</v>
      </c>
      <c r="M864" s="6" t="str">
        <f>IFERROR(__xludf.DUMMYFUNCTION("""COMPUTED_VALUE"""),"stretch")</f>
        <v>stretch</v>
      </c>
      <c r="N864" s="6" t="str">
        <f>IFERROR(__xludf.DUMMYFUNCTION("""COMPUTED_VALUE"""),"wholesale")</f>
        <v>wholesale</v>
      </c>
      <c r="P864" s="6" t="str">
        <f>IFERROR(__xludf.DUMMYFUNCTION("""COMPUTED_VALUE"""),"manhattan")</f>
        <v>manhattan</v>
      </c>
      <c r="Q864" s="6" t="str">
        <f>IFERROR(__xludf.DUMMYFUNCTION("""COMPUTED_VALUE"""),"minds")</f>
        <v>minds</v>
      </c>
      <c r="S864" s="6" t="str">
        <f>IFERROR(__xludf.DUMMYFUNCTION("""COMPUTED_VALUE"""),"witnessed")</f>
        <v>witnessed</v>
      </c>
    </row>
    <row r="865">
      <c r="B865" s="6"/>
      <c r="D865" s="6"/>
      <c r="G865" s="6" t="str">
        <f>IFERROR(__xludf.DUMMYFUNCTION("""COMPUTED_VALUE"""),"state")</f>
        <v>state</v>
      </c>
      <c r="H865" s="6" t="str">
        <f>IFERROR(__xludf.DUMMYFUNCTION("""COMPUTED_VALUE"""),"tends")</f>
        <v>tends</v>
      </c>
      <c r="I865" s="6" t="str">
        <f>IFERROR(__xludf.DUMMYFUNCTION("""COMPUTED_VALUE"""),"define")</f>
        <v>define</v>
      </c>
      <c r="J865" s="6" t="str">
        <f>IFERROR(__xludf.DUMMYFUNCTION("""COMPUTED_VALUE"""),"arrangements")</f>
        <v>arrangements</v>
      </c>
      <c r="L865" s="6" t="str">
        <f>IFERROR(__xludf.DUMMYFUNCTION("""COMPUTED_VALUE"""),"crossover")</f>
        <v>crossover</v>
      </c>
      <c r="M865" s="6" t="str">
        <f>IFERROR(__xludf.DUMMYFUNCTION("""COMPUTED_VALUE"""),"uses")</f>
        <v>uses</v>
      </c>
      <c r="N865" s="6" t="str">
        <f>IFERROR(__xludf.DUMMYFUNCTION("""COMPUTED_VALUE"""),"lens")</f>
        <v>lens</v>
      </c>
      <c r="P865" s="6" t="str">
        <f>IFERROR(__xludf.DUMMYFUNCTION("""COMPUTED_VALUE"""),"exactly")</f>
        <v>exactly</v>
      </c>
      <c r="Q865" s="6" t="str">
        <f>IFERROR(__xludf.DUMMYFUNCTION("""COMPUTED_VALUE"""),"justice")</f>
        <v>justice</v>
      </c>
      <c r="S865" s="6" t="str">
        <f>IFERROR(__xludf.DUMMYFUNCTION("""COMPUTED_VALUE"""),"pointed")</f>
        <v>pointed</v>
      </c>
    </row>
    <row r="866">
      <c r="B866" s="6"/>
      <c r="D866" s="6"/>
      <c r="G866" s="6" t="str">
        <f>IFERROR(__xludf.DUMMYFUNCTION("""COMPUTED_VALUE"""),"pony")</f>
        <v>pony</v>
      </c>
      <c r="H866" s="6" t="str">
        <f>IFERROR(__xludf.DUMMYFUNCTION("""COMPUTED_VALUE"""),"comprehension")</f>
        <v>comprehension</v>
      </c>
      <c r="I866" s="6" t="str">
        <f>IFERROR(__xludf.DUMMYFUNCTION("""COMPUTED_VALUE"""),"tightened")</f>
        <v>tightened</v>
      </c>
      <c r="J866" s="6" t="str">
        <f>IFERROR(__xludf.DUMMYFUNCTION("""COMPUTED_VALUE"""),"uncanny")</f>
        <v>uncanny</v>
      </c>
      <c r="L866" s="6" t="str">
        <f>IFERROR(__xludf.DUMMYFUNCTION("""COMPUTED_VALUE"""),"pursued")</f>
        <v>pursued</v>
      </c>
      <c r="M866" s="6" t="str">
        <f>IFERROR(__xludf.DUMMYFUNCTION("""COMPUTED_VALUE"""),"degree")</f>
        <v>degree</v>
      </c>
      <c r="N866" s="6" t="str">
        <f>IFERROR(__xludf.DUMMYFUNCTION("""COMPUTED_VALUE"""),"sterling")</f>
        <v>sterling</v>
      </c>
      <c r="P866" s="6" t="str">
        <f>IFERROR(__xludf.DUMMYFUNCTION("""COMPUTED_VALUE"""),"firing")</f>
        <v>firing</v>
      </c>
      <c r="Q866" s="6" t="str">
        <f>IFERROR(__xludf.DUMMYFUNCTION("""COMPUTED_VALUE"""),"etc")</f>
        <v>etc</v>
      </c>
      <c r="S866" s="6" t="str">
        <f>IFERROR(__xludf.DUMMYFUNCTION("""COMPUTED_VALUE"""),"tender")</f>
        <v>tender</v>
      </c>
    </row>
    <row r="867">
      <c r="B867" s="6"/>
      <c r="D867" s="6"/>
      <c r="G867" s="6" t="str">
        <f>IFERROR(__xludf.DUMMYFUNCTION("""COMPUTED_VALUE"""),"streamlined")</f>
        <v>streamlined</v>
      </c>
      <c r="H867" s="6" t="str">
        <f>IFERROR(__xludf.DUMMYFUNCTION("""COMPUTED_VALUE"""),"dazzling")</f>
        <v>dazzling</v>
      </c>
      <c r="I867" s="6" t="str">
        <f>IFERROR(__xludf.DUMMYFUNCTION("""COMPUTED_VALUE"""),"apollo")</f>
        <v>apollo</v>
      </c>
      <c r="J867" s="6" t="str">
        <f>IFERROR(__xludf.DUMMYFUNCTION("""COMPUTED_VALUE"""),"cultivation")</f>
        <v>cultivation</v>
      </c>
      <c r="L867" s="6" t="str">
        <f>IFERROR(__xludf.DUMMYFUNCTION("""COMPUTED_VALUE"""),"ford")</f>
        <v>ford</v>
      </c>
      <c r="M867" s="6" t="str">
        <f>IFERROR(__xludf.DUMMYFUNCTION("""COMPUTED_VALUE"""),"vs")</f>
        <v>vs</v>
      </c>
      <c r="N867" s="6" t="str">
        <f>IFERROR(__xludf.DUMMYFUNCTION("""COMPUTED_VALUE"""),"mill")</f>
        <v>mill</v>
      </c>
      <c r="P867" s="6" t="str">
        <f>IFERROR(__xludf.DUMMYFUNCTION("""COMPUTED_VALUE"""),"legal")</f>
        <v>legal</v>
      </c>
      <c r="Q867" s="6" t="str">
        <f>IFERROR(__xludf.DUMMYFUNCTION("""COMPUTED_VALUE"""),"dawson")</f>
        <v>dawson</v>
      </c>
      <c r="S867" s="6" t="str">
        <f>IFERROR(__xludf.DUMMYFUNCTION("""COMPUTED_VALUE"""),"reflection")</f>
        <v>reflection</v>
      </c>
    </row>
    <row r="868">
      <c r="B868" s="6"/>
      <c r="D868" s="6"/>
      <c r="G868" s="6" t="str">
        <f>IFERROR(__xludf.DUMMYFUNCTION("""COMPUTED_VALUE"""),"backlash")</f>
        <v>backlash</v>
      </c>
      <c r="H868" s="6" t="str">
        <f>IFERROR(__xludf.DUMMYFUNCTION("""COMPUTED_VALUE"""),"fabricated")</f>
        <v>fabricated</v>
      </c>
      <c r="I868" s="6" t="str">
        <f>IFERROR(__xludf.DUMMYFUNCTION("""COMPUTED_VALUE"""),"ai")</f>
        <v>ai</v>
      </c>
      <c r="J868" s="6" t="str">
        <f>IFERROR(__xludf.DUMMYFUNCTION("""COMPUTED_VALUE"""),"access")</f>
        <v>access</v>
      </c>
      <c r="L868" s="6" t="str">
        <f>IFERROR(__xludf.DUMMYFUNCTION("""COMPUTED_VALUE"""),"marquis")</f>
        <v>marquis</v>
      </c>
      <c r="M868" s="6" t="str">
        <f>IFERROR(__xludf.DUMMYFUNCTION("""COMPUTED_VALUE"""),"share")</f>
        <v>share</v>
      </c>
      <c r="N868" s="6" t="str">
        <f>IFERROR(__xludf.DUMMYFUNCTION("""COMPUTED_VALUE"""),"poking")</f>
        <v>poking</v>
      </c>
      <c r="P868" s="6" t="str">
        <f>IFERROR(__xludf.DUMMYFUNCTION("""COMPUTED_VALUE"""),"revolutionary")</f>
        <v>revolutionary</v>
      </c>
      <c r="Q868" s="6" t="str">
        <f>IFERROR(__xludf.DUMMYFUNCTION("""COMPUTED_VALUE"""),"portray")</f>
        <v>portray</v>
      </c>
      <c r="S868" s="6" t="str">
        <f>IFERROR(__xludf.DUMMYFUNCTION("""COMPUTED_VALUE"""),"political")</f>
        <v>political</v>
      </c>
    </row>
    <row r="869">
      <c r="B869" s="6"/>
      <c r="D869" s="6"/>
      <c r="G869" s="6" t="str">
        <f>IFERROR(__xludf.DUMMYFUNCTION("""COMPUTED_VALUE"""),"prominently")</f>
        <v>prominently</v>
      </c>
      <c r="H869" s="6" t="str">
        <f>IFERROR(__xludf.DUMMYFUNCTION("""COMPUTED_VALUE"""),"dismissed")</f>
        <v>dismissed</v>
      </c>
      <c r="I869" s="6" t="str">
        <f>IFERROR(__xludf.DUMMYFUNCTION("""COMPUTED_VALUE"""),"boundaries")</f>
        <v>boundaries</v>
      </c>
      <c r="J869" s="6" t="str">
        <f>IFERROR(__xludf.DUMMYFUNCTION("""COMPUTED_VALUE"""),"godfrey")</f>
        <v>godfrey</v>
      </c>
      <c r="L869" s="6" t="str">
        <f>IFERROR(__xludf.DUMMYFUNCTION("""COMPUTED_VALUE"""),"touching")</f>
        <v>touching</v>
      </c>
      <c r="M869" s="6" t="str">
        <f>IFERROR(__xludf.DUMMYFUNCTION("""COMPUTED_VALUE"""),"dare")</f>
        <v>dare</v>
      </c>
      <c r="N869" s="6" t="str">
        <f>IFERROR(__xludf.DUMMYFUNCTION("""COMPUTED_VALUE"""),"alternately")</f>
        <v>alternately</v>
      </c>
      <c r="P869" s="6" t="str">
        <f>IFERROR(__xludf.DUMMYFUNCTION("""COMPUTED_VALUE"""),"chance")</f>
        <v>chance</v>
      </c>
      <c r="Q869" s="6" t="str">
        <f>IFERROR(__xludf.DUMMYFUNCTION("""COMPUTED_VALUE"""),"someone")</f>
        <v>someone</v>
      </c>
      <c r="S869" s="6" t="str">
        <f>IFERROR(__xludf.DUMMYFUNCTION("""COMPUTED_VALUE"""),"indoor")</f>
        <v>indoor</v>
      </c>
    </row>
    <row r="870">
      <c r="B870" s="6"/>
      <c r="D870" s="6"/>
      <c r="G870" s="6" t="str">
        <f>IFERROR(__xludf.DUMMYFUNCTION("""COMPUTED_VALUE"""),"immersed")</f>
        <v>immersed</v>
      </c>
      <c r="H870" s="6" t="str">
        <f>IFERROR(__xludf.DUMMYFUNCTION("""COMPUTED_VALUE"""),"forced")</f>
        <v>forced</v>
      </c>
      <c r="I870" s="6" t="str">
        <f>IFERROR(__xludf.DUMMYFUNCTION("""COMPUTED_VALUE"""),"stretched")</f>
        <v>stretched</v>
      </c>
      <c r="J870" s="6" t="str">
        <f>IFERROR(__xludf.DUMMYFUNCTION("""COMPUTED_VALUE"""),"slim")</f>
        <v>slim</v>
      </c>
      <c r="L870" s="6" t="str">
        <f>IFERROR(__xludf.DUMMYFUNCTION("""COMPUTED_VALUE"""),"assignment")</f>
        <v>assignment</v>
      </c>
      <c r="M870" s="6" t="str">
        <f>IFERROR(__xludf.DUMMYFUNCTION("""COMPUTED_VALUE"""),"extreme")</f>
        <v>extreme</v>
      </c>
      <c r="N870" s="6" t="str">
        <f>IFERROR(__xludf.DUMMYFUNCTION("""COMPUTED_VALUE"""),"holmes")</f>
        <v>holmes</v>
      </c>
      <c r="P870" s="6" t="str">
        <f>IFERROR(__xludf.DUMMYFUNCTION("""COMPUTED_VALUE"""),"air")</f>
        <v>air</v>
      </c>
      <c r="Q870" s="6" t="str">
        <f>IFERROR(__xludf.DUMMYFUNCTION("""COMPUTED_VALUE"""),"monumental")</f>
        <v>monumental</v>
      </c>
      <c r="S870" s="6" t="str">
        <f>IFERROR(__xludf.DUMMYFUNCTION("""COMPUTED_VALUE"""),"sacrifice")</f>
        <v>sacrifice</v>
      </c>
    </row>
    <row r="871">
      <c r="B871" s="6"/>
      <c r="D871" s="6"/>
      <c r="G871" s="6" t="str">
        <f>IFERROR(__xludf.DUMMYFUNCTION("""COMPUTED_VALUE"""),"vaguely")</f>
        <v>vaguely</v>
      </c>
      <c r="H871" s="6" t="str">
        <f>IFERROR(__xludf.DUMMYFUNCTION("""COMPUTED_VALUE"""),"schmidt")</f>
        <v>schmidt</v>
      </c>
      <c r="I871" s="6" t="str">
        <f>IFERROR(__xludf.DUMMYFUNCTION("""COMPUTED_VALUE"""),"roles")</f>
        <v>roles</v>
      </c>
      <c r="J871" s="6" t="str">
        <f>IFERROR(__xludf.DUMMYFUNCTION("""COMPUTED_VALUE"""),"zipper")</f>
        <v>zipper</v>
      </c>
      <c r="L871" s="6" t="str">
        <f>IFERROR(__xludf.DUMMYFUNCTION("""COMPUTED_VALUE"""),"stab")</f>
        <v>stab</v>
      </c>
      <c r="M871" s="6" t="str">
        <f>IFERROR(__xludf.DUMMYFUNCTION("""COMPUTED_VALUE"""),"decade")</f>
        <v>decade</v>
      </c>
      <c r="N871" s="6" t="str">
        <f>IFERROR(__xludf.DUMMYFUNCTION("""COMPUTED_VALUE"""),"convince")</f>
        <v>convince</v>
      </c>
      <c r="P871" s="6" t="str">
        <f>IFERROR(__xludf.DUMMYFUNCTION("""COMPUTED_VALUE"""),"outcome")</f>
        <v>outcome</v>
      </c>
      <c r="Q871" s="6" t="str">
        <f>IFERROR(__xludf.DUMMYFUNCTION("""COMPUTED_VALUE"""),"accents")</f>
        <v>accents</v>
      </c>
      <c r="S871" s="6" t="str">
        <f>IFERROR(__xludf.DUMMYFUNCTION("""COMPUTED_VALUE"""),"ocean")</f>
        <v>ocean</v>
      </c>
    </row>
    <row r="872">
      <c r="B872" s="6"/>
      <c r="D872" s="6"/>
      <c r="G872" s="6" t="str">
        <f>IFERROR(__xludf.DUMMYFUNCTION("""COMPUTED_VALUE"""),"shimmering")</f>
        <v>shimmering</v>
      </c>
      <c r="H872" s="6" t="str">
        <f>IFERROR(__xludf.DUMMYFUNCTION("""COMPUTED_VALUE"""),"payne")</f>
        <v>payne</v>
      </c>
      <c r="I872" s="6" t="str">
        <f>IFERROR(__xludf.DUMMYFUNCTION("""COMPUTED_VALUE"""),"lean")</f>
        <v>lean</v>
      </c>
      <c r="J872" s="6" t="str">
        <f>IFERROR(__xludf.DUMMYFUNCTION("""COMPUTED_VALUE"""),"reflective")</f>
        <v>reflective</v>
      </c>
      <c r="L872" s="6" t="str">
        <f>IFERROR(__xludf.DUMMYFUNCTION("""COMPUTED_VALUE"""),"critics")</f>
        <v>critics</v>
      </c>
      <c r="M872" s="6" t="str">
        <f>IFERROR(__xludf.DUMMYFUNCTION("""COMPUTED_VALUE"""),"wondering")</f>
        <v>wondering</v>
      </c>
      <c r="N872" s="6" t="str">
        <f>IFERROR(__xludf.DUMMYFUNCTION("""COMPUTED_VALUE"""),"yearning")</f>
        <v>yearning</v>
      </c>
      <c r="P872" s="6" t="str">
        <f>IFERROR(__xludf.DUMMYFUNCTION("""COMPUTED_VALUE"""),"moment")</f>
        <v>moment</v>
      </c>
      <c r="Q872" s="6" t="str">
        <f>IFERROR(__xludf.DUMMYFUNCTION("""COMPUTED_VALUE"""),"judd")</f>
        <v>judd</v>
      </c>
      <c r="S872" s="6" t="str">
        <f>IFERROR(__xludf.DUMMYFUNCTION("""COMPUTED_VALUE"""),"atlantic")</f>
        <v>atlantic</v>
      </c>
    </row>
    <row r="873">
      <c r="B873" s="6"/>
      <c r="D873" s="6"/>
      <c r="G873" s="6" t="str">
        <f>IFERROR(__xludf.DUMMYFUNCTION("""COMPUTED_VALUE"""),"pitted")</f>
        <v>pitted</v>
      </c>
      <c r="H873" s="6" t="str">
        <f>IFERROR(__xludf.DUMMYFUNCTION("""COMPUTED_VALUE"""),"uneasy")</f>
        <v>uneasy</v>
      </c>
      <c r="I873" s="6" t="str">
        <f>IFERROR(__xludf.DUMMYFUNCTION("""COMPUTED_VALUE"""),"freedom")</f>
        <v>freedom</v>
      </c>
      <c r="J873" s="6" t="str">
        <f>IFERROR(__xludf.DUMMYFUNCTION("""COMPUTED_VALUE"""),"journalism")</f>
        <v>journalism</v>
      </c>
      <c r="L873" s="6" t="str">
        <f>IFERROR(__xludf.DUMMYFUNCTION("""COMPUTED_VALUE"""),"visual")</f>
        <v>visual</v>
      </c>
      <c r="M873" s="6" t="str">
        <f>IFERROR(__xludf.DUMMYFUNCTION("""COMPUTED_VALUE"""),"medical")</f>
        <v>medical</v>
      </c>
      <c r="N873" s="6" t="str">
        <f>IFERROR(__xludf.DUMMYFUNCTION("""COMPUTED_VALUE"""),"operative")</f>
        <v>operative</v>
      </c>
      <c r="P873" s="6" t="str">
        <f>IFERROR(__xludf.DUMMYFUNCTION("""COMPUTED_VALUE"""),"centuries")</f>
        <v>centuries</v>
      </c>
      <c r="Q873" s="6" t="str">
        <f>IFERROR(__xludf.DUMMYFUNCTION("""COMPUTED_VALUE"""),"freeman")</f>
        <v>freeman</v>
      </c>
      <c r="S873" s="6" t="str">
        <f>IFERROR(__xludf.DUMMYFUNCTION("""COMPUTED_VALUE"""),"somewhere")</f>
        <v>somewhere</v>
      </c>
    </row>
    <row r="874">
      <c r="B874" s="6"/>
      <c r="D874" s="6"/>
      <c r="G874" s="6" t="str">
        <f>IFERROR(__xludf.DUMMYFUNCTION("""COMPUTED_VALUE"""),"painting")</f>
        <v>painting</v>
      </c>
      <c r="H874" s="6" t="str">
        <f>IFERROR(__xludf.DUMMYFUNCTION("""COMPUTED_VALUE"""),"indifference")</f>
        <v>indifference</v>
      </c>
      <c r="I874" s="6" t="str">
        <f>IFERROR(__xludf.DUMMYFUNCTION("""COMPUTED_VALUE"""),"exit")</f>
        <v>exit</v>
      </c>
      <c r="J874" s="6" t="str">
        <f>IFERROR(__xludf.DUMMYFUNCTION("""COMPUTED_VALUE"""),"nonsense")</f>
        <v>nonsense</v>
      </c>
      <c r="L874" s="6" t="str">
        <f>IFERROR(__xludf.DUMMYFUNCTION("""COMPUTED_VALUE"""),"seas")</f>
        <v>seas</v>
      </c>
      <c r="M874" s="6" t="str">
        <f>IFERROR(__xludf.DUMMYFUNCTION("""COMPUTED_VALUE"""),"treatment")</f>
        <v>treatment</v>
      </c>
      <c r="N874" s="6" t="str">
        <f>IFERROR(__xludf.DUMMYFUNCTION("""COMPUTED_VALUE"""),"gradually")</f>
        <v>gradually</v>
      </c>
      <c r="P874" s="6" t="str">
        <f>IFERROR(__xludf.DUMMYFUNCTION("""COMPUTED_VALUE"""),"spiritual")</f>
        <v>spiritual</v>
      </c>
      <c r="Q874" s="6" t="str">
        <f>IFERROR(__xludf.DUMMYFUNCTION("""COMPUTED_VALUE"""),"morgan")</f>
        <v>morgan</v>
      </c>
      <c r="S874" s="6" t="str">
        <f>IFERROR(__xludf.DUMMYFUNCTION("""COMPUTED_VALUE"""),"triangle")</f>
        <v>triangle</v>
      </c>
    </row>
    <row r="875">
      <c r="B875" s="6"/>
      <c r="D875" s="6"/>
      <c r="G875" s="6" t="str">
        <f>IFERROR(__xludf.DUMMYFUNCTION("""COMPUTED_VALUE"""),"shocks")</f>
        <v>shocks</v>
      </c>
      <c r="H875" s="6" t="str">
        <f>IFERROR(__xludf.DUMMYFUNCTION("""COMPUTED_VALUE"""),"revolution")</f>
        <v>revolution</v>
      </c>
      <c r="I875" s="6" t="str">
        <f>IFERROR(__xludf.DUMMYFUNCTION("""COMPUTED_VALUE"""),"origins")</f>
        <v>origins</v>
      </c>
      <c r="J875" s="6" t="str">
        <f>IFERROR(__xludf.DUMMYFUNCTION("""COMPUTED_VALUE"""),"snaps")</f>
        <v>snaps</v>
      </c>
      <c r="L875" s="6" t="str">
        <f>IFERROR(__xludf.DUMMYFUNCTION("""COMPUTED_VALUE"""),"workings")</f>
        <v>workings</v>
      </c>
      <c r="M875" s="6" t="str">
        <f>IFERROR(__xludf.DUMMYFUNCTION("""COMPUTED_VALUE"""),"thousand")</f>
        <v>thousand</v>
      </c>
      <c r="N875" s="6" t="str">
        <f>IFERROR(__xludf.DUMMYFUNCTION("""COMPUTED_VALUE"""),"raise")</f>
        <v>raise</v>
      </c>
      <c r="P875" s="6" t="str">
        <f>IFERROR(__xludf.DUMMYFUNCTION("""COMPUTED_VALUE"""),"laboratory")</f>
        <v>laboratory</v>
      </c>
      <c r="Q875" s="6" t="str">
        <f>IFERROR(__xludf.DUMMYFUNCTION("""COMPUTED_VALUE"""),"attempts")</f>
        <v>attempts</v>
      </c>
      <c r="S875" s="6" t="str">
        <f>IFERROR(__xludf.DUMMYFUNCTION("""COMPUTED_VALUE"""),"leon")</f>
        <v>leon</v>
      </c>
    </row>
    <row r="876">
      <c r="B876" s="6"/>
      <c r="D876" s="6"/>
      <c r="G876" s="6" t="str">
        <f>IFERROR(__xludf.DUMMYFUNCTION("""COMPUTED_VALUE"""),"marine")</f>
        <v>marine</v>
      </c>
      <c r="H876" s="6" t="str">
        <f>IFERROR(__xludf.DUMMYFUNCTION("""COMPUTED_VALUE"""),"precisely")</f>
        <v>precisely</v>
      </c>
      <c r="I876" s="6" t="str">
        <f>IFERROR(__xludf.DUMMYFUNCTION("""COMPUTED_VALUE"""),"nazi")</f>
        <v>nazi</v>
      </c>
      <c r="J876" s="6" t="str">
        <f>IFERROR(__xludf.DUMMYFUNCTION("""COMPUTED_VALUE"""),"convinced")</f>
        <v>convinced</v>
      </c>
      <c r="L876" s="6" t="str">
        <f>IFERROR(__xludf.DUMMYFUNCTION("""COMPUTED_VALUE"""),"soldiers")</f>
        <v>soldiers</v>
      </c>
      <c r="M876" s="6" t="str">
        <f>IFERROR(__xludf.DUMMYFUNCTION("""COMPUTED_VALUE"""),"songs")</f>
        <v>songs</v>
      </c>
      <c r="N876" s="6" t="str">
        <f>IFERROR(__xludf.DUMMYFUNCTION("""COMPUTED_VALUE"""),"hop")</f>
        <v>hop</v>
      </c>
      <c r="P876" s="6" t="str">
        <f>IFERROR(__xludf.DUMMYFUNCTION("""COMPUTED_VALUE"""),"consequences")</f>
        <v>consequences</v>
      </c>
      <c r="Q876" s="6" t="str">
        <f>IFERROR(__xludf.DUMMYFUNCTION("""COMPUTED_VALUE"""),"grey")</f>
        <v>grey</v>
      </c>
      <c r="S876" s="6" t="str">
        <f>IFERROR(__xludf.DUMMYFUNCTION("""COMPUTED_VALUE"""),"novel")</f>
        <v>novel</v>
      </c>
    </row>
    <row r="877">
      <c r="B877" s="6"/>
      <c r="D877" s="6"/>
      <c r="G877" s="6" t="str">
        <f>IFERROR(__xludf.DUMMYFUNCTION("""COMPUTED_VALUE"""),"padded")</f>
        <v>padded</v>
      </c>
      <c r="H877" s="6" t="str">
        <f>IFERROR(__xludf.DUMMYFUNCTION("""COMPUTED_VALUE"""),"loneliness")</f>
        <v>loneliness</v>
      </c>
      <c r="I877" s="6" t="str">
        <f>IFERROR(__xludf.DUMMYFUNCTION("""COMPUTED_VALUE"""),"decade")</f>
        <v>decade</v>
      </c>
      <c r="J877" s="6" t="str">
        <f>IFERROR(__xludf.DUMMYFUNCTION("""COMPUTED_VALUE"""),"tens")</f>
        <v>tens</v>
      </c>
      <c r="L877" s="6" t="str">
        <f>IFERROR(__xludf.DUMMYFUNCTION("""COMPUTED_VALUE"""),"sleeper")</f>
        <v>sleeper</v>
      </c>
      <c r="M877" s="6" t="str">
        <f>IFERROR(__xludf.DUMMYFUNCTION("""COMPUTED_VALUE"""),"opera")</f>
        <v>opera</v>
      </c>
      <c r="N877" s="6" t="str">
        <f>IFERROR(__xludf.DUMMYFUNCTION("""COMPUTED_VALUE"""),"drains")</f>
        <v>drains</v>
      </c>
      <c r="P877" s="6" t="str">
        <f>IFERROR(__xludf.DUMMYFUNCTION("""COMPUTED_VALUE"""),"left")</f>
        <v>left</v>
      </c>
      <c r="Q877" s="6" t="str">
        <f>IFERROR(__xludf.DUMMYFUNCTION("""COMPUTED_VALUE"""),"shadowy")</f>
        <v>shadowy</v>
      </c>
      <c r="S877" s="6" t="str">
        <f>IFERROR(__xludf.DUMMYFUNCTION("""COMPUTED_VALUE"""),"monster")</f>
        <v>monster</v>
      </c>
    </row>
    <row r="878">
      <c r="B878" s="6"/>
      <c r="D878" s="6"/>
      <c r="G878" s="6" t="str">
        <f>IFERROR(__xludf.DUMMYFUNCTION("""COMPUTED_VALUE"""),"seat")</f>
        <v>seat</v>
      </c>
      <c r="H878" s="6" t="str">
        <f>IFERROR(__xludf.DUMMYFUNCTION("""COMPUTED_VALUE"""),"technology")</f>
        <v>technology</v>
      </c>
      <c r="I878" s="6" t="str">
        <f>IFERROR(__xludf.DUMMYFUNCTION("""COMPUTED_VALUE"""),"practiced")</f>
        <v>practiced</v>
      </c>
      <c r="J878" s="6" t="str">
        <f>IFERROR(__xludf.DUMMYFUNCTION("""COMPUTED_VALUE"""),"eye")</f>
        <v>eye</v>
      </c>
      <c r="L878" s="6" t="str">
        <f>IFERROR(__xludf.DUMMYFUNCTION("""COMPUTED_VALUE"""),"economical")</f>
        <v>economical</v>
      </c>
      <c r="M878" s="6" t="str">
        <f>IFERROR(__xludf.DUMMYFUNCTION("""COMPUTED_VALUE"""),"wrestling")</f>
        <v>wrestling</v>
      </c>
      <c r="N878" s="6" t="str">
        <f>IFERROR(__xludf.DUMMYFUNCTION("""COMPUTED_VALUE"""),"wisdom")</f>
        <v>wisdom</v>
      </c>
      <c r="P878" s="6" t="str">
        <f>IFERROR(__xludf.DUMMYFUNCTION("""COMPUTED_VALUE"""),"swift")</f>
        <v>swift</v>
      </c>
      <c r="Q878" s="6" t="str">
        <f>IFERROR(__xludf.DUMMYFUNCTION("""COMPUTED_VALUE"""),"generated")</f>
        <v>generated</v>
      </c>
      <c r="S878" s="6" t="str">
        <f>IFERROR(__xludf.DUMMYFUNCTION("""COMPUTED_VALUE"""),"truth")</f>
        <v>truth</v>
      </c>
    </row>
    <row r="879">
      <c r="B879" s="6"/>
      <c r="D879" s="6"/>
      <c r="G879" s="6" t="str">
        <f>IFERROR(__xludf.DUMMYFUNCTION("""COMPUTED_VALUE"""),"shelf")</f>
        <v>shelf</v>
      </c>
      <c r="H879" s="6" t="str">
        <f>IFERROR(__xludf.DUMMYFUNCTION("""COMPUTED_VALUE"""),"notwithstanding")</f>
        <v>notwithstanding</v>
      </c>
      <c r="I879" s="6" t="str">
        <f>IFERROR(__xludf.DUMMYFUNCTION("""COMPUTED_VALUE"""),"replaced")</f>
        <v>replaced</v>
      </c>
      <c r="J879" s="6" t="str">
        <f>IFERROR(__xludf.DUMMYFUNCTION("""COMPUTED_VALUE"""),"adherents")</f>
        <v>adherents</v>
      </c>
      <c r="L879" s="6" t="str">
        <f>IFERROR(__xludf.DUMMYFUNCTION("""COMPUTED_VALUE"""),"knockout")</f>
        <v>knockout</v>
      </c>
      <c r="M879" s="6" t="str">
        <f>IFERROR(__xludf.DUMMYFUNCTION("""COMPUTED_VALUE"""),"slight")</f>
        <v>slight</v>
      </c>
      <c r="N879" s="6" t="str">
        <f>IFERROR(__xludf.DUMMYFUNCTION("""COMPUTED_VALUE"""),"borrowed")</f>
        <v>borrowed</v>
      </c>
      <c r="P879" s="6" t="str">
        <f>IFERROR(__xludf.DUMMYFUNCTION("""COMPUTED_VALUE"""),"critics")</f>
        <v>critics</v>
      </c>
      <c r="Q879" s="6" t="str">
        <f>IFERROR(__xludf.DUMMYFUNCTION("""COMPUTED_VALUE"""),"graceful")</f>
        <v>graceful</v>
      </c>
      <c r="S879" s="6" t="str">
        <f>IFERROR(__xludf.DUMMYFUNCTION("""COMPUTED_VALUE"""),"minor")</f>
        <v>minor</v>
      </c>
    </row>
    <row r="880">
      <c r="B880" s="6"/>
      <c r="D880" s="6"/>
      <c r="G880" s="6" t="str">
        <f>IFERROR(__xludf.DUMMYFUNCTION("""COMPUTED_VALUE"""),"visuals")</f>
        <v>visuals</v>
      </c>
      <c r="H880" s="6" t="str">
        <f>IFERROR(__xludf.DUMMYFUNCTION("""COMPUTED_VALUE"""),"inspirational")</f>
        <v>inspirational</v>
      </c>
      <c r="I880" s="6" t="str">
        <f>IFERROR(__xludf.DUMMYFUNCTION("""COMPUTED_VALUE"""),"hoped")</f>
        <v>hoped</v>
      </c>
      <c r="J880" s="6" t="str">
        <f>IFERROR(__xludf.DUMMYFUNCTION("""COMPUTED_VALUE"""),"trombone")</f>
        <v>trombone</v>
      </c>
      <c r="L880" s="6" t="str">
        <f>IFERROR(__xludf.DUMMYFUNCTION("""COMPUTED_VALUE"""),"tense")</f>
        <v>tense</v>
      </c>
      <c r="M880" s="6" t="str">
        <f>IFERROR(__xludf.DUMMYFUNCTION("""COMPUTED_VALUE"""),"household")</f>
        <v>household</v>
      </c>
      <c r="N880" s="6" t="str">
        <f>IFERROR(__xludf.DUMMYFUNCTION("""COMPUTED_VALUE"""),"loosely")</f>
        <v>loosely</v>
      </c>
      <c r="P880" s="6" t="str">
        <f>IFERROR(__xludf.DUMMYFUNCTION("""COMPUTED_VALUE"""),"drug")</f>
        <v>drug</v>
      </c>
      <c r="Q880" s="6" t="str">
        <f>IFERROR(__xludf.DUMMYFUNCTION("""COMPUTED_VALUE"""),"frontman")</f>
        <v>frontman</v>
      </c>
      <c r="S880" s="6" t="str">
        <f>IFERROR(__xludf.DUMMYFUNCTION("""COMPUTED_VALUE"""),"substance")</f>
        <v>substance</v>
      </c>
    </row>
    <row r="881">
      <c r="B881" s="6"/>
      <c r="D881" s="6"/>
      <c r="G881" s="6" t="str">
        <f>IFERROR(__xludf.DUMMYFUNCTION("""COMPUTED_VALUE"""),"majestic")</f>
        <v>majestic</v>
      </c>
      <c r="H881" s="6" t="str">
        <f>IFERROR(__xludf.DUMMYFUNCTION("""COMPUTED_VALUE"""),"status")</f>
        <v>status</v>
      </c>
      <c r="I881" s="6" t="str">
        <f>IFERROR(__xludf.DUMMYFUNCTION("""COMPUTED_VALUE"""),"lower")</f>
        <v>lower</v>
      </c>
      <c r="J881" s="6" t="str">
        <f>IFERROR(__xludf.DUMMYFUNCTION("""COMPUTED_VALUE"""),"possess")</f>
        <v>possess</v>
      </c>
      <c r="L881" s="6" t="str">
        <f>IFERROR(__xludf.DUMMYFUNCTION("""COMPUTED_VALUE"""),"destined")</f>
        <v>destined</v>
      </c>
      <c r="M881" s="6" t="str">
        <f>IFERROR(__xludf.DUMMYFUNCTION("""COMPUTED_VALUE"""),"households")</f>
        <v>households</v>
      </c>
      <c r="N881" s="6" t="str">
        <f>IFERROR(__xludf.DUMMYFUNCTION("""COMPUTED_VALUE"""),"rosario")</f>
        <v>rosario</v>
      </c>
      <c r="P881" s="6" t="str">
        <f>IFERROR(__xludf.DUMMYFUNCTION("""COMPUTED_VALUE"""),"david")</f>
        <v>david</v>
      </c>
      <c r="Q881" s="6" t="str">
        <f>IFERROR(__xludf.DUMMYFUNCTION("""COMPUTED_VALUE"""),"resist")</f>
        <v>resist</v>
      </c>
      <c r="S881" s="6" t="str">
        <f>IFERROR(__xludf.DUMMYFUNCTION("""COMPUTED_VALUE"""),"stock")</f>
        <v>stock</v>
      </c>
    </row>
    <row r="882">
      <c r="B882" s="6"/>
      <c r="D882" s="6"/>
      <c r="G882" s="6" t="str">
        <f>IFERROR(__xludf.DUMMYFUNCTION("""COMPUTED_VALUE"""),"strikes")</f>
        <v>strikes</v>
      </c>
      <c r="H882" s="6" t="str">
        <f>IFERROR(__xludf.DUMMYFUNCTION("""COMPUTED_VALUE"""),"pat")</f>
        <v>pat</v>
      </c>
      <c r="I882" s="6" t="str">
        <f>IFERROR(__xludf.DUMMYFUNCTION("""COMPUTED_VALUE"""),"athlete")</f>
        <v>athlete</v>
      </c>
      <c r="J882" s="6" t="str">
        <f>IFERROR(__xludf.DUMMYFUNCTION("""COMPUTED_VALUE"""),"embarrassment")</f>
        <v>embarrassment</v>
      </c>
      <c r="L882" s="6" t="str">
        <f>IFERROR(__xludf.DUMMYFUNCTION("""COMPUTED_VALUE"""),"beneath")</f>
        <v>beneath</v>
      </c>
      <c r="M882" s="6" t="str">
        <f>IFERROR(__xludf.DUMMYFUNCTION("""COMPUTED_VALUE"""),"foreign")</f>
        <v>foreign</v>
      </c>
      <c r="N882" s="6" t="str">
        <f>IFERROR(__xludf.DUMMYFUNCTION("""COMPUTED_VALUE"""),"noir")</f>
        <v>noir</v>
      </c>
      <c r="P882" s="6" t="str">
        <f>IFERROR(__xludf.DUMMYFUNCTION("""COMPUTED_VALUE"""),"songs")</f>
        <v>songs</v>
      </c>
      <c r="Q882" s="6" t="str">
        <f>IFERROR(__xludf.DUMMYFUNCTION("""COMPUTED_VALUE"""),"energetic")</f>
        <v>energetic</v>
      </c>
      <c r="S882" s="6" t="str">
        <f>IFERROR(__xludf.DUMMYFUNCTION("""COMPUTED_VALUE"""),"sexy")</f>
        <v>sexy</v>
      </c>
    </row>
    <row r="883">
      <c r="B883" s="6"/>
      <c r="D883" s="6"/>
      <c r="G883" s="6" t="str">
        <f>IFERROR(__xludf.DUMMYFUNCTION("""COMPUTED_VALUE"""),"puppets")</f>
        <v>puppets</v>
      </c>
      <c r="H883" s="6" t="str">
        <f>IFERROR(__xludf.DUMMYFUNCTION("""COMPUTED_VALUE"""),"jerking")</f>
        <v>jerking</v>
      </c>
      <c r="I883" s="6" t="str">
        <f>IFERROR(__xludf.DUMMYFUNCTION("""COMPUTED_VALUE"""),"arnold")</f>
        <v>arnold</v>
      </c>
      <c r="J883" s="6" t="str">
        <f>IFERROR(__xludf.DUMMYFUNCTION("""COMPUTED_VALUE"""),"rotten")</f>
        <v>rotten</v>
      </c>
      <c r="L883" s="6" t="str">
        <f>IFERROR(__xludf.DUMMYFUNCTION("""COMPUTED_VALUE"""),"dragons")</f>
        <v>dragons</v>
      </c>
      <c r="M883" s="6" t="str">
        <f>IFERROR(__xludf.DUMMYFUNCTION("""COMPUTED_VALUE"""),"copies")</f>
        <v>copies</v>
      </c>
      <c r="N883" s="6" t="str">
        <f>IFERROR(__xludf.DUMMYFUNCTION("""COMPUTED_VALUE"""),"abyss")</f>
        <v>abyss</v>
      </c>
      <c r="P883" s="6" t="str">
        <f>IFERROR(__xludf.DUMMYFUNCTION("""COMPUTED_VALUE"""),"text")</f>
        <v>text</v>
      </c>
      <c r="Q883" s="6" t="str">
        <f>IFERROR(__xludf.DUMMYFUNCTION("""COMPUTED_VALUE"""),"pulse")</f>
        <v>pulse</v>
      </c>
      <c r="S883" s="6" t="str">
        <f>IFERROR(__xludf.DUMMYFUNCTION("""COMPUTED_VALUE"""),"smoking")</f>
        <v>smoking</v>
      </c>
    </row>
    <row r="884">
      <c r="B884" s="6"/>
      <c r="D884" s="6"/>
      <c r="G884" s="6" t="str">
        <f>IFERROR(__xludf.DUMMYFUNCTION("""COMPUTED_VALUE"""),"bear")</f>
        <v>bear</v>
      </c>
      <c r="H884" s="6" t="str">
        <f>IFERROR(__xludf.DUMMYFUNCTION("""COMPUTED_VALUE"""),"dubbed")</f>
        <v>dubbed</v>
      </c>
      <c r="I884" s="6" t="str">
        <f>IFERROR(__xludf.DUMMYFUNCTION("""COMPUTED_VALUE"""),"combat")</f>
        <v>combat</v>
      </c>
      <c r="J884" s="6" t="str">
        <f>IFERROR(__xludf.DUMMYFUNCTION("""COMPUTED_VALUE"""),"applies")</f>
        <v>applies</v>
      </c>
      <c r="L884" s="6" t="str">
        <f>IFERROR(__xludf.DUMMYFUNCTION("""COMPUTED_VALUE"""),"columbus")</f>
        <v>columbus</v>
      </c>
      <c r="M884" s="6" t="str">
        <f>IFERROR(__xludf.DUMMYFUNCTION("""COMPUTED_VALUE"""),"anime")</f>
        <v>anime</v>
      </c>
      <c r="N884" s="6" t="str">
        <f>IFERROR(__xludf.DUMMYFUNCTION("""COMPUTED_VALUE"""),"relying")</f>
        <v>relying</v>
      </c>
      <c r="P884" s="6" t="str">
        <f>IFERROR(__xludf.DUMMYFUNCTION("""COMPUTED_VALUE"""),"played")</f>
        <v>played</v>
      </c>
      <c r="Q884" s="6" t="str">
        <f>IFERROR(__xludf.DUMMYFUNCTION("""COMPUTED_VALUE"""),"subconscious")</f>
        <v>subconscious</v>
      </c>
      <c r="S884" s="6" t="str">
        <f>IFERROR(__xludf.DUMMYFUNCTION("""COMPUTED_VALUE"""),"magnetic")</f>
        <v>magnetic</v>
      </c>
    </row>
    <row r="885">
      <c r="B885" s="6"/>
      <c r="D885" s="6"/>
      <c r="G885" s="6" t="str">
        <f>IFERROR(__xludf.DUMMYFUNCTION("""COMPUTED_VALUE"""),"advantage")</f>
        <v>advantage</v>
      </c>
      <c r="H885" s="6" t="str">
        <f>IFERROR(__xludf.DUMMYFUNCTION("""COMPUTED_VALUE"""),"cruelty")</f>
        <v>cruelty</v>
      </c>
      <c r="I885" s="6" t="str">
        <f>IFERROR(__xludf.DUMMYFUNCTION("""COMPUTED_VALUE"""),"captain")</f>
        <v>captain</v>
      </c>
      <c r="J885" s="6" t="str">
        <f>IFERROR(__xludf.DUMMYFUNCTION("""COMPUTED_VALUE"""),"imaginative")</f>
        <v>imaginative</v>
      </c>
      <c r="L885" s="6" t="str">
        <f>IFERROR(__xludf.DUMMYFUNCTION("""COMPUTED_VALUE"""),"cheering")</f>
        <v>cheering</v>
      </c>
      <c r="M885" s="6" t="str">
        <f>IFERROR(__xludf.DUMMYFUNCTION("""COMPUTED_VALUE"""),"videos")</f>
        <v>videos</v>
      </c>
      <c r="N885" s="6" t="str">
        <f>IFERROR(__xludf.DUMMYFUNCTION("""COMPUTED_VALUE"""),"allen")</f>
        <v>allen</v>
      </c>
      <c r="P885" s="6" t="str">
        <f>IFERROR(__xludf.DUMMYFUNCTION("""COMPUTED_VALUE"""),"case")</f>
        <v>case</v>
      </c>
      <c r="Q885" s="6" t="str">
        <f>IFERROR(__xludf.DUMMYFUNCTION("""COMPUTED_VALUE"""),"ought")</f>
        <v>ought</v>
      </c>
      <c r="S885" s="6" t="str">
        <f>IFERROR(__xludf.DUMMYFUNCTION("""COMPUTED_VALUE"""),"landmark")</f>
        <v>landmark</v>
      </c>
    </row>
    <row r="886">
      <c r="B886" s="6"/>
      <c r="D886" s="6"/>
      <c r="G886" s="6" t="str">
        <f>IFERROR(__xludf.DUMMYFUNCTION("""COMPUTED_VALUE"""),"willingness")</f>
        <v>willingness</v>
      </c>
      <c r="H886" s="6" t="str">
        <f>IFERROR(__xludf.DUMMYFUNCTION("""COMPUTED_VALUE"""),"documented")</f>
        <v>documented</v>
      </c>
      <c r="I886" s="6" t="str">
        <f>IFERROR(__xludf.DUMMYFUNCTION("""COMPUTED_VALUE"""),"singing")</f>
        <v>singing</v>
      </c>
      <c r="J886" s="6" t="str">
        <f>IFERROR(__xludf.DUMMYFUNCTION("""COMPUTED_VALUE"""),"composition")</f>
        <v>composition</v>
      </c>
      <c r="L886" s="6" t="str">
        <f>IFERROR(__xludf.DUMMYFUNCTION("""COMPUTED_VALUE"""),"cheer")</f>
        <v>cheer</v>
      </c>
      <c r="M886" s="6" t="str">
        <f>IFERROR(__xludf.DUMMYFUNCTION("""COMPUTED_VALUE"""),"documentary")</f>
        <v>documentary</v>
      </c>
      <c r="N886" s="6" t="str">
        <f>IFERROR(__xludf.DUMMYFUNCTION("""COMPUTED_VALUE"""),"socially")</f>
        <v>socially</v>
      </c>
      <c r="P886" s="6" t="str">
        <f>IFERROR(__xludf.DUMMYFUNCTION("""COMPUTED_VALUE"""),"commanding")</f>
        <v>commanding</v>
      </c>
      <c r="Q886" s="6" t="str">
        <f>IFERROR(__xludf.DUMMYFUNCTION("""COMPUTED_VALUE"""),"stirring")</f>
        <v>stirring</v>
      </c>
      <c r="S886" s="6" t="str">
        <f>IFERROR(__xludf.DUMMYFUNCTION("""COMPUTED_VALUE"""),"potential")</f>
        <v>potential</v>
      </c>
    </row>
    <row r="887">
      <c r="B887" s="6"/>
      <c r="D887" s="6"/>
      <c r="G887" s="6" t="str">
        <f>IFERROR(__xludf.DUMMYFUNCTION("""COMPUTED_VALUE"""),"sleeve")</f>
        <v>sleeve</v>
      </c>
      <c r="H887" s="6" t="str">
        <f>IFERROR(__xludf.DUMMYFUNCTION("""COMPUTED_VALUE"""),"popcorn")</f>
        <v>popcorn</v>
      </c>
      <c r="I887" s="6" t="str">
        <f>IFERROR(__xludf.DUMMYFUNCTION("""COMPUTED_VALUE"""),"near")</f>
        <v>near</v>
      </c>
      <c r="J887" s="6" t="str">
        <f>IFERROR(__xludf.DUMMYFUNCTION("""COMPUTED_VALUE"""),"somber")</f>
        <v>somber</v>
      </c>
      <c r="L887" s="6" t="str">
        <f>IFERROR(__xludf.DUMMYFUNCTION("""COMPUTED_VALUE"""),"assign")</f>
        <v>assign</v>
      </c>
      <c r="M887" s="6" t="str">
        <f>IFERROR(__xludf.DUMMYFUNCTION("""COMPUTED_VALUE"""),"effort")</f>
        <v>effort</v>
      </c>
      <c r="N887" s="6" t="str">
        <f>IFERROR(__xludf.DUMMYFUNCTION("""COMPUTED_VALUE"""),"releases")</f>
        <v>releases</v>
      </c>
      <c r="P887" s="6" t="str">
        <f>IFERROR(__xludf.DUMMYFUNCTION("""COMPUTED_VALUE"""),"staged")</f>
        <v>staged</v>
      </c>
      <c r="Q887" s="6" t="str">
        <f>IFERROR(__xludf.DUMMYFUNCTION("""COMPUTED_VALUE"""),"struggling")</f>
        <v>struggling</v>
      </c>
      <c r="S887" s="6" t="str">
        <f>IFERROR(__xludf.DUMMYFUNCTION("""COMPUTED_VALUE"""),"mixture")</f>
        <v>mixture</v>
      </c>
    </row>
    <row r="888">
      <c r="B888" s="6"/>
      <c r="D888" s="6"/>
      <c r="G888" s="6" t="str">
        <f>IFERROR(__xludf.DUMMYFUNCTION("""COMPUTED_VALUE"""),"wears")</f>
        <v>wears</v>
      </c>
      <c r="H888" s="6" t="str">
        <f>IFERROR(__xludf.DUMMYFUNCTION("""COMPUTED_VALUE"""),"english")</f>
        <v>english</v>
      </c>
      <c r="I888" s="6" t="str">
        <f>IFERROR(__xludf.DUMMYFUNCTION("""COMPUTED_VALUE"""),"faint")</f>
        <v>faint</v>
      </c>
      <c r="J888" s="6" t="str">
        <f>IFERROR(__xludf.DUMMYFUNCTION("""COMPUTED_VALUE"""),"credible")</f>
        <v>credible</v>
      </c>
      <c r="L888" s="6" t="str">
        <f>IFERROR(__xludf.DUMMYFUNCTION("""COMPUTED_VALUE"""),"suited")</f>
        <v>suited</v>
      </c>
      <c r="M888" s="6" t="str">
        <f>IFERROR(__xludf.DUMMYFUNCTION("""COMPUTED_VALUE"""),"bears")</f>
        <v>bears</v>
      </c>
      <c r="N888" s="6" t="str">
        <f>IFERROR(__xludf.DUMMYFUNCTION("""COMPUTED_VALUE"""),"sequence")</f>
        <v>sequence</v>
      </c>
      <c r="P888" s="6" t="str">
        <f>IFERROR(__xludf.DUMMYFUNCTION("""COMPUTED_VALUE"""),"web")</f>
        <v>web</v>
      </c>
      <c r="Q888" s="6" t="str">
        <f>IFERROR(__xludf.DUMMYFUNCTION("""COMPUTED_VALUE"""),"tier")</f>
        <v>tier</v>
      </c>
      <c r="S888" s="6" t="str">
        <f>IFERROR(__xludf.DUMMYFUNCTION("""COMPUTED_VALUE"""),"message")</f>
        <v>message</v>
      </c>
    </row>
    <row r="889">
      <c r="B889" s="6"/>
      <c r="D889" s="6"/>
      <c r="G889" s="6" t="str">
        <f>IFERROR(__xludf.DUMMYFUNCTION("""COMPUTED_VALUE"""),"conduct")</f>
        <v>conduct</v>
      </c>
      <c r="H889" s="6" t="str">
        <f>IFERROR(__xludf.DUMMYFUNCTION("""COMPUTED_VALUE"""),"america")</f>
        <v>america</v>
      </c>
      <c r="I889" s="6" t="str">
        <f>IFERROR(__xludf.DUMMYFUNCTION("""COMPUTED_VALUE"""),"enjoying")</f>
        <v>enjoying</v>
      </c>
      <c r="J889" s="6" t="str">
        <f>IFERROR(__xludf.DUMMYFUNCTION("""COMPUTED_VALUE"""),"mature")</f>
        <v>mature</v>
      </c>
      <c r="L889" s="6" t="str">
        <f>IFERROR(__xludf.DUMMYFUNCTION("""COMPUTED_VALUE"""),"daring")</f>
        <v>daring</v>
      </c>
      <c r="M889" s="6" t="str">
        <f>IFERROR(__xludf.DUMMYFUNCTION("""COMPUTED_VALUE"""),"justice")</f>
        <v>justice</v>
      </c>
      <c r="N889" s="6" t="str">
        <f>IFERROR(__xludf.DUMMYFUNCTION("""COMPUTED_VALUE"""),"`")</f>
        <v>`</v>
      </c>
      <c r="P889" s="6" t="str">
        <f>IFERROR(__xludf.DUMMYFUNCTION("""COMPUTED_VALUE"""),"alive")</f>
        <v>alive</v>
      </c>
      <c r="Q889" s="6" t="str">
        <f>IFERROR(__xludf.DUMMYFUNCTION("""COMPUTED_VALUE"""),"flourish")</f>
        <v>flourish</v>
      </c>
      <c r="S889" s="6" t="str">
        <f>IFERROR(__xludf.DUMMYFUNCTION("""COMPUTED_VALUE"""),"delicate")</f>
        <v>delicate</v>
      </c>
    </row>
    <row r="890">
      <c r="B890" s="6"/>
      <c r="D890" s="6"/>
      <c r="G890" s="6" t="str">
        <f>IFERROR(__xludf.DUMMYFUNCTION("""COMPUTED_VALUE"""),"intimacy")</f>
        <v>intimacy</v>
      </c>
      <c r="H890" s="6" t="str">
        <f>IFERROR(__xludf.DUMMYFUNCTION("""COMPUTED_VALUE"""),"randall")</f>
        <v>randall</v>
      </c>
      <c r="I890" s="6" t="str">
        <f>IFERROR(__xludf.DUMMYFUNCTION("""COMPUTED_VALUE"""),"mechanical")</f>
        <v>mechanical</v>
      </c>
      <c r="J890" s="6" t="str">
        <f>IFERROR(__xludf.DUMMYFUNCTION("""COMPUTED_VALUE"""),"complications")</f>
        <v>complications</v>
      </c>
      <c r="L890" s="6" t="str">
        <f>IFERROR(__xludf.DUMMYFUNCTION("""COMPUTED_VALUE"""),"endure")</f>
        <v>endure</v>
      </c>
      <c r="M890" s="6" t="str">
        <f>IFERROR(__xludf.DUMMYFUNCTION("""COMPUTED_VALUE"""),"smith")</f>
        <v>smith</v>
      </c>
      <c r="N890" s="6" t="str">
        <f>IFERROR(__xludf.DUMMYFUNCTION("""COMPUTED_VALUE"""),"aims")</f>
        <v>aims</v>
      </c>
      <c r="P890" s="6" t="str">
        <f>IFERROR(__xludf.DUMMYFUNCTION("""COMPUTED_VALUE"""),"scope")</f>
        <v>scope</v>
      </c>
      <c r="Q890" s="6" t="str">
        <f>IFERROR(__xludf.DUMMYFUNCTION("""COMPUTED_VALUE"""),"chan")</f>
        <v>chan</v>
      </c>
      <c r="S890" s="6" t="str">
        <f>IFERROR(__xludf.DUMMYFUNCTION("""COMPUTED_VALUE"""),"commentary")</f>
        <v>commentary</v>
      </c>
    </row>
    <row r="891">
      <c r="B891" s="6"/>
      <c r="D891" s="6"/>
      <c r="G891" s="6" t="str">
        <f>IFERROR(__xludf.DUMMYFUNCTION("""COMPUTED_VALUE"""),"kiss")</f>
        <v>kiss</v>
      </c>
      <c r="H891" s="6" t="str">
        <f>IFERROR(__xludf.DUMMYFUNCTION("""COMPUTED_VALUE"""),"insights")</f>
        <v>insights</v>
      </c>
      <c r="I891" s="6" t="str">
        <f>IFERROR(__xludf.DUMMYFUNCTION("""COMPUTED_VALUE"""),"artwork")</f>
        <v>artwork</v>
      </c>
      <c r="J891" s="6" t="str">
        <f>IFERROR(__xludf.DUMMYFUNCTION("""COMPUTED_VALUE"""),"house")</f>
        <v>house</v>
      </c>
      <c r="L891" s="6" t="str">
        <f>IFERROR(__xludf.DUMMYFUNCTION("""COMPUTED_VALUE"""),"nazi")</f>
        <v>nazi</v>
      </c>
      <c r="M891" s="6" t="str">
        <f>IFERROR(__xludf.DUMMYFUNCTION("""COMPUTED_VALUE"""),"force")</f>
        <v>force</v>
      </c>
      <c r="N891" s="6" t="str">
        <f>IFERROR(__xludf.DUMMYFUNCTION("""COMPUTED_VALUE"""),"believing")</f>
        <v>believing</v>
      </c>
      <c r="P891" s="6" t="str">
        <f>IFERROR(__xludf.DUMMYFUNCTION("""COMPUTED_VALUE"""),"dismissed")</f>
        <v>dismissed</v>
      </c>
      <c r="Q891" s="6" t="str">
        <f>IFERROR(__xludf.DUMMYFUNCTION("""COMPUTED_VALUE"""),"tender")</f>
        <v>tender</v>
      </c>
      <c r="S891" s="6" t="str">
        <f>IFERROR(__xludf.DUMMYFUNCTION("""COMPUTED_VALUE"""),"apparently")</f>
        <v>apparently</v>
      </c>
    </row>
    <row r="892">
      <c r="B892" s="6"/>
      <c r="D892" s="6"/>
      <c r="G892" s="6" t="str">
        <f>IFERROR(__xludf.DUMMYFUNCTION("""COMPUTED_VALUE"""),"continuation")</f>
        <v>continuation</v>
      </c>
      <c r="H892" s="6" t="str">
        <f>IFERROR(__xludf.DUMMYFUNCTION("""COMPUTED_VALUE"""),"tensions")</f>
        <v>tensions</v>
      </c>
      <c r="I892" s="6" t="str">
        <f>IFERROR(__xludf.DUMMYFUNCTION("""COMPUTED_VALUE"""),"resolution")</f>
        <v>resolution</v>
      </c>
      <c r="J892" s="6" t="str">
        <f>IFERROR(__xludf.DUMMYFUNCTION("""COMPUTED_VALUE"""),"commerce")</f>
        <v>commerce</v>
      </c>
      <c r="L892" s="6" t="str">
        <f>IFERROR(__xludf.DUMMYFUNCTION("""COMPUTED_VALUE"""),"indie")</f>
        <v>indie</v>
      </c>
      <c r="M892" s="6" t="str">
        <f>IFERROR(__xludf.DUMMYFUNCTION("""COMPUTED_VALUE"""),"exterior")</f>
        <v>exterior</v>
      </c>
      <c r="N892" s="6" t="str">
        <f>IFERROR(__xludf.DUMMYFUNCTION("""COMPUTED_VALUE"""),"omitted")</f>
        <v>omitted</v>
      </c>
      <c r="P892" s="6" t="str">
        <f>IFERROR(__xludf.DUMMYFUNCTION("""COMPUTED_VALUE"""),"forced")</f>
        <v>forced</v>
      </c>
      <c r="Q892" s="6" t="str">
        <f>IFERROR(__xludf.DUMMYFUNCTION("""COMPUTED_VALUE"""),"reflection")</f>
        <v>reflection</v>
      </c>
      <c r="S892" s="6" t="str">
        <f>IFERROR(__xludf.DUMMYFUNCTION("""COMPUTED_VALUE"""),"notice")</f>
        <v>notice</v>
      </c>
    </row>
    <row r="893">
      <c r="B893" s="6"/>
      <c r="D893" s="6"/>
      <c r="G893" s="6" t="str">
        <f>IFERROR(__xludf.DUMMYFUNCTION("""COMPUTED_VALUE"""),"alabama")</f>
        <v>alabama</v>
      </c>
      <c r="H893" s="6" t="str">
        <f>IFERROR(__xludf.DUMMYFUNCTION("""COMPUTED_VALUE"""),"pushes")</f>
        <v>pushes</v>
      </c>
      <c r="I893" s="6" t="str">
        <f>IFERROR(__xludf.DUMMYFUNCTION("""COMPUTED_VALUE"""),"aids")</f>
        <v>aids</v>
      </c>
      <c r="J893" s="6" t="str">
        <f>IFERROR(__xludf.DUMMYFUNCTION("""COMPUTED_VALUE"""),"subtly")</f>
        <v>subtly</v>
      </c>
      <c r="L893" s="6" t="str">
        <f>IFERROR(__xludf.DUMMYFUNCTION("""COMPUTED_VALUE"""),"feral")</f>
        <v>feral</v>
      </c>
      <c r="M893" s="6" t="str">
        <f>IFERROR(__xludf.DUMMYFUNCTION("""COMPUTED_VALUE"""),"pot")</f>
        <v>pot</v>
      </c>
      <c r="N893" s="6" t="str">
        <f>IFERROR(__xludf.DUMMYFUNCTION("""COMPUTED_VALUE"""),"monumental")</f>
        <v>monumental</v>
      </c>
      <c r="P893" s="6" t="str">
        <f>IFERROR(__xludf.DUMMYFUNCTION("""COMPUTED_VALUE"""),"williams")</f>
        <v>williams</v>
      </c>
      <c r="Q893" s="6" t="str">
        <f>IFERROR(__xludf.DUMMYFUNCTION("""COMPUTED_VALUE"""),"problematic")</f>
        <v>problematic</v>
      </c>
      <c r="S893" s="6" t="str">
        <f>IFERROR(__xludf.DUMMYFUNCTION("""COMPUTED_VALUE"""),"mill")</f>
        <v>mill</v>
      </c>
    </row>
    <row r="894">
      <c r="B894" s="6"/>
      <c r="D894" s="6"/>
      <c r="G894" s="6" t="str">
        <f>IFERROR(__xludf.DUMMYFUNCTION("""COMPUTED_VALUE"""),"producer")</f>
        <v>producer</v>
      </c>
      <c r="H894" s="6" t="str">
        <f>IFERROR(__xludf.DUMMYFUNCTION("""COMPUTED_VALUE"""),"eyre")</f>
        <v>eyre</v>
      </c>
      <c r="I894" s="6" t="str">
        <f>IFERROR(__xludf.DUMMYFUNCTION("""COMPUTED_VALUE"""),"pitched")</f>
        <v>pitched</v>
      </c>
      <c r="J894" s="6" t="str">
        <f>IFERROR(__xludf.DUMMYFUNCTION("""COMPUTED_VALUE"""),"ballistic")</f>
        <v>ballistic</v>
      </c>
      <c r="L894" s="6" t="str">
        <f>IFERROR(__xludf.DUMMYFUNCTION("""COMPUTED_VALUE"""),"deaths")</f>
        <v>deaths</v>
      </c>
      <c r="M894" s="6" t="str">
        <f>IFERROR(__xludf.DUMMYFUNCTION("""COMPUTED_VALUE"""),"traditions")</f>
        <v>traditions</v>
      </c>
      <c r="N894" s="6" t="str">
        <f>IFERROR(__xludf.DUMMYFUNCTION("""COMPUTED_VALUE"""),"ventures")</f>
        <v>ventures</v>
      </c>
      <c r="P894" s="6" t="str">
        <f>IFERROR(__xludf.DUMMYFUNCTION("""COMPUTED_VALUE"""),"source")</f>
        <v>source</v>
      </c>
      <c r="Q894" s="6" t="str">
        <f>IFERROR(__xludf.DUMMYFUNCTION("""COMPUTED_VALUE"""),"hilarious")</f>
        <v>hilarious</v>
      </c>
      <c r="S894" s="6" t="str">
        <f>IFERROR(__xludf.DUMMYFUNCTION("""COMPUTED_VALUE"""),"allen")</f>
        <v>allen</v>
      </c>
    </row>
    <row r="895">
      <c r="B895" s="6"/>
      <c r="D895" s="6"/>
      <c r="G895" s="6" t="str">
        <f>IFERROR(__xludf.DUMMYFUNCTION("""COMPUTED_VALUE"""),"assurance")</f>
        <v>assurance</v>
      </c>
      <c r="H895" s="6" t="str">
        <f>IFERROR(__xludf.DUMMYFUNCTION("""COMPUTED_VALUE"""),"spike")</f>
        <v>spike</v>
      </c>
      <c r="I895" s="6" t="str">
        <f>IFERROR(__xludf.DUMMYFUNCTION("""COMPUTED_VALUE"""),"born")</f>
        <v>born</v>
      </c>
      <c r="J895" s="6" t="str">
        <f>IFERROR(__xludf.DUMMYFUNCTION("""COMPUTED_VALUE"""),"provoke")</f>
        <v>provoke</v>
      </c>
      <c r="L895" s="6" t="str">
        <f>IFERROR(__xludf.DUMMYFUNCTION("""COMPUTED_VALUE"""),"kitten")</f>
        <v>kitten</v>
      </c>
      <c r="M895" s="6" t="str">
        <f>IFERROR(__xludf.DUMMYFUNCTION("""COMPUTED_VALUE"""),"cultural")</f>
        <v>cultural</v>
      </c>
      <c r="N895" s="6" t="str">
        <f>IFERROR(__xludf.DUMMYFUNCTION("""COMPUTED_VALUE"""),"players")</f>
        <v>players</v>
      </c>
      <c r="P895" s="6" t="str">
        <f>IFERROR(__xludf.DUMMYFUNCTION("""COMPUTED_VALUE"""),"towards")</f>
        <v>towards</v>
      </c>
      <c r="Q895" s="6" t="str">
        <f>IFERROR(__xludf.DUMMYFUNCTION("""COMPUTED_VALUE"""),"fantasia")</f>
        <v>fantasia</v>
      </c>
      <c r="S895" s="6" t="str">
        <f>IFERROR(__xludf.DUMMYFUNCTION("""COMPUTED_VALUE"""),"breathe")</f>
        <v>breathe</v>
      </c>
    </row>
    <row r="896">
      <c r="B896" s="6"/>
      <c r="D896" s="6"/>
      <c r="G896" s="6" t="str">
        <f>IFERROR(__xludf.DUMMYFUNCTION("""COMPUTED_VALUE"""),"disguised")</f>
        <v>disguised</v>
      </c>
      <c r="H896" s="6" t="str">
        <f>IFERROR(__xludf.DUMMYFUNCTION("""COMPUTED_VALUE"""),"catches")</f>
        <v>catches</v>
      </c>
      <c r="I896" s="6" t="str">
        <f>IFERROR(__xludf.DUMMYFUNCTION("""COMPUTED_VALUE"""),"hug")</f>
        <v>hug</v>
      </c>
      <c r="J896" s="6" t="str">
        <f>IFERROR(__xludf.DUMMYFUNCTION("""COMPUTED_VALUE"""),"collapses")</f>
        <v>collapses</v>
      </c>
      <c r="L896" s="6" t="str">
        <f>IFERROR(__xludf.DUMMYFUNCTION("""COMPUTED_VALUE"""),"intellectual")</f>
        <v>intellectual</v>
      </c>
      <c r="M896" s="6" t="str">
        <f>IFERROR(__xludf.DUMMYFUNCTION("""COMPUTED_VALUE"""),"guide")</f>
        <v>guide</v>
      </c>
      <c r="N896" s="6" t="str">
        <f>IFERROR(__xludf.DUMMYFUNCTION("""COMPUTED_VALUE"""),"purposes")</f>
        <v>purposes</v>
      </c>
      <c r="P896" s="6" t="str">
        <f>IFERROR(__xludf.DUMMYFUNCTION("""COMPUTED_VALUE"""),"revolution")</f>
        <v>revolution</v>
      </c>
      <c r="Q896" s="6" t="str">
        <f>IFERROR(__xludf.DUMMYFUNCTION("""COMPUTED_VALUE"""),"biographical")</f>
        <v>biographical</v>
      </c>
      <c r="S896" s="6" t="str">
        <f>IFERROR(__xludf.DUMMYFUNCTION("""COMPUTED_VALUE"""),"straight")</f>
        <v>straight</v>
      </c>
    </row>
    <row r="897">
      <c r="B897" s="6"/>
      <c r="D897" s="6"/>
      <c r="G897" s="6" t="str">
        <f>IFERROR(__xludf.DUMMYFUNCTION("""COMPUTED_VALUE"""),"impact")</f>
        <v>impact</v>
      </c>
      <c r="H897" s="6" t="str">
        <f>IFERROR(__xludf.DUMMYFUNCTION("""COMPUTED_VALUE"""),"newcomer")</f>
        <v>newcomer</v>
      </c>
      <c r="I897" s="6" t="str">
        <f>IFERROR(__xludf.DUMMYFUNCTION("""COMPUTED_VALUE"""),"victim")</f>
        <v>victim</v>
      </c>
      <c r="J897" s="6" t="str">
        <f>IFERROR(__xludf.DUMMYFUNCTION("""COMPUTED_VALUE"""),"conceptual")</f>
        <v>conceptual</v>
      </c>
      <c r="L897" s="6" t="str">
        <f>IFERROR(__xludf.DUMMYFUNCTION("""COMPUTED_VALUE"""),"hitting")</f>
        <v>hitting</v>
      </c>
      <c r="M897" s="6" t="str">
        <f>IFERROR(__xludf.DUMMYFUNCTION("""COMPUTED_VALUE"""),"display")</f>
        <v>display</v>
      </c>
      <c r="N897" s="6" t="str">
        <f>IFERROR(__xludf.DUMMYFUNCTION("""COMPUTED_VALUE"""),"chest")</f>
        <v>chest</v>
      </c>
      <c r="P897" s="6" t="str">
        <f>IFERROR(__xludf.DUMMYFUNCTION("""COMPUTED_VALUE"""),"compared")</f>
        <v>compared</v>
      </c>
      <c r="Q897" s="6" t="str">
        <f>IFERROR(__xludf.DUMMYFUNCTION("""COMPUTED_VALUE"""),"political")</f>
        <v>political</v>
      </c>
      <c r="S897" s="6" t="str">
        <f>IFERROR(__xludf.DUMMYFUNCTION("""COMPUTED_VALUE"""),"light")</f>
        <v>light</v>
      </c>
    </row>
    <row r="898">
      <c r="B898" s="6"/>
      <c r="D898" s="6"/>
      <c r="G898" s="6" t="str">
        <f>IFERROR(__xludf.DUMMYFUNCTION("""COMPUTED_VALUE"""),"troubled")</f>
        <v>troubled</v>
      </c>
      <c r="H898" s="6" t="str">
        <f>IFERROR(__xludf.DUMMYFUNCTION("""COMPUTED_VALUE"""),"hoffman")</f>
        <v>hoffman</v>
      </c>
      <c r="I898" s="6" t="str">
        <f>IFERROR(__xludf.DUMMYFUNCTION("""COMPUTED_VALUE"""),"factors")</f>
        <v>factors</v>
      </c>
      <c r="J898" s="6" t="str">
        <f>IFERROR(__xludf.DUMMYFUNCTION("""COMPUTED_VALUE"""),"steady")</f>
        <v>steady</v>
      </c>
      <c r="L898" s="6" t="str">
        <f>IFERROR(__xludf.DUMMYFUNCTION("""COMPUTED_VALUE"""),"dose")</f>
        <v>dose</v>
      </c>
      <c r="M898" s="6" t="str">
        <f>IFERROR(__xludf.DUMMYFUNCTION("""COMPUTED_VALUE"""),"circus")</f>
        <v>circus</v>
      </c>
      <c r="N898" s="6" t="str">
        <f>IFERROR(__xludf.DUMMYFUNCTION("""COMPUTED_VALUE"""),"randall")</f>
        <v>randall</v>
      </c>
      <c r="P898" s="6" t="str">
        <f>IFERROR(__xludf.DUMMYFUNCTION("""COMPUTED_VALUE"""),"technology")</f>
        <v>technology</v>
      </c>
      <c r="Q898" s="6" t="str">
        <f>IFERROR(__xludf.DUMMYFUNCTION("""COMPUTED_VALUE"""),"underwater")</f>
        <v>underwater</v>
      </c>
      <c r="S898" s="6" t="str">
        <f>IFERROR(__xludf.DUMMYFUNCTION("""COMPUTED_VALUE"""),"dying")</f>
        <v>dying</v>
      </c>
    </row>
    <row r="899">
      <c r="B899" s="6"/>
      <c r="D899" s="6"/>
      <c r="G899" s="6" t="str">
        <f>IFERROR(__xludf.DUMMYFUNCTION("""COMPUTED_VALUE"""),"sly")</f>
        <v>sly</v>
      </c>
      <c r="H899" s="6" t="str">
        <f>IFERROR(__xludf.DUMMYFUNCTION("""COMPUTED_VALUE"""),"feat")</f>
        <v>feat</v>
      </c>
      <c r="I899" s="6" t="str">
        <f>IFERROR(__xludf.DUMMYFUNCTION("""COMPUTED_VALUE"""),"resistance")</f>
        <v>resistance</v>
      </c>
      <c r="J899" s="6" t="str">
        <f>IFERROR(__xludf.DUMMYFUNCTION("""COMPUTED_VALUE"""),"puzzle")</f>
        <v>puzzle</v>
      </c>
      <c r="L899" s="6" t="str">
        <f>IFERROR(__xludf.DUMMYFUNCTION("""COMPUTED_VALUE"""),"rapid")</f>
        <v>rapid</v>
      </c>
      <c r="M899" s="6" t="str">
        <f>IFERROR(__xludf.DUMMYFUNCTION("""COMPUTED_VALUE"""),"artistic")</f>
        <v>artistic</v>
      </c>
      <c r="N899" s="6" t="str">
        <f>IFERROR(__xludf.DUMMYFUNCTION("""COMPUTED_VALUE"""),"padded")</f>
        <v>padded</v>
      </c>
      <c r="P899" s="6" t="str">
        <f>IFERROR(__xludf.DUMMYFUNCTION("""COMPUTED_VALUE"""),"comparison")</f>
        <v>comparison</v>
      </c>
      <c r="Q899" s="6" t="str">
        <f>IFERROR(__xludf.DUMMYFUNCTION("""COMPUTED_VALUE"""),"triangle")</f>
        <v>triangle</v>
      </c>
      <c r="S899" s="6" t="str">
        <f>IFERROR(__xludf.DUMMYFUNCTION("""COMPUTED_VALUE"""),"li")</f>
        <v>li</v>
      </c>
    </row>
    <row r="900">
      <c r="B900" s="6"/>
      <c r="D900" s="6"/>
      <c r="G900" s="6" t="str">
        <f>IFERROR(__xludf.DUMMYFUNCTION("""COMPUTED_VALUE"""),"spears")</f>
        <v>spears</v>
      </c>
      <c r="H900" s="6" t="str">
        <f>IFERROR(__xludf.DUMMYFUNCTION("""COMPUTED_VALUE"""),"charismatic")</f>
        <v>charismatic</v>
      </c>
      <c r="I900" s="6" t="str">
        <f>IFERROR(__xludf.DUMMYFUNCTION("""COMPUTED_VALUE"""),"armed")</f>
        <v>armed</v>
      </c>
      <c r="J900" s="6" t="str">
        <f>IFERROR(__xludf.DUMMYFUNCTION("""COMPUTED_VALUE"""),"sorority")</f>
        <v>sorority</v>
      </c>
      <c r="L900" s="6" t="str">
        <f>IFERROR(__xludf.DUMMYFUNCTION("""COMPUTED_VALUE"""),"odds")</f>
        <v>odds</v>
      </c>
      <c r="M900" s="6" t="str">
        <f>IFERROR(__xludf.DUMMYFUNCTION("""COMPUTED_VALUE"""),"academic")</f>
        <v>academic</v>
      </c>
      <c r="N900" s="6" t="str">
        <f>IFERROR(__xludf.DUMMYFUNCTION("""COMPUTED_VALUE"""),"rally")</f>
        <v>rally</v>
      </c>
      <c r="P900" s="6" t="str">
        <f>IFERROR(__xludf.DUMMYFUNCTION("""COMPUTED_VALUE"""),"maintains")</f>
        <v>maintains</v>
      </c>
      <c r="Q900" s="6" t="str">
        <f>IFERROR(__xludf.DUMMYFUNCTION("""COMPUTED_VALUE"""),"bermuda")</f>
        <v>bermuda</v>
      </c>
      <c r="S900" s="6" t="str">
        <f>IFERROR(__xludf.DUMMYFUNCTION("""COMPUTED_VALUE"""),"personality")</f>
        <v>personality</v>
      </c>
    </row>
    <row r="901">
      <c r="B901" s="6"/>
      <c r="D901" s="6"/>
      <c r="G901" s="6" t="str">
        <f>IFERROR(__xludf.DUMMYFUNCTION("""COMPUTED_VALUE"""),"emerges")</f>
        <v>emerges</v>
      </c>
      <c r="H901" s="6" t="str">
        <f>IFERROR(__xludf.DUMMYFUNCTION("""COMPUTED_VALUE"""),"hunter")</f>
        <v>hunter</v>
      </c>
      <c r="I901" s="6" t="str">
        <f>IFERROR(__xludf.DUMMYFUNCTION("""COMPUTED_VALUE"""),"employment")</f>
        <v>employment</v>
      </c>
      <c r="J901" s="6" t="str">
        <f>IFERROR(__xludf.DUMMYFUNCTION("""COMPUTED_VALUE"""),"naturally")</f>
        <v>naturally</v>
      </c>
      <c r="L901" s="6" t="str">
        <f>IFERROR(__xludf.DUMMYFUNCTION("""COMPUTED_VALUE"""),"conservative")</f>
        <v>conservative</v>
      </c>
      <c r="M901" s="6" t="str">
        <f>IFERROR(__xludf.DUMMYFUNCTION("""COMPUTED_VALUE"""),"cross")</f>
        <v>cross</v>
      </c>
      <c r="N901" s="6" t="str">
        <f>IFERROR(__xludf.DUMMYFUNCTION("""COMPUTED_VALUE"""),"renowned")</f>
        <v>renowned</v>
      </c>
      <c r="P901" s="6" t="str">
        <f>IFERROR(__xludf.DUMMYFUNCTION("""COMPUTED_VALUE"""),"pat")</f>
        <v>pat</v>
      </c>
      <c r="Q901" s="6" t="str">
        <f>IFERROR(__xludf.DUMMYFUNCTION("""COMPUTED_VALUE"""),"leon")</f>
        <v>leon</v>
      </c>
      <c r="S901" s="6" t="str">
        <f>IFERROR(__xludf.DUMMYFUNCTION("""COMPUTED_VALUE"""),"starting")</f>
        <v>starting</v>
      </c>
    </row>
    <row r="902">
      <c r="B902" s="6"/>
      <c r="D902" s="6"/>
      <c r="G902" s="6" t="str">
        <f>IFERROR(__xludf.DUMMYFUNCTION("""COMPUTED_VALUE"""),"smash")</f>
        <v>smash</v>
      </c>
      <c r="H902" s="6" t="str">
        <f>IFERROR(__xludf.DUMMYFUNCTION("""COMPUTED_VALUE"""),"harmless")</f>
        <v>harmless</v>
      </c>
      <c r="I902" s="6" t="str">
        <f>IFERROR(__xludf.DUMMYFUNCTION("""COMPUTED_VALUE"""),"cricket")</f>
        <v>cricket</v>
      </c>
      <c r="J902" s="6" t="str">
        <f>IFERROR(__xludf.DUMMYFUNCTION("""COMPUTED_VALUE"""),"corpse")</f>
        <v>corpse</v>
      </c>
      <c r="L902" s="6" t="str">
        <f>IFERROR(__xludf.DUMMYFUNCTION("""COMPUTED_VALUE"""),"politics")</f>
        <v>politics</v>
      </c>
      <c r="M902" s="6" t="str">
        <f>IFERROR(__xludf.DUMMYFUNCTION("""COMPUTED_VALUE"""),"round")</f>
        <v>round</v>
      </c>
      <c r="N902" s="6" t="str">
        <f>IFERROR(__xludf.DUMMYFUNCTION("""COMPUTED_VALUE"""),"tier")</f>
        <v>tier</v>
      </c>
      <c r="P902" s="6" t="str">
        <f>IFERROR(__xludf.DUMMYFUNCTION("""COMPUTED_VALUE"""),"status")</f>
        <v>status</v>
      </c>
      <c r="Q902" s="6" t="str">
        <f>IFERROR(__xludf.DUMMYFUNCTION("""COMPUTED_VALUE"""),"novel")</f>
        <v>novel</v>
      </c>
      <c r="S902" s="6" t="str">
        <f>IFERROR(__xludf.DUMMYFUNCTION("""COMPUTED_VALUE"""),"moore")</f>
        <v>moore</v>
      </c>
    </row>
    <row r="903">
      <c r="B903" s="6"/>
      <c r="D903" s="6"/>
      <c r="G903" s="6" t="str">
        <f>IFERROR(__xludf.DUMMYFUNCTION("""COMPUTED_VALUE"""),"tales")</f>
        <v>tales</v>
      </c>
      <c r="H903" s="6" t="str">
        <f>IFERROR(__xludf.DUMMYFUNCTION("""COMPUTED_VALUE"""),"vulnerability")</f>
        <v>vulnerability</v>
      </c>
      <c r="I903" s="6" t="str">
        <f>IFERROR(__xludf.DUMMYFUNCTION("""COMPUTED_VALUE"""),"athletes")</f>
        <v>athletes</v>
      </c>
      <c r="J903" s="6" t="str">
        <f>IFERROR(__xludf.DUMMYFUNCTION("""COMPUTED_VALUE"""),"siege")</f>
        <v>siege</v>
      </c>
      <c r="L903" s="6" t="str">
        <f>IFERROR(__xludf.DUMMYFUNCTION("""COMPUTED_VALUE"""),"notion")</f>
        <v>notion</v>
      </c>
      <c r="M903" s="6" t="str">
        <f>IFERROR(__xludf.DUMMYFUNCTION("""COMPUTED_VALUE"""),"playoff")</f>
        <v>playoff</v>
      </c>
      <c r="N903" s="6" t="str">
        <f>IFERROR(__xludf.DUMMYFUNCTION("""COMPUTED_VALUE"""),"instincts")</f>
        <v>instincts</v>
      </c>
      <c r="P903" s="6" t="str">
        <f>IFERROR(__xludf.DUMMYFUNCTION("""COMPUTED_VALUE"""),"identity")</f>
        <v>identity</v>
      </c>
      <c r="Q903" s="6" t="str">
        <f>IFERROR(__xludf.DUMMYFUNCTION("""COMPUTED_VALUE"""),"monster")</f>
        <v>monster</v>
      </c>
      <c r="S903" s="6" t="str">
        <f>IFERROR(__xludf.DUMMYFUNCTION("""COMPUTED_VALUE"""),"known")</f>
        <v>known</v>
      </c>
    </row>
    <row r="904">
      <c r="B904" s="6"/>
      <c r="D904" s="6"/>
      <c r="G904" s="6" t="str">
        <f>IFERROR(__xludf.DUMMYFUNCTION("""COMPUTED_VALUE"""),"deaths")</f>
        <v>deaths</v>
      </c>
      <c r="H904" s="6" t="str">
        <f>IFERROR(__xludf.DUMMYFUNCTION("""COMPUTED_VALUE"""),"sweetness")</f>
        <v>sweetness</v>
      </c>
      <c r="I904" s="6" t="str">
        <f>IFERROR(__xludf.DUMMYFUNCTION("""COMPUTED_VALUE"""),"canon")</f>
        <v>canon</v>
      </c>
      <c r="J904" s="6" t="str">
        <f>IFERROR(__xludf.DUMMYFUNCTION("""COMPUTED_VALUE"""),"climax")</f>
        <v>climax</v>
      </c>
      <c r="L904" s="6" t="str">
        <f>IFERROR(__xludf.DUMMYFUNCTION("""COMPUTED_VALUE"""),"minded")</f>
        <v>minded</v>
      </c>
      <c r="M904" s="6" t="str">
        <f>IFERROR(__xludf.DUMMYFUNCTION("""COMPUTED_VALUE"""),"surrounding")</f>
        <v>surrounding</v>
      </c>
      <c r="N904" s="6" t="str">
        <f>IFERROR(__xludf.DUMMYFUNCTION("""COMPUTED_VALUE"""),"paranoia")</f>
        <v>paranoia</v>
      </c>
      <c r="P904" s="6" t="str">
        <f>IFERROR(__xludf.DUMMYFUNCTION("""COMPUTED_VALUE"""),"dubbed")</f>
        <v>dubbed</v>
      </c>
      <c r="Q904" s="6" t="str">
        <f>IFERROR(__xludf.DUMMYFUNCTION("""COMPUTED_VALUE"""),"satirical")</f>
        <v>satirical</v>
      </c>
      <c r="S904" s="6" t="str">
        <f>IFERROR(__xludf.DUMMYFUNCTION("""COMPUTED_VALUE"""),"country")</f>
        <v>country</v>
      </c>
    </row>
    <row r="905">
      <c r="B905" s="6"/>
      <c r="D905" s="6"/>
      <c r="G905" s="6" t="str">
        <f>IFERROR(__xludf.DUMMYFUNCTION("""COMPUTED_VALUE"""),"cannon")</f>
        <v>cannon</v>
      </c>
      <c r="H905" s="6" t="str">
        <f>IFERROR(__xludf.DUMMYFUNCTION("""COMPUTED_VALUE"""),"adequately")</f>
        <v>adequately</v>
      </c>
      <c r="I905" s="6" t="str">
        <f>IFERROR(__xludf.DUMMYFUNCTION("""COMPUTED_VALUE"""),"grown")</f>
        <v>grown</v>
      </c>
      <c r="J905" s="6" t="str">
        <f>IFERROR(__xludf.DUMMYFUNCTION("""COMPUTED_VALUE"""),"jealousy")</f>
        <v>jealousy</v>
      </c>
      <c r="L905" s="6" t="str">
        <f>IFERROR(__xludf.DUMMYFUNCTION("""COMPUTED_VALUE"""),"woven")</f>
        <v>woven</v>
      </c>
      <c r="M905" s="6" t="str">
        <f>IFERROR(__xludf.DUMMYFUNCTION("""COMPUTED_VALUE"""),"laughing")</f>
        <v>laughing</v>
      </c>
      <c r="N905" s="6" t="str">
        <f>IFERROR(__xludf.DUMMYFUNCTION("""COMPUTED_VALUE"""),"outsiders")</f>
        <v>outsiders</v>
      </c>
      <c r="P905" s="6" t="str">
        <f>IFERROR(__xludf.DUMMYFUNCTION("""COMPUTED_VALUE"""),"effect")</f>
        <v>effect</v>
      </c>
      <c r="Q905" s="6" t="str">
        <f>IFERROR(__xludf.DUMMYFUNCTION("""COMPUTED_VALUE"""),"pained")</f>
        <v>pained</v>
      </c>
      <c r="S905" s="6" t="str">
        <f>IFERROR(__xludf.DUMMYFUNCTION("""COMPUTED_VALUE"""),"rank")</f>
        <v>rank</v>
      </c>
    </row>
    <row r="906">
      <c r="B906" s="6"/>
      <c r="D906" s="6"/>
      <c r="G906" s="6" t="str">
        <f>IFERROR(__xludf.DUMMYFUNCTION("""COMPUTED_VALUE"""),"careers")</f>
        <v>careers</v>
      </c>
      <c r="H906" s="6" t="str">
        <f>IFERROR(__xludf.DUMMYFUNCTION("""COMPUTED_VALUE"""),"dependent")</f>
        <v>dependent</v>
      </c>
      <c r="I906" s="6" t="str">
        <f>IFERROR(__xludf.DUMMYFUNCTION("""COMPUTED_VALUE"""),"flesh")</f>
        <v>flesh</v>
      </c>
      <c r="J906" s="6" t="str">
        <f>IFERROR(__xludf.DUMMYFUNCTION("""COMPUTED_VALUE"""),"christopher")</f>
        <v>christopher</v>
      </c>
      <c r="L906" s="6" t="str">
        <f>IFERROR(__xludf.DUMMYFUNCTION("""COMPUTED_VALUE"""),"wit")</f>
        <v>wit</v>
      </c>
      <c r="M906" s="6" t="str">
        <f>IFERROR(__xludf.DUMMYFUNCTION("""COMPUTED_VALUE"""),"wake")</f>
        <v>wake</v>
      </c>
      <c r="N906" s="6" t="str">
        <f>IFERROR(__xludf.DUMMYFUNCTION("""COMPUTED_VALUE"""),"whale")</f>
        <v>whale</v>
      </c>
      <c r="P906" s="6" t="str">
        <f>IFERROR(__xludf.DUMMYFUNCTION("""COMPUTED_VALUE"""),"novels")</f>
        <v>novels</v>
      </c>
      <c r="Q906" s="6" t="str">
        <f>IFERROR(__xludf.DUMMYFUNCTION("""COMPUTED_VALUE"""),"bracing")</f>
        <v>bracing</v>
      </c>
      <c r="S906" s="6" t="str">
        <f>IFERROR(__xludf.DUMMYFUNCTION("""COMPUTED_VALUE"""),"jacques")</f>
        <v>jacques</v>
      </c>
    </row>
    <row r="907">
      <c r="B907" s="6"/>
      <c r="D907" s="6"/>
      <c r="G907" s="6" t="str">
        <f>IFERROR(__xludf.DUMMYFUNCTION("""COMPUTED_VALUE"""),"undo")</f>
        <v>undo</v>
      </c>
      <c r="H907" s="6" t="str">
        <f>IFERROR(__xludf.DUMMYFUNCTION("""COMPUTED_VALUE"""),"uncertain")</f>
        <v>uncertain</v>
      </c>
      <c r="I907" s="6" t="str">
        <f>IFERROR(__xludf.DUMMYFUNCTION("""COMPUTED_VALUE"""),"illness")</f>
        <v>illness</v>
      </c>
      <c r="J907" s="6" t="str">
        <f>IFERROR(__xludf.DUMMYFUNCTION("""COMPUTED_VALUE"""),"classify")</f>
        <v>classify</v>
      </c>
      <c r="L907" s="6" t="str">
        <f>IFERROR(__xludf.DUMMYFUNCTION("""COMPUTED_VALUE"""),"sprung")</f>
        <v>sprung</v>
      </c>
      <c r="M907" s="6" t="str">
        <f>IFERROR(__xludf.DUMMYFUNCTION("""COMPUTED_VALUE"""),"attached")</f>
        <v>attached</v>
      </c>
      <c r="N907" s="6" t="str">
        <f>IFERROR(__xludf.DUMMYFUNCTION("""COMPUTED_VALUE"""),"hopeful")</f>
        <v>hopeful</v>
      </c>
      <c r="P907" s="6" t="str">
        <f>IFERROR(__xludf.DUMMYFUNCTION("""COMPUTED_VALUE"""),"documented")</f>
        <v>documented</v>
      </c>
      <c r="Q907" s="6" t="str">
        <f>IFERROR(__xludf.DUMMYFUNCTION("""COMPUTED_VALUE"""),"truth")</f>
        <v>truth</v>
      </c>
      <c r="S907" s="6" t="str">
        <f>IFERROR(__xludf.DUMMYFUNCTION("""COMPUTED_VALUE"""),"belongs")</f>
        <v>belongs</v>
      </c>
    </row>
    <row r="908">
      <c r="B908" s="6"/>
      <c r="D908" s="6"/>
      <c r="G908" s="6" t="str">
        <f>IFERROR(__xludf.DUMMYFUNCTION("""COMPUTED_VALUE"""),"espionage")</f>
        <v>espionage</v>
      </c>
      <c r="H908" s="6" t="str">
        <f>IFERROR(__xludf.DUMMYFUNCTION("""COMPUTED_VALUE"""),"insulting")</f>
        <v>insulting</v>
      </c>
      <c r="I908" s="6" t="str">
        <f>IFERROR(__xludf.DUMMYFUNCTION("""COMPUTED_VALUE"""),"winds")</f>
        <v>winds</v>
      </c>
      <c r="J908" s="6" t="str">
        <f>IFERROR(__xludf.DUMMYFUNCTION("""COMPUTED_VALUE"""),"autobiographical")</f>
        <v>autobiographical</v>
      </c>
      <c r="L908" s="6" t="str">
        <f>IFERROR(__xludf.DUMMYFUNCTION("""COMPUTED_VALUE"""),"affected")</f>
        <v>affected</v>
      </c>
      <c r="M908" s="6" t="str">
        <f>IFERROR(__xludf.DUMMYFUNCTION("""COMPUTED_VALUE"""),"driven")</f>
        <v>driven</v>
      </c>
      <c r="N908" s="6" t="str">
        <f>IFERROR(__xludf.DUMMYFUNCTION("""COMPUTED_VALUE"""),"memorial")</f>
        <v>memorial</v>
      </c>
      <c r="P908" s="6" t="str">
        <f>IFERROR(__xludf.DUMMYFUNCTION("""COMPUTED_VALUE"""),"expected")</f>
        <v>expected</v>
      </c>
      <c r="Q908" s="6" t="str">
        <f>IFERROR(__xludf.DUMMYFUNCTION("""COMPUTED_VALUE"""),"singular")</f>
        <v>singular</v>
      </c>
      <c r="S908" s="6" t="str">
        <f>IFERROR(__xludf.DUMMYFUNCTION("""COMPUTED_VALUE"""),"eight")</f>
        <v>eight</v>
      </c>
    </row>
    <row r="909">
      <c r="B909" s="6"/>
      <c r="D909" s="6"/>
      <c r="G909" s="6" t="str">
        <f>IFERROR(__xludf.DUMMYFUNCTION("""COMPUTED_VALUE"""),"lan")</f>
        <v>lan</v>
      </c>
      <c r="H909" s="6" t="str">
        <f>IFERROR(__xludf.DUMMYFUNCTION("""COMPUTED_VALUE"""),"morally")</f>
        <v>morally</v>
      </c>
      <c r="I909" s="6" t="str">
        <f>IFERROR(__xludf.DUMMYFUNCTION("""COMPUTED_VALUE"""),"monsters")</f>
        <v>monsters</v>
      </c>
      <c r="J909" s="6" t="str">
        <f>IFERROR(__xludf.DUMMYFUNCTION("""COMPUTED_VALUE"""),"aging")</f>
        <v>aging</v>
      </c>
      <c r="L909" s="6" t="str">
        <f>IFERROR(__xludf.DUMMYFUNCTION("""COMPUTED_VALUE"""),"ambitions")</f>
        <v>ambitions</v>
      </c>
      <c r="M909" s="6" t="str">
        <f>IFERROR(__xludf.DUMMYFUNCTION("""COMPUTED_VALUE"""),"basketball")</f>
        <v>basketball</v>
      </c>
      <c r="N909" s="6" t="str">
        <f>IFERROR(__xludf.DUMMYFUNCTION("""COMPUTED_VALUE"""),"inspirational")</f>
        <v>inspirational</v>
      </c>
      <c r="P909" s="6" t="str">
        <f>IFERROR(__xludf.DUMMYFUNCTION("""COMPUTED_VALUE"""),"croatia")</f>
        <v>croatia</v>
      </c>
      <c r="Q909" s="6" t="str">
        <f>IFERROR(__xludf.DUMMYFUNCTION("""COMPUTED_VALUE"""),"motives")</f>
        <v>motives</v>
      </c>
      <c r="S909" s="6" t="str">
        <f>IFERROR(__xludf.DUMMYFUNCTION("""COMPUTED_VALUE"""),"bonds")</f>
        <v>bonds</v>
      </c>
    </row>
    <row r="910">
      <c r="B910" s="6"/>
      <c r="D910" s="6"/>
      <c r="G910" s="6" t="str">
        <f>IFERROR(__xludf.DUMMYFUNCTION("""COMPUTED_VALUE"""),"careful")</f>
        <v>careful</v>
      </c>
      <c r="H910" s="6" t="str">
        <f>IFERROR(__xludf.DUMMYFUNCTION("""COMPUTED_VALUE"""),"editing")</f>
        <v>editing</v>
      </c>
      <c r="I910" s="6" t="str">
        <f>IFERROR(__xludf.DUMMYFUNCTION("""COMPUTED_VALUE"""),"rally")</f>
        <v>rally</v>
      </c>
      <c r="J910" s="6" t="str">
        <f>IFERROR(__xludf.DUMMYFUNCTION("""COMPUTED_VALUE"""),"urgently")</f>
        <v>urgently</v>
      </c>
      <c r="L910" s="6" t="str">
        <f>IFERROR(__xludf.DUMMYFUNCTION("""COMPUTED_VALUE"""),"brightly")</f>
        <v>brightly</v>
      </c>
      <c r="M910" s="6" t="str">
        <f>IFERROR(__xludf.DUMMYFUNCTION("""COMPUTED_VALUE"""),"hence")</f>
        <v>hence</v>
      </c>
      <c r="N910" s="6" t="str">
        <f>IFERROR(__xludf.DUMMYFUNCTION("""COMPUTED_VALUE"""),"expression")</f>
        <v>expression</v>
      </c>
      <c r="P910" s="6" t="str">
        <f>IFERROR(__xludf.DUMMYFUNCTION("""COMPUTED_VALUE"""),"russian")</f>
        <v>russian</v>
      </c>
      <c r="Q910" s="6" t="str">
        <f>IFERROR(__xludf.DUMMYFUNCTION("""COMPUTED_VALUE"""),"substance")</f>
        <v>substance</v>
      </c>
      <c r="S910" s="6" t="str">
        <f>IFERROR(__xludf.DUMMYFUNCTION("""COMPUTED_VALUE"""),"address")</f>
        <v>address</v>
      </c>
    </row>
    <row r="911">
      <c r="B911" s="6"/>
      <c r="D911" s="6"/>
      <c r="G911" s="6" t="str">
        <f>IFERROR(__xludf.DUMMYFUNCTION("""COMPUTED_VALUE"""),"hooks")</f>
        <v>hooks</v>
      </c>
      <c r="H911" s="6" t="str">
        <f>IFERROR(__xludf.DUMMYFUNCTION("""COMPUTED_VALUE"""),"strength")</f>
        <v>strength</v>
      </c>
      <c r="I911" s="6" t="str">
        <f>IFERROR(__xludf.DUMMYFUNCTION("""COMPUTED_VALUE"""),"suffer")</f>
        <v>suffer</v>
      </c>
      <c r="J911" s="6" t="str">
        <f>IFERROR(__xludf.DUMMYFUNCTION("""COMPUTED_VALUE"""),"workings")</f>
        <v>workings</v>
      </c>
      <c r="L911" s="6" t="str">
        <f>IFERROR(__xludf.DUMMYFUNCTION("""COMPUTED_VALUE"""),"constraints")</f>
        <v>constraints</v>
      </c>
      <c r="M911" s="6" t="str">
        <f>IFERROR(__xludf.DUMMYFUNCTION("""COMPUTED_VALUE"""),"fate")</f>
        <v>fate</v>
      </c>
      <c r="N911" s="6" t="str">
        <f>IFERROR(__xludf.DUMMYFUNCTION("""COMPUTED_VALUE"""),"colorful")</f>
        <v>colorful</v>
      </c>
      <c r="P911" s="6" t="str">
        <f>IFERROR(__xludf.DUMMYFUNCTION("""COMPUTED_VALUE"""),"america")</f>
        <v>america</v>
      </c>
      <c r="Q911" s="6" t="str">
        <f>IFERROR(__xludf.DUMMYFUNCTION("""COMPUTED_VALUE"""),"drains")</f>
        <v>drains</v>
      </c>
      <c r="S911" s="6" t="str">
        <f>IFERROR(__xludf.DUMMYFUNCTION("""COMPUTED_VALUE"""),"barely")</f>
        <v>barely</v>
      </c>
    </row>
    <row r="912">
      <c r="B912" s="6"/>
      <c r="D912" s="6"/>
      <c r="G912" s="6" t="str">
        <f>IFERROR(__xludf.DUMMYFUNCTION("""COMPUTED_VALUE"""),"lens")</f>
        <v>lens</v>
      </c>
      <c r="H912" s="6" t="str">
        <f>IFERROR(__xludf.DUMMYFUNCTION("""COMPUTED_VALUE"""),"confident")</f>
        <v>confident</v>
      </c>
      <c r="I912" s="6" t="str">
        <f>IFERROR(__xludf.DUMMYFUNCTION("""COMPUTED_VALUE"""),"dimensions")</f>
        <v>dimensions</v>
      </c>
      <c r="J912" s="6" t="str">
        <f>IFERROR(__xludf.DUMMYFUNCTION("""COMPUTED_VALUE"""),"virtues")</f>
        <v>virtues</v>
      </c>
      <c r="L912" s="6" t="str">
        <f>IFERROR(__xludf.DUMMYFUNCTION("""COMPUTED_VALUE"""),"majestic")</f>
        <v>majestic</v>
      </c>
      <c r="M912" s="6" t="str">
        <f>IFERROR(__xludf.DUMMYFUNCTION("""COMPUTED_VALUE"""),"structure")</f>
        <v>structure</v>
      </c>
      <c r="N912" s="6" t="str">
        <f>IFERROR(__xludf.DUMMYFUNCTION("""COMPUTED_VALUE"""),"numb")</f>
        <v>numb</v>
      </c>
      <c r="P912" s="6" t="str">
        <f>IFERROR(__xludf.DUMMYFUNCTION("""COMPUTED_VALUE"""),"english")</f>
        <v>english</v>
      </c>
      <c r="Q912" s="6" t="str">
        <f>IFERROR(__xludf.DUMMYFUNCTION("""COMPUTED_VALUE"""),"barrels")</f>
        <v>barrels</v>
      </c>
      <c r="S912" s="6" t="str">
        <f>IFERROR(__xludf.DUMMYFUNCTION("""COMPUTED_VALUE"""),"lie")</f>
        <v>lie</v>
      </c>
    </row>
    <row r="913">
      <c r="B913" s="6"/>
      <c r="D913" s="6"/>
      <c r="G913" s="6" t="str">
        <f>IFERROR(__xludf.DUMMYFUNCTION("""COMPUTED_VALUE"""),"irresistible")</f>
        <v>irresistible</v>
      </c>
      <c r="H913" s="6" t="str">
        <f>IFERROR(__xludf.DUMMYFUNCTION("""COMPUTED_VALUE"""),"scripts")</f>
        <v>scripts</v>
      </c>
      <c r="I913" s="6" t="str">
        <f>IFERROR(__xludf.DUMMYFUNCTION("""COMPUTED_VALUE"""),"disease")</f>
        <v>disease</v>
      </c>
      <c r="J913" s="6" t="str">
        <f>IFERROR(__xludf.DUMMYFUNCTION("""COMPUTED_VALUE"""),"abyss")</f>
        <v>abyss</v>
      </c>
      <c r="L913" s="6" t="str">
        <f>IFERROR(__xludf.DUMMYFUNCTION("""COMPUTED_VALUE"""),"jacques")</f>
        <v>jacques</v>
      </c>
      <c r="M913" s="6" t="str">
        <f>IFERROR(__xludf.DUMMYFUNCTION("""COMPUTED_VALUE"""),"radar")</f>
        <v>radar</v>
      </c>
      <c r="N913" s="6" t="str">
        <f>IFERROR(__xludf.DUMMYFUNCTION("""COMPUTED_VALUE"""),"audiences")</f>
        <v>audiences</v>
      </c>
      <c r="P913" s="6" t="str">
        <f>IFERROR(__xludf.DUMMYFUNCTION("""COMPUTED_VALUE"""),"word")</f>
        <v>word</v>
      </c>
      <c r="Q913" s="6" t="str">
        <f>IFERROR(__xludf.DUMMYFUNCTION("""COMPUTED_VALUE"""),"sexy")</f>
        <v>sexy</v>
      </c>
      <c r="S913" s="6" t="str">
        <f>IFERROR(__xludf.DUMMYFUNCTION("""COMPUTED_VALUE"""),"governments")</f>
        <v>governments</v>
      </c>
    </row>
    <row r="914">
      <c r="B914" s="6"/>
      <c r="D914" s="6"/>
      <c r="G914" s="6" t="str">
        <f>IFERROR(__xludf.DUMMYFUNCTION("""COMPUTED_VALUE"""),"saddam")</f>
        <v>saddam</v>
      </c>
      <c r="H914" s="6" t="str">
        <f>IFERROR(__xludf.DUMMYFUNCTION("""COMPUTED_VALUE"""),"abandon")</f>
        <v>abandon</v>
      </c>
      <c r="I914" s="6" t="str">
        <f>IFERROR(__xludf.DUMMYFUNCTION("""COMPUTED_VALUE"""),"classification")</f>
        <v>classification</v>
      </c>
      <c r="J914" s="6" t="str">
        <f>IFERROR(__xludf.DUMMYFUNCTION("""COMPUTED_VALUE"""),"eroded")</f>
        <v>eroded</v>
      </c>
      <c r="L914" s="6" t="str">
        <f>IFERROR(__xludf.DUMMYFUNCTION("""COMPUTED_VALUE"""),"historical")</f>
        <v>historical</v>
      </c>
      <c r="M914" s="6" t="str">
        <f>IFERROR(__xludf.DUMMYFUNCTION("""COMPUTED_VALUE"""),"begin")</f>
        <v>begin</v>
      </c>
      <c r="N914" s="6" t="str">
        <f>IFERROR(__xludf.DUMMYFUNCTION("""COMPUTED_VALUE"""),"connect")</f>
        <v>connect</v>
      </c>
      <c r="P914" s="6" t="str">
        <f>IFERROR(__xludf.DUMMYFUNCTION("""COMPUTED_VALUE"""),"spike")</f>
        <v>spike</v>
      </c>
      <c r="Q914" s="6" t="str">
        <f>IFERROR(__xludf.DUMMYFUNCTION("""COMPUTED_VALUE"""),"smoking")</f>
        <v>smoking</v>
      </c>
      <c r="S914" s="6" t="str">
        <f>IFERROR(__xludf.DUMMYFUNCTION("""COMPUTED_VALUE"""),"reconstruction")</f>
        <v>reconstruction</v>
      </c>
    </row>
    <row r="915">
      <c r="B915" s="6"/>
      <c r="D915" s="6"/>
      <c r="G915" s="6" t="str">
        <f>IFERROR(__xludf.DUMMYFUNCTION("""COMPUTED_VALUE"""),"operative")</f>
        <v>operative</v>
      </c>
      <c r="H915" s="6" t="str">
        <f>IFERROR(__xludf.DUMMYFUNCTION("""COMPUTED_VALUE"""),"stephen")</f>
        <v>stephen</v>
      </c>
      <c r="I915" s="6" t="str">
        <f>IFERROR(__xludf.DUMMYFUNCTION("""COMPUTED_VALUE"""),"revenge")</f>
        <v>revenge</v>
      </c>
      <c r="J915" s="6" t="str">
        <f>IFERROR(__xludf.DUMMYFUNCTION("""COMPUTED_VALUE"""),"flawed")</f>
        <v>flawed</v>
      </c>
      <c r="L915" s="6" t="str">
        <f>IFERROR(__xludf.DUMMYFUNCTION("""COMPUTED_VALUE"""),"deeper")</f>
        <v>deeper</v>
      </c>
      <c r="M915" s="6" t="str">
        <f>IFERROR(__xludf.DUMMYFUNCTION("""COMPUTED_VALUE"""),"sight")</f>
        <v>sight</v>
      </c>
      <c r="N915" s="6" t="str">
        <f>IFERROR(__xludf.DUMMYFUNCTION("""COMPUTED_VALUE"""),"accomplished")</f>
        <v>accomplished</v>
      </c>
      <c r="P915" s="6" t="str">
        <f>IFERROR(__xludf.DUMMYFUNCTION("""COMPUTED_VALUE"""),"party")</f>
        <v>party</v>
      </c>
      <c r="Q915" s="6" t="str">
        <f>IFERROR(__xludf.DUMMYFUNCTION("""COMPUTED_VALUE"""),"magnetic")</f>
        <v>magnetic</v>
      </c>
      <c r="S915" s="6" t="str">
        <f>IFERROR(__xludf.DUMMYFUNCTION("""COMPUTED_VALUE"""),"glory")</f>
        <v>glory</v>
      </c>
    </row>
    <row r="916">
      <c r="B916" s="6"/>
      <c r="D916" s="6"/>
      <c r="G916" s="6" t="str">
        <f>IFERROR(__xludf.DUMMYFUNCTION("""COMPUTED_VALUE"""),"exposition")</f>
        <v>exposition</v>
      </c>
      <c r="H916" s="6" t="str">
        <f>IFERROR(__xludf.DUMMYFUNCTION("""COMPUTED_VALUE"""),"richer")</f>
        <v>richer</v>
      </c>
      <c r="I916" s="6" t="str">
        <f>IFERROR(__xludf.DUMMYFUNCTION("""COMPUTED_VALUE"""),"references")</f>
        <v>references</v>
      </c>
      <c r="J916" s="6" t="str">
        <f>IFERROR(__xludf.DUMMYFUNCTION("""COMPUTED_VALUE"""),"comprehend")</f>
        <v>comprehend</v>
      </c>
      <c r="L916" s="6" t="str">
        <f>IFERROR(__xludf.DUMMYFUNCTION("""COMPUTED_VALUE"""),"misses")</f>
        <v>misses</v>
      </c>
      <c r="M916" s="6" t="str">
        <f>IFERROR(__xludf.DUMMYFUNCTION("""COMPUTED_VALUE"""),"concert")</f>
        <v>concert</v>
      </c>
      <c r="N916" s="6" t="str">
        <f>IFERROR(__xludf.DUMMYFUNCTION("""COMPUTED_VALUE"""),"mattered")</f>
        <v>mattered</v>
      </c>
      <c r="P916" s="6" t="str">
        <f>IFERROR(__xludf.DUMMYFUNCTION("""COMPUTED_VALUE"""),"hunter")</f>
        <v>hunter</v>
      </c>
      <c r="Q916" s="6" t="str">
        <f>IFERROR(__xludf.DUMMYFUNCTION("""COMPUTED_VALUE"""),"barney")</f>
        <v>barney</v>
      </c>
      <c r="S916" s="6" t="str">
        <f>IFERROR(__xludf.DUMMYFUNCTION("""COMPUTED_VALUE"""),"fight")</f>
        <v>fight</v>
      </c>
    </row>
    <row r="917">
      <c r="B917" s="6"/>
      <c r="D917" s="6"/>
      <c r="G917" s="6" t="str">
        <f>IFERROR(__xludf.DUMMYFUNCTION("""COMPUTED_VALUE"""),"chemistry")</f>
        <v>chemistry</v>
      </c>
      <c r="H917" s="6" t="str">
        <f>IFERROR(__xludf.DUMMYFUNCTION("""COMPUTED_VALUE"""),"publishing")</f>
        <v>publishing</v>
      </c>
      <c r="I917" s="6" t="str">
        <f>IFERROR(__xludf.DUMMYFUNCTION("""COMPUTED_VALUE"""),"succeeded")</f>
        <v>succeeded</v>
      </c>
      <c r="J917" s="6" t="str">
        <f>IFERROR(__xludf.DUMMYFUNCTION("""COMPUTED_VALUE"""),"lifts")</f>
        <v>lifts</v>
      </c>
      <c r="L917" s="6" t="str">
        <f>IFERROR(__xludf.DUMMYFUNCTION("""COMPUTED_VALUE"""),"sensual")</f>
        <v>sensual</v>
      </c>
      <c r="M917" s="6" t="str">
        <f>IFERROR(__xludf.DUMMYFUNCTION("""COMPUTED_VALUE"""),"drawings")</f>
        <v>drawings</v>
      </c>
      <c r="N917" s="6" t="str">
        <f>IFERROR(__xludf.DUMMYFUNCTION("""COMPUTED_VALUE"""),"compromise")</f>
        <v>compromise</v>
      </c>
      <c r="P917" s="6" t="str">
        <f>IFERROR(__xludf.DUMMYFUNCTION("""COMPUTED_VALUE"""),"feat")</f>
        <v>feat</v>
      </c>
      <c r="Q917" s="6" t="str">
        <f>IFERROR(__xludf.DUMMYFUNCTION("""COMPUTED_VALUE"""),"lunatic")</f>
        <v>lunatic</v>
      </c>
      <c r="S917" s="6" t="str">
        <f>IFERROR(__xludf.DUMMYFUNCTION("""COMPUTED_VALUE"""),"god")</f>
        <v>god</v>
      </c>
    </row>
    <row r="918">
      <c r="B918" s="6"/>
      <c r="D918" s="6"/>
      <c r="G918" s="6" t="str">
        <f>IFERROR(__xludf.DUMMYFUNCTION("""COMPUTED_VALUE"""),"tremble")</f>
        <v>tremble</v>
      </c>
      <c r="H918" s="6" t="str">
        <f>IFERROR(__xludf.DUMMYFUNCTION("""COMPUTED_VALUE"""),"hearst")</f>
        <v>hearst</v>
      </c>
      <c r="I918" s="6" t="str">
        <f>IFERROR(__xludf.DUMMYFUNCTION("""COMPUTED_VALUE"""),"clouds")</f>
        <v>clouds</v>
      </c>
      <c r="J918" s="6" t="str">
        <f>IFERROR(__xludf.DUMMYFUNCTION("""COMPUTED_VALUE"""),"regain")</f>
        <v>regain</v>
      </c>
      <c r="L918" s="6" t="str">
        <f>IFERROR(__xludf.DUMMYFUNCTION("""COMPUTED_VALUE"""),"fling")</f>
        <v>fling</v>
      </c>
      <c r="M918" s="6" t="str">
        <f>IFERROR(__xludf.DUMMYFUNCTION("""COMPUTED_VALUE"""),"plans")</f>
        <v>plans</v>
      </c>
      <c r="N918" s="6" t="str">
        <f>IFERROR(__xludf.DUMMYFUNCTION("""COMPUTED_VALUE"""),"strokes")</f>
        <v>strokes</v>
      </c>
      <c r="P918" s="6" t="str">
        <f>IFERROR(__xludf.DUMMYFUNCTION("""COMPUTED_VALUE"""),"third")</f>
        <v>third</v>
      </c>
      <c r="Q918" s="6" t="str">
        <f>IFERROR(__xludf.DUMMYFUNCTION("""COMPUTED_VALUE"""),"monstrous")</f>
        <v>monstrous</v>
      </c>
      <c r="S918" s="6" t="str">
        <f>IFERROR(__xludf.DUMMYFUNCTION("""COMPUTED_VALUE"""),"floating")</f>
        <v>floating</v>
      </c>
    </row>
    <row r="919">
      <c r="B919" s="6"/>
      <c r="D919" s="6"/>
      <c r="G919" s="6" t="str">
        <f>IFERROR(__xludf.DUMMYFUNCTION("""COMPUTED_VALUE"""),"gibson")</f>
        <v>gibson</v>
      </c>
      <c r="H919" s="6" t="str">
        <f>IFERROR(__xludf.DUMMYFUNCTION("""COMPUTED_VALUE"""),"william")</f>
        <v>william</v>
      </c>
      <c r="I919" s="6" t="str">
        <f>IFERROR(__xludf.DUMMYFUNCTION("""COMPUTED_VALUE"""),"opened")</f>
        <v>opened</v>
      </c>
      <c r="J919" s="6" t="str">
        <f>IFERROR(__xludf.DUMMYFUNCTION("""COMPUTED_VALUE"""),"manipulation")</f>
        <v>manipulation</v>
      </c>
      <c r="L919" s="6" t="str">
        <f>IFERROR(__xludf.DUMMYFUNCTION("""COMPUTED_VALUE"""),"holm")</f>
        <v>holm</v>
      </c>
      <c r="M919" s="6" t="str">
        <f>IFERROR(__xludf.DUMMYFUNCTION("""COMPUTED_VALUE"""),"men")</f>
        <v>men</v>
      </c>
      <c r="N919" s="6" t="str">
        <f>IFERROR(__xludf.DUMMYFUNCTION("""COMPUTED_VALUE"""),"canon")</f>
        <v>canon</v>
      </c>
      <c r="P919" s="6" t="str">
        <f>IFERROR(__xludf.DUMMYFUNCTION("""COMPUTED_VALUE"""),"dependent")</f>
        <v>dependent</v>
      </c>
      <c r="Q919" s="6" t="str">
        <f>IFERROR(__xludf.DUMMYFUNCTION("""COMPUTED_VALUE"""),"inherent")</f>
        <v>inherent</v>
      </c>
      <c r="S919" s="6" t="str">
        <f>IFERROR(__xludf.DUMMYFUNCTION("""COMPUTED_VALUE"""),"memorial")</f>
        <v>memorial</v>
      </c>
    </row>
    <row r="920">
      <c r="B920" s="6"/>
      <c r="D920" s="6"/>
      <c r="G920" s="6" t="str">
        <f>IFERROR(__xludf.DUMMYFUNCTION("""COMPUTED_VALUE"""),"willis")</f>
        <v>willis</v>
      </c>
      <c r="H920" s="6" t="str">
        <f>IFERROR(__xludf.DUMMYFUNCTION("""COMPUTED_VALUE"""),"hollow")</f>
        <v>hollow</v>
      </c>
      <c r="I920" s="6" t="str">
        <f>IFERROR(__xludf.DUMMYFUNCTION("""COMPUTED_VALUE"""),"record")</f>
        <v>record</v>
      </c>
      <c r="J920" s="6" t="str">
        <f>IFERROR(__xludf.DUMMYFUNCTION("""COMPUTED_VALUE"""),"optimism")</f>
        <v>optimism</v>
      </c>
      <c r="L920" s="6" t="str">
        <f>IFERROR(__xludf.DUMMYFUNCTION("""COMPUTED_VALUE"""),"20th")</f>
        <v>20th</v>
      </c>
      <c r="M920" s="6" t="str">
        <f>IFERROR(__xludf.DUMMYFUNCTION("""COMPUTED_VALUE"""),"humor")</f>
        <v>humor</v>
      </c>
      <c r="N920" s="6" t="str">
        <f>IFERROR(__xludf.DUMMYFUNCTION("""COMPUTED_VALUE"""),"embrace")</f>
        <v>embrace</v>
      </c>
      <c r="P920" s="6" t="str">
        <f>IFERROR(__xludf.DUMMYFUNCTION("""COMPUTED_VALUE"""),"uncertain")</f>
        <v>uncertain</v>
      </c>
      <c r="Q920" s="6" t="str">
        <f>IFERROR(__xludf.DUMMYFUNCTION("""COMPUTED_VALUE"""),"mixture")</f>
        <v>mixture</v>
      </c>
      <c r="S920" s="6" t="str">
        <f>IFERROR(__xludf.DUMMYFUNCTION("""COMPUTED_VALUE"""),"guest")</f>
        <v>guest</v>
      </c>
    </row>
    <row r="921">
      <c r="B921" s="6"/>
      <c r="D921" s="6"/>
      <c r="G921" s="6" t="str">
        <f>IFERROR(__xludf.DUMMYFUNCTION("""COMPUTED_VALUE"""),"creators")</f>
        <v>creators</v>
      </c>
      <c r="H921" s="6" t="str">
        <f>IFERROR(__xludf.DUMMYFUNCTION("""COMPUTED_VALUE"""),"beginnings")</f>
        <v>beginnings</v>
      </c>
      <c r="I921" s="6" t="str">
        <f>IFERROR(__xludf.DUMMYFUNCTION("""COMPUTED_VALUE"""),"rejected")</f>
        <v>rejected</v>
      </c>
      <c r="J921" s="6" t="str">
        <f>IFERROR(__xludf.DUMMYFUNCTION("""COMPUTED_VALUE"""),"hughes")</f>
        <v>hughes</v>
      </c>
      <c r="L921" s="6" t="str">
        <f>IFERROR(__xludf.DUMMYFUNCTION("""COMPUTED_VALUE"""),"spiral")</f>
        <v>spiral</v>
      </c>
      <c r="M921" s="6" t="str">
        <f>IFERROR(__xludf.DUMMYFUNCTION("""COMPUTED_VALUE"""),"occasionally")</f>
        <v>occasionally</v>
      </c>
      <c r="N921" s="6" t="str">
        <f>IFERROR(__xludf.DUMMYFUNCTION("""COMPUTED_VALUE"""),"pulls")</f>
        <v>pulls</v>
      </c>
      <c r="P921" s="6" t="str">
        <f>IFERROR(__xludf.DUMMYFUNCTION("""COMPUTED_VALUE"""),"battle")</f>
        <v>battle</v>
      </c>
      <c r="Q921" s="6" t="str">
        <f>IFERROR(__xludf.DUMMYFUNCTION("""COMPUTED_VALUE"""),"redemption")</f>
        <v>redemption</v>
      </c>
      <c r="S921" s="6" t="str">
        <f>IFERROR(__xludf.DUMMYFUNCTION("""COMPUTED_VALUE"""),"plays")</f>
        <v>plays</v>
      </c>
    </row>
    <row r="922">
      <c r="B922" s="6"/>
      <c r="D922" s="6"/>
      <c r="G922" s="6" t="str">
        <f>IFERROR(__xludf.DUMMYFUNCTION("""COMPUTED_VALUE"""),"slap")</f>
        <v>slap</v>
      </c>
      <c r="H922" s="6" t="str">
        <f>IFERROR(__xludf.DUMMYFUNCTION("""COMPUTED_VALUE"""),"burning")</f>
        <v>burning</v>
      </c>
      <c r="I922" s="6" t="str">
        <f>IFERROR(__xludf.DUMMYFUNCTION("""COMPUTED_VALUE"""),"settled")</f>
        <v>settled</v>
      </c>
      <c r="J922" s="6" t="str">
        <f>IFERROR(__xludf.DUMMYFUNCTION("""COMPUTED_VALUE"""),"elder")</f>
        <v>elder</v>
      </c>
      <c r="L922" s="6" t="str">
        <f>IFERROR(__xludf.DUMMYFUNCTION("""COMPUTED_VALUE"""),"yarn")</f>
        <v>yarn</v>
      </c>
      <c r="M922" s="6" t="str">
        <f>IFERROR(__xludf.DUMMYFUNCTION("""COMPUTED_VALUE"""),"seven")</f>
        <v>seven</v>
      </c>
      <c r="N922" s="6" t="str">
        <f>IFERROR(__xludf.DUMMYFUNCTION("""COMPUTED_VALUE"""),"broadway")</f>
        <v>broadway</v>
      </c>
      <c r="P922" s="6" t="str">
        <f>IFERROR(__xludf.DUMMYFUNCTION("""COMPUTED_VALUE"""),"latest")</f>
        <v>latest</v>
      </c>
      <c r="Q922" s="6" t="str">
        <f>IFERROR(__xludf.DUMMYFUNCTION("""COMPUTED_VALUE"""),"praises")</f>
        <v>praises</v>
      </c>
      <c r="S922" s="6" t="str">
        <f>IFERROR(__xludf.DUMMYFUNCTION("""COMPUTED_VALUE"""),"creek")</f>
        <v>creek</v>
      </c>
    </row>
    <row r="923">
      <c r="B923" s="6"/>
      <c r="D923" s="6"/>
      <c r="G923" s="6" t="str">
        <f>IFERROR(__xludf.DUMMYFUNCTION("""COMPUTED_VALUE"""),"wrestling")</f>
        <v>wrestling</v>
      </c>
      <c r="H923" s="6" t="str">
        <f>IFERROR(__xludf.DUMMYFUNCTION("""COMPUTED_VALUE"""),"sincerity")</f>
        <v>sincerity</v>
      </c>
      <c r="I923" s="6" t="str">
        <f>IFERROR(__xludf.DUMMYFUNCTION("""COMPUTED_VALUE"""),"suggests")</f>
        <v>suggests</v>
      </c>
      <c r="J923" s="6" t="str">
        <f>IFERROR(__xludf.DUMMYFUNCTION("""COMPUTED_VALUE"""),"terror")</f>
        <v>terror</v>
      </c>
      <c r="L923" s="6" t="str">
        <f>IFERROR(__xludf.DUMMYFUNCTION("""COMPUTED_VALUE"""),"drawing")</f>
        <v>drawing</v>
      </c>
      <c r="M923" s="6" t="str">
        <f>IFERROR(__xludf.DUMMYFUNCTION("""COMPUTED_VALUE"""),"keeping")</f>
        <v>keeping</v>
      </c>
      <c r="N923" s="6" t="str">
        <f>IFERROR(__xludf.DUMMYFUNCTION("""COMPUTED_VALUE"""),"disney")</f>
        <v>disney</v>
      </c>
      <c r="P923" s="6" t="str">
        <f>IFERROR(__xludf.DUMMYFUNCTION("""COMPUTED_VALUE"""),"comedian")</f>
        <v>comedian</v>
      </c>
      <c r="Q923" s="6" t="str">
        <f>IFERROR(__xludf.DUMMYFUNCTION("""COMPUTED_VALUE"""),"ecological")</f>
        <v>ecological</v>
      </c>
      <c r="S923" s="6" t="str">
        <f>IFERROR(__xludf.DUMMYFUNCTION("""COMPUTED_VALUE"""),"fast")</f>
        <v>fast</v>
      </c>
    </row>
    <row r="924">
      <c r="B924" s="6"/>
      <c r="D924" s="6"/>
      <c r="G924" s="6" t="str">
        <f>IFERROR(__xludf.DUMMYFUNCTION("""COMPUTED_VALUE"""),"weep")</f>
        <v>weep</v>
      </c>
      <c r="H924" s="6" t="str">
        <f>IFERROR(__xludf.DUMMYFUNCTION("""COMPUTED_VALUE"""),"unchanged")</f>
        <v>unchanged</v>
      </c>
      <c r="I924" s="6" t="str">
        <f>IFERROR(__xludf.DUMMYFUNCTION("""COMPUTED_VALUE"""),"neck")</f>
        <v>neck</v>
      </c>
      <c r="J924" s="6" t="str">
        <f>IFERROR(__xludf.DUMMYFUNCTION("""COMPUTED_VALUE"""),"intentions")</f>
        <v>intentions</v>
      </c>
      <c r="L924" s="6" t="str">
        <f>IFERROR(__xludf.DUMMYFUNCTION("""COMPUTED_VALUE"""),"provocative")</f>
        <v>provocative</v>
      </c>
      <c r="M924" s="6" t="str">
        <f>IFERROR(__xludf.DUMMYFUNCTION("""COMPUTED_VALUE"""),"held")</f>
        <v>held</v>
      </c>
      <c r="N924" s="6" t="str">
        <f>IFERROR(__xludf.DUMMYFUNCTION("""COMPUTED_VALUE"""),"technical")</f>
        <v>technical</v>
      </c>
      <c r="P924" s="6" t="str">
        <f>IFERROR(__xludf.DUMMYFUNCTION("""COMPUTED_VALUE"""),"song")</f>
        <v>song</v>
      </c>
      <c r="Q924" s="6" t="str">
        <f>IFERROR(__xludf.DUMMYFUNCTION("""COMPUTED_VALUE"""),"message")</f>
        <v>message</v>
      </c>
      <c r="S924" s="6" t="str">
        <f>IFERROR(__xludf.DUMMYFUNCTION("""COMPUTED_VALUE"""),"asleep")</f>
        <v>asleep</v>
      </c>
    </row>
    <row r="925">
      <c r="B925" s="6"/>
      <c r="D925" s="6"/>
      <c r="G925" s="6" t="str">
        <f>IFERROR(__xludf.DUMMYFUNCTION("""COMPUTED_VALUE"""),"edward")</f>
        <v>edward</v>
      </c>
      <c r="H925" s="6" t="str">
        <f>IFERROR(__xludf.DUMMYFUNCTION("""COMPUTED_VALUE"""),"portrayed")</f>
        <v>portrayed</v>
      </c>
      <c r="I925" s="6" t="str">
        <f>IFERROR(__xludf.DUMMYFUNCTION("""COMPUTED_VALUE"""),"principles")</f>
        <v>principles</v>
      </c>
      <c r="J925" s="6" t="str">
        <f>IFERROR(__xludf.DUMMYFUNCTION("""COMPUTED_VALUE"""),"owes")</f>
        <v>owes</v>
      </c>
      <c r="L925" s="6" t="str">
        <f>IFERROR(__xludf.DUMMYFUNCTION("""COMPUTED_VALUE"""),"glow")</f>
        <v>glow</v>
      </c>
      <c r="M925" s="6" t="str">
        <f>IFERROR(__xludf.DUMMYFUNCTION("""COMPUTED_VALUE"""),"naturally")</f>
        <v>naturally</v>
      </c>
      <c r="N925" s="6" t="str">
        <f>IFERROR(__xludf.DUMMYFUNCTION("""COMPUTED_VALUE"""),"extraordinary")</f>
        <v>extraordinary</v>
      </c>
      <c r="P925" s="6" t="str">
        <f>IFERROR(__xludf.DUMMYFUNCTION("""COMPUTED_VALUE"""),"editing")</f>
        <v>editing</v>
      </c>
      <c r="Q925" s="6" t="str">
        <f>IFERROR(__xludf.DUMMYFUNCTION("""COMPUTED_VALUE"""),"delicate")</f>
        <v>delicate</v>
      </c>
      <c r="S925" s="6" t="str">
        <f>IFERROR(__xludf.DUMMYFUNCTION("""COMPUTED_VALUE"""),"company")</f>
        <v>company</v>
      </c>
    </row>
    <row r="926">
      <c r="B926" s="6"/>
      <c r="D926" s="6"/>
      <c r="G926" s="6" t="str">
        <f>IFERROR(__xludf.DUMMYFUNCTION("""COMPUTED_VALUE"""),"shining")</f>
        <v>shining</v>
      </c>
      <c r="H926" s="6" t="str">
        <f>IFERROR(__xludf.DUMMYFUNCTION("""COMPUTED_VALUE"""),"groundbreaking")</f>
        <v>groundbreaking</v>
      </c>
      <c r="I926" s="6">
        <f>IFERROR(__xludf.DUMMYFUNCTION("""COMPUTED_VALUE"""),1938.0)</f>
        <v>1938</v>
      </c>
      <c r="J926" s="6" t="str">
        <f>IFERROR(__xludf.DUMMYFUNCTION("""COMPUTED_VALUE"""),"genesis")</f>
        <v>genesis</v>
      </c>
      <c r="L926" s="6" t="str">
        <f>IFERROR(__xludf.DUMMYFUNCTION("""COMPUTED_VALUE"""),"tale")</f>
        <v>tale</v>
      </c>
      <c r="M926" s="6" t="str">
        <f>IFERROR(__xludf.DUMMYFUNCTION("""COMPUTED_VALUE"""),"law")</f>
        <v>law</v>
      </c>
      <c r="N926" s="6" t="str">
        <f>IFERROR(__xludf.DUMMYFUNCTION("""COMPUTED_VALUE"""),"tolerate")</f>
        <v>tolerate</v>
      </c>
      <c r="P926" s="6" t="str">
        <f>IFERROR(__xludf.DUMMYFUNCTION("""COMPUTED_VALUE"""),"strength")</f>
        <v>strength</v>
      </c>
      <c r="Q926" s="6" t="str">
        <f>IFERROR(__xludf.DUMMYFUNCTION("""COMPUTED_VALUE"""),"sociological")</f>
        <v>sociological</v>
      </c>
      <c r="S926" s="6" t="str">
        <f>IFERROR(__xludf.DUMMYFUNCTION("""COMPUTED_VALUE"""),"pair")</f>
        <v>pair</v>
      </c>
    </row>
    <row r="927">
      <c r="B927" s="6"/>
      <c r="D927" s="6"/>
      <c r="G927" s="6" t="str">
        <f>IFERROR(__xludf.DUMMYFUNCTION("""COMPUTED_VALUE"""),"photographed")</f>
        <v>photographed</v>
      </c>
      <c r="H927" s="6" t="str">
        <f>IFERROR(__xludf.DUMMYFUNCTION("""COMPUTED_VALUE"""),"endeavor")</f>
        <v>endeavor</v>
      </c>
      <c r="I927" s="6" t="str">
        <f>IFERROR(__xludf.DUMMYFUNCTION("""COMPUTED_VALUE"""),"nicolas")</f>
        <v>nicolas</v>
      </c>
      <c r="J927" s="6" t="str">
        <f>IFERROR(__xludf.DUMMYFUNCTION("""COMPUTED_VALUE"""),"naval")</f>
        <v>naval</v>
      </c>
      <c r="L927" s="6" t="str">
        <f>IFERROR(__xludf.DUMMYFUNCTION("""COMPUTED_VALUE"""),"intriguing")</f>
        <v>intriguing</v>
      </c>
      <c r="M927" s="6" t="str">
        <f>IFERROR(__xludf.DUMMYFUNCTION("""COMPUTED_VALUE"""),"staged")</f>
        <v>staged</v>
      </c>
      <c r="N927" s="6" t="str">
        <f>IFERROR(__xludf.DUMMYFUNCTION("""COMPUTED_VALUE"""),"ocean")</f>
        <v>ocean</v>
      </c>
      <c r="P927" s="6" t="str">
        <f>IFERROR(__xludf.DUMMYFUNCTION("""COMPUTED_VALUE"""),"confident")</f>
        <v>confident</v>
      </c>
      <c r="Q927" s="6" t="str">
        <f>IFERROR(__xludf.DUMMYFUNCTION("""COMPUTED_VALUE"""),"commentary")</f>
        <v>commentary</v>
      </c>
      <c r="S927" s="6" t="str">
        <f>IFERROR(__xludf.DUMMYFUNCTION("""COMPUTED_VALUE"""),"mountain")</f>
        <v>mountain</v>
      </c>
    </row>
    <row r="928">
      <c r="B928" s="6"/>
      <c r="D928" s="6"/>
      <c r="G928" s="6" t="str">
        <f>IFERROR(__xludf.DUMMYFUNCTION("""COMPUTED_VALUE"""),"unprecedented")</f>
        <v>unprecedented</v>
      </c>
      <c r="H928" s="6" t="str">
        <f>IFERROR(__xludf.DUMMYFUNCTION("""COMPUTED_VALUE"""),"musicals")</f>
        <v>musicals</v>
      </c>
      <c r="I928" s="6" t="str">
        <f>IFERROR(__xludf.DUMMYFUNCTION("""COMPUTED_VALUE"""),"cage")</f>
        <v>cage</v>
      </c>
      <c r="J928" s="6" t="str">
        <f>IFERROR(__xludf.DUMMYFUNCTION("""COMPUTED_VALUE"""),"frightening")</f>
        <v>frightening</v>
      </c>
      <c r="L928" s="6" t="str">
        <f>IFERROR(__xludf.DUMMYFUNCTION("""COMPUTED_VALUE"""),"spiritual")</f>
        <v>spiritual</v>
      </c>
      <c r="M928" s="6" t="str">
        <f>IFERROR(__xludf.DUMMYFUNCTION("""COMPUTED_VALUE"""),"kurt")</f>
        <v>kurt</v>
      </c>
      <c r="N928" s="6" t="str">
        <f>IFERROR(__xludf.DUMMYFUNCTION("""COMPUTED_VALUE"""),"maintains")</f>
        <v>maintains</v>
      </c>
      <c r="P928" s="6" t="str">
        <f>IFERROR(__xludf.DUMMYFUNCTION("""COMPUTED_VALUE"""),"cutting")</f>
        <v>cutting</v>
      </c>
      <c r="Q928" s="6" t="str">
        <f>IFERROR(__xludf.DUMMYFUNCTION("""COMPUTED_VALUE"""),"mckay")</f>
        <v>mckay</v>
      </c>
      <c r="S928" s="6" t="str">
        <f>IFERROR(__xludf.DUMMYFUNCTION("""COMPUTED_VALUE"""),"voice")</f>
        <v>voice</v>
      </c>
    </row>
    <row r="929">
      <c r="B929" s="6"/>
      <c r="D929" s="6"/>
      <c r="G929" s="6" t="str">
        <f>IFERROR(__xludf.DUMMYFUNCTION("""COMPUTED_VALUE"""),"battlefield")</f>
        <v>battlefield</v>
      </c>
      <c r="H929" s="6">
        <f>IFERROR(__xludf.DUMMYFUNCTION("""COMPUTED_VALUE"""),30.0)</f>
        <v>30</v>
      </c>
      <c r="I929" s="6" t="str">
        <f>IFERROR(__xludf.DUMMYFUNCTION("""COMPUTED_VALUE"""),"luis")</f>
        <v>luis</v>
      </c>
      <c r="J929" s="6" t="str">
        <f>IFERROR(__xludf.DUMMYFUNCTION("""COMPUTED_VALUE"""),"amid")</f>
        <v>amid</v>
      </c>
      <c r="L929" s="6" t="str">
        <f>IFERROR(__xludf.DUMMYFUNCTION("""COMPUTED_VALUE"""),"showcase")</f>
        <v>showcase</v>
      </c>
      <c r="M929" s="6" t="str">
        <f>IFERROR(__xludf.DUMMYFUNCTION("""COMPUTED_VALUE"""),"strikes")</f>
        <v>strikes</v>
      </c>
      <c r="N929" s="6" t="str">
        <f>IFERROR(__xludf.DUMMYFUNCTION("""COMPUTED_VALUE"""),"risks")</f>
        <v>risks</v>
      </c>
      <c r="P929" s="6" t="str">
        <f>IFERROR(__xludf.DUMMYFUNCTION("""COMPUTED_VALUE"""),"operates")</f>
        <v>operates</v>
      </c>
      <c r="Q929" s="6" t="str">
        <f>IFERROR(__xludf.DUMMYFUNCTION("""COMPUTED_VALUE"""),"embarrassed")</f>
        <v>embarrassed</v>
      </c>
      <c r="S929" s="6" t="str">
        <f>IFERROR(__xludf.DUMMYFUNCTION("""COMPUTED_VALUE"""),"demons")</f>
        <v>demons</v>
      </c>
    </row>
    <row r="930">
      <c r="B930" s="6"/>
      <c r="D930" s="6"/>
      <c r="G930" s="6" t="str">
        <f>IFERROR(__xludf.DUMMYFUNCTION("""COMPUTED_VALUE"""),"drawing")</f>
        <v>drawing</v>
      </c>
      <c r="H930" s="6" t="str">
        <f>IFERROR(__xludf.DUMMYFUNCTION("""COMPUTED_VALUE"""),"sensual")</f>
        <v>sensual</v>
      </c>
      <c r="I930" s="6" t="str">
        <f>IFERROR(__xludf.DUMMYFUNCTION("""COMPUTED_VALUE"""),"phenomenon")</f>
        <v>phenomenon</v>
      </c>
      <c r="J930" s="6" t="str">
        <f>IFERROR(__xludf.DUMMYFUNCTION("""COMPUTED_VALUE"""),"trailer")</f>
        <v>trailer</v>
      </c>
      <c r="L930" s="6" t="str">
        <f>IFERROR(__xludf.DUMMYFUNCTION("""COMPUTED_VALUE"""),"struggle")</f>
        <v>struggle</v>
      </c>
      <c r="M930" s="6" t="str">
        <f>IFERROR(__xludf.DUMMYFUNCTION("""COMPUTED_VALUE"""),"stops")</f>
        <v>stops</v>
      </c>
      <c r="N930" s="6" t="str">
        <f>IFERROR(__xludf.DUMMYFUNCTION("""COMPUTED_VALUE"""),"content")</f>
        <v>content</v>
      </c>
      <c r="P930" s="6" t="str">
        <f>IFERROR(__xludf.DUMMYFUNCTION("""COMPUTED_VALUE"""),"stephen")</f>
        <v>stephen</v>
      </c>
      <c r="Q930" s="6" t="str">
        <f>IFERROR(__xludf.DUMMYFUNCTION("""COMPUTED_VALUE"""),"vulgar")</f>
        <v>vulgar</v>
      </c>
      <c r="S930" s="6" t="str">
        <f>IFERROR(__xludf.DUMMYFUNCTION("""COMPUTED_VALUE"""),"blank")</f>
        <v>blank</v>
      </c>
    </row>
    <row r="931">
      <c r="B931" s="6"/>
      <c r="D931" s="6"/>
      <c r="G931" s="6" t="str">
        <f>IFERROR(__xludf.DUMMYFUNCTION("""COMPUTED_VALUE"""),"absorb")</f>
        <v>absorb</v>
      </c>
      <c r="H931" s="6" t="str">
        <f>IFERROR(__xludf.DUMMYFUNCTION("""COMPUTED_VALUE"""),"cerebral")</f>
        <v>cerebral</v>
      </c>
      <c r="I931" s="6" t="str">
        <f>IFERROR(__xludf.DUMMYFUNCTION("""COMPUTED_VALUE"""),"content")</f>
        <v>content</v>
      </c>
      <c r="J931" s="6" t="str">
        <f>IFERROR(__xludf.DUMMYFUNCTION("""COMPUTED_VALUE"""),"morality")</f>
        <v>morality</v>
      </c>
      <c r="L931" s="6" t="str">
        <f>IFERROR(__xludf.DUMMYFUNCTION("""COMPUTED_VALUE"""),"phillip")</f>
        <v>phillip</v>
      </c>
      <c r="M931" s="6" t="str">
        <f>IFERROR(__xludf.DUMMYFUNCTION("""COMPUTED_VALUE"""),"painted")</f>
        <v>painted</v>
      </c>
      <c r="N931" s="6" t="str">
        <f>IFERROR(__xludf.DUMMYFUNCTION("""COMPUTED_VALUE"""),"reynolds")</f>
        <v>reynolds</v>
      </c>
      <c r="P931" s="6" t="str">
        <f>IFERROR(__xludf.DUMMYFUNCTION("""COMPUTED_VALUE"""),"publishing")</f>
        <v>publishing</v>
      </c>
      <c r="Q931" s="6" t="str">
        <f>IFERROR(__xludf.DUMMYFUNCTION("""COMPUTED_VALUE"""),"mill")</f>
        <v>mill</v>
      </c>
      <c r="S931" s="6" t="str">
        <f>IFERROR(__xludf.DUMMYFUNCTION("""COMPUTED_VALUE"""),"abstract")</f>
        <v>abstract</v>
      </c>
    </row>
    <row r="932">
      <c r="B932" s="6"/>
      <c r="D932" s="6"/>
      <c r="G932" s="6" t="str">
        <f>IFERROR(__xludf.DUMMYFUNCTION("""COMPUTED_VALUE"""),"arbitrary")</f>
        <v>arbitrary</v>
      </c>
      <c r="H932" s="6" t="str">
        <f>IFERROR(__xludf.DUMMYFUNCTION("""COMPUTED_VALUE"""),"prism")</f>
        <v>prism</v>
      </c>
      <c r="I932" s="6" t="str">
        <f>IFERROR(__xludf.DUMMYFUNCTION("""COMPUTED_VALUE"""),"diary")</f>
        <v>diary</v>
      </c>
      <c r="J932" s="6" t="str">
        <f>IFERROR(__xludf.DUMMYFUNCTION("""COMPUTED_VALUE"""),"futuristic")</f>
        <v>futuristic</v>
      </c>
      <c r="L932" s="6" t="str">
        <f>IFERROR(__xludf.DUMMYFUNCTION("""COMPUTED_VALUE"""),"vincent")</f>
        <v>vincent</v>
      </c>
      <c r="M932" s="6" t="str">
        <f>IFERROR(__xludf.DUMMYFUNCTION("""COMPUTED_VALUE"""),"lighting")</f>
        <v>lighting</v>
      </c>
      <c r="N932" s="6" t="str">
        <f>IFERROR(__xludf.DUMMYFUNCTION("""COMPUTED_VALUE"""),"ad")</f>
        <v>ad</v>
      </c>
      <c r="P932" s="6" t="str">
        <f>IFERROR(__xludf.DUMMYFUNCTION("""COMPUTED_VALUE"""),"william")</f>
        <v>william</v>
      </c>
      <c r="Q932" s="6" t="str">
        <f>IFERROR(__xludf.DUMMYFUNCTION("""COMPUTED_VALUE"""),"spies")</f>
        <v>spies</v>
      </c>
      <c r="S932" s="6" t="str">
        <f>IFERROR(__xludf.DUMMYFUNCTION("""COMPUTED_VALUE"""),"needed")</f>
        <v>needed</v>
      </c>
    </row>
    <row r="933">
      <c r="B933" s="6"/>
      <c r="D933" s="6"/>
      <c r="G933" s="6" t="str">
        <f>IFERROR(__xludf.DUMMYFUNCTION("""COMPUTED_VALUE"""),"accurate")</f>
        <v>accurate</v>
      </c>
      <c r="H933" s="6" t="str">
        <f>IFERROR(__xludf.DUMMYFUNCTION("""COMPUTED_VALUE"""),"themes")</f>
        <v>themes</v>
      </c>
      <c r="I933" s="6" t="str">
        <f>IFERROR(__xludf.DUMMYFUNCTION("""COMPUTED_VALUE"""),"sessions")</f>
        <v>sessions</v>
      </c>
      <c r="J933" s="6" t="str">
        <f>IFERROR(__xludf.DUMMYFUNCTION("""COMPUTED_VALUE"""),"autopsy")</f>
        <v>autopsy</v>
      </c>
      <c r="L933" s="6" t="str">
        <f>IFERROR(__xludf.DUMMYFUNCTION("""COMPUTED_VALUE"""),"flaws")</f>
        <v>flaws</v>
      </c>
      <c r="M933" s="6" t="str">
        <f>IFERROR(__xludf.DUMMYFUNCTION("""COMPUTED_VALUE"""),"grandfather")</f>
        <v>grandfather</v>
      </c>
      <c r="N933" s="6" t="str">
        <f>IFERROR(__xludf.DUMMYFUNCTION("""COMPUTED_VALUE"""),"specimen")</f>
        <v>specimen</v>
      </c>
      <c r="P933" s="6" t="str">
        <f>IFERROR(__xludf.DUMMYFUNCTION("""COMPUTED_VALUE"""),"hollow")</f>
        <v>hollow</v>
      </c>
      <c r="Q933" s="6" t="str">
        <f>IFERROR(__xludf.DUMMYFUNCTION("""COMPUTED_VALUE"""),"pokemon")</f>
        <v>pokemon</v>
      </c>
      <c r="S933" s="6" t="str">
        <f>IFERROR(__xludf.DUMMYFUNCTION("""COMPUTED_VALUE"""),"yale")</f>
        <v>yale</v>
      </c>
    </row>
    <row r="934">
      <c r="B934" s="6"/>
      <c r="D934" s="6"/>
      <c r="G934" s="6" t="str">
        <f>IFERROR(__xludf.DUMMYFUNCTION("""COMPUTED_VALUE"""),"relevance")</f>
        <v>relevance</v>
      </c>
      <c r="H934" s="6" t="str">
        <f>IFERROR(__xludf.DUMMYFUNCTION("""COMPUTED_VALUE"""),"inherently")</f>
        <v>inherently</v>
      </c>
      <c r="I934" s="6" t="str">
        <f>IFERROR(__xludf.DUMMYFUNCTION("""COMPUTED_VALUE"""),"broadcast")</f>
        <v>broadcast</v>
      </c>
      <c r="J934" s="6" t="str">
        <f>IFERROR(__xludf.DUMMYFUNCTION("""COMPUTED_VALUE"""),"coke")</f>
        <v>coke</v>
      </c>
      <c r="L934" s="6" t="str">
        <f>IFERROR(__xludf.DUMMYFUNCTION("""COMPUTED_VALUE"""),"singing")</f>
        <v>singing</v>
      </c>
      <c r="M934" s="6" t="str">
        <f>IFERROR(__xludf.DUMMYFUNCTION("""COMPUTED_VALUE"""),"ball")</f>
        <v>ball</v>
      </c>
      <c r="N934" s="6" t="str">
        <f>IFERROR(__xludf.DUMMYFUNCTION("""COMPUTED_VALUE"""),"gamble")</f>
        <v>gamble</v>
      </c>
      <c r="P934" s="6" t="str">
        <f>IFERROR(__xludf.DUMMYFUNCTION("""COMPUTED_VALUE"""),"burning")</f>
        <v>burning</v>
      </c>
      <c r="Q934" s="6" t="str">
        <f>IFERROR(__xludf.DUMMYFUNCTION("""COMPUTED_VALUE"""),"allen")</f>
        <v>allen</v>
      </c>
      <c r="S934" s="6" t="str">
        <f>IFERROR(__xludf.DUMMYFUNCTION("""COMPUTED_VALUE"""),"twisted")</f>
        <v>twisted</v>
      </c>
    </row>
    <row r="935">
      <c r="B935" s="6"/>
      <c r="D935" s="6"/>
      <c r="G935" s="6" t="str">
        <f>IFERROR(__xludf.DUMMYFUNCTION("""COMPUTED_VALUE"""),"victims")</f>
        <v>victims</v>
      </c>
      <c r="H935" s="6" t="str">
        <f>IFERROR(__xludf.DUMMYFUNCTION("""COMPUTED_VALUE"""),"innocent")</f>
        <v>innocent</v>
      </c>
      <c r="I935" s="6" t="str">
        <f>IFERROR(__xludf.DUMMYFUNCTION("""COMPUTED_VALUE"""),"embrace")</f>
        <v>embrace</v>
      </c>
      <c r="J935" s="6" t="str">
        <f>IFERROR(__xludf.DUMMYFUNCTION("""COMPUTED_VALUE"""),"pit")</f>
        <v>pit</v>
      </c>
      <c r="L935" s="6" t="str">
        <f>IFERROR(__xludf.DUMMYFUNCTION("""COMPUTED_VALUE"""),"painting")</f>
        <v>painting</v>
      </c>
      <c r="M935" s="6" t="str">
        <f>IFERROR(__xludf.DUMMYFUNCTION("""COMPUTED_VALUE"""),"band")</f>
        <v>band</v>
      </c>
      <c r="N935" s="6" t="str">
        <f>IFERROR(__xludf.DUMMYFUNCTION("""COMPUTED_VALUE"""),"fights")</f>
        <v>fights</v>
      </c>
      <c r="P935" s="6" t="str">
        <f>IFERROR(__xludf.DUMMYFUNCTION("""COMPUTED_VALUE"""),"portrayed")</f>
        <v>portrayed</v>
      </c>
      <c r="Q935" s="6" t="str">
        <f>IFERROR(__xludf.DUMMYFUNCTION("""COMPUTED_VALUE"""),"breathe")</f>
        <v>breathe</v>
      </c>
      <c r="S935" s="6" t="str">
        <f>IFERROR(__xludf.DUMMYFUNCTION("""COMPUTED_VALUE"""),"bond")</f>
        <v>bond</v>
      </c>
    </row>
    <row r="936">
      <c r="B936" s="6"/>
      <c r="D936" s="6"/>
      <c r="G936" s="6" t="str">
        <f>IFERROR(__xludf.DUMMYFUNCTION("""COMPUTED_VALUE"""),"proceedings")</f>
        <v>proceedings</v>
      </c>
      <c r="H936" s="6" t="str">
        <f>IFERROR(__xludf.DUMMYFUNCTION("""COMPUTED_VALUE"""),"betrayal")</f>
        <v>betrayal</v>
      </c>
      <c r="I936" s="6" t="str">
        <f>IFERROR(__xludf.DUMMYFUNCTION("""COMPUTED_VALUE"""),"station")</f>
        <v>station</v>
      </c>
      <c r="J936" s="6" t="str">
        <f>IFERROR(__xludf.DUMMYFUNCTION("""COMPUTED_VALUE"""),"bravery")</f>
        <v>bravery</v>
      </c>
      <c r="L936" s="6" t="str">
        <f>IFERROR(__xludf.DUMMYFUNCTION("""COMPUTED_VALUE"""),"punishment")</f>
        <v>punishment</v>
      </c>
      <c r="M936" s="6" t="str">
        <f>IFERROR(__xludf.DUMMYFUNCTION("""COMPUTED_VALUE"""),"stark")</f>
        <v>stark</v>
      </c>
      <c r="N936" s="6" t="str">
        <f>IFERROR(__xludf.DUMMYFUNCTION("""COMPUTED_VALUE"""),"sadness")</f>
        <v>sadness</v>
      </c>
      <c r="P936" s="6">
        <f>IFERROR(__xludf.DUMMYFUNCTION("""COMPUTED_VALUE"""),30.0)</f>
        <v>30</v>
      </c>
      <c r="Q936" s="6" t="str">
        <f>IFERROR(__xludf.DUMMYFUNCTION("""COMPUTED_VALUE"""),"straight")</f>
        <v>straight</v>
      </c>
      <c r="S936" s="6" t="str">
        <f>IFERROR(__xludf.DUMMYFUNCTION("""COMPUTED_VALUE"""),"constant")</f>
        <v>constant</v>
      </c>
    </row>
    <row r="937">
      <c r="B937" s="6"/>
      <c r="D937" s="6"/>
      <c r="G937" s="6" t="str">
        <f>IFERROR(__xludf.DUMMYFUNCTION("""COMPUTED_VALUE"""),"solemn")</f>
        <v>solemn</v>
      </c>
      <c r="H937" s="6" t="str">
        <f>IFERROR(__xludf.DUMMYFUNCTION("""COMPUTED_VALUE"""),"panic")</f>
        <v>panic</v>
      </c>
      <c r="I937" s="6" t="str">
        <f>IFERROR(__xludf.DUMMYFUNCTION("""COMPUTED_VALUE"""),"media")</f>
        <v>media</v>
      </c>
      <c r="J937" s="6" t="str">
        <f>IFERROR(__xludf.DUMMYFUNCTION("""COMPUTED_VALUE"""),"circuit")</f>
        <v>circuit</v>
      </c>
      <c r="L937" s="6" t="str">
        <f>IFERROR(__xludf.DUMMYFUNCTION("""COMPUTED_VALUE"""),"capture")</f>
        <v>capture</v>
      </c>
      <c r="M937" s="6" t="str">
        <f>IFERROR(__xludf.DUMMYFUNCTION("""COMPUTED_VALUE"""),"minds")</f>
        <v>minds</v>
      </c>
      <c r="N937" s="6" t="str">
        <f>IFERROR(__xludf.DUMMYFUNCTION("""COMPUTED_VALUE"""),"dialogue")</f>
        <v>dialogue</v>
      </c>
      <c r="P937" s="6" t="str">
        <f>IFERROR(__xludf.DUMMYFUNCTION("""COMPUTED_VALUE"""),"updated")</f>
        <v>updated</v>
      </c>
      <c r="Q937" s="6" t="str">
        <f>IFERROR(__xludf.DUMMYFUNCTION("""COMPUTED_VALUE"""),"light")</f>
        <v>light</v>
      </c>
      <c r="S937" s="6" t="str">
        <f>IFERROR(__xludf.DUMMYFUNCTION("""COMPUTED_VALUE"""),"leads")</f>
        <v>leads</v>
      </c>
    </row>
    <row r="938">
      <c r="B938" s="6"/>
      <c r="D938" s="6"/>
      <c r="G938" s="6" t="str">
        <f>IFERROR(__xludf.DUMMYFUNCTION("""COMPUTED_VALUE"""),"soldiers")</f>
        <v>soldiers</v>
      </c>
      <c r="H938" s="6" t="str">
        <f>IFERROR(__xludf.DUMMYFUNCTION("""COMPUTED_VALUE"""),"glued")</f>
        <v>glued</v>
      </c>
      <c r="I938" s="6" t="str">
        <f>IFERROR(__xludf.DUMMYFUNCTION("""COMPUTED_VALUE"""),"producers")</f>
        <v>producers</v>
      </c>
      <c r="J938" s="6" t="str">
        <f>IFERROR(__xludf.DUMMYFUNCTION("""COMPUTED_VALUE"""),"minnie")</f>
        <v>minnie</v>
      </c>
      <c r="L938" s="6" t="str">
        <f>IFERROR(__xludf.DUMMYFUNCTION("""COMPUTED_VALUE"""),"behave")</f>
        <v>behave</v>
      </c>
      <c r="M938" s="6" t="str">
        <f>IFERROR(__xludf.DUMMYFUNCTION("""COMPUTED_VALUE"""),"science")</f>
        <v>science</v>
      </c>
      <c r="N938" s="6" t="str">
        <f>IFERROR(__xludf.DUMMYFUNCTION("""COMPUTED_VALUE"""),"examination")</f>
        <v>examination</v>
      </c>
      <c r="P938" s="6" t="str">
        <f>IFERROR(__xludf.DUMMYFUNCTION("""COMPUTED_VALUE"""),"diesel")</f>
        <v>diesel</v>
      </c>
      <c r="Q938" s="6" t="str">
        <f>IFERROR(__xludf.DUMMYFUNCTION("""COMPUTED_VALUE"""),"incorporates")</f>
        <v>incorporates</v>
      </c>
      <c r="S938" s="6" t="str">
        <f>IFERROR(__xludf.DUMMYFUNCTION("""COMPUTED_VALUE"""),"connection")</f>
        <v>connection</v>
      </c>
    </row>
    <row r="939">
      <c r="B939" s="6"/>
      <c r="D939" s="6"/>
      <c r="G939" s="6" t="str">
        <f>IFERROR(__xludf.DUMMYFUNCTION("""COMPUTED_VALUE"""),"lawrence")</f>
        <v>lawrence</v>
      </c>
      <c r="H939" s="6" t="str">
        <f>IFERROR(__xludf.DUMMYFUNCTION("""COMPUTED_VALUE"""),"manage")</f>
        <v>manage</v>
      </c>
      <c r="I939" s="6" t="str">
        <f>IFERROR(__xludf.DUMMYFUNCTION("""COMPUTED_VALUE"""),"tenor")</f>
        <v>tenor</v>
      </c>
      <c r="J939" s="6" t="str">
        <f>IFERROR(__xludf.DUMMYFUNCTION("""COMPUTED_VALUE"""),"wig")</f>
        <v>wig</v>
      </c>
      <c r="L939" s="6" t="str">
        <f>IFERROR(__xludf.DUMMYFUNCTION("""COMPUTED_VALUE"""),"intricate")</f>
        <v>intricate</v>
      </c>
      <c r="M939" s="6" t="str">
        <f>IFERROR(__xludf.DUMMYFUNCTION("""COMPUTED_VALUE"""),"engaged")</f>
        <v>engaged</v>
      </c>
      <c r="N939" s="6" t="str">
        <f>IFERROR(__xludf.DUMMYFUNCTION("""COMPUTED_VALUE"""),"equation")</f>
        <v>equation</v>
      </c>
      <c r="P939" s="6" t="str">
        <f>IFERROR(__xludf.DUMMYFUNCTION("""COMPUTED_VALUE"""),"themes")</f>
        <v>themes</v>
      </c>
      <c r="Q939" s="6" t="str">
        <f>IFERROR(__xludf.DUMMYFUNCTION("""COMPUTED_VALUE"""),"transporting")</f>
        <v>transporting</v>
      </c>
      <c r="S939" s="6" t="str">
        <f>IFERROR(__xludf.DUMMYFUNCTION("""COMPUTED_VALUE"""),"identification")</f>
        <v>identification</v>
      </c>
    </row>
    <row r="940">
      <c r="B940" s="6"/>
      <c r="D940" s="6"/>
      <c r="G940" s="6" t="str">
        <f>IFERROR(__xludf.DUMMYFUNCTION("""COMPUTED_VALUE"""),"riot")</f>
        <v>riot</v>
      </c>
      <c r="H940" s="6" t="str">
        <f>IFERROR(__xludf.DUMMYFUNCTION("""COMPUTED_VALUE"""),"accuse")</f>
        <v>accuse</v>
      </c>
      <c r="I940" s="6" t="str">
        <f>IFERROR(__xludf.DUMMYFUNCTION("""COMPUTED_VALUE"""),"explosion")</f>
        <v>explosion</v>
      </c>
      <c r="J940" s="6" t="str">
        <f>IFERROR(__xludf.DUMMYFUNCTION("""COMPUTED_VALUE"""),"spontaneous")</f>
        <v>spontaneous</v>
      </c>
      <c r="L940" s="6" t="str">
        <f>IFERROR(__xludf.DUMMYFUNCTION("""COMPUTED_VALUE"""),"disguise")</f>
        <v>disguise</v>
      </c>
      <c r="M940" s="6" t="str">
        <f>IFERROR(__xludf.DUMMYFUNCTION("""COMPUTED_VALUE"""),"entertainment")</f>
        <v>entertainment</v>
      </c>
      <c r="N940" s="6" t="str">
        <f>IFERROR(__xludf.DUMMYFUNCTION("""COMPUTED_VALUE"""),"forgiven")</f>
        <v>forgiven</v>
      </c>
      <c r="P940" s="6" t="str">
        <f>IFERROR(__xludf.DUMMYFUNCTION("""COMPUTED_VALUE"""),"innocent")</f>
        <v>innocent</v>
      </c>
      <c r="Q940" s="6" t="str">
        <f>IFERROR(__xludf.DUMMYFUNCTION("""COMPUTED_VALUE"""),"li")</f>
        <v>li</v>
      </c>
      <c r="S940" s="6" t="str">
        <f>IFERROR(__xludf.DUMMYFUNCTION("""COMPUTED_VALUE"""),"built")</f>
        <v>built</v>
      </c>
    </row>
    <row r="941">
      <c r="B941" s="6"/>
      <c r="D941" s="6"/>
      <c r="G941" s="6" t="str">
        <f>IFERROR(__xludf.DUMMYFUNCTION("""COMPUTED_VALUE"""),"disbelief")</f>
        <v>disbelief</v>
      </c>
      <c r="H941" s="6" t="str">
        <f>IFERROR(__xludf.DUMMYFUNCTION("""COMPUTED_VALUE"""),"wants")</f>
        <v>wants</v>
      </c>
      <c r="I941" s="6" t="str">
        <f>IFERROR(__xludf.DUMMYFUNCTION("""COMPUTED_VALUE"""),"successor")</f>
        <v>successor</v>
      </c>
      <c r="J941" s="6" t="str">
        <f>IFERROR(__xludf.DUMMYFUNCTION("""COMPUTED_VALUE"""),"phone")</f>
        <v>phone</v>
      </c>
      <c r="L941" s="6" t="str">
        <f>IFERROR(__xludf.DUMMYFUNCTION("""COMPUTED_VALUE"""),"flourish")</f>
        <v>flourish</v>
      </c>
      <c r="M941" s="6" t="str">
        <f>IFERROR(__xludf.DUMMYFUNCTION("""COMPUTED_VALUE"""),"filmed")</f>
        <v>filmed</v>
      </c>
      <c r="N941" s="6" t="str">
        <f>IFERROR(__xludf.DUMMYFUNCTION("""COMPUTED_VALUE"""),"witnesses")</f>
        <v>witnesses</v>
      </c>
      <c r="P941" s="6" t="str">
        <f>IFERROR(__xludf.DUMMYFUNCTION("""COMPUTED_VALUE"""),"panic")</f>
        <v>panic</v>
      </c>
      <c r="Q941" s="6" t="str">
        <f>IFERROR(__xludf.DUMMYFUNCTION("""COMPUTED_VALUE"""),"gong")</f>
        <v>gong</v>
      </c>
      <c r="S941" s="6" t="str">
        <f>IFERROR(__xludf.DUMMYFUNCTION("""COMPUTED_VALUE"""),"hotels")</f>
        <v>hotels</v>
      </c>
    </row>
    <row r="942">
      <c r="B942" s="6"/>
      <c r="D942" s="6"/>
      <c r="G942" s="6" t="str">
        <f>IFERROR(__xludf.DUMMYFUNCTION("""COMPUTED_VALUE"""),"honesty")</f>
        <v>honesty</v>
      </c>
      <c r="H942" s="6" t="str">
        <f>IFERROR(__xludf.DUMMYFUNCTION("""COMPUTED_VALUE"""),"african")</f>
        <v>african</v>
      </c>
      <c r="I942" s="6" t="str">
        <f>IFERROR(__xludf.DUMMYFUNCTION("""COMPUTED_VALUE"""),"basketball")</f>
        <v>basketball</v>
      </c>
      <c r="J942" s="6" t="str">
        <f>IFERROR(__xludf.DUMMYFUNCTION("""COMPUTED_VALUE"""),"quietly")</f>
        <v>quietly</v>
      </c>
      <c r="L942" s="6" t="str">
        <f>IFERROR(__xludf.DUMMYFUNCTION("""COMPUTED_VALUE"""),"unnamed")</f>
        <v>unnamed</v>
      </c>
      <c r="M942" s="6" t="str">
        <f>IFERROR(__xludf.DUMMYFUNCTION("""COMPUTED_VALUE"""),"illness")</f>
        <v>illness</v>
      </c>
      <c r="N942" s="6" t="str">
        <f>IFERROR(__xludf.DUMMYFUNCTION("""COMPUTED_VALUE"""),"marquis")</f>
        <v>marquis</v>
      </c>
      <c r="P942" s="6" t="str">
        <f>IFERROR(__xludf.DUMMYFUNCTION("""COMPUTED_VALUE"""),"interested")</f>
        <v>interested</v>
      </c>
      <c r="Q942" s="6" t="str">
        <f>IFERROR(__xludf.DUMMYFUNCTION("""COMPUTED_VALUE"""),"moore")</f>
        <v>moore</v>
      </c>
      <c r="S942" s="6" t="str">
        <f>IFERROR(__xludf.DUMMYFUNCTION("""COMPUTED_VALUE"""),"cut")</f>
        <v>cut</v>
      </c>
    </row>
    <row r="943">
      <c r="B943" s="6"/>
      <c r="D943" s="6"/>
      <c r="G943" s="6" t="str">
        <f>IFERROR(__xludf.DUMMYFUNCTION("""COMPUTED_VALUE"""),"traditions")</f>
        <v>traditions</v>
      </c>
      <c r="H943" s="6" t="str">
        <f>IFERROR(__xludf.DUMMYFUNCTION("""COMPUTED_VALUE"""),"odds")</f>
        <v>odds</v>
      </c>
      <c r="I943" s="6" t="str">
        <f>IFERROR(__xludf.DUMMYFUNCTION("""COMPUTED_VALUE"""),"transformed")</f>
        <v>transformed</v>
      </c>
      <c r="J943" s="6" t="str">
        <f>IFERROR(__xludf.DUMMYFUNCTION("""COMPUTED_VALUE"""),"savage")</f>
        <v>savage</v>
      </c>
      <c r="L943" s="6" t="str">
        <f>IFERROR(__xludf.DUMMYFUNCTION("""COMPUTED_VALUE"""),"shovel")</f>
        <v>shovel</v>
      </c>
      <c r="M943" s="6" t="str">
        <f>IFERROR(__xludf.DUMMYFUNCTION("""COMPUTED_VALUE"""),"camera")</f>
        <v>camera</v>
      </c>
      <c r="N943" s="6" t="str">
        <f>IFERROR(__xludf.DUMMYFUNCTION("""COMPUTED_VALUE"""),"touching")</f>
        <v>touching</v>
      </c>
      <c r="P943" s="6" t="str">
        <f>IFERROR(__xludf.DUMMYFUNCTION("""COMPUTED_VALUE"""),"manage")</f>
        <v>manage</v>
      </c>
      <c r="Q943" s="6" t="str">
        <f>IFERROR(__xludf.DUMMYFUNCTION("""COMPUTED_VALUE"""),"starting")</f>
        <v>starting</v>
      </c>
      <c r="S943" s="6" t="str">
        <f>IFERROR(__xludf.DUMMYFUNCTION("""COMPUTED_VALUE"""),"mainstream")</f>
        <v>mainstream</v>
      </c>
    </row>
    <row r="944">
      <c r="B944" s="6"/>
      <c r="D944" s="6"/>
      <c r="G944" s="6" t="str">
        <f>IFERROR(__xludf.DUMMYFUNCTION("""COMPUTED_VALUE"""),"pbs")</f>
        <v>pbs</v>
      </c>
      <c r="H944" s="6" t="str">
        <f>IFERROR(__xludf.DUMMYFUNCTION("""COMPUTED_VALUE"""),"verve")</f>
        <v>verve</v>
      </c>
      <c r="I944" s="6" t="str">
        <f>IFERROR(__xludf.DUMMYFUNCTION("""COMPUTED_VALUE"""),"repeatedly")</f>
        <v>repeatedly</v>
      </c>
      <c r="J944" s="6" t="str">
        <f>IFERROR(__xludf.DUMMYFUNCTION("""COMPUTED_VALUE"""),"submerged")</f>
        <v>submerged</v>
      </c>
      <c r="L944" s="6" t="str">
        <f>IFERROR(__xludf.DUMMYFUNCTION("""COMPUTED_VALUE"""),"anonymous")</f>
        <v>anonymous</v>
      </c>
      <c r="M944" s="6" t="str">
        <f>IFERROR(__xludf.DUMMYFUNCTION("""COMPUTED_VALUE"""),"draws")</f>
        <v>draws</v>
      </c>
      <c r="N944" s="6" t="str">
        <f>IFERROR(__xludf.DUMMYFUNCTION("""COMPUTED_VALUE"""),"stab")</f>
        <v>stab</v>
      </c>
      <c r="P944" s="6" t="str">
        <f>IFERROR(__xludf.DUMMYFUNCTION("""COMPUTED_VALUE"""),"wants")</f>
        <v>wants</v>
      </c>
      <c r="Q944" s="6" t="str">
        <f>IFERROR(__xludf.DUMMYFUNCTION("""COMPUTED_VALUE"""),"diaz")</f>
        <v>diaz</v>
      </c>
      <c r="S944" s="6" t="str">
        <f>IFERROR(__xludf.DUMMYFUNCTION("""COMPUTED_VALUE"""),"charge")</f>
        <v>charge</v>
      </c>
    </row>
    <row r="945">
      <c r="B945" s="6"/>
      <c r="D945" s="6"/>
      <c r="G945" s="6" t="str">
        <f>IFERROR(__xludf.DUMMYFUNCTION("""COMPUTED_VALUE"""),"effortlessly")</f>
        <v>effortlessly</v>
      </c>
      <c r="H945" s="6" t="str">
        <f>IFERROR(__xludf.DUMMYFUNCTION("""COMPUTED_VALUE"""),"rise")</f>
        <v>rise</v>
      </c>
      <c r="I945" s="6" t="str">
        <f>IFERROR(__xludf.DUMMYFUNCTION("""COMPUTED_VALUE"""),"cartoon")</f>
        <v>cartoon</v>
      </c>
      <c r="J945" s="6" t="str">
        <f>IFERROR(__xludf.DUMMYFUNCTION("""COMPUTED_VALUE"""),"hell")</f>
        <v>hell</v>
      </c>
      <c r="L945" s="6" t="str">
        <f>IFERROR(__xludf.DUMMYFUNCTION("""COMPUTED_VALUE"""),"shear")</f>
        <v>shear</v>
      </c>
      <c r="M945" s="6" t="str">
        <f>IFERROR(__xludf.DUMMYFUNCTION("""COMPUTED_VALUE"""),"race")</f>
        <v>race</v>
      </c>
      <c r="N945" s="6" t="str">
        <f>IFERROR(__xludf.DUMMYFUNCTION("""COMPUTED_VALUE"""),"beacon")</f>
        <v>beacon</v>
      </c>
      <c r="P945" s="6" t="str">
        <f>IFERROR(__xludf.DUMMYFUNCTION("""COMPUTED_VALUE"""),"sick")</f>
        <v>sick</v>
      </c>
      <c r="Q945" s="6" t="str">
        <f>IFERROR(__xludf.DUMMYFUNCTION("""COMPUTED_VALUE"""),"rank")</f>
        <v>rank</v>
      </c>
      <c r="S945" s="6" t="str">
        <f>IFERROR(__xludf.DUMMYFUNCTION("""COMPUTED_VALUE"""),"bears")</f>
        <v>bears</v>
      </c>
    </row>
    <row r="946">
      <c r="B946" s="6"/>
      <c r="D946" s="6"/>
      <c r="G946" s="6" t="str">
        <f>IFERROR(__xludf.DUMMYFUNCTION("""COMPUTED_VALUE"""),"analyze")</f>
        <v>analyze</v>
      </c>
      <c r="H946" s="6" t="str">
        <f>IFERROR(__xludf.DUMMYFUNCTION("""COMPUTED_VALUE"""),"broadway")</f>
        <v>broadway</v>
      </c>
      <c r="I946" s="6">
        <f>IFERROR(__xludf.DUMMYFUNCTION("""COMPUTED_VALUE"""),66.0)</f>
        <v>66</v>
      </c>
      <c r="J946" s="6" t="str">
        <f>IFERROR(__xludf.DUMMYFUNCTION("""COMPUTED_VALUE"""),"handling")</f>
        <v>handling</v>
      </c>
      <c r="L946" s="6" t="str">
        <f>IFERROR(__xludf.DUMMYFUNCTION("""COMPUTED_VALUE"""),"tragic")</f>
        <v>tragic</v>
      </c>
      <c r="M946" s="6" t="str">
        <f>IFERROR(__xludf.DUMMYFUNCTION("""COMPUTED_VALUE"""),"associated")</f>
        <v>associated</v>
      </c>
      <c r="N946" s="6" t="str">
        <f>IFERROR(__xludf.DUMMYFUNCTION("""COMPUTED_VALUE"""),"critics")</f>
        <v>critics</v>
      </c>
      <c r="P946" s="6" t="str">
        <f>IFERROR(__xludf.DUMMYFUNCTION("""COMPUTED_VALUE"""),"african")</f>
        <v>african</v>
      </c>
      <c r="Q946" s="6" t="str">
        <f>IFERROR(__xludf.DUMMYFUNCTION("""COMPUTED_VALUE"""),"belongs")</f>
        <v>belongs</v>
      </c>
      <c r="S946" s="6" t="str">
        <f>IFERROR(__xludf.DUMMYFUNCTION("""COMPUTED_VALUE"""),"spent")</f>
        <v>spent</v>
      </c>
    </row>
    <row r="947">
      <c r="B947" s="6"/>
      <c r="D947" s="6"/>
      <c r="G947" s="6" t="str">
        <f>IFERROR(__xludf.DUMMYFUNCTION("""COMPUTED_VALUE"""),"sparks")</f>
        <v>sparks</v>
      </c>
      <c r="H947" s="6" t="str">
        <f>IFERROR(__xludf.DUMMYFUNCTION("""COMPUTED_VALUE"""),"jolly")</f>
        <v>jolly</v>
      </c>
      <c r="I947" s="6" t="str">
        <f>IFERROR(__xludf.DUMMYFUNCTION("""COMPUTED_VALUE"""),"stopped")</f>
        <v>stopped</v>
      </c>
      <c r="J947" s="6" t="str">
        <f>IFERROR(__xludf.DUMMYFUNCTION("""COMPUTED_VALUE"""),"participant")</f>
        <v>participant</v>
      </c>
      <c r="L947" s="6" t="str">
        <f>IFERROR(__xludf.DUMMYFUNCTION("""COMPUTED_VALUE"""),"utilizing")</f>
        <v>utilizing</v>
      </c>
      <c r="M947" s="6" t="str">
        <f>IFERROR(__xludf.DUMMYFUNCTION("""COMPUTED_VALUE"""),"latter")</f>
        <v>latter</v>
      </c>
      <c r="N947" s="6" t="str">
        <f>IFERROR(__xludf.DUMMYFUNCTION("""COMPUTED_VALUE"""),"swim")</f>
        <v>swim</v>
      </c>
      <c r="P947" s="6" t="str">
        <f>IFERROR(__xludf.DUMMYFUNCTION("""COMPUTED_VALUE"""),"rise")</f>
        <v>rise</v>
      </c>
      <c r="Q947" s="6" t="str">
        <f>IFERROR(__xludf.DUMMYFUNCTION("""COMPUTED_VALUE"""),"jacques")</f>
        <v>jacques</v>
      </c>
      <c r="S947" s="6" t="str">
        <f>IFERROR(__xludf.DUMMYFUNCTION("""COMPUTED_VALUE"""),"got")</f>
        <v>got</v>
      </c>
    </row>
    <row r="948">
      <c r="B948" s="6"/>
      <c r="D948" s="6"/>
      <c r="G948" s="6" t="str">
        <f>IFERROR(__xludf.DUMMYFUNCTION("""COMPUTED_VALUE"""),"cumulative")</f>
        <v>cumulative</v>
      </c>
      <c r="H948" s="6" t="str">
        <f>IFERROR(__xludf.DUMMYFUNCTION("""COMPUTED_VALUE"""),"occupation")</f>
        <v>occupation</v>
      </c>
      <c r="I948" s="6" t="str">
        <f>IFERROR(__xludf.DUMMYFUNCTION("""COMPUTED_VALUE"""),"egypt")</f>
        <v>egypt</v>
      </c>
      <c r="J948" s="6" t="str">
        <f>IFERROR(__xludf.DUMMYFUNCTION("""COMPUTED_VALUE"""),"technological")</f>
        <v>technological</v>
      </c>
      <c r="L948" s="6" t="str">
        <f>IFERROR(__xludf.DUMMYFUNCTION("""COMPUTED_VALUE"""),"captures")</f>
        <v>captures</v>
      </c>
      <c r="M948" s="6" t="str">
        <f>IFERROR(__xludf.DUMMYFUNCTION("""COMPUTED_VALUE"""),"truth")</f>
        <v>truth</v>
      </c>
      <c r="N948" s="6" t="str">
        <f>IFERROR(__xludf.DUMMYFUNCTION("""COMPUTED_VALUE"""),"visual")</f>
        <v>visual</v>
      </c>
      <c r="P948" s="6" t="str">
        <f>IFERROR(__xludf.DUMMYFUNCTION("""COMPUTED_VALUE"""),"broadway")</f>
        <v>broadway</v>
      </c>
      <c r="Q948" s="6" t="str">
        <f>IFERROR(__xludf.DUMMYFUNCTION("""COMPUTED_VALUE"""),"diversion")</f>
        <v>diversion</v>
      </c>
      <c r="S948" s="6" t="str">
        <f>IFERROR(__xludf.DUMMYFUNCTION("""COMPUTED_VALUE"""),"creates")</f>
        <v>creates</v>
      </c>
    </row>
    <row r="949">
      <c r="B949" s="6"/>
      <c r="D949" s="6"/>
      <c r="G949" s="6" t="str">
        <f>IFERROR(__xludf.DUMMYFUNCTION("""COMPUTED_VALUE"""),"ferrara")</f>
        <v>ferrara</v>
      </c>
      <c r="H949" s="6" t="str">
        <f>IFERROR(__xludf.DUMMYFUNCTION("""COMPUTED_VALUE"""),"spirited")</f>
        <v>spirited</v>
      </c>
      <c r="I949" s="6" t="str">
        <f>IFERROR(__xludf.DUMMYFUNCTION("""COMPUTED_VALUE"""),"twenty")</f>
        <v>twenty</v>
      </c>
      <c r="J949" s="6" t="str">
        <f>IFERROR(__xludf.DUMMYFUNCTION("""COMPUTED_VALUE"""),"concentrating")</f>
        <v>concentrating</v>
      </c>
      <c r="L949" s="6" t="str">
        <f>IFERROR(__xludf.DUMMYFUNCTION("""COMPUTED_VALUE"""),"ai")</f>
        <v>ai</v>
      </c>
      <c r="M949" s="6" t="str">
        <f>IFERROR(__xludf.DUMMYFUNCTION("""COMPUTED_VALUE"""),"de")</f>
        <v>de</v>
      </c>
      <c r="N949" s="6" t="str">
        <f>IFERROR(__xludf.DUMMYFUNCTION("""COMPUTED_VALUE"""),"workings")</f>
        <v>workings</v>
      </c>
      <c r="P949" s="6" t="str">
        <f>IFERROR(__xludf.DUMMYFUNCTION("""COMPUTED_VALUE"""),"occupation")</f>
        <v>occupation</v>
      </c>
      <c r="Q949" s="6" t="str">
        <f>IFERROR(__xludf.DUMMYFUNCTION("""COMPUTED_VALUE"""),"bonds")</f>
        <v>bonds</v>
      </c>
      <c r="S949" s="6" t="str">
        <f>IFERROR(__xludf.DUMMYFUNCTION("""COMPUTED_VALUE"""),"la")</f>
        <v>la</v>
      </c>
    </row>
    <row r="950">
      <c r="B950" s="6"/>
      <c r="D950" s="6"/>
      <c r="G950" s="6" t="str">
        <f>IFERROR(__xludf.DUMMYFUNCTION("""COMPUTED_VALUE"""),"reliance")</f>
        <v>reliance</v>
      </c>
      <c r="H950" s="6" t="str">
        <f>IFERROR(__xludf.DUMMYFUNCTION("""COMPUTED_VALUE"""),"awakening")</f>
        <v>awakening</v>
      </c>
      <c r="I950" s="6" t="str">
        <f>IFERROR(__xludf.DUMMYFUNCTION("""COMPUTED_VALUE"""),"racial")</f>
        <v>racial</v>
      </c>
      <c r="J950" s="6" t="str">
        <f>IFERROR(__xludf.DUMMYFUNCTION("""COMPUTED_VALUE"""),"copy")</f>
        <v>copy</v>
      </c>
      <c r="L950" s="6" t="str">
        <f>IFERROR(__xludf.DUMMYFUNCTION("""COMPUTED_VALUE"""),"powerful")</f>
        <v>powerful</v>
      </c>
      <c r="M950" s="6" t="str">
        <f>IFERROR(__xludf.DUMMYFUNCTION("""COMPUTED_VALUE"""),"violent")</f>
        <v>violent</v>
      </c>
      <c r="N950" s="6" t="str">
        <f>IFERROR(__xludf.DUMMYFUNCTION("""COMPUTED_VALUE"""),"soldiers")</f>
        <v>soldiers</v>
      </c>
      <c r="P950" s="6" t="str">
        <f>IFERROR(__xludf.DUMMYFUNCTION("""COMPUTED_VALUE"""),"inner")</f>
        <v>inner</v>
      </c>
      <c r="Q950" s="6" t="str">
        <f>IFERROR(__xludf.DUMMYFUNCTION("""COMPUTED_VALUE"""),"linger")</f>
        <v>linger</v>
      </c>
      <c r="S950" s="6" t="str">
        <f>IFERROR(__xludf.DUMMYFUNCTION("""COMPUTED_VALUE"""),"note")</f>
        <v>note</v>
      </c>
    </row>
    <row r="951">
      <c r="B951" s="6"/>
      <c r="D951" s="6"/>
      <c r="G951" s="6" t="str">
        <f>IFERROR(__xludf.DUMMYFUNCTION("""COMPUTED_VALUE"""),"weighted")</f>
        <v>weighted</v>
      </c>
      <c r="H951" s="6" t="str">
        <f>IFERROR(__xludf.DUMMYFUNCTION("""COMPUTED_VALUE"""),"fathers")</f>
        <v>fathers</v>
      </c>
      <c r="I951" s="6" t="str">
        <f>IFERROR(__xludf.DUMMYFUNCTION("""COMPUTED_VALUE"""),"harrison")</f>
        <v>harrison</v>
      </c>
      <c r="J951" s="6" t="str">
        <f>IFERROR(__xludf.DUMMYFUNCTION("""COMPUTED_VALUE"""),"depict")</f>
        <v>depict</v>
      </c>
      <c r="L951" s="6" t="str">
        <f>IFERROR(__xludf.DUMMYFUNCTION("""COMPUTED_VALUE"""),"distinctive")</f>
        <v>distinctive</v>
      </c>
      <c r="M951" s="6" t="str">
        <f>IFERROR(__xludf.DUMMYFUNCTION("""COMPUTED_VALUE"""),"festival")</f>
        <v>festival</v>
      </c>
      <c r="N951" s="6" t="str">
        <f>IFERROR(__xludf.DUMMYFUNCTION("""COMPUTED_VALUE"""),"assurance")</f>
        <v>assurance</v>
      </c>
      <c r="P951" s="6" t="str">
        <f>IFERROR(__xludf.DUMMYFUNCTION("""COMPUTED_VALUE"""),"survivors")</f>
        <v>survivors</v>
      </c>
      <c r="Q951" s="6" t="str">
        <f>IFERROR(__xludf.DUMMYFUNCTION("""COMPUTED_VALUE"""),"anatomical")</f>
        <v>anatomical</v>
      </c>
      <c r="S951" s="6" t="str">
        <f>IFERROR(__xludf.DUMMYFUNCTION("""COMPUTED_VALUE"""),"basic")</f>
        <v>basic</v>
      </c>
    </row>
    <row r="952">
      <c r="B952" s="6"/>
      <c r="D952" s="6"/>
      <c r="G952" s="6" t="str">
        <f>IFERROR(__xludf.DUMMYFUNCTION("""COMPUTED_VALUE"""),"academy")</f>
        <v>academy</v>
      </c>
      <c r="H952" s="6" t="str">
        <f>IFERROR(__xludf.DUMMYFUNCTION("""COMPUTED_VALUE"""),"obscure")</f>
        <v>obscure</v>
      </c>
      <c r="I952" s="6" t="str">
        <f>IFERROR(__xludf.DUMMYFUNCTION("""COMPUTED_VALUE"""),"physical")</f>
        <v>physical</v>
      </c>
      <c r="J952" s="6" t="str">
        <f>IFERROR(__xludf.DUMMYFUNCTION("""COMPUTED_VALUE"""),"homosexual")</f>
        <v>homosexual</v>
      </c>
      <c r="L952" s="6" t="str">
        <f>IFERROR(__xludf.DUMMYFUNCTION("""COMPUTED_VALUE"""),"finds")</f>
        <v>finds</v>
      </c>
      <c r="M952" s="6" t="str">
        <f>IFERROR(__xludf.DUMMYFUNCTION("""COMPUTED_VALUE"""),"blanket")</f>
        <v>blanket</v>
      </c>
      <c r="N952" s="6" t="str">
        <f>IFERROR(__xludf.DUMMYFUNCTION("""COMPUTED_VALUE"""),"sleeper")</f>
        <v>sleeper</v>
      </c>
      <c r="P952" s="6" t="str">
        <f>IFERROR(__xludf.DUMMYFUNCTION("""COMPUTED_VALUE"""),"blade")</f>
        <v>blade</v>
      </c>
      <c r="Q952" s="6" t="str">
        <f>IFERROR(__xludf.DUMMYFUNCTION("""COMPUTED_VALUE"""),"rely")</f>
        <v>rely</v>
      </c>
      <c r="S952" s="6" t="str">
        <f>IFERROR(__xludf.DUMMYFUNCTION("""COMPUTED_VALUE"""),"affected")</f>
        <v>affected</v>
      </c>
    </row>
    <row r="953">
      <c r="B953" s="6"/>
      <c r="D953" s="6"/>
      <c r="G953" s="6" t="str">
        <f>IFERROR(__xludf.DUMMYFUNCTION("""COMPUTED_VALUE"""),"equation")</f>
        <v>equation</v>
      </c>
      <c r="H953" s="6" t="str">
        <f>IFERROR(__xludf.DUMMYFUNCTION("""COMPUTED_VALUE"""),"survivors")</f>
        <v>survivors</v>
      </c>
      <c r="I953" s="6" t="str">
        <f>IFERROR(__xludf.DUMMYFUNCTION("""COMPUTED_VALUE"""),"evans")</f>
        <v>evans</v>
      </c>
      <c r="J953" s="6" t="str">
        <f>IFERROR(__xludf.DUMMYFUNCTION("""COMPUTED_VALUE"""),"wise")</f>
        <v>wise</v>
      </c>
      <c r="L953" s="6" t="str">
        <f>IFERROR(__xludf.DUMMYFUNCTION("""COMPUTED_VALUE"""),"insistence")</f>
        <v>insistence</v>
      </c>
      <c r="M953" s="6" t="str">
        <f>IFERROR(__xludf.DUMMYFUNCTION("""COMPUTED_VALUE"""),"crack")</f>
        <v>crack</v>
      </c>
      <c r="N953" s="6" t="str">
        <f>IFERROR(__xludf.DUMMYFUNCTION("""COMPUTED_VALUE"""),"economical")</f>
        <v>economical</v>
      </c>
      <c r="P953" s="6" t="str">
        <f>IFERROR(__xludf.DUMMYFUNCTION("""COMPUTED_VALUE"""),"wear")</f>
        <v>wear</v>
      </c>
      <c r="Q953" s="6" t="str">
        <f>IFERROR(__xludf.DUMMYFUNCTION("""COMPUTED_VALUE"""),"elegant")</f>
        <v>elegant</v>
      </c>
      <c r="S953" s="6" t="str">
        <f>IFERROR(__xludf.DUMMYFUNCTION("""COMPUTED_VALUE"""),"foundation")</f>
        <v>foundation</v>
      </c>
    </row>
    <row r="954">
      <c r="B954" s="6"/>
      <c r="D954" s="6"/>
      <c r="G954" s="6" t="str">
        <f>IFERROR(__xludf.DUMMYFUNCTION("""COMPUTED_VALUE"""),"molina")</f>
        <v>molina</v>
      </c>
      <c r="H954" s="6" t="str">
        <f>IFERROR(__xludf.DUMMYFUNCTION("""COMPUTED_VALUE"""),"impacts")</f>
        <v>impacts</v>
      </c>
      <c r="I954" s="6" t="str">
        <f>IFERROR(__xludf.DUMMYFUNCTION("""COMPUTED_VALUE"""),"archive")</f>
        <v>archive</v>
      </c>
      <c r="J954" s="6" t="str">
        <f>IFERROR(__xludf.DUMMYFUNCTION("""COMPUTED_VALUE"""),"distinguished")</f>
        <v>distinguished</v>
      </c>
      <c r="L954" s="6" t="str">
        <f>IFERROR(__xludf.DUMMYFUNCTION("""COMPUTED_VALUE"""),"showcases")</f>
        <v>showcases</v>
      </c>
      <c r="M954" s="6" t="str">
        <f>IFERROR(__xludf.DUMMYFUNCTION("""COMPUTED_VALUE"""),"meaning")</f>
        <v>meaning</v>
      </c>
      <c r="N954" s="6" t="str">
        <f>IFERROR(__xludf.DUMMYFUNCTION("""COMPUTED_VALUE"""),"knockout")</f>
        <v>knockout</v>
      </c>
      <c r="P954" s="6" t="str">
        <f>IFERROR(__xludf.DUMMYFUNCTION("""COMPUTED_VALUE"""),"access")</f>
        <v>access</v>
      </c>
      <c r="Q954" s="6" t="str">
        <f>IFERROR(__xludf.DUMMYFUNCTION("""COMPUTED_VALUE"""),"barely")</f>
        <v>barely</v>
      </c>
      <c r="S954" s="6" t="str">
        <f>IFERROR(__xludf.DUMMYFUNCTION("""COMPUTED_VALUE"""),"elizabeth")</f>
        <v>elizabeth</v>
      </c>
    </row>
    <row r="955">
      <c r="B955" s="6"/>
      <c r="D955" s="6"/>
      <c r="G955" s="6" t="str">
        <f>IFERROR(__xludf.DUMMYFUNCTION("""COMPUTED_VALUE"""),"arresting")</f>
        <v>arresting</v>
      </c>
      <c r="H955" s="6" t="str">
        <f>IFERROR(__xludf.DUMMYFUNCTION("""COMPUTED_VALUE"""),"blade")</f>
        <v>blade</v>
      </c>
      <c r="I955" s="6" t="str">
        <f>IFERROR(__xludf.DUMMYFUNCTION("""COMPUTED_VALUE"""),"specific")</f>
        <v>specific</v>
      </c>
      <c r="J955" s="6" t="str">
        <f>IFERROR(__xludf.DUMMYFUNCTION("""COMPUTED_VALUE"""),"projectile")</f>
        <v>projectile</v>
      </c>
      <c r="L955" s="6" t="str">
        <f>IFERROR(__xludf.DUMMYFUNCTION("""COMPUTED_VALUE"""),"steals")</f>
        <v>steals</v>
      </c>
      <c r="M955" s="6" t="str">
        <f>IFERROR(__xludf.DUMMYFUNCTION("""COMPUTED_VALUE"""),"mere")</f>
        <v>mere</v>
      </c>
      <c r="N955" s="6" t="str">
        <f>IFERROR(__xludf.DUMMYFUNCTION("""COMPUTED_VALUE"""),"destined")</f>
        <v>destined</v>
      </c>
      <c r="P955" s="6" t="str">
        <f>IFERROR(__xludf.DUMMYFUNCTION("""COMPUTED_VALUE"""),"raised")</f>
        <v>raised</v>
      </c>
      <c r="Q955" s="6" t="str">
        <f>IFERROR(__xludf.DUMMYFUNCTION("""COMPUTED_VALUE"""),"registering")</f>
        <v>registering</v>
      </c>
      <c r="S955" s="6" t="str">
        <f>IFERROR(__xludf.DUMMYFUNCTION("""COMPUTED_VALUE"""),"goals")</f>
        <v>goals</v>
      </c>
    </row>
    <row r="956">
      <c r="B956" s="6"/>
      <c r="D956" s="6"/>
      <c r="G956" s="6" t="str">
        <f>IFERROR(__xludf.DUMMYFUNCTION("""COMPUTED_VALUE"""),"adrenaline")</f>
        <v>adrenaline</v>
      </c>
      <c r="H956" s="6" t="str">
        <f>IFERROR(__xludf.DUMMYFUNCTION("""COMPUTED_VALUE"""),"erotic")</f>
        <v>erotic</v>
      </c>
      <c r="I956" s="6" t="str">
        <f>IFERROR(__xludf.DUMMYFUNCTION("""COMPUTED_VALUE"""),"higher")</f>
        <v>higher</v>
      </c>
      <c r="J956" s="6" t="str">
        <f>IFERROR(__xludf.DUMMYFUNCTION("""COMPUTED_VALUE"""),"seizing")</f>
        <v>seizing</v>
      </c>
      <c r="L956" s="6" t="str">
        <f>IFERROR(__xludf.DUMMYFUNCTION("""COMPUTED_VALUE"""),"targeted")</f>
        <v>targeted</v>
      </c>
      <c r="M956" s="6" t="str">
        <f>IFERROR(__xludf.DUMMYFUNCTION("""COMPUTED_VALUE"""),"intent")</f>
        <v>intent</v>
      </c>
      <c r="N956" s="6" t="str">
        <f>IFERROR(__xludf.DUMMYFUNCTION("""COMPUTED_VALUE"""),"beneath")</f>
        <v>beneath</v>
      </c>
      <c r="P956" s="6" t="str">
        <f>IFERROR(__xludf.DUMMYFUNCTION("""COMPUTED_VALUE"""),"abandoned")</f>
        <v>abandoned</v>
      </c>
      <c r="Q956" s="6" t="str">
        <f>IFERROR(__xludf.DUMMYFUNCTION("""COMPUTED_VALUE"""),"majors")</f>
        <v>majors</v>
      </c>
      <c r="S956" s="6" t="str">
        <f>IFERROR(__xludf.DUMMYFUNCTION("""COMPUTED_VALUE"""),"project")</f>
        <v>project</v>
      </c>
    </row>
    <row r="957">
      <c r="B957" s="6"/>
      <c r="D957" s="6"/>
      <c r="G957" s="6" t="str">
        <f>IFERROR(__xludf.DUMMYFUNCTION("""COMPUTED_VALUE"""),"lowered")</f>
        <v>lowered</v>
      </c>
      <c r="H957" s="6" t="str">
        <f>IFERROR(__xludf.DUMMYFUNCTION("""COMPUTED_VALUE"""),"uncanny")</f>
        <v>uncanny</v>
      </c>
      <c r="I957" s="6" t="str">
        <f>IFERROR(__xludf.DUMMYFUNCTION("""COMPUTED_VALUE"""),"gut")</f>
        <v>gut</v>
      </c>
      <c r="J957" s="6" t="str">
        <f>IFERROR(__xludf.DUMMYFUNCTION("""COMPUTED_VALUE"""),"portrays")</f>
        <v>portrays</v>
      </c>
      <c r="L957" s="6" t="str">
        <f>IFERROR(__xludf.DUMMYFUNCTION("""COMPUTED_VALUE"""),"stroke")</f>
        <v>stroke</v>
      </c>
      <c r="M957" s="6" t="str">
        <f>IFERROR(__xludf.DUMMYFUNCTION("""COMPUTED_VALUE"""),"candy")</f>
        <v>candy</v>
      </c>
      <c r="N957" s="6" t="str">
        <f>IFERROR(__xludf.DUMMYFUNCTION("""COMPUTED_VALUE"""),"dragons")</f>
        <v>dragons</v>
      </c>
      <c r="P957" s="6" t="str">
        <f>IFERROR(__xludf.DUMMYFUNCTION("""COMPUTED_VALUE"""),"rode")</f>
        <v>rode</v>
      </c>
      <c r="Q957" s="6" t="str">
        <f>IFERROR(__xludf.DUMMYFUNCTION("""COMPUTED_VALUE"""),"governments")</f>
        <v>governments</v>
      </c>
      <c r="S957" s="6" t="str">
        <f>IFERROR(__xludf.DUMMYFUNCTION("""COMPUTED_VALUE"""),"italian")</f>
        <v>italian</v>
      </c>
    </row>
    <row r="958">
      <c r="B958" s="6"/>
      <c r="D958" s="6"/>
      <c r="G958" s="6" t="str">
        <f>IFERROR(__xludf.DUMMYFUNCTION("""COMPUTED_VALUE"""),"giggle")</f>
        <v>giggle</v>
      </c>
      <c r="H958" s="6" t="str">
        <f>IFERROR(__xludf.DUMMYFUNCTION("""COMPUTED_VALUE"""),"mann")</f>
        <v>mann</v>
      </c>
      <c r="I958" s="6" t="str">
        <f>IFERROR(__xludf.DUMMYFUNCTION("""COMPUTED_VALUE"""),"tense")</f>
        <v>tense</v>
      </c>
      <c r="J958" s="6" t="str">
        <f>IFERROR(__xludf.DUMMYFUNCTION("""COMPUTED_VALUE"""),"reign")</f>
        <v>reign</v>
      </c>
      <c r="L958" s="6" t="str">
        <f>IFERROR(__xludf.DUMMYFUNCTION("""COMPUTED_VALUE"""),"forum")</f>
        <v>forum</v>
      </c>
      <c r="M958" s="6" t="str">
        <f>IFERROR(__xludf.DUMMYFUNCTION("""COMPUTED_VALUE"""),"adventure")</f>
        <v>adventure</v>
      </c>
      <c r="N958" s="6" t="str">
        <f>IFERROR(__xludf.DUMMYFUNCTION("""COMPUTED_VALUE"""),"cheering")</f>
        <v>cheering</v>
      </c>
      <c r="P958" s="6" t="str">
        <f>IFERROR(__xludf.DUMMYFUNCTION("""COMPUTED_VALUE"""),"journalism")</f>
        <v>journalism</v>
      </c>
      <c r="Q958" s="6" t="str">
        <f>IFERROR(__xludf.DUMMYFUNCTION("""COMPUTED_VALUE"""),"reconstruction")</f>
        <v>reconstruction</v>
      </c>
      <c r="S958" s="6" t="str">
        <f>IFERROR(__xludf.DUMMYFUNCTION("""COMPUTED_VALUE"""),"france")</f>
        <v>france</v>
      </c>
    </row>
    <row r="959">
      <c r="B959" s="6"/>
      <c r="D959" s="6"/>
      <c r="G959" s="6" t="str">
        <f>IFERROR(__xludf.DUMMYFUNCTION("""COMPUTED_VALUE"""),"gang")</f>
        <v>gang</v>
      </c>
      <c r="H959" s="6" t="str">
        <f>IFERROR(__xludf.DUMMYFUNCTION("""COMPUTED_VALUE"""),"cultivation")</f>
        <v>cultivation</v>
      </c>
      <c r="I959" s="6" t="str">
        <f>IFERROR(__xludf.DUMMYFUNCTION("""COMPUTED_VALUE"""),"trapped")</f>
        <v>trapped</v>
      </c>
      <c r="J959" s="6" t="str">
        <f>IFERROR(__xludf.DUMMYFUNCTION("""COMPUTED_VALUE"""),"grin")</f>
        <v>grin</v>
      </c>
      <c r="L959" s="6" t="str">
        <f>IFERROR(__xludf.DUMMYFUNCTION("""COMPUTED_VALUE"""),"ferrara")</f>
        <v>ferrara</v>
      </c>
      <c r="M959" s="6" t="str">
        <f>IFERROR(__xludf.DUMMYFUNCTION("""COMPUTED_VALUE"""),"journey")</f>
        <v>journey</v>
      </c>
      <c r="N959" s="6" t="str">
        <f>IFERROR(__xludf.DUMMYFUNCTION("""COMPUTED_VALUE"""),"technique")</f>
        <v>technique</v>
      </c>
      <c r="P959" s="6" t="str">
        <f>IFERROR(__xludf.DUMMYFUNCTION("""COMPUTED_VALUE"""),"threat")</f>
        <v>threat</v>
      </c>
      <c r="Q959" s="6" t="str">
        <f>IFERROR(__xludf.DUMMYFUNCTION("""COMPUTED_VALUE"""),"fight")</f>
        <v>fight</v>
      </c>
      <c r="S959" s="6" t="str">
        <f>IFERROR(__xludf.DUMMYFUNCTION("""COMPUTED_VALUE"""),"20th")</f>
        <v>20th</v>
      </c>
    </row>
    <row r="960">
      <c r="B960" s="6"/>
      <c r="D960" s="6"/>
      <c r="G960" s="6" t="str">
        <f>IFERROR(__xludf.DUMMYFUNCTION("""COMPUTED_VALUE"""),"slip")</f>
        <v>slip</v>
      </c>
      <c r="H960" s="6" t="str">
        <f>IFERROR(__xludf.DUMMYFUNCTION("""COMPUTED_VALUE"""),"devotion")</f>
        <v>devotion</v>
      </c>
      <c r="I960" s="6" t="str">
        <f>IFERROR(__xludf.DUMMYFUNCTION("""COMPUTED_VALUE"""),"torpedo")</f>
        <v>torpedo</v>
      </c>
      <c r="J960" s="6" t="str">
        <f>IFERROR(__xludf.DUMMYFUNCTION("""COMPUTED_VALUE"""),"corrupt")</f>
        <v>corrupt</v>
      </c>
      <c r="L960" s="6" t="str">
        <f>IFERROR(__xludf.DUMMYFUNCTION("""COMPUTED_VALUE"""),"yank")</f>
        <v>yank</v>
      </c>
      <c r="M960" s="6" t="str">
        <f>IFERROR(__xludf.DUMMYFUNCTION("""COMPUTED_VALUE"""),"landscape")</f>
        <v>landscape</v>
      </c>
      <c r="N960" s="6" t="str">
        <f>IFERROR(__xludf.DUMMYFUNCTION("""COMPUTED_VALUE"""),"suited")</f>
        <v>suited</v>
      </c>
      <c r="P960" s="6" t="str">
        <f>IFERROR(__xludf.DUMMYFUNCTION("""COMPUTED_VALUE"""),"struggle")</f>
        <v>struggle</v>
      </c>
      <c r="Q960" s="6" t="str">
        <f>IFERROR(__xludf.DUMMYFUNCTION("""COMPUTED_VALUE"""),"god")</f>
        <v>god</v>
      </c>
      <c r="S960" s="6" t="str">
        <f>IFERROR(__xludf.DUMMYFUNCTION("""COMPUTED_VALUE"""),"crimes")</f>
        <v>crimes</v>
      </c>
    </row>
    <row r="961">
      <c r="B961" s="6"/>
      <c r="D961" s="6"/>
      <c r="G961" s="6" t="str">
        <f>IFERROR(__xludf.DUMMYFUNCTION("""COMPUTED_VALUE"""),"tendency")</f>
        <v>tendency</v>
      </c>
      <c r="H961" s="6" t="str">
        <f>IFERROR(__xludf.DUMMYFUNCTION("""COMPUTED_VALUE"""),"access")</f>
        <v>access</v>
      </c>
      <c r="I961" s="6" t="str">
        <f>IFERROR(__xludf.DUMMYFUNCTION("""COMPUTED_VALUE"""),"confidence")</f>
        <v>confidence</v>
      </c>
      <c r="J961" s="6" t="str">
        <f>IFERROR(__xludf.DUMMYFUNCTION("""COMPUTED_VALUE"""),"disguise")</f>
        <v>disguise</v>
      </c>
      <c r="L961" s="6">
        <f>IFERROR(__xludf.DUMMYFUNCTION("""COMPUTED_VALUE"""),2002.0)</f>
        <v>2002</v>
      </c>
      <c r="M961" s="6" t="str">
        <f>IFERROR(__xludf.DUMMYFUNCTION("""COMPUTED_VALUE"""),"exercise")</f>
        <v>exercise</v>
      </c>
      <c r="N961" s="6" t="str">
        <f>IFERROR(__xludf.DUMMYFUNCTION("""COMPUTED_VALUE"""),"daring")</f>
        <v>daring</v>
      </c>
      <c r="P961" s="6" t="str">
        <f>IFERROR(__xludf.DUMMYFUNCTION("""COMPUTED_VALUE"""),"critical")</f>
        <v>critical</v>
      </c>
      <c r="Q961" s="6" t="str">
        <f>IFERROR(__xludf.DUMMYFUNCTION("""COMPUTED_VALUE"""),"memorial")</f>
        <v>memorial</v>
      </c>
      <c r="S961" s="6" t="str">
        <f>IFERROR(__xludf.DUMMYFUNCTION("""COMPUTED_VALUE"""),"fan")</f>
        <v>fan</v>
      </c>
    </row>
    <row r="962">
      <c r="B962" s="6"/>
      <c r="D962" s="6"/>
      <c r="G962" s="6" t="str">
        <f>IFERROR(__xludf.DUMMYFUNCTION("""COMPUTED_VALUE"""),"lectures")</f>
        <v>lectures</v>
      </c>
      <c r="H962" s="6" t="str">
        <f>IFERROR(__xludf.DUMMYFUNCTION("""COMPUTED_VALUE"""),"godfrey")</f>
        <v>godfrey</v>
      </c>
      <c r="I962" s="6" t="str">
        <f>IFERROR(__xludf.DUMMYFUNCTION("""COMPUTED_VALUE"""),"iran")</f>
        <v>iran</v>
      </c>
      <c r="J962" s="6" t="str">
        <f>IFERROR(__xludf.DUMMYFUNCTION("""COMPUTED_VALUE"""),"settles")</f>
        <v>settles</v>
      </c>
      <c r="L962" s="6" t="str">
        <f>IFERROR(__xludf.DUMMYFUNCTION("""COMPUTED_VALUE"""),"traits")</f>
        <v>traits</v>
      </c>
      <c r="M962" s="6" t="str">
        <f>IFERROR(__xludf.DUMMYFUNCTION("""COMPUTED_VALUE"""),"fellow")</f>
        <v>fellow</v>
      </c>
      <c r="N962" s="6" t="str">
        <f>IFERROR(__xludf.DUMMYFUNCTION("""COMPUTED_VALUE"""),"endure")</f>
        <v>endure</v>
      </c>
      <c r="P962" s="6" t="str">
        <f>IFERROR(__xludf.DUMMYFUNCTION("""COMPUTED_VALUE"""),"convinced")</f>
        <v>convinced</v>
      </c>
      <c r="Q962" s="6" t="str">
        <f>IFERROR(__xludf.DUMMYFUNCTION("""COMPUTED_VALUE"""),"kramer")</f>
        <v>kramer</v>
      </c>
      <c r="S962" s="6" t="str">
        <f>IFERROR(__xludf.DUMMYFUNCTION("""COMPUTED_VALUE"""),"opportunity")</f>
        <v>opportunity</v>
      </c>
    </row>
    <row r="963">
      <c r="B963" s="6"/>
      <c r="D963" s="6"/>
      <c r="G963" s="6" t="str">
        <f>IFERROR(__xludf.DUMMYFUNCTION("""COMPUTED_VALUE"""),"terrorist")</f>
        <v>terrorist</v>
      </c>
      <c r="H963" s="6" t="str">
        <f>IFERROR(__xludf.DUMMYFUNCTION("""COMPUTED_VALUE"""),"slim")</f>
        <v>slim</v>
      </c>
      <c r="I963" s="6" t="str">
        <f>IFERROR(__xludf.DUMMYFUNCTION("""COMPUTED_VALUE"""),"golden")</f>
        <v>golden</v>
      </c>
      <c r="J963" s="6" t="str">
        <f>IFERROR(__xludf.DUMMYFUNCTION("""COMPUTED_VALUE"""),"compressed")</f>
        <v>compressed</v>
      </c>
      <c r="L963" s="6" t="str">
        <f>IFERROR(__xludf.DUMMYFUNCTION("""COMPUTED_VALUE"""),"redundant")</f>
        <v>redundant</v>
      </c>
      <c r="M963" s="6" t="str">
        <f>IFERROR(__xludf.DUMMYFUNCTION("""COMPUTED_VALUE"""),"tool")</f>
        <v>tool</v>
      </c>
      <c r="N963" s="6" t="str">
        <f>IFERROR(__xludf.DUMMYFUNCTION("""COMPUTED_VALUE"""),"indie")</f>
        <v>indie</v>
      </c>
      <c r="P963" s="6" t="str">
        <f>IFERROR(__xludf.DUMMYFUNCTION("""COMPUTED_VALUE"""),"lucky")</f>
        <v>lucky</v>
      </c>
      <c r="Q963" s="6" t="str">
        <f>IFERROR(__xludf.DUMMYFUNCTION("""COMPUTED_VALUE"""),"opaque")</f>
        <v>opaque</v>
      </c>
      <c r="S963" s="6" t="str">
        <f>IFERROR(__xludf.DUMMYFUNCTION("""COMPUTED_VALUE"""),"spin")</f>
        <v>spin</v>
      </c>
    </row>
    <row r="964">
      <c r="B964" s="6"/>
      <c r="D964" s="6"/>
      <c r="G964" s="6" t="str">
        <f>IFERROR(__xludf.DUMMYFUNCTION("""COMPUTED_VALUE"""),"gaze")</f>
        <v>gaze</v>
      </c>
      <c r="H964" s="6" t="str">
        <f>IFERROR(__xludf.DUMMYFUNCTION("""COMPUTED_VALUE"""),"zipper")</f>
        <v>zipper</v>
      </c>
      <c r="I964" s="6" t="str">
        <f>IFERROR(__xludf.DUMMYFUNCTION("""COMPUTED_VALUE"""),"appearing")</f>
        <v>appearing</v>
      </c>
      <c r="J964" s="6" t="str">
        <f>IFERROR(__xludf.DUMMYFUNCTION("""COMPUTED_VALUE"""),"profound")</f>
        <v>profound</v>
      </c>
      <c r="L964" s="6" t="str">
        <f>IFERROR(__xludf.DUMMYFUNCTION("""COMPUTED_VALUE"""),"fuse")</f>
        <v>fuse</v>
      </c>
      <c r="M964" s="6" t="str">
        <f>IFERROR(__xludf.DUMMYFUNCTION("""COMPUTED_VALUE"""),"valuable")</f>
        <v>valuable</v>
      </c>
      <c r="N964" s="6" t="str">
        <f>IFERROR(__xludf.DUMMYFUNCTION("""COMPUTED_VALUE"""),"crucial")</f>
        <v>crucial</v>
      </c>
      <c r="P964" s="6" t="str">
        <f>IFERROR(__xludf.DUMMYFUNCTION("""COMPUTED_VALUE"""),"eye")</f>
        <v>eye</v>
      </c>
      <c r="Q964" s="6" t="str">
        <f>IFERROR(__xludf.DUMMYFUNCTION("""COMPUTED_VALUE"""),"pair")</f>
        <v>pair</v>
      </c>
      <c r="S964" s="6" t="str">
        <f>IFERROR(__xludf.DUMMYFUNCTION("""COMPUTED_VALUE"""),"bags")</f>
        <v>bags</v>
      </c>
    </row>
    <row r="965">
      <c r="B965" s="6"/>
      <c r="D965" s="6"/>
      <c r="G965" s="6" t="str">
        <f>IFERROR(__xludf.DUMMYFUNCTION("""COMPUTED_VALUE"""),"hilary")</f>
        <v>hilary</v>
      </c>
      <c r="H965" s="6" t="str">
        <f>IFERROR(__xludf.DUMMYFUNCTION("""COMPUTED_VALUE"""),"journalism")</f>
        <v>journalism</v>
      </c>
      <c r="I965" s="6" t="str">
        <f>IFERROR(__xludf.DUMMYFUNCTION("""COMPUTED_VALUE"""),"award")</f>
        <v>award</v>
      </c>
      <c r="J965" s="6" t="str">
        <f>IFERROR(__xludf.DUMMYFUNCTION("""COMPUTED_VALUE"""),"catalyst")</f>
        <v>catalyst</v>
      </c>
      <c r="L965" s="6" t="str">
        <f>IFERROR(__xludf.DUMMYFUNCTION("""COMPUTED_VALUE"""),"core")</f>
        <v>core</v>
      </c>
      <c r="M965" s="6" t="str">
        <f>IFERROR(__xludf.DUMMYFUNCTION("""COMPUTED_VALUE"""),"map")</f>
        <v>map</v>
      </c>
      <c r="N965" s="6" t="str">
        <f>IFERROR(__xludf.DUMMYFUNCTION("""COMPUTED_VALUE"""),"feral")</f>
        <v>feral</v>
      </c>
      <c r="P965" s="6" t="str">
        <f>IFERROR(__xludf.DUMMYFUNCTION("""COMPUTED_VALUE"""),"shorts")</f>
        <v>shorts</v>
      </c>
      <c r="Q965" s="6" t="str">
        <f>IFERROR(__xludf.DUMMYFUNCTION("""COMPUTED_VALUE"""),"demons")</f>
        <v>demons</v>
      </c>
      <c r="S965" s="6" t="str">
        <f>IFERROR(__xludf.DUMMYFUNCTION("""COMPUTED_VALUE"""),"suit")</f>
        <v>suit</v>
      </c>
    </row>
    <row r="966">
      <c r="B966" s="6"/>
      <c r="D966" s="6"/>
      <c r="G966" s="6" t="str">
        <f>IFERROR(__xludf.DUMMYFUNCTION("""COMPUTED_VALUE"""),"birmingham")</f>
        <v>birmingham</v>
      </c>
      <c r="H966" s="6" t="str">
        <f>IFERROR(__xludf.DUMMYFUNCTION("""COMPUTED_VALUE"""),"threat")</f>
        <v>threat</v>
      </c>
      <c r="I966" s="6" t="str">
        <f>IFERROR(__xludf.DUMMYFUNCTION("""COMPUTED_VALUE"""),"napoleon")</f>
        <v>napoleon</v>
      </c>
      <c r="J966" s="6" t="str">
        <f>IFERROR(__xludf.DUMMYFUNCTION("""COMPUTED_VALUE"""),"restrictive")</f>
        <v>restrictive</v>
      </c>
      <c r="L966" s="6" t="str">
        <f>IFERROR(__xludf.DUMMYFUNCTION("""COMPUTED_VALUE"""),"competence")</f>
        <v>competence</v>
      </c>
      <c r="M966" s="6" t="str">
        <f>IFERROR(__xludf.DUMMYFUNCTION("""COMPUTED_VALUE"""),"images")</f>
        <v>images</v>
      </c>
      <c r="N966" s="6" t="str">
        <f>IFERROR(__xludf.DUMMYFUNCTION("""COMPUTED_VALUE"""),"deaths")</f>
        <v>deaths</v>
      </c>
      <c r="P966" s="6" t="str">
        <f>IFERROR(__xludf.DUMMYFUNCTION("""COMPUTED_VALUE"""),"deliver")</f>
        <v>deliver</v>
      </c>
      <c r="Q966" s="6" t="str">
        <f>IFERROR(__xludf.DUMMYFUNCTION("""COMPUTED_VALUE"""),"blank")</f>
        <v>blank</v>
      </c>
      <c r="S966" s="6" t="str">
        <f>IFERROR(__xludf.DUMMYFUNCTION("""COMPUTED_VALUE"""),"ordinary")</f>
        <v>ordinary</v>
      </c>
    </row>
    <row r="967">
      <c r="B967" s="6"/>
      <c r="D967" s="6"/>
      <c r="G967" s="6" t="str">
        <f>IFERROR(__xludf.DUMMYFUNCTION("""COMPUTED_VALUE"""),"rules")</f>
        <v>rules</v>
      </c>
      <c r="H967" s="6" t="str">
        <f>IFERROR(__xludf.DUMMYFUNCTION("""COMPUTED_VALUE"""),"expense")</f>
        <v>expense</v>
      </c>
      <c r="I967" s="6" t="str">
        <f>IFERROR(__xludf.DUMMYFUNCTION("""COMPUTED_VALUE"""),"chronicle")</f>
        <v>chronicle</v>
      </c>
      <c r="J967" s="6" t="str">
        <f>IFERROR(__xludf.DUMMYFUNCTION("""COMPUTED_VALUE"""),"dubious")</f>
        <v>dubious</v>
      </c>
      <c r="L967" s="6" t="str">
        <f>IFERROR(__xludf.DUMMYFUNCTION("""COMPUTED_VALUE"""),"demonstrate")</f>
        <v>demonstrate</v>
      </c>
      <c r="M967" s="6" t="str">
        <f>IFERROR(__xludf.DUMMYFUNCTION("""COMPUTED_VALUE"""),"extent")</f>
        <v>extent</v>
      </c>
      <c r="N967" s="6" t="str">
        <f>IFERROR(__xludf.DUMMYFUNCTION("""COMPUTED_VALUE"""),"intellectual")</f>
        <v>intellectual</v>
      </c>
      <c r="P967" s="6" t="str">
        <f>IFERROR(__xludf.DUMMYFUNCTION("""COMPUTED_VALUE"""),"figures")</f>
        <v>figures</v>
      </c>
      <c r="Q967" s="6" t="str">
        <f>IFERROR(__xludf.DUMMYFUNCTION("""COMPUTED_VALUE"""),"lark")</f>
        <v>lark</v>
      </c>
      <c r="S967" s="6" t="str">
        <f>IFERROR(__xludf.DUMMYFUNCTION("""COMPUTED_VALUE"""),"performing")</f>
        <v>performing</v>
      </c>
    </row>
    <row r="968">
      <c r="B968" s="6"/>
      <c r="D968" s="6"/>
      <c r="G968" s="6" t="str">
        <f>IFERROR(__xludf.DUMMYFUNCTION("""COMPUTED_VALUE"""),"sensitivity")</f>
        <v>sensitivity</v>
      </c>
      <c r="H968" s="6" t="str">
        <f>IFERROR(__xludf.DUMMYFUNCTION("""COMPUTED_VALUE"""),"nonsense")</f>
        <v>nonsense</v>
      </c>
      <c r="I968" s="6" t="str">
        <f>IFERROR(__xludf.DUMMYFUNCTION("""COMPUTED_VALUE"""),"parker")</f>
        <v>parker</v>
      </c>
      <c r="J968" s="6" t="str">
        <f>IFERROR(__xludf.DUMMYFUNCTION("""COMPUTED_VALUE"""),"several")</f>
        <v>several</v>
      </c>
      <c r="L968" s="6" t="str">
        <f>IFERROR(__xludf.DUMMYFUNCTION("""COMPUTED_VALUE"""),"drawn")</f>
        <v>drawn</v>
      </c>
      <c r="M968" s="6" t="str">
        <f>IFERROR(__xludf.DUMMYFUNCTION("""COMPUTED_VALUE"""),"units")</f>
        <v>units</v>
      </c>
      <c r="N968" s="6" t="str">
        <f>IFERROR(__xludf.DUMMYFUNCTION("""COMPUTED_VALUE"""),"rapid")</f>
        <v>rapid</v>
      </c>
      <c r="P968" s="6" t="str">
        <f>IFERROR(__xludf.DUMMYFUNCTION("""COMPUTED_VALUE"""),"composition")</f>
        <v>composition</v>
      </c>
      <c r="Q968" s="6" t="str">
        <f>IFERROR(__xludf.DUMMYFUNCTION("""COMPUTED_VALUE"""),"pipeline")</f>
        <v>pipeline</v>
      </c>
      <c r="S968" s="6" t="str">
        <f>IFERROR(__xludf.DUMMYFUNCTION("""COMPUTED_VALUE"""),"kick")</f>
        <v>kick</v>
      </c>
    </row>
    <row r="969">
      <c r="B969" s="6"/>
      <c r="D969" s="6"/>
      <c r="G969" s="6" t="str">
        <f>IFERROR(__xludf.DUMMYFUNCTION("""COMPUTED_VALUE"""),"israel")</f>
        <v>israel</v>
      </c>
      <c r="H969" s="6" t="str">
        <f>IFERROR(__xludf.DUMMYFUNCTION("""COMPUTED_VALUE"""),"snaps")</f>
        <v>snaps</v>
      </c>
      <c r="I969" s="6" t="str">
        <f>IFERROR(__xludf.DUMMYFUNCTION("""COMPUTED_VALUE"""),"diamond")</f>
        <v>diamond</v>
      </c>
      <c r="J969" s="6" t="str">
        <f>IFERROR(__xludf.DUMMYFUNCTION("""COMPUTED_VALUE"""),"secretary")</f>
        <v>secretary</v>
      </c>
      <c r="L969" s="6" t="str">
        <f>IFERROR(__xludf.DUMMYFUNCTION("""COMPUTED_VALUE"""),"wilson")</f>
        <v>wilson</v>
      </c>
      <c r="M969" s="6" t="str">
        <f>IFERROR(__xludf.DUMMYFUNCTION("""COMPUTED_VALUE"""),"scream")</f>
        <v>scream</v>
      </c>
      <c r="N969" s="6" t="str">
        <f>IFERROR(__xludf.DUMMYFUNCTION("""COMPUTED_VALUE"""),"odds")</f>
        <v>odds</v>
      </c>
      <c r="P969" s="6" t="str">
        <f>IFERROR(__xludf.DUMMYFUNCTION("""COMPUTED_VALUE"""),"viewed")</f>
        <v>viewed</v>
      </c>
      <c r="Q969" s="6" t="str">
        <f>IFERROR(__xludf.DUMMYFUNCTION("""COMPUTED_VALUE"""),"hitch")</f>
        <v>hitch</v>
      </c>
      <c r="S969" s="6" t="str">
        <f>IFERROR(__xludf.DUMMYFUNCTION("""COMPUTED_VALUE"""),"fisher")</f>
        <v>fisher</v>
      </c>
    </row>
    <row r="970">
      <c r="B970" s="6"/>
      <c r="D970" s="6"/>
      <c r="G970" s="6" t="str">
        <f>IFERROR(__xludf.DUMMYFUNCTION("""COMPUTED_VALUE"""),"accountant")</f>
        <v>accountant</v>
      </c>
      <c r="H970" s="6" t="str">
        <f>IFERROR(__xludf.DUMMYFUNCTION("""COMPUTED_VALUE"""),"critical")</f>
        <v>critical</v>
      </c>
      <c r="I970" s="6" t="str">
        <f>IFERROR(__xludf.DUMMYFUNCTION("""COMPUTED_VALUE"""),"lecture")</f>
        <v>lecture</v>
      </c>
      <c r="J970" s="6" t="str">
        <f>IFERROR(__xludf.DUMMYFUNCTION("""COMPUTED_VALUE"""),"stepmother")</f>
        <v>stepmother</v>
      </c>
      <c r="L970" s="6" t="str">
        <f>IFERROR(__xludf.DUMMYFUNCTION("""COMPUTED_VALUE"""),"slack")</f>
        <v>slack</v>
      </c>
      <c r="M970" s="6" t="str">
        <f>IFERROR(__xludf.DUMMYFUNCTION("""COMPUTED_VALUE"""),"sink")</f>
        <v>sink</v>
      </c>
      <c r="N970" s="6" t="str">
        <f>IFERROR(__xludf.DUMMYFUNCTION("""COMPUTED_VALUE"""),"conservative")</f>
        <v>conservative</v>
      </c>
      <c r="P970" s="6" t="str">
        <f>IFERROR(__xludf.DUMMYFUNCTION("""COMPUTED_VALUE"""),"angle")</f>
        <v>angle</v>
      </c>
      <c r="Q970" s="6" t="str">
        <f>IFERROR(__xludf.DUMMYFUNCTION("""COMPUTED_VALUE"""),"abstract")</f>
        <v>abstract</v>
      </c>
      <c r="S970" s="6" t="str">
        <f>IFERROR(__xludf.DUMMYFUNCTION("""COMPUTED_VALUE"""),"focus")</f>
        <v>focus</v>
      </c>
    </row>
    <row r="971">
      <c r="B971" s="6"/>
      <c r="D971" s="6"/>
      <c r="G971" s="6" t="str">
        <f>IFERROR(__xludf.DUMMYFUNCTION("""COMPUTED_VALUE"""),"michel")</f>
        <v>michel</v>
      </c>
      <c r="H971" s="6" t="str">
        <f>IFERROR(__xludf.DUMMYFUNCTION("""COMPUTED_VALUE"""),"convinced")</f>
        <v>convinced</v>
      </c>
      <c r="I971" s="6" t="str">
        <f>IFERROR(__xludf.DUMMYFUNCTION("""COMPUTED_VALUE"""),"integrated")</f>
        <v>integrated</v>
      </c>
      <c r="J971" s="6" t="str">
        <f>IFERROR(__xludf.DUMMYFUNCTION("""COMPUTED_VALUE"""),"boat")</f>
        <v>boat</v>
      </c>
      <c r="L971" s="6" t="str">
        <f>IFERROR(__xludf.DUMMYFUNCTION("""COMPUTED_VALUE"""),"moonlight")</f>
        <v>moonlight</v>
      </c>
      <c r="M971" s="6" t="str">
        <f>IFERROR(__xludf.DUMMYFUNCTION("""COMPUTED_VALUE"""),"scale")</f>
        <v>scale</v>
      </c>
      <c r="N971" s="6" t="str">
        <f>IFERROR(__xludf.DUMMYFUNCTION("""COMPUTED_VALUE"""),"notion")</f>
        <v>notion</v>
      </c>
      <c r="P971" s="6" t="str">
        <f>IFERROR(__xludf.DUMMYFUNCTION("""COMPUTED_VALUE"""),"hand")</f>
        <v>hand</v>
      </c>
      <c r="Q971" s="6" t="str">
        <f>IFERROR(__xludf.DUMMYFUNCTION("""COMPUTED_VALUE"""),"diaries")</f>
        <v>diaries</v>
      </c>
      <c r="S971" s="6" t="str">
        <f>IFERROR(__xludf.DUMMYFUNCTION("""COMPUTED_VALUE"""),"occasionally")</f>
        <v>occasionally</v>
      </c>
    </row>
    <row r="972">
      <c r="B972" s="6"/>
      <c r="D972" s="6"/>
      <c r="G972" s="6" t="str">
        <f>IFERROR(__xludf.DUMMYFUNCTION("""COMPUTED_VALUE"""),"probe")</f>
        <v>probe</v>
      </c>
      <c r="H972" s="6" t="str">
        <f>IFERROR(__xludf.DUMMYFUNCTION("""COMPUTED_VALUE"""),"eye")</f>
        <v>eye</v>
      </c>
      <c r="I972" s="6" t="str">
        <f>IFERROR(__xludf.DUMMYFUNCTION("""COMPUTED_VALUE"""),"store")</f>
        <v>store</v>
      </c>
      <c r="J972" s="6" t="str">
        <f>IFERROR(__xludf.DUMMYFUNCTION("""COMPUTED_VALUE"""),"incarnation")</f>
        <v>incarnation</v>
      </c>
      <c r="L972" s="6" t="str">
        <f>IFERROR(__xludf.DUMMYFUNCTION("""COMPUTED_VALUE"""),"intelligent")</f>
        <v>intelligent</v>
      </c>
      <c r="M972" s="6" t="str">
        <f>IFERROR(__xludf.DUMMYFUNCTION("""COMPUTED_VALUE"""),"boat")</f>
        <v>boat</v>
      </c>
      <c r="N972" s="6" t="str">
        <f>IFERROR(__xludf.DUMMYFUNCTION("""COMPUTED_VALUE"""),"sketches")</f>
        <v>sketches</v>
      </c>
      <c r="P972" s="6" t="str">
        <f>IFERROR(__xludf.DUMMYFUNCTION("""COMPUTED_VALUE"""),"mature")</f>
        <v>mature</v>
      </c>
      <c r="Q972" s="6" t="str">
        <f>IFERROR(__xludf.DUMMYFUNCTION("""COMPUTED_VALUE"""),"courtship")</f>
        <v>courtship</v>
      </c>
      <c r="S972" s="6" t="str">
        <f>IFERROR(__xludf.DUMMYFUNCTION("""COMPUTED_VALUE"""),"let")</f>
        <v>let</v>
      </c>
    </row>
    <row r="973">
      <c r="B973" s="6"/>
      <c r="D973" s="6"/>
      <c r="G973" s="6" t="str">
        <f>IFERROR(__xludf.DUMMYFUNCTION("""COMPUTED_VALUE"""),"aspirations")</f>
        <v>aspirations</v>
      </c>
      <c r="H973" s="6" t="str">
        <f>IFERROR(__xludf.DUMMYFUNCTION("""COMPUTED_VALUE"""),"adherents")</f>
        <v>adherents</v>
      </c>
      <c r="I973" s="6" t="str">
        <f>IFERROR(__xludf.DUMMYFUNCTION("""COMPUTED_VALUE"""),"characterized")</f>
        <v>characterized</v>
      </c>
      <c r="J973" s="6" t="str">
        <f>IFERROR(__xludf.DUMMYFUNCTION("""COMPUTED_VALUE"""),"inevitable")</f>
        <v>inevitable</v>
      </c>
      <c r="L973" s="6" t="str">
        <f>IFERROR(__xludf.DUMMYFUNCTION("""COMPUTED_VALUE"""),"appeals")</f>
        <v>appeals</v>
      </c>
      <c r="M973" s="6" t="str">
        <f>IFERROR(__xludf.DUMMYFUNCTION("""COMPUTED_VALUE"""),"admission")</f>
        <v>admission</v>
      </c>
      <c r="N973" s="6" t="str">
        <f>IFERROR(__xludf.DUMMYFUNCTION("""COMPUTED_VALUE"""),"ralph")</f>
        <v>ralph</v>
      </c>
      <c r="P973" s="6" t="str">
        <f>IFERROR(__xludf.DUMMYFUNCTION("""COMPUTED_VALUE"""),"commerce")</f>
        <v>commerce</v>
      </c>
      <c r="Q973" s="6" t="str">
        <f>IFERROR(__xludf.DUMMYFUNCTION("""COMPUTED_VALUE"""),"reel")</f>
        <v>reel</v>
      </c>
      <c r="S973" s="6" t="str">
        <f>IFERROR(__xludf.DUMMYFUNCTION("""COMPUTED_VALUE"""),"hair")</f>
        <v>hair</v>
      </c>
    </row>
    <row r="974">
      <c r="B974" s="6"/>
      <c r="D974" s="6"/>
      <c r="G974" s="6" t="str">
        <f>IFERROR(__xludf.DUMMYFUNCTION("""COMPUTED_VALUE"""),"charms")</f>
        <v>charms</v>
      </c>
      <c r="H974" s="6" t="str">
        <f>IFERROR(__xludf.DUMMYFUNCTION("""COMPUTED_VALUE"""),"trombone")</f>
        <v>trombone</v>
      </c>
      <c r="I974" s="6" t="str">
        <f>IFERROR(__xludf.DUMMYFUNCTION("""COMPUTED_VALUE"""),"post")</f>
        <v>post</v>
      </c>
      <c r="J974" s="6" t="str">
        <f>IFERROR(__xludf.DUMMYFUNCTION("""COMPUTED_VALUE"""),"meets")</f>
        <v>meets</v>
      </c>
      <c r="L974" s="6" t="str">
        <f>IFERROR(__xludf.DUMMYFUNCTION("""COMPUTED_VALUE"""),"pointless")</f>
        <v>pointless</v>
      </c>
      <c r="M974" s="6" t="str">
        <f>IFERROR(__xludf.DUMMYFUNCTION("""COMPUTED_VALUE"""),"accurate")</f>
        <v>accurate</v>
      </c>
      <c r="N974" s="6" t="str">
        <f>IFERROR(__xludf.DUMMYFUNCTION("""COMPUTED_VALUE"""),"woven")</f>
        <v>woven</v>
      </c>
      <c r="P974" s="6" t="str">
        <f>IFERROR(__xludf.DUMMYFUNCTION("""COMPUTED_VALUE"""),"older")</f>
        <v>older</v>
      </c>
      <c r="Q974" s="6" t="str">
        <f>IFERROR(__xludf.DUMMYFUNCTION("""COMPUTED_VALUE"""),"yale")</f>
        <v>yale</v>
      </c>
      <c r="S974" s="6" t="str">
        <f>IFERROR(__xludf.DUMMYFUNCTION("""COMPUTED_VALUE"""),"slightly")</f>
        <v>slightly</v>
      </c>
    </row>
    <row r="975">
      <c r="B975" s="6"/>
      <c r="D975" s="6"/>
      <c r="G975" s="6" t="str">
        <f>IFERROR(__xludf.DUMMYFUNCTION("""COMPUTED_VALUE"""),"gay")</f>
        <v>gay</v>
      </c>
      <c r="H975" s="6" t="str">
        <f>IFERROR(__xludf.DUMMYFUNCTION("""COMPUTED_VALUE"""),"possess")</f>
        <v>possess</v>
      </c>
      <c r="I975" s="6" t="str">
        <f>IFERROR(__xludf.DUMMYFUNCTION("""COMPUTED_VALUE"""),"formed")</f>
        <v>formed</v>
      </c>
      <c r="J975" s="6" t="str">
        <f>IFERROR(__xludf.DUMMYFUNCTION("""COMPUTED_VALUE"""),"indians")</f>
        <v>indians</v>
      </c>
      <c r="L975" s="6" t="str">
        <f>IFERROR(__xludf.DUMMYFUNCTION("""COMPUTED_VALUE"""),"ambiguous")</f>
        <v>ambiguous</v>
      </c>
      <c r="M975" s="6">
        <f>IFERROR(__xludf.DUMMYFUNCTION("""COMPUTED_VALUE"""),0.0)</f>
        <v>0</v>
      </c>
      <c r="N975" s="6" t="str">
        <f>IFERROR(__xludf.DUMMYFUNCTION("""COMPUTED_VALUE"""),"abroad")</f>
        <v>abroad</v>
      </c>
      <c r="P975" s="6" t="str">
        <f>IFERROR(__xludf.DUMMYFUNCTION("""COMPUTED_VALUE"""),"consciousness")</f>
        <v>consciousness</v>
      </c>
      <c r="Q975" s="6" t="str">
        <f>IFERROR(__xludf.DUMMYFUNCTION("""COMPUTED_VALUE"""),"twisted")</f>
        <v>twisted</v>
      </c>
      <c r="S975" s="6" t="str">
        <f>IFERROR(__xludf.DUMMYFUNCTION("""COMPUTED_VALUE"""),"teacher")</f>
        <v>teacher</v>
      </c>
    </row>
    <row r="976">
      <c r="B976" s="6"/>
      <c r="D976" s="6"/>
      <c r="G976" s="6" t="str">
        <f>IFERROR(__xludf.DUMMYFUNCTION("""COMPUTED_VALUE"""),"conservative")</f>
        <v>conservative</v>
      </c>
      <c r="H976" s="6" t="str">
        <f>IFERROR(__xludf.DUMMYFUNCTION("""COMPUTED_VALUE"""),"embarrassment")</f>
        <v>embarrassment</v>
      </c>
      <c r="I976" s="6" t="str">
        <f>IFERROR(__xludf.DUMMYFUNCTION("""COMPUTED_VALUE"""),"signals")</f>
        <v>signals</v>
      </c>
      <c r="J976" s="6" t="str">
        <f>IFERROR(__xludf.DUMMYFUNCTION("""COMPUTED_VALUE"""),"distinguishing")</f>
        <v>distinguishing</v>
      </c>
      <c r="L976" s="6" t="str">
        <f>IFERROR(__xludf.DUMMYFUNCTION("""COMPUTED_VALUE"""),"grave")</f>
        <v>grave</v>
      </c>
      <c r="M976" s="6" t="str">
        <f>IFERROR(__xludf.DUMMYFUNCTION("""COMPUTED_VALUE"""),"trailer")</f>
        <v>trailer</v>
      </c>
      <c r="N976" s="6" t="str">
        <f>IFERROR(__xludf.DUMMYFUNCTION("""COMPUTED_VALUE"""),"sprung")</f>
        <v>sprung</v>
      </c>
      <c r="P976" s="6" t="str">
        <f>IFERROR(__xludf.DUMMYFUNCTION("""COMPUTED_VALUE"""),"accident")</f>
        <v>accident</v>
      </c>
      <c r="Q976" s="6" t="str">
        <f>IFERROR(__xludf.DUMMYFUNCTION("""COMPUTED_VALUE"""),"bond")</f>
        <v>bond</v>
      </c>
      <c r="S976" s="6" t="str">
        <f>IFERROR(__xludf.DUMMYFUNCTION("""COMPUTED_VALUE"""),"trick")</f>
        <v>trick</v>
      </c>
    </row>
    <row r="977">
      <c r="B977" s="6"/>
      <c r="D977" s="6"/>
      <c r="G977" s="6" t="str">
        <f>IFERROR(__xludf.DUMMYFUNCTION("""COMPUTED_VALUE"""),"privy")</f>
        <v>privy</v>
      </c>
      <c r="H977" s="6" t="str">
        <f>IFERROR(__xludf.DUMMYFUNCTION("""COMPUTED_VALUE"""),"strained")</f>
        <v>strained</v>
      </c>
      <c r="I977" s="6" t="str">
        <f>IFERROR(__xludf.DUMMYFUNCTION("""COMPUTED_VALUE"""),"worlds")</f>
        <v>worlds</v>
      </c>
      <c r="J977" s="6" t="str">
        <f>IFERROR(__xludf.DUMMYFUNCTION("""COMPUTED_VALUE"""),"wallace")</f>
        <v>wallace</v>
      </c>
      <c r="L977" s="6" t="str">
        <f>IFERROR(__xludf.DUMMYFUNCTION("""COMPUTED_VALUE"""),"confined")</f>
        <v>confined</v>
      </c>
      <c r="M977" s="6" t="str">
        <f>IFERROR(__xludf.DUMMYFUNCTION("""COMPUTED_VALUE"""),"employment")</f>
        <v>employment</v>
      </c>
      <c r="N977" s="6" t="str">
        <f>IFERROR(__xludf.DUMMYFUNCTION("""COMPUTED_VALUE"""),"affected")</f>
        <v>affected</v>
      </c>
      <c r="P977" s="6" t="str">
        <f>IFERROR(__xludf.DUMMYFUNCTION("""COMPUTED_VALUE"""),"naturally")</f>
        <v>naturally</v>
      </c>
      <c r="Q977" s="6" t="str">
        <f>IFERROR(__xludf.DUMMYFUNCTION("""COMPUTED_VALUE"""),"constant")</f>
        <v>constant</v>
      </c>
      <c r="S977" s="6" t="str">
        <f>IFERROR(__xludf.DUMMYFUNCTION("""COMPUTED_VALUE"""),"increasingly")</f>
        <v>increasingly</v>
      </c>
    </row>
    <row r="978">
      <c r="B978" s="6"/>
      <c r="D978" s="6"/>
      <c r="G978" s="6" t="str">
        <f>IFERROR(__xludf.DUMMYFUNCTION("""COMPUTED_VALUE"""),"fool")</f>
        <v>fool</v>
      </c>
      <c r="H978" s="6" t="str">
        <f>IFERROR(__xludf.DUMMYFUNCTION("""COMPUTED_VALUE"""),"imaginative")</f>
        <v>imaginative</v>
      </c>
      <c r="I978" s="6" t="str">
        <f>IFERROR(__xludf.DUMMYFUNCTION("""COMPUTED_VALUE"""),"hiding")</f>
        <v>hiding</v>
      </c>
      <c r="J978" s="6" t="str">
        <f>IFERROR(__xludf.DUMMYFUNCTION("""COMPUTED_VALUE"""),"transparency")</f>
        <v>transparency</v>
      </c>
      <c r="L978" s="6" t="str">
        <f>IFERROR(__xludf.DUMMYFUNCTION("""COMPUTED_VALUE"""),"spectacle")</f>
        <v>spectacle</v>
      </c>
      <c r="M978" s="6" t="str">
        <f>IFERROR(__xludf.DUMMYFUNCTION("""COMPUTED_VALUE"""),"valid")</f>
        <v>valid</v>
      </c>
      <c r="N978" s="6" t="str">
        <f>IFERROR(__xludf.DUMMYFUNCTION("""COMPUTED_VALUE"""),"ambitions")</f>
        <v>ambitions</v>
      </c>
      <c r="P978" s="6" t="str">
        <f>IFERROR(__xludf.DUMMYFUNCTION("""COMPUTED_VALUE"""),"siege")</f>
        <v>siege</v>
      </c>
      <c r="Q978" s="6" t="str">
        <f>IFERROR(__xludf.DUMMYFUNCTION("""COMPUTED_VALUE"""),"leads")</f>
        <v>leads</v>
      </c>
      <c r="S978" s="6" t="str">
        <f>IFERROR(__xludf.DUMMYFUNCTION("""COMPUTED_VALUE"""),"served")</f>
        <v>served</v>
      </c>
    </row>
    <row r="979">
      <c r="B979" s="6"/>
      <c r="D979" s="6"/>
      <c r="G979" s="6" t="str">
        <f>IFERROR(__xludf.DUMMYFUNCTION("""COMPUTED_VALUE"""),"kenneth")</f>
        <v>kenneth</v>
      </c>
      <c r="H979" s="6" t="str">
        <f>IFERROR(__xludf.DUMMYFUNCTION("""COMPUTED_VALUE"""),"digest")</f>
        <v>digest</v>
      </c>
      <c r="I979" s="6">
        <f>IFERROR(__xludf.DUMMYFUNCTION("""COMPUTED_VALUE"""),1958.0)</f>
        <v>1958</v>
      </c>
      <c r="J979" s="6" t="str">
        <f>IFERROR(__xludf.DUMMYFUNCTION("""COMPUTED_VALUE"""),"hampered")</f>
        <v>hampered</v>
      </c>
      <c r="L979" s="6" t="str">
        <f>IFERROR(__xludf.DUMMYFUNCTION("""COMPUTED_VALUE"""),"fleeting")</f>
        <v>fleeting</v>
      </c>
      <c r="M979" s="6" t="str">
        <f>IFERROR(__xludf.DUMMYFUNCTION("""COMPUTED_VALUE"""),"larry")</f>
        <v>larry</v>
      </c>
      <c r="N979" s="6" t="str">
        <f>IFERROR(__xludf.DUMMYFUNCTION("""COMPUTED_VALUE"""),"majestic")</f>
        <v>majestic</v>
      </c>
      <c r="P979" s="6" t="str">
        <f>IFERROR(__xludf.DUMMYFUNCTION("""COMPUTED_VALUE"""),"gravity")</f>
        <v>gravity</v>
      </c>
      <c r="Q979" s="6" t="str">
        <f>IFERROR(__xludf.DUMMYFUNCTION("""COMPUTED_VALUE"""),"identification")</f>
        <v>identification</v>
      </c>
      <c r="S979" s="6" t="str">
        <f>IFERROR(__xludf.DUMMYFUNCTION("""COMPUTED_VALUE"""),"usually")</f>
        <v>usually</v>
      </c>
    </row>
    <row r="980">
      <c r="B980" s="6"/>
      <c r="D980" s="6"/>
      <c r="G980" s="6" t="str">
        <f>IFERROR(__xludf.DUMMYFUNCTION("""COMPUTED_VALUE"""),"stein")</f>
        <v>stein</v>
      </c>
      <c r="H980" s="6" t="str">
        <f>IFERROR(__xludf.DUMMYFUNCTION("""COMPUTED_VALUE"""),"composition")</f>
        <v>composition</v>
      </c>
      <c r="I980" s="6" t="str">
        <f>IFERROR(__xludf.DUMMYFUNCTION("""COMPUTED_VALUE"""),"doctorate")</f>
        <v>doctorate</v>
      </c>
      <c r="J980" s="6" t="str">
        <f>IFERROR(__xludf.DUMMYFUNCTION("""COMPUTED_VALUE"""),"notion")</f>
        <v>notion</v>
      </c>
      <c r="L980" s="6" t="str">
        <f>IFERROR(__xludf.DUMMYFUNCTION("""COMPUTED_VALUE"""),"generation")</f>
        <v>generation</v>
      </c>
      <c r="M980" s="6" t="str">
        <f>IFERROR(__xludf.DUMMYFUNCTION("""COMPUTED_VALUE"""),"widely")</f>
        <v>widely</v>
      </c>
      <c r="N980" s="6" t="str">
        <f>IFERROR(__xludf.DUMMYFUNCTION("""COMPUTED_VALUE"""),"jacques")</f>
        <v>jacques</v>
      </c>
      <c r="P980" s="6" t="str">
        <f>IFERROR(__xludf.DUMMYFUNCTION("""COMPUTED_VALUE"""),"popular")</f>
        <v>popular</v>
      </c>
      <c r="Q980" s="6" t="str">
        <f>IFERROR(__xludf.DUMMYFUNCTION("""COMPUTED_VALUE"""),"built")</f>
        <v>built</v>
      </c>
      <c r="S980" s="6" t="str">
        <f>IFERROR(__xludf.DUMMYFUNCTION("""COMPUTED_VALUE"""),"five")</f>
        <v>five</v>
      </c>
    </row>
    <row r="981">
      <c r="B981" s="6"/>
      <c r="D981" s="6"/>
      <c r="G981" s="6" t="str">
        <f>IFERROR(__xludf.DUMMYFUNCTION("""COMPUTED_VALUE"""),"pollution")</f>
        <v>pollution</v>
      </c>
      <c r="H981" s="6" t="str">
        <f>IFERROR(__xludf.DUMMYFUNCTION("""COMPUTED_VALUE"""),"somber")</f>
        <v>somber</v>
      </c>
      <c r="I981" s="6" t="str">
        <f>IFERROR(__xludf.DUMMYFUNCTION("""COMPUTED_VALUE"""),"discovery")</f>
        <v>discovery</v>
      </c>
      <c r="J981" s="6" t="str">
        <f>IFERROR(__xludf.DUMMYFUNCTION("""COMPUTED_VALUE"""),"possesses")</f>
        <v>possesses</v>
      </c>
      <c r="L981" s="6" t="str">
        <f>IFERROR(__xludf.DUMMYFUNCTION("""COMPUTED_VALUE"""),"sentimental")</f>
        <v>sentimental</v>
      </c>
      <c r="M981" s="6" t="str">
        <f>IFERROR(__xludf.DUMMYFUNCTION("""COMPUTED_VALUE"""),"identification")</f>
        <v>identification</v>
      </c>
      <c r="N981" s="6" t="str">
        <f>IFERROR(__xludf.DUMMYFUNCTION("""COMPUTED_VALUE"""),"historical")</f>
        <v>historical</v>
      </c>
      <c r="P981" s="6" t="str">
        <f>IFERROR(__xludf.DUMMYFUNCTION("""COMPUTED_VALUE"""),"neil")</f>
        <v>neil</v>
      </c>
      <c r="Q981" s="6" t="str">
        <f>IFERROR(__xludf.DUMMYFUNCTION("""COMPUTED_VALUE"""),"hotels")</f>
        <v>hotels</v>
      </c>
      <c r="S981" s="6" t="str">
        <f>IFERROR(__xludf.DUMMYFUNCTION("""COMPUTED_VALUE"""),"worked")</f>
        <v>worked</v>
      </c>
    </row>
    <row r="982">
      <c r="B982" s="6"/>
      <c r="D982" s="6"/>
      <c r="G982" s="6" t="str">
        <f>IFERROR(__xludf.DUMMYFUNCTION("""COMPUTED_VALUE"""),"famous")</f>
        <v>famous</v>
      </c>
      <c r="H982" s="6" t="str">
        <f>IFERROR(__xludf.DUMMYFUNCTION("""COMPUTED_VALUE"""),"credible")</f>
        <v>credible</v>
      </c>
      <c r="I982" s="6" t="str">
        <f>IFERROR(__xludf.DUMMYFUNCTION("""COMPUTED_VALUE"""),"effectively")</f>
        <v>effectively</v>
      </c>
      <c r="J982" s="6" t="str">
        <f>IFERROR(__xludf.DUMMYFUNCTION("""COMPUTED_VALUE"""),"proficiency")</f>
        <v>proficiency</v>
      </c>
      <c r="L982" s="6" t="str">
        <f>IFERROR(__xludf.DUMMYFUNCTION("""COMPUTED_VALUE"""),"reside")</f>
        <v>reside</v>
      </c>
      <c r="M982" s="6" t="str">
        <f>IFERROR(__xludf.DUMMYFUNCTION("""COMPUTED_VALUE"""),"effect")</f>
        <v>effect</v>
      </c>
      <c r="N982" s="6" t="str">
        <f>IFERROR(__xludf.DUMMYFUNCTION("""COMPUTED_VALUE"""),"deeper")</f>
        <v>deeper</v>
      </c>
      <c r="P982" s="6" t="str">
        <f>IFERROR(__xludf.DUMMYFUNCTION("""COMPUTED_VALUE"""),"delivery")</f>
        <v>delivery</v>
      </c>
      <c r="Q982" s="6" t="str">
        <f>IFERROR(__xludf.DUMMYFUNCTION("""COMPUTED_VALUE"""),"retaining")</f>
        <v>retaining</v>
      </c>
      <c r="S982" s="6" t="str">
        <f>IFERROR(__xludf.DUMMYFUNCTION("""COMPUTED_VALUE"""),"seconds")</f>
        <v>seconds</v>
      </c>
    </row>
    <row r="983">
      <c r="B983" s="6"/>
      <c r="D983" s="6"/>
      <c r="G983" s="6" t="str">
        <f>IFERROR(__xludf.DUMMYFUNCTION("""COMPUTED_VALUE"""),"intensely")</f>
        <v>intensely</v>
      </c>
      <c r="H983" s="6" t="str">
        <f>IFERROR(__xludf.DUMMYFUNCTION("""COMPUTED_VALUE"""),"mature")</f>
        <v>mature</v>
      </c>
      <c r="I983" s="6" t="str">
        <f>IFERROR(__xludf.DUMMYFUNCTION("""COMPUTED_VALUE"""),"concentration")</f>
        <v>concentration</v>
      </c>
      <c r="J983" s="6" t="str">
        <f>IFERROR(__xludf.DUMMYFUNCTION("""COMPUTED_VALUE"""),"crucial")</f>
        <v>crucial</v>
      </c>
      <c r="L983" s="6" t="str">
        <f>IFERROR(__xludf.DUMMYFUNCTION("""COMPUTED_VALUE"""),"timeless")</f>
        <v>timeless</v>
      </c>
      <c r="M983" s="6" t="str">
        <f>IFERROR(__xludf.DUMMYFUNCTION("""COMPUTED_VALUE"""),"considered")</f>
        <v>considered</v>
      </c>
      <c r="N983" s="6" t="str">
        <f>IFERROR(__xludf.DUMMYFUNCTION("""COMPUTED_VALUE"""),"sensual")</f>
        <v>sensual</v>
      </c>
      <c r="P983" s="6" t="str">
        <f>IFERROR(__xludf.DUMMYFUNCTION("""COMPUTED_VALUE"""),"christopher")</f>
        <v>christopher</v>
      </c>
      <c r="Q983" s="6" t="str">
        <f>IFERROR(__xludf.DUMMYFUNCTION("""COMPUTED_VALUE"""),"mainstream")</f>
        <v>mainstream</v>
      </c>
      <c r="S983" s="6" t="str">
        <f>IFERROR(__xludf.DUMMYFUNCTION("""COMPUTED_VALUE"""),"phrase")</f>
        <v>phrase</v>
      </c>
    </row>
    <row r="984">
      <c r="B984" s="6"/>
      <c r="D984" s="6"/>
      <c r="G984" s="6" t="str">
        <f>IFERROR(__xludf.DUMMYFUNCTION("""COMPUTED_VALUE"""),"object")</f>
        <v>object</v>
      </c>
      <c r="H984" s="6" t="str">
        <f>IFERROR(__xludf.DUMMYFUNCTION("""COMPUTED_VALUE"""),"ensuing")</f>
        <v>ensuing</v>
      </c>
      <c r="I984" s="6" t="str">
        <f>IFERROR(__xludf.DUMMYFUNCTION("""COMPUTED_VALUE"""),"architect")</f>
        <v>architect</v>
      </c>
      <c r="J984" s="6" t="str">
        <f>IFERROR(__xludf.DUMMYFUNCTION("""COMPUTED_VALUE"""),"immature")</f>
        <v>immature</v>
      </c>
      <c r="L984" s="6" t="str">
        <f>IFERROR(__xludf.DUMMYFUNCTION("""COMPUTED_VALUE"""),"hazy")</f>
        <v>hazy</v>
      </c>
      <c r="M984" s="6" t="str">
        <f>IFERROR(__xludf.DUMMYFUNCTION("""COMPUTED_VALUE"""),"arrangements")</f>
        <v>arrangements</v>
      </c>
      <c r="N984" s="6" t="str">
        <f>IFERROR(__xludf.DUMMYFUNCTION("""COMPUTED_VALUE"""),"fling")</f>
        <v>fling</v>
      </c>
      <c r="P984" s="6" t="str">
        <f>IFERROR(__xludf.DUMMYFUNCTION("""COMPUTED_VALUE"""),"scores")</f>
        <v>scores</v>
      </c>
      <c r="Q984" s="6" t="str">
        <f>IFERROR(__xludf.DUMMYFUNCTION("""COMPUTED_VALUE"""),"menacing")</f>
        <v>menacing</v>
      </c>
      <c r="S984" s="6" t="str">
        <f>IFERROR(__xludf.DUMMYFUNCTION("""COMPUTED_VALUE"""),"julia")</f>
        <v>julia</v>
      </c>
    </row>
    <row r="985">
      <c r="B985" s="6"/>
      <c r="D985" s="6"/>
      <c r="G985" s="6" t="str">
        <f>IFERROR(__xludf.DUMMYFUNCTION("""COMPUTED_VALUE"""),"revelation")</f>
        <v>revelation</v>
      </c>
      <c r="H985" s="6" t="str">
        <f>IFERROR(__xludf.DUMMYFUNCTION("""COMPUTED_VALUE"""),"commerce")</f>
        <v>commerce</v>
      </c>
      <c r="I985" s="6" t="str">
        <f>IFERROR(__xludf.DUMMYFUNCTION("""COMPUTED_VALUE"""),"neutral")</f>
        <v>neutral</v>
      </c>
      <c r="J985" s="6" t="str">
        <f>IFERROR(__xludf.DUMMYFUNCTION("""COMPUTED_VALUE"""),"contradiction")</f>
        <v>contradiction</v>
      </c>
      <c r="L985" s="6" t="str">
        <f>IFERROR(__xludf.DUMMYFUNCTION("""COMPUTED_VALUE"""),"mainstream")</f>
        <v>mainstream</v>
      </c>
      <c r="M985" s="6" t="str">
        <f>IFERROR(__xludf.DUMMYFUNCTION("""COMPUTED_VALUE"""),"peace")</f>
        <v>peace</v>
      </c>
      <c r="N985" s="6" t="str">
        <f>IFERROR(__xludf.DUMMYFUNCTION("""COMPUTED_VALUE"""),"holm")</f>
        <v>holm</v>
      </c>
      <c r="P985" s="6" t="str">
        <f>IFERROR(__xludf.DUMMYFUNCTION("""COMPUTED_VALUE"""),"direct")</f>
        <v>direct</v>
      </c>
      <c r="Q985" s="6" t="str">
        <f>IFERROR(__xludf.DUMMYFUNCTION("""COMPUTED_VALUE"""),"bears")</f>
        <v>bears</v>
      </c>
      <c r="S985" s="6" t="str">
        <f>IFERROR(__xludf.DUMMYFUNCTION("""COMPUTED_VALUE"""),"roberts")</f>
        <v>roberts</v>
      </c>
    </row>
    <row r="986">
      <c r="B986" s="6"/>
      <c r="D986" s="6"/>
      <c r="G986" s="6" t="str">
        <f>IFERROR(__xludf.DUMMYFUNCTION("""COMPUTED_VALUE"""),"encounters")</f>
        <v>encounters</v>
      </c>
      <c r="H986" s="6" t="str">
        <f>IFERROR(__xludf.DUMMYFUNCTION("""COMPUTED_VALUE"""),"subtly")</f>
        <v>subtly</v>
      </c>
      <c r="I986" s="6" t="str">
        <f>IFERROR(__xludf.DUMMYFUNCTION("""COMPUTED_VALUE"""),"singh")</f>
        <v>singh</v>
      </c>
      <c r="J986" s="6" t="str">
        <f>IFERROR(__xludf.DUMMYFUNCTION("""COMPUTED_VALUE"""),"searing")</f>
        <v>searing</v>
      </c>
      <c r="L986" s="6" t="str">
        <f>IFERROR(__xludf.DUMMYFUNCTION("""COMPUTED_VALUE"""),"interpretation")</f>
        <v>interpretation</v>
      </c>
      <c r="M986" s="6" t="str">
        <f>IFERROR(__xludf.DUMMYFUNCTION("""COMPUTED_VALUE"""),"tomorrow")</f>
        <v>tomorrow</v>
      </c>
      <c r="N986" s="6" t="str">
        <f>IFERROR(__xludf.DUMMYFUNCTION("""COMPUTED_VALUE"""),"20th")</f>
        <v>20th</v>
      </c>
      <c r="P986" s="6" t="str">
        <f>IFERROR(__xludf.DUMMYFUNCTION("""COMPUTED_VALUE"""),"warrior")</f>
        <v>warrior</v>
      </c>
      <c r="Q986" s="6" t="str">
        <f>IFERROR(__xludf.DUMMYFUNCTION("""COMPUTED_VALUE"""),"spent")</f>
        <v>spent</v>
      </c>
      <c r="S986" s="6" t="str">
        <f>IFERROR(__xludf.DUMMYFUNCTION("""COMPUTED_VALUE"""),"workshop")</f>
        <v>workshop</v>
      </c>
    </row>
    <row r="987">
      <c r="B987" s="6"/>
      <c r="D987" s="6"/>
      <c r="G987" s="6" t="str">
        <f>IFERROR(__xludf.DUMMYFUNCTION("""COMPUTED_VALUE"""),"hole")</f>
        <v>hole</v>
      </c>
      <c r="H987" s="6" t="str">
        <f>IFERROR(__xludf.DUMMYFUNCTION("""COMPUTED_VALUE"""),"ballistic")</f>
        <v>ballistic</v>
      </c>
      <c r="I987" s="6" t="str">
        <f>IFERROR(__xludf.DUMMYFUNCTION("""COMPUTED_VALUE"""),"function")</f>
        <v>function</v>
      </c>
      <c r="J987" s="6" t="str">
        <f>IFERROR(__xludf.DUMMYFUNCTION("""COMPUTED_VALUE"""),"desirable")</f>
        <v>desirable</v>
      </c>
      <c r="L987" s="6" t="str">
        <f>IFERROR(__xludf.DUMMYFUNCTION("""COMPUTED_VALUE"""),"buried")</f>
        <v>buried</v>
      </c>
      <c r="M987" s="6" t="str">
        <f>IFERROR(__xludf.DUMMYFUNCTION("""COMPUTED_VALUE"""),"youth")</f>
        <v>youth</v>
      </c>
      <c r="N987" s="6" t="str">
        <f>IFERROR(__xludf.DUMMYFUNCTION("""COMPUTED_VALUE"""),"spiral")</f>
        <v>spiral</v>
      </c>
      <c r="P987" s="6" t="str">
        <f>IFERROR(__xludf.DUMMYFUNCTION("""COMPUTED_VALUE"""),"proud")</f>
        <v>proud</v>
      </c>
      <c r="Q987" s="6" t="str">
        <f>IFERROR(__xludf.DUMMYFUNCTION("""COMPUTED_VALUE"""),"got")</f>
        <v>got</v>
      </c>
      <c r="S987" s="6" t="str">
        <f>IFERROR(__xludf.DUMMYFUNCTION("""COMPUTED_VALUE"""),"duration")</f>
        <v>duration</v>
      </c>
    </row>
    <row r="988">
      <c r="B988" s="6"/>
      <c r="D988" s="6"/>
      <c r="G988" s="6" t="str">
        <f>IFERROR(__xludf.DUMMYFUNCTION("""COMPUTED_VALUE"""),"boredom")</f>
        <v>boredom</v>
      </c>
      <c r="H988" s="6" t="str">
        <f>IFERROR(__xludf.DUMMYFUNCTION("""COMPUTED_VALUE"""),"waltz")</f>
        <v>waltz</v>
      </c>
      <c r="I988" s="6" t="str">
        <f>IFERROR(__xludf.DUMMYFUNCTION("""COMPUTED_VALUE"""),"businesses")</f>
        <v>businesses</v>
      </c>
      <c r="J988" s="6" t="str">
        <f>IFERROR(__xludf.DUMMYFUNCTION("""COMPUTED_VALUE"""),"fearless")</f>
        <v>fearless</v>
      </c>
      <c r="L988" s="6" t="str">
        <f>IFERROR(__xludf.DUMMYFUNCTION("""COMPUTED_VALUE"""),"devoid")</f>
        <v>devoid</v>
      </c>
      <c r="M988" s="6" t="str">
        <f>IFERROR(__xludf.DUMMYFUNCTION("""COMPUTED_VALUE"""),"partly")</f>
        <v>partly</v>
      </c>
      <c r="N988" s="6" t="str">
        <f>IFERROR(__xludf.DUMMYFUNCTION("""COMPUTED_VALUE"""),"yarn")</f>
        <v>yarn</v>
      </c>
      <c r="P988" s="6" t="str">
        <f>IFERROR(__xludf.DUMMYFUNCTION("""COMPUTED_VALUE"""),"convention")</f>
        <v>convention</v>
      </c>
      <c r="Q988" s="6" t="str">
        <f>IFERROR(__xludf.DUMMYFUNCTION("""COMPUTED_VALUE"""),"creates")</f>
        <v>creates</v>
      </c>
      <c r="S988" s="6" t="str">
        <f>IFERROR(__xludf.DUMMYFUNCTION("""COMPUTED_VALUE"""),"lonely")</f>
        <v>lonely</v>
      </c>
    </row>
    <row r="989">
      <c r="B989" s="6"/>
      <c r="D989" s="6"/>
      <c r="G989" s="6" t="str">
        <f>IFERROR(__xludf.DUMMYFUNCTION("""COMPUTED_VALUE"""),"insistence")</f>
        <v>insistence</v>
      </c>
      <c r="H989" s="6" t="str">
        <f>IFERROR(__xludf.DUMMYFUNCTION("""COMPUTED_VALUE"""),"provoke")</f>
        <v>provoke</v>
      </c>
      <c r="I989" s="6" t="str">
        <f>IFERROR(__xludf.DUMMYFUNCTION("""COMPUTED_VALUE"""),"election")</f>
        <v>election</v>
      </c>
      <c r="J989" s="6" t="str">
        <f>IFERROR(__xludf.DUMMYFUNCTION("""COMPUTED_VALUE"""),"niche")</f>
        <v>niche</v>
      </c>
      <c r="L989" s="6" t="str">
        <f>IFERROR(__xludf.DUMMYFUNCTION("""COMPUTED_VALUE"""),"deepest")</f>
        <v>deepest</v>
      </c>
      <c r="M989" s="6" t="str">
        <f>IFERROR(__xludf.DUMMYFUNCTION("""COMPUTED_VALUE"""),"sons")</f>
        <v>sons</v>
      </c>
      <c r="N989" s="6" t="str">
        <f>IFERROR(__xludf.DUMMYFUNCTION("""COMPUTED_VALUE"""),"drawing")</f>
        <v>drawing</v>
      </c>
      <c r="P989" s="6" t="str">
        <f>IFERROR(__xludf.DUMMYFUNCTION("""COMPUTED_VALUE"""),"harm")</f>
        <v>harm</v>
      </c>
      <c r="Q989" s="6" t="str">
        <f>IFERROR(__xludf.DUMMYFUNCTION("""COMPUTED_VALUE"""),"demonstrating")</f>
        <v>demonstrating</v>
      </c>
      <c r="S989" s="6" t="str">
        <f>IFERROR(__xludf.DUMMYFUNCTION("""COMPUTED_VALUE"""),"realize")</f>
        <v>realize</v>
      </c>
    </row>
    <row r="990">
      <c r="B990" s="6"/>
      <c r="D990" s="6"/>
      <c r="G990" s="6" t="str">
        <f>IFERROR(__xludf.DUMMYFUNCTION("""COMPUTED_VALUE"""),"accurately")</f>
        <v>accurately</v>
      </c>
      <c r="H990" s="6" t="str">
        <f>IFERROR(__xludf.DUMMYFUNCTION("""COMPUTED_VALUE"""),"collapses")</f>
        <v>collapses</v>
      </c>
      <c r="I990" s="6" t="str">
        <f>IFERROR(__xludf.DUMMYFUNCTION("""COMPUTED_VALUE"""),"tucker")</f>
        <v>tucker</v>
      </c>
      <c r="J990" s="6" t="str">
        <f>IFERROR(__xludf.DUMMYFUNCTION("""COMPUTED_VALUE"""),"woody")</f>
        <v>woody</v>
      </c>
      <c r="L990" s="6" t="str">
        <f>IFERROR(__xludf.DUMMYFUNCTION("""COMPUTED_VALUE"""),"senses")</f>
        <v>senses</v>
      </c>
      <c r="M990" s="6" t="str">
        <f>IFERROR(__xludf.DUMMYFUNCTION("""COMPUTED_VALUE"""),"photography")</f>
        <v>photography</v>
      </c>
      <c r="N990" s="6" t="str">
        <f>IFERROR(__xludf.DUMMYFUNCTION("""COMPUTED_VALUE"""),"provocative")</f>
        <v>provocative</v>
      </c>
      <c r="P990" s="6" t="str">
        <f>IFERROR(__xludf.DUMMYFUNCTION("""COMPUTED_VALUE"""),"depression")</f>
        <v>depression</v>
      </c>
      <c r="Q990" s="6" t="str">
        <f>IFERROR(__xludf.DUMMYFUNCTION("""COMPUTED_VALUE"""),"encouraging")</f>
        <v>encouraging</v>
      </c>
      <c r="S990" s="6" t="str">
        <f>IFERROR(__xludf.DUMMYFUNCTION("""COMPUTED_VALUE"""),"separate")</f>
        <v>separate</v>
      </c>
    </row>
    <row r="991">
      <c r="B991" s="6"/>
      <c r="D991" s="6"/>
      <c r="G991" s="6" t="str">
        <f>IFERROR(__xludf.DUMMYFUNCTION("""COMPUTED_VALUE"""),"turmoil")</f>
        <v>turmoil</v>
      </c>
      <c r="H991" s="6" t="str">
        <f>IFERROR(__xludf.DUMMYFUNCTION("""COMPUTED_VALUE"""),"consciousness")</f>
        <v>consciousness</v>
      </c>
      <c r="I991" s="6" t="str">
        <f>IFERROR(__xludf.DUMMYFUNCTION("""COMPUTED_VALUE"""),"established")</f>
        <v>established</v>
      </c>
      <c r="J991" s="6" t="str">
        <f>IFERROR(__xludf.DUMMYFUNCTION("""COMPUTED_VALUE"""),"slump")</f>
        <v>slump</v>
      </c>
      <c r="L991" s="6" t="str">
        <f>IFERROR(__xludf.DUMMYFUNCTION("""COMPUTED_VALUE"""),"hero")</f>
        <v>hero</v>
      </c>
      <c r="M991" s="6" t="str">
        <f>IFERROR(__xludf.DUMMYFUNCTION("""COMPUTED_VALUE"""),"followed")</f>
        <v>followed</v>
      </c>
      <c r="N991" s="6" t="str">
        <f>IFERROR(__xludf.DUMMYFUNCTION("""COMPUTED_VALUE"""),"glow")</f>
        <v>glow</v>
      </c>
      <c r="P991" s="6" t="str">
        <f>IFERROR(__xludf.DUMMYFUNCTION("""COMPUTED_VALUE"""),"ear")</f>
        <v>ear</v>
      </c>
      <c r="Q991" s="6" t="str">
        <f>IFERROR(__xludf.DUMMYFUNCTION("""COMPUTED_VALUE"""),"note")</f>
        <v>note</v>
      </c>
      <c r="S991" s="6" t="str">
        <f>IFERROR(__xludf.DUMMYFUNCTION("""COMPUTED_VALUE"""),"structure")</f>
        <v>structure</v>
      </c>
    </row>
    <row r="992">
      <c r="B992" s="6"/>
      <c r="D992" s="6"/>
      <c r="G992" s="6">
        <f>IFERROR(__xludf.DUMMYFUNCTION("""COMPUTED_VALUE"""),83.0)</f>
        <v>83</v>
      </c>
      <c r="H992" s="6" t="str">
        <f>IFERROR(__xludf.DUMMYFUNCTION("""COMPUTED_VALUE"""),"conceptual")</f>
        <v>conceptual</v>
      </c>
      <c r="I992" s="6" t="str">
        <f>IFERROR(__xludf.DUMMYFUNCTION("""COMPUTED_VALUE"""),"appointed")</f>
        <v>appointed</v>
      </c>
      <c r="J992" s="6" t="str">
        <f>IFERROR(__xludf.DUMMYFUNCTION("""COMPUTED_VALUE"""),"sophomore")</f>
        <v>sophomore</v>
      </c>
      <c r="L992" s="6" t="str">
        <f>IFERROR(__xludf.DUMMYFUNCTION("""COMPUTED_VALUE"""),"demands")</f>
        <v>demands</v>
      </c>
      <c r="M992" s="6" t="str">
        <f>IFERROR(__xludf.DUMMYFUNCTION("""COMPUTED_VALUE"""),"episode")</f>
        <v>episode</v>
      </c>
      <c r="N992" s="6" t="str">
        <f>IFERROR(__xludf.DUMMYFUNCTION("""COMPUTED_VALUE"""),"tale")</f>
        <v>tale</v>
      </c>
      <c r="P992" s="6" t="str">
        <f>IFERROR(__xludf.DUMMYFUNCTION("""COMPUTED_VALUE"""),"rhythm")</f>
        <v>rhythm</v>
      </c>
      <c r="Q992" s="6" t="str">
        <f>IFERROR(__xludf.DUMMYFUNCTION("""COMPUTED_VALUE"""),"dickens")</f>
        <v>dickens</v>
      </c>
      <c r="S992" s="6" t="str">
        <f>IFERROR(__xludf.DUMMYFUNCTION("""COMPUTED_VALUE"""),"weight")</f>
        <v>weight</v>
      </c>
    </row>
    <row r="993">
      <c r="B993" s="6"/>
      <c r="D993" s="6"/>
      <c r="G993" s="6" t="str">
        <f>IFERROR(__xludf.DUMMYFUNCTION("""COMPUTED_VALUE"""),"pill")</f>
        <v>pill</v>
      </c>
      <c r="H993" s="6" t="str">
        <f>IFERROR(__xludf.DUMMYFUNCTION("""COMPUTED_VALUE"""),"puzzle")</f>
        <v>puzzle</v>
      </c>
      <c r="I993" s="6" t="str">
        <f>IFERROR(__xludf.DUMMYFUNCTION("""COMPUTED_VALUE"""),"segment")</f>
        <v>segment</v>
      </c>
      <c r="J993" s="6" t="str">
        <f>IFERROR(__xludf.DUMMYFUNCTION("""COMPUTED_VALUE"""),"tug")</f>
        <v>tug</v>
      </c>
      <c r="L993" s="6" t="str">
        <f>IFERROR(__xludf.DUMMYFUNCTION("""COMPUTED_VALUE"""),"improvised")</f>
        <v>improvised</v>
      </c>
      <c r="M993" s="6" t="str">
        <f>IFERROR(__xludf.DUMMYFUNCTION("""COMPUTED_VALUE"""),"zone")</f>
        <v>zone</v>
      </c>
      <c r="N993" s="6" t="str">
        <f>IFERROR(__xludf.DUMMYFUNCTION("""COMPUTED_VALUE"""),"frantic")</f>
        <v>frantic</v>
      </c>
      <c r="P993" s="6" t="str">
        <f>IFERROR(__xludf.DUMMYFUNCTION("""COMPUTED_VALUE"""),"treat")</f>
        <v>treat</v>
      </c>
      <c r="Q993" s="6" t="str">
        <f>IFERROR(__xludf.DUMMYFUNCTION("""COMPUTED_VALUE"""),"expresses")</f>
        <v>expresses</v>
      </c>
      <c r="S993" s="6" t="str">
        <f>IFERROR(__xludf.DUMMYFUNCTION("""COMPUTED_VALUE"""),"conventional")</f>
        <v>conventional</v>
      </c>
    </row>
    <row r="994">
      <c r="B994" s="6"/>
      <c r="D994" s="6"/>
      <c r="G994" s="6" t="str">
        <f>IFERROR(__xludf.DUMMYFUNCTION("""COMPUTED_VALUE"""),"significance")</f>
        <v>significance</v>
      </c>
      <c r="H994" s="6" t="str">
        <f>IFERROR(__xludf.DUMMYFUNCTION("""COMPUTED_VALUE"""),"sorority")</f>
        <v>sorority</v>
      </c>
      <c r="I994" s="6" t="str">
        <f>IFERROR(__xludf.DUMMYFUNCTION("""COMPUTED_VALUE"""),"fictional")</f>
        <v>fictional</v>
      </c>
      <c r="J994" s="6" t="str">
        <f>IFERROR(__xludf.DUMMYFUNCTION("""COMPUTED_VALUE"""),"70s")</f>
        <v>70s</v>
      </c>
      <c r="L994" s="6" t="str">
        <f>IFERROR(__xludf.DUMMYFUNCTION("""COMPUTED_VALUE"""),"determination")</f>
        <v>determination</v>
      </c>
      <c r="M994" s="6" t="str">
        <f>IFERROR(__xludf.DUMMYFUNCTION("""COMPUTED_VALUE"""),"amounts")</f>
        <v>amounts</v>
      </c>
      <c r="N994" s="6" t="str">
        <f>IFERROR(__xludf.DUMMYFUNCTION("""COMPUTED_VALUE"""),"believed")</f>
        <v>believed</v>
      </c>
      <c r="P994" s="6" t="str">
        <f>IFERROR(__xludf.DUMMYFUNCTION("""COMPUTED_VALUE"""),"hughes")</f>
        <v>hughes</v>
      </c>
      <c r="Q994" s="6" t="str">
        <f>IFERROR(__xludf.DUMMYFUNCTION("""COMPUTED_VALUE"""),"evergreen")</f>
        <v>evergreen</v>
      </c>
      <c r="S994" s="6" t="str">
        <f>IFERROR(__xludf.DUMMYFUNCTION("""COMPUTED_VALUE"""),"manhattan")</f>
        <v>manhattan</v>
      </c>
    </row>
    <row r="995">
      <c r="B995" s="6"/>
      <c r="D995" s="6"/>
      <c r="G995" s="6" t="str">
        <f>IFERROR(__xludf.DUMMYFUNCTION("""COMPUTED_VALUE"""),"meaningless")</f>
        <v>meaningless</v>
      </c>
      <c r="H995" s="6" t="str">
        <f>IFERROR(__xludf.DUMMYFUNCTION("""COMPUTED_VALUE"""),"naturally")</f>
        <v>naturally</v>
      </c>
      <c r="I995" s="6" t="str">
        <f>IFERROR(__xludf.DUMMYFUNCTION("""COMPUTED_VALUE"""),"roster")</f>
        <v>roster</v>
      </c>
      <c r="J995" s="6" t="str">
        <f>IFERROR(__xludf.DUMMYFUNCTION("""COMPUTED_VALUE"""),"prophet")</f>
        <v>prophet</v>
      </c>
      <c r="L995" s="6" t="str">
        <f>IFERROR(__xludf.DUMMYFUNCTION("""COMPUTED_VALUE"""),"insults")</f>
        <v>insults</v>
      </c>
      <c r="M995" s="6" t="str">
        <f>IFERROR(__xludf.DUMMYFUNCTION("""COMPUTED_VALUE"""),"injuries")</f>
        <v>injuries</v>
      </c>
      <c r="N995" s="6" t="str">
        <f>IFERROR(__xludf.DUMMYFUNCTION("""COMPUTED_VALUE"""),"admitting")</f>
        <v>admitting</v>
      </c>
      <c r="P995" s="6" t="str">
        <f>IFERROR(__xludf.DUMMYFUNCTION("""COMPUTED_VALUE"""),"elder")</f>
        <v>elder</v>
      </c>
      <c r="Q995" s="6" t="str">
        <f>IFERROR(__xludf.DUMMYFUNCTION("""COMPUTED_VALUE"""),"basic")</f>
        <v>basic</v>
      </c>
      <c r="S995" s="6" t="str">
        <f>IFERROR(__xludf.DUMMYFUNCTION("""COMPUTED_VALUE"""),"firing")</f>
        <v>firing</v>
      </c>
    </row>
    <row r="996">
      <c r="B996" s="6"/>
      <c r="D996" s="6"/>
      <c r="G996" s="6" t="str">
        <f>IFERROR(__xludf.DUMMYFUNCTION("""COMPUTED_VALUE"""),"sink")</f>
        <v>sink</v>
      </c>
      <c r="H996" s="6" t="str">
        <f>IFERROR(__xludf.DUMMYFUNCTION("""COMPUTED_VALUE"""),"corpse")</f>
        <v>corpse</v>
      </c>
      <c r="I996" s="6" t="str">
        <f>IFERROR(__xludf.DUMMYFUNCTION("""COMPUTED_VALUE"""),"afford")</f>
        <v>afford</v>
      </c>
      <c r="J996" s="6" t="str">
        <f>IFERROR(__xludf.DUMMYFUNCTION("""COMPUTED_VALUE"""),"conflict")</f>
        <v>conflict</v>
      </c>
      <c r="L996" s="6" t="str">
        <f>IFERROR(__xludf.DUMMYFUNCTION("""COMPUTED_VALUE"""),"resembling")</f>
        <v>resembling</v>
      </c>
      <c r="M996" s="6" t="str">
        <f>IFERROR(__xludf.DUMMYFUNCTION("""COMPUTED_VALUE"""),"release")</f>
        <v>release</v>
      </c>
      <c r="N996" s="6" t="str">
        <f>IFERROR(__xludf.DUMMYFUNCTION("""COMPUTED_VALUE"""),"spiritual")</f>
        <v>spiritual</v>
      </c>
      <c r="P996" s="6" t="str">
        <f>IFERROR(__xludf.DUMMYFUNCTION("""COMPUTED_VALUE"""),"musical")</f>
        <v>musical</v>
      </c>
      <c r="Q996" s="6" t="str">
        <f>IFERROR(__xludf.DUMMYFUNCTION("""COMPUTED_VALUE"""),"inactive")</f>
        <v>inactive</v>
      </c>
      <c r="S996" s="6" t="str">
        <f>IFERROR(__xludf.DUMMYFUNCTION("""COMPUTED_VALUE"""),"witnesses")</f>
        <v>witnesses</v>
      </c>
    </row>
    <row r="997">
      <c r="B997" s="6"/>
      <c r="D997" s="6"/>
      <c r="G997" s="6" t="str">
        <f>IFERROR(__xludf.DUMMYFUNCTION("""COMPUTED_VALUE"""),"bid")</f>
        <v>bid</v>
      </c>
      <c r="H997" s="6" t="str">
        <f>IFERROR(__xludf.DUMMYFUNCTION("""COMPUTED_VALUE"""),"siege")</f>
        <v>siege</v>
      </c>
      <c r="I997" s="6" t="str">
        <f>IFERROR(__xludf.DUMMYFUNCTION("""COMPUTED_VALUE"""),"bolt")</f>
        <v>bolt</v>
      </c>
      <c r="J997" s="6" t="str">
        <f>IFERROR(__xludf.DUMMYFUNCTION("""COMPUTED_VALUE"""),"vital")</f>
        <v>vital</v>
      </c>
      <c r="L997" s="6" t="str">
        <f>IFERROR(__xludf.DUMMYFUNCTION("""COMPUTED_VALUE"""),"realm")</f>
        <v>realm</v>
      </c>
      <c r="M997" s="6" t="str">
        <f>IFERROR(__xludf.DUMMYFUNCTION("""COMPUTED_VALUE"""),"lawrence")</f>
        <v>lawrence</v>
      </c>
      <c r="N997" s="6" t="str">
        <f>IFERROR(__xludf.DUMMYFUNCTION("""COMPUTED_VALUE"""),"showcase")</f>
        <v>showcase</v>
      </c>
      <c r="P997" s="6" t="str">
        <f>IFERROR(__xludf.DUMMYFUNCTION("""COMPUTED_VALUE"""),"terror")</f>
        <v>terror</v>
      </c>
      <c r="Q997" s="6" t="str">
        <f>IFERROR(__xludf.DUMMYFUNCTION("""COMPUTED_VALUE"""),"memorable")</f>
        <v>memorable</v>
      </c>
      <c r="S997" s="6" t="str">
        <f>IFERROR(__xludf.DUMMYFUNCTION("""COMPUTED_VALUE"""),"event")</f>
        <v>event</v>
      </c>
    </row>
    <row r="998">
      <c r="B998" s="6"/>
      <c r="D998" s="6"/>
      <c r="G998" s="6" t="str">
        <f>IFERROR(__xludf.DUMMYFUNCTION("""COMPUTED_VALUE"""),"detailed")</f>
        <v>detailed</v>
      </c>
      <c r="H998" s="6" t="str">
        <f>IFERROR(__xludf.DUMMYFUNCTION("""COMPUTED_VALUE"""),"gravity")</f>
        <v>gravity</v>
      </c>
      <c r="I998" s="6" t="str">
        <f>IFERROR(__xludf.DUMMYFUNCTION("""COMPUTED_VALUE"""),"stroke")</f>
        <v>stroke</v>
      </c>
      <c r="J998" s="6" t="str">
        <f>IFERROR(__xludf.DUMMYFUNCTION("""COMPUTED_VALUE"""),"enthusiastic")</f>
        <v>enthusiastic</v>
      </c>
      <c r="L998" s="6" t="str">
        <f>IFERROR(__xludf.DUMMYFUNCTION("""COMPUTED_VALUE"""),"lesbian")</f>
        <v>lesbian</v>
      </c>
      <c r="M998" s="6" t="str">
        <f>IFERROR(__xludf.DUMMYFUNCTION("""COMPUTED_VALUE"""),"lane")</f>
        <v>lane</v>
      </c>
      <c r="N998" s="6" t="str">
        <f>IFERROR(__xludf.DUMMYFUNCTION("""COMPUTED_VALUE"""),"struggle")</f>
        <v>struggle</v>
      </c>
      <c r="P998" s="6" t="str">
        <f>IFERROR(__xludf.DUMMYFUNCTION("""COMPUTED_VALUE"""),"smiles")</f>
        <v>smiles</v>
      </c>
      <c r="Q998" s="6" t="str">
        <f>IFERROR(__xludf.DUMMYFUNCTION("""COMPUTED_VALUE"""),"affected")</f>
        <v>affected</v>
      </c>
      <c r="S998" s="6" t="str">
        <f>IFERROR(__xludf.DUMMYFUNCTION("""COMPUTED_VALUE"""),"revolutionary")</f>
        <v>revolutionary</v>
      </c>
    </row>
    <row r="999">
      <c r="B999" s="6"/>
      <c r="D999" s="6"/>
      <c r="G999" s="6" t="str">
        <f>IFERROR(__xludf.DUMMYFUNCTION("""COMPUTED_VALUE"""),"sway")</f>
        <v>sway</v>
      </c>
      <c r="H999" s="6" t="str">
        <f>IFERROR(__xludf.DUMMYFUNCTION("""COMPUTED_VALUE"""),"popular")</f>
        <v>popular</v>
      </c>
      <c r="I999" s="6" t="str">
        <f>IFERROR(__xludf.DUMMYFUNCTION("""COMPUTED_VALUE"""),"nominated")</f>
        <v>nominated</v>
      </c>
      <c r="J999" s="6" t="str">
        <f>IFERROR(__xludf.DUMMYFUNCTION("""COMPUTED_VALUE"""),"recalls")</f>
        <v>recalls</v>
      </c>
      <c r="L999" s="6" t="str">
        <f>IFERROR(__xludf.DUMMYFUNCTION("""COMPUTED_VALUE"""),"turf")</f>
        <v>turf</v>
      </c>
      <c r="M999" s="6" t="str">
        <f>IFERROR(__xludf.DUMMYFUNCTION("""COMPUTED_VALUE"""),"naked")</f>
        <v>naked</v>
      </c>
      <c r="N999" s="6" t="str">
        <f>IFERROR(__xludf.DUMMYFUNCTION("""COMPUTED_VALUE"""),"phillip")</f>
        <v>phillip</v>
      </c>
      <c r="P999" s="6" t="str">
        <f>IFERROR(__xludf.DUMMYFUNCTION("""COMPUTED_VALUE"""),"display")</f>
        <v>display</v>
      </c>
      <c r="Q999" s="6" t="str">
        <f>IFERROR(__xludf.DUMMYFUNCTION("""COMPUTED_VALUE"""),"practitioners")</f>
        <v>practitioners</v>
      </c>
      <c r="S999" s="6" t="str">
        <f>IFERROR(__xludf.DUMMYFUNCTION("""COMPUTED_VALUE"""),"chance")</f>
        <v>chance</v>
      </c>
    </row>
    <row r="1000">
      <c r="B1000" s="6"/>
      <c r="D1000" s="6"/>
      <c r="G1000" s="6" t="str">
        <f>IFERROR(__xludf.DUMMYFUNCTION("""COMPUTED_VALUE"""),"politically")</f>
        <v>politically</v>
      </c>
      <c r="H1000" s="6" t="str">
        <f>IFERROR(__xludf.DUMMYFUNCTION("""COMPUTED_VALUE"""),"climax")</f>
        <v>climax</v>
      </c>
      <c r="I1000" s="6" t="str">
        <f>IFERROR(__xludf.DUMMYFUNCTION("""COMPUTED_VALUE"""),"chen")</f>
        <v>chen</v>
      </c>
      <c r="J1000" s="6" t="str">
        <f>IFERROR(__xludf.DUMMYFUNCTION("""COMPUTED_VALUE"""),"sweetly")</f>
        <v>sweetly</v>
      </c>
      <c r="L1000" s="6" t="str">
        <f>IFERROR(__xludf.DUMMYFUNCTION("""COMPUTED_VALUE"""),"rendering")</f>
        <v>rendering</v>
      </c>
      <c r="M1000" s="6" t="str">
        <f>IFERROR(__xludf.DUMMYFUNCTION("""COMPUTED_VALUE"""),"falls")</f>
        <v>falls</v>
      </c>
      <c r="N1000" s="6" t="str">
        <f>IFERROR(__xludf.DUMMYFUNCTION("""COMPUTED_VALUE"""),"painting")</f>
        <v>painting</v>
      </c>
      <c r="P1000" s="6" t="str">
        <f>IFERROR(__xludf.DUMMYFUNCTION("""COMPUTED_VALUE"""),"naval")</f>
        <v>naval</v>
      </c>
      <c r="Q1000" s="6" t="str">
        <f>IFERROR(__xludf.DUMMYFUNCTION("""COMPUTED_VALUE"""),"foundation")</f>
        <v>foundation</v>
      </c>
      <c r="S1000" s="6" t="str">
        <f>IFERROR(__xludf.DUMMYFUNCTION("""COMPUTED_VALUE"""),"air")</f>
        <v>air</v>
      </c>
    </row>
    <row r="1001">
      <c r="B1001" s="6"/>
      <c r="D1001" s="6"/>
      <c r="G1001" s="6" t="str">
        <f>IFERROR(__xludf.DUMMYFUNCTION("""COMPUTED_VALUE"""),"mysteries")</f>
        <v>mysteries</v>
      </c>
      <c r="H1001" s="6" t="str">
        <f>IFERROR(__xludf.DUMMYFUNCTION("""COMPUTED_VALUE"""),"jealousy")</f>
        <v>jealousy</v>
      </c>
      <c r="I1001" s="6" t="str">
        <f>IFERROR(__xludf.DUMMYFUNCTION("""COMPUTED_VALUE"""),"followers")</f>
        <v>followers</v>
      </c>
      <c r="J1001" s="6" t="str">
        <f>IFERROR(__xludf.DUMMYFUNCTION("""COMPUTED_VALUE"""),"infectious")</f>
        <v>infectious</v>
      </c>
      <c r="L1001" s="6" t="str">
        <f>IFERROR(__xludf.DUMMYFUNCTION("""COMPUTED_VALUE"""),"palette")</f>
        <v>palette</v>
      </c>
      <c r="M1001" s="6" t="str">
        <f>IFERROR(__xludf.DUMMYFUNCTION("""COMPUTED_VALUE"""),"fear")</f>
        <v>fear</v>
      </c>
      <c r="N1001" s="6" t="str">
        <f>IFERROR(__xludf.DUMMYFUNCTION("""COMPUTED_VALUE"""),"capture")</f>
        <v>capture</v>
      </c>
      <c r="P1001" s="6" t="str">
        <f>IFERROR(__xludf.DUMMYFUNCTION("""COMPUTED_VALUE"""),"tears")</f>
        <v>tears</v>
      </c>
      <c r="Q1001" s="6" t="str">
        <f>IFERROR(__xludf.DUMMYFUNCTION("""COMPUTED_VALUE"""),"herring")</f>
        <v>herring</v>
      </c>
      <c r="S1001" s="6" t="str">
        <f>IFERROR(__xludf.DUMMYFUNCTION("""COMPUTED_VALUE"""),"centuries")</f>
        <v>centuries</v>
      </c>
    </row>
    <row r="1002">
      <c r="B1002" s="6"/>
      <c r="D1002" s="6"/>
      <c r="G1002" s="6" t="str">
        <f>IFERROR(__xludf.DUMMYFUNCTION("""COMPUTED_VALUE"""),"lodging")</f>
        <v>lodging</v>
      </c>
      <c r="H1002" s="6" t="str">
        <f>IFERROR(__xludf.DUMMYFUNCTION("""COMPUTED_VALUE"""),"christopher")</f>
        <v>christopher</v>
      </c>
      <c r="I1002" s="6" t="str">
        <f>IFERROR(__xludf.DUMMYFUNCTION("""COMPUTED_VALUE"""),"stark")</f>
        <v>stark</v>
      </c>
      <c r="J1002" s="6" t="str">
        <f>IFERROR(__xludf.DUMMYFUNCTION("""COMPUTED_VALUE"""),"brooding")</f>
        <v>brooding</v>
      </c>
      <c r="L1002" s="6" t="str">
        <f>IFERROR(__xludf.DUMMYFUNCTION("""COMPUTED_VALUE"""),"fearless")</f>
        <v>fearless</v>
      </c>
      <c r="M1002" s="6" t="str">
        <f>IFERROR(__xludf.DUMMYFUNCTION("""COMPUTED_VALUE"""),"details")</f>
        <v>details</v>
      </c>
      <c r="N1002" s="6" t="str">
        <f>IFERROR(__xludf.DUMMYFUNCTION("""COMPUTED_VALUE"""),"intricate")</f>
        <v>intricate</v>
      </c>
      <c r="P1002" s="6" t="str">
        <f>IFERROR(__xludf.DUMMYFUNCTION("""COMPUTED_VALUE"""),"surely")</f>
        <v>surely</v>
      </c>
      <c r="Q1002" s="6" t="str">
        <f>IFERROR(__xludf.DUMMYFUNCTION("""COMPUTED_VALUE"""),"intricate")</f>
        <v>intricate</v>
      </c>
      <c r="S1002" s="6" t="str">
        <f>IFERROR(__xludf.DUMMYFUNCTION("""COMPUTED_VALUE"""),"spiritual")</f>
        <v>spiritual</v>
      </c>
    </row>
    <row r="1003">
      <c r="B1003" s="6"/>
      <c r="D1003" s="6"/>
      <c r="G1003" s="6" t="str">
        <f>IFERROR(__xludf.DUMMYFUNCTION("""COMPUTED_VALUE"""),"tunnels")</f>
        <v>tunnels</v>
      </c>
      <c r="H1003" s="6" t="str">
        <f>IFERROR(__xludf.DUMMYFUNCTION("""COMPUTED_VALUE"""),"classify")</f>
        <v>classify</v>
      </c>
      <c r="I1003" s="6" t="str">
        <f>IFERROR(__xludf.DUMMYFUNCTION("""COMPUTED_VALUE"""),"thrust")</f>
        <v>thrust</v>
      </c>
      <c r="J1003" s="6" t="str">
        <f>IFERROR(__xludf.DUMMYFUNCTION("""COMPUTED_VALUE"""),"superhuman")</f>
        <v>superhuman</v>
      </c>
      <c r="L1003" s="6" t="str">
        <f>IFERROR(__xludf.DUMMYFUNCTION("""COMPUTED_VALUE"""),"pinnacle")</f>
        <v>pinnacle</v>
      </c>
      <c r="M1003" s="6" t="str">
        <f>IFERROR(__xludf.DUMMYFUNCTION("""COMPUTED_VALUE"""),"discuss")</f>
        <v>discuss</v>
      </c>
      <c r="N1003" s="6" t="str">
        <f>IFERROR(__xludf.DUMMYFUNCTION("""COMPUTED_VALUE"""),"intact")</f>
        <v>intact</v>
      </c>
      <c r="P1003" s="6" t="str">
        <f>IFERROR(__xludf.DUMMYFUNCTION("""COMPUTED_VALUE"""),"lobby")</f>
        <v>lobby</v>
      </c>
      <c r="Q1003" s="6" t="str">
        <f>IFERROR(__xludf.DUMMYFUNCTION("""COMPUTED_VALUE"""),"crimes")</f>
        <v>crimes</v>
      </c>
      <c r="S1003" s="6" t="str">
        <f>IFERROR(__xludf.DUMMYFUNCTION("""COMPUTED_VALUE"""),"stages")</f>
        <v>stages</v>
      </c>
    </row>
    <row r="1004">
      <c r="B1004" s="6"/>
      <c r="D1004" s="6"/>
      <c r="G1004" s="6" t="str">
        <f>IFERROR(__xludf.DUMMYFUNCTION("""COMPUTED_VALUE"""),"anonymous")</f>
        <v>anonymous</v>
      </c>
      <c r="H1004" s="6" t="str">
        <f>IFERROR(__xludf.DUMMYFUNCTION("""COMPUTED_VALUE"""),"warrior")</f>
        <v>warrior</v>
      </c>
      <c r="I1004" s="6" t="str">
        <f>IFERROR(__xludf.DUMMYFUNCTION("""COMPUTED_VALUE"""),"teeth")</f>
        <v>teeth</v>
      </c>
      <c r="J1004" s="6" t="str">
        <f>IFERROR(__xludf.DUMMYFUNCTION("""COMPUTED_VALUE"""),"withstand")</f>
        <v>withstand</v>
      </c>
      <c r="L1004" s="6" t="str">
        <f>IFERROR(__xludf.DUMMYFUNCTION("""COMPUTED_VALUE"""),"hugh")</f>
        <v>hugh</v>
      </c>
      <c r="M1004" s="6" t="str">
        <f>IFERROR(__xludf.DUMMYFUNCTION("""COMPUTED_VALUE"""),"bone")</f>
        <v>bone</v>
      </c>
      <c r="N1004" s="6" t="str">
        <f>IFERROR(__xludf.DUMMYFUNCTION("""COMPUTED_VALUE"""),"disguise")</f>
        <v>disguise</v>
      </c>
      <c r="P1004" s="6" t="str">
        <f>IFERROR(__xludf.DUMMYFUNCTION("""COMPUTED_VALUE"""),"corner")</f>
        <v>corner</v>
      </c>
      <c r="Q1004" s="6" t="str">
        <f>IFERROR(__xludf.DUMMYFUNCTION("""COMPUTED_VALUE"""),"france")</f>
        <v>france</v>
      </c>
      <c r="S1004" s="6" t="str">
        <f>IFERROR(__xludf.DUMMYFUNCTION("""COMPUTED_VALUE"""),"studios")</f>
        <v>studios</v>
      </c>
    </row>
    <row r="1005">
      <c r="B1005" s="6"/>
      <c r="D1005" s="6"/>
      <c r="G1005" s="6" t="str">
        <f>IFERROR(__xludf.DUMMYFUNCTION("""COMPUTED_VALUE"""),"harvard")</f>
        <v>harvard</v>
      </c>
      <c r="H1005" s="6" t="str">
        <f>IFERROR(__xludf.DUMMYFUNCTION("""COMPUTED_VALUE"""),"proud")</f>
        <v>proud</v>
      </c>
      <c r="I1005" s="6" t="str">
        <f>IFERROR(__xludf.DUMMYFUNCTION("""COMPUTED_VALUE"""),"participants")</f>
        <v>participants</v>
      </c>
      <c r="J1005" s="6" t="str">
        <f>IFERROR(__xludf.DUMMYFUNCTION("""COMPUTED_VALUE"""),"shooting")</f>
        <v>shooting</v>
      </c>
      <c r="L1005" s="6" t="str">
        <f>IFERROR(__xludf.DUMMYFUNCTION("""COMPUTED_VALUE"""),"bonds")</f>
        <v>bonds</v>
      </c>
      <c r="M1005" s="6" t="str">
        <f>IFERROR(__xludf.DUMMYFUNCTION("""COMPUTED_VALUE"""),"surgeon")</f>
        <v>surgeon</v>
      </c>
      <c r="N1005" s="6" t="str">
        <f>IFERROR(__xludf.DUMMYFUNCTION("""COMPUTED_VALUE"""),"flourish")</f>
        <v>flourish</v>
      </c>
      <c r="P1005" s="6" t="str">
        <f>IFERROR(__xludf.DUMMYFUNCTION("""COMPUTED_VALUE"""),"circuit")</f>
        <v>circuit</v>
      </c>
      <c r="Q1005" s="6" t="str">
        <f>IFERROR(__xludf.DUMMYFUNCTION("""COMPUTED_VALUE"""),"20th")</f>
        <v>20th</v>
      </c>
      <c r="S1005" s="6" t="str">
        <f>IFERROR(__xludf.DUMMYFUNCTION("""COMPUTED_VALUE"""),"laboratory")</f>
        <v>laboratory</v>
      </c>
    </row>
    <row r="1006">
      <c r="B1006" s="6"/>
      <c r="D1006" s="6"/>
      <c r="G1006" s="6" t="str">
        <f>IFERROR(__xludf.DUMMYFUNCTION("""COMPUTED_VALUE"""),"paths")</f>
        <v>paths</v>
      </c>
      <c r="H1006" s="6" t="str">
        <f>IFERROR(__xludf.DUMMYFUNCTION("""COMPUTED_VALUE"""),"autobiographical")</f>
        <v>autobiographical</v>
      </c>
      <c r="I1006" s="6" t="str">
        <f>IFERROR(__xludf.DUMMYFUNCTION("""COMPUTED_VALUE"""),"franklin")</f>
        <v>franklin</v>
      </c>
      <c r="J1006" s="6" t="str">
        <f>IFERROR(__xludf.DUMMYFUNCTION("""COMPUTED_VALUE"""),"mundane")</f>
        <v>mundane</v>
      </c>
      <c r="L1006" s="6" t="str">
        <f>IFERROR(__xludf.DUMMYFUNCTION("""COMPUTED_VALUE"""),"ambition")</f>
        <v>ambition</v>
      </c>
      <c r="M1006" s="6" t="str">
        <f>IFERROR(__xludf.DUMMYFUNCTION("""COMPUTED_VALUE"""),"drag")</f>
        <v>drag</v>
      </c>
      <c r="N1006" s="6" t="str">
        <f>IFERROR(__xludf.DUMMYFUNCTION("""COMPUTED_VALUE"""),"unnamed")</f>
        <v>unnamed</v>
      </c>
      <c r="P1006" s="6" t="str">
        <f>IFERROR(__xludf.DUMMYFUNCTION("""COMPUTED_VALUE"""),"interaction")</f>
        <v>interaction</v>
      </c>
      <c r="Q1006" s="6" t="str">
        <f>IFERROR(__xludf.DUMMYFUNCTION("""COMPUTED_VALUE"""),"destined")</f>
        <v>destined</v>
      </c>
      <c r="S1006" s="6" t="str">
        <f>IFERROR(__xludf.DUMMYFUNCTION("""COMPUTED_VALUE"""),"concerned")</f>
        <v>concerned</v>
      </c>
    </row>
    <row r="1007">
      <c r="B1007" s="6"/>
      <c r="D1007" s="6"/>
      <c r="G1007" s="6" t="str">
        <f>IFERROR(__xludf.DUMMYFUNCTION("""COMPUTED_VALUE"""),"reynolds")</f>
        <v>reynolds</v>
      </c>
      <c r="H1007" s="6" t="str">
        <f>IFERROR(__xludf.DUMMYFUNCTION("""COMPUTED_VALUE"""),"crafted")</f>
        <v>crafted</v>
      </c>
      <c r="I1007" s="6" t="str">
        <f>IFERROR(__xludf.DUMMYFUNCTION("""COMPUTED_VALUE"""),"carl")</f>
        <v>carl</v>
      </c>
      <c r="J1007" s="6" t="str">
        <f>IFERROR(__xludf.DUMMYFUNCTION("""COMPUTED_VALUE"""),"wave")</f>
        <v>wave</v>
      </c>
      <c r="L1007" s="6" t="str">
        <f>IFERROR(__xludf.DUMMYFUNCTION("""COMPUTED_VALUE"""),"firing")</f>
        <v>firing</v>
      </c>
      <c r="M1007" s="6" t="str">
        <f>IFERROR(__xludf.DUMMYFUNCTION("""COMPUTED_VALUE"""),"topic")</f>
        <v>topic</v>
      </c>
      <c r="N1007" s="6" t="str">
        <f>IFERROR(__xludf.DUMMYFUNCTION("""COMPUTED_VALUE"""),"shovel")</f>
        <v>shovel</v>
      </c>
      <c r="P1007" s="6" t="str">
        <f>IFERROR(__xludf.DUMMYFUNCTION("""COMPUTED_VALUE"""),"card")</f>
        <v>card</v>
      </c>
      <c r="Q1007" s="6" t="str">
        <f>IFERROR(__xludf.DUMMYFUNCTION("""COMPUTED_VALUE"""),"griffith")</f>
        <v>griffith</v>
      </c>
      <c r="S1007" s="6" t="str">
        <f>IFERROR(__xludf.DUMMYFUNCTION("""COMPUTED_VALUE"""),"left")</f>
        <v>left</v>
      </c>
    </row>
    <row r="1008">
      <c r="B1008" s="6"/>
      <c r="D1008" s="6"/>
      <c r="G1008" s="6" t="str">
        <f>IFERROR(__xludf.DUMMYFUNCTION("""COMPUTED_VALUE"""),"depleted")</f>
        <v>depleted</v>
      </c>
      <c r="H1008" s="6" t="str">
        <f>IFERROR(__xludf.DUMMYFUNCTION("""COMPUTED_VALUE"""),"convention")</f>
        <v>convention</v>
      </c>
      <c r="I1008" s="6" t="str">
        <f>IFERROR(__xludf.DUMMYFUNCTION("""COMPUTED_VALUE"""),"dad")</f>
        <v>dad</v>
      </c>
      <c r="J1008" s="6" t="str">
        <f>IFERROR(__xludf.DUMMYFUNCTION("""COMPUTED_VALUE"""),"conspicuous")</f>
        <v>conspicuous</v>
      </c>
      <c r="L1008" s="6" t="str">
        <f>IFERROR(__xludf.DUMMYFUNCTION("""COMPUTED_VALUE"""),"jackson")</f>
        <v>jackson</v>
      </c>
      <c r="M1008" s="6" t="str">
        <f>IFERROR(__xludf.DUMMYFUNCTION("""COMPUTED_VALUE"""),"guitar")</f>
        <v>guitar</v>
      </c>
      <c r="N1008" s="6" t="str">
        <f>IFERROR(__xludf.DUMMYFUNCTION("""COMPUTED_VALUE"""),"actors")</f>
        <v>actors</v>
      </c>
      <c r="P1008" s="6" t="str">
        <f>IFERROR(__xludf.DUMMYFUNCTION("""COMPUTED_VALUE"""),"sports")</f>
        <v>sports</v>
      </c>
      <c r="Q1008" s="6" t="str">
        <f>IFERROR(__xludf.DUMMYFUNCTION("""COMPUTED_VALUE"""),"glorious")</f>
        <v>glorious</v>
      </c>
      <c r="S1008" s="6" t="str">
        <f>IFERROR(__xludf.DUMMYFUNCTION("""COMPUTED_VALUE"""),"remaining")</f>
        <v>remaining</v>
      </c>
    </row>
    <row r="1009">
      <c r="B1009" s="6"/>
      <c r="D1009" s="6"/>
      <c r="G1009" s="6" t="str">
        <f>IFERROR(__xludf.DUMMYFUNCTION("""COMPUTED_VALUE"""),"swaying")</f>
        <v>swaying</v>
      </c>
      <c r="H1009" s="6" t="str">
        <f>IFERROR(__xludf.DUMMYFUNCTION("""COMPUTED_VALUE"""),"urgently")</f>
        <v>urgently</v>
      </c>
      <c r="I1009" s="6" t="str">
        <f>IFERROR(__xludf.DUMMYFUNCTION("""COMPUTED_VALUE"""),"zhang")</f>
        <v>zhang</v>
      </c>
      <c r="J1009" s="6" t="str">
        <f>IFERROR(__xludf.DUMMYFUNCTION("""COMPUTED_VALUE"""),"weaponry")</f>
        <v>weaponry</v>
      </c>
      <c r="L1009" s="6" t="str">
        <f>IFERROR(__xludf.DUMMYFUNCTION("""COMPUTED_VALUE"""),"relate")</f>
        <v>relate</v>
      </c>
      <c r="M1009" s="6" t="str">
        <f>IFERROR(__xludf.DUMMYFUNCTION("""COMPUTED_VALUE"""),"power")</f>
        <v>power</v>
      </c>
      <c r="N1009" s="6" t="str">
        <f>IFERROR(__xludf.DUMMYFUNCTION("""COMPUTED_VALUE"""),"anonymous")</f>
        <v>anonymous</v>
      </c>
      <c r="P1009" s="6" t="str">
        <f>IFERROR(__xludf.DUMMYFUNCTION("""COMPUTED_VALUE"""),"savage")</f>
        <v>savage</v>
      </c>
      <c r="Q1009" s="6" t="str">
        <f>IFERROR(__xludf.DUMMYFUNCTION("""COMPUTED_VALUE"""),"recipe")</f>
        <v>recipe</v>
      </c>
      <c r="S1009" s="6" t="str">
        <f>IFERROR(__xludf.DUMMYFUNCTION("""COMPUTED_VALUE"""),"critics")</f>
        <v>critics</v>
      </c>
    </row>
    <row r="1010">
      <c r="B1010" s="6"/>
      <c r="D1010" s="6"/>
      <c r="G1010" s="6" t="str">
        <f>IFERROR(__xludf.DUMMYFUNCTION("""COMPUTED_VALUE"""),"gently")</f>
        <v>gently</v>
      </c>
      <c r="H1010" s="6" t="str">
        <f>IFERROR(__xludf.DUMMYFUNCTION("""COMPUTED_VALUE"""),"gasping")</f>
        <v>gasping</v>
      </c>
      <c r="I1010" s="6" t="str">
        <f>IFERROR(__xludf.DUMMYFUNCTION("""COMPUTED_VALUE"""),"southern")</f>
        <v>southern</v>
      </c>
      <c r="J1010" s="6" t="str">
        <f>IFERROR(__xludf.DUMMYFUNCTION("""COMPUTED_VALUE"""),"definitions")</f>
        <v>definitions</v>
      </c>
      <c r="L1010" s="6" t="str">
        <f>IFERROR(__xludf.DUMMYFUNCTION("""COMPUTED_VALUE"""),"tribute")</f>
        <v>tribute</v>
      </c>
      <c r="M1010" s="6" t="str">
        <f>IFERROR(__xludf.DUMMYFUNCTION("""COMPUTED_VALUE"""),"load")</f>
        <v>load</v>
      </c>
      <c r="N1010" s="6" t="str">
        <f>IFERROR(__xludf.DUMMYFUNCTION("""COMPUTED_VALUE"""),"shear")</f>
        <v>shear</v>
      </c>
      <c r="P1010" s="6" t="str">
        <f>IFERROR(__xludf.DUMMYFUNCTION("""COMPUTED_VALUE"""),"dimension")</f>
        <v>dimension</v>
      </c>
      <c r="Q1010" s="6" t="str">
        <f>IFERROR(__xludf.DUMMYFUNCTION("""COMPUTED_VALUE"""),"bags")</f>
        <v>bags</v>
      </c>
      <c r="S1010" s="6" t="str">
        <f>IFERROR(__xludf.DUMMYFUNCTION("""COMPUTED_VALUE"""),"swift")</f>
        <v>swift</v>
      </c>
    </row>
    <row r="1011">
      <c r="B1011" s="6"/>
      <c r="D1011" s="6"/>
      <c r="G1011" s="6" t="str">
        <f>IFERROR(__xludf.DUMMYFUNCTION("""COMPUTED_VALUE"""),"ounce")</f>
        <v>ounce</v>
      </c>
      <c r="H1011" s="6" t="str">
        <f>IFERROR(__xludf.DUMMYFUNCTION("""COMPUTED_VALUE"""),"workings")</f>
        <v>workings</v>
      </c>
      <c r="I1011" s="6" t="str">
        <f>IFERROR(__xludf.DUMMYFUNCTION("""COMPUTED_VALUE"""),"determination")</f>
        <v>determination</v>
      </c>
      <c r="J1011" s="6" t="str">
        <f>IFERROR(__xludf.DUMMYFUNCTION("""COMPUTED_VALUE"""),"thud")</f>
        <v>thud</v>
      </c>
      <c r="L1011" s="6" t="str">
        <f>IFERROR(__xludf.DUMMYFUNCTION("""COMPUTED_VALUE"""),"thrill")</f>
        <v>thrill</v>
      </c>
      <c r="M1011" s="6" t="str">
        <f>IFERROR(__xludf.DUMMYFUNCTION("""COMPUTED_VALUE"""),"prove")</f>
        <v>prove</v>
      </c>
      <c r="N1011" s="6" t="str">
        <f>IFERROR(__xludf.DUMMYFUNCTION("""COMPUTED_VALUE"""),"tragic")</f>
        <v>tragic</v>
      </c>
      <c r="P1011" s="6" t="str">
        <f>IFERROR(__xludf.DUMMYFUNCTION("""COMPUTED_VALUE"""),"hell")</f>
        <v>hell</v>
      </c>
      <c r="Q1011" s="6" t="str">
        <f>IFERROR(__xludf.DUMMYFUNCTION("""COMPUTED_VALUE"""),"suit")</f>
        <v>suit</v>
      </c>
      <c r="S1011" s="6" t="str">
        <f>IFERROR(__xludf.DUMMYFUNCTION("""COMPUTED_VALUE"""),"falling")</f>
        <v>falling</v>
      </c>
    </row>
    <row r="1012">
      <c r="B1012" s="6"/>
      <c r="D1012" s="6"/>
      <c r="G1012" s="6" t="str">
        <f>IFERROR(__xludf.DUMMYFUNCTION("""COMPUTED_VALUE"""),"strategic")</f>
        <v>strategic</v>
      </c>
      <c r="H1012" s="6" t="str">
        <f>IFERROR(__xludf.DUMMYFUNCTION("""COMPUTED_VALUE"""),"heightened")</f>
        <v>heightened</v>
      </c>
      <c r="I1012" s="6" t="str">
        <f>IFERROR(__xludf.DUMMYFUNCTION("""COMPUTED_VALUE"""),"surrounding")</f>
        <v>surrounding</v>
      </c>
      <c r="J1012" s="6" t="str">
        <f>IFERROR(__xludf.DUMMYFUNCTION("""COMPUTED_VALUE"""),"interpretation")</f>
        <v>interpretation</v>
      </c>
      <c r="L1012" s="6" t="str">
        <f>IFERROR(__xludf.DUMMYFUNCTION("""COMPUTED_VALUE"""),"widow")</f>
        <v>widow</v>
      </c>
      <c r="M1012" s="6" t="str">
        <f>IFERROR(__xludf.DUMMYFUNCTION("""COMPUTED_VALUE"""),"form")</f>
        <v>form</v>
      </c>
      <c r="N1012" s="6" t="str">
        <f>IFERROR(__xludf.DUMMYFUNCTION("""COMPUTED_VALUE"""),"utilizing")</f>
        <v>utilizing</v>
      </c>
      <c r="P1012" s="6" t="str">
        <f>IFERROR(__xludf.DUMMYFUNCTION("""COMPUTED_VALUE"""),"tiny")</f>
        <v>tiny</v>
      </c>
      <c r="Q1012" s="6" t="str">
        <f>IFERROR(__xludf.DUMMYFUNCTION("""COMPUTED_VALUE"""),"strangely")</f>
        <v>strangely</v>
      </c>
      <c r="S1012" s="6" t="str">
        <f>IFERROR(__xludf.DUMMYFUNCTION("""COMPUTED_VALUE"""),"signs")</f>
        <v>signs</v>
      </c>
    </row>
    <row r="1013">
      <c r="B1013" s="6"/>
      <c r="D1013" s="6"/>
      <c r="G1013" s="6" t="str">
        <f>IFERROR(__xludf.DUMMYFUNCTION("""COMPUTED_VALUE"""),"define")</f>
        <v>define</v>
      </c>
      <c r="H1013" s="6" t="str">
        <f>IFERROR(__xludf.DUMMYFUNCTION("""COMPUTED_VALUE"""),"virtues")</f>
        <v>virtues</v>
      </c>
      <c r="I1013" s="6" t="str">
        <f>IFERROR(__xludf.DUMMYFUNCTION("""COMPUTED_VALUE"""),"scientists")</f>
        <v>scientists</v>
      </c>
      <c r="J1013" s="6" t="str">
        <f>IFERROR(__xludf.DUMMYFUNCTION("""COMPUTED_VALUE"""),"lyrical")</f>
        <v>lyrical</v>
      </c>
      <c r="L1013" s="6" t="str">
        <f>IFERROR(__xludf.DUMMYFUNCTION("""COMPUTED_VALUE"""),"depth")</f>
        <v>depth</v>
      </c>
      <c r="M1013" s="6" t="str">
        <f>IFERROR(__xludf.DUMMYFUNCTION("""COMPUTED_VALUE"""),"afterwards")</f>
        <v>afterwards</v>
      </c>
      <c r="N1013" s="6" t="str">
        <f>IFERROR(__xludf.DUMMYFUNCTION("""COMPUTED_VALUE"""),"electric")</f>
        <v>electric</v>
      </c>
      <c r="P1013" s="6" t="str">
        <f>IFERROR(__xludf.DUMMYFUNCTION("""COMPUTED_VALUE"""),"rushed")</f>
        <v>rushed</v>
      </c>
      <c r="Q1013" s="6" t="str">
        <f>IFERROR(__xludf.DUMMYFUNCTION("""COMPUTED_VALUE"""),"ordinary")</f>
        <v>ordinary</v>
      </c>
      <c r="S1013" s="6" t="str">
        <f>IFERROR(__xludf.DUMMYFUNCTION("""COMPUTED_VALUE"""),"played")</f>
        <v>played</v>
      </c>
    </row>
    <row r="1014">
      <c r="B1014" s="6"/>
      <c r="D1014" s="6"/>
      <c r="G1014" s="6" t="str">
        <f>IFERROR(__xludf.DUMMYFUNCTION("""COMPUTED_VALUE"""),"helm")</f>
        <v>helm</v>
      </c>
      <c r="H1014" s="6" t="str">
        <f>IFERROR(__xludf.DUMMYFUNCTION("""COMPUTED_VALUE"""),"cameo")</f>
        <v>cameo</v>
      </c>
      <c r="I1014" s="6">
        <f>IFERROR(__xludf.DUMMYFUNCTION("""COMPUTED_VALUE"""),1952.0)</f>
        <v>1952</v>
      </c>
      <c r="J1014" s="6" t="str">
        <f>IFERROR(__xludf.DUMMYFUNCTION("""COMPUTED_VALUE"""),"blockbuster")</f>
        <v>blockbuster</v>
      </c>
      <c r="L1014" s="6" t="str">
        <f>IFERROR(__xludf.DUMMYFUNCTION("""COMPUTED_VALUE"""),"weep")</f>
        <v>weep</v>
      </c>
      <c r="M1014" s="6" t="str">
        <f>IFERROR(__xludf.DUMMYFUNCTION("""COMPUTED_VALUE"""),"mental")</f>
        <v>mental</v>
      </c>
      <c r="N1014" s="6" t="str">
        <f>IFERROR(__xludf.DUMMYFUNCTION("""COMPUTED_VALUE"""),"captures")</f>
        <v>captures</v>
      </c>
      <c r="P1014" s="6" t="str">
        <f>IFERROR(__xludf.DUMMYFUNCTION("""COMPUTED_VALUE"""),"garcia")</f>
        <v>garcia</v>
      </c>
      <c r="Q1014" s="6" t="str">
        <f>IFERROR(__xludf.DUMMYFUNCTION("""COMPUTED_VALUE"""),"performing")</f>
        <v>performing</v>
      </c>
      <c r="S1014" s="6" t="str">
        <f>IFERROR(__xludf.DUMMYFUNCTION("""COMPUTED_VALUE"""),"benefit")</f>
        <v>benefit</v>
      </c>
    </row>
    <row r="1015">
      <c r="B1015" s="6"/>
      <c r="D1015" s="6"/>
      <c r="G1015" s="6" t="str">
        <f>IFERROR(__xludf.DUMMYFUNCTION("""COMPUTED_VALUE"""),"philosophers")</f>
        <v>philosophers</v>
      </c>
      <c r="H1015" s="6" t="str">
        <f>IFERROR(__xludf.DUMMYFUNCTION("""COMPUTED_VALUE"""),"abyss")</f>
        <v>abyss</v>
      </c>
      <c r="I1015" s="6" t="str">
        <f>IFERROR(__xludf.DUMMYFUNCTION("""COMPUTED_VALUE"""),"defeated")</f>
        <v>defeated</v>
      </c>
      <c r="J1015" s="6" t="str">
        <f>IFERROR(__xludf.DUMMYFUNCTION("""COMPUTED_VALUE"""),"exploitation")</f>
        <v>exploitation</v>
      </c>
      <c r="L1015" s="6" t="str">
        <f>IFERROR(__xludf.DUMMYFUNCTION("""COMPUTED_VALUE"""),"iranian")</f>
        <v>iranian</v>
      </c>
      <c r="M1015" s="6" t="str">
        <f>IFERROR(__xludf.DUMMYFUNCTION("""COMPUTED_VALUE"""),"cast")</f>
        <v>cast</v>
      </c>
      <c r="N1015" s="6" t="str">
        <f>IFERROR(__xludf.DUMMYFUNCTION("""COMPUTED_VALUE"""),"ai")</f>
        <v>ai</v>
      </c>
      <c r="P1015" s="6" t="str">
        <f>IFERROR(__xludf.DUMMYFUNCTION("""COMPUTED_VALUE"""),"fees")</f>
        <v>fees</v>
      </c>
      <c r="Q1015" s="6" t="str">
        <f>IFERROR(__xludf.DUMMYFUNCTION("""COMPUTED_VALUE"""),"indie")</f>
        <v>indie</v>
      </c>
      <c r="S1015" s="6" t="str">
        <f>IFERROR(__xludf.DUMMYFUNCTION("""COMPUTED_VALUE"""),"committed")</f>
        <v>committed</v>
      </c>
    </row>
    <row r="1016">
      <c r="B1016" s="6"/>
      <c r="D1016" s="6"/>
      <c r="G1016" s="6" t="str">
        <f>IFERROR(__xludf.DUMMYFUNCTION("""COMPUTED_VALUE"""),"ritchie")</f>
        <v>ritchie</v>
      </c>
      <c r="H1016" s="6" t="str">
        <f>IFERROR(__xludf.DUMMYFUNCTION("""COMPUTED_VALUE"""),"depression")</f>
        <v>depression</v>
      </c>
      <c r="I1016" s="6" t="str">
        <f>IFERROR(__xludf.DUMMYFUNCTION("""COMPUTED_VALUE"""),"monument")</f>
        <v>monument</v>
      </c>
      <c r="J1016" s="6" t="str">
        <f>IFERROR(__xludf.DUMMYFUNCTION("""COMPUTED_VALUE"""),"emotion")</f>
        <v>emotion</v>
      </c>
      <c r="L1016" s="6" t="str">
        <f>IFERROR(__xludf.DUMMYFUNCTION("""COMPUTED_VALUE"""),"wasp")</f>
        <v>wasp</v>
      </c>
      <c r="M1016" s="6" t="str">
        <f>IFERROR(__xludf.DUMMYFUNCTION("""COMPUTED_VALUE"""),"jews")</f>
        <v>jews</v>
      </c>
      <c r="N1016" s="6" t="str">
        <f>IFERROR(__xludf.DUMMYFUNCTION("""COMPUTED_VALUE"""),"powerful")</f>
        <v>powerful</v>
      </c>
      <c r="P1016" s="6" t="str">
        <f>IFERROR(__xludf.DUMMYFUNCTION("""COMPUTED_VALUE"""),"relationship")</f>
        <v>relationship</v>
      </c>
      <c r="Q1016" s="6" t="str">
        <f>IFERROR(__xludf.DUMMYFUNCTION("""COMPUTED_VALUE"""),"fisher")</f>
        <v>fisher</v>
      </c>
      <c r="S1016" s="6" t="str">
        <f>IFERROR(__xludf.DUMMYFUNCTION("""COMPUTED_VALUE"""),"presence")</f>
        <v>presence</v>
      </c>
    </row>
    <row r="1017">
      <c r="B1017" s="6"/>
      <c r="D1017" s="6"/>
      <c r="G1017" s="6" t="str">
        <f>IFERROR(__xludf.DUMMYFUNCTION("""COMPUTED_VALUE"""),"miniseries")</f>
        <v>miniseries</v>
      </c>
      <c r="H1017" s="6" t="str">
        <f>IFERROR(__xludf.DUMMYFUNCTION("""COMPUTED_VALUE"""),"sinks")</f>
        <v>sinks</v>
      </c>
      <c r="I1017" s="6" t="str">
        <f>IFERROR(__xludf.DUMMYFUNCTION("""COMPUTED_VALUE"""),"minority")</f>
        <v>minority</v>
      </c>
      <c r="J1017" s="6" t="str">
        <f>IFERROR(__xludf.DUMMYFUNCTION("""COMPUTED_VALUE"""),"purge")</f>
        <v>purge</v>
      </c>
      <c r="L1017" s="6" t="str">
        <f>IFERROR(__xludf.DUMMYFUNCTION("""COMPUTED_VALUE"""),"douglas")</f>
        <v>douglas</v>
      </c>
      <c r="M1017" s="6" t="str">
        <f>IFERROR(__xludf.DUMMYFUNCTION("""COMPUTED_VALUE"""),"ending")</f>
        <v>ending</v>
      </c>
      <c r="N1017" s="6" t="str">
        <f>IFERROR(__xludf.DUMMYFUNCTION("""COMPUTED_VALUE"""),"quietly")</f>
        <v>quietly</v>
      </c>
      <c r="P1017" s="6" t="str">
        <f>IFERROR(__xludf.DUMMYFUNCTION("""COMPUTED_VALUE"""),"seek")</f>
        <v>seek</v>
      </c>
      <c r="Q1017" s="6" t="str">
        <f>IFERROR(__xludf.DUMMYFUNCTION("""COMPUTED_VALUE"""),"odyssey")</f>
        <v>odyssey</v>
      </c>
      <c r="S1017" s="6" t="str">
        <f>IFERROR(__xludf.DUMMYFUNCTION("""COMPUTED_VALUE"""),"commanding")</f>
        <v>commanding</v>
      </c>
    </row>
    <row r="1018">
      <c r="B1018" s="6"/>
      <c r="D1018" s="6"/>
      <c r="G1018" s="6" t="str">
        <f>IFERROR(__xludf.DUMMYFUNCTION("""COMPUTED_VALUE"""),"ironic")</f>
        <v>ironic</v>
      </c>
      <c r="H1018" s="6" t="str">
        <f>IFERROR(__xludf.DUMMYFUNCTION("""COMPUTED_VALUE"""),"eroded")</f>
        <v>eroded</v>
      </c>
      <c r="I1018" s="6" t="str">
        <f>IFERROR(__xludf.DUMMYFUNCTION("""COMPUTED_VALUE"""),"spine")</f>
        <v>spine</v>
      </c>
      <c r="J1018" s="6" t="str">
        <f>IFERROR(__xludf.DUMMYFUNCTION("""COMPUTED_VALUE"""),"triumph")</f>
        <v>triumph</v>
      </c>
      <c r="L1018" s="6" t="str">
        <f>IFERROR(__xludf.DUMMYFUNCTION("""COMPUTED_VALUE"""),"rode")</f>
        <v>rode</v>
      </c>
      <c r="M1018" s="6" t="str">
        <f>IFERROR(__xludf.DUMMYFUNCTION("""COMPUTED_VALUE"""),"rhythm")</f>
        <v>rhythm</v>
      </c>
      <c r="N1018" s="6" t="str">
        <f>IFERROR(__xludf.DUMMYFUNCTION("""COMPUTED_VALUE"""),"distinctive")</f>
        <v>distinctive</v>
      </c>
      <c r="P1018" s="6" t="str">
        <f>IFERROR(__xludf.DUMMYFUNCTION("""COMPUTED_VALUE"""),"flash")</f>
        <v>flash</v>
      </c>
      <c r="Q1018" s="6" t="str">
        <f>IFERROR(__xludf.DUMMYFUNCTION("""COMPUTED_VALUE"""),"hopkins")</f>
        <v>hopkins</v>
      </c>
      <c r="S1018" s="6" t="str">
        <f>IFERROR(__xludf.DUMMYFUNCTION("""COMPUTED_VALUE"""),"staged")</f>
        <v>staged</v>
      </c>
    </row>
    <row r="1019">
      <c r="B1019" s="6"/>
      <c r="D1019" s="6"/>
      <c r="G1019" s="6" t="str">
        <f>IFERROR(__xludf.DUMMYFUNCTION("""COMPUTED_VALUE"""),"endurance")</f>
        <v>endurance</v>
      </c>
      <c r="H1019" s="6" t="str">
        <f>IFERROR(__xludf.DUMMYFUNCTION("""COMPUTED_VALUE"""),"flawed")</f>
        <v>flawed</v>
      </c>
      <c r="I1019" s="6" t="str">
        <f>IFERROR(__xludf.DUMMYFUNCTION("""COMPUTED_VALUE"""),"environmental")</f>
        <v>environmental</v>
      </c>
      <c r="J1019" s="6" t="str">
        <f>IFERROR(__xludf.DUMMYFUNCTION("""COMPUTED_VALUE"""),"marvelous")</f>
        <v>marvelous</v>
      </c>
      <c r="L1019" s="6" t="str">
        <f>IFERROR(__xludf.DUMMYFUNCTION("""COMPUTED_VALUE"""),"tightened")</f>
        <v>tightened</v>
      </c>
      <c r="M1019" s="6" t="str">
        <f>IFERROR(__xludf.DUMMYFUNCTION("""COMPUTED_VALUE"""),"fashion")</f>
        <v>fashion</v>
      </c>
      <c r="N1019" s="6" t="str">
        <f>IFERROR(__xludf.DUMMYFUNCTION("""COMPUTED_VALUE"""),"finds")</f>
        <v>finds</v>
      </c>
      <c r="P1019" s="6" t="str">
        <f>IFERROR(__xludf.DUMMYFUNCTION("""COMPUTED_VALUE"""),"wise")</f>
        <v>wise</v>
      </c>
      <c r="Q1019" s="6" t="str">
        <f>IFERROR(__xludf.DUMMYFUNCTION("""COMPUTED_VALUE"""),"establishes")</f>
        <v>establishes</v>
      </c>
      <c r="S1019" s="6" t="str">
        <f>IFERROR(__xludf.DUMMYFUNCTION("""COMPUTED_VALUE"""),"spinning")</f>
        <v>spinning</v>
      </c>
    </row>
    <row r="1020">
      <c r="B1020" s="6"/>
      <c r="D1020" s="6"/>
      <c r="G1020" s="6" t="str">
        <f>IFERROR(__xludf.DUMMYFUNCTION("""COMPUTED_VALUE"""),"tightened")</f>
        <v>tightened</v>
      </c>
      <c r="H1020" s="6" t="str">
        <f>IFERROR(__xludf.DUMMYFUNCTION("""COMPUTED_VALUE"""),"comprehend")</f>
        <v>comprehend</v>
      </c>
      <c r="I1020" s="6" t="str">
        <f>IFERROR(__xludf.DUMMYFUNCTION("""COMPUTED_VALUE"""),"topics")</f>
        <v>topics</v>
      </c>
      <c r="J1020" s="6" t="str">
        <f>IFERROR(__xludf.DUMMYFUNCTION("""COMPUTED_VALUE"""),"shifted")</f>
        <v>shifted</v>
      </c>
      <c r="L1020" s="6" t="str">
        <f>IFERROR(__xludf.DUMMYFUNCTION("""COMPUTED_VALUE"""),"motion")</f>
        <v>motion</v>
      </c>
      <c r="M1020" s="6" t="str">
        <f>IFERROR(__xludf.DUMMYFUNCTION("""COMPUTED_VALUE"""),"sudden")</f>
        <v>sudden</v>
      </c>
      <c r="N1020" s="6" t="str">
        <f>IFERROR(__xludf.DUMMYFUNCTION("""COMPUTED_VALUE"""),"targeted")</f>
        <v>targeted</v>
      </c>
      <c r="P1020" s="6" t="str">
        <f>IFERROR(__xludf.DUMMYFUNCTION("""COMPUTED_VALUE"""),"distinguished")</f>
        <v>distinguished</v>
      </c>
      <c r="Q1020" s="6" t="str">
        <f>IFERROR(__xludf.DUMMYFUNCTION("""COMPUTED_VALUE"""),"metropolis")</f>
        <v>metropolis</v>
      </c>
      <c r="S1020" s="6" t="str">
        <f>IFERROR(__xludf.DUMMYFUNCTION("""COMPUTED_VALUE"""),"kong")</f>
        <v>kong</v>
      </c>
    </row>
    <row r="1021">
      <c r="B1021" s="6"/>
      <c r="D1021" s="6"/>
      <c r="G1021" s="6" t="str">
        <f>IFERROR(__xludf.DUMMYFUNCTION("""COMPUTED_VALUE"""),"collaborative")</f>
        <v>collaborative</v>
      </c>
      <c r="H1021" s="6" t="str">
        <f>IFERROR(__xludf.DUMMYFUNCTION("""COMPUTED_VALUE"""),"lifts")</f>
        <v>lifts</v>
      </c>
      <c r="I1021" s="6" t="str">
        <f>IFERROR(__xludf.DUMMYFUNCTION("""COMPUTED_VALUE"""),"alfred")</f>
        <v>alfred</v>
      </c>
      <c r="J1021" s="6" t="str">
        <f>IFERROR(__xludf.DUMMYFUNCTION("""COMPUTED_VALUE"""),"proposes")</f>
        <v>proposes</v>
      </c>
      <c r="L1021" s="6" t="str">
        <f>IFERROR(__xludf.DUMMYFUNCTION("""COMPUTED_VALUE"""),"masterpiece")</f>
        <v>masterpiece</v>
      </c>
      <c r="M1021" s="6" t="str">
        <f>IFERROR(__xludf.DUMMYFUNCTION("""COMPUTED_VALUE"""),"references")</f>
        <v>references</v>
      </c>
      <c r="N1021" s="6" t="str">
        <f>IFERROR(__xludf.DUMMYFUNCTION("""COMPUTED_VALUE"""),"stroke")</f>
        <v>stroke</v>
      </c>
      <c r="P1021" s="6" t="str">
        <f>IFERROR(__xludf.DUMMYFUNCTION("""COMPUTED_VALUE"""),"thousand")</f>
        <v>thousand</v>
      </c>
      <c r="Q1021" s="6" t="str">
        <f>IFERROR(__xludf.DUMMYFUNCTION("""COMPUTED_VALUE"""),"villain")</f>
        <v>villain</v>
      </c>
      <c r="S1021" s="6" t="str">
        <f>IFERROR(__xludf.DUMMYFUNCTION("""COMPUTED_VALUE"""),"forced")</f>
        <v>forced</v>
      </c>
    </row>
    <row r="1022">
      <c r="B1022" s="6"/>
      <c r="D1022" s="6"/>
      <c r="G1022" s="6" t="str">
        <f>IFERROR(__xludf.DUMMYFUNCTION("""COMPUTED_VALUE"""),"apollo")</f>
        <v>apollo</v>
      </c>
      <c r="H1022" s="6" t="str">
        <f>IFERROR(__xludf.DUMMYFUNCTION("""COMPUTED_VALUE"""),"regain")</f>
        <v>regain</v>
      </c>
      <c r="I1022" s="6" t="str">
        <f>IFERROR(__xludf.DUMMYFUNCTION("""COMPUTED_VALUE"""),"shakespeare")</f>
        <v>shakespeare</v>
      </c>
      <c r="J1022" s="6" t="str">
        <f>IFERROR(__xludf.DUMMYFUNCTION("""COMPUTED_VALUE"""),"mistress")</f>
        <v>mistress</v>
      </c>
      <c r="L1022" s="6" t="str">
        <f>IFERROR(__xludf.DUMMYFUNCTION("""COMPUTED_VALUE"""),"pulp")</f>
        <v>pulp</v>
      </c>
      <c r="M1022" s="6" t="str">
        <f>IFERROR(__xludf.DUMMYFUNCTION("""COMPUTED_VALUE"""),"achieve")</f>
        <v>achieve</v>
      </c>
      <c r="N1022" s="6" t="str">
        <f>IFERROR(__xludf.DUMMYFUNCTION("""COMPUTED_VALUE"""),"forum")</f>
        <v>forum</v>
      </c>
      <c r="P1022" s="6" t="str">
        <f>IFERROR(__xludf.DUMMYFUNCTION("""COMPUTED_VALUE"""),"reign")</f>
        <v>reign</v>
      </c>
      <c r="Q1022" s="6" t="str">
        <f>IFERROR(__xludf.DUMMYFUNCTION("""COMPUTED_VALUE"""),"let")</f>
        <v>let</v>
      </c>
      <c r="S1022" s="6" t="str">
        <f>IFERROR(__xludf.DUMMYFUNCTION("""COMPUTED_VALUE"""),"dismissed")</f>
        <v>dismissed</v>
      </c>
    </row>
    <row r="1023">
      <c r="B1023" s="6"/>
      <c r="D1023" s="6"/>
      <c r="G1023" s="6" t="str">
        <f>IFERROR(__xludf.DUMMYFUNCTION("""COMPUTED_VALUE"""),"ai")</f>
        <v>ai</v>
      </c>
      <c r="H1023" s="6" t="str">
        <f>IFERROR(__xludf.DUMMYFUNCTION("""COMPUTED_VALUE"""),"manipulation")</f>
        <v>manipulation</v>
      </c>
      <c r="I1023" s="6" t="str">
        <f>IFERROR(__xludf.DUMMYFUNCTION("""COMPUTED_VALUE"""),"lucas")</f>
        <v>lucas</v>
      </c>
      <c r="J1023" s="6" t="str">
        <f>IFERROR(__xludf.DUMMYFUNCTION("""COMPUTED_VALUE"""),"breakthrough")</f>
        <v>breakthrough</v>
      </c>
      <c r="L1023" s="6" t="str">
        <f>IFERROR(__xludf.DUMMYFUNCTION("""COMPUTED_VALUE"""),"portrait")</f>
        <v>portrait</v>
      </c>
      <c r="M1023" s="6" t="str">
        <f>IFERROR(__xludf.DUMMYFUNCTION("""COMPUTED_VALUE"""),"sharp")</f>
        <v>sharp</v>
      </c>
      <c r="N1023" s="6" t="str">
        <f>IFERROR(__xludf.DUMMYFUNCTION("""COMPUTED_VALUE"""),"ferrara")</f>
        <v>ferrara</v>
      </c>
      <c r="P1023" s="6" t="str">
        <f>IFERROR(__xludf.DUMMYFUNCTION("""COMPUTED_VALUE"""),"dragons")</f>
        <v>dragons</v>
      </c>
      <c r="Q1023" s="6" t="str">
        <f>IFERROR(__xludf.DUMMYFUNCTION("""COMPUTED_VALUE"""),"discovering")</f>
        <v>discovering</v>
      </c>
      <c r="S1023" s="6" t="str">
        <f>IFERROR(__xludf.DUMMYFUNCTION("""COMPUTED_VALUE"""),"source")</f>
        <v>source</v>
      </c>
    </row>
    <row r="1024">
      <c r="B1024" s="6"/>
      <c r="D1024" s="6"/>
      <c r="G1024" s="6" t="str">
        <f>IFERROR(__xludf.DUMMYFUNCTION("""COMPUTED_VALUE"""),"boundaries")</f>
        <v>boundaries</v>
      </c>
      <c r="H1024" s="6" t="str">
        <f>IFERROR(__xludf.DUMMYFUNCTION("""COMPUTED_VALUE"""),"optimism")</f>
        <v>optimism</v>
      </c>
      <c r="I1024" s="6" t="str">
        <f>IFERROR(__xludf.DUMMYFUNCTION("""COMPUTED_VALUE"""),"fighters")</f>
        <v>fighters</v>
      </c>
      <c r="J1024" s="6" t="str">
        <f>IFERROR(__xludf.DUMMYFUNCTION("""COMPUTED_VALUE"""),"television")</f>
        <v>television</v>
      </c>
      <c r="L1024" s="6" t="str">
        <f>IFERROR(__xludf.DUMMYFUNCTION("""COMPUTED_VALUE"""),"fighters")</f>
        <v>fighters</v>
      </c>
      <c r="M1024" s="6" t="str">
        <f>IFERROR(__xludf.DUMMYFUNCTION("""COMPUTED_VALUE"""),"worry")</f>
        <v>worry</v>
      </c>
      <c r="N1024" s="6" t="str">
        <f>IFERROR(__xludf.DUMMYFUNCTION("""COMPUTED_VALUE"""),"yank")</f>
        <v>yank</v>
      </c>
      <c r="P1024" s="6" t="str">
        <f>IFERROR(__xludf.DUMMYFUNCTION("""COMPUTED_VALUE"""),"models")</f>
        <v>models</v>
      </c>
      <c r="Q1024" s="6" t="str">
        <f>IFERROR(__xludf.DUMMYFUNCTION("""COMPUTED_VALUE"""),"teacher")</f>
        <v>teacher</v>
      </c>
      <c r="S1024" s="6" t="str">
        <f>IFERROR(__xludf.DUMMYFUNCTION("""COMPUTED_VALUE"""),"revolution")</f>
        <v>revolution</v>
      </c>
    </row>
    <row r="1025">
      <c r="B1025" s="6"/>
      <c r="D1025" s="6"/>
      <c r="G1025" s="6" t="str">
        <f>IFERROR(__xludf.DUMMYFUNCTION("""COMPUTED_VALUE"""),"unnamed")</f>
        <v>unnamed</v>
      </c>
      <c r="H1025" s="6" t="str">
        <f>IFERROR(__xludf.DUMMYFUNCTION("""COMPUTED_VALUE"""),"hughes")</f>
        <v>hughes</v>
      </c>
      <c r="I1025" s="6" t="str">
        <f>IFERROR(__xludf.DUMMYFUNCTION("""COMPUTED_VALUE"""),"functions")</f>
        <v>functions</v>
      </c>
      <c r="J1025" s="6" t="str">
        <f>IFERROR(__xludf.DUMMYFUNCTION("""COMPUTED_VALUE"""),"assumes")</f>
        <v>assumes</v>
      </c>
      <c r="L1025" s="6" t="str">
        <f>IFERROR(__xludf.DUMMYFUNCTION("""COMPUTED_VALUE"""),"tuned")</f>
        <v>tuned</v>
      </c>
      <c r="M1025" s="6" t="str">
        <f>IFERROR(__xludf.DUMMYFUNCTION("""COMPUTED_VALUE"""),"brush")</f>
        <v>brush</v>
      </c>
      <c r="N1025" s="6">
        <f>IFERROR(__xludf.DUMMYFUNCTION("""COMPUTED_VALUE"""),2002.0)</f>
        <v>2002</v>
      </c>
      <c r="P1025" s="6" t="str">
        <f>IFERROR(__xludf.DUMMYFUNCTION("""COMPUTED_VALUE"""),"bag")</f>
        <v>bag</v>
      </c>
      <c r="Q1025" s="6" t="str">
        <f>IFERROR(__xludf.DUMMYFUNCTION("""COMPUTED_VALUE"""),"increasingly")</f>
        <v>increasingly</v>
      </c>
      <c r="S1025" s="6" t="str">
        <f>IFERROR(__xludf.DUMMYFUNCTION("""COMPUTED_VALUE"""),"tim")</f>
        <v>tim</v>
      </c>
    </row>
    <row r="1026">
      <c r="B1026" s="6"/>
      <c r="D1026" s="6"/>
      <c r="G1026" s="6" t="str">
        <f>IFERROR(__xludf.DUMMYFUNCTION("""COMPUTED_VALUE"""),"stretched")</f>
        <v>stretched</v>
      </c>
      <c r="H1026" s="6" t="str">
        <f>IFERROR(__xludf.DUMMYFUNCTION("""COMPUTED_VALUE"""),"elder")</f>
        <v>elder</v>
      </c>
      <c r="I1026" s="6" t="str">
        <f>IFERROR(__xludf.DUMMYFUNCTION("""COMPUTED_VALUE"""),"buried")</f>
        <v>buried</v>
      </c>
      <c r="J1026" s="6" t="str">
        <f>IFERROR(__xludf.DUMMYFUNCTION("""COMPUTED_VALUE"""),"unmistakable")</f>
        <v>unmistakable</v>
      </c>
      <c r="L1026" s="6" t="str">
        <f>IFERROR(__xludf.DUMMYFUNCTION("""COMPUTED_VALUE"""),"visually")</f>
        <v>visually</v>
      </c>
      <c r="M1026" s="6" t="str">
        <f>IFERROR(__xludf.DUMMYFUNCTION("""COMPUTED_VALUE"""),"follow")</f>
        <v>follow</v>
      </c>
      <c r="N1026" s="6" t="str">
        <f>IFERROR(__xludf.DUMMYFUNCTION("""COMPUTED_VALUE"""),"redundant")</f>
        <v>redundant</v>
      </c>
      <c r="P1026" s="6" t="str">
        <f>IFERROR(__xludf.DUMMYFUNCTION("""COMPUTED_VALUE"""),"grin")</f>
        <v>grin</v>
      </c>
      <c r="Q1026" s="6" t="str">
        <f>IFERROR(__xludf.DUMMYFUNCTION("""COMPUTED_VALUE"""),"plotting")</f>
        <v>plotting</v>
      </c>
      <c r="S1026" s="6" t="str">
        <f>IFERROR(__xludf.DUMMYFUNCTION("""COMPUTED_VALUE"""),"gear")</f>
        <v>gear</v>
      </c>
    </row>
    <row r="1027">
      <c r="B1027" s="6"/>
      <c r="D1027" s="6"/>
      <c r="G1027" s="6" t="str">
        <f>IFERROR(__xludf.DUMMYFUNCTION("""COMPUTED_VALUE"""),"ambition")</f>
        <v>ambition</v>
      </c>
      <c r="H1027" s="6" t="str">
        <f>IFERROR(__xludf.DUMMYFUNCTION("""COMPUTED_VALUE"""),"musical")</f>
        <v>musical</v>
      </c>
      <c r="I1027" s="6" t="str">
        <f>IFERROR(__xludf.DUMMYFUNCTION("""COMPUTED_VALUE"""),"copenhagen")</f>
        <v>copenhagen</v>
      </c>
      <c r="J1027" s="6" t="str">
        <f>IFERROR(__xludf.DUMMYFUNCTION("""COMPUTED_VALUE"""),"capture")</f>
        <v>capture</v>
      </c>
      <c r="L1027" s="6" t="str">
        <f>IFERROR(__xludf.DUMMYFUNCTION("""COMPUTED_VALUE"""),"dawn")</f>
        <v>dawn</v>
      </c>
      <c r="M1027" s="6" t="str">
        <f>IFERROR(__xludf.DUMMYFUNCTION("""COMPUTED_VALUE"""),"pressed")</f>
        <v>pressed</v>
      </c>
      <c r="N1027" s="6" t="str">
        <f>IFERROR(__xludf.DUMMYFUNCTION("""COMPUTED_VALUE"""),"demonstrate")</f>
        <v>demonstrate</v>
      </c>
      <c r="P1027" s="6" t="str">
        <f>IFERROR(__xludf.DUMMYFUNCTION("""COMPUTED_VALUE"""),"managed")</f>
        <v>managed</v>
      </c>
      <c r="Q1027" s="6" t="str">
        <f>IFERROR(__xludf.DUMMYFUNCTION("""COMPUTED_VALUE"""),"specimen")</f>
        <v>specimen</v>
      </c>
      <c r="S1027" s="6" t="str">
        <f>IFERROR(__xludf.DUMMYFUNCTION("""COMPUTED_VALUE"""),"huge")</f>
        <v>huge</v>
      </c>
    </row>
    <row r="1028">
      <c r="B1028" s="6"/>
      <c r="D1028" s="6"/>
      <c r="G1028" s="6" t="str">
        <f>IFERROR(__xludf.DUMMYFUNCTION("""COMPUTED_VALUE"""),"improvised")</f>
        <v>improvised</v>
      </c>
      <c r="H1028" s="6" t="str">
        <f>IFERROR(__xludf.DUMMYFUNCTION("""COMPUTED_VALUE"""),"terror")</f>
        <v>terror</v>
      </c>
      <c r="I1028" s="6" t="str">
        <f>IFERROR(__xludf.DUMMYFUNCTION("""COMPUTED_VALUE"""),"neighborhood")</f>
        <v>neighborhood</v>
      </c>
      <c r="J1028" s="6" t="str">
        <f>IFERROR(__xludf.DUMMYFUNCTION("""COMPUTED_VALUE"""),"penetrating")</f>
        <v>penetrating</v>
      </c>
      <c r="L1028" s="6" t="str">
        <f>IFERROR(__xludf.DUMMYFUNCTION("""COMPUTED_VALUE"""),"grant")</f>
        <v>grant</v>
      </c>
      <c r="M1028" s="6" t="str">
        <f>IFERROR(__xludf.DUMMYFUNCTION("""COMPUTED_VALUE"""),"tools")</f>
        <v>tools</v>
      </c>
      <c r="N1028" s="6" t="str">
        <f>IFERROR(__xludf.DUMMYFUNCTION("""COMPUTED_VALUE"""),"amusement")</f>
        <v>amusement</v>
      </c>
      <c r="P1028" s="6" t="str">
        <f>IFERROR(__xludf.DUMMYFUNCTION("""COMPUTED_VALUE"""),"wang")</f>
        <v>wang</v>
      </c>
      <c r="Q1028" s="6" t="str">
        <f>IFERROR(__xludf.DUMMYFUNCTION("""COMPUTED_VALUE"""),"worked")</f>
        <v>worked</v>
      </c>
      <c r="S1028" s="6" t="str">
        <f>IFERROR(__xludf.DUMMYFUNCTION("""COMPUTED_VALUE"""),"search")</f>
        <v>search</v>
      </c>
    </row>
    <row r="1029">
      <c r="B1029" s="6"/>
      <c r="D1029" s="6"/>
      <c r="G1029" s="6" t="str">
        <f>IFERROR(__xludf.DUMMYFUNCTION("""COMPUTED_VALUE"""),"tapestry")</f>
        <v>tapestry</v>
      </c>
      <c r="H1029" s="6" t="str">
        <f>IFERROR(__xludf.DUMMYFUNCTION("""COMPUTED_VALUE"""),"intentions")</f>
        <v>intentions</v>
      </c>
      <c r="I1029" s="6" t="str">
        <f>IFERROR(__xludf.DUMMYFUNCTION("""COMPUTED_VALUE"""),"iii")</f>
        <v>iii</v>
      </c>
      <c r="J1029" s="6" t="str">
        <f>IFERROR(__xludf.DUMMYFUNCTION("""COMPUTED_VALUE"""),"fascination")</f>
        <v>fascination</v>
      </c>
      <c r="L1029" s="6" t="str">
        <f>IFERROR(__xludf.DUMMYFUNCTION("""COMPUTED_VALUE"""),"peek")</f>
        <v>peek</v>
      </c>
      <c r="M1029" s="6" t="str">
        <f>IFERROR(__xludf.DUMMYFUNCTION("""COMPUTED_VALUE"""),"nose")</f>
        <v>nose</v>
      </c>
      <c r="N1029" s="6" t="str">
        <f>IFERROR(__xludf.DUMMYFUNCTION("""COMPUTED_VALUE"""),"determine")</f>
        <v>determine</v>
      </c>
      <c r="P1029" s="6" t="str">
        <f>IFERROR(__xludf.DUMMYFUNCTION("""COMPUTED_VALUE"""),"surrender")</f>
        <v>surrender</v>
      </c>
      <c r="Q1029" s="6" t="str">
        <f>IFERROR(__xludf.DUMMYFUNCTION("""COMPUTED_VALUE"""),"inspire")</f>
        <v>inspire</v>
      </c>
      <c r="S1029" s="6" t="str">
        <f>IFERROR(__xludf.DUMMYFUNCTION("""COMPUTED_VALUE"""),"pop")</f>
        <v>pop</v>
      </c>
    </row>
    <row r="1030">
      <c r="B1030" s="6"/>
      <c r="D1030" s="6"/>
      <c r="G1030" s="6" t="str">
        <f>IFERROR(__xludf.DUMMYFUNCTION("""COMPUTED_VALUE"""),"symbolic")</f>
        <v>symbolic</v>
      </c>
      <c r="H1030" s="6" t="str">
        <f>IFERROR(__xludf.DUMMYFUNCTION("""COMPUTED_VALUE"""),"owes")</f>
        <v>owes</v>
      </c>
      <c r="I1030" s="6" t="str">
        <f>IFERROR(__xludf.DUMMYFUNCTION("""COMPUTED_VALUE"""),"charles")</f>
        <v>charles</v>
      </c>
      <c r="J1030" s="6" t="str">
        <f>IFERROR(__xludf.DUMMYFUNCTION("""COMPUTED_VALUE"""),"undone")</f>
        <v>undone</v>
      </c>
      <c r="L1030" s="6" t="str">
        <f>IFERROR(__xludf.DUMMYFUNCTION("""COMPUTED_VALUE"""),"stupidity")</f>
        <v>stupidity</v>
      </c>
      <c r="M1030" s="6" t="str">
        <f>IFERROR(__xludf.DUMMYFUNCTION("""COMPUTED_VALUE"""),"layers")</f>
        <v>layers</v>
      </c>
      <c r="N1030" s="6" t="str">
        <f>IFERROR(__xludf.DUMMYFUNCTION("""COMPUTED_VALUE"""),"drawn")</f>
        <v>drawn</v>
      </c>
      <c r="P1030" s="6" t="str">
        <f>IFERROR(__xludf.DUMMYFUNCTION("""COMPUTED_VALUE"""),"throwing")</f>
        <v>throwing</v>
      </c>
      <c r="Q1030" s="6" t="str">
        <f>IFERROR(__xludf.DUMMYFUNCTION("""COMPUTED_VALUE"""),"shrill")</f>
        <v>shrill</v>
      </c>
      <c r="S1030" s="6" t="str">
        <f>IFERROR(__xludf.DUMMYFUNCTION("""COMPUTED_VALUE"""),"maintains")</f>
        <v>maintains</v>
      </c>
    </row>
    <row r="1031">
      <c r="B1031" s="6"/>
      <c r="D1031" s="6"/>
      <c r="G1031" s="6" t="str">
        <f>IFERROR(__xludf.DUMMYFUNCTION("""COMPUTED_VALUE"""),"assert")</f>
        <v>assert</v>
      </c>
      <c r="H1031" s="6" t="str">
        <f>IFERROR(__xludf.DUMMYFUNCTION("""COMPUTED_VALUE"""),"genesis")</f>
        <v>genesis</v>
      </c>
      <c r="I1031" s="6" t="str">
        <f>IFERROR(__xludf.DUMMYFUNCTION("""COMPUTED_VALUE"""),"proposal")</f>
        <v>proposal</v>
      </c>
      <c r="J1031" s="6" t="str">
        <f>IFERROR(__xludf.DUMMYFUNCTION("""COMPUTED_VALUE"""),"heard")</f>
        <v>heard</v>
      </c>
      <c r="L1031" s="6" t="str">
        <f>IFERROR(__xludf.DUMMYFUNCTION("""COMPUTED_VALUE"""),"jet")</f>
        <v>jet</v>
      </c>
      <c r="M1031" s="6" t="str">
        <f>IFERROR(__xludf.DUMMYFUNCTION("""COMPUTED_VALUE"""),"thoughts")</f>
        <v>thoughts</v>
      </c>
      <c r="N1031" s="6" t="str">
        <f>IFERROR(__xludf.DUMMYFUNCTION("""COMPUTED_VALUE"""),"wilson")</f>
        <v>wilson</v>
      </c>
      <c r="P1031" s="6" t="str">
        <f>IFERROR(__xludf.DUMMYFUNCTION("""COMPUTED_VALUE"""),"span")</f>
        <v>span</v>
      </c>
      <c r="Q1031" s="6" t="str">
        <f>IFERROR(__xludf.DUMMYFUNCTION("""COMPUTED_VALUE"""),"sinister")</f>
        <v>sinister</v>
      </c>
      <c r="S1031" s="6" t="str">
        <f>IFERROR(__xludf.DUMMYFUNCTION("""COMPUTED_VALUE"""),"pat")</f>
        <v>pat</v>
      </c>
    </row>
    <row r="1032">
      <c r="B1032" s="6"/>
      <c r="D1032" s="6"/>
      <c r="G1032" s="6" t="str">
        <f>IFERROR(__xludf.DUMMYFUNCTION("""COMPUTED_VALUE"""),"lean")</f>
        <v>lean</v>
      </c>
      <c r="H1032" s="6" t="str">
        <f>IFERROR(__xludf.DUMMYFUNCTION("""COMPUTED_VALUE"""),"naval")</f>
        <v>naval</v>
      </c>
      <c r="I1032" s="6" t="str">
        <f>IFERROR(__xludf.DUMMYFUNCTION("""COMPUTED_VALUE"""),"eventual")</f>
        <v>eventual</v>
      </c>
      <c r="J1032" s="6" t="str">
        <f>IFERROR(__xludf.DUMMYFUNCTION("""COMPUTED_VALUE"""),"inspiration")</f>
        <v>inspiration</v>
      </c>
      <c r="L1032" s="6" t="str">
        <f>IFERROR(__xludf.DUMMYFUNCTION("""COMPUTED_VALUE"""),"consciousness")</f>
        <v>consciousness</v>
      </c>
      <c r="M1032" s="6" t="str">
        <f>IFERROR(__xludf.DUMMYFUNCTION("""COMPUTED_VALUE"""),"sword")</f>
        <v>sword</v>
      </c>
      <c r="N1032" s="6" t="str">
        <f>IFERROR(__xludf.DUMMYFUNCTION("""COMPUTED_VALUE"""),"directors")</f>
        <v>directors</v>
      </c>
      <c r="P1032" s="6" t="str">
        <f>IFERROR(__xludf.DUMMYFUNCTION("""COMPUTED_VALUE"""),"held")</f>
        <v>held</v>
      </c>
      <c r="Q1032" s="6" t="str">
        <f>IFERROR(__xludf.DUMMYFUNCTION("""COMPUTED_VALUE"""),"seconds")</f>
        <v>seconds</v>
      </c>
      <c r="S1032" s="6" t="str">
        <f>IFERROR(__xludf.DUMMYFUNCTION("""COMPUTED_VALUE"""),"visible")</f>
        <v>visible</v>
      </c>
    </row>
    <row r="1033">
      <c r="B1033" s="6"/>
      <c r="D1033" s="6"/>
      <c r="G1033" s="6" t="str">
        <f>IFERROR(__xludf.DUMMYFUNCTION("""COMPUTED_VALUE"""),"freedom")</f>
        <v>freedom</v>
      </c>
      <c r="H1033" s="6" t="str">
        <f>IFERROR(__xludf.DUMMYFUNCTION("""COMPUTED_VALUE"""),"tears")</f>
        <v>tears</v>
      </c>
      <c r="I1033" s="6" t="str">
        <f>IFERROR(__xludf.DUMMYFUNCTION("""COMPUTED_VALUE"""),"heavyweight")</f>
        <v>heavyweight</v>
      </c>
      <c r="J1033" s="6" t="str">
        <f>IFERROR(__xludf.DUMMYFUNCTION("""COMPUTED_VALUE"""),"nicholson")</f>
        <v>nicholson</v>
      </c>
      <c r="L1033" s="6" t="str">
        <f>IFERROR(__xludf.DUMMYFUNCTION("""COMPUTED_VALUE"""),"enthusiasm")</f>
        <v>enthusiasm</v>
      </c>
      <c r="M1033" s="6" t="str">
        <f>IFERROR(__xludf.DUMMYFUNCTION("""COMPUTED_VALUE"""),"teeth")</f>
        <v>teeth</v>
      </c>
      <c r="N1033" s="6" t="str">
        <f>IFERROR(__xludf.DUMMYFUNCTION("""COMPUTED_VALUE"""),"mercy")</f>
        <v>mercy</v>
      </c>
      <c r="P1033" s="6" t="str">
        <f>IFERROR(__xludf.DUMMYFUNCTION("""COMPUTED_VALUE"""),"odd")</f>
        <v>odd</v>
      </c>
      <c r="Q1033" s="6" t="str">
        <f>IFERROR(__xludf.DUMMYFUNCTION("""COMPUTED_VALUE"""),"aground")</f>
        <v>aground</v>
      </c>
      <c r="S1033" s="6" t="str">
        <f>IFERROR(__xludf.DUMMYFUNCTION("""COMPUTED_VALUE"""),"dubbed")</f>
        <v>dubbed</v>
      </c>
    </row>
    <row r="1034">
      <c r="B1034" s="6"/>
      <c r="D1034" s="6"/>
      <c r="G1034" s="6" t="str">
        <f>IFERROR(__xludf.DUMMYFUNCTION("""COMPUTED_VALUE"""),"exit")</f>
        <v>exit</v>
      </c>
      <c r="H1034" s="6" t="str">
        <f>IFERROR(__xludf.DUMMYFUNCTION("""COMPUTED_VALUE"""),"frightening")</f>
        <v>frightening</v>
      </c>
      <c r="I1034" s="6" t="str">
        <f>IFERROR(__xludf.DUMMYFUNCTION("""COMPUTED_VALUE"""),"exception")</f>
        <v>exception</v>
      </c>
      <c r="J1034" s="6" t="str">
        <f>IFERROR(__xludf.DUMMYFUNCTION("""COMPUTED_VALUE"""),"intent")</f>
        <v>intent</v>
      </c>
      <c r="L1034" s="6" t="str">
        <f>IFERROR(__xludf.DUMMYFUNCTION("""COMPUTED_VALUE"""),"amazement")</f>
        <v>amazement</v>
      </c>
      <c r="M1034" s="6" t="str">
        <f>IFERROR(__xludf.DUMMYFUNCTION("""COMPUTED_VALUE"""),"singer")</f>
        <v>singer</v>
      </c>
      <c r="N1034" s="6" t="str">
        <f>IFERROR(__xludf.DUMMYFUNCTION("""COMPUTED_VALUE"""),"ambiguous")</f>
        <v>ambiguous</v>
      </c>
      <c r="P1034" s="6" t="str">
        <f>IFERROR(__xludf.DUMMYFUNCTION("""COMPUTED_VALUE"""),"sound")</f>
        <v>sound</v>
      </c>
      <c r="Q1034" s="6" t="str">
        <f>IFERROR(__xludf.DUMMYFUNCTION("""COMPUTED_VALUE"""),"roberts")</f>
        <v>roberts</v>
      </c>
      <c r="S1034" s="6" t="str">
        <f>IFERROR(__xludf.DUMMYFUNCTION("""COMPUTED_VALUE"""),"outside")</f>
        <v>outside</v>
      </c>
    </row>
    <row r="1035">
      <c r="B1035" s="6"/>
      <c r="D1035" s="6"/>
      <c r="G1035" s="6" t="str">
        <f>IFERROR(__xludf.DUMMYFUNCTION("""COMPUTED_VALUE"""),"schneider")</f>
        <v>schneider</v>
      </c>
      <c r="H1035" s="6" t="str">
        <f>IFERROR(__xludf.DUMMYFUNCTION("""COMPUTED_VALUE"""),"amid")</f>
        <v>amid</v>
      </c>
      <c r="I1035" s="6" t="str">
        <f>IFERROR(__xludf.DUMMYFUNCTION("""COMPUTED_VALUE"""),"assault")</f>
        <v>assault</v>
      </c>
      <c r="J1035" s="6" t="str">
        <f>IFERROR(__xludf.DUMMYFUNCTION("""COMPUTED_VALUE"""),"creeping")</f>
        <v>creeping</v>
      </c>
      <c r="L1035" s="6" t="str">
        <f>IFERROR(__xludf.DUMMYFUNCTION("""COMPUTED_VALUE"""),"leap")</f>
        <v>leap</v>
      </c>
      <c r="M1035" s="6" t="str">
        <f>IFERROR(__xludf.DUMMYFUNCTION("""COMPUTED_VALUE"""),"released")</f>
        <v>released</v>
      </c>
      <c r="N1035" s="6" t="str">
        <f>IFERROR(__xludf.DUMMYFUNCTION("""COMPUTED_VALUE"""),"grave")</f>
        <v>grave</v>
      </c>
      <c r="P1035" s="6" t="str">
        <f>IFERROR(__xludf.DUMMYFUNCTION("""COMPUTED_VALUE"""),"bodies")</f>
        <v>bodies</v>
      </c>
      <c r="Q1035" s="6" t="str">
        <f>IFERROR(__xludf.DUMMYFUNCTION("""COMPUTED_VALUE"""),"workshop")</f>
        <v>workshop</v>
      </c>
      <c r="S1035" s="6" t="str">
        <f>IFERROR(__xludf.DUMMYFUNCTION("""COMPUTED_VALUE"""),"effect")</f>
        <v>effect</v>
      </c>
    </row>
    <row r="1036">
      <c r="B1036" s="6"/>
      <c r="D1036" s="6"/>
      <c r="G1036" s="6" t="str">
        <f>IFERROR(__xludf.DUMMYFUNCTION("""COMPUTED_VALUE"""),"peek")</f>
        <v>peek</v>
      </c>
      <c r="H1036" s="6" t="str">
        <f>IFERROR(__xludf.DUMMYFUNCTION("""COMPUTED_VALUE"""),"morality")</f>
        <v>morality</v>
      </c>
      <c r="I1036" s="6" t="str">
        <f>IFERROR(__xludf.DUMMYFUNCTION("""COMPUTED_VALUE"""),"inhabitants")</f>
        <v>inhabitants</v>
      </c>
      <c r="J1036" s="6" t="str">
        <f>IFERROR(__xludf.DUMMYFUNCTION("""COMPUTED_VALUE"""),"distinctly")</f>
        <v>distinctly</v>
      </c>
      <c r="L1036" s="6" t="str">
        <f>IFERROR(__xludf.DUMMYFUNCTION("""COMPUTED_VALUE"""),"subjected")</f>
        <v>subjected</v>
      </c>
      <c r="M1036" s="6" t="str">
        <f>IFERROR(__xludf.DUMMYFUNCTION("""COMPUTED_VALUE"""),"physical")</f>
        <v>physical</v>
      </c>
      <c r="N1036" s="6" t="str">
        <f>IFERROR(__xludf.DUMMYFUNCTION("""COMPUTED_VALUE"""),"confined")</f>
        <v>confined</v>
      </c>
      <c r="P1036" s="6" t="str">
        <f>IFERROR(__xludf.DUMMYFUNCTION("""COMPUTED_VALUE"""),"leather")</f>
        <v>leather</v>
      </c>
      <c r="Q1036" s="6" t="str">
        <f>IFERROR(__xludf.DUMMYFUNCTION("""COMPUTED_VALUE"""),"resemble")</f>
        <v>resemble</v>
      </c>
      <c r="S1036" s="6" t="str">
        <f>IFERROR(__xludf.DUMMYFUNCTION("""COMPUTED_VALUE"""),"turkey")</f>
        <v>turkey</v>
      </c>
    </row>
    <row r="1037">
      <c r="B1037" s="6"/>
      <c r="D1037" s="6"/>
      <c r="G1037" s="6" t="str">
        <f>IFERROR(__xludf.DUMMYFUNCTION("""COMPUTED_VALUE"""),"hardened")</f>
        <v>hardened</v>
      </c>
      <c r="H1037" s="6" t="str">
        <f>IFERROR(__xludf.DUMMYFUNCTION("""COMPUTED_VALUE"""),"futuristic")</f>
        <v>futuristic</v>
      </c>
      <c r="I1037" s="6" t="str">
        <f>IFERROR(__xludf.DUMMYFUNCTION("""COMPUTED_VALUE"""),"region")</f>
        <v>region</v>
      </c>
      <c r="J1037" s="6" t="str">
        <f>IFERROR(__xludf.DUMMYFUNCTION("""COMPUTED_VALUE"""),"vietnamese")</f>
        <v>vietnamese</v>
      </c>
      <c r="L1037" s="6" t="str">
        <f>IFERROR(__xludf.DUMMYFUNCTION("""COMPUTED_VALUE"""),"metropolitan")</f>
        <v>metropolitan</v>
      </c>
      <c r="M1037" s="6" t="str">
        <f>IFERROR(__xludf.DUMMYFUNCTION("""COMPUTED_VALUE"""),"healing")</f>
        <v>healing</v>
      </c>
      <c r="N1037" s="6" t="str">
        <f>IFERROR(__xludf.DUMMYFUNCTION("""COMPUTED_VALUE"""),"spectacle")</f>
        <v>spectacle</v>
      </c>
      <c r="P1037" s="6" t="str">
        <f>IFERROR(__xludf.DUMMYFUNCTION("""COMPUTED_VALUE"""),"secretary")</f>
        <v>secretary</v>
      </c>
      <c r="Q1037" s="6" t="str">
        <f>IFERROR(__xludf.DUMMYFUNCTION("""COMPUTED_VALUE"""),"vigorously")</f>
        <v>vigorously</v>
      </c>
      <c r="S1037" s="6" t="str">
        <f>IFERROR(__xludf.DUMMYFUNCTION("""COMPUTED_VALUE"""),"prior")</f>
        <v>prior</v>
      </c>
    </row>
    <row r="1038">
      <c r="B1038" s="6"/>
      <c r="D1038" s="6"/>
      <c r="G1038" s="6" t="str">
        <f>IFERROR(__xludf.DUMMYFUNCTION("""COMPUTED_VALUE"""),"nazi")</f>
        <v>nazi</v>
      </c>
      <c r="H1038" s="6" t="str">
        <f>IFERROR(__xludf.DUMMYFUNCTION("""COMPUTED_VALUE"""),"autopsy")</f>
        <v>autopsy</v>
      </c>
      <c r="I1038" s="6" t="str">
        <f>IFERROR(__xludf.DUMMYFUNCTION("""COMPUTED_VALUE"""),"franco")</f>
        <v>franco</v>
      </c>
      <c r="J1038" s="6" t="str">
        <f>IFERROR(__xludf.DUMMYFUNCTION("""COMPUTED_VALUE"""),"theories")</f>
        <v>theories</v>
      </c>
      <c r="L1038" s="6" t="str">
        <f>IFERROR(__xludf.DUMMYFUNCTION("""COMPUTED_VALUE"""),"obligatory")</f>
        <v>obligatory</v>
      </c>
      <c r="M1038" s="6" t="str">
        <f>IFERROR(__xludf.DUMMYFUNCTION("""COMPUTED_VALUE"""),"violence")</f>
        <v>violence</v>
      </c>
      <c r="N1038" s="6" t="str">
        <f>IFERROR(__xludf.DUMMYFUNCTION("""COMPUTED_VALUE"""),"fleeting")</f>
        <v>fleeting</v>
      </c>
      <c r="P1038" s="6" t="str">
        <f>IFERROR(__xludf.DUMMYFUNCTION("""COMPUTED_VALUE"""),"indians")</f>
        <v>indians</v>
      </c>
      <c r="Q1038" s="6" t="str">
        <f>IFERROR(__xludf.DUMMYFUNCTION("""COMPUTED_VALUE"""),"duration")</f>
        <v>duration</v>
      </c>
      <c r="S1038" s="6" t="str">
        <f>IFERROR(__xludf.DUMMYFUNCTION("""COMPUTED_VALUE"""),"hang")</f>
        <v>hang</v>
      </c>
    </row>
    <row r="1039">
      <c r="B1039" s="6"/>
      <c r="D1039" s="6"/>
      <c r="G1039" s="6" t="str">
        <f>IFERROR(__xludf.DUMMYFUNCTION("""COMPUTED_VALUE"""),"decade")</f>
        <v>decade</v>
      </c>
      <c r="H1039" s="6" t="str">
        <f>IFERROR(__xludf.DUMMYFUNCTION("""COMPUTED_VALUE"""),"bravery")</f>
        <v>bravery</v>
      </c>
      <c r="I1039" s="6" t="str">
        <f>IFERROR(__xludf.DUMMYFUNCTION("""COMPUTED_VALUE"""),"christianity")</f>
        <v>christianity</v>
      </c>
      <c r="J1039" s="6" t="str">
        <f>IFERROR(__xludf.DUMMYFUNCTION("""COMPUTED_VALUE"""),"ominous")</f>
        <v>ominous</v>
      </c>
      <c r="L1039" s="6" t="str">
        <f>IFERROR(__xludf.DUMMYFUNCTION("""COMPUTED_VALUE"""),"emotional")</f>
        <v>emotional</v>
      </c>
      <c r="M1039" s="6" t="str">
        <f>IFERROR(__xludf.DUMMYFUNCTION("""COMPUTED_VALUE"""),"manages")</f>
        <v>manages</v>
      </c>
      <c r="N1039" s="6" t="str">
        <f>IFERROR(__xludf.DUMMYFUNCTION("""COMPUTED_VALUE"""),"sentimental")</f>
        <v>sentimental</v>
      </c>
      <c r="P1039" s="6" t="str">
        <f>IFERROR(__xludf.DUMMYFUNCTION("""COMPUTED_VALUE"""),"ten")</f>
        <v>ten</v>
      </c>
      <c r="Q1039" s="6" t="str">
        <f>IFERROR(__xludf.DUMMYFUNCTION("""COMPUTED_VALUE"""),"experimentation")</f>
        <v>experimentation</v>
      </c>
      <c r="S1039" s="6" t="str">
        <f>IFERROR(__xludf.DUMMYFUNCTION("""COMPUTED_VALUE"""),"documented")</f>
        <v>documented</v>
      </c>
    </row>
    <row r="1040">
      <c r="B1040" s="6"/>
      <c r="D1040" s="6"/>
      <c r="G1040" s="6" t="str">
        <f>IFERROR(__xludf.DUMMYFUNCTION("""COMPUTED_VALUE"""),"bouncing")</f>
        <v>bouncing</v>
      </c>
      <c r="H1040" s="6" t="str">
        <f>IFERROR(__xludf.DUMMYFUNCTION("""COMPUTED_VALUE"""),"circuit")</f>
        <v>circuit</v>
      </c>
      <c r="I1040" s="6" t="str">
        <f>IFERROR(__xludf.DUMMYFUNCTION("""COMPUTED_VALUE"""),"shaking")</f>
        <v>shaking</v>
      </c>
      <c r="J1040" s="6" t="str">
        <f>IFERROR(__xludf.DUMMYFUNCTION("""COMPUTED_VALUE"""),"earthly")</f>
        <v>earthly</v>
      </c>
      <c r="L1040" s="6" t="str">
        <f>IFERROR(__xludf.DUMMYFUNCTION("""COMPUTED_VALUE"""),"spike")</f>
        <v>spike</v>
      </c>
      <c r="M1040" s="6" t="str">
        <f>IFERROR(__xludf.DUMMYFUNCTION("""COMPUTED_VALUE"""),"grand")</f>
        <v>grand</v>
      </c>
      <c r="N1040" s="6" t="str">
        <f>IFERROR(__xludf.DUMMYFUNCTION("""COMPUTED_VALUE"""),"aspects")</f>
        <v>aspects</v>
      </c>
      <c r="P1040" s="6" t="str">
        <f>IFERROR(__xludf.DUMMYFUNCTION("""COMPUTED_VALUE"""),"circle")</f>
        <v>circle</v>
      </c>
      <c r="Q1040" s="6" t="str">
        <f>IFERROR(__xludf.DUMMYFUNCTION("""COMPUTED_VALUE"""),"improvisation")</f>
        <v>improvisation</v>
      </c>
      <c r="S1040" s="6" t="str">
        <f>IFERROR(__xludf.DUMMYFUNCTION("""COMPUTED_VALUE"""),"expected")</f>
        <v>expected</v>
      </c>
    </row>
    <row r="1041">
      <c r="B1041" s="6"/>
      <c r="D1041" s="6"/>
      <c r="G1041" s="6" t="str">
        <f>IFERROR(__xludf.DUMMYFUNCTION("""COMPUTED_VALUE"""),"practiced")</f>
        <v>practiced</v>
      </c>
      <c r="H1041" s="6" t="str">
        <f>IFERROR(__xludf.DUMMYFUNCTION("""COMPUTED_VALUE"""),"minnie")</f>
        <v>minnie</v>
      </c>
      <c r="I1041" s="6" t="str">
        <f>IFERROR(__xludf.DUMMYFUNCTION("""COMPUTED_VALUE"""),"ties")</f>
        <v>ties</v>
      </c>
      <c r="J1041" s="6" t="str">
        <f>IFERROR(__xludf.DUMMYFUNCTION("""COMPUTED_VALUE"""),"counterparts")</f>
        <v>counterparts</v>
      </c>
      <c r="L1041" s="6" t="str">
        <f>IFERROR(__xludf.DUMMYFUNCTION("""COMPUTED_VALUE"""),"sincerity")</f>
        <v>sincerity</v>
      </c>
      <c r="M1041" s="6" t="str">
        <f>IFERROR(__xludf.DUMMYFUNCTION("""COMPUTED_VALUE"""),"gas")</f>
        <v>gas</v>
      </c>
      <c r="N1041" s="6" t="str">
        <f>IFERROR(__xludf.DUMMYFUNCTION("""COMPUTED_VALUE"""),"begins")</f>
        <v>begins</v>
      </c>
      <c r="P1041" s="6" t="str">
        <f>IFERROR(__xludf.DUMMYFUNCTION("""COMPUTED_VALUE"""),"chain")</f>
        <v>chain</v>
      </c>
      <c r="Q1041" s="6" t="str">
        <f>IFERROR(__xludf.DUMMYFUNCTION("""COMPUTED_VALUE"""),"ceremonies")</f>
        <v>ceremonies</v>
      </c>
      <c r="S1041" s="6" t="str">
        <f>IFERROR(__xludf.DUMMYFUNCTION("""COMPUTED_VALUE"""),"croatia")</f>
        <v>croatia</v>
      </c>
    </row>
    <row r="1042">
      <c r="B1042" s="6"/>
      <c r="D1042" s="6"/>
      <c r="G1042" s="6" t="str">
        <f>IFERROR(__xludf.DUMMYFUNCTION("""COMPUTED_VALUE"""),"despair")</f>
        <v>despair</v>
      </c>
      <c r="H1042" s="6" t="str">
        <f>IFERROR(__xludf.DUMMYFUNCTION("""COMPUTED_VALUE"""),"spontaneous")</f>
        <v>spontaneous</v>
      </c>
      <c r="I1042" s="6" t="str">
        <f>IFERROR(__xludf.DUMMYFUNCTION("""COMPUTED_VALUE"""),"hawk")</f>
        <v>hawk</v>
      </c>
      <c r="J1042" s="6" t="str">
        <f>IFERROR(__xludf.DUMMYFUNCTION("""COMPUTED_VALUE"""),"schizophrenia")</f>
        <v>schizophrenia</v>
      </c>
      <c r="L1042" s="6" t="str">
        <f>IFERROR(__xludf.DUMMYFUNCTION("""COMPUTED_VALUE"""),"crippled")</f>
        <v>crippled</v>
      </c>
      <c r="M1042" s="6" t="str">
        <f>IFERROR(__xludf.DUMMYFUNCTION("""COMPUTED_VALUE"""),"harder")</f>
        <v>harder</v>
      </c>
      <c r="N1042" s="6" t="str">
        <f>IFERROR(__xludf.DUMMYFUNCTION("""COMPUTED_VALUE"""),"hazy")</f>
        <v>hazy</v>
      </c>
      <c r="P1042" s="6" t="str">
        <f>IFERROR(__xludf.DUMMYFUNCTION("""COMPUTED_VALUE"""),"forming")</f>
        <v>forming</v>
      </c>
      <c r="Q1042" s="6" t="str">
        <f>IFERROR(__xludf.DUMMYFUNCTION("""COMPUTED_VALUE"""),"crises")</f>
        <v>crises</v>
      </c>
      <c r="S1042" s="6" t="str">
        <f>IFERROR(__xludf.DUMMYFUNCTION("""COMPUTED_VALUE"""),"america")</f>
        <v>america</v>
      </c>
    </row>
    <row r="1043">
      <c r="B1043" s="6"/>
      <c r="D1043" s="6"/>
      <c r="G1043" s="6" t="str">
        <f>IFERROR(__xludf.DUMMYFUNCTION("""COMPUTED_VALUE"""),"replaced")</f>
        <v>replaced</v>
      </c>
      <c r="H1043" s="6" t="str">
        <f>IFERROR(__xludf.DUMMYFUNCTION("""COMPUTED_VALUE"""),"savage")</f>
        <v>savage</v>
      </c>
      <c r="I1043" s="6" t="str">
        <f>IFERROR(__xludf.DUMMYFUNCTION("""COMPUTED_VALUE"""),"cultures")</f>
        <v>cultures</v>
      </c>
      <c r="J1043" s="6" t="str">
        <f>IFERROR(__xludf.DUMMYFUNCTION("""COMPUTED_VALUE"""),"captured")</f>
        <v>captured</v>
      </c>
      <c r="L1043" s="6" t="str">
        <f>IFERROR(__xludf.DUMMYFUNCTION("""COMPUTED_VALUE"""),"guilt")</f>
        <v>guilt</v>
      </c>
      <c r="M1043" s="6" t="str">
        <f>IFERROR(__xludf.DUMMYFUNCTION("""COMPUTED_VALUE"""),"jones")</f>
        <v>jones</v>
      </c>
      <c r="N1043" s="6" t="str">
        <f>IFERROR(__xludf.DUMMYFUNCTION("""COMPUTED_VALUE"""),"mainstream")</f>
        <v>mainstream</v>
      </c>
      <c r="P1043" s="6" t="str">
        <f>IFERROR(__xludf.DUMMYFUNCTION("""COMPUTED_VALUE"""),"wallace")</f>
        <v>wallace</v>
      </c>
      <c r="Q1043" s="6" t="str">
        <f>IFERROR(__xludf.DUMMYFUNCTION("""COMPUTED_VALUE"""),"forged")</f>
        <v>forged</v>
      </c>
      <c r="S1043" s="6" t="str">
        <f>IFERROR(__xludf.DUMMYFUNCTION("""COMPUTED_VALUE"""),"word")</f>
        <v>word</v>
      </c>
    </row>
    <row r="1044">
      <c r="B1044" s="6"/>
      <c r="D1044" s="6"/>
      <c r="G1044" s="6" t="str">
        <f>IFERROR(__xludf.DUMMYFUNCTION("""COMPUTED_VALUE"""),"hoped")</f>
        <v>hoped</v>
      </c>
      <c r="H1044" s="6" t="str">
        <f>IFERROR(__xludf.DUMMYFUNCTION("""COMPUTED_VALUE"""),"hell")</f>
        <v>hell</v>
      </c>
      <c r="I1044" s="6" t="str">
        <f>IFERROR(__xludf.DUMMYFUNCTION("""COMPUTED_VALUE"""),"robinson")</f>
        <v>robinson</v>
      </c>
      <c r="J1044" s="6" t="str">
        <f>IFERROR(__xludf.DUMMYFUNCTION("""COMPUTED_VALUE"""),"equal")</f>
        <v>equal</v>
      </c>
      <c r="L1044" s="6" t="str">
        <f>IFERROR(__xludf.DUMMYFUNCTION("""COMPUTED_VALUE"""),"enduring")</f>
        <v>enduring</v>
      </c>
      <c r="M1044" s="6" t="str">
        <f>IFERROR(__xludf.DUMMYFUNCTION("""COMPUTED_VALUE"""),"covers")</f>
        <v>covers</v>
      </c>
      <c r="N1044" s="6" t="str">
        <f>IFERROR(__xludf.DUMMYFUNCTION("""COMPUTED_VALUE"""),"interpretation")</f>
        <v>interpretation</v>
      </c>
      <c r="P1044" s="6" t="str">
        <f>IFERROR(__xludf.DUMMYFUNCTION("""COMPUTED_VALUE"""),"enormous")</f>
        <v>enormous</v>
      </c>
      <c r="Q1044" s="6" t="str">
        <f>IFERROR(__xludf.DUMMYFUNCTION("""COMPUTED_VALUE"""),"weight")</f>
        <v>weight</v>
      </c>
      <c r="S1044" s="6" t="str">
        <f>IFERROR(__xludf.DUMMYFUNCTION("""COMPUTED_VALUE"""),"families")</f>
        <v>families</v>
      </c>
    </row>
    <row r="1045">
      <c r="B1045" s="6"/>
      <c r="D1045" s="6"/>
      <c r="G1045" s="6" t="str">
        <f>IFERROR(__xludf.DUMMYFUNCTION("""COMPUTED_VALUE"""),"whale")</f>
        <v>whale</v>
      </c>
      <c r="H1045" s="6" t="str">
        <f>IFERROR(__xludf.DUMMYFUNCTION("""COMPUTED_VALUE"""),"participant")</f>
        <v>participant</v>
      </c>
      <c r="I1045" s="6" t="str">
        <f>IFERROR(__xludf.DUMMYFUNCTION("""COMPUTED_VALUE"""),"disabled")</f>
        <v>disabled</v>
      </c>
      <c r="J1045" s="6" t="str">
        <f>IFERROR(__xludf.DUMMYFUNCTION("""COMPUTED_VALUE"""),"handful")</f>
        <v>handful</v>
      </c>
      <c r="L1045" s="6" t="str">
        <f>IFERROR(__xludf.DUMMYFUNCTION("""COMPUTED_VALUE"""),"saga")</f>
        <v>saga</v>
      </c>
      <c r="M1045" s="6" t="str">
        <f>IFERROR(__xludf.DUMMYFUNCTION("""COMPUTED_VALUE"""),"intended")</f>
        <v>intended</v>
      </c>
      <c r="N1045" s="6" t="str">
        <f>IFERROR(__xludf.DUMMYFUNCTION("""COMPUTED_VALUE"""),"peculiar")</f>
        <v>peculiar</v>
      </c>
      <c r="P1045" s="6" t="str">
        <f>IFERROR(__xludf.DUMMYFUNCTION("""COMPUTED_VALUE"""),"afternoon")</f>
        <v>afternoon</v>
      </c>
      <c r="Q1045" s="6" t="str">
        <f>IFERROR(__xludf.DUMMYFUNCTION("""COMPUTED_VALUE"""),"angelina")</f>
        <v>angelina</v>
      </c>
      <c r="S1045" s="6" t="str">
        <f>IFERROR(__xludf.DUMMYFUNCTION("""COMPUTED_VALUE"""),"holds")</f>
        <v>holds</v>
      </c>
    </row>
    <row r="1046">
      <c r="B1046" s="6"/>
      <c r="D1046" s="6"/>
      <c r="G1046" s="6" t="str">
        <f>IFERROR(__xludf.DUMMYFUNCTION("""COMPUTED_VALUE"""),"bitterly")</f>
        <v>bitterly</v>
      </c>
      <c r="H1046" s="6" t="str">
        <f>IFERROR(__xludf.DUMMYFUNCTION("""COMPUTED_VALUE"""),"rushed")</f>
        <v>rushed</v>
      </c>
      <c r="I1046" s="6" t="str">
        <f>IFERROR(__xludf.DUMMYFUNCTION("""COMPUTED_VALUE"""),"partnership")</f>
        <v>partnership</v>
      </c>
      <c r="J1046" s="6" t="str">
        <f>IFERROR(__xludf.DUMMYFUNCTION("""COMPUTED_VALUE"""),"realizing")</f>
        <v>realizing</v>
      </c>
      <c r="L1046" s="6" t="str">
        <f>IFERROR(__xludf.DUMMYFUNCTION("""COMPUTED_VALUE"""),"producer")</f>
        <v>producer</v>
      </c>
      <c r="M1046" s="6" t="str">
        <f>IFERROR(__xludf.DUMMYFUNCTION("""COMPUTED_VALUE"""),"beauty")</f>
        <v>beauty</v>
      </c>
      <c r="N1046" s="6" t="str">
        <f>IFERROR(__xludf.DUMMYFUNCTION("""COMPUTED_VALUE"""),"buried")</f>
        <v>buried</v>
      </c>
      <c r="P1046" s="6" t="str">
        <f>IFERROR(__xludf.DUMMYFUNCTION("""COMPUTED_VALUE"""),"random")</f>
        <v>random</v>
      </c>
      <c r="Q1046" s="6" t="str">
        <f>IFERROR(__xludf.DUMMYFUNCTION("""COMPUTED_VALUE"""),"conventional")</f>
        <v>conventional</v>
      </c>
      <c r="S1046" s="6" t="str">
        <f>IFERROR(__xludf.DUMMYFUNCTION("""COMPUTED_VALUE"""),"lee")</f>
        <v>lee</v>
      </c>
    </row>
    <row r="1047">
      <c r="B1047" s="6"/>
      <c r="D1047" s="6"/>
      <c r="G1047" s="6" t="str">
        <f>IFERROR(__xludf.DUMMYFUNCTION("""COMPUTED_VALUE"""),"lower")</f>
        <v>lower</v>
      </c>
      <c r="H1047" s="6" t="str">
        <f>IFERROR(__xludf.DUMMYFUNCTION("""COMPUTED_VALUE"""),"immensely")</f>
        <v>immensely</v>
      </c>
      <c r="I1047" s="6" t="str">
        <f>IFERROR(__xludf.DUMMYFUNCTION("""COMPUTED_VALUE"""),"glass")</f>
        <v>glass</v>
      </c>
      <c r="J1047" s="6" t="str">
        <f>IFERROR(__xludf.DUMMYFUNCTION("""COMPUTED_VALUE"""),"warfare")</f>
        <v>warfare</v>
      </c>
      <c r="L1047" s="6" t="str">
        <f>IFERROR(__xludf.DUMMYFUNCTION("""COMPUTED_VALUE"""),"vanity")</f>
        <v>vanity</v>
      </c>
      <c r="M1047" s="6" t="str">
        <f>IFERROR(__xludf.DUMMYFUNCTION("""COMPUTED_VALUE"""),"necessary")</f>
        <v>necessary</v>
      </c>
      <c r="N1047" s="6" t="str">
        <f>IFERROR(__xludf.DUMMYFUNCTION("""COMPUTED_VALUE"""),"devoid")</f>
        <v>devoid</v>
      </c>
      <c r="P1047" s="6" t="str">
        <f>IFERROR(__xludf.DUMMYFUNCTION("""COMPUTED_VALUE"""),"notion")</f>
        <v>notion</v>
      </c>
      <c r="Q1047" s="6" t="str">
        <f>IFERROR(__xludf.DUMMYFUNCTION("""COMPUTED_VALUE"""),"manhattan")</f>
        <v>manhattan</v>
      </c>
      <c r="S1047" s="6" t="str">
        <f>IFERROR(__xludf.DUMMYFUNCTION("""COMPUTED_VALUE"""),"said")</f>
        <v>said</v>
      </c>
    </row>
    <row r="1048">
      <c r="B1048" s="6"/>
      <c r="D1048" s="6"/>
      <c r="G1048" s="6" t="str">
        <f>IFERROR(__xludf.DUMMYFUNCTION("""COMPUTED_VALUE"""),"admitting")</f>
        <v>admitting</v>
      </c>
      <c r="H1048" s="6" t="str">
        <f>IFERROR(__xludf.DUMMYFUNCTION("""COMPUTED_VALUE"""),"technological")</f>
        <v>technological</v>
      </c>
      <c r="I1048" s="6" t="str">
        <f>IFERROR(__xludf.DUMMYFUNCTION("""COMPUTED_VALUE"""),"pause")</f>
        <v>pause</v>
      </c>
      <c r="J1048" s="6" t="str">
        <f>IFERROR(__xludf.DUMMYFUNCTION("""COMPUTED_VALUE"""),"lets")</f>
        <v>lets</v>
      </c>
      <c r="L1048" s="6" t="str">
        <f>IFERROR(__xludf.DUMMYFUNCTION("""COMPUTED_VALUE"""),"consequences")</f>
        <v>consequences</v>
      </c>
      <c r="M1048" s="6" t="str">
        <f>IFERROR(__xludf.DUMMYFUNCTION("""COMPUTED_VALUE"""),"epic")</f>
        <v>epic</v>
      </c>
      <c r="N1048" s="6" t="str">
        <f>IFERROR(__xludf.DUMMYFUNCTION("""COMPUTED_VALUE"""),"deepest")</f>
        <v>deepest</v>
      </c>
      <c r="P1048" s="6" t="str">
        <f>IFERROR(__xludf.DUMMYFUNCTION("""COMPUTED_VALUE"""),"technical")</f>
        <v>technical</v>
      </c>
      <c r="Q1048" s="6" t="str">
        <f>IFERROR(__xludf.DUMMYFUNCTION("""COMPUTED_VALUE"""),"skies")</f>
        <v>skies</v>
      </c>
      <c r="S1048" s="6" t="str">
        <f>IFERROR(__xludf.DUMMYFUNCTION("""COMPUTED_VALUE"""),"talk")</f>
        <v>talk</v>
      </c>
    </row>
    <row r="1049">
      <c r="B1049" s="6"/>
      <c r="D1049" s="6"/>
      <c r="G1049" s="6" t="str">
        <f>IFERROR(__xludf.DUMMYFUNCTION("""COMPUTED_VALUE"""),"athlete")</f>
        <v>athlete</v>
      </c>
      <c r="H1049" s="6" t="str">
        <f>IFERROR(__xludf.DUMMYFUNCTION("""COMPUTED_VALUE"""),"concentrating")</f>
        <v>concentrating</v>
      </c>
      <c r="I1049" s="6" t="str">
        <f>IFERROR(__xludf.DUMMYFUNCTION("""COMPUTED_VALUE"""),"playoff")</f>
        <v>playoff</v>
      </c>
      <c r="J1049" s="6" t="str">
        <f>IFERROR(__xludf.DUMMYFUNCTION("""COMPUTED_VALUE"""),"brendan")</f>
        <v>brendan</v>
      </c>
      <c r="L1049" s="6" t="str">
        <f>IFERROR(__xludf.DUMMYFUNCTION("""COMPUTED_VALUE"""),"poetic")</f>
        <v>poetic</v>
      </c>
      <c r="M1049" s="6" t="str">
        <f>IFERROR(__xludf.DUMMYFUNCTION("""COMPUTED_VALUE"""),"elaborate")</f>
        <v>elaborate</v>
      </c>
      <c r="N1049" s="6" t="str">
        <f>IFERROR(__xludf.DUMMYFUNCTION("""COMPUTED_VALUE"""),"senses")</f>
        <v>senses</v>
      </c>
      <c r="P1049" s="6" t="str">
        <f>IFERROR(__xludf.DUMMYFUNCTION("""COMPUTED_VALUE"""),"brand")</f>
        <v>brand</v>
      </c>
      <c r="Q1049" s="6" t="str">
        <f>IFERROR(__xludf.DUMMYFUNCTION("""COMPUTED_VALUE"""),"firing")</f>
        <v>firing</v>
      </c>
      <c r="S1049" s="6" t="str">
        <f>IFERROR(__xludf.DUMMYFUNCTION("""COMPUTED_VALUE"""),"interior")</f>
        <v>interior</v>
      </c>
    </row>
    <row r="1050">
      <c r="B1050" s="6"/>
      <c r="D1050" s="6"/>
      <c r="G1050" s="6" t="str">
        <f>IFERROR(__xludf.DUMMYFUNCTION("""COMPUTED_VALUE"""),"ambiguous")</f>
        <v>ambiguous</v>
      </c>
      <c r="H1050" s="6" t="str">
        <f>IFERROR(__xludf.DUMMYFUNCTION("""COMPUTED_VALUE"""),"retaliation")</f>
        <v>retaliation</v>
      </c>
      <c r="I1050" s="6" t="str">
        <f>IFERROR(__xludf.DUMMYFUNCTION("""COMPUTED_VALUE"""),"arrest")</f>
        <v>arrest</v>
      </c>
      <c r="J1050" s="6" t="str">
        <f>IFERROR(__xludf.DUMMYFUNCTION("""COMPUTED_VALUE"""),"tuned")</f>
        <v>tuned</v>
      </c>
      <c r="L1050" s="6" t="str">
        <f>IFERROR(__xludf.DUMMYFUNCTION("""COMPUTED_VALUE"""),"dong")</f>
        <v>dong</v>
      </c>
      <c r="M1050" s="6" t="str">
        <f>IFERROR(__xludf.DUMMYFUNCTION("""COMPUTED_VALUE"""),"jersey")</f>
        <v>jersey</v>
      </c>
      <c r="N1050" s="6" t="str">
        <f>IFERROR(__xludf.DUMMYFUNCTION("""COMPUTED_VALUE"""),"hero")</f>
        <v>hero</v>
      </c>
      <c r="P1050" s="6" t="str">
        <f>IFERROR(__xludf.DUMMYFUNCTION("""COMPUTED_VALUE"""),"breath")</f>
        <v>breath</v>
      </c>
      <c r="Q1050" s="6" t="str">
        <f>IFERROR(__xludf.DUMMYFUNCTION("""COMPUTED_VALUE"""),"testimony")</f>
        <v>testimony</v>
      </c>
      <c r="S1050" s="6" t="str">
        <f>IFERROR(__xludf.DUMMYFUNCTION("""COMPUTED_VALUE"""),"party")</f>
        <v>party</v>
      </c>
    </row>
    <row r="1051">
      <c r="B1051" s="6"/>
      <c r="D1051" s="6"/>
      <c r="G1051" s="6" t="str">
        <f>IFERROR(__xludf.DUMMYFUNCTION("""COMPUTED_VALUE"""),"combat")</f>
        <v>combat</v>
      </c>
      <c r="H1051" s="6" t="str">
        <f>IFERROR(__xludf.DUMMYFUNCTION("""COMPUTED_VALUE"""),"depict")</f>
        <v>depict</v>
      </c>
      <c r="I1051" s="6" t="str">
        <f>IFERROR(__xludf.DUMMYFUNCTION("""COMPUTED_VALUE"""),"appeals")</f>
        <v>appeals</v>
      </c>
      <c r="J1051" s="6" t="str">
        <f>IFERROR(__xludf.DUMMYFUNCTION("""COMPUTED_VALUE"""),"vehicle")</f>
        <v>vehicle</v>
      </c>
      <c r="L1051" s="6" t="str">
        <f>IFERROR(__xludf.DUMMYFUNCTION("""COMPUTED_VALUE"""),"accomplish")</f>
        <v>accomplish</v>
      </c>
      <c r="M1051" s="6" t="str">
        <f>IFERROR(__xludf.DUMMYFUNCTION("""COMPUTED_VALUE"""),"steam")</f>
        <v>steam</v>
      </c>
      <c r="N1051" s="6" t="str">
        <f>IFERROR(__xludf.DUMMYFUNCTION("""COMPUTED_VALUE"""),"demands")</f>
        <v>demands</v>
      </c>
      <c r="P1051" s="6" t="str">
        <f>IFERROR(__xludf.DUMMYFUNCTION("""COMPUTED_VALUE"""),"lifetime")</f>
        <v>lifetime</v>
      </c>
      <c r="Q1051" s="6" t="str">
        <f>IFERROR(__xludf.DUMMYFUNCTION("""COMPUTED_VALUE"""),"revolutionary")</f>
        <v>revolutionary</v>
      </c>
      <c r="S1051" s="6" t="str">
        <f>IFERROR(__xludf.DUMMYFUNCTION("""COMPUTED_VALUE"""),"arguments")</f>
        <v>arguments</v>
      </c>
    </row>
    <row r="1052">
      <c r="B1052" s="6"/>
      <c r="D1052" s="6"/>
      <c r="G1052" s="6" t="str">
        <f>IFERROR(__xludf.DUMMYFUNCTION("""COMPUTED_VALUE"""),"prejudice")</f>
        <v>prejudice</v>
      </c>
      <c r="H1052" s="6" t="str">
        <f>IFERROR(__xludf.DUMMYFUNCTION("""COMPUTED_VALUE"""),"homosexual")</f>
        <v>homosexual</v>
      </c>
      <c r="I1052" s="6" t="str">
        <f>IFERROR(__xludf.DUMMYFUNCTION("""COMPUTED_VALUE"""),"barry")</f>
        <v>barry</v>
      </c>
      <c r="J1052" s="6" t="str">
        <f>IFERROR(__xludf.DUMMYFUNCTION("""COMPUTED_VALUE"""),"raises")</f>
        <v>raises</v>
      </c>
      <c r="L1052" s="6" t="str">
        <f>IFERROR(__xludf.DUMMYFUNCTION("""COMPUTED_VALUE"""),"glimpse")</f>
        <v>glimpse</v>
      </c>
      <c r="M1052" s="6" t="str">
        <f>IFERROR(__xludf.DUMMYFUNCTION("""COMPUTED_VALUE"""),"romance")</f>
        <v>romance</v>
      </c>
      <c r="N1052" s="6" t="str">
        <f>IFERROR(__xludf.DUMMYFUNCTION("""COMPUTED_VALUE"""),"improvised")</f>
        <v>improvised</v>
      </c>
      <c r="P1052" s="6" t="str">
        <f>IFERROR(__xludf.DUMMYFUNCTION("""COMPUTED_VALUE"""),"letting")</f>
        <v>letting</v>
      </c>
      <c r="Q1052" s="6" t="str">
        <f>IFERROR(__xludf.DUMMYFUNCTION("""COMPUTED_VALUE"""),"chance")</f>
        <v>chance</v>
      </c>
      <c r="S1052" s="6" t="str">
        <f>IFERROR(__xludf.DUMMYFUNCTION("""COMPUTED_VALUE"""),"missing")</f>
        <v>missing</v>
      </c>
    </row>
    <row r="1053">
      <c r="B1053" s="6"/>
      <c r="D1053" s="6"/>
      <c r="G1053" s="6" t="str">
        <f>IFERROR(__xludf.DUMMYFUNCTION("""COMPUTED_VALUE"""),"enigma")</f>
        <v>enigma</v>
      </c>
      <c r="H1053" s="6" t="str">
        <f>IFERROR(__xludf.DUMMYFUNCTION("""COMPUTED_VALUE"""),"wise")</f>
        <v>wise</v>
      </c>
      <c r="I1053" s="6" t="str">
        <f>IFERROR(__xludf.DUMMYFUNCTION("""COMPUTED_VALUE"""),"releasing")</f>
        <v>releasing</v>
      </c>
      <c r="J1053" s="6" t="str">
        <f>IFERROR(__xludf.DUMMYFUNCTION("""COMPUTED_VALUE"""),"brink")</f>
        <v>brink</v>
      </c>
      <c r="L1053" s="6" t="str">
        <f>IFERROR(__xludf.DUMMYFUNCTION("""COMPUTED_VALUE"""),"classical")</f>
        <v>classical</v>
      </c>
      <c r="M1053" s="6" t="str">
        <f>IFERROR(__xludf.DUMMYFUNCTION("""COMPUTED_VALUE"""),"silent")</f>
        <v>silent</v>
      </c>
      <c r="N1053" s="6" t="str">
        <f>IFERROR(__xludf.DUMMYFUNCTION("""COMPUTED_VALUE"""),"determination")</f>
        <v>determination</v>
      </c>
      <c r="P1053" s="6" t="str">
        <f>IFERROR(__xludf.DUMMYFUNCTION("""COMPUTED_VALUE"""),"carved")</f>
        <v>carved</v>
      </c>
      <c r="Q1053" s="6" t="str">
        <f>IFERROR(__xludf.DUMMYFUNCTION("""COMPUTED_VALUE"""),"air")</f>
        <v>air</v>
      </c>
      <c r="S1053" s="6" t="str">
        <f>IFERROR(__xludf.DUMMYFUNCTION("""COMPUTED_VALUE"""),"susan")</f>
        <v>susan</v>
      </c>
    </row>
    <row r="1054">
      <c r="B1054" s="6"/>
      <c r="D1054" s="6"/>
      <c r="G1054" s="6" t="str">
        <f>IFERROR(__xludf.DUMMYFUNCTION("""COMPUTED_VALUE"""),"yearning")</f>
        <v>yearning</v>
      </c>
      <c r="H1054" s="6" t="str">
        <f>IFERROR(__xludf.DUMMYFUNCTION("""COMPUTED_VALUE"""),"distinguished")</f>
        <v>distinguished</v>
      </c>
      <c r="I1054" s="6" t="str">
        <f>IFERROR(__xludf.DUMMYFUNCTION("""COMPUTED_VALUE"""),"prey")</f>
        <v>prey</v>
      </c>
      <c r="J1054" s="6" t="str">
        <f>IFERROR(__xludf.DUMMYFUNCTION("""COMPUTED_VALUE"""),"thick")</f>
        <v>thick</v>
      </c>
      <c r="L1054" s="6" t="str">
        <f>IFERROR(__xludf.DUMMYFUNCTION("""COMPUTED_VALUE"""),"retaining")</f>
        <v>retaining</v>
      </c>
      <c r="M1054" s="6" t="str">
        <f>IFERROR(__xludf.DUMMYFUNCTION("""COMPUTED_VALUE"""),"skills")</f>
        <v>skills</v>
      </c>
      <c r="N1054" s="6" t="str">
        <f>IFERROR(__xludf.DUMMYFUNCTION("""COMPUTED_VALUE"""),"resembling")</f>
        <v>resembling</v>
      </c>
      <c r="P1054" s="6" t="str">
        <f>IFERROR(__xludf.DUMMYFUNCTION("""COMPUTED_VALUE"""),"slowly")</f>
        <v>slowly</v>
      </c>
      <c r="Q1054" s="6" t="str">
        <f>IFERROR(__xludf.DUMMYFUNCTION("""COMPUTED_VALUE"""),"obstacles")</f>
        <v>obstacles</v>
      </c>
      <c r="S1054" s="6" t="str">
        <f>IFERROR(__xludf.DUMMYFUNCTION("""COMPUTED_VALUE"""),"feat")</f>
        <v>feat</v>
      </c>
    </row>
    <row r="1055">
      <c r="B1055" s="6"/>
      <c r="D1055" s="6"/>
      <c r="G1055" s="6" t="str">
        <f>IFERROR(__xludf.DUMMYFUNCTION("""COMPUTED_VALUE"""),"singing")</f>
        <v>singing</v>
      </c>
      <c r="H1055" s="6" t="str">
        <f>IFERROR(__xludf.DUMMYFUNCTION("""COMPUTED_VALUE"""),"tortured")</f>
        <v>tortured</v>
      </c>
      <c r="I1055" s="6" t="str">
        <f>IFERROR(__xludf.DUMMYFUNCTION("""COMPUTED_VALUE"""),"arc")</f>
        <v>arc</v>
      </c>
      <c r="J1055" s="6" t="str">
        <f>IFERROR(__xludf.DUMMYFUNCTION("""COMPUTED_VALUE"""),"anguish")</f>
        <v>anguish</v>
      </c>
      <c r="L1055" s="6" t="str">
        <f>IFERROR(__xludf.DUMMYFUNCTION("""COMPUTED_VALUE"""),"conventions")</f>
        <v>conventions</v>
      </c>
      <c r="M1055" s="6" t="str">
        <f>IFERROR(__xludf.DUMMYFUNCTION("""COMPUTED_VALUE"""),"skill")</f>
        <v>skill</v>
      </c>
      <c r="N1055" s="6" t="str">
        <f>IFERROR(__xludf.DUMMYFUNCTION("""COMPUTED_VALUE"""),"realm")</f>
        <v>realm</v>
      </c>
      <c r="P1055" s="6" t="str">
        <f>IFERROR(__xludf.DUMMYFUNCTION("""COMPUTED_VALUE"""),"gender")</f>
        <v>gender</v>
      </c>
      <c r="Q1055" s="6" t="str">
        <f>IFERROR(__xludf.DUMMYFUNCTION("""COMPUTED_VALUE"""),"centuries")</f>
        <v>centuries</v>
      </c>
      <c r="S1055" s="6" t="str">
        <f>IFERROR(__xludf.DUMMYFUNCTION("""COMPUTED_VALUE"""),"third")</f>
        <v>third</v>
      </c>
    </row>
    <row r="1056">
      <c r="B1056" s="6"/>
      <c r="D1056" s="6"/>
      <c r="G1056" s="6" t="str">
        <f>IFERROR(__xludf.DUMMYFUNCTION("""COMPUTED_VALUE"""),"near")</f>
        <v>near</v>
      </c>
      <c r="H1056" s="6" t="str">
        <f>IFERROR(__xludf.DUMMYFUNCTION("""COMPUTED_VALUE"""),"projectile")</f>
        <v>projectile</v>
      </c>
      <c r="I1056" s="6">
        <f>IFERROR(__xludf.DUMMYFUNCTION("""COMPUTED_VALUE"""),18.0)</f>
        <v>18</v>
      </c>
      <c r="J1056" s="6" t="str">
        <f>IFERROR(__xludf.DUMMYFUNCTION("""COMPUTED_VALUE"""),"elusive")</f>
        <v>elusive</v>
      </c>
      <c r="L1056" s="6" t="str">
        <f>IFERROR(__xludf.DUMMYFUNCTION("""COMPUTED_VALUE"""),"figures")</f>
        <v>figures</v>
      </c>
      <c r="M1056" s="6" t="str">
        <f>IFERROR(__xludf.DUMMYFUNCTION("""COMPUTED_VALUE"""),"del")</f>
        <v>del</v>
      </c>
      <c r="N1056" s="6" t="str">
        <f>IFERROR(__xludf.DUMMYFUNCTION("""COMPUTED_VALUE"""),"turf")</f>
        <v>turf</v>
      </c>
      <c r="P1056" s="6" t="str">
        <f>IFERROR(__xludf.DUMMYFUNCTION("""COMPUTED_VALUE"""),"1940s")</f>
        <v>1940s</v>
      </c>
      <c r="Q1056" s="6" t="str">
        <f>IFERROR(__xludf.DUMMYFUNCTION("""COMPUTED_VALUE"""),"spiritual")</f>
        <v>spiritual</v>
      </c>
      <c r="S1056" s="6" t="str">
        <f>IFERROR(__xludf.DUMMYFUNCTION("""COMPUTED_VALUE"""),"present")</f>
        <v>present</v>
      </c>
    </row>
    <row r="1057">
      <c r="B1057" s="6"/>
      <c r="D1057" s="6"/>
      <c r="G1057" s="6" t="str">
        <f>IFERROR(__xludf.DUMMYFUNCTION("""COMPUTED_VALUE"""),"alternately")</f>
        <v>alternately</v>
      </c>
      <c r="H1057" s="6" t="str">
        <f>IFERROR(__xludf.DUMMYFUNCTION("""COMPUTED_VALUE"""),"seizing")</f>
        <v>seizing</v>
      </c>
      <c r="I1057" s="6" t="str">
        <f>IFERROR(__xludf.DUMMYFUNCTION("""COMPUTED_VALUE"""),"law")</f>
        <v>law</v>
      </c>
      <c r="J1057" s="6" t="str">
        <f>IFERROR(__xludf.DUMMYFUNCTION("""COMPUTED_VALUE"""),"longing")</f>
        <v>longing</v>
      </c>
      <c r="L1057" s="6" t="str">
        <f>IFERROR(__xludf.DUMMYFUNCTION("""COMPUTED_VALUE"""),"victims")</f>
        <v>victims</v>
      </c>
      <c r="M1057" s="6" t="str">
        <f>IFERROR(__xludf.DUMMYFUNCTION("""COMPUTED_VALUE"""),"touched")</f>
        <v>touched</v>
      </c>
      <c r="N1057" s="6" t="str">
        <f>IFERROR(__xludf.DUMMYFUNCTION("""COMPUTED_VALUE"""),"fearless")</f>
        <v>fearless</v>
      </c>
      <c r="P1057" s="6" t="str">
        <f>IFERROR(__xludf.DUMMYFUNCTION("""COMPUTED_VALUE"""),"larger")</f>
        <v>larger</v>
      </c>
      <c r="Q1057" s="6" t="str">
        <f>IFERROR(__xludf.DUMMYFUNCTION("""COMPUTED_VALUE"""),"truths")</f>
        <v>truths</v>
      </c>
      <c r="S1057" s="6" t="str">
        <f>IFERROR(__xludf.DUMMYFUNCTION("""COMPUTED_VALUE"""),"battle")</f>
        <v>battle</v>
      </c>
    </row>
    <row r="1058">
      <c r="B1058" s="6"/>
      <c r="D1058" s="6"/>
      <c r="G1058" s="6" t="str">
        <f>IFERROR(__xludf.DUMMYFUNCTION("""COMPUTED_VALUE"""),"hopeful")</f>
        <v>hopeful</v>
      </c>
      <c r="H1058" s="6" t="str">
        <f>IFERROR(__xludf.DUMMYFUNCTION("""COMPUTED_VALUE"""),"portrays")</f>
        <v>portrays</v>
      </c>
      <c r="I1058" s="6" t="str">
        <f>IFERROR(__xludf.DUMMYFUNCTION("""COMPUTED_VALUE"""),"holmes")</f>
        <v>holmes</v>
      </c>
      <c r="J1058" s="6" t="str">
        <f>IFERROR(__xludf.DUMMYFUNCTION("""COMPUTED_VALUE"""),"unbearable")</f>
        <v>unbearable</v>
      </c>
      <c r="L1058" s="6" t="str">
        <f>IFERROR(__xludf.DUMMYFUNCTION("""COMPUTED_VALUE"""),"interrogation")</f>
        <v>interrogation</v>
      </c>
      <c r="M1058" s="6" t="str">
        <f>IFERROR(__xludf.DUMMYFUNCTION("""COMPUTED_VALUE"""),"comedy")</f>
        <v>comedy</v>
      </c>
      <c r="N1058" s="6" t="str">
        <f>IFERROR(__xludf.DUMMYFUNCTION("""COMPUTED_VALUE"""),"pinnacle")</f>
        <v>pinnacle</v>
      </c>
      <c r="P1058" s="6" t="str">
        <f>IFERROR(__xludf.DUMMYFUNCTION("""COMPUTED_VALUE"""),"conflict")</f>
        <v>conflict</v>
      </c>
      <c r="Q1058" s="6" t="str">
        <f>IFERROR(__xludf.DUMMYFUNCTION("""COMPUTED_VALUE"""),"laboratory")</f>
        <v>laboratory</v>
      </c>
      <c r="S1058" s="6" t="str">
        <f>IFERROR(__xludf.DUMMYFUNCTION("""COMPUTED_VALUE"""),"uncertain")</f>
        <v>uncertain</v>
      </c>
    </row>
    <row r="1059">
      <c r="B1059" s="6"/>
      <c r="D1059" s="6"/>
      <c r="G1059" s="6" t="str">
        <f>IFERROR(__xludf.DUMMYFUNCTION("""COMPUTED_VALUE"""),"stacked")</f>
        <v>stacked</v>
      </c>
      <c r="H1059" s="6" t="str">
        <f>IFERROR(__xludf.DUMMYFUNCTION("""COMPUTED_VALUE"""),"reign")</f>
        <v>reign</v>
      </c>
      <c r="I1059" s="6" t="str">
        <f>IFERROR(__xludf.DUMMYFUNCTION("""COMPUTED_VALUE"""),"journalist")</f>
        <v>journalist</v>
      </c>
      <c r="J1059" s="6" t="str">
        <f>IFERROR(__xludf.DUMMYFUNCTION("""COMPUTED_VALUE"""),"radical")</f>
        <v>radical</v>
      </c>
      <c r="L1059" s="6" t="str">
        <f>IFERROR(__xludf.DUMMYFUNCTION("""COMPUTED_VALUE"""),"animated")</f>
        <v>animated</v>
      </c>
      <c r="M1059" s="6" t="str">
        <f>IFERROR(__xludf.DUMMYFUNCTION("""COMPUTED_VALUE"""),"design")</f>
        <v>design</v>
      </c>
      <c r="N1059" s="6" t="str">
        <f>IFERROR(__xludf.DUMMYFUNCTION("""COMPUTED_VALUE"""),"hugh")</f>
        <v>hugh</v>
      </c>
      <c r="P1059" s="6" t="str">
        <f>IFERROR(__xludf.DUMMYFUNCTION("""COMPUTED_VALUE"""),"vital")</f>
        <v>vital</v>
      </c>
      <c r="Q1059" s="6" t="str">
        <f>IFERROR(__xludf.DUMMYFUNCTION("""COMPUTED_VALUE"""),"schemes")</f>
        <v>schemes</v>
      </c>
      <c r="S1059" s="6" t="str">
        <f>IFERROR(__xludf.DUMMYFUNCTION("""COMPUTED_VALUE"""),"releases")</f>
        <v>releases</v>
      </c>
    </row>
    <row r="1060">
      <c r="B1060" s="6"/>
      <c r="D1060" s="6"/>
      <c r="G1060" s="6" t="str">
        <f>IFERROR(__xludf.DUMMYFUNCTION("""COMPUTED_VALUE"""),"apparatus")</f>
        <v>apparatus</v>
      </c>
      <c r="H1060" s="6" t="str">
        <f>IFERROR(__xludf.DUMMYFUNCTION("""COMPUTED_VALUE"""),"grin")</f>
        <v>grin</v>
      </c>
      <c r="I1060" s="6" t="str">
        <f>IFERROR(__xludf.DUMMYFUNCTION("""COMPUTED_VALUE"""),"venice")</f>
        <v>venice</v>
      </c>
      <c r="J1060" s="6" t="str">
        <f>IFERROR(__xludf.DUMMYFUNCTION("""COMPUTED_VALUE"""),"personalities")</f>
        <v>personalities</v>
      </c>
      <c r="L1060" s="6" t="str">
        <f>IFERROR(__xludf.DUMMYFUNCTION("""COMPUTED_VALUE"""),"lucia")</f>
        <v>lucia</v>
      </c>
      <c r="M1060" s="6" t="str">
        <f>IFERROR(__xludf.DUMMYFUNCTION("""COMPUTED_VALUE"""),"sacrifice")</f>
        <v>sacrifice</v>
      </c>
      <c r="N1060" s="6" t="str">
        <f>IFERROR(__xludf.DUMMYFUNCTION("""COMPUTED_VALUE"""),"bonds")</f>
        <v>bonds</v>
      </c>
      <c r="P1060" s="6" t="str">
        <f>IFERROR(__xludf.DUMMYFUNCTION("""COMPUTED_VALUE"""),"classics")</f>
        <v>classics</v>
      </c>
      <c r="Q1060" s="6" t="str">
        <f>IFERROR(__xludf.DUMMYFUNCTION("""COMPUTED_VALUE"""),"tendencies")</f>
        <v>tendencies</v>
      </c>
      <c r="S1060" s="6" t="str">
        <f>IFERROR(__xludf.DUMMYFUNCTION("""COMPUTED_VALUE"""),"comedian")</f>
        <v>comedian</v>
      </c>
    </row>
    <row r="1061">
      <c r="B1061" s="6"/>
      <c r="D1061" s="6"/>
      <c r="G1061" s="6" t="str">
        <f>IFERROR(__xludf.DUMMYFUNCTION("""COMPUTED_VALUE"""),"mechanical")</f>
        <v>mechanical</v>
      </c>
      <c r="H1061" s="6" t="str">
        <f>IFERROR(__xludf.DUMMYFUNCTION("""COMPUTED_VALUE"""),"wang")</f>
        <v>wang</v>
      </c>
      <c r="I1061" s="6" t="str">
        <f>IFERROR(__xludf.DUMMYFUNCTION("""COMPUTED_VALUE"""),"stevens")</f>
        <v>stevens</v>
      </c>
      <c r="J1061" s="6" t="str">
        <f>IFERROR(__xludf.DUMMYFUNCTION("""COMPUTED_VALUE"""),"sterling")</f>
        <v>sterling</v>
      </c>
      <c r="L1061" s="6" t="str">
        <f>IFERROR(__xludf.DUMMYFUNCTION("""COMPUTED_VALUE"""),"venice")</f>
        <v>venice</v>
      </c>
      <c r="M1061" s="6" t="str">
        <f>IFERROR(__xludf.DUMMYFUNCTION("""COMPUTED_VALUE"""),"attempts")</f>
        <v>attempts</v>
      </c>
      <c r="N1061" s="6" t="str">
        <f>IFERROR(__xludf.DUMMYFUNCTION("""COMPUTED_VALUE"""),"ambition")</f>
        <v>ambition</v>
      </c>
      <c r="P1061" s="6" t="str">
        <f>IFERROR(__xludf.DUMMYFUNCTION("""COMPUTED_VALUE"""),"centered")</f>
        <v>centered</v>
      </c>
      <c r="Q1061" s="6" t="str">
        <f>IFERROR(__xludf.DUMMYFUNCTION("""COMPUTED_VALUE"""),"left")</f>
        <v>left</v>
      </c>
      <c r="S1061" s="6" t="str">
        <f>IFERROR(__xludf.DUMMYFUNCTION("""COMPUTED_VALUE"""),"song")</f>
        <v>song</v>
      </c>
    </row>
    <row r="1062">
      <c r="B1062" s="6"/>
      <c r="D1062" s="6"/>
      <c r="G1062" s="6" t="str">
        <f>IFERROR(__xludf.DUMMYFUNCTION("""COMPUTED_VALUE"""),"compatible")</f>
        <v>compatible</v>
      </c>
      <c r="H1062" s="6" t="str">
        <f>IFERROR(__xludf.DUMMYFUNCTION("""COMPUTED_VALUE"""),"corrupt")</f>
        <v>corrupt</v>
      </c>
      <c r="I1062" s="6" t="str">
        <f>IFERROR(__xludf.DUMMYFUNCTION("""COMPUTED_VALUE"""),"jealous")</f>
        <v>jealous</v>
      </c>
      <c r="J1062" s="6" t="str">
        <f>IFERROR(__xludf.DUMMYFUNCTION("""COMPUTED_VALUE"""),"thrusts")</f>
        <v>thrusts</v>
      </c>
      <c r="L1062" s="6" t="str">
        <f>IFERROR(__xludf.DUMMYFUNCTION("""COMPUTED_VALUE"""),"potent")</f>
        <v>potent</v>
      </c>
      <c r="M1062" s="6" t="str">
        <f>IFERROR(__xludf.DUMMYFUNCTION("""COMPUTED_VALUE"""),"reflect")</f>
        <v>reflect</v>
      </c>
      <c r="N1062" s="6" t="str">
        <f>IFERROR(__xludf.DUMMYFUNCTION("""COMPUTED_VALUE"""),"firing")</f>
        <v>firing</v>
      </c>
      <c r="P1062" s="6" t="str">
        <f>IFERROR(__xludf.DUMMYFUNCTION("""COMPUTED_VALUE"""),"hitting")</f>
        <v>hitting</v>
      </c>
      <c r="Q1062" s="6" t="str">
        <f>IFERROR(__xludf.DUMMYFUNCTION("""COMPUTED_VALUE"""),"swift")</f>
        <v>swift</v>
      </c>
      <c r="S1062" s="6" t="str">
        <f>IFERROR(__xludf.DUMMYFUNCTION("""COMPUTED_VALUE"""),"example")</f>
        <v>example</v>
      </c>
    </row>
    <row r="1063">
      <c r="B1063" s="6"/>
      <c r="D1063" s="6"/>
      <c r="G1063" s="6" t="str">
        <f>IFERROR(__xludf.DUMMYFUNCTION("""COMPUTED_VALUE"""),"depiction")</f>
        <v>depiction</v>
      </c>
      <c r="H1063" s="6" t="str">
        <f>IFERROR(__xludf.DUMMYFUNCTION("""COMPUTED_VALUE"""),"disguise")</f>
        <v>disguise</v>
      </c>
      <c r="I1063" s="6" t="str">
        <f>IFERROR(__xludf.DUMMYFUNCTION("""COMPUTED_VALUE"""),"mtv")</f>
        <v>mtv</v>
      </c>
      <c r="J1063" s="6" t="str">
        <f>IFERROR(__xludf.DUMMYFUNCTION("""COMPUTED_VALUE"""),"backbone")</f>
        <v>backbone</v>
      </c>
      <c r="L1063" s="6" t="str">
        <f>IFERROR(__xludf.DUMMYFUNCTION("""COMPUTED_VALUE"""),"combat")</f>
        <v>combat</v>
      </c>
      <c r="M1063" s="6" t="str">
        <f>IFERROR(__xludf.DUMMYFUNCTION("""COMPUTED_VALUE"""),"earn")</f>
        <v>earn</v>
      </c>
      <c r="N1063" s="6" t="str">
        <f>IFERROR(__xludf.DUMMYFUNCTION("""COMPUTED_VALUE"""),"relate")</f>
        <v>relate</v>
      </c>
      <c r="P1063" s="6" t="str">
        <f>IFERROR(__xludf.DUMMYFUNCTION("""COMPUTED_VALUE"""),"capacity")</f>
        <v>capacity</v>
      </c>
      <c r="Q1063" s="6" t="str">
        <f>IFERROR(__xludf.DUMMYFUNCTION("""COMPUTED_VALUE"""),"critics")</f>
        <v>critics</v>
      </c>
      <c r="S1063" s="6" t="str">
        <f>IFERROR(__xludf.DUMMYFUNCTION("""COMPUTED_VALUE"""),"values")</f>
        <v>values</v>
      </c>
    </row>
    <row r="1064">
      <c r="B1064" s="6"/>
      <c r="D1064" s="6"/>
      <c r="G1064" s="6" t="str">
        <f>IFERROR(__xludf.DUMMYFUNCTION("""COMPUTED_VALUE"""),"embraced")</f>
        <v>embraced</v>
      </c>
      <c r="H1064" s="6" t="str">
        <f>IFERROR(__xludf.DUMMYFUNCTION("""COMPUTED_VALUE"""),"surrender")</f>
        <v>surrender</v>
      </c>
      <c r="I1064" s="6" t="str">
        <f>IFERROR(__xludf.DUMMYFUNCTION("""COMPUTED_VALUE"""),"welsh")</f>
        <v>welsh</v>
      </c>
      <c r="J1064" s="6">
        <f>IFERROR(__xludf.DUMMYFUNCTION("""COMPUTED_VALUE"""),1993.0)</f>
        <v>1993</v>
      </c>
      <c r="L1064" s="6" t="str">
        <f>IFERROR(__xludf.DUMMYFUNCTION("""COMPUTED_VALUE"""),"cerebral")</f>
        <v>cerebral</v>
      </c>
      <c r="M1064" s="6" t="str">
        <f>IFERROR(__xludf.DUMMYFUNCTION("""COMPUTED_VALUE"""),"project")</f>
        <v>project</v>
      </c>
      <c r="N1064" s="6" t="str">
        <f>IFERROR(__xludf.DUMMYFUNCTION("""COMPUTED_VALUE"""),"graphic")</f>
        <v>graphic</v>
      </c>
      <c r="P1064" s="6" t="str">
        <f>IFERROR(__xludf.DUMMYFUNCTION("""COMPUTED_VALUE"""),"develop")</f>
        <v>develop</v>
      </c>
      <c r="Q1064" s="6" t="str">
        <f>IFERROR(__xludf.DUMMYFUNCTION("""COMPUTED_VALUE"""),"paints")</f>
        <v>paints</v>
      </c>
      <c r="S1064" s="6" t="str">
        <f>IFERROR(__xludf.DUMMYFUNCTION("""COMPUTED_VALUE"""),"extreme")</f>
        <v>extreme</v>
      </c>
    </row>
    <row r="1065">
      <c r="B1065" s="6"/>
      <c r="D1065" s="6"/>
      <c r="G1065" s="6" t="str">
        <f>IFERROR(__xludf.DUMMYFUNCTION("""COMPUTED_VALUE"""),"aids")</f>
        <v>aids</v>
      </c>
      <c r="H1065" s="6" t="str">
        <f>IFERROR(__xludf.DUMMYFUNCTION("""COMPUTED_VALUE"""),"settles")</f>
        <v>settles</v>
      </c>
      <c r="I1065" s="6" t="str">
        <f>IFERROR(__xludf.DUMMYFUNCTION("""COMPUTED_VALUE"""),"rounded")</f>
        <v>rounded</v>
      </c>
      <c r="J1065" s="6" t="str">
        <f>IFERROR(__xludf.DUMMYFUNCTION("""COMPUTED_VALUE"""),"courageous")</f>
        <v>courageous</v>
      </c>
      <c r="L1065" s="6" t="str">
        <f>IFERROR(__xludf.DUMMYFUNCTION("""COMPUTED_VALUE"""),"brooding")</f>
        <v>brooding</v>
      </c>
      <c r="M1065" s="6" t="str">
        <f>IFERROR(__xludf.DUMMYFUNCTION("""COMPUTED_VALUE"""),"joy")</f>
        <v>joy</v>
      </c>
      <c r="N1065" s="6" t="str">
        <f>IFERROR(__xludf.DUMMYFUNCTION("""COMPUTED_VALUE"""),"thrill")</f>
        <v>thrill</v>
      </c>
      <c r="P1065" s="6" t="str">
        <f>IFERROR(__xludf.DUMMYFUNCTION("""COMPUTED_VALUE"""),"language")</f>
        <v>language</v>
      </c>
      <c r="Q1065" s="6" t="str">
        <f>IFERROR(__xludf.DUMMYFUNCTION("""COMPUTED_VALUE"""),"clarity")</f>
        <v>clarity</v>
      </c>
      <c r="S1065" s="6" t="str">
        <f>IFERROR(__xludf.DUMMYFUNCTION("""COMPUTED_VALUE"""),"editing")</f>
        <v>editing</v>
      </c>
    </row>
    <row r="1066">
      <c r="B1066" s="6"/>
      <c r="D1066" s="6"/>
      <c r="G1066" s="6" t="str">
        <f>IFERROR(__xludf.DUMMYFUNCTION("""COMPUTED_VALUE"""),"fide")</f>
        <v>fide</v>
      </c>
      <c r="H1066" s="6" t="str">
        <f>IFERROR(__xludf.DUMMYFUNCTION("""COMPUTED_VALUE"""),"compressed")</f>
        <v>compressed</v>
      </c>
      <c r="I1066" s="6" t="str">
        <f>IFERROR(__xludf.DUMMYFUNCTION("""COMPUTED_VALUE"""),"stuart")</f>
        <v>stuart</v>
      </c>
      <c r="J1066" s="6" t="str">
        <f>IFERROR(__xludf.DUMMYFUNCTION("""COMPUTED_VALUE"""),"allegiance")</f>
        <v>allegiance</v>
      </c>
      <c r="L1066" s="6" t="str">
        <f>IFERROR(__xludf.DUMMYFUNCTION("""COMPUTED_VALUE"""),"fascination")</f>
        <v>fascination</v>
      </c>
      <c r="M1066" s="6" t="str">
        <f>IFERROR(__xludf.DUMMYFUNCTION("""COMPUTED_VALUE"""),"functions")</f>
        <v>functions</v>
      </c>
      <c r="N1066" s="6" t="str">
        <f>IFERROR(__xludf.DUMMYFUNCTION("""COMPUTED_VALUE"""),"widow")</f>
        <v>widow</v>
      </c>
      <c r="P1066" s="6" t="str">
        <f>IFERROR(__xludf.DUMMYFUNCTION("""COMPUTED_VALUE"""),"require")</f>
        <v>require</v>
      </c>
      <c r="Q1066" s="6" t="str">
        <f>IFERROR(__xludf.DUMMYFUNCTION("""COMPUTED_VALUE"""),"visually")</f>
        <v>visually</v>
      </c>
      <c r="S1066" s="6" t="str">
        <f>IFERROR(__xludf.DUMMYFUNCTION("""COMPUTED_VALUE"""),"strength")</f>
        <v>strength</v>
      </c>
    </row>
    <row r="1067">
      <c r="B1067" s="6"/>
      <c r="D1067" s="6"/>
      <c r="G1067" s="6" t="str">
        <f>IFERROR(__xludf.DUMMYFUNCTION("""COMPUTED_VALUE"""),"pitched")</f>
        <v>pitched</v>
      </c>
      <c r="H1067" s="6" t="str">
        <f>IFERROR(__xludf.DUMMYFUNCTION("""COMPUTED_VALUE"""),"profound")</f>
        <v>profound</v>
      </c>
      <c r="I1067" s="6" t="str">
        <f>IFERROR(__xludf.DUMMYFUNCTION("""COMPUTED_VALUE"""),"philip")</f>
        <v>philip</v>
      </c>
      <c r="J1067" s="6" t="str">
        <f>IFERROR(__xludf.DUMMYFUNCTION("""COMPUTED_VALUE"""),"backlash")</f>
        <v>backlash</v>
      </c>
      <c r="L1067" s="6" t="str">
        <f>IFERROR(__xludf.DUMMYFUNCTION("""COMPUTED_VALUE"""),"freaks")</f>
        <v>freaks</v>
      </c>
      <c r="M1067" s="6" t="str">
        <f>IFERROR(__xludf.DUMMYFUNCTION("""COMPUTED_VALUE"""),"punch")</f>
        <v>punch</v>
      </c>
      <c r="N1067" s="6" t="str">
        <f>IFERROR(__xludf.DUMMYFUNCTION("""COMPUTED_VALUE"""),"depth")</f>
        <v>depth</v>
      </c>
      <c r="P1067" s="6" t="str">
        <f>IFERROR(__xludf.DUMMYFUNCTION("""COMPUTED_VALUE"""),"connect")</f>
        <v>connect</v>
      </c>
      <c r="Q1067" s="6" t="str">
        <f>IFERROR(__xludf.DUMMYFUNCTION("""COMPUTED_VALUE"""),"chuckle")</f>
        <v>chuckle</v>
      </c>
      <c r="S1067" s="6" t="str">
        <f>IFERROR(__xludf.DUMMYFUNCTION("""COMPUTED_VALUE"""),"confident")</f>
        <v>confident</v>
      </c>
    </row>
    <row r="1068">
      <c r="B1068" s="6"/>
      <c r="D1068" s="6"/>
      <c r="G1068" s="6" t="str">
        <f>IFERROR(__xludf.DUMMYFUNCTION("""COMPUTED_VALUE"""),"born")</f>
        <v>born</v>
      </c>
      <c r="H1068" s="6" t="str">
        <f>IFERROR(__xludf.DUMMYFUNCTION("""COMPUTED_VALUE"""),"catalyst")</f>
        <v>catalyst</v>
      </c>
      <c r="I1068" s="6" t="str">
        <f>IFERROR(__xludf.DUMMYFUNCTION("""COMPUTED_VALUE"""),"ensure")</f>
        <v>ensure</v>
      </c>
      <c r="J1068" s="6" t="str">
        <f>IFERROR(__xludf.DUMMYFUNCTION("""COMPUTED_VALUE"""),"prominently")</f>
        <v>prominently</v>
      </c>
      <c r="L1068" s="6" t="str">
        <f>IFERROR(__xludf.DUMMYFUNCTION("""COMPUTED_VALUE"""),"durable")</f>
        <v>durable</v>
      </c>
      <c r="M1068" s="6" t="str">
        <f>IFERROR(__xludf.DUMMYFUNCTION("""COMPUTED_VALUE"""),"passion")</f>
        <v>passion</v>
      </c>
      <c r="N1068" s="6" t="str">
        <f>IFERROR(__xludf.DUMMYFUNCTION("""COMPUTED_VALUE"""),"weep")</f>
        <v>weep</v>
      </c>
      <c r="P1068" s="6" t="str">
        <f>IFERROR(__xludf.DUMMYFUNCTION("""COMPUTED_VALUE"""),"toss")</f>
        <v>toss</v>
      </c>
      <c r="Q1068" s="6" t="str">
        <f>IFERROR(__xludf.DUMMYFUNCTION("""COMPUTED_VALUE"""),"uhf")</f>
        <v>uhf</v>
      </c>
      <c r="S1068" s="6" t="str">
        <f>IFERROR(__xludf.DUMMYFUNCTION("""COMPUTED_VALUE"""),"directors")</f>
        <v>directors</v>
      </c>
    </row>
    <row r="1069">
      <c r="B1069" s="6"/>
      <c r="D1069" s="6"/>
      <c r="G1069" s="6" t="str">
        <f>IFERROR(__xludf.DUMMYFUNCTION("""COMPUTED_VALUE"""),"hug")</f>
        <v>hug</v>
      </c>
      <c r="H1069" s="6" t="str">
        <f>IFERROR(__xludf.DUMMYFUNCTION("""COMPUTED_VALUE"""),"restrictive")</f>
        <v>restrictive</v>
      </c>
      <c r="I1069" s="6" t="str">
        <f>IFERROR(__xludf.DUMMYFUNCTION("""COMPUTED_VALUE"""),"uncomfortable")</f>
        <v>uncomfortable</v>
      </c>
      <c r="J1069" s="6" t="str">
        <f>IFERROR(__xludf.DUMMYFUNCTION("""COMPUTED_VALUE"""),"imagery")</f>
        <v>imagery</v>
      </c>
      <c r="L1069" s="6" t="str">
        <f>IFERROR(__xludf.DUMMYFUNCTION("""COMPUTED_VALUE"""),"striking")</f>
        <v>striking</v>
      </c>
      <c r="M1069" s="6" t="str">
        <f>IFERROR(__xludf.DUMMYFUNCTION("""COMPUTED_VALUE"""),"records")</f>
        <v>records</v>
      </c>
      <c r="N1069" s="6" t="str">
        <f>IFERROR(__xludf.DUMMYFUNCTION("""COMPUTED_VALUE"""),"iranian")</f>
        <v>iranian</v>
      </c>
      <c r="P1069" s="6" t="str">
        <f>IFERROR(__xludf.DUMMYFUNCTION("""COMPUTED_VALUE"""),"floor")</f>
        <v>floor</v>
      </c>
      <c r="Q1069" s="6" t="str">
        <f>IFERROR(__xludf.DUMMYFUNCTION("""COMPUTED_VALUE"""),"maneuvers")</f>
        <v>maneuvers</v>
      </c>
      <c r="S1069" s="6" t="str">
        <f>IFERROR(__xludf.DUMMYFUNCTION("""COMPUTED_VALUE"""),"terms")</f>
        <v>terms</v>
      </c>
    </row>
    <row r="1070">
      <c r="B1070" s="6"/>
      <c r="D1070" s="6"/>
      <c r="G1070" s="6" t="str">
        <f>IFERROR(__xludf.DUMMYFUNCTION("""COMPUTED_VALUE"""),"agile")</f>
        <v>agile</v>
      </c>
      <c r="H1070" s="6" t="str">
        <f>IFERROR(__xludf.DUMMYFUNCTION("""COMPUTED_VALUE"""),"dubious")</f>
        <v>dubious</v>
      </c>
      <c r="I1070" s="6">
        <f>IFERROR(__xludf.DUMMYFUNCTION("""COMPUTED_VALUE"""),1957.0)</f>
        <v>1957</v>
      </c>
      <c r="J1070" s="6" t="str">
        <f>IFERROR(__xludf.DUMMYFUNCTION("""COMPUTED_VALUE"""),"intersect")</f>
        <v>intersect</v>
      </c>
      <c r="L1070" s="6" t="str">
        <f>IFERROR(__xludf.DUMMYFUNCTION("""COMPUTED_VALUE"""),"realistic")</f>
        <v>realistic</v>
      </c>
      <c r="M1070" s="6" t="str">
        <f>IFERROR(__xludf.DUMMYFUNCTION("""COMPUTED_VALUE"""),"remaining")</f>
        <v>remaining</v>
      </c>
      <c r="N1070" s="6" t="str">
        <f>IFERROR(__xludf.DUMMYFUNCTION("""COMPUTED_VALUE"""),"wasp")</f>
        <v>wasp</v>
      </c>
      <c r="P1070" s="6" t="str">
        <f>IFERROR(__xludf.DUMMYFUNCTION("""COMPUTED_VALUE"""),"interpretation")</f>
        <v>interpretation</v>
      </c>
      <c r="Q1070" s="6" t="str">
        <f>IFERROR(__xludf.DUMMYFUNCTION("""COMPUTED_VALUE"""),"played")</f>
        <v>played</v>
      </c>
      <c r="S1070" s="6" t="str">
        <f>IFERROR(__xludf.DUMMYFUNCTION("""COMPUTED_VALUE"""),"stephen")</f>
        <v>stephen</v>
      </c>
    </row>
    <row r="1071">
      <c r="B1071" s="6"/>
      <c r="D1071" s="6"/>
      <c r="G1071" s="6" t="str">
        <f>IFERROR(__xludf.DUMMYFUNCTION("""COMPUTED_VALUE"""),"victim")</f>
        <v>victim</v>
      </c>
      <c r="H1071" s="6" t="str">
        <f>IFERROR(__xludf.DUMMYFUNCTION("""COMPUTED_VALUE"""),"cheer")</f>
        <v>cheer</v>
      </c>
      <c r="I1071" s="6" t="str">
        <f>IFERROR(__xludf.DUMMYFUNCTION("""COMPUTED_VALUE"""),"retiring")</f>
        <v>retiring</v>
      </c>
      <c r="J1071" s="6" t="str">
        <f>IFERROR(__xludf.DUMMYFUNCTION("""COMPUTED_VALUE"""),"shimmering")</f>
        <v>shimmering</v>
      </c>
      <c r="L1071" s="6" t="str">
        <f>IFERROR(__xludf.DUMMYFUNCTION("""COMPUTED_VALUE"""),"disguised")</f>
        <v>disguised</v>
      </c>
      <c r="M1071" s="6" t="str">
        <f>IFERROR(__xludf.DUMMYFUNCTION("""COMPUTED_VALUE"""),"mechanical")</f>
        <v>mechanical</v>
      </c>
      <c r="N1071" s="6" t="str">
        <f>IFERROR(__xludf.DUMMYFUNCTION("""COMPUTED_VALUE"""),"rode")</f>
        <v>rode</v>
      </c>
      <c r="P1071" s="6" t="str">
        <f>IFERROR(__xludf.DUMMYFUNCTION("""COMPUTED_VALUE"""),"emotion")</f>
        <v>emotion</v>
      </c>
      <c r="Q1071" s="6" t="str">
        <f>IFERROR(__xludf.DUMMYFUNCTION("""COMPUTED_VALUE"""),"commanding")</f>
        <v>commanding</v>
      </c>
      <c r="S1071" s="6" t="str">
        <f>IFERROR(__xludf.DUMMYFUNCTION("""COMPUTED_VALUE"""),"william")</f>
        <v>william</v>
      </c>
    </row>
    <row r="1072">
      <c r="B1072" s="6"/>
      <c r="D1072" s="6"/>
      <c r="G1072" s="6" t="str">
        <f>IFERROR(__xludf.DUMMYFUNCTION("""COMPUTED_VALUE"""),"denial")</f>
        <v>denial</v>
      </c>
      <c r="H1072" s="6" t="str">
        <f>IFERROR(__xludf.DUMMYFUNCTION("""COMPUTED_VALUE"""),"secretary")</f>
        <v>secretary</v>
      </c>
      <c r="I1072" s="6" t="str">
        <f>IFERROR(__xludf.DUMMYFUNCTION("""COMPUTED_VALUE"""),"writers")</f>
        <v>writers</v>
      </c>
      <c r="J1072" s="6" t="str">
        <f>IFERROR(__xludf.DUMMYFUNCTION("""COMPUTED_VALUE"""),"pitted")</f>
        <v>pitted</v>
      </c>
      <c r="L1072" s="6" t="str">
        <f>IFERROR(__xludf.DUMMYFUNCTION("""COMPUTED_VALUE"""),"fathers")</f>
        <v>fathers</v>
      </c>
      <c r="M1072" s="6" t="str">
        <f>IFERROR(__xludf.DUMMYFUNCTION("""COMPUTED_VALUE"""),"span")</f>
        <v>span</v>
      </c>
      <c r="N1072" s="6" t="str">
        <f>IFERROR(__xludf.DUMMYFUNCTION("""COMPUTED_VALUE"""),"tightened")</f>
        <v>tightened</v>
      </c>
      <c r="P1072" s="6" t="str">
        <f>IFERROR(__xludf.DUMMYFUNCTION("""COMPUTED_VALUE"""),"flower")</f>
        <v>flower</v>
      </c>
      <c r="Q1072" s="6" t="str">
        <f>IFERROR(__xludf.DUMMYFUNCTION("""COMPUTED_VALUE"""),"comprehension")</f>
        <v>comprehension</v>
      </c>
      <c r="S1072" s="6" t="str">
        <f>IFERROR(__xludf.DUMMYFUNCTION("""COMPUTED_VALUE"""),"publishing")</f>
        <v>publishing</v>
      </c>
    </row>
    <row r="1073">
      <c r="B1073" s="6"/>
      <c r="D1073" s="6"/>
      <c r="G1073" s="6" t="str">
        <f>IFERROR(__xludf.DUMMYFUNCTION("""COMPUTED_VALUE"""),"resistance")</f>
        <v>resistance</v>
      </c>
      <c r="H1073" s="6" t="str">
        <f>IFERROR(__xludf.DUMMYFUNCTION("""COMPUTED_VALUE"""),"stepmother")</f>
        <v>stepmother</v>
      </c>
      <c r="I1073" s="6" t="str">
        <f>IFERROR(__xludf.DUMMYFUNCTION("""COMPUTED_VALUE"""),"experimental")</f>
        <v>experimental</v>
      </c>
      <c r="J1073" s="6" t="str">
        <f>IFERROR(__xludf.DUMMYFUNCTION("""COMPUTED_VALUE"""),"painting")</f>
        <v>painting</v>
      </c>
      <c r="L1073" s="6" t="str">
        <f>IFERROR(__xludf.DUMMYFUNCTION("""COMPUTED_VALUE"""),"playful")</f>
        <v>playful</v>
      </c>
      <c r="M1073" s="6" t="str">
        <f>IFERROR(__xludf.DUMMYFUNCTION("""COMPUTED_VALUE"""),"arguments")</f>
        <v>arguments</v>
      </c>
      <c r="N1073" s="6" t="str">
        <f>IFERROR(__xludf.DUMMYFUNCTION("""COMPUTED_VALUE"""),"torpedo")</f>
        <v>torpedo</v>
      </c>
      <c r="P1073" s="6" t="str">
        <f>IFERROR(__xludf.DUMMYFUNCTION("""COMPUTED_VALUE"""),"glow")</f>
        <v>glow</v>
      </c>
      <c r="Q1073" s="6" t="str">
        <f>IFERROR(__xludf.DUMMYFUNCTION("""COMPUTED_VALUE"""),"staged")</f>
        <v>staged</v>
      </c>
      <c r="S1073" s="6" t="str">
        <f>IFERROR(__xludf.DUMMYFUNCTION("""COMPUTED_VALUE"""),"hollow")</f>
        <v>hollow</v>
      </c>
    </row>
    <row r="1074">
      <c r="B1074" s="6"/>
      <c r="D1074" s="6"/>
      <c r="G1074" s="6" t="str">
        <f>IFERROR(__xludf.DUMMYFUNCTION("""COMPUTED_VALUE"""),"armed")</f>
        <v>armed</v>
      </c>
      <c r="H1074" s="6" t="str">
        <f>IFERROR(__xludf.DUMMYFUNCTION("""COMPUTED_VALUE"""),"incarnation")</f>
        <v>incarnation</v>
      </c>
      <c r="I1074" s="6" t="str">
        <f>IFERROR(__xludf.DUMMYFUNCTION("""COMPUTED_VALUE"""),"reaches")</f>
        <v>reaches</v>
      </c>
      <c r="J1074" s="6" t="str">
        <f>IFERROR(__xludf.DUMMYFUNCTION("""COMPUTED_VALUE"""),"shocks")</f>
        <v>shocks</v>
      </c>
      <c r="L1074" s="6" t="str">
        <f>IFERROR(__xludf.DUMMYFUNCTION("""COMPUTED_VALUE"""),"lifts")</f>
        <v>lifts</v>
      </c>
      <c r="M1074" s="6" t="str">
        <f>IFERROR(__xludf.DUMMYFUNCTION("""COMPUTED_VALUE"""),"circle")</f>
        <v>circle</v>
      </c>
      <c r="N1074" s="6" t="str">
        <f>IFERROR(__xludf.DUMMYFUNCTION("""COMPUTED_VALUE"""),"motion")</f>
        <v>motion</v>
      </c>
      <c r="P1074" s="6" t="str">
        <f>IFERROR(__xludf.DUMMYFUNCTION("""COMPUTED_VALUE"""),"bunch")</f>
        <v>bunch</v>
      </c>
      <c r="Q1074" s="6" t="str">
        <f>IFERROR(__xludf.DUMMYFUNCTION("""COMPUTED_VALUE"""),"dazzling")</f>
        <v>dazzling</v>
      </c>
      <c r="S1074" s="6" t="str">
        <f>IFERROR(__xludf.DUMMYFUNCTION("""COMPUTED_VALUE"""),"burning")</f>
        <v>burning</v>
      </c>
    </row>
    <row r="1075">
      <c r="B1075" s="6"/>
      <c r="D1075" s="6"/>
      <c r="G1075" s="6" t="str">
        <f>IFERROR(__xludf.DUMMYFUNCTION("""COMPUTED_VALUE"""),"employment")</f>
        <v>employment</v>
      </c>
      <c r="H1075" s="6" t="str">
        <f>IFERROR(__xludf.DUMMYFUNCTION("""COMPUTED_VALUE"""),"inevitable")</f>
        <v>inevitable</v>
      </c>
      <c r="I1075" s="6" t="str">
        <f>IFERROR(__xludf.DUMMYFUNCTION("""COMPUTED_VALUE"""),"servants")</f>
        <v>servants</v>
      </c>
      <c r="J1075" s="6" t="str">
        <f>IFERROR(__xludf.DUMMYFUNCTION("""COMPUTED_VALUE"""),"adolescent")</f>
        <v>adolescent</v>
      </c>
      <c r="L1075" s="6" t="str">
        <f>IFERROR(__xludf.DUMMYFUNCTION("""COMPUTED_VALUE"""),"chord")</f>
        <v>chord</v>
      </c>
      <c r="M1075" s="6" t="str">
        <f>IFERROR(__xludf.DUMMYFUNCTION("""COMPUTED_VALUE"""),"pale")</f>
        <v>pale</v>
      </c>
      <c r="N1075" s="6" t="str">
        <f>IFERROR(__xludf.DUMMYFUNCTION("""COMPUTED_VALUE"""),"masterpiece")</f>
        <v>masterpiece</v>
      </c>
      <c r="P1075" s="6" t="str">
        <f>IFERROR(__xludf.DUMMYFUNCTION("""COMPUTED_VALUE"""),"shame")</f>
        <v>shame</v>
      </c>
      <c r="Q1075" s="6" t="str">
        <f>IFERROR(__xludf.DUMMYFUNCTION("""COMPUTED_VALUE"""),"brit")</f>
        <v>brit</v>
      </c>
      <c r="S1075" s="6" t="str">
        <f>IFERROR(__xludf.DUMMYFUNCTION("""COMPUTED_VALUE"""),"passes")</f>
        <v>passes</v>
      </c>
    </row>
    <row r="1076">
      <c r="B1076" s="6"/>
      <c r="D1076" s="6"/>
      <c r="G1076" s="6" t="str">
        <f>IFERROR(__xludf.DUMMYFUNCTION("""COMPUTED_VALUE"""),"vin")</f>
        <v>vin</v>
      </c>
      <c r="H1076" s="6" t="str">
        <f>IFERROR(__xludf.DUMMYFUNCTION("""COMPUTED_VALUE"""),"indians")</f>
        <v>indians</v>
      </c>
      <c r="I1076" s="6" t="str">
        <f>IFERROR(__xludf.DUMMYFUNCTION("""COMPUTED_VALUE"""),"error")</f>
        <v>error</v>
      </c>
      <c r="J1076" s="6" t="str">
        <f>IFERROR(__xludf.DUMMYFUNCTION("""COMPUTED_VALUE"""),"marine")</f>
        <v>marine</v>
      </c>
      <c r="L1076" s="6" t="str">
        <f>IFERROR(__xludf.DUMMYFUNCTION("""COMPUTED_VALUE"""),"waldo")</f>
        <v>waldo</v>
      </c>
      <c r="M1076" s="6" t="str">
        <f>IFERROR(__xludf.DUMMYFUNCTION("""COMPUTED_VALUE"""),"12th")</f>
        <v>12th</v>
      </c>
      <c r="N1076" s="6" t="str">
        <f>IFERROR(__xludf.DUMMYFUNCTION("""COMPUTED_VALUE"""),"fiction")</f>
        <v>fiction</v>
      </c>
      <c r="P1076" s="6" t="str">
        <f>IFERROR(__xludf.DUMMYFUNCTION("""COMPUTED_VALUE"""),"base")</f>
        <v>base</v>
      </c>
      <c r="Q1076" s="6" t="str">
        <f>IFERROR(__xludf.DUMMYFUNCTION("""COMPUTED_VALUE"""),"fabricated")</f>
        <v>fabricated</v>
      </c>
      <c r="S1076" s="6" t="str">
        <f>IFERROR(__xludf.DUMMYFUNCTION("""COMPUTED_VALUE"""),"unless")</f>
        <v>unless</v>
      </c>
    </row>
    <row r="1077">
      <c r="B1077" s="6"/>
      <c r="D1077" s="6"/>
      <c r="G1077" s="6" t="str">
        <f>IFERROR(__xludf.DUMMYFUNCTION("""COMPUTED_VALUE"""),"brains")</f>
        <v>brains</v>
      </c>
      <c r="H1077" s="6" t="str">
        <f>IFERROR(__xludf.DUMMYFUNCTION("""COMPUTED_VALUE"""),"distinguishing")</f>
        <v>distinguishing</v>
      </c>
      <c r="I1077" s="6" t="str">
        <f>IFERROR(__xludf.DUMMYFUNCTION("""COMPUTED_VALUE"""),"collaboration")</f>
        <v>collaboration</v>
      </c>
      <c r="J1077" s="6" t="str">
        <f>IFERROR(__xludf.DUMMYFUNCTION("""COMPUTED_VALUE"""),"padded")</f>
        <v>padded</v>
      </c>
      <c r="L1077" s="6" t="str">
        <f>IFERROR(__xludf.DUMMYFUNCTION("""COMPUTED_VALUE"""),"rank")</f>
        <v>rank</v>
      </c>
      <c r="M1077" s="6" t="str">
        <f>IFERROR(__xludf.DUMMYFUNCTION("""COMPUTED_VALUE"""),"pit")</f>
        <v>pit</v>
      </c>
      <c r="N1077" s="6" t="str">
        <f>IFERROR(__xludf.DUMMYFUNCTION("""COMPUTED_VALUE"""),"pulp")</f>
        <v>pulp</v>
      </c>
      <c r="P1077" s="6" t="str">
        <f>IFERROR(__xludf.DUMMYFUNCTION("""COMPUTED_VALUE"""),"shifted")</f>
        <v>shifted</v>
      </c>
      <c r="Q1077" s="6" t="str">
        <f>IFERROR(__xludf.DUMMYFUNCTION("""COMPUTED_VALUE"""),"dismissed")</f>
        <v>dismissed</v>
      </c>
      <c r="S1077" s="6" t="str">
        <f>IFERROR(__xludf.DUMMYFUNCTION("""COMPUTED_VALUE"""),"portrayed")</f>
        <v>portrayed</v>
      </c>
    </row>
    <row r="1078">
      <c r="B1078" s="6"/>
      <c r="D1078" s="6"/>
      <c r="G1078" s="6" t="str">
        <f>IFERROR(__xludf.DUMMYFUNCTION("""COMPUTED_VALUE"""),"screenings")</f>
        <v>screenings</v>
      </c>
      <c r="H1078" s="6" t="str">
        <f>IFERROR(__xludf.DUMMYFUNCTION("""COMPUTED_VALUE"""),"wallace")</f>
        <v>wallace</v>
      </c>
      <c r="I1078" s="6" t="str">
        <f>IFERROR(__xludf.DUMMYFUNCTION("""COMPUTED_VALUE"""),"1960s")</f>
        <v>1960s</v>
      </c>
      <c r="J1078" s="6" t="str">
        <f>IFERROR(__xludf.DUMMYFUNCTION("""COMPUTED_VALUE"""),"propaganda")</f>
        <v>propaganda</v>
      </c>
      <c r="L1078" s="6" t="str">
        <f>IFERROR(__xludf.DUMMYFUNCTION("""COMPUTED_VALUE"""),"bouncing")</f>
        <v>bouncing</v>
      </c>
      <c r="M1078" s="6" t="str">
        <f>IFERROR(__xludf.DUMMYFUNCTION("""COMPUTED_VALUE"""),"occasional")</f>
        <v>occasional</v>
      </c>
      <c r="N1078" s="6" t="str">
        <f>IFERROR(__xludf.DUMMYFUNCTION("""COMPUTED_VALUE"""),"capability")</f>
        <v>capability</v>
      </c>
      <c r="P1078" s="6" t="str">
        <f>IFERROR(__xludf.DUMMYFUNCTION("""COMPUTED_VALUE"""),"asia")</f>
        <v>asia</v>
      </c>
      <c r="Q1078" s="6" t="str">
        <f>IFERROR(__xludf.DUMMYFUNCTION("""COMPUTED_VALUE"""),"forced")</f>
        <v>forced</v>
      </c>
      <c r="S1078" s="6" t="str">
        <f>IFERROR(__xludf.DUMMYFUNCTION("""COMPUTED_VALUE"""),"ring")</f>
        <v>ring</v>
      </c>
    </row>
    <row r="1079">
      <c r="B1079" s="6"/>
      <c r="D1079" s="6"/>
      <c r="G1079" s="6" t="str">
        <f>IFERROR(__xludf.DUMMYFUNCTION("""COMPUTED_VALUE"""),"canon")</f>
        <v>canon</v>
      </c>
      <c r="H1079" s="6" t="str">
        <f>IFERROR(__xludf.DUMMYFUNCTION("""COMPUTED_VALUE"""),"transparency")</f>
        <v>transparency</v>
      </c>
      <c r="I1079" s="6" t="str">
        <f>IFERROR(__xludf.DUMMYFUNCTION("""COMPUTED_VALUE"""),"sustained")</f>
        <v>sustained</v>
      </c>
      <c r="J1079" s="6" t="str">
        <f>IFERROR(__xludf.DUMMYFUNCTION("""COMPUTED_VALUE"""),"shelf")</f>
        <v>shelf</v>
      </c>
      <c r="L1079" s="6" t="str">
        <f>IFERROR(__xludf.DUMMYFUNCTION("""COMPUTED_VALUE"""),"etched")</f>
        <v>etched</v>
      </c>
      <c r="M1079" s="6" t="str">
        <f>IFERROR(__xludf.DUMMYFUNCTION("""COMPUTED_VALUE"""),"breaks")</f>
        <v>breaks</v>
      </c>
      <c r="N1079" s="6" t="str">
        <f>IFERROR(__xludf.DUMMYFUNCTION("""COMPUTED_VALUE"""),"portrait")</f>
        <v>portrait</v>
      </c>
      <c r="P1079" s="6" t="str">
        <f>IFERROR(__xludf.DUMMYFUNCTION("""COMPUTED_VALUE"""),"institution")</f>
        <v>institution</v>
      </c>
      <c r="Q1079" s="6" t="str">
        <f>IFERROR(__xludf.DUMMYFUNCTION("""COMPUTED_VALUE"""),"schmidt")</f>
        <v>schmidt</v>
      </c>
      <c r="S1079" s="6">
        <f>IFERROR(__xludf.DUMMYFUNCTION("""COMPUTED_VALUE"""),30.0)</f>
        <v>30</v>
      </c>
    </row>
    <row r="1080">
      <c r="B1080" s="6"/>
      <c r="D1080" s="6"/>
      <c r="G1080" s="6" t="str">
        <f>IFERROR(__xludf.DUMMYFUNCTION("""COMPUTED_VALUE"""),"flesh")</f>
        <v>flesh</v>
      </c>
      <c r="H1080" s="6" t="str">
        <f>IFERROR(__xludf.DUMMYFUNCTION("""COMPUTED_VALUE"""),"hampered")</f>
        <v>hampered</v>
      </c>
      <c r="I1080" s="6" t="str">
        <f>IFERROR(__xludf.DUMMYFUNCTION("""COMPUTED_VALUE"""),"reportedly")</f>
        <v>reportedly</v>
      </c>
      <c r="J1080" s="6" t="str">
        <f>IFERROR(__xludf.DUMMYFUNCTION("""COMPUTED_VALUE"""),"visuals")</f>
        <v>visuals</v>
      </c>
      <c r="L1080" s="6" t="str">
        <f>IFERROR(__xludf.DUMMYFUNCTION("""COMPUTED_VALUE"""),"sitcom")</f>
        <v>sitcom</v>
      </c>
      <c r="M1080" s="6" t="str">
        <f>IFERROR(__xludf.DUMMYFUNCTION("""COMPUTED_VALUE"""),"marks")</f>
        <v>marks</v>
      </c>
      <c r="N1080" s="6" t="str">
        <f>IFERROR(__xludf.DUMMYFUNCTION("""COMPUTED_VALUE"""),"kiss")</f>
        <v>kiss</v>
      </c>
      <c r="P1080" s="6" t="str">
        <f>IFERROR(__xludf.DUMMYFUNCTION("""COMPUTED_VALUE"""),"bright")</f>
        <v>bright</v>
      </c>
      <c r="Q1080" s="6" t="str">
        <f>IFERROR(__xludf.DUMMYFUNCTION("""COMPUTED_VALUE"""),"uneasy")</f>
        <v>uneasy</v>
      </c>
      <c r="S1080" s="6" t="str">
        <f>IFERROR(__xludf.DUMMYFUNCTION("""COMPUTED_VALUE"""),"updated")</f>
        <v>updated</v>
      </c>
    </row>
    <row r="1081">
      <c r="B1081" s="6"/>
      <c r="D1081" s="6"/>
      <c r="G1081" s="6" t="str">
        <f>IFERROR(__xludf.DUMMYFUNCTION("""COMPUTED_VALUE"""),"drastic")</f>
        <v>drastic</v>
      </c>
      <c r="H1081" s="6" t="str">
        <f>IFERROR(__xludf.DUMMYFUNCTION("""COMPUTED_VALUE"""),"notion")</f>
        <v>notion</v>
      </c>
      <c r="I1081" s="6" t="str">
        <f>IFERROR(__xludf.DUMMYFUNCTION("""COMPUTED_VALUE"""),"dimensional")</f>
        <v>dimensional</v>
      </c>
      <c r="J1081" s="6" t="str">
        <f>IFERROR(__xludf.DUMMYFUNCTION("""COMPUTED_VALUE"""),"majestic")</f>
        <v>majestic</v>
      </c>
      <c r="L1081" s="6" t="str">
        <f>IFERROR(__xludf.DUMMYFUNCTION("""COMPUTED_VALUE"""),"threat")</f>
        <v>threat</v>
      </c>
      <c r="M1081" s="6" t="str">
        <f>IFERROR(__xludf.DUMMYFUNCTION("""COMPUTED_VALUE"""),"committed")</f>
        <v>committed</v>
      </c>
      <c r="N1081" s="6" t="str">
        <f>IFERROR(__xludf.DUMMYFUNCTION("""COMPUTED_VALUE"""),"tuned")</f>
        <v>tuned</v>
      </c>
      <c r="P1081" s="6" t="str">
        <f>IFERROR(__xludf.DUMMYFUNCTION("""COMPUTED_VALUE"""),"recovery")</f>
        <v>recovery</v>
      </c>
      <c r="Q1081" s="6" t="str">
        <f>IFERROR(__xludf.DUMMYFUNCTION("""COMPUTED_VALUE"""),"payne")</f>
        <v>payne</v>
      </c>
      <c r="S1081" s="6" t="str">
        <f>IFERROR(__xludf.DUMMYFUNCTION("""COMPUTED_VALUE"""),"innocent")</f>
        <v>innocent</v>
      </c>
    </row>
    <row r="1082">
      <c r="B1082" s="6"/>
      <c r="D1082" s="6"/>
      <c r="G1082" s="6" t="str">
        <f>IFERROR(__xludf.DUMMYFUNCTION("""COMPUTED_VALUE"""),"capturing")</f>
        <v>capturing</v>
      </c>
      <c r="H1082" s="6" t="str">
        <f>IFERROR(__xludf.DUMMYFUNCTION("""COMPUTED_VALUE"""),"possesses")</f>
        <v>possesses</v>
      </c>
      <c r="I1082" s="6" t="str">
        <f>IFERROR(__xludf.DUMMYFUNCTION("""COMPUTED_VALUE"""),"departments")</f>
        <v>departments</v>
      </c>
      <c r="J1082" s="6" t="str">
        <f>IFERROR(__xludf.DUMMYFUNCTION("""COMPUTED_VALUE"""),"strikes")</f>
        <v>strikes</v>
      </c>
      <c r="L1082" s="6" t="str">
        <f>IFERROR(__xludf.DUMMYFUNCTION("""COMPUTED_VALUE"""),"drama")</f>
        <v>drama</v>
      </c>
      <c r="M1082" s="6" t="str">
        <f>IFERROR(__xludf.DUMMYFUNCTION("""COMPUTED_VALUE"""),"shoulders")</f>
        <v>shoulders</v>
      </c>
      <c r="N1082" s="6" t="str">
        <f>IFERROR(__xludf.DUMMYFUNCTION("""COMPUTED_VALUE"""),"visually")</f>
        <v>visually</v>
      </c>
      <c r="P1082" s="6" t="str">
        <f>IFERROR(__xludf.DUMMYFUNCTION("""COMPUTED_VALUE"""),"capture")</f>
        <v>capture</v>
      </c>
      <c r="Q1082" s="6" t="str">
        <f>IFERROR(__xludf.DUMMYFUNCTION("""COMPUTED_VALUE"""),"source")</f>
        <v>source</v>
      </c>
      <c r="S1082" s="6" t="str">
        <f>IFERROR(__xludf.DUMMYFUNCTION("""COMPUTED_VALUE"""),"panic")</f>
        <v>panic</v>
      </c>
    </row>
    <row r="1083">
      <c r="B1083" s="6"/>
      <c r="D1083" s="6"/>
      <c r="G1083" s="6" t="str">
        <f>IFERROR(__xludf.DUMMYFUNCTION("""COMPUTED_VALUE"""),"fantasies")</f>
        <v>fantasies</v>
      </c>
      <c r="H1083" s="6" t="str">
        <f>IFERROR(__xludf.DUMMYFUNCTION("""COMPUTED_VALUE"""),"proficiency")</f>
        <v>proficiency</v>
      </c>
      <c r="I1083" s="6" t="str">
        <f>IFERROR(__xludf.DUMMYFUNCTION("""COMPUTED_VALUE"""),"developments")</f>
        <v>developments</v>
      </c>
      <c r="J1083" s="6" t="str">
        <f>IFERROR(__xludf.DUMMYFUNCTION("""COMPUTED_VALUE"""),"empire")</f>
        <v>empire</v>
      </c>
      <c r="L1083" s="6" t="str">
        <f>IFERROR(__xludf.DUMMYFUNCTION("""COMPUTED_VALUE"""),"reckless")</f>
        <v>reckless</v>
      </c>
      <c r="M1083" s="6" t="str">
        <f>IFERROR(__xludf.DUMMYFUNCTION("""COMPUTED_VALUE"""),"lee")</f>
        <v>lee</v>
      </c>
      <c r="N1083" s="6" t="str">
        <f>IFERROR(__xludf.DUMMYFUNCTION("""COMPUTED_VALUE"""),"dawn")</f>
        <v>dawn</v>
      </c>
      <c r="P1083" s="6" t="str">
        <f>IFERROR(__xludf.DUMMYFUNCTION("""COMPUTED_VALUE"""),"chaos")</f>
        <v>chaos</v>
      </c>
      <c r="Q1083" s="6" t="str">
        <f>IFERROR(__xludf.DUMMYFUNCTION("""COMPUTED_VALUE"""),"indifference")</f>
        <v>indifference</v>
      </c>
      <c r="S1083" s="6" t="str">
        <f>IFERROR(__xludf.DUMMYFUNCTION("""COMPUTED_VALUE"""),"manage")</f>
        <v>manage</v>
      </c>
    </row>
    <row r="1084">
      <c r="B1084" s="6"/>
      <c r="D1084" s="6"/>
      <c r="G1084" s="6" t="str">
        <f>IFERROR(__xludf.DUMMYFUNCTION("""COMPUTED_VALUE"""),"illness")</f>
        <v>illness</v>
      </c>
      <c r="H1084" s="6" t="str">
        <f>IFERROR(__xludf.DUMMYFUNCTION("""COMPUTED_VALUE"""),"professors")</f>
        <v>professors</v>
      </c>
      <c r="I1084" s="6" t="str">
        <f>IFERROR(__xludf.DUMMYFUNCTION("""COMPUTED_VALUE"""),"discussion")</f>
        <v>discussion</v>
      </c>
      <c r="J1084" s="6" t="str">
        <f>IFERROR(__xludf.DUMMYFUNCTION("""COMPUTED_VALUE"""),"directorial")</f>
        <v>directorial</v>
      </c>
      <c r="L1084" s="6" t="str">
        <f>IFERROR(__xludf.DUMMYFUNCTION("""COMPUTED_VALUE"""),"forged")</f>
        <v>forged</v>
      </c>
      <c r="M1084" s="6" t="str">
        <f>IFERROR(__xludf.DUMMYFUNCTION("""COMPUTED_VALUE"""),"performing")</f>
        <v>performing</v>
      </c>
      <c r="N1084" s="6" t="str">
        <f>IFERROR(__xludf.DUMMYFUNCTION("""COMPUTED_VALUE"""),"grant")</f>
        <v>grant</v>
      </c>
      <c r="P1084" s="6" t="str">
        <f>IFERROR(__xludf.DUMMYFUNCTION("""COMPUTED_VALUE"""),"operational")</f>
        <v>operational</v>
      </c>
      <c r="Q1084" s="6" t="str">
        <f>IFERROR(__xludf.DUMMYFUNCTION("""COMPUTED_VALUE"""),"revolution")</f>
        <v>revolution</v>
      </c>
      <c r="S1084" s="6" t="str">
        <f>IFERROR(__xludf.DUMMYFUNCTION("""COMPUTED_VALUE"""),"sick")</f>
        <v>sick</v>
      </c>
    </row>
    <row r="1085">
      <c r="B1085" s="6"/>
      <c r="D1085" s="6"/>
      <c r="G1085" s="6" t="str">
        <f>IFERROR(__xludf.DUMMYFUNCTION("""COMPUTED_VALUE"""),"metaphysical")</f>
        <v>metaphysical</v>
      </c>
      <c r="H1085" s="6" t="str">
        <f>IFERROR(__xludf.DUMMYFUNCTION("""COMPUTED_VALUE"""),"contradiction")</f>
        <v>contradiction</v>
      </c>
      <c r="I1085" s="6" t="str">
        <f>IFERROR(__xludf.DUMMYFUNCTION("""COMPUTED_VALUE"""),"byzantine")</f>
        <v>byzantine</v>
      </c>
      <c r="J1085" s="6" t="str">
        <f>IFERROR(__xludf.DUMMYFUNCTION("""COMPUTED_VALUE"""),"puppets")</f>
        <v>puppets</v>
      </c>
      <c r="L1085" s="6" t="str">
        <f>IFERROR(__xludf.DUMMYFUNCTION("""COMPUTED_VALUE"""),"catastrophic")</f>
        <v>catastrophic</v>
      </c>
      <c r="M1085" s="6" t="str">
        <f>IFERROR(__xludf.DUMMYFUNCTION("""COMPUTED_VALUE"""),"broadcast")</f>
        <v>broadcast</v>
      </c>
      <c r="N1085" s="6" t="str">
        <f>IFERROR(__xludf.DUMMYFUNCTION("""COMPUTED_VALUE"""),"peek")</f>
        <v>peek</v>
      </c>
      <c r="P1085" s="6" t="str">
        <f>IFERROR(__xludf.DUMMYFUNCTION("""COMPUTED_VALUE"""),"mechanics")</f>
        <v>mechanics</v>
      </c>
      <c r="Q1085" s="6" t="str">
        <f>IFERROR(__xludf.DUMMYFUNCTION("""COMPUTED_VALUE"""),"precisely")</f>
        <v>precisely</v>
      </c>
      <c r="S1085" s="6" t="str">
        <f>IFERROR(__xludf.DUMMYFUNCTION("""COMPUTED_VALUE"""),"range")</f>
        <v>range</v>
      </c>
    </row>
    <row r="1086">
      <c r="B1086" s="6"/>
      <c r="D1086" s="6"/>
      <c r="G1086" s="6" t="str">
        <f>IFERROR(__xludf.DUMMYFUNCTION("""COMPUTED_VALUE"""),"collectively")</f>
        <v>collectively</v>
      </c>
      <c r="H1086" s="6" t="str">
        <f>IFERROR(__xludf.DUMMYFUNCTION("""COMPUTED_VALUE"""),"searing")</f>
        <v>searing</v>
      </c>
      <c r="I1086" s="6" t="str">
        <f>IFERROR(__xludf.DUMMYFUNCTION("""COMPUTED_VALUE"""),"experiment")</f>
        <v>experiment</v>
      </c>
      <c r="J1086" s="6" t="str">
        <f>IFERROR(__xludf.DUMMYFUNCTION("""COMPUTED_VALUE"""),"bear")</f>
        <v>bear</v>
      </c>
      <c r="L1086" s="6" t="str">
        <f>IFERROR(__xludf.DUMMYFUNCTION("""COMPUTED_VALUE"""),"li")</f>
        <v>li</v>
      </c>
      <c r="M1086" s="6" t="str">
        <f>IFERROR(__xludf.DUMMYFUNCTION("""COMPUTED_VALUE"""),"proposal")</f>
        <v>proposal</v>
      </c>
      <c r="N1086" s="6" t="str">
        <f>IFERROR(__xludf.DUMMYFUNCTION("""COMPUTED_VALUE"""),"stupidity")</f>
        <v>stupidity</v>
      </c>
      <c r="P1086" s="6" t="str">
        <f>IFERROR(__xludf.DUMMYFUNCTION("""COMPUTED_VALUE"""),"cult")</f>
        <v>cult</v>
      </c>
      <c r="Q1086" s="6" t="str">
        <f>IFERROR(__xludf.DUMMYFUNCTION("""COMPUTED_VALUE"""),"loneliness")</f>
        <v>loneliness</v>
      </c>
      <c r="S1086" s="6" t="str">
        <f>IFERROR(__xludf.DUMMYFUNCTION("""COMPUTED_VALUE"""),"broadway")</f>
        <v>broadway</v>
      </c>
    </row>
    <row r="1087">
      <c r="B1087" s="6"/>
      <c r="D1087" s="6"/>
      <c r="G1087" s="6" t="str">
        <f>IFERROR(__xludf.DUMMYFUNCTION("""COMPUTED_VALUE"""),"echoes")</f>
        <v>echoes</v>
      </c>
      <c r="H1087" s="6" t="str">
        <f>IFERROR(__xludf.DUMMYFUNCTION("""COMPUTED_VALUE"""),"lifetime")</f>
        <v>lifetime</v>
      </c>
      <c r="I1087" s="6" t="str">
        <f>IFERROR(__xludf.DUMMYFUNCTION("""COMPUTED_VALUE"""),"percussion")</f>
        <v>percussion</v>
      </c>
      <c r="J1087" s="6" t="str">
        <f>IFERROR(__xludf.DUMMYFUNCTION("""COMPUTED_VALUE"""),"advantage")</f>
        <v>advantage</v>
      </c>
      <c r="L1087" s="6" t="str">
        <f>IFERROR(__xludf.DUMMYFUNCTION("""COMPUTED_VALUE"""),"admire")</f>
        <v>admire</v>
      </c>
      <c r="M1087" s="6" t="str">
        <f>IFERROR(__xludf.DUMMYFUNCTION("""COMPUTED_VALUE"""),"turning")</f>
        <v>turning</v>
      </c>
      <c r="N1087" s="6" t="str">
        <f>IFERROR(__xludf.DUMMYFUNCTION("""COMPUTED_VALUE"""),"subjected")</f>
        <v>subjected</v>
      </c>
      <c r="P1087" s="6" t="str">
        <f>IFERROR(__xludf.DUMMYFUNCTION("""COMPUTED_VALUE"""),"hall")</f>
        <v>hall</v>
      </c>
      <c r="Q1087" s="6" t="str">
        <f>IFERROR(__xludf.DUMMYFUNCTION("""COMPUTED_VALUE"""),"notwithstanding")</f>
        <v>notwithstanding</v>
      </c>
      <c r="S1087" s="6" t="str">
        <f>IFERROR(__xludf.DUMMYFUNCTION("""COMPUTED_VALUE"""),"express")</f>
        <v>express</v>
      </c>
    </row>
    <row r="1088">
      <c r="B1088" s="6"/>
      <c r="D1088" s="6"/>
      <c r="G1088" s="6" t="str">
        <f>IFERROR(__xludf.DUMMYFUNCTION("""COMPUTED_VALUE"""),"canadians")</f>
        <v>canadians</v>
      </c>
      <c r="H1088" s="6" t="str">
        <f>IFERROR(__xludf.DUMMYFUNCTION("""COMPUTED_VALUE"""),"fearless")</f>
        <v>fearless</v>
      </c>
      <c r="I1088" s="6" t="str">
        <f>IFERROR(__xludf.DUMMYFUNCTION("""COMPUTED_VALUE"""),"ninth")</f>
        <v>ninth</v>
      </c>
      <c r="J1088" s="6" t="str">
        <f>IFERROR(__xludf.DUMMYFUNCTION("""COMPUTED_VALUE"""),"futile")</f>
        <v>futile</v>
      </c>
      <c r="L1088" s="6" t="str">
        <f>IFERROR(__xludf.DUMMYFUNCTION("""COMPUTED_VALUE"""),"austrian")</f>
        <v>austrian</v>
      </c>
      <c r="M1088" s="6" t="str">
        <f>IFERROR(__xludf.DUMMYFUNCTION("""COMPUTED_VALUE"""),"talent")</f>
        <v>talent</v>
      </c>
      <c r="N1088" s="6" t="str">
        <f>IFERROR(__xludf.DUMMYFUNCTION("""COMPUTED_VALUE"""),"metropolitan")</f>
        <v>metropolitan</v>
      </c>
      <c r="P1088" s="6" t="str">
        <f>IFERROR(__xludf.DUMMYFUNCTION("""COMPUTED_VALUE"""),"inspiration")</f>
        <v>inspiration</v>
      </c>
      <c r="Q1088" s="6" t="str">
        <f>IFERROR(__xludf.DUMMYFUNCTION("""COMPUTED_VALUE"""),"maintains")</f>
        <v>maintains</v>
      </c>
      <c r="S1088" s="6" t="str">
        <f>IFERROR(__xludf.DUMMYFUNCTION("""COMPUTED_VALUE"""),"occupation")</f>
        <v>occupation</v>
      </c>
    </row>
    <row r="1089">
      <c r="B1089" s="6"/>
      <c r="D1089" s="6"/>
      <c r="G1089" s="6" t="str">
        <f>IFERROR(__xludf.DUMMYFUNCTION("""COMPUTED_VALUE"""),"calculated")</f>
        <v>calculated</v>
      </c>
      <c r="H1089" s="6" t="str">
        <f>IFERROR(__xludf.DUMMYFUNCTION("""COMPUTED_VALUE"""),"niche")</f>
        <v>niche</v>
      </c>
      <c r="I1089" s="6" t="str">
        <f>IFERROR(__xludf.DUMMYFUNCTION("""COMPUTED_VALUE"""),"harvey")</f>
        <v>harvey</v>
      </c>
      <c r="J1089" s="6" t="str">
        <f>IFERROR(__xludf.DUMMYFUNCTION("""COMPUTED_VALUE"""),"happens")</f>
        <v>happens</v>
      </c>
      <c r="L1089" s="6" t="str">
        <f>IFERROR(__xludf.DUMMYFUNCTION("""COMPUTED_VALUE"""),"existence")</f>
        <v>existence</v>
      </c>
      <c r="M1089" s="6" t="str">
        <f>IFERROR(__xludf.DUMMYFUNCTION("""COMPUTED_VALUE"""),"moore")</f>
        <v>moore</v>
      </c>
      <c r="N1089" s="6" t="str">
        <f>IFERROR(__xludf.DUMMYFUNCTION("""COMPUTED_VALUE"""),"tens")</f>
        <v>tens</v>
      </c>
      <c r="P1089" s="6" t="str">
        <f>IFERROR(__xludf.DUMMYFUNCTION("""COMPUTED_VALUE"""),"brush")</f>
        <v>brush</v>
      </c>
      <c r="Q1089" s="6" t="str">
        <f>IFERROR(__xludf.DUMMYFUNCTION("""COMPUTED_VALUE"""),"inspirational")</f>
        <v>inspirational</v>
      </c>
      <c r="S1089" s="6" t="str">
        <f>IFERROR(__xludf.DUMMYFUNCTION("""COMPUTED_VALUE"""),"survivors")</f>
        <v>survivors</v>
      </c>
    </row>
    <row r="1090">
      <c r="B1090" s="6"/>
      <c r="D1090" s="6"/>
      <c r="G1090" s="6" t="str">
        <f>IFERROR(__xludf.DUMMYFUNCTION("""COMPUTED_VALUE"""),"winds")</f>
        <v>winds</v>
      </c>
      <c r="H1090" s="6" t="str">
        <f>IFERROR(__xludf.DUMMYFUNCTION("""COMPUTED_VALUE"""),"overly")</f>
        <v>overly</v>
      </c>
      <c r="I1090" s="6" t="str">
        <f>IFERROR(__xludf.DUMMYFUNCTION("""COMPUTED_VALUE"""),"pearl")</f>
        <v>pearl</v>
      </c>
      <c r="J1090" s="6" t="str">
        <f>IFERROR(__xludf.DUMMYFUNCTION("""COMPUTED_VALUE"""),"willingness")</f>
        <v>willingness</v>
      </c>
      <c r="L1090" s="6" t="str">
        <f>IFERROR(__xludf.DUMMYFUNCTION("""COMPUTED_VALUE"""),"victim")</f>
        <v>victim</v>
      </c>
      <c r="M1090" s="6" t="str">
        <f>IFERROR(__xludf.DUMMYFUNCTION("""COMPUTED_VALUE"""),"stone")</f>
        <v>stone</v>
      </c>
      <c r="N1090" s="6" t="str">
        <f>IFERROR(__xludf.DUMMYFUNCTION("""COMPUTED_VALUE"""),"enduring")</f>
        <v>enduring</v>
      </c>
      <c r="P1090" s="6" t="str">
        <f>IFERROR(__xludf.DUMMYFUNCTION("""COMPUTED_VALUE"""),"awareness")</f>
        <v>awareness</v>
      </c>
      <c r="Q1090" s="6" t="str">
        <f>IFERROR(__xludf.DUMMYFUNCTION("""COMPUTED_VALUE"""),"pat")</f>
        <v>pat</v>
      </c>
      <c r="S1090" s="6" t="str">
        <f>IFERROR(__xludf.DUMMYFUNCTION("""COMPUTED_VALUE"""),"wear")</f>
        <v>wear</v>
      </c>
    </row>
    <row r="1091">
      <c r="B1091" s="6"/>
      <c r="D1091" s="6"/>
      <c r="G1091" s="6" t="str">
        <f>IFERROR(__xludf.DUMMYFUNCTION("""COMPUTED_VALUE"""),"swan")</f>
        <v>swan</v>
      </c>
      <c r="H1091" s="6" t="str">
        <f>IFERROR(__xludf.DUMMYFUNCTION("""COMPUTED_VALUE"""),"slump")</f>
        <v>slump</v>
      </c>
      <c r="I1091" s="6" t="str">
        <f>IFERROR(__xludf.DUMMYFUNCTION("""COMPUTED_VALUE"""),"prisoners")</f>
        <v>prisoners</v>
      </c>
      <c r="J1091" s="6" t="str">
        <f>IFERROR(__xludf.DUMMYFUNCTION("""COMPUTED_VALUE"""),"bertrand")</f>
        <v>bertrand</v>
      </c>
      <c r="L1091" s="6" t="str">
        <f>IFERROR(__xludf.DUMMYFUNCTION("""COMPUTED_VALUE"""),"atrocities")</f>
        <v>atrocities</v>
      </c>
      <c r="M1091" s="6" t="str">
        <f>IFERROR(__xludf.DUMMYFUNCTION("""COMPUTED_VALUE"""),"parade")</f>
        <v>parade</v>
      </c>
      <c r="N1091" s="6" t="str">
        <f>IFERROR(__xludf.DUMMYFUNCTION("""COMPUTED_VALUE"""),"masses")</f>
        <v>masses</v>
      </c>
      <c r="P1091" s="6" t="str">
        <f>IFERROR(__xludf.DUMMYFUNCTION("""COMPUTED_VALUE"""),"mortal")</f>
        <v>mortal</v>
      </c>
      <c r="Q1091" s="6" t="str">
        <f>IFERROR(__xludf.DUMMYFUNCTION("""COMPUTED_VALUE"""),"corpus")</f>
        <v>corpus</v>
      </c>
      <c r="S1091" s="6" t="str">
        <f>IFERROR(__xludf.DUMMYFUNCTION("""COMPUTED_VALUE"""),"arrangements")</f>
        <v>arrangements</v>
      </c>
    </row>
    <row r="1092">
      <c r="B1092" s="6"/>
      <c r="D1092" s="6"/>
      <c r="G1092" s="6" t="str">
        <f>IFERROR(__xludf.DUMMYFUNCTION("""COMPUTED_VALUE"""),"rally")</f>
        <v>rally</v>
      </c>
      <c r="H1092" s="6" t="str">
        <f>IFERROR(__xludf.DUMMYFUNCTION("""COMPUTED_VALUE"""),"sophomore")</f>
        <v>sophomore</v>
      </c>
      <c r="I1092" s="6">
        <f>IFERROR(__xludf.DUMMYFUNCTION("""COMPUTED_VALUE"""),1975.0)</f>
        <v>1975</v>
      </c>
      <c r="J1092" s="6" t="str">
        <f>IFERROR(__xludf.DUMMYFUNCTION("""COMPUTED_VALUE"""),"sleeve")</f>
        <v>sleeve</v>
      </c>
      <c r="L1092" s="6" t="str">
        <f>IFERROR(__xludf.DUMMYFUNCTION("""COMPUTED_VALUE"""),"sensitivity")</f>
        <v>sensitivity</v>
      </c>
      <c r="M1092" s="6" t="str">
        <f>IFERROR(__xludf.DUMMYFUNCTION("""COMPUTED_VALUE"""),"practiced")</f>
        <v>practiced</v>
      </c>
      <c r="N1092" s="6" t="str">
        <f>IFERROR(__xludf.DUMMYFUNCTION("""COMPUTED_VALUE"""),"calculated")</f>
        <v>calculated</v>
      </c>
      <c r="P1092" s="6" t="str">
        <f>IFERROR(__xludf.DUMMYFUNCTION("""COMPUTED_VALUE"""),"intent")</f>
        <v>intent</v>
      </c>
      <c r="Q1092" s="6" t="str">
        <f>IFERROR(__xludf.DUMMYFUNCTION("""COMPUTED_VALUE"""),"jerking")</f>
        <v>jerking</v>
      </c>
      <c r="S1092" s="6" t="str">
        <f>IFERROR(__xludf.DUMMYFUNCTION("""COMPUTED_VALUE"""),"access")</f>
        <v>access</v>
      </c>
    </row>
    <row r="1093">
      <c r="B1093" s="6"/>
      <c r="D1093" s="6"/>
      <c r="G1093" s="6" t="str">
        <f>IFERROR(__xludf.DUMMYFUNCTION("""COMPUTED_VALUE"""),"rigid")</f>
        <v>rigid</v>
      </c>
      <c r="H1093" s="6" t="str">
        <f>IFERROR(__xludf.DUMMYFUNCTION("""COMPUTED_VALUE"""),"tug")</f>
        <v>tug</v>
      </c>
      <c r="I1093" s="6" t="str">
        <f>IFERROR(__xludf.DUMMYFUNCTION("""COMPUTED_VALUE"""),"derek")</f>
        <v>derek</v>
      </c>
      <c r="J1093" s="6" t="str">
        <f>IFERROR(__xludf.DUMMYFUNCTION("""COMPUTED_VALUE"""),"wears")</f>
        <v>wears</v>
      </c>
      <c r="L1093" s="6" t="str">
        <f>IFERROR(__xludf.DUMMYFUNCTION("""COMPUTED_VALUE"""),"courage")</f>
        <v>courage</v>
      </c>
      <c r="M1093" s="6" t="str">
        <f>IFERROR(__xludf.DUMMYFUNCTION("""COMPUTED_VALUE"""),"concentration")</f>
        <v>concentration</v>
      </c>
      <c r="N1093" s="6" t="str">
        <f>IFERROR(__xludf.DUMMYFUNCTION("""COMPUTED_VALUE"""),"vanity")</f>
        <v>vanity</v>
      </c>
      <c r="P1093" s="6" t="str">
        <f>IFERROR(__xludf.DUMMYFUNCTION("""COMPUTED_VALUE"""),"swear")</f>
        <v>swear</v>
      </c>
      <c r="Q1093" s="6" t="str">
        <f>IFERROR(__xludf.DUMMYFUNCTION("""COMPUTED_VALUE"""),"dubbed")</f>
        <v>dubbed</v>
      </c>
      <c r="S1093" s="6" t="str">
        <f>IFERROR(__xludf.DUMMYFUNCTION("""COMPUTED_VALUE"""),"damn")</f>
        <v>damn</v>
      </c>
    </row>
    <row r="1094">
      <c r="B1094" s="6"/>
      <c r="D1094" s="6"/>
      <c r="G1094" s="6" t="str">
        <f>IFERROR(__xludf.DUMMYFUNCTION("""COMPUTED_VALUE"""),"portraying")</f>
        <v>portraying</v>
      </c>
      <c r="H1094" s="6" t="str">
        <f>IFERROR(__xludf.DUMMYFUNCTION("""COMPUTED_VALUE"""),"slack")</f>
        <v>slack</v>
      </c>
      <c r="I1094" s="6" t="str">
        <f>IFERROR(__xludf.DUMMYFUNCTION("""COMPUTED_VALUE"""),"normally")</f>
        <v>normally</v>
      </c>
      <c r="J1094" s="6" t="str">
        <f>IFERROR(__xludf.DUMMYFUNCTION("""COMPUTED_VALUE"""),"conduct")</f>
        <v>conduct</v>
      </c>
      <c r="L1094" s="6" t="str">
        <f>IFERROR(__xludf.DUMMYFUNCTION("""COMPUTED_VALUE"""),"empathy")</f>
        <v>empathy</v>
      </c>
      <c r="M1094" s="6" t="str">
        <f>IFERROR(__xludf.DUMMYFUNCTION("""COMPUTED_VALUE"""),"teacher")</f>
        <v>teacher</v>
      </c>
      <c r="N1094" s="6" t="str">
        <f>IFERROR(__xludf.DUMMYFUNCTION("""COMPUTED_VALUE"""),"poetic")</f>
        <v>poetic</v>
      </c>
      <c r="P1094" s="6" t="str">
        <f>IFERROR(__xludf.DUMMYFUNCTION("""COMPUTED_VALUE"""),"seated")</f>
        <v>seated</v>
      </c>
      <c r="Q1094" s="6" t="str">
        <f>IFERROR(__xludf.DUMMYFUNCTION("""COMPUTED_VALUE"""),"effect")</f>
        <v>effect</v>
      </c>
      <c r="S1094" s="6">
        <f>IFERROR(__xludf.DUMMYFUNCTION("""COMPUTED_VALUE"""),80.0)</f>
        <v>80</v>
      </c>
    </row>
    <row r="1095">
      <c r="B1095" s="6"/>
      <c r="D1095" s="6"/>
      <c r="G1095" s="6" t="str">
        <f>IFERROR(__xludf.DUMMYFUNCTION("""COMPUTED_VALUE"""),"revenge")</f>
        <v>revenge</v>
      </c>
      <c r="H1095" s="6" t="str">
        <f>IFERROR(__xludf.DUMMYFUNCTION("""COMPUTED_VALUE"""),"70s")</f>
        <v>70s</v>
      </c>
      <c r="I1095" s="6" t="str">
        <f>IFERROR(__xludf.DUMMYFUNCTION("""COMPUTED_VALUE"""),"sources")</f>
        <v>sources</v>
      </c>
      <c r="J1095" s="6" t="str">
        <f>IFERROR(__xludf.DUMMYFUNCTION("""COMPUTED_VALUE"""),"intimacy")</f>
        <v>intimacy</v>
      </c>
      <c r="L1095" s="6" t="str">
        <f>IFERROR(__xludf.DUMMYFUNCTION("""COMPUTED_VALUE"""),"powers")</f>
        <v>powers</v>
      </c>
      <c r="M1095" s="6" t="str">
        <f>IFERROR(__xludf.DUMMYFUNCTION("""COMPUTED_VALUE"""),"copy")</f>
        <v>copy</v>
      </c>
      <c r="N1095" s="6" t="str">
        <f>IFERROR(__xludf.DUMMYFUNCTION("""COMPUTED_VALUE"""),"dong")</f>
        <v>dong</v>
      </c>
      <c r="P1095" s="6" t="str">
        <f>IFERROR(__xludf.DUMMYFUNCTION("""COMPUTED_VALUE"""),"establishing")</f>
        <v>establishing</v>
      </c>
      <c r="Q1095" s="6" t="str">
        <f>IFERROR(__xludf.DUMMYFUNCTION("""COMPUTED_VALUE"""),"essence")</f>
        <v>essence</v>
      </c>
      <c r="S1095" s="6" t="str">
        <f>IFERROR(__xludf.DUMMYFUNCTION("""COMPUTED_VALUE"""),"choice")</f>
        <v>choice</v>
      </c>
    </row>
    <row r="1096">
      <c r="B1096" s="6"/>
      <c r="D1096" s="6"/>
      <c r="G1096" s="6" t="str">
        <f>IFERROR(__xludf.DUMMYFUNCTION("""COMPUTED_VALUE"""),"sundance")</f>
        <v>sundance</v>
      </c>
      <c r="H1096" s="6" t="str">
        <f>IFERROR(__xludf.DUMMYFUNCTION("""COMPUTED_VALUE"""),"prophet")</f>
        <v>prophet</v>
      </c>
      <c r="I1096" s="6" t="str">
        <f>IFERROR(__xludf.DUMMYFUNCTION("""COMPUTED_VALUE"""),"analysis")</f>
        <v>analysis</v>
      </c>
      <c r="J1096" s="6" t="str">
        <f>IFERROR(__xludf.DUMMYFUNCTION("""COMPUTED_VALUE"""),"sermon")</f>
        <v>sermon</v>
      </c>
      <c r="L1096" s="6" t="str">
        <f>IFERROR(__xludf.DUMMYFUNCTION("""COMPUTED_VALUE"""),"jealousy")</f>
        <v>jealousy</v>
      </c>
      <c r="M1096" s="6" t="str">
        <f>IFERROR(__xludf.DUMMYFUNCTION("""COMPUTED_VALUE"""),"bear")</f>
        <v>bear</v>
      </c>
      <c r="N1096" s="6" t="str">
        <f>IFERROR(__xludf.DUMMYFUNCTION("""COMPUTED_VALUE"""),"accomplish")</f>
        <v>accomplish</v>
      </c>
      <c r="P1096" s="6" t="str">
        <f>IFERROR(__xludf.DUMMYFUNCTION("""COMPUTED_VALUE"""),"hospital")</f>
        <v>hospital</v>
      </c>
      <c r="Q1096" s="6" t="str">
        <f>IFERROR(__xludf.DUMMYFUNCTION("""COMPUTED_VALUE"""),"documented")</f>
        <v>documented</v>
      </c>
      <c r="S1096" s="6" t="str">
        <f>IFERROR(__xludf.DUMMYFUNCTION("""COMPUTED_VALUE"""),"paid")</f>
        <v>paid</v>
      </c>
    </row>
    <row r="1097">
      <c r="B1097" s="6"/>
      <c r="D1097" s="6"/>
      <c r="G1097" s="6" t="str">
        <f>IFERROR(__xludf.DUMMYFUNCTION("""COMPUTED_VALUE"""),"skins")</f>
        <v>skins</v>
      </c>
      <c r="H1097" s="6" t="str">
        <f>IFERROR(__xludf.DUMMYFUNCTION("""COMPUTED_VALUE"""),"larger")</f>
        <v>larger</v>
      </c>
      <c r="I1097" s="6" t="str">
        <f>IFERROR(__xludf.DUMMYFUNCTION("""COMPUTED_VALUE"""),"grave")</f>
        <v>grave</v>
      </c>
      <c r="J1097" s="6" t="str">
        <f>IFERROR(__xludf.DUMMYFUNCTION("""COMPUTED_VALUE"""),"kiss")</f>
        <v>kiss</v>
      </c>
      <c r="L1097" s="6" t="str">
        <f>IFERROR(__xludf.DUMMYFUNCTION("""COMPUTED_VALUE"""),"autopsy")</f>
        <v>autopsy</v>
      </c>
      <c r="M1097" s="6" t="str">
        <f>IFERROR(__xludf.DUMMYFUNCTION("""COMPUTED_VALUE"""),"switch")</f>
        <v>switch</v>
      </c>
      <c r="N1097" s="6" t="str">
        <f>IFERROR(__xludf.DUMMYFUNCTION("""COMPUTED_VALUE"""),"wig")</f>
        <v>wig</v>
      </c>
      <c r="P1097" s="6" t="str">
        <f>IFERROR(__xludf.DUMMYFUNCTION("""COMPUTED_VALUE"""),"ideal")</f>
        <v>ideal</v>
      </c>
      <c r="Q1097" s="6" t="str">
        <f>IFERROR(__xludf.DUMMYFUNCTION("""COMPUTED_VALUE"""),"expected")</f>
        <v>expected</v>
      </c>
      <c r="S1097" s="6" t="str">
        <f>IFERROR(__xludf.DUMMYFUNCTION("""COMPUTED_VALUE"""),"natural")</f>
        <v>natural</v>
      </c>
    </row>
    <row r="1098">
      <c r="B1098" s="6"/>
      <c r="D1098" s="6"/>
      <c r="G1098" s="6" t="str">
        <f>IFERROR(__xludf.DUMMYFUNCTION("""COMPUTED_VALUE"""),"smirk")</f>
        <v>smirk</v>
      </c>
      <c r="H1098" s="6" t="str">
        <f>IFERROR(__xludf.DUMMYFUNCTION("""COMPUTED_VALUE"""),"conflict")</f>
        <v>conflict</v>
      </c>
      <c r="I1098" s="6" t="str">
        <f>IFERROR(__xludf.DUMMYFUNCTION("""COMPUTED_VALUE"""),"split")</f>
        <v>split</v>
      </c>
      <c r="J1098" s="6" t="str">
        <f>IFERROR(__xludf.DUMMYFUNCTION("""COMPUTED_VALUE"""),"continuation")</f>
        <v>continuation</v>
      </c>
      <c r="L1098" s="6" t="str">
        <f>IFERROR(__xludf.DUMMYFUNCTION("""COMPUTED_VALUE"""),"lightweight")</f>
        <v>lightweight</v>
      </c>
      <c r="M1098" s="6" t="str">
        <f>IFERROR(__xludf.DUMMYFUNCTION("""COMPUTED_VALUE"""),"string")</f>
        <v>string</v>
      </c>
      <c r="N1098" s="6" t="str">
        <f>IFERROR(__xludf.DUMMYFUNCTION("""COMPUTED_VALUE"""),"glimpse")</f>
        <v>glimpse</v>
      </c>
      <c r="P1098" s="6" t="str">
        <f>IFERROR(__xludf.DUMMYFUNCTION("""COMPUTED_VALUE"""),"body")</f>
        <v>body</v>
      </c>
      <c r="Q1098" s="6" t="str">
        <f>IFERROR(__xludf.DUMMYFUNCTION("""COMPUTED_VALUE"""),"popcorn")</f>
        <v>popcorn</v>
      </c>
      <c r="S1098" s="6" t="str">
        <f>IFERROR(__xludf.DUMMYFUNCTION("""COMPUTED_VALUE"""),"rode")</f>
        <v>rode</v>
      </c>
    </row>
    <row r="1099">
      <c r="B1099" s="6"/>
      <c r="D1099" s="6"/>
      <c r="G1099" s="6" t="str">
        <f>IFERROR(__xludf.DUMMYFUNCTION("""COMPUTED_VALUE"""),"phillip")</f>
        <v>phillip</v>
      </c>
      <c r="H1099" s="6" t="str">
        <f>IFERROR(__xludf.DUMMYFUNCTION("""COMPUTED_VALUE"""),"vital")</f>
        <v>vital</v>
      </c>
      <c r="I1099" s="6" t="str">
        <f>IFERROR(__xludf.DUMMYFUNCTION("""COMPUTED_VALUE"""),"losses")</f>
        <v>losses</v>
      </c>
      <c r="J1099" s="6" t="str">
        <f>IFERROR(__xludf.DUMMYFUNCTION("""COMPUTED_VALUE"""),"sentiments")</f>
        <v>sentiments</v>
      </c>
      <c r="L1099" s="6" t="str">
        <f>IFERROR(__xludf.DUMMYFUNCTION("""COMPUTED_VALUE"""),"uncertain")</f>
        <v>uncertain</v>
      </c>
      <c r="M1099" s="6" t="str">
        <f>IFERROR(__xludf.DUMMYFUNCTION("""COMPUTED_VALUE"""),"device")</f>
        <v>device</v>
      </c>
      <c r="N1099" s="6" t="str">
        <f>IFERROR(__xludf.DUMMYFUNCTION("""COMPUTED_VALUE"""),"retaining")</f>
        <v>retaining</v>
      </c>
      <c r="P1099" s="6" t="str">
        <f>IFERROR(__xludf.DUMMYFUNCTION("""COMPUTED_VALUE"""),"stretch")</f>
        <v>stretch</v>
      </c>
      <c r="Q1099" s="6" t="str">
        <f>IFERROR(__xludf.DUMMYFUNCTION("""COMPUTED_VALUE"""),"croatia")</f>
        <v>croatia</v>
      </c>
      <c r="S1099" s="6" t="str">
        <f>IFERROR(__xludf.DUMMYFUNCTION("""COMPUTED_VALUE"""),"candy")</f>
        <v>candy</v>
      </c>
    </row>
    <row r="1100">
      <c r="B1100" s="6"/>
      <c r="D1100" s="6"/>
      <c r="G1100" s="6" t="str">
        <f>IFERROR(__xludf.DUMMYFUNCTION("""COMPUTED_VALUE"""),"references")</f>
        <v>references</v>
      </c>
      <c r="H1100" s="6" t="str">
        <f>IFERROR(__xludf.DUMMYFUNCTION("""COMPUTED_VALUE"""),"recalls")</f>
        <v>recalls</v>
      </c>
      <c r="I1100" s="6" t="str">
        <f>IFERROR(__xludf.DUMMYFUNCTION("""COMPUTED_VALUE"""),"interests")</f>
        <v>interests</v>
      </c>
      <c r="J1100" s="6" t="str">
        <f>IFERROR(__xludf.DUMMYFUNCTION("""COMPUTED_VALUE"""),"blonde")</f>
        <v>blonde</v>
      </c>
      <c r="L1100" s="6" t="str">
        <f>IFERROR(__xludf.DUMMYFUNCTION("""COMPUTED_VALUE"""),"goose")</f>
        <v>goose</v>
      </c>
      <c r="M1100" s="6" t="str">
        <f>IFERROR(__xludf.DUMMYFUNCTION("""COMPUTED_VALUE"""),"martin")</f>
        <v>martin</v>
      </c>
      <c r="N1100" s="6" t="str">
        <f>IFERROR(__xludf.DUMMYFUNCTION("""COMPUTED_VALUE"""),"conventions")</f>
        <v>conventions</v>
      </c>
      <c r="P1100" s="6" t="str">
        <f>IFERROR(__xludf.DUMMYFUNCTION("""COMPUTED_VALUE"""),"theories")</f>
        <v>theories</v>
      </c>
      <c r="Q1100" s="6" t="str">
        <f>IFERROR(__xludf.DUMMYFUNCTION("""COMPUTED_VALUE"""),"america")</f>
        <v>america</v>
      </c>
      <c r="S1100" s="6" t="str">
        <f>IFERROR(__xludf.DUMMYFUNCTION("""COMPUTED_VALUE"""),"corn")</f>
        <v>corn</v>
      </c>
    </row>
    <row r="1101">
      <c r="B1101" s="6"/>
      <c r="D1101" s="6"/>
      <c r="G1101" s="6" t="str">
        <f>IFERROR(__xludf.DUMMYFUNCTION("""COMPUTED_VALUE"""),"skyscraper")</f>
        <v>skyscraper</v>
      </c>
      <c r="H1101" s="6" t="str">
        <f>IFERROR(__xludf.DUMMYFUNCTION("""COMPUTED_VALUE"""),"classics")</f>
        <v>classics</v>
      </c>
      <c r="I1101" s="6" t="str">
        <f>IFERROR(__xludf.DUMMYFUNCTION("""COMPUTED_VALUE"""),"iranian")</f>
        <v>iranian</v>
      </c>
      <c r="J1101" s="6" t="str">
        <f>IFERROR(__xludf.DUMMYFUNCTION("""COMPUTED_VALUE"""),"estranged")</f>
        <v>estranged</v>
      </c>
      <c r="L1101" s="6" t="str">
        <f>IFERROR(__xludf.DUMMYFUNCTION("""COMPUTED_VALUE"""),"effectively")</f>
        <v>effectively</v>
      </c>
      <c r="M1101" s="6" t="str">
        <f>IFERROR(__xludf.DUMMYFUNCTION("""COMPUTED_VALUE"""),"awarded")</f>
        <v>awarded</v>
      </c>
      <c r="N1101" s="6" t="str">
        <f>IFERROR(__xludf.DUMMYFUNCTION("""COMPUTED_VALUE"""),"figures")</f>
        <v>figures</v>
      </c>
      <c r="P1101" s="6" t="str">
        <f>IFERROR(__xludf.DUMMYFUNCTION("""COMPUTED_VALUE"""),"tickets")</f>
        <v>tickets</v>
      </c>
      <c r="Q1101" s="6" t="str">
        <f>IFERROR(__xludf.DUMMYFUNCTION("""COMPUTED_VALUE"""),"word")</f>
        <v>word</v>
      </c>
      <c r="S1101" s="6" t="str">
        <f>IFERROR(__xludf.DUMMYFUNCTION("""COMPUTED_VALUE"""),"blood")</f>
        <v>blood</v>
      </c>
    </row>
    <row r="1102">
      <c r="B1102" s="6"/>
      <c r="D1102" s="6"/>
      <c r="G1102" s="6" t="str">
        <f>IFERROR(__xludf.DUMMYFUNCTION("""COMPUTED_VALUE"""),"opened")</f>
        <v>opened</v>
      </c>
      <c r="H1102" s="6" t="str">
        <f>IFERROR(__xludf.DUMMYFUNCTION("""COMPUTED_VALUE"""),"sweetly")</f>
        <v>sweetly</v>
      </c>
      <c r="I1102" s="6" t="str">
        <f>IFERROR(__xludf.DUMMYFUNCTION("""COMPUTED_VALUE"""),"column")</f>
        <v>column</v>
      </c>
      <c r="J1102" s="6" t="str">
        <f>IFERROR(__xludf.DUMMYFUNCTION("""COMPUTED_VALUE"""),"acclaim")</f>
        <v>acclaim</v>
      </c>
      <c r="L1102" s="6" t="str">
        <f>IFERROR(__xludf.DUMMYFUNCTION("""COMPUTED_VALUE"""),"affection")</f>
        <v>affection</v>
      </c>
      <c r="M1102" s="6">
        <f>IFERROR(__xludf.DUMMYFUNCTION("""COMPUTED_VALUE"""),86.0)</f>
        <v>86</v>
      </c>
      <c r="N1102" s="6" t="str">
        <f>IFERROR(__xludf.DUMMYFUNCTION("""COMPUTED_VALUE"""),"victims")</f>
        <v>victims</v>
      </c>
      <c r="P1102" s="6" t="str">
        <f>IFERROR(__xludf.DUMMYFUNCTION("""COMPUTED_VALUE"""),"land")</f>
        <v>land</v>
      </c>
      <c r="Q1102" s="6" t="str">
        <f>IFERROR(__xludf.DUMMYFUNCTION("""COMPUTED_VALUE"""),"randall")</f>
        <v>randall</v>
      </c>
      <c r="S1102" s="6" t="str">
        <f>IFERROR(__xludf.DUMMYFUNCTION("""COMPUTED_VALUE"""),"journalism")</f>
        <v>journalism</v>
      </c>
    </row>
    <row r="1103">
      <c r="B1103" s="6"/>
      <c r="D1103" s="6"/>
      <c r="G1103" s="6" t="str">
        <f>IFERROR(__xludf.DUMMYFUNCTION("""COMPUTED_VALUE"""),"record")</f>
        <v>record</v>
      </c>
      <c r="H1103" s="6" t="str">
        <f>IFERROR(__xludf.DUMMYFUNCTION("""COMPUTED_VALUE"""),"infectious")</f>
        <v>infectious</v>
      </c>
      <c r="I1103" s="6" t="str">
        <f>IFERROR(__xludf.DUMMYFUNCTION("""COMPUTED_VALUE"""),"jacket")</f>
        <v>jacket</v>
      </c>
      <c r="J1103" s="6" t="str">
        <f>IFERROR(__xludf.DUMMYFUNCTION("""COMPUTED_VALUE"""),"assurance")</f>
        <v>assurance</v>
      </c>
      <c r="L1103" s="6" t="str">
        <f>IFERROR(__xludf.DUMMYFUNCTION("""COMPUTED_VALUE"""),"arbitrary")</f>
        <v>arbitrary</v>
      </c>
      <c r="M1103" s="6" t="str">
        <f>IFERROR(__xludf.DUMMYFUNCTION("""COMPUTED_VALUE"""),"economic")</f>
        <v>economic</v>
      </c>
      <c r="N1103" s="6" t="str">
        <f>IFERROR(__xludf.DUMMYFUNCTION("""COMPUTED_VALUE"""),"interrogation")</f>
        <v>interrogation</v>
      </c>
      <c r="P1103" s="6" t="str">
        <f>IFERROR(__xludf.DUMMYFUNCTION("""COMPUTED_VALUE"""),"captured")</f>
        <v>captured</v>
      </c>
      <c r="Q1103" s="6" t="str">
        <f>IFERROR(__xludf.DUMMYFUNCTION("""COMPUTED_VALUE"""),"tensions")</f>
        <v>tensions</v>
      </c>
      <c r="S1103" s="6" t="str">
        <f>IFERROR(__xludf.DUMMYFUNCTION("""COMPUTED_VALUE"""),"struggle")</f>
        <v>struggle</v>
      </c>
    </row>
    <row r="1104">
      <c r="B1104" s="6"/>
      <c r="D1104" s="6"/>
      <c r="G1104" s="6" t="str">
        <f>IFERROR(__xludf.DUMMYFUNCTION("""COMPUTED_VALUE"""),"literal")</f>
        <v>literal</v>
      </c>
      <c r="H1104" s="6" t="str">
        <f>IFERROR(__xludf.DUMMYFUNCTION("""COMPUTED_VALUE"""),"brooding")</f>
        <v>brooding</v>
      </c>
      <c r="I1104" s="6" t="str">
        <f>IFERROR(__xludf.DUMMYFUNCTION("""COMPUTED_VALUE"""),"lose")</f>
        <v>lose</v>
      </c>
      <c r="J1104" s="6" t="str">
        <f>IFERROR(__xludf.DUMMYFUNCTION("""COMPUTED_VALUE"""),"famine")</f>
        <v>famine</v>
      </c>
      <c r="L1104" s="6" t="str">
        <f>IFERROR(__xludf.DUMMYFUNCTION("""COMPUTED_VALUE"""),"overcome")</f>
        <v>overcome</v>
      </c>
      <c r="M1104" s="6" t="str">
        <f>IFERROR(__xludf.DUMMYFUNCTION("""COMPUTED_VALUE"""),"technology")</f>
        <v>technology</v>
      </c>
      <c r="N1104" s="6" t="str">
        <f>IFERROR(__xludf.DUMMYFUNCTION("""COMPUTED_VALUE"""),"animated")</f>
        <v>animated</v>
      </c>
      <c r="P1104" s="6" t="str">
        <f>IFERROR(__xludf.DUMMYFUNCTION("""COMPUTED_VALUE"""),"warfare")</f>
        <v>warfare</v>
      </c>
      <c r="Q1104" s="6" t="str">
        <f>IFERROR(__xludf.DUMMYFUNCTION("""COMPUTED_VALUE"""),"dong")</f>
        <v>dong</v>
      </c>
      <c r="S1104" s="6" t="str">
        <f>IFERROR(__xludf.DUMMYFUNCTION("""COMPUTED_VALUE"""),"convinced")</f>
        <v>convinced</v>
      </c>
    </row>
    <row r="1105">
      <c r="B1105" s="6"/>
      <c r="D1105" s="6"/>
      <c r="G1105" s="6" t="str">
        <f>IFERROR(__xludf.DUMMYFUNCTION("""COMPUTED_VALUE"""),"settled")</f>
        <v>settled</v>
      </c>
      <c r="H1105" s="6" t="str">
        <f>IFERROR(__xludf.DUMMYFUNCTION("""COMPUTED_VALUE"""),"modest")</f>
        <v>modest</v>
      </c>
      <c r="I1105" s="6" t="str">
        <f>IFERROR(__xludf.DUMMYFUNCTION("""COMPUTED_VALUE"""),"bible")</f>
        <v>bible</v>
      </c>
      <c r="J1105" s="6" t="str">
        <f>IFERROR(__xludf.DUMMYFUNCTION("""COMPUTED_VALUE"""),"disguised")</f>
        <v>disguised</v>
      </c>
      <c r="L1105" s="6" t="str">
        <f>IFERROR(__xludf.DUMMYFUNCTION("""COMPUTED_VALUE"""),"giggle")</f>
        <v>giggle</v>
      </c>
      <c r="M1105" s="6" t="str">
        <f>IFERROR(__xludf.DUMMYFUNCTION("""COMPUTED_VALUE"""),"themes")</f>
        <v>themes</v>
      </c>
      <c r="N1105" s="6" t="str">
        <f>IFERROR(__xludf.DUMMYFUNCTION("""COMPUTED_VALUE"""),"lucia")</f>
        <v>lucia</v>
      </c>
      <c r="P1105" s="6" t="str">
        <f>IFERROR(__xludf.DUMMYFUNCTION("""COMPUTED_VALUE"""),"primarily")</f>
        <v>primarily</v>
      </c>
      <c r="Q1105" s="6" t="str">
        <f>IFERROR(__xludf.DUMMYFUNCTION("""COMPUTED_VALUE"""),"insights")</f>
        <v>insights</v>
      </c>
      <c r="S1105" s="6" t="str">
        <f>IFERROR(__xludf.DUMMYFUNCTION("""COMPUTED_VALUE"""),"lucky")</f>
        <v>lucky</v>
      </c>
    </row>
    <row r="1106">
      <c r="B1106" s="6"/>
      <c r="D1106" s="6"/>
      <c r="G1106" s="6" t="str">
        <f>IFERROR(__xludf.DUMMYFUNCTION("""COMPUTED_VALUE"""),"suggests")</f>
        <v>suggests</v>
      </c>
      <c r="H1106" s="6" t="str">
        <f>IFERROR(__xludf.DUMMYFUNCTION("""COMPUTED_VALUE"""),"superhuman")</f>
        <v>superhuman</v>
      </c>
      <c r="I1106" s="6" t="str">
        <f>IFERROR(__xludf.DUMMYFUNCTION("""COMPUTED_VALUE"""),"influential")</f>
        <v>influential</v>
      </c>
      <c r="J1106" s="6" t="str">
        <f>IFERROR(__xludf.DUMMYFUNCTION("""COMPUTED_VALUE"""),"impact")</f>
        <v>impact</v>
      </c>
      <c r="L1106" s="6" t="str">
        <f>IFERROR(__xludf.DUMMYFUNCTION("""COMPUTED_VALUE"""),"ritchie")</f>
        <v>ritchie</v>
      </c>
      <c r="M1106" s="6" t="str">
        <f>IFERROR(__xludf.DUMMYFUNCTION("""COMPUTED_VALUE"""),"instrument")</f>
        <v>instrument</v>
      </c>
      <c r="N1106" s="6" t="str">
        <f>IFERROR(__xludf.DUMMYFUNCTION("""COMPUTED_VALUE"""),"venice")</f>
        <v>venice</v>
      </c>
      <c r="P1106" s="6" t="str">
        <f>IFERROR(__xludf.DUMMYFUNCTION("""COMPUTED_VALUE"""),"changes")</f>
        <v>changes</v>
      </c>
      <c r="Q1106" s="6" t="str">
        <f>IFERROR(__xludf.DUMMYFUNCTION("""COMPUTED_VALUE"""),"pushes")</f>
        <v>pushes</v>
      </c>
      <c r="S1106" s="6" t="str">
        <f>IFERROR(__xludf.DUMMYFUNCTION("""COMPUTED_VALUE"""),"killer")</f>
        <v>killer</v>
      </c>
    </row>
    <row r="1107">
      <c r="B1107" s="6"/>
      <c r="D1107" s="6"/>
      <c r="G1107" s="6" t="str">
        <f>IFERROR(__xludf.DUMMYFUNCTION("""COMPUTED_VALUE"""),"neck")</f>
        <v>neck</v>
      </c>
      <c r="H1107" s="6" t="str">
        <f>IFERROR(__xludf.DUMMYFUNCTION("""COMPUTED_VALUE"""),"withstand")</f>
        <v>withstand</v>
      </c>
      <c r="I1107" s="6" t="str">
        <f>IFERROR(__xludf.DUMMYFUNCTION("""COMPUTED_VALUE"""),"guilt")</f>
        <v>guilt</v>
      </c>
      <c r="J1107" s="6" t="str">
        <f>IFERROR(__xludf.DUMMYFUNCTION("""COMPUTED_VALUE"""),"troubled")</f>
        <v>troubled</v>
      </c>
      <c r="L1107" s="6" t="str">
        <f>IFERROR(__xludf.DUMMYFUNCTION("""COMPUTED_VALUE"""),"inevitable")</f>
        <v>inevitable</v>
      </c>
      <c r="M1107" s="6" t="str">
        <f>IFERROR(__xludf.DUMMYFUNCTION("""COMPUTED_VALUE"""),"trumpet")</f>
        <v>trumpet</v>
      </c>
      <c r="N1107" s="6" t="str">
        <f>IFERROR(__xludf.DUMMYFUNCTION("""COMPUTED_VALUE"""),"potent")</f>
        <v>potent</v>
      </c>
      <c r="P1107" s="6" t="str">
        <f>IFERROR(__xludf.DUMMYFUNCTION("""COMPUTED_VALUE"""),"thick")</f>
        <v>thick</v>
      </c>
      <c r="Q1107" s="6" t="str">
        <f>IFERROR(__xludf.DUMMYFUNCTION("""COMPUTED_VALUE"""),"eyre")</f>
        <v>eyre</v>
      </c>
      <c r="S1107" s="6" t="str">
        <f>IFERROR(__xludf.DUMMYFUNCTION("""COMPUTED_VALUE"""),"eye")</f>
        <v>eye</v>
      </c>
    </row>
    <row r="1108">
      <c r="B1108" s="6"/>
      <c r="D1108" s="6"/>
      <c r="G1108" s="6" t="str">
        <f>IFERROR(__xludf.DUMMYFUNCTION("""COMPUTED_VALUE"""),"principles")</f>
        <v>principles</v>
      </c>
      <c r="H1108" s="6" t="str">
        <f>IFERROR(__xludf.DUMMYFUNCTION("""COMPUTED_VALUE"""),"conspicuous")</f>
        <v>conspicuous</v>
      </c>
      <c r="I1108" s="6" t="str">
        <f>IFERROR(__xludf.DUMMYFUNCTION("""COMPUTED_VALUE"""),"conflicts")</f>
        <v>conflicts</v>
      </c>
      <c r="J1108" s="6" t="str">
        <f>IFERROR(__xludf.DUMMYFUNCTION("""COMPUTED_VALUE"""),"sly")</f>
        <v>sly</v>
      </c>
      <c r="L1108" s="6" t="str">
        <f>IFERROR(__xludf.DUMMYFUNCTION("""COMPUTED_VALUE"""),"substances")</f>
        <v>substances</v>
      </c>
      <c r="M1108" s="6" t="str">
        <f>IFERROR(__xludf.DUMMYFUNCTION("""COMPUTED_VALUE"""),"ed")</f>
        <v>ed</v>
      </c>
      <c r="N1108" s="6" t="str">
        <f>IFERROR(__xludf.DUMMYFUNCTION("""COMPUTED_VALUE"""),"combat")</f>
        <v>combat</v>
      </c>
      <c r="P1108" s="6" t="str">
        <f>IFERROR(__xludf.DUMMYFUNCTION("""COMPUTED_VALUE"""),"movement")</f>
        <v>movement</v>
      </c>
      <c r="Q1108" s="6" t="str">
        <f>IFERROR(__xludf.DUMMYFUNCTION("""COMPUTED_VALUE"""),"party")</f>
        <v>party</v>
      </c>
      <c r="S1108" s="6" t="str">
        <f>IFERROR(__xludf.DUMMYFUNCTION("""COMPUTED_VALUE"""),"accept")</f>
        <v>accept</v>
      </c>
    </row>
    <row r="1109">
      <c r="B1109" s="6"/>
      <c r="D1109" s="6"/>
      <c r="G1109" s="6" t="str">
        <f>IFERROR(__xludf.DUMMYFUNCTION("""COMPUTED_VALUE"""),"atrocities")</f>
        <v>atrocities</v>
      </c>
      <c r="H1109" s="6" t="str">
        <f>IFERROR(__xludf.DUMMYFUNCTION("""COMPUTED_VALUE"""),"weaponry")</f>
        <v>weaponry</v>
      </c>
      <c r="I1109" s="6" t="str">
        <f>IFERROR(__xludf.DUMMYFUNCTION("""COMPUTED_VALUE"""),"contributions")</f>
        <v>contributions</v>
      </c>
      <c r="J1109" s="6" t="str">
        <f>IFERROR(__xludf.DUMMYFUNCTION("""COMPUTED_VALUE"""),"spears")</f>
        <v>spears</v>
      </c>
      <c r="L1109" s="6" t="str">
        <f>IFERROR(__xludf.DUMMYFUNCTION("""COMPUTED_VALUE"""),"franco")</f>
        <v>franco</v>
      </c>
      <c r="M1109" s="6" t="str">
        <f>IFERROR(__xludf.DUMMYFUNCTION("""COMPUTED_VALUE"""),"humanity")</f>
        <v>humanity</v>
      </c>
      <c r="N1109" s="6" t="str">
        <f>IFERROR(__xludf.DUMMYFUNCTION("""COMPUTED_VALUE"""),"cerebral")</f>
        <v>cerebral</v>
      </c>
      <c r="P1109" s="6" t="str">
        <f>IFERROR(__xludf.DUMMYFUNCTION("""COMPUTED_VALUE"""),"competition")</f>
        <v>competition</v>
      </c>
      <c r="Q1109" s="6" t="str">
        <f>IFERROR(__xludf.DUMMYFUNCTION("""COMPUTED_VALUE"""),"catches")</f>
        <v>catches</v>
      </c>
      <c r="S1109" s="6" t="str">
        <f>IFERROR(__xludf.DUMMYFUNCTION("""COMPUTED_VALUE"""),"sin")</f>
        <v>sin</v>
      </c>
    </row>
    <row r="1110">
      <c r="B1110" s="6"/>
      <c r="D1110" s="6"/>
      <c r="G1110" s="6" t="str">
        <f>IFERROR(__xludf.DUMMYFUNCTION("""COMPUTED_VALUE"""),"traits")</f>
        <v>traits</v>
      </c>
      <c r="H1110" s="6" t="str">
        <f>IFERROR(__xludf.DUMMYFUNCTION("""COMPUTED_VALUE"""),"toss")</f>
        <v>toss</v>
      </c>
      <c r="I1110" s="6" t="str">
        <f>IFERROR(__xludf.DUMMYFUNCTION("""COMPUTED_VALUE"""),"joan")</f>
        <v>joan</v>
      </c>
      <c r="J1110" s="6" t="str">
        <f>IFERROR(__xludf.DUMMYFUNCTION("""COMPUTED_VALUE"""),"emerges")</f>
        <v>emerges</v>
      </c>
      <c r="L1110" s="6" t="str">
        <f>IFERROR(__xludf.DUMMYFUNCTION("""COMPUTED_VALUE"""),"redemption")</f>
        <v>redemption</v>
      </c>
      <c r="M1110" s="6" t="str">
        <f>IFERROR(__xludf.DUMMYFUNCTION("""COMPUTED_VALUE"""),"recovery")</f>
        <v>recovery</v>
      </c>
      <c r="N1110" s="6" t="str">
        <f>IFERROR(__xludf.DUMMYFUNCTION("""COMPUTED_VALUE"""),"brooding")</f>
        <v>brooding</v>
      </c>
      <c r="P1110" s="6" t="str">
        <f>IFERROR(__xludf.DUMMYFUNCTION("""COMPUTED_VALUE"""),"radical")</f>
        <v>radical</v>
      </c>
      <c r="Q1110" s="6" t="str">
        <f>IFERROR(__xludf.DUMMYFUNCTION("""COMPUTED_VALUE"""),"hoffman")</f>
        <v>hoffman</v>
      </c>
      <c r="S1110" s="6" t="str">
        <f>IFERROR(__xludf.DUMMYFUNCTION("""COMPUTED_VALUE"""),"single")</f>
        <v>single</v>
      </c>
    </row>
    <row r="1111">
      <c r="B1111" s="6"/>
      <c r="D1111" s="6"/>
      <c r="G1111" s="6" t="str">
        <f>IFERROR(__xludf.DUMMYFUNCTION("""COMPUTED_VALUE"""),"cage")</f>
        <v>cage</v>
      </c>
      <c r="H1111" s="6" t="str">
        <f>IFERROR(__xludf.DUMMYFUNCTION("""COMPUTED_VALUE"""),"definitions")</f>
        <v>definitions</v>
      </c>
      <c r="I1111" s="6" t="str">
        <f>IFERROR(__xludf.DUMMYFUNCTION("""COMPUTED_VALUE"""),"classified")</f>
        <v>classified</v>
      </c>
      <c r="J1111" s="6" t="str">
        <f>IFERROR(__xludf.DUMMYFUNCTION("""COMPUTED_VALUE"""),"expands")</f>
        <v>expands</v>
      </c>
      <c r="L1111" s="6" t="str">
        <f>IFERROR(__xludf.DUMMYFUNCTION("""COMPUTED_VALUE"""),"intentions")</f>
        <v>intentions</v>
      </c>
      <c r="M1111" s="6" t="str">
        <f>IFERROR(__xludf.DUMMYFUNCTION("""COMPUTED_VALUE"""),"league")</f>
        <v>league</v>
      </c>
      <c r="N1111" s="6" t="str">
        <f>IFERROR(__xludf.DUMMYFUNCTION("""COMPUTED_VALUE"""),"fascination")</f>
        <v>fascination</v>
      </c>
      <c r="P1111" s="6" t="str">
        <f>IFERROR(__xludf.DUMMYFUNCTION("""COMPUTED_VALUE"""),"de")</f>
        <v>de</v>
      </c>
      <c r="Q1111" s="6" t="str">
        <f>IFERROR(__xludf.DUMMYFUNCTION("""COMPUTED_VALUE"""),"newcomer")</f>
        <v>newcomer</v>
      </c>
      <c r="S1111" s="6" t="str">
        <f>IFERROR(__xludf.DUMMYFUNCTION("""COMPUTED_VALUE"""),"crazy")</f>
        <v>crazy</v>
      </c>
    </row>
    <row r="1112">
      <c r="B1112" s="6"/>
      <c r="D1112" s="6"/>
      <c r="G1112" s="6" t="str">
        <f>IFERROR(__xludf.DUMMYFUNCTION("""COMPUTED_VALUE"""),"paranoia")</f>
        <v>paranoia</v>
      </c>
      <c r="H1112" s="6" t="str">
        <f>IFERROR(__xludf.DUMMYFUNCTION("""COMPUTED_VALUE"""),"thud")</f>
        <v>thud</v>
      </c>
      <c r="I1112" s="6" t="str">
        <f>IFERROR(__xludf.DUMMYFUNCTION("""COMPUTED_VALUE"""),"solo")</f>
        <v>solo</v>
      </c>
      <c r="J1112" s="6" t="str">
        <f>IFERROR(__xludf.DUMMYFUNCTION("""COMPUTED_VALUE"""),"smash")</f>
        <v>smash</v>
      </c>
      <c r="L1112" s="6" t="str">
        <f>IFERROR(__xludf.DUMMYFUNCTION("""COMPUTED_VALUE"""),"hardened")</f>
        <v>hardened</v>
      </c>
      <c r="M1112" s="6" t="str">
        <f>IFERROR(__xludf.DUMMYFUNCTION("""COMPUTED_VALUE"""),"washed")</f>
        <v>washed</v>
      </c>
      <c r="N1112" s="6" t="str">
        <f>IFERROR(__xludf.DUMMYFUNCTION("""COMPUTED_VALUE"""),"realistic")</f>
        <v>realistic</v>
      </c>
      <c r="P1112" s="6" t="str">
        <f>IFERROR(__xludf.DUMMYFUNCTION("""COMPUTED_VALUE"""),"hook")</f>
        <v>hook</v>
      </c>
      <c r="Q1112" s="6" t="str">
        <f>IFERROR(__xludf.DUMMYFUNCTION("""COMPUTED_VALUE"""),"feat")</f>
        <v>feat</v>
      </c>
      <c r="S1112" s="6" t="str">
        <f>IFERROR(__xludf.DUMMYFUNCTION("""COMPUTED_VALUE"""),"lines")</f>
        <v>lines</v>
      </c>
    </row>
    <row r="1113">
      <c r="B1113" s="6"/>
      <c r="D1113" s="6"/>
      <c r="G1113" s="6" t="str">
        <f>IFERROR(__xludf.DUMMYFUNCTION("""COMPUTED_VALUE"""),"phenomenon")</f>
        <v>phenomenon</v>
      </c>
      <c r="H1113" s="6" t="str">
        <f>IFERROR(__xludf.DUMMYFUNCTION("""COMPUTED_VALUE"""),"interpretation")</f>
        <v>interpretation</v>
      </c>
      <c r="I1113" s="6" t="str">
        <f>IFERROR(__xludf.DUMMYFUNCTION("""COMPUTED_VALUE"""),"conversion")</f>
        <v>conversion</v>
      </c>
      <c r="J1113" s="6" t="str">
        <f>IFERROR(__xludf.DUMMYFUNCTION("""COMPUTED_VALUE"""),"tales")</f>
        <v>tales</v>
      </c>
      <c r="L1113" s="6" t="str">
        <f>IFERROR(__xludf.DUMMYFUNCTION("""COMPUTED_VALUE"""),"fierce")</f>
        <v>fierce</v>
      </c>
      <c r="M1113" s="6" t="str">
        <f>IFERROR(__xludf.DUMMYFUNCTION("""COMPUTED_VALUE"""),"teenage")</f>
        <v>teenage</v>
      </c>
      <c r="N1113" s="6" t="str">
        <f>IFERROR(__xludf.DUMMYFUNCTION("""COMPUTED_VALUE"""),"disguised")</f>
        <v>disguised</v>
      </c>
      <c r="P1113" s="6">
        <f>IFERROR(__xludf.DUMMYFUNCTION("""COMPUTED_VALUE"""),1993.0)</f>
        <v>1993</v>
      </c>
      <c r="Q1113" s="6" t="str">
        <f>IFERROR(__xludf.DUMMYFUNCTION("""COMPUTED_VALUE"""),"third")</f>
        <v>third</v>
      </c>
      <c r="S1113" s="6" t="str">
        <f>IFERROR(__xludf.DUMMYFUNCTION("""COMPUTED_VALUE"""),"reading")</f>
        <v>reading</v>
      </c>
    </row>
    <row r="1114">
      <c r="B1114" s="6"/>
      <c r="D1114" s="6"/>
      <c r="G1114" s="6" t="str">
        <f>IFERROR(__xludf.DUMMYFUNCTION("""COMPUTED_VALUE"""),"content")</f>
        <v>content</v>
      </c>
      <c r="H1114" s="6" t="str">
        <f>IFERROR(__xludf.DUMMYFUNCTION("""COMPUTED_VALUE"""),"lyrical")</f>
        <v>lyrical</v>
      </c>
      <c r="I1114" s="6" t="str">
        <f>IFERROR(__xludf.DUMMYFUNCTION("""COMPUTED_VALUE"""),"destruction")</f>
        <v>destruction</v>
      </c>
      <c r="J1114" s="6" t="str">
        <f>IFERROR(__xludf.DUMMYFUNCTION("""COMPUTED_VALUE"""),"deaths")</f>
        <v>deaths</v>
      </c>
      <c r="L1114" s="6" t="str">
        <f>IFERROR(__xludf.DUMMYFUNCTION("""COMPUTED_VALUE"""),"dramatic")</f>
        <v>dramatic</v>
      </c>
      <c r="M1114" s="6" t="str">
        <f>IFERROR(__xludf.DUMMYFUNCTION("""COMPUTED_VALUE"""),"panic")</f>
        <v>panic</v>
      </c>
      <c r="N1114" s="6" t="str">
        <f>IFERROR(__xludf.DUMMYFUNCTION("""COMPUTED_VALUE"""),"fathers")</f>
        <v>fathers</v>
      </c>
      <c r="P1114" s="6" t="str">
        <f>IFERROR(__xludf.DUMMYFUNCTION("""COMPUTED_VALUE"""),"sunshine")</f>
        <v>sunshine</v>
      </c>
      <c r="Q1114" s="6" t="str">
        <f>IFERROR(__xludf.DUMMYFUNCTION("""COMPUTED_VALUE"""),"harmless")</f>
        <v>harmless</v>
      </c>
      <c r="S1114" s="6" t="str">
        <f>IFERROR(__xludf.DUMMYFUNCTION("""COMPUTED_VALUE"""),"figures")</f>
        <v>figures</v>
      </c>
    </row>
    <row r="1115">
      <c r="B1115" s="6"/>
      <c r="D1115" s="6"/>
      <c r="G1115" s="6" t="str">
        <f>IFERROR(__xludf.DUMMYFUNCTION("""COMPUTED_VALUE"""),"stays")</f>
        <v>stays</v>
      </c>
      <c r="H1115" s="6" t="str">
        <f>IFERROR(__xludf.DUMMYFUNCTION("""COMPUTED_VALUE"""),"blockbuster")</f>
        <v>blockbuster</v>
      </c>
      <c r="I1115" s="6" t="str">
        <f>IFERROR(__xludf.DUMMYFUNCTION("""COMPUTED_VALUE"""),"chicken")</f>
        <v>chicken</v>
      </c>
      <c r="J1115" s="6" t="str">
        <f>IFERROR(__xludf.DUMMYFUNCTION("""COMPUTED_VALUE"""),"careers")</f>
        <v>careers</v>
      </c>
      <c r="L1115" s="6" t="str">
        <f>IFERROR(__xludf.DUMMYFUNCTION("""COMPUTED_VALUE"""),"dimension")</f>
        <v>dimension</v>
      </c>
      <c r="M1115" s="6" t="str">
        <f>IFERROR(__xludf.DUMMYFUNCTION("""COMPUTED_VALUE"""),"philosophy")</f>
        <v>philosophy</v>
      </c>
      <c r="N1115" s="6" t="str">
        <f>IFERROR(__xludf.DUMMYFUNCTION("""COMPUTED_VALUE"""),"lifts")</f>
        <v>lifts</v>
      </c>
      <c r="P1115" s="6" t="str">
        <f>IFERROR(__xludf.DUMMYFUNCTION("""COMPUTED_VALUE"""),"prospect")</f>
        <v>prospect</v>
      </c>
      <c r="Q1115" s="6" t="str">
        <f>IFERROR(__xludf.DUMMYFUNCTION("""COMPUTED_VALUE"""),"vulnerability")</f>
        <v>vulnerability</v>
      </c>
      <c r="S1115" s="6" t="str">
        <f>IFERROR(__xludf.DUMMYFUNCTION("""COMPUTED_VALUE"""),"expert")</f>
        <v>expert</v>
      </c>
    </row>
    <row r="1116">
      <c r="B1116" s="6"/>
      <c r="D1116" s="6"/>
      <c r="G1116" s="6" t="str">
        <f>IFERROR(__xludf.DUMMYFUNCTION("""COMPUTED_VALUE"""),"leap")</f>
        <v>leap</v>
      </c>
      <c r="H1116" s="6" t="str">
        <f>IFERROR(__xludf.DUMMYFUNCTION("""COMPUTED_VALUE"""),"exploitation")</f>
        <v>exploitation</v>
      </c>
      <c r="I1116" s="6" t="str">
        <f>IFERROR(__xludf.DUMMYFUNCTION("""COMPUTED_VALUE"""),"provincial")</f>
        <v>provincial</v>
      </c>
      <c r="J1116" s="6" t="str">
        <f>IFERROR(__xludf.DUMMYFUNCTION("""COMPUTED_VALUE"""),"titus")</f>
        <v>titus</v>
      </c>
      <c r="L1116" s="6" t="str">
        <f>IFERROR(__xludf.DUMMYFUNCTION("""COMPUTED_VALUE"""),"plagued")</f>
        <v>plagued</v>
      </c>
      <c r="M1116" s="6" t="str">
        <f>IFERROR(__xludf.DUMMYFUNCTION("""COMPUTED_VALUE"""),"voting")</f>
        <v>voting</v>
      </c>
      <c r="N1116" s="6" t="str">
        <f>IFERROR(__xludf.DUMMYFUNCTION("""COMPUTED_VALUE"""),"chord")</f>
        <v>chord</v>
      </c>
      <c r="P1116" s="6" t="str">
        <f>IFERROR(__xludf.DUMMYFUNCTION("""COMPUTED_VALUE"""),"wall")</f>
        <v>wall</v>
      </c>
      <c r="Q1116" s="6" t="str">
        <f>IFERROR(__xludf.DUMMYFUNCTION("""COMPUTED_VALUE"""),"adequately")</f>
        <v>adequately</v>
      </c>
      <c r="S1116" s="6" t="str">
        <f>IFERROR(__xludf.DUMMYFUNCTION("""COMPUTED_VALUE"""),"composition")</f>
        <v>composition</v>
      </c>
    </row>
    <row r="1117">
      <c r="B1117" s="6"/>
      <c r="D1117" s="6"/>
      <c r="G1117" s="6" t="str">
        <f>IFERROR(__xludf.DUMMYFUNCTION("""COMPUTED_VALUE"""),"fuels")</f>
        <v>fuels</v>
      </c>
      <c r="H1117" s="6" t="str">
        <f>IFERROR(__xludf.DUMMYFUNCTION("""COMPUTED_VALUE"""),"populated")</f>
        <v>populated</v>
      </c>
      <c r="I1117" s="6" t="str">
        <f>IFERROR(__xludf.DUMMYFUNCTION("""COMPUTED_VALUE"""),"ye")</f>
        <v>ye</v>
      </c>
      <c r="J1117" s="6" t="str">
        <f>IFERROR(__xludf.DUMMYFUNCTION("""COMPUTED_VALUE"""),"vastly")</f>
        <v>vastly</v>
      </c>
      <c r="L1117" s="6" t="str">
        <f>IFERROR(__xludf.DUMMYFUNCTION("""COMPUTED_VALUE"""),"deadly")</f>
        <v>deadly</v>
      </c>
      <c r="M1117" s="6" t="str">
        <f>IFERROR(__xludf.DUMMYFUNCTION("""COMPUTED_VALUE"""),"promotion")</f>
        <v>promotion</v>
      </c>
      <c r="N1117" s="6" t="str">
        <f>IFERROR(__xludf.DUMMYFUNCTION("""COMPUTED_VALUE"""),"complications")</f>
        <v>complications</v>
      </c>
      <c r="P1117" s="6" t="str">
        <f>IFERROR(__xludf.DUMMYFUNCTION("""COMPUTED_VALUE"""),"dedicated")</f>
        <v>dedicated</v>
      </c>
      <c r="Q1117" s="6" t="str">
        <f>IFERROR(__xludf.DUMMYFUNCTION("""COMPUTED_VALUE"""),"fills")</f>
        <v>fills</v>
      </c>
      <c r="S1117" s="6" t="str">
        <f>IFERROR(__xludf.DUMMYFUNCTION("""COMPUTED_VALUE"""),"viewed")</f>
        <v>viewed</v>
      </c>
    </row>
    <row r="1118">
      <c r="B1118" s="6"/>
      <c r="D1118" s="6"/>
      <c r="G1118" s="6" t="str">
        <f>IFERROR(__xludf.DUMMYFUNCTION("""COMPUTED_VALUE"""),"stretches")</f>
        <v>stretches</v>
      </c>
      <c r="H1118" s="6" t="str">
        <f>IFERROR(__xludf.DUMMYFUNCTION("""COMPUTED_VALUE"""),"emotion")</f>
        <v>emotion</v>
      </c>
      <c r="I1118" s="6" t="str">
        <f>IFERROR(__xludf.DUMMYFUNCTION("""COMPUTED_VALUE"""),"suddenly")</f>
        <v>suddenly</v>
      </c>
      <c r="J1118" s="6" t="str">
        <f>IFERROR(__xludf.DUMMYFUNCTION("""COMPUTED_VALUE"""),"espionage")</f>
        <v>espionage</v>
      </c>
      <c r="L1118" s="6" t="str">
        <f>IFERROR(__xludf.DUMMYFUNCTION("""COMPUTED_VALUE"""),"kang")</f>
        <v>kang</v>
      </c>
      <c r="M1118" s="6" t="str">
        <f>IFERROR(__xludf.DUMMYFUNCTION("""COMPUTED_VALUE"""),"patch")</f>
        <v>patch</v>
      </c>
      <c r="N1118" s="6" t="str">
        <f>IFERROR(__xludf.DUMMYFUNCTION("""COMPUTED_VALUE"""),"atlantic")</f>
        <v>atlantic</v>
      </c>
      <c r="P1118" s="6" t="str">
        <f>IFERROR(__xludf.DUMMYFUNCTION("""COMPUTED_VALUE"""),"asian")</f>
        <v>asian</v>
      </c>
      <c r="Q1118" s="6" t="str">
        <f>IFERROR(__xludf.DUMMYFUNCTION("""COMPUTED_VALUE"""),"sack")</f>
        <v>sack</v>
      </c>
      <c r="S1118" s="6" t="str">
        <f>IFERROR(__xludf.DUMMYFUNCTION("""COMPUTED_VALUE"""),"angle")</f>
        <v>angle</v>
      </c>
    </row>
    <row r="1119">
      <c r="B1119" s="6"/>
      <c r="D1119" s="6"/>
      <c r="G1119" s="6" t="str">
        <f>IFERROR(__xludf.DUMMYFUNCTION("""COMPUTED_VALUE"""),"enthusiasts")</f>
        <v>enthusiasts</v>
      </c>
      <c r="H1119" s="6" t="str">
        <f>IFERROR(__xludf.DUMMYFUNCTION("""COMPUTED_VALUE"""),"purge")</f>
        <v>purge</v>
      </c>
      <c r="I1119" s="6" t="str">
        <f>IFERROR(__xludf.DUMMYFUNCTION("""COMPUTED_VALUE"""),"portraits")</f>
        <v>portraits</v>
      </c>
      <c r="J1119" s="6" t="str">
        <f>IFERROR(__xludf.DUMMYFUNCTION("""COMPUTED_VALUE"""),"refugees")</f>
        <v>refugees</v>
      </c>
      <c r="L1119" s="6" t="str">
        <f>IFERROR(__xludf.DUMMYFUNCTION("""COMPUTED_VALUE"""),"brave")</f>
        <v>brave</v>
      </c>
      <c r="M1119" s="6" t="str">
        <f>IFERROR(__xludf.DUMMYFUNCTION("""COMPUTED_VALUE"""),"butt")</f>
        <v>butt</v>
      </c>
      <c r="N1119" s="6" t="str">
        <f>IFERROR(__xludf.DUMMYFUNCTION("""COMPUTED_VALUE"""),"waldo")</f>
        <v>waldo</v>
      </c>
      <c r="P1119" s="6" t="str">
        <f>IFERROR(__xludf.DUMMYFUNCTION("""COMPUTED_VALUE"""),"painting")</f>
        <v>painting</v>
      </c>
      <c r="Q1119" s="6" t="str">
        <f>IFERROR(__xludf.DUMMYFUNCTION("""COMPUTED_VALUE"""),"weave")</f>
        <v>weave</v>
      </c>
      <c r="S1119" s="6" t="str">
        <f>IFERROR(__xludf.DUMMYFUNCTION("""COMPUTED_VALUE"""),"mature")</f>
        <v>mature</v>
      </c>
    </row>
    <row r="1120">
      <c r="B1120" s="6"/>
      <c r="D1120" s="6"/>
      <c r="G1120" s="6" t="str">
        <f>IFERROR(__xludf.DUMMYFUNCTION("""COMPUTED_VALUE"""),"ecstasy")</f>
        <v>ecstasy</v>
      </c>
      <c r="H1120" s="6" t="str">
        <f>IFERROR(__xludf.DUMMYFUNCTION("""COMPUTED_VALUE"""),"triumph")</f>
        <v>triumph</v>
      </c>
      <c r="I1120" s="6" t="str">
        <f>IFERROR(__xludf.DUMMYFUNCTION("""COMPUTED_VALUE"""),"alleged")</f>
        <v>alleged</v>
      </c>
      <c r="J1120" s="6" t="str">
        <f>IFERROR(__xludf.DUMMYFUNCTION("""COMPUTED_VALUE"""),"alien")</f>
        <v>alien</v>
      </c>
      <c r="L1120" s="6" t="str">
        <f>IFERROR(__xludf.DUMMYFUNCTION("""COMPUTED_VALUE"""),"strongest")</f>
        <v>strongest</v>
      </c>
      <c r="M1120" s="6" t="str">
        <f>IFERROR(__xludf.DUMMYFUNCTION("""COMPUTED_VALUE"""),"million")</f>
        <v>million</v>
      </c>
      <c r="N1120" s="6" t="str">
        <f>IFERROR(__xludf.DUMMYFUNCTION("""COMPUTED_VALUE"""),"rank")</f>
        <v>rank</v>
      </c>
      <c r="P1120" s="6" t="str">
        <f>IFERROR(__xludf.DUMMYFUNCTION("""COMPUTED_VALUE"""),"reasons")</f>
        <v>reasons</v>
      </c>
      <c r="Q1120" s="6" t="str">
        <f>IFERROR(__xludf.DUMMYFUNCTION("""COMPUTED_VALUE"""),"uncertain")</f>
        <v>uncertain</v>
      </c>
      <c r="S1120" s="6" t="str">
        <f>IFERROR(__xludf.DUMMYFUNCTION("""COMPUTED_VALUE"""),"pro")</f>
        <v>pro</v>
      </c>
    </row>
    <row r="1121">
      <c r="B1121" s="6"/>
      <c r="D1121" s="6"/>
      <c r="G1121" s="6" t="str">
        <f>IFERROR(__xludf.DUMMYFUNCTION("""COMPUTED_VALUE"""),"broadcast")</f>
        <v>broadcast</v>
      </c>
      <c r="H1121" s="6" t="str">
        <f>IFERROR(__xludf.DUMMYFUNCTION("""COMPUTED_VALUE"""),"marvelous")</f>
        <v>marvelous</v>
      </c>
      <c r="I1121" s="6" t="str">
        <f>IFERROR(__xludf.DUMMYFUNCTION("""COMPUTED_VALUE"""),"testing")</f>
        <v>testing</v>
      </c>
      <c r="J1121" s="6" t="str">
        <f>IFERROR(__xludf.DUMMYFUNCTION("""COMPUTED_VALUE"""),"coughed")</f>
        <v>coughed</v>
      </c>
      <c r="L1121" s="6" t="str">
        <f>IFERROR(__xludf.DUMMYFUNCTION("""COMPUTED_VALUE"""),"ambitious")</f>
        <v>ambitious</v>
      </c>
      <c r="M1121" s="6" t="str">
        <f>IFERROR(__xludf.DUMMYFUNCTION("""COMPUTED_VALUE"""),"aspect")</f>
        <v>aspect</v>
      </c>
      <c r="N1121" s="6" t="str">
        <f>IFERROR(__xludf.DUMMYFUNCTION("""COMPUTED_VALUE"""),"etched")</f>
        <v>etched</v>
      </c>
      <c r="P1121" s="6" t="str">
        <f>IFERROR(__xludf.DUMMYFUNCTION("""COMPUTED_VALUE"""),"numbered")</f>
        <v>numbered</v>
      </c>
      <c r="Q1121" s="6" t="str">
        <f>IFERROR(__xludf.DUMMYFUNCTION("""COMPUTED_VALUE"""),"battle")</f>
        <v>battle</v>
      </c>
      <c r="S1121" s="6" t="str">
        <f>IFERROR(__xludf.DUMMYFUNCTION("""COMPUTED_VALUE"""),"con")</f>
        <v>con</v>
      </c>
    </row>
    <row r="1122">
      <c r="B1122" s="6"/>
      <c r="D1122" s="6"/>
      <c r="G1122" s="6" t="str">
        <f>IFERROR(__xludf.DUMMYFUNCTION("""COMPUTED_VALUE"""),"accomplishment")</f>
        <v>accomplishment</v>
      </c>
      <c r="H1122" s="6" t="str">
        <f>IFERROR(__xludf.DUMMYFUNCTION("""COMPUTED_VALUE"""),"shifted")</f>
        <v>shifted</v>
      </c>
      <c r="I1122" s="6" t="str">
        <f>IFERROR(__xludf.DUMMYFUNCTION("""COMPUTED_VALUE"""),"fellowship")</f>
        <v>fellowship</v>
      </c>
      <c r="J1122" s="6" t="str">
        <f>IFERROR(__xludf.DUMMYFUNCTION("""COMPUTED_VALUE"""),"hooks")</f>
        <v>hooks</v>
      </c>
      <c r="L1122" s="6" t="str">
        <f>IFERROR(__xludf.DUMMYFUNCTION("""COMPUTED_VALUE"""),"weaving")</f>
        <v>weaving</v>
      </c>
      <c r="M1122" s="6" t="str">
        <f>IFERROR(__xludf.DUMMYFUNCTION("""COMPUTED_VALUE"""),"numbers")</f>
        <v>numbers</v>
      </c>
      <c r="N1122" s="6" t="str">
        <f>IFERROR(__xludf.DUMMYFUNCTION("""COMPUTED_VALUE"""),"goals")</f>
        <v>goals</v>
      </c>
      <c r="P1122" s="6" t="str">
        <f>IFERROR(__xludf.DUMMYFUNCTION("""COMPUTED_VALUE"""),"marine")</f>
        <v>marine</v>
      </c>
      <c r="Q1122" s="6" t="str">
        <f>IFERROR(__xludf.DUMMYFUNCTION("""COMPUTED_VALUE"""),"morally")</f>
        <v>morally</v>
      </c>
      <c r="S1122" s="6" t="str">
        <f>IFERROR(__xludf.DUMMYFUNCTION("""COMPUTED_VALUE"""),"stars")</f>
        <v>stars</v>
      </c>
    </row>
    <row r="1123">
      <c r="B1123" s="6"/>
      <c r="D1123" s="6"/>
      <c r="G1123" s="6" t="str">
        <f>IFERROR(__xludf.DUMMYFUNCTION("""COMPUTED_VALUE"""),"embrace")</f>
        <v>embrace</v>
      </c>
      <c r="H1123" s="6" t="str">
        <f>IFERROR(__xludf.DUMMYFUNCTION("""COMPUTED_VALUE"""),"wesley")</f>
        <v>wesley</v>
      </c>
      <c r="I1123" s="6" t="str">
        <f>IFERROR(__xludf.DUMMYFUNCTION("""COMPUTED_VALUE"""),"framework")</f>
        <v>framework</v>
      </c>
      <c r="J1123" s="6" t="str">
        <f>IFERROR(__xludf.DUMMYFUNCTION("""COMPUTED_VALUE"""),"oliver")</f>
        <v>oliver</v>
      </c>
      <c r="L1123" s="6" t="str">
        <f>IFERROR(__xludf.DUMMYFUNCTION("""COMPUTED_VALUE"""),"influential")</f>
        <v>influential</v>
      </c>
      <c r="M1123" s="6" t="str">
        <f>IFERROR(__xludf.DUMMYFUNCTION("""COMPUTED_VALUE"""),"cage")</f>
        <v>cage</v>
      </c>
      <c r="N1123" s="6" t="str">
        <f>IFERROR(__xludf.DUMMYFUNCTION("""COMPUTED_VALUE"""),"sitcom")</f>
        <v>sitcom</v>
      </c>
      <c r="P1123" s="6" t="str">
        <f>IFERROR(__xludf.DUMMYFUNCTION("""COMPUTED_VALUE"""),"granted")</f>
        <v>granted</v>
      </c>
      <c r="Q1123" s="6" t="str">
        <f>IFERROR(__xludf.DUMMYFUNCTION("""COMPUTED_VALUE"""),"shine")</f>
        <v>shine</v>
      </c>
      <c r="S1123" s="6" t="str">
        <f>IFERROR(__xludf.DUMMYFUNCTION("""COMPUTED_VALUE"""),"layer")</f>
        <v>layer</v>
      </c>
    </row>
    <row r="1124">
      <c r="B1124" s="6"/>
      <c r="D1124" s="6"/>
      <c r="G1124" s="6" t="str">
        <f>IFERROR(__xludf.DUMMYFUNCTION("""COMPUTED_VALUE"""),"station")</f>
        <v>station</v>
      </c>
      <c r="H1124" s="6" t="str">
        <f>IFERROR(__xludf.DUMMYFUNCTION("""COMPUTED_VALUE"""),"proposes")</f>
        <v>proposes</v>
      </c>
      <c r="I1124" s="6" t="str">
        <f>IFERROR(__xludf.DUMMYFUNCTION("""COMPUTED_VALUE"""),"detective")</f>
        <v>detective</v>
      </c>
      <c r="J1124" s="6" t="str">
        <f>IFERROR(__xludf.DUMMYFUNCTION("""COMPUTED_VALUE"""),"lens")</f>
        <v>lens</v>
      </c>
      <c r="L1124" s="6" t="str">
        <f>IFERROR(__xludf.DUMMYFUNCTION("""COMPUTED_VALUE"""),"pianist")</f>
        <v>pianist</v>
      </c>
      <c r="M1124" s="6" t="str">
        <f>IFERROR(__xludf.DUMMYFUNCTION("""COMPUTED_VALUE"""),"allowing")</f>
        <v>allowing</v>
      </c>
      <c r="N1124" s="6" t="str">
        <f>IFERROR(__xludf.DUMMYFUNCTION("""COMPUTED_VALUE"""),"reckless")</f>
        <v>reckless</v>
      </c>
      <c r="P1124" s="6" t="str">
        <f>IFERROR(__xludf.DUMMYFUNCTION("""COMPUTED_VALUE"""),"details")</f>
        <v>details</v>
      </c>
      <c r="Q1124" s="6" t="str">
        <f>IFERROR(__xludf.DUMMYFUNCTION("""COMPUTED_VALUE"""),"comedian")</f>
        <v>comedian</v>
      </c>
      <c r="S1124" s="6" t="str">
        <f>IFERROR(__xludf.DUMMYFUNCTION("""COMPUTED_VALUE"""),"house")</f>
        <v>house</v>
      </c>
    </row>
    <row r="1125">
      <c r="B1125" s="6"/>
      <c r="D1125" s="6"/>
      <c r="G1125" s="6" t="str">
        <f>IFERROR(__xludf.DUMMYFUNCTION("""COMPUTED_VALUE"""),"producers")</f>
        <v>producers</v>
      </c>
      <c r="H1125" s="6" t="str">
        <f>IFERROR(__xludf.DUMMYFUNCTION("""COMPUTED_VALUE"""),"mistress")</f>
        <v>mistress</v>
      </c>
      <c r="I1125" s="6" t="str">
        <f>IFERROR(__xludf.DUMMYFUNCTION("""COMPUTED_VALUE"""),"kurt")</f>
        <v>kurt</v>
      </c>
      <c r="J1125" s="6" t="str">
        <f>IFERROR(__xludf.DUMMYFUNCTION("""COMPUTED_VALUE"""),"irresistible")</f>
        <v>irresistible</v>
      </c>
      <c r="L1125" s="6" t="str">
        <f>IFERROR(__xludf.DUMMYFUNCTION("""COMPUTED_VALUE"""),"convincing")</f>
        <v>convincing</v>
      </c>
      <c r="M1125" s="6" t="str">
        <f>IFERROR(__xludf.DUMMYFUNCTION("""COMPUTED_VALUE"""),"political")</f>
        <v>political</v>
      </c>
      <c r="N1125" s="6" t="str">
        <f>IFERROR(__xludf.DUMMYFUNCTION("""COMPUTED_VALUE"""),"forged")</f>
        <v>forged</v>
      </c>
      <c r="P1125" s="6" t="str">
        <f>IFERROR(__xludf.DUMMYFUNCTION("""COMPUTED_VALUE"""),"treasure")</f>
        <v>treasure</v>
      </c>
      <c r="Q1125" s="6" t="str">
        <f>IFERROR(__xludf.DUMMYFUNCTION("""COMPUTED_VALUE"""),"racist")</f>
        <v>racist</v>
      </c>
      <c r="S1125" s="6" t="str">
        <f>IFERROR(__xludf.DUMMYFUNCTION("""COMPUTED_VALUE"""),"commerce")</f>
        <v>commerce</v>
      </c>
    </row>
    <row r="1126">
      <c r="B1126" s="6"/>
      <c r="D1126" s="6"/>
      <c r="G1126" s="6" t="str">
        <f>IFERROR(__xludf.DUMMYFUNCTION("""COMPUTED_VALUE"""),"memoir")</f>
        <v>memoir</v>
      </c>
      <c r="H1126" s="6" t="str">
        <f>IFERROR(__xludf.DUMMYFUNCTION("""COMPUTED_VALUE"""),"breakthrough")</f>
        <v>breakthrough</v>
      </c>
      <c r="I1126" s="6" t="str">
        <f>IFERROR(__xludf.DUMMYFUNCTION("""COMPUTED_VALUE"""),"temple")</f>
        <v>temple</v>
      </c>
      <c r="J1126" s="6" t="str">
        <f>IFERROR(__xludf.DUMMYFUNCTION("""COMPUTED_VALUE"""),"hussein")</f>
        <v>hussein</v>
      </c>
      <c r="L1126" s="6" t="str">
        <f>IFERROR(__xludf.DUMMYFUNCTION("""COMPUTED_VALUE"""),"politically")</f>
        <v>politically</v>
      </c>
      <c r="M1126" s="6" t="str">
        <f>IFERROR(__xludf.DUMMYFUNCTION("""COMPUTED_VALUE"""),"roman")</f>
        <v>roman</v>
      </c>
      <c r="N1126" s="6" t="str">
        <f>IFERROR(__xludf.DUMMYFUNCTION("""COMPUTED_VALUE"""),"catastrophic")</f>
        <v>catastrophic</v>
      </c>
      <c r="P1126" s="6" t="str">
        <f>IFERROR(__xludf.DUMMYFUNCTION("""COMPUTED_VALUE"""),"worship")</f>
        <v>worship</v>
      </c>
      <c r="Q1126" s="6" t="str">
        <f>IFERROR(__xludf.DUMMYFUNCTION("""COMPUTED_VALUE"""),"song")</f>
        <v>song</v>
      </c>
      <c r="S1126" s="6" t="str">
        <f>IFERROR(__xludf.DUMMYFUNCTION("""COMPUTED_VALUE"""),"older")</f>
        <v>older</v>
      </c>
    </row>
    <row r="1127">
      <c r="B1127" s="6"/>
      <c r="D1127" s="6"/>
      <c r="G1127" s="6" t="str">
        <f>IFERROR(__xludf.DUMMYFUNCTION("""COMPUTED_VALUE"""),"scarcely")</f>
        <v>scarcely</v>
      </c>
      <c r="H1127" s="6" t="str">
        <f>IFERROR(__xludf.DUMMYFUNCTION("""COMPUTED_VALUE"""),"assumes")</f>
        <v>assumes</v>
      </c>
      <c r="I1127" s="6" t="str">
        <f>IFERROR(__xludf.DUMMYFUNCTION("""COMPUTED_VALUE"""),"scoring")</f>
        <v>scoring</v>
      </c>
      <c r="J1127" s="6" t="str">
        <f>IFERROR(__xludf.DUMMYFUNCTION("""COMPUTED_VALUE"""),"saddam")</f>
        <v>saddam</v>
      </c>
      <c r="L1127" s="6" t="str">
        <f>IFERROR(__xludf.DUMMYFUNCTION("""COMPUTED_VALUE"""),"commentary")</f>
        <v>commentary</v>
      </c>
      <c r="M1127" s="6" t="str">
        <f>IFERROR(__xludf.DUMMYFUNCTION("""COMPUTED_VALUE"""),"relegated")</f>
        <v>relegated</v>
      </c>
      <c r="N1127" s="6" t="str">
        <f>IFERROR(__xludf.DUMMYFUNCTION("""COMPUTED_VALUE"""),"li")</f>
        <v>li</v>
      </c>
      <c r="P1127" s="6" t="str">
        <f>IFERROR(__xludf.DUMMYFUNCTION("""COMPUTED_VALUE"""),"concern")</f>
        <v>concern</v>
      </c>
      <c r="Q1127" s="6" t="str">
        <f>IFERROR(__xludf.DUMMYFUNCTION("""COMPUTED_VALUE"""),"editing")</f>
        <v>editing</v>
      </c>
      <c r="S1127" s="6" t="str">
        <f>IFERROR(__xludf.DUMMYFUNCTION("""COMPUTED_VALUE"""),"former")</f>
        <v>former</v>
      </c>
    </row>
    <row r="1128">
      <c r="B1128" s="6"/>
      <c r="D1128" s="6"/>
      <c r="G1128" s="6" t="str">
        <f>IFERROR(__xludf.DUMMYFUNCTION("""COMPUTED_VALUE"""),"palma")</f>
        <v>palma</v>
      </c>
      <c r="H1128" s="6" t="str">
        <f>IFERROR(__xludf.DUMMYFUNCTION("""COMPUTED_VALUE"""),"unmistakable")</f>
        <v>unmistakable</v>
      </c>
      <c r="I1128" s="6" t="str">
        <f>IFERROR(__xludf.DUMMYFUNCTION("""COMPUTED_VALUE"""),"collar")</f>
        <v>collar</v>
      </c>
      <c r="J1128" s="6" t="str">
        <f>IFERROR(__xludf.DUMMYFUNCTION("""COMPUTED_VALUE"""),"operative")</f>
        <v>operative</v>
      </c>
      <c r="L1128" s="6" t="str">
        <f>IFERROR(__xludf.DUMMYFUNCTION("""COMPUTED_VALUE"""),"threatens")</f>
        <v>threatens</v>
      </c>
      <c r="M1128" s="6" t="str">
        <f>IFERROR(__xludf.DUMMYFUNCTION("""COMPUTED_VALUE"""),"ways")</f>
        <v>ways</v>
      </c>
      <c r="N1128" s="6" t="str">
        <f>IFERROR(__xludf.DUMMYFUNCTION("""COMPUTED_VALUE"""),"austrian")</f>
        <v>austrian</v>
      </c>
      <c r="P1128" s="6" t="str">
        <f>IFERROR(__xludf.DUMMYFUNCTION("""COMPUTED_VALUE"""),"thinks")</f>
        <v>thinks</v>
      </c>
      <c r="Q1128" s="6" t="str">
        <f>IFERROR(__xludf.DUMMYFUNCTION("""COMPUTED_VALUE"""),"strength")</f>
        <v>strength</v>
      </c>
      <c r="S1128" s="6" t="str">
        <f>IFERROR(__xludf.DUMMYFUNCTION("""COMPUTED_VALUE"""),"accident")</f>
        <v>accident</v>
      </c>
    </row>
    <row r="1129">
      <c r="B1129" s="6"/>
      <c r="D1129" s="6"/>
      <c r="G1129" s="6" t="str">
        <f>IFERROR(__xludf.DUMMYFUNCTION("""COMPUTED_VALUE"""),"expressive")</f>
        <v>expressive</v>
      </c>
      <c r="H1129" s="6" t="str">
        <f>IFERROR(__xludf.DUMMYFUNCTION("""COMPUTED_VALUE"""),"capture")</f>
        <v>capture</v>
      </c>
      <c r="I1129" s="6" t="str">
        <f>IFERROR(__xludf.DUMMYFUNCTION("""COMPUTED_VALUE"""),"divisions")</f>
        <v>divisions</v>
      </c>
      <c r="J1129" s="6" t="str">
        <f>IFERROR(__xludf.DUMMYFUNCTION("""COMPUTED_VALUE"""),"irrational")</f>
        <v>irrational</v>
      </c>
      <c r="L1129" s="6" t="str">
        <f>IFERROR(__xludf.DUMMYFUNCTION("""COMPUTED_VALUE"""),"intimacy")</f>
        <v>intimacy</v>
      </c>
      <c r="M1129" s="6" t="str">
        <f>IFERROR(__xludf.DUMMYFUNCTION("""COMPUTED_VALUE"""),"races")</f>
        <v>races</v>
      </c>
      <c r="N1129" s="6" t="str">
        <f>IFERROR(__xludf.DUMMYFUNCTION("""COMPUTED_VALUE"""),"existence")</f>
        <v>existence</v>
      </c>
      <c r="P1129" s="6" t="str">
        <f>IFERROR(__xludf.DUMMYFUNCTION("""COMPUTED_VALUE"""),"repeated")</f>
        <v>repeated</v>
      </c>
      <c r="Q1129" s="6" t="str">
        <f>IFERROR(__xludf.DUMMYFUNCTION("""COMPUTED_VALUE"""),"confident")</f>
        <v>confident</v>
      </c>
      <c r="S1129" s="6" t="str">
        <f>IFERROR(__xludf.DUMMYFUNCTION("""COMPUTED_VALUE"""),"somebody")</f>
        <v>somebody</v>
      </c>
    </row>
    <row r="1130">
      <c r="B1130" s="6"/>
      <c r="D1130" s="6"/>
      <c r="G1130" s="6" t="str">
        <f>IFERROR(__xludf.DUMMYFUNCTION("""COMPUTED_VALUE"""),"provoked")</f>
        <v>provoked</v>
      </c>
      <c r="H1130" s="6" t="str">
        <f>IFERROR(__xludf.DUMMYFUNCTION("""COMPUTED_VALUE"""),"penetrating")</f>
        <v>penetrating</v>
      </c>
      <c r="I1130" s="6" t="str">
        <f>IFERROR(__xludf.DUMMYFUNCTION("""COMPUTED_VALUE"""),"self")</f>
        <v>self</v>
      </c>
      <c r="J1130" s="6" t="str">
        <f>IFERROR(__xludf.DUMMYFUNCTION("""COMPUTED_VALUE"""),"eyelids")</f>
        <v>eyelids</v>
      </c>
      <c r="L1130" s="6" t="str">
        <f>IFERROR(__xludf.DUMMYFUNCTION("""COMPUTED_VALUE"""),"nonfiction")</f>
        <v>nonfiction</v>
      </c>
      <c r="M1130" s="6" t="str">
        <f>IFERROR(__xludf.DUMMYFUNCTION("""COMPUTED_VALUE"""),"bull")</f>
        <v>bull</v>
      </c>
      <c r="N1130" s="6" t="str">
        <f>IFERROR(__xludf.DUMMYFUNCTION("""COMPUTED_VALUE"""),"humorous")</f>
        <v>humorous</v>
      </c>
      <c r="P1130" s="6" t="str">
        <f>IFERROR(__xludf.DUMMYFUNCTION("""COMPUTED_VALUE"""),"bear")</f>
        <v>bear</v>
      </c>
      <c r="Q1130" s="6" t="str">
        <f>IFERROR(__xludf.DUMMYFUNCTION("""COMPUTED_VALUE"""),"scripts")</f>
        <v>scripts</v>
      </c>
      <c r="S1130" s="6" t="str">
        <f>IFERROR(__xludf.DUMMYFUNCTION("""COMPUTED_VALUE"""),"steady")</f>
        <v>steady</v>
      </c>
    </row>
    <row r="1131">
      <c r="B1131" s="6"/>
      <c r="D1131" s="6"/>
      <c r="G1131" s="6" t="str">
        <f>IFERROR(__xludf.DUMMYFUNCTION("""COMPUTED_VALUE"""),"modeled")</f>
        <v>modeled</v>
      </c>
      <c r="H1131" s="6" t="str">
        <f>IFERROR(__xludf.DUMMYFUNCTION("""COMPUTED_VALUE"""),"fascination")</f>
        <v>fascination</v>
      </c>
      <c r="I1131" s="6" t="str">
        <f>IFERROR(__xludf.DUMMYFUNCTION("""COMPUTED_VALUE"""),"graves")</f>
        <v>graves</v>
      </c>
      <c r="J1131" s="6" t="str">
        <f>IFERROR(__xludf.DUMMYFUNCTION("""COMPUTED_VALUE"""),"exposition")</f>
        <v>exposition</v>
      </c>
      <c r="L1131" s="6" t="str">
        <f>IFERROR(__xludf.DUMMYFUNCTION("""COMPUTED_VALUE"""),"african")</f>
        <v>african</v>
      </c>
      <c r="M1131" s="6" t="str">
        <f>IFERROR(__xludf.DUMMYFUNCTION("""COMPUTED_VALUE"""),"horse")</f>
        <v>horse</v>
      </c>
      <c r="N1131" s="6" t="str">
        <f>IFERROR(__xludf.DUMMYFUNCTION("""COMPUTED_VALUE"""),"atrocities")</f>
        <v>atrocities</v>
      </c>
      <c r="P1131" s="6" t="str">
        <f>IFERROR(__xludf.DUMMYFUNCTION("""COMPUTED_VALUE"""),"advantage")</f>
        <v>advantage</v>
      </c>
      <c r="Q1131" s="6" t="str">
        <f>IFERROR(__xludf.DUMMYFUNCTION("""COMPUTED_VALUE"""),"abandon")</f>
        <v>abandon</v>
      </c>
      <c r="S1131" s="6" t="str">
        <f>IFERROR(__xludf.DUMMYFUNCTION("""COMPUTED_VALUE"""),"seemingly")</f>
        <v>seemingly</v>
      </c>
    </row>
    <row r="1132">
      <c r="B1132" s="6"/>
      <c r="D1132" s="6"/>
      <c r="G1132" s="6" t="str">
        <f>IFERROR(__xludf.DUMMYFUNCTION("""COMPUTED_VALUE"""),"successor")</f>
        <v>successor</v>
      </c>
      <c r="H1132" s="6" t="str">
        <f>IFERROR(__xludf.DUMMYFUNCTION("""COMPUTED_VALUE"""),"operational")</f>
        <v>operational</v>
      </c>
      <c r="I1132" s="6" t="str">
        <f>IFERROR(__xludf.DUMMYFUNCTION("""COMPUTED_VALUE"""),"generations")</f>
        <v>generations</v>
      </c>
      <c r="J1132" s="6" t="str">
        <f>IFERROR(__xludf.DUMMYFUNCTION("""COMPUTED_VALUE"""),"losing")</f>
        <v>losing</v>
      </c>
      <c r="L1132" s="6" t="str">
        <f>IFERROR(__xludf.DUMMYFUNCTION("""COMPUTED_VALUE"""),"gang")</f>
        <v>gang</v>
      </c>
      <c r="M1132" s="6" t="str">
        <f>IFERROR(__xludf.DUMMYFUNCTION("""COMPUTED_VALUE"""),"tension")</f>
        <v>tension</v>
      </c>
      <c r="N1132" s="6" t="str">
        <f>IFERROR(__xludf.DUMMYFUNCTION("""COMPUTED_VALUE"""),"sensitivity")</f>
        <v>sensitivity</v>
      </c>
      <c r="P1132" s="6" t="str">
        <f>IFERROR(__xludf.DUMMYFUNCTION("""COMPUTED_VALUE"""),"happens")</f>
        <v>happens</v>
      </c>
      <c r="Q1132" s="6" t="str">
        <f>IFERROR(__xludf.DUMMYFUNCTION("""COMPUTED_VALUE"""),"stephen")</f>
        <v>stephen</v>
      </c>
      <c r="S1132" s="6" t="str">
        <f>IFERROR(__xludf.DUMMYFUNCTION("""COMPUTED_VALUE"""),"boys")</f>
        <v>boys</v>
      </c>
    </row>
    <row r="1133">
      <c r="B1133" s="6"/>
      <c r="D1133" s="6"/>
      <c r="G1133" s="6" t="str">
        <f>IFERROR(__xludf.DUMMYFUNCTION("""COMPUTED_VALUE"""),"rewards")</f>
        <v>rewards</v>
      </c>
      <c r="H1133" s="6" t="str">
        <f>IFERROR(__xludf.DUMMYFUNCTION("""COMPUTED_VALUE"""),"vague")</f>
        <v>vague</v>
      </c>
      <c r="I1133" s="6" t="str">
        <f>IFERROR(__xludf.DUMMYFUNCTION("""COMPUTED_VALUE"""),"blues")</f>
        <v>blues</v>
      </c>
      <c r="J1133" s="6" t="str">
        <f>IFERROR(__xludf.DUMMYFUNCTION("""COMPUTED_VALUE"""),"chemistry")</f>
        <v>chemistry</v>
      </c>
      <c r="L1133" s="6" t="str">
        <f>IFERROR(__xludf.DUMMYFUNCTION("""COMPUTED_VALUE"""),"composed")</f>
        <v>composed</v>
      </c>
      <c r="M1133" s="6" t="str">
        <f>IFERROR(__xludf.DUMMYFUNCTION("""COMPUTED_VALUE"""),"soccer")</f>
        <v>soccer</v>
      </c>
      <c r="N1133" s="6" t="str">
        <f>IFERROR(__xludf.DUMMYFUNCTION("""COMPUTED_VALUE"""),"dignity")</f>
        <v>dignity</v>
      </c>
      <c r="P1133" s="6">
        <f>IFERROR(__xludf.DUMMYFUNCTION("""COMPUTED_VALUE"""),1899.0)</f>
        <v>1899</v>
      </c>
      <c r="Q1133" s="6" t="str">
        <f>IFERROR(__xludf.DUMMYFUNCTION("""COMPUTED_VALUE"""),"richer")</f>
        <v>richer</v>
      </c>
      <c r="S1133" s="6" t="str">
        <f>IFERROR(__xludf.DUMMYFUNCTION("""COMPUTED_VALUE"""),"naturally")</f>
        <v>naturally</v>
      </c>
    </row>
    <row r="1134">
      <c r="B1134" s="6"/>
      <c r="D1134" s="6"/>
      <c r="G1134" s="6" t="str">
        <f>IFERROR(__xludf.DUMMYFUNCTION("""COMPUTED_VALUE"""),"shear")</f>
        <v>shear</v>
      </c>
      <c r="H1134" s="6" t="str">
        <f>IFERROR(__xludf.DUMMYFUNCTION("""COMPUTED_VALUE"""),"cult")</f>
        <v>cult</v>
      </c>
      <c r="I1134" s="6" t="str">
        <f>IFERROR(__xludf.DUMMYFUNCTION("""COMPUTED_VALUE"""),"refers")</f>
        <v>refers</v>
      </c>
      <c r="J1134" s="6" t="str">
        <f>IFERROR(__xludf.DUMMYFUNCTION("""COMPUTED_VALUE"""),"concludes")</f>
        <v>concludes</v>
      </c>
      <c r="L1134" s="6" t="str">
        <f>IFERROR(__xludf.DUMMYFUNCTION("""COMPUTED_VALUE"""),"remarkably")</f>
        <v>remarkably</v>
      </c>
      <c r="M1134" s="6" t="str">
        <f>IFERROR(__xludf.DUMMYFUNCTION("""COMPUTED_VALUE"""),"hug")</f>
        <v>hug</v>
      </c>
      <c r="N1134" s="6" t="str">
        <f>IFERROR(__xludf.DUMMYFUNCTION("""COMPUTED_VALUE"""),"courage")</f>
        <v>courage</v>
      </c>
      <c r="P1134" s="6" t="str">
        <f>IFERROR(__xludf.DUMMYFUNCTION("""COMPUTED_VALUE"""),"tactics")</f>
        <v>tactics</v>
      </c>
      <c r="Q1134" s="6" t="str">
        <f>IFERROR(__xludf.DUMMYFUNCTION("""COMPUTED_VALUE"""),"randolph")</f>
        <v>randolph</v>
      </c>
      <c r="S1134" s="6" t="str">
        <f>IFERROR(__xludf.DUMMYFUNCTION("""COMPUTED_VALUE"""),"springs")</f>
        <v>springs</v>
      </c>
    </row>
    <row r="1135">
      <c r="B1135" s="6"/>
      <c r="D1135" s="6"/>
      <c r="G1135" s="6" t="str">
        <f>IFERROR(__xludf.DUMMYFUNCTION("""COMPUTED_VALUE"""),"hack")</f>
        <v>hack</v>
      </c>
      <c r="H1135" s="6" t="str">
        <f>IFERROR(__xludf.DUMMYFUNCTION("""COMPUTED_VALUE"""),"undone")</f>
        <v>undone</v>
      </c>
      <c r="I1135" s="6" t="str">
        <f>IFERROR(__xludf.DUMMYFUNCTION("""COMPUTED_VALUE"""),"shadows")</f>
        <v>shadows</v>
      </c>
      <c r="J1135" s="6" t="str">
        <f>IFERROR(__xludf.DUMMYFUNCTION("""COMPUTED_VALUE"""),"control")</f>
        <v>control</v>
      </c>
      <c r="L1135" s="6" t="str">
        <f>IFERROR(__xludf.DUMMYFUNCTION("""COMPUTED_VALUE"""),"swaying")</f>
        <v>swaying</v>
      </c>
      <c r="M1135" s="6" t="str">
        <f>IFERROR(__xludf.DUMMYFUNCTION("""COMPUTED_VALUE"""),"wounds")</f>
        <v>wounds</v>
      </c>
      <c r="N1135" s="6" t="str">
        <f>IFERROR(__xludf.DUMMYFUNCTION("""COMPUTED_VALUE"""),"empathy")</f>
        <v>empathy</v>
      </c>
      <c r="P1135" s="6" t="str">
        <f>IFERROR(__xludf.DUMMYFUNCTION("""COMPUTED_VALUE"""),"campus")</f>
        <v>campus</v>
      </c>
      <c r="Q1135" s="6" t="str">
        <f>IFERROR(__xludf.DUMMYFUNCTION("""COMPUTED_VALUE"""),"publishing")</f>
        <v>publishing</v>
      </c>
      <c r="S1135" s="6" t="str">
        <f>IFERROR(__xludf.DUMMYFUNCTION("""COMPUTED_VALUE"""),"siege")</f>
        <v>siege</v>
      </c>
    </row>
    <row r="1136">
      <c r="B1136" s="6"/>
      <c r="D1136" s="6"/>
      <c r="G1136" s="6" t="str">
        <f>IFERROR(__xludf.DUMMYFUNCTION("""COMPUTED_VALUE"""),"bitten")</f>
        <v>bitten</v>
      </c>
      <c r="H1136" s="6" t="str">
        <f>IFERROR(__xludf.DUMMYFUNCTION("""COMPUTED_VALUE"""),"inspiration")</f>
        <v>inspiration</v>
      </c>
      <c r="I1136" s="6" t="str">
        <f>IFERROR(__xludf.DUMMYFUNCTION("""COMPUTED_VALUE"""),"hitler")</f>
        <v>hitler</v>
      </c>
      <c r="J1136" s="6" t="str">
        <f>IFERROR(__xludf.DUMMYFUNCTION("""COMPUTED_VALUE"""),"willis")</f>
        <v>willis</v>
      </c>
      <c r="L1136" s="6" t="str">
        <f>IFERROR(__xludf.DUMMYFUNCTION("""COMPUTED_VALUE"""),"retains")</f>
        <v>retains</v>
      </c>
      <c r="M1136" s="6" t="str">
        <f>IFERROR(__xludf.DUMMYFUNCTION("""COMPUTED_VALUE"""),"seek")</f>
        <v>seek</v>
      </c>
      <c r="N1136" s="6" t="str">
        <f>IFERROR(__xludf.DUMMYFUNCTION("""COMPUTED_VALUE"""),"powers")</f>
        <v>powers</v>
      </c>
      <c r="P1136" s="6" t="str">
        <f>IFERROR(__xludf.DUMMYFUNCTION("""COMPUTED_VALUE"""),"blanket")</f>
        <v>blanket</v>
      </c>
      <c r="Q1136" s="6" t="str">
        <f>IFERROR(__xludf.DUMMYFUNCTION("""COMPUTED_VALUE"""),"hearst")</f>
        <v>hearst</v>
      </c>
      <c r="S1136" s="6" t="str">
        <f>IFERROR(__xludf.DUMMYFUNCTION("""COMPUTED_VALUE"""),"area")</f>
        <v>area</v>
      </c>
    </row>
    <row r="1137">
      <c r="B1137" s="6"/>
      <c r="D1137" s="6"/>
      <c r="G1137" s="6" t="str">
        <f>IFERROR(__xludf.DUMMYFUNCTION("""COMPUTED_VALUE"""),"disdain")</f>
        <v>disdain</v>
      </c>
      <c r="H1137" s="6" t="str">
        <f>IFERROR(__xludf.DUMMYFUNCTION("""COMPUTED_VALUE"""),"nicholson")</f>
        <v>nicholson</v>
      </c>
      <c r="I1137" s="6" t="str">
        <f>IFERROR(__xludf.DUMMYFUNCTION("""COMPUTED_VALUE"""),"writings")</f>
        <v>writings</v>
      </c>
      <c r="J1137" s="6" t="str">
        <f>IFERROR(__xludf.DUMMYFUNCTION("""COMPUTED_VALUE"""),"creators")</f>
        <v>creators</v>
      </c>
      <c r="L1137" s="6" t="str">
        <f>IFERROR(__xludf.DUMMYFUNCTION("""COMPUTED_VALUE"""),"tolerance")</f>
        <v>tolerance</v>
      </c>
      <c r="M1137" s="6" t="str">
        <f>IFERROR(__xludf.DUMMYFUNCTION("""COMPUTED_VALUE"""),"hide")</f>
        <v>hide</v>
      </c>
      <c r="N1137" s="6" t="str">
        <f>IFERROR(__xludf.DUMMYFUNCTION("""COMPUTED_VALUE"""),"jealousy")</f>
        <v>jealousy</v>
      </c>
      <c r="P1137" s="6" t="str">
        <f>IFERROR(__xludf.DUMMYFUNCTION("""COMPUTED_VALUE"""),"evening")</f>
        <v>evening</v>
      </c>
      <c r="Q1137" s="6" t="str">
        <f>IFERROR(__xludf.DUMMYFUNCTION("""COMPUTED_VALUE"""),"welles")</f>
        <v>welles</v>
      </c>
      <c r="S1137" s="6" t="str">
        <f>IFERROR(__xludf.DUMMYFUNCTION("""COMPUTED_VALUE"""),"imagined")</f>
        <v>imagined</v>
      </c>
    </row>
    <row r="1138">
      <c r="B1138" s="6"/>
      <c r="D1138" s="6"/>
      <c r="G1138" s="6" t="str">
        <f>IFERROR(__xludf.DUMMYFUNCTION("""COMPUTED_VALUE"""),"basketball")</f>
        <v>basketball</v>
      </c>
      <c r="H1138" s="6" t="str">
        <f>IFERROR(__xludf.DUMMYFUNCTION("""COMPUTED_VALUE"""),"awareness")</f>
        <v>awareness</v>
      </c>
      <c r="I1138" s="6" t="str">
        <f>IFERROR(__xludf.DUMMYFUNCTION("""COMPUTED_VALUE"""),"thirteen")</f>
        <v>thirteen</v>
      </c>
      <c r="J1138" s="6" t="str">
        <f>IFERROR(__xludf.DUMMYFUNCTION("""COMPUTED_VALUE"""),"slap")</f>
        <v>slap</v>
      </c>
      <c r="L1138" s="6" t="str">
        <f>IFERROR(__xludf.DUMMYFUNCTION("""COMPUTED_VALUE"""),"incorporates")</f>
        <v>incorporates</v>
      </c>
      <c r="M1138" s="6" t="str">
        <f>IFERROR(__xludf.DUMMYFUNCTION("""COMPUTED_VALUE"""),"stages")</f>
        <v>stages</v>
      </c>
      <c r="N1138" s="6" t="str">
        <f>IFERROR(__xludf.DUMMYFUNCTION("""COMPUTED_VALUE"""),"autopsy")</f>
        <v>autopsy</v>
      </c>
      <c r="P1138" s="6" t="str">
        <f>IFERROR(__xludf.DUMMYFUNCTION("""COMPUTED_VALUE"""),"awkward")</f>
        <v>awkward</v>
      </c>
      <c r="Q1138" s="6" t="str">
        <f>IFERROR(__xludf.DUMMYFUNCTION("""COMPUTED_VALUE"""),"william")</f>
        <v>william</v>
      </c>
      <c r="S1138" s="6" t="str">
        <f>IFERROR(__xludf.DUMMYFUNCTION("""COMPUTED_VALUE"""),"neil")</f>
        <v>neil</v>
      </c>
    </row>
    <row r="1139">
      <c r="B1139" s="6"/>
      <c r="D1139" s="6"/>
      <c r="G1139" s="6" t="str">
        <f>IFERROR(__xludf.DUMMYFUNCTION("""COMPUTED_VALUE"""),"inclination")</f>
        <v>inclination</v>
      </c>
      <c r="H1139" s="6" t="str">
        <f>IFERROR(__xludf.DUMMYFUNCTION("""COMPUTED_VALUE"""),"mortal")</f>
        <v>mortal</v>
      </c>
      <c r="I1139" s="6" t="str">
        <f>IFERROR(__xludf.DUMMYFUNCTION("""COMPUTED_VALUE"""),"raymond")</f>
        <v>raymond</v>
      </c>
      <c r="J1139" s="6" t="str">
        <f>IFERROR(__xludf.DUMMYFUNCTION("""COMPUTED_VALUE"""),"doomed")</f>
        <v>doomed</v>
      </c>
      <c r="L1139" s="6" t="str">
        <f>IFERROR(__xludf.DUMMYFUNCTION("""COMPUTED_VALUE"""),"unnoticed")</f>
        <v>unnoticed</v>
      </c>
      <c r="M1139" s="6" t="str">
        <f>IFERROR(__xludf.DUMMYFUNCTION("""COMPUTED_VALUE"""),"breathe")</f>
        <v>breathe</v>
      </c>
      <c r="N1139" s="6" t="str">
        <f>IFERROR(__xludf.DUMMYFUNCTION("""COMPUTED_VALUE"""),"uncertain")</f>
        <v>uncertain</v>
      </c>
      <c r="P1139" s="6" t="str">
        <f>IFERROR(__xludf.DUMMYFUNCTION("""COMPUTED_VALUE"""),"fairy")</f>
        <v>fairy</v>
      </c>
      <c r="Q1139" s="6" t="str">
        <f>IFERROR(__xludf.DUMMYFUNCTION("""COMPUTED_VALUE"""),"wicked")</f>
        <v>wicked</v>
      </c>
      <c r="S1139" s="6" t="str">
        <f>IFERROR(__xludf.DUMMYFUNCTION("""COMPUTED_VALUE"""),"christopher")</f>
        <v>christopher</v>
      </c>
    </row>
    <row r="1140">
      <c r="B1140" s="6"/>
      <c r="D1140" s="6"/>
      <c r="G1140" s="6" t="str">
        <f>IFERROR(__xludf.DUMMYFUNCTION("""COMPUTED_VALUE"""),"tract")</f>
        <v>tract</v>
      </c>
      <c r="H1140" s="6" t="str">
        <f>IFERROR(__xludf.DUMMYFUNCTION("""COMPUTED_VALUE"""),"intent")</f>
        <v>intent</v>
      </c>
      <c r="I1140" s="6" t="str">
        <f>IFERROR(__xludf.DUMMYFUNCTION("""COMPUTED_VALUE"""),"diversity")</f>
        <v>diversity</v>
      </c>
      <c r="J1140" s="6" t="str">
        <f>IFERROR(__xludf.DUMMYFUNCTION("""COMPUTED_VALUE"""),"weep")</f>
        <v>weep</v>
      </c>
      <c r="L1140" s="6" t="str">
        <f>IFERROR(__xludf.DUMMYFUNCTION("""COMPUTED_VALUE"""),"circuit")</f>
        <v>circuit</v>
      </c>
      <c r="M1140" s="6" t="str">
        <f>IFERROR(__xludf.DUMMYFUNCTION("""COMPUTED_VALUE"""),"deeply")</f>
        <v>deeply</v>
      </c>
      <c r="N1140" s="6" t="str">
        <f>IFERROR(__xludf.DUMMYFUNCTION("""COMPUTED_VALUE"""),"goose")</f>
        <v>goose</v>
      </c>
      <c r="P1140" s="6" t="str">
        <f>IFERROR(__xludf.DUMMYFUNCTION("""COMPUTED_VALUE"""),"alabama")</f>
        <v>alabama</v>
      </c>
      <c r="Q1140" s="6" t="str">
        <f>IFERROR(__xludf.DUMMYFUNCTION("""COMPUTED_VALUE"""),"hollow")</f>
        <v>hollow</v>
      </c>
      <c r="S1140" s="6" t="str">
        <f>IFERROR(__xludf.DUMMYFUNCTION("""COMPUTED_VALUE"""),"direct")</f>
        <v>direct</v>
      </c>
    </row>
    <row r="1141">
      <c r="B1141" s="6"/>
      <c r="D1141" s="6"/>
      <c r="G1141" s="6" t="str">
        <f>IFERROR(__xludf.DUMMYFUNCTION("""COMPUTED_VALUE"""),"cartoon")</f>
        <v>cartoon</v>
      </c>
      <c r="H1141" s="6" t="str">
        <f>IFERROR(__xludf.DUMMYFUNCTION("""COMPUTED_VALUE"""),"creeping")</f>
        <v>creeping</v>
      </c>
      <c r="I1141" s="6" t="str">
        <f>IFERROR(__xludf.DUMMYFUNCTION("""COMPUTED_VALUE"""),"trials")</f>
        <v>trials</v>
      </c>
      <c r="J1141" s="6" t="str">
        <f>IFERROR(__xludf.DUMMYFUNCTION("""COMPUTED_VALUE"""),"norton")</f>
        <v>norton</v>
      </c>
      <c r="L1141" s="6" t="str">
        <f>IFERROR(__xludf.DUMMYFUNCTION("""COMPUTED_VALUE"""),"enigma")</f>
        <v>enigma</v>
      </c>
      <c r="M1141" s="6" t="str">
        <f>IFERROR(__xludf.DUMMYFUNCTION("""COMPUTED_VALUE"""),"mature")</f>
        <v>mature</v>
      </c>
      <c r="N1141" s="6" t="str">
        <f>IFERROR(__xludf.DUMMYFUNCTION("""COMPUTED_VALUE"""),"effectively")</f>
        <v>effectively</v>
      </c>
      <c r="P1141" s="6" t="str">
        <f>IFERROR(__xludf.DUMMYFUNCTION("""COMPUTED_VALUE"""),"executive")</f>
        <v>executive</v>
      </c>
      <c r="Q1141" s="6" t="str">
        <f>IFERROR(__xludf.DUMMYFUNCTION("""COMPUTED_VALUE"""),"tops")</f>
        <v>tops</v>
      </c>
      <c r="S1141" s="6" t="str">
        <f>IFERROR(__xludf.DUMMYFUNCTION("""COMPUTED_VALUE"""),"scores")</f>
        <v>scores</v>
      </c>
    </row>
    <row r="1142">
      <c r="B1142" s="6"/>
      <c r="D1142" s="6"/>
      <c r="G1142" s="6" t="str">
        <f>IFERROR(__xludf.DUMMYFUNCTION("""COMPUTED_VALUE"""),"unnoticed")</f>
        <v>unnoticed</v>
      </c>
      <c r="H1142" s="6" t="str">
        <f>IFERROR(__xludf.DUMMYFUNCTION("""COMPUTED_VALUE"""),"swear")</f>
        <v>swear</v>
      </c>
      <c r="I1142" s="6" t="str">
        <f>IFERROR(__xludf.DUMMYFUNCTION("""COMPUTED_VALUE"""),"ace")</f>
        <v>ace</v>
      </c>
      <c r="J1142" s="6" t="str">
        <f>IFERROR(__xludf.DUMMYFUNCTION("""COMPUTED_VALUE"""),"illuminating")</f>
        <v>illuminating</v>
      </c>
      <c r="L1142" s="6" t="str">
        <f>IFERROR(__xludf.DUMMYFUNCTION("""COMPUTED_VALUE"""),"flickering")</f>
        <v>flickering</v>
      </c>
      <c r="M1142" s="6" t="str">
        <f>IFERROR(__xludf.DUMMYFUNCTION("""COMPUTED_VALUE"""),"presence")</f>
        <v>presence</v>
      </c>
      <c r="N1142" s="6" t="str">
        <f>IFERROR(__xludf.DUMMYFUNCTION("""COMPUTED_VALUE"""),"arbitrary")</f>
        <v>arbitrary</v>
      </c>
      <c r="P1142" s="6" t="str">
        <f>IFERROR(__xludf.DUMMYFUNCTION("""COMPUTED_VALUE"""),"producer")</f>
        <v>producer</v>
      </c>
      <c r="Q1142" s="6" t="str">
        <f>IFERROR(__xludf.DUMMYFUNCTION("""COMPUTED_VALUE"""),"burning")</f>
        <v>burning</v>
      </c>
      <c r="S1142" s="6" t="str">
        <f>IFERROR(__xludf.DUMMYFUNCTION("""COMPUTED_VALUE"""),"mercy")</f>
        <v>mercy</v>
      </c>
    </row>
    <row r="1143">
      <c r="B1143" s="6"/>
      <c r="D1143" s="6"/>
      <c r="G1143" s="6" t="str">
        <f>IFERROR(__xludf.DUMMYFUNCTION("""COMPUTED_VALUE"""),"unconventional")</f>
        <v>unconventional</v>
      </c>
      <c r="H1143" s="6" t="str">
        <f>IFERROR(__xludf.DUMMYFUNCTION("""COMPUTED_VALUE"""),"bursts")</f>
        <v>bursts</v>
      </c>
      <c r="I1143" s="6" t="str">
        <f>IFERROR(__xludf.DUMMYFUNCTION("""COMPUTED_VALUE"""),"imposed")</f>
        <v>imposed</v>
      </c>
      <c r="J1143" s="6" t="str">
        <f>IFERROR(__xludf.DUMMYFUNCTION("""COMPUTED_VALUE"""),"jonah")</f>
        <v>jonah</v>
      </c>
      <c r="L1143" s="6" t="str">
        <f>IFERROR(__xludf.DUMMYFUNCTION("""COMPUTED_VALUE"""),"superficial")</f>
        <v>superficial</v>
      </c>
      <c r="M1143" s="6" t="str">
        <f>IFERROR(__xludf.DUMMYFUNCTION("""COMPUTED_VALUE"""),"susan")</f>
        <v>susan</v>
      </c>
      <c r="N1143" s="6" t="str">
        <f>IFERROR(__xludf.DUMMYFUNCTION("""COMPUTED_VALUE"""),"ritchie")</f>
        <v>ritchie</v>
      </c>
      <c r="P1143" s="6" t="str">
        <f>IFERROR(__xludf.DUMMYFUNCTION("""COMPUTED_VALUE"""),"encourage")</f>
        <v>encourage</v>
      </c>
      <c r="Q1143" s="6" t="str">
        <f>IFERROR(__xludf.DUMMYFUNCTION("""COMPUTED_VALUE"""),"unchanged")</f>
        <v>unchanged</v>
      </c>
      <c r="S1143" s="6" t="str">
        <f>IFERROR(__xludf.DUMMYFUNCTION("""COMPUTED_VALUE"""),"imagine")</f>
        <v>imagine</v>
      </c>
    </row>
    <row r="1144">
      <c r="B1144" s="6"/>
      <c r="D1144" s="6"/>
      <c r="G1144" s="6" t="str">
        <f>IFERROR(__xludf.DUMMYFUNCTION("""COMPUTED_VALUE"""),"egypt")</f>
        <v>egypt</v>
      </c>
      <c r="H1144" s="6" t="str">
        <f>IFERROR(__xludf.DUMMYFUNCTION("""COMPUTED_VALUE"""),"distinctly")</f>
        <v>distinctly</v>
      </c>
      <c r="I1144" s="6" t="str">
        <f>IFERROR(__xludf.DUMMYFUNCTION("""COMPUTED_VALUE"""),"resources")</f>
        <v>resources</v>
      </c>
      <c r="J1144" s="6" t="str">
        <f>IFERROR(__xludf.DUMMYFUNCTION("""COMPUTED_VALUE"""),"freud")</f>
        <v>freud</v>
      </c>
      <c r="L1144" s="6" t="str">
        <f>IFERROR(__xludf.DUMMYFUNCTION("""COMPUTED_VALUE"""),"script")</f>
        <v>script</v>
      </c>
      <c r="M1144" s="6" t="str">
        <f>IFERROR(__xludf.DUMMYFUNCTION("""COMPUTED_VALUE"""),"father")</f>
        <v>father</v>
      </c>
      <c r="N1144" s="6" t="str">
        <f>IFERROR(__xludf.DUMMYFUNCTION("""COMPUTED_VALUE"""),"inevitable")</f>
        <v>inevitable</v>
      </c>
      <c r="P1144" s="6" t="str">
        <f>IFERROR(__xludf.DUMMYFUNCTION("""COMPUTED_VALUE"""),"international")</f>
        <v>international</v>
      </c>
      <c r="Q1144" s="6" t="str">
        <f>IFERROR(__xludf.DUMMYFUNCTION("""COMPUTED_VALUE"""),"portrayed")</f>
        <v>portrayed</v>
      </c>
      <c r="S1144" s="6" t="str">
        <f>IFERROR(__xludf.DUMMYFUNCTION("""COMPUTED_VALUE"""),"harm")</f>
        <v>harm</v>
      </c>
    </row>
    <row r="1145">
      <c r="B1145" s="6"/>
      <c r="D1145" s="6"/>
      <c r="G1145" s="6" t="str">
        <f>IFERROR(__xludf.DUMMYFUNCTION("""COMPUTED_VALUE"""),"racial")</f>
        <v>racial</v>
      </c>
      <c r="H1145" s="6" t="str">
        <f>IFERROR(__xludf.DUMMYFUNCTION("""COMPUTED_VALUE"""),"theories")</f>
        <v>theories</v>
      </c>
      <c r="I1145" s="6" t="str">
        <f>IFERROR(__xludf.DUMMYFUNCTION("""COMPUTED_VALUE"""),"triple")</f>
        <v>triple</v>
      </c>
      <c r="J1145" s="6" t="str">
        <f>IFERROR(__xludf.DUMMYFUNCTION("""COMPUTED_VALUE"""),"shining")</f>
        <v>shining</v>
      </c>
      <c r="L1145" s="6" t="str">
        <f>IFERROR(__xludf.DUMMYFUNCTION("""COMPUTED_VALUE"""),"glossy")</f>
        <v>glossy</v>
      </c>
      <c r="M1145" s="6" t="str">
        <f>IFERROR(__xludf.DUMMYFUNCTION("""COMPUTED_VALUE"""),"measured")</f>
        <v>measured</v>
      </c>
      <c r="N1145" s="6" t="str">
        <f>IFERROR(__xludf.DUMMYFUNCTION("""COMPUTED_VALUE"""),"substances")</f>
        <v>substances</v>
      </c>
      <c r="P1145" s="6" t="str">
        <f>IFERROR(__xludf.DUMMYFUNCTION("""COMPUTED_VALUE"""),"prime")</f>
        <v>prime</v>
      </c>
      <c r="Q1145" s="6" t="str">
        <f>IFERROR(__xludf.DUMMYFUNCTION("""COMPUTED_VALUE"""),"groundbreaking")</f>
        <v>groundbreaking</v>
      </c>
      <c r="S1145" s="6" t="str">
        <f>IFERROR(__xludf.DUMMYFUNCTION("""COMPUTED_VALUE"""),"singer")</f>
        <v>singer</v>
      </c>
    </row>
    <row r="1146">
      <c r="B1146" s="6"/>
      <c r="D1146" s="6"/>
      <c r="G1146" s="6" t="str">
        <f>IFERROR(__xludf.DUMMYFUNCTION("""COMPUTED_VALUE"""),"baggage")</f>
        <v>baggage</v>
      </c>
      <c r="H1146" s="6" t="str">
        <f>IFERROR(__xludf.DUMMYFUNCTION("""COMPUTED_VALUE"""),"ominous")</f>
        <v>ominous</v>
      </c>
      <c r="I1146" s="6" t="str">
        <f>IFERROR(__xludf.DUMMYFUNCTION("""COMPUTED_VALUE"""),"nuclear")</f>
        <v>nuclear</v>
      </c>
      <c r="J1146" s="6" t="str">
        <f>IFERROR(__xludf.DUMMYFUNCTION("""COMPUTED_VALUE"""),"static")</f>
        <v>static</v>
      </c>
      <c r="L1146" s="6" t="str">
        <f>IFERROR(__xludf.DUMMYFUNCTION("""COMPUTED_VALUE"""),"dazzling")</f>
        <v>dazzling</v>
      </c>
      <c r="M1146" s="6" t="str">
        <f>IFERROR(__xludf.DUMMYFUNCTION("""COMPUTED_VALUE"""),"values")</f>
        <v>values</v>
      </c>
      <c r="N1146" s="6" t="str">
        <f>IFERROR(__xludf.DUMMYFUNCTION("""COMPUTED_VALUE"""),"redemption")</f>
        <v>redemption</v>
      </c>
      <c r="P1146" s="6" t="str">
        <f>IFERROR(__xludf.DUMMYFUNCTION("""COMPUTED_VALUE"""),"tales")</f>
        <v>tales</v>
      </c>
      <c r="Q1146" s="6" t="str">
        <f>IFERROR(__xludf.DUMMYFUNCTION("""COMPUTED_VALUE"""),"spectacular")</f>
        <v>spectacular</v>
      </c>
      <c r="S1146" s="6" t="str">
        <f>IFERROR(__xludf.DUMMYFUNCTION("""COMPUTED_VALUE"""),"rhythm")</f>
        <v>rhythm</v>
      </c>
    </row>
    <row r="1147">
      <c r="B1147" s="6"/>
      <c r="D1147" s="6"/>
      <c r="G1147" s="6" t="str">
        <f>IFERROR(__xludf.DUMMYFUNCTION("""COMPUTED_VALUE"""),"cinderella")</f>
        <v>cinderella</v>
      </c>
      <c r="H1147" s="6" t="str">
        <f>IFERROR(__xludf.DUMMYFUNCTION("""COMPUTED_VALUE"""),"earthly")</f>
        <v>earthly</v>
      </c>
      <c r="I1147" s="6" t="str">
        <f>IFERROR(__xludf.DUMMYFUNCTION("""COMPUTED_VALUE"""),"dave")</f>
        <v>dave</v>
      </c>
      <c r="J1147" s="6" t="str">
        <f>IFERROR(__xludf.DUMMYFUNCTION("""COMPUTED_VALUE"""),"photographed")</f>
        <v>photographed</v>
      </c>
      <c r="L1147" s="6" t="str">
        <f>IFERROR(__xludf.DUMMYFUNCTION("""COMPUTED_VALUE"""),"vulgar")</f>
        <v>vulgar</v>
      </c>
      <c r="M1147" s="6" t="str">
        <f>IFERROR(__xludf.DUMMYFUNCTION("""COMPUTED_VALUE"""),"closely")</f>
        <v>closely</v>
      </c>
      <c r="N1147" s="6" t="str">
        <f>IFERROR(__xludf.DUMMYFUNCTION("""COMPUTED_VALUE"""),"intentions")</f>
        <v>intentions</v>
      </c>
      <c r="P1147" s="6" t="str">
        <f>IFERROR(__xludf.DUMMYFUNCTION("""COMPUTED_VALUE"""),"deaths")</f>
        <v>deaths</v>
      </c>
      <c r="Q1147" s="6" t="str">
        <f>IFERROR(__xludf.DUMMYFUNCTION("""COMPUTED_VALUE"""),"musicals")</f>
        <v>musicals</v>
      </c>
      <c r="S1147" s="6" t="str">
        <f>IFERROR(__xludf.DUMMYFUNCTION("""COMPUTED_VALUE"""),"treat")</f>
        <v>treat</v>
      </c>
    </row>
    <row r="1148">
      <c r="B1148" s="6"/>
      <c r="D1148" s="6"/>
      <c r="G1148" s="6" t="str">
        <f>IFERROR(__xludf.DUMMYFUNCTION("""COMPUTED_VALUE"""),"harrison")</f>
        <v>harrison</v>
      </c>
      <c r="H1148" s="6" t="str">
        <f>IFERROR(__xludf.DUMMYFUNCTION("""COMPUTED_VALUE"""),"myers")</f>
        <v>myers</v>
      </c>
      <c r="I1148" s="6" t="str">
        <f>IFERROR(__xludf.DUMMYFUNCTION("""COMPUTED_VALUE"""),"ram")</f>
        <v>ram</v>
      </c>
      <c r="J1148" s="6" t="str">
        <f>IFERROR(__xludf.DUMMYFUNCTION("""COMPUTED_VALUE"""),"mendes")</f>
        <v>mendes</v>
      </c>
      <c r="L1148" s="6" t="str">
        <f>IFERROR(__xludf.DUMMYFUNCTION("""COMPUTED_VALUE"""),"gaze")</f>
        <v>gaze</v>
      </c>
      <c r="M1148" s="6" t="str">
        <f>IFERROR(__xludf.DUMMYFUNCTION("""COMPUTED_VALUE"""),"neck")</f>
        <v>neck</v>
      </c>
      <c r="N1148" s="6" t="str">
        <f>IFERROR(__xludf.DUMMYFUNCTION("""COMPUTED_VALUE"""),"unbearable")</f>
        <v>unbearable</v>
      </c>
      <c r="P1148" s="6" t="str">
        <f>IFERROR(__xludf.DUMMYFUNCTION("""COMPUTED_VALUE"""),"form")</f>
        <v>form</v>
      </c>
      <c r="Q1148" s="6">
        <f>IFERROR(__xludf.DUMMYFUNCTION("""COMPUTED_VALUE"""),30.0)</f>
        <v>30</v>
      </c>
      <c r="S1148" s="6" t="str">
        <f>IFERROR(__xludf.DUMMYFUNCTION("""COMPUTED_VALUE"""),"within")</f>
        <v>within</v>
      </c>
    </row>
    <row r="1149">
      <c r="B1149" s="6"/>
      <c r="D1149" s="6"/>
      <c r="G1149" s="6" t="str">
        <f>IFERROR(__xludf.DUMMYFUNCTION("""COMPUTED_VALUE"""),"evolve")</f>
        <v>evolve</v>
      </c>
      <c r="H1149" s="6" t="str">
        <f>IFERROR(__xludf.DUMMYFUNCTION("""COMPUTED_VALUE"""),"counterparts")</f>
        <v>counterparts</v>
      </c>
      <c r="I1149" s="6" t="str">
        <f>IFERROR(__xludf.DUMMYFUNCTION("""COMPUTED_VALUE"""),"illustrated")</f>
        <v>illustrated</v>
      </c>
      <c r="J1149" s="6" t="str">
        <f>IFERROR(__xludf.DUMMYFUNCTION("""COMPUTED_VALUE"""),"unprecedented")</f>
        <v>unprecedented</v>
      </c>
      <c r="L1149" s="6" t="str">
        <f>IFERROR(__xludf.DUMMYFUNCTION("""COMPUTED_VALUE"""),"arc")</f>
        <v>arc</v>
      </c>
      <c r="M1149" s="6" t="str">
        <f>IFERROR(__xludf.DUMMYFUNCTION("""COMPUTED_VALUE"""),"companion")</f>
        <v>companion</v>
      </c>
      <c r="N1149" s="6" t="str">
        <f>IFERROR(__xludf.DUMMYFUNCTION("""COMPUTED_VALUE"""),"fierce")</f>
        <v>fierce</v>
      </c>
      <c r="P1149" s="6" t="str">
        <f>IFERROR(__xludf.DUMMYFUNCTION("""COMPUTED_VALUE"""),"photo")</f>
        <v>photo</v>
      </c>
      <c r="Q1149" s="6" t="str">
        <f>IFERROR(__xludf.DUMMYFUNCTION("""COMPUTED_VALUE"""),"sensual")</f>
        <v>sensual</v>
      </c>
      <c r="S1149" s="6" t="str">
        <f>IFERROR(__xludf.DUMMYFUNCTION("""COMPUTED_VALUE"""),"bitter")</f>
        <v>bitter</v>
      </c>
    </row>
    <row r="1150">
      <c r="B1150" s="6"/>
      <c r="D1150" s="6"/>
      <c r="G1150" s="6" t="str">
        <f>IFERROR(__xludf.DUMMYFUNCTION("""COMPUTED_VALUE"""),"jumps")</f>
        <v>jumps</v>
      </c>
      <c r="H1150" s="6" t="str">
        <f>IFERROR(__xludf.DUMMYFUNCTION("""COMPUTED_VALUE"""),"schizophrenia")</f>
        <v>schizophrenia</v>
      </c>
      <c r="I1150" s="6" t="str">
        <f>IFERROR(__xludf.DUMMYFUNCTION("""COMPUTED_VALUE"""),"vampires")</f>
        <v>vampires</v>
      </c>
      <c r="J1150" s="6" t="str">
        <f>IFERROR(__xludf.DUMMYFUNCTION("""COMPUTED_VALUE"""),"drawing")</f>
        <v>drawing</v>
      </c>
      <c r="L1150" s="6" t="str">
        <f>IFERROR(__xludf.DUMMYFUNCTION("""COMPUTED_VALUE"""),"affecting")</f>
        <v>affecting</v>
      </c>
      <c r="M1150" s="6" t="str">
        <f>IFERROR(__xludf.DUMMYFUNCTION("""COMPUTED_VALUE"""),"entry")</f>
        <v>entry</v>
      </c>
      <c r="N1150" s="6" t="str">
        <f>IFERROR(__xludf.DUMMYFUNCTION("""COMPUTED_VALUE"""),"dramatic")</f>
        <v>dramatic</v>
      </c>
      <c r="P1150" s="6" t="str">
        <f>IFERROR(__xludf.DUMMYFUNCTION("""COMPUTED_VALUE"""),"missed")</f>
        <v>missed</v>
      </c>
      <c r="Q1150" s="6" t="str">
        <f>IFERROR(__xludf.DUMMYFUNCTION("""COMPUTED_VALUE"""),"updated")</f>
        <v>updated</v>
      </c>
      <c r="S1150" s="6" t="str">
        <f>IFERROR(__xludf.DUMMYFUNCTION("""COMPUTED_VALUE"""),"elder")</f>
        <v>elder</v>
      </c>
    </row>
    <row r="1151">
      <c r="B1151" s="6"/>
      <c r="D1151" s="6"/>
      <c r="G1151" s="6" t="str">
        <f>IFERROR(__xludf.DUMMYFUNCTION("""COMPUTED_VALUE"""),"discontent")</f>
        <v>discontent</v>
      </c>
      <c r="H1151" s="6" t="str">
        <f>IFERROR(__xludf.DUMMYFUNCTION("""COMPUTED_VALUE"""),"captured")</f>
        <v>captured</v>
      </c>
      <c r="I1151" s="6" t="str">
        <f>IFERROR(__xludf.DUMMYFUNCTION("""COMPUTED_VALUE"""),"lyrics")</f>
        <v>lyrics</v>
      </c>
      <c r="J1151" s="6" t="str">
        <f>IFERROR(__xludf.DUMMYFUNCTION("""COMPUTED_VALUE"""),"arbitrary")</f>
        <v>arbitrary</v>
      </c>
      <c r="L1151" s="6" t="str">
        <f>IFERROR(__xludf.DUMMYFUNCTION("""COMPUTED_VALUE"""),"sexuality")</f>
        <v>sexuality</v>
      </c>
      <c r="M1151" s="6" t="str">
        <f>IFERROR(__xludf.DUMMYFUNCTION("""COMPUTED_VALUE"""),"exposure")</f>
        <v>exposure</v>
      </c>
      <c r="N1151" s="6" t="str">
        <f>IFERROR(__xludf.DUMMYFUNCTION("""COMPUTED_VALUE"""),"dimension")</f>
        <v>dimension</v>
      </c>
      <c r="P1151" s="6" t="str">
        <f>IFERROR(__xludf.DUMMYFUNCTION("""COMPUTED_VALUE"""),"refugees")</f>
        <v>refugees</v>
      </c>
      <c r="Q1151" s="6" t="str">
        <f>IFERROR(__xludf.DUMMYFUNCTION("""COMPUTED_VALUE"""),"cerebral")</f>
        <v>cerebral</v>
      </c>
      <c r="S1151" s="6" t="str">
        <f>IFERROR(__xludf.DUMMYFUNCTION("""COMPUTED_VALUE"""),"hughes")</f>
        <v>hughes</v>
      </c>
    </row>
    <row r="1152">
      <c r="B1152" s="6"/>
      <c r="D1152" s="6"/>
      <c r="G1152" s="6" t="str">
        <f>IFERROR(__xludf.DUMMYFUNCTION("""COMPUTED_VALUE"""),"deepest")</f>
        <v>deepest</v>
      </c>
      <c r="H1152" s="6" t="str">
        <f>IFERROR(__xludf.DUMMYFUNCTION("""COMPUTED_VALUE"""),"warfare")</f>
        <v>warfare</v>
      </c>
      <c r="I1152" s="6" t="str">
        <f>IFERROR(__xludf.DUMMYFUNCTION("""COMPUTED_VALUE"""),"australia")</f>
        <v>australia</v>
      </c>
      <c r="J1152" s="6" t="str">
        <f>IFERROR(__xludf.DUMMYFUNCTION("""COMPUTED_VALUE"""),"darkly")</f>
        <v>darkly</v>
      </c>
      <c r="L1152" s="6" t="str">
        <f>IFERROR(__xludf.DUMMYFUNCTION("""COMPUTED_VALUE"""),"repetitive")</f>
        <v>repetitive</v>
      </c>
      <c r="M1152" s="6" t="str">
        <f>IFERROR(__xludf.DUMMYFUNCTION("""COMPUTED_VALUE"""),"shallow")</f>
        <v>shallow</v>
      </c>
      <c r="N1152" s="6" t="str">
        <f>IFERROR(__xludf.DUMMYFUNCTION("""COMPUTED_VALUE"""),"deadly")</f>
        <v>deadly</v>
      </c>
      <c r="P1152" s="6" t="str">
        <f>IFERROR(__xludf.DUMMYFUNCTION("""COMPUTED_VALUE"""),"age")</f>
        <v>age</v>
      </c>
      <c r="Q1152" s="6" t="str">
        <f>IFERROR(__xludf.DUMMYFUNCTION("""COMPUTED_VALUE"""),"forwards")</f>
        <v>forwards</v>
      </c>
      <c r="S1152" s="6" t="str">
        <f>IFERROR(__xludf.DUMMYFUNCTION("""COMPUTED_VALUE"""),"afraid")</f>
        <v>afraid</v>
      </c>
    </row>
    <row r="1153">
      <c r="B1153" s="6"/>
      <c r="D1153" s="6"/>
      <c r="G1153" s="6" t="str">
        <f>IFERROR(__xludf.DUMMYFUNCTION("""COMPUTED_VALUE"""),"noticing")</f>
        <v>noticing</v>
      </c>
      <c r="H1153" s="6" t="str">
        <f>IFERROR(__xludf.DUMMYFUNCTION("""COMPUTED_VALUE"""),"lets")</f>
        <v>lets</v>
      </c>
      <c r="I1153" s="6" t="str">
        <f>IFERROR(__xludf.DUMMYFUNCTION("""COMPUTED_VALUE"""),"assets")</f>
        <v>assets</v>
      </c>
      <c r="J1153" s="6" t="str">
        <f>IFERROR(__xludf.DUMMYFUNCTION("""COMPUTED_VALUE"""),"accurate")</f>
        <v>accurate</v>
      </c>
      <c r="L1153" s="6" t="str">
        <f>IFERROR(__xludf.DUMMYFUNCTION("""COMPUTED_VALUE"""),"storyline")</f>
        <v>storyline</v>
      </c>
      <c r="M1153" s="6" t="str">
        <f>IFERROR(__xludf.DUMMYFUNCTION("""COMPUTED_VALUE"""),"excitement")</f>
        <v>excitement</v>
      </c>
      <c r="N1153" s="6" t="str">
        <f>IFERROR(__xludf.DUMMYFUNCTION("""COMPUTED_VALUE"""),"kang")</f>
        <v>kang</v>
      </c>
      <c r="P1153" s="6" t="str">
        <f>IFERROR(__xludf.DUMMYFUNCTION("""COMPUTED_VALUE"""),"alien")</f>
        <v>alien</v>
      </c>
      <c r="Q1153" s="6" t="str">
        <f>IFERROR(__xludf.DUMMYFUNCTION("""COMPUTED_VALUE"""),"prism")</f>
        <v>prism</v>
      </c>
      <c r="S1153" s="6" t="str">
        <f>IFERROR(__xludf.DUMMYFUNCTION("""COMPUTED_VALUE"""),"terror")</f>
        <v>terror</v>
      </c>
    </row>
    <row r="1154">
      <c r="B1154" s="6"/>
      <c r="D1154" s="6"/>
      <c r="G1154" s="6" t="str">
        <f>IFERROR(__xludf.DUMMYFUNCTION("""COMPUTED_VALUE"""),"physical")</f>
        <v>physical</v>
      </c>
      <c r="H1154" s="6" t="str">
        <f>IFERROR(__xludf.DUMMYFUNCTION("""COMPUTED_VALUE"""),"primarily")</f>
        <v>primarily</v>
      </c>
      <c r="I1154" s="6"/>
      <c r="J1154" s="6" t="str">
        <f>IFERROR(__xludf.DUMMYFUNCTION("""COMPUTED_VALUE"""),"relevance")</f>
        <v>relevance</v>
      </c>
      <c r="L1154" s="6" t="str">
        <f>IFERROR(__xludf.DUMMYFUNCTION("""COMPUTED_VALUE"""),"emotions")</f>
        <v>emotions</v>
      </c>
      <c r="M1154" s="6" t="str">
        <f>IFERROR(__xludf.DUMMYFUNCTION("""COMPUTED_VALUE"""),"kenneth")</f>
        <v>kenneth</v>
      </c>
      <c r="N1154" s="6" t="str">
        <f>IFERROR(__xludf.DUMMYFUNCTION("""COMPUTED_VALUE"""),"brave")</f>
        <v>brave</v>
      </c>
      <c r="P1154" s="6" t="str">
        <f>IFERROR(__xludf.DUMMYFUNCTION("""COMPUTED_VALUE"""),"quest")</f>
        <v>quest</v>
      </c>
      <c r="Q1154" s="6" t="str">
        <f>IFERROR(__xludf.DUMMYFUNCTION("""COMPUTED_VALUE"""),"inherently")</f>
        <v>inherently</v>
      </c>
      <c r="S1154" s="6" t="str">
        <f>IFERROR(__xludf.DUMMYFUNCTION("""COMPUTED_VALUE"""),"stop")</f>
        <v>stop</v>
      </c>
    </row>
    <row r="1155">
      <c r="B1155" s="6"/>
      <c r="D1155" s="6"/>
      <c r="G1155" s="6" t="str">
        <f>IFERROR(__xludf.DUMMYFUNCTION("""COMPUTED_VALUE"""),"evans")</f>
        <v>evans</v>
      </c>
      <c r="H1155" s="6" t="str">
        <f>IFERROR(__xludf.DUMMYFUNCTION("""COMPUTED_VALUE"""),"brendan")</f>
        <v>brendan</v>
      </c>
      <c r="I1155" s="6"/>
      <c r="J1155" s="6" t="str">
        <f>IFERROR(__xludf.DUMMYFUNCTION("""COMPUTED_VALUE"""),"derived")</f>
        <v>derived</v>
      </c>
      <c r="L1155" s="6" t="str">
        <f>IFERROR(__xludf.DUMMYFUNCTION("""COMPUTED_VALUE"""),"stud")</f>
        <v>stud</v>
      </c>
      <c r="M1155" s="6" t="str">
        <f>IFERROR(__xludf.DUMMYFUNCTION("""COMPUTED_VALUE"""),"muscles")</f>
        <v>muscles</v>
      </c>
      <c r="N1155" s="6" t="str">
        <f>IFERROR(__xludf.DUMMYFUNCTION("""COMPUTED_VALUE"""),"ambitious")</f>
        <v>ambitious</v>
      </c>
      <c r="P1155" s="6" t="str">
        <f>IFERROR(__xludf.DUMMYFUNCTION("""COMPUTED_VALUE"""),"substantial")</f>
        <v>substantial</v>
      </c>
      <c r="Q1155" s="6" t="str">
        <f>IFERROR(__xludf.DUMMYFUNCTION("""COMPUTED_VALUE"""),"innocent")</f>
        <v>innocent</v>
      </c>
      <c r="S1155" s="6" t="str">
        <f>IFERROR(__xludf.DUMMYFUNCTION("""COMPUTED_VALUE"""),"occasional")</f>
        <v>occasional</v>
      </c>
    </row>
    <row r="1156">
      <c r="B1156" s="6"/>
      <c r="D1156" s="6"/>
      <c r="G1156" s="6" t="str">
        <f>IFERROR(__xludf.DUMMYFUNCTION("""COMPUTED_VALUE"""),"collateral")</f>
        <v>collateral</v>
      </c>
      <c r="H1156" s="6" t="str">
        <f>IFERROR(__xludf.DUMMYFUNCTION("""COMPUTED_VALUE"""),"tuned")</f>
        <v>tuned</v>
      </c>
      <c r="I1156" s="6"/>
      <c r="J1156" s="6" t="str">
        <f>IFERROR(__xludf.DUMMYFUNCTION("""COMPUTED_VALUE"""),"victims")</f>
        <v>victims</v>
      </c>
      <c r="L1156" s="6" t="str">
        <f>IFERROR(__xludf.DUMMYFUNCTION("""COMPUTED_VALUE"""),"phantom")</f>
        <v>phantom</v>
      </c>
      <c r="M1156" s="6" t="str">
        <f>IFERROR(__xludf.DUMMYFUNCTION("""COMPUTED_VALUE"""),"handsome")</f>
        <v>handsome</v>
      </c>
      <c r="N1156" s="6" t="str">
        <f>IFERROR(__xludf.DUMMYFUNCTION("""COMPUTED_VALUE"""),"weaving")</f>
        <v>weaving</v>
      </c>
      <c r="P1156" s="6" t="str">
        <f>IFERROR(__xludf.DUMMYFUNCTION("""COMPUTED_VALUE"""),"varying")</f>
        <v>varying</v>
      </c>
      <c r="Q1156" s="6" t="str">
        <f>IFERROR(__xludf.DUMMYFUNCTION("""COMPUTED_VALUE"""),"betrayal")</f>
        <v>betrayal</v>
      </c>
      <c r="S1156" s="6" t="str">
        <f>IFERROR(__xludf.DUMMYFUNCTION("""COMPUTED_VALUE"""),"smiles")</f>
        <v>smiles</v>
      </c>
    </row>
    <row r="1157">
      <c r="B1157" s="6"/>
      <c r="D1157" s="6"/>
      <c r="G1157" s="6" t="str">
        <f>IFERROR(__xludf.DUMMYFUNCTION("""COMPUTED_VALUE"""),"disabilities")</f>
        <v>disabilities</v>
      </c>
      <c r="H1157" s="6" t="str">
        <f>IFERROR(__xludf.DUMMYFUNCTION("""COMPUTED_VALUE"""),"raises")</f>
        <v>raises</v>
      </c>
      <c r="I1157" s="6"/>
      <c r="J1157" s="6" t="str">
        <f>IFERROR(__xludf.DUMMYFUNCTION("""COMPUTED_VALUE"""),"proceedings")</f>
        <v>proceedings</v>
      </c>
      <c r="L1157" s="6" t="str">
        <f>IFERROR(__xludf.DUMMYFUNCTION("""COMPUTED_VALUE"""),"jaw")</f>
        <v>jaw</v>
      </c>
      <c r="M1157" s="6" t="str">
        <f>IFERROR(__xludf.DUMMYFUNCTION("""COMPUTED_VALUE"""),"hong")</f>
        <v>hong</v>
      </c>
      <c r="N1157" s="6" t="str">
        <f>IFERROR(__xludf.DUMMYFUNCTION("""COMPUTED_VALUE"""),"pianist")</f>
        <v>pianist</v>
      </c>
      <c r="P1157" s="6" t="str">
        <f>IFERROR(__xludf.DUMMYFUNCTION("""COMPUTED_VALUE"""),"carries")</f>
        <v>carries</v>
      </c>
      <c r="Q1157" s="6" t="str">
        <f>IFERROR(__xludf.DUMMYFUNCTION("""COMPUTED_VALUE"""),"panic")</f>
        <v>panic</v>
      </c>
      <c r="S1157" s="6" t="str">
        <f>IFERROR(__xludf.DUMMYFUNCTION("""COMPUTED_VALUE"""),"san")</f>
        <v>san</v>
      </c>
    </row>
    <row r="1158">
      <c r="B1158" s="6"/>
      <c r="D1158" s="6"/>
      <c r="G1158" s="6" t="str">
        <f>IFERROR(__xludf.DUMMYFUNCTION("""COMPUTED_VALUE"""),"surplus")</f>
        <v>surplus</v>
      </c>
      <c r="H1158" s="6" t="str">
        <f>IFERROR(__xludf.DUMMYFUNCTION("""COMPUTED_VALUE"""),"delivering")</f>
        <v>delivering</v>
      </c>
      <c r="I1158" s="6"/>
      <c r="J1158" s="6" t="str">
        <f>IFERROR(__xludf.DUMMYFUNCTION("""COMPUTED_VALUE"""),"solemn")</f>
        <v>solemn</v>
      </c>
      <c r="L1158" s="6" t="str">
        <f>IFERROR(__xludf.DUMMYFUNCTION("""COMPUTED_VALUE"""),"revolution")</f>
        <v>revolution</v>
      </c>
      <c r="M1158" s="6" t="str">
        <f>IFERROR(__xludf.DUMMYFUNCTION("""COMPUTED_VALUE"""),"loose")</f>
        <v>loose</v>
      </c>
      <c r="N1158" s="6" t="str">
        <f>IFERROR(__xludf.DUMMYFUNCTION("""COMPUTED_VALUE"""),"convincing")</f>
        <v>convincing</v>
      </c>
      <c r="P1158" s="6" t="str">
        <f>IFERROR(__xludf.DUMMYFUNCTION("""COMPUTED_VALUE"""),"oliver")</f>
        <v>oliver</v>
      </c>
      <c r="Q1158" s="6" t="str">
        <f>IFERROR(__xludf.DUMMYFUNCTION("""COMPUTED_VALUE"""),"glued")</f>
        <v>glued</v>
      </c>
      <c r="S1158" s="6" t="str">
        <f>IFERROR(__xludf.DUMMYFUNCTION("""COMPUTED_VALUE"""),"naval")</f>
        <v>naval</v>
      </c>
    </row>
    <row r="1159">
      <c r="B1159" s="6"/>
      <c r="D1159" s="6"/>
      <c r="G1159" s="6" t="str">
        <f>IFERROR(__xludf.DUMMYFUNCTION("""COMPUTED_VALUE"""),"grasp")</f>
        <v>grasp</v>
      </c>
      <c r="H1159" s="6" t="str">
        <f>IFERROR(__xludf.DUMMYFUNCTION("""COMPUTED_VALUE"""),"brink")</f>
        <v>brink</v>
      </c>
      <c r="I1159" s="6"/>
      <c r="J1159" s="6" t="str">
        <f>IFERROR(__xludf.DUMMYFUNCTION("""COMPUTED_VALUE"""),"soldiers")</f>
        <v>soldiers</v>
      </c>
      <c r="L1159" s="6" t="str">
        <f>IFERROR(__xludf.DUMMYFUNCTION("""COMPUTED_VALUE"""),"followers")</f>
        <v>followers</v>
      </c>
      <c r="M1159" s="6" t="str">
        <f>IFERROR(__xludf.DUMMYFUNCTION("""COMPUTED_VALUE"""),"detailed")</f>
        <v>detailed</v>
      </c>
      <c r="N1159" s="6" t="str">
        <f>IFERROR(__xludf.DUMMYFUNCTION("""COMPUTED_VALUE"""),"politically")</f>
        <v>politically</v>
      </c>
      <c r="P1159" s="6" t="str">
        <f>IFERROR(__xludf.DUMMYFUNCTION("""COMPUTED_VALUE"""),"dressed")</f>
        <v>dressed</v>
      </c>
      <c r="Q1159" s="6" t="str">
        <f>IFERROR(__xludf.DUMMYFUNCTION("""COMPUTED_VALUE"""),"manage")</f>
        <v>manage</v>
      </c>
      <c r="S1159" s="6" t="str">
        <f>IFERROR(__xludf.DUMMYFUNCTION("""COMPUTED_VALUE"""),"personnel")</f>
        <v>personnel</v>
      </c>
    </row>
    <row r="1160">
      <c r="B1160" s="6"/>
      <c r="D1160" s="6"/>
      <c r="G1160" s="6" t="str">
        <f>IFERROR(__xludf.DUMMYFUNCTION("""COMPUTED_VALUE"""),"insignificant")</f>
        <v>insignificant</v>
      </c>
      <c r="H1160" s="6" t="str">
        <f>IFERROR(__xludf.DUMMYFUNCTION("""COMPUTED_VALUE"""),"thick")</f>
        <v>thick</v>
      </c>
      <c r="I1160" s="6"/>
      <c r="J1160" s="6" t="str">
        <f>IFERROR(__xludf.DUMMYFUNCTION("""COMPUTED_VALUE"""),"lawrence")</f>
        <v>lawrence</v>
      </c>
      <c r="L1160" s="6" t="str">
        <f>IFERROR(__xludf.DUMMYFUNCTION("""COMPUTED_VALUE"""),"writer")</f>
        <v>writer</v>
      </c>
      <c r="M1160" s="6" t="str">
        <f>IFERROR(__xludf.DUMMYFUNCTION("""COMPUTED_VALUE"""),"image")</f>
        <v>image</v>
      </c>
      <c r="N1160" s="6" t="str">
        <f>IFERROR(__xludf.DUMMYFUNCTION("""COMPUTED_VALUE"""),"commentary")</f>
        <v>commentary</v>
      </c>
      <c r="P1160" s="6" t="str">
        <f>IFERROR(__xludf.DUMMYFUNCTION("""COMPUTED_VALUE"""),"ready")</f>
        <v>ready</v>
      </c>
      <c r="Q1160" s="6" t="str">
        <f>IFERROR(__xludf.DUMMYFUNCTION("""COMPUTED_VALUE"""),"pow")</f>
        <v>pow</v>
      </c>
      <c r="S1160" s="6" t="str">
        <f>IFERROR(__xludf.DUMMYFUNCTION("""COMPUTED_VALUE"""),"surely")</f>
        <v>surely</v>
      </c>
    </row>
    <row r="1161">
      <c r="B1161" s="6"/>
      <c r="D1161" s="6"/>
      <c r="G1161" s="6" t="str">
        <f>IFERROR(__xludf.DUMMYFUNCTION("""COMPUTED_VALUE"""),"higher")</f>
        <v>higher</v>
      </c>
      <c r="H1161" s="6" t="str">
        <f>IFERROR(__xludf.DUMMYFUNCTION("""COMPUTED_VALUE"""),"anguish")</f>
        <v>anguish</v>
      </c>
      <c r="I1161" s="6"/>
      <c r="J1161" s="6" t="str">
        <f>IFERROR(__xludf.DUMMYFUNCTION("""COMPUTED_VALUE"""),"textbook")</f>
        <v>textbook</v>
      </c>
      <c r="L1161" s="6" t="str">
        <f>IFERROR(__xludf.DUMMYFUNCTION("""COMPUTED_VALUE"""),"exploit")</f>
        <v>exploit</v>
      </c>
      <c r="M1161" s="6" t="str">
        <f>IFERROR(__xludf.DUMMYFUNCTION("""COMPUTED_VALUE"""),"cinema")</f>
        <v>cinema</v>
      </c>
      <c r="N1161" s="6" t="str">
        <f>IFERROR(__xludf.DUMMYFUNCTION("""COMPUTED_VALUE"""),"threatens")</f>
        <v>threatens</v>
      </c>
      <c r="P1161" s="6" t="str">
        <f>IFERROR(__xludf.DUMMYFUNCTION("""COMPUTED_VALUE"""),"exposition")</f>
        <v>exposition</v>
      </c>
      <c r="Q1161" s="6" t="str">
        <f>IFERROR(__xludf.DUMMYFUNCTION("""COMPUTED_VALUE"""),"sick")</f>
        <v>sick</v>
      </c>
      <c r="S1161" s="6" t="str">
        <f>IFERROR(__xludf.DUMMYFUNCTION("""COMPUTED_VALUE"""),"trailer")</f>
        <v>trailer</v>
      </c>
    </row>
    <row r="1162">
      <c r="B1162" s="6"/>
      <c r="D1162" s="6"/>
      <c r="G1162" s="6" t="str">
        <f>IFERROR(__xludf.DUMMYFUNCTION("""COMPUTED_VALUE"""),"tense")</f>
        <v>tense</v>
      </c>
      <c r="H1162" s="6" t="str">
        <f>IFERROR(__xludf.DUMMYFUNCTION("""COMPUTED_VALUE"""),"elusive")</f>
        <v>elusive</v>
      </c>
      <c r="I1162" s="6"/>
      <c r="J1162" s="6" t="str">
        <f>IFERROR(__xludf.DUMMYFUNCTION("""COMPUTED_VALUE"""),"tied")</f>
        <v>tied</v>
      </c>
      <c r="L1162" s="6" t="str">
        <f>IFERROR(__xludf.DUMMYFUNCTION("""COMPUTED_VALUE"""),"generosity")</f>
        <v>generosity</v>
      </c>
      <c r="M1162" s="6" t="str">
        <f>IFERROR(__xludf.DUMMYFUNCTION("""COMPUTED_VALUE"""),"director")</f>
        <v>director</v>
      </c>
      <c r="N1162" s="6" t="str">
        <f>IFERROR(__xludf.DUMMYFUNCTION("""COMPUTED_VALUE"""),"intimacy")</f>
        <v>intimacy</v>
      </c>
      <c r="P1162" s="6" t="str">
        <f>IFERROR(__xludf.DUMMYFUNCTION("""COMPUTED_VALUE"""),"directly")</f>
        <v>directly</v>
      </c>
      <c r="Q1162" s="6" t="str">
        <f>IFERROR(__xludf.DUMMYFUNCTION("""COMPUTED_VALUE"""),"odds")</f>
        <v>odds</v>
      </c>
      <c r="S1162" s="6" t="str">
        <f>IFERROR(__xludf.DUMMYFUNCTION("""COMPUTED_VALUE"""),"elaborate")</f>
        <v>elaborate</v>
      </c>
    </row>
    <row r="1163">
      <c r="B1163" s="6"/>
      <c r="D1163" s="6"/>
      <c r="G1163" s="6" t="str">
        <f>IFERROR(__xludf.DUMMYFUNCTION("""COMPUTED_VALUE"""),"trapped")</f>
        <v>trapped</v>
      </c>
      <c r="H1163" s="6" t="str">
        <f>IFERROR(__xludf.DUMMYFUNCTION("""COMPUTED_VALUE"""),"radical")</f>
        <v>radical</v>
      </c>
      <c r="I1163" s="6"/>
      <c r="J1163" s="6" t="str">
        <f>IFERROR(__xludf.DUMMYFUNCTION("""COMPUTED_VALUE"""),"operatic")</f>
        <v>operatic</v>
      </c>
      <c r="L1163" s="6" t="str">
        <f>IFERROR(__xludf.DUMMYFUNCTION("""COMPUTED_VALUE"""),"blackout")</f>
        <v>blackout</v>
      </c>
      <c r="M1163" s="6" t="str">
        <f>IFERROR(__xludf.DUMMYFUNCTION("""COMPUTED_VALUE"""),"observation")</f>
        <v>observation</v>
      </c>
      <c r="N1163" s="6" t="str">
        <f>IFERROR(__xludf.DUMMYFUNCTION("""COMPUTED_VALUE"""),"nonfiction")</f>
        <v>nonfiction</v>
      </c>
      <c r="P1163" s="6" t="str">
        <f>IFERROR(__xludf.DUMMYFUNCTION("""COMPUTED_VALUE"""),"chemistry")</f>
        <v>chemistry</v>
      </c>
      <c r="Q1163" s="6" t="str">
        <f>IFERROR(__xludf.DUMMYFUNCTION("""COMPUTED_VALUE"""),"jolly")</f>
        <v>jolly</v>
      </c>
      <c r="S1163" s="6" t="str">
        <f>IFERROR(__xludf.DUMMYFUNCTION("""COMPUTED_VALUE"""),"pit")</f>
        <v>pit</v>
      </c>
    </row>
    <row r="1164">
      <c r="B1164" s="6"/>
      <c r="D1164" s="6"/>
      <c r="G1164" s="6" t="str">
        <f>IFERROR(__xludf.DUMMYFUNCTION("""COMPUTED_VALUE"""),"explores")</f>
        <v>explores</v>
      </c>
      <c r="H1164" s="6" t="str">
        <f>IFERROR(__xludf.DUMMYFUNCTION("""COMPUTED_VALUE"""),"sterling")</f>
        <v>sterling</v>
      </c>
      <c r="I1164" s="6"/>
      <c r="J1164" s="6" t="str">
        <f>IFERROR(__xludf.DUMMYFUNCTION("""COMPUTED_VALUE"""),"limbs")</f>
        <v>limbs</v>
      </c>
      <c r="L1164" s="6" t="str">
        <f>IFERROR(__xludf.DUMMYFUNCTION("""COMPUTED_VALUE"""),"feminist")</f>
        <v>feminist</v>
      </c>
      <c r="M1164" s="6" t="str">
        <f>IFERROR(__xludf.DUMMYFUNCTION("""COMPUTED_VALUE"""),"warmth")</f>
        <v>warmth</v>
      </c>
      <c r="N1164" s="6" t="str">
        <f>IFERROR(__xludf.DUMMYFUNCTION("""COMPUTED_VALUE"""),"composed")</f>
        <v>composed</v>
      </c>
      <c r="P1164" s="6" t="str">
        <f>IFERROR(__xludf.DUMMYFUNCTION("""COMPUTED_VALUE"""),"dawn")</f>
        <v>dawn</v>
      </c>
      <c r="Q1164" s="6" t="str">
        <f>IFERROR(__xludf.DUMMYFUNCTION("""COMPUTED_VALUE"""),"broadway")</f>
        <v>broadway</v>
      </c>
      <c r="S1164" s="6" t="str">
        <f>IFERROR(__xludf.DUMMYFUNCTION("""COMPUTED_VALUE"""),"corner")</f>
        <v>corner</v>
      </c>
    </row>
    <row r="1165">
      <c r="B1165" s="6"/>
      <c r="D1165" s="6"/>
      <c r="G1165" s="6" t="str">
        <f>IFERROR(__xludf.DUMMYFUNCTION("""COMPUTED_VALUE"""),"torpedo")</f>
        <v>torpedo</v>
      </c>
      <c r="H1165" s="6" t="str">
        <f>IFERROR(__xludf.DUMMYFUNCTION("""COMPUTED_VALUE"""),"thrusts")</f>
        <v>thrusts</v>
      </c>
      <c r="I1165" s="6"/>
      <c r="J1165" s="6" t="str">
        <f>IFERROR(__xludf.DUMMYFUNCTION("""COMPUTED_VALUE"""),"suspend")</f>
        <v>suspend</v>
      </c>
      <c r="L1165" s="6" t="str">
        <f>IFERROR(__xludf.DUMMYFUNCTION("""COMPUTED_VALUE"""),"mist")</f>
        <v>mist</v>
      </c>
      <c r="M1165" s="6" t="str">
        <f>IFERROR(__xludf.DUMMYFUNCTION("""COMPUTED_VALUE"""),"internal")</f>
        <v>internal</v>
      </c>
      <c r="N1165" s="6" t="str">
        <f>IFERROR(__xludf.DUMMYFUNCTION("""COMPUTED_VALUE"""),"remarkably")</f>
        <v>remarkably</v>
      </c>
      <c r="P1165" s="6" t="str">
        <f>IFERROR(__xludf.DUMMYFUNCTION("""COMPUTED_VALUE"""),"meaning")</f>
        <v>meaning</v>
      </c>
      <c r="Q1165" s="6" t="str">
        <f>IFERROR(__xludf.DUMMYFUNCTION("""COMPUTED_VALUE"""),"occupation")</f>
        <v>occupation</v>
      </c>
      <c r="S1165" s="6" t="str">
        <f>IFERROR(__xludf.DUMMYFUNCTION("""COMPUTED_VALUE"""),"circuit")</f>
        <v>circuit</v>
      </c>
    </row>
    <row r="1166">
      <c r="B1166" s="6"/>
      <c r="D1166" s="6"/>
      <c r="G1166" s="6" t="str">
        <f>IFERROR(__xludf.DUMMYFUNCTION("""COMPUTED_VALUE"""),"distinguish")</f>
        <v>distinguish</v>
      </c>
      <c r="H1166" s="6" t="str">
        <f>IFERROR(__xludf.DUMMYFUNCTION("""COMPUTED_VALUE"""),"backbone")</f>
        <v>backbone</v>
      </c>
      <c r="I1166" s="6"/>
      <c r="J1166" s="6" t="str">
        <f>IFERROR(__xludf.DUMMYFUNCTION("""COMPUTED_VALUE"""),"disbelief")</f>
        <v>disbelief</v>
      </c>
      <c r="L1166" s="6" t="str">
        <f>IFERROR(__xludf.DUMMYFUNCTION("""COMPUTED_VALUE"""),"punching")</f>
        <v>punching</v>
      </c>
      <c r="M1166" s="6" t="str">
        <f>IFERROR(__xludf.DUMMYFUNCTION("""COMPUTED_VALUE"""),"career")</f>
        <v>career</v>
      </c>
      <c r="N1166" s="6" t="str">
        <f>IFERROR(__xludf.DUMMYFUNCTION("""COMPUTED_VALUE"""),"swaying")</f>
        <v>swaying</v>
      </c>
      <c r="P1166" s="6" t="str">
        <f>IFERROR(__xludf.DUMMYFUNCTION("""COMPUTED_VALUE"""),"patch")</f>
        <v>patch</v>
      </c>
      <c r="Q1166" s="6" t="str">
        <f>IFERROR(__xludf.DUMMYFUNCTION("""COMPUTED_VALUE"""),"cares")</f>
        <v>cares</v>
      </c>
      <c r="S1166" s="6" t="str">
        <f>IFERROR(__xludf.DUMMYFUNCTION("""COMPUTED_VALUE"""),"shop")</f>
        <v>shop</v>
      </c>
    </row>
    <row r="1167">
      <c r="B1167" s="6"/>
      <c r="D1167" s="6"/>
      <c r="G1167" s="6" t="str">
        <f>IFERROR(__xludf.DUMMYFUNCTION("""COMPUTED_VALUE"""),"exploit")</f>
        <v>exploit</v>
      </c>
      <c r="H1167" s="6">
        <f>IFERROR(__xludf.DUMMYFUNCTION("""COMPUTED_VALUE"""),1993.0)</f>
        <v>1993</v>
      </c>
      <c r="I1167" s="6"/>
      <c r="J1167" s="6" t="str">
        <f>IFERROR(__xludf.DUMMYFUNCTION("""COMPUTED_VALUE"""),"honesty")</f>
        <v>honesty</v>
      </c>
      <c r="L1167" s="6" t="str">
        <f>IFERROR(__xludf.DUMMYFUNCTION("""COMPUTED_VALUE"""),"eternal")</f>
        <v>eternal</v>
      </c>
      <c r="M1167" s="6" t="str">
        <f>IFERROR(__xludf.DUMMYFUNCTION("""COMPUTED_VALUE"""),"glory")</f>
        <v>glory</v>
      </c>
      <c r="N1167" s="6" t="str">
        <f>IFERROR(__xludf.DUMMYFUNCTION("""COMPUTED_VALUE"""),"retains")</f>
        <v>retains</v>
      </c>
      <c r="P1167" s="6" t="str">
        <f>IFERROR(__xludf.DUMMYFUNCTION("""COMPUTED_VALUE"""),"bruce")</f>
        <v>bruce</v>
      </c>
      <c r="Q1167" s="6" t="str">
        <f>IFERROR(__xludf.DUMMYFUNCTION("""COMPUTED_VALUE"""),"spirited")</f>
        <v>spirited</v>
      </c>
      <c r="S1167" s="6" t="str">
        <f>IFERROR(__xludf.DUMMYFUNCTION("""COMPUTED_VALUE"""),"allowing")</f>
        <v>allowing</v>
      </c>
    </row>
    <row r="1168">
      <c r="B1168" s="6"/>
      <c r="D1168" s="6"/>
      <c r="G1168" s="6" t="str">
        <f>IFERROR(__xludf.DUMMYFUNCTION("""COMPUTED_VALUE"""),"iran")</f>
        <v>iran</v>
      </c>
      <c r="H1168" s="6" t="str">
        <f>IFERROR(__xludf.DUMMYFUNCTION("""COMPUTED_VALUE"""),"courageous")</f>
        <v>courageous</v>
      </c>
      <c r="I1168" s="6"/>
      <c r="J1168" s="6" t="str">
        <f>IFERROR(__xludf.DUMMYFUNCTION("""COMPUTED_VALUE"""),"traditions")</f>
        <v>traditions</v>
      </c>
      <c r="L1168" s="6" t="str">
        <f>IFERROR(__xludf.DUMMYFUNCTION("""COMPUTED_VALUE"""),"grasp")</f>
        <v>grasp</v>
      </c>
      <c r="M1168" s="6" t="str">
        <f>IFERROR(__xludf.DUMMYFUNCTION("""COMPUTED_VALUE"""),"song")</f>
        <v>song</v>
      </c>
      <c r="N1168" s="6" t="str">
        <f>IFERROR(__xludf.DUMMYFUNCTION("""COMPUTED_VALUE"""),"tolerance")</f>
        <v>tolerance</v>
      </c>
      <c r="P1168" s="6" t="str">
        <f>IFERROR(__xludf.DUMMYFUNCTION("""COMPUTED_VALUE"""),"win")</f>
        <v>win</v>
      </c>
      <c r="Q1168" s="6" t="str">
        <f>IFERROR(__xludf.DUMMYFUNCTION("""COMPUTED_VALUE"""),"awakening")</f>
        <v>awakening</v>
      </c>
      <c r="S1168" s="6" t="str">
        <f>IFERROR(__xludf.DUMMYFUNCTION("""COMPUTED_VALUE"""),"interaction")</f>
        <v>interaction</v>
      </c>
    </row>
    <row r="1169">
      <c r="B1169" s="6"/>
      <c r="D1169" s="6"/>
      <c r="G1169" s="6" t="str">
        <f>IFERROR(__xludf.DUMMYFUNCTION("""COMPUTED_VALUE"""),"facades")</f>
        <v>facades</v>
      </c>
      <c r="H1169" s="6" t="str">
        <f>IFERROR(__xludf.DUMMYFUNCTION("""COMPUTED_VALUE"""),"allegiance")</f>
        <v>allegiance</v>
      </c>
      <c r="I1169" s="6"/>
      <c r="J1169" s="6" t="str">
        <f>IFERROR(__xludf.DUMMYFUNCTION("""COMPUTED_VALUE"""),"pbs")</f>
        <v>pbs</v>
      </c>
      <c r="L1169" s="6" t="str">
        <f>IFERROR(__xludf.DUMMYFUNCTION("""COMPUTED_VALUE"""),"smack")</f>
        <v>smack</v>
      </c>
      <c r="M1169" s="6" t="str">
        <f>IFERROR(__xludf.DUMMYFUNCTION("""COMPUTED_VALUE"""),"subject")</f>
        <v>subject</v>
      </c>
      <c r="N1169" s="6" t="str">
        <f>IFERROR(__xludf.DUMMYFUNCTION("""COMPUTED_VALUE"""),"incorporates")</f>
        <v>incorporates</v>
      </c>
      <c r="P1169" s="6" t="str">
        <f>IFERROR(__xludf.DUMMYFUNCTION("""COMPUTED_VALUE"""),"wrestling")</f>
        <v>wrestling</v>
      </c>
      <c r="Q1169" s="6" t="str">
        <f>IFERROR(__xludf.DUMMYFUNCTION("""COMPUTED_VALUE"""),"fathers")</f>
        <v>fathers</v>
      </c>
      <c r="S1169" s="6" t="str">
        <f>IFERROR(__xludf.DUMMYFUNCTION("""COMPUTED_VALUE"""),"phone")</f>
        <v>phone</v>
      </c>
    </row>
    <row r="1170">
      <c r="B1170" s="6"/>
      <c r="D1170" s="6"/>
      <c r="G1170" s="6" t="str">
        <f>IFERROR(__xludf.DUMMYFUNCTION("""COMPUTED_VALUE"""),"expects")</f>
        <v>expects</v>
      </c>
      <c r="H1170" s="6" t="str">
        <f>IFERROR(__xludf.DUMMYFUNCTION("""COMPUTED_VALUE"""),"pony")</f>
        <v>pony</v>
      </c>
      <c r="I1170" s="6"/>
      <c r="J1170" s="6" t="str">
        <f>IFERROR(__xludf.DUMMYFUNCTION("""COMPUTED_VALUE"""),"contradictory")</f>
        <v>contradictory</v>
      </c>
      <c r="L1170" s="6" t="str">
        <f>IFERROR(__xludf.DUMMYFUNCTION("""COMPUTED_VALUE"""),"permits")</f>
        <v>permits</v>
      </c>
      <c r="M1170" s="6" t="str">
        <f>IFERROR(__xludf.DUMMYFUNCTION("""COMPUTED_VALUE"""),"benefit")</f>
        <v>benefit</v>
      </c>
      <c r="N1170" s="6" t="str">
        <f>IFERROR(__xludf.DUMMYFUNCTION("""COMPUTED_VALUE"""),"unnoticed")</f>
        <v>unnoticed</v>
      </c>
      <c r="P1170" s="6" t="str">
        <f>IFERROR(__xludf.DUMMYFUNCTION("""COMPUTED_VALUE"""),"edward")</f>
        <v>edward</v>
      </c>
      <c r="Q1170" s="6" t="str">
        <f>IFERROR(__xludf.DUMMYFUNCTION("""COMPUTED_VALUE"""),"survivors")</f>
        <v>survivors</v>
      </c>
      <c r="S1170" s="6" t="str">
        <f>IFERROR(__xludf.DUMMYFUNCTION("""COMPUTED_VALUE"""),"card")</f>
        <v>card</v>
      </c>
    </row>
    <row r="1171">
      <c r="B1171" s="6"/>
      <c r="D1171" s="6"/>
      <c r="G1171" s="6" t="str">
        <f>IFERROR(__xludf.DUMMYFUNCTION("""COMPUTED_VALUE"""),"myth")</f>
        <v>myth</v>
      </c>
      <c r="H1171" s="6" t="str">
        <f>IFERROR(__xludf.DUMMYFUNCTION("""COMPUTED_VALUE"""),"backlash")</f>
        <v>backlash</v>
      </c>
      <c r="I1171" s="6"/>
      <c r="J1171" s="6" t="str">
        <f>IFERROR(__xludf.DUMMYFUNCTION("""COMPUTED_VALUE"""),"effortlessly")</f>
        <v>effortlessly</v>
      </c>
      <c r="L1171" s="6" t="str">
        <f>IFERROR(__xludf.DUMMYFUNCTION("""COMPUTED_VALUE"""),"dubious")</f>
        <v>dubious</v>
      </c>
      <c r="M1171" s="6" t="str">
        <f>IFERROR(__xludf.DUMMYFUNCTION("""COMPUTED_VALUE"""),"studied")</f>
        <v>studied</v>
      </c>
      <c r="N1171" s="6" t="str">
        <f>IFERROR(__xludf.DUMMYFUNCTION("""COMPUTED_VALUE"""),"circuit")</f>
        <v>circuit</v>
      </c>
      <c r="P1171" s="6" t="str">
        <f>IFERROR(__xludf.DUMMYFUNCTION("""COMPUTED_VALUE"""),"numbers")</f>
        <v>numbers</v>
      </c>
      <c r="Q1171" s="6" t="str">
        <f>IFERROR(__xludf.DUMMYFUNCTION("""COMPUTED_VALUE"""),"wear")</f>
        <v>wear</v>
      </c>
      <c r="S1171" s="6" t="str">
        <f>IFERROR(__xludf.DUMMYFUNCTION("""COMPUTED_VALUE"""),"younger")</f>
        <v>younger</v>
      </c>
    </row>
    <row r="1172">
      <c r="B1172" s="6"/>
      <c r="D1172" s="6"/>
      <c r="G1172" s="6" t="str">
        <f>IFERROR(__xludf.DUMMYFUNCTION("""COMPUTED_VALUE"""),"sprung")</f>
        <v>sprung</v>
      </c>
      <c r="H1172" s="6" t="str">
        <f>IFERROR(__xludf.DUMMYFUNCTION("""COMPUTED_VALUE"""),"prominently")</f>
        <v>prominently</v>
      </c>
      <c r="I1172" s="6"/>
      <c r="J1172" s="6" t="str">
        <f>IFERROR(__xludf.DUMMYFUNCTION("""COMPUTED_VALUE"""),"sparks")</f>
        <v>sparks</v>
      </c>
      <c r="L1172" s="6" t="str">
        <f>IFERROR(__xludf.DUMMYFUNCTION("""COMPUTED_VALUE"""),"dreamed")</f>
        <v>dreamed</v>
      </c>
      <c r="M1172" s="6" t="str">
        <f>IFERROR(__xludf.DUMMYFUNCTION("""COMPUTED_VALUE"""),"suggesting")</f>
        <v>suggesting</v>
      </c>
      <c r="N1172" s="6" t="str">
        <f>IFERROR(__xludf.DUMMYFUNCTION("""COMPUTED_VALUE"""),"enigma")</f>
        <v>enigma</v>
      </c>
      <c r="P1172" s="6" t="str">
        <f>IFERROR(__xludf.DUMMYFUNCTION("""COMPUTED_VALUE"""),"nation")</f>
        <v>nation</v>
      </c>
      <c r="Q1172" s="6" t="str">
        <f>IFERROR(__xludf.DUMMYFUNCTION("""COMPUTED_VALUE"""),"erotic")</f>
        <v>erotic</v>
      </c>
      <c r="S1172" s="6" t="str">
        <f>IFERROR(__xludf.DUMMYFUNCTION("""COMPUTED_VALUE"""),"sports")</f>
        <v>sports</v>
      </c>
    </row>
    <row r="1173">
      <c r="B1173" s="6"/>
      <c r="D1173" s="6"/>
      <c r="G1173" s="6" t="str">
        <f>IFERROR(__xludf.DUMMYFUNCTION("""COMPUTED_VALUE"""),"humidity")</f>
        <v>humidity</v>
      </c>
      <c r="H1173" s="6" t="str">
        <f>IFERROR(__xludf.DUMMYFUNCTION("""COMPUTED_VALUE"""),"exceeds")</f>
        <v>exceeds</v>
      </c>
      <c r="I1173" s="6"/>
      <c r="J1173" s="6" t="str">
        <f>IFERROR(__xludf.DUMMYFUNCTION("""COMPUTED_VALUE"""),"cumulative")</f>
        <v>cumulative</v>
      </c>
      <c r="L1173" s="6" t="str">
        <f>IFERROR(__xludf.DUMMYFUNCTION("""COMPUTED_VALUE"""),"generations")</f>
        <v>generations</v>
      </c>
      <c r="M1173" s="6" t="str">
        <f>IFERROR(__xludf.DUMMYFUNCTION("""COMPUTED_VALUE"""),"curious")</f>
        <v>curious</v>
      </c>
      <c r="N1173" s="6" t="str">
        <f>IFERROR(__xludf.DUMMYFUNCTION("""COMPUTED_VALUE"""),"flickering")</f>
        <v>flickering</v>
      </c>
      <c r="P1173" s="6" t="str">
        <f>IFERROR(__xludf.DUMMYFUNCTION("""COMPUTED_VALUE"""),"scream")</f>
        <v>scream</v>
      </c>
      <c r="Q1173" s="6" t="str">
        <f>IFERROR(__xludf.DUMMYFUNCTION("""COMPUTED_VALUE"""),"uncanny")</f>
        <v>uncanny</v>
      </c>
      <c r="S1173" s="6" t="str">
        <f>IFERROR(__xludf.DUMMYFUNCTION("""COMPUTED_VALUE"""),"quietly")</f>
        <v>quietly</v>
      </c>
    </row>
    <row r="1174">
      <c r="B1174" s="6"/>
      <c r="D1174" s="6"/>
      <c r="G1174" s="6" t="str">
        <f>IFERROR(__xludf.DUMMYFUNCTION("""COMPUTED_VALUE"""),"expressions")</f>
        <v>expressions</v>
      </c>
      <c r="H1174" s="6" t="str">
        <f>IFERROR(__xludf.DUMMYFUNCTION("""COMPUTED_VALUE"""),"immersed")</f>
        <v>immersed</v>
      </c>
      <c r="I1174" s="6"/>
      <c r="J1174" s="6" t="str">
        <f>IFERROR(__xludf.DUMMYFUNCTION("""COMPUTED_VALUE"""),"visionary")</f>
        <v>visionary</v>
      </c>
      <c r="L1174" s="6" t="str">
        <f>IFERROR(__xludf.DUMMYFUNCTION("""COMPUTED_VALUE"""),"shudder")</f>
        <v>shudder</v>
      </c>
      <c r="M1174" s="6" t="str">
        <f>IFERROR(__xludf.DUMMYFUNCTION("""COMPUTED_VALUE"""),"lewis")</f>
        <v>lewis</v>
      </c>
      <c r="N1174" s="6" t="str">
        <f>IFERROR(__xludf.DUMMYFUNCTION("""COMPUTED_VALUE"""),"superficial")</f>
        <v>superficial</v>
      </c>
      <c r="P1174" s="6" t="str">
        <f>IFERROR(__xludf.DUMMYFUNCTION("""COMPUTED_VALUE"""),"considering")</f>
        <v>considering</v>
      </c>
      <c r="Q1174" s="6" t="str">
        <f>IFERROR(__xludf.DUMMYFUNCTION("""COMPUTED_VALUE"""),"cultivation")</f>
        <v>cultivation</v>
      </c>
      <c r="S1174" s="6" t="str">
        <f>IFERROR(__xludf.DUMMYFUNCTION("""COMPUTED_VALUE"""),"savage")</f>
        <v>savage</v>
      </c>
    </row>
    <row r="1175">
      <c r="B1175" s="6"/>
      <c r="D1175" s="6"/>
      <c r="G1175" s="6" t="str">
        <f>IFERROR(__xludf.DUMMYFUNCTION("""COMPUTED_VALUE"""),"appearing")</f>
        <v>appearing</v>
      </c>
      <c r="H1175" s="6" t="str">
        <f>IFERROR(__xludf.DUMMYFUNCTION("""COMPUTED_VALUE"""),"imagery")</f>
        <v>imagery</v>
      </c>
      <c r="I1175" s="6"/>
      <c r="J1175" s="6" t="str">
        <f>IFERROR(__xludf.DUMMYFUNCTION("""COMPUTED_VALUE"""),"ferrara")</f>
        <v>ferrara</v>
      </c>
      <c r="L1175" s="6" t="str">
        <f>IFERROR(__xludf.DUMMYFUNCTION("""COMPUTED_VALUE"""),"exaggerated")</f>
        <v>exaggerated</v>
      </c>
      <c r="M1175" s="6" t="str">
        <f>IFERROR(__xludf.DUMMYFUNCTION("""COMPUTED_VALUE"""),"carved")</f>
        <v>carved</v>
      </c>
      <c r="N1175" s="6" t="str">
        <f>IFERROR(__xludf.DUMMYFUNCTION("""COMPUTED_VALUE"""),"script")</f>
        <v>script</v>
      </c>
      <c r="P1175" s="6" t="str">
        <f>IFERROR(__xludf.DUMMYFUNCTION("""COMPUTED_VALUE"""),"pronounced")</f>
        <v>pronounced</v>
      </c>
      <c r="Q1175" s="6" t="str">
        <f>IFERROR(__xludf.DUMMYFUNCTION("""COMPUTED_VALUE"""),"access")</f>
        <v>access</v>
      </c>
      <c r="S1175" s="6" t="str">
        <f>IFERROR(__xludf.DUMMYFUNCTION("""COMPUTED_VALUE"""),"dimension")</f>
        <v>dimension</v>
      </c>
    </row>
    <row r="1176">
      <c r="B1176" s="6"/>
      <c r="D1176" s="6"/>
      <c r="G1176" s="6" t="str">
        <f>IFERROR(__xludf.DUMMYFUNCTION("""COMPUTED_VALUE"""),"award")</f>
        <v>award</v>
      </c>
      <c r="H1176" s="6" t="str">
        <f>IFERROR(__xludf.DUMMYFUNCTION("""COMPUTED_VALUE"""),"vaguely")</f>
        <v>vaguely</v>
      </c>
      <c r="I1176" s="6"/>
      <c r="J1176" s="6" t="str">
        <f>IFERROR(__xludf.DUMMYFUNCTION("""COMPUTED_VALUE"""),"abel")</f>
        <v>abel</v>
      </c>
      <c r="L1176" s="6" t="str">
        <f>IFERROR(__xludf.DUMMYFUNCTION("""COMPUTED_VALUE"""),"conspicuous")</f>
        <v>conspicuous</v>
      </c>
      <c r="M1176" s="6" t="str">
        <f>IFERROR(__xludf.DUMMYFUNCTION("""COMPUTED_VALUE"""),"observations")</f>
        <v>observations</v>
      </c>
      <c r="N1176" s="6" t="str">
        <f>IFERROR(__xludf.DUMMYFUNCTION("""COMPUTED_VALUE"""),"glossy")</f>
        <v>glossy</v>
      </c>
      <c r="P1176" s="6" t="str">
        <f>IFERROR(__xludf.DUMMYFUNCTION("""COMPUTED_VALUE"""),"measure")</f>
        <v>measure</v>
      </c>
      <c r="Q1176" s="6" t="str">
        <f>IFERROR(__xludf.DUMMYFUNCTION("""COMPUTED_VALUE"""),"godfrey")</f>
        <v>godfrey</v>
      </c>
      <c r="S1176" s="6" t="str">
        <f>IFERROR(__xludf.DUMMYFUNCTION("""COMPUTED_VALUE"""),"graphic")</f>
        <v>graphic</v>
      </c>
    </row>
    <row r="1177">
      <c r="B1177" s="6"/>
      <c r="D1177" s="6"/>
      <c r="G1177" s="6" t="str">
        <f>IFERROR(__xludf.DUMMYFUNCTION("""COMPUTED_VALUE"""),"televised")</f>
        <v>televised</v>
      </c>
      <c r="H1177" s="6" t="str">
        <f>IFERROR(__xludf.DUMMYFUNCTION("""COMPUTED_VALUE"""),"intersect")</f>
        <v>intersect</v>
      </c>
      <c r="I1177" s="6"/>
      <c r="J1177" s="6" t="str">
        <f>IFERROR(__xludf.DUMMYFUNCTION("""COMPUTED_VALUE"""),"reliance")</f>
        <v>reliance</v>
      </c>
      <c r="L1177" s="6" t="str">
        <f>IFERROR(__xludf.DUMMYFUNCTION("""COMPUTED_VALUE"""),"reconstruction")</f>
        <v>reconstruction</v>
      </c>
      <c r="M1177" s="6" t="str">
        <f>IFERROR(__xludf.DUMMYFUNCTION("""COMPUTED_VALUE"""),"pages")</f>
        <v>pages</v>
      </c>
      <c r="N1177" s="6" t="str">
        <f>IFERROR(__xludf.DUMMYFUNCTION("""COMPUTED_VALUE"""),"dazzling")</f>
        <v>dazzling</v>
      </c>
      <c r="P1177" s="6" t="str">
        <f>IFERROR(__xludf.DUMMYFUNCTION("""COMPUTED_VALUE"""),"shining")</f>
        <v>shining</v>
      </c>
      <c r="Q1177" s="6" t="str">
        <f>IFERROR(__xludf.DUMMYFUNCTION("""COMPUTED_VALUE"""),"slim")</f>
        <v>slim</v>
      </c>
      <c r="S1177" s="6" t="str">
        <f>IFERROR(__xludf.DUMMYFUNCTION("""COMPUTED_VALUE"""),"hell")</f>
        <v>hell</v>
      </c>
    </row>
    <row r="1178">
      <c r="B1178" s="6"/>
      <c r="D1178" s="6"/>
      <c r="G1178" s="6" t="str">
        <f>IFERROR(__xludf.DUMMYFUNCTION("""COMPUTED_VALUE"""),"chord")</f>
        <v>chord</v>
      </c>
      <c r="H1178" s="6" t="str">
        <f>IFERROR(__xludf.DUMMYFUNCTION("""COMPUTED_VALUE"""),"shimmering")</f>
        <v>shimmering</v>
      </c>
      <c r="I1178" s="6"/>
      <c r="J1178" s="6" t="str">
        <f>IFERROR(__xludf.DUMMYFUNCTION("""COMPUTED_VALUE"""),"weighted")</f>
        <v>weighted</v>
      </c>
      <c r="L1178" s="6" t="str">
        <f>IFERROR(__xludf.DUMMYFUNCTION("""COMPUTED_VALUE"""),"rumor")</f>
        <v>rumor</v>
      </c>
      <c r="M1178" s="6" t="str">
        <f>IFERROR(__xludf.DUMMYFUNCTION("""COMPUTED_VALUE"""),"television")</f>
        <v>television</v>
      </c>
      <c r="N1178" s="6" t="str">
        <f>IFERROR(__xludf.DUMMYFUNCTION("""COMPUTED_VALUE"""),"gall")</f>
        <v>gall</v>
      </c>
      <c r="P1178" s="6" t="str">
        <f>IFERROR(__xludf.DUMMYFUNCTION("""COMPUTED_VALUE"""),"likes")</f>
        <v>likes</v>
      </c>
      <c r="Q1178" s="6" t="str">
        <f>IFERROR(__xludf.DUMMYFUNCTION("""COMPUTED_VALUE"""),"rode")</f>
        <v>rode</v>
      </c>
      <c r="S1178" s="6" t="str">
        <f>IFERROR(__xludf.DUMMYFUNCTION("""COMPUTED_VALUE"""),"handling")</f>
        <v>handling</v>
      </c>
    </row>
    <row r="1179">
      <c r="B1179" s="6"/>
      <c r="D1179" s="6"/>
      <c r="G1179" s="6" t="str">
        <f>IFERROR(__xludf.DUMMYFUNCTION("""COMPUTED_VALUE"""),"morals")</f>
        <v>morals</v>
      </c>
      <c r="H1179" s="6" t="str">
        <f>IFERROR(__xludf.DUMMYFUNCTION("""COMPUTED_VALUE"""),"pitted")</f>
        <v>pitted</v>
      </c>
      <c r="I1179" s="6"/>
      <c r="J1179" s="6" t="str">
        <f>IFERROR(__xludf.DUMMYFUNCTION("""COMPUTED_VALUE"""),"toilet")</f>
        <v>toilet</v>
      </c>
      <c r="L1179" s="6" t="str">
        <f>IFERROR(__xludf.DUMMYFUNCTION("""COMPUTED_VALUE"""),"extant")</f>
        <v>extant</v>
      </c>
      <c r="M1179" s="6" t="str">
        <f>IFERROR(__xludf.DUMMYFUNCTION("""COMPUTED_VALUE"""),"pitched")</f>
        <v>pitched</v>
      </c>
      <c r="N1179" s="6" t="str">
        <f>IFERROR(__xludf.DUMMYFUNCTION("""COMPUTED_VALUE"""),"vulgar")</f>
        <v>vulgar</v>
      </c>
      <c r="P1179" s="6" t="str">
        <f>IFERROR(__xludf.DUMMYFUNCTION("""COMPUTED_VALUE"""),"drawing")</f>
        <v>drawing</v>
      </c>
      <c r="Q1179" s="6" t="str">
        <f>IFERROR(__xludf.DUMMYFUNCTION("""COMPUTED_VALUE"""),"zipper")</f>
        <v>zipper</v>
      </c>
      <c r="S1179" s="6" t="str">
        <f>IFERROR(__xludf.DUMMYFUNCTION("""COMPUTED_VALUE"""),"garcia")</f>
        <v>garcia</v>
      </c>
    </row>
    <row r="1180">
      <c r="B1180" s="6"/>
      <c r="D1180" s="6"/>
      <c r="G1180" s="6" t="str">
        <f>IFERROR(__xludf.DUMMYFUNCTION("""COMPUTED_VALUE"""),"slender")</f>
        <v>slender</v>
      </c>
      <c r="H1180" s="6" t="str">
        <f>IFERROR(__xludf.DUMMYFUNCTION("""COMPUTED_VALUE"""),"painting")</f>
        <v>painting</v>
      </c>
      <c r="I1180" s="6"/>
      <c r="J1180" s="6" t="str">
        <f>IFERROR(__xludf.DUMMYFUNCTION("""COMPUTED_VALUE"""),"equation")</f>
        <v>equation</v>
      </c>
      <c r="L1180" s="6" t="str">
        <f>IFERROR(__xludf.DUMMYFUNCTION("""COMPUTED_VALUE"""),"manipulation")</f>
        <v>manipulation</v>
      </c>
      <c r="M1180" s="6" t="str">
        <f>IFERROR(__xludf.DUMMYFUNCTION("""COMPUTED_VALUE"""),"evans")</f>
        <v>evans</v>
      </c>
      <c r="N1180" s="6" t="str">
        <f>IFERROR(__xludf.DUMMYFUNCTION("""COMPUTED_VALUE"""),"gaze")</f>
        <v>gaze</v>
      </c>
      <c r="P1180" s="6" t="str">
        <f>IFERROR(__xludf.DUMMYFUNCTION("""COMPUTED_VALUE"""),"mistake")</f>
        <v>mistake</v>
      </c>
      <c r="Q1180" s="6" t="str">
        <f>IFERROR(__xludf.DUMMYFUNCTION("""COMPUTED_VALUE"""),"journalism")</f>
        <v>journalism</v>
      </c>
      <c r="S1180" s="6" t="str">
        <f>IFERROR(__xludf.DUMMYFUNCTION("""COMPUTED_VALUE"""),"fees")</f>
        <v>fees</v>
      </c>
    </row>
    <row r="1181">
      <c r="B1181" s="6"/>
      <c r="D1181" s="6"/>
      <c r="G1181" s="6" t="str">
        <f>IFERROR(__xludf.DUMMYFUNCTION("""COMPUTED_VALUE"""),"masculine")</f>
        <v>masculine</v>
      </c>
      <c r="H1181" s="6" t="str">
        <f>IFERROR(__xludf.DUMMYFUNCTION("""COMPUTED_VALUE"""),"shocks")</f>
        <v>shocks</v>
      </c>
      <c r="I1181" s="6"/>
      <c r="J1181" s="6" t="str">
        <f>IFERROR(__xludf.DUMMYFUNCTION("""COMPUTED_VALUE"""),"molina")</f>
        <v>molina</v>
      </c>
      <c r="L1181" s="6" t="str">
        <f>IFERROR(__xludf.DUMMYFUNCTION("""COMPUTED_VALUE"""),"premise")</f>
        <v>premise</v>
      </c>
      <c r="M1181" s="6" t="str">
        <f>IFERROR(__xludf.DUMMYFUNCTION("""COMPUTED_VALUE"""),"lifetime")</f>
        <v>lifetime</v>
      </c>
      <c r="N1181" s="6" t="str">
        <f>IFERROR(__xludf.DUMMYFUNCTION("""COMPUTED_VALUE"""),"affecting")</f>
        <v>affecting</v>
      </c>
      <c r="P1181" s="6" t="str">
        <f>IFERROR(__xludf.DUMMYFUNCTION("""COMPUTED_VALUE"""),"assignment")</f>
        <v>assignment</v>
      </c>
      <c r="Q1181" s="6" t="str">
        <f>IFERROR(__xludf.DUMMYFUNCTION("""COMPUTED_VALUE"""),"nonsense")</f>
        <v>nonsense</v>
      </c>
      <c r="S1181" s="6" t="str">
        <f>IFERROR(__xludf.DUMMYFUNCTION("""COMPUTED_VALUE"""),"burn")</f>
        <v>burn</v>
      </c>
    </row>
    <row r="1182">
      <c r="B1182" s="6"/>
      <c r="D1182" s="6"/>
      <c r="G1182" s="6" t="str">
        <f>IFERROR(__xludf.DUMMYFUNCTION("""COMPUTED_VALUE"""),"adaptations")</f>
        <v>adaptations</v>
      </c>
      <c r="H1182" s="6" t="str">
        <f>IFERROR(__xludf.DUMMYFUNCTION("""COMPUTED_VALUE"""),"adolescent")</f>
        <v>adolescent</v>
      </c>
      <c r="I1182" s="6"/>
      <c r="J1182" s="6" t="str">
        <f>IFERROR(__xludf.DUMMYFUNCTION("""COMPUTED_VALUE"""),"arresting")</f>
        <v>arresting</v>
      </c>
      <c r="L1182" s="6" t="str">
        <f>IFERROR(__xludf.DUMMYFUNCTION("""COMPUTED_VALUE"""),"gaining")</f>
        <v>gaining</v>
      </c>
      <c r="M1182" s="6" t="str">
        <f>IFERROR(__xludf.DUMMYFUNCTION("""COMPUTED_VALUE"""),"remote")</f>
        <v>remote</v>
      </c>
      <c r="N1182" s="6" t="str">
        <f>IFERROR(__xludf.DUMMYFUNCTION("""COMPUTED_VALUE"""),"sexuality")</f>
        <v>sexuality</v>
      </c>
      <c r="P1182" s="6" t="str">
        <f>IFERROR(__xludf.DUMMYFUNCTION("""COMPUTED_VALUE"""),"enters")</f>
        <v>enters</v>
      </c>
      <c r="Q1182" s="6" t="str">
        <f>IFERROR(__xludf.DUMMYFUNCTION("""COMPUTED_VALUE"""),"snaps")</f>
        <v>snaps</v>
      </c>
      <c r="S1182" s="6" t="str">
        <f>IFERROR(__xludf.DUMMYFUNCTION("""COMPUTED_VALUE"""),"copy")</f>
        <v>copy</v>
      </c>
    </row>
    <row r="1183">
      <c r="B1183" s="6"/>
      <c r="D1183" s="6"/>
      <c r="G1183" s="6" t="str">
        <f>IFERROR(__xludf.DUMMYFUNCTION("""COMPUTED_VALUE"""),"foolish")</f>
        <v>foolish</v>
      </c>
      <c r="H1183" s="6" t="str">
        <f>IFERROR(__xludf.DUMMYFUNCTION("""COMPUTED_VALUE"""),"marine")</f>
        <v>marine</v>
      </c>
      <c r="I1183" s="6"/>
      <c r="J1183" s="6" t="str">
        <f>IFERROR(__xludf.DUMMYFUNCTION("""COMPUTED_VALUE"""),"craven")</f>
        <v>craven</v>
      </c>
      <c r="L1183" s="6" t="str">
        <f>IFERROR(__xludf.DUMMYFUNCTION("""COMPUTED_VALUE"""),"saddam")</f>
        <v>saddam</v>
      </c>
      <c r="M1183" s="6" t="str">
        <f>IFERROR(__xludf.DUMMYFUNCTION("""COMPUTED_VALUE"""),"beast")</f>
        <v>beast</v>
      </c>
      <c r="N1183" s="6" t="str">
        <f>IFERROR(__xludf.DUMMYFUNCTION("""COMPUTED_VALUE"""),"repetitive")</f>
        <v>repetitive</v>
      </c>
      <c r="P1183" s="6" t="str">
        <f>IFERROR(__xludf.DUMMYFUNCTION("""COMPUTED_VALUE"""),"realm")</f>
        <v>realm</v>
      </c>
      <c r="Q1183" s="6" t="str">
        <f>IFERROR(__xludf.DUMMYFUNCTION("""COMPUTED_VALUE"""),"struggle")</f>
        <v>struggle</v>
      </c>
      <c r="S1183" s="6" t="str">
        <f>IFERROR(__xludf.DUMMYFUNCTION("""COMPUTED_VALUE"""),"relationship")</f>
        <v>relationship</v>
      </c>
    </row>
    <row r="1184">
      <c r="B1184" s="6"/>
      <c r="D1184" s="6"/>
      <c r="G1184" s="6" t="str">
        <f>IFERROR(__xludf.DUMMYFUNCTION("""COMPUTED_VALUE"""),"satin")</f>
        <v>satin</v>
      </c>
      <c r="H1184" s="6" t="str">
        <f>IFERROR(__xludf.DUMMYFUNCTION("""COMPUTED_VALUE"""),"padded")</f>
        <v>padded</v>
      </c>
      <c r="I1184" s="6"/>
      <c r="J1184" s="6" t="str">
        <f>IFERROR(__xludf.DUMMYFUNCTION("""COMPUTED_VALUE"""),"soul")</f>
        <v>soul</v>
      </c>
      <c r="L1184" s="6" t="str">
        <f>IFERROR(__xludf.DUMMYFUNCTION("""COMPUTED_VALUE"""),"bullets")</f>
        <v>bullets</v>
      </c>
      <c r="M1184" s="6">
        <f>IFERROR(__xludf.DUMMYFUNCTION("""COMPUTED_VALUE"""),2000.0)</f>
        <v>2000</v>
      </c>
      <c r="N1184" s="6" t="str">
        <f>IFERROR(__xludf.DUMMYFUNCTION("""COMPUTED_VALUE"""),"storyline")</f>
        <v>storyline</v>
      </c>
      <c r="P1184" s="6" t="str">
        <f>IFERROR(__xludf.DUMMYFUNCTION("""COMPUTED_VALUE"""),"admit")</f>
        <v>admit</v>
      </c>
      <c r="Q1184" s="6" t="str">
        <f>IFERROR(__xludf.DUMMYFUNCTION("""COMPUTED_VALUE"""),"convinced")</f>
        <v>convinced</v>
      </c>
      <c r="S1184" s="6" t="str">
        <f>IFERROR(__xludf.DUMMYFUNCTION("""COMPUTED_VALUE"""),"flash")</f>
        <v>flash</v>
      </c>
    </row>
    <row r="1185">
      <c r="B1185" s="6"/>
      <c r="D1185" s="6"/>
      <c r="G1185" s="6" t="str">
        <f>IFERROR(__xludf.DUMMYFUNCTION("""COMPUTED_VALUE"""),"skirts")</f>
        <v>skirts</v>
      </c>
      <c r="H1185" s="6" t="str">
        <f>IFERROR(__xludf.DUMMYFUNCTION("""COMPUTED_VALUE"""),"propaganda")</f>
        <v>propaganda</v>
      </c>
      <c r="I1185" s="6"/>
      <c r="J1185" s="6" t="str">
        <f>IFERROR(__xludf.DUMMYFUNCTION("""COMPUTED_VALUE"""),"warriors")</f>
        <v>warriors</v>
      </c>
      <c r="L1185" s="6" t="str">
        <f>IFERROR(__xludf.DUMMYFUNCTION("""COMPUTED_VALUE"""),"fears")</f>
        <v>fears</v>
      </c>
      <c r="M1185" s="6" t="str">
        <f>IFERROR(__xludf.DUMMYFUNCTION("""COMPUTED_VALUE"""),"describes")</f>
        <v>describes</v>
      </c>
      <c r="N1185" s="6" t="str">
        <f>IFERROR(__xludf.DUMMYFUNCTION("""COMPUTED_VALUE"""),"emotions")</f>
        <v>emotions</v>
      </c>
      <c r="P1185" s="6" t="str">
        <f>IFERROR(__xludf.DUMMYFUNCTION("""COMPUTED_VALUE"""),"accurate")</f>
        <v>accurate</v>
      </c>
      <c r="Q1185" s="6" t="str">
        <f>IFERROR(__xludf.DUMMYFUNCTION("""COMPUTED_VALUE"""),"lucky")</f>
        <v>lucky</v>
      </c>
      <c r="S1185" s="6" t="str">
        <f>IFERROR(__xludf.DUMMYFUNCTION("""COMPUTED_VALUE"""),"wise")</f>
        <v>wise</v>
      </c>
    </row>
    <row r="1186">
      <c r="B1186" s="6"/>
      <c r="D1186" s="6"/>
      <c r="G1186" s="6" t="str">
        <f>IFERROR(__xludf.DUMMYFUNCTION("""COMPUTED_VALUE"""),"integrated")</f>
        <v>integrated</v>
      </c>
      <c r="H1186" s="6" t="str">
        <f>IFERROR(__xludf.DUMMYFUNCTION("""COMPUTED_VALUE"""),"visuals")</f>
        <v>visuals</v>
      </c>
      <c r="I1186" s="6"/>
      <c r="J1186" s="6" t="str">
        <f>IFERROR(__xludf.DUMMYFUNCTION("""COMPUTED_VALUE"""),"transparent")</f>
        <v>transparent</v>
      </c>
      <c r="L1186" s="6" t="str">
        <f>IFERROR(__xludf.DUMMYFUNCTION("""COMPUTED_VALUE"""),"episodes")</f>
        <v>episodes</v>
      </c>
      <c r="M1186" s="6" t="str">
        <f>IFERROR(__xludf.DUMMYFUNCTION("""COMPUTED_VALUE"""),"gravity")</f>
        <v>gravity</v>
      </c>
      <c r="N1186" s="6" t="str">
        <f>IFERROR(__xludf.DUMMYFUNCTION("""COMPUTED_VALUE"""),"stud")</f>
        <v>stud</v>
      </c>
      <c r="P1186" s="6" t="str">
        <f>IFERROR(__xludf.DUMMYFUNCTION("""COMPUTED_VALUE"""),"wilson")</f>
        <v>wilson</v>
      </c>
      <c r="Q1186" s="6" t="str">
        <f>IFERROR(__xludf.DUMMYFUNCTION("""COMPUTED_VALUE"""),"eye")</f>
        <v>eye</v>
      </c>
      <c r="S1186" s="6" t="str">
        <f>IFERROR(__xludf.DUMMYFUNCTION("""COMPUTED_VALUE"""),"distinguished")</f>
        <v>distinguished</v>
      </c>
    </row>
    <row r="1187">
      <c r="B1187" s="6"/>
      <c r="D1187" s="6"/>
      <c r="G1187" s="6" t="str">
        <f>IFERROR(__xludf.DUMMYFUNCTION("""COMPUTED_VALUE"""),"successes")</f>
        <v>successes</v>
      </c>
      <c r="H1187" s="6" t="str">
        <f>IFERROR(__xludf.DUMMYFUNCTION("""COMPUTED_VALUE"""),"majestic")</f>
        <v>majestic</v>
      </c>
      <c r="I1187" s="6"/>
      <c r="J1187" s="6" t="str">
        <f>IFERROR(__xludf.DUMMYFUNCTION("""COMPUTED_VALUE"""),"hewitt")</f>
        <v>hewitt</v>
      </c>
      <c r="L1187" s="6" t="str">
        <f>IFERROR(__xludf.DUMMYFUNCTION("""COMPUTED_VALUE"""),"homage")</f>
        <v>homage</v>
      </c>
      <c r="M1187" s="6" t="str">
        <f>IFERROR(__xludf.DUMMYFUNCTION("""COMPUTED_VALUE"""),"critical")</f>
        <v>critical</v>
      </c>
      <c r="N1187" s="6" t="str">
        <f>IFERROR(__xludf.DUMMYFUNCTION("""COMPUTED_VALUE"""),"phantom")</f>
        <v>phantom</v>
      </c>
      <c r="P1187" s="6" t="str">
        <f>IFERROR(__xludf.DUMMYFUNCTION("""COMPUTED_VALUE"""),"pink")</f>
        <v>pink</v>
      </c>
      <c r="Q1187" s="6" t="str">
        <f>IFERROR(__xludf.DUMMYFUNCTION("""COMPUTED_VALUE"""),"adherents")</f>
        <v>adherents</v>
      </c>
      <c r="S1187" s="6" t="str">
        <f>IFERROR(__xludf.DUMMYFUNCTION("""COMPUTED_VALUE"""),"milk")</f>
        <v>milk</v>
      </c>
    </row>
    <row r="1188">
      <c r="B1188" s="6"/>
      <c r="D1188" s="6"/>
      <c r="G1188" s="6" t="str">
        <f>IFERROR(__xludf.DUMMYFUNCTION("""COMPUTED_VALUE"""),"store")</f>
        <v>store</v>
      </c>
      <c r="H1188" s="6" t="str">
        <f>IFERROR(__xludf.DUMMYFUNCTION("""COMPUTED_VALUE"""),"directorial")</f>
        <v>directorial</v>
      </c>
      <c r="I1188" s="6"/>
      <c r="J1188" s="6" t="str">
        <f>IFERROR(__xludf.DUMMYFUNCTION("""COMPUTED_VALUE"""),"inadequate")</f>
        <v>inadequate</v>
      </c>
      <c r="L1188" s="6" t="str">
        <f>IFERROR(__xludf.DUMMYFUNCTION("""COMPUTED_VALUE"""),"bourgeois")</f>
        <v>bourgeois</v>
      </c>
      <c r="M1188" s="6" t="str">
        <f>IFERROR(__xludf.DUMMYFUNCTION("""COMPUTED_VALUE"""),"bearing")</f>
        <v>bearing</v>
      </c>
      <c r="N1188" s="6" t="str">
        <f>IFERROR(__xludf.DUMMYFUNCTION("""COMPUTED_VALUE"""),"jaw")</f>
        <v>jaw</v>
      </c>
      <c r="P1188" s="6" t="str">
        <f>IFERROR(__xludf.DUMMYFUNCTION("""COMPUTED_VALUE"""),"derived")</f>
        <v>derived</v>
      </c>
      <c r="Q1188" s="6" t="str">
        <f>IFERROR(__xludf.DUMMYFUNCTION("""COMPUTED_VALUE"""),"trombone")</f>
        <v>trombone</v>
      </c>
      <c r="S1188" s="6" t="str">
        <f>IFERROR(__xludf.DUMMYFUNCTION("""COMPUTED_VALUE"""),"thousand")</f>
        <v>thousand</v>
      </c>
    </row>
    <row r="1189">
      <c r="B1189" s="6"/>
      <c r="D1189" s="6"/>
      <c r="G1189" s="6" t="str">
        <f>IFERROR(__xludf.DUMMYFUNCTION("""COMPUTED_VALUE"""),"marquis")</f>
        <v>marquis</v>
      </c>
      <c r="H1189" s="6" t="str">
        <f>IFERROR(__xludf.DUMMYFUNCTION("""COMPUTED_VALUE"""),"treasure")</f>
        <v>treasure</v>
      </c>
      <c r="I1189" s="6"/>
      <c r="J1189" s="6" t="str">
        <f>IFERROR(__xludf.DUMMYFUNCTION("""COMPUTED_VALUE"""),"adrenaline")</f>
        <v>adrenaline</v>
      </c>
      <c r="L1189" s="6" t="str">
        <f>IFERROR(__xludf.DUMMYFUNCTION("""COMPUTED_VALUE"""),"australia")</f>
        <v>australia</v>
      </c>
      <c r="M1189" s="6" t="str">
        <f>IFERROR(__xludf.DUMMYFUNCTION("""COMPUTED_VALUE"""),"potentially")</f>
        <v>potentially</v>
      </c>
      <c r="N1189" s="6" t="str">
        <f>IFERROR(__xludf.DUMMYFUNCTION("""COMPUTED_VALUE"""),"revolution")</f>
        <v>revolution</v>
      </c>
      <c r="P1189" s="6" t="str">
        <f>IFERROR(__xludf.DUMMYFUNCTION("""COMPUTED_VALUE"""),"victims")</f>
        <v>victims</v>
      </c>
      <c r="Q1189" s="6" t="str">
        <f>IFERROR(__xludf.DUMMYFUNCTION("""COMPUTED_VALUE"""),"possess")</f>
        <v>possess</v>
      </c>
      <c r="S1189" s="6" t="str">
        <f>IFERROR(__xludf.DUMMYFUNCTION("""COMPUTED_VALUE"""),"reign")</f>
        <v>reign</v>
      </c>
    </row>
    <row r="1190">
      <c r="B1190" s="6"/>
      <c r="D1190" s="6"/>
      <c r="G1190" s="6" t="str">
        <f>IFERROR(__xludf.DUMMYFUNCTION("""COMPUTED_VALUE"""),"yank")</f>
        <v>yank</v>
      </c>
      <c r="H1190" s="6" t="str">
        <f>IFERROR(__xludf.DUMMYFUNCTION("""COMPUTED_VALUE"""),"concern")</f>
        <v>concern</v>
      </c>
      <c r="I1190" s="6"/>
      <c r="J1190" s="6" t="str">
        <f>IFERROR(__xludf.DUMMYFUNCTION("""COMPUTED_VALUE"""),"preserving")</f>
        <v>preserving</v>
      </c>
      <c r="L1190" s="6" t="str">
        <f>IFERROR(__xludf.DUMMYFUNCTION("""COMPUTED_VALUE"""),"escaped")</f>
        <v>escaped</v>
      </c>
      <c r="M1190" s="6" t="str">
        <f>IFERROR(__xludf.DUMMYFUNCTION("""COMPUTED_VALUE"""),"digital")</f>
        <v>digital</v>
      </c>
      <c r="N1190" s="6" t="str">
        <f>IFERROR(__xludf.DUMMYFUNCTION("""COMPUTED_VALUE"""),"followers")</f>
        <v>followers</v>
      </c>
      <c r="P1190" s="6" t="str">
        <f>IFERROR(__xludf.DUMMYFUNCTION("""COMPUTED_VALUE"""),"proceedings")</f>
        <v>proceedings</v>
      </c>
      <c r="Q1190" s="6" t="str">
        <f>IFERROR(__xludf.DUMMYFUNCTION("""COMPUTED_VALUE"""),"embarrassment")</f>
        <v>embarrassment</v>
      </c>
      <c r="S1190" s="6" t="str">
        <f>IFERROR(__xludf.DUMMYFUNCTION("""COMPUTED_VALUE"""),"dragons")</f>
        <v>dragons</v>
      </c>
    </row>
    <row r="1191">
      <c r="B1191" s="6"/>
      <c r="D1191" s="6"/>
      <c r="G1191" s="6" t="str">
        <f>IFERROR(__xludf.DUMMYFUNCTION("""COMPUTED_VALUE"""),"signals")</f>
        <v>signals</v>
      </c>
      <c r="H1191" s="6" t="str">
        <f>IFERROR(__xludf.DUMMYFUNCTION("""COMPUTED_VALUE"""),"puppets")</f>
        <v>puppets</v>
      </c>
      <c r="I1191" s="6"/>
      <c r="J1191" s="6" t="str">
        <f>IFERROR(__xludf.DUMMYFUNCTION("""COMPUTED_VALUE"""),"tendency")</f>
        <v>tendency</v>
      </c>
      <c r="L1191" s="6" t="str">
        <f>IFERROR(__xludf.DUMMYFUNCTION("""COMPUTED_VALUE"""),"crocodile")</f>
        <v>crocodile</v>
      </c>
      <c r="M1191" s="6" t="str">
        <f>IFERROR(__xludf.DUMMYFUNCTION("""COMPUTED_VALUE"""),"scoring")</f>
        <v>scoring</v>
      </c>
      <c r="N1191" s="6" t="str">
        <f>IFERROR(__xludf.DUMMYFUNCTION("""COMPUTED_VALUE"""),"writer")</f>
        <v>writer</v>
      </c>
      <c r="P1191" s="6" t="str">
        <f>IFERROR(__xludf.DUMMYFUNCTION("""COMPUTED_VALUE"""),"adds")</f>
        <v>adds</v>
      </c>
      <c r="Q1191" s="6" t="str">
        <f>IFERROR(__xludf.DUMMYFUNCTION("""COMPUTED_VALUE"""),"uncomfortably")</f>
        <v>uncomfortably</v>
      </c>
      <c r="S1191" s="6" t="str">
        <f>IFERROR(__xludf.DUMMYFUNCTION("""COMPUTED_VALUE"""),"models")</f>
        <v>models</v>
      </c>
    </row>
    <row r="1192">
      <c r="B1192" s="6"/>
      <c r="D1192" s="6"/>
      <c r="G1192" s="6" t="str">
        <f>IFERROR(__xludf.DUMMYFUNCTION("""COMPUTED_VALUE"""),"topical")</f>
        <v>topical</v>
      </c>
      <c r="H1192" s="6" t="str">
        <f>IFERROR(__xludf.DUMMYFUNCTION("""COMPUTED_VALUE"""),"bear")</f>
        <v>bear</v>
      </c>
      <c r="I1192" s="6"/>
      <c r="J1192" s="6" t="str">
        <f>IFERROR(__xludf.DUMMYFUNCTION("""COMPUTED_VALUE"""),"lectures")</f>
        <v>lectures</v>
      </c>
      <c r="L1192" s="6" t="str">
        <f>IFERROR(__xludf.DUMMYFUNCTION("""COMPUTED_VALUE"""),"frightening")</f>
        <v>frightening</v>
      </c>
      <c r="M1192" s="6" t="str">
        <f>IFERROR(__xludf.DUMMYFUNCTION("""COMPUTED_VALUE"""),"professionals")</f>
        <v>professionals</v>
      </c>
      <c r="N1192" s="6" t="str">
        <f>IFERROR(__xludf.DUMMYFUNCTION("""COMPUTED_VALUE"""),"exploit")</f>
        <v>exploit</v>
      </c>
      <c r="P1192" s="6" t="str">
        <f>IFERROR(__xludf.DUMMYFUNCTION("""COMPUTED_VALUE"""),"anchor")</f>
        <v>anchor</v>
      </c>
      <c r="Q1192" s="6" t="str">
        <f>IFERROR(__xludf.DUMMYFUNCTION("""COMPUTED_VALUE"""),"figures")</f>
        <v>figures</v>
      </c>
      <c r="S1192" s="6" t="str">
        <f>IFERROR(__xludf.DUMMYFUNCTION("""COMPUTED_VALUE"""),"wearing")</f>
        <v>wearing</v>
      </c>
    </row>
    <row r="1193">
      <c r="B1193" s="6"/>
      <c r="D1193" s="6"/>
      <c r="G1193" s="6" t="str">
        <f>IFERROR(__xludf.DUMMYFUNCTION("""COMPUTED_VALUE"""),"swiftly")</f>
        <v>swiftly</v>
      </c>
      <c r="H1193" s="6" t="str">
        <f>IFERROR(__xludf.DUMMYFUNCTION("""COMPUTED_VALUE"""),"advantage")</f>
        <v>advantage</v>
      </c>
      <c r="I1193" s="6"/>
      <c r="J1193" s="6" t="str">
        <f>IFERROR(__xludf.DUMMYFUNCTION("""COMPUTED_VALUE"""),"vh1")</f>
        <v>vh1</v>
      </c>
      <c r="L1193" s="6" t="str">
        <f>IFERROR(__xludf.DUMMYFUNCTION("""COMPUTED_VALUE"""),"witty")</f>
        <v>witty</v>
      </c>
      <c r="M1193" s="6" t="str">
        <f>IFERROR(__xludf.DUMMYFUNCTION("""COMPUTED_VALUE"""),"material")</f>
        <v>material</v>
      </c>
      <c r="N1193" s="6" t="str">
        <f>IFERROR(__xludf.DUMMYFUNCTION("""COMPUTED_VALUE"""),"generosity")</f>
        <v>generosity</v>
      </c>
      <c r="P1193" s="6" t="str">
        <f>IFERROR(__xludf.DUMMYFUNCTION("""COMPUTED_VALUE"""),"supporting")</f>
        <v>supporting</v>
      </c>
      <c r="Q1193" s="6" t="str">
        <f>IFERROR(__xludf.DUMMYFUNCTION("""COMPUTED_VALUE"""),"imaginative")</f>
        <v>imaginative</v>
      </c>
      <c r="S1193" s="6" t="str">
        <f>IFERROR(__xludf.DUMMYFUNCTION("""COMPUTED_VALUE"""),"bag")</f>
        <v>bag</v>
      </c>
    </row>
    <row r="1194">
      <c r="B1194" s="6"/>
      <c r="D1194" s="6"/>
      <c r="G1194" s="6" t="str">
        <f>IFERROR(__xludf.DUMMYFUNCTION("""COMPUTED_VALUE"""),"slippery")</f>
        <v>slippery</v>
      </c>
      <c r="H1194" s="6" t="str">
        <f>IFERROR(__xludf.DUMMYFUNCTION("""COMPUTED_VALUE"""),"futile")</f>
        <v>futile</v>
      </c>
      <c r="I1194" s="6"/>
      <c r="J1194" s="6" t="str">
        <f>IFERROR(__xludf.DUMMYFUNCTION("""COMPUTED_VALUE"""),"terrorist")</f>
        <v>terrorist</v>
      </c>
      <c r="L1194" s="6" t="str">
        <f>IFERROR(__xludf.DUMMYFUNCTION("""COMPUTED_VALUE"""),"victories")</f>
        <v>victories</v>
      </c>
      <c r="M1194" s="6" t="str">
        <f>IFERROR(__xludf.DUMMYFUNCTION("""COMPUTED_VALUE"""),"silly")</f>
        <v>silly</v>
      </c>
      <c r="N1194" s="6" t="str">
        <f>IFERROR(__xludf.DUMMYFUNCTION("""COMPUTED_VALUE"""),"blackout")</f>
        <v>blackout</v>
      </c>
      <c r="P1194" s="6" t="str">
        <f>IFERROR(__xludf.DUMMYFUNCTION("""COMPUTED_VALUE"""),"improvement")</f>
        <v>improvement</v>
      </c>
      <c r="Q1194" s="6" t="str">
        <f>IFERROR(__xludf.DUMMYFUNCTION("""COMPUTED_VALUE"""),"condensed")</f>
        <v>condensed</v>
      </c>
      <c r="S1194" s="6" t="str">
        <f>IFERROR(__xludf.DUMMYFUNCTION("""COMPUTED_VALUE"""),"grin")</f>
        <v>grin</v>
      </c>
    </row>
    <row r="1195">
      <c r="B1195" s="6"/>
      <c r="D1195" s="6"/>
      <c r="G1195" s="6" t="str">
        <f>IFERROR(__xludf.DUMMYFUNCTION("""COMPUTED_VALUE"""),"preview")</f>
        <v>preview</v>
      </c>
      <c r="H1195" s="6" t="str">
        <f>IFERROR(__xludf.DUMMYFUNCTION("""COMPUTED_VALUE"""),"happens")</f>
        <v>happens</v>
      </c>
      <c r="I1195" s="6"/>
      <c r="J1195" s="6" t="str">
        <f>IFERROR(__xludf.DUMMYFUNCTION("""COMPUTED_VALUE"""),"gaze")</f>
        <v>gaze</v>
      </c>
      <c r="L1195" s="6" t="str">
        <f>IFERROR(__xludf.DUMMYFUNCTION("""COMPUTED_VALUE"""),"corpse")</f>
        <v>corpse</v>
      </c>
      <c r="M1195" s="6" t="str">
        <f>IFERROR(__xludf.DUMMYFUNCTION("""COMPUTED_VALUE"""),"success")</f>
        <v>success</v>
      </c>
      <c r="N1195" s="6" t="str">
        <f>IFERROR(__xludf.DUMMYFUNCTION("""COMPUTED_VALUE"""),"feminist")</f>
        <v>feminist</v>
      </c>
      <c r="P1195" s="6" t="str">
        <f>IFERROR(__xludf.DUMMYFUNCTION("""COMPUTED_VALUE"""),"soldiers")</f>
        <v>soldiers</v>
      </c>
      <c r="Q1195" s="6" t="str">
        <f>IFERROR(__xludf.DUMMYFUNCTION("""COMPUTED_VALUE"""),"composition")</f>
        <v>composition</v>
      </c>
      <c r="S1195" s="6" t="str">
        <f>IFERROR(__xludf.DUMMYFUNCTION("""COMPUTED_VALUE"""),"managed")</f>
        <v>managed</v>
      </c>
    </row>
    <row r="1196">
      <c r="B1196" s="6"/>
      <c r="D1196" s="6"/>
      <c r="G1196" s="6" t="str">
        <f>IFERROR(__xludf.DUMMYFUNCTION("""COMPUTED_VALUE"""),"characterization")</f>
        <v>characterization</v>
      </c>
      <c r="H1196" s="6" t="str">
        <f>IFERROR(__xludf.DUMMYFUNCTION("""COMPUTED_VALUE"""),"misery")</f>
        <v>misery</v>
      </c>
      <c r="I1196" s="6"/>
      <c r="J1196" s="6" t="str">
        <f>IFERROR(__xludf.DUMMYFUNCTION("""COMPUTED_VALUE"""),"chuckles")</f>
        <v>chuckles</v>
      </c>
      <c r="L1196" s="6" t="str">
        <f>IFERROR(__xludf.DUMMYFUNCTION("""COMPUTED_VALUE"""),"heroes")</f>
        <v>heroes</v>
      </c>
      <c r="M1196" s="6" t="str">
        <f>IFERROR(__xludf.DUMMYFUNCTION("""COMPUTED_VALUE"""),"beaten")</f>
        <v>beaten</v>
      </c>
      <c r="N1196" s="6" t="str">
        <f>IFERROR(__xludf.DUMMYFUNCTION("""COMPUTED_VALUE"""),"mist")</f>
        <v>mist</v>
      </c>
      <c r="P1196" s="6" t="str">
        <f>IFERROR(__xludf.DUMMYFUNCTION("""COMPUTED_VALUE"""),"lawrence")</f>
        <v>lawrence</v>
      </c>
      <c r="Q1196" s="6" t="str">
        <f>IFERROR(__xludf.DUMMYFUNCTION("""COMPUTED_VALUE"""),"viewed")</f>
        <v>viewed</v>
      </c>
      <c r="S1196" s="6" t="str">
        <f>IFERROR(__xludf.DUMMYFUNCTION("""COMPUTED_VALUE"""),"hands")</f>
        <v>hands</v>
      </c>
    </row>
    <row r="1197">
      <c r="B1197" s="6"/>
      <c r="D1197" s="6"/>
      <c r="G1197" s="6" t="str">
        <f>IFERROR(__xludf.DUMMYFUNCTION("""COMPUTED_VALUE"""),"orchestrated")</f>
        <v>orchestrated</v>
      </c>
      <c r="H1197" s="6" t="str">
        <f>IFERROR(__xludf.DUMMYFUNCTION("""COMPUTED_VALUE"""),"willingness")</f>
        <v>willingness</v>
      </c>
      <c r="I1197" s="6"/>
      <c r="J1197" s="6" t="str">
        <f>IFERROR(__xludf.DUMMYFUNCTION("""COMPUTED_VALUE"""),"sheridan")</f>
        <v>sheridan</v>
      </c>
      <c r="L1197" s="6" t="str">
        <f>IFERROR(__xludf.DUMMYFUNCTION("""COMPUTED_VALUE"""),"considerable")</f>
        <v>considerable</v>
      </c>
      <c r="M1197" s="6" t="str">
        <f>IFERROR(__xludf.DUMMYFUNCTION("""COMPUTED_VALUE"""),"distant")</f>
        <v>distant</v>
      </c>
      <c r="N1197" s="6" t="str">
        <f>IFERROR(__xludf.DUMMYFUNCTION("""COMPUTED_VALUE"""),"punching")</f>
        <v>punching</v>
      </c>
      <c r="P1197" s="6">
        <f>IFERROR(__xludf.DUMMYFUNCTION("""COMPUTED_VALUE"""),51.0)</f>
        <v>51</v>
      </c>
      <c r="Q1197" s="6" t="str">
        <f>IFERROR(__xludf.DUMMYFUNCTION("""COMPUTED_VALUE"""),"angle")</f>
        <v>angle</v>
      </c>
      <c r="S1197" s="6" t="str">
        <f>IFERROR(__xludf.DUMMYFUNCTION("""COMPUTED_VALUE"""),"span")</f>
        <v>span</v>
      </c>
    </row>
    <row r="1198">
      <c r="B1198" s="6"/>
      <c r="D1198" s="6"/>
      <c r="G1198" s="6" t="str">
        <f>IFERROR(__xludf.DUMMYFUNCTION("""COMPUTED_VALUE"""),"confidently")</f>
        <v>confidently</v>
      </c>
      <c r="H1198" s="6" t="str">
        <f>IFERROR(__xludf.DUMMYFUNCTION("""COMPUTED_VALUE"""),"pity")</f>
        <v>pity</v>
      </c>
      <c r="I1198" s="6"/>
      <c r="J1198" s="6" t="str">
        <f>IFERROR(__xludf.DUMMYFUNCTION("""COMPUTED_VALUE"""),"stylized")</f>
        <v>stylized</v>
      </c>
      <c r="L1198" s="6" t="str">
        <f>IFERROR(__xludf.DUMMYFUNCTION("""COMPUTED_VALUE"""),"hooks")</f>
        <v>hooks</v>
      </c>
      <c r="M1198" s="6" t="str">
        <f>IFERROR(__xludf.DUMMYFUNCTION("""COMPUTED_VALUE"""),"experimental")</f>
        <v>experimental</v>
      </c>
      <c r="N1198" s="6" t="str">
        <f>IFERROR(__xludf.DUMMYFUNCTION("""COMPUTED_VALUE"""),"simultaneously")</f>
        <v>simultaneously</v>
      </c>
      <c r="P1198" s="6" t="str">
        <f>IFERROR(__xludf.DUMMYFUNCTION("""COMPUTED_VALUE"""),"belt")</f>
        <v>belt</v>
      </c>
      <c r="Q1198" s="6" t="str">
        <f>IFERROR(__xludf.DUMMYFUNCTION("""COMPUTED_VALUE"""),"somber")</f>
        <v>somber</v>
      </c>
      <c r="S1198" s="6" t="str">
        <f>IFERROR(__xludf.DUMMYFUNCTION("""COMPUTED_VALUE"""),"held")</f>
        <v>held</v>
      </c>
    </row>
    <row r="1199">
      <c r="B1199" s="6"/>
      <c r="D1199" s="6"/>
      <c r="G1199" s="6" t="str">
        <f>IFERROR(__xludf.DUMMYFUNCTION("""COMPUTED_VALUE"""),"telescope")</f>
        <v>telescope</v>
      </c>
      <c r="H1199" s="6" t="str">
        <f>IFERROR(__xludf.DUMMYFUNCTION("""COMPUTED_VALUE"""),"campus")</f>
        <v>campus</v>
      </c>
      <c r="I1199" s="6"/>
      <c r="J1199" s="6" t="str">
        <f>IFERROR(__xludf.DUMMYFUNCTION("""COMPUTED_VALUE"""),"hilary")</f>
        <v>hilary</v>
      </c>
      <c r="L1199" s="6" t="str">
        <f>IFERROR(__xludf.DUMMYFUNCTION("""COMPUTED_VALUE"""),"confidently")</f>
        <v>confidently</v>
      </c>
      <c r="M1199" s="6" t="str">
        <f>IFERROR(__xludf.DUMMYFUNCTION("""COMPUTED_VALUE"""),"substitute")</f>
        <v>substitute</v>
      </c>
      <c r="N1199" s="6" t="str">
        <f>IFERROR(__xludf.DUMMYFUNCTION("""COMPUTED_VALUE"""),"grasp")</f>
        <v>grasp</v>
      </c>
      <c r="P1199" s="6" t="str">
        <f>IFERROR(__xludf.DUMMYFUNCTION("""COMPUTED_VALUE"""),"traditions")</f>
        <v>traditions</v>
      </c>
      <c r="Q1199" s="6" t="str">
        <f>IFERROR(__xludf.DUMMYFUNCTION("""COMPUTED_VALUE"""),"credible")</f>
        <v>credible</v>
      </c>
      <c r="S1199" s="6" t="str">
        <f>IFERROR(__xludf.DUMMYFUNCTION("""COMPUTED_VALUE"""),"odd")</f>
        <v>odd</v>
      </c>
    </row>
    <row r="1200">
      <c r="B1200" s="6"/>
      <c r="D1200" s="6"/>
      <c r="G1200" s="6" t="str">
        <f>IFERROR(__xludf.DUMMYFUNCTION("""COMPUTED_VALUE"""),"recycling")</f>
        <v>recycling</v>
      </c>
      <c r="H1200" s="6" t="str">
        <f>IFERROR(__xludf.DUMMYFUNCTION("""COMPUTED_VALUE"""),"bertrand")</f>
        <v>bertrand</v>
      </c>
      <c r="I1200" s="6"/>
      <c r="J1200" s="6" t="str">
        <f>IFERROR(__xludf.DUMMYFUNCTION("""COMPUTED_VALUE"""),"birmingham")</f>
        <v>birmingham</v>
      </c>
      <c r="L1200" s="6" t="str">
        <f>IFERROR(__xludf.DUMMYFUNCTION("""COMPUTED_VALUE"""),"metaphysical")</f>
        <v>metaphysical</v>
      </c>
      <c r="M1200" s="6" t="str">
        <f>IFERROR(__xludf.DUMMYFUNCTION("""COMPUTED_VALUE"""),"brain")</f>
        <v>brain</v>
      </c>
      <c r="N1200" s="6" t="str">
        <f>IFERROR(__xludf.DUMMYFUNCTION("""COMPUTED_VALUE"""),"permits")</f>
        <v>permits</v>
      </c>
      <c r="P1200" s="6" t="str">
        <f>IFERROR(__xludf.DUMMYFUNCTION("""COMPUTED_VALUE"""),"field")</f>
        <v>field</v>
      </c>
      <c r="Q1200" s="6" t="str">
        <f>IFERROR(__xludf.DUMMYFUNCTION("""COMPUTED_VALUE"""),"mature")</f>
        <v>mature</v>
      </c>
      <c r="S1200" s="6" t="str">
        <f>IFERROR(__xludf.DUMMYFUNCTION("""COMPUTED_VALUE"""),"sound")</f>
        <v>sound</v>
      </c>
    </row>
    <row r="1201">
      <c r="B1201" s="6"/>
      <c r="D1201" s="6"/>
      <c r="G1201" s="6" t="str">
        <f>IFERROR(__xludf.DUMMYFUNCTION("""COMPUTED_VALUE"""),"effectively")</f>
        <v>effectively</v>
      </c>
      <c r="H1201" s="6" t="str">
        <f>IFERROR(__xludf.DUMMYFUNCTION("""COMPUTED_VALUE"""),"wears")</f>
        <v>wears</v>
      </c>
      <c r="I1201" s="6"/>
      <c r="J1201" s="6" t="str">
        <f>IFERROR(__xludf.DUMMYFUNCTION("""COMPUTED_VALUE"""),"disagree")</f>
        <v>disagree</v>
      </c>
      <c r="L1201" s="6" t="str">
        <f>IFERROR(__xludf.DUMMYFUNCTION("""COMPUTED_VALUE"""),"unrelated")</f>
        <v>unrelated</v>
      </c>
      <c r="M1201" s="6" t="str">
        <f>IFERROR(__xludf.DUMMYFUNCTION("""COMPUTED_VALUE"""),"sweat")</f>
        <v>sweat</v>
      </c>
      <c r="N1201" s="6" t="str">
        <f>IFERROR(__xludf.DUMMYFUNCTION("""COMPUTED_VALUE"""),"dubious")</f>
        <v>dubious</v>
      </c>
      <c r="P1201" s="6" t="str">
        <f>IFERROR(__xludf.DUMMYFUNCTION("""COMPUTED_VALUE"""),"tongue")</f>
        <v>tongue</v>
      </c>
      <c r="Q1201" s="6" t="str">
        <f>IFERROR(__xludf.DUMMYFUNCTION("""COMPUTED_VALUE"""),"mclaughlin")</f>
        <v>mclaughlin</v>
      </c>
      <c r="S1201" s="6" t="str">
        <f>IFERROR(__xludf.DUMMYFUNCTION("""COMPUTED_VALUE"""),"bodies")</f>
        <v>bodies</v>
      </c>
    </row>
    <row r="1202">
      <c r="B1202" s="6"/>
      <c r="D1202" s="6"/>
      <c r="G1202" s="6" t="str">
        <f>IFERROR(__xludf.DUMMYFUNCTION("""COMPUTED_VALUE"""),"indicative")</f>
        <v>indicative</v>
      </c>
      <c r="H1202" s="6" t="str">
        <f>IFERROR(__xludf.DUMMYFUNCTION("""COMPUTED_VALUE"""),"intimacy")</f>
        <v>intimacy</v>
      </c>
      <c r="I1202" s="6"/>
      <c r="J1202" s="6" t="str">
        <f>IFERROR(__xludf.DUMMYFUNCTION("""COMPUTED_VALUE"""),"sensitivity")</f>
        <v>sensitivity</v>
      </c>
      <c r="L1202" s="6" t="str">
        <f>IFERROR(__xludf.DUMMYFUNCTION("""COMPUTED_VALUE"""),"plot")</f>
        <v>plot</v>
      </c>
      <c r="M1202" s="6" t="str">
        <f>IFERROR(__xludf.DUMMYFUNCTION("""COMPUTED_VALUE"""),"giants")</f>
        <v>giants</v>
      </c>
      <c r="N1202" s="6" t="str">
        <f>IFERROR(__xludf.DUMMYFUNCTION("""COMPUTED_VALUE"""),"exaggerated")</f>
        <v>exaggerated</v>
      </c>
      <c r="P1202" s="6" t="str">
        <f>IFERROR(__xludf.DUMMYFUNCTION("""COMPUTED_VALUE"""),"approaches")</f>
        <v>approaches</v>
      </c>
      <c r="Q1202" s="6" t="str">
        <f>IFERROR(__xludf.DUMMYFUNCTION("""COMPUTED_VALUE"""),"scratches")</f>
        <v>scratches</v>
      </c>
      <c r="S1202" s="6" t="str">
        <f>IFERROR(__xludf.DUMMYFUNCTION("""COMPUTED_VALUE"""),"several")</f>
        <v>several</v>
      </c>
    </row>
    <row r="1203">
      <c r="B1203" s="6"/>
      <c r="D1203" s="6"/>
      <c r="G1203" s="6" t="str">
        <f>IFERROR(__xludf.DUMMYFUNCTION("""COMPUTED_VALUE"""),"concentration")</f>
        <v>concentration</v>
      </c>
      <c r="H1203" s="6" t="str">
        <f>IFERROR(__xludf.DUMMYFUNCTION("""COMPUTED_VALUE"""),"sermon")</f>
        <v>sermon</v>
      </c>
      <c r="I1203" s="6"/>
      <c r="J1203" s="6" t="str">
        <f>IFERROR(__xludf.DUMMYFUNCTION("""COMPUTED_VALUE"""),"muddy")</f>
        <v>muddy</v>
      </c>
      <c r="L1203" s="6" t="str">
        <f>IFERROR(__xludf.DUMMYFUNCTION("""COMPUTED_VALUE"""),"jumps")</f>
        <v>jumps</v>
      </c>
      <c r="M1203" s="6" t="str">
        <f>IFERROR(__xludf.DUMMYFUNCTION("""COMPUTED_VALUE"""),"performers")</f>
        <v>performers</v>
      </c>
      <c r="N1203" s="6" t="str">
        <f>IFERROR(__xludf.DUMMYFUNCTION("""COMPUTED_VALUE"""),"conspicuous")</f>
        <v>conspicuous</v>
      </c>
      <c r="P1203" s="6">
        <f>IFERROR(__xludf.DUMMYFUNCTION("""COMPUTED_VALUE"""),50.0)</f>
        <v>50</v>
      </c>
      <c r="Q1203" s="6" t="str">
        <f>IFERROR(__xludf.DUMMYFUNCTION("""COMPUTED_VALUE"""),"commerce")</f>
        <v>commerce</v>
      </c>
      <c r="S1203" s="6" t="str">
        <f>IFERROR(__xludf.DUMMYFUNCTION("""COMPUTED_VALUE"""),"secretary")</f>
        <v>secretary</v>
      </c>
    </row>
    <row r="1204">
      <c r="B1204" s="6"/>
      <c r="D1204" s="6"/>
      <c r="G1204" s="6" t="str">
        <f>IFERROR(__xludf.DUMMYFUNCTION("""COMPUTED_VALUE"""),"architect")</f>
        <v>architect</v>
      </c>
      <c r="H1204" s="6" t="str">
        <f>IFERROR(__xludf.DUMMYFUNCTION("""COMPUTED_VALUE"""),"continuation")</f>
        <v>continuation</v>
      </c>
      <c r="I1204" s="6"/>
      <c r="J1204" s="6" t="str">
        <f>IFERROR(__xludf.DUMMYFUNCTION("""COMPUTED_VALUE"""),"precision")</f>
        <v>precision</v>
      </c>
      <c r="L1204" s="6" t="str">
        <f>IFERROR(__xludf.DUMMYFUNCTION("""COMPUTED_VALUE"""),"exploitation")</f>
        <v>exploitation</v>
      </c>
      <c r="M1204" s="6" t="str">
        <f>IFERROR(__xludf.DUMMYFUNCTION("""COMPUTED_VALUE"""),"bow")</f>
        <v>bow</v>
      </c>
      <c r="N1204" s="6" t="str">
        <f>IFERROR(__xludf.DUMMYFUNCTION("""COMPUTED_VALUE"""),"reconstruction")</f>
        <v>reconstruction</v>
      </c>
      <c r="P1204" s="6" t="str">
        <f>IFERROR(__xludf.DUMMYFUNCTION("""COMPUTED_VALUE"""),"strictly")</f>
        <v>strictly</v>
      </c>
      <c r="Q1204" s="6" t="str">
        <f>IFERROR(__xludf.DUMMYFUNCTION("""COMPUTED_VALUE"""),"subtly")</f>
        <v>subtly</v>
      </c>
      <c r="S1204" s="6" t="str">
        <f>IFERROR(__xludf.DUMMYFUNCTION("""COMPUTED_VALUE"""),"ten")</f>
        <v>ten</v>
      </c>
    </row>
    <row r="1205">
      <c r="B1205" s="6"/>
      <c r="D1205" s="6"/>
      <c r="G1205" s="6" t="str">
        <f>IFERROR(__xludf.DUMMYFUNCTION("""COMPUTED_VALUE"""),"singh")</f>
        <v>singh</v>
      </c>
      <c r="H1205" s="6" t="str">
        <f>IFERROR(__xludf.DUMMYFUNCTION("""COMPUTED_VALUE"""),"sentiments")</f>
        <v>sentiments</v>
      </c>
      <c r="I1205" s="6"/>
      <c r="J1205" s="6" t="str">
        <f>IFERROR(__xludf.DUMMYFUNCTION("""COMPUTED_VALUE"""),"aspirations")</f>
        <v>aspirations</v>
      </c>
      <c r="L1205" s="6" t="str">
        <f>IFERROR(__xludf.DUMMYFUNCTION("""COMPUTED_VALUE"""),"portray")</f>
        <v>portray</v>
      </c>
      <c r="M1205" s="6" t="str">
        <f>IFERROR(__xludf.DUMMYFUNCTION("""COMPUTED_VALUE"""),"battle")</f>
        <v>battle</v>
      </c>
      <c r="N1205" s="6" t="str">
        <f>IFERROR(__xludf.DUMMYFUNCTION("""COMPUTED_VALUE"""),"rumor")</f>
        <v>rumor</v>
      </c>
      <c r="P1205" s="6" t="str">
        <f>IFERROR(__xludf.DUMMYFUNCTION("""COMPUTED_VALUE"""),"hammer")</f>
        <v>hammer</v>
      </c>
      <c r="Q1205" s="6" t="str">
        <f>IFERROR(__xludf.DUMMYFUNCTION("""COMPUTED_VALUE"""),"combines")</f>
        <v>combines</v>
      </c>
      <c r="S1205" s="6" t="str">
        <f>IFERROR(__xludf.DUMMYFUNCTION("""COMPUTED_VALUE"""),"boat")</f>
        <v>boat</v>
      </c>
    </row>
    <row r="1206">
      <c r="B1206" s="6"/>
      <c r="D1206" s="6"/>
      <c r="G1206" s="6" t="str">
        <f>IFERROR(__xludf.DUMMYFUNCTION("""COMPUTED_VALUE"""),"acknowledges")</f>
        <v>acknowledges</v>
      </c>
      <c r="H1206" s="6" t="str">
        <f>IFERROR(__xludf.DUMMYFUNCTION("""COMPUTED_VALUE"""),"alabama")</f>
        <v>alabama</v>
      </c>
      <c r="I1206" s="6"/>
      <c r="J1206" s="6" t="str">
        <f>IFERROR(__xludf.DUMMYFUNCTION("""COMPUTED_VALUE"""),"charms")</f>
        <v>charms</v>
      </c>
      <c r="L1206" s="6" t="str">
        <f>IFERROR(__xludf.DUMMYFUNCTION("""COMPUTED_VALUE"""),"nonstop")</f>
        <v>nonstop</v>
      </c>
      <c r="M1206" s="6" t="str">
        <f>IFERROR(__xludf.DUMMYFUNCTION("""COMPUTED_VALUE"""),"allegedly")</f>
        <v>allegedly</v>
      </c>
      <c r="N1206" s="6" t="str">
        <f>IFERROR(__xludf.DUMMYFUNCTION("""COMPUTED_VALUE"""),"extant")</f>
        <v>extant</v>
      </c>
      <c r="P1206" s="6" t="str">
        <f>IFERROR(__xludf.DUMMYFUNCTION("""COMPUTED_VALUE"""),"academy")</f>
        <v>academy</v>
      </c>
      <c r="Q1206" s="6" t="str">
        <f>IFERROR(__xludf.DUMMYFUNCTION("""COMPUTED_VALUE"""),"thirst")</f>
        <v>thirst</v>
      </c>
      <c r="S1206" s="6" t="str">
        <f>IFERROR(__xludf.DUMMYFUNCTION("""COMPUTED_VALUE"""),"meets")</f>
        <v>meets</v>
      </c>
    </row>
    <row r="1207">
      <c r="B1207" s="6"/>
      <c r="D1207" s="6"/>
      <c r="G1207" s="6" t="str">
        <f>IFERROR(__xludf.DUMMYFUNCTION("""COMPUTED_VALUE"""),"election")</f>
        <v>election</v>
      </c>
      <c r="H1207" s="6" t="str">
        <f>IFERROR(__xludf.DUMMYFUNCTION("""COMPUTED_VALUE"""),"producer")</f>
        <v>producer</v>
      </c>
      <c r="I1207" s="6"/>
      <c r="J1207" s="6" t="str">
        <f>IFERROR(__xludf.DUMMYFUNCTION("""COMPUTED_VALUE"""),"conservative")</f>
        <v>conservative</v>
      </c>
      <c r="L1207" s="6" t="str">
        <f>IFERROR(__xludf.DUMMYFUNCTION("""COMPUTED_VALUE"""),"sources")</f>
        <v>sources</v>
      </c>
      <c r="M1207" s="6" t="str">
        <f>IFERROR(__xludf.DUMMYFUNCTION("""COMPUTED_VALUE"""),"vision")</f>
        <v>vision</v>
      </c>
      <c r="N1207" s="6" t="str">
        <f>IFERROR(__xludf.DUMMYFUNCTION("""COMPUTED_VALUE"""),"manipulation")</f>
        <v>manipulation</v>
      </c>
      <c r="P1207" s="6" t="str">
        <f>IFERROR(__xludf.DUMMYFUNCTION("""COMPUTED_VALUE"""),"equation")</f>
        <v>equation</v>
      </c>
      <c r="Q1207" s="6" t="str">
        <f>IFERROR(__xludf.DUMMYFUNCTION("""COMPUTED_VALUE"""),"ballistic")</f>
        <v>ballistic</v>
      </c>
      <c r="S1207" s="6" t="str">
        <f>IFERROR(__xludf.DUMMYFUNCTION("""COMPUTED_VALUE"""),"indians")</f>
        <v>indians</v>
      </c>
    </row>
    <row r="1208">
      <c r="B1208" s="6"/>
      <c r="D1208" s="6"/>
      <c r="G1208" s="6" t="str">
        <f>IFERROR(__xludf.DUMMYFUNCTION("""COMPUTED_VALUE"""),"sci")</f>
        <v>sci</v>
      </c>
      <c r="H1208" s="6" t="str">
        <f>IFERROR(__xludf.DUMMYFUNCTION("""COMPUTED_VALUE"""),"estranged")</f>
        <v>estranged</v>
      </c>
      <c r="I1208" s="6"/>
      <c r="J1208" s="6" t="str">
        <f>IFERROR(__xludf.DUMMYFUNCTION("""COMPUTED_VALUE"""),"privy")</f>
        <v>privy</v>
      </c>
      <c r="L1208" s="6" t="str">
        <f>IFERROR(__xludf.DUMMYFUNCTION("""COMPUTED_VALUE"""),"lyrical")</f>
        <v>lyrical</v>
      </c>
      <c r="M1208" s="6" t="str">
        <f>IFERROR(__xludf.DUMMYFUNCTION("""COMPUTED_VALUE"""),"united")</f>
        <v>united</v>
      </c>
      <c r="N1208" s="6" t="str">
        <f>IFERROR(__xludf.DUMMYFUNCTION("""COMPUTED_VALUE"""),"premise")</f>
        <v>premise</v>
      </c>
      <c r="P1208" s="6" t="str">
        <f>IFERROR(__xludf.DUMMYFUNCTION("""COMPUTED_VALUE"""),"salt")</f>
        <v>salt</v>
      </c>
      <c r="Q1208" s="6" t="str">
        <f>IFERROR(__xludf.DUMMYFUNCTION("""COMPUTED_VALUE"""),"provoke")</f>
        <v>provoke</v>
      </c>
      <c r="S1208" s="6" t="str">
        <f>IFERROR(__xludf.DUMMYFUNCTION("""COMPUTED_VALUE"""),"chain")</f>
        <v>chain</v>
      </c>
    </row>
    <row r="1209">
      <c r="B1209" s="6"/>
      <c r="D1209" s="6"/>
      <c r="G1209" s="6" t="str">
        <f>IFERROR(__xludf.DUMMYFUNCTION("""COMPUTED_VALUE"""),"attach")</f>
        <v>attach</v>
      </c>
      <c r="H1209" s="6" t="str">
        <f>IFERROR(__xludf.DUMMYFUNCTION("""COMPUTED_VALUE"""),"incapable")</f>
        <v>incapable</v>
      </c>
      <c r="I1209" s="6"/>
      <c r="J1209" s="6" t="str">
        <f>IFERROR(__xludf.DUMMYFUNCTION("""COMPUTED_VALUE"""),"garnered")</f>
        <v>garnered</v>
      </c>
      <c r="L1209" s="6" t="str">
        <f>IFERROR(__xludf.DUMMYFUNCTION("""COMPUTED_VALUE"""),"hypnotic")</f>
        <v>hypnotic</v>
      </c>
      <c r="M1209" s="6" t="str">
        <f>IFERROR(__xludf.DUMMYFUNCTION("""COMPUTED_VALUE"""),"belgium")</f>
        <v>belgium</v>
      </c>
      <c r="N1209" s="6" t="str">
        <f>IFERROR(__xludf.DUMMYFUNCTION("""COMPUTED_VALUE"""),"saddam")</f>
        <v>saddam</v>
      </c>
      <c r="P1209" s="6" t="str">
        <f>IFERROR(__xludf.DUMMYFUNCTION("""COMPUTED_VALUE"""),"trumpet")</f>
        <v>trumpet</v>
      </c>
      <c r="Q1209" s="6" t="str">
        <f>IFERROR(__xludf.DUMMYFUNCTION("""COMPUTED_VALUE"""),"older")</f>
        <v>older</v>
      </c>
      <c r="S1209" s="6" t="str">
        <f>IFERROR(__xludf.DUMMYFUNCTION("""COMPUTED_VALUE"""),"forming")</f>
        <v>forming</v>
      </c>
    </row>
    <row r="1210">
      <c r="B1210" s="6"/>
      <c r="D1210" s="6"/>
      <c r="G1210" s="6" t="str">
        <f>IFERROR(__xludf.DUMMYFUNCTION("""COMPUTED_VALUE"""),"empowerment")</f>
        <v>empowerment</v>
      </c>
      <c r="H1210" s="6" t="str">
        <f>IFERROR(__xludf.DUMMYFUNCTION("""COMPUTED_VALUE"""),"acclaim")</f>
        <v>acclaim</v>
      </c>
      <c r="I1210" s="6"/>
      <c r="J1210" s="6" t="str">
        <f>IFERROR(__xludf.DUMMYFUNCTION("""COMPUTED_VALUE"""),"underlying")</f>
        <v>underlying</v>
      </c>
      <c r="L1210" s="6" t="str">
        <f>IFERROR(__xludf.DUMMYFUNCTION("""COMPUTED_VALUE"""),"visuals")</f>
        <v>visuals</v>
      </c>
      <c r="M1210" s="6" t="str">
        <f>IFERROR(__xludf.DUMMYFUNCTION("""COMPUTED_VALUE"""),"meetings")</f>
        <v>meetings</v>
      </c>
      <c r="N1210" s="6" t="str">
        <f>IFERROR(__xludf.DUMMYFUNCTION("""COMPUTED_VALUE"""),"bullets")</f>
        <v>bullets</v>
      </c>
      <c r="P1210" s="6" t="str">
        <f>IFERROR(__xludf.DUMMYFUNCTION("""COMPUTED_VALUE"""),"eighth")</f>
        <v>eighth</v>
      </c>
      <c r="Q1210" s="6" t="str">
        <f>IFERROR(__xludf.DUMMYFUNCTION("""COMPUTED_VALUE"""),"blackout")</f>
        <v>blackout</v>
      </c>
      <c r="S1210" s="6" t="str">
        <f>IFERROR(__xludf.DUMMYFUNCTION("""COMPUTED_VALUE"""),"pick")</f>
        <v>pick</v>
      </c>
    </row>
    <row r="1211">
      <c r="B1211" s="6"/>
      <c r="D1211" s="6"/>
      <c r="G1211" s="6" t="str">
        <f>IFERROR(__xludf.DUMMYFUNCTION("""COMPUTED_VALUE"""),"seduce")</f>
        <v>seduce</v>
      </c>
      <c r="H1211" s="6" t="str">
        <f>IFERROR(__xludf.DUMMYFUNCTION("""COMPUTED_VALUE"""),"famine")</f>
        <v>famine</v>
      </c>
      <c r="I1211" s="6"/>
      <c r="J1211" s="6" t="str">
        <f>IFERROR(__xludf.DUMMYFUNCTION("""COMPUTED_VALUE"""),"superhero")</f>
        <v>superhero</v>
      </c>
      <c r="L1211" s="6" t="str">
        <f>IFERROR(__xludf.DUMMYFUNCTION("""COMPUTED_VALUE"""),"grin")</f>
        <v>grin</v>
      </c>
      <c r="M1211" s="6" t="str">
        <f>IFERROR(__xludf.DUMMYFUNCTION("""COMPUTED_VALUE"""),"signals")</f>
        <v>signals</v>
      </c>
      <c r="N1211" s="6" t="str">
        <f>IFERROR(__xludf.DUMMYFUNCTION("""COMPUTED_VALUE"""),"fears")</f>
        <v>fears</v>
      </c>
      <c r="P1211" s="6" t="str">
        <f>IFERROR(__xludf.DUMMYFUNCTION("""COMPUTED_VALUE"""),"soul")</f>
        <v>soul</v>
      </c>
      <c r="Q1211" s="6" t="str">
        <f>IFERROR(__xludf.DUMMYFUNCTION("""COMPUTED_VALUE"""),"collapses")</f>
        <v>collapses</v>
      </c>
      <c r="S1211" s="6" t="str">
        <f>IFERROR(__xludf.DUMMYFUNCTION("""COMPUTED_VALUE"""),"wallace")</f>
        <v>wallace</v>
      </c>
    </row>
    <row r="1212">
      <c r="B1212" s="6"/>
      <c r="D1212" s="6"/>
      <c r="G1212" s="6" t="str">
        <f>IFERROR(__xludf.DUMMYFUNCTION("""COMPUTED_VALUE"""),"nash")</f>
        <v>nash</v>
      </c>
      <c r="H1212" s="6" t="str">
        <f>IFERROR(__xludf.DUMMYFUNCTION("""COMPUTED_VALUE"""),"disguised")</f>
        <v>disguised</v>
      </c>
      <c r="I1212" s="6"/>
      <c r="J1212" s="6" t="str">
        <f>IFERROR(__xludf.DUMMYFUNCTION("""COMPUTED_VALUE"""),"intellect")</f>
        <v>intellect</v>
      </c>
      <c r="L1212" s="6" t="str">
        <f>IFERROR(__xludf.DUMMYFUNCTION("""COMPUTED_VALUE"""),"futuristic")</f>
        <v>futuristic</v>
      </c>
      <c r="M1212" s="6" t="str">
        <f>IFERROR(__xludf.DUMMYFUNCTION("""COMPUTED_VALUE"""),"task")</f>
        <v>task</v>
      </c>
      <c r="N1212" s="6" t="str">
        <f>IFERROR(__xludf.DUMMYFUNCTION("""COMPUTED_VALUE"""),"episodes")</f>
        <v>episodes</v>
      </c>
      <c r="P1212" s="6" t="str">
        <f>IFERROR(__xludf.DUMMYFUNCTION("""COMPUTED_VALUE"""),"warriors")</f>
        <v>warriors</v>
      </c>
      <c r="Q1212" s="6" t="str">
        <f>IFERROR(__xludf.DUMMYFUNCTION("""COMPUTED_VALUE"""),"conceptual")</f>
        <v>conceptual</v>
      </c>
      <c r="S1212" s="6" t="str">
        <f>IFERROR(__xludf.DUMMYFUNCTION("""COMPUTED_VALUE"""),"enormous")</f>
        <v>enormous</v>
      </c>
    </row>
    <row r="1213">
      <c r="B1213" s="6"/>
      <c r="D1213" s="6"/>
      <c r="G1213" s="6" t="str">
        <f>IFERROR(__xludf.DUMMYFUNCTION("""COMPUTED_VALUE"""),"purity")</f>
        <v>purity</v>
      </c>
      <c r="H1213" s="6" t="str">
        <f>IFERROR(__xludf.DUMMYFUNCTION("""COMPUTED_VALUE"""),"troubled")</f>
        <v>troubled</v>
      </c>
      <c r="I1213" s="6"/>
      <c r="J1213" s="6" t="str">
        <f>IFERROR(__xludf.DUMMYFUNCTION("""COMPUTED_VALUE"""),"kissing")</f>
        <v>kissing</v>
      </c>
      <c r="L1213" s="6" t="str">
        <f>IFERROR(__xludf.DUMMYFUNCTION("""COMPUTED_VALUE"""),"emotion")</f>
        <v>emotion</v>
      </c>
      <c r="M1213" s="6" t="str">
        <f>IFERROR(__xludf.DUMMYFUNCTION("""COMPUTED_VALUE"""),"leads")</f>
        <v>leads</v>
      </c>
      <c r="N1213" s="6" t="str">
        <f>IFERROR(__xludf.DUMMYFUNCTION("""COMPUTED_VALUE"""),"homage")</f>
        <v>homage</v>
      </c>
      <c r="P1213" s="6" t="str">
        <f>IFERROR(__xludf.DUMMYFUNCTION("""COMPUTED_VALUE"""),"gang")</f>
        <v>gang</v>
      </c>
      <c r="Q1213" s="6" t="str">
        <f>IFERROR(__xludf.DUMMYFUNCTION("""COMPUTED_VALUE"""),"accident")</f>
        <v>accident</v>
      </c>
      <c r="S1213" s="6" t="str">
        <f>IFERROR(__xludf.DUMMYFUNCTION("""COMPUTED_VALUE"""),"cause")</f>
        <v>cause</v>
      </c>
    </row>
    <row r="1214">
      <c r="B1214" s="6"/>
      <c r="D1214" s="6"/>
      <c r="G1214" s="6" t="str">
        <f>IFERROR(__xludf.DUMMYFUNCTION("""COMPUTED_VALUE"""),"fictional")</f>
        <v>fictional</v>
      </c>
      <c r="H1214" s="6" t="str">
        <f>IFERROR(__xludf.DUMMYFUNCTION("""COMPUTED_VALUE"""),"sly")</f>
        <v>sly</v>
      </c>
      <c r="I1214" s="6"/>
      <c r="J1214" s="6" t="str">
        <f>IFERROR(__xludf.DUMMYFUNCTION("""COMPUTED_VALUE"""),"pencil")</f>
        <v>pencil</v>
      </c>
      <c r="L1214" s="6" t="str">
        <f>IFERROR(__xludf.DUMMYFUNCTION("""COMPUTED_VALUE"""),"martial")</f>
        <v>martial</v>
      </c>
      <c r="M1214" s="6" t="str">
        <f>IFERROR(__xludf.DUMMYFUNCTION("""COMPUTED_VALUE"""),"13th")</f>
        <v>13th</v>
      </c>
      <c r="N1214" s="6" t="str">
        <f>IFERROR(__xludf.DUMMYFUNCTION("""COMPUTED_VALUE"""),"bourgeois")</f>
        <v>bourgeois</v>
      </c>
      <c r="P1214" s="6" t="str">
        <f>IFERROR(__xludf.DUMMYFUNCTION("""COMPUTED_VALUE"""),"superior")</f>
        <v>superior</v>
      </c>
      <c r="Q1214" s="6" t="str">
        <f>IFERROR(__xludf.DUMMYFUNCTION("""COMPUTED_VALUE"""),"puzzle")</f>
        <v>puzzle</v>
      </c>
      <c r="S1214" s="6" t="str">
        <f>IFERROR(__xludf.DUMMYFUNCTION("""COMPUTED_VALUE"""),"notion")</f>
        <v>notion</v>
      </c>
    </row>
    <row r="1215">
      <c r="B1215" s="6"/>
      <c r="D1215" s="6"/>
      <c r="G1215" s="6" t="str">
        <f>IFERROR(__xludf.DUMMYFUNCTION("""COMPUTED_VALUE"""),"roster")</f>
        <v>roster</v>
      </c>
      <c r="H1215" s="6" t="str">
        <f>IFERROR(__xludf.DUMMYFUNCTION("""COMPUTED_VALUE"""),"emerges")</f>
        <v>emerges</v>
      </c>
      <c r="I1215" s="6"/>
      <c r="J1215" s="6" t="str">
        <f>IFERROR(__xludf.DUMMYFUNCTION("""COMPUTED_VALUE"""),"defiance")</f>
        <v>defiance</v>
      </c>
      <c r="L1215" s="6" t="str">
        <f>IFERROR(__xludf.DUMMYFUNCTION("""COMPUTED_VALUE"""),"narrative")</f>
        <v>narrative</v>
      </c>
      <c r="M1215" s="6" t="str">
        <f>IFERROR(__xludf.DUMMYFUNCTION("""COMPUTED_VALUE"""),"tie")</f>
        <v>tie</v>
      </c>
      <c r="N1215" s="6" t="str">
        <f>IFERROR(__xludf.DUMMYFUNCTION("""COMPUTED_VALUE"""),"australia")</f>
        <v>australia</v>
      </c>
      <c r="P1215" s="6" t="str">
        <f>IFERROR(__xludf.DUMMYFUNCTION("""COMPUTED_VALUE"""),"lectures")</f>
        <v>lectures</v>
      </c>
      <c r="Q1215" s="6" t="str">
        <f>IFERROR(__xludf.DUMMYFUNCTION("""COMPUTED_VALUE"""),"sorority")</f>
        <v>sorority</v>
      </c>
      <c r="S1215" s="6" t="str">
        <f>IFERROR(__xludf.DUMMYFUNCTION("""COMPUTED_VALUE"""),"birthday")</f>
        <v>birthday</v>
      </c>
    </row>
    <row r="1216">
      <c r="B1216" s="6"/>
      <c r="D1216" s="6"/>
      <c r="G1216" s="6" t="str">
        <f>IFERROR(__xludf.DUMMYFUNCTION("""COMPUTED_VALUE"""),"afford")</f>
        <v>afford</v>
      </c>
      <c r="H1216" s="6" t="str">
        <f>IFERROR(__xludf.DUMMYFUNCTION("""COMPUTED_VALUE"""),"expands")</f>
        <v>expands</v>
      </c>
      <c r="I1216" s="6"/>
      <c r="J1216" s="6" t="str">
        <f>IFERROR(__xludf.DUMMYFUNCTION("""COMPUTED_VALUE"""),"pollution")</f>
        <v>pollution</v>
      </c>
      <c r="L1216" s="6" t="str">
        <f>IFERROR(__xludf.DUMMYFUNCTION("""COMPUTED_VALUE"""),"progresses")</f>
        <v>progresses</v>
      </c>
      <c r="M1216" s="6" t="str">
        <f>IFERROR(__xludf.DUMMYFUNCTION("""COMPUTED_VALUE"""),"conflict")</f>
        <v>conflict</v>
      </c>
      <c r="N1216" s="6" t="str">
        <f>IFERROR(__xludf.DUMMYFUNCTION("""COMPUTED_VALUE"""),"frightening")</f>
        <v>frightening</v>
      </c>
      <c r="P1216" s="6" t="str">
        <f>IFERROR(__xludf.DUMMYFUNCTION("""COMPUTED_VALUE"""),"terrorist")</f>
        <v>terrorist</v>
      </c>
      <c r="Q1216" s="6" t="str">
        <f>IFERROR(__xludf.DUMMYFUNCTION("""COMPUTED_VALUE"""),"naturally")</f>
        <v>naturally</v>
      </c>
      <c r="S1216" s="6" t="str">
        <f>IFERROR(__xludf.DUMMYFUNCTION("""COMPUTED_VALUE"""),"technical")</f>
        <v>technical</v>
      </c>
    </row>
    <row r="1217">
      <c r="B1217" s="6"/>
      <c r="D1217" s="6"/>
      <c r="G1217" s="6" t="str">
        <f>IFERROR(__xludf.DUMMYFUNCTION("""COMPUTED_VALUE"""),"bolt")</f>
        <v>bolt</v>
      </c>
      <c r="H1217" s="6" t="str">
        <f>IFERROR(__xludf.DUMMYFUNCTION("""COMPUTED_VALUE"""),"tales")</f>
        <v>tales</v>
      </c>
      <c r="I1217" s="6"/>
      <c r="J1217" s="6" t="str">
        <f>IFERROR(__xludf.DUMMYFUNCTION("""COMPUTED_VALUE"""),"achieving")</f>
        <v>achieving</v>
      </c>
      <c r="L1217" s="6" t="str">
        <f>IFERROR(__xludf.DUMMYFUNCTION("""COMPUTED_VALUE"""),"expressing")</f>
        <v>expressing</v>
      </c>
      <c r="M1217" s="6" t="str">
        <f>IFERROR(__xludf.DUMMYFUNCTION("""COMPUTED_VALUE"""),"spy")</f>
        <v>spy</v>
      </c>
      <c r="N1217" s="6" t="str">
        <f>IFERROR(__xludf.DUMMYFUNCTION("""COMPUTED_VALUE"""),"witty")</f>
        <v>witty</v>
      </c>
      <c r="P1217" s="6" t="str">
        <f>IFERROR(__xludf.DUMMYFUNCTION("""COMPUTED_VALUE"""),"variation")</f>
        <v>variation</v>
      </c>
      <c r="Q1217" s="6" t="str">
        <f>IFERROR(__xludf.DUMMYFUNCTION("""COMPUTED_VALUE"""),"corpse")</f>
        <v>corpse</v>
      </c>
      <c r="S1217" s="6" t="str">
        <f>IFERROR(__xludf.DUMMYFUNCTION("""COMPUTED_VALUE"""),"considered")</f>
        <v>considered</v>
      </c>
    </row>
    <row r="1218">
      <c r="B1218" s="6"/>
      <c r="D1218" s="6"/>
      <c r="G1218" s="6" t="str">
        <f>IFERROR(__xludf.DUMMYFUNCTION("""COMPUTED_VALUE"""),"enforced")</f>
        <v>enforced</v>
      </c>
      <c r="H1218" s="6" t="str">
        <f>IFERROR(__xludf.DUMMYFUNCTION("""COMPUTED_VALUE"""),"deaths")</f>
        <v>deaths</v>
      </c>
      <c r="I1218" s="6"/>
      <c r="J1218" s="6" t="str">
        <f>IFERROR(__xludf.DUMMYFUNCTION("""COMPUTED_VALUE"""),"famous")</f>
        <v>famous</v>
      </c>
      <c r="L1218" s="6" t="str">
        <f>IFERROR(__xludf.DUMMYFUNCTION("""COMPUTED_VALUE"""),"seduce")</f>
        <v>seduce</v>
      </c>
      <c r="M1218" s="6" t="str">
        <f>IFERROR(__xludf.DUMMYFUNCTION("""COMPUTED_VALUE"""),"hearts")</f>
        <v>hearts</v>
      </c>
      <c r="N1218" s="6" t="str">
        <f>IFERROR(__xludf.DUMMYFUNCTION("""COMPUTED_VALUE"""),"victories")</f>
        <v>victories</v>
      </c>
      <c r="P1218" s="6" t="str">
        <f>IFERROR(__xludf.DUMMYFUNCTION("""COMPUTED_VALUE"""),"gaze")</f>
        <v>gaze</v>
      </c>
      <c r="Q1218" s="6" t="str">
        <f>IFERROR(__xludf.DUMMYFUNCTION("""COMPUTED_VALUE"""),"siege")</f>
        <v>siege</v>
      </c>
      <c r="S1218" s="6" t="str">
        <f>IFERROR(__xludf.DUMMYFUNCTION("""COMPUTED_VALUE"""),"immediately")</f>
        <v>immediately</v>
      </c>
    </row>
    <row r="1219">
      <c r="B1219" s="6"/>
      <c r="D1219" s="6"/>
      <c r="G1219" s="6" t="str">
        <f>IFERROR(__xludf.DUMMYFUNCTION("""COMPUTED_VALUE"""),"stroke")</f>
        <v>stroke</v>
      </c>
      <c r="H1219" s="6" t="str">
        <f>IFERROR(__xludf.DUMMYFUNCTION("""COMPUTED_VALUE"""),"careers")</f>
        <v>careers</v>
      </c>
      <c r="I1219" s="6"/>
      <c r="J1219" s="6" t="str">
        <f>IFERROR(__xludf.DUMMYFUNCTION("""COMPUTED_VALUE"""),"sorrow")</f>
        <v>sorrow</v>
      </c>
      <c r="L1219" s="6" t="str">
        <f>IFERROR(__xludf.DUMMYFUNCTION("""COMPUTED_VALUE"""),"memoir")</f>
        <v>memoir</v>
      </c>
      <c r="M1219" s="6" t="str">
        <f>IFERROR(__xludf.DUMMYFUNCTION("""COMPUTED_VALUE"""),"championship")</f>
        <v>championship</v>
      </c>
      <c r="N1219" s="6" t="str">
        <f>IFERROR(__xludf.DUMMYFUNCTION("""COMPUTED_VALUE"""),"corpse")</f>
        <v>corpse</v>
      </c>
      <c r="P1219" s="6" t="str">
        <f>IFERROR(__xludf.DUMMYFUNCTION("""COMPUTED_VALUE"""),"album")</f>
        <v>album</v>
      </c>
      <c r="Q1219" s="6" t="str">
        <f>IFERROR(__xludf.DUMMYFUNCTION("""COMPUTED_VALUE"""),"climax")</f>
        <v>climax</v>
      </c>
      <c r="S1219" s="6" t="str">
        <f>IFERROR(__xludf.DUMMYFUNCTION("""COMPUTED_VALUE"""),"letting")</f>
        <v>letting</v>
      </c>
    </row>
    <row r="1220">
      <c r="B1220" s="6"/>
      <c r="D1220" s="6"/>
      <c r="G1220" s="6" t="str">
        <f>IFERROR(__xludf.DUMMYFUNCTION("""COMPUTED_VALUE"""),"nominated")</f>
        <v>nominated</v>
      </c>
      <c r="H1220" s="6" t="str">
        <f>IFERROR(__xludf.DUMMYFUNCTION("""COMPUTED_VALUE"""),"titus")</f>
        <v>titus</v>
      </c>
      <c r="I1220" s="6"/>
      <c r="J1220" s="6" t="str">
        <f>IFERROR(__xludf.DUMMYFUNCTION("""COMPUTED_VALUE"""),"intensely")</f>
        <v>intensely</v>
      </c>
      <c r="L1220" s="6" t="str">
        <f>IFERROR(__xludf.DUMMYFUNCTION("""COMPUTED_VALUE"""),"tapestry")</f>
        <v>tapestry</v>
      </c>
      <c r="M1220" s="6" t="str">
        <f>IFERROR(__xludf.DUMMYFUNCTION("""COMPUTED_VALUE"""),"role")</f>
        <v>role</v>
      </c>
      <c r="N1220" s="6" t="str">
        <f>IFERROR(__xludf.DUMMYFUNCTION("""COMPUTED_VALUE"""),"heroes")</f>
        <v>heroes</v>
      </c>
      <c r="P1220" s="6" t="str">
        <f>IFERROR(__xludf.DUMMYFUNCTION("""COMPUTED_VALUE"""),"square")</f>
        <v>square</v>
      </c>
      <c r="Q1220" s="6" t="str">
        <f>IFERROR(__xludf.DUMMYFUNCTION("""COMPUTED_VALUE"""),"neil")</f>
        <v>neil</v>
      </c>
      <c r="S1220" s="6" t="str">
        <f>IFERROR(__xludf.DUMMYFUNCTION("""COMPUTED_VALUE"""),"comfortable")</f>
        <v>comfortable</v>
      </c>
    </row>
    <row r="1221">
      <c r="B1221" s="6"/>
      <c r="D1221" s="6"/>
      <c r="G1221" s="6" t="str">
        <f>IFERROR(__xludf.DUMMYFUNCTION("""COMPUTED_VALUE"""),"chen")</f>
        <v>chen</v>
      </c>
      <c r="H1221" s="6" t="str">
        <f>IFERROR(__xludf.DUMMYFUNCTION("""COMPUTED_VALUE"""),"undo")</f>
        <v>undo</v>
      </c>
      <c r="I1221" s="6"/>
      <c r="J1221" s="6" t="str">
        <f>IFERROR(__xludf.DUMMYFUNCTION("""COMPUTED_VALUE"""),"object")</f>
        <v>object</v>
      </c>
      <c r="L1221" s="6" t="str">
        <f>IFERROR(__xludf.DUMMYFUNCTION("""COMPUTED_VALUE"""),"vain")</f>
        <v>vain</v>
      </c>
      <c r="M1221" s="6" t="str">
        <f>IFERROR(__xludf.DUMMYFUNCTION("""COMPUTED_VALUE"""),"brief")</f>
        <v>brief</v>
      </c>
      <c r="N1221" s="6" t="str">
        <f>IFERROR(__xludf.DUMMYFUNCTION("""COMPUTED_VALUE"""),"considerable")</f>
        <v>considerable</v>
      </c>
      <c r="P1221" s="6" t="str">
        <f>IFERROR(__xludf.DUMMYFUNCTION("""COMPUTED_VALUE"""),"birmingham")</f>
        <v>birmingham</v>
      </c>
      <c r="Q1221" s="6" t="str">
        <f>IFERROR(__xludf.DUMMYFUNCTION("""COMPUTED_VALUE"""),"jealousy")</f>
        <v>jealousy</v>
      </c>
      <c r="S1221" s="6" t="str">
        <f>IFERROR(__xludf.DUMMYFUNCTION("""COMPUTED_VALUE"""),"carved")</f>
        <v>carved</v>
      </c>
    </row>
    <row r="1222">
      <c r="B1222" s="6"/>
      <c r="D1222" s="6"/>
      <c r="G1222" s="6" t="str">
        <f>IFERROR(__xludf.DUMMYFUNCTION("""COMPUTED_VALUE"""),"backstage")</f>
        <v>backstage</v>
      </c>
      <c r="H1222" s="6" t="str">
        <f>IFERROR(__xludf.DUMMYFUNCTION("""COMPUTED_VALUE"""),"vastly")</f>
        <v>vastly</v>
      </c>
      <c r="I1222" s="6"/>
      <c r="J1222" s="6" t="str">
        <f>IFERROR(__xludf.DUMMYFUNCTION("""COMPUTED_VALUE"""),"glucose")</f>
        <v>glucose</v>
      </c>
      <c r="L1222" s="6" t="str">
        <f>IFERROR(__xludf.DUMMYFUNCTION("""COMPUTED_VALUE"""),"unchanged")</f>
        <v>unchanged</v>
      </c>
      <c r="M1222" s="6" t="str">
        <f>IFERROR(__xludf.DUMMYFUNCTION("""COMPUTED_VALUE"""),"serial")</f>
        <v>serial</v>
      </c>
      <c r="N1222" s="6" t="str">
        <f>IFERROR(__xludf.DUMMYFUNCTION("""COMPUTED_VALUE"""),"hooks")</f>
        <v>hooks</v>
      </c>
      <c r="P1222" s="6" t="str">
        <f>IFERROR(__xludf.DUMMYFUNCTION("""COMPUTED_VALUE"""),"rural")</f>
        <v>rural</v>
      </c>
      <c r="Q1222" s="6" t="str">
        <f>IFERROR(__xludf.DUMMYFUNCTION("""COMPUTED_VALUE"""),"tenderly")</f>
        <v>tenderly</v>
      </c>
      <c r="S1222" s="6" t="str">
        <f>IFERROR(__xludf.DUMMYFUNCTION("""COMPUTED_VALUE"""),"slowly")</f>
        <v>slowly</v>
      </c>
    </row>
    <row r="1223">
      <c r="B1223" s="6"/>
      <c r="D1223" s="6"/>
      <c r="G1223" s="6" t="str">
        <f>IFERROR(__xludf.DUMMYFUNCTION("""COMPUTED_VALUE"""),"decay")</f>
        <v>decay</v>
      </c>
      <c r="H1223" s="6" t="str">
        <f>IFERROR(__xludf.DUMMYFUNCTION("""COMPUTED_VALUE"""),"espionage")</f>
        <v>espionage</v>
      </c>
      <c r="I1223" s="6"/>
      <c r="J1223" s="6" t="str">
        <f>IFERROR(__xludf.DUMMYFUNCTION("""COMPUTED_VALUE"""),"revelation")</f>
        <v>revelation</v>
      </c>
      <c r="L1223" s="6" t="str">
        <f>IFERROR(__xludf.DUMMYFUNCTION("""COMPUTED_VALUE"""),"stakes")</f>
        <v>stakes</v>
      </c>
      <c r="M1223" s="6" t="str">
        <f>IFERROR(__xludf.DUMMYFUNCTION("""COMPUTED_VALUE"""),"protect")</f>
        <v>protect</v>
      </c>
      <c r="N1223" s="6" t="str">
        <f>IFERROR(__xludf.DUMMYFUNCTION("""COMPUTED_VALUE"""),"confidently")</f>
        <v>confidently</v>
      </c>
      <c r="P1223" s="6" t="str">
        <f>IFERROR(__xludf.DUMMYFUNCTION("""COMPUTED_VALUE"""),"fires")</f>
        <v>fires</v>
      </c>
      <c r="Q1223" s="6" t="str">
        <f>IFERROR(__xludf.DUMMYFUNCTION("""COMPUTED_VALUE"""),"christopher")</f>
        <v>christopher</v>
      </c>
      <c r="S1223" s="6" t="str">
        <f>IFERROR(__xludf.DUMMYFUNCTION("""COMPUTED_VALUE"""),"gender")</f>
        <v>gender</v>
      </c>
    </row>
    <row r="1224">
      <c r="B1224" s="6"/>
      <c r="D1224" s="6"/>
      <c r="G1224" s="6" t="str">
        <f>IFERROR(__xludf.DUMMYFUNCTION("""COMPUTED_VALUE"""),"pivotal")</f>
        <v>pivotal</v>
      </c>
      <c r="H1224" s="6" t="str">
        <f>IFERROR(__xludf.DUMMYFUNCTION("""COMPUTED_VALUE"""),"refugees")</f>
        <v>refugees</v>
      </c>
      <c r="I1224" s="6"/>
      <c r="J1224" s="6" t="str">
        <f>IFERROR(__xludf.DUMMYFUNCTION("""COMPUTED_VALUE"""),"atmospheric")</f>
        <v>atmospheric</v>
      </c>
      <c r="L1224" s="6" t="str">
        <f>IFERROR(__xludf.DUMMYFUNCTION("""COMPUTED_VALUE"""),"brutality")</f>
        <v>brutality</v>
      </c>
      <c r="M1224" s="6" t="str">
        <f>IFERROR(__xludf.DUMMYFUNCTION("""COMPUTED_VALUE"""),"notable")</f>
        <v>notable</v>
      </c>
      <c r="N1224" s="6" t="str">
        <f>IFERROR(__xludf.DUMMYFUNCTION("""COMPUTED_VALUE"""),"metaphysical")</f>
        <v>metaphysical</v>
      </c>
      <c r="P1224" s="6" t="str">
        <f>IFERROR(__xludf.DUMMYFUNCTION("""COMPUTED_VALUE"""),"front")</f>
        <v>front</v>
      </c>
      <c r="Q1224" s="6" t="str">
        <f>IFERROR(__xludf.DUMMYFUNCTION("""COMPUTED_VALUE"""),"classify")</f>
        <v>classify</v>
      </c>
      <c r="S1224" s="6" t="str">
        <f>IFERROR(__xludf.DUMMYFUNCTION("""COMPUTED_VALUE"""),"1940s")</f>
        <v>1940s</v>
      </c>
    </row>
    <row r="1225">
      <c r="B1225" s="6"/>
      <c r="D1225" s="6"/>
      <c r="G1225" s="6" t="str">
        <f>IFERROR(__xludf.DUMMYFUNCTION("""COMPUTED_VALUE"""),"comparisons")</f>
        <v>comparisons</v>
      </c>
      <c r="H1225" s="6" t="str">
        <f>IFERROR(__xludf.DUMMYFUNCTION("""COMPUTED_VALUE"""),"alien")</f>
        <v>alien</v>
      </c>
      <c r="I1225" s="6"/>
      <c r="J1225" s="6" t="str">
        <f>IFERROR(__xludf.DUMMYFUNCTION("""COMPUTED_VALUE"""),"horizons")</f>
        <v>horizons</v>
      </c>
      <c r="L1225" s="6" t="str">
        <f>IFERROR(__xludf.DUMMYFUNCTION("""COMPUTED_VALUE"""),"illuminated")</f>
        <v>illuminated</v>
      </c>
      <c r="M1225" s="6" t="str">
        <f>IFERROR(__xludf.DUMMYFUNCTION("""COMPUTED_VALUE"""),"molly")</f>
        <v>molly</v>
      </c>
      <c r="N1225" s="6" t="str">
        <f>IFERROR(__xludf.DUMMYFUNCTION("""COMPUTED_VALUE"""),"plot")</f>
        <v>plot</v>
      </c>
      <c r="P1225" s="6" t="str">
        <f>IFERROR(__xludf.DUMMYFUNCTION("""COMPUTED_VALUE"""),"gay")</f>
        <v>gay</v>
      </c>
      <c r="Q1225" s="6" t="str">
        <f>IFERROR(__xludf.DUMMYFUNCTION("""COMPUTED_VALUE"""),"scores")</f>
        <v>scores</v>
      </c>
      <c r="S1225" s="6" t="str">
        <f>IFERROR(__xludf.DUMMYFUNCTION("""COMPUTED_VALUE"""),"nervous")</f>
        <v>nervous</v>
      </c>
    </row>
    <row r="1226">
      <c r="B1226" s="6"/>
      <c r="D1226" s="6"/>
      <c r="G1226" s="6" t="str">
        <f>IFERROR(__xludf.DUMMYFUNCTION("""COMPUTED_VALUE"""),"followers")</f>
        <v>followers</v>
      </c>
      <c r="H1226" s="6" t="str">
        <f>IFERROR(__xludf.DUMMYFUNCTION("""COMPUTED_VALUE"""),"coughed")</f>
        <v>coughed</v>
      </c>
      <c r="I1226" s="6"/>
      <c r="J1226" s="6" t="str">
        <f>IFERROR(__xludf.DUMMYFUNCTION("""COMPUTED_VALUE"""),"accurately")</f>
        <v>accurately</v>
      </c>
      <c r="L1226" s="6" t="str">
        <f>IFERROR(__xludf.DUMMYFUNCTION("""COMPUTED_VALUE"""),"insistent")</f>
        <v>insistent</v>
      </c>
      <c r="M1226" s="6" t="str">
        <f>IFERROR(__xludf.DUMMYFUNCTION("""COMPUTED_VALUE"""),"cannon")</f>
        <v>cannon</v>
      </c>
      <c r="N1226" s="6" t="str">
        <f>IFERROR(__xludf.DUMMYFUNCTION("""COMPUTED_VALUE"""),"jumps")</f>
        <v>jumps</v>
      </c>
      <c r="P1226" s="6" t="str">
        <f>IFERROR(__xludf.DUMMYFUNCTION("""COMPUTED_VALUE"""),"conservative")</f>
        <v>conservative</v>
      </c>
      <c r="Q1226" s="6" t="str">
        <f>IFERROR(__xludf.DUMMYFUNCTION("""COMPUTED_VALUE"""),"direct")</f>
        <v>direct</v>
      </c>
      <c r="S1226" s="6" t="str">
        <f>IFERROR(__xludf.DUMMYFUNCTION("""COMPUTED_VALUE"""),"pushing")</f>
        <v>pushing</v>
      </c>
    </row>
    <row r="1227">
      <c r="B1227" s="6"/>
      <c r="D1227" s="6"/>
      <c r="G1227" s="6" t="str">
        <f>IFERROR(__xludf.DUMMYFUNCTION("""COMPUTED_VALUE"""),"stark")</f>
        <v>stark</v>
      </c>
      <c r="H1227" s="6" t="str">
        <f>IFERROR(__xludf.DUMMYFUNCTION("""COMPUTED_VALUE"""),"varying")</f>
        <v>varying</v>
      </c>
      <c r="I1227" s="6"/>
      <c r="J1227" s="6" t="str">
        <f>IFERROR(__xludf.DUMMYFUNCTION("""COMPUTED_VALUE"""),"turmoil")</f>
        <v>turmoil</v>
      </c>
      <c r="L1227" s="6" t="str">
        <f>IFERROR(__xludf.DUMMYFUNCTION("""COMPUTED_VALUE"""),"skeleton")</f>
        <v>skeleton</v>
      </c>
      <c r="M1227" s="6" t="str">
        <f>IFERROR(__xludf.DUMMYFUNCTION("""COMPUTED_VALUE"""),"efforts")</f>
        <v>efforts</v>
      </c>
      <c r="N1227" s="6" t="str">
        <f>IFERROR(__xludf.DUMMYFUNCTION("""COMPUTED_VALUE"""),"exploitation")</f>
        <v>exploitation</v>
      </c>
      <c r="P1227" s="6" t="str">
        <f>IFERROR(__xludf.DUMMYFUNCTION("""COMPUTED_VALUE"""),"suspected")</f>
        <v>suspected</v>
      </c>
      <c r="Q1227" s="6" t="str">
        <f>IFERROR(__xludf.DUMMYFUNCTION("""COMPUTED_VALUE"""),"autobiographical")</f>
        <v>autobiographical</v>
      </c>
      <c r="S1227" s="6" t="str">
        <f>IFERROR(__xludf.DUMMYFUNCTION("""COMPUTED_VALUE"""),"conflict")</f>
        <v>conflict</v>
      </c>
    </row>
    <row r="1228">
      <c r="B1228" s="6"/>
      <c r="D1228" s="6"/>
      <c r="G1228" s="6" t="str">
        <f>IFERROR(__xludf.DUMMYFUNCTION("""COMPUTED_VALUE"""),"crocodile")</f>
        <v>crocodile</v>
      </c>
      <c r="H1228" s="6" t="str">
        <f>IFERROR(__xludf.DUMMYFUNCTION("""COMPUTED_VALUE"""),"hooks")</f>
        <v>hooks</v>
      </c>
      <c r="I1228" s="6"/>
      <c r="J1228" s="6">
        <f>IFERROR(__xludf.DUMMYFUNCTION("""COMPUTED_VALUE"""),83.0)</f>
        <v>83</v>
      </c>
      <c r="L1228" s="6" t="str">
        <f>IFERROR(__xludf.DUMMYFUNCTION("""COMPUTED_VALUE"""),"precious")</f>
        <v>precious</v>
      </c>
      <c r="M1228" s="6" t="str">
        <f>IFERROR(__xludf.DUMMYFUNCTION("""COMPUTED_VALUE"""),"trace")</f>
        <v>trace</v>
      </c>
      <c r="N1228" s="6" t="str">
        <f>IFERROR(__xludf.DUMMYFUNCTION("""COMPUTED_VALUE"""),"portray")</f>
        <v>portray</v>
      </c>
      <c r="P1228" s="6" t="str">
        <f>IFERROR(__xludf.DUMMYFUNCTION("""COMPUTED_VALUE"""),"condition")</f>
        <v>condition</v>
      </c>
      <c r="Q1228" s="6" t="str">
        <f>IFERROR(__xludf.DUMMYFUNCTION("""COMPUTED_VALUE"""),"sincerely")</f>
        <v>sincerely</v>
      </c>
      <c r="S1228" s="6" t="str">
        <f>IFERROR(__xludf.DUMMYFUNCTION("""COMPUTED_VALUE"""),"vital")</f>
        <v>vital</v>
      </c>
    </row>
    <row r="1229">
      <c r="B1229" s="6"/>
      <c r="D1229" s="6"/>
      <c r="G1229" s="6" t="str">
        <f>IFERROR(__xludf.DUMMYFUNCTION("""COMPUTED_VALUE"""),"bodily")</f>
        <v>bodily</v>
      </c>
      <c r="H1229" s="6" t="str">
        <f>IFERROR(__xludf.DUMMYFUNCTION("""COMPUTED_VALUE"""),"carries")</f>
        <v>carries</v>
      </c>
      <c r="I1229" s="6"/>
      <c r="J1229" s="6" t="str">
        <f>IFERROR(__xludf.DUMMYFUNCTION("""COMPUTED_VALUE"""),"hartley")</f>
        <v>hartley</v>
      </c>
      <c r="L1229" s="6" t="str">
        <f>IFERROR(__xludf.DUMMYFUNCTION("""COMPUTED_VALUE"""),"williams")</f>
        <v>williams</v>
      </c>
      <c r="M1229" s="6">
        <f>IFERROR(__xludf.DUMMYFUNCTION("""COMPUTED_VALUE"""),1993.0)</f>
        <v>1993</v>
      </c>
      <c r="N1229" s="6" t="str">
        <f>IFERROR(__xludf.DUMMYFUNCTION("""COMPUTED_VALUE"""),"lyrical")</f>
        <v>lyrical</v>
      </c>
      <c r="P1229" s="6" t="str">
        <f>IFERROR(__xludf.DUMMYFUNCTION("""COMPUTED_VALUE"""),"fool")</f>
        <v>fool</v>
      </c>
      <c r="Q1229" s="6" t="str">
        <f>IFERROR(__xludf.DUMMYFUNCTION("""COMPUTED_VALUE"""),"urgently")</f>
        <v>urgently</v>
      </c>
      <c r="S1229" s="6" t="str">
        <f>IFERROR(__xludf.DUMMYFUNCTION("""COMPUTED_VALUE"""),"although")</f>
        <v>although</v>
      </c>
    </row>
    <row r="1230">
      <c r="B1230" s="6"/>
      <c r="D1230" s="6"/>
      <c r="G1230" s="6" t="str">
        <f>IFERROR(__xludf.DUMMYFUNCTION("""COMPUTED_VALUE"""),"proving")</f>
        <v>proving</v>
      </c>
      <c r="H1230" s="6" t="str">
        <f>IFERROR(__xludf.DUMMYFUNCTION("""COMPUTED_VALUE"""),"oliver")</f>
        <v>oliver</v>
      </c>
      <c r="I1230" s="6"/>
      <c r="J1230" s="6" t="str">
        <f>IFERROR(__xludf.DUMMYFUNCTION("""COMPUTED_VALUE"""),"significance")</f>
        <v>significance</v>
      </c>
      <c r="L1230" s="6" t="str">
        <f>IFERROR(__xludf.DUMMYFUNCTION("""COMPUTED_VALUE"""),"searches")</f>
        <v>searches</v>
      </c>
      <c r="M1230" s="6" t="str">
        <f>IFERROR(__xludf.DUMMYFUNCTION("""COMPUTED_VALUE"""),"manufactured")</f>
        <v>manufactured</v>
      </c>
      <c r="N1230" s="6" t="str">
        <f>IFERROR(__xludf.DUMMYFUNCTION("""COMPUTED_VALUE"""),"hypnotic")</f>
        <v>hypnotic</v>
      </c>
      <c r="P1230" s="6" t="str">
        <f>IFERROR(__xludf.DUMMYFUNCTION("""COMPUTED_VALUE"""),"space")</f>
        <v>space</v>
      </c>
      <c r="Q1230" s="6" t="str">
        <f>IFERROR(__xludf.DUMMYFUNCTION("""COMPUTED_VALUE"""),"workings")</f>
        <v>workings</v>
      </c>
      <c r="S1230" s="6" t="str">
        <f>IFERROR(__xludf.DUMMYFUNCTION("""COMPUTED_VALUE"""),"capacity")</f>
        <v>capacity</v>
      </c>
    </row>
    <row r="1231">
      <c r="B1231" s="6"/>
      <c r="D1231" s="6"/>
      <c r="G1231" s="6" t="str">
        <f>IFERROR(__xludf.DUMMYFUNCTION("""COMPUTED_VALUE"""),"restrained")</f>
        <v>restrained</v>
      </c>
      <c r="H1231" s="6" t="str">
        <f>IFERROR(__xludf.DUMMYFUNCTION("""COMPUTED_VALUE"""),"irresistible")</f>
        <v>irresistible</v>
      </c>
      <c r="I1231" s="6"/>
      <c r="J1231" s="6" t="str">
        <f>IFERROR(__xludf.DUMMYFUNCTION("""COMPUTED_VALUE"""),"anarchist")</f>
        <v>anarchist</v>
      </c>
      <c r="L1231" s="6" t="str">
        <f>IFERROR(__xludf.DUMMYFUNCTION("""COMPUTED_VALUE"""),"vague")</f>
        <v>vague</v>
      </c>
      <c r="M1231" s="6" t="str">
        <f>IFERROR(__xludf.DUMMYFUNCTION("""COMPUTED_VALUE"""),"voices")</f>
        <v>voices</v>
      </c>
      <c r="N1231" s="6" t="str">
        <f>IFERROR(__xludf.DUMMYFUNCTION("""COMPUTED_VALUE"""),"visuals")</f>
        <v>visuals</v>
      </c>
      <c r="P1231" s="6" t="str">
        <f>IFERROR(__xludf.DUMMYFUNCTION("""COMPUTED_VALUE"""),"sought")</f>
        <v>sought</v>
      </c>
      <c r="Q1231" s="6" t="str">
        <f>IFERROR(__xludf.DUMMYFUNCTION("""COMPUTED_VALUE"""),"gaza")</f>
        <v>gaza</v>
      </c>
      <c r="S1231" s="6" t="str">
        <f>IFERROR(__xludf.DUMMYFUNCTION("""COMPUTED_VALUE"""),"shooting")</f>
        <v>shooting</v>
      </c>
    </row>
    <row r="1232">
      <c r="B1232" s="6"/>
      <c r="D1232" s="6"/>
      <c r="G1232" s="6" t="str">
        <f>IFERROR(__xludf.DUMMYFUNCTION("""COMPUTED_VALUE"""),"fling")</f>
        <v>fling</v>
      </c>
      <c r="H1232" s="6" t="str">
        <f>IFERROR(__xludf.DUMMYFUNCTION("""COMPUTED_VALUE"""),"hussein")</f>
        <v>hussein</v>
      </c>
      <c r="I1232" s="6"/>
      <c r="J1232" s="6" t="str">
        <f>IFERROR(__xludf.DUMMYFUNCTION("""COMPUTED_VALUE"""),"meaningless")</f>
        <v>meaningless</v>
      </c>
      <c r="L1232" s="6" t="str">
        <f>IFERROR(__xludf.DUMMYFUNCTION("""COMPUTED_VALUE"""),"bombs")</f>
        <v>bombs</v>
      </c>
      <c r="M1232" s="6" t="str">
        <f>IFERROR(__xludf.DUMMYFUNCTION("""COMPUTED_VALUE"""),"sung")</f>
        <v>sung</v>
      </c>
      <c r="N1232" s="6" t="str">
        <f>IFERROR(__xludf.DUMMYFUNCTION("""COMPUTED_VALUE"""),"grin")</f>
        <v>grin</v>
      </c>
      <c r="P1232" s="6" t="str">
        <f>IFERROR(__xludf.DUMMYFUNCTION("""COMPUTED_VALUE"""),"kissing")</f>
        <v>kissing</v>
      </c>
      <c r="Q1232" s="6" t="str">
        <f>IFERROR(__xludf.DUMMYFUNCTION("""COMPUTED_VALUE"""),"virtues")</f>
        <v>virtues</v>
      </c>
      <c r="S1232" s="6" t="str">
        <f>IFERROR(__xludf.DUMMYFUNCTION("""COMPUTED_VALUE"""),"wave")</f>
        <v>wave</v>
      </c>
    </row>
    <row r="1233">
      <c r="B1233" s="6"/>
      <c r="D1233" s="6"/>
      <c r="G1233" s="6" t="str">
        <f>IFERROR(__xludf.DUMMYFUNCTION("""COMPUTED_VALUE"""),"fleeting")</f>
        <v>fleeting</v>
      </c>
      <c r="H1233" s="6" t="str">
        <f>IFERROR(__xludf.DUMMYFUNCTION("""COMPUTED_VALUE"""),"saddam")</f>
        <v>saddam</v>
      </c>
      <c r="I1233" s="6"/>
      <c r="J1233" s="6" t="str">
        <f>IFERROR(__xludf.DUMMYFUNCTION("""COMPUTED_VALUE"""),"documentaries")</f>
        <v>documentaries</v>
      </c>
      <c r="L1233" s="6" t="str">
        <f>IFERROR(__xludf.DUMMYFUNCTION("""COMPUTED_VALUE"""),"counterparts")</f>
        <v>counterparts</v>
      </c>
      <c r="M1233" s="6" t="str">
        <f>IFERROR(__xludf.DUMMYFUNCTION("""COMPUTED_VALUE"""),"bid")</f>
        <v>bid</v>
      </c>
      <c r="N1233" s="6" t="str">
        <f>IFERROR(__xludf.DUMMYFUNCTION("""COMPUTED_VALUE"""),"futuristic")</f>
        <v>futuristic</v>
      </c>
      <c r="P1233" s="6" t="str">
        <f>IFERROR(__xludf.DUMMYFUNCTION("""COMPUTED_VALUE"""),"chief")</f>
        <v>chief</v>
      </c>
      <c r="Q1233" s="6" t="str">
        <f>IFERROR(__xludf.DUMMYFUNCTION("""COMPUTED_VALUE"""),"harm")</f>
        <v>harm</v>
      </c>
      <c r="S1233" s="6" t="str">
        <f>IFERROR(__xludf.DUMMYFUNCTION("""COMPUTED_VALUE"""),"develop")</f>
        <v>develop</v>
      </c>
    </row>
    <row r="1234">
      <c r="B1234" s="6"/>
      <c r="D1234" s="6"/>
      <c r="G1234" s="6" t="str">
        <f>IFERROR(__xludf.DUMMYFUNCTION("""COMPUTED_VALUE"""),"distinctions")</f>
        <v>distinctions</v>
      </c>
      <c r="H1234" s="6" t="str">
        <f>IFERROR(__xludf.DUMMYFUNCTION("""COMPUTED_VALUE"""),"operative")</f>
        <v>operative</v>
      </c>
      <c r="I1234" s="6"/>
      <c r="J1234" s="6" t="str">
        <f>IFERROR(__xludf.DUMMYFUNCTION("""COMPUTED_VALUE"""),"anne")</f>
        <v>anne</v>
      </c>
      <c r="L1234" s="6" t="str">
        <f>IFERROR(__xludf.DUMMYFUNCTION("""COMPUTED_VALUE"""),"virtues")</f>
        <v>virtues</v>
      </c>
      <c r="M1234" s="6" t="str">
        <f>IFERROR(__xludf.DUMMYFUNCTION("""COMPUTED_VALUE"""),"projects")</f>
        <v>projects</v>
      </c>
      <c r="N1234" s="6" t="str">
        <f>IFERROR(__xludf.DUMMYFUNCTION("""COMPUTED_VALUE"""),"emotion")</f>
        <v>emotion</v>
      </c>
      <c r="P1234" s="6" t="str">
        <f>IFERROR(__xludf.DUMMYFUNCTION("""COMPUTED_VALUE"""),"solutions")</f>
        <v>solutions</v>
      </c>
      <c r="Q1234" s="6" t="str">
        <f>IFERROR(__xludf.DUMMYFUNCTION("""COMPUTED_VALUE"""),"abyss")</f>
        <v>abyss</v>
      </c>
      <c r="S1234" s="6" t="str">
        <f>IFERROR(__xludf.DUMMYFUNCTION("""COMPUTED_VALUE"""),"connect")</f>
        <v>connect</v>
      </c>
    </row>
    <row r="1235">
      <c r="B1235" s="6"/>
      <c r="D1235" s="6"/>
      <c r="G1235" s="6" t="str">
        <f>IFERROR(__xludf.DUMMYFUNCTION("""COMPUTED_VALUE"""),"negotiate")</f>
        <v>negotiate</v>
      </c>
      <c r="H1235" s="6" t="str">
        <f>IFERROR(__xludf.DUMMYFUNCTION("""COMPUTED_VALUE"""),"exposition")</f>
        <v>exposition</v>
      </c>
      <c r="I1235" s="6"/>
      <c r="J1235" s="6" t="str">
        <f>IFERROR(__xludf.DUMMYFUNCTION("""COMPUTED_VALUE"""),"politically")</f>
        <v>politically</v>
      </c>
      <c r="L1235" s="6" t="str">
        <f>IFERROR(__xludf.DUMMYFUNCTION("""COMPUTED_VALUE"""),"continuation")</f>
        <v>continuation</v>
      </c>
      <c r="M1235" s="6" t="str">
        <f>IFERROR(__xludf.DUMMYFUNCTION("""COMPUTED_VALUE"""),"adams")</f>
        <v>adams</v>
      </c>
      <c r="N1235" s="6" t="str">
        <f>IFERROR(__xludf.DUMMYFUNCTION("""COMPUTED_VALUE"""),"narrative")</f>
        <v>narrative</v>
      </c>
      <c r="P1235" s="6" t="str">
        <f>IFERROR(__xludf.DUMMYFUNCTION("""COMPUTED_VALUE"""),"titled")</f>
        <v>titled</v>
      </c>
      <c r="Q1235" s="6" t="str">
        <f>IFERROR(__xludf.DUMMYFUNCTION("""COMPUTED_VALUE"""),"eroded")</f>
        <v>eroded</v>
      </c>
      <c r="S1235" s="6" t="str">
        <f>IFERROR(__xludf.DUMMYFUNCTION("""COMPUTED_VALUE"""),"onto")</f>
        <v>onto</v>
      </c>
    </row>
    <row r="1236">
      <c r="B1236" s="6"/>
      <c r="D1236" s="6"/>
      <c r="G1236" s="6" t="str">
        <f>IFERROR(__xludf.DUMMYFUNCTION("""COMPUTED_VALUE"""),"teeth")</f>
        <v>teeth</v>
      </c>
      <c r="H1236" s="6" t="str">
        <f>IFERROR(__xludf.DUMMYFUNCTION("""COMPUTED_VALUE"""),"chemistry")</f>
        <v>chemistry</v>
      </c>
      <c r="I1236" s="6"/>
      <c r="J1236" s="6" t="str">
        <f>IFERROR(__xludf.DUMMYFUNCTION("""COMPUTED_VALUE"""),"mysteries")</f>
        <v>mysteries</v>
      </c>
      <c r="L1236" s="6" t="str">
        <f>IFERROR(__xludf.DUMMYFUNCTION("""COMPUTED_VALUE"""),"historically")</f>
        <v>historically</v>
      </c>
      <c r="M1236" s="6" t="str">
        <f>IFERROR(__xludf.DUMMYFUNCTION("""COMPUTED_VALUE"""),"pretend")</f>
        <v>pretend</v>
      </c>
      <c r="N1236" s="6" t="str">
        <f>IFERROR(__xludf.DUMMYFUNCTION("""COMPUTED_VALUE"""),"progresses")</f>
        <v>progresses</v>
      </c>
      <c r="P1236" s="6" t="str">
        <f>IFERROR(__xludf.DUMMYFUNCTION("""COMPUTED_VALUE"""),"douglas")</f>
        <v>douglas</v>
      </c>
      <c r="Q1236" s="6" t="str">
        <f>IFERROR(__xludf.DUMMYFUNCTION("""COMPUTED_VALUE"""),"rhythm")</f>
        <v>rhythm</v>
      </c>
      <c r="S1236" s="6" t="str">
        <f>IFERROR(__xludf.DUMMYFUNCTION("""COMPUTED_VALUE"""),"interpretation")</f>
        <v>interpretation</v>
      </c>
    </row>
    <row r="1237">
      <c r="B1237" s="6"/>
      <c r="D1237" s="6"/>
      <c r="G1237" s="6" t="str">
        <f>IFERROR(__xludf.DUMMYFUNCTION("""COMPUTED_VALUE"""),"messenger")</f>
        <v>messenger</v>
      </c>
      <c r="H1237" s="6" t="str">
        <f>IFERROR(__xludf.DUMMYFUNCTION("""COMPUTED_VALUE"""),"concludes")</f>
        <v>concludes</v>
      </c>
      <c r="I1237" s="6"/>
      <c r="J1237" s="6" t="str">
        <f>IFERROR(__xludf.DUMMYFUNCTION("""COMPUTED_VALUE"""),"lodging")</f>
        <v>lodging</v>
      </c>
      <c r="L1237" s="6" t="str">
        <f>IFERROR(__xludf.DUMMYFUNCTION("""COMPUTED_VALUE"""),"philip")</f>
        <v>philip</v>
      </c>
      <c r="M1237" s="6" t="str">
        <f>IFERROR(__xludf.DUMMYFUNCTION("""COMPUTED_VALUE"""),"boots")</f>
        <v>boots</v>
      </c>
      <c r="N1237" s="6" t="str">
        <f>IFERROR(__xludf.DUMMYFUNCTION("""COMPUTED_VALUE"""),"expressing")</f>
        <v>expressing</v>
      </c>
      <c r="P1237" s="6" t="str">
        <f>IFERROR(__xludf.DUMMYFUNCTION("""COMPUTED_VALUE"""),"ad")</f>
        <v>ad</v>
      </c>
      <c r="Q1237" s="6" t="str">
        <f>IFERROR(__xludf.DUMMYFUNCTION("""COMPUTED_VALUE"""),"flawed")</f>
        <v>flawed</v>
      </c>
      <c r="S1237" s="6" t="str">
        <f>IFERROR(__xludf.DUMMYFUNCTION("""COMPUTED_VALUE"""),"represents")</f>
        <v>represents</v>
      </c>
    </row>
    <row r="1238">
      <c r="B1238" s="6"/>
      <c r="D1238" s="6"/>
      <c r="G1238" s="6" t="str">
        <f>IFERROR(__xludf.DUMMYFUNCTION("""COMPUTED_VALUE"""),"participants")</f>
        <v>participants</v>
      </c>
      <c r="H1238" s="6" t="str">
        <f>IFERROR(__xludf.DUMMYFUNCTION("""COMPUTED_VALUE"""),"willis")</f>
        <v>willis</v>
      </c>
      <c r="I1238" s="6"/>
      <c r="J1238" s="6" t="str">
        <f>IFERROR(__xludf.DUMMYFUNCTION("""COMPUTED_VALUE"""),"adam")</f>
        <v>adam</v>
      </c>
      <c r="L1238" s="6" t="str">
        <f>IFERROR(__xludf.DUMMYFUNCTION("""COMPUTED_VALUE"""),"reliance")</f>
        <v>reliance</v>
      </c>
      <c r="M1238" s="6" t="str">
        <f>IFERROR(__xludf.DUMMYFUNCTION("""COMPUTED_VALUE"""),"spell")</f>
        <v>spell</v>
      </c>
      <c r="N1238" s="6" t="str">
        <f>IFERROR(__xludf.DUMMYFUNCTION("""COMPUTED_VALUE"""),"seduce")</f>
        <v>seduce</v>
      </c>
      <c r="P1238" s="6">
        <f>IFERROR(__xludf.DUMMYFUNCTION("""COMPUTED_VALUE"""),83.0)</f>
        <v>83</v>
      </c>
      <c r="Q1238" s="6" t="str">
        <f>IFERROR(__xludf.DUMMYFUNCTION("""COMPUTED_VALUE"""),"comprehend")</f>
        <v>comprehend</v>
      </c>
      <c r="S1238" s="6" t="str">
        <f>IFERROR(__xludf.DUMMYFUNCTION("""COMPUTED_VALUE"""),"using")</f>
        <v>using</v>
      </c>
    </row>
    <row r="1239">
      <c r="B1239" s="6"/>
      <c r="D1239" s="6"/>
      <c r="G1239" s="6" t="str">
        <f>IFERROR(__xludf.DUMMYFUNCTION("""COMPUTED_VALUE"""),"sap")</f>
        <v>sap</v>
      </c>
      <c r="H1239" s="6" t="str">
        <f>IFERROR(__xludf.DUMMYFUNCTION("""COMPUTED_VALUE"""),"creators")</f>
        <v>creators</v>
      </c>
      <c r="I1239" s="6"/>
      <c r="J1239" s="6" t="str">
        <f>IFERROR(__xludf.DUMMYFUNCTION("""COMPUTED_VALUE"""),"technologies")</f>
        <v>technologies</v>
      </c>
      <c r="L1239" s="6" t="str">
        <f>IFERROR(__xludf.DUMMYFUNCTION("""COMPUTED_VALUE"""),"suspects")</f>
        <v>suspects</v>
      </c>
      <c r="M1239" s="6" t="str">
        <f>IFERROR(__xludf.DUMMYFUNCTION("""COMPUTED_VALUE"""),"creatures")</f>
        <v>creatures</v>
      </c>
      <c r="N1239" s="6" t="str">
        <f>IFERROR(__xludf.DUMMYFUNCTION("""COMPUTED_VALUE"""),"memoir")</f>
        <v>memoir</v>
      </c>
      <c r="P1239" s="6" t="str">
        <f>IFERROR(__xludf.DUMMYFUNCTION("""COMPUTED_VALUE"""),"significance")</f>
        <v>significance</v>
      </c>
      <c r="Q1239" s="6" t="str">
        <f>IFERROR(__xludf.DUMMYFUNCTION("""COMPUTED_VALUE"""),"treat")</f>
        <v>treat</v>
      </c>
      <c r="S1239" s="6" t="str">
        <f>IFERROR(__xludf.DUMMYFUNCTION("""COMPUTED_VALUE"""),"emotion")</f>
        <v>emotion</v>
      </c>
    </row>
    <row r="1240">
      <c r="B1240" s="6"/>
      <c r="D1240" s="6"/>
      <c r="G1240" s="6" t="str">
        <f>IFERROR(__xludf.DUMMYFUNCTION("""COMPUTED_VALUE"""),"vain")</f>
        <v>vain</v>
      </c>
      <c r="H1240" s="6" t="str">
        <f>IFERROR(__xludf.DUMMYFUNCTION("""COMPUTED_VALUE"""),"slap")</f>
        <v>slap</v>
      </c>
      <c r="I1240" s="6"/>
      <c r="J1240" s="6" t="str">
        <f>IFERROR(__xludf.DUMMYFUNCTION("""COMPUTED_VALUE"""),"tunnels")</f>
        <v>tunnels</v>
      </c>
      <c r="L1240" s="6" t="str">
        <f>IFERROR(__xludf.DUMMYFUNCTION("""COMPUTED_VALUE"""),"pbs")</f>
        <v>pbs</v>
      </c>
      <c r="M1240" s="6" t="str">
        <f>IFERROR(__xludf.DUMMYFUNCTION("""COMPUTED_VALUE"""),"novels")</f>
        <v>novels</v>
      </c>
      <c r="N1240" s="6" t="str">
        <f>IFERROR(__xludf.DUMMYFUNCTION("""COMPUTED_VALUE"""),"tapestry")</f>
        <v>tapestry</v>
      </c>
      <c r="P1240" s="6" t="str">
        <f>IFERROR(__xludf.DUMMYFUNCTION("""COMPUTED_VALUE"""),"urge")</f>
        <v>urge</v>
      </c>
      <c r="Q1240" s="6" t="str">
        <f>IFERROR(__xludf.DUMMYFUNCTION("""COMPUTED_VALUE"""),"lifts")</f>
        <v>lifts</v>
      </c>
      <c r="S1240" s="6" t="str">
        <f>IFERROR(__xludf.DUMMYFUNCTION("""COMPUTED_VALUE"""),"flower")</f>
        <v>flower</v>
      </c>
    </row>
    <row r="1241">
      <c r="B1241" s="6"/>
      <c r="D1241" s="6"/>
      <c r="G1241" s="6" t="str">
        <f>IFERROR(__xludf.DUMMYFUNCTION("""COMPUTED_VALUE"""),"knockout")</f>
        <v>knockout</v>
      </c>
      <c r="H1241" s="6" t="str">
        <f>IFERROR(__xludf.DUMMYFUNCTION("""COMPUTED_VALUE"""),"wrestling")</f>
        <v>wrestling</v>
      </c>
      <c r="I1241" s="6"/>
      <c r="J1241" s="6" t="str">
        <f>IFERROR(__xludf.DUMMYFUNCTION("""COMPUTED_VALUE"""),"attackers")</f>
        <v>attackers</v>
      </c>
      <c r="L1241" s="6" t="str">
        <f>IFERROR(__xludf.DUMMYFUNCTION("""COMPUTED_VALUE"""),"comparatively")</f>
        <v>comparatively</v>
      </c>
      <c r="M1241" s="6" t="str">
        <f>IFERROR(__xludf.DUMMYFUNCTION("""COMPUTED_VALUE"""),"levels")</f>
        <v>levels</v>
      </c>
      <c r="N1241" s="6" t="str">
        <f>IFERROR(__xludf.DUMMYFUNCTION("""COMPUTED_VALUE"""),"vain")</f>
        <v>vain</v>
      </c>
      <c r="P1241" s="6" t="str">
        <f>IFERROR(__xludf.DUMMYFUNCTION("""COMPUTED_VALUE"""),"arrives")</f>
        <v>arrives</v>
      </c>
      <c r="Q1241" s="6" t="str">
        <f>IFERROR(__xludf.DUMMYFUNCTION("""COMPUTED_VALUE"""),"gloss")</f>
        <v>gloss</v>
      </c>
      <c r="S1241" s="6" t="str">
        <f>IFERROR(__xludf.DUMMYFUNCTION("""COMPUTED_VALUE"""),"glow")</f>
        <v>glow</v>
      </c>
    </row>
    <row r="1242">
      <c r="B1242" s="6"/>
      <c r="D1242" s="6"/>
      <c r="G1242" s="6" t="str">
        <f>IFERROR(__xludf.DUMMYFUNCTION("""COMPUTED_VALUE"""),"determination")</f>
        <v>determination</v>
      </c>
      <c r="H1242" s="6" t="str">
        <f>IFERROR(__xludf.DUMMYFUNCTION("""COMPUTED_VALUE"""),"doomed")</f>
        <v>doomed</v>
      </c>
      <c r="I1242" s="6"/>
      <c r="J1242" s="6" t="str">
        <f>IFERROR(__xludf.DUMMYFUNCTION("""COMPUTED_VALUE"""),"anonymous")</f>
        <v>anonymous</v>
      </c>
      <c r="L1242" s="6" t="str">
        <f>IFERROR(__xludf.DUMMYFUNCTION("""COMPUTED_VALUE"""),"operational")</f>
        <v>operational</v>
      </c>
      <c r="M1242" s="6" t="str">
        <f>IFERROR(__xludf.DUMMYFUNCTION("""COMPUTED_VALUE"""),"von")</f>
        <v>von</v>
      </c>
      <c r="N1242" s="6" t="str">
        <f>IFERROR(__xludf.DUMMYFUNCTION("""COMPUTED_VALUE"""),"unchanged")</f>
        <v>unchanged</v>
      </c>
      <c r="P1242" s="6" t="str">
        <f>IFERROR(__xludf.DUMMYFUNCTION("""COMPUTED_VALUE"""),"learn")</f>
        <v>learn</v>
      </c>
      <c r="Q1242" s="6" t="str">
        <f>IFERROR(__xludf.DUMMYFUNCTION("""COMPUTED_VALUE"""),"regain")</f>
        <v>regain</v>
      </c>
      <c r="S1242" s="6" t="str">
        <f>IFERROR(__xludf.DUMMYFUNCTION("""COMPUTED_VALUE"""),"bunch")</f>
        <v>bunch</v>
      </c>
    </row>
    <row r="1243">
      <c r="B1243" s="6"/>
      <c r="D1243" s="6"/>
      <c r="G1243" s="6" t="str">
        <f>IFERROR(__xludf.DUMMYFUNCTION("""COMPUTED_VALUE"""),"surrounding")</f>
        <v>surrounding</v>
      </c>
      <c r="H1243" s="6" t="str">
        <f>IFERROR(__xludf.DUMMYFUNCTION("""COMPUTED_VALUE"""),"weep")</f>
        <v>weep</v>
      </c>
      <c r="I1243" s="6"/>
      <c r="J1243" s="6" t="str">
        <f>IFERROR(__xludf.DUMMYFUNCTION("""COMPUTED_VALUE"""),"primitive")</f>
        <v>primitive</v>
      </c>
      <c r="L1243" s="6" t="str">
        <f>IFERROR(__xludf.DUMMYFUNCTION("""COMPUTED_VALUE"""),"logical")</f>
        <v>logical</v>
      </c>
      <c r="M1243" s="6" t="str">
        <f>IFERROR(__xludf.DUMMYFUNCTION("""COMPUTED_VALUE"""),"column")</f>
        <v>column</v>
      </c>
      <c r="N1243" s="6" t="str">
        <f>IFERROR(__xludf.DUMMYFUNCTION("""COMPUTED_VALUE"""),"stakes")</f>
        <v>stakes</v>
      </c>
      <c r="P1243" s="6" t="str">
        <f>IFERROR(__xludf.DUMMYFUNCTION("""COMPUTED_VALUE"""),"productions")</f>
        <v>productions</v>
      </c>
      <c r="Q1243" s="6" t="str">
        <f>IFERROR(__xludf.DUMMYFUNCTION("""COMPUTED_VALUE"""),"conventions")</f>
        <v>conventions</v>
      </c>
      <c r="S1243" s="6" t="str">
        <f>IFERROR(__xludf.DUMMYFUNCTION("""COMPUTED_VALUE"""),"combined")</f>
        <v>combined</v>
      </c>
    </row>
    <row r="1244">
      <c r="B1244" s="6"/>
      <c r="D1244" s="6"/>
      <c r="G1244" s="6" t="str">
        <f>IFERROR(__xludf.DUMMYFUNCTION("""COMPUTED_VALUE"""),"acclaimed")</f>
        <v>acclaimed</v>
      </c>
      <c r="H1244" s="6" t="str">
        <f>IFERROR(__xludf.DUMMYFUNCTION("""COMPUTED_VALUE"""),"norton")</f>
        <v>norton</v>
      </c>
      <c r="I1244" s="6"/>
      <c r="J1244" s="6" t="str">
        <f>IFERROR(__xludf.DUMMYFUNCTION("""COMPUTED_VALUE"""),"laurence")</f>
        <v>laurence</v>
      </c>
      <c r="L1244" s="6" t="str">
        <f>IFERROR(__xludf.DUMMYFUNCTION("""COMPUTED_VALUE"""),"entity")</f>
        <v>entity</v>
      </c>
      <c r="M1244" s="6" t="str">
        <f>IFERROR(__xludf.DUMMYFUNCTION("""COMPUTED_VALUE"""),"fellowship")</f>
        <v>fellowship</v>
      </c>
      <c r="N1244" s="6" t="str">
        <f>IFERROR(__xludf.DUMMYFUNCTION("""COMPUTED_VALUE"""),"brutality")</f>
        <v>brutality</v>
      </c>
      <c r="P1244" s="6" t="str">
        <f>IFERROR(__xludf.DUMMYFUNCTION("""COMPUTED_VALUE"""),"sink")</f>
        <v>sink</v>
      </c>
      <c r="Q1244" s="6" t="str">
        <f>IFERROR(__xludf.DUMMYFUNCTION("""COMPUTED_VALUE"""),"manipulation")</f>
        <v>manipulation</v>
      </c>
      <c r="S1244" s="6" t="str">
        <f>IFERROR(__xludf.DUMMYFUNCTION("""COMPUTED_VALUE"""),"luck")</f>
        <v>luck</v>
      </c>
    </row>
    <row r="1245">
      <c r="B1245" s="6"/>
      <c r="D1245" s="6"/>
      <c r="G1245" s="6" t="str">
        <f>IFERROR(__xludf.DUMMYFUNCTION("""COMPUTED_VALUE"""),"minded")</f>
        <v>minded</v>
      </c>
      <c r="H1245" s="6" t="str">
        <f>IFERROR(__xludf.DUMMYFUNCTION("""COMPUTED_VALUE"""),"edward")</f>
        <v>edward</v>
      </c>
      <c r="I1245" s="6"/>
      <c r="J1245" s="6" t="str">
        <f>IFERROR(__xludf.DUMMYFUNCTION("""COMPUTED_VALUE"""),"olivier")</f>
        <v>olivier</v>
      </c>
      <c r="L1245" s="6" t="str">
        <f>IFERROR(__xludf.DUMMYFUNCTION("""COMPUTED_VALUE"""),"smarter")</f>
        <v>smarter</v>
      </c>
      <c r="M1245" s="6" t="str">
        <f>IFERROR(__xludf.DUMMYFUNCTION("""COMPUTED_VALUE"""),"bridge")</f>
        <v>bridge</v>
      </c>
      <c r="N1245" s="6" t="str">
        <f>IFERROR(__xludf.DUMMYFUNCTION("""COMPUTED_VALUE"""),"illuminated")</f>
        <v>illuminated</v>
      </c>
      <c r="P1245" s="6" t="str">
        <f>IFERROR(__xludf.DUMMYFUNCTION("""COMPUTED_VALUE"""),"shape")</f>
        <v>shape</v>
      </c>
      <c r="Q1245" s="6" t="str">
        <f>IFERROR(__xludf.DUMMYFUNCTION("""COMPUTED_VALUE"""),"optimism")</f>
        <v>optimism</v>
      </c>
      <c r="S1245" s="6" t="str">
        <f>IFERROR(__xludf.DUMMYFUNCTION("""COMPUTED_VALUE"""),"shifted")</f>
        <v>shifted</v>
      </c>
    </row>
    <row r="1246">
      <c r="B1246" s="6"/>
      <c r="D1246" s="6"/>
      <c r="G1246" s="6" t="str">
        <f>IFERROR(__xludf.DUMMYFUNCTION("""COMPUTED_VALUE"""),"monument")</f>
        <v>monument</v>
      </c>
      <c r="H1246" s="6" t="str">
        <f>IFERROR(__xludf.DUMMYFUNCTION("""COMPUTED_VALUE"""),"illuminating")</f>
        <v>illuminating</v>
      </c>
      <c r="I1246" s="6"/>
      <c r="J1246" s="6" t="str">
        <f>IFERROR(__xludf.DUMMYFUNCTION("""COMPUTED_VALUE"""),"gun")</f>
        <v>gun</v>
      </c>
      <c r="L1246" s="6" t="str">
        <f>IFERROR(__xludf.DUMMYFUNCTION("""COMPUTED_VALUE"""),"titled")</f>
        <v>titled</v>
      </c>
      <c r="M1246" s="6" t="str">
        <f>IFERROR(__xludf.DUMMYFUNCTION("""COMPUTED_VALUE"""),"lens")</f>
        <v>lens</v>
      </c>
      <c r="N1246" s="6" t="str">
        <f>IFERROR(__xludf.DUMMYFUNCTION("""COMPUTED_VALUE"""),"insistent")</f>
        <v>insistent</v>
      </c>
      <c r="P1246" s="6" t="str">
        <f>IFERROR(__xludf.DUMMYFUNCTION("""COMPUTED_VALUE"""),"bid")</f>
        <v>bid</v>
      </c>
      <c r="Q1246" s="6" t="str">
        <f>IFERROR(__xludf.DUMMYFUNCTION("""COMPUTED_VALUE"""),"hughes")</f>
        <v>hughes</v>
      </c>
      <c r="S1246" s="6" t="str">
        <f>IFERROR(__xludf.DUMMYFUNCTION("""COMPUTED_VALUE"""),"institution")</f>
        <v>institution</v>
      </c>
    </row>
    <row r="1247">
      <c r="B1247" s="6"/>
      <c r="D1247" s="6"/>
      <c r="G1247" s="6" t="str">
        <f>IFERROR(__xludf.DUMMYFUNCTION("""COMPUTED_VALUE"""),"shivers")</f>
        <v>shivers</v>
      </c>
      <c r="H1247" s="6" t="str">
        <f>IFERROR(__xludf.DUMMYFUNCTION("""COMPUTED_VALUE"""),"camouflage")</f>
        <v>camouflage</v>
      </c>
      <c r="I1247" s="6"/>
      <c r="J1247" s="6" t="str">
        <f>IFERROR(__xludf.DUMMYFUNCTION("""COMPUTED_VALUE"""),"prevalent")</f>
        <v>prevalent</v>
      </c>
      <c r="L1247" s="6" t="str">
        <f>IFERROR(__xludf.DUMMYFUNCTION("""COMPUTED_VALUE"""),"context")</f>
        <v>context</v>
      </c>
      <c r="M1247" s="6" t="str">
        <f>IFERROR(__xludf.DUMMYFUNCTION("""COMPUTED_VALUE"""),"abandoned")</f>
        <v>abandoned</v>
      </c>
      <c r="N1247" s="6" t="str">
        <f>IFERROR(__xludf.DUMMYFUNCTION("""COMPUTED_VALUE"""),"precious")</f>
        <v>precious</v>
      </c>
      <c r="P1247" s="6" t="str">
        <f>IFERROR(__xludf.DUMMYFUNCTION("""COMPUTED_VALUE"""),"detailed")</f>
        <v>detailed</v>
      </c>
      <c r="Q1247" s="6" t="str">
        <f>IFERROR(__xludf.DUMMYFUNCTION("""COMPUTED_VALUE"""),"elder")</f>
        <v>elder</v>
      </c>
      <c r="S1247" s="6" t="str">
        <f>IFERROR(__xludf.DUMMYFUNCTION("""COMPUTED_VALUE"""),"girlfriend")</f>
        <v>girlfriend</v>
      </c>
    </row>
    <row r="1248">
      <c r="B1248" s="6"/>
      <c r="D1248" s="6"/>
      <c r="G1248" s="6" t="str">
        <f>IFERROR(__xludf.DUMMYFUNCTION("""COMPUTED_VALUE"""),"ramsay")</f>
        <v>ramsay</v>
      </c>
      <c r="H1248" s="6" t="str">
        <f>IFERROR(__xludf.DUMMYFUNCTION("""COMPUTED_VALUE"""),"jonah")</f>
        <v>jonah</v>
      </c>
      <c r="I1248" s="6"/>
      <c r="J1248" s="6" t="str">
        <f>IFERROR(__xludf.DUMMYFUNCTION("""COMPUTED_VALUE"""),"freddie")</f>
        <v>freddie</v>
      </c>
      <c r="L1248" s="6" t="str">
        <f>IFERROR(__xludf.DUMMYFUNCTION("""COMPUTED_VALUE"""),"schneider")</f>
        <v>schneider</v>
      </c>
      <c r="M1248" s="6" t="str">
        <f>IFERROR(__xludf.DUMMYFUNCTION("""COMPUTED_VALUE"""),"nba")</f>
        <v>nba</v>
      </c>
      <c r="N1248" s="6" t="str">
        <f>IFERROR(__xludf.DUMMYFUNCTION("""COMPUTED_VALUE"""),"philippe")</f>
        <v>philippe</v>
      </c>
      <c r="P1248" s="6" t="str">
        <f>IFERROR(__xludf.DUMMYFUNCTION("""COMPUTED_VALUE"""),"dean")</f>
        <v>dean</v>
      </c>
      <c r="Q1248" s="6" t="str">
        <f>IFERROR(__xludf.DUMMYFUNCTION("""COMPUTED_VALUE"""),"sheds")</f>
        <v>sheds</v>
      </c>
      <c r="S1248" s="6" t="str">
        <f>IFERROR(__xludf.DUMMYFUNCTION("""COMPUTED_VALUE"""),"television")</f>
        <v>television</v>
      </c>
    </row>
    <row r="1249">
      <c r="B1249" s="6"/>
      <c r="D1249" s="6"/>
      <c r="G1249" s="6" t="str">
        <f>IFERROR(__xludf.DUMMYFUNCTION("""COMPUTED_VALUE"""),"librarian")</f>
        <v>librarian</v>
      </c>
      <c r="H1249" s="6" t="str">
        <f>IFERROR(__xludf.DUMMYFUNCTION("""COMPUTED_VALUE"""),"freud")</f>
        <v>freud</v>
      </c>
      <c r="I1249" s="6"/>
      <c r="J1249" s="6" t="str">
        <f>IFERROR(__xludf.DUMMYFUNCTION("""COMPUTED_VALUE"""),"taylor")</f>
        <v>taylor</v>
      </c>
      <c r="L1249" s="6" t="str">
        <f>IFERROR(__xludf.DUMMYFUNCTION("""COMPUTED_VALUE"""),"endurance")</f>
        <v>endurance</v>
      </c>
      <c r="M1249" s="6" t="str">
        <f>IFERROR(__xludf.DUMMYFUNCTION("""COMPUTED_VALUE"""),"influenced")</f>
        <v>influenced</v>
      </c>
      <c r="N1249" s="6" t="str">
        <f>IFERROR(__xludf.DUMMYFUNCTION("""COMPUTED_VALUE"""),"bombs")</f>
        <v>bombs</v>
      </c>
      <c r="P1249" s="6" t="str">
        <f>IFERROR(__xludf.DUMMYFUNCTION("""COMPUTED_VALUE"""),"hope")</f>
        <v>hope</v>
      </c>
      <c r="Q1249" s="6" t="str">
        <f>IFERROR(__xludf.DUMMYFUNCTION("""COMPUTED_VALUE"""),"terror")</f>
        <v>terror</v>
      </c>
      <c r="S1249" s="6" t="str">
        <f>IFERROR(__xludf.DUMMYFUNCTION("""COMPUTED_VALUE"""),"bright")</f>
        <v>bright</v>
      </c>
    </row>
    <row r="1250">
      <c r="B1250" s="6"/>
      <c r="D1250" s="6"/>
      <c r="G1250" s="6" t="str">
        <f>IFERROR(__xludf.DUMMYFUNCTION("""COMPUTED_VALUE"""),"muse")</f>
        <v>muse</v>
      </c>
      <c r="H1250" s="6" t="str">
        <f>IFERROR(__xludf.DUMMYFUNCTION("""COMPUTED_VALUE"""),"shining")</f>
        <v>shining</v>
      </c>
      <c r="I1250" s="6"/>
      <c r="J1250" s="6" t="str">
        <f>IFERROR(__xludf.DUMMYFUNCTION("""COMPUTED_VALUE"""),"harvard")</f>
        <v>harvard</v>
      </c>
      <c r="L1250" s="6" t="str">
        <f>IFERROR(__xludf.DUMMYFUNCTION("""COMPUTED_VALUE"""),"elemental")</f>
        <v>elemental</v>
      </c>
      <c r="M1250" s="6" t="str">
        <f>IFERROR(__xludf.DUMMYFUNCTION("""COMPUTED_VALUE"""),"mill")</f>
        <v>mill</v>
      </c>
      <c r="N1250" s="6" t="str">
        <f>IFERROR(__xludf.DUMMYFUNCTION("""COMPUTED_VALUE"""),"counterparts")</f>
        <v>counterparts</v>
      </c>
      <c r="P1250" s="6" t="str">
        <f>IFERROR(__xludf.DUMMYFUNCTION("""COMPUTED_VALUE"""),"mosque")</f>
        <v>mosque</v>
      </c>
      <c r="Q1250" s="6" t="str">
        <f>IFERROR(__xludf.DUMMYFUNCTION("""COMPUTED_VALUE"""),"horrific")</f>
        <v>horrific</v>
      </c>
      <c r="S1250" s="6" t="str">
        <f>IFERROR(__xludf.DUMMYFUNCTION("""COMPUTED_VALUE"""),"recovery")</f>
        <v>recovery</v>
      </c>
    </row>
    <row r="1251">
      <c r="B1251" s="6"/>
      <c r="D1251" s="6"/>
      <c r="G1251" s="6" t="str">
        <f>IFERROR(__xludf.DUMMYFUNCTION("""COMPUTED_VALUE"""),"weighs")</f>
        <v>weighs</v>
      </c>
      <c r="H1251" s="6" t="str">
        <f>IFERROR(__xludf.DUMMYFUNCTION("""COMPUTED_VALUE"""),"photographed")</f>
        <v>photographed</v>
      </c>
      <c r="I1251" s="6"/>
      <c r="J1251" s="6" t="str">
        <f>IFERROR(__xludf.DUMMYFUNCTION("""COMPUTED_VALUE"""),"encompasses")</f>
        <v>encompasses</v>
      </c>
      <c r="L1251" s="6" t="str">
        <f>IFERROR(__xludf.DUMMYFUNCTION("""COMPUTED_VALUE"""),"troubled")</f>
        <v>troubled</v>
      </c>
      <c r="M1251" s="6" t="str">
        <f>IFERROR(__xludf.DUMMYFUNCTION("""COMPUTED_VALUE"""),"apollo")</f>
        <v>apollo</v>
      </c>
      <c r="N1251" s="6" t="str">
        <f>IFERROR(__xludf.DUMMYFUNCTION("""COMPUTED_VALUE"""),"virtues")</f>
        <v>virtues</v>
      </c>
      <c r="P1251" s="6" t="str">
        <f>IFERROR(__xludf.DUMMYFUNCTION("""COMPUTED_VALUE"""),"queen")</f>
        <v>queen</v>
      </c>
      <c r="Q1251" s="6" t="str">
        <f>IFERROR(__xludf.DUMMYFUNCTION("""COMPUTED_VALUE"""),"intentions")</f>
        <v>intentions</v>
      </c>
      <c r="S1251" s="6" t="str">
        <f>IFERROR(__xludf.DUMMYFUNCTION("""COMPUTED_VALUE"""),"separation")</f>
        <v>separation</v>
      </c>
    </row>
    <row r="1252">
      <c r="B1252" s="6"/>
      <c r="D1252" s="6"/>
      <c r="G1252" s="6" t="str">
        <f>IFERROR(__xludf.DUMMYFUNCTION("""COMPUTED_VALUE"""),"fashioned")</f>
        <v>fashioned</v>
      </c>
      <c r="H1252" s="6" t="str">
        <f>IFERROR(__xludf.DUMMYFUNCTION("""COMPUTED_VALUE"""),"mendes")</f>
        <v>mendes</v>
      </c>
      <c r="I1252" s="6"/>
      <c r="J1252" s="6" t="str">
        <f>IFERROR(__xludf.DUMMYFUNCTION("""COMPUTED_VALUE"""),"reynolds")</f>
        <v>reynolds</v>
      </c>
      <c r="L1252" s="6" t="str">
        <f>IFERROR(__xludf.DUMMYFUNCTION("""COMPUTED_VALUE"""),"pollution")</f>
        <v>pollution</v>
      </c>
      <c r="M1252" s="6" t="str">
        <f>IFERROR(__xludf.DUMMYFUNCTION("""COMPUTED_VALUE"""),"translation")</f>
        <v>translation</v>
      </c>
      <c r="N1252" s="6" t="str">
        <f>IFERROR(__xludf.DUMMYFUNCTION("""COMPUTED_VALUE"""),"continuation")</f>
        <v>continuation</v>
      </c>
      <c r="P1252" s="6" t="str">
        <f>IFERROR(__xludf.DUMMYFUNCTION("""COMPUTED_VALUE"""),"anne")</f>
        <v>anne</v>
      </c>
      <c r="Q1252" s="6" t="str">
        <f>IFERROR(__xludf.DUMMYFUNCTION("""COMPUTED_VALUE"""),"smiles")</f>
        <v>smiles</v>
      </c>
      <c r="S1252" s="6" t="str">
        <f>IFERROR(__xludf.DUMMYFUNCTION("""COMPUTED_VALUE"""),"hated")</f>
        <v>hated</v>
      </c>
    </row>
    <row r="1253">
      <c r="B1253" s="6"/>
      <c r="D1253" s="6"/>
      <c r="G1253" s="6" t="str">
        <f>IFERROR(__xludf.DUMMYFUNCTION("""COMPUTED_VALUE"""),"lucas")</f>
        <v>lucas</v>
      </c>
      <c r="H1253" s="6" t="str">
        <f>IFERROR(__xludf.DUMMYFUNCTION("""COMPUTED_VALUE"""),"unprecedented")</f>
        <v>unprecedented</v>
      </c>
      <c r="I1253" s="6"/>
      <c r="J1253" s="6" t="str">
        <f>IFERROR(__xludf.DUMMYFUNCTION("""COMPUTED_VALUE"""),"depleted")</f>
        <v>depleted</v>
      </c>
      <c r="L1253" s="6" t="str">
        <f>IFERROR(__xludf.DUMMYFUNCTION("""COMPUTED_VALUE"""),"lectures")</f>
        <v>lectures</v>
      </c>
      <c r="M1253" s="6" t="str">
        <f>IFERROR(__xludf.DUMMYFUNCTION("""COMPUTED_VALUE"""),"chamber")</f>
        <v>chamber</v>
      </c>
      <c r="N1253" s="6" t="str">
        <f>IFERROR(__xludf.DUMMYFUNCTION("""COMPUTED_VALUE"""),"historically")</f>
        <v>historically</v>
      </c>
      <c r="P1253" s="6" t="str">
        <f>IFERROR(__xludf.DUMMYFUNCTION("""COMPUTED_VALUE"""),"technologies")</f>
        <v>technologies</v>
      </c>
      <c r="Q1253" s="6" t="str">
        <f>IFERROR(__xludf.DUMMYFUNCTION("""COMPUTED_VALUE"""),"owes")</f>
        <v>owes</v>
      </c>
      <c r="S1253" s="6" t="str">
        <f>IFERROR(__xludf.DUMMYFUNCTION("""COMPUTED_VALUE"""),"capture")</f>
        <v>capture</v>
      </c>
    </row>
    <row r="1254">
      <c r="B1254" s="6"/>
      <c r="D1254" s="6"/>
      <c r="G1254" s="6" t="str">
        <f>IFERROR(__xludf.DUMMYFUNCTION("""COMPUTED_VALUE"""),"jolt")</f>
        <v>jolt</v>
      </c>
      <c r="H1254" s="6" t="str">
        <f>IFERROR(__xludf.DUMMYFUNCTION("""COMPUTED_VALUE"""),"battlefield")</f>
        <v>battlefield</v>
      </c>
      <c r="I1254" s="6"/>
      <c r="J1254" s="6" t="str">
        <f>IFERROR(__xludf.DUMMYFUNCTION("""COMPUTED_VALUE"""),"decomposition")</f>
        <v>decomposition</v>
      </c>
      <c r="L1254" s="6" t="str">
        <f>IFERROR(__xludf.DUMMYFUNCTION("""COMPUTED_VALUE"""),"cleavage")</f>
        <v>cleavage</v>
      </c>
      <c r="M1254" s="6" t="str">
        <f>IFERROR(__xludf.DUMMYFUNCTION("""COMPUTED_VALUE"""),"unknown")</f>
        <v>unknown</v>
      </c>
      <c r="N1254" s="6" t="str">
        <f>IFERROR(__xludf.DUMMYFUNCTION("""COMPUTED_VALUE"""),"philip")</f>
        <v>philip</v>
      </c>
      <c r="P1254" s="6" t="str">
        <f>IFERROR(__xludf.DUMMYFUNCTION("""COMPUTED_VALUE"""),"harvard")</f>
        <v>harvard</v>
      </c>
      <c r="Q1254" s="6" t="str">
        <f>IFERROR(__xludf.DUMMYFUNCTION("""COMPUTED_VALUE"""),"genesis")</f>
        <v>genesis</v>
      </c>
      <c r="S1254" s="6" t="str">
        <f>IFERROR(__xludf.DUMMYFUNCTION("""COMPUTED_VALUE"""),"chaos")</f>
        <v>chaos</v>
      </c>
    </row>
    <row r="1255">
      <c r="B1255" s="6"/>
      <c r="D1255" s="6"/>
      <c r="G1255" s="6" t="str">
        <f>IFERROR(__xludf.DUMMYFUNCTION("""COMPUTED_VALUE"""),"fighters")</f>
        <v>fighters</v>
      </c>
      <c r="H1255" s="6" t="str">
        <f>IFERROR(__xludf.DUMMYFUNCTION("""COMPUTED_VALUE"""),"drawing")</f>
        <v>drawing</v>
      </c>
      <c r="I1255" s="6"/>
      <c r="J1255" s="6" t="str">
        <f>IFERROR(__xludf.DUMMYFUNCTION("""COMPUTED_VALUE"""),"swaying")</f>
        <v>swaying</v>
      </c>
      <c r="L1255" s="6" t="str">
        <f>IFERROR(__xludf.DUMMYFUNCTION("""COMPUTED_VALUE"""),"storytelling")</f>
        <v>storytelling</v>
      </c>
      <c r="M1255" s="6" t="str">
        <f>IFERROR(__xludf.DUMMYFUNCTION("""COMPUTED_VALUE"""),"holmes")</f>
        <v>holmes</v>
      </c>
      <c r="N1255" s="6" t="str">
        <f>IFERROR(__xludf.DUMMYFUNCTION("""COMPUTED_VALUE"""),"reliance")</f>
        <v>reliance</v>
      </c>
      <c r="P1255" s="6" t="str">
        <f>IFERROR(__xludf.DUMMYFUNCTION("""COMPUTED_VALUE"""),"reynolds")</f>
        <v>reynolds</v>
      </c>
      <c r="Q1255" s="6" t="str">
        <f>IFERROR(__xludf.DUMMYFUNCTION("""COMPUTED_VALUE"""),"naval")</f>
        <v>naval</v>
      </c>
      <c r="S1255" s="6" t="str">
        <f>IFERROR(__xludf.DUMMYFUNCTION("""COMPUTED_VALUE"""),"blow")</f>
        <v>blow</v>
      </c>
    </row>
    <row r="1256">
      <c r="B1256" s="6"/>
      <c r="D1256" s="6"/>
      <c r="G1256" s="6" t="str">
        <f>IFERROR(__xludf.DUMMYFUNCTION("""COMPUTED_VALUE"""),"exchanges")</f>
        <v>exchanges</v>
      </c>
      <c r="H1256" s="6" t="str">
        <f>IFERROR(__xludf.DUMMYFUNCTION("""COMPUTED_VALUE"""),"arbitrary")</f>
        <v>arbitrary</v>
      </c>
      <c r="I1256" s="6"/>
      <c r="J1256" s="6" t="str">
        <f>IFERROR(__xludf.DUMMYFUNCTION("""COMPUTED_VALUE"""),"gently")</f>
        <v>gently</v>
      </c>
      <c r="L1256" s="6" t="str">
        <f>IFERROR(__xludf.DUMMYFUNCTION("""COMPUTED_VALUE"""),"climate")</f>
        <v>climate</v>
      </c>
      <c r="M1256" s="6" t="str">
        <f>IFERROR(__xludf.DUMMYFUNCTION("""COMPUTED_VALUE"""),"convince")</f>
        <v>convince</v>
      </c>
      <c r="N1256" s="6" t="str">
        <f>IFERROR(__xludf.DUMMYFUNCTION("""COMPUTED_VALUE"""),"suspects")</f>
        <v>suspects</v>
      </c>
      <c r="P1256" s="6" t="str">
        <f>IFERROR(__xludf.DUMMYFUNCTION("""COMPUTED_VALUE"""),"aboriginal")</f>
        <v>aboriginal</v>
      </c>
      <c r="Q1256" s="6" t="str">
        <f>IFERROR(__xludf.DUMMYFUNCTION("""COMPUTED_VALUE"""),"frightening")</f>
        <v>frightening</v>
      </c>
      <c r="S1256" s="6" t="str">
        <f>IFERROR(__xludf.DUMMYFUNCTION("""COMPUTED_VALUE"""),"mechanics")</f>
        <v>mechanics</v>
      </c>
    </row>
    <row r="1257">
      <c r="B1257" s="6"/>
      <c r="D1257" s="6"/>
      <c r="G1257" s="6" t="str">
        <f>IFERROR(__xludf.DUMMYFUNCTION("""COMPUTED_VALUE"""),"suspects")</f>
        <v>suspects</v>
      </c>
      <c r="H1257" s="6" t="str">
        <f>IFERROR(__xludf.DUMMYFUNCTION("""COMPUTED_VALUE"""),"darkly")</f>
        <v>darkly</v>
      </c>
      <c r="I1257" s="6"/>
      <c r="J1257" s="6" t="str">
        <f>IFERROR(__xludf.DUMMYFUNCTION("""COMPUTED_VALUE"""),"strategic")</f>
        <v>strategic</v>
      </c>
      <c r="L1257" s="6" t="str">
        <f>IFERROR(__xludf.DUMMYFUNCTION("""COMPUTED_VALUE"""),"vampire")</f>
        <v>vampire</v>
      </c>
      <c r="M1257" s="6" t="str">
        <f>IFERROR(__xludf.DUMMYFUNCTION("""COMPUTED_VALUE"""),"relevant")</f>
        <v>relevant</v>
      </c>
      <c r="N1257" s="6" t="str">
        <f>IFERROR(__xludf.DUMMYFUNCTION("""COMPUTED_VALUE"""),"pbs")</f>
        <v>pbs</v>
      </c>
      <c r="P1257" s="6" t="str">
        <f>IFERROR(__xludf.DUMMYFUNCTION("""COMPUTED_VALUE"""),"tomorrow")</f>
        <v>tomorrow</v>
      </c>
      <c r="Q1257" s="6" t="str">
        <f>IFERROR(__xludf.DUMMYFUNCTION("""COMPUTED_VALUE"""),"surely")</f>
        <v>surely</v>
      </c>
      <c r="S1257" s="6" t="str">
        <f>IFERROR(__xludf.DUMMYFUNCTION("""COMPUTED_VALUE"""),"memories")</f>
        <v>memories</v>
      </c>
    </row>
    <row r="1258">
      <c r="B1258" s="6"/>
      <c r="D1258" s="6"/>
      <c r="G1258" s="6" t="str">
        <f>IFERROR(__xludf.DUMMYFUNCTION("""COMPUTED_VALUE"""),"functions")</f>
        <v>functions</v>
      </c>
      <c r="H1258" s="6" t="str">
        <f>IFERROR(__xludf.DUMMYFUNCTION("""COMPUTED_VALUE"""),"enters")</f>
        <v>enters</v>
      </c>
      <c r="I1258" s="6"/>
      <c r="J1258" s="6" t="str">
        <f>IFERROR(__xludf.DUMMYFUNCTION("""COMPUTED_VALUE"""),"helm")</f>
        <v>helm</v>
      </c>
      <c r="L1258" s="6" t="str">
        <f>IFERROR(__xludf.DUMMYFUNCTION("""COMPUTED_VALUE"""),"muse")</f>
        <v>muse</v>
      </c>
      <c r="M1258" s="6" t="str">
        <f>IFERROR(__xludf.DUMMYFUNCTION("""COMPUTED_VALUE"""),"gradually")</f>
        <v>gradually</v>
      </c>
      <c r="N1258" s="6" t="str">
        <f>IFERROR(__xludf.DUMMYFUNCTION("""COMPUTED_VALUE"""),"logical")</f>
        <v>logical</v>
      </c>
      <c r="P1258" s="6" t="str">
        <f>IFERROR(__xludf.DUMMYFUNCTION("""COMPUTED_VALUE"""),"forth")</f>
        <v>forth</v>
      </c>
      <c r="Q1258" s="6" t="str">
        <f>IFERROR(__xludf.DUMMYFUNCTION("""COMPUTED_VALUE"""),"amid")</f>
        <v>amid</v>
      </c>
      <c r="S1258" s="6" t="str">
        <f>IFERROR(__xludf.DUMMYFUNCTION("""COMPUTED_VALUE"""),"yesterday")</f>
        <v>yesterday</v>
      </c>
    </row>
    <row r="1259">
      <c r="B1259" s="6"/>
      <c r="D1259" s="6"/>
      <c r="G1259" s="6" t="str">
        <f>IFERROR(__xludf.DUMMYFUNCTION("""COMPUTED_VALUE"""),"invincible")</f>
        <v>invincible</v>
      </c>
      <c r="H1259" s="6" t="str">
        <f>IFERROR(__xludf.DUMMYFUNCTION("""COMPUTED_VALUE"""),"accurate")</f>
        <v>accurate</v>
      </c>
      <c r="I1259" s="6"/>
      <c r="J1259" s="6" t="str">
        <f>IFERROR(__xludf.DUMMYFUNCTION("""COMPUTED_VALUE"""),"philosophers")</f>
        <v>philosophers</v>
      </c>
      <c r="L1259" s="6" t="str">
        <f>IFERROR(__xludf.DUMMYFUNCTION("""COMPUTED_VALUE"""),"proficiency")</f>
        <v>proficiency</v>
      </c>
      <c r="M1259" s="6" t="str">
        <f>IFERROR(__xludf.DUMMYFUNCTION("""COMPUTED_VALUE"""),"raise")</f>
        <v>raise</v>
      </c>
      <c r="N1259" s="6" t="str">
        <f>IFERROR(__xludf.DUMMYFUNCTION("""COMPUTED_VALUE"""),"entity")</f>
        <v>entity</v>
      </c>
      <c r="P1259" s="6" t="str">
        <f>IFERROR(__xludf.DUMMYFUNCTION("""COMPUTED_VALUE"""),"collected")</f>
        <v>collected</v>
      </c>
      <c r="Q1259" s="6" t="str">
        <f>IFERROR(__xludf.DUMMYFUNCTION("""COMPUTED_VALUE"""),"morality")</f>
        <v>morality</v>
      </c>
      <c r="S1259" s="6" t="str">
        <f>IFERROR(__xludf.DUMMYFUNCTION("""COMPUTED_VALUE"""),"favorite")</f>
        <v>favorite</v>
      </c>
    </row>
    <row r="1260">
      <c r="B1260" s="6"/>
      <c r="D1260" s="6"/>
      <c r="G1260" s="6" t="str">
        <f>IFERROR(__xludf.DUMMYFUNCTION("""COMPUTED_VALUE"""),"sketches")</f>
        <v>sketches</v>
      </c>
      <c r="H1260" s="6" t="str">
        <f>IFERROR(__xludf.DUMMYFUNCTION("""COMPUTED_VALUE"""),"relevance")</f>
        <v>relevance</v>
      </c>
      <c r="I1260" s="6"/>
      <c r="J1260" s="6" t="str">
        <f>IFERROR(__xludf.DUMMYFUNCTION("""COMPUTED_VALUE"""),"ritchie")</f>
        <v>ritchie</v>
      </c>
      <c r="L1260" s="6" t="str">
        <f>IFERROR(__xludf.DUMMYFUNCTION("""COMPUTED_VALUE"""),"sentiment")</f>
        <v>sentiment</v>
      </c>
      <c r="M1260" s="6" t="str">
        <f>IFERROR(__xludf.DUMMYFUNCTION("""COMPUTED_VALUE"""),"hop")</f>
        <v>hop</v>
      </c>
      <c r="N1260" s="6" t="str">
        <f>IFERROR(__xludf.DUMMYFUNCTION("""COMPUTED_VALUE"""),"smarter")</f>
        <v>smarter</v>
      </c>
      <c r="P1260" s="6" t="str">
        <f>IFERROR(__xludf.DUMMYFUNCTION("""COMPUTED_VALUE"""),"injuries")</f>
        <v>injuries</v>
      </c>
      <c r="Q1260" s="6" t="str">
        <f>IFERROR(__xludf.DUMMYFUNCTION("""COMPUTED_VALUE"""),"futuristic")</f>
        <v>futuristic</v>
      </c>
      <c r="S1260" s="6" t="str">
        <f>IFERROR(__xludf.DUMMYFUNCTION("""COMPUTED_VALUE"""),"hall")</f>
        <v>hall</v>
      </c>
    </row>
    <row r="1261">
      <c r="B1261" s="6"/>
      <c r="D1261" s="6"/>
      <c r="G1261" s="6" t="str">
        <f>IFERROR(__xludf.DUMMYFUNCTION("""COMPUTED_VALUE"""),"buried")</f>
        <v>buried</v>
      </c>
      <c r="H1261" s="6" t="str">
        <f>IFERROR(__xludf.DUMMYFUNCTION("""COMPUTED_VALUE"""),"daytime")</f>
        <v>daytime</v>
      </c>
      <c r="I1261" s="6"/>
      <c r="J1261" s="6" t="str">
        <f>IFERROR(__xludf.DUMMYFUNCTION("""COMPUTED_VALUE"""),"bonding")</f>
        <v>bonding</v>
      </c>
      <c r="L1261" s="6" t="str">
        <f>IFERROR(__xludf.DUMMYFUNCTION("""COMPUTED_VALUE"""),"romero")</f>
        <v>romero</v>
      </c>
      <c r="M1261" s="6" t="str">
        <f>IFERROR(__xludf.DUMMYFUNCTION("""COMPUTED_VALUE"""),"emphasis")</f>
        <v>emphasis</v>
      </c>
      <c r="N1261" s="6" t="str">
        <f>IFERROR(__xludf.DUMMYFUNCTION("""COMPUTED_VALUE"""),"titled")</f>
        <v>titled</v>
      </c>
      <c r="P1261" s="6" t="str">
        <f>IFERROR(__xludf.DUMMYFUNCTION("""COMPUTED_VALUE"""),"strategic")</f>
        <v>strategic</v>
      </c>
      <c r="Q1261" s="6" t="str">
        <f>IFERROR(__xludf.DUMMYFUNCTION("""COMPUTED_VALUE"""),"autopsy")</f>
        <v>autopsy</v>
      </c>
      <c r="S1261" s="6" t="str">
        <f>IFERROR(__xludf.DUMMYFUNCTION("""COMPUTED_VALUE"""),"heard")</f>
        <v>heard</v>
      </c>
    </row>
    <row r="1262">
      <c r="B1262" s="6"/>
      <c r="D1262" s="6"/>
      <c r="G1262" s="6" t="str">
        <f>IFERROR(__xludf.DUMMYFUNCTION("""COMPUTED_VALUE"""),"copenhagen")</f>
        <v>copenhagen</v>
      </c>
      <c r="H1262" s="6" t="str">
        <f>IFERROR(__xludf.DUMMYFUNCTION("""COMPUTED_VALUE"""),"derived")</f>
        <v>derived</v>
      </c>
      <c r="I1262" s="6"/>
      <c r="J1262" s="6" t="str">
        <f>IFERROR(__xludf.DUMMYFUNCTION("""COMPUTED_VALUE"""),"disciplined")</f>
        <v>disciplined</v>
      </c>
      <c r="L1262" s="6" t="str">
        <f>IFERROR(__xludf.DUMMYFUNCTION("""COMPUTED_VALUE"""),"backstage")</f>
        <v>backstage</v>
      </c>
      <c r="M1262" s="6" t="str">
        <f>IFERROR(__xludf.DUMMYFUNCTION("""COMPUTED_VALUE"""),"wisdom")</f>
        <v>wisdom</v>
      </c>
      <c r="N1262" s="6" t="str">
        <f>IFERROR(__xludf.DUMMYFUNCTION("""COMPUTED_VALUE"""),"schneider")</f>
        <v>schneider</v>
      </c>
      <c r="P1262" s="6" t="str">
        <f>IFERROR(__xludf.DUMMYFUNCTION("""COMPUTED_VALUE"""),"extra")</f>
        <v>extra</v>
      </c>
      <c r="Q1262" s="6" t="str">
        <f>IFERROR(__xludf.DUMMYFUNCTION("""COMPUTED_VALUE"""),"corner")</f>
        <v>corner</v>
      </c>
      <c r="S1262" s="6" t="str">
        <f>IFERROR(__xludf.DUMMYFUNCTION("""COMPUTED_VALUE"""),"inspiration")</f>
        <v>inspiration</v>
      </c>
    </row>
    <row r="1263">
      <c r="B1263" s="6"/>
      <c r="D1263" s="6"/>
      <c r="G1263" s="6" t="str">
        <f>IFERROR(__xludf.DUMMYFUNCTION("""COMPUTED_VALUE"""),"coping")</f>
        <v>coping</v>
      </c>
      <c r="H1263" s="6" t="str">
        <f>IFERROR(__xludf.DUMMYFUNCTION("""COMPUTED_VALUE"""),"victims")</f>
        <v>victims</v>
      </c>
      <c r="I1263" s="6"/>
      <c r="J1263" s="6" t="str">
        <f>IFERROR(__xludf.DUMMYFUNCTION("""COMPUTED_VALUE"""),"endurance")</f>
        <v>endurance</v>
      </c>
      <c r="L1263" s="6" t="str">
        <f>IFERROR(__xludf.DUMMYFUNCTION("""COMPUTED_VALUE"""),"documented")</f>
        <v>documented</v>
      </c>
      <c r="M1263" s="6" t="str">
        <f>IFERROR(__xludf.DUMMYFUNCTION("""COMPUTED_VALUE"""),"ace")</f>
        <v>ace</v>
      </c>
      <c r="N1263" s="6" t="str">
        <f>IFERROR(__xludf.DUMMYFUNCTION("""COMPUTED_VALUE"""),"endurance")</f>
        <v>endurance</v>
      </c>
      <c r="P1263" s="6" t="str">
        <f>IFERROR(__xludf.DUMMYFUNCTION("""COMPUTED_VALUE"""),"checking")</f>
        <v>checking</v>
      </c>
      <c r="Q1263" s="6" t="str">
        <f>IFERROR(__xludf.DUMMYFUNCTION("""COMPUTED_VALUE"""),"bravery")</f>
        <v>bravery</v>
      </c>
      <c r="S1263" s="6" t="str">
        <f>IFERROR(__xludf.DUMMYFUNCTION("""COMPUTED_VALUE"""),"brush")</f>
        <v>brush</v>
      </c>
    </row>
    <row r="1264">
      <c r="B1264" s="6"/>
      <c r="D1264" s="6"/>
      <c r="G1264" s="6" t="str">
        <f>IFERROR(__xludf.DUMMYFUNCTION("""COMPUTED_VALUE"""),"cloak")</f>
        <v>cloak</v>
      </c>
      <c r="H1264" s="6" t="str">
        <f>IFERROR(__xludf.DUMMYFUNCTION("""COMPUTED_VALUE"""),"proceedings")</f>
        <v>proceedings</v>
      </c>
      <c r="I1264" s="6"/>
      <c r="J1264" s="6" t="str">
        <f>IFERROR(__xludf.DUMMYFUNCTION("""COMPUTED_VALUE"""),"tightened")</f>
        <v>tightened</v>
      </c>
      <c r="L1264" s="6" t="str">
        <f>IFERROR(__xludf.DUMMYFUNCTION("""COMPUTED_VALUE"""),"moat")</f>
        <v>moat</v>
      </c>
      <c r="M1264" s="6" t="str">
        <f>IFERROR(__xludf.DUMMYFUNCTION("""COMPUTED_VALUE"""),"grain")</f>
        <v>grain</v>
      </c>
      <c r="N1264" s="6" t="str">
        <f>IFERROR(__xludf.DUMMYFUNCTION("""COMPUTED_VALUE"""),"elemental")</f>
        <v>elemental</v>
      </c>
      <c r="P1264" s="6" t="str">
        <f>IFERROR(__xludf.DUMMYFUNCTION("""COMPUTED_VALUE"""),"tightened")</f>
        <v>tightened</v>
      </c>
      <c r="Q1264" s="6" t="str">
        <f>IFERROR(__xludf.DUMMYFUNCTION("""COMPUTED_VALUE"""),"circuit")</f>
        <v>circuit</v>
      </c>
      <c r="S1264" s="6" t="str">
        <f>IFERROR(__xludf.DUMMYFUNCTION("""COMPUTED_VALUE"""),"recognize")</f>
        <v>recognize</v>
      </c>
    </row>
    <row r="1265">
      <c r="B1265" s="6"/>
      <c r="D1265" s="6"/>
      <c r="G1265" s="6" t="str">
        <f>IFERROR(__xludf.DUMMYFUNCTION("""COMPUTED_VALUE"""),"reagan")</f>
        <v>reagan</v>
      </c>
      <c r="H1265" s="6" t="str">
        <f>IFERROR(__xludf.DUMMYFUNCTION("""COMPUTED_VALUE"""),"adds")</f>
        <v>adds</v>
      </c>
      <c r="I1265" s="6"/>
      <c r="J1265" s="6" t="str">
        <f>IFERROR(__xludf.DUMMYFUNCTION("""COMPUTED_VALUE"""),"collaborative")</f>
        <v>collaborative</v>
      </c>
      <c r="L1265" s="6" t="str">
        <f>IFERROR(__xludf.DUMMYFUNCTION("""COMPUTED_VALUE"""),"proceedings")</f>
        <v>proceedings</v>
      </c>
      <c r="M1265" s="6" t="str">
        <f>IFERROR(__xludf.DUMMYFUNCTION("""COMPUTED_VALUE"""),"singh")</f>
        <v>singh</v>
      </c>
      <c r="N1265" s="6" t="str">
        <f>IFERROR(__xludf.DUMMYFUNCTION("""COMPUTED_VALUE"""),"troubled")</f>
        <v>troubled</v>
      </c>
      <c r="P1265" s="6" t="str">
        <f>IFERROR(__xludf.DUMMYFUNCTION("""COMPUTED_VALUE"""),"ai")</f>
        <v>ai</v>
      </c>
      <c r="Q1265" s="6" t="str">
        <f>IFERROR(__xludf.DUMMYFUNCTION("""COMPUTED_VALUE"""),"minnie")</f>
        <v>minnie</v>
      </c>
      <c r="S1265" s="6" t="str">
        <f>IFERROR(__xludf.DUMMYFUNCTION("""COMPUTED_VALUE"""),"artists")</f>
        <v>artists</v>
      </c>
    </row>
    <row r="1266">
      <c r="B1266" s="6"/>
      <c r="D1266" s="6"/>
      <c r="G1266" s="6" t="str">
        <f>IFERROR(__xludf.DUMMYFUNCTION("""COMPUTED_VALUE"""),"damon")</f>
        <v>damon</v>
      </c>
      <c r="H1266" s="6" t="str">
        <f>IFERROR(__xludf.DUMMYFUNCTION("""COMPUTED_VALUE"""),"solemn")</f>
        <v>solemn</v>
      </c>
      <c r="I1266" s="6"/>
      <c r="J1266" s="6" t="str">
        <f>IFERROR(__xludf.DUMMYFUNCTION("""COMPUTED_VALUE"""),"ai")</f>
        <v>ai</v>
      </c>
      <c r="L1266" s="6" t="str">
        <f>IFERROR(__xludf.DUMMYFUNCTION("""COMPUTED_VALUE"""),"prominently")</f>
        <v>prominently</v>
      </c>
      <c r="M1266" s="6" t="str">
        <f>IFERROR(__xludf.DUMMYFUNCTION("""COMPUTED_VALUE"""),"revealed")</f>
        <v>revealed</v>
      </c>
      <c r="N1266" s="6" t="str">
        <f>IFERROR(__xludf.DUMMYFUNCTION("""COMPUTED_VALUE"""),"pollution")</f>
        <v>pollution</v>
      </c>
      <c r="P1266" s="6" t="str">
        <f>IFERROR(__xludf.DUMMYFUNCTION("""COMPUTED_VALUE"""),"rival")</f>
        <v>rival</v>
      </c>
      <c r="Q1266" s="6" t="str">
        <f>IFERROR(__xludf.DUMMYFUNCTION("""COMPUTED_VALUE"""),"spontaneous")</f>
        <v>spontaneous</v>
      </c>
      <c r="S1266" s="6" t="str">
        <f>IFERROR(__xludf.DUMMYFUNCTION("""COMPUTED_VALUE"""),"intent")</f>
        <v>intent</v>
      </c>
    </row>
    <row r="1267">
      <c r="B1267" s="6"/>
      <c r="D1267" s="6"/>
      <c r="G1267" s="6" t="str">
        <f>IFERROR(__xludf.DUMMYFUNCTION("""COMPUTED_VALUE"""),"proposal")</f>
        <v>proposal</v>
      </c>
      <c r="H1267" s="6" t="str">
        <f>IFERROR(__xludf.DUMMYFUNCTION("""COMPUTED_VALUE"""),"improvement")</f>
        <v>improvement</v>
      </c>
      <c r="I1267" s="6"/>
      <c r="J1267" s="6" t="str">
        <f>IFERROR(__xludf.DUMMYFUNCTION("""COMPUTED_VALUE"""),"continuity")</f>
        <v>continuity</v>
      </c>
      <c r="L1267" s="6" t="str">
        <f>IFERROR(__xludf.DUMMYFUNCTION("""COMPUTED_VALUE"""),"arresting")</f>
        <v>arresting</v>
      </c>
      <c r="M1267" s="6" t="str">
        <f>IFERROR(__xludf.DUMMYFUNCTION("""COMPUTED_VALUE"""),"lesser")</f>
        <v>lesser</v>
      </c>
      <c r="N1267" s="6" t="str">
        <f>IFERROR(__xludf.DUMMYFUNCTION("""COMPUTED_VALUE"""),"lectures")</f>
        <v>lectures</v>
      </c>
      <c r="P1267" s="6" t="str">
        <f>IFERROR(__xludf.DUMMYFUNCTION("""COMPUTED_VALUE"""),"ernest")</f>
        <v>ernest</v>
      </c>
      <c r="Q1267" s="6" t="str">
        <f>IFERROR(__xludf.DUMMYFUNCTION("""COMPUTED_VALUE"""),"interaction")</f>
        <v>interaction</v>
      </c>
      <c r="S1267" s="6" t="str">
        <f>IFERROR(__xludf.DUMMYFUNCTION("""COMPUTED_VALUE"""),"spider")</f>
        <v>spider</v>
      </c>
    </row>
    <row r="1268">
      <c r="B1268" s="6"/>
      <c r="D1268" s="6"/>
      <c r="G1268" s="6" t="str">
        <f>IFERROR(__xludf.DUMMYFUNCTION("""COMPUTED_VALUE"""),"eventual")</f>
        <v>eventual</v>
      </c>
      <c r="H1268" s="6" t="str">
        <f>IFERROR(__xludf.DUMMYFUNCTION("""COMPUTED_VALUE"""),"soldiers")</f>
        <v>soldiers</v>
      </c>
      <c r="I1268" s="6"/>
      <c r="J1268" s="6" t="str">
        <f>IFERROR(__xludf.DUMMYFUNCTION("""COMPUTED_VALUE"""),"ambrose")</f>
        <v>ambrose</v>
      </c>
      <c r="L1268" s="6" t="str">
        <f>IFERROR(__xludf.DUMMYFUNCTION("""COMPUTED_VALUE"""),"cumulative")</f>
        <v>cumulative</v>
      </c>
      <c r="M1268" s="6" t="str">
        <f>IFERROR(__xludf.DUMMYFUNCTION("""COMPUTED_VALUE"""),"angels")</f>
        <v>angels</v>
      </c>
      <c r="N1268" s="6" t="str">
        <f>IFERROR(__xludf.DUMMYFUNCTION("""COMPUTED_VALUE"""),"cleavage")</f>
        <v>cleavage</v>
      </c>
      <c r="P1268" s="6" t="str">
        <f>IFERROR(__xludf.DUMMYFUNCTION("""COMPUTED_VALUE"""),"dozen")</f>
        <v>dozen</v>
      </c>
      <c r="Q1268" s="6" t="str">
        <f>IFERROR(__xludf.DUMMYFUNCTION("""COMPUTED_VALUE"""),"cellular")</f>
        <v>cellular</v>
      </c>
      <c r="S1268" s="6" t="str">
        <f>IFERROR(__xludf.DUMMYFUNCTION("""COMPUTED_VALUE"""),"setting")</f>
        <v>setting</v>
      </c>
    </row>
    <row r="1269">
      <c r="B1269" s="6"/>
      <c r="D1269" s="6"/>
      <c r="G1269" s="6" t="str">
        <f>IFERROR(__xludf.DUMMYFUNCTION("""COMPUTED_VALUE"""),"heavyweight")</f>
        <v>heavyweight</v>
      </c>
      <c r="H1269" s="6" t="str">
        <f>IFERROR(__xludf.DUMMYFUNCTION("""COMPUTED_VALUE"""),"spiked")</f>
        <v>spiked</v>
      </c>
      <c r="I1269" s="6"/>
      <c r="J1269" s="6" t="str">
        <f>IFERROR(__xludf.DUMMYFUNCTION("""COMPUTED_VALUE"""),"leaps")</f>
        <v>leaps</v>
      </c>
      <c r="L1269" s="6" t="str">
        <f>IFERROR(__xludf.DUMMYFUNCTION("""COMPUTED_VALUE"""),"darkest")</f>
        <v>darkest</v>
      </c>
      <c r="M1269" s="6" t="str">
        <f>IFERROR(__xludf.DUMMYFUNCTION("""COMPUTED_VALUE"""),"allen")</f>
        <v>allen</v>
      </c>
      <c r="N1269" s="6" t="str">
        <f>IFERROR(__xludf.DUMMYFUNCTION("""COMPUTED_VALUE"""),"storytelling")</f>
        <v>storytelling</v>
      </c>
      <c r="P1269" s="6" t="str">
        <f>IFERROR(__xludf.DUMMYFUNCTION("""COMPUTED_VALUE"""),"roles")</f>
        <v>roles</v>
      </c>
      <c r="Q1269" s="6" t="str">
        <f>IFERROR(__xludf.DUMMYFUNCTION("""COMPUTED_VALUE"""),"card")</f>
        <v>card</v>
      </c>
      <c r="S1269" s="6" t="str">
        <f>IFERROR(__xludf.DUMMYFUNCTION("""COMPUTED_VALUE"""),"ideal")</f>
        <v>ideal</v>
      </c>
    </row>
    <row r="1270">
      <c r="B1270" s="6"/>
      <c r="D1270" s="6"/>
      <c r="G1270" s="6" t="str">
        <f>IFERROR(__xludf.DUMMYFUNCTION("""COMPUTED_VALUE"""),"unpaid")</f>
        <v>unpaid</v>
      </c>
      <c r="H1270" s="6" t="str">
        <f>IFERROR(__xludf.DUMMYFUNCTION("""COMPUTED_VALUE"""),"lawrence")</f>
        <v>lawrence</v>
      </c>
      <c r="I1270" s="6"/>
      <c r="J1270" s="6" t="str">
        <f>IFERROR(__xludf.DUMMYFUNCTION("""COMPUTED_VALUE"""),"unnamed")</f>
        <v>unnamed</v>
      </c>
      <c r="L1270" s="6" t="str">
        <f>IFERROR(__xludf.DUMMYFUNCTION("""COMPUTED_VALUE"""),"amused")</f>
        <v>amused</v>
      </c>
      <c r="M1270" s="6" t="str">
        <f>IFERROR(__xludf.DUMMYFUNCTION("""COMPUTED_VALUE"""),"toss")</f>
        <v>toss</v>
      </c>
      <c r="N1270" s="6" t="str">
        <f>IFERROR(__xludf.DUMMYFUNCTION("""COMPUTED_VALUE"""),"climate")</f>
        <v>climate</v>
      </c>
      <c r="P1270" s="6" t="str">
        <f>IFERROR(__xludf.DUMMYFUNCTION("""COMPUTED_VALUE"""),"heights")</f>
        <v>heights</v>
      </c>
      <c r="Q1270" s="6" t="str">
        <f>IFERROR(__xludf.DUMMYFUNCTION("""COMPUTED_VALUE"""),"sports")</f>
        <v>sports</v>
      </c>
      <c r="S1270" s="6" t="str">
        <f>IFERROR(__xludf.DUMMYFUNCTION("""COMPUTED_VALUE"""),"body")</f>
        <v>body</v>
      </c>
    </row>
    <row r="1271">
      <c r="B1271" s="6"/>
      <c r="D1271" s="6"/>
      <c r="G1271" s="6" t="str">
        <f>IFERROR(__xludf.DUMMYFUNCTION("""COMPUTED_VALUE"""),"courtroom")</f>
        <v>courtroom</v>
      </c>
      <c r="H1271" s="6" t="str">
        <f>IFERROR(__xludf.DUMMYFUNCTION("""COMPUTED_VALUE"""),"textbook")</f>
        <v>textbook</v>
      </c>
      <c r="I1271" s="6"/>
      <c r="J1271" s="6" t="str">
        <f>IFERROR(__xludf.DUMMYFUNCTION("""COMPUTED_VALUE"""),"stretched")</f>
        <v>stretched</v>
      </c>
      <c r="L1271" s="6" t="str">
        <f>IFERROR(__xludf.DUMMYFUNCTION("""COMPUTED_VALUE"""),"thirst")</f>
        <v>thirst</v>
      </c>
      <c r="M1271" s="6" t="str">
        <f>IFERROR(__xludf.DUMMYFUNCTION("""COMPUTED_VALUE"""),"releases")</f>
        <v>releases</v>
      </c>
      <c r="N1271" s="6" t="str">
        <f>IFERROR(__xludf.DUMMYFUNCTION("""COMPUTED_VALUE"""),"vampire")</f>
        <v>vampire</v>
      </c>
      <c r="P1271" s="6" t="str">
        <f>IFERROR(__xludf.DUMMYFUNCTION("""COMPUTED_VALUE"""),"particular")</f>
        <v>particular</v>
      </c>
      <c r="Q1271" s="6" t="str">
        <f>IFERROR(__xludf.DUMMYFUNCTION("""COMPUTED_VALUE"""),"savage")</f>
        <v>savage</v>
      </c>
      <c r="S1271" s="6" t="str">
        <f>IFERROR(__xludf.DUMMYFUNCTION("""COMPUTED_VALUE"""),"vietnamese")</f>
        <v>vietnamese</v>
      </c>
    </row>
    <row r="1272">
      <c r="B1272" s="6"/>
      <c r="D1272" s="6"/>
      <c r="G1272" s="6" t="str">
        <f>IFERROR(__xludf.DUMMYFUNCTION("""COMPUTED_VALUE"""),"exhaustion")</f>
        <v>exhaustion</v>
      </c>
      <c r="H1272" s="6" t="str">
        <f>IFERROR(__xludf.DUMMYFUNCTION("""COMPUTED_VALUE"""),"barbed")</f>
        <v>barbed</v>
      </c>
      <c r="I1272" s="6"/>
      <c r="J1272" s="6" t="str">
        <f>IFERROR(__xludf.DUMMYFUNCTION("""COMPUTED_VALUE"""),"ambition")</f>
        <v>ambition</v>
      </c>
      <c r="L1272" s="6" t="str">
        <f>IFERROR(__xludf.DUMMYFUNCTION("""COMPUTED_VALUE"""),"grasping")</f>
        <v>grasping</v>
      </c>
      <c r="M1272" s="6" t="str">
        <f>IFERROR(__xludf.DUMMYFUNCTION("""COMPUTED_VALUE"""),"sequence")</f>
        <v>sequence</v>
      </c>
      <c r="N1272" s="6" t="str">
        <f>IFERROR(__xludf.DUMMYFUNCTION("""COMPUTED_VALUE"""),"proficiency")</f>
        <v>proficiency</v>
      </c>
      <c r="P1272" s="6" t="str">
        <f>IFERROR(__xludf.DUMMYFUNCTION("""COMPUTED_VALUE"""),"freedom")</f>
        <v>freedom</v>
      </c>
      <c r="Q1272" s="6" t="str">
        <f>IFERROR(__xludf.DUMMYFUNCTION("""COMPUTED_VALUE"""),"cunning")</f>
        <v>cunning</v>
      </c>
      <c r="S1272" s="6" t="str">
        <f>IFERROR(__xludf.DUMMYFUNCTION("""COMPUTED_VALUE"""),"theories")</f>
        <v>theories</v>
      </c>
    </row>
    <row r="1273">
      <c r="B1273" s="6"/>
      <c r="D1273" s="6"/>
      <c r="G1273" s="6" t="str">
        <f>IFERROR(__xludf.DUMMYFUNCTION("""COMPUTED_VALUE"""),"discoveries")</f>
        <v>discoveries</v>
      </c>
      <c r="H1273" s="6" t="str">
        <f>IFERROR(__xludf.DUMMYFUNCTION("""COMPUTED_VALUE"""),"riot")</f>
        <v>riot</v>
      </c>
      <c r="I1273" s="6"/>
      <c r="J1273" s="6" t="str">
        <f>IFERROR(__xludf.DUMMYFUNCTION("""COMPUTED_VALUE"""),"improvised")</f>
        <v>improvised</v>
      </c>
      <c r="L1273" s="6" t="str">
        <f>IFERROR(__xludf.DUMMYFUNCTION("""COMPUTED_VALUE"""),"curling")</f>
        <v>curling</v>
      </c>
      <c r="M1273" s="6" t="str">
        <f>IFERROR(__xludf.DUMMYFUNCTION("""COMPUTED_VALUE"""),"aims")</f>
        <v>aims</v>
      </c>
      <c r="N1273" s="6" t="str">
        <f>IFERROR(__xludf.DUMMYFUNCTION("""COMPUTED_VALUE"""),"sentiment")</f>
        <v>sentiment</v>
      </c>
      <c r="P1273" s="6" t="str">
        <f>IFERROR(__xludf.DUMMYFUNCTION("""COMPUTED_VALUE"""),"russell")</f>
        <v>russell</v>
      </c>
      <c r="Q1273" s="6" t="str">
        <f>IFERROR(__xludf.DUMMYFUNCTION("""COMPUTED_VALUE"""),"gaunt")</f>
        <v>gaunt</v>
      </c>
      <c r="S1273" s="6" t="str">
        <f>IFERROR(__xludf.DUMMYFUNCTION("""COMPUTED_VALUE"""),"dragged")</f>
        <v>dragged</v>
      </c>
    </row>
    <row r="1274">
      <c r="B1274" s="6"/>
      <c r="D1274" s="6"/>
      <c r="G1274" s="6" t="str">
        <f>IFERROR(__xludf.DUMMYFUNCTION("""COMPUTED_VALUE"""),"franco")</f>
        <v>franco</v>
      </c>
      <c r="H1274" s="6" t="str">
        <f>IFERROR(__xludf.DUMMYFUNCTION("""COMPUTED_VALUE"""),"operatic")</f>
        <v>operatic</v>
      </c>
      <c r="I1274" s="6"/>
      <c r="J1274" s="6" t="str">
        <f>IFERROR(__xludf.DUMMYFUNCTION("""COMPUTED_VALUE"""),"tapestry")</f>
        <v>tapestry</v>
      </c>
      <c r="L1274" s="6" t="str">
        <f>IFERROR(__xludf.DUMMYFUNCTION("""COMPUTED_VALUE"""),"playfully")</f>
        <v>playfully</v>
      </c>
      <c r="M1274" s="6" t="str">
        <f>IFERROR(__xludf.DUMMYFUNCTION("""COMPUTED_VALUE"""),"certified")</f>
        <v>certified</v>
      </c>
      <c r="N1274" s="6" t="str">
        <f>IFERROR(__xludf.DUMMYFUNCTION("""COMPUTED_VALUE"""),"romero")</f>
        <v>romero</v>
      </c>
      <c r="P1274" s="6" t="str">
        <f>IFERROR(__xludf.DUMMYFUNCTION("""COMPUTED_VALUE"""),"excess")</f>
        <v>excess</v>
      </c>
      <c r="Q1274" s="6" t="str">
        <f>IFERROR(__xludf.DUMMYFUNCTION("""COMPUTED_VALUE"""),"dimension")</f>
        <v>dimension</v>
      </c>
      <c r="S1274" s="6" t="str">
        <f>IFERROR(__xludf.DUMMYFUNCTION("""COMPUTED_VALUE"""),"hidden")</f>
        <v>hidden</v>
      </c>
    </row>
    <row r="1275">
      <c r="B1275" s="6"/>
      <c r="D1275" s="6"/>
      <c r="G1275" s="6" t="str">
        <f>IFERROR(__xludf.DUMMYFUNCTION("""COMPUTED_VALUE"""),"seas")</f>
        <v>seas</v>
      </c>
      <c r="H1275" s="6" t="str">
        <f>IFERROR(__xludf.DUMMYFUNCTION("""COMPUTED_VALUE"""),"limbs")</f>
        <v>limbs</v>
      </c>
      <c r="I1275" s="6"/>
      <c r="J1275" s="6" t="str">
        <f>IFERROR(__xludf.DUMMYFUNCTION("""COMPUTED_VALUE"""),"gel")</f>
        <v>gel</v>
      </c>
      <c r="L1275" s="6" t="str">
        <f>IFERROR(__xludf.DUMMYFUNCTION("""COMPUTED_VALUE"""),"intensity")</f>
        <v>intensity</v>
      </c>
      <c r="M1275" s="6" t="str">
        <f>IFERROR(__xludf.DUMMYFUNCTION("""COMPUTED_VALUE"""),"believing")</f>
        <v>believing</v>
      </c>
      <c r="N1275" s="6" t="str">
        <f>IFERROR(__xludf.DUMMYFUNCTION("""COMPUTED_VALUE"""),"backstage")</f>
        <v>backstage</v>
      </c>
      <c r="P1275" s="6" t="str">
        <f>IFERROR(__xludf.DUMMYFUNCTION("""COMPUTED_VALUE"""),"train")</f>
        <v>train</v>
      </c>
      <c r="Q1275" s="6" t="str">
        <f>IFERROR(__xludf.DUMMYFUNCTION("""COMPUTED_VALUE"""),"hell")</f>
        <v>hell</v>
      </c>
      <c r="S1275" s="6" t="str">
        <f>IFERROR(__xludf.DUMMYFUNCTION("""COMPUTED_VALUE"""),"department")</f>
        <v>department</v>
      </c>
    </row>
    <row r="1276">
      <c r="B1276" s="6"/>
      <c r="D1276" s="6"/>
      <c r="G1276" s="6" t="str">
        <f>IFERROR(__xludf.DUMMYFUNCTION("""COMPUTED_VALUE"""),"activism")</f>
        <v>activism</v>
      </c>
      <c r="H1276" s="6" t="str">
        <f>IFERROR(__xludf.DUMMYFUNCTION("""COMPUTED_VALUE"""),"suspend")</f>
        <v>suspend</v>
      </c>
      <c r="I1276" s="6"/>
      <c r="J1276" s="6" t="str">
        <f>IFERROR(__xludf.DUMMYFUNCTION("""COMPUTED_VALUE"""),"roles")</f>
        <v>roles</v>
      </c>
      <c r="L1276" s="6" t="str">
        <f>IFERROR(__xludf.DUMMYFUNCTION("""COMPUTED_VALUE"""),"ramsay")</f>
        <v>ramsay</v>
      </c>
      <c r="M1276" s="6" t="str">
        <f>IFERROR(__xludf.DUMMYFUNCTION("""COMPUTED_VALUE"""),"divorce")</f>
        <v>divorce</v>
      </c>
      <c r="N1276" s="6" t="str">
        <f>IFERROR(__xludf.DUMMYFUNCTION("""COMPUTED_VALUE"""),"documented")</f>
        <v>documented</v>
      </c>
      <c r="P1276" s="6" t="str">
        <f>IFERROR(__xludf.DUMMYFUNCTION("""COMPUTED_VALUE"""),"origins")</f>
        <v>origins</v>
      </c>
      <c r="Q1276" s="6" t="str">
        <f>IFERROR(__xludf.DUMMYFUNCTION("""COMPUTED_VALUE"""),"wasted")</f>
        <v>wasted</v>
      </c>
      <c r="S1276" s="6" t="str">
        <f>IFERROR(__xludf.DUMMYFUNCTION("""COMPUTED_VALUE"""),"land")</f>
        <v>land</v>
      </c>
    </row>
    <row r="1277">
      <c r="B1277" s="6"/>
      <c r="D1277" s="6"/>
      <c r="G1277" s="6" t="str">
        <f>IFERROR(__xludf.DUMMYFUNCTION("""COMPUTED_VALUE"""),"salvage")</f>
        <v>salvage</v>
      </c>
      <c r="H1277" s="6" t="str">
        <f>IFERROR(__xludf.DUMMYFUNCTION("""COMPUTED_VALUE"""),"disbelief")</f>
        <v>disbelief</v>
      </c>
      <c r="I1277" s="6"/>
      <c r="J1277" s="6" t="str">
        <f>IFERROR(__xludf.DUMMYFUNCTION("""COMPUTED_VALUE"""),"ambiguity")</f>
        <v>ambiguity</v>
      </c>
      <c r="L1277" s="6" t="str">
        <f>IFERROR(__xludf.DUMMYFUNCTION("""COMPUTED_VALUE"""),"evolved")</f>
        <v>evolved</v>
      </c>
      <c r="M1277" s="6" t="str">
        <f>IFERROR(__xludf.DUMMYFUNCTION("""COMPUTED_VALUE"""),"suggests")</f>
        <v>suggests</v>
      </c>
      <c r="N1277" s="6" t="str">
        <f>IFERROR(__xludf.DUMMYFUNCTION("""COMPUTED_VALUE"""),"moat")</f>
        <v>moat</v>
      </c>
      <c r="P1277" s="6" t="str">
        <f>IFERROR(__xludf.DUMMYFUNCTION("""COMPUTED_VALUE"""),"nazi")</f>
        <v>nazi</v>
      </c>
      <c r="Q1277" s="6" t="str">
        <f>IFERROR(__xludf.DUMMYFUNCTION("""COMPUTED_VALUE"""),"participant")</f>
        <v>participant</v>
      </c>
      <c r="S1277" s="6" t="str">
        <f>IFERROR(__xludf.DUMMYFUNCTION("""COMPUTED_VALUE"""),"captured")</f>
        <v>captured</v>
      </c>
    </row>
    <row r="1278">
      <c r="B1278" s="6"/>
      <c r="D1278" s="6"/>
      <c r="G1278" s="6" t="str">
        <f>IFERROR(__xludf.DUMMYFUNCTION("""COMPUTED_VALUE"""),"ties")</f>
        <v>ties</v>
      </c>
      <c r="H1278" s="6" t="str">
        <f>IFERROR(__xludf.DUMMYFUNCTION("""COMPUTED_VALUE"""),"traditions")</f>
        <v>traditions</v>
      </c>
      <c r="I1278" s="6"/>
      <c r="J1278" s="6" t="str">
        <f>IFERROR(__xludf.DUMMYFUNCTION("""COMPUTED_VALUE"""),"symbolic")</f>
        <v>symbolic</v>
      </c>
      <c r="L1278" s="6" t="str">
        <f>IFERROR(__xludf.DUMMYFUNCTION("""COMPUTED_VALUE"""),"echoes")</f>
        <v>echoes</v>
      </c>
      <c r="M1278" s="6" t="str">
        <f>IFERROR(__xludf.DUMMYFUNCTION("""COMPUTED_VALUE"""),"players")</f>
        <v>players</v>
      </c>
      <c r="N1278" s="6" t="str">
        <f>IFERROR(__xludf.DUMMYFUNCTION("""COMPUTED_VALUE"""),"proceedings")</f>
        <v>proceedings</v>
      </c>
      <c r="P1278" s="6" t="str">
        <f>IFERROR(__xludf.DUMMYFUNCTION("""COMPUTED_VALUE"""),"burst")</f>
        <v>burst</v>
      </c>
      <c r="Q1278" s="6" t="str">
        <f>IFERROR(__xludf.DUMMYFUNCTION("""COMPUTED_VALUE"""),"garcia")</f>
        <v>garcia</v>
      </c>
      <c r="S1278" s="6" t="str">
        <f>IFERROR(__xludf.DUMMYFUNCTION("""COMPUTED_VALUE"""),"equal")</f>
        <v>equal</v>
      </c>
    </row>
    <row r="1279">
      <c r="B1279" s="6"/>
      <c r="D1279" s="6"/>
      <c r="G1279" s="6" t="str">
        <f>IFERROR(__xludf.DUMMYFUNCTION("""COMPUTED_VALUE"""),"triangles")</f>
        <v>triangles</v>
      </c>
      <c r="H1279" s="6" t="str">
        <f>IFERROR(__xludf.DUMMYFUNCTION("""COMPUTED_VALUE"""),"pbs")</f>
        <v>pbs</v>
      </c>
      <c r="I1279" s="6"/>
      <c r="J1279" s="6" t="str">
        <f>IFERROR(__xludf.DUMMYFUNCTION("""COMPUTED_VALUE"""),"contenders")</f>
        <v>contenders</v>
      </c>
      <c r="L1279" s="6" t="str">
        <f>IFERROR(__xludf.DUMMYFUNCTION("""COMPUTED_VALUE"""),"approaches")</f>
        <v>approaches</v>
      </c>
      <c r="M1279" s="6" t="str">
        <f>IFERROR(__xludf.DUMMYFUNCTION("""COMPUTED_VALUE"""),"purposes")</f>
        <v>purposes</v>
      </c>
      <c r="N1279" s="6" t="str">
        <f>IFERROR(__xludf.DUMMYFUNCTION("""COMPUTED_VALUE"""),"prominently")</f>
        <v>prominently</v>
      </c>
      <c r="P1279" s="6" t="str">
        <f>IFERROR(__xludf.DUMMYFUNCTION("""COMPUTED_VALUE"""),"crack")</f>
        <v>crack</v>
      </c>
      <c r="Q1279" s="6" t="str">
        <f>IFERROR(__xludf.DUMMYFUNCTION("""COMPUTED_VALUE"""),"fees")</f>
        <v>fees</v>
      </c>
      <c r="S1279" s="6" t="str">
        <f>IFERROR(__xludf.DUMMYFUNCTION("""COMPUTED_VALUE"""),"handful")</f>
        <v>handful</v>
      </c>
    </row>
    <row r="1280">
      <c r="B1280" s="6"/>
      <c r="D1280" s="6"/>
      <c r="G1280" s="6" t="str">
        <f>IFERROR(__xludf.DUMMYFUNCTION("""COMPUTED_VALUE"""),"cultures")</f>
        <v>cultures</v>
      </c>
      <c r="H1280" s="6" t="str">
        <f>IFERROR(__xludf.DUMMYFUNCTION("""COMPUTED_VALUE"""),"contradictory")</f>
        <v>contradictory</v>
      </c>
      <c r="I1280" s="6"/>
      <c r="J1280" s="6" t="str">
        <f>IFERROR(__xludf.DUMMYFUNCTION("""COMPUTED_VALUE"""),"lean")</f>
        <v>lean</v>
      </c>
      <c r="L1280" s="6" t="str">
        <f>IFERROR(__xludf.DUMMYFUNCTION("""COMPUTED_VALUE"""),"sheds")</f>
        <v>sheds</v>
      </c>
      <c r="M1280" s="6" t="str">
        <f>IFERROR(__xludf.DUMMYFUNCTION("""COMPUTED_VALUE"""),"chest")</f>
        <v>chest</v>
      </c>
      <c r="N1280" s="6" t="str">
        <f>IFERROR(__xludf.DUMMYFUNCTION("""COMPUTED_VALUE"""),"arresting")</f>
        <v>arresting</v>
      </c>
      <c r="P1280" s="6" t="str">
        <f>IFERROR(__xludf.DUMMYFUNCTION("""COMPUTED_VALUE"""),"practiced")</f>
        <v>practiced</v>
      </c>
      <c r="Q1280" s="6" t="str">
        <f>IFERROR(__xludf.DUMMYFUNCTION("""COMPUTED_VALUE"""),"technological")</f>
        <v>technological</v>
      </c>
      <c r="S1280" s="6" t="str">
        <f>IFERROR(__xludf.DUMMYFUNCTION("""COMPUTED_VALUE"""),"realizing")</f>
        <v>realizing</v>
      </c>
    </row>
    <row r="1281">
      <c r="B1281" s="6"/>
      <c r="D1281" s="6"/>
      <c r="G1281" s="6" t="str">
        <f>IFERROR(__xludf.DUMMYFUNCTION("""COMPUTED_VALUE"""),"robinson")</f>
        <v>robinson</v>
      </c>
      <c r="H1281" s="6" t="str">
        <f>IFERROR(__xludf.DUMMYFUNCTION("""COMPUTED_VALUE"""),"effortlessly")</f>
        <v>effortlessly</v>
      </c>
      <c r="I1281" s="6"/>
      <c r="J1281" s="6" t="str">
        <f>IFERROR(__xludf.DUMMYFUNCTION("""COMPUTED_VALUE"""),"feathers")</f>
        <v>feathers</v>
      </c>
      <c r="L1281" s="6" t="str">
        <f>IFERROR(__xludf.DUMMYFUNCTION("""COMPUTED_VALUE"""),"attracting")</f>
        <v>attracting</v>
      </c>
      <c r="M1281" s="6" t="str">
        <f>IFERROR(__xludf.DUMMYFUNCTION("""COMPUTED_VALUE"""),"bound")</f>
        <v>bound</v>
      </c>
      <c r="N1281" s="6" t="str">
        <f>IFERROR(__xludf.DUMMYFUNCTION("""COMPUTED_VALUE"""),"cumulative")</f>
        <v>cumulative</v>
      </c>
      <c r="P1281" s="6" t="str">
        <f>IFERROR(__xludf.DUMMYFUNCTION("""COMPUTED_VALUE"""),"replaced")</f>
        <v>replaced</v>
      </c>
      <c r="Q1281" s="6" t="str">
        <f>IFERROR(__xludf.DUMMYFUNCTION("""COMPUTED_VALUE"""),"concentrating")</f>
        <v>concentrating</v>
      </c>
      <c r="S1281" s="6" t="str">
        <f>IFERROR(__xludf.DUMMYFUNCTION("""COMPUTED_VALUE"""),"warfare")</f>
        <v>warfare</v>
      </c>
    </row>
    <row r="1282">
      <c r="B1282" s="6"/>
      <c r="D1282" s="6"/>
      <c r="G1282" s="6" t="str">
        <f>IFERROR(__xludf.DUMMYFUNCTION("""COMPUTED_VALUE"""),"partnership")</f>
        <v>partnership</v>
      </c>
      <c r="H1282" s="6" t="str">
        <f>IFERROR(__xludf.DUMMYFUNCTION("""COMPUTED_VALUE"""),"straining")</f>
        <v>straining</v>
      </c>
      <c r="I1282" s="6"/>
      <c r="J1282" s="6" t="str">
        <f>IFERROR(__xludf.DUMMYFUNCTION("""COMPUTED_VALUE"""),"exit")</f>
        <v>exit</v>
      </c>
      <c r="L1282" s="6" t="str">
        <f>IFERROR(__xludf.DUMMYFUNCTION("""COMPUTED_VALUE"""),"invention")</f>
        <v>invention</v>
      </c>
      <c r="M1282" s="6" t="str">
        <f>IFERROR(__xludf.DUMMYFUNCTION("""COMPUTED_VALUE"""),"shaped")</f>
        <v>shaped</v>
      </c>
      <c r="N1282" s="6" t="str">
        <f>IFERROR(__xludf.DUMMYFUNCTION("""COMPUTED_VALUE"""),"amused")</f>
        <v>amused</v>
      </c>
      <c r="P1282" s="6" t="str">
        <f>IFERROR(__xludf.DUMMYFUNCTION("""COMPUTED_VALUE"""),"hoped")</f>
        <v>hoped</v>
      </c>
      <c r="Q1282" s="6" t="str">
        <f>IFERROR(__xludf.DUMMYFUNCTION("""COMPUTED_VALUE"""),"sadly")</f>
        <v>sadly</v>
      </c>
      <c r="S1282" s="6" t="str">
        <f>IFERROR(__xludf.DUMMYFUNCTION("""COMPUTED_VALUE"""),"vehicle")</f>
        <v>vehicle</v>
      </c>
    </row>
    <row r="1283">
      <c r="B1283" s="6"/>
      <c r="D1283" s="6"/>
      <c r="G1283" s="6" t="str">
        <f>IFERROR(__xludf.DUMMYFUNCTION("""COMPUTED_VALUE"""),"glass")</f>
        <v>glass</v>
      </c>
      <c r="H1283" s="6" t="str">
        <f>IFERROR(__xludf.DUMMYFUNCTION("""COMPUTED_VALUE"""),"sparks")</f>
        <v>sparks</v>
      </c>
      <c r="I1283" s="6"/>
      <c r="J1283" s="6" t="str">
        <f>IFERROR(__xludf.DUMMYFUNCTION("""COMPUTED_VALUE"""),"pleas")</f>
        <v>pleas</v>
      </c>
      <c r="L1283" s="6" t="str">
        <f>IFERROR(__xludf.DUMMYFUNCTION("""COMPUTED_VALUE"""),"develop")</f>
        <v>develop</v>
      </c>
      <c r="M1283" s="6" t="str">
        <f>IFERROR(__xludf.DUMMYFUNCTION("""COMPUTED_VALUE"""),"rally")</f>
        <v>rally</v>
      </c>
      <c r="N1283" s="6" t="str">
        <f>IFERROR(__xludf.DUMMYFUNCTION("""COMPUTED_VALUE"""),"thirst")</f>
        <v>thirst</v>
      </c>
      <c r="P1283" s="6" t="str">
        <f>IFERROR(__xludf.DUMMYFUNCTION("""COMPUTED_VALUE"""),"connected")</f>
        <v>connected</v>
      </c>
      <c r="Q1283" s="6" t="str">
        <f>IFERROR(__xludf.DUMMYFUNCTION("""COMPUTED_VALUE"""),"depict")</f>
        <v>depict</v>
      </c>
      <c r="S1283" s="6" t="str">
        <f>IFERROR(__xludf.DUMMYFUNCTION("""COMPUTED_VALUE"""),"thick")</f>
        <v>thick</v>
      </c>
    </row>
    <row r="1284">
      <c r="B1284" s="6"/>
      <c r="D1284" s="6"/>
      <c r="G1284" s="6" t="str">
        <f>IFERROR(__xludf.DUMMYFUNCTION("""COMPUTED_VALUE"""),"flashbacks")</f>
        <v>flashbacks</v>
      </c>
      <c r="H1284" s="6" t="str">
        <f>IFERROR(__xludf.DUMMYFUNCTION("""COMPUTED_VALUE"""),"cumulative")</f>
        <v>cumulative</v>
      </c>
      <c r="I1284" s="6"/>
      <c r="J1284" s="6" t="str">
        <f>IFERROR(__xludf.DUMMYFUNCTION("""COMPUTED_VALUE"""),"irwin")</f>
        <v>irwin</v>
      </c>
      <c r="L1284" s="6" t="str">
        <f>IFERROR(__xludf.DUMMYFUNCTION("""COMPUTED_VALUE"""),"innovation")</f>
        <v>innovation</v>
      </c>
      <c r="M1284" s="6" t="str">
        <f>IFERROR(__xludf.DUMMYFUNCTION("""COMPUTED_VALUE"""),"renowned")</f>
        <v>renowned</v>
      </c>
      <c r="N1284" s="6" t="str">
        <f>IFERROR(__xludf.DUMMYFUNCTION("""COMPUTED_VALUE"""),"chen")</f>
        <v>chen</v>
      </c>
      <c r="P1284" s="6" t="str">
        <f>IFERROR(__xludf.DUMMYFUNCTION("""COMPUTED_VALUE"""),"matters")</f>
        <v>matters</v>
      </c>
      <c r="Q1284" s="6" t="str">
        <f>IFERROR(__xludf.DUMMYFUNCTION("""COMPUTED_VALUE"""),"homosexual")</f>
        <v>homosexual</v>
      </c>
      <c r="S1284" s="6" t="str">
        <f>IFERROR(__xludf.DUMMYFUNCTION("""COMPUTED_VALUE"""),"mother")</f>
        <v>mother</v>
      </c>
    </row>
    <row r="1285">
      <c r="B1285" s="6"/>
      <c r="D1285" s="6"/>
      <c r="G1285" s="6" t="str">
        <f>IFERROR(__xludf.DUMMYFUNCTION("""COMPUTED_VALUE"""),"darkest")</f>
        <v>darkest</v>
      </c>
      <c r="H1285" s="6" t="str">
        <f>IFERROR(__xludf.DUMMYFUNCTION("""COMPUTED_VALUE"""),"visionary")</f>
        <v>visionary</v>
      </c>
      <c r="I1285" s="6"/>
      <c r="J1285" s="6" t="str">
        <f>IFERROR(__xludf.DUMMYFUNCTION("""COMPUTED_VALUE"""),"procedural")</f>
        <v>procedural</v>
      </c>
      <c r="L1285" s="6" t="str">
        <f>IFERROR(__xludf.DUMMYFUNCTION("""COMPUTED_VALUE"""),"academy")</f>
        <v>academy</v>
      </c>
      <c r="M1285" s="6" t="str">
        <f>IFERROR(__xludf.DUMMYFUNCTION("""COMPUTED_VALUE"""),"russian")</f>
        <v>russian</v>
      </c>
      <c r="N1285" s="6" t="str">
        <f>IFERROR(__xludf.DUMMYFUNCTION("""COMPUTED_VALUE"""),"curling")</f>
        <v>curling</v>
      </c>
      <c r="P1285" s="6" t="str">
        <f>IFERROR(__xludf.DUMMYFUNCTION("""COMPUTED_VALUE"""),"cop")</f>
        <v>cop</v>
      </c>
      <c r="Q1285" s="6" t="str">
        <f>IFERROR(__xludf.DUMMYFUNCTION("""COMPUTED_VALUE"""),"relationship")</f>
        <v>relationship</v>
      </c>
      <c r="S1285" s="6" t="str">
        <f>IFERROR(__xludf.DUMMYFUNCTION("""COMPUTED_VALUE"""),"cost")</f>
        <v>cost</v>
      </c>
    </row>
    <row r="1286">
      <c r="B1286" s="6"/>
      <c r="D1286" s="6"/>
      <c r="G1286" s="6" t="str">
        <f>IFERROR(__xludf.DUMMYFUNCTION("""COMPUTED_VALUE"""),"saga")</f>
        <v>saga</v>
      </c>
      <c r="H1286" s="6" t="str">
        <f>IFERROR(__xludf.DUMMYFUNCTION("""COMPUTED_VALUE"""),"creed")</f>
        <v>creed</v>
      </c>
      <c r="I1286" s="6"/>
      <c r="J1286" s="6" t="str">
        <f>IFERROR(__xludf.DUMMYFUNCTION("""COMPUTED_VALUE"""),"schneider")</f>
        <v>schneider</v>
      </c>
      <c r="L1286" s="6" t="str">
        <f>IFERROR(__xludf.DUMMYFUNCTION("""COMPUTED_VALUE"""),"portraying")</f>
        <v>portraying</v>
      </c>
      <c r="M1286" s="6" t="str">
        <f>IFERROR(__xludf.DUMMYFUNCTION("""COMPUTED_VALUE"""),"tier")</f>
        <v>tier</v>
      </c>
      <c r="N1286" s="6" t="str">
        <f>IFERROR(__xludf.DUMMYFUNCTION("""COMPUTED_VALUE"""),"intensity")</f>
        <v>intensity</v>
      </c>
      <c r="P1286" s="6" t="str">
        <f>IFERROR(__xludf.DUMMYFUNCTION("""COMPUTED_VALUE"""),"lower")</f>
        <v>lower</v>
      </c>
      <c r="Q1286" s="6" t="str">
        <f>IFERROR(__xludf.DUMMYFUNCTION("""COMPUTED_VALUE"""),"laced")</f>
        <v>laced</v>
      </c>
      <c r="S1286" s="6" t="str">
        <f>IFERROR(__xludf.DUMMYFUNCTION("""COMPUTED_VALUE"""),"radical")</f>
        <v>radical</v>
      </c>
    </row>
    <row r="1287">
      <c r="B1287" s="6"/>
      <c r="D1287" s="6"/>
      <c r="G1287" s="6" t="str">
        <f>IFERROR(__xludf.DUMMYFUNCTION("""COMPUTED_VALUE"""),"playoff")</f>
        <v>playoff</v>
      </c>
      <c r="H1287" s="6" t="str">
        <f>IFERROR(__xludf.DUMMYFUNCTION("""COMPUTED_VALUE"""),"ferrara")</f>
        <v>ferrara</v>
      </c>
      <c r="I1287" s="6"/>
      <c r="J1287" s="6" t="str">
        <f>IFERROR(__xludf.DUMMYFUNCTION("""COMPUTED_VALUE"""),"crypt")</f>
        <v>crypt</v>
      </c>
      <c r="L1287" s="6" t="str">
        <f>IFERROR(__xludf.DUMMYFUNCTION("""COMPUTED_VALUE"""),"nominated")</f>
        <v>nominated</v>
      </c>
      <c r="M1287" s="6" t="str">
        <f>IFERROR(__xludf.DUMMYFUNCTION("""COMPUTED_VALUE"""),"legendary")</f>
        <v>legendary</v>
      </c>
      <c r="N1287" s="6" t="str">
        <f>IFERROR(__xludf.DUMMYFUNCTION("""COMPUTED_VALUE"""),"ramsay")</f>
        <v>ramsay</v>
      </c>
      <c r="P1287" s="6" t="str">
        <f>IFERROR(__xludf.DUMMYFUNCTION("""COMPUTED_VALUE"""),"athlete")</f>
        <v>athlete</v>
      </c>
      <c r="Q1287" s="6" t="str">
        <f>IFERROR(__xludf.DUMMYFUNCTION("""COMPUTED_VALUE"""),"flash")</f>
        <v>flash</v>
      </c>
      <c r="S1287" s="6" t="str">
        <f>IFERROR(__xludf.DUMMYFUNCTION("""COMPUTED_VALUE"""),"tells")</f>
        <v>tells</v>
      </c>
    </row>
    <row r="1288">
      <c r="B1288" s="6"/>
      <c r="D1288" s="6"/>
      <c r="G1288" s="6" t="str">
        <f>IFERROR(__xludf.DUMMYFUNCTION("""COMPUTED_VALUE"""),"distances")</f>
        <v>distances</v>
      </c>
      <c r="H1288" s="6" t="str">
        <f>IFERROR(__xludf.DUMMYFUNCTION("""COMPUTED_VALUE"""),"abel")</f>
        <v>abel</v>
      </c>
      <c r="I1288" s="6"/>
      <c r="J1288" s="6" t="str">
        <f>IFERROR(__xludf.DUMMYFUNCTION("""COMPUTED_VALUE"""),"peek")</f>
        <v>peek</v>
      </c>
      <c r="L1288" s="6" t="str">
        <f>IFERROR(__xludf.DUMMYFUNCTION("""COMPUTED_VALUE"""),"cloak")</f>
        <v>cloak</v>
      </c>
      <c r="M1288" s="6" t="str">
        <f>IFERROR(__xludf.DUMMYFUNCTION("""COMPUTED_VALUE"""),"surrender")</f>
        <v>surrender</v>
      </c>
      <c r="N1288" s="6" t="str">
        <f>IFERROR(__xludf.DUMMYFUNCTION("""COMPUTED_VALUE"""),"echoes")</f>
        <v>echoes</v>
      </c>
      <c r="P1288" s="6" t="str">
        <f>IFERROR(__xludf.DUMMYFUNCTION("""COMPUTED_VALUE"""),"image")</f>
        <v>image</v>
      </c>
      <c r="Q1288" s="6" t="str">
        <f>IFERROR(__xludf.DUMMYFUNCTION("""COMPUTED_VALUE"""),"wise")</f>
        <v>wise</v>
      </c>
      <c r="S1288" s="6" t="str">
        <f>IFERROR(__xludf.DUMMYFUNCTION("""COMPUTED_VALUE"""),"hook")</f>
        <v>hook</v>
      </c>
    </row>
    <row r="1289">
      <c r="B1289" s="6"/>
      <c r="D1289" s="6"/>
      <c r="G1289" s="6" t="str">
        <f>IFERROR(__xludf.DUMMYFUNCTION("""COMPUTED_VALUE"""),"appeals")</f>
        <v>appeals</v>
      </c>
      <c r="H1289" s="6" t="str">
        <f>IFERROR(__xludf.DUMMYFUNCTION("""COMPUTED_VALUE"""),"reliance")</f>
        <v>reliance</v>
      </c>
      <c r="I1289" s="6"/>
      <c r="J1289" s="6" t="str">
        <f>IFERROR(__xludf.DUMMYFUNCTION("""COMPUTED_VALUE"""),"protagonist")</f>
        <v>protagonist</v>
      </c>
      <c r="L1289" s="6" t="str">
        <f>IFERROR(__xludf.DUMMYFUNCTION("""COMPUTED_VALUE"""),"twisted")</f>
        <v>twisted</v>
      </c>
      <c r="M1289" s="6" t="str">
        <f>IFERROR(__xludf.DUMMYFUNCTION("""COMPUTED_VALUE"""),"wooden")</f>
        <v>wooden</v>
      </c>
      <c r="N1289" s="6" t="str">
        <f>IFERROR(__xludf.DUMMYFUNCTION("""COMPUTED_VALUE"""),"approaches")</f>
        <v>approaches</v>
      </c>
      <c r="P1289" s="6" t="str">
        <f>IFERROR(__xludf.DUMMYFUNCTION("""COMPUTED_VALUE"""),"combat")</f>
        <v>combat</v>
      </c>
      <c r="Q1289" s="6" t="str">
        <f>IFERROR(__xludf.DUMMYFUNCTION("""COMPUTED_VALUE"""),"distinguished")</f>
        <v>distinguished</v>
      </c>
      <c r="S1289" s="6">
        <f>IFERROR(__xludf.DUMMYFUNCTION("""COMPUTED_VALUE"""),1993.0)</f>
        <v>1993</v>
      </c>
    </row>
    <row r="1290">
      <c r="B1290" s="6"/>
      <c r="D1290" s="6"/>
      <c r="G1290" s="6" t="str">
        <f>IFERROR(__xludf.DUMMYFUNCTION("""COMPUTED_VALUE"""),"barry")</f>
        <v>barry</v>
      </c>
      <c r="H1290" s="6" t="str">
        <f>IFERROR(__xludf.DUMMYFUNCTION("""COMPUTED_VALUE"""),"weighted")</f>
        <v>weighted</v>
      </c>
      <c r="I1290" s="6"/>
      <c r="J1290" s="6" t="str">
        <f>IFERROR(__xludf.DUMMYFUNCTION("""COMPUTED_VALUE"""),"patriotic")</f>
        <v>patriotic</v>
      </c>
      <c r="L1290" s="6" t="str">
        <f>IFERROR(__xludf.DUMMYFUNCTION("""COMPUTED_VALUE"""),"acquire")</f>
        <v>acquire</v>
      </c>
      <c r="M1290" s="6" t="str">
        <f>IFERROR(__xludf.DUMMYFUNCTION("""COMPUTED_VALUE"""),"christian")</f>
        <v>christian</v>
      </c>
      <c r="N1290" s="6" t="str">
        <f>IFERROR(__xludf.DUMMYFUNCTION("""COMPUTED_VALUE"""),"sheds")</f>
        <v>sheds</v>
      </c>
      <c r="P1290" s="6" t="str">
        <f>IFERROR(__xludf.DUMMYFUNCTION("""COMPUTED_VALUE"""),"drive")</f>
        <v>drive</v>
      </c>
      <c r="Q1290" s="6" t="str">
        <f>IFERROR(__xludf.DUMMYFUNCTION("""COMPUTED_VALUE"""),"projectile")</f>
        <v>projectile</v>
      </c>
      <c r="S1290" s="6" t="str">
        <f>IFERROR(__xludf.DUMMYFUNCTION("""COMPUTED_VALUE"""),"theory")</f>
        <v>theory</v>
      </c>
    </row>
    <row r="1291">
      <c r="B1291" s="6"/>
      <c r="D1291" s="6"/>
      <c r="G1291" s="6" t="str">
        <f>IFERROR(__xludf.DUMMYFUNCTION("""COMPUTED_VALUE"""),"elemental")</f>
        <v>elemental</v>
      </c>
      <c r="H1291" s="6" t="str">
        <f>IFERROR(__xludf.DUMMYFUNCTION("""COMPUTED_VALUE"""),"toilet")</f>
        <v>toilet</v>
      </c>
      <c r="I1291" s="6"/>
      <c r="J1291" s="6" t="str">
        <f>IFERROR(__xludf.DUMMYFUNCTION("""COMPUTED_VALUE"""),"origins")</f>
        <v>origins</v>
      </c>
      <c r="L1291" s="6" t="str">
        <f>IFERROR(__xludf.DUMMYFUNCTION("""COMPUTED_VALUE"""),"hurley")</f>
        <v>hurley</v>
      </c>
      <c r="M1291" s="6" t="str">
        <f>IFERROR(__xludf.DUMMYFUNCTION("""COMPUTED_VALUE"""),"prospect")</f>
        <v>prospect</v>
      </c>
      <c r="N1291" s="6" t="str">
        <f>IFERROR(__xludf.DUMMYFUNCTION("""COMPUTED_VALUE"""),"develop")</f>
        <v>develop</v>
      </c>
      <c r="P1291" s="6" t="str">
        <f>IFERROR(__xludf.DUMMYFUNCTION("""COMPUTED_VALUE"""),"singing")</f>
        <v>singing</v>
      </c>
      <c r="Q1291" s="6" t="str">
        <f>IFERROR(__xludf.DUMMYFUNCTION("""COMPUTED_VALUE"""),"seizing")</f>
        <v>seizing</v>
      </c>
      <c r="S1291" s="6" t="str">
        <f>IFERROR(__xludf.DUMMYFUNCTION("""COMPUTED_VALUE"""),"wall")</f>
        <v>wall</v>
      </c>
    </row>
    <row r="1292">
      <c r="B1292" s="6"/>
      <c r="D1292" s="6"/>
      <c r="G1292" s="6" t="str">
        <f>IFERROR(__xludf.DUMMYFUNCTION("""COMPUTED_VALUE"""),"arc")</f>
        <v>arc</v>
      </c>
      <c r="H1292" s="6" t="str">
        <f>IFERROR(__xludf.DUMMYFUNCTION("""COMPUTED_VALUE"""),"academy")</f>
        <v>academy</v>
      </c>
      <c r="I1292" s="6"/>
      <c r="J1292" s="6" t="str">
        <f>IFERROR(__xludf.DUMMYFUNCTION("""COMPUTED_VALUE"""),"yiddish")</f>
        <v>yiddish</v>
      </c>
      <c r="L1292" s="6" t="str">
        <f>IFERROR(__xludf.DUMMYFUNCTION("""COMPUTED_VALUE"""),"hitch")</f>
        <v>hitch</v>
      </c>
      <c r="M1292" s="6" t="str">
        <f>IFERROR(__xludf.DUMMYFUNCTION("""COMPUTED_VALUE"""),"web")</f>
        <v>web</v>
      </c>
      <c r="N1292" s="6" t="str">
        <f>IFERROR(__xludf.DUMMYFUNCTION("""COMPUTED_VALUE"""),"auditorium")</f>
        <v>auditorium</v>
      </c>
      <c r="P1292" s="6" t="str">
        <f>IFERROR(__xludf.DUMMYFUNCTION("""COMPUTED_VALUE"""),"scale")</f>
        <v>scale</v>
      </c>
      <c r="Q1292" s="6" t="str">
        <f>IFERROR(__xludf.DUMMYFUNCTION("""COMPUTED_VALUE"""),"thousand")</f>
        <v>thousand</v>
      </c>
      <c r="S1292" s="6" t="str">
        <f>IFERROR(__xludf.DUMMYFUNCTION("""COMPUTED_VALUE"""),"catch")</f>
        <v>catch</v>
      </c>
    </row>
    <row r="1293">
      <c r="B1293" s="6"/>
      <c r="D1293" s="6"/>
      <c r="G1293" s="6" t="str">
        <f>IFERROR(__xludf.DUMMYFUNCTION("""COMPUTED_VALUE"""),"grinning")</f>
        <v>grinning</v>
      </c>
      <c r="H1293" s="6" t="str">
        <f>IFERROR(__xludf.DUMMYFUNCTION("""COMPUTED_VALUE"""),"equation")</f>
        <v>equation</v>
      </c>
      <c r="I1293" s="6"/>
      <c r="J1293" s="6" t="str">
        <f>IFERROR(__xludf.DUMMYFUNCTION("""COMPUTED_VALUE"""),"annals")</f>
        <v>annals</v>
      </c>
      <c r="L1293" s="6" t="str">
        <f>IFERROR(__xludf.DUMMYFUNCTION("""COMPUTED_VALUE"""),"anatomical")</f>
        <v>anatomical</v>
      </c>
      <c r="M1293" s="6" t="str">
        <f>IFERROR(__xludf.DUMMYFUNCTION("""COMPUTED_VALUE"""),"completion")</f>
        <v>completion</v>
      </c>
      <c r="N1293" s="6" t="str">
        <f>IFERROR(__xludf.DUMMYFUNCTION("""COMPUTED_VALUE"""),"portraying")</f>
        <v>portraying</v>
      </c>
      <c r="P1293" s="6" t="str">
        <f>IFERROR(__xludf.DUMMYFUNCTION("""COMPUTED_VALUE"""),"near")</f>
        <v>near</v>
      </c>
      <c r="Q1293" s="6" t="str">
        <f>IFERROR(__xludf.DUMMYFUNCTION("""COMPUTED_VALUE"""),"portrays")</f>
        <v>portrays</v>
      </c>
      <c r="S1293" s="6" t="str">
        <f>IFERROR(__xludf.DUMMYFUNCTION("""COMPUTED_VALUE"""),"dedicated")</f>
        <v>dedicated</v>
      </c>
    </row>
    <row r="1294">
      <c r="B1294" s="6"/>
      <c r="D1294" s="6"/>
      <c r="G1294" s="6" t="str">
        <f>IFERROR(__xludf.DUMMYFUNCTION("""COMPUTED_VALUE"""),"waking")</f>
        <v>waking</v>
      </c>
      <c r="H1294" s="6" t="str">
        <f>IFERROR(__xludf.DUMMYFUNCTION("""COMPUTED_VALUE"""),"molina")</f>
        <v>molina</v>
      </c>
      <c r="I1294" s="6"/>
      <c r="J1294" s="6" t="str">
        <f>IFERROR(__xludf.DUMMYFUNCTION("""COMPUTED_VALUE"""),"forceful")</f>
        <v>forceful</v>
      </c>
      <c r="L1294" s="6" t="str">
        <f>IFERROR(__xludf.DUMMYFUNCTION("""COMPUTED_VALUE"""),"incarnation")</f>
        <v>incarnation</v>
      </c>
      <c r="M1294" s="6" t="str">
        <f>IFERROR(__xludf.DUMMYFUNCTION("""COMPUTED_VALUE"""),"americans")</f>
        <v>americans</v>
      </c>
      <c r="N1294" s="6" t="str">
        <f>IFERROR(__xludf.DUMMYFUNCTION("""COMPUTED_VALUE"""),"nominated")</f>
        <v>nominated</v>
      </c>
      <c r="P1294" s="6" t="str">
        <f>IFERROR(__xludf.DUMMYFUNCTION("""COMPUTED_VALUE"""),"element")</f>
        <v>element</v>
      </c>
      <c r="Q1294" s="6" t="str">
        <f>IFERROR(__xludf.DUMMYFUNCTION("""COMPUTED_VALUE"""),"gratitude")</f>
        <v>gratitude</v>
      </c>
      <c r="S1294" s="6" t="str">
        <f>IFERROR(__xludf.DUMMYFUNCTION("""COMPUTED_VALUE"""),"asian")</f>
        <v>asian</v>
      </c>
    </row>
    <row r="1295">
      <c r="B1295" s="6"/>
      <c r="D1295" s="6"/>
      <c r="G1295" s="6" t="str">
        <f>IFERROR(__xludf.DUMMYFUNCTION("""COMPUTED_VALUE"""),"poking")</f>
        <v>poking</v>
      </c>
      <c r="H1295" s="6" t="str">
        <f>IFERROR(__xludf.DUMMYFUNCTION("""COMPUTED_VALUE"""),"arresting")</f>
        <v>arresting</v>
      </c>
      <c r="I1295" s="6"/>
      <c r="J1295" s="6" t="str">
        <f>IFERROR(__xludf.DUMMYFUNCTION("""COMPUTED_VALUE"""),"innovations")</f>
        <v>innovations</v>
      </c>
      <c r="L1295" s="6" t="str">
        <f>IFERROR(__xludf.DUMMYFUNCTION("""COMPUTED_VALUE"""),"casting")</f>
        <v>casting</v>
      </c>
      <c r="M1295" s="6" t="str">
        <f>IFERROR(__xludf.DUMMYFUNCTION("""COMPUTED_VALUE"""),"described")</f>
        <v>described</v>
      </c>
      <c r="N1295" s="6" t="str">
        <f>IFERROR(__xludf.DUMMYFUNCTION("""COMPUTED_VALUE"""),"twisted")</f>
        <v>twisted</v>
      </c>
      <c r="P1295" s="6" t="str">
        <f>IFERROR(__xludf.DUMMYFUNCTION("""COMPUTED_VALUE"""),"magical")</f>
        <v>magical</v>
      </c>
      <c r="Q1295" s="6" t="str">
        <f>IFERROR(__xludf.DUMMYFUNCTION("""COMPUTED_VALUE"""),"reign")</f>
        <v>reign</v>
      </c>
      <c r="S1295" s="6" t="str">
        <f>IFERROR(__xludf.DUMMYFUNCTION("""COMPUTED_VALUE"""),"painting")</f>
        <v>painting</v>
      </c>
    </row>
    <row r="1296">
      <c r="B1296" s="6"/>
      <c r="D1296" s="6"/>
      <c r="G1296" s="6" t="str">
        <f>IFERROR(__xludf.DUMMYFUNCTION("""COMPUTED_VALUE"""),"law")</f>
        <v>law</v>
      </c>
      <c r="H1296" s="6" t="str">
        <f>IFERROR(__xludf.DUMMYFUNCTION("""COMPUTED_VALUE"""),"craven")</f>
        <v>craven</v>
      </c>
      <c r="I1296" s="6"/>
      <c r="J1296" s="6" t="str">
        <f>IFERROR(__xludf.DUMMYFUNCTION("""COMPUTED_VALUE"""),"despair")</f>
        <v>despair</v>
      </c>
      <c r="L1296" s="6" t="str">
        <f>IFERROR(__xludf.DUMMYFUNCTION("""COMPUTED_VALUE"""),"susceptible")</f>
        <v>susceptible</v>
      </c>
      <c r="M1296" s="6" t="str">
        <f>IFERROR(__xludf.DUMMYFUNCTION("""COMPUTED_VALUE"""),"memorial")</f>
        <v>memorial</v>
      </c>
      <c r="N1296" s="6" t="str">
        <f>IFERROR(__xludf.DUMMYFUNCTION("""COMPUTED_VALUE"""),"acquire")</f>
        <v>acquire</v>
      </c>
      <c r="P1296" s="6" t="str">
        <f>IFERROR(__xludf.DUMMYFUNCTION("""COMPUTED_VALUE"""),"flag")</f>
        <v>flag</v>
      </c>
      <c r="Q1296" s="6" t="str">
        <f>IFERROR(__xludf.DUMMYFUNCTION("""COMPUTED_VALUE"""),"dragons")</f>
        <v>dragons</v>
      </c>
      <c r="S1296" s="6" t="str">
        <f>IFERROR(__xludf.DUMMYFUNCTION("""COMPUTED_VALUE"""),"marine")</f>
        <v>marine</v>
      </c>
    </row>
    <row r="1297">
      <c r="B1297" s="6"/>
      <c r="D1297" s="6"/>
      <c r="G1297" s="6" t="str">
        <f>IFERROR(__xludf.DUMMYFUNCTION("""COMPUTED_VALUE"""),"holmes")</f>
        <v>holmes</v>
      </c>
      <c r="H1297" s="6" t="str">
        <f>IFERROR(__xludf.DUMMYFUNCTION("""COMPUTED_VALUE"""),"soul")</f>
        <v>soul</v>
      </c>
      <c r="I1297" s="6"/>
      <c r="J1297" s="6" t="str">
        <f>IFERROR(__xludf.DUMMYFUNCTION("""COMPUTED_VALUE"""),"replaced")</f>
        <v>replaced</v>
      </c>
      <c r="L1297" s="6" t="str">
        <f>IFERROR(__xludf.DUMMYFUNCTION("""COMPUTED_VALUE"""),"comedic")</f>
        <v>comedic</v>
      </c>
      <c r="M1297" s="6" t="str">
        <f>IFERROR(__xludf.DUMMYFUNCTION("""COMPUTED_VALUE"""),"korea")</f>
        <v>korea</v>
      </c>
      <c r="N1297" s="6" t="str">
        <f>IFERROR(__xludf.DUMMYFUNCTION("""COMPUTED_VALUE"""),"hitch")</f>
        <v>hitch</v>
      </c>
      <c r="P1297" s="6" t="str">
        <f>IFERROR(__xludf.DUMMYFUNCTION("""COMPUTED_VALUE"""),"mechanical")</f>
        <v>mechanical</v>
      </c>
      <c r="Q1297" s="6" t="str">
        <f>IFERROR(__xludf.DUMMYFUNCTION("""COMPUTED_VALUE"""),"models")</f>
        <v>models</v>
      </c>
      <c r="S1297" s="6" t="str">
        <f>IFERROR(__xludf.DUMMYFUNCTION("""COMPUTED_VALUE"""),"wife")</f>
        <v>wife</v>
      </c>
    </row>
    <row r="1298">
      <c r="B1298" s="6"/>
      <c r="D1298" s="6"/>
      <c r="G1298" s="6" t="str">
        <f>IFERROR(__xludf.DUMMYFUNCTION("""COMPUTED_VALUE"""),"behave")</f>
        <v>behave</v>
      </c>
      <c r="H1298" s="6" t="str">
        <f>IFERROR(__xludf.DUMMYFUNCTION("""COMPUTED_VALUE"""),"warriors")</f>
        <v>warriors</v>
      </c>
      <c r="I1298" s="6"/>
      <c r="J1298" s="6" t="str">
        <f>IFERROR(__xludf.DUMMYFUNCTION("""COMPUTED_VALUE"""),"executives")</f>
        <v>executives</v>
      </c>
      <c r="L1298" s="6" t="str">
        <f>IFERROR(__xludf.DUMMYFUNCTION("""COMPUTED_VALUE"""),"marine")</f>
        <v>marine</v>
      </c>
      <c r="M1298" s="6" t="str">
        <f>IFERROR(__xludf.DUMMYFUNCTION("""COMPUTED_VALUE"""),"scenes")</f>
        <v>scenes</v>
      </c>
      <c r="N1298" s="6" t="str">
        <f>IFERROR(__xludf.DUMMYFUNCTION("""COMPUTED_VALUE"""),"anatomical")</f>
        <v>anatomical</v>
      </c>
      <c r="P1298" s="6" t="str">
        <f>IFERROR(__xludf.DUMMYFUNCTION("""COMPUTED_VALUE"""),"japan")</f>
        <v>japan</v>
      </c>
      <c r="Q1298" s="6" t="str">
        <f>IFERROR(__xludf.DUMMYFUNCTION("""COMPUTED_VALUE"""),"bag")</f>
        <v>bag</v>
      </c>
      <c r="S1298" s="6" t="str">
        <f>IFERROR(__xludf.DUMMYFUNCTION("""COMPUTED_VALUE"""),"martin")</f>
        <v>martin</v>
      </c>
    </row>
    <row r="1299">
      <c r="B1299" s="6"/>
      <c r="D1299" s="6"/>
      <c r="G1299" s="6" t="str">
        <f>IFERROR(__xludf.DUMMYFUNCTION("""COMPUTED_VALUE"""),"exasperated")</f>
        <v>exasperated</v>
      </c>
      <c r="H1299" s="6" t="str">
        <f>IFERROR(__xludf.DUMMYFUNCTION("""COMPUTED_VALUE"""),"transparent")</f>
        <v>transparent</v>
      </c>
      <c r="I1299" s="6"/>
      <c r="J1299" s="6" t="str">
        <f>IFERROR(__xludf.DUMMYFUNCTION("""COMPUTED_VALUE"""),"hoped")</f>
        <v>hoped</v>
      </c>
      <c r="L1299" s="6" t="str">
        <f>IFERROR(__xludf.DUMMYFUNCTION("""COMPUTED_VALUE"""),"orchestrated")</f>
        <v>orchestrated</v>
      </c>
      <c r="M1299" s="6" t="str">
        <f>IFERROR(__xludf.DUMMYFUNCTION("""COMPUTED_VALUE"""),"rounded")</f>
        <v>rounded</v>
      </c>
      <c r="N1299" s="6" t="str">
        <f>IFERROR(__xludf.DUMMYFUNCTION("""COMPUTED_VALUE"""),"incarnation")</f>
        <v>incarnation</v>
      </c>
      <c r="P1299" s="6" t="str">
        <f>IFERROR(__xludf.DUMMYFUNCTION("""COMPUTED_VALUE"""),"aids")</f>
        <v>aids</v>
      </c>
      <c r="Q1299" s="6" t="str">
        <f>IFERROR(__xludf.DUMMYFUNCTION("""COMPUTED_VALUE"""),"grin")</f>
        <v>grin</v>
      </c>
      <c r="S1299" s="6" t="str">
        <f>IFERROR(__xludf.DUMMYFUNCTION("""COMPUTED_VALUE"""),"granted")</f>
        <v>granted</v>
      </c>
    </row>
    <row r="1300">
      <c r="B1300" s="6"/>
      <c r="D1300" s="6"/>
      <c r="G1300" s="6" t="str">
        <f>IFERROR(__xludf.DUMMYFUNCTION("""COMPUTED_VALUE"""),"venice")</f>
        <v>venice</v>
      </c>
      <c r="H1300" s="6" t="str">
        <f>IFERROR(__xludf.DUMMYFUNCTION("""COMPUTED_VALUE"""),"mick")</f>
        <v>mick</v>
      </c>
      <c r="I1300" s="6"/>
      <c r="J1300" s="6" t="str">
        <f>IFERROR(__xludf.DUMMYFUNCTION("""COMPUTED_VALUE"""),"illustrating")</f>
        <v>illustrating</v>
      </c>
      <c r="L1300" s="6" t="str">
        <f>IFERROR(__xludf.DUMMYFUNCTION("""COMPUTED_VALUE"""),"grabs")</f>
        <v>grabs</v>
      </c>
      <c r="M1300" s="6" t="str">
        <f>IFERROR(__xludf.DUMMYFUNCTION("""COMPUTED_VALUE"""),"expression")</f>
        <v>expression</v>
      </c>
      <c r="N1300" s="6" t="str">
        <f>IFERROR(__xludf.DUMMYFUNCTION("""COMPUTED_VALUE"""),"comedic")</f>
        <v>comedic</v>
      </c>
      <c r="P1300" s="6">
        <f>IFERROR(__xludf.DUMMYFUNCTION("""COMPUTED_VALUE"""),1986.0)</f>
        <v>1986</v>
      </c>
      <c r="Q1300" s="6" t="str">
        <f>IFERROR(__xludf.DUMMYFUNCTION("""COMPUTED_VALUE"""),"managed")</f>
        <v>managed</v>
      </c>
      <c r="S1300" s="6" t="str">
        <f>IFERROR(__xludf.DUMMYFUNCTION("""COMPUTED_VALUE"""),"empire")</f>
        <v>empire</v>
      </c>
    </row>
    <row r="1301">
      <c r="B1301" s="6"/>
      <c r="D1301" s="6"/>
      <c r="G1301" s="6" t="str">
        <f>IFERROR(__xludf.DUMMYFUNCTION("""COMPUTED_VALUE"""),"groove")</f>
        <v>groove</v>
      </c>
      <c r="H1301" s="6" t="str">
        <f>IFERROR(__xludf.DUMMYFUNCTION("""COMPUTED_VALUE"""),"hewitt")</f>
        <v>hewitt</v>
      </c>
      <c r="I1301" s="6"/>
      <c r="J1301" s="6" t="str">
        <f>IFERROR(__xludf.DUMMYFUNCTION("""COMPUTED_VALUE"""),"whale")</f>
        <v>whale</v>
      </c>
      <c r="L1301" s="6" t="str">
        <f>IFERROR(__xludf.DUMMYFUNCTION("""COMPUTED_VALUE"""),"privy")</f>
        <v>privy</v>
      </c>
      <c r="M1301" s="6" t="str">
        <f>IFERROR(__xludf.DUMMYFUNCTION("""COMPUTED_VALUE"""),"controversial")</f>
        <v>controversial</v>
      </c>
      <c r="N1301" s="6" t="str">
        <f>IFERROR(__xludf.DUMMYFUNCTION("""COMPUTED_VALUE"""),"marine")</f>
        <v>marine</v>
      </c>
      <c r="P1301" s="6" t="str">
        <f>IFERROR(__xludf.DUMMYFUNCTION("""COMPUTED_VALUE"""),"anywhere")</f>
        <v>anywhere</v>
      </c>
      <c r="Q1301" s="6" t="str">
        <f>IFERROR(__xludf.DUMMYFUNCTION("""COMPUTED_VALUE"""),"corrupt")</f>
        <v>corrupt</v>
      </c>
      <c r="S1301" s="6" t="str">
        <f>IFERROR(__xludf.DUMMYFUNCTION("""COMPUTED_VALUE"""),"strikes")</f>
        <v>strikes</v>
      </c>
    </row>
    <row r="1302">
      <c r="B1302" s="6"/>
      <c r="D1302" s="6"/>
      <c r="G1302" s="6" t="str">
        <f>IFERROR(__xludf.DUMMYFUNCTION("""COMPUTED_VALUE"""),"astronaut")</f>
        <v>astronaut</v>
      </c>
      <c r="H1302" s="6" t="str">
        <f>IFERROR(__xludf.DUMMYFUNCTION("""COMPUTED_VALUE"""),"inadequate")</f>
        <v>inadequate</v>
      </c>
      <c r="I1302" s="6"/>
      <c r="J1302" s="6" t="str">
        <f>IFERROR(__xludf.DUMMYFUNCTION("""COMPUTED_VALUE"""),"bitterly")</f>
        <v>bitterly</v>
      </c>
      <c r="L1302" s="6" t="str">
        <f>IFERROR(__xludf.DUMMYFUNCTION("""COMPUTED_VALUE"""),"preaching")</f>
        <v>preaching</v>
      </c>
      <c r="M1302" s="6" t="str">
        <f>IFERROR(__xludf.DUMMYFUNCTION("""COMPUTED_VALUE"""),"human")</f>
        <v>human</v>
      </c>
      <c r="N1302" s="6" t="str">
        <f>IFERROR(__xludf.DUMMYFUNCTION("""COMPUTED_VALUE"""),"privy")</f>
        <v>privy</v>
      </c>
      <c r="P1302" s="6" t="str">
        <f>IFERROR(__xludf.DUMMYFUNCTION("""COMPUTED_VALUE"""),"born")</f>
        <v>born</v>
      </c>
      <c r="Q1302" s="6" t="str">
        <f>IFERROR(__xludf.DUMMYFUNCTION("""COMPUTED_VALUE"""),"myself")</f>
        <v>myself</v>
      </c>
      <c r="S1302" s="6" t="str">
        <f>IFERROR(__xludf.DUMMYFUNCTION("""COMPUTED_VALUE"""),"resident")</f>
        <v>resident</v>
      </c>
    </row>
    <row r="1303">
      <c r="B1303" s="6"/>
      <c r="D1303" s="6"/>
      <c r="G1303" s="6" t="str">
        <f>IFERROR(__xludf.DUMMYFUNCTION("""COMPUTED_VALUE"""),"mtv")</f>
        <v>mtv</v>
      </c>
      <c r="H1303" s="6" t="str">
        <f>IFERROR(__xludf.DUMMYFUNCTION("""COMPUTED_VALUE"""),"adrenaline")</f>
        <v>adrenaline</v>
      </c>
      <c r="I1303" s="6"/>
      <c r="J1303" s="6" t="str">
        <f>IFERROR(__xludf.DUMMYFUNCTION("""COMPUTED_VALUE"""),"lower")</f>
        <v>lower</v>
      </c>
      <c r="L1303" s="6" t="str">
        <f>IFERROR(__xludf.DUMMYFUNCTION("""COMPUTED_VALUE"""),"graves")</f>
        <v>graves</v>
      </c>
      <c r="M1303" s="6" t="str">
        <f>IFERROR(__xludf.DUMMYFUNCTION("""COMPUTED_VALUE"""),"armed")</f>
        <v>armed</v>
      </c>
      <c r="N1303" s="6" t="str">
        <f>IFERROR(__xludf.DUMMYFUNCTION("""COMPUTED_VALUE"""),"preaching")</f>
        <v>preaching</v>
      </c>
      <c r="P1303" s="6" t="str">
        <f>IFERROR(__xludf.DUMMYFUNCTION("""COMPUTED_VALUE"""),"hug")</f>
        <v>hug</v>
      </c>
      <c r="Q1303" s="6" t="str">
        <f>IFERROR(__xludf.DUMMYFUNCTION("""COMPUTED_VALUE"""),"satan")</f>
        <v>satan</v>
      </c>
      <c r="S1303" s="6" t="str">
        <f>IFERROR(__xludf.DUMMYFUNCTION("""COMPUTED_VALUE"""),"experienced")</f>
        <v>experienced</v>
      </c>
    </row>
    <row r="1304">
      <c r="B1304" s="6"/>
      <c r="D1304" s="6"/>
      <c r="G1304" s="6" t="str">
        <f>IFERROR(__xludf.DUMMYFUNCTION("""COMPUTED_VALUE"""),"hysteria")</f>
        <v>hysteria</v>
      </c>
      <c r="H1304" s="6" t="str">
        <f>IFERROR(__xludf.DUMMYFUNCTION("""COMPUTED_VALUE"""),"giggle")</f>
        <v>giggle</v>
      </c>
      <c r="I1304" s="6"/>
      <c r="J1304" s="6" t="str">
        <f>IFERROR(__xludf.DUMMYFUNCTION("""COMPUTED_VALUE"""),"admitting")</f>
        <v>admitting</v>
      </c>
      <c r="L1304" s="6" t="str">
        <f>IFERROR(__xludf.DUMMYFUNCTION("""COMPUTED_VALUE"""),"champion")</f>
        <v>champion</v>
      </c>
      <c r="M1304" s="6" t="str">
        <f>IFERROR(__xludf.DUMMYFUNCTION("""COMPUTED_VALUE"""),"contest")</f>
        <v>contest</v>
      </c>
      <c r="N1304" s="6" t="str">
        <f>IFERROR(__xludf.DUMMYFUNCTION("""COMPUTED_VALUE"""),"champion")</f>
        <v>champion</v>
      </c>
      <c r="P1304" s="6" t="str">
        <f>IFERROR(__xludf.DUMMYFUNCTION("""COMPUTED_VALUE"""),"victim")</f>
        <v>victim</v>
      </c>
      <c r="Q1304" s="6" t="str">
        <f>IFERROR(__xludf.DUMMYFUNCTION("""COMPUTED_VALUE"""),"disguise")</f>
        <v>disguise</v>
      </c>
      <c r="S1304" s="6" t="str">
        <f>IFERROR(__xludf.DUMMYFUNCTION("""COMPUTED_VALUE"""),"rivals")</f>
        <v>rivals</v>
      </c>
    </row>
    <row r="1305">
      <c r="B1305" s="6"/>
      <c r="D1305" s="6"/>
      <c r="G1305" s="6" t="str">
        <f>IFERROR(__xludf.DUMMYFUNCTION("""COMPUTED_VALUE"""),"conan")</f>
        <v>conan</v>
      </c>
      <c r="H1305" s="6" t="str">
        <f>IFERROR(__xludf.DUMMYFUNCTION("""COMPUTED_VALUE"""),"gang")</f>
        <v>gang</v>
      </c>
      <c r="I1305" s="6"/>
      <c r="J1305" s="6" t="str">
        <f>IFERROR(__xludf.DUMMYFUNCTION("""COMPUTED_VALUE"""),"athlete")</f>
        <v>athlete</v>
      </c>
      <c r="L1305" s="6" t="str">
        <f>IFERROR(__xludf.DUMMYFUNCTION("""COMPUTED_VALUE"""),"chuckle")</f>
        <v>chuckle</v>
      </c>
      <c r="M1305" s="6" t="str">
        <f>IFERROR(__xludf.DUMMYFUNCTION("""COMPUTED_VALUE"""),"cartoon")</f>
        <v>cartoon</v>
      </c>
      <c r="N1305" s="6" t="str">
        <f>IFERROR(__xludf.DUMMYFUNCTION("""COMPUTED_VALUE"""),"chuckle")</f>
        <v>chuckle</v>
      </c>
      <c r="P1305" s="6" t="str">
        <f>IFERROR(__xludf.DUMMYFUNCTION("""COMPUTED_VALUE"""),"symbols")</f>
        <v>symbols</v>
      </c>
      <c r="Q1305" s="6" t="str">
        <f>IFERROR(__xludf.DUMMYFUNCTION("""COMPUTED_VALUE"""),"sane")</f>
        <v>sane</v>
      </c>
      <c r="S1305" s="6" t="str">
        <f>IFERROR(__xludf.DUMMYFUNCTION("""COMPUTED_VALUE"""),"repeated")</f>
        <v>repeated</v>
      </c>
    </row>
    <row r="1306">
      <c r="B1306" s="6"/>
      <c r="D1306" s="6"/>
      <c r="G1306" s="6" t="str">
        <f>IFERROR(__xludf.DUMMYFUNCTION("""COMPUTED_VALUE"""),"hypnotic")</f>
        <v>hypnotic</v>
      </c>
      <c r="H1306" s="6" t="str">
        <f>IFERROR(__xludf.DUMMYFUNCTION("""COMPUTED_VALUE"""),"preserving")</f>
        <v>preserving</v>
      </c>
      <c r="I1306" s="6"/>
      <c r="J1306" s="6" t="str">
        <f>IFERROR(__xludf.DUMMYFUNCTION("""COMPUTED_VALUE"""),"ambiguous")</f>
        <v>ambiguous</v>
      </c>
      <c r="L1306" s="6" t="str">
        <f>IFERROR(__xludf.DUMMYFUNCTION("""COMPUTED_VALUE"""),"terrorist")</f>
        <v>terrorist</v>
      </c>
      <c r="M1306" s="6" t="str">
        <f>IFERROR(__xludf.DUMMYFUNCTION("""COMPUTED_VALUE"""),"lowered")</f>
        <v>lowered</v>
      </c>
      <c r="N1306" s="6" t="str">
        <f>IFERROR(__xludf.DUMMYFUNCTION("""COMPUTED_VALUE"""),"terrorist")</f>
        <v>terrorist</v>
      </c>
      <c r="P1306" s="6" t="str">
        <f>IFERROR(__xludf.DUMMYFUNCTION("""COMPUTED_VALUE"""),"factors")</f>
        <v>factors</v>
      </c>
      <c r="Q1306" s="6" t="str">
        <f>IFERROR(__xludf.DUMMYFUNCTION("""COMPUTED_VALUE"""),"span")</f>
        <v>span</v>
      </c>
      <c r="S1306" s="6" t="str">
        <f>IFERROR(__xludf.DUMMYFUNCTION("""COMPUTED_VALUE"""),"bear")</f>
        <v>bear</v>
      </c>
    </row>
    <row r="1307">
      <c r="B1307" s="6"/>
      <c r="D1307" s="6"/>
      <c r="G1307" s="6" t="str">
        <f>IFERROR(__xludf.DUMMYFUNCTION("""COMPUTED_VALUE"""),"rounded")</f>
        <v>rounded</v>
      </c>
      <c r="H1307" s="6" t="str">
        <f>IFERROR(__xludf.DUMMYFUNCTION("""COMPUTED_VALUE"""),"tendency")</f>
        <v>tendency</v>
      </c>
      <c r="I1307" s="6"/>
      <c r="J1307" s="6" t="str">
        <f>IFERROR(__xludf.DUMMYFUNCTION("""COMPUTED_VALUE"""),"combat")</f>
        <v>combat</v>
      </c>
      <c r="L1307" s="6" t="str">
        <f>IFERROR(__xludf.DUMMYFUNCTION("""COMPUTED_VALUE"""),"boredom")</f>
        <v>boredom</v>
      </c>
      <c r="M1307" s="6" t="str">
        <f>IFERROR(__xludf.DUMMYFUNCTION("""COMPUTED_VALUE"""),"flow")</f>
        <v>flow</v>
      </c>
      <c r="N1307" s="6" t="str">
        <f>IFERROR(__xludf.DUMMYFUNCTION("""COMPUTED_VALUE"""),"urgently")</f>
        <v>urgently</v>
      </c>
      <c r="P1307" s="6" t="str">
        <f>IFERROR(__xludf.DUMMYFUNCTION("""COMPUTED_VALUE"""),"resistance")</f>
        <v>resistance</v>
      </c>
      <c r="Q1307" s="6" t="str">
        <f>IFERROR(__xludf.DUMMYFUNCTION("""COMPUTED_VALUE"""),"held")</f>
        <v>held</v>
      </c>
      <c r="S1307" s="6" t="str">
        <f>IFERROR(__xludf.DUMMYFUNCTION("""COMPUTED_VALUE"""),"advantage")</f>
        <v>advantage</v>
      </c>
    </row>
    <row r="1308">
      <c r="B1308" s="6"/>
      <c r="D1308" s="6"/>
      <c r="G1308" s="6" t="str">
        <f>IFERROR(__xludf.DUMMYFUNCTION("""COMPUTED_VALUE"""),"goose")</f>
        <v>goose</v>
      </c>
      <c r="H1308" s="6" t="str">
        <f>IFERROR(__xludf.DUMMYFUNCTION("""COMPUTED_VALUE"""),"lectures")</f>
        <v>lectures</v>
      </c>
      <c r="I1308" s="6"/>
      <c r="J1308" s="6" t="str">
        <f>IFERROR(__xludf.DUMMYFUNCTION("""COMPUTED_VALUE"""),"expose")</f>
        <v>expose</v>
      </c>
      <c r="L1308" s="6" t="str">
        <f>IFERROR(__xludf.DUMMYFUNCTION("""COMPUTED_VALUE"""),"urgently")</f>
        <v>urgently</v>
      </c>
      <c r="M1308" s="6" t="str">
        <f>IFERROR(__xludf.DUMMYFUNCTION("""COMPUTED_VALUE"""),"teen")</f>
        <v>teen</v>
      </c>
      <c r="N1308" s="6" t="str">
        <f>IFERROR(__xludf.DUMMYFUNCTION("""COMPUTED_VALUE"""),"unpaid")</f>
        <v>unpaid</v>
      </c>
      <c r="P1308" s="6" t="str">
        <f>IFERROR(__xludf.DUMMYFUNCTION("""COMPUTED_VALUE"""),"championship")</f>
        <v>championship</v>
      </c>
      <c r="Q1308" s="6" t="str">
        <f>IFERROR(__xludf.DUMMYFUNCTION("""COMPUTED_VALUE"""),"odd")</f>
        <v>odd</v>
      </c>
      <c r="S1308" s="6" t="str">
        <f>IFERROR(__xludf.DUMMYFUNCTION("""COMPUTED_VALUE"""),"happens")</f>
        <v>happens</v>
      </c>
    </row>
    <row r="1309">
      <c r="B1309" s="6"/>
      <c r="D1309" s="6"/>
      <c r="G1309" s="6" t="str">
        <f>IFERROR(__xludf.DUMMYFUNCTION("""COMPUTED_VALUE"""),"stuart")</f>
        <v>stuart</v>
      </c>
      <c r="H1309" s="6" t="str">
        <f>IFERROR(__xludf.DUMMYFUNCTION("""COMPUTED_VALUE"""),"vh1")</f>
        <v>vh1</v>
      </c>
      <c r="I1309" s="6"/>
      <c r="J1309" s="6" t="str">
        <f>IFERROR(__xludf.DUMMYFUNCTION("""COMPUTED_VALUE"""),"prejudice")</f>
        <v>prejudice</v>
      </c>
      <c r="L1309" s="6" t="str">
        <f>IFERROR(__xludf.DUMMYFUNCTION("""COMPUTED_VALUE"""),"unpaid")</f>
        <v>unpaid</v>
      </c>
      <c r="M1309" s="6" t="str">
        <f>IFERROR(__xludf.DUMMYFUNCTION("""COMPUTED_VALUE"""),"audiences")</f>
        <v>audiences</v>
      </c>
      <c r="N1309" s="6" t="str">
        <f>IFERROR(__xludf.DUMMYFUNCTION("""COMPUTED_VALUE"""),"rejection")</f>
        <v>rejection</v>
      </c>
      <c r="P1309" s="6" t="str">
        <f>IFERROR(__xludf.DUMMYFUNCTION("""COMPUTED_VALUE"""),"athletes")</f>
        <v>athletes</v>
      </c>
      <c r="Q1309" s="6" t="str">
        <f>IFERROR(__xludf.DUMMYFUNCTION("""COMPUTED_VALUE"""),"sound")</f>
        <v>sound</v>
      </c>
      <c r="S1309" s="6">
        <f>IFERROR(__xludf.DUMMYFUNCTION("""COMPUTED_VALUE"""),1899.0)</f>
        <v>1899</v>
      </c>
    </row>
    <row r="1310">
      <c r="B1310" s="6"/>
      <c r="D1310" s="6"/>
      <c r="G1310" s="6" t="str">
        <f>IFERROR(__xludf.DUMMYFUNCTION("""COMPUTED_VALUE"""),"phenomena")</f>
        <v>phenomena</v>
      </c>
      <c r="H1310" s="6" t="str">
        <f>IFERROR(__xludf.DUMMYFUNCTION("""COMPUTED_VALUE"""),"terrorist")</f>
        <v>terrorist</v>
      </c>
      <c r="I1310" s="6"/>
      <c r="J1310" s="6" t="str">
        <f>IFERROR(__xludf.DUMMYFUNCTION("""COMPUTED_VALUE"""),"screenwriter")</f>
        <v>screenwriter</v>
      </c>
      <c r="L1310" s="6" t="str">
        <f>IFERROR(__xludf.DUMMYFUNCTION("""COMPUTED_VALUE"""),"addresses")</f>
        <v>addresses</v>
      </c>
      <c r="M1310" s="6" t="str">
        <f>IFERROR(__xludf.DUMMYFUNCTION("""COMPUTED_VALUE"""),"connect")</f>
        <v>connect</v>
      </c>
      <c r="N1310" s="6" t="str">
        <f>IFERROR(__xludf.DUMMYFUNCTION("""COMPUTED_VALUE"""),"confuse")</f>
        <v>confuse</v>
      </c>
      <c r="P1310" s="6" t="str">
        <f>IFERROR(__xludf.DUMMYFUNCTION("""COMPUTED_VALUE"""),"roots")</f>
        <v>roots</v>
      </c>
      <c r="Q1310" s="6" t="str">
        <f>IFERROR(__xludf.DUMMYFUNCTION("""COMPUTED_VALUE"""),"settles")</f>
        <v>settles</v>
      </c>
      <c r="S1310" s="6" t="str">
        <f>IFERROR(__xludf.DUMMYFUNCTION("""COMPUTED_VALUE"""),"realized")</f>
        <v>realized</v>
      </c>
    </row>
    <row r="1311">
      <c r="B1311" s="6"/>
      <c r="D1311" s="6"/>
      <c r="G1311" s="6" t="str">
        <f>IFERROR(__xludf.DUMMYFUNCTION("""COMPUTED_VALUE"""),"philip")</f>
        <v>philip</v>
      </c>
      <c r="H1311" s="6" t="str">
        <f>IFERROR(__xludf.DUMMYFUNCTION("""COMPUTED_VALUE"""),"gaze")</f>
        <v>gaze</v>
      </c>
      <c r="I1311" s="6"/>
      <c r="J1311" s="6" t="str">
        <f>IFERROR(__xludf.DUMMYFUNCTION("""COMPUTED_VALUE"""),"enigma")</f>
        <v>enigma</v>
      </c>
      <c r="L1311" s="6" t="str">
        <f>IFERROR(__xludf.DUMMYFUNCTION("""COMPUTED_VALUE"""),"rejection")</f>
        <v>rejection</v>
      </c>
      <c r="M1311" s="6" t="str">
        <f>IFERROR(__xludf.DUMMYFUNCTION("""COMPUTED_VALUE"""),"accomplished")</f>
        <v>accomplished</v>
      </c>
      <c r="N1311" s="6" t="str">
        <f>IFERROR(__xludf.DUMMYFUNCTION("""COMPUTED_VALUE"""),"refers")</f>
        <v>refers</v>
      </c>
      <c r="P1311" s="6" t="str">
        <f>IFERROR(__xludf.DUMMYFUNCTION("""COMPUTED_VALUE"""),"labor")</f>
        <v>labor</v>
      </c>
      <c r="Q1311" s="6" t="str">
        <f>IFERROR(__xludf.DUMMYFUNCTION("""COMPUTED_VALUE"""),"profound")</f>
        <v>profound</v>
      </c>
      <c r="S1311" s="6" t="str">
        <f>IFERROR(__xludf.DUMMYFUNCTION("""COMPUTED_VALUE"""),"innovative")</f>
        <v>innovative</v>
      </c>
    </row>
    <row r="1312">
      <c r="B1312" s="6"/>
      <c r="D1312" s="6"/>
      <c r="G1312" s="6" t="str">
        <f>IFERROR(__xludf.DUMMYFUNCTION("""COMPUTED_VALUE"""),"feral")</f>
        <v>feral</v>
      </c>
      <c r="H1312" s="6" t="str">
        <f>IFERROR(__xludf.DUMMYFUNCTION("""COMPUTED_VALUE"""),"chuckles")</f>
        <v>chuckles</v>
      </c>
      <c r="I1312" s="6"/>
      <c r="J1312" s="6" t="str">
        <f>IFERROR(__xludf.DUMMYFUNCTION("""COMPUTED_VALUE"""),"chiefly")</f>
        <v>chiefly</v>
      </c>
      <c r="L1312" s="6" t="str">
        <f>IFERROR(__xludf.DUMMYFUNCTION("""COMPUTED_VALUE"""),"sustained")</f>
        <v>sustained</v>
      </c>
      <c r="M1312" s="6" t="str">
        <f>IFERROR(__xludf.DUMMYFUNCTION("""COMPUTED_VALUE"""),"marriage")</f>
        <v>marriage</v>
      </c>
      <c r="N1312" s="6" t="str">
        <f>IFERROR(__xludf.DUMMYFUNCTION("""COMPUTED_VALUE"""),"exasperated")</f>
        <v>exasperated</v>
      </c>
      <c r="P1312" s="6" t="str">
        <f>IFERROR(__xludf.DUMMYFUNCTION("""COMPUTED_VALUE"""),"published")</f>
        <v>published</v>
      </c>
      <c r="Q1312" s="6" t="str">
        <f>IFERROR(__xludf.DUMMYFUNCTION("""COMPUTED_VALUE"""),"compressed")</f>
        <v>compressed</v>
      </c>
      <c r="S1312" s="6" t="str">
        <f>IFERROR(__xludf.DUMMYFUNCTION("""COMPUTED_VALUE"""),"conduct")</f>
        <v>conduct</v>
      </c>
    </row>
    <row r="1313">
      <c r="B1313" s="6"/>
      <c r="D1313" s="6"/>
      <c r="G1313" s="6" t="str">
        <f>IFERROR(__xludf.DUMMYFUNCTION("""COMPUTED_VALUE"""),"beaches")</f>
        <v>beaches</v>
      </c>
      <c r="H1313" s="6" t="str">
        <f>IFERROR(__xludf.DUMMYFUNCTION("""COMPUTED_VALUE"""),"sheridan")</f>
        <v>sheridan</v>
      </c>
      <c r="I1313" s="6"/>
      <c r="J1313" s="6" t="str">
        <f>IFERROR(__xludf.DUMMYFUNCTION("""COMPUTED_VALUE"""),"yearning")</f>
        <v>yearning</v>
      </c>
      <c r="L1313" s="6" t="str">
        <f>IFERROR(__xludf.DUMMYFUNCTION("""COMPUTED_VALUE"""),"confuse")</f>
        <v>confuse</v>
      </c>
      <c r="M1313" s="6" t="str">
        <f>IFERROR(__xludf.DUMMYFUNCTION("""COMPUTED_VALUE"""),"marry")</f>
        <v>marry</v>
      </c>
      <c r="N1313" s="6" t="str">
        <f>IFERROR(__xludf.DUMMYFUNCTION("""COMPUTED_VALUE"""),"insight")</f>
        <v>insight</v>
      </c>
      <c r="P1313" s="6" t="str">
        <f>IFERROR(__xludf.DUMMYFUNCTION("""COMPUTED_VALUE"""),"canon")</f>
        <v>canon</v>
      </c>
      <c r="Q1313" s="6" t="str">
        <f>IFERROR(__xludf.DUMMYFUNCTION("""COMPUTED_VALUE"""),"catalyst")</f>
        <v>catalyst</v>
      </c>
      <c r="S1313" s="6" t="str">
        <f>IFERROR(__xludf.DUMMYFUNCTION("""COMPUTED_VALUE"""),"statements")</f>
        <v>statements</v>
      </c>
    </row>
    <row r="1314">
      <c r="B1314" s="6"/>
      <c r="D1314" s="6"/>
      <c r="G1314" s="6" t="str">
        <f>IFERROR(__xludf.DUMMYFUNCTION("""COMPUTED_VALUE"""),"numb")</f>
        <v>numb</v>
      </c>
      <c r="H1314" s="6" t="str">
        <f>IFERROR(__xludf.DUMMYFUNCTION("""COMPUTED_VALUE"""),"stylized")</f>
        <v>stylized</v>
      </c>
      <c r="I1314" s="6"/>
      <c r="J1314" s="6" t="str">
        <f>IFERROR(__xludf.DUMMYFUNCTION("""COMPUTED_VALUE"""),"captain")</f>
        <v>captain</v>
      </c>
      <c r="L1314" s="6" t="str">
        <f>IFERROR(__xludf.DUMMYFUNCTION("""COMPUTED_VALUE"""),"discontent")</f>
        <v>discontent</v>
      </c>
      <c r="M1314" s="6" t="str">
        <f>IFERROR(__xludf.DUMMYFUNCTION("""COMPUTED_VALUE"""),"nation")</f>
        <v>nation</v>
      </c>
      <c r="N1314" s="6" t="str">
        <f>IFERROR(__xludf.DUMMYFUNCTION("""COMPUTED_VALUE"""),"pleasures")</f>
        <v>pleasures</v>
      </c>
      <c r="P1314" s="6" t="str">
        <f>IFERROR(__xludf.DUMMYFUNCTION("""COMPUTED_VALUE"""),"grown")</f>
        <v>grown</v>
      </c>
      <c r="Q1314" s="6" t="str">
        <f>IFERROR(__xludf.DUMMYFUNCTION("""COMPUTED_VALUE"""),"restrictive")</f>
        <v>restrictive</v>
      </c>
      <c r="S1314" s="6" t="str">
        <f>IFERROR(__xludf.DUMMYFUNCTION("""COMPUTED_VALUE"""),"blanket")</f>
        <v>blanket</v>
      </c>
    </row>
    <row r="1315">
      <c r="B1315" s="6"/>
      <c r="D1315" s="6"/>
      <c r="G1315" s="6">
        <f>IFERROR(__xludf.DUMMYFUNCTION("""COMPUTED_VALUE"""),1957.0)</f>
        <v>1957</v>
      </c>
      <c r="H1315" s="6" t="str">
        <f>IFERROR(__xludf.DUMMYFUNCTION("""COMPUTED_VALUE"""),"hilary")</f>
        <v>hilary</v>
      </c>
      <c r="I1315" s="6"/>
      <c r="J1315" s="6" t="str">
        <f>IFERROR(__xludf.DUMMYFUNCTION("""COMPUTED_VALUE"""),"near")</f>
        <v>near</v>
      </c>
      <c r="L1315" s="6" t="str">
        <f>IFERROR(__xludf.DUMMYFUNCTION("""COMPUTED_VALUE"""),"exasperated")</f>
        <v>exasperated</v>
      </c>
      <c r="M1315" s="6" t="str">
        <f>IFERROR(__xludf.DUMMYFUNCTION("""COMPUTED_VALUE"""),"contrast")</f>
        <v>contrast</v>
      </c>
      <c r="N1315" s="6" t="str">
        <f>IFERROR(__xludf.DUMMYFUNCTION("""COMPUTED_VALUE"""),"heavyweight")</f>
        <v>heavyweight</v>
      </c>
      <c r="P1315" s="6" t="str">
        <f>IFERROR(__xludf.DUMMYFUNCTION("""COMPUTED_VALUE"""),"flesh")</f>
        <v>flesh</v>
      </c>
      <c r="Q1315" s="6" t="str">
        <f>IFERROR(__xludf.DUMMYFUNCTION("""COMPUTED_VALUE"""),"dubious")</f>
        <v>dubious</v>
      </c>
      <c r="S1315" s="6" t="str">
        <f>IFERROR(__xludf.DUMMYFUNCTION("""COMPUTED_VALUE"""),"kiss")</f>
        <v>kiss</v>
      </c>
    </row>
    <row r="1316">
      <c r="B1316" s="6"/>
      <c r="D1316" s="6"/>
      <c r="G1316" s="6" t="str">
        <f>IFERROR(__xludf.DUMMYFUNCTION("""COMPUTED_VALUE"""),"sacrifices")</f>
        <v>sacrifices</v>
      </c>
      <c r="H1316" s="6" t="str">
        <f>IFERROR(__xludf.DUMMYFUNCTION("""COMPUTED_VALUE"""),"birmingham")</f>
        <v>birmingham</v>
      </c>
      <c r="I1316" s="6"/>
      <c r="J1316" s="6" t="str">
        <f>IFERROR(__xludf.DUMMYFUNCTION("""COMPUTED_VALUE"""),"framing")</f>
        <v>framing</v>
      </c>
      <c r="L1316" s="6" t="str">
        <f>IFERROR(__xludf.DUMMYFUNCTION("""COMPUTED_VALUE"""),"messenger")</f>
        <v>messenger</v>
      </c>
      <c r="M1316" s="6" t="str">
        <f>IFERROR(__xludf.DUMMYFUNCTION("""COMPUTED_VALUE"""),"graduated")</f>
        <v>graduated</v>
      </c>
      <c r="N1316" s="6" t="str">
        <f>IFERROR(__xludf.DUMMYFUNCTION("""COMPUTED_VALUE"""),"miraculous")</f>
        <v>miraculous</v>
      </c>
      <c r="P1316" s="6" t="str">
        <f>IFERROR(__xludf.DUMMYFUNCTION("""COMPUTED_VALUE"""),"illness")</f>
        <v>illness</v>
      </c>
      <c r="Q1316" s="6" t="str">
        <f>IFERROR(__xludf.DUMMYFUNCTION("""COMPUTED_VALUE"""),"bodies")</f>
        <v>bodies</v>
      </c>
      <c r="S1316" s="6" t="str">
        <f>IFERROR(__xludf.DUMMYFUNCTION("""COMPUTED_VALUE"""),"saving")</f>
        <v>saving</v>
      </c>
    </row>
    <row r="1317">
      <c r="B1317" s="6"/>
      <c r="D1317" s="6"/>
      <c r="G1317" s="6" t="str">
        <f>IFERROR(__xludf.DUMMYFUNCTION("""COMPUTED_VALUE"""),"consciously")</f>
        <v>consciously</v>
      </c>
      <c r="H1317" s="6" t="str">
        <f>IFERROR(__xludf.DUMMYFUNCTION("""COMPUTED_VALUE"""),"sensitivity")</f>
        <v>sensitivity</v>
      </c>
      <c r="I1317" s="6"/>
      <c r="J1317" s="6" t="str">
        <f>IFERROR(__xludf.DUMMYFUNCTION("""COMPUTED_VALUE"""),"alternately")</f>
        <v>alternately</v>
      </c>
      <c r="L1317" s="6" t="str">
        <f>IFERROR(__xludf.DUMMYFUNCTION("""COMPUTED_VALUE"""),"insight")</f>
        <v>insight</v>
      </c>
      <c r="M1317" s="6" t="str">
        <f>IFERROR(__xludf.DUMMYFUNCTION("""COMPUTED_VALUE"""),"canon")</f>
        <v>canon</v>
      </c>
      <c r="N1317" s="6" t="str">
        <f>IFERROR(__xludf.DUMMYFUNCTION("""COMPUTED_VALUE"""),"disturbance")</f>
        <v>disturbance</v>
      </c>
      <c r="P1317" s="6" t="str">
        <f>IFERROR(__xludf.DUMMYFUNCTION("""COMPUTED_VALUE"""),"jordan")</f>
        <v>jordan</v>
      </c>
      <c r="Q1317" s="6" t="str">
        <f>IFERROR(__xludf.DUMMYFUNCTION("""COMPUTED_VALUE"""),"secretary")</f>
        <v>secretary</v>
      </c>
      <c r="S1317" s="6" t="str">
        <f>IFERROR(__xludf.DUMMYFUNCTION("""COMPUTED_VALUE"""),"awkward")</f>
        <v>awkward</v>
      </c>
    </row>
    <row r="1318">
      <c r="B1318" s="6"/>
      <c r="D1318" s="6"/>
      <c r="G1318" s="6" t="str">
        <f>IFERROR(__xludf.DUMMYFUNCTION("""COMPUTED_VALUE"""),"asphalt")</f>
        <v>asphalt</v>
      </c>
      <c r="H1318" s="6" t="str">
        <f>IFERROR(__xludf.DUMMYFUNCTION("""COMPUTED_VALUE"""),"precision")</f>
        <v>precision</v>
      </c>
      <c r="I1318" s="6"/>
      <c r="J1318" s="6" t="str">
        <f>IFERROR(__xludf.DUMMYFUNCTION("""COMPUTED_VALUE"""),"hopeful")</f>
        <v>hopeful</v>
      </c>
      <c r="L1318" s="6" t="str">
        <f>IFERROR(__xludf.DUMMYFUNCTION("""COMPUTED_VALUE"""),"pleasures")</f>
        <v>pleasures</v>
      </c>
      <c r="M1318" s="6" t="str">
        <f>IFERROR(__xludf.DUMMYFUNCTION("""COMPUTED_VALUE"""),"embrace")</f>
        <v>embrace</v>
      </c>
      <c r="N1318" s="6" t="str">
        <f>IFERROR(__xludf.DUMMYFUNCTION("""COMPUTED_VALUE"""),"depleted")</f>
        <v>depleted</v>
      </c>
      <c r="P1318" s="6" t="str">
        <f>IFERROR(__xludf.DUMMYFUNCTION("""COMPUTED_VALUE"""),"controversy")</f>
        <v>controversy</v>
      </c>
      <c r="Q1318" s="6" t="str">
        <f>IFERROR(__xludf.DUMMYFUNCTION("""COMPUTED_VALUE"""),"stepmother")</f>
        <v>stepmother</v>
      </c>
      <c r="S1318" s="6" t="str">
        <f>IFERROR(__xludf.DUMMYFUNCTION("""COMPUTED_VALUE"""),"received")</f>
        <v>received</v>
      </c>
    </row>
    <row r="1319">
      <c r="B1319" s="6"/>
      <c r="D1319" s="6"/>
      <c r="G1319" s="6" t="str">
        <f>IFERROR(__xludf.DUMMYFUNCTION("""COMPUTED_VALUE"""),"grim")</f>
        <v>grim</v>
      </c>
      <c r="H1319" s="6" t="str">
        <f>IFERROR(__xludf.DUMMYFUNCTION("""COMPUTED_VALUE"""),"aspirations")</f>
        <v>aspirations</v>
      </c>
      <c r="I1319" s="6"/>
      <c r="J1319" s="6" t="str">
        <f>IFERROR(__xludf.DUMMYFUNCTION("""COMPUTED_VALUE"""),"mechanical")</f>
        <v>mechanical</v>
      </c>
      <c r="L1319" s="6" t="str">
        <f>IFERROR(__xludf.DUMMYFUNCTION("""COMPUTED_VALUE"""),"heavyweight")</f>
        <v>heavyweight</v>
      </c>
      <c r="M1319" s="6" t="str">
        <f>IFERROR(__xludf.DUMMYFUNCTION("""COMPUTED_VALUE"""),"election")</f>
        <v>election</v>
      </c>
      <c r="N1319" s="6" t="str">
        <f>IFERROR(__xludf.DUMMYFUNCTION("""COMPUTED_VALUE"""),"marking")</f>
        <v>marking</v>
      </c>
      <c r="P1319" s="6" t="str">
        <f>IFERROR(__xludf.DUMMYFUNCTION("""COMPUTED_VALUE"""),"monsters")</f>
        <v>monsters</v>
      </c>
      <c r="Q1319" s="6" t="str">
        <f>IFERROR(__xludf.DUMMYFUNCTION("""COMPUTED_VALUE"""),"inevitable")</f>
        <v>inevitable</v>
      </c>
      <c r="S1319" s="6" t="str">
        <f>IFERROR(__xludf.DUMMYFUNCTION("""COMPUTED_VALUE"""),"blonde")</f>
        <v>blonde</v>
      </c>
    </row>
    <row r="1320">
      <c r="B1320" s="6"/>
      <c r="D1320" s="6"/>
      <c r="G1320" s="6" t="str">
        <f>IFERROR(__xludf.DUMMYFUNCTION("""COMPUTED_VALUE"""),"experimental")</f>
        <v>experimental</v>
      </c>
      <c r="H1320" s="6" t="str">
        <f>IFERROR(__xludf.DUMMYFUNCTION("""COMPUTED_VALUE"""),"charms")</f>
        <v>charms</v>
      </c>
      <c r="I1320" s="6"/>
      <c r="J1320" s="6" t="str">
        <f>IFERROR(__xludf.DUMMYFUNCTION("""COMPUTED_VALUE"""),"compatible")</f>
        <v>compatible</v>
      </c>
      <c r="L1320" s="6" t="str">
        <f>IFERROR(__xludf.DUMMYFUNCTION("""COMPUTED_VALUE"""),"disturbance")</f>
        <v>disturbance</v>
      </c>
      <c r="M1320" s="6" t="str">
        <f>IFERROR(__xludf.DUMMYFUNCTION("""COMPUTED_VALUE"""),"pulls")</f>
        <v>pulls</v>
      </c>
      <c r="N1320" s="6" t="str">
        <f>IFERROR(__xludf.DUMMYFUNCTION("""COMPUTED_VALUE"""),"restrictive")</f>
        <v>restrictive</v>
      </c>
      <c r="P1320" s="6" t="str">
        <f>IFERROR(__xludf.DUMMYFUNCTION("""COMPUTED_VALUE"""),"rally")</f>
        <v>rally</v>
      </c>
      <c r="Q1320" s="6" t="str">
        <f>IFERROR(__xludf.DUMMYFUNCTION("""COMPUTED_VALUE"""),"incarnation")</f>
        <v>incarnation</v>
      </c>
      <c r="S1320" s="6" t="str">
        <f>IFERROR(__xludf.DUMMYFUNCTION("""COMPUTED_VALUE"""),"abroad")</f>
        <v>abroad</v>
      </c>
    </row>
    <row r="1321">
      <c r="B1321" s="6"/>
      <c r="D1321" s="6"/>
      <c r="G1321" s="6" t="str">
        <f>IFERROR(__xludf.DUMMYFUNCTION("""COMPUTED_VALUE"""),"cleavage")</f>
        <v>cleavage</v>
      </c>
      <c r="H1321" s="6" t="str">
        <f>IFERROR(__xludf.DUMMYFUNCTION("""COMPUTED_VALUE"""),"gay")</f>
        <v>gay</v>
      </c>
      <c r="I1321" s="6"/>
      <c r="J1321" s="6" t="str">
        <f>IFERROR(__xludf.DUMMYFUNCTION("""COMPUTED_VALUE"""),"depiction")</f>
        <v>depiction</v>
      </c>
      <c r="L1321" s="6" t="str">
        <f>IFERROR(__xludf.DUMMYFUNCTION("""COMPUTED_VALUE"""),"depleted")</f>
        <v>depleted</v>
      </c>
      <c r="M1321" s="6" t="str">
        <f>IFERROR(__xludf.DUMMYFUNCTION("""COMPUTED_VALUE"""),"broadway")</f>
        <v>broadway</v>
      </c>
      <c r="N1321" s="6" t="str">
        <f>IFERROR(__xludf.DUMMYFUNCTION("""COMPUTED_VALUE"""),"hysteria")</f>
        <v>hysteria</v>
      </c>
      <c r="P1321" s="6" t="str">
        <f>IFERROR(__xludf.DUMMYFUNCTION("""COMPUTED_VALUE"""),"dimensions")</f>
        <v>dimensions</v>
      </c>
      <c r="Q1321" s="6" t="str">
        <f>IFERROR(__xludf.DUMMYFUNCTION("""COMPUTED_VALUE"""),"indians")</f>
        <v>indians</v>
      </c>
      <c r="S1321" s="6" t="str">
        <f>IFERROR(__xludf.DUMMYFUNCTION("""COMPUTED_VALUE"""),"impact")</f>
        <v>impact</v>
      </c>
    </row>
    <row r="1322">
      <c r="B1322" s="6"/>
      <c r="D1322" s="6"/>
      <c r="G1322" s="6" t="str">
        <f>IFERROR(__xludf.DUMMYFUNCTION("""COMPUTED_VALUE"""),"youthful")</f>
        <v>youthful</v>
      </c>
      <c r="H1322" s="6" t="str">
        <f>IFERROR(__xludf.DUMMYFUNCTION("""COMPUTED_VALUE"""),"conservative")</f>
        <v>conservative</v>
      </c>
      <c r="I1322" s="6"/>
      <c r="J1322" s="6" t="str">
        <f>IFERROR(__xludf.DUMMYFUNCTION("""COMPUTED_VALUE"""),"embraced")</f>
        <v>embraced</v>
      </c>
      <c r="L1322" s="6" t="str">
        <f>IFERROR(__xludf.DUMMYFUNCTION("""COMPUTED_VALUE"""),"lucas")</f>
        <v>lucas</v>
      </c>
      <c r="M1322" s="6" t="str">
        <f>IFERROR(__xludf.DUMMYFUNCTION("""COMPUTED_VALUE"""),"relationships")</f>
        <v>relationships</v>
      </c>
      <c r="N1322" s="6" t="str">
        <f>IFERROR(__xludf.DUMMYFUNCTION("""COMPUTED_VALUE"""),"harvard")</f>
        <v>harvard</v>
      </c>
      <c r="P1322" s="6" t="str">
        <f>IFERROR(__xludf.DUMMYFUNCTION("""COMPUTED_VALUE"""),"disease")</f>
        <v>disease</v>
      </c>
      <c r="Q1322" s="6" t="str">
        <f>IFERROR(__xludf.DUMMYFUNCTION("""COMPUTED_VALUE"""),"ten")</f>
        <v>ten</v>
      </c>
      <c r="S1322" s="6" t="str">
        <f>IFERROR(__xludf.DUMMYFUNCTION("""COMPUTED_VALUE"""),"tales")</f>
        <v>tales</v>
      </c>
    </row>
    <row r="1323">
      <c r="B1323" s="6"/>
      <c r="D1323" s="6"/>
      <c r="G1323" s="6" t="str">
        <f>IFERROR(__xludf.DUMMYFUNCTION("""COMPUTED_VALUE"""),"expanse")</f>
        <v>expanse</v>
      </c>
      <c r="H1323" s="6" t="str">
        <f>IFERROR(__xludf.DUMMYFUNCTION("""COMPUTED_VALUE"""),"suspected")</f>
        <v>suspected</v>
      </c>
      <c r="I1323" s="6"/>
      <c r="J1323" s="6" t="str">
        <f>IFERROR(__xludf.DUMMYFUNCTION("""COMPUTED_VALUE"""),"aids")</f>
        <v>aids</v>
      </c>
      <c r="L1323" s="6" t="str">
        <f>IFERROR(__xludf.DUMMYFUNCTION("""COMPUTED_VALUE"""),"restrictive")</f>
        <v>restrictive</v>
      </c>
      <c r="M1323" s="6" t="str">
        <f>IFERROR(__xludf.DUMMYFUNCTION("""COMPUTED_VALUE"""),"disney")</f>
        <v>disney</v>
      </c>
      <c r="N1323" s="6" t="str">
        <f>IFERROR(__xludf.DUMMYFUNCTION("""COMPUTED_VALUE"""),"jerking")</f>
        <v>jerking</v>
      </c>
      <c r="P1323" s="6" t="str">
        <f>IFERROR(__xludf.DUMMYFUNCTION("""COMPUTED_VALUE"""),"classification")</f>
        <v>classification</v>
      </c>
      <c r="Q1323" s="6" t="str">
        <f>IFERROR(__xludf.DUMMYFUNCTION("""COMPUTED_VALUE"""),"chain")</f>
        <v>chain</v>
      </c>
      <c r="S1323" s="6" t="str">
        <f>IFERROR(__xludf.DUMMYFUNCTION("""COMPUTED_VALUE"""),"deaths")</f>
        <v>deaths</v>
      </c>
    </row>
    <row r="1324">
      <c r="B1324" s="6"/>
      <c r="D1324" s="6"/>
      <c r="G1324" s="6" t="str">
        <f>IFERROR(__xludf.DUMMYFUNCTION("""COMPUTED_VALUE"""),"nemesis")</f>
        <v>nemesis</v>
      </c>
      <c r="H1324" s="6" t="str">
        <f>IFERROR(__xludf.DUMMYFUNCTION("""COMPUTED_VALUE"""),"privy")</f>
        <v>privy</v>
      </c>
      <c r="I1324" s="6"/>
      <c r="J1324" s="6" t="str">
        <f>IFERROR(__xludf.DUMMYFUNCTION("""COMPUTED_VALUE"""),"realities")</f>
        <v>realities</v>
      </c>
      <c r="L1324" s="6" t="str">
        <f>IFERROR(__xludf.DUMMYFUNCTION("""COMPUTED_VALUE"""),"hysteria")</f>
        <v>hysteria</v>
      </c>
      <c r="M1324" s="6" t="str">
        <f>IFERROR(__xludf.DUMMYFUNCTION("""COMPUTED_VALUE"""),"technical")</f>
        <v>technical</v>
      </c>
      <c r="N1324" s="6" t="str">
        <f>IFERROR(__xludf.DUMMYFUNCTION("""COMPUTED_VALUE"""),"gently")</f>
        <v>gently</v>
      </c>
      <c r="P1324" s="6" t="str">
        <f>IFERROR(__xludf.DUMMYFUNCTION("""COMPUTED_VALUE"""),"revenge")</f>
        <v>revenge</v>
      </c>
      <c r="Q1324" s="6" t="str">
        <f>IFERROR(__xludf.DUMMYFUNCTION("""COMPUTED_VALUE"""),"forming")</f>
        <v>forming</v>
      </c>
      <c r="S1324" s="6" t="str">
        <f>IFERROR(__xludf.DUMMYFUNCTION("""COMPUTED_VALUE"""),"snow")</f>
        <v>snow</v>
      </c>
    </row>
    <row r="1325">
      <c r="B1325" s="6"/>
      <c r="D1325" s="6"/>
      <c r="G1325" s="6" t="str">
        <f>IFERROR(__xludf.DUMMYFUNCTION("""COMPUTED_VALUE"""),"remembrance")</f>
        <v>remembrance</v>
      </c>
      <c r="H1325" s="6" t="str">
        <f>IFERROR(__xludf.DUMMYFUNCTION("""COMPUTED_VALUE"""),"garnered")</f>
        <v>garnered</v>
      </c>
      <c r="I1325" s="6"/>
      <c r="J1325" s="6" t="str">
        <f>IFERROR(__xludf.DUMMYFUNCTION("""COMPUTED_VALUE"""),"pitched")</f>
        <v>pitched</v>
      </c>
      <c r="L1325" s="6" t="str">
        <f>IFERROR(__xludf.DUMMYFUNCTION("""COMPUTED_VALUE"""),"harvard")</f>
        <v>harvard</v>
      </c>
      <c r="M1325" s="6" t="str">
        <f>IFERROR(__xludf.DUMMYFUNCTION("""COMPUTED_VALUE"""),"ties")</f>
        <v>ties</v>
      </c>
      <c r="N1325" s="6" t="str">
        <f>IFERROR(__xludf.DUMMYFUNCTION("""COMPUTED_VALUE"""),"viewed")</f>
        <v>viewed</v>
      </c>
      <c r="P1325" s="6" t="str">
        <f>IFERROR(__xludf.DUMMYFUNCTION("""COMPUTED_VALUE"""),"cheek")</f>
        <v>cheek</v>
      </c>
      <c r="Q1325" s="6" t="str">
        <f>IFERROR(__xludf.DUMMYFUNCTION("""COMPUTED_VALUE"""),"distinguishing")</f>
        <v>distinguishing</v>
      </c>
      <c r="S1325" s="6" t="str">
        <f>IFERROR(__xludf.DUMMYFUNCTION("""COMPUTED_VALUE"""),"form")</f>
        <v>form</v>
      </c>
    </row>
    <row r="1326">
      <c r="B1326" s="6"/>
      <c r="D1326" s="6"/>
      <c r="G1326" s="6" t="str">
        <f>IFERROR(__xludf.DUMMYFUNCTION("""COMPUTED_VALUE"""),"lina")</f>
        <v>lina</v>
      </c>
      <c r="H1326" s="6" t="str">
        <f>IFERROR(__xludf.DUMMYFUNCTION("""COMPUTED_VALUE"""),"fool")</f>
        <v>fool</v>
      </c>
      <c r="I1326" s="6"/>
      <c r="J1326" s="6" t="str">
        <f>IFERROR(__xludf.DUMMYFUNCTION("""COMPUTED_VALUE"""),"repetition")</f>
        <v>repetition</v>
      </c>
      <c r="L1326" s="6" t="str">
        <f>IFERROR(__xludf.DUMMYFUNCTION("""COMPUTED_VALUE"""),"jerking")</f>
        <v>jerking</v>
      </c>
      <c r="M1326" s="6" t="str">
        <f>IFERROR(__xludf.DUMMYFUNCTION("""COMPUTED_VALUE"""),"extraordinary")</f>
        <v>extraordinary</v>
      </c>
      <c r="N1326" s="6" t="str">
        <f>IFERROR(__xludf.DUMMYFUNCTION("""COMPUTED_VALUE"""),"christopher")</f>
        <v>christopher</v>
      </c>
      <c r="P1326" s="6" t="str">
        <f>IFERROR(__xludf.DUMMYFUNCTION("""COMPUTED_VALUE"""),"references")</f>
        <v>references</v>
      </c>
      <c r="Q1326" s="6" t="str">
        <f>IFERROR(__xludf.DUMMYFUNCTION("""COMPUTED_VALUE"""),"wallace")</f>
        <v>wallace</v>
      </c>
      <c r="S1326" s="6" t="str">
        <f>IFERROR(__xludf.DUMMYFUNCTION("""COMPUTED_VALUE"""),"missed")</f>
        <v>missed</v>
      </c>
    </row>
    <row r="1327">
      <c r="B1327" s="6"/>
      <c r="D1327" s="6"/>
      <c r="G1327" s="6" t="str">
        <f>IFERROR(__xludf.DUMMYFUNCTION("""COMPUTED_VALUE"""),"1960s")</f>
        <v>1960s</v>
      </c>
      <c r="H1327" s="6" t="str">
        <f>IFERROR(__xludf.DUMMYFUNCTION("""COMPUTED_VALUE"""),"underlying")</f>
        <v>underlying</v>
      </c>
      <c r="I1327" s="6"/>
      <c r="J1327" s="6" t="str">
        <f>IFERROR(__xludf.DUMMYFUNCTION("""COMPUTED_VALUE"""),"agile")</f>
        <v>agile</v>
      </c>
      <c r="L1327" s="6" t="str">
        <f>IFERROR(__xludf.DUMMYFUNCTION("""COMPUTED_VALUE"""),"viewed")</f>
        <v>viewed</v>
      </c>
      <c r="M1327" s="6" t="str">
        <f>IFERROR(__xludf.DUMMYFUNCTION("""COMPUTED_VALUE"""),"ocean")</f>
        <v>ocean</v>
      </c>
      <c r="N1327" s="6" t="str">
        <f>IFERROR(__xludf.DUMMYFUNCTION("""COMPUTED_VALUE"""),"puppets")</f>
        <v>puppets</v>
      </c>
      <c r="P1327" s="6" t="str">
        <f>IFERROR(__xludf.DUMMYFUNCTION("""COMPUTED_VALUE"""),"clouds")</f>
        <v>clouds</v>
      </c>
      <c r="Q1327" s="6" t="str">
        <f>IFERROR(__xludf.DUMMYFUNCTION("""COMPUTED_VALUE"""),"transparency")</f>
        <v>transparency</v>
      </c>
      <c r="S1327" s="6" t="str">
        <f>IFERROR(__xludf.DUMMYFUNCTION("""COMPUTED_VALUE"""),"refugees")</f>
        <v>refugees</v>
      </c>
    </row>
    <row r="1328">
      <c r="B1328" s="6"/>
      <c r="D1328" s="6"/>
      <c r="G1328" s="6" t="str">
        <f>IFERROR(__xludf.DUMMYFUNCTION("""COMPUTED_VALUE"""),"sustained")</f>
        <v>sustained</v>
      </c>
      <c r="H1328" s="6" t="str">
        <f>IFERROR(__xludf.DUMMYFUNCTION("""COMPUTED_VALUE"""),"superhero")</f>
        <v>superhero</v>
      </c>
      <c r="I1328" s="6"/>
      <c r="J1328" s="6" t="str">
        <f>IFERROR(__xludf.DUMMYFUNCTION("""COMPUTED_VALUE"""),"proficient")</f>
        <v>proficient</v>
      </c>
      <c r="L1328" s="6" t="str">
        <f>IFERROR(__xludf.DUMMYFUNCTION("""COMPUTED_VALUE"""),"christopher")</f>
        <v>christopher</v>
      </c>
      <c r="M1328" s="6">
        <f>IFERROR(__xludf.DUMMYFUNCTION("""COMPUTED_VALUE"""),1999.0)</f>
        <v>1999</v>
      </c>
      <c r="N1328" s="6" t="str">
        <f>IFERROR(__xludf.DUMMYFUNCTION("""COMPUTED_VALUE"""),"provoke")</f>
        <v>provoke</v>
      </c>
      <c r="P1328" s="6" t="str">
        <f>IFERROR(__xludf.DUMMYFUNCTION("""COMPUTED_VALUE"""),"opened")</f>
        <v>opened</v>
      </c>
      <c r="Q1328" s="6" t="str">
        <f>IFERROR(__xludf.DUMMYFUNCTION("""COMPUTED_VALUE"""),"enormous")</f>
        <v>enormous</v>
      </c>
      <c r="S1328" s="6" t="str">
        <f>IFERROR(__xludf.DUMMYFUNCTION("""COMPUTED_VALUE"""),"age")</f>
        <v>age</v>
      </c>
    </row>
    <row r="1329">
      <c r="B1329" s="6"/>
      <c r="D1329" s="6"/>
      <c r="G1329" s="6" t="str">
        <f>IFERROR(__xludf.DUMMYFUNCTION("""COMPUTED_VALUE"""),"keel")</f>
        <v>keel</v>
      </c>
      <c r="H1329" s="6" t="str">
        <f>IFERROR(__xludf.DUMMYFUNCTION("""COMPUTED_VALUE"""),"intellect")</f>
        <v>intellect</v>
      </c>
      <c r="I1329" s="6"/>
      <c r="J1329" s="6" t="str">
        <f>IFERROR(__xludf.DUMMYFUNCTION("""COMPUTED_VALUE"""),"denial")</f>
        <v>denial</v>
      </c>
      <c r="L1329" s="6" t="str">
        <f>IFERROR(__xludf.DUMMYFUNCTION("""COMPUTED_VALUE"""),"puppets")</f>
        <v>puppets</v>
      </c>
      <c r="M1329" s="6" t="str">
        <f>IFERROR(__xludf.DUMMYFUNCTION("""COMPUTED_VALUE"""),"maintains")</f>
        <v>maintains</v>
      </c>
      <c r="N1329" s="6" t="str">
        <f>IFERROR(__xludf.DUMMYFUNCTION("""COMPUTED_VALUE"""),"backward")</f>
        <v>backward</v>
      </c>
      <c r="P1329" s="6" t="str">
        <f>IFERROR(__xludf.DUMMYFUNCTION("""COMPUTED_VALUE"""),"composed")</f>
        <v>composed</v>
      </c>
      <c r="Q1329" s="6" t="str">
        <f>IFERROR(__xludf.DUMMYFUNCTION("""COMPUTED_VALUE"""),"hampered")</f>
        <v>hampered</v>
      </c>
      <c r="S1329" s="6" t="str">
        <f>IFERROR(__xludf.DUMMYFUNCTION("""COMPUTED_VALUE"""),"failed")</f>
        <v>failed</v>
      </c>
    </row>
    <row r="1330">
      <c r="B1330" s="6"/>
      <c r="D1330" s="6"/>
      <c r="G1330" s="6" t="str">
        <f>IFERROR(__xludf.DUMMYFUNCTION("""COMPUTED_VALUE"""),"tolerance")</f>
        <v>tolerance</v>
      </c>
      <c r="H1330" s="6" t="str">
        <f>IFERROR(__xludf.DUMMYFUNCTION("""COMPUTED_VALUE"""),"kissing")</f>
        <v>kissing</v>
      </c>
      <c r="I1330" s="6"/>
      <c r="J1330" s="6" t="str">
        <f>IFERROR(__xludf.DUMMYFUNCTION("""COMPUTED_VALUE"""),"factors")</f>
        <v>factors</v>
      </c>
      <c r="L1330" s="6" t="str">
        <f>IFERROR(__xludf.DUMMYFUNCTION("""COMPUTED_VALUE"""),"provoke")</f>
        <v>provoke</v>
      </c>
      <c r="M1330" s="6" t="str">
        <f>IFERROR(__xludf.DUMMYFUNCTION("""COMPUTED_VALUE"""),"benefits")</f>
        <v>benefits</v>
      </c>
      <c r="N1330" s="6" t="str">
        <f>IFERROR(__xludf.DUMMYFUNCTION("""COMPUTED_VALUE"""),"comedian")</f>
        <v>comedian</v>
      </c>
      <c r="P1330" s="6" t="str">
        <f>IFERROR(__xludf.DUMMYFUNCTION("""COMPUTED_VALUE"""),"rejected")</f>
        <v>rejected</v>
      </c>
      <c r="Q1330" s="6" t="str">
        <f>IFERROR(__xludf.DUMMYFUNCTION("""COMPUTED_VALUE"""),"notion")</f>
        <v>notion</v>
      </c>
      <c r="S1330" s="6" t="str">
        <f>IFERROR(__xludf.DUMMYFUNCTION("""COMPUTED_VALUE"""),"presented")</f>
        <v>presented</v>
      </c>
    </row>
    <row r="1331">
      <c r="B1331" s="6"/>
      <c r="D1331" s="6"/>
      <c r="G1331" s="6" t="str">
        <f>IFERROR(__xludf.DUMMYFUNCTION("""COMPUTED_VALUE"""),"prowess")</f>
        <v>prowess</v>
      </c>
      <c r="H1331" s="6" t="str">
        <f>IFERROR(__xludf.DUMMYFUNCTION("""COMPUTED_VALUE"""),"stein")</f>
        <v>stein</v>
      </c>
      <c r="I1331" s="6"/>
      <c r="J1331" s="6" t="str">
        <f>IFERROR(__xludf.DUMMYFUNCTION("""COMPUTED_VALUE"""),"paxton")</f>
        <v>paxton</v>
      </c>
      <c r="L1331" s="6" t="str">
        <f>IFERROR(__xludf.DUMMYFUNCTION("""COMPUTED_VALUE"""),"monty")</f>
        <v>monty</v>
      </c>
      <c r="M1331" s="6" t="str">
        <f>IFERROR(__xludf.DUMMYFUNCTION("""COMPUTED_VALUE"""),"climbing")</f>
        <v>climbing</v>
      </c>
      <c r="N1331" s="6" t="str">
        <f>IFERROR(__xludf.DUMMYFUNCTION("""COMPUTED_VALUE"""),"dover")</f>
        <v>dover</v>
      </c>
      <c r="P1331" s="6" t="str">
        <f>IFERROR(__xludf.DUMMYFUNCTION("""COMPUTED_VALUE"""),"suggests")</f>
        <v>suggests</v>
      </c>
      <c r="Q1331" s="6" t="str">
        <f>IFERROR(__xludf.DUMMYFUNCTION("""COMPUTED_VALUE"""),"possesses")</f>
        <v>possesses</v>
      </c>
      <c r="S1331" s="6" t="str">
        <f>IFERROR(__xludf.DUMMYFUNCTION("""COMPUTED_VALUE"""),"understanding")</f>
        <v>understanding</v>
      </c>
    </row>
    <row r="1332">
      <c r="B1332" s="6"/>
      <c r="D1332" s="6"/>
      <c r="G1332" s="6" t="str">
        <f>IFERROR(__xludf.DUMMYFUNCTION("""COMPUTED_VALUE"""),"preaching")</f>
        <v>preaching</v>
      </c>
      <c r="H1332" s="6" t="str">
        <f>IFERROR(__xludf.DUMMYFUNCTION("""COMPUTED_VALUE"""),"pencil")</f>
        <v>pencil</v>
      </c>
      <c r="I1332" s="6"/>
      <c r="J1332" s="6" t="str">
        <f>IFERROR(__xludf.DUMMYFUNCTION("""COMPUTED_VALUE"""),"resistance")</f>
        <v>resistance</v>
      </c>
      <c r="L1332" s="6" t="str">
        <f>IFERROR(__xludf.DUMMYFUNCTION("""COMPUTED_VALUE"""),"backward")</f>
        <v>backward</v>
      </c>
      <c r="M1332" s="6" t="str">
        <f>IFERROR(__xludf.DUMMYFUNCTION("""COMPUTED_VALUE"""),"content")</f>
        <v>content</v>
      </c>
      <c r="N1332" s="6" t="str">
        <f>IFERROR(__xludf.DUMMYFUNCTION("""COMPUTED_VALUE"""),"adrenaline")</f>
        <v>adrenaline</v>
      </c>
      <c r="P1332" s="6" t="str">
        <f>IFERROR(__xludf.DUMMYFUNCTION("""COMPUTED_VALUE"""),"perform")</f>
        <v>perform</v>
      </c>
      <c r="Q1332" s="6" t="str">
        <f>IFERROR(__xludf.DUMMYFUNCTION("""COMPUTED_VALUE"""),"proficiency")</f>
        <v>proficiency</v>
      </c>
      <c r="S1332" s="6" t="str">
        <f>IFERROR(__xludf.DUMMYFUNCTION("""COMPUTED_VALUE"""),"creature")</f>
        <v>creature</v>
      </c>
    </row>
    <row r="1333">
      <c r="B1333" s="6"/>
      <c r="D1333" s="6"/>
      <c r="G1333" s="6" t="str">
        <f>IFERROR(__xludf.DUMMYFUNCTION("""COMPUTED_VALUE"""),"hal")</f>
        <v>hal</v>
      </c>
      <c r="H1333" s="6" t="str">
        <f>IFERROR(__xludf.DUMMYFUNCTION("""COMPUTED_VALUE"""),"defiance")</f>
        <v>defiance</v>
      </c>
      <c r="I1333" s="6"/>
      <c r="J1333" s="6" t="str">
        <f>IFERROR(__xludf.DUMMYFUNCTION("""COMPUTED_VALUE"""),"levy")</f>
        <v>levy</v>
      </c>
      <c r="L1333" s="6" t="str">
        <f>IFERROR(__xludf.DUMMYFUNCTION("""COMPUTED_VALUE"""),"flaw")</f>
        <v>flaw</v>
      </c>
      <c r="M1333" s="6" t="str">
        <f>IFERROR(__xludf.DUMMYFUNCTION("""COMPUTED_VALUE"""),"reynolds")</f>
        <v>reynolds</v>
      </c>
      <c r="N1333" s="6" t="str">
        <f>IFERROR(__xludf.DUMMYFUNCTION("""COMPUTED_VALUE"""),"scripts")</f>
        <v>scripts</v>
      </c>
      <c r="P1333" s="6" t="str">
        <f>IFERROR(__xludf.DUMMYFUNCTION("""COMPUTED_VALUE"""),"principles")</f>
        <v>principles</v>
      </c>
      <c r="Q1333" s="6" t="str">
        <f>IFERROR(__xludf.DUMMYFUNCTION("""COMPUTED_VALUE"""),"technical")</f>
        <v>technical</v>
      </c>
      <c r="S1333" s="6" t="str">
        <f>IFERROR(__xludf.DUMMYFUNCTION("""COMPUTED_VALUE"""),"alien")</f>
        <v>alien</v>
      </c>
    </row>
    <row r="1334">
      <c r="B1334" s="6"/>
      <c r="D1334" s="6"/>
      <c r="G1334" s="6" t="str">
        <f>IFERROR(__xludf.DUMMYFUNCTION("""COMPUTED_VALUE"""),"liability")</f>
        <v>liability</v>
      </c>
      <c r="H1334" s="6" t="str">
        <f>IFERROR(__xludf.DUMMYFUNCTION("""COMPUTED_VALUE"""),"pollution")</f>
        <v>pollution</v>
      </c>
      <c r="I1334" s="6"/>
      <c r="J1334" s="6" t="str">
        <f>IFERROR(__xludf.DUMMYFUNCTION("""COMPUTED_VALUE"""),"forster")</f>
        <v>forster</v>
      </c>
      <c r="L1334" s="6" t="str">
        <f>IFERROR(__xludf.DUMMYFUNCTION("""COMPUTED_VALUE"""),"heightened")</f>
        <v>heightened</v>
      </c>
      <c r="M1334" s="6" t="str">
        <f>IFERROR(__xludf.DUMMYFUNCTION("""COMPUTED_VALUE"""),"knees")</f>
        <v>knees</v>
      </c>
      <c r="N1334" s="6" t="str">
        <f>IFERROR(__xludf.DUMMYFUNCTION("""COMPUTED_VALUE"""),"recording")</f>
        <v>recording</v>
      </c>
      <c r="P1334" s="6">
        <f>IFERROR(__xludf.DUMMYFUNCTION("""COMPUTED_VALUE"""),1938.0)</f>
        <v>1938</v>
      </c>
      <c r="Q1334" s="6" t="str">
        <f>IFERROR(__xludf.DUMMYFUNCTION("""COMPUTED_VALUE"""),"contradiction")</f>
        <v>contradiction</v>
      </c>
      <c r="S1334" s="6" t="str">
        <f>IFERROR(__xludf.DUMMYFUNCTION("""COMPUTED_VALUE"""),"substantial")</f>
        <v>substantial</v>
      </c>
    </row>
    <row r="1335">
      <c r="B1335" s="6"/>
      <c r="D1335" s="6"/>
      <c r="G1335" s="6" t="str">
        <f>IFERROR(__xludf.DUMMYFUNCTION("""COMPUTED_VALUE"""),"tackled")</f>
        <v>tackled</v>
      </c>
      <c r="H1335" s="6" t="str">
        <f>IFERROR(__xludf.DUMMYFUNCTION("""COMPUTED_VALUE"""),"achieving")</f>
        <v>achieving</v>
      </c>
      <c r="I1335" s="6"/>
      <c r="J1335" s="6" t="str">
        <f>IFERROR(__xludf.DUMMYFUNCTION("""COMPUTED_VALUE"""),"vin")</f>
        <v>vin</v>
      </c>
      <c r="L1335" s="6" t="str">
        <f>IFERROR(__xludf.DUMMYFUNCTION("""COMPUTED_VALUE"""),"cheat")</f>
        <v>cheat</v>
      </c>
      <c r="M1335" s="6" t="str">
        <f>IFERROR(__xludf.DUMMYFUNCTION("""COMPUTED_VALUE"""),"ad")</f>
        <v>ad</v>
      </c>
      <c r="N1335" s="6" t="str">
        <f>IFERROR(__xludf.DUMMYFUNCTION("""COMPUTED_VALUE"""),"pedestal")</f>
        <v>pedestal</v>
      </c>
      <c r="P1335" s="6" t="str">
        <f>IFERROR(__xludf.DUMMYFUNCTION("""COMPUTED_VALUE"""),"nicolas")</f>
        <v>nicolas</v>
      </c>
      <c r="Q1335" s="6" t="str">
        <f>IFERROR(__xludf.DUMMYFUNCTION("""COMPUTED_VALUE"""),"searing")</f>
        <v>searing</v>
      </c>
      <c r="S1335" s="6" t="str">
        <f>IFERROR(__xludf.DUMMYFUNCTION("""COMPUTED_VALUE"""),"oliver")</f>
        <v>oliver</v>
      </c>
    </row>
    <row r="1336">
      <c r="B1336" s="6"/>
      <c r="D1336" s="6"/>
      <c r="G1336" s="6" t="str">
        <f>IFERROR(__xludf.DUMMYFUNCTION("""COMPUTED_VALUE"""),"organizing")</f>
        <v>organizing</v>
      </c>
      <c r="H1336" s="6" t="str">
        <f>IFERROR(__xludf.DUMMYFUNCTION("""COMPUTED_VALUE"""),"sorrow")</f>
        <v>sorrow</v>
      </c>
      <c r="I1336" s="6"/>
      <c r="J1336" s="6" t="str">
        <f>IFERROR(__xludf.DUMMYFUNCTION("""COMPUTED_VALUE"""),"furiously")</f>
        <v>furiously</v>
      </c>
      <c r="L1336" s="6" t="str">
        <f>IFERROR(__xludf.DUMMYFUNCTION("""COMPUTED_VALUE"""),"comedian")</f>
        <v>comedian</v>
      </c>
      <c r="M1336" s="6" t="str">
        <f>IFERROR(__xludf.DUMMYFUNCTION("""COMPUTED_VALUE"""),"shanghai")</f>
        <v>shanghai</v>
      </c>
      <c r="N1336" s="6" t="str">
        <f>IFERROR(__xludf.DUMMYFUNCTION("""COMPUTED_VALUE"""),"exchanges")</f>
        <v>exchanges</v>
      </c>
      <c r="P1336" s="6" t="str">
        <f>IFERROR(__xludf.DUMMYFUNCTION("""COMPUTED_VALUE"""),"cage")</f>
        <v>cage</v>
      </c>
      <c r="Q1336" s="6" t="str">
        <f>IFERROR(__xludf.DUMMYFUNCTION("""COMPUTED_VALUE"""),"letting")</f>
        <v>letting</v>
      </c>
      <c r="S1336" s="6" t="str">
        <f>IFERROR(__xludf.DUMMYFUNCTION("""COMPUTED_VALUE"""),"lens")</f>
        <v>lens</v>
      </c>
    </row>
    <row r="1337">
      <c r="B1337" s="6"/>
      <c r="D1337" s="6"/>
      <c r="G1337" s="6" t="str">
        <f>IFERROR(__xludf.DUMMYFUNCTION("""COMPUTED_VALUE"""),"developments")</f>
        <v>developments</v>
      </c>
      <c r="H1337" s="6" t="str">
        <f>IFERROR(__xludf.DUMMYFUNCTION("""COMPUTED_VALUE"""),"intensely")</f>
        <v>intensely</v>
      </c>
      <c r="I1337" s="6"/>
      <c r="J1337" s="6" t="str">
        <f>IFERROR(__xludf.DUMMYFUNCTION("""COMPUTED_VALUE"""),"banged")</f>
        <v>banged</v>
      </c>
      <c r="L1337" s="6" t="str">
        <f>IFERROR(__xludf.DUMMYFUNCTION("""COMPUTED_VALUE"""),"dover")</f>
        <v>dover</v>
      </c>
      <c r="M1337" s="6" t="str">
        <f>IFERROR(__xludf.DUMMYFUNCTION("""COMPUTED_VALUE"""),"corruption")</f>
        <v>corruption</v>
      </c>
      <c r="N1337" s="6" t="str">
        <f>IFERROR(__xludf.DUMMYFUNCTION("""COMPUTED_VALUE"""),"unexpectedly")</f>
        <v>unexpectedly</v>
      </c>
      <c r="P1337" s="6" t="str">
        <f>IFERROR(__xludf.DUMMYFUNCTION("""COMPUTED_VALUE"""),"phenomenon")</f>
        <v>phenomenon</v>
      </c>
      <c r="Q1337" s="6" t="str">
        <f>IFERROR(__xludf.DUMMYFUNCTION("""COMPUTED_VALUE"""),"fearless")</f>
        <v>fearless</v>
      </c>
      <c r="S1337" s="6" t="str">
        <f>IFERROR(__xludf.DUMMYFUNCTION("""COMPUTED_VALUE"""),"dressed")</f>
        <v>dressed</v>
      </c>
    </row>
    <row r="1338">
      <c r="B1338" s="6"/>
      <c r="D1338" s="6"/>
      <c r="G1338" s="6" t="str">
        <f>IFERROR(__xludf.DUMMYFUNCTION("""COMPUTED_VALUE"""),"discussion")</f>
        <v>discussion</v>
      </c>
      <c r="H1338" s="6" t="str">
        <f>IFERROR(__xludf.DUMMYFUNCTION("""COMPUTED_VALUE"""),"glucose")</f>
        <v>glucose</v>
      </c>
      <c r="I1338" s="6"/>
      <c r="J1338" s="6" t="str">
        <f>IFERROR(__xludf.DUMMYFUNCTION("""COMPUTED_VALUE"""),"screenings")</f>
        <v>screenings</v>
      </c>
      <c r="L1338" s="6" t="str">
        <f>IFERROR(__xludf.DUMMYFUNCTION("""COMPUTED_VALUE"""),"adrenaline")</f>
        <v>adrenaline</v>
      </c>
      <c r="M1338" s="6" t="str">
        <f>IFERROR(__xludf.DUMMYFUNCTION("""COMPUTED_VALUE"""),"fights")</f>
        <v>fights</v>
      </c>
      <c r="N1338" s="6" t="str">
        <f>IFERROR(__xludf.DUMMYFUNCTION("""COMPUTED_VALUE"""),"precisely")</f>
        <v>precisely</v>
      </c>
      <c r="P1338" s="6" t="str">
        <f>IFERROR(__xludf.DUMMYFUNCTION("""COMPUTED_VALUE"""),"diary")</f>
        <v>diary</v>
      </c>
      <c r="Q1338" s="6" t="str">
        <f>IFERROR(__xludf.DUMMYFUNCTION("""COMPUTED_VALUE"""),"carved")</f>
        <v>carved</v>
      </c>
      <c r="S1338" s="6" t="str">
        <f>IFERROR(__xludf.DUMMYFUNCTION("""COMPUTED_VALUE"""),"exposition")</f>
        <v>exposition</v>
      </c>
    </row>
    <row r="1339">
      <c r="B1339" s="6"/>
      <c r="D1339" s="6"/>
      <c r="G1339" s="6" t="str">
        <f>IFERROR(__xludf.DUMMYFUNCTION("""COMPUTED_VALUE"""),"experiment")</f>
        <v>experiment</v>
      </c>
      <c r="H1339" s="6" t="str">
        <f>IFERROR(__xludf.DUMMYFUNCTION("""COMPUTED_VALUE"""),"revelation")</f>
        <v>revelation</v>
      </c>
      <c r="I1339" s="6"/>
      <c r="J1339" s="6" t="str">
        <f>IFERROR(__xludf.DUMMYFUNCTION("""COMPUTED_VALUE"""),"canon")</f>
        <v>canon</v>
      </c>
      <c r="L1339" s="6" t="str">
        <f>IFERROR(__xludf.DUMMYFUNCTION("""COMPUTED_VALUE"""),"scripts")</f>
        <v>scripts</v>
      </c>
      <c r="M1339" s="6" t="str">
        <f>IFERROR(__xludf.DUMMYFUNCTION("""COMPUTED_VALUE"""),"dialogue")</f>
        <v>dialogue</v>
      </c>
      <c r="N1339" s="6" t="str">
        <f>IFERROR(__xludf.DUMMYFUNCTION("""COMPUTED_VALUE"""),"clumsy")</f>
        <v>clumsy</v>
      </c>
      <c r="P1339" s="6" t="str">
        <f>IFERROR(__xludf.DUMMYFUNCTION("""COMPUTED_VALUE"""),"key")</f>
        <v>key</v>
      </c>
      <c r="Q1339" s="6" t="str">
        <f>IFERROR(__xludf.DUMMYFUNCTION("""COMPUTED_VALUE"""),"niche")</f>
        <v>niche</v>
      </c>
      <c r="S1339" s="6" t="str">
        <f>IFERROR(__xludf.DUMMYFUNCTION("""COMPUTED_VALUE"""),"losing")</f>
        <v>losing</v>
      </c>
    </row>
    <row r="1340">
      <c r="B1340" s="6"/>
      <c r="D1340" s="6"/>
      <c r="G1340" s="6" t="str">
        <f>IFERROR(__xludf.DUMMYFUNCTION("""COMPUTED_VALUE"""),"myrtle")</f>
        <v>myrtle</v>
      </c>
      <c r="H1340" s="6" t="str">
        <f>IFERROR(__xludf.DUMMYFUNCTION("""COMPUTED_VALUE"""),"atmospheric")</f>
        <v>atmospheric</v>
      </c>
      <c r="I1340" s="6"/>
      <c r="J1340" s="6" t="str">
        <f>IFERROR(__xludf.DUMMYFUNCTION("""COMPUTED_VALUE"""),"grown")</f>
        <v>grown</v>
      </c>
      <c r="L1340" s="6" t="str">
        <f>IFERROR(__xludf.DUMMYFUNCTION("""COMPUTED_VALUE"""),"recording")</f>
        <v>recording</v>
      </c>
      <c r="M1340" s="6" t="str">
        <f>IFERROR(__xludf.DUMMYFUNCTION("""COMPUTED_VALUE"""),"examination")</f>
        <v>examination</v>
      </c>
      <c r="N1340" s="6" t="str">
        <f>IFERROR(__xludf.DUMMYFUNCTION("""COMPUTED_VALUE"""),"harmless")</f>
        <v>harmless</v>
      </c>
      <c r="P1340" s="6" t="str">
        <f>IFERROR(__xludf.DUMMYFUNCTION("""COMPUTED_VALUE"""),"murders")</f>
        <v>murders</v>
      </c>
      <c r="Q1340" s="6" t="str">
        <f>IFERROR(__xludf.DUMMYFUNCTION("""COMPUTED_VALUE"""),"slowly")</f>
        <v>slowly</v>
      </c>
      <c r="S1340" s="6" t="str">
        <f>IFERROR(__xludf.DUMMYFUNCTION("""COMPUTED_VALUE"""),"directly")</f>
        <v>directly</v>
      </c>
    </row>
    <row r="1341">
      <c r="B1341" s="6"/>
      <c r="D1341" s="6"/>
      <c r="G1341" s="6" t="str">
        <f>IFERROR(__xludf.DUMMYFUNCTION("""COMPUTED_VALUE"""),"ninth")</f>
        <v>ninth</v>
      </c>
      <c r="H1341" s="6" t="str">
        <f>IFERROR(__xludf.DUMMYFUNCTION("""COMPUTED_VALUE"""),"horizons")</f>
        <v>horizons</v>
      </c>
      <c r="I1341" s="6"/>
      <c r="J1341" s="6" t="str">
        <f>IFERROR(__xludf.DUMMYFUNCTION("""COMPUTED_VALUE"""),"flesh")</f>
        <v>flesh</v>
      </c>
      <c r="L1341" s="6" t="str">
        <f>IFERROR(__xludf.DUMMYFUNCTION("""COMPUTED_VALUE"""),"carmen")</f>
        <v>carmen</v>
      </c>
      <c r="M1341" s="6" t="str">
        <f>IFERROR(__xludf.DUMMYFUNCTION("""COMPUTED_VALUE"""),"equation")</f>
        <v>equation</v>
      </c>
      <c r="N1341" s="6" t="str">
        <f>IFERROR(__xludf.DUMMYFUNCTION("""COMPUTED_VALUE"""),"coping")</f>
        <v>coping</v>
      </c>
      <c r="P1341" s="6" t="str">
        <f>IFERROR(__xludf.DUMMYFUNCTION("""COMPUTED_VALUE"""),"serial")</f>
        <v>serial</v>
      </c>
      <c r="Q1341" s="6" t="str">
        <f>IFERROR(__xludf.DUMMYFUNCTION("""COMPUTED_VALUE"""),"sophomore")</f>
        <v>sophomore</v>
      </c>
      <c r="S1341" s="6" t="str">
        <f>IFERROR(__xludf.DUMMYFUNCTION("""COMPUTED_VALUE"""),"chemistry")</f>
        <v>chemistry</v>
      </c>
    </row>
    <row r="1342">
      <c r="B1342" s="6"/>
      <c r="D1342" s="6"/>
      <c r="G1342" s="6" t="str">
        <f>IFERROR(__xludf.DUMMYFUNCTION("""COMPUTED_VALUE"""),"cheered")</f>
        <v>cheered</v>
      </c>
      <c r="H1342" s="6" t="str">
        <f>IFERROR(__xludf.DUMMYFUNCTION("""COMPUTED_VALUE"""),"boredom")</f>
        <v>boredom</v>
      </c>
      <c r="I1342" s="6"/>
      <c r="J1342" s="6" t="str">
        <f>IFERROR(__xludf.DUMMYFUNCTION("""COMPUTED_VALUE"""),"capturing")</f>
        <v>capturing</v>
      </c>
      <c r="L1342" s="6" t="str">
        <f>IFERROR(__xludf.DUMMYFUNCTION("""COMPUTED_VALUE"""),"document")</f>
        <v>document</v>
      </c>
      <c r="M1342" s="6" t="str">
        <f>IFERROR(__xludf.DUMMYFUNCTION("""COMPUTED_VALUE"""),"pursued")</f>
        <v>pursued</v>
      </c>
      <c r="N1342" s="6" t="str">
        <f>IFERROR(__xludf.DUMMYFUNCTION("""COMPUTED_VALUE"""),"swiftly")</f>
        <v>swiftly</v>
      </c>
      <c r="P1342" s="6" t="str">
        <f>IFERROR(__xludf.DUMMYFUNCTION("""COMPUTED_VALUE"""),"breathing")</f>
        <v>breathing</v>
      </c>
      <c r="Q1342" s="6" t="str">
        <f>IFERROR(__xludf.DUMMYFUNCTION("""COMPUTED_VALUE"""),"slump")</f>
        <v>slump</v>
      </c>
      <c r="S1342" s="6" t="str">
        <f>IFERROR(__xludf.DUMMYFUNCTION("""COMPUTED_VALUE"""),"ralph")</f>
        <v>ralph</v>
      </c>
    </row>
    <row r="1343">
      <c r="B1343" s="6"/>
      <c r="D1343" s="6"/>
      <c r="G1343" s="6" t="str">
        <f>IFERROR(__xludf.DUMMYFUNCTION("""COMPUTED_VALUE"""),"bluff")</f>
        <v>bluff</v>
      </c>
      <c r="H1343" s="6" t="str">
        <f>IFERROR(__xludf.DUMMYFUNCTION("""COMPUTED_VALUE"""),"insistence")</f>
        <v>insistence</v>
      </c>
      <c r="I1343" s="6"/>
      <c r="J1343" s="6" t="str">
        <f>IFERROR(__xludf.DUMMYFUNCTION("""COMPUTED_VALUE"""),"fantasies")</f>
        <v>fantasies</v>
      </c>
      <c r="L1343" s="6" t="str">
        <f>IFERROR(__xludf.DUMMYFUNCTION("""COMPUTED_VALUE"""),"exchanges")</f>
        <v>exchanges</v>
      </c>
      <c r="M1343" s="6" t="str">
        <f>IFERROR(__xludf.DUMMYFUNCTION("""COMPUTED_VALUE"""),"witnesses")</f>
        <v>witnesses</v>
      </c>
      <c r="N1343" s="6" t="str">
        <f>IFERROR(__xludf.DUMMYFUNCTION("""COMPUTED_VALUE"""),"satin")</f>
        <v>satin</v>
      </c>
      <c r="P1343" s="6" t="str">
        <f>IFERROR(__xludf.DUMMYFUNCTION("""COMPUTED_VALUE"""),"embrace")</f>
        <v>embrace</v>
      </c>
      <c r="Q1343" s="6" t="str">
        <f>IFERROR(__xludf.DUMMYFUNCTION("""COMPUTED_VALUE"""),"tug")</f>
        <v>tug</v>
      </c>
      <c r="S1343" s="6" t="str">
        <f>IFERROR(__xludf.DUMMYFUNCTION("""COMPUTED_VALUE"""),"dawn")</f>
        <v>dawn</v>
      </c>
    </row>
    <row r="1344">
      <c r="B1344" s="6"/>
      <c r="D1344" s="6"/>
      <c r="G1344" s="6" t="str">
        <f>IFERROR(__xludf.DUMMYFUNCTION("""COMPUTED_VALUE"""),"harvey")</f>
        <v>harvey</v>
      </c>
      <c r="H1344" s="6" t="str">
        <f>IFERROR(__xludf.DUMMYFUNCTION("""COMPUTED_VALUE"""),"accurately")</f>
        <v>accurately</v>
      </c>
      <c r="I1344" s="6"/>
      <c r="J1344" s="6" t="str">
        <f>IFERROR(__xludf.DUMMYFUNCTION("""COMPUTED_VALUE"""),"illness")</f>
        <v>illness</v>
      </c>
      <c r="L1344" s="6" t="str">
        <f>IFERROR(__xludf.DUMMYFUNCTION("""COMPUTED_VALUE"""),"hastily")</f>
        <v>hastily</v>
      </c>
      <c r="M1344" s="6" t="str">
        <f>IFERROR(__xludf.DUMMYFUNCTION("""COMPUTED_VALUE"""),"credits")</f>
        <v>credits</v>
      </c>
      <c r="N1344" s="6" t="str">
        <f>IFERROR(__xludf.DUMMYFUNCTION("""COMPUTED_VALUE"""),"betrayed")</f>
        <v>betrayed</v>
      </c>
      <c r="P1344" s="6" t="str">
        <f>IFERROR(__xludf.DUMMYFUNCTION("""COMPUTED_VALUE"""),"media")</f>
        <v>media</v>
      </c>
      <c r="Q1344" s="6" t="str">
        <f>IFERROR(__xludf.DUMMYFUNCTION("""COMPUTED_VALUE"""),"gender")</f>
        <v>gender</v>
      </c>
      <c r="S1344" s="6" t="str">
        <f>IFERROR(__xludf.DUMMYFUNCTION("""COMPUTED_VALUE"""),"meaning")</f>
        <v>meaning</v>
      </c>
    </row>
    <row r="1345">
      <c r="B1345" s="6"/>
      <c r="D1345" s="6"/>
      <c r="G1345" s="6" t="str">
        <f>IFERROR(__xludf.DUMMYFUNCTION("""COMPUTED_VALUE"""),"interrogation")</f>
        <v>interrogation</v>
      </c>
      <c r="H1345" s="6" t="str">
        <f>IFERROR(__xludf.DUMMYFUNCTION("""COMPUTED_VALUE"""),"turmoil")</f>
        <v>turmoil</v>
      </c>
      <c r="I1345" s="6"/>
      <c r="J1345" s="6" t="str">
        <f>IFERROR(__xludf.DUMMYFUNCTION("""COMPUTED_VALUE"""),"metaphysical")</f>
        <v>metaphysical</v>
      </c>
      <c r="L1345" s="6" t="str">
        <f>IFERROR(__xludf.DUMMYFUNCTION("""COMPUTED_VALUE"""),"unexpectedly")</f>
        <v>unexpectedly</v>
      </c>
      <c r="M1345" s="6" t="str">
        <f>IFERROR(__xludf.DUMMYFUNCTION("""COMPUTED_VALUE"""),"ford")</f>
        <v>ford</v>
      </c>
      <c r="N1345" s="6" t="str">
        <f>IFERROR(__xludf.DUMMYFUNCTION("""COMPUTED_VALUE"""),"limitations")</f>
        <v>limitations</v>
      </c>
      <c r="P1345" s="6" t="str">
        <f>IFERROR(__xludf.DUMMYFUNCTION("""COMPUTED_VALUE"""),"forum")</f>
        <v>forum</v>
      </c>
      <c r="Q1345" s="6" t="str">
        <f>IFERROR(__xludf.DUMMYFUNCTION("""COMPUTED_VALUE"""),"1940s")</f>
        <v>1940s</v>
      </c>
      <c r="S1345" s="6" t="str">
        <f>IFERROR(__xludf.DUMMYFUNCTION("""COMPUTED_VALUE"""),"control")</f>
        <v>control</v>
      </c>
    </row>
    <row r="1346">
      <c r="B1346" s="6"/>
      <c r="D1346" s="6"/>
      <c r="G1346" s="6" t="str">
        <f>IFERROR(__xludf.DUMMYFUNCTION("""COMPUTED_VALUE"""),"scooped")</f>
        <v>scooped</v>
      </c>
      <c r="H1346" s="6">
        <f>IFERROR(__xludf.DUMMYFUNCTION("""COMPUTED_VALUE"""),83.0)</f>
        <v>83</v>
      </c>
      <c r="I1346" s="6"/>
      <c r="J1346" s="6" t="str">
        <f>IFERROR(__xludf.DUMMYFUNCTION("""COMPUTED_VALUE"""),"collectively")</f>
        <v>collectively</v>
      </c>
      <c r="L1346" s="6" t="str">
        <f>IFERROR(__xludf.DUMMYFUNCTION("""COMPUTED_VALUE"""),"emergence")</f>
        <v>emergence</v>
      </c>
      <c r="M1346" s="6" t="str">
        <f>IFERROR(__xludf.DUMMYFUNCTION("""COMPUTED_VALUE"""),"millions")</f>
        <v>millions</v>
      </c>
      <c r="N1346" s="6" t="str">
        <f>IFERROR(__xludf.DUMMYFUNCTION("""COMPUTED_VALUE"""),"introduces")</f>
        <v>introduces</v>
      </c>
      <c r="P1346" s="6" t="str">
        <f>IFERROR(__xludf.DUMMYFUNCTION("""COMPUTED_VALUE"""),"breaking")</f>
        <v>breaking</v>
      </c>
      <c r="Q1346" s="6" t="str">
        <f>IFERROR(__xludf.DUMMYFUNCTION("""COMPUTED_VALUE"""),"70s")</f>
        <v>70s</v>
      </c>
      <c r="S1346" s="6" t="str">
        <f>IFERROR(__xludf.DUMMYFUNCTION("""COMPUTED_VALUE"""),"patch")</f>
        <v>patch</v>
      </c>
    </row>
    <row r="1347">
      <c r="B1347" s="6"/>
      <c r="D1347" s="6"/>
      <c r="G1347" s="6" t="str">
        <f>IFERROR(__xludf.DUMMYFUNCTION("""COMPUTED_VALUE"""),"humming")</f>
        <v>humming</v>
      </c>
      <c r="H1347" s="6" t="str">
        <f>IFERROR(__xludf.DUMMYFUNCTION("""COMPUTED_VALUE"""),"hartley")</f>
        <v>hartley</v>
      </c>
      <c r="I1347" s="6"/>
      <c r="J1347" s="6" t="str">
        <f>IFERROR(__xludf.DUMMYFUNCTION("""COMPUTED_VALUE"""),"echoes")</f>
        <v>echoes</v>
      </c>
      <c r="L1347" s="6" t="str">
        <f>IFERROR(__xludf.DUMMYFUNCTION("""COMPUTED_VALUE"""),"precisely")</f>
        <v>precisely</v>
      </c>
      <c r="M1347" s="6" t="str">
        <f>IFERROR(__xludf.DUMMYFUNCTION("""COMPUTED_VALUE"""),"touching")</f>
        <v>touching</v>
      </c>
      <c r="N1347" s="6" t="str">
        <f>IFERROR(__xludf.DUMMYFUNCTION("""COMPUTED_VALUE"""),"hampered")</f>
        <v>hampered</v>
      </c>
      <c r="P1347" s="6" t="str">
        <f>IFERROR(__xludf.DUMMYFUNCTION("""COMPUTED_VALUE"""),"tenor")</f>
        <v>tenor</v>
      </c>
      <c r="Q1347" s="6" t="str">
        <f>IFERROR(__xludf.DUMMYFUNCTION("""COMPUTED_VALUE"""),"prophet")</f>
        <v>prophet</v>
      </c>
      <c r="S1347" s="6" t="str">
        <f>IFERROR(__xludf.DUMMYFUNCTION("""COMPUTED_VALUE"""),"bruce")</f>
        <v>bruce</v>
      </c>
    </row>
    <row r="1348">
      <c r="B1348" s="6"/>
      <c r="D1348" s="6"/>
      <c r="G1348" s="6" t="str">
        <f>IFERROR(__xludf.DUMMYFUNCTION("""COMPUTED_VALUE"""),"crossroads")</f>
        <v>crossroads</v>
      </c>
      <c r="H1348" s="6" t="str">
        <f>IFERROR(__xludf.DUMMYFUNCTION("""COMPUTED_VALUE"""),"reminder")</f>
        <v>reminder</v>
      </c>
      <c r="I1348" s="6"/>
      <c r="J1348" s="6" t="str">
        <f>IFERROR(__xludf.DUMMYFUNCTION("""COMPUTED_VALUE"""),"canadians")</f>
        <v>canadians</v>
      </c>
      <c r="L1348" s="6" t="str">
        <f>IFERROR(__xludf.DUMMYFUNCTION("""COMPUTED_VALUE"""),"edward")</f>
        <v>edward</v>
      </c>
      <c r="M1348" s="6" t="str">
        <f>IFERROR(__xludf.DUMMYFUNCTION("""COMPUTED_VALUE"""),"assignment")</f>
        <v>assignment</v>
      </c>
      <c r="N1348" s="6" t="str">
        <f>IFERROR(__xludf.DUMMYFUNCTION("""COMPUTED_VALUE"""),"improvisation")</f>
        <v>improvisation</v>
      </c>
      <c r="P1348" s="6" t="str">
        <f>IFERROR(__xludf.DUMMYFUNCTION("""COMPUTED_VALUE"""),"debate")</f>
        <v>debate</v>
      </c>
      <c r="Q1348" s="6" t="str">
        <f>IFERROR(__xludf.DUMMYFUNCTION("""COMPUTED_VALUE"""),"conflict")</f>
        <v>conflict</v>
      </c>
      <c r="S1348" s="6" t="str">
        <f>IFERROR(__xludf.DUMMYFUNCTION("""COMPUTED_VALUE"""),"win")</f>
        <v>win</v>
      </c>
    </row>
    <row r="1349">
      <c r="B1349" s="6"/>
      <c r="D1349" s="6"/>
      <c r="G1349" s="6" t="str">
        <f>IFERROR(__xludf.DUMMYFUNCTION("""COMPUTED_VALUE"""),"clash")</f>
        <v>clash</v>
      </c>
      <c r="H1349" s="6" t="str">
        <f>IFERROR(__xludf.DUMMYFUNCTION("""COMPUTED_VALUE"""),"significance")</f>
        <v>significance</v>
      </c>
      <c r="I1349" s="6"/>
      <c r="J1349" s="6" t="str">
        <f>IFERROR(__xludf.DUMMYFUNCTION("""COMPUTED_VALUE"""),"calculated")</f>
        <v>calculated</v>
      </c>
      <c r="L1349" s="6" t="str">
        <f>IFERROR(__xludf.DUMMYFUNCTION("""COMPUTED_VALUE"""),"intellectuals")</f>
        <v>intellectuals</v>
      </c>
      <c r="M1349" s="6" t="str">
        <f>IFERROR(__xludf.DUMMYFUNCTION("""COMPUTED_VALUE"""),"gain")</f>
        <v>gain</v>
      </c>
      <c r="N1349" s="6" t="str">
        <f>IFERROR(__xludf.DUMMYFUNCTION("""COMPUTED_VALUE"""),"argentine")</f>
        <v>argentine</v>
      </c>
      <c r="P1349" s="6" t="str">
        <f>IFERROR(__xludf.DUMMYFUNCTION("""COMPUTED_VALUE"""),"wind")</f>
        <v>wind</v>
      </c>
      <c r="Q1349" s="6" t="str">
        <f>IFERROR(__xludf.DUMMYFUNCTION("""COMPUTED_VALUE"""),"vital")</f>
        <v>vital</v>
      </c>
      <c r="S1349" s="6" t="str">
        <f>IFERROR(__xludf.DUMMYFUNCTION("""COMPUTED_VALUE"""),"numbers")</f>
        <v>numbers</v>
      </c>
    </row>
    <row r="1350">
      <c r="B1350" s="6"/>
      <c r="D1350" s="6"/>
      <c r="G1350" s="6" t="str">
        <f>IFERROR(__xludf.DUMMYFUNCTION("""COMPUTED_VALUE"""),"prolific")</f>
        <v>prolific</v>
      </c>
      <c r="H1350" s="6" t="str">
        <f>IFERROR(__xludf.DUMMYFUNCTION("""COMPUTED_VALUE"""),"anarchist")</f>
        <v>anarchist</v>
      </c>
      <c r="I1350" s="6"/>
      <c r="J1350" s="6" t="str">
        <f>IFERROR(__xludf.DUMMYFUNCTION("""COMPUTED_VALUE"""),"rally")</f>
        <v>rally</v>
      </c>
      <c r="L1350" s="6" t="str">
        <f>IFERROR(__xludf.DUMMYFUNCTION("""COMPUTED_VALUE"""),"clumsy")</f>
        <v>clumsy</v>
      </c>
      <c r="M1350" s="6" t="str">
        <f>IFERROR(__xludf.DUMMYFUNCTION("""COMPUTED_VALUE"""),"critics")</f>
        <v>critics</v>
      </c>
      <c r="N1350" s="6" t="str">
        <f>IFERROR(__xludf.DUMMYFUNCTION("""COMPUTED_VALUE"""),"musicians")</f>
        <v>musicians</v>
      </c>
      <c r="P1350" s="6" t="str">
        <f>IFERROR(__xludf.DUMMYFUNCTION("""COMPUTED_VALUE"""),"molly")</f>
        <v>molly</v>
      </c>
      <c r="Q1350" s="6" t="str">
        <f>IFERROR(__xludf.DUMMYFUNCTION("""COMPUTED_VALUE"""),"recalls")</f>
        <v>recalls</v>
      </c>
      <c r="S1350" s="6" t="str">
        <f>IFERROR(__xludf.DUMMYFUNCTION("""COMPUTED_VALUE"""),"recognized")</f>
        <v>recognized</v>
      </c>
    </row>
    <row r="1351">
      <c r="B1351" s="6"/>
      <c r="D1351" s="6"/>
      <c r="G1351" s="6" t="str">
        <f>IFERROR(__xludf.DUMMYFUNCTION("""COMPUTED_VALUE"""),"lunar")</f>
        <v>lunar</v>
      </c>
      <c r="H1351" s="6" t="str">
        <f>IFERROR(__xludf.DUMMYFUNCTION("""COMPUTED_VALUE"""),"seductive")</f>
        <v>seductive</v>
      </c>
      <c r="I1351" s="6"/>
      <c r="J1351" s="6" t="str">
        <f>IFERROR(__xludf.DUMMYFUNCTION("""COMPUTED_VALUE"""),"psychotic")</f>
        <v>psychotic</v>
      </c>
      <c r="L1351" s="6" t="str">
        <f>IFERROR(__xludf.DUMMYFUNCTION("""COMPUTED_VALUE"""),"harmless")</f>
        <v>harmless</v>
      </c>
      <c r="M1351" s="6" t="str">
        <f>IFERROR(__xludf.DUMMYFUNCTION("""COMPUTED_VALUE"""),"swim")</f>
        <v>swim</v>
      </c>
      <c r="N1351" s="6" t="str">
        <f>IFERROR(__xludf.DUMMYFUNCTION("""COMPUTED_VALUE"""),"aspirations")</f>
        <v>aspirations</v>
      </c>
      <c r="P1351" s="6" t="str">
        <f>IFERROR(__xludf.DUMMYFUNCTION("""COMPUTED_VALUE"""),"successor")</f>
        <v>successor</v>
      </c>
      <c r="Q1351" s="6" t="str">
        <f>IFERROR(__xludf.DUMMYFUNCTION("""COMPUTED_VALUE"""),"sweetly")</f>
        <v>sweetly</v>
      </c>
      <c r="S1351" s="6" t="str">
        <f>IFERROR(__xludf.DUMMYFUNCTION("""COMPUTED_VALUE"""),"pronounced")</f>
        <v>pronounced</v>
      </c>
    </row>
    <row r="1352">
      <c r="B1352" s="6"/>
      <c r="D1352" s="6"/>
      <c r="G1352" s="6" t="str">
        <f>IFERROR(__xludf.DUMMYFUNCTION("""COMPUTED_VALUE"""),"emergence")</f>
        <v>emergence</v>
      </c>
      <c r="H1352" s="6" t="str">
        <f>IFERROR(__xludf.DUMMYFUNCTION("""COMPUTED_VALUE"""),"meaningless")</f>
        <v>meaningless</v>
      </c>
      <c r="I1352" s="6"/>
      <c r="J1352" s="6" t="str">
        <f>IFERROR(__xludf.DUMMYFUNCTION("""COMPUTED_VALUE"""),"dimensions")</f>
        <v>dimensions</v>
      </c>
      <c r="L1352" s="6" t="str">
        <f>IFERROR(__xludf.DUMMYFUNCTION("""COMPUTED_VALUE"""),"coping")</f>
        <v>coping</v>
      </c>
      <c r="M1352" s="6" t="str">
        <f>IFERROR(__xludf.DUMMYFUNCTION("""COMPUTED_VALUE"""),"visual")</f>
        <v>visual</v>
      </c>
      <c r="N1352" s="6" t="str">
        <f>IFERROR(__xludf.DUMMYFUNCTION("""COMPUTED_VALUE"""),"willingness")</f>
        <v>willingness</v>
      </c>
      <c r="P1352" s="6" t="str">
        <f>IFERROR(__xludf.DUMMYFUNCTION("""COMPUTED_VALUE"""),"successfully")</f>
        <v>successfully</v>
      </c>
      <c r="Q1352" s="6" t="str">
        <f>IFERROR(__xludf.DUMMYFUNCTION("""COMPUTED_VALUE"""),"infectious")</f>
        <v>infectious</v>
      </c>
      <c r="S1352" s="6" t="str">
        <f>IFERROR(__xludf.DUMMYFUNCTION("""COMPUTED_VALUE"""),"garden")</f>
        <v>garden</v>
      </c>
    </row>
    <row r="1353">
      <c r="B1353" s="6"/>
      <c r="D1353" s="6"/>
      <c r="G1353" s="6">
        <f>IFERROR(__xludf.DUMMYFUNCTION("""COMPUTED_VALUE"""),1975.0)</f>
        <v>1975</v>
      </c>
      <c r="H1353" s="6" t="str">
        <f>IFERROR(__xludf.DUMMYFUNCTION("""COMPUTED_VALUE"""),"sink")</f>
        <v>sink</v>
      </c>
      <c r="I1353" s="6"/>
      <c r="J1353" s="6" t="str">
        <f>IFERROR(__xludf.DUMMYFUNCTION("""COMPUTED_VALUE"""),"devastation")</f>
        <v>devastation</v>
      </c>
      <c r="L1353" s="6" t="str">
        <f>IFERROR(__xludf.DUMMYFUNCTION("""COMPUTED_VALUE"""),"swiftly")</f>
        <v>swiftly</v>
      </c>
      <c r="M1353" s="6" t="str">
        <f>IFERROR(__xludf.DUMMYFUNCTION("""COMPUTED_VALUE"""),"mount")</f>
        <v>mount</v>
      </c>
      <c r="N1353" s="6" t="str">
        <f>IFERROR(__xludf.DUMMYFUNCTION("""COMPUTED_VALUE"""),"stretches")</f>
        <v>stretches</v>
      </c>
      <c r="P1353" s="6">
        <f>IFERROR(__xludf.DUMMYFUNCTION("""COMPUTED_VALUE"""),60.0)</f>
        <v>60</v>
      </c>
      <c r="Q1353" s="6" t="str">
        <f>IFERROR(__xludf.DUMMYFUNCTION("""COMPUTED_VALUE"""),"brooding")</f>
        <v>brooding</v>
      </c>
      <c r="S1353" s="6" t="str">
        <f>IFERROR(__xludf.DUMMYFUNCTION("""COMPUTED_VALUE"""),"fair")</f>
        <v>fair</v>
      </c>
    </row>
    <row r="1354">
      <c r="B1354" s="6"/>
      <c r="D1354" s="6"/>
      <c r="G1354" s="6" t="str">
        <f>IFERROR(__xludf.DUMMYFUNCTION("""COMPUTED_VALUE"""),"capability")</f>
        <v>capability</v>
      </c>
      <c r="H1354" s="6" t="str">
        <f>IFERROR(__xludf.DUMMYFUNCTION("""COMPUTED_VALUE"""),"bid")</f>
        <v>bid</v>
      </c>
      <c r="I1354" s="6"/>
      <c r="J1354" s="6" t="str">
        <f>IFERROR(__xludf.DUMMYFUNCTION("""COMPUTED_VALUE"""),"portraying")</f>
        <v>portraying</v>
      </c>
      <c r="L1354" s="6" t="str">
        <f>IFERROR(__xludf.DUMMYFUNCTION("""COMPUTED_VALUE"""),"satin")</f>
        <v>satin</v>
      </c>
      <c r="M1354" s="6" t="str">
        <f>IFERROR(__xludf.DUMMYFUNCTION("""COMPUTED_VALUE"""),"tourists")</f>
        <v>tourists</v>
      </c>
      <c r="N1354" s="6" t="str">
        <f>IFERROR(__xludf.DUMMYFUNCTION("""COMPUTED_VALUE"""),"keel")</f>
        <v>keel</v>
      </c>
      <c r="P1354" s="6" t="str">
        <f>IFERROR(__xludf.DUMMYFUNCTION("""COMPUTED_VALUE"""),"chest")</f>
        <v>chest</v>
      </c>
      <c r="Q1354" s="6" t="str">
        <f>IFERROR(__xludf.DUMMYFUNCTION("""COMPUTED_VALUE"""),"superhuman")</f>
        <v>superhuman</v>
      </c>
      <c r="S1354" s="6" t="str">
        <f>IFERROR(__xludf.DUMMYFUNCTION("""COMPUTED_VALUE"""),"shining")</f>
        <v>shining</v>
      </c>
    </row>
    <row r="1355">
      <c r="B1355" s="6"/>
      <c r="D1355" s="6"/>
      <c r="G1355" s="6" t="str">
        <f>IFERROR(__xludf.DUMMYFUNCTION("""COMPUTED_VALUE"""),"normally")</f>
        <v>normally</v>
      </c>
      <c r="H1355" s="6" t="str">
        <f>IFERROR(__xludf.DUMMYFUNCTION("""COMPUTED_VALUE"""),"detailed")</f>
        <v>detailed</v>
      </c>
      <c r="I1355" s="6"/>
      <c r="J1355" s="6" t="str">
        <f>IFERROR(__xludf.DUMMYFUNCTION("""COMPUTED_VALUE"""),"classification")</f>
        <v>classification</v>
      </c>
      <c r="L1355" s="6" t="str">
        <f>IFERROR(__xludf.DUMMYFUNCTION("""COMPUTED_VALUE"""),"betrayed")</f>
        <v>betrayed</v>
      </c>
      <c r="M1355" s="6" t="str">
        <f>IFERROR(__xludf.DUMMYFUNCTION("""COMPUTED_VALUE"""),"soldiers")</f>
        <v>soldiers</v>
      </c>
      <c r="N1355" s="6" t="str">
        <f>IFERROR(__xludf.DUMMYFUNCTION("""COMPUTED_VALUE"""),"innocent")</f>
        <v>innocent</v>
      </c>
      <c r="P1355" s="6" t="str">
        <f>IFERROR(__xludf.DUMMYFUNCTION("""COMPUTED_VALUE"""),"rap")</f>
        <v>rap</v>
      </c>
      <c r="Q1355" s="6" t="str">
        <f>IFERROR(__xludf.DUMMYFUNCTION("""COMPUTED_VALUE"""),"withstand")</f>
        <v>withstand</v>
      </c>
      <c r="S1355" s="6" t="str">
        <f>IFERROR(__xludf.DUMMYFUNCTION("""COMPUTED_VALUE"""),"drawing")</f>
        <v>drawing</v>
      </c>
    </row>
    <row r="1356">
      <c r="B1356" s="6"/>
      <c r="D1356" s="6"/>
      <c r="G1356" s="6" t="str">
        <f>IFERROR(__xludf.DUMMYFUNCTION("""COMPUTED_VALUE"""),"sources")</f>
        <v>sources</v>
      </c>
      <c r="H1356" s="6" t="str">
        <f>IFERROR(__xludf.DUMMYFUNCTION("""COMPUTED_VALUE"""),"documentaries")</f>
        <v>documentaries</v>
      </c>
      <c r="I1356" s="6"/>
      <c r="J1356" s="6" t="str">
        <f>IFERROR(__xludf.DUMMYFUNCTION("""COMPUTED_VALUE"""),"revenge")</f>
        <v>revenge</v>
      </c>
      <c r="L1356" s="6" t="str">
        <f>IFERROR(__xludf.DUMMYFUNCTION("""COMPUTED_VALUE"""),"limitations")</f>
        <v>limitations</v>
      </c>
      <c r="M1356" s="6" t="str">
        <f>IFERROR(__xludf.DUMMYFUNCTION("""COMPUTED_VALUE"""),"wars")</f>
        <v>wars</v>
      </c>
      <c r="N1356" s="6" t="str">
        <f>IFERROR(__xludf.DUMMYFUNCTION("""COMPUTED_VALUE"""),"brink")</f>
        <v>brink</v>
      </c>
      <c r="P1356" s="6" t="str">
        <f>IFERROR(__xludf.DUMMYFUNCTION("""COMPUTED_VALUE"""),"promotion")</f>
        <v>promotion</v>
      </c>
      <c r="Q1356" s="6" t="str">
        <f>IFERROR(__xludf.DUMMYFUNCTION("""COMPUTED_VALUE"""),"capacity")</f>
        <v>capacity</v>
      </c>
      <c r="S1356" s="6" t="str">
        <f>IFERROR(__xludf.DUMMYFUNCTION("""COMPUTED_VALUE"""),"sees")</f>
        <v>sees</v>
      </c>
    </row>
    <row r="1357">
      <c r="B1357" s="6"/>
      <c r="D1357" s="6"/>
      <c r="G1357" s="6" t="str">
        <f>IFERROR(__xludf.DUMMYFUNCTION("""COMPUTED_VALUE"""),"disturbance")</f>
        <v>disturbance</v>
      </c>
      <c r="H1357" s="6" t="str">
        <f>IFERROR(__xludf.DUMMYFUNCTION("""COMPUTED_VALUE"""),"anne")</f>
        <v>anne</v>
      </c>
      <c r="I1357" s="6"/>
      <c r="J1357" s="6" t="str">
        <f>IFERROR(__xludf.DUMMYFUNCTION("""COMPUTED_VALUE"""),"sundance")</f>
        <v>sundance</v>
      </c>
      <c r="L1357" s="6" t="str">
        <f>IFERROR(__xludf.DUMMYFUNCTION("""COMPUTED_VALUE"""),"introduces")</f>
        <v>introduces</v>
      </c>
      <c r="M1357" s="6" t="str">
        <f>IFERROR(__xludf.DUMMYFUNCTION("""COMPUTED_VALUE"""),"tense")</f>
        <v>tense</v>
      </c>
      <c r="N1357" s="6" t="str">
        <f>IFERROR(__xludf.DUMMYFUNCTION("""COMPUTED_VALUE"""),"infectious")</f>
        <v>infectious</v>
      </c>
      <c r="P1357" s="6" t="str">
        <f>IFERROR(__xludf.DUMMYFUNCTION("""COMPUTED_VALUE"""),"bow")</f>
        <v>bow</v>
      </c>
      <c r="Q1357" s="6" t="str">
        <f>IFERROR(__xludf.DUMMYFUNCTION("""COMPUTED_VALUE"""),"conspicuous")</f>
        <v>conspicuous</v>
      </c>
      <c r="S1357" s="6" t="str">
        <f>IFERROR(__xludf.DUMMYFUNCTION("""COMPUTED_VALUE"""),"easier")</f>
        <v>easier</v>
      </c>
    </row>
    <row r="1358">
      <c r="B1358" s="6"/>
      <c r="D1358" s="6"/>
      <c r="G1358" s="6" t="str">
        <f>IFERROR(__xludf.DUMMYFUNCTION("""COMPUTED_VALUE"""),"skeleton")</f>
        <v>skeleton</v>
      </c>
      <c r="H1358" s="6" t="str">
        <f>IFERROR(__xludf.DUMMYFUNCTION("""COMPUTED_VALUE"""),"sway")</f>
        <v>sway</v>
      </c>
      <c r="I1358" s="6"/>
      <c r="J1358" s="6" t="str">
        <f>IFERROR(__xludf.DUMMYFUNCTION("""COMPUTED_VALUE"""),"phillip")</f>
        <v>phillip</v>
      </c>
      <c r="L1358" s="6" t="str">
        <f>IFERROR(__xludf.DUMMYFUNCTION("""COMPUTED_VALUE"""),"goldberg")</f>
        <v>goldberg</v>
      </c>
      <c r="M1358" s="6" t="str">
        <f>IFERROR(__xludf.DUMMYFUNCTION("""COMPUTED_VALUE"""),"beneath")</f>
        <v>beneath</v>
      </c>
      <c r="N1358" s="6" t="str">
        <f>IFERROR(__xludf.DUMMYFUNCTION("""COMPUTED_VALUE"""),"mtv")</f>
        <v>mtv</v>
      </c>
      <c r="P1358" s="6" t="str">
        <f>IFERROR(__xludf.DUMMYFUNCTION("""COMPUTED_VALUE"""),"notable")</f>
        <v>notable</v>
      </c>
      <c r="Q1358" s="6" t="str">
        <f>IFERROR(__xludf.DUMMYFUNCTION("""COMPUTED_VALUE"""),"develop")</f>
        <v>develop</v>
      </c>
      <c r="S1358" s="6" t="str">
        <f>IFERROR(__xludf.DUMMYFUNCTION("""COMPUTED_VALUE"""),"venture")</f>
        <v>venture</v>
      </c>
    </row>
    <row r="1359">
      <c r="B1359" s="6"/>
      <c r="D1359" s="6"/>
      <c r="G1359" s="6" t="str">
        <f>IFERROR(__xludf.DUMMYFUNCTION("""COMPUTED_VALUE"""),"catastrophic")</f>
        <v>catastrophic</v>
      </c>
      <c r="H1359" s="6" t="str">
        <f>IFERROR(__xludf.DUMMYFUNCTION("""COMPUTED_VALUE"""),"politically")</f>
        <v>politically</v>
      </c>
      <c r="I1359" s="6"/>
      <c r="J1359" s="6" t="str">
        <f>IFERROR(__xludf.DUMMYFUNCTION("""COMPUTED_VALUE"""),"references")</f>
        <v>references</v>
      </c>
      <c r="L1359" s="6" t="str">
        <f>IFERROR(__xludf.DUMMYFUNCTION("""COMPUTED_VALUE"""),"hampered")</f>
        <v>hampered</v>
      </c>
      <c r="M1359" s="6" t="str">
        <f>IFERROR(__xludf.DUMMYFUNCTION("""COMPUTED_VALUE"""),"dragons")</f>
        <v>dragons</v>
      </c>
      <c r="N1359" s="6" t="str">
        <f>IFERROR(__xludf.DUMMYFUNCTION("""COMPUTED_VALUE"""),"thirteen")</f>
        <v>thirteen</v>
      </c>
      <c r="P1359" s="6" t="str">
        <f>IFERROR(__xludf.DUMMYFUNCTION("""COMPUTED_VALUE"""),"cartoon")</f>
        <v>cartoon</v>
      </c>
      <c r="Q1359" s="6" t="str">
        <f>IFERROR(__xludf.DUMMYFUNCTION("""COMPUTED_VALUE"""),"timing")</f>
        <v>timing</v>
      </c>
      <c r="S1359" s="6" t="str">
        <f>IFERROR(__xludf.DUMMYFUNCTION("""COMPUTED_VALUE"""),"realm")</f>
        <v>realm</v>
      </c>
    </row>
    <row r="1360">
      <c r="B1360" s="6"/>
      <c r="D1360" s="6"/>
      <c r="G1360" s="6" t="str">
        <f>IFERROR(__xludf.DUMMYFUNCTION("""COMPUTED_VALUE"""),"boardwalk")</f>
        <v>boardwalk</v>
      </c>
      <c r="H1360" s="6" t="str">
        <f>IFERROR(__xludf.DUMMYFUNCTION("""COMPUTED_VALUE"""),"mysteries")</f>
        <v>mysteries</v>
      </c>
      <c r="I1360" s="6"/>
      <c r="J1360" s="6" t="str">
        <f>IFERROR(__xludf.DUMMYFUNCTION("""COMPUTED_VALUE"""),"skyscraper")</f>
        <v>skyscraper</v>
      </c>
      <c r="L1360" s="6" t="str">
        <f>IFERROR(__xludf.DUMMYFUNCTION("""COMPUTED_VALUE"""),"convey")</f>
        <v>convey</v>
      </c>
      <c r="M1360" s="6" t="str">
        <f>IFERROR(__xludf.DUMMYFUNCTION("""COMPUTED_VALUE"""),"columbus")</f>
        <v>columbus</v>
      </c>
      <c r="N1360" s="6" t="str">
        <f>IFERROR(__xludf.DUMMYFUNCTION("""COMPUTED_VALUE"""),"extravagant")</f>
        <v>extravagant</v>
      </c>
      <c r="P1360" s="6" t="str">
        <f>IFERROR(__xludf.DUMMYFUNCTION("""COMPUTED_VALUE"""),"stopped")</f>
        <v>stopped</v>
      </c>
      <c r="Q1360" s="6" t="str">
        <f>IFERROR(__xludf.DUMMYFUNCTION("""COMPUTED_VALUE"""),"connect")</f>
        <v>connect</v>
      </c>
      <c r="S1360" s="6" t="str">
        <f>IFERROR(__xludf.DUMMYFUNCTION("""COMPUTED_VALUE"""),"allowed")</f>
        <v>allowed</v>
      </c>
    </row>
    <row r="1361">
      <c r="B1361" s="6"/>
      <c r="D1361" s="6"/>
      <c r="G1361" s="6" t="str">
        <f>IFERROR(__xludf.DUMMYFUNCTION("""COMPUTED_VALUE"""),"analysis")</f>
        <v>analysis</v>
      </c>
      <c r="H1361" s="6" t="str">
        <f>IFERROR(__xludf.DUMMYFUNCTION("""COMPUTED_VALUE"""),"technologies")</f>
        <v>technologies</v>
      </c>
      <c r="I1361" s="6"/>
      <c r="J1361" s="6" t="str">
        <f>IFERROR(__xludf.DUMMYFUNCTION("""COMPUTED_VALUE"""),"clouds")</f>
        <v>clouds</v>
      </c>
      <c r="L1361" s="6" t="str">
        <f>IFERROR(__xludf.DUMMYFUNCTION("""COMPUTED_VALUE"""),"improvisation")</f>
        <v>improvisation</v>
      </c>
      <c r="M1361" s="6" t="str">
        <f>IFERROR(__xludf.DUMMYFUNCTION("""COMPUTED_VALUE"""),"technique")</f>
        <v>technique</v>
      </c>
      <c r="N1361" s="6" t="str">
        <f>IFERROR(__xludf.DUMMYFUNCTION("""COMPUTED_VALUE"""),"willis")</f>
        <v>willis</v>
      </c>
      <c r="P1361" s="6">
        <f>IFERROR(__xludf.DUMMYFUNCTION("""COMPUTED_VALUE"""),66.0)</f>
        <v>66</v>
      </c>
      <c r="Q1361" s="6" t="str">
        <f>IFERROR(__xludf.DUMMYFUNCTION("""COMPUTED_VALUE"""),"weaponry")</f>
        <v>weaponry</v>
      </c>
      <c r="S1361" s="6" t="str">
        <f>IFERROR(__xludf.DUMMYFUNCTION("""COMPUTED_VALUE"""),"gold")</f>
        <v>gold</v>
      </c>
    </row>
    <row r="1362">
      <c r="B1362" s="6"/>
      <c r="D1362" s="6"/>
      <c r="G1362" s="6" t="str">
        <f>IFERROR(__xludf.DUMMYFUNCTION("""COMPUTED_VALUE"""),"grave")</f>
        <v>grave</v>
      </c>
      <c r="H1362" s="6" t="str">
        <f>IFERROR(__xludf.DUMMYFUNCTION("""COMPUTED_VALUE"""),"tunnels")</f>
        <v>tunnels</v>
      </c>
      <c r="I1362" s="6"/>
      <c r="J1362" s="6" t="str">
        <f>IFERROR(__xludf.DUMMYFUNCTION("""COMPUTED_VALUE"""),"narration")</f>
        <v>narration</v>
      </c>
      <c r="L1362" s="6" t="str">
        <f>IFERROR(__xludf.DUMMYFUNCTION("""COMPUTED_VALUE"""),"argentine")</f>
        <v>argentine</v>
      </c>
      <c r="M1362" s="6" t="str">
        <f>IFERROR(__xludf.DUMMYFUNCTION("""COMPUTED_VALUE"""),"shadows")</f>
        <v>shadows</v>
      </c>
      <c r="N1362" s="6" t="str">
        <f>IFERROR(__xludf.DUMMYFUNCTION("""COMPUTED_VALUE"""),"conceptual")</f>
        <v>conceptual</v>
      </c>
      <c r="P1362" s="6" t="str">
        <f>IFERROR(__xludf.DUMMYFUNCTION("""COMPUTED_VALUE"""),"severe")</f>
        <v>severe</v>
      </c>
      <c r="Q1362" s="6" t="str">
        <f>IFERROR(__xludf.DUMMYFUNCTION("""COMPUTED_VALUE"""),"dungeons")</f>
        <v>dungeons</v>
      </c>
      <c r="S1362" s="6" t="str">
        <f>IFERROR(__xludf.DUMMYFUNCTION("""COMPUTED_VALUE"""),"accurate")</f>
        <v>accurate</v>
      </c>
    </row>
    <row r="1363">
      <c r="B1363" s="6"/>
      <c r="D1363" s="6"/>
      <c r="G1363" s="6" t="str">
        <f>IFERROR(__xludf.DUMMYFUNCTION("""COMPUTED_VALUE"""),"pornographic")</f>
        <v>pornographic</v>
      </c>
      <c r="H1363" s="6" t="str">
        <f>IFERROR(__xludf.DUMMYFUNCTION("""COMPUTED_VALUE"""),"attackers")</f>
        <v>attackers</v>
      </c>
      <c r="I1363" s="6"/>
      <c r="J1363" s="6" t="str">
        <f>IFERROR(__xludf.DUMMYFUNCTION("""COMPUTED_VALUE"""),"prolonged")</f>
        <v>prolonged</v>
      </c>
      <c r="L1363" s="6" t="str">
        <f>IFERROR(__xludf.DUMMYFUNCTION("""COMPUTED_VALUE"""),"fide")</f>
        <v>fide</v>
      </c>
      <c r="M1363" s="6" t="str">
        <f>IFERROR(__xludf.DUMMYFUNCTION("""COMPUTED_VALUE"""),"nazi")</f>
        <v>nazi</v>
      </c>
      <c r="N1363" s="6" t="str">
        <f>IFERROR(__xludf.DUMMYFUNCTION("""COMPUTED_VALUE"""),"bluff")</f>
        <v>bluff</v>
      </c>
      <c r="P1363" s="6" t="str">
        <f>IFERROR(__xludf.DUMMYFUNCTION("""COMPUTED_VALUE"""),"egypt")</f>
        <v>egypt</v>
      </c>
      <c r="Q1363" s="6" t="str">
        <f>IFERROR(__xludf.DUMMYFUNCTION("""COMPUTED_VALUE"""),"definitions")</f>
        <v>definitions</v>
      </c>
      <c r="S1363" s="6" t="str">
        <f>IFERROR(__xludf.DUMMYFUNCTION("""COMPUTED_VALUE"""),"wilson")</f>
        <v>wilson</v>
      </c>
    </row>
    <row r="1364">
      <c r="B1364" s="6"/>
      <c r="D1364" s="6"/>
      <c r="G1364" s="6" t="str">
        <f>IFERROR(__xludf.DUMMYFUNCTION("""COMPUTED_VALUE"""),"playfully")</f>
        <v>playfully</v>
      </c>
      <c r="H1364" s="6" t="str">
        <f>IFERROR(__xludf.DUMMYFUNCTION("""COMPUTED_VALUE"""),"anonymous")</f>
        <v>anonymous</v>
      </c>
      <c r="I1364" s="6"/>
      <c r="J1364" s="6" t="str">
        <f>IFERROR(__xludf.DUMMYFUNCTION("""COMPUTED_VALUE"""),"record")</f>
        <v>record</v>
      </c>
      <c r="L1364" s="6" t="str">
        <f>IFERROR(__xludf.DUMMYFUNCTION("""COMPUTED_VALUE"""),"sacrifices")</f>
        <v>sacrifices</v>
      </c>
      <c r="M1364" s="6" t="str">
        <f>IFERROR(__xludf.DUMMYFUNCTION("""COMPUTED_VALUE"""),"gibson")</f>
        <v>gibson</v>
      </c>
      <c r="N1364" s="6" t="str">
        <f>IFERROR(__xludf.DUMMYFUNCTION("""COMPUTED_VALUE"""),"wallace")</f>
        <v>wallace</v>
      </c>
      <c r="P1364" s="6" t="str">
        <f>IFERROR(__xludf.DUMMYFUNCTION("""COMPUTED_VALUE"""),"prince")</f>
        <v>prince</v>
      </c>
      <c r="Q1364" s="6" t="str">
        <f>IFERROR(__xludf.DUMMYFUNCTION("""COMPUTED_VALUE"""),"thud")</f>
        <v>thud</v>
      </c>
      <c r="S1364" s="6" t="str">
        <f>IFERROR(__xludf.DUMMYFUNCTION("""COMPUTED_VALUE"""),"knowing")</f>
        <v>knowing</v>
      </c>
    </row>
    <row r="1365">
      <c r="B1365" s="6"/>
      <c r="D1365" s="6"/>
      <c r="G1365" s="6" t="str">
        <f>IFERROR(__xludf.DUMMYFUNCTION("""COMPUTED_VALUE"""),"waldo")</f>
        <v>waldo</v>
      </c>
      <c r="H1365" s="6" t="str">
        <f>IFERROR(__xludf.DUMMYFUNCTION("""COMPUTED_VALUE"""),"primitive")</f>
        <v>primitive</v>
      </c>
      <c r="I1365" s="6"/>
      <c r="J1365" s="6" t="str">
        <f>IFERROR(__xludf.DUMMYFUNCTION("""COMPUTED_VALUE"""),"junk")</f>
        <v>junk</v>
      </c>
      <c r="L1365" s="6" t="str">
        <f>IFERROR(__xludf.DUMMYFUNCTION("""COMPUTED_VALUE"""),"fairy")</f>
        <v>fairy</v>
      </c>
      <c r="M1365" s="6" t="str">
        <f>IFERROR(__xludf.DUMMYFUNCTION("""COMPUTED_VALUE"""),"deaths")</f>
        <v>deaths</v>
      </c>
      <c r="N1365" s="6" t="str">
        <f>IFERROR(__xludf.DUMMYFUNCTION("""COMPUTED_VALUE"""),"indifference")</f>
        <v>indifference</v>
      </c>
      <c r="P1365" s="6" t="str">
        <f>IFERROR(__xludf.DUMMYFUNCTION("""COMPUTED_VALUE"""),"racial")</f>
        <v>racial</v>
      </c>
      <c r="Q1365" s="6" t="str">
        <f>IFERROR(__xludf.DUMMYFUNCTION("""COMPUTED_VALUE"""),"supposedly")</f>
        <v>supposedly</v>
      </c>
      <c r="S1365" s="6" t="str">
        <f>IFERROR(__xludf.DUMMYFUNCTION("""COMPUTED_VALUE"""),"appreciate")</f>
        <v>appreciate</v>
      </c>
    </row>
    <row r="1366">
      <c r="B1366" s="6"/>
      <c r="D1366" s="6"/>
      <c r="G1366" s="6" t="str">
        <f>IFERROR(__xludf.DUMMYFUNCTION("""COMPUTED_VALUE"""),"blazing")</f>
        <v>blazing</v>
      </c>
      <c r="H1366" s="6" t="str">
        <f>IFERROR(__xludf.DUMMYFUNCTION("""COMPUTED_VALUE"""),"laurence")</f>
        <v>laurence</v>
      </c>
      <c r="I1366" s="6"/>
      <c r="J1366" s="6" t="str">
        <f>IFERROR(__xludf.DUMMYFUNCTION("""COMPUTED_VALUE"""),"rejected")</f>
        <v>rejected</v>
      </c>
      <c r="L1366" s="6" t="str">
        <f>IFERROR(__xludf.DUMMYFUNCTION("""COMPUTED_VALUE"""),"appearing")</f>
        <v>appearing</v>
      </c>
      <c r="M1366" s="6" t="str">
        <f>IFERROR(__xludf.DUMMYFUNCTION("""COMPUTED_VALUE"""),"intellectual")</f>
        <v>intellectual</v>
      </c>
      <c r="N1366" s="6" t="str">
        <f>IFERROR(__xludf.DUMMYFUNCTION("""COMPUTED_VALUE"""),"revealing")</f>
        <v>revealing</v>
      </c>
      <c r="P1366" s="6" t="str">
        <f>IFERROR(__xludf.DUMMYFUNCTION("""COMPUTED_VALUE"""),"pants")</f>
        <v>pants</v>
      </c>
      <c r="Q1366" s="6" t="str">
        <f>IFERROR(__xludf.DUMMYFUNCTION("""COMPUTED_VALUE"""),"interpretation")</f>
        <v>interpretation</v>
      </c>
      <c r="S1366" s="6" t="str">
        <f>IFERROR(__xludf.DUMMYFUNCTION("""COMPUTED_VALUE"""),"pink")</f>
        <v>pink</v>
      </c>
    </row>
    <row r="1367">
      <c r="B1367" s="6"/>
      <c r="D1367" s="6"/>
      <c r="G1367" s="6" t="str">
        <f>IFERROR(__xludf.DUMMYFUNCTION("""COMPUTED_VALUE"""),"interests")</f>
        <v>interests</v>
      </c>
      <c r="H1367" s="6" t="str">
        <f>IFERROR(__xludf.DUMMYFUNCTION("""COMPUTED_VALUE"""),"olivier")</f>
        <v>olivier</v>
      </c>
      <c r="I1367" s="6"/>
      <c r="J1367" s="6" t="str">
        <f>IFERROR(__xludf.DUMMYFUNCTION("""COMPUTED_VALUE"""),"richly")</f>
        <v>richly</v>
      </c>
      <c r="L1367" s="6" t="str">
        <f>IFERROR(__xludf.DUMMYFUNCTION("""COMPUTED_VALUE"""),"aspirations")</f>
        <v>aspirations</v>
      </c>
      <c r="M1367" s="6" t="str">
        <f>IFERROR(__xludf.DUMMYFUNCTION("""COMPUTED_VALUE"""),"hitting")</f>
        <v>hitting</v>
      </c>
      <c r="N1367" s="6" t="str">
        <f>IFERROR(__xludf.DUMMYFUNCTION("""COMPUTED_VALUE"""),"album")</f>
        <v>album</v>
      </c>
      <c r="P1367" s="6" t="str">
        <f>IFERROR(__xludf.DUMMYFUNCTION("""COMPUTED_VALUE"""),"harrison")</f>
        <v>harrison</v>
      </c>
      <c r="Q1367" s="6" t="str">
        <f>IFERROR(__xludf.DUMMYFUNCTION("""COMPUTED_VALUE"""),"lyrical")</f>
        <v>lyrical</v>
      </c>
      <c r="S1367" s="6" t="str">
        <f>IFERROR(__xludf.DUMMYFUNCTION("""COMPUTED_VALUE"""),"derived")</f>
        <v>derived</v>
      </c>
    </row>
    <row r="1368">
      <c r="B1368" s="6"/>
      <c r="D1368" s="6"/>
      <c r="G1368" s="6" t="str">
        <f>IFERROR(__xludf.DUMMYFUNCTION("""COMPUTED_VALUE"""),"iranian")</f>
        <v>iranian</v>
      </c>
      <c r="H1368" s="6" t="str">
        <f>IFERROR(__xludf.DUMMYFUNCTION("""COMPUTED_VALUE"""),"freddie")</f>
        <v>freddie</v>
      </c>
      <c r="I1368" s="6"/>
      <c r="J1368" s="6" t="str">
        <f>IFERROR(__xludf.DUMMYFUNCTION("""COMPUTED_VALUE"""),"flatly")</f>
        <v>flatly</v>
      </c>
      <c r="L1368" s="6" t="str">
        <f>IFERROR(__xludf.DUMMYFUNCTION("""COMPUTED_VALUE"""),"willingness")</f>
        <v>willingness</v>
      </c>
      <c r="M1368" s="6" t="str">
        <f>IFERROR(__xludf.DUMMYFUNCTION("""COMPUTED_VALUE"""),"rapid")</f>
        <v>rapid</v>
      </c>
      <c r="N1368" s="6" t="str">
        <f>IFERROR(__xludf.DUMMYFUNCTION("""COMPUTED_VALUE"""),"helm")</f>
        <v>helm</v>
      </c>
      <c r="P1368" s="6" t="str">
        <f>IFERROR(__xludf.DUMMYFUNCTION("""COMPUTED_VALUE"""),"willie")</f>
        <v>willie</v>
      </c>
      <c r="Q1368" s="6" t="str">
        <f>IFERROR(__xludf.DUMMYFUNCTION("""COMPUTED_VALUE"""),"blockbuster")</f>
        <v>blockbuster</v>
      </c>
      <c r="S1368" s="6" t="str">
        <f>IFERROR(__xludf.DUMMYFUNCTION("""COMPUTED_VALUE"""),"victims")</f>
        <v>victims</v>
      </c>
    </row>
    <row r="1369">
      <c r="B1369" s="6"/>
      <c r="D1369" s="6"/>
      <c r="G1369" s="6" t="str">
        <f>IFERROR(__xludf.DUMMYFUNCTION("""COMPUTED_VALUE"""),"column")</f>
        <v>column</v>
      </c>
      <c r="H1369" s="6" t="str">
        <f>IFERROR(__xludf.DUMMYFUNCTION("""COMPUTED_VALUE"""),"harvard")</f>
        <v>harvard</v>
      </c>
      <c r="I1369" s="6"/>
      <c r="J1369" s="6" t="str">
        <f>IFERROR(__xludf.DUMMYFUNCTION("""COMPUTED_VALUE"""),"principles")</f>
        <v>principles</v>
      </c>
      <c r="L1369" s="6" t="str">
        <f>IFERROR(__xludf.DUMMYFUNCTION("""COMPUTED_VALUE"""),"conquer")</f>
        <v>conquer</v>
      </c>
      <c r="M1369" s="6" t="str">
        <f>IFERROR(__xludf.DUMMYFUNCTION("""COMPUTED_VALUE"""),"conservative")</f>
        <v>conservative</v>
      </c>
      <c r="N1369" s="6" t="str">
        <f>IFERROR(__xludf.DUMMYFUNCTION("""COMPUTED_VALUE"""),"submarine")</f>
        <v>submarine</v>
      </c>
      <c r="P1369" s="6" t="str">
        <f>IFERROR(__xludf.DUMMYFUNCTION("""COMPUTED_VALUE"""),"gift")</f>
        <v>gift</v>
      </c>
      <c r="Q1369" s="6" t="str">
        <f>IFERROR(__xludf.DUMMYFUNCTION("""COMPUTED_VALUE"""),"exploitation")</f>
        <v>exploitation</v>
      </c>
      <c r="S1369" s="6" t="str">
        <f>IFERROR(__xludf.DUMMYFUNCTION("""COMPUTED_VALUE"""),"proceedings")</f>
        <v>proceedings</v>
      </c>
    </row>
    <row r="1370">
      <c r="B1370" s="6"/>
      <c r="D1370" s="6"/>
      <c r="G1370" s="6" t="str">
        <f>IFERROR(__xludf.DUMMYFUNCTION("""COMPUTED_VALUE"""),"jacket")</f>
        <v>jacket</v>
      </c>
      <c r="H1370" s="6" t="str">
        <f>IFERROR(__xludf.DUMMYFUNCTION("""COMPUTED_VALUE"""),"encompasses")</f>
        <v>encompasses</v>
      </c>
      <c r="I1370" s="6"/>
      <c r="J1370" s="6" t="str">
        <f>IFERROR(__xludf.DUMMYFUNCTION("""COMPUTED_VALUE"""),"atrocities")</f>
        <v>atrocities</v>
      </c>
      <c r="L1370" s="6" t="str">
        <f>IFERROR(__xludf.DUMMYFUNCTION("""COMPUTED_VALUE"""),"stretches")</f>
        <v>stretches</v>
      </c>
      <c r="M1370" s="6" t="str">
        <f>IFERROR(__xludf.DUMMYFUNCTION("""COMPUTED_VALUE"""),"politics")</f>
        <v>politics</v>
      </c>
      <c r="N1370" s="6" t="str">
        <f>IFERROR(__xludf.DUMMYFUNCTION("""COMPUTED_VALUE"""),"bracing")</f>
        <v>bracing</v>
      </c>
      <c r="P1370" s="6" t="str">
        <f>IFERROR(__xludf.DUMMYFUNCTION("""COMPUTED_VALUE"""),"physical")</f>
        <v>physical</v>
      </c>
      <c r="Q1370" s="6" t="str">
        <f>IFERROR(__xludf.DUMMYFUNCTION("""COMPUTED_VALUE"""),"emotion")</f>
        <v>emotion</v>
      </c>
      <c r="S1370" s="6" t="str">
        <f>IFERROR(__xludf.DUMMYFUNCTION("""COMPUTED_VALUE"""),"regret")</f>
        <v>regret</v>
      </c>
    </row>
    <row r="1371">
      <c r="B1371" s="6"/>
      <c r="D1371" s="6"/>
      <c r="G1371" s="6" t="str">
        <f>IFERROR(__xludf.DUMMYFUNCTION("""COMPUTED_VALUE"""),"influential")</f>
        <v>influential</v>
      </c>
      <c r="H1371" s="6" t="str">
        <f>IFERROR(__xludf.DUMMYFUNCTION("""COMPUTED_VALUE"""),"contender")</f>
        <v>contender</v>
      </c>
      <c r="I1371" s="6"/>
      <c r="J1371" s="6" t="str">
        <f>IFERROR(__xludf.DUMMYFUNCTION("""COMPUTED_VALUE"""),"mythology")</f>
        <v>mythology</v>
      </c>
      <c r="L1371" s="6" t="str">
        <f>IFERROR(__xludf.DUMMYFUNCTION("""COMPUTED_VALUE"""),"keel")</f>
        <v>keel</v>
      </c>
      <c r="M1371" s="6" t="str">
        <f>IFERROR(__xludf.DUMMYFUNCTION("""COMPUTED_VALUE"""),"notion")</f>
        <v>notion</v>
      </c>
      <c r="N1371" s="6" t="str">
        <f>IFERROR(__xludf.DUMMYFUNCTION("""COMPUTED_VALUE"""),"revenge")</f>
        <v>revenge</v>
      </c>
      <c r="P1371" s="6" t="str">
        <f>IFERROR(__xludf.DUMMYFUNCTION("""COMPUTED_VALUE"""),"evans")</f>
        <v>evans</v>
      </c>
      <c r="Q1371" s="6" t="str">
        <f>IFERROR(__xludf.DUMMYFUNCTION("""COMPUTED_VALUE"""),"flower")</f>
        <v>flower</v>
      </c>
      <c r="S1371" s="6" t="str">
        <f>IFERROR(__xludf.DUMMYFUNCTION("""COMPUTED_VALUE"""),"anchor")</f>
        <v>anchor</v>
      </c>
    </row>
    <row r="1372">
      <c r="B1372" s="6"/>
      <c r="D1372" s="6"/>
      <c r="G1372" s="6" t="str">
        <f>IFERROR(__xludf.DUMMYFUNCTION("""COMPUTED_VALUE"""),"goldberg")</f>
        <v>goldberg</v>
      </c>
      <c r="H1372" s="6" t="str">
        <f>IFERROR(__xludf.DUMMYFUNCTION("""COMPUTED_VALUE"""),"reynolds")</f>
        <v>reynolds</v>
      </c>
      <c r="I1372" s="6"/>
      <c r="J1372" s="6" t="str">
        <f>IFERROR(__xludf.DUMMYFUNCTION("""COMPUTED_VALUE"""),"benefited")</f>
        <v>benefited</v>
      </c>
      <c r="L1372" s="6" t="str">
        <f>IFERROR(__xludf.DUMMYFUNCTION("""COMPUTED_VALUE"""),"innocent")</f>
        <v>innocent</v>
      </c>
      <c r="M1372" s="6" t="str">
        <f>IFERROR(__xludf.DUMMYFUNCTION("""COMPUTED_VALUE"""),"interests")</f>
        <v>interests</v>
      </c>
      <c r="N1372" s="6" t="str">
        <f>IFERROR(__xludf.DUMMYFUNCTION("""COMPUTED_VALUE"""),"actress")</f>
        <v>actress</v>
      </c>
      <c r="P1372" s="6" t="str">
        <f>IFERROR(__xludf.DUMMYFUNCTION("""COMPUTED_VALUE"""),"archive")</f>
        <v>archive</v>
      </c>
      <c r="Q1372" s="6" t="str">
        <f>IFERROR(__xludf.DUMMYFUNCTION("""COMPUTED_VALUE"""),"purge")</f>
        <v>purge</v>
      </c>
      <c r="S1372" s="6">
        <f>IFERROR(__xludf.DUMMYFUNCTION("""COMPUTED_VALUE"""),11.0)</f>
        <v>11</v>
      </c>
    </row>
    <row r="1373">
      <c r="B1373" s="6"/>
      <c r="D1373" s="6"/>
      <c r="G1373" s="6" t="str">
        <f>IFERROR(__xludf.DUMMYFUNCTION("""COMPUTED_VALUE"""),"guilt")</f>
        <v>guilt</v>
      </c>
      <c r="H1373" s="6" t="str">
        <f>IFERROR(__xludf.DUMMYFUNCTION("""COMPUTED_VALUE"""),"depleted")</f>
        <v>depleted</v>
      </c>
      <c r="I1373" s="6"/>
      <c r="J1373" s="6" t="str">
        <f>IFERROR(__xludf.DUMMYFUNCTION("""COMPUTED_VALUE"""),"directs")</f>
        <v>directs</v>
      </c>
      <c r="L1373" s="6" t="str">
        <f>IFERROR(__xludf.DUMMYFUNCTION("""COMPUTED_VALUE"""),"teasing")</f>
        <v>teasing</v>
      </c>
      <c r="M1373" s="6" t="str">
        <f>IFERROR(__xludf.DUMMYFUNCTION("""COMPUTED_VALUE"""),"ralph")</f>
        <v>ralph</v>
      </c>
      <c r="N1373" s="6" t="str">
        <f>IFERROR(__xludf.DUMMYFUNCTION("""COMPUTED_VALUE"""),"adaptations")</f>
        <v>adaptations</v>
      </c>
      <c r="P1373" s="6" t="str">
        <f>IFERROR(__xludf.DUMMYFUNCTION("""COMPUTED_VALUE"""),"specific")</f>
        <v>specific</v>
      </c>
      <c r="Q1373" s="6" t="str">
        <f>IFERROR(__xludf.DUMMYFUNCTION("""COMPUTED_VALUE"""),"triumph")</f>
        <v>triumph</v>
      </c>
      <c r="S1373" s="6" t="str">
        <f>IFERROR(__xludf.DUMMYFUNCTION("""COMPUTED_VALUE"""),"weeks")</f>
        <v>weeks</v>
      </c>
    </row>
    <row r="1374">
      <c r="B1374" s="6"/>
      <c r="D1374" s="6"/>
      <c r="G1374" s="6" t="str">
        <f>IFERROR(__xludf.DUMMYFUNCTION("""COMPUTED_VALUE"""),"pinnacle")</f>
        <v>pinnacle</v>
      </c>
      <c r="H1374" s="6" t="str">
        <f>IFERROR(__xludf.DUMMYFUNCTION("""COMPUTED_VALUE"""),"decomposition")</f>
        <v>decomposition</v>
      </c>
      <c r="I1374" s="6"/>
      <c r="J1374" s="6">
        <f>IFERROR(__xludf.DUMMYFUNCTION("""COMPUTED_VALUE"""),1938.0)</f>
        <v>1938</v>
      </c>
      <c r="L1374" s="6" t="str">
        <f>IFERROR(__xludf.DUMMYFUNCTION("""COMPUTED_VALUE"""),"brink")</f>
        <v>brink</v>
      </c>
      <c r="M1374" s="6" t="str">
        <f>IFERROR(__xludf.DUMMYFUNCTION("""COMPUTED_VALUE"""),"abroad")</f>
        <v>abroad</v>
      </c>
      <c r="N1374" s="6" t="str">
        <f>IFERROR(__xludf.DUMMYFUNCTION("""COMPUTED_VALUE"""),"actresses")</f>
        <v>actresses</v>
      </c>
      <c r="P1374" s="6" t="str">
        <f>IFERROR(__xludf.DUMMYFUNCTION("""COMPUTED_VALUE"""),"portions")</f>
        <v>portions</v>
      </c>
      <c r="Q1374" s="6" t="str">
        <f>IFERROR(__xludf.DUMMYFUNCTION("""COMPUTED_VALUE"""),"glow")</f>
        <v>glow</v>
      </c>
      <c r="S1374" s="6" t="str">
        <f>IFERROR(__xludf.DUMMYFUNCTION("""COMPUTED_VALUE"""),"soldiers")</f>
        <v>soldiers</v>
      </c>
    </row>
    <row r="1375">
      <c r="B1375" s="6"/>
      <c r="D1375" s="6"/>
      <c r="G1375" s="6" t="str">
        <f>IFERROR(__xludf.DUMMYFUNCTION("""COMPUTED_VALUE"""),"swirling")</f>
        <v>swirling</v>
      </c>
      <c r="H1375" s="6" t="str">
        <f>IFERROR(__xludf.DUMMYFUNCTION("""COMPUTED_VALUE"""),"swaying")</f>
        <v>swaying</v>
      </c>
      <c r="I1375" s="6"/>
      <c r="J1375" s="6" t="str">
        <f>IFERROR(__xludf.DUMMYFUNCTION("""COMPUTED_VALUE"""),"holden")</f>
        <v>holden</v>
      </c>
      <c r="L1375" s="6" t="str">
        <f>IFERROR(__xludf.DUMMYFUNCTION("""COMPUTED_VALUE"""),"infectious")</f>
        <v>infectious</v>
      </c>
      <c r="M1375" s="6" t="str">
        <f>IFERROR(__xludf.DUMMYFUNCTION("""COMPUTED_VALUE"""),"uk")</f>
        <v>uk</v>
      </c>
      <c r="N1375" s="6" t="str">
        <f>IFERROR(__xludf.DUMMYFUNCTION("""COMPUTED_VALUE"""),"subjects")</f>
        <v>subjects</v>
      </c>
      <c r="P1375" s="6" t="str">
        <f>IFERROR(__xludf.DUMMYFUNCTION("""COMPUTED_VALUE"""),"band")</f>
        <v>band</v>
      </c>
      <c r="Q1375" s="6" t="str">
        <f>IFERROR(__xludf.DUMMYFUNCTION("""COMPUTED_VALUE"""),"bunch")</f>
        <v>bunch</v>
      </c>
      <c r="S1375" s="6" t="str">
        <f>IFERROR(__xludf.DUMMYFUNCTION("""COMPUTED_VALUE"""),"lawrence")</f>
        <v>lawrence</v>
      </c>
    </row>
    <row r="1376">
      <c r="B1376" s="6"/>
      <c r="D1376" s="6"/>
      <c r="G1376" s="6" t="str">
        <f>IFERROR(__xludf.DUMMYFUNCTION("""COMPUTED_VALUE"""),"armchair")</f>
        <v>armchair</v>
      </c>
      <c r="H1376" s="6" t="str">
        <f>IFERROR(__xludf.DUMMYFUNCTION("""COMPUTED_VALUE"""),"strategic")</f>
        <v>strategic</v>
      </c>
      <c r="I1376" s="6"/>
      <c r="J1376" s="6" t="str">
        <f>IFERROR(__xludf.DUMMYFUNCTION("""COMPUTED_VALUE"""),"leaping")</f>
        <v>leaping</v>
      </c>
      <c r="L1376" s="6" t="str">
        <f>IFERROR(__xludf.DUMMYFUNCTION("""COMPUTED_VALUE"""),"mtv")</f>
        <v>mtv</v>
      </c>
      <c r="M1376" s="6" t="str">
        <f>IFERROR(__xludf.DUMMYFUNCTION("""COMPUTED_VALUE"""),"affected")</f>
        <v>affected</v>
      </c>
      <c r="N1376" s="6" t="str">
        <f>IFERROR(__xludf.DUMMYFUNCTION("""COMPUTED_VALUE"""),"purity")</f>
        <v>purity</v>
      </c>
      <c r="P1376" s="6" t="str">
        <f>IFERROR(__xludf.DUMMYFUNCTION("""COMPUTED_VALUE"""),"21st")</f>
        <v>21st</v>
      </c>
      <c r="Q1376" s="6" t="str">
        <f>IFERROR(__xludf.DUMMYFUNCTION("""COMPUTED_VALUE"""),"marvelous")</f>
        <v>marvelous</v>
      </c>
      <c r="S1376" s="6" t="str">
        <f>IFERROR(__xludf.DUMMYFUNCTION("""COMPUTED_VALUE"""),"die")</f>
        <v>die</v>
      </c>
    </row>
    <row r="1377">
      <c r="B1377" s="6"/>
      <c r="D1377" s="6"/>
      <c r="G1377" s="6" t="str">
        <f>IFERROR(__xludf.DUMMYFUNCTION("""COMPUTED_VALUE"""),"wasp")</f>
        <v>wasp</v>
      </c>
      <c r="H1377" s="6" t="str">
        <f>IFERROR(__xludf.DUMMYFUNCTION("""COMPUTED_VALUE"""),"helm")</f>
        <v>helm</v>
      </c>
      <c r="I1377" s="6"/>
      <c r="J1377" s="6" t="str">
        <f>IFERROR(__xludf.DUMMYFUNCTION("""COMPUTED_VALUE"""),"nicolas")</f>
        <v>nicolas</v>
      </c>
      <c r="L1377" s="6" t="str">
        <f>IFERROR(__xludf.DUMMYFUNCTION("""COMPUTED_VALUE"""),"extravagant")</f>
        <v>extravagant</v>
      </c>
      <c r="M1377" s="6" t="str">
        <f>IFERROR(__xludf.DUMMYFUNCTION("""COMPUTED_VALUE"""),"jane")</f>
        <v>jane</v>
      </c>
      <c r="N1377" s="6" t="str">
        <f>IFERROR(__xludf.DUMMYFUNCTION("""COMPUTED_VALUE"""),"tides")</f>
        <v>tides</v>
      </c>
      <c r="P1377" s="6" t="str">
        <f>IFERROR(__xludf.DUMMYFUNCTION("""COMPUTED_VALUE"""),"tense")</f>
        <v>tense</v>
      </c>
      <c r="Q1377" s="6" t="str">
        <f>IFERROR(__xludf.DUMMYFUNCTION("""COMPUTED_VALUE"""),"shifted")</f>
        <v>shifted</v>
      </c>
      <c r="S1377" s="6" t="str">
        <f>IFERROR(__xludf.DUMMYFUNCTION("""COMPUTED_VALUE"""),"tied")</f>
        <v>tied</v>
      </c>
    </row>
    <row r="1378">
      <c r="B1378" s="6"/>
      <c r="D1378" s="6"/>
      <c r="G1378" s="6" t="str">
        <f>IFERROR(__xludf.DUMMYFUNCTION("""COMPUTED_VALUE"""),"stud")</f>
        <v>stud</v>
      </c>
      <c r="H1378" s="6" t="str">
        <f>IFERROR(__xludf.DUMMYFUNCTION("""COMPUTED_VALUE"""),"philosophers")</f>
        <v>philosophers</v>
      </c>
      <c r="I1378" s="6"/>
      <c r="J1378" s="6" t="str">
        <f>IFERROR(__xludf.DUMMYFUNCTION("""COMPUTED_VALUE"""),"paranoia")</f>
        <v>paranoia</v>
      </c>
      <c r="L1378" s="6" t="str">
        <f>IFERROR(__xludf.DUMMYFUNCTION("""COMPUTED_VALUE"""),"willis")</f>
        <v>willis</v>
      </c>
      <c r="M1378" s="6" t="str">
        <f>IFERROR(__xludf.DUMMYFUNCTION("""COMPUTED_VALUE"""),"jacques")</f>
        <v>jacques</v>
      </c>
      <c r="N1378" s="6" t="str">
        <f>IFERROR(__xludf.DUMMYFUNCTION("""COMPUTED_VALUE"""),"sundance")</f>
        <v>sundance</v>
      </c>
      <c r="P1378" s="6" t="str">
        <f>IFERROR(__xludf.DUMMYFUNCTION("""COMPUTED_VALUE"""),"string")</f>
        <v>string</v>
      </c>
      <c r="Q1378" s="6" t="str">
        <f>IFERROR(__xludf.DUMMYFUNCTION("""COMPUTED_VALUE"""),"institution")</f>
        <v>institution</v>
      </c>
      <c r="S1378" s="6" t="str">
        <f>IFERROR(__xludf.DUMMYFUNCTION("""COMPUTED_VALUE"""),"common")</f>
        <v>common</v>
      </c>
    </row>
    <row r="1379">
      <c r="B1379" s="6"/>
      <c r="D1379" s="6"/>
      <c r="G1379" s="6" t="str">
        <f>IFERROR(__xludf.DUMMYFUNCTION("""COMPUTED_VALUE"""),"slapping")</f>
        <v>slapping</v>
      </c>
      <c r="H1379" s="6" t="str">
        <f>IFERROR(__xludf.DUMMYFUNCTION("""COMPUTED_VALUE"""),"ritchie")</f>
        <v>ritchie</v>
      </c>
      <c r="I1379" s="6"/>
      <c r="J1379" s="6" t="str">
        <f>IFERROR(__xludf.DUMMYFUNCTION("""COMPUTED_VALUE"""),"confronting")</f>
        <v>confronting</v>
      </c>
      <c r="L1379" s="6" t="str">
        <f>IFERROR(__xludf.DUMMYFUNCTION("""COMPUTED_VALUE"""),"conceptual")</f>
        <v>conceptual</v>
      </c>
      <c r="M1379" s="6" t="str">
        <f>IFERROR(__xludf.DUMMYFUNCTION("""COMPUTED_VALUE"""),"historical")</f>
        <v>historical</v>
      </c>
      <c r="N1379" s="6" t="str">
        <f>IFERROR(__xludf.DUMMYFUNCTION("""COMPUTED_VALUE"""),"depict")</f>
        <v>depict</v>
      </c>
      <c r="P1379" s="6" t="str">
        <f>IFERROR(__xludf.DUMMYFUNCTION("""COMPUTED_VALUE"""),"horse")</f>
        <v>horse</v>
      </c>
      <c r="Q1379" s="6" t="str">
        <f>IFERROR(__xludf.DUMMYFUNCTION("""COMPUTED_VALUE"""),"proposes")</f>
        <v>proposes</v>
      </c>
      <c r="S1379" s="6" t="str">
        <f>IFERROR(__xludf.DUMMYFUNCTION("""COMPUTED_VALUE"""),"traditions")</f>
        <v>traditions</v>
      </c>
    </row>
    <row r="1380">
      <c r="B1380" s="6"/>
      <c r="D1380" s="6"/>
      <c r="G1380" s="6" t="str">
        <f>IFERROR(__xludf.DUMMYFUNCTION("""COMPUTED_VALUE"""),"hazy")</f>
        <v>hazy</v>
      </c>
      <c r="H1380" s="6" t="str">
        <f>IFERROR(__xludf.DUMMYFUNCTION("""COMPUTED_VALUE"""),"bonding")</f>
        <v>bonding</v>
      </c>
      <c r="I1380" s="6"/>
      <c r="J1380" s="6" t="str">
        <f>IFERROR(__xludf.DUMMYFUNCTION("""COMPUTED_VALUE"""),"phenomenon")</f>
        <v>phenomenon</v>
      </c>
      <c r="L1380" s="6" t="str">
        <f>IFERROR(__xludf.DUMMYFUNCTION("""COMPUTED_VALUE"""),"bluff")</f>
        <v>bluff</v>
      </c>
      <c r="M1380" s="6" t="str">
        <f>IFERROR(__xludf.DUMMYFUNCTION("""COMPUTED_VALUE"""),"deeper")</f>
        <v>deeper</v>
      </c>
      <c r="N1380" s="6" t="str">
        <f>IFERROR(__xludf.DUMMYFUNCTION("""COMPUTED_VALUE"""),"tackled")</f>
        <v>tackled</v>
      </c>
      <c r="P1380" s="6" t="str">
        <f>IFERROR(__xludf.DUMMYFUNCTION("""COMPUTED_VALUE"""),"sleep")</f>
        <v>sleep</v>
      </c>
      <c r="Q1380" s="6" t="str">
        <f>IFERROR(__xludf.DUMMYFUNCTION("""COMPUTED_VALUE"""),"mistress")</f>
        <v>mistress</v>
      </c>
      <c r="S1380" s="6" t="str">
        <f>IFERROR(__xludf.DUMMYFUNCTION("""COMPUTED_VALUE"""),"efficient")</f>
        <v>efficient</v>
      </c>
    </row>
    <row r="1381">
      <c r="B1381" s="6"/>
      <c r="D1381" s="6"/>
      <c r="G1381" s="6" t="str">
        <f>IFERROR(__xludf.DUMMYFUNCTION("""COMPUTED_VALUE"""),"attracting")</f>
        <v>attracting</v>
      </c>
      <c r="H1381" s="6" t="str">
        <f>IFERROR(__xludf.DUMMYFUNCTION("""COMPUTED_VALUE"""),"miniseries")</f>
        <v>miniseries</v>
      </c>
      <c r="I1381" s="6"/>
      <c r="J1381" s="6" t="str">
        <f>IFERROR(__xludf.DUMMYFUNCTION("""COMPUTED_VALUE"""),"viewpoint")</f>
        <v>viewpoint</v>
      </c>
      <c r="L1381" s="6" t="str">
        <f>IFERROR(__xludf.DUMMYFUNCTION("""COMPUTED_VALUE"""),"wallace")</f>
        <v>wallace</v>
      </c>
      <c r="M1381" s="6" t="str">
        <f>IFERROR(__xludf.DUMMYFUNCTION("""COMPUTED_VALUE"""),"silver")</f>
        <v>silver</v>
      </c>
      <c r="N1381" s="6" t="str">
        <f>IFERROR(__xludf.DUMMYFUNCTION("""COMPUTED_VALUE"""),"screenings")</f>
        <v>screenings</v>
      </c>
      <c r="P1381" s="6" t="str">
        <f>IFERROR(__xludf.DUMMYFUNCTION("""COMPUTED_VALUE"""),"malcolm")</f>
        <v>malcolm</v>
      </c>
      <c r="Q1381" s="6" t="str">
        <f>IFERROR(__xludf.DUMMYFUNCTION("""COMPUTED_VALUE"""),"breakthrough")</f>
        <v>breakthrough</v>
      </c>
      <c r="S1381" s="6" t="str">
        <f>IFERROR(__xludf.DUMMYFUNCTION("""COMPUTED_VALUE"""),"field")</f>
        <v>field</v>
      </c>
    </row>
    <row r="1382">
      <c r="B1382" s="6"/>
      <c r="D1382" s="6"/>
      <c r="G1382" s="6" t="str">
        <f>IFERROR(__xludf.DUMMYFUNCTION("""COMPUTED_VALUE"""),"clones")</f>
        <v>clones</v>
      </c>
      <c r="H1382" s="6" t="str">
        <f>IFERROR(__xludf.DUMMYFUNCTION("""COMPUTED_VALUE"""),"disciplined")</f>
        <v>disciplined</v>
      </c>
      <c r="I1382" s="6"/>
      <c r="J1382" s="6" t="str">
        <f>IFERROR(__xludf.DUMMYFUNCTION("""COMPUTED_VALUE"""),"content")</f>
        <v>content</v>
      </c>
      <c r="L1382" s="6" t="str">
        <f>IFERROR(__xludf.DUMMYFUNCTION("""COMPUTED_VALUE"""),"indifference")</f>
        <v>indifference</v>
      </c>
      <c r="M1382" s="6" t="str">
        <f>IFERROR(__xludf.DUMMYFUNCTION("""COMPUTED_VALUE"""),"20th")</f>
        <v>20th</v>
      </c>
      <c r="N1382" s="6" t="str">
        <f>IFERROR(__xludf.DUMMYFUNCTION("""COMPUTED_VALUE"""),"freight")</f>
        <v>freight</v>
      </c>
      <c r="P1382" s="6" t="str">
        <f>IFERROR(__xludf.DUMMYFUNCTION("""COMPUTED_VALUE"""),"roman")</f>
        <v>roman</v>
      </c>
      <c r="Q1382" s="6" t="str">
        <f>IFERROR(__xludf.DUMMYFUNCTION("""COMPUTED_VALUE"""),"cheering")</f>
        <v>cheering</v>
      </c>
      <c r="S1382" s="6" t="str">
        <f>IFERROR(__xludf.DUMMYFUNCTION("""COMPUTED_VALUE"""),"medicine")</f>
        <v>medicine</v>
      </c>
    </row>
    <row r="1383">
      <c r="B1383" s="6"/>
      <c r="D1383" s="6"/>
      <c r="G1383" s="6" t="str">
        <f>IFERROR(__xludf.DUMMYFUNCTION("""COMPUTED_VALUE"""),"destruction")</f>
        <v>destruction</v>
      </c>
      <c r="H1383" s="6" t="str">
        <f>IFERROR(__xludf.DUMMYFUNCTION("""COMPUTED_VALUE"""),"ironic")</f>
        <v>ironic</v>
      </c>
      <c r="I1383" s="6"/>
      <c r="J1383" s="6" t="str">
        <f>IFERROR(__xludf.DUMMYFUNCTION("""COMPUTED_VALUE"""),"diary")</f>
        <v>diary</v>
      </c>
      <c r="L1383" s="6" t="str">
        <f>IFERROR(__xludf.DUMMYFUNCTION("""COMPUTED_VALUE"""),"adventures")</f>
        <v>adventures</v>
      </c>
      <c r="M1383" s="6" t="str">
        <f>IFERROR(__xludf.DUMMYFUNCTION("""COMPUTED_VALUE"""),"drawing")</f>
        <v>drawing</v>
      </c>
      <c r="N1383" s="6" t="str">
        <f>IFERROR(__xludf.DUMMYFUNCTION("""COMPUTED_VALUE"""),"grounded")</f>
        <v>grounded</v>
      </c>
      <c r="P1383" s="6" t="str">
        <f>IFERROR(__xludf.DUMMYFUNCTION("""COMPUTED_VALUE"""),"iran")</f>
        <v>iran</v>
      </c>
      <c r="Q1383" s="6" t="str">
        <f>IFERROR(__xludf.DUMMYFUNCTION("""COMPUTED_VALUE"""),"assumes")</f>
        <v>assumes</v>
      </c>
      <c r="S1383" s="6" t="str">
        <f>IFERROR(__xludf.DUMMYFUNCTION("""COMPUTED_VALUE"""),"turning")</f>
        <v>turning</v>
      </c>
    </row>
    <row r="1384">
      <c r="B1384" s="6"/>
      <c r="D1384" s="6"/>
      <c r="G1384" s="6" t="str">
        <f>IFERROR(__xludf.DUMMYFUNCTION("""COMPUTED_VALUE"""),"cheerfully")</f>
        <v>cheerfully</v>
      </c>
      <c r="H1384" s="6" t="str">
        <f>IFERROR(__xludf.DUMMYFUNCTION("""COMPUTED_VALUE"""),"endurance")</f>
        <v>endurance</v>
      </c>
      <c r="I1384" s="6"/>
      <c r="J1384" s="6" t="str">
        <f>IFERROR(__xludf.DUMMYFUNCTION("""COMPUTED_VALUE"""),"mild")</f>
        <v>mild</v>
      </c>
      <c r="L1384" s="6" t="str">
        <f>IFERROR(__xludf.DUMMYFUNCTION("""COMPUTED_VALUE"""),"revealing")</f>
        <v>revealing</v>
      </c>
      <c r="M1384" s="6" t="str">
        <f>IFERROR(__xludf.DUMMYFUNCTION("""COMPUTED_VALUE"""),"glow")</f>
        <v>glow</v>
      </c>
      <c r="N1384" s="6" t="str">
        <f>IFERROR(__xludf.DUMMYFUNCTION("""COMPUTED_VALUE"""),"complexity")</f>
        <v>complexity</v>
      </c>
      <c r="P1384" s="6" t="str">
        <f>IFERROR(__xludf.DUMMYFUNCTION("""COMPUTED_VALUE"""),"california")</f>
        <v>california</v>
      </c>
      <c r="Q1384" s="6" t="str">
        <f>IFERROR(__xludf.DUMMYFUNCTION("""COMPUTED_VALUE"""),"bright")</f>
        <v>bright</v>
      </c>
      <c r="S1384" s="6" t="str">
        <f>IFERROR(__xludf.DUMMYFUNCTION("""COMPUTED_VALUE"""),"tongue")</f>
        <v>tongue</v>
      </c>
    </row>
    <row r="1385">
      <c r="B1385" s="6"/>
      <c r="D1385" s="6"/>
      <c r="G1385" s="6" t="str">
        <f>IFERROR(__xludf.DUMMYFUNCTION("""COMPUTED_VALUE"""),"moat")</f>
        <v>moat</v>
      </c>
      <c r="H1385" s="6" t="str">
        <f>IFERROR(__xludf.DUMMYFUNCTION("""COMPUTED_VALUE"""),"tightened")</f>
        <v>tightened</v>
      </c>
      <c r="I1385" s="6"/>
      <c r="J1385" s="6" t="str">
        <f>IFERROR(__xludf.DUMMYFUNCTION("""COMPUTED_VALUE"""),"stays")</f>
        <v>stays</v>
      </c>
      <c r="L1385" s="6" t="str">
        <f>IFERROR(__xludf.DUMMYFUNCTION("""COMPUTED_VALUE"""),"album")</f>
        <v>album</v>
      </c>
      <c r="M1385" s="6" t="str">
        <f>IFERROR(__xludf.DUMMYFUNCTION("""COMPUTED_VALUE"""),"tale")</f>
        <v>tale</v>
      </c>
      <c r="N1385" s="6" t="str">
        <f>IFERROR(__xludf.DUMMYFUNCTION("""COMPUTED_VALUE"""),"wherein")</f>
        <v>wherein</v>
      </c>
      <c r="P1385" s="6" t="str">
        <f>IFERROR(__xludf.DUMMYFUNCTION("""COMPUTED_VALUE"""),"award")</f>
        <v>award</v>
      </c>
      <c r="Q1385" s="6" t="str">
        <f>IFERROR(__xludf.DUMMYFUNCTION("""COMPUTED_VALUE"""),"recovery")</f>
        <v>recovery</v>
      </c>
      <c r="S1385" s="6" t="str">
        <f>IFERROR(__xludf.DUMMYFUNCTION("""COMPUTED_VALUE"""),"approaches")</f>
        <v>approaches</v>
      </c>
    </row>
    <row r="1386">
      <c r="B1386" s="6"/>
      <c r="D1386" s="6"/>
      <c r="G1386" s="6" t="str">
        <f>IFERROR(__xludf.DUMMYFUNCTION("""COMPUTED_VALUE"""),"chicken")</f>
        <v>chicken</v>
      </c>
      <c r="H1386" s="6" t="str">
        <f>IFERROR(__xludf.DUMMYFUNCTION("""COMPUTED_VALUE"""),"collaborative")</f>
        <v>collaborative</v>
      </c>
      <c r="I1386" s="6"/>
      <c r="J1386" s="6" t="str">
        <f>IFERROR(__xludf.DUMMYFUNCTION("""COMPUTED_VALUE"""),"fuels")</f>
        <v>fuels</v>
      </c>
      <c r="L1386" s="6" t="str">
        <f>IFERROR(__xludf.DUMMYFUNCTION("""COMPUTED_VALUE"""),"reveal")</f>
        <v>reveal</v>
      </c>
      <c r="M1386" s="6" t="str">
        <f>IFERROR(__xludf.DUMMYFUNCTION("""COMPUTED_VALUE"""),"believed")</f>
        <v>believed</v>
      </c>
      <c r="N1386" s="6" t="str">
        <f>IFERROR(__xludf.DUMMYFUNCTION("""COMPUTED_VALUE"""),"eventual")</f>
        <v>eventual</v>
      </c>
      <c r="P1386" s="6" t="str">
        <f>IFERROR(__xludf.DUMMYFUNCTION("""COMPUTED_VALUE"""),"appearing")</f>
        <v>appearing</v>
      </c>
      <c r="Q1386" s="6" t="str">
        <f>IFERROR(__xludf.DUMMYFUNCTION("""COMPUTED_VALUE"""),"unmistakable")</f>
        <v>unmistakable</v>
      </c>
      <c r="S1386" s="6" t="str">
        <f>IFERROR(__xludf.DUMMYFUNCTION("""COMPUTED_VALUE"""),"daughter")</f>
        <v>daughter</v>
      </c>
    </row>
    <row r="1387">
      <c r="B1387" s="6"/>
      <c r="D1387" s="6"/>
      <c r="G1387" s="6" t="str">
        <f>IFERROR(__xludf.DUMMYFUNCTION("""COMPUTED_VALUE"""),"rooted")</f>
        <v>rooted</v>
      </c>
      <c r="H1387" s="6" t="str">
        <f>IFERROR(__xludf.DUMMYFUNCTION("""COMPUTED_VALUE"""),"ai")</f>
        <v>ai</v>
      </c>
      <c r="I1387" s="6"/>
      <c r="J1387" s="6" t="str">
        <f>IFERROR(__xludf.DUMMYFUNCTION("""COMPUTED_VALUE"""),"freighter")</f>
        <v>freighter</v>
      </c>
      <c r="L1387" s="6" t="str">
        <f>IFERROR(__xludf.DUMMYFUNCTION("""COMPUTED_VALUE"""),"helm")</f>
        <v>helm</v>
      </c>
      <c r="M1387" s="6" t="str">
        <f>IFERROR(__xludf.DUMMYFUNCTION("""COMPUTED_VALUE"""),"spiritual")</f>
        <v>spiritual</v>
      </c>
      <c r="N1387" s="6" t="str">
        <f>IFERROR(__xludf.DUMMYFUNCTION("""COMPUTED_VALUE"""),"hollow")</f>
        <v>hollow</v>
      </c>
      <c r="P1387" s="6" t="str">
        <f>IFERROR(__xludf.DUMMYFUNCTION("""COMPUTED_VALUE"""),"struck")</f>
        <v>struck</v>
      </c>
      <c r="Q1387" s="6" t="str">
        <f>IFERROR(__xludf.DUMMYFUNCTION("""COMPUTED_VALUE"""),"capture")</f>
        <v>capture</v>
      </c>
      <c r="S1387" s="6" t="str">
        <f>IFERROR(__xludf.DUMMYFUNCTION("""COMPUTED_VALUE"""),"students")</f>
        <v>students</v>
      </c>
    </row>
    <row r="1388">
      <c r="B1388" s="6"/>
      <c r="D1388" s="6"/>
      <c r="G1388" s="6" t="str">
        <f>IFERROR(__xludf.DUMMYFUNCTION("""COMPUTED_VALUE"""),"bourgeois")</f>
        <v>bourgeois</v>
      </c>
      <c r="H1388" s="6" t="str">
        <f>IFERROR(__xludf.DUMMYFUNCTION("""COMPUTED_VALUE"""),"continuity")</f>
        <v>continuity</v>
      </c>
      <c r="I1388" s="6"/>
      <c r="J1388" s="6" t="str">
        <f>IFERROR(__xludf.DUMMYFUNCTION("""COMPUTED_VALUE"""),"stretches")</f>
        <v>stretches</v>
      </c>
      <c r="L1388" s="6" t="str">
        <f>IFERROR(__xludf.DUMMYFUNCTION("""COMPUTED_VALUE"""),"submarine")</f>
        <v>submarine</v>
      </c>
      <c r="M1388" s="6" t="str">
        <f>IFERROR(__xludf.DUMMYFUNCTION("""COMPUTED_VALUE"""),"struggle")</f>
        <v>struggle</v>
      </c>
      <c r="N1388" s="6" t="str">
        <f>IFERROR(__xludf.DUMMYFUNCTION("""COMPUTED_VALUE"""),"strengths")</f>
        <v>strengths</v>
      </c>
      <c r="P1388" s="6" t="str">
        <f>IFERROR(__xludf.DUMMYFUNCTION("""COMPUTED_VALUE"""),"chronicle")</f>
        <v>chronicle</v>
      </c>
      <c r="Q1388" s="6" t="str">
        <f>IFERROR(__xludf.DUMMYFUNCTION("""COMPUTED_VALUE"""),"chaos")</f>
        <v>chaos</v>
      </c>
      <c r="S1388" s="6" t="str">
        <f>IFERROR(__xludf.DUMMYFUNCTION("""COMPUTED_VALUE"""),"confused")</f>
        <v>confused</v>
      </c>
    </row>
    <row r="1389">
      <c r="B1389" s="6"/>
      <c r="D1389" s="6"/>
      <c r="G1389" s="6" t="str">
        <f>IFERROR(__xludf.DUMMYFUNCTION("""COMPUTED_VALUE"""),"ye")</f>
        <v>ye</v>
      </c>
      <c r="H1389" s="6" t="str">
        <f>IFERROR(__xludf.DUMMYFUNCTION("""COMPUTED_VALUE"""),"ambrose")</f>
        <v>ambrose</v>
      </c>
      <c r="I1389" s="6"/>
      <c r="J1389" s="6" t="str">
        <f>IFERROR(__xludf.DUMMYFUNCTION("""COMPUTED_VALUE"""),"clown")</f>
        <v>clown</v>
      </c>
      <c r="L1389" s="6" t="str">
        <f>IFERROR(__xludf.DUMMYFUNCTION("""COMPUTED_VALUE"""),"bracing")</f>
        <v>bracing</v>
      </c>
      <c r="M1389" s="6" t="str">
        <f>IFERROR(__xludf.DUMMYFUNCTION("""COMPUTED_VALUE"""),"paris")</f>
        <v>paris</v>
      </c>
      <c r="N1389" s="6" t="str">
        <f>IFERROR(__xludf.DUMMYFUNCTION("""COMPUTED_VALUE"""),"composition")</f>
        <v>composition</v>
      </c>
      <c r="P1389" s="6" t="str">
        <f>IFERROR(__xludf.DUMMYFUNCTION("""COMPUTED_VALUE"""),"parker")</f>
        <v>parker</v>
      </c>
      <c r="Q1389" s="6" t="str">
        <f>IFERROR(__xludf.DUMMYFUNCTION("""COMPUTED_VALUE"""),"penetrating")</f>
        <v>penetrating</v>
      </c>
      <c r="S1389" s="6" t="str">
        <f>IFERROR(__xludf.DUMMYFUNCTION("""COMPUTED_VALUE"""),"necessary")</f>
        <v>necessary</v>
      </c>
    </row>
    <row r="1390">
      <c r="B1390" s="6"/>
      <c r="D1390" s="6"/>
      <c r="G1390" s="6" t="str">
        <f>IFERROR(__xludf.DUMMYFUNCTION("""COMPUTED_VALUE"""),"landscapes")</f>
        <v>landscapes</v>
      </c>
      <c r="H1390" s="6" t="str">
        <f>IFERROR(__xludf.DUMMYFUNCTION("""COMPUTED_VALUE"""),"leaps")</f>
        <v>leaps</v>
      </c>
      <c r="I1390" s="6"/>
      <c r="J1390" s="6" t="str">
        <f>IFERROR(__xludf.DUMMYFUNCTION("""COMPUTED_VALUE"""),"ecstasy")</f>
        <v>ecstasy</v>
      </c>
      <c r="L1390" s="6" t="str">
        <f>IFERROR(__xludf.DUMMYFUNCTION("""COMPUTED_VALUE"""),"salvage")</f>
        <v>salvage</v>
      </c>
      <c r="M1390" s="6" t="str">
        <f>IFERROR(__xludf.DUMMYFUNCTION("""COMPUTED_VALUE"""),"vincent")</f>
        <v>vincent</v>
      </c>
      <c r="N1390" s="6" t="str">
        <f>IFERROR(__xludf.DUMMYFUNCTION("""COMPUTED_VALUE"""),"puzzled")</f>
        <v>puzzled</v>
      </c>
      <c r="P1390" s="6" t="str">
        <f>IFERROR(__xludf.DUMMYFUNCTION("""COMPUTED_VALUE"""),"evolved")</f>
        <v>evolved</v>
      </c>
      <c r="Q1390" s="6" t="str">
        <f>IFERROR(__xludf.DUMMYFUNCTION("""COMPUTED_VALUE"""),"fascination")</f>
        <v>fascination</v>
      </c>
      <c r="S1390" s="6" t="str">
        <f>IFERROR(__xludf.DUMMYFUNCTION("""COMPUTED_VALUE"""),"equation")</f>
        <v>equation</v>
      </c>
    </row>
    <row r="1391">
      <c r="B1391" s="6"/>
      <c r="D1391" s="6"/>
      <c r="G1391" s="6" t="str">
        <f>IFERROR(__xludf.DUMMYFUNCTION("""COMPUTED_VALUE"""),"introduces")</f>
        <v>introduces</v>
      </c>
      <c r="H1391" s="6" t="str">
        <f>IFERROR(__xludf.DUMMYFUNCTION("""COMPUTED_VALUE"""),"unnamed")</f>
        <v>unnamed</v>
      </c>
      <c r="I1391" s="6"/>
      <c r="J1391" s="6" t="str">
        <f>IFERROR(__xludf.DUMMYFUNCTION("""COMPUTED_VALUE"""),"wonders")</f>
        <v>wonders</v>
      </c>
      <c r="L1391" s="6" t="str">
        <f>IFERROR(__xludf.DUMMYFUNCTION("""COMPUTED_VALUE"""),"revenge")</f>
        <v>revenge</v>
      </c>
      <c r="M1391" s="6" t="str">
        <f>IFERROR(__xludf.DUMMYFUNCTION("""COMPUTED_VALUE"""),"singing")</f>
        <v>singing</v>
      </c>
      <c r="N1391" s="6" t="str">
        <f>IFERROR(__xludf.DUMMYFUNCTION("""COMPUTED_VALUE"""),"pantheon")</f>
        <v>pantheon</v>
      </c>
      <c r="P1391" s="6" t="str">
        <f>IFERROR(__xludf.DUMMYFUNCTION("""COMPUTED_VALUE"""),"runner")</f>
        <v>runner</v>
      </c>
      <c r="Q1391" s="6" t="str">
        <f>IFERROR(__xludf.DUMMYFUNCTION("""COMPUTED_VALUE"""),"mechanics")</f>
        <v>mechanics</v>
      </c>
      <c r="S1391" s="6" t="str">
        <f>IFERROR(__xludf.DUMMYFUNCTION("""COMPUTED_VALUE"""),"adams")</f>
        <v>adams</v>
      </c>
    </row>
    <row r="1392">
      <c r="B1392" s="6"/>
      <c r="D1392" s="6"/>
      <c r="G1392" s="6" t="str">
        <f>IFERROR(__xludf.DUMMYFUNCTION("""COMPUTED_VALUE"""),"portraits")</f>
        <v>portraits</v>
      </c>
      <c r="H1392" s="6" t="str">
        <f>IFERROR(__xludf.DUMMYFUNCTION("""COMPUTED_VALUE"""),"ambition")</f>
        <v>ambition</v>
      </c>
      <c r="I1392" s="6"/>
      <c r="J1392" s="6" t="str">
        <f>IFERROR(__xludf.DUMMYFUNCTION("""COMPUTED_VALUE"""),"emphasizes")</f>
        <v>emphasizes</v>
      </c>
      <c r="L1392" s="6" t="str">
        <f>IFERROR(__xludf.DUMMYFUNCTION("""COMPUTED_VALUE"""),"adaptations")</f>
        <v>adaptations</v>
      </c>
      <c r="M1392" s="6" t="str">
        <f>IFERROR(__xludf.DUMMYFUNCTION("""COMPUTED_VALUE"""),"painting")</f>
        <v>painting</v>
      </c>
      <c r="N1392" s="6" t="str">
        <f>IFERROR(__xludf.DUMMYFUNCTION("""COMPUTED_VALUE"""),"recycled")</f>
        <v>recycled</v>
      </c>
      <c r="P1392" s="6" t="str">
        <f>IFERROR(__xludf.DUMMYFUNCTION("""COMPUTED_VALUE"""),"cousin")</f>
        <v>cousin</v>
      </c>
      <c r="Q1392" s="6" t="str">
        <f>IFERROR(__xludf.DUMMYFUNCTION("""COMPUTED_VALUE"""),"undone")</f>
        <v>undone</v>
      </c>
      <c r="S1392" s="6" t="str">
        <f>IFERROR(__xludf.DUMMYFUNCTION("""COMPUTED_VALUE"""),"soul")</f>
        <v>soul</v>
      </c>
    </row>
    <row r="1393">
      <c r="B1393" s="6"/>
      <c r="D1393" s="6"/>
      <c r="G1393" s="6" t="str">
        <f>IFERROR(__xludf.DUMMYFUNCTION("""COMPUTED_VALUE"""),"alleged")</f>
        <v>alleged</v>
      </c>
      <c r="H1393" s="6" t="str">
        <f>IFERROR(__xludf.DUMMYFUNCTION("""COMPUTED_VALUE"""),"improvised")</f>
        <v>improvised</v>
      </c>
      <c r="I1393" s="6"/>
      <c r="J1393" s="6" t="str">
        <f>IFERROR(__xludf.DUMMYFUNCTION("""COMPUTED_VALUE"""),"sessions")</f>
        <v>sessions</v>
      </c>
      <c r="L1393" s="6" t="str">
        <f>IFERROR(__xludf.DUMMYFUNCTION("""COMPUTED_VALUE"""),"actresses")</f>
        <v>actresses</v>
      </c>
      <c r="M1393" s="6" t="str">
        <f>IFERROR(__xludf.DUMMYFUNCTION("""COMPUTED_VALUE"""),"punishment")</f>
        <v>punishment</v>
      </c>
      <c r="N1393" s="6" t="str">
        <f>IFERROR(__xludf.DUMMYFUNCTION("""COMPUTED_VALUE"""),"sought")</f>
        <v>sought</v>
      </c>
      <c r="P1393" s="6" t="str">
        <f>IFERROR(__xludf.DUMMYFUNCTION("""COMPUTED_VALUE"""),"integrated")</f>
        <v>integrated</v>
      </c>
      <c r="Q1393" s="6" t="str">
        <f>IFERROR(__xludf.DUMMYFUNCTION("""COMPUTED_VALUE"""),"hall")</f>
        <v>hall</v>
      </c>
      <c r="S1393" s="6" t="str">
        <f>IFERROR(__xludf.DUMMYFUNCTION("""COMPUTED_VALUE"""),"warriors")</f>
        <v>warriors</v>
      </c>
    </row>
    <row r="1394">
      <c r="B1394" s="6"/>
      <c r="D1394" s="6"/>
      <c r="G1394" s="6" t="str">
        <f>IFERROR(__xludf.DUMMYFUNCTION("""COMPUTED_VALUE"""),"ragged")</f>
        <v>ragged</v>
      </c>
      <c r="H1394" s="6" t="str">
        <f>IFERROR(__xludf.DUMMYFUNCTION("""COMPUTED_VALUE"""),"tapestry")</f>
        <v>tapestry</v>
      </c>
      <c r="I1394" s="6"/>
      <c r="J1394" s="6" t="str">
        <f>IFERROR(__xludf.DUMMYFUNCTION("""COMPUTED_VALUE"""),"conception")</f>
        <v>conception</v>
      </c>
      <c r="L1394" s="6" t="str">
        <f>IFERROR(__xludf.DUMMYFUNCTION("""COMPUTED_VALUE"""),"subjects")</f>
        <v>subjects</v>
      </c>
      <c r="M1394" s="6" t="str">
        <f>IFERROR(__xludf.DUMMYFUNCTION("""COMPUTED_VALUE"""),"collar")</f>
        <v>collar</v>
      </c>
      <c r="N1394" s="6" t="str">
        <f>IFERROR(__xludf.DUMMYFUNCTION("""COMPUTED_VALUE"""),"achievement")</f>
        <v>achievement</v>
      </c>
      <c r="P1394" s="6" t="str">
        <f>IFERROR(__xludf.DUMMYFUNCTION("""COMPUTED_VALUE"""),"store")</f>
        <v>store</v>
      </c>
      <c r="Q1394" s="6" t="str">
        <f>IFERROR(__xludf.DUMMYFUNCTION("""COMPUTED_VALUE"""),"inspiration")</f>
        <v>inspiration</v>
      </c>
      <c r="S1394" s="6" t="str">
        <f>IFERROR(__xludf.DUMMYFUNCTION("""COMPUTED_VALUE"""),"lectures")</f>
        <v>lectures</v>
      </c>
    </row>
    <row r="1395">
      <c r="B1395" s="6"/>
      <c r="D1395" s="6"/>
      <c r="G1395" s="6" t="str">
        <f>IFERROR(__xludf.DUMMYFUNCTION("""COMPUTED_VALUE"""),"enacted")</f>
        <v>enacted</v>
      </c>
      <c r="H1395" s="6" t="str">
        <f>IFERROR(__xludf.DUMMYFUNCTION("""COMPUTED_VALUE"""),"roles")</f>
        <v>roles</v>
      </c>
      <c r="I1395" s="6"/>
      <c r="J1395" s="6" t="str">
        <f>IFERROR(__xludf.DUMMYFUNCTION("""COMPUTED_VALUE"""),"accomplishment")</f>
        <v>accomplishment</v>
      </c>
      <c r="L1395" s="6" t="str">
        <f>IFERROR(__xludf.DUMMYFUNCTION("""COMPUTED_VALUE"""),"engulfed")</f>
        <v>engulfed</v>
      </c>
      <c r="M1395" s="6" t="str">
        <f>IFERROR(__xludf.DUMMYFUNCTION("""COMPUTED_VALUE"""),"capture")</f>
        <v>capture</v>
      </c>
      <c r="N1395" s="6" t="str">
        <f>IFERROR(__xludf.DUMMYFUNCTION("""COMPUTED_VALUE"""),"structured")</f>
        <v>structured</v>
      </c>
      <c r="P1395" s="6" t="str">
        <f>IFERROR(__xludf.DUMMYFUNCTION("""COMPUTED_VALUE"""),"characterized")</f>
        <v>characterized</v>
      </c>
      <c r="Q1395" s="6" t="str">
        <f>IFERROR(__xludf.DUMMYFUNCTION("""COMPUTED_VALUE"""),"nicholson")</f>
        <v>nicholson</v>
      </c>
      <c r="S1395" s="6" t="str">
        <f>IFERROR(__xludf.DUMMYFUNCTION("""COMPUTED_VALUE"""),"terrorist")</f>
        <v>terrorist</v>
      </c>
    </row>
    <row r="1396">
      <c r="B1396" s="6"/>
      <c r="D1396" s="6"/>
      <c r="G1396" s="6" t="str">
        <f>IFERROR(__xludf.DUMMYFUNCTION("""COMPUTED_VALUE"""),"pristine")</f>
        <v>pristine</v>
      </c>
      <c r="H1396" s="6" t="str">
        <f>IFERROR(__xludf.DUMMYFUNCTION("""COMPUTED_VALUE"""),"ambiguity")</f>
        <v>ambiguity</v>
      </c>
      <c r="I1396" s="6"/>
      <c r="J1396" s="6" t="str">
        <f>IFERROR(__xludf.DUMMYFUNCTION("""COMPUTED_VALUE"""),"evelyn")</f>
        <v>evelyn</v>
      </c>
      <c r="L1396" s="6" t="str">
        <f>IFERROR(__xludf.DUMMYFUNCTION("""COMPUTED_VALUE"""),"purity")</f>
        <v>purity</v>
      </c>
      <c r="M1396" s="6" t="str">
        <f>IFERROR(__xludf.DUMMYFUNCTION("""COMPUTED_VALUE"""),"begun")</f>
        <v>begun</v>
      </c>
      <c r="N1396" s="6" t="str">
        <f>IFERROR(__xludf.DUMMYFUNCTION("""COMPUTED_VALUE"""),"combines")</f>
        <v>combines</v>
      </c>
      <c r="P1396" s="6" t="str">
        <f>IFERROR(__xludf.DUMMYFUNCTION("""COMPUTED_VALUE"""),"pre")</f>
        <v>pre</v>
      </c>
      <c r="Q1396" s="6" t="str">
        <f>IFERROR(__xludf.DUMMYFUNCTION("""COMPUTED_VALUE"""),"brush")</f>
        <v>brush</v>
      </c>
      <c r="S1396" s="6" t="str">
        <f>IFERROR(__xludf.DUMMYFUNCTION("""COMPUTED_VALUE"""),"gaze")</f>
        <v>gaze</v>
      </c>
    </row>
    <row r="1397">
      <c r="B1397" s="6"/>
      <c r="D1397" s="6"/>
      <c r="G1397" s="6" t="str">
        <f>IFERROR(__xludf.DUMMYFUNCTION("""COMPUTED_VALUE"""),"linking")</f>
        <v>linking</v>
      </c>
      <c r="H1397" s="6" t="str">
        <f>IFERROR(__xludf.DUMMYFUNCTION("""COMPUTED_VALUE"""),"symbolic")</f>
        <v>symbolic</v>
      </c>
      <c r="I1397" s="6"/>
      <c r="J1397" s="6" t="str">
        <f>IFERROR(__xludf.DUMMYFUNCTION("""COMPUTED_VALUE"""),"embrace")</f>
        <v>embrace</v>
      </c>
      <c r="L1397" s="6" t="str">
        <f>IFERROR(__xludf.DUMMYFUNCTION("""COMPUTED_VALUE"""),"tides")</f>
        <v>tides</v>
      </c>
      <c r="M1397" s="6" t="str">
        <f>IFERROR(__xludf.DUMMYFUNCTION("""COMPUTED_VALUE"""),"actors")</f>
        <v>actors</v>
      </c>
      <c r="N1397" s="6" t="str">
        <f>IFERROR(__xludf.DUMMYFUNCTION("""COMPUTED_VALUE"""),"wildlife")</f>
        <v>wildlife</v>
      </c>
      <c r="P1397" s="6" t="str">
        <f>IFERROR(__xludf.DUMMYFUNCTION("""COMPUTED_VALUE"""),"post")</f>
        <v>post</v>
      </c>
      <c r="Q1397" s="6" t="str">
        <f>IFERROR(__xludf.DUMMYFUNCTION("""COMPUTED_VALUE"""),"relies")</f>
        <v>relies</v>
      </c>
      <c r="S1397" s="6" t="str">
        <f>IFERROR(__xludf.DUMMYFUNCTION("""COMPUTED_VALUE"""),"album")</f>
        <v>album</v>
      </c>
    </row>
    <row r="1398">
      <c r="B1398" s="6"/>
      <c r="D1398" s="6"/>
      <c r="G1398" s="6" t="str">
        <f>IFERROR(__xludf.DUMMYFUNCTION("""COMPUTED_VALUE"""),"fellowship")</f>
        <v>fellowship</v>
      </c>
      <c r="H1398" s="6" t="str">
        <f>IFERROR(__xludf.DUMMYFUNCTION("""COMPUTED_VALUE"""),"assert")</f>
        <v>assert</v>
      </c>
      <c r="I1398" s="6"/>
      <c r="J1398" s="6" t="str">
        <f>IFERROR(__xludf.DUMMYFUNCTION("""COMPUTED_VALUE"""),"sonny")</f>
        <v>sonny</v>
      </c>
      <c r="L1398" s="6" t="str">
        <f>IFERROR(__xludf.DUMMYFUNCTION("""COMPUTED_VALUE"""),"sundance")</f>
        <v>sundance</v>
      </c>
      <c r="M1398" s="6" t="str">
        <f>IFERROR(__xludf.DUMMYFUNCTION("""COMPUTED_VALUE"""),"witness")</f>
        <v>witness</v>
      </c>
      <c r="N1398" s="6" t="str">
        <f>IFERROR(__xludf.DUMMYFUNCTION("""COMPUTED_VALUE"""),"fury")</f>
        <v>fury</v>
      </c>
      <c r="P1398" s="6" t="str">
        <f>IFERROR(__xludf.DUMMYFUNCTION("""COMPUTED_VALUE"""),"bronze")</f>
        <v>bronze</v>
      </c>
      <c r="Q1398" s="6" t="str">
        <f>IFERROR(__xludf.DUMMYFUNCTION("""COMPUTED_VALUE"""),"ache")</f>
        <v>ache</v>
      </c>
      <c r="S1398" s="6" t="str">
        <f>IFERROR(__xludf.DUMMYFUNCTION("""COMPUTED_VALUE"""),"square")</f>
        <v>square</v>
      </c>
    </row>
    <row r="1399">
      <c r="B1399" s="6"/>
      <c r="D1399" s="6"/>
      <c r="G1399" s="6" t="str">
        <f>IFERROR(__xludf.DUMMYFUNCTION("""COMPUTED_VALUE"""),"kurt")</f>
        <v>kurt</v>
      </c>
      <c r="H1399" s="6" t="str">
        <f>IFERROR(__xludf.DUMMYFUNCTION("""COMPUTED_VALUE"""),"contenders")</f>
        <v>contenders</v>
      </c>
      <c r="I1399" s="6"/>
      <c r="J1399" s="6" t="str">
        <f>IFERROR(__xludf.DUMMYFUNCTION("""COMPUTED_VALUE"""),"station")</f>
        <v>station</v>
      </c>
      <c r="L1399" s="6" t="str">
        <f>IFERROR(__xludf.DUMMYFUNCTION("""COMPUTED_VALUE"""),"depict")</f>
        <v>depict</v>
      </c>
      <c r="M1399" s="6" t="str">
        <f>IFERROR(__xludf.DUMMYFUNCTION("""COMPUTED_VALUE"""),"howard")</f>
        <v>howard</v>
      </c>
      <c r="N1399" s="6" t="str">
        <f>IFERROR(__xludf.DUMMYFUNCTION("""COMPUTED_VALUE"""),"chan")</f>
        <v>chan</v>
      </c>
      <c r="P1399" s="6" t="str">
        <f>IFERROR(__xludf.DUMMYFUNCTION("""COMPUTED_VALUE"""),"nick")</f>
        <v>nick</v>
      </c>
      <c r="Q1399" s="6" t="str">
        <f>IFERROR(__xludf.DUMMYFUNCTION("""COMPUTED_VALUE"""),"intent")</f>
        <v>intent</v>
      </c>
      <c r="S1399" s="6" t="str">
        <f>IFERROR(__xludf.DUMMYFUNCTION("""COMPUTED_VALUE"""),"rural")</f>
        <v>rural</v>
      </c>
    </row>
    <row r="1400">
      <c r="B1400" s="6"/>
      <c r="D1400" s="6"/>
      <c r="G1400" s="6" t="str">
        <f>IFERROR(__xludf.DUMMYFUNCTION("""COMPUTED_VALUE"""),"temple")</f>
        <v>temple</v>
      </c>
      <c r="H1400" s="6" t="str">
        <f>IFERROR(__xludf.DUMMYFUNCTION("""COMPUTED_VALUE"""),"freedom")</f>
        <v>freedom</v>
      </c>
      <c r="I1400" s="6"/>
      <c r="J1400" s="6" t="str">
        <f>IFERROR(__xludf.DUMMYFUNCTION("""COMPUTED_VALUE"""),"delicately")</f>
        <v>delicately</v>
      </c>
      <c r="L1400" s="6" t="str">
        <f>IFERROR(__xludf.DUMMYFUNCTION("""COMPUTED_VALUE"""),"tackled")</f>
        <v>tackled</v>
      </c>
      <c r="M1400" s="6" t="str">
        <f>IFERROR(__xludf.DUMMYFUNCTION("""COMPUTED_VALUE"""),"electric")</f>
        <v>electric</v>
      </c>
      <c r="N1400" s="6" t="str">
        <f>IFERROR(__xludf.DUMMYFUNCTION("""COMPUTED_VALUE"""),"evolution")</f>
        <v>evolution</v>
      </c>
      <c r="P1400" s="6" t="str">
        <f>IFERROR(__xludf.DUMMYFUNCTION("""COMPUTED_VALUE"""),"signals")</f>
        <v>signals</v>
      </c>
      <c r="Q1400" s="6" t="str">
        <f>IFERROR(__xludf.DUMMYFUNCTION("""COMPUTED_VALUE"""),"creeping")</f>
        <v>creeping</v>
      </c>
      <c r="S1400" s="6" t="str">
        <f>IFERROR(__xludf.DUMMYFUNCTION("""COMPUTED_VALUE"""),"birmingham")</f>
        <v>birmingham</v>
      </c>
    </row>
    <row r="1401">
      <c r="B1401" s="6"/>
      <c r="D1401" s="6"/>
      <c r="G1401" s="6" t="str">
        <f>IFERROR(__xludf.DUMMYFUNCTION("""COMPUTED_VALUE"""),"scoring")</f>
        <v>scoring</v>
      </c>
      <c r="H1401" s="6" t="str">
        <f>IFERROR(__xludf.DUMMYFUNCTION("""COMPUTED_VALUE"""),"donovan")</f>
        <v>donovan</v>
      </c>
      <c r="I1401" s="6"/>
      <c r="J1401" s="6" t="str">
        <f>IFERROR(__xludf.DUMMYFUNCTION("""COMPUTED_VALUE"""),"memoir")</f>
        <v>memoir</v>
      </c>
      <c r="L1401" s="6" t="str">
        <f>IFERROR(__xludf.DUMMYFUNCTION("""COMPUTED_VALUE"""),"screenings")</f>
        <v>screenings</v>
      </c>
      <c r="M1401" s="6" t="str">
        <f>IFERROR(__xludf.DUMMYFUNCTION("""COMPUTED_VALUE"""),"ai")</f>
        <v>ai</v>
      </c>
      <c r="N1401" s="6" t="str">
        <f>IFERROR(__xludf.DUMMYFUNCTION("""COMPUTED_VALUE"""),"homosexual")</f>
        <v>homosexual</v>
      </c>
      <c r="P1401" s="6" t="str">
        <f>IFERROR(__xludf.DUMMYFUNCTION("""COMPUTED_VALUE"""),"background")</f>
        <v>background</v>
      </c>
      <c r="Q1401" s="6" t="str">
        <f>IFERROR(__xludf.DUMMYFUNCTION("""COMPUTED_VALUE"""),"economical")</f>
        <v>economical</v>
      </c>
      <c r="S1401" s="6" t="str">
        <f>IFERROR(__xludf.DUMMYFUNCTION("""COMPUTED_VALUE"""),"expecting")</f>
        <v>expecting</v>
      </c>
    </row>
    <row r="1402">
      <c r="B1402" s="6"/>
      <c r="D1402" s="6"/>
      <c r="G1402" s="6" t="str">
        <f>IFERROR(__xludf.DUMMYFUNCTION("""COMPUTED_VALUE"""),"collar")</f>
        <v>collar</v>
      </c>
      <c r="H1402" s="6" t="str">
        <f>IFERROR(__xludf.DUMMYFUNCTION("""COMPUTED_VALUE"""),"irwin")</f>
        <v>irwin</v>
      </c>
      <c r="I1402" s="6"/>
      <c r="J1402" s="6" t="str">
        <f>IFERROR(__xludf.DUMMYFUNCTION("""COMPUTED_VALUE"""),"scarcely")</f>
        <v>scarcely</v>
      </c>
      <c r="L1402" s="6" t="str">
        <f>IFERROR(__xludf.DUMMYFUNCTION("""COMPUTED_VALUE"""),"prince")</f>
        <v>prince</v>
      </c>
      <c r="M1402" s="6" t="str">
        <f>IFERROR(__xludf.DUMMYFUNCTION("""COMPUTED_VALUE"""),"powerful")</f>
        <v>powerful</v>
      </c>
      <c r="N1402" s="6" t="str">
        <f>IFERROR(__xludf.DUMMYFUNCTION("""COMPUTED_VALUE"""),"chemistry")</f>
        <v>chemistry</v>
      </c>
      <c r="P1402" s="6" t="str">
        <f>IFERROR(__xludf.DUMMYFUNCTION("""COMPUTED_VALUE"""),"traffic")</f>
        <v>traffic</v>
      </c>
      <c r="Q1402" s="6" t="str">
        <f>IFERROR(__xludf.DUMMYFUNCTION("""COMPUTED_VALUE"""),"distinctly")</f>
        <v>distinctly</v>
      </c>
      <c r="S1402" s="6" t="str">
        <f>IFERROR(__xludf.DUMMYFUNCTION("""COMPUTED_VALUE"""),"guy")</f>
        <v>guy</v>
      </c>
    </row>
    <row r="1403">
      <c r="B1403" s="6"/>
      <c r="D1403" s="6"/>
      <c r="G1403" s="6" t="str">
        <f>IFERROR(__xludf.DUMMYFUNCTION("""COMPUTED_VALUE"""),"nonfiction")</f>
        <v>nonfiction</v>
      </c>
      <c r="H1403" s="6" t="str">
        <f>IFERROR(__xludf.DUMMYFUNCTION("""COMPUTED_VALUE"""),"procedural")</f>
        <v>procedural</v>
      </c>
      <c r="I1403" s="6"/>
      <c r="J1403" s="6" t="str">
        <f>IFERROR(__xludf.DUMMYFUNCTION("""COMPUTED_VALUE"""),"expressive")</f>
        <v>expressive</v>
      </c>
      <c r="L1403" s="6" t="str">
        <f>IFERROR(__xludf.DUMMYFUNCTION("""COMPUTED_VALUE"""),"freight")</f>
        <v>freight</v>
      </c>
      <c r="M1403" s="6" t="str">
        <f>IFERROR(__xludf.DUMMYFUNCTION("""COMPUTED_VALUE"""),"quietly")</f>
        <v>quietly</v>
      </c>
      <c r="N1403" s="6" t="str">
        <f>IFERROR(__xludf.DUMMYFUNCTION("""COMPUTED_VALUE"""),"undoubtedly")</f>
        <v>undoubtedly</v>
      </c>
      <c r="P1403" s="6" t="str">
        <f>IFERROR(__xludf.DUMMYFUNCTION("""COMPUTED_VALUE"""),"engaged")</f>
        <v>engaged</v>
      </c>
      <c r="Q1403" s="6" t="str">
        <f>IFERROR(__xludf.DUMMYFUNCTION("""COMPUTED_VALUE"""),"ideal")</f>
        <v>ideal</v>
      </c>
      <c r="S1403" s="6" t="str">
        <f>IFERROR(__xludf.DUMMYFUNCTION("""COMPUTED_VALUE"""),"flight")</f>
        <v>flight</v>
      </c>
    </row>
    <row r="1404">
      <c r="B1404" s="6"/>
      <c r="D1404" s="6"/>
      <c r="G1404" s="6" t="str">
        <f>IFERROR(__xludf.DUMMYFUNCTION("""COMPUTED_VALUE"""),"effectiveness")</f>
        <v>effectiveness</v>
      </c>
      <c r="H1404" s="6" t="str">
        <f>IFERROR(__xludf.DUMMYFUNCTION("""COMPUTED_VALUE"""),"schneider")</f>
        <v>schneider</v>
      </c>
      <c r="I1404" s="6"/>
      <c r="J1404" s="6" t="str">
        <f>IFERROR(__xludf.DUMMYFUNCTION("""COMPUTED_VALUE"""),"provoked")</f>
        <v>provoked</v>
      </c>
      <c r="L1404" s="6" t="str">
        <f>IFERROR(__xludf.DUMMYFUNCTION("""COMPUTED_VALUE"""),"grounded")</f>
        <v>grounded</v>
      </c>
      <c r="M1404" s="6" t="str">
        <f>IFERROR(__xludf.DUMMYFUNCTION("""COMPUTED_VALUE"""),"distinctive")</f>
        <v>distinctive</v>
      </c>
      <c r="N1404" s="6" t="str">
        <f>IFERROR(__xludf.DUMMYFUNCTION("""COMPUTED_VALUE"""),"chilling")</f>
        <v>chilling</v>
      </c>
      <c r="P1404" s="6">
        <f>IFERROR(__xludf.DUMMYFUNCTION("""COMPUTED_VALUE"""),1958.0)</f>
        <v>1958</v>
      </c>
      <c r="Q1404" s="6" t="str">
        <f>IFERROR(__xludf.DUMMYFUNCTION("""COMPUTED_VALUE"""),"body")</f>
        <v>body</v>
      </c>
      <c r="S1404" s="6" t="str">
        <f>IFERROR(__xludf.DUMMYFUNCTION("""COMPUTED_VALUE"""),"deliberately")</f>
        <v>deliberately</v>
      </c>
    </row>
    <row r="1405">
      <c r="B1405" s="6"/>
      <c r="D1405" s="6"/>
      <c r="G1405" s="6" t="str">
        <f>IFERROR(__xludf.DUMMYFUNCTION("""COMPUTED_VALUE"""),"graves")</f>
        <v>graves</v>
      </c>
      <c r="H1405" s="6" t="str">
        <f>IFERROR(__xludf.DUMMYFUNCTION("""COMPUTED_VALUE"""),"crypt")</f>
        <v>crypt</v>
      </c>
      <c r="I1405" s="6"/>
      <c r="J1405" s="6" t="str">
        <f>IFERROR(__xludf.DUMMYFUNCTION("""COMPUTED_VALUE"""),"tenor")</f>
        <v>tenor</v>
      </c>
      <c r="L1405" s="6" t="str">
        <f>IFERROR(__xludf.DUMMYFUNCTION("""COMPUTED_VALUE"""),"teaming")</f>
        <v>teaming</v>
      </c>
      <c r="M1405" s="6" t="str">
        <f>IFERROR(__xludf.DUMMYFUNCTION("""COMPUTED_VALUE"""),"finds")</f>
        <v>finds</v>
      </c>
      <c r="N1405" s="6" t="str">
        <f>IFERROR(__xludf.DUMMYFUNCTION("""COMPUTED_VALUE"""),"predecessor")</f>
        <v>predecessor</v>
      </c>
      <c r="P1405" s="6" t="str">
        <f>IFERROR(__xludf.DUMMYFUNCTION("""COMPUTED_VALUE"""),"races")</f>
        <v>races</v>
      </c>
      <c r="Q1405" s="6" t="str">
        <f>IFERROR(__xludf.DUMMYFUNCTION("""COMPUTED_VALUE"""),"theories")</f>
        <v>theories</v>
      </c>
      <c r="S1405" s="6" t="str">
        <f>IFERROR(__xludf.DUMMYFUNCTION("""COMPUTED_VALUE"""),"possibly")</f>
        <v>possibly</v>
      </c>
    </row>
    <row r="1406">
      <c r="B1406" s="6"/>
      <c r="D1406" s="6"/>
      <c r="G1406" s="6" t="str">
        <f>IFERROR(__xludf.DUMMYFUNCTION("""COMPUTED_VALUE"""),"generations")</f>
        <v>generations</v>
      </c>
      <c r="H1406" s="6" t="str">
        <f>IFERROR(__xludf.DUMMYFUNCTION("""COMPUTED_VALUE"""),"peek")</f>
        <v>peek</v>
      </c>
      <c r="I1406" s="6"/>
      <c r="J1406" s="6" t="str">
        <f>IFERROR(__xludf.DUMMYFUNCTION("""COMPUTED_VALUE"""),"mourning")</f>
        <v>mourning</v>
      </c>
      <c r="L1406" s="6" t="str">
        <f>IFERROR(__xludf.DUMMYFUNCTION("""COMPUTED_VALUE"""),"complexity")</f>
        <v>complexity</v>
      </c>
      <c r="M1406" s="6" t="str">
        <f>IFERROR(__xludf.DUMMYFUNCTION("""COMPUTED_VALUE"""),"targeted")</f>
        <v>targeted</v>
      </c>
      <c r="N1406" s="6" t="str">
        <f>IFERROR(__xludf.DUMMYFUNCTION("""COMPUTED_VALUE"""),"ninth")</f>
        <v>ninth</v>
      </c>
      <c r="P1406" s="6" t="str">
        <f>IFERROR(__xludf.DUMMYFUNCTION("""COMPUTED_VALUE"""),"luther")</f>
        <v>luther</v>
      </c>
      <c r="Q1406" s="6" t="str">
        <f>IFERROR(__xludf.DUMMYFUNCTION("""COMPUTED_VALUE"""),"ominous")</f>
        <v>ominous</v>
      </c>
      <c r="S1406" s="6" t="str">
        <f>IFERROR(__xludf.DUMMYFUNCTION("""COMPUTED_VALUE"""),"front")</f>
        <v>front</v>
      </c>
    </row>
    <row r="1407">
      <c r="B1407" s="6"/>
      <c r="D1407" s="6"/>
      <c r="G1407" s="6" t="str">
        <f>IFERROR(__xludf.DUMMYFUNCTION("""COMPUTED_VALUE"""),"deeds")</f>
        <v>deeds</v>
      </c>
      <c r="H1407" s="6" t="str">
        <f>IFERROR(__xludf.DUMMYFUNCTION("""COMPUTED_VALUE"""),"protagonist")</f>
        <v>protagonist</v>
      </c>
      <c r="I1407" s="6"/>
      <c r="J1407" s="6" t="str">
        <f>IFERROR(__xludf.DUMMYFUNCTION("""COMPUTED_VALUE"""),"adultery")</f>
        <v>adultery</v>
      </c>
      <c r="L1407" s="6" t="str">
        <f>IFERROR(__xludf.DUMMYFUNCTION("""COMPUTED_VALUE"""),"wherein")</f>
        <v>wherein</v>
      </c>
      <c r="M1407" s="6" t="str">
        <f>IFERROR(__xludf.DUMMYFUNCTION("""COMPUTED_VALUE"""),"stroke")</f>
        <v>stroke</v>
      </c>
      <c r="N1407" s="6" t="str">
        <f>IFERROR(__xludf.DUMMYFUNCTION("""COMPUTED_VALUE"""),"disbelief")</f>
        <v>disbelief</v>
      </c>
      <c r="P1407" s="6" t="str">
        <f>IFERROR(__xludf.DUMMYFUNCTION("""COMPUTED_VALUE"""),"doctorate")</f>
        <v>doctorate</v>
      </c>
      <c r="Q1407" s="6" t="str">
        <f>IFERROR(__xludf.DUMMYFUNCTION("""COMPUTED_VALUE"""),"earthly")</f>
        <v>earthly</v>
      </c>
      <c r="S1407" s="6" t="str">
        <f>IFERROR(__xludf.DUMMYFUNCTION("""COMPUTED_VALUE"""),"thirty")</f>
        <v>thirty</v>
      </c>
    </row>
    <row r="1408">
      <c r="B1408" s="6"/>
      <c r="D1408" s="6"/>
      <c r="G1408" s="6" t="str">
        <f>IFERROR(__xludf.DUMMYFUNCTION("""COMPUTED_VALUE"""),"margins")</f>
        <v>margins</v>
      </c>
      <c r="H1408" s="6" t="str">
        <f>IFERROR(__xludf.DUMMYFUNCTION("""COMPUTED_VALUE"""),"patriotic")</f>
        <v>patriotic</v>
      </c>
      <c r="I1408" s="6"/>
      <c r="J1408" s="6" t="str">
        <f>IFERROR(__xludf.DUMMYFUNCTION("""COMPUTED_VALUE"""),"rampant")</f>
        <v>rampant</v>
      </c>
      <c r="L1408" s="6" t="str">
        <f>IFERROR(__xludf.DUMMYFUNCTION("""COMPUTED_VALUE"""),"eventual")</f>
        <v>eventual</v>
      </c>
      <c r="M1408" s="6" t="str">
        <f>IFERROR(__xludf.DUMMYFUNCTION("""COMPUTED_VALUE"""),"forum")</f>
        <v>forum</v>
      </c>
      <c r="N1408" s="6" t="str">
        <f>IFERROR(__xludf.DUMMYFUNCTION("""COMPUTED_VALUE"""),"crises")</f>
        <v>crises</v>
      </c>
      <c r="P1408" s="6" t="str">
        <f>IFERROR(__xludf.DUMMYFUNCTION("""COMPUTED_VALUE"""),"mid")</f>
        <v>mid</v>
      </c>
      <c r="Q1408" s="6" t="str">
        <f>IFERROR(__xludf.DUMMYFUNCTION("""COMPUTED_VALUE"""),"costly")</f>
        <v>costly</v>
      </c>
      <c r="S1408" s="6" t="str">
        <f>IFERROR(__xludf.DUMMYFUNCTION("""COMPUTED_VALUE"""),"conservative")</f>
        <v>conservative</v>
      </c>
    </row>
    <row r="1409">
      <c r="B1409" s="6"/>
      <c r="D1409" s="6"/>
      <c r="G1409" s="6" t="str">
        <f>IFERROR(__xludf.DUMMYFUNCTION("""COMPUTED_VALUE"""),"blues")</f>
        <v>blues</v>
      </c>
      <c r="H1409" s="6" t="str">
        <f>IFERROR(__xludf.DUMMYFUNCTION("""COMPUTED_VALUE"""),"hardened")</f>
        <v>hardened</v>
      </c>
      <c r="I1409" s="6"/>
      <c r="J1409" s="6" t="str">
        <f>IFERROR(__xludf.DUMMYFUNCTION("""COMPUTED_VALUE"""),"kingsley")</f>
        <v>kingsley</v>
      </c>
      <c r="L1409" s="6" t="str">
        <f>IFERROR(__xludf.DUMMYFUNCTION("""COMPUTED_VALUE"""),"hollow")</f>
        <v>hollow</v>
      </c>
      <c r="M1409" s="6">
        <f>IFERROR(__xludf.DUMMYFUNCTION("""COMPUTED_VALUE"""),2002.0)</f>
        <v>2002</v>
      </c>
      <c r="N1409" s="6" t="str">
        <f>IFERROR(__xludf.DUMMYFUNCTION("""COMPUTED_VALUE"""),"poverty")</f>
        <v>poverty</v>
      </c>
      <c r="P1409" s="6" t="str">
        <f>IFERROR(__xludf.DUMMYFUNCTION("""COMPUTED_VALUE"""),"insane")</f>
        <v>insane</v>
      </c>
      <c r="Q1409" s="6" t="str">
        <f>IFERROR(__xludf.DUMMYFUNCTION("""COMPUTED_VALUE"""),"land")</f>
        <v>land</v>
      </c>
      <c r="S1409" s="6" t="str">
        <f>IFERROR(__xludf.DUMMYFUNCTION("""COMPUTED_VALUE"""),"condition")</f>
        <v>condition</v>
      </c>
    </row>
    <row r="1410">
      <c r="B1410" s="6"/>
      <c r="D1410" s="6"/>
      <c r="G1410" s="6" t="str">
        <f>IFERROR(__xludf.DUMMYFUNCTION("""COMPUTED_VALUE"""),"refers")</f>
        <v>refers</v>
      </c>
      <c r="H1410" s="6" t="str">
        <f>IFERROR(__xludf.DUMMYFUNCTION("""COMPUTED_VALUE"""),"origins")</f>
        <v>origins</v>
      </c>
      <c r="I1410" s="6"/>
      <c r="J1410" s="6" t="str">
        <f>IFERROR(__xludf.DUMMYFUNCTION("""COMPUTED_VALUE"""),"successor")</f>
        <v>successor</v>
      </c>
      <c r="L1410" s="6" t="str">
        <f>IFERROR(__xludf.DUMMYFUNCTION("""COMPUTED_VALUE"""),"strengths")</f>
        <v>strengths</v>
      </c>
      <c r="M1410" s="6" t="str">
        <f>IFERROR(__xludf.DUMMYFUNCTION("""COMPUTED_VALUE"""),"core")</f>
        <v>core</v>
      </c>
      <c r="N1410" s="6" t="str">
        <f>IFERROR(__xludf.DUMMYFUNCTION("""COMPUTED_VALUE"""),"backseat")</f>
        <v>backseat</v>
      </c>
      <c r="P1410" s="6" t="str">
        <f>IFERROR(__xludf.DUMMYFUNCTION("""COMPUTED_VALUE"""),"prison")</f>
        <v>prison</v>
      </c>
      <c r="Q1410" s="6" t="str">
        <f>IFERROR(__xludf.DUMMYFUNCTION("""COMPUTED_VALUE"""),"counterparts")</f>
        <v>counterparts</v>
      </c>
      <c r="S1410" s="6" t="str">
        <f>IFERROR(__xludf.DUMMYFUNCTION("""COMPUTED_VALUE"""),"space")</f>
        <v>space</v>
      </c>
    </row>
    <row r="1411">
      <c r="B1411" s="6"/>
      <c r="D1411" s="6"/>
      <c r="G1411" s="6" t="str">
        <f>IFERROR(__xludf.DUMMYFUNCTION("""COMPUTED_VALUE"""),"shadows")</f>
        <v>shadows</v>
      </c>
      <c r="H1411" s="6" t="str">
        <f>IFERROR(__xludf.DUMMYFUNCTION("""COMPUTED_VALUE"""),"nazi")</f>
        <v>nazi</v>
      </c>
      <c r="I1411" s="6"/>
      <c r="J1411" s="6" t="str">
        <f>IFERROR(__xludf.DUMMYFUNCTION("""COMPUTED_VALUE"""),"shear")</f>
        <v>shear</v>
      </c>
      <c r="L1411" s="6" t="str">
        <f>IFERROR(__xludf.DUMMYFUNCTION("""COMPUTED_VALUE"""),"composition")</f>
        <v>composition</v>
      </c>
      <c r="M1411" s="6" t="str">
        <f>IFERROR(__xludf.DUMMYFUNCTION("""COMPUTED_VALUE"""),"amusement")</f>
        <v>amusement</v>
      </c>
      <c r="N1411" s="6" t="str">
        <f>IFERROR(__xludf.DUMMYFUNCTION("""COMPUTED_VALUE"""),"accomplishment")</f>
        <v>accomplishment</v>
      </c>
      <c r="P1411" s="6" t="str">
        <f>IFERROR(__xludf.DUMMYFUNCTION("""COMPUTED_VALUE"""),"discovery")</f>
        <v>discovery</v>
      </c>
      <c r="Q1411" s="6" t="str">
        <f>IFERROR(__xludf.DUMMYFUNCTION("""COMPUTED_VALUE"""),"schizophrenia")</f>
        <v>schizophrenia</v>
      </c>
      <c r="S1411" s="6" t="str">
        <f>IFERROR(__xludf.DUMMYFUNCTION("""COMPUTED_VALUE"""),"sought")</f>
        <v>sought</v>
      </c>
    </row>
    <row r="1412">
      <c r="B1412" s="6"/>
      <c r="D1412" s="6"/>
      <c r="G1412" s="6" t="str">
        <f>IFERROR(__xludf.DUMMYFUNCTION("""COMPUTED_VALUE"""),"afterlife")</f>
        <v>afterlife</v>
      </c>
      <c r="H1412" s="6" t="str">
        <f>IFERROR(__xludf.DUMMYFUNCTION("""COMPUTED_VALUE"""),"yiddish")</f>
        <v>yiddish</v>
      </c>
      <c r="I1412" s="6"/>
      <c r="J1412" s="6" t="str">
        <f>IFERROR(__xludf.DUMMYFUNCTION("""COMPUTED_VALUE"""),"hack")</f>
        <v>hack</v>
      </c>
      <c r="L1412" s="6" t="str">
        <f>IFERROR(__xludf.DUMMYFUNCTION("""COMPUTED_VALUE"""),"puzzled")</f>
        <v>puzzled</v>
      </c>
      <c r="M1412" s="6" t="str">
        <f>IFERROR(__xludf.DUMMYFUNCTION("""COMPUTED_VALUE"""),"determine")</f>
        <v>determine</v>
      </c>
      <c r="N1412" s="6" t="str">
        <f>IFERROR(__xludf.DUMMYFUNCTION("""COMPUTED_VALUE"""),"terror")</f>
        <v>terror</v>
      </c>
      <c r="P1412" s="6" t="str">
        <f>IFERROR(__xludf.DUMMYFUNCTION("""COMPUTED_VALUE"""),"reveal")</f>
        <v>reveal</v>
      </c>
      <c r="Q1412" s="6" t="str">
        <f>IFERROR(__xludf.DUMMYFUNCTION("""COMPUTED_VALUE"""),"captured")</f>
        <v>captured</v>
      </c>
      <c r="S1412" s="6" t="str">
        <f>IFERROR(__xludf.DUMMYFUNCTION("""COMPUTED_VALUE"""),"simultaneously")</f>
        <v>simultaneously</v>
      </c>
    </row>
    <row r="1413">
      <c r="B1413" s="6"/>
      <c r="D1413" s="6"/>
      <c r="G1413" s="6" t="str">
        <f>IFERROR(__xludf.DUMMYFUNCTION("""COMPUTED_VALUE"""),"thirteen")</f>
        <v>thirteen</v>
      </c>
      <c r="H1413" s="6" t="str">
        <f>IFERROR(__xludf.DUMMYFUNCTION("""COMPUTED_VALUE"""),"bouncing")</f>
        <v>bouncing</v>
      </c>
      <c r="I1413" s="6"/>
      <c r="J1413" s="6" t="str">
        <f>IFERROR(__xludf.DUMMYFUNCTION("""COMPUTED_VALUE"""),"bitten")</f>
        <v>bitten</v>
      </c>
      <c r="L1413" s="6" t="str">
        <f>IFERROR(__xludf.DUMMYFUNCTION("""COMPUTED_VALUE"""),"pantheon")</f>
        <v>pantheon</v>
      </c>
      <c r="M1413" s="6" t="str">
        <f>IFERROR(__xludf.DUMMYFUNCTION("""COMPUTED_VALUE"""),"drawn")</f>
        <v>drawn</v>
      </c>
      <c r="N1413" s="6" t="str">
        <f>IFERROR(__xludf.DUMMYFUNCTION("""COMPUTED_VALUE"""),"rises")</f>
        <v>rises</v>
      </c>
      <c r="P1413" s="6" t="str">
        <f>IFERROR(__xludf.DUMMYFUNCTION("""COMPUTED_VALUE"""),"effectively")</f>
        <v>effectively</v>
      </c>
      <c r="Q1413" s="6" t="str">
        <f>IFERROR(__xludf.DUMMYFUNCTION("""COMPUTED_VALUE"""),"warfare")</f>
        <v>warfare</v>
      </c>
      <c r="S1413" s="6" t="str">
        <f>IFERROR(__xludf.DUMMYFUNCTION("""COMPUTED_VALUE"""),"seattle")</f>
        <v>seattle</v>
      </c>
    </row>
    <row r="1414">
      <c r="B1414" s="6"/>
      <c r="D1414" s="6"/>
      <c r="G1414" s="6" t="str">
        <f>IFERROR(__xludf.DUMMYFUNCTION("""COMPUTED_VALUE"""),"plagued")</f>
        <v>plagued</v>
      </c>
      <c r="H1414" s="6" t="str">
        <f>IFERROR(__xludf.DUMMYFUNCTION("""COMPUTED_VALUE"""),"practiced")</f>
        <v>practiced</v>
      </c>
      <c r="I1414" s="6"/>
      <c r="J1414" s="6" t="str">
        <f>IFERROR(__xludf.DUMMYFUNCTION("""COMPUTED_VALUE"""),"volatile")</f>
        <v>volatile</v>
      </c>
      <c r="L1414" s="6" t="str">
        <f>IFERROR(__xludf.DUMMYFUNCTION("""COMPUTED_VALUE"""),"recycled")</f>
        <v>recycled</v>
      </c>
      <c r="M1414" s="6" t="str">
        <f>IFERROR(__xludf.DUMMYFUNCTION("""COMPUTED_VALUE"""),"wilson")</f>
        <v>wilson</v>
      </c>
      <c r="N1414" s="6" t="str">
        <f>IFERROR(__xludf.DUMMYFUNCTION("""COMPUTED_VALUE"""),"comparisons")</f>
        <v>comparisons</v>
      </c>
      <c r="P1414" s="6" t="str">
        <f>IFERROR(__xludf.DUMMYFUNCTION("""COMPUTED_VALUE"""),"edition")</f>
        <v>edition</v>
      </c>
      <c r="Q1414" s="6" t="str">
        <f>IFERROR(__xludf.DUMMYFUNCTION("""COMPUTED_VALUE"""),"lets")</f>
        <v>lets</v>
      </c>
      <c r="S1414" s="6" t="str">
        <f>IFERROR(__xludf.DUMMYFUNCTION("""COMPUTED_VALUE"""),"kissing")</f>
        <v>kissing</v>
      </c>
    </row>
    <row r="1415">
      <c r="B1415" s="6"/>
      <c r="D1415" s="6"/>
      <c r="G1415" s="6" t="str">
        <f>IFERROR(__xludf.DUMMYFUNCTION("""COMPUTED_VALUE"""),"fragile")</f>
        <v>fragile</v>
      </c>
      <c r="H1415" s="6" t="str">
        <f>IFERROR(__xludf.DUMMYFUNCTION("""COMPUTED_VALUE"""),"annals")</f>
        <v>annals</v>
      </c>
      <c r="I1415" s="6"/>
      <c r="J1415" s="6" t="str">
        <f>IFERROR(__xludf.DUMMYFUNCTION("""COMPUTED_VALUE"""),"resolutions")</f>
        <v>resolutions</v>
      </c>
      <c r="L1415" s="6" t="str">
        <f>IFERROR(__xludf.DUMMYFUNCTION("""COMPUTED_VALUE"""),"reduces")</f>
        <v>reduces</v>
      </c>
      <c r="M1415" s="6" t="str">
        <f>IFERROR(__xludf.DUMMYFUNCTION("""COMPUTED_VALUE"""),"directors")</f>
        <v>directors</v>
      </c>
      <c r="N1415" s="6" t="str">
        <f>IFERROR(__xludf.DUMMYFUNCTION("""COMPUTED_VALUE"""),"uncanny")</f>
        <v>uncanny</v>
      </c>
      <c r="P1415" s="6" t="str">
        <f>IFERROR(__xludf.DUMMYFUNCTION("""COMPUTED_VALUE"""),"proof")</f>
        <v>proof</v>
      </c>
      <c r="Q1415" s="6" t="str">
        <f>IFERROR(__xludf.DUMMYFUNCTION("""COMPUTED_VALUE"""),"brendan")</f>
        <v>brendan</v>
      </c>
      <c r="S1415" s="6" t="str">
        <f>IFERROR(__xludf.DUMMYFUNCTION("""COMPUTED_VALUE"""),"electric")</f>
        <v>electric</v>
      </c>
    </row>
    <row r="1416">
      <c r="B1416" s="6"/>
      <c r="D1416" s="6"/>
      <c r="G1416" s="6" t="str">
        <f>IFERROR(__xludf.DUMMYFUNCTION("""COMPUTED_VALUE"""),"teaming")</f>
        <v>teaming</v>
      </c>
      <c r="H1416" s="6" t="str">
        <f>IFERROR(__xludf.DUMMYFUNCTION("""COMPUTED_VALUE"""),"forceful")</f>
        <v>forceful</v>
      </c>
      <c r="I1416" s="6"/>
      <c r="J1416" s="6" t="str">
        <f>IFERROR(__xludf.DUMMYFUNCTION("""COMPUTED_VALUE"""),"haynes")</f>
        <v>haynes</v>
      </c>
      <c r="L1416" s="6" t="str">
        <f>IFERROR(__xludf.DUMMYFUNCTION("""COMPUTED_VALUE"""),"sought")</f>
        <v>sought</v>
      </c>
      <c r="M1416" s="6" t="str">
        <f>IFERROR(__xludf.DUMMYFUNCTION("""COMPUTED_VALUE"""),"mercy")</f>
        <v>mercy</v>
      </c>
      <c r="N1416" s="6" t="str">
        <f>IFERROR(__xludf.DUMMYFUNCTION("""COMPUTED_VALUE"""),"diversion")</f>
        <v>diversion</v>
      </c>
      <c r="P1416" s="6" t="str">
        <f>IFERROR(__xludf.DUMMYFUNCTION("""COMPUTED_VALUE"""),"concentration")</f>
        <v>concentration</v>
      </c>
      <c r="Q1416" s="6" t="str">
        <f>IFERROR(__xludf.DUMMYFUNCTION("""COMPUTED_VALUE"""),"tuned")</f>
        <v>tuned</v>
      </c>
      <c r="S1416" s="6" t="str">
        <f>IFERROR(__xludf.DUMMYFUNCTION("""COMPUTED_VALUE"""),"chief")</f>
        <v>chief</v>
      </c>
    </row>
    <row r="1417">
      <c r="B1417" s="6"/>
      <c r="D1417" s="6"/>
      <c r="G1417" s="6" t="str">
        <f>IFERROR(__xludf.DUMMYFUNCTION("""COMPUTED_VALUE"""),"ace")</f>
        <v>ace</v>
      </c>
      <c r="H1417" s="6" t="str">
        <f>IFERROR(__xludf.DUMMYFUNCTION("""COMPUTED_VALUE"""),"innovations")</f>
        <v>innovations</v>
      </c>
      <c r="I1417" s="6"/>
      <c r="J1417" s="6" t="str">
        <f>IFERROR(__xludf.DUMMYFUNCTION("""COMPUTED_VALUE"""),"rhetoric")</f>
        <v>rhetoric</v>
      </c>
      <c r="L1417" s="6" t="str">
        <f>IFERROR(__xludf.DUMMYFUNCTION("""COMPUTED_VALUE"""),"structured")</f>
        <v>structured</v>
      </c>
      <c r="M1417" s="6" t="str">
        <f>IFERROR(__xludf.DUMMYFUNCTION("""COMPUTED_VALUE"""),"targets")</f>
        <v>targets</v>
      </c>
      <c r="N1417" s="6" t="str">
        <f>IFERROR(__xludf.DUMMYFUNCTION("""COMPUTED_VALUE"""),"ensemble")</f>
        <v>ensemble</v>
      </c>
      <c r="P1417" s="6" t="str">
        <f>IFERROR(__xludf.DUMMYFUNCTION("""COMPUTED_VALUE"""),"competing")</f>
        <v>competing</v>
      </c>
      <c r="Q1417" s="6" t="str">
        <f>IFERROR(__xludf.DUMMYFUNCTION("""COMPUTED_VALUE"""),"raises")</f>
        <v>raises</v>
      </c>
      <c r="S1417" s="6" t="str">
        <f>IFERROR(__xludf.DUMMYFUNCTION("""COMPUTED_VALUE"""),"famous")</f>
        <v>famous</v>
      </c>
    </row>
    <row r="1418">
      <c r="B1418" s="6"/>
      <c r="D1418" s="6"/>
      <c r="G1418" s="6" t="str">
        <f>IFERROR(__xludf.DUMMYFUNCTION("""COMPUTED_VALUE"""),"pedestal")</f>
        <v>pedestal</v>
      </c>
      <c r="H1418" s="6" t="str">
        <f>IFERROR(__xludf.DUMMYFUNCTION("""COMPUTED_VALUE"""),"despair")</f>
        <v>despair</v>
      </c>
      <c r="I1418" s="6"/>
      <c r="J1418" s="6" t="str">
        <f>IFERROR(__xludf.DUMMYFUNCTION("""COMPUTED_VALUE"""),"wartime")</f>
        <v>wartime</v>
      </c>
      <c r="L1418" s="6" t="str">
        <f>IFERROR(__xludf.DUMMYFUNCTION("""COMPUTED_VALUE"""),"combines")</f>
        <v>combines</v>
      </c>
      <c r="M1418" s="6" t="str">
        <f>IFERROR(__xludf.DUMMYFUNCTION("""COMPUTED_VALUE"""),"intelligent")</f>
        <v>intelligent</v>
      </c>
      <c r="N1418" s="6" t="str">
        <f>IFERROR(__xludf.DUMMYFUNCTION("""COMPUTED_VALUE"""),"newcomer")</f>
        <v>newcomer</v>
      </c>
      <c r="P1418" s="6" t="str">
        <f>IFERROR(__xludf.DUMMYFUNCTION("""COMPUTED_VALUE"""),"neutral")</f>
        <v>neutral</v>
      </c>
      <c r="Q1418" s="6" t="str">
        <f>IFERROR(__xludf.DUMMYFUNCTION("""COMPUTED_VALUE"""),"brink")</f>
        <v>brink</v>
      </c>
      <c r="S1418" s="6" t="str">
        <f>IFERROR(__xludf.DUMMYFUNCTION("""COMPUTED_VALUE"""),"object")</f>
        <v>object</v>
      </c>
    </row>
    <row r="1419">
      <c r="B1419" s="6"/>
      <c r="D1419" s="6"/>
      <c r="G1419" s="6" t="str">
        <f>IFERROR(__xludf.DUMMYFUNCTION("""COMPUTED_VALUE"""),"paralyzed")</f>
        <v>paralyzed</v>
      </c>
      <c r="H1419" s="6" t="str">
        <f>IFERROR(__xludf.DUMMYFUNCTION("""COMPUTED_VALUE"""),"replaced")</f>
        <v>replaced</v>
      </c>
      <c r="I1419" s="6"/>
      <c r="J1419" s="6" t="str">
        <f>IFERROR(__xludf.DUMMYFUNCTION("""COMPUTED_VALUE"""),"downward")</f>
        <v>downward</v>
      </c>
      <c r="L1419" s="6" t="str">
        <f>IFERROR(__xludf.DUMMYFUNCTION("""COMPUTED_VALUE"""),"wildlife")</f>
        <v>wildlife</v>
      </c>
      <c r="M1419" s="6" t="str">
        <f>IFERROR(__xludf.DUMMYFUNCTION("""COMPUTED_VALUE"""),"merchant")</f>
        <v>merchant</v>
      </c>
      <c r="N1419" s="6" t="str">
        <f>IFERROR(__xludf.DUMMYFUNCTION("""COMPUTED_VALUE"""),"quentin")</f>
        <v>quentin</v>
      </c>
      <c r="P1419" s="6" t="str">
        <f>IFERROR(__xludf.DUMMYFUNCTION("""COMPUTED_VALUE"""),"singh")</f>
        <v>singh</v>
      </c>
      <c r="Q1419" s="6" t="str">
        <f>IFERROR(__xludf.DUMMYFUNCTION("""COMPUTED_VALUE"""),"thick")</f>
        <v>thick</v>
      </c>
      <c r="S1419" s="6" t="str">
        <f>IFERROR(__xludf.DUMMYFUNCTION("""COMPUTED_VALUE"""),"believed")</f>
        <v>believed</v>
      </c>
    </row>
    <row r="1420">
      <c r="B1420" s="6"/>
      <c r="D1420" s="6"/>
      <c r="G1420" s="6" t="str">
        <f>IFERROR(__xludf.DUMMYFUNCTION("""COMPUTED_VALUE"""),"pornography")</f>
        <v>pornography</v>
      </c>
      <c r="H1420" s="6" t="str">
        <f>IFERROR(__xludf.DUMMYFUNCTION("""COMPUTED_VALUE"""),"executives")</f>
        <v>executives</v>
      </c>
      <c r="I1420" s="6"/>
      <c r="J1420" s="6" t="str">
        <f>IFERROR(__xludf.DUMMYFUNCTION("""COMPUTED_VALUE"""),"inclination")</f>
        <v>inclination</v>
      </c>
      <c r="L1420" s="6" t="str">
        <f>IFERROR(__xludf.DUMMYFUNCTION("""COMPUTED_VALUE"""),"fury")</f>
        <v>fury</v>
      </c>
      <c r="M1420" s="6" t="str">
        <f>IFERROR(__xludf.DUMMYFUNCTION("""COMPUTED_VALUE"""),"appeals")</f>
        <v>appeals</v>
      </c>
      <c r="N1420" s="6" t="str">
        <f>IFERROR(__xludf.DUMMYFUNCTION("""COMPUTED_VALUE"""),"lodging")</f>
        <v>lodging</v>
      </c>
      <c r="P1420" s="6" t="str">
        <f>IFERROR(__xludf.DUMMYFUNCTION("""COMPUTED_VALUE"""),"stakes")</f>
        <v>stakes</v>
      </c>
      <c r="Q1420" s="6" t="str">
        <f>IFERROR(__xludf.DUMMYFUNCTION("""COMPUTED_VALUE"""),"anguish")</f>
        <v>anguish</v>
      </c>
      <c r="S1420" s="6" t="str">
        <f>IFERROR(__xludf.DUMMYFUNCTION("""COMPUTED_VALUE"""),"titled")</f>
        <v>titled</v>
      </c>
    </row>
    <row r="1421">
      <c r="B1421" s="6"/>
      <c r="D1421" s="6"/>
      <c r="G1421" s="6" t="str">
        <f>IFERROR(__xludf.DUMMYFUNCTION("""COMPUTED_VALUE"""),"brutality")</f>
        <v>brutality</v>
      </c>
      <c r="H1421" s="6" t="str">
        <f>IFERROR(__xludf.DUMMYFUNCTION("""COMPUTED_VALUE"""),"hoped")</f>
        <v>hoped</v>
      </c>
      <c r="I1421" s="6"/>
      <c r="J1421" s="6" t="str">
        <f>IFERROR(__xludf.DUMMYFUNCTION("""COMPUTED_VALUE"""),"hannibal")</f>
        <v>hannibal</v>
      </c>
      <c r="L1421" s="6" t="str">
        <f>IFERROR(__xludf.DUMMYFUNCTION("""COMPUTED_VALUE"""),"blade")</f>
        <v>blade</v>
      </c>
      <c r="M1421" s="6" t="str">
        <f>IFERROR(__xludf.DUMMYFUNCTION("""COMPUTED_VALUE"""),"boundaries")</f>
        <v>boundaries</v>
      </c>
      <c r="N1421" s="6" t="str">
        <f>IFERROR(__xludf.DUMMYFUNCTION("""COMPUTED_VALUE"""),"mysteries")</f>
        <v>mysteries</v>
      </c>
      <c r="P1421" s="6" t="str">
        <f>IFERROR(__xludf.DUMMYFUNCTION("""COMPUTED_VALUE"""),"ran")</f>
        <v>ran</v>
      </c>
      <c r="Q1421" s="6" t="str">
        <f>IFERROR(__xludf.DUMMYFUNCTION("""COMPUTED_VALUE"""),"elusive")</f>
        <v>elusive</v>
      </c>
      <c r="S1421" s="6" t="str">
        <f>IFERROR(__xludf.DUMMYFUNCTION("""COMPUTED_VALUE"""),"choices")</f>
        <v>choices</v>
      </c>
    </row>
    <row r="1422">
      <c r="B1422" s="6"/>
      <c r="D1422" s="6"/>
      <c r="G1422" s="6" t="str">
        <f>IFERROR(__xludf.DUMMYFUNCTION("""COMPUTED_VALUE"""),"mermaid")</f>
        <v>mermaid</v>
      </c>
      <c r="H1422" s="6" t="str">
        <f>IFERROR(__xludf.DUMMYFUNCTION("""COMPUTED_VALUE"""),"clint")</f>
        <v>clint</v>
      </c>
      <c r="I1422" s="6"/>
      <c r="J1422" s="6" t="str">
        <f>IFERROR(__xludf.DUMMYFUNCTION("""COMPUTED_VALUE"""),"whimper")</f>
        <v>whimper</v>
      </c>
      <c r="L1422" s="6" t="str">
        <f>IFERROR(__xludf.DUMMYFUNCTION("""COMPUTED_VALUE"""),"chan")</f>
        <v>chan</v>
      </c>
      <c r="M1422" s="6" t="str">
        <f>IFERROR(__xludf.DUMMYFUNCTION("""COMPUTED_VALUE"""),"grave")</f>
        <v>grave</v>
      </c>
      <c r="N1422" s="6" t="str">
        <f>IFERROR(__xludf.DUMMYFUNCTION("""COMPUTED_VALUE"""),"portrays")</f>
        <v>portrays</v>
      </c>
      <c r="P1422" s="6" t="str">
        <f>IFERROR(__xludf.DUMMYFUNCTION("""COMPUTED_VALUE"""),"lights")</f>
        <v>lights</v>
      </c>
      <c r="Q1422" s="6" t="str">
        <f>IFERROR(__xludf.DUMMYFUNCTION("""COMPUTED_VALUE"""),"scares")</f>
        <v>scares</v>
      </c>
      <c r="S1422" s="6" t="str">
        <f>IFERROR(__xludf.DUMMYFUNCTION("""COMPUTED_VALUE"""),"baseball")</f>
        <v>baseball</v>
      </c>
    </row>
    <row r="1423">
      <c r="B1423" s="6"/>
      <c r="D1423" s="6"/>
      <c r="G1423" s="6" t="str">
        <f>IFERROR(__xludf.DUMMYFUNCTION("""COMPUTED_VALUE"""),"bai")</f>
        <v>bai</v>
      </c>
      <c r="H1423" s="6" t="str">
        <f>IFERROR(__xludf.DUMMYFUNCTION("""COMPUTED_VALUE"""),"illustrating")</f>
        <v>illustrating</v>
      </c>
      <c r="I1423" s="6"/>
      <c r="J1423" s="6" t="str">
        <f>IFERROR(__xludf.DUMMYFUNCTION("""COMPUTED_VALUE"""),"permitting")</f>
        <v>permitting</v>
      </c>
      <c r="L1423" s="6" t="str">
        <f>IFERROR(__xludf.DUMMYFUNCTION("""COMPUTED_VALUE"""),"evolution")</f>
        <v>evolution</v>
      </c>
      <c r="M1423" s="6" t="str">
        <f>IFERROR(__xludf.DUMMYFUNCTION("""COMPUTED_VALUE"""),"generation")</f>
        <v>generation</v>
      </c>
      <c r="N1423" s="6" t="str">
        <f>IFERROR(__xludf.DUMMYFUNCTION("""COMPUTED_VALUE"""),"garde")</f>
        <v>garde</v>
      </c>
      <c r="P1423" s="6" t="str">
        <f>IFERROR(__xludf.DUMMYFUNCTION("""COMPUTED_VALUE"""),"tucker")</f>
        <v>tucker</v>
      </c>
      <c r="Q1423" s="6" t="str">
        <f>IFERROR(__xludf.DUMMYFUNCTION("""COMPUTED_VALUE"""),"radical")</f>
        <v>radical</v>
      </c>
      <c r="S1423" s="6" t="str">
        <f>IFERROR(__xludf.DUMMYFUNCTION("""COMPUTED_VALUE"""),"ad")</f>
        <v>ad</v>
      </c>
    </row>
    <row r="1424">
      <c r="B1424" s="6"/>
      <c r="D1424" s="6"/>
      <c r="G1424" s="6" t="str">
        <f>IFERROR(__xludf.DUMMYFUNCTION("""COMPUTED_VALUE"""),"obligation")</f>
        <v>obligation</v>
      </c>
      <c r="H1424" s="6" t="str">
        <f>IFERROR(__xludf.DUMMYFUNCTION("""COMPUTED_VALUE"""),"whale")</f>
        <v>whale</v>
      </c>
      <c r="I1424" s="6"/>
      <c r="J1424" s="6" t="str">
        <f>IFERROR(__xludf.DUMMYFUNCTION("""COMPUTED_VALUE"""),"repeatedly")</f>
        <v>repeatedly</v>
      </c>
      <c r="L1424" s="6" t="str">
        <f>IFERROR(__xludf.DUMMYFUNCTION("""COMPUTED_VALUE"""),"homosexual")</f>
        <v>homosexual</v>
      </c>
      <c r="M1424" s="6" t="str">
        <f>IFERROR(__xludf.DUMMYFUNCTION("""COMPUTED_VALUE"""),"concerning")</f>
        <v>concerning</v>
      </c>
      <c r="N1424" s="6" t="str">
        <f>IFERROR(__xludf.DUMMYFUNCTION("""COMPUTED_VALUE"""),"cad")</f>
        <v>cad</v>
      </c>
      <c r="P1424" s="6">
        <f>IFERROR(__xludf.DUMMYFUNCTION("""COMPUTED_VALUE"""),94.0)</f>
        <v>94</v>
      </c>
      <c r="Q1424" s="6" t="str">
        <f>IFERROR(__xludf.DUMMYFUNCTION("""COMPUTED_VALUE"""),"sterling")</f>
        <v>sterling</v>
      </c>
      <c r="S1424" s="6" t="str">
        <f>IFERROR(__xludf.DUMMYFUNCTION("""COMPUTED_VALUE"""),"succeed")</f>
        <v>succeed</v>
      </c>
    </row>
    <row r="1425">
      <c r="B1425" s="6"/>
      <c r="D1425" s="6"/>
      <c r="G1425" s="6" t="str">
        <f>IFERROR(__xludf.DUMMYFUNCTION("""COMPUTED_VALUE"""),"resources")</f>
        <v>resources</v>
      </c>
      <c r="H1425" s="6" t="str">
        <f>IFERROR(__xludf.DUMMYFUNCTION("""COMPUTED_VALUE"""),"bitterly")</f>
        <v>bitterly</v>
      </c>
      <c r="I1425" s="6"/>
      <c r="J1425" s="6" t="str">
        <f>IFERROR(__xludf.DUMMYFUNCTION("""COMPUTED_VALUE"""),"stopped")</f>
        <v>stopped</v>
      </c>
      <c r="L1425" s="6" t="str">
        <f>IFERROR(__xludf.DUMMYFUNCTION("""COMPUTED_VALUE"""),"chemistry")</f>
        <v>chemistry</v>
      </c>
      <c r="M1425" s="6" t="str">
        <f>IFERROR(__xludf.DUMMYFUNCTION("""COMPUTED_VALUE"""),"aspects")</f>
        <v>aspects</v>
      </c>
      <c r="N1425" s="6">
        <f>IFERROR(__xludf.DUMMYFUNCTION("""COMPUTED_VALUE"""),83.0)</f>
        <v>83</v>
      </c>
      <c r="P1425" s="6" t="str">
        <f>IFERROR(__xludf.DUMMYFUNCTION("""COMPUTED_VALUE"""),"criticism")</f>
        <v>criticism</v>
      </c>
      <c r="Q1425" s="6" t="str">
        <f>IFERROR(__xludf.DUMMYFUNCTION("""COMPUTED_VALUE"""),"thrusts")</f>
        <v>thrusts</v>
      </c>
      <c r="S1425" s="6">
        <f>IFERROR(__xludf.DUMMYFUNCTION("""COMPUTED_VALUE"""),83.0)</f>
        <v>83</v>
      </c>
    </row>
    <row r="1426">
      <c r="B1426" s="6"/>
      <c r="D1426" s="6"/>
      <c r="G1426" s="6" t="str">
        <f>IFERROR(__xludf.DUMMYFUNCTION("""COMPUTED_VALUE"""),"powerhouse")</f>
        <v>powerhouse</v>
      </c>
      <c r="H1426" s="6" t="str">
        <f>IFERROR(__xludf.DUMMYFUNCTION("""COMPUTED_VALUE"""),"lower")</f>
        <v>lower</v>
      </c>
      <c r="I1426" s="6"/>
      <c r="J1426" s="6" t="str">
        <f>IFERROR(__xludf.DUMMYFUNCTION("""COMPUTED_VALUE"""),"unnoticed")</f>
        <v>unnoticed</v>
      </c>
      <c r="L1426" s="6" t="str">
        <f>IFERROR(__xludf.DUMMYFUNCTION("""COMPUTED_VALUE"""),"chilling")</f>
        <v>chilling</v>
      </c>
      <c r="M1426" s="6" t="str">
        <f>IFERROR(__xludf.DUMMYFUNCTION("""COMPUTED_VALUE"""),"begins")</f>
        <v>begins</v>
      </c>
      <c r="N1426" s="6" t="str">
        <f>IFERROR(__xludf.DUMMYFUNCTION("""COMPUTED_VALUE"""),"compelling")</f>
        <v>compelling</v>
      </c>
      <c r="P1426" s="6" t="str">
        <f>IFERROR(__xludf.DUMMYFUNCTION("""COMPUTED_VALUE"""),"versions")</f>
        <v>versions</v>
      </c>
      <c r="Q1426" s="6" t="str">
        <f>IFERROR(__xludf.DUMMYFUNCTION("""COMPUTED_VALUE"""),"backbone")</f>
        <v>backbone</v>
      </c>
      <c r="S1426" s="6" t="str">
        <f>IFERROR(__xludf.DUMMYFUNCTION("""COMPUTED_VALUE"""),"returns")</f>
        <v>returns</v>
      </c>
    </row>
    <row r="1427">
      <c r="B1427" s="6"/>
      <c r="D1427" s="6"/>
      <c r="G1427" s="6" t="str">
        <f>IFERROR(__xludf.DUMMYFUNCTION("""COMPUTED_VALUE"""),"searches")</f>
        <v>searches</v>
      </c>
      <c r="H1427" s="6" t="str">
        <f>IFERROR(__xludf.DUMMYFUNCTION("""COMPUTED_VALUE"""),"athlete")</f>
        <v>athlete</v>
      </c>
      <c r="I1427" s="6"/>
      <c r="J1427" s="6" t="str">
        <f>IFERROR(__xludf.DUMMYFUNCTION("""COMPUTED_VALUE"""),"unconventional")</f>
        <v>unconventional</v>
      </c>
      <c r="L1427" s="6" t="str">
        <f>IFERROR(__xludf.DUMMYFUNCTION("""COMPUTED_VALUE"""),"predecessor")</f>
        <v>predecessor</v>
      </c>
      <c r="M1427" s="6" t="str">
        <f>IFERROR(__xludf.DUMMYFUNCTION("""COMPUTED_VALUE"""),"mainstream")</f>
        <v>mainstream</v>
      </c>
      <c r="N1427" s="6" t="str">
        <f>IFERROR(__xludf.DUMMYFUNCTION("""COMPUTED_VALUE"""),"translating")</f>
        <v>translating</v>
      </c>
      <c r="P1427" s="6" t="str">
        <f>IFERROR(__xludf.DUMMYFUNCTION("""COMPUTED_VALUE"""),"powers")</f>
        <v>powers</v>
      </c>
      <c r="Q1427" s="6" t="str">
        <f>IFERROR(__xludf.DUMMYFUNCTION("""COMPUTED_VALUE"""),"hook")</f>
        <v>hook</v>
      </c>
      <c r="S1427" s="6" t="str">
        <f>IFERROR(__xludf.DUMMYFUNCTION("""COMPUTED_VALUE"""),"significance")</f>
        <v>significance</v>
      </c>
    </row>
    <row r="1428">
      <c r="B1428" s="6"/>
      <c r="D1428" s="6"/>
      <c r="G1428" s="6" t="str">
        <f>IFERROR(__xludf.DUMMYFUNCTION("""COMPUTED_VALUE"""),"illustrated")</f>
        <v>illustrated</v>
      </c>
      <c r="H1428" s="6" t="str">
        <f>IFERROR(__xludf.DUMMYFUNCTION("""COMPUTED_VALUE"""),"ambiguous")</f>
        <v>ambiguous</v>
      </c>
      <c r="I1428" s="6"/>
      <c r="J1428" s="6" t="str">
        <f>IFERROR(__xludf.DUMMYFUNCTION("""COMPUTED_VALUE"""),"turbulent")</f>
        <v>turbulent</v>
      </c>
      <c r="L1428" s="6" t="str">
        <f>IFERROR(__xludf.DUMMYFUNCTION("""COMPUTED_VALUE"""),"ninth")</f>
        <v>ninth</v>
      </c>
      <c r="M1428" s="6" t="str">
        <f>IFERROR(__xludf.DUMMYFUNCTION("""COMPUTED_VALUE"""),"interpretation")</f>
        <v>interpretation</v>
      </c>
      <c r="N1428" s="6" t="str">
        <f>IFERROR(__xludf.DUMMYFUNCTION("""COMPUTED_VALUE"""),"suicidal")</f>
        <v>suicidal</v>
      </c>
      <c r="P1428" s="6" t="str">
        <f>IFERROR(__xludf.DUMMYFUNCTION("""COMPUTED_VALUE"""),"multiple")</f>
        <v>multiple</v>
      </c>
      <c r="Q1428" s="6">
        <f>IFERROR(__xludf.DUMMYFUNCTION("""COMPUTED_VALUE"""),1993.0)</f>
        <v>1993</v>
      </c>
      <c r="S1428" s="6" t="str">
        <f>IFERROR(__xludf.DUMMYFUNCTION("""COMPUTED_VALUE"""),"destroy")</f>
        <v>destroy</v>
      </c>
    </row>
    <row r="1429">
      <c r="B1429" s="6"/>
      <c r="D1429" s="6"/>
      <c r="G1429" s="6" t="str">
        <f>IFERROR(__xludf.DUMMYFUNCTION("""COMPUTED_VALUE"""),"intern")</f>
        <v>intern</v>
      </c>
      <c r="H1429" s="6" t="str">
        <f>IFERROR(__xludf.DUMMYFUNCTION("""COMPUTED_VALUE"""),"combat")</f>
        <v>combat</v>
      </c>
      <c r="I1429" s="6"/>
      <c r="J1429" s="6" t="str">
        <f>IFERROR(__xludf.DUMMYFUNCTION("""COMPUTED_VALUE"""),"egypt")</f>
        <v>egypt</v>
      </c>
      <c r="L1429" s="6" t="str">
        <f>IFERROR(__xludf.DUMMYFUNCTION("""COMPUTED_VALUE"""),"disbelief")</f>
        <v>disbelief</v>
      </c>
      <c r="M1429" s="6" t="str">
        <f>IFERROR(__xludf.DUMMYFUNCTION("""COMPUTED_VALUE"""),"buried")</f>
        <v>buried</v>
      </c>
      <c r="N1429" s="6" t="str">
        <f>IFERROR(__xludf.DUMMYFUNCTION("""COMPUTED_VALUE"""),"optimism")</f>
        <v>optimism</v>
      </c>
      <c r="P1429" s="6" t="str">
        <f>IFERROR(__xludf.DUMMYFUNCTION("""COMPUTED_VALUE"""),"segment")</f>
        <v>segment</v>
      </c>
      <c r="Q1429" s="6" t="str">
        <f>IFERROR(__xludf.DUMMYFUNCTION("""COMPUTED_VALUE"""),"courageous")</f>
        <v>courageous</v>
      </c>
      <c r="S1429" s="6" t="str">
        <f>IFERROR(__xludf.DUMMYFUNCTION("""COMPUTED_VALUE"""),"learn")</f>
        <v>learn</v>
      </c>
    </row>
    <row r="1430">
      <c r="B1430" s="6"/>
      <c r="D1430" s="6"/>
      <c r="G1430" s="6" t="str">
        <f>IFERROR(__xludf.DUMMYFUNCTION("""COMPUTED_VALUE"""),"firth")</f>
        <v>firth</v>
      </c>
      <c r="H1430" s="6" t="str">
        <f>IFERROR(__xludf.DUMMYFUNCTION("""COMPUTED_VALUE"""),"expose")</f>
        <v>expose</v>
      </c>
      <c r="I1430" s="6"/>
      <c r="J1430" s="6" t="str">
        <f>IFERROR(__xludf.DUMMYFUNCTION("""COMPUTED_VALUE"""),"twenty")</f>
        <v>twenty</v>
      </c>
      <c r="L1430" s="6" t="str">
        <f>IFERROR(__xludf.DUMMYFUNCTION("""COMPUTED_VALUE"""),"crises")</f>
        <v>crises</v>
      </c>
      <c r="M1430" s="6" t="str">
        <f>IFERROR(__xludf.DUMMYFUNCTION("""COMPUTED_VALUE"""),"sensation")</f>
        <v>sensation</v>
      </c>
      <c r="N1430" s="6" t="str">
        <f>IFERROR(__xludf.DUMMYFUNCTION("""COMPUTED_VALUE"""),"canadians")</f>
        <v>canadians</v>
      </c>
      <c r="P1430" s="6" t="str">
        <f>IFERROR(__xludf.DUMMYFUNCTION("""COMPUTED_VALUE"""),"jet")</f>
        <v>jet</v>
      </c>
      <c r="Q1430" s="6" t="str">
        <f>IFERROR(__xludf.DUMMYFUNCTION("""COMPUTED_VALUE"""),"allegiance")</f>
        <v>allegiance</v>
      </c>
      <c r="S1430" s="6" t="str">
        <f>IFERROR(__xludf.DUMMYFUNCTION("""COMPUTED_VALUE"""),"margin")</f>
        <v>margin</v>
      </c>
    </row>
    <row r="1431">
      <c r="B1431" s="6"/>
      <c r="D1431" s="6"/>
      <c r="G1431" s="6" t="str">
        <f>IFERROR(__xludf.DUMMYFUNCTION("""COMPUTED_VALUE"""),"vampires")</f>
        <v>vampires</v>
      </c>
      <c r="H1431" s="6" t="str">
        <f>IFERROR(__xludf.DUMMYFUNCTION("""COMPUTED_VALUE"""),"prejudice")</f>
        <v>prejudice</v>
      </c>
      <c r="I1431" s="6"/>
      <c r="J1431" s="6" t="str">
        <f>IFERROR(__xludf.DUMMYFUNCTION("""COMPUTED_VALUE"""),"homicide")</f>
        <v>homicide</v>
      </c>
      <c r="L1431" s="6" t="str">
        <f>IFERROR(__xludf.DUMMYFUNCTION("""COMPUTED_VALUE"""),"poverty")</f>
        <v>poverty</v>
      </c>
      <c r="M1431" s="6" t="str">
        <f>IFERROR(__xludf.DUMMYFUNCTION("""COMPUTED_VALUE"""),"senses")</f>
        <v>senses</v>
      </c>
      <c r="N1431" s="6" t="str">
        <f>IFERROR(__xludf.DUMMYFUNCTION("""COMPUTED_VALUE"""),"godfrey")</f>
        <v>godfrey</v>
      </c>
      <c r="P1431" s="6" t="str">
        <f>IFERROR(__xludf.DUMMYFUNCTION("""COMPUTED_VALUE"""),"fictional")</f>
        <v>fictional</v>
      </c>
      <c r="Q1431" s="6" t="str">
        <f>IFERROR(__xludf.DUMMYFUNCTION("""COMPUTED_VALUE"""),"backlash")</f>
        <v>backlash</v>
      </c>
      <c r="S1431" s="6" t="str">
        <f>IFERROR(__xludf.DUMMYFUNCTION("""COMPUTED_VALUE"""),"productions")</f>
        <v>productions</v>
      </c>
    </row>
    <row r="1432">
      <c r="B1432" s="6"/>
      <c r="D1432" s="6"/>
      <c r="G1432" s="6" t="str">
        <f>IFERROR(__xludf.DUMMYFUNCTION("""COMPUTED_VALUE"""),"lucia")</f>
        <v>lucia</v>
      </c>
      <c r="H1432" s="6" t="str">
        <f>IFERROR(__xludf.DUMMYFUNCTION("""COMPUTED_VALUE"""),"screenwriter")</f>
        <v>screenwriter</v>
      </c>
      <c r="I1432" s="6"/>
      <c r="J1432" s="6" t="str">
        <f>IFERROR(__xludf.DUMMYFUNCTION("""COMPUTED_VALUE"""),"cinderella")</f>
        <v>cinderella</v>
      </c>
      <c r="L1432" s="6" t="str">
        <f>IFERROR(__xludf.DUMMYFUNCTION("""COMPUTED_VALUE"""),"backseat")</f>
        <v>backseat</v>
      </c>
      <c r="M1432" s="6" t="str">
        <f>IFERROR(__xludf.DUMMYFUNCTION("""COMPUTED_VALUE"""),"hero")</f>
        <v>hero</v>
      </c>
      <c r="N1432" s="6" t="str">
        <f>IFERROR(__xludf.DUMMYFUNCTION("""COMPUTED_VALUE"""),"gong")</f>
        <v>gong</v>
      </c>
      <c r="P1432" s="6" t="str">
        <f>IFERROR(__xludf.DUMMYFUNCTION("""COMPUTED_VALUE"""),"roster")</f>
        <v>roster</v>
      </c>
      <c r="Q1432" s="6" t="str">
        <f>IFERROR(__xludf.DUMMYFUNCTION("""COMPUTED_VALUE"""),"prominently")</f>
        <v>prominently</v>
      </c>
      <c r="S1432" s="6" t="str">
        <f>IFERROR(__xludf.DUMMYFUNCTION("""COMPUTED_VALUE"""),"sugar")</f>
        <v>sugar</v>
      </c>
    </row>
    <row r="1433">
      <c r="B1433" s="6"/>
      <c r="D1433" s="6"/>
      <c r="G1433" s="6" t="str">
        <f>IFERROR(__xludf.DUMMYFUNCTION("""COMPUTED_VALUE"""),"gliding")</f>
        <v>gliding</v>
      </c>
      <c r="H1433" s="6" t="str">
        <f>IFERROR(__xludf.DUMMYFUNCTION("""COMPUTED_VALUE"""),"enigma")</f>
        <v>enigma</v>
      </c>
      <c r="I1433" s="6"/>
      <c r="J1433" s="6" t="str">
        <f>IFERROR(__xludf.DUMMYFUNCTION("""COMPUTED_VALUE"""),"harrison")</f>
        <v>harrison</v>
      </c>
      <c r="L1433" s="6" t="str">
        <f>IFERROR(__xludf.DUMMYFUNCTION("""COMPUTED_VALUE"""),"terror")</f>
        <v>terror</v>
      </c>
      <c r="M1433" s="6" t="str">
        <f>IFERROR(__xludf.DUMMYFUNCTION("""COMPUTED_VALUE"""),"demands")</f>
        <v>demands</v>
      </c>
      <c r="N1433" s="6" t="str">
        <f>IFERROR(__xludf.DUMMYFUNCTION("""COMPUTED_VALUE"""),"fuels")</f>
        <v>fuels</v>
      </c>
      <c r="P1433" s="6" t="str">
        <f>IFERROR(__xludf.DUMMYFUNCTION("""COMPUTED_VALUE"""),"afford")</f>
        <v>afford</v>
      </c>
      <c r="Q1433" s="6" t="str">
        <f>IFERROR(__xludf.DUMMYFUNCTION("""COMPUTED_VALUE"""),"imagery")</f>
        <v>imagery</v>
      </c>
      <c r="S1433" s="6" t="str">
        <f>IFERROR(__xludf.DUMMYFUNCTION("""COMPUTED_VALUE"""),"hope")</f>
        <v>hope</v>
      </c>
    </row>
    <row r="1434">
      <c r="B1434" s="6"/>
      <c r="D1434" s="6"/>
      <c r="G1434" s="6" t="str">
        <f>IFERROR(__xludf.DUMMYFUNCTION("""COMPUTED_VALUE"""),"australia")</f>
        <v>australia</v>
      </c>
      <c r="H1434" s="6" t="str">
        <f>IFERROR(__xludf.DUMMYFUNCTION("""COMPUTED_VALUE"""),"chiefly")</f>
        <v>chiefly</v>
      </c>
      <c r="I1434" s="6"/>
      <c r="J1434" s="6" t="str">
        <f>IFERROR(__xludf.DUMMYFUNCTION("""COMPUTED_VALUE"""),"evolve")</f>
        <v>evolve</v>
      </c>
      <c r="L1434" s="6" t="str">
        <f>IFERROR(__xludf.DUMMYFUNCTION("""COMPUTED_VALUE"""),"comparisons")</f>
        <v>comparisons</v>
      </c>
      <c r="M1434" s="6" t="str">
        <f>IFERROR(__xludf.DUMMYFUNCTION("""COMPUTED_VALUE"""),"determination")</f>
        <v>determination</v>
      </c>
      <c r="N1434" s="6" t="str">
        <f>IFERROR(__xludf.DUMMYFUNCTION("""COMPUTED_VALUE"""),"miracles")</f>
        <v>miracles</v>
      </c>
      <c r="P1434" s="6" t="str">
        <f>IFERROR(__xludf.DUMMYFUNCTION("""COMPUTED_VALUE"""),"gregory")</f>
        <v>gregory</v>
      </c>
      <c r="Q1434" s="6" t="str">
        <f>IFERROR(__xludf.DUMMYFUNCTION("""COMPUTED_VALUE"""),"wall")</f>
        <v>wall</v>
      </c>
      <c r="S1434" s="6" t="str">
        <f>IFERROR(__xludf.DUMMYFUNCTION("""COMPUTED_VALUE"""),"delhi")</f>
        <v>delhi</v>
      </c>
    </row>
    <row r="1435">
      <c r="B1435" s="6"/>
      <c r="D1435" s="6"/>
      <c r="G1435" s="6" t="str">
        <f>IFERROR(__xludf.DUMMYFUNCTION("""COMPUTED_VALUE"""),"stitch")</f>
        <v>stitch</v>
      </c>
      <c r="H1435" s="6" t="str">
        <f>IFERROR(__xludf.DUMMYFUNCTION("""COMPUTED_VALUE"""),"yearning")</f>
        <v>yearning</v>
      </c>
      <c r="I1435" s="6"/>
      <c r="J1435" s="6" t="str">
        <f>IFERROR(__xludf.DUMMYFUNCTION("""COMPUTED_VALUE"""),"jumps")</f>
        <v>jumps</v>
      </c>
      <c r="L1435" s="6" t="str">
        <f>IFERROR(__xludf.DUMMYFUNCTION("""COMPUTED_VALUE"""),"miniseries")</f>
        <v>miniseries</v>
      </c>
      <c r="M1435" s="6" t="str">
        <f>IFERROR(__xludf.DUMMYFUNCTION("""COMPUTED_VALUE"""),"realm")</f>
        <v>realm</v>
      </c>
      <c r="N1435" s="6" t="str">
        <f>IFERROR(__xludf.DUMMYFUNCTION("""COMPUTED_VALUE"""),"grim")</f>
        <v>grim</v>
      </c>
      <c r="P1435" s="6" t="str">
        <f>IFERROR(__xludf.DUMMYFUNCTION("""COMPUTED_VALUE"""),"engineering")</f>
        <v>engineering</v>
      </c>
      <c r="Q1435" s="6" t="str">
        <f>IFERROR(__xludf.DUMMYFUNCTION("""COMPUTED_VALUE"""),"suited")</f>
        <v>suited</v>
      </c>
      <c r="S1435" s="6" t="str">
        <f>IFERROR(__xludf.DUMMYFUNCTION("""COMPUTED_VALUE"""),"mosque")</f>
        <v>mosque</v>
      </c>
    </row>
    <row r="1436">
      <c r="B1436" s="6"/>
      <c r="D1436" s="6"/>
      <c r="G1436" s="6"/>
      <c r="H1436" s="6" t="str">
        <f>IFERROR(__xludf.DUMMYFUNCTION("""COMPUTED_VALUE"""),"singing")</f>
        <v>singing</v>
      </c>
      <c r="I1436" s="6"/>
      <c r="J1436" s="6" t="str">
        <f>IFERROR(__xludf.DUMMYFUNCTION("""COMPUTED_VALUE"""),"engages")</f>
        <v>engages</v>
      </c>
      <c r="L1436" s="6" t="str">
        <f>IFERROR(__xludf.DUMMYFUNCTION("""COMPUTED_VALUE"""),"uncanny")</f>
        <v>uncanny</v>
      </c>
      <c r="M1436" s="6" t="str">
        <f>IFERROR(__xludf.DUMMYFUNCTION("""COMPUTED_VALUE"""),"seal")</f>
        <v>seal</v>
      </c>
      <c r="N1436" s="6" t="str">
        <f>IFERROR(__xludf.DUMMYFUNCTION("""COMPUTED_VALUE"""),"hack")</f>
        <v>hack</v>
      </c>
      <c r="P1436" s="6" t="str">
        <f>IFERROR(__xludf.DUMMYFUNCTION("""COMPUTED_VALUE"""),"stroke")</f>
        <v>stroke</v>
      </c>
      <c r="Q1436" s="6" t="str">
        <f>IFERROR(__xludf.DUMMYFUNCTION("""COMPUTED_VALUE"""),"intersect")</f>
        <v>intersect</v>
      </c>
      <c r="S1436" s="6" t="str">
        <f>IFERROR(__xludf.DUMMYFUNCTION("""COMPUTED_VALUE"""),"queen")</f>
        <v>queen</v>
      </c>
    </row>
    <row r="1437">
      <c r="B1437" s="6"/>
      <c r="D1437" s="6"/>
      <c r="G1437" s="6"/>
      <c r="H1437" s="6" t="str">
        <f>IFERROR(__xludf.DUMMYFUNCTION("""COMPUTED_VALUE"""),"lifeless")</f>
        <v>lifeless</v>
      </c>
      <c r="I1437" s="6"/>
      <c r="J1437" s="6" t="str">
        <f>IFERROR(__xludf.DUMMYFUNCTION("""COMPUTED_VALUE"""),"walt")</f>
        <v>walt</v>
      </c>
      <c r="L1437" s="6" t="str">
        <f>IFERROR(__xludf.DUMMYFUNCTION("""COMPUTED_VALUE"""),"diversion")</f>
        <v>diversion</v>
      </c>
      <c r="M1437" s="6" t="str">
        <f>IFERROR(__xludf.DUMMYFUNCTION("""COMPUTED_VALUE"""),"hugh")</f>
        <v>hugh</v>
      </c>
      <c r="N1437" s="6" t="str">
        <f>IFERROR(__xludf.DUMMYFUNCTION("""COMPUTED_VALUE"""),"penetrating")</f>
        <v>penetrating</v>
      </c>
      <c r="P1437" s="6" t="str">
        <f>IFERROR(__xludf.DUMMYFUNCTION("""COMPUTED_VALUE"""),"nominated")</f>
        <v>nominated</v>
      </c>
      <c r="Q1437" s="6" t="str">
        <f>IFERROR(__xludf.DUMMYFUNCTION("""COMPUTED_VALUE"""),"dedicated")</f>
        <v>dedicated</v>
      </c>
      <c r="S1437" s="6" t="str">
        <f>IFERROR(__xludf.DUMMYFUNCTION("""COMPUTED_VALUE"""),"anne")</f>
        <v>anne</v>
      </c>
    </row>
    <row r="1438">
      <c r="B1438" s="6"/>
      <c r="D1438" s="6"/>
      <c r="G1438" s="6"/>
      <c r="H1438" s="6" t="str">
        <f>IFERROR(__xludf.DUMMYFUNCTION("""COMPUTED_VALUE"""),"near")</f>
        <v>near</v>
      </c>
      <c r="I1438" s="6"/>
      <c r="J1438" s="6" t="str">
        <f>IFERROR(__xludf.DUMMYFUNCTION("""COMPUTED_VALUE"""),"deepest")</f>
        <v>deepest</v>
      </c>
      <c r="L1438" s="6" t="str">
        <f>IFERROR(__xludf.DUMMYFUNCTION("""COMPUTED_VALUE"""),"woodland")</f>
        <v>woodland</v>
      </c>
      <c r="M1438" s="6" t="str">
        <f>IFERROR(__xludf.DUMMYFUNCTION("""COMPUTED_VALUE"""),"bonds")</f>
        <v>bonds</v>
      </c>
      <c r="N1438" s="6" t="str">
        <f>IFERROR(__xludf.DUMMYFUNCTION("""COMPUTED_VALUE"""),"symbols")</f>
        <v>symbols</v>
      </c>
      <c r="P1438" s="6" t="str">
        <f>IFERROR(__xludf.DUMMYFUNCTION("""COMPUTED_VALUE"""),"economics")</f>
        <v>economics</v>
      </c>
      <c r="Q1438" s="6" t="str">
        <f>IFERROR(__xludf.DUMMYFUNCTION("""COMPUTED_VALUE"""),"pitted")</f>
        <v>pitted</v>
      </c>
      <c r="S1438" s="6" t="str">
        <f>IFERROR(__xludf.DUMMYFUNCTION("""COMPUTED_VALUE"""),"super")</f>
        <v>super</v>
      </c>
    </row>
    <row r="1439">
      <c r="B1439" s="6"/>
      <c r="D1439" s="6"/>
      <c r="G1439" s="6"/>
      <c r="H1439" s="6" t="str">
        <f>IFERROR(__xludf.DUMMYFUNCTION("""COMPUTED_VALUE"""),"framing")</f>
        <v>framing</v>
      </c>
      <c r="I1439" s="6"/>
      <c r="J1439" s="6" t="str">
        <f>IFERROR(__xludf.DUMMYFUNCTION("""COMPUTED_VALUE"""),"overlapping")</f>
        <v>overlapping</v>
      </c>
      <c r="L1439" s="6" t="str">
        <f>IFERROR(__xludf.DUMMYFUNCTION("""COMPUTED_VALUE"""),"ensemble")</f>
        <v>ensemble</v>
      </c>
      <c r="M1439" s="6" t="str">
        <f>IFERROR(__xludf.DUMMYFUNCTION("""COMPUTED_VALUE"""),"graham")</f>
        <v>graham</v>
      </c>
      <c r="N1439" s="6" t="str">
        <f>IFERROR(__xludf.DUMMYFUNCTION("""COMPUTED_VALUE"""),"effortlessly")</f>
        <v>effortlessly</v>
      </c>
      <c r="P1439" s="6" t="str">
        <f>IFERROR(__xludf.DUMMYFUNCTION("""COMPUTED_VALUE"""),"followers")</f>
        <v>followers</v>
      </c>
      <c r="Q1439" s="6" t="str">
        <f>IFERROR(__xludf.DUMMYFUNCTION("""COMPUTED_VALUE"""),"shimmering")</f>
        <v>shimmering</v>
      </c>
      <c r="S1439" s="6" t="str">
        <f>IFERROR(__xludf.DUMMYFUNCTION("""COMPUTED_VALUE"""),"adam")</f>
        <v>adam</v>
      </c>
    </row>
    <row r="1440">
      <c r="B1440" s="6"/>
      <c r="D1440" s="6"/>
      <c r="G1440" s="6"/>
      <c r="H1440" s="6" t="str">
        <f>IFERROR(__xludf.DUMMYFUNCTION("""COMPUTED_VALUE"""),"alternately")</f>
        <v>alternately</v>
      </c>
      <c r="I1440" s="6"/>
      <c r="J1440" s="6" t="str">
        <f>IFERROR(__xludf.DUMMYFUNCTION("""COMPUTED_VALUE"""),"collateral")</f>
        <v>collateral</v>
      </c>
      <c r="L1440" s="6" t="str">
        <f>IFERROR(__xludf.DUMMYFUNCTION("""COMPUTED_VALUE"""),"newcomer")</f>
        <v>newcomer</v>
      </c>
      <c r="M1440" s="6" t="str">
        <f>IFERROR(__xludf.DUMMYFUNCTION("""COMPUTED_VALUE"""),"firing")</f>
        <v>firing</v>
      </c>
      <c r="N1440" s="6" t="str">
        <f>IFERROR(__xludf.DUMMYFUNCTION("""COMPUTED_VALUE"""),"lau")</f>
        <v>lau</v>
      </c>
      <c r="P1440" s="6" t="str">
        <f>IFERROR(__xludf.DUMMYFUNCTION("""COMPUTED_VALUE"""),"circumstances")</f>
        <v>circumstances</v>
      </c>
      <c r="Q1440" s="6" t="str">
        <f>IFERROR(__xludf.DUMMYFUNCTION("""COMPUTED_VALUE"""),"asian")</f>
        <v>asian</v>
      </c>
      <c r="S1440" s="6" t="str">
        <f>IFERROR(__xludf.DUMMYFUNCTION("""COMPUTED_VALUE"""),"technologies")</f>
        <v>technologies</v>
      </c>
    </row>
    <row r="1441">
      <c r="B1441" s="6"/>
      <c r="D1441" s="6"/>
      <c r="G1441" s="6"/>
      <c r="H1441" s="6" t="str">
        <f>IFERROR(__xludf.DUMMYFUNCTION("""COMPUTED_VALUE"""),"hopeful")</f>
        <v>hopeful</v>
      </c>
      <c r="I1441" s="6"/>
      <c r="J1441" s="6" t="str">
        <f>IFERROR(__xludf.DUMMYFUNCTION("""COMPUTED_VALUE"""),"specific")</f>
        <v>specific</v>
      </c>
      <c r="L1441" s="6" t="str">
        <f>IFERROR(__xludf.DUMMYFUNCTION("""COMPUTED_VALUE"""),"quentin")</f>
        <v>quentin</v>
      </c>
      <c r="M1441" s="6" t="str">
        <f>IFERROR(__xludf.DUMMYFUNCTION("""COMPUTED_VALUE"""),"jackson")</f>
        <v>jackson</v>
      </c>
      <c r="N1441" s="6" t="str">
        <f>IFERROR(__xludf.DUMMYFUNCTION("""COMPUTED_VALUE"""),"roster")</f>
        <v>roster</v>
      </c>
      <c r="P1441" s="6" t="str">
        <f>IFERROR(__xludf.DUMMYFUNCTION("""COMPUTED_VALUE"""),"graphics")</f>
        <v>graphics</v>
      </c>
      <c r="Q1441" s="6" t="str">
        <f>IFERROR(__xludf.DUMMYFUNCTION("""COMPUTED_VALUE"""),"painting")</f>
        <v>painting</v>
      </c>
      <c r="S1441" s="6" t="str">
        <f>IFERROR(__xludf.DUMMYFUNCTION("""COMPUTED_VALUE"""),"technique")</f>
        <v>technique</v>
      </c>
    </row>
    <row r="1442">
      <c r="B1442" s="6"/>
      <c r="D1442" s="6"/>
      <c r="G1442" s="6"/>
      <c r="H1442" s="6" t="str">
        <f>IFERROR(__xludf.DUMMYFUNCTION("""COMPUTED_VALUE"""),"apparatus")</f>
        <v>apparatus</v>
      </c>
      <c r="I1442" s="6"/>
      <c r="J1442" s="6" t="str">
        <f>IFERROR(__xludf.DUMMYFUNCTION("""COMPUTED_VALUE"""),"stills")</f>
        <v>stills</v>
      </c>
      <c r="L1442" s="6" t="str">
        <f>IFERROR(__xludf.DUMMYFUNCTION("""COMPUTED_VALUE"""),"proportions")</f>
        <v>proportions</v>
      </c>
      <c r="M1442" s="6" t="str">
        <f>IFERROR(__xludf.DUMMYFUNCTION("""COMPUTED_VALUE"""),"resources")</f>
        <v>resources</v>
      </c>
      <c r="N1442" s="6" t="str">
        <f>IFERROR(__xludf.DUMMYFUNCTION("""COMPUTED_VALUE"""),"tunnels")</f>
        <v>tunnels</v>
      </c>
      <c r="P1442" s="6" t="str">
        <f>IFERROR(__xludf.DUMMYFUNCTION("""COMPUTED_VALUE"""),"library")</f>
        <v>library</v>
      </c>
      <c r="Q1442" s="6" t="str">
        <f>IFERROR(__xludf.DUMMYFUNCTION("""COMPUTED_VALUE"""),"adolescent")</f>
        <v>adolescent</v>
      </c>
      <c r="S1442" s="6" t="str">
        <f>IFERROR(__xludf.DUMMYFUNCTION("""COMPUTED_VALUE"""),"gun")</f>
        <v>gun</v>
      </c>
    </row>
    <row r="1443">
      <c r="B1443" s="6"/>
      <c r="D1443" s="6"/>
      <c r="G1443" s="6"/>
      <c r="H1443" s="6" t="str">
        <f>IFERROR(__xludf.DUMMYFUNCTION("""COMPUTED_VALUE"""),"mechanical")</f>
        <v>mechanical</v>
      </c>
      <c r="I1443" s="6"/>
      <c r="J1443" s="6" t="str">
        <f>IFERROR(__xludf.DUMMYFUNCTION("""COMPUTED_VALUE"""),"grasp")</f>
        <v>grasp</v>
      </c>
      <c r="L1443" s="6" t="str">
        <f>IFERROR(__xludf.DUMMYFUNCTION("""COMPUTED_VALUE"""),"mysteries")</f>
        <v>mysteries</v>
      </c>
      <c r="M1443" s="6" t="str">
        <f>IFERROR(__xludf.DUMMYFUNCTION("""COMPUTED_VALUE"""),"graphic")</f>
        <v>graphic</v>
      </c>
      <c r="N1443" s="6" t="str">
        <f>IFERROR(__xludf.DUMMYFUNCTION("""COMPUTED_VALUE"""),"flesh")</f>
        <v>flesh</v>
      </c>
      <c r="P1443" s="6" t="str">
        <f>IFERROR(__xludf.DUMMYFUNCTION("""COMPUTED_VALUE"""),"damaged")</f>
        <v>damaged</v>
      </c>
      <c r="Q1443" s="6" t="str">
        <f>IFERROR(__xludf.DUMMYFUNCTION("""COMPUTED_VALUE"""),"shocks")</f>
        <v>shocks</v>
      </c>
      <c r="S1443" s="6" t="str">
        <f>IFERROR(__xludf.DUMMYFUNCTION("""COMPUTED_VALUE"""),"taylor")</f>
        <v>taylor</v>
      </c>
    </row>
    <row r="1444">
      <c r="B1444" s="6"/>
      <c r="D1444" s="6"/>
      <c r="G1444" s="6"/>
      <c r="H1444" s="6" t="str">
        <f>IFERROR(__xludf.DUMMYFUNCTION("""COMPUTED_VALUE"""),"compatible")</f>
        <v>compatible</v>
      </c>
      <c r="I1444" s="6"/>
      <c r="J1444" s="6" t="str">
        <f>IFERROR(__xludf.DUMMYFUNCTION("""COMPUTED_VALUE"""),"insignificant")</f>
        <v>insignificant</v>
      </c>
      <c r="L1444" s="6" t="str">
        <f>IFERROR(__xludf.DUMMYFUNCTION("""COMPUTED_VALUE"""),"portrays")</f>
        <v>portrays</v>
      </c>
      <c r="M1444" s="6" t="str">
        <f>IFERROR(__xludf.DUMMYFUNCTION("""COMPUTED_VALUE"""),"tribute")</f>
        <v>tribute</v>
      </c>
      <c r="N1444" s="6" t="str">
        <f>IFERROR(__xludf.DUMMYFUNCTION("""COMPUTED_VALUE"""),"significance")</f>
        <v>significance</v>
      </c>
      <c r="P1444" s="6" t="str">
        <f>IFERROR(__xludf.DUMMYFUNCTION("""COMPUTED_VALUE"""),"thrust")</f>
        <v>thrust</v>
      </c>
      <c r="Q1444" s="6" t="str">
        <f>IFERROR(__xludf.DUMMYFUNCTION("""COMPUTED_VALUE"""),"marine")</f>
        <v>marine</v>
      </c>
      <c r="S1444" s="6" t="str">
        <f>IFERROR(__xludf.DUMMYFUNCTION("""COMPUTED_VALUE"""),"harvard")</f>
        <v>harvard</v>
      </c>
    </row>
    <row r="1445">
      <c r="B1445" s="6"/>
      <c r="D1445" s="6"/>
      <c r="G1445" s="6"/>
      <c r="H1445" s="6" t="str">
        <f>IFERROR(__xludf.DUMMYFUNCTION("""COMPUTED_VALUE"""),"depiction")</f>
        <v>depiction</v>
      </c>
      <c r="I1445" s="6"/>
      <c r="J1445" s="6" t="str">
        <f>IFERROR(__xludf.DUMMYFUNCTION("""COMPUTED_VALUE"""),"examines")</f>
        <v>examines</v>
      </c>
      <c r="L1445" s="6">
        <f>IFERROR(__xludf.DUMMYFUNCTION("""COMPUTED_VALUE"""),83.0)</f>
        <v>83</v>
      </c>
      <c r="M1445" s="6" t="str">
        <f>IFERROR(__xludf.DUMMYFUNCTION("""COMPUTED_VALUE"""),"reaching")</f>
        <v>reaching</v>
      </c>
      <c r="N1445" s="6" t="str">
        <f>IFERROR(__xludf.DUMMYFUNCTION("""COMPUTED_VALUE"""),"workshop")</f>
        <v>workshop</v>
      </c>
      <c r="P1445" s="6" t="str">
        <f>IFERROR(__xludf.DUMMYFUNCTION("""COMPUTED_VALUE"""),"teeth")</f>
        <v>teeth</v>
      </c>
      <c r="Q1445" s="6" t="str">
        <f>IFERROR(__xludf.DUMMYFUNCTION("""COMPUTED_VALUE"""),"padded")</f>
        <v>padded</v>
      </c>
      <c r="S1445" s="6" t="str">
        <f>IFERROR(__xludf.DUMMYFUNCTION("""COMPUTED_VALUE"""),"reynolds")</f>
        <v>reynolds</v>
      </c>
    </row>
    <row r="1446">
      <c r="B1446" s="6"/>
      <c r="D1446" s="6"/>
      <c r="G1446" s="6"/>
      <c r="H1446" s="6" t="str">
        <f>IFERROR(__xludf.DUMMYFUNCTION("""COMPUTED_VALUE"""),"embraced")</f>
        <v>embraced</v>
      </c>
      <c r="I1446" s="6"/>
      <c r="J1446" s="6" t="str">
        <f>IFERROR(__xludf.DUMMYFUNCTION("""COMPUTED_VALUE"""),"explores")</f>
        <v>explores</v>
      </c>
      <c r="L1446" s="6" t="str">
        <f>IFERROR(__xludf.DUMMYFUNCTION("""COMPUTED_VALUE"""),"compelling")</f>
        <v>compelling</v>
      </c>
      <c r="M1446" s="6" t="str">
        <f>IFERROR(__xludf.DUMMYFUNCTION("""COMPUTED_VALUE"""),"widow")</f>
        <v>widow</v>
      </c>
      <c r="N1446" s="6" t="str">
        <f>IFERROR(__xludf.DUMMYFUNCTION("""COMPUTED_VALUE"""),"paralyzed")</f>
        <v>paralyzed</v>
      </c>
      <c r="P1446" s="6" t="str">
        <f>IFERROR(__xludf.DUMMYFUNCTION("""COMPUTED_VALUE"""),"hey")</f>
        <v>hey</v>
      </c>
      <c r="Q1446" s="6" t="str">
        <f>IFERROR(__xludf.DUMMYFUNCTION("""COMPUTED_VALUE"""),"standardized")</f>
        <v>standardized</v>
      </c>
      <c r="S1446" s="6" t="str">
        <f>IFERROR(__xludf.DUMMYFUNCTION("""COMPUTED_VALUE"""),"aboriginal")</f>
        <v>aboriginal</v>
      </c>
    </row>
    <row r="1447">
      <c r="B1447" s="6"/>
      <c r="D1447" s="6"/>
      <c r="G1447" s="6"/>
      <c r="H1447" s="6" t="str">
        <f>IFERROR(__xludf.DUMMYFUNCTION("""COMPUTED_VALUE"""),"aids")</f>
        <v>aids</v>
      </c>
      <c r="I1447" s="6"/>
      <c r="J1447" s="6" t="str">
        <f>IFERROR(__xludf.DUMMYFUNCTION("""COMPUTED_VALUE"""),"torpedo")</f>
        <v>torpedo</v>
      </c>
      <c r="L1447" s="6" t="str">
        <f>IFERROR(__xludf.DUMMYFUNCTION("""COMPUTED_VALUE"""),"suicidal")</f>
        <v>suicidal</v>
      </c>
      <c r="M1447" s="6" t="str">
        <f>IFERROR(__xludf.DUMMYFUNCTION("""COMPUTED_VALUE"""),"depth")</f>
        <v>depth</v>
      </c>
      <c r="N1447" s="6" t="str">
        <f>IFERROR(__xludf.DUMMYFUNCTION("""COMPUTED_VALUE"""),"problematic")</f>
        <v>problematic</v>
      </c>
      <c r="P1447" s="6">
        <f>IFERROR(__xludf.DUMMYFUNCTION("""COMPUTED_VALUE"""),2001.0)</f>
        <v>2001</v>
      </c>
      <c r="Q1447" s="6" t="str">
        <f>IFERROR(__xludf.DUMMYFUNCTION("""COMPUTED_VALUE"""),"propaganda")</f>
        <v>propaganda</v>
      </c>
      <c r="S1447" s="6" t="str">
        <f>IFERROR(__xludf.DUMMYFUNCTION("""COMPUTED_VALUE"""),"tomorrow")</f>
        <v>tomorrow</v>
      </c>
    </row>
    <row r="1448">
      <c r="B1448" s="6"/>
      <c r="D1448" s="6"/>
      <c r="G1448" s="6"/>
      <c r="H1448" s="6" t="str">
        <f>IFERROR(__xludf.DUMMYFUNCTION("""COMPUTED_VALUE"""),"realities")</f>
        <v>realities</v>
      </c>
      <c r="I1448" s="6"/>
      <c r="J1448" s="6" t="str">
        <f>IFERROR(__xludf.DUMMYFUNCTION("""COMPUTED_VALUE"""),"exploit")</f>
        <v>exploit</v>
      </c>
      <c r="L1448" s="6" t="str">
        <f>IFERROR(__xludf.DUMMYFUNCTION("""COMPUTED_VALUE"""),"optimism")</f>
        <v>optimism</v>
      </c>
      <c r="M1448" s="6" t="str">
        <f>IFERROR(__xludf.DUMMYFUNCTION("""COMPUTED_VALUE"""),"iranian")</f>
        <v>iranian</v>
      </c>
      <c r="N1448" s="6" t="str">
        <f>IFERROR(__xludf.DUMMYFUNCTION("""COMPUTED_VALUE"""),"solemn")</f>
        <v>solemn</v>
      </c>
      <c r="P1448" s="6" t="str">
        <f>IFERROR(__xludf.DUMMYFUNCTION("""COMPUTED_VALUE"""),"participants")</f>
        <v>participants</v>
      </c>
      <c r="Q1448" s="6" t="str">
        <f>IFERROR(__xludf.DUMMYFUNCTION("""COMPUTED_VALUE"""),"granted")</f>
        <v>granted</v>
      </c>
      <c r="S1448" s="6" t="str">
        <f>IFERROR(__xludf.DUMMYFUNCTION("""COMPUTED_VALUE"""),"gently")</f>
        <v>gently</v>
      </c>
    </row>
    <row r="1449">
      <c r="B1449" s="6"/>
      <c r="D1449" s="6"/>
      <c r="G1449" s="6"/>
      <c r="H1449" s="6" t="str">
        <f>IFERROR(__xludf.DUMMYFUNCTION("""COMPUTED_VALUE"""),"fide")</f>
        <v>fide</v>
      </c>
      <c r="I1449" s="6"/>
      <c r="J1449" s="6" t="str">
        <f>IFERROR(__xludf.DUMMYFUNCTION("""COMPUTED_VALUE"""),"confidence")</f>
        <v>confidence</v>
      </c>
      <c r="L1449" s="6" t="str">
        <f>IFERROR(__xludf.DUMMYFUNCTION("""COMPUTED_VALUE"""),"rooted")</f>
        <v>rooted</v>
      </c>
      <c r="M1449" s="6" t="str">
        <f>IFERROR(__xludf.DUMMYFUNCTION("""COMPUTED_VALUE"""),"douglas")</f>
        <v>douglas</v>
      </c>
      <c r="N1449" s="6" t="str">
        <f>IFERROR(__xludf.DUMMYFUNCTION("""COMPUTED_VALUE"""),"shocks")</f>
        <v>shocks</v>
      </c>
      <c r="P1449" s="6" t="str">
        <f>IFERROR(__xludf.DUMMYFUNCTION("""COMPUTED_VALUE"""),"franklin")</f>
        <v>franklin</v>
      </c>
      <c r="Q1449" s="6" t="str">
        <f>IFERROR(__xludf.DUMMYFUNCTION("""COMPUTED_VALUE"""),"visuals")</f>
        <v>visuals</v>
      </c>
      <c r="S1449" s="6" t="str">
        <f>IFERROR(__xludf.DUMMYFUNCTION("""COMPUTED_VALUE"""),"forth")</f>
        <v>forth</v>
      </c>
    </row>
    <row r="1450">
      <c r="B1450" s="6"/>
      <c r="D1450" s="6"/>
      <c r="G1450" s="6"/>
      <c r="H1450" s="6" t="str">
        <f>IFERROR(__xludf.DUMMYFUNCTION("""COMPUTED_VALUE"""),"born")</f>
        <v>born</v>
      </c>
      <c r="I1450" s="6"/>
      <c r="J1450" s="6" t="str">
        <f>IFERROR(__xludf.DUMMYFUNCTION("""COMPUTED_VALUE"""),"holocaust")</f>
        <v>holocaust</v>
      </c>
      <c r="L1450" s="6" t="str">
        <f>IFERROR(__xludf.DUMMYFUNCTION("""COMPUTED_VALUE"""),"canadians")</f>
        <v>canadians</v>
      </c>
      <c r="M1450" s="6" t="str">
        <f>IFERROR(__xludf.DUMMYFUNCTION("""COMPUTED_VALUE"""),"rode")</f>
        <v>rode</v>
      </c>
      <c r="N1450" s="6" t="str">
        <f>IFERROR(__xludf.DUMMYFUNCTION("""COMPUTED_VALUE"""),"spirituality")</f>
        <v>spirituality</v>
      </c>
      <c r="P1450" s="6" t="str">
        <f>IFERROR(__xludf.DUMMYFUNCTION("""COMPUTED_VALUE"""),"carl")</f>
        <v>carl</v>
      </c>
      <c r="Q1450" s="6" t="str">
        <f>IFERROR(__xludf.DUMMYFUNCTION("""COMPUTED_VALUE"""),"majestic")</f>
        <v>majestic</v>
      </c>
      <c r="S1450" s="6" t="str">
        <f>IFERROR(__xludf.DUMMYFUNCTION("""COMPUTED_VALUE"""),"injuries")</f>
        <v>injuries</v>
      </c>
    </row>
    <row r="1451">
      <c r="B1451" s="6"/>
      <c r="D1451" s="6"/>
      <c r="G1451" s="6"/>
      <c r="H1451" s="6" t="str">
        <f>IFERROR(__xludf.DUMMYFUNCTION("""COMPUTED_VALUE"""),"hug")</f>
        <v>hug</v>
      </c>
      <c r="I1451" s="6"/>
      <c r="J1451" s="6" t="str">
        <f>IFERROR(__xludf.DUMMYFUNCTION("""COMPUTED_VALUE"""),"streamed")</f>
        <v>streamed</v>
      </c>
      <c r="L1451" s="6" t="str">
        <f>IFERROR(__xludf.DUMMYFUNCTION("""COMPUTED_VALUE"""),"godfrey")</f>
        <v>godfrey</v>
      </c>
      <c r="M1451" s="6" t="str">
        <f>IFERROR(__xludf.DUMMYFUNCTION("""COMPUTED_VALUE"""),"tightened")</f>
        <v>tightened</v>
      </c>
      <c r="N1451" s="6" t="str">
        <f>IFERROR(__xludf.DUMMYFUNCTION("""COMPUTED_VALUE"""),"activism")</f>
        <v>activism</v>
      </c>
      <c r="P1451" s="6" t="str">
        <f>IFERROR(__xludf.DUMMYFUNCTION("""COMPUTED_VALUE"""),"jon")</f>
        <v>jon</v>
      </c>
      <c r="Q1451" s="6" t="str">
        <f>IFERROR(__xludf.DUMMYFUNCTION("""COMPUTED_VALUE"""),"upbeat")</f>
        <v>upbeat</v>
      </c>
      <c r="S1451" s="6" t="str">
        <f>IFERROR(__xludf.DUMMYFUNCTION("""COMPUTED_VALUE"""),"strategic")</f>
        <v>strategic</v>
      </c>
    </row>
    <row r="1452">
      <c r="B1452" s="6"/>
      <c r="D1452" s="6"/>
      <c r="G1452" s="6"/>
      <c r="H1452" s="6" t="str">
        <f>IFERROR(__xludf.DUMMYFUNCTION("""COMPUTED_VALUE"""),"repetition")</f>
        <v>repetition</v>
      </c>
      <c r="I1452" s="6"/>
      <c r="J1452" s="6" t="str">
        <f>IFERROR(__xludf.DUMMYFUNCTION("""COMPUTED_VALUE"""),"iran")</f>
        <v>iran</v>
      </c>
      <c r="L1452" s="6" t="str">
        <f>IFERROR(__xludf.DUMMYFUNCTION("""COMPUTED_VALUE"""),"gong")</f>
        <v>gong</v>
      </c>
      <c r="M1452" s="6" t="str">
        <f>IFERROR(__xludf.DUMMYFUNCTION("""COMPUTED_VALUE"""),"torpedo")</f>
        <v>torpedo</v>
      </c>
      <c r="N1452" s="6" t="str">
        <f>IFERROR(__xludf.DUMMYFUNCTION("""COMPUTED_VALUE"""),"vital")</f>
        <v>vital</v>
      </c>
      <c r="P1452" s="6" t="str">
        <f>IFERROR(__xludf.DUMMYFUNCTION("""COMPUTED_VALUE"""),"dad")</f>
        <v>dad</v>
      </c>
      <c r="Q1452" s="6" t="str">
        <f>IFERROR(__xludf.DUMMYFUNCTION("""COMPUTED_VALUE"""),"directorial")</f>
        <v>directorial</v>
      </c>
      <c r="S1452" s="6" t="str">
        <f>IFERROR(__xludf.DUMMYFUNCTION("""COMPUTED_VALUE"""),"hundreds")</f>
        <v>hundreds</v>
      </c>
    </row>
    <row r="1453">
      <c r="B1453" s="6"/>
      <c r="D1453" s="6"/>
      <c r="G1453" s="6"/>
      <c r="H1453" s="6" t="str">
        <f>IFERROR(__xludf.DUMMYFUNCTION("""COMPUTED_VALUE"""),"rivalry")</f>
        <v>rivalry</v>
      </c>
      <c r="I1453" s="6"/>
      <c r="J1453" s="6" t="str">
        <f>IFERROR(__xludf.DUMMYFUNCTION("""COMPUTED_VALUE"""),"facades")</f>
        <v>facades</v>
      </c>
      <c r="L1453" s="6" t="str">
        <f>IFERROR(__xludf.DUMMYFUNCTION("""COMPUTED_VALUE"""),"1950s")</f>
        <v>1950s</v>
      </c>
      <c r="M1453" s="6" t="str">
        <f>IFERROR(__xludf.DUMMYFUNCTION("""COMPUTED_VALUE"""),"landing")</f>
        <v>landing</v>
      </c>
      <c r="N1453" s="6" t="str">
        <f>IFERROR(__xludf.DUMMYFUNCTION("""COMPUTED_VALUE"""),"nicholson")</f>
        <v>nicholson</v>
      </c>
      <c r="P1453" s="6" t="str">
        <f>IFERROR(__xludf.DUMMYFUNCTION("""COMPUTED_VALUE"""),"zhang")</f>
        <v>zhang</v>
      </c>
      <c r="Q1453" s="6" t="str">
        <f>IFERROR(__xludf.DUMMYFUNCTION("""COMPUTED_VALUE"""),"repeated")</f>
        <v>repeated</v>
      </c>
      <c r="S1453" s="6" t="str">
        <f>IFERROR(__xludf.DUMMYFUNCTION("""COMPUTED_VALUE"""),"tightened")</f>
        <v>tightened</v>
      </c>
    </row>
    <row r="1454">
      <c r="B1454" s="6"/>
      <c r="D1454" s="6"/>
      <c r="G1454" s="6"/>
      <c r="H1454" s="6" t="str">
        <f>IFERROR(__xludf.DUMMYFUNCTION("""COMPUTED_VALUE"""),"agile")</f>
        <v>agile</v>
      </c>
      <c r="I1454" s="6"/>
      <c r="J1454" s="6" t="str">
        <f>IFERROR(__xludf.DUMMYFUNCTION("""COMPUTED_VALUE"""),"anchors")</f>
        <v>anchors</v>
      </c>
      <c r="L1454" s="6" t="str">
        <f>IFERROR(__xludf.DUMMYFUNCTION("""COMPUTED_VALUE"""),"fuels")</f>
        <v>fuels</v>
      </c>
      <c r="M1454" s="6" t="str">
        <f>IFERROR(__xludf.DUMMYFUNCTION("""COMPUTED_VALUE"""),"motion")</f>
        <v>motion</v>
      </c>
      <c r="N1454" s="6" t="str">
        <f>IFERROR(__xludf.DUMMYFUNCTION("""COMPUTED_VALUE"""),"facades")</f>
        <v>facades</v>
      </c>
      <c r="P1454" s="6" t="str">
        <f>IFERROR(__xludf.DUMMYFUNCTION("""COMPUTED_VALUE"""),"ed")</f>
        <v>ed</v>
      </c>
      <c r="Q1454" s="6" t="str">
        <f>IFERROR(__xludf.DUMMYFUNCTION("""COMPUTED_VALUE"""),"puppets")</f>
        <v>puppets</v>
      </c>
      <c r="S1454" s="6">
        <f>IFERROR(__xludf.DUMMYFUNCTION("""COMPUTED_VALUE"""),13.0)</f>
        <v>13</v>
      </c>
    </row>
    <row r="1455">
      <c r="B1455" s="6"/>
      <c r="D1455" s="6"/>
      <c r="G1455" s="6"/>
      <c r="H1455" s="6" t="str">
        <f>IFERROR(__xludf.DUMMYFUNCTION("""COMPUTED_VALUE"""),"proficient")</f>
        <v>proficient</v>
      </c>
      <c r="I1455" s="6"/>
      <c r="J1455" s="6" t="str">
        <f>IFERROR(__xludf.DUMMYFUNCTION("""COMPUTED_VALUE"""),"expects")</f>
        <v>expects</v>
      </c>
      <c r="L1455" s="6" t="str">
        <f>IFERROR(__xludf.DUMMYFUNCTION("""COMPUTED_VALUE"""),"miracles")</f>
        <v>miracles</v>
      </c>
      <c r="M1455" s="6" t="str">
        <f>IFERROR(__xludf.DUMMYFUNCTION("""COMPUTED_VALUE"""),"fiction")</f>
        <v>fiction</v>
      </c>
      <c r="N1455" s="6" t="str">
        <f>IFERROR(__xludf.DUMMYFUNCTION("""COMPUTED_VALUE"""),"sly")</f>
        <v>sly</v>
      </c>
      <c r="P1455" s="6" t="str">
        <f>IFERROR(__xludf.DUMMYFUNCTION("""COMPUTED_VALUE"""),"determination")</f>
        <v>determination</v>
      </c>
      <c r="Q1455" s="6" t="str">
        <f>IFERROR(__xludf.DUMMYFUNCTION("""COMPUTED_VALUE"""),"bear")</f>
        <v>bear</v>
      </c>
      <c r="S1455" s="6" t="str">
        <f>IFERROR(__xludf.DUMMYFUNCTION("""COMPUTED_VALUE"""),"ai")</f>
        <v>ai</v>
      </c>
    </row>
    <row r="1456">
      <c r="B1456" s="6"/>
      <c r="D1456" s="6"/>
      <c r="G1456" s="6"/>
      <c r="H1456" s="6" t="str">
        <f>IFERROR(__xludf.DUMMYFUNCTION("""COMPUTED_VALUE"""),"victim")</f>
        <v>victim</v>
      </c>
      <c r="I1456" s="6"/>
      <c r="J1456" s="6" t="str">
        <f>IFERROR(__xludf.DUMMYFUNCTION("""COMPUTED_VALUE"""),"gloom")</f>
        <v>gloom</v>
      </c>
      <c r="L1456" s="6" t="str">
        <f>IFERROR(__xludf.DUMMYFUNCTION("""COMPUTED_VALUE"""),"impacts")</f>
        <v>impacts</v>
      </c>
      <c r="M1456" s="6" t="str">
        <f>IFERROR(__xludf.DUMMYFUNCTION("""COMPUTED_VALUE"""),"portrait")</f>
        <v>portrait</v>
      </c>
      <c r="N1456" s="6" t="str">
        <f>IFERROR(__xludf.DUMMYFUNCTION("""COMPUTED_VALUE"""),"moan")</f>
        <v>moan</v>
      </c>
      <c r="P1456" s="6" t="str">
        <f>IFERROR(__xludf.DUMMYFUNCTION("""COMPUTED_VALUE"""),"scientists")</f>
        <v>scientists</v>
      </c>
      <c r="Q1456" s="6" t="str">
        <f>IFERROR(__xludf.DUMMYFUNCTION("""COMPUTED_VALUE"""),"advantage")</f>
        <v>advantage</v>
      </c>
      <c r="S1456" s="6" t="str">
        <f>IFERROR(__xludf.DUMMYFUNCTION("""COMPUTED_VALUE"""),"unit")</f>
        <v>unit</v>
      </c>
    </row>
    <row r="1457">
      <c r="B1457" s="6"/>
      <c r="D1457" s="6"/>
      <c r="G1457" s="6"/>
      <c r="H1457" s="6" t="str">
        <f>IFERROR(__xludf.DUMMYFUNCTION("""COMPUTED_VALUE"""),"denial")</f>
        <v>denial</v>
      </c>
      <c r="I1457" s="6"/>
      <c r="J1457" s="6" t="str">
        <f>IFERROR(__xludf.DUMMYFUNCTION("""COMPUTED_VALUE"""),"throbbing")</f>
        <v>throbbing</v>
      </c>
      <c r="L1457" s="6" t="str">
        <f>IFERROR(__xludf.DUMMYFUNCTION("""COMPUTED_VALUE"""),"android")</f>
        <v>android</v>
      </c>
      <c r="M1457" s="6" t="str">
        <f>IFERROR(__xludf.DUMMYFUNCTION("""COMPUTED_VALUE"""),"fighters")</f>
        <v>fighters</v>
      </c>
      <c r="N1457" s="6" t="str">
        <f>IFERROR(__xludf.DUMMYFUNCTION("""COMPUTED_VALUE"""),"pacing")</f>
        <v>pacing</v>
      </c>
      <c r="P1457" s="6">
        <f>IFERROR(__xludf.DUMMYFUNCTION("""COMPUTED_VALUE"""),1952.0)</f>
        <v>1952</v>
      </c>
      <c r="Q1457" s="6" t="str">
        <f>IFERROR(__xludf.DUMMYFUNCTION("""COMPUTED_VALUE"""),"futile")</f>
        <v>futile</v>
      </c>
      <c r="S1457" s="6" t="str">
        <f>IFERROR(__xludf.DUMMYFUNCTION("""COMPUTED_VALUE"""),"sight")</f>
        <v>sight</v>
      </c>
    </row>
    <row r="1458">
      <c r="B1458" s="6"/>
      <c r="D1458" s="6"/>
      <c r="G1458" s="6"/>
      <c r="H1458" s="6" t="str">
        <f>IFERROR(__xludf.DUMMYFUNCTION("""COMPUTED_VALUE"""),"factors")</f>
        <v>factors</v>
      </c>
      <c r="I1458" s="6"/>
      <c r="J1458" s="6" t="str">
        <f>IFERROR(__xludf.DUMMYFUNCTION("""COMPUTED_VALUE"""),"myth")</f>
        <v>myth</v>
      </c>
      <c r="L1458" s="6" t="str">
        <f>IFERROR(__xludf.DUMMYFUNCTION("""COMPUTED_VALUE"""),"hack")</f>
        <v>hack</v>
      </c>
      <c r="M1458" s="6" t="str">
        <f>IFERROR(__xludf.DUMMYFUNCTION("""COMPUTED_VALUE"""),"workshops")</f>
        <v>workshops</v>
      </c>
      <c r="N1458" s="6" t="str">
        <f>IFERROR(__xludf.DUMMYFUNCTION("""COMPUTED_VALUE"""),"fictional")</f>
        <v>fictional</v>
      </c>
      <c r="P1458" s="6" t="str">
        <f>IFERROR(__xludf.DUMMYFUNCTION("""COMPUTED_VALUE"""),"educational")</f>
        <v>educational</v>
      </c>
      <c r="Q1458" s="6" t="str">
        <f>IFERROR(__xludf.DUMMYFUNCTION("""COMPUTED_VALUE"""),"happens")</f>
        <v>happens</v>
      </c>
      <c r="S1458" s="6" t="str">
        <f>IFERROR(__xludf.DUMMYFUNCTION("""COMPUTED_VALUE"""),"stretched")</f>
        <v>stretched</v>
      </c>
    </row>
    <row r="1459">
      <c r="B1459" s="6"/>
      <c r="D1459" s="6"/>
      <c r="G1459" s="6"/>
      <c r="H1459" s="6" t="str">
        <f>IFERROR(__xludf.DUMMYFUNCTION("""COMPUTED_VALUE"""),"paxton")</f>
        <v>paxton</v>
      </c>
      <c r="I1459" s="6"/>
      <c r="J1459" s="6" t="str">
        <f>IFERROR(__xludf.DUMMYFUNCTION("""COMPUTED_VALUE"""),"heroic")</f>
        <v>heroic</v>
      </c>
      <c r="L1459" s="6" t="str">
        <f>IFERROR(__xludf.DUMMYFUNCTION("""COMPUTED_VALUE"""),"penetrating")</f>
        <v>penetrating</v>
      </c>
      <c r="M1459" s="6" t="str">
        <f>IFERROR(__xludf.DUMMYFUNCTION("""COMPUTED_VALUE"""),"kiss")</f>
        <v>kiss</v>
      </c>
      <c r="N1459" s="6" t="str">
        <f>IFERROR(__xludf.DUMMYFUNCTION("""COMPUTED_VALUE"""),"literary")</f>
        <v>literary</v>
      </c>
      <c r="P1459" s="6" t="str">
        <f>IFERROR(__xludf.DUMMYFUNCTION("""COMPUTED_VALUE"""),"monument")</f>
        <v>monument</v>
      </c>
      <c r="Q1459" s="6">
        <f>IFERROR(__xludf.DUMMYFUNCTION("""COMPUTED_VALUE"""),1899.0)</f>
        <v>1899</v>
      </c>
      <c r="S1459" s="6" t="str">
        <f>IFERROR(__xludf.DUMMYFUNCTION("""COMPUTED_VALUE"""),"brief")</f>
        <v>brief</v>
      </c>
    </row>
    <row r="1460">
      <c r="B1460" s="6"/>
      <c r="D1460" s="6"/>
      <c r="G1460" s="6"/>
      <c r="H1460" s="6" t="str">
        <f>IFERROR(__xludf.DUMMYFUNCTION("""COMPUTED_VALUE"""),"resistance")</f>
        <v>resistance</v>
      </c>
      <c r="I1460" s="6"/>
      <c r="J1460" s="6" t="str">
        <f>IFERROR(__xludf.DUMMYFUNCTION("""COMPUTED_VALUE"""),"sprung")</f>
        <v>sprung</v>
      </c>
      <c r="L1460" s="6" t="str">
        <f>IFERROR(__xludf.DUMMYFUNCTION("""COMPUTED_VALUE"""),"symbols")</f>
        <v>symbols</v>
      </c>
      <c r="M1460" s="6" t="str">
        <f>IFERROR(__xludf.DUMMYFUNCTION("""COMPUTED_VALUE"""),"rising")</f>
        <v>rising</v>
      </c>
      <c r="N1460" s="6" t="str">
        <f>IFERROR(__xludf.DUMMYFUNCTION("""COMPUTED_VALUE"""),"bitterly")</f>
        <v>bitterly</v>
      </c>
      <c r="P1460" s="6" t="str">
        <f>IFERROR(__xludf.DUMMYFUNCTION("""COMPUTED_VALUE"""),"minority")</f>
        <v>minority</v>
      </c>
      <c r="Q1460" s="6" t="str">
        <f>IFERROR(__xludf.DUMMYFUNCTION("""COMPUTED_VALUE"""),"willingness")</f>
        <v>willingness</v>
      </c>
      <c r="S1460" s="6" t="str">
        <f>IFERROR(__xludf.DUMMYFUNCTION("""COMPUTED_VALUE"""),"ernest")</f>
        <v>ernest</v>
      </c>
    </row>
    <row r="1461">
      <c r="B1461" s="6"/>
      <c r="D1461" s="6"/>
      <c r="G1461" s="6"/>
      <c r="H1461" s="6" t="str">
        <f>IFERROR(__xludf.DUMMYFUNCTION("""COMPUTED_VALUE"""),"levy")</f>
        <v>levy</v>
      </c>
      <c r="I1461" s="6"/>
      <c r="J1461" s="6" t="str">
        <f>IFERROR(__xludf.DUMMYFUNCTION("""COMPUTED_VALUE"""),"golden")</f>
        <v>golden</v>
      </c>
      <c r="L1461" s="6" t="str">
        <f>IFERROR(__xludf.DUMMYFUNCTION("""COMPUTED_VALUE"""),"myers")</f>
        <v>myers</v>
      </c>
      <c r="M1461" s="6" t="str">
        <f>IFERROR(__xludf.DUMMYFUNCTION("""COMPUTED_VALUE"""),"dawn")</f>
        <v>dawn</v>
      </c>
      <c r="N1461" s="6" t="str">
        <f>IFERROR(__xludf.DUMMYFUNCTION("""COMPUTED_VALUE"""),"stitch")</f>
        <v>stitch</v>
      </c>
      <c r="P1461" s="6" t="str">
        <f>IFERROR(__xludf.DUMMYFUNCTION("""COMPUTED_VALUE"""),"spine")</f>
        <v>spine</v>
      </c>
      <c r="Q1461" s="6" t="str">
        <f>IFERROR(__xludf.DUMMYFUNCTION("""COMPUTED_VALUE"""),"wander")</f>
        <v>wander</v>
      </c>
      <c r="S1461" s="6" t="str">
        <f>IFERROR(__xludf.DUMMYFUNCTION("""COMPUTED_VALUE"""),"roles")</f>
        <v>roles</v>
      </c>
    </row>
    <row r="1462">
      <c r="B1462" s="6"/>
      <c r="D1462" s="6"/>
      <c r="G1462" s="6"/>
      <c r="H1462" s="6" t="str">
        <f>IFERROR(__xludf.DUMMYFUNCTION("""COMPUTED_VALUE"""),"forster")</f>
        <v>forster</v>
      </c>
      <c r="I1462" s="6"/>
      <c r="J1462" s="6" t="str">
        <f>IFERROR(__xludf.DUMMYFUNCTION("""COMPUTED_VALUE"""),"expressions")</f>
        <v>expressions</v>
      </c>
      <c r="L1462" s="6" t="str">
        <f>IFERROR(__xludf.DUMMYFUNCTION("""COMPUTED_VALUE"""),"effortlessly")</f>
        <v>effortlessly</v>
      </c>
      <c r="M1462" s="6" t="str">
        <f>IFERROR(__xludf.DUMMYFUNCTION("""COMPUTED_VALUE"""),"homes")</f>
        <v>homes</v>
      </c>
      <c r="N1462" s="6" t="str">
        <f>IFERROR(__xludf.DUMMYFUNCTION("""COMPUTED_VALUE"""),"meditation")</f>
        <v>meditation</v>
      </c>
      <c r="P1462" s="6" t="str">
        <f>IFERROR(__xludf.DUMMYFUNCTION("""COMPUTED_VALUE"""),"environmental")</f>
        <v>environmental</v>
      </c>
      <c r="Q1462" s="6" t="str">
        <f>IFERROR(__xludf.DUMMYFUNCTION("""COMPUTED_VALUE"""),"warped")</f>
        <v>warped</v>
      </c>
      <c r="S1462" s="6" t="str">
        <f>IFERROR(__xludf.DUMMYFUNCTION("""COMPUTED_VALUE"""),"heights")</f>
        <v>heights</v>
      </c>
    </row>
    <row r="1463">
      <c r="B1463" s="6"/>
      <c r="D1463" s="6"/>
      <c r="G1463" s="6"/>
      <c r="H1463" s="6" t="str">
        <f>IFERROR(__xludf.DUMMYFUNCTION("""COMPUTED_VALUE"""),"vin")</f>
        <v>vin</v>
      </c>
      <c r="I1463" s="6"/>
      <c r="J1463" s="6" t="str">
        <f>IFERROR(__xludf.DUMMYFUNCTION("""COMPUTED_VALUE"""),"chord")</f>
        <v>chord</v>
      </c>
      <c r="L1463" s="6" t="str">
        <f>IFERROR(__xludf.DUMMYFUNCTION("""COMPUTED_VALUE"""),"lau")</f>
        <v>lau</v>
      </c>
      <c r="M1463" s="6" t="str">
        <f>IFERROR(__xludf.DUMMYFUNCTION("""COMPUTED_VALUE"""),"grant")</f>
        <v>grant</v>
      </c>
      <c r="N1463" s="6" t="str">
        <f>IFERROR(__xludf.DUMMYFUNCTION("""COMPUTED_VALUE"""),"weave")</f>
        <v>weave</v>
      </c>
      <c r="P1463" s="6" t="str">
        <f>IFERROR(__xludf.DUMMYFUNCTION("""COMPUTED_VALUE"""),"mine")</f>
        <v>mine</v>
      </c>
      <c r="Q1463" s="6" t="str">
        <f>IFERROR(__xludf.DUMMYFUNCTION("""COMPUTED_VALUE"""),"bertrand")</f>
        <v>bertrand</v>
      </c>
      <c r="S1463" s="6" t="str">
        <f>IFERROR(__xludf.DUMMYFUNCTION("""COMPUTED_VALUE"""),"executed")</f>
        <v>executed</v>
      </c>
    </row>
    <row r="1464">
      <c r="B1464" s="6"/>
      <c r="D1464" s="6"/>
      <c r="G1464" s="6"/>
      <c r="H1464" s="6" t="str">
        <f>IFERROR(__xludf.DUMMYFUNCTION("""COMPUTED_VALUE"""),"furiously")</f>
        <v>furiously</v>
      </c>
      <c r="I1464" s="6"/>
      <c r="J1464" s="6" t="str">
        <f>IFERROR(__xludf.DUMMYFUNCTION("""COMPUTED_VALUE"""),"chronicle")</f>
        <v>chronicle</v>
      </c>
      <c r="L1464" s="6" t="str">
        <f>IFERROR(__xludf.DUMMYFUNCTION("""COMPUTED_VALUE"""),"roster")</f>
        <v>roster</v>
      </c>
      <c r="M1464" s="6" t="str">
        <f>IFERROR(__xludf.DUMMYFUNCTION("""COMPUTED_VALUE"""),"jet")</f>
        <v>jet</v>
      </c>
      <c r="N1464" s="6" t="str">
        <f>IFERROR(__xludf.DUMMYFUNCTION("""COMPUTED_VALUE"""),"survival")</f>
        <v>survival</v>
      </c>
      <c r="P1464" s="6" t="str">
        <f>IFERROR(__xludf.DUMMYFUNCTION("""COMPUTED_VALUE"""),"alfred")</f>
        <v>alfred</v>
      </c>
      <c r="Q1464" s="6" t="str">
        <f>IFERROR(__xludf.DUMMYFUNCTION("""COMPUTED_VALUE"""),"wears")</f>
        <v>wears</v>
      </c>
      <c r="S1464" s="6" t="str">
        <f>IFERROR(__xludf.DUMMYFUNCTION("""COMPUTED_VALUE"""),"tough")</f>
        <v>tough</v>
      </c>
    </row>
    <row r="1465">
      <c r="B1465" s="6"/>
      <c r="D1465" s="6"/>
      <c r="G1465" s="6"/>
      <c r="H1465" s="6" t="str">
        <f>IFERROR(__xludf.DUMMYFUNCTION("""COMPUTED_VALUE"""),"brains")</f>
        <v>brains</v>
      </c>
      <c r="I1465" s="6"/>
      <c r="J1465" s="6" t="str">
        <f>IFERROR(__xludf.DUMMYFUNCTION("""COMPUTED_VALUE"""),"flowering")</f>
        <v>flowering</v>
      </c>
      <c r="L1465" s="6" t="str">
        <f>IFERROR(__xludf.DUMMYFUNCTION("""COMPUTED_VALUE"""),"tunnels")</f>
        <v>tunnels</v>
      </c>
      <c r="M1465" s="6" t="str">
        <f>IFERROR(__xludf.DUMMYFUNCTION("""COMPUTED_VALUE"""),"consciousness")</f>
        <v>consciousness</v>
      </c>
      <c r="N1465" s="6" t="str">
        <f>IFERROR(__xludf.DUMMYFUNCTION("""COMPUTED_VALUE"""),"creators")</f>
        <v>creators</v>
      </c>
      <c r="P1465" s="6" t="str">
        <f>IFERROR(__xludf.DUMMYFUNCTION("""COMPUTED_VALUE"""),"drinking")</f>
        <v>drinking</v>
      </c>
      <c r="Q1465" s="6" t="str">
        <f>IFERROR(__xludf.DUMMYFUNCTION("""COMPUTED_VALUE"""),"intimacy")</f>
        <v>intimacy</v>
      </c>
      <c r="S1465" s="6" t="str">
        <f>IFERROR(__xludf.DUMMYFUNCTION("""COMPUTED_VALUE"""),"lean")</f>
        <v>lean</v>
      </c>
    </row>
    <row r="1466">
      <c r="B1466" s="6"/>
      <c r="D1466" s="6"/>
      <c r="G1466" s="6"/>
      <c r="H1466" s="6" t="str">
        <f>IFERROR(__xludf.DUMMYFUNCTION("""COMPUTED_VALUE"""),"athletes")</f>
        <v>athletes</v>
      </c>
      <c r="I1466" s="6"/>
      <c r="J1466" s="6" t="str">
        <f>IFERROR(__xludf.DUMMYFUNCTION("""COMPUTED_VALUE"""),"testosterone")</f>
        <v>testosterone</v>
      </c>
      <c r="L1466" s="6" t="str">
        <f>IFERROR(__xludf.DUMMYFUNCTION("""COMPUTED_VALUE"""),"flesh")</f>
        <v>flesh</v>
      </c>
      <c r="M1466" s="6" t="str">
        <f>IFERROR(__xludf.DUMMYFUNCTION("""COMPUTED_VALUE"""),"connections")</f>
        <v>connections</v>
      </c>
      <c r="N1466" s="6" t="str">
        <f>IFERROR(__xludf.DUMMYFUNCTION("""COMPUTED_VALUE"""),"endings")</f>
        <v>endings</v>
      </c>
      <c r="P1466" s="6" t="str">
        <f>IFERROR(__xludf.DUMMYFUNCTION("""COMPUTED_VALUE"""),"shakespeare")</f>
        <v>shakespeare</v>
      </c>
      <c r="Q1466" s="6" t="str">
        <f>IFERROR(__xludf.DUMMYFUNCTION("""COMPUTED_VALUE"""),"sermon")</f>
        <v>sermon</v>
      </c>
      <c r="S1466" s="6" t="str">
        <f>IFERROR(__xludf.DUMMYFUNCTION("""COMPUTED_VALUE"""),"russell")</f>
        <v>russell</v>
      </c>
    </row>
    <row r="1467">
      <c r="B1467" s="6"/>
      <c r="D1467" s="6"/>
      <c r="G1467" s="6"/>
      <c r="H1467" s="6" t="str">
        <f>IFERROR(__xludf.DUMMYFUNCTION("""COMPUTED_VALUE"""),"banged")</f>
        <v>banged</v>
      </c>
      <c r="I1467" s="6"/>
      <c r="J1467" s="6" t="str">
        <f>IFERROR(__xludf.DUMMYFUNCTION("""COMPUTED_VALUE"""),"serials")</f>
        <v>serials</v>
      </c>
      <c r="L1467" s="6" t="str">
        <f>IFERROR(__xludf.DUMMYFUNCTION("""COMPUTED_VALUE"""),"significance")</f>
        <v>significance</v>
      </c>
      <c r="M1467" s="6" t="str">
        <f>IFERROR(__xludf.DUMMYFUNCTION("""COMPUTED_VALUE"""),"metropolitan")</f>
        <v>metropolitan</v>
      </c>
      <c r="N1467" s="6" t="str">
        <f>IFERROR(__xludf.DUMMYFUNCTION("""COMPUTED_VALUE"""),"humming")</f>
        <v>humming</v>
      </c>
      <c r="P1467" s="6" t="str">
        <f>IFERROR(__xludf.DUMMYFUNCTION("""COMPUTED_VALUE"""),"companion")</f>
        <v>companion</v>
      </c>
      <c r="Q1467" s="6" t="str">
        <f>IFERROR(__xludf.DUMMYFUNCTION("""COMPUTED_VALUE"""),"blanket")</f>
        <v>blanket</v>
      </c>
      <c r="S1467" s="6" t="str">
        <f>IFERROR(__xludf.DUMMYFUNCTION("""COMPUTED_VALUE"""),"exit")</f>
        <v>exit</v>
      </c>
    </row>
    <row r="1468">
      <c r="B1468" s="6"/>
      <c r="D1468" s="6"/>
      <c r="G1468" s="6"/>
      <c r="H1468" s="6" t="str">
        <f>IFERROR(__xludf.DUMMYFUNCTION("""COMPUTED_VALUE"""),"screenings")</f>
        <v>screenings</v>
      </c>
      <c r="I1468" s="6"/>
      <c r="J1468" s="6" t="str">
        <f>IFERROR(__xludf.DUMMYFUNCTION("""COMPUTED_VALUE"""),"slender")</f>
        <v>slender</v>
      </c>
      <c r="L1468" s="6" t="str">
        <f>IFERROR(__xludf.DUMMYFUNCTION("""COMPUTED_VALUE"""),"workshop")</f>
        <v>workshop</v>
      </c>
      <c r="M1468" s="6" t="str">
        <f>IFERROR(__xludf.DUMMYFUNCTION("""COMPUTED_VALUE"""),"reduce")</f>
        <v>reduce</v>
      </c>
      <c r="N1468" s="6" t="str">
        <f>IFERROR(__xludf.DUMMYFUNCTION("""COMPUTED_VALUE"""),"lark")</f>
        <v>lark</v>
      </c>
      <c r="P1468" s="6" t="str">
        <f>IFERROR(__xludf.DUMMYFUNCTION("""COMPUTED_VALUE"""),"lucas")</f>
        <v>lucas</v>
      </c>
      <c r="Q1468" s="6" t="str">
        <f>IFERROR(__xludf.DUMMYFUNCTION("""COMPUTED_VALUE"""),"bordering")</f>
        <v>bordering</v>
      </c>
      <c r="S1468" s="6" t="str">
        <f>IFERROR(__xludf.DUMMYFUNCTION("""COMPUTED_VALUE"""),"strip")</f>
        <v>strip</v>
      </c>
    </row>
    <row r="1469">
      <c r="B1469" s="6"/>
      <c r="D1469" s="6"/>
      <c r="G1469" s="6"/>
      <c r="H1469" s="6" t="str">
        <f>IFERROR(__xludf.DUMMYFUNCTION("""COMPUTED_VALUE"""),"canon")</f>
        <v>canon</v>
      </c>
      <c r="I1469" s="6"/>
      <c r="J1469" s="6" t="str">
        <f>IFERROR(__xludf.DUMMYFUNCTION("""COMPUTED_VALUE"""),"kaufman")</f>
        <v>kaufman</v>
      </c>
      <c r="L1469" s="6" t="str">
        <f>IFERROR(__xludf.DUMMYFUNCTION("""COMPUTED_VALUE"""),"paralyzed")</f>
        <v>paralyzed</v>
      </c>
      <c r="M1469" s="6" t="str">
        <f>IFERROR(__xludf.DUMMYFUNCTION("""COMPUTED_VALUE"""),"emotional")</f>
        <v>emotional</v>
      </c>
      <c r="N1469" s="6" t="str">
        <f>IFERROR(__xludf.DUMMYFUNCTION("""COMPUTED_VALUE"""),"consciously")</f>
        <v>consciously</v>
      </c>
      <c r="P1469" s="6" t="str">
        <f>IFERROR(__xludf.DUMMYFUNCTION("""COMPUTED_VALUE"""),"fighters")</f>
        <v>fighters</v>
      </c>
      <c r="Q1469" s="6" t="str">
        <f>IFERROR(__xludf.DUMMYFUNCTION("""COMPUTED_VALUE"""),"beloved")</f>
        <v>beloved</v>
      </c>
      <c r="S1469" s="6" t="str">
        <f>IFERROR(__xludf.DUMMYFUNCTION("""COMPUTED_VALUE"""),"steve")</f>
        <v>steve</v>
      </c>
    </row>
    <row r="1470">
      <c r="B1470" s="6"/>
      <c r="D1470" s="6"/>
      <c r="G1470" s="6"/>
      <c r="H1470" s="6" t="str">
        <f>IFERROR(__xludf.DUMMYFUNCTION("""COMPUTED_VALUE"""),"grown")</f>
        <v>grown</v>
      </c>
      <c r="I1470" s="6"/>
      <c r="J1470" s="6" t="str">
        <f>IFERROR(__xludf.DUMMYFUNCTION("""COMPUTED_VALUE"""),"masculine")</f>
        <v>masculine</v>
      </c>
      <c r="L1470" s="6" t="str">
        <f>IFERROR(__xludf.DUMMYFUNCTION("""COMPUTED_VALUE"""),"problematic")</f>
        <v>problematic</v>
      </c>
      <c r="M1470" s="6" t="str">
        <f>IFERROR(__xludf.DUMMYFUNCTION("""COMPUTED_VALUE"""),"tourism")</f>
        <v>tourism</v>
      </c>
      <c r="N1470" s="6" t="str">
        <f>IFERROR(__xludf.DUMMYFUNCTION("""COMPUTED_VALUE"""),"amid")</f>
        <v>amid</v>
      </c>
      <c r="P1470" s="6" t="str">
        <f>IFERROR(__xludf.DUMMYFUNCTION("""COMPUTED_VALUE"""),"buried")</f>
        <v>buried</v>
      </c>
      <c r="Q1470" s="6" t="str">
        <f>IFERROR(__xludf.DUMMYFUNCTION("""COMPUTED_VALUE"""),"continuation")</f>
        <v>continuation</v>
      </c>
      <c r="S1470" s="6" t="str">
        <f>IFERROR(__xludf.DUMMYFUNCTION("""COMPUTED_VALUE"""),"celebrate")</f>
        <v>celebrate</v>
      </c>
    </row>
    <row r="1471">
      <c r="B1471" s="6"/>
      <c r="D1471" s="6"/>
      <c r="G1471" s="6"/>
      <c r="H1471" s="6" t="str">
        <f>IFERROR(__xludf.DUMMYFUNCTION("""COMPUTED_VALUE"""),"flesh")</f>
        <v>flesh</v>
      </c>
      <c r="I1471" s="6"/>
      <c r="J1471" s="6" t="str">
        <f>IFERROR(__xludf.DUMMYFUNCTION("""COMPUTED_VALUE"""),"lecture")</f>
        <v>lecture</v>
      </c>
      <c r="L1471" s="6" t="str">
        <f>IFERROR(__xludf.DUMMYFUNCTION("""COMPUTED_VALUE"""),"solemn")</f>
        <v>solemn</v>
      </c>
      <c r="M1471" s="6" t="str">
        <f>IFERROR(__xludf.DUMMYFUNCTION("""COMPUTED_VALUE"""),"spike")</f>
        <v>spike</v>
      </c>
      <c r="N1471" s="6" t="str">
        <f>IFERROR(__xludf.DUMMYFUNCTION("""COMPUTED_VALUE"""),"espionage")</f>
        <v>espionage</v>
      </c>
      <c r="P1471" s="6" t="str">
        <f>IFERROR(__xludf.DUMMYFUNCTION("""COMPUTED_VALUE"""),"copenhagen")</f>
        <v>copenhagen</v>
      </c>
      <c r="Q1471" s="6" t="str">
        <f>IFERROR(__xludf.DUMMYFUNCTION("""COMPUTED_VALUE"""),"logical")</f>
        <v>logical</v>
      </c>
      <c r="S1471" s="6" t="str">
        <f>IFERROR(__xludf.DUMMYFUNCTION("""COMPUTED_VALUE"""),"origins")</f>
        <v>origins</v>
      </c>
    </row>
    <row r="1472">
      <c r="B1472" s="6"/>
      <c r="D1472" s="6"/>
      <c r="G1472" s="6"/>
      <c r="H1472" s="6" t="str">
        <f>IFERROR(__xludf.DUMMYFUNCTION("""COMPUTED_VALUE"""),"drastic")</f>
        <v>drastic</v>
      </c>
      <c r="I1472" s="6"/>
      <c r="J1472" s="6" t="str">
        <f>IFERROR(__xludf.DUMMYFUNCTION("""COMPUTED_VALUE"""),"humanist")</f>
        <v>humanist</v>
      </c>
      <c r="L1472" s="6" t="str">
        <f>IFERROR(__xludf.DUMMYFUNCTION("""COMPUTED_VALUE"""),"shocks")</f>
        <v>shocks</v>
      </c>
      <c r="M1472" s="6" t="str">
        <f>IFERROR(__xludf.DUMMYFUNCTION("""COMPUTED_VALUE"""),"guilt")</f>
        <v>guilt</v>
      </c>
      <c r="N1472" s="6" t="str">
        <f>IFERROR(__xludf.DUMMYFUNCTION("""COMPUTED_VALUE"""),"triangle")</f>
        <v>triangle</v>
      </c>
      <c r="P1472" s="6" t="str">
        <f>IFERROR(__xludf.DUMMYFUNCTION("""COMPUTED_VALUE"""),"associated")</f>
        <v>associated</v>
      </c>
      <c r="Q1472" s="6" t="str">
        <f>IFERROR(__xludf.DUMMYFUNCTION("""COMPUTED_VALUE"""),"awkward")</f>
        <v>awkward</v>
      </c>
      <c r="S1472" s="6" t="str">
        <f>IFERROR(__xludf.DUMMYFUNCTION("""COMPUTED_VALUE"""),"burst")</f>
        <v>burst</v>
      </c>
    </row>
    <row r="1473">
      <c r="B1473" s="6"/>
      <c r="D1473" s="6"/>
      <c r="G1473" s="6"/>
      <c r="H1473" s="6" t="str">
        <f>IFERROR(__xludf.DUMMYFUNCTION("""COMPUTED_VALUE"""),"capturing")</f>
        <v>capturing</v>
      </c>
      <c r="I1473" s="6"/>
      <c r="J1473" s="6" t="str">
        <f>IFERROR(__xludf.DUMMYFUNCTION("""COMPUTED_VALUE"""),"adaptations")</f>
        <v>adaptations</v>
      </c>
      <c r="L1473" s="6" t="str">
        <f>IFERROR(__xludf.DUMMYFUNCTION("""COMPUTED_VALUE"""),"spirituality")</f>
        <v>spirituality</v>
      </c>
      <c r="M1473" s="6" t="str">
        <f>IFERROR(__xludf.DUMMYFUNCTION("""COMPUTED_VALUE"""),"producer")</f>
        <v>producer</v>
      </c>
      <c r="N1473" s="6" t="str">
        <f>IFERROR(__xludf.DUMMYFUNCTION("""COMPUTED_VALUE"""),"nomination")</f>
        <v>nomination</v>
      </c>
      <c r="P1473" s="6" t="str">
        <f>IFERROR(__xludf.DUMMYFUNCTION("""COMPUTED_VALUE"""),"peace")</f>
        <v>peace</v>
      </c>
      <c r="Q1473" s="6" t="str">
        <f>IFERROR(__xludf.DUMMYFUNCTION("""COMPUTED_VALUE"""),"sentiments")</f>
        <v>sentiments</v>
      </c>
      <c r="S1473" s="6" t="str">
        <f>IFERROR(__xludf.DUMMYFUNCTION("""COMPUTED_VALUE"""),"sub")</f>
        <v>sub</v>
      </c>
    </row>
    <row r="1474">
      <c r="B1474" s="6"/>
      <c r="D1474" s="6"/>
      <c r="G1474" s="6"/>
      <c r="H1474" s="6" t="str">
        <f>IFERROR(__xludf.DUMMYFUNCTION("""COMPUTED_VALUE"""),"fantasies")</f>
        <v>fantasies</v>
      </c>
      <c r="I1474" s="6"/>
      <c r="J1474" s="6" t="str">
        <f>IFERROR(__xludf.DUMMYFUNCTION("""COMPUTED_VALUE"""),"satin")</f>
        <v>satin</v>
      </c>
      <c r="L1474" s="6" t="str">
        <f>IFERROR(__xludf.DUMMYFUNCTION("""COMPUTED_VALUE"""),"activism")</f>
        <v>activism</v>
      </c>
      <c r="M1474" s="6" t="str">
        <f>IFERROR(__xludf.DUMMYFUNCTION("""COMPUTED_VALUE"""),"analysis")</f>
        <v>analysis</v>
      </c>
      <c r="N1474" s="6" t="str">
        <f>IFERROR(__xludf.DUMMYFUNCTION("""COMPUTED_VALUE"""),"artworks")</f>
        <v>artworks</v>
      </c>
      <c r="P1474" s="6" t="str">
        <f>IFERROR(__xludf.DUMMYFUNCTION("""COMPUTED_VALUE"""),"eventual")</f>
        <v>eventual</v>
      </c>
      <c r="Q1474" s="6" t="str">
        <f>IFERROR(__xludf.DUMMYFUNCTION("""COMPUTED_VALUE"""),"wasting")</f>
        <v>wasting</v>
      </c>
      <c r="S1474" s="6" t="str">
        <f>IFERROR(__xludf.DUMMYFUNCTION("""COMPUTED_VALUE"""),"town")</f>
        <v>town</v>
      </c>
    </row>
    <row r="1475">
      <c r="B1475" s="6"/>
      <c r="D1475" s="6"/>
      <c r="G1475" s="6"/>
      <c r="H1475" s="6" t="str">
        <f>IFERROR(__xludf.DUMMYFUNCTION("""COMPUTED_VALUE"""),"illness")</f>
        <v>illness</v>
      </c>
      <c r="I1475" s="6"/>
      <c r="J1475" s="6" t="str">
        <f>IFERROR(__xludf.DUMMYFUNCTION("""COMPUTED_VALUE"""),"integrated")</f>
        <v>integrated</v>
      </c>
      <c r="L1475" s="6" t="str">
        <f>IFERROR(__xludf.DUMMYFUNCTION("""COMPUTED_VALUE"""),"vital")</f>
        <v>vital</v>
      </c>
      <c r="M1475" s="6" t="str">
        <f>IFERROR(__xludf.DUMMYFUNCTION("""COMPUTED_VALUE"""),"winds")</f>
        <v>winds</v>
      </c>
      <c r="N1475" s="6" t="str">
        <f>IFERROR(__xludf.DUMMYFUNCTION("""COMPUTED_VALUE"""),"pulse")</f>
        <v>pulse</v>
      </c>
      <c r="P1475" s="6" t="str">
        <f>IFERROR(__xludf.DUMMYFUNCTION("""COMPUTED_VALUE"""),"initial")</f>
        <v>initial</v>
      </c>
      <c r="Q1475" s="6" t="str">
        <f>IFERROR(__xludf.DUMMYFUNCTION("""COMPUTED_VALUE"""),"estranged")</f>
        <v>estranged</v>
      </c>
      <c r="S1475" s="6" t="str">
        <f>IFERROR(__xludf.DUMMYFUNCTION("""COMPUTED_VALUE"""),"formal")</f>
        <v>formal</v>
      </c>
    </row>
    <row r="1476">
      <c r="B1476" s="6"/>
      <c r="D1476" s="6"/>
      <c r="G1476" s="6"/>
      <c r="H1476" s="6" t="str">
        <f>IFERROR(__xludf.DUMMYFUNCTION("""COMPUTED_VALUE"""),"metaphysical")</f>
        <v>metaphysical</v>
      </c>
      <c r="I1476" s="6"/>
      <c r="J1476" s="6" t="str">
        <f>IFERROR(__xludf.DUMMYFUNCTION("""COMPUTED_VALUE"""),"speculative")</f>
        <v>speculative</v>
      </c>
      <c r="L1476" s="6" t="str">
        <f>IFERROR(__xludf.DUMMYFUNCTION("""COMPUTED_VALUE"""),"nicholson")</f>
        <v>nicholson</v>
      </c>
      <c r="M1476" s="6" t="str">
        <f>IFERROR(__xludf.DUMMYFUNCTION("""COMPUTED_VALUE"""),"consequences")</f>
        <v>consequences</v>
      </c>
      <c r="N1476" s="6" t="str">
        <f>IFERROR(__xludf.DUMMYFUNCTION("""COMPUTED_VALUE"""),"inclination")</f>
        <v>inclination</v>
      </c>
      <c r="P1476" s="6" t="str">
        <f>IFERROR(__xludf.DUMMYFUNCTION("""COMPUTED_VALUE"""),"heavyweight")</f>
        <v>heavyweight</v>
      </c>
      <c r="Q1476" s="6" t="str">
        <f>IFERROR(__xludf.DUMMYFUNCTION("""COMPUTED_VALUE"""),"acclaim")</f>
        <v>acclaim</v>
      </c>
      <c r="S1476" s="6" t="str">
        <f>IFERROR(__xludf.DUMMYFUNCTION("""COMPUTED_VALUE"""),"accessible")</f>
        <v>accessible</v>
      </c>
    </row>
    <row r="1477">
      <c r="B1477" s="6"/>
      <c r="D1477" s="6"/>
      <c r="G1477" s="6"/>
      <c r="H1477" s="6" t="str">
        <f>IFERROR(__xludf.DUMMYFUNCTION("""COMPUTED_VALUE"""),"echoes")</f>
        <v>echoes</v>
      </c>
      <c r="I1477" s="6"/>
      <c r="J1477" s="6" t="str">
        <f>IFERROR(__xludf.DUMMYFUNCTION("""COMPUTED_VALUE"""),"store")</f>
        <v>store</v>
      </c>
      <c r="L1477" s="6" t="str">
        <f>IFERROR(__xludf.DUMMYFUNCTION("""COMPUTED_VALUE"""),"facades")</f>
        <v>facades</v>
      </c>
      <c r="M1477" s="6" t="str">
        <f>IFERROR(__xludf.DUMMYFUNCTION("""COMPUTED_VALUE"""),"trapped")</f>
        <v>trapped</v>
      </c>
      <c r="N1477" s="6" t="str">
        <f>IFERROR(__xludf.DUMMYFUNCTION("""COMPUTED_VALUE"""),"undone")</f>
        <v>undone</v>
      </c>
      <c r="P1477" s="6" t="str">
        <f>IFERROR(__xludf.DUMMYFUNCTION("""COMPUTED_VALUE"""),"burns")</f>
        <v>burns</v>
      </c>
      <c r="Q1477" s="6" t="str">
        <f>IFERROR(__xludf.DUMMYFUNCTION("""COMPUTED_VALUE"""),"famine")</f>
        <v>famine</v>
      </c>
      <c r="S1477" s="6" t="str">
        <f>IFERROR(__xludf.DUMMYFUNCTION("""COMPUTED_VALUE"""),"replaced")</f>
        <v>replaced</v>
      </c>
    </row>
    <row r="1478">
      <c r="B1478" s="6"/>
      <c r="D1478" s="6"/>
      <c r="G1478" s="6"/>
      <c r="H1478" s="6" t="str">
        <f>IFERROR(__xludf.DUMMYFUNCTION("""COMPUTED_VALUE"""),"canadians")</f>
        <v>canadians</v>
      </c>
      <c r="I1478" s="6"/>
      <c r="J1478" s="6" t="str">
        <f>IFERROR(__xludf.DUMMYFUNCTION("""COMPUTED_VALUE"""),"characterized")</f>
        <v>characterized</v>
      </c>
      <c r="L1478" s="6" t="str">
        <f>IFERROR(__xludf.DUMMYFUNCTION("""COMPUTED_VALUE"""),"sly")</f>
        <v>sly</v>
      </c>
      <c r="M1478" s="6" t="str">
        <f>IFERROR(__xludf.DUMMYFUNCTION("""COMPUTED_VALUE"""),"classical")</f>
        <v>classical</v>
      </c>
      <c r="N1478" s="6" t="str">
        <f>IFERROR(__xludf.DUMMYFUNCTION("""COMPUTED_VALUE"""),"telescope")</f>
        <v>telescope</v>
      </c>
      <c r="P1478" s="6" t="str">
        <f>IFERROR(__xludf.DUMMYFUNCTION("""COMPUTED_VALUE"""),"globe")</f>
        <v>globe</v>
      </c>
      <c r="Q1478" s="6" t="str">
        <f>IFERROR(__xludf.DUMMYFUNCTION("""COMPUTED_VALUE"""),"devastated")</f>
        <v>devastated</v>
      </c>
      <c r="S1478" s="6" t="str">
        <f>IFERROR(__xludf.DUMMYFUNCTION("""COMPUTED_VALUE"""),"sucked")</f>
        <v>sucked</v>
      </c>
    </row>
    <row r="1479">
      <c r="B1479" s="6"/>
      <c r="D1479" s="6"/>
      <c r="G1479" s="6"/>
      <c r="H1479" s="6" t="str">
        <f>IFERROR(__xludf.DUMMYFUNCTION("""COMPUTED_VALUE"""),"monsters")</f>
        <v>monsters</v>
      </c>
      <c r="I1479" s="6"/>
      <c r="J1479" s="6" t="str">
        <f>IFERROR(__xludf.DUMMYFUNCTION("""COMPUTED_VALUE"""),"cardiac")</f>
        <v>cardiac</v>
      </c>
      <c r="L1479" s="6" t="str">
        <f>IFERROR(__xludf.DUMMYFUNCTION("""COMPUTED_VALUE"""),"moan")</f>
        <v>moan</v>
      </c>
      <c r="M1479" s="6" t="str">
        <f>IFERROR(__xludf.DUMMYFUNCTION("""COMPUTED_VALUE"""),"figures")</f>
        <v>figures</v>
      </c>
      <c r="N1479" s="6" t="str">
        <f>IFERROR(__xludf.DUMMYFUNCTION("""COMPUTED_VALUE"""),"conclusions")</f>
        <v>conclusions</v>
      </c>
      <c r="P1479" s="6" t="str">
        <f>IFERROR(__xludf.DUMMYFUNCTION("""COMPUTED_VALUE"""),"assault")</f>
        <v>assault</v>
      </c>
      <c r="Q1479" s="6" t="str">
        <f>IFERROR(__xludf.DUMMYFUNCTION("""COMPUTED_VALUE"""),"disguised")</f>
        <v>disguised</v>
      </c>
      <c r="S1479" s="6" t="str">
        <f>IFERROR(__xludf.DUMMYFUNCTION("""COMPUTED_VALUE"""),"hoped")</f>
        <v>hoped</v>
      </c>
    </row>
    <row r="1480">
      <c r="B1480" s="6"/>
      <c r="D1480" s="6"/>
      <c r="G1480" s="6"/>
      <c r="H1480" s="6" t="str">
        <f>IFERROR(__xludf.DUMMYFUNCTION("""COMPUTED_VALUE"""),"rally")</f>
        <v>rally</v>
      </c>
      <c r="I1480" s="6"/>
      <c r="J1480" s="6" t="str">
        <f>IFERROR(__xludf.DUMMYFUNCTION("""COMPUTED_VALUE"""),"marquis")</f>
        <v>marquis</v>
      </c>
      <c r="L1480" s="6" t="str">
        <f>IFERROR(__xludf.DUMMYFUNCTION("""COMPUTED_VALUE"""),"pacing")</f>
        <v>pacing</v>
      </c>
      <c r="M1480" s="6" t="str">
        <f>IFERROR(__xludf.DUMMYFUNCTION("""COMPUTED_VALUE"""),"victims")</f>
        <v>victims</v>
      </c>
      <c r="N1480" s="6" t="str">
        <f>IFERROR(__xludf.DUMMYFUNCTION("""COMPUTED_VALUE"""),"suspense")</f>
        <v>suspense</v>
      </c>
      <c r="P1480" s="6" t="str">
        <f>IFERROR(__xludf.DUMMYFUNCTION("""COMPUTED_VALUE"""),"catholic")</f>
        <v>catholic</v>
      </c>
      <c r="Q1480" s="6" t="str">
        <f>IFERROR(__xludf.DUMMYFUNCTION("""COMPUTED_VALUE"""),"troubled")</f>
        <v>troubled</v>
      </c>
      <c r="S1480" s="6" t="str">
        <f>IFERROR(__xludf.DUMMYFUNCTION("""COMPUTED_VALUE"""),"trip")</f>
        <v>trip</v>
      </c>
    </row>
    <row r="1481">
      <c r="B1481" s="6"/>
      <c r="D1481" s="6"/>
      <c r="G1481" s="6"/>
      <c r="H1481" s="6" t="str">
        <f>IFERROR(__xludf.DUMMYFUNCTION("""COMPUTED_VALUE"""),"psychotic")</f>
        <v>psychotic</v>
      </c>
      <c r="I1481" s="6"/>
      <c r="J1481" s="6" t="str">
        <f>IFERROR(__xludf.DUMMYFUNCTION("""COMPUTED_VALUE"""),"menace")</f>
        <v>menace</v>
      </c>
      <c r="L1481" s="6" t="str">
        <f>IFERROR(__xludf.DUMMYFUNCTION("""COMPUTED_VALUE"""),"fictional")</f>
        <v>fictional</v>
      </c>
      <c r="M1481" s="6" t="str">
        <f>IFERROR(__xludf.DUMMYFUNCTION("""COMPUTED_VALUE"""),"animated")</f>
        <v>animated</v>
      </c>
      <c r="N1481" s="6" t="str">
        <f>IFERROR(__xludf.DUMMYFUNCTION("""COMPUTED_VALUE"""),"cheered")</f>
        <v>cheered</v>
      </c>
      <c r="P1481" s="6" t="str">
        <f>IFERROR(__xludf.DUMMYFUNCTION("""COMPUTED_VALUE"""),"tenth")</f>
        <v>tenth</v>
      </c>
      <c r="Q1481" s="6" t="str">
        <f>IFERROR(__xludf.DUMMYFUNCTION("""COMPUTED_VALUE"""),"sly")</f>
        <v>sly</v>
      </c>
      <c r="S1481" s="6" t="str">
        <f>IFERROR(__xludf.DUMMYFUNCTION("""COMPUTED_VALUE"""),"matters")</f>
        <v>matters</v>
      </c>
    </row>
    <row r="1482">
      <c r="B1482" s="6"/>
      <c r="D1482" s="6"/>
      <c r="G1482" s="6"/>
      <c r="H1482" s="6" t="str">
        <f>IFERROR(__xludf.DUMMYFUNCTION("""COMPUTED_VALUE"""),"generating")</f>
        <v>generating</v>
      </c>
      <c r="I1482" s="6"/>
      <c r="J1482" s="6" t="str">
        <f>IFERROR(__xludf.DUMMYFUNCTION("""COMPUTED_VALUE"""),"yank")</f>
        <v>yank</v>
      </c>
      <c r="L1482" s="6" t="str">
        <f>IFERROR(__xludf.DUMMYFUNCTION("""COMPUTED_VALUE"""),"literary")</f>
        <v>literary</v>
      </c>
      <c r="M1482" s="6" t="str">
        <f>IFERROR(__xludf.DUMMYFUNCTION("""COMPUTED_VALUE"""),"venice")</f>
        <v>venice</v>
      </c>
      <c r="N1482" s="6" t="str">
        <f>IFERROR(__xludf.DUMMYFUNCTION("""COMPUTED_VALUE"""),"brit")</f>
        <v>brit</v>
      </c>
      <c r="P1482" s="6" t="str">
        <f>IFERROR(__xludf.DUMMYFUNCTION("""COMPUTED_VALUE"""),"inhabitants")</f>
        <v>inhabitants</v>
      </c>
      <c r="Q1482" s="6" t="str">
        <f>IFERROR(__xludf.DUMMYFUNCTION("""COMPUTED_VALUE"""),"emerges")</f>
        <v>emerges</v>
      </c>
      <c r="S1482" s="6" t="str">
        <f>IFERROR(__xludf.DUMMYFUNCTION("""COMPUTED_VALUE"""),"lower")</f>
        <v>lower</v>
      </c>
    </row>
    <row r="1483">
      <c r="B1483" s="6"/>
      <c r="D1483" s="6"/>
      <c r="G1483" s="6"/>
      <c r="H1483" s="6" t="str">
        <f>IFERROR(__xludf.DUMMYFUNCTION("""COMPUTED_VALUE"""),"dimensions")</f>
        <v>dimensions</v>
      </c>
      <c r="I1483" s="6"/>
      <c r="J1483" s="6" t="str">
        <f>IFERROR(__xludf.DUMMYFUNCTION("""COMPUTED_VALUE"""),"intro")</f>
        <v>intro</v>
      </c>
      <c r="L1483" s="6" t="str">
        <f>IFERROR(__xludf.DUMMYFUNCTION("""COMPUTED_VALUE"""),"bitterly")</f>
        <v>bitterly</v>
      </c>
      <c r="M1483" s="6" t="str">
        <f>IFERROR(__xludf.DUMMYFUNCTION("""COMPUTED_VALUE"""),"combat")</f>
        <v>combat</v>
      </c>
      <c r="N1483" s="6" t="str">
        <f>IFERROR(__xludf.DUMMYFUNCTION("""COMPUTED_VALUE"""),"exploration")</f>
        <v>exploration</v>
      </c>
      <c r="P1483" s="6" t="str">
        <f>IFERROR(__xludf.DUMMYFUNCTION("""COMPUTED_VALUE"""),"franco")</f>
        <v>franco</v>
      </c>
      <c r="Q1483" s="6" t="str">
        <f>IFERROR(__xludf.DUMMYFUNCTION("""COMPUTED_VALUE"""),"expands")</f>
        <v>expands</v>
      </c>
      <c r="S1483" s="6" t="str">
        <f>IFERROR(__xludf.DUMMYFUNCTION("""COMPUTED_VALUE"""),"athlete")</f>
        <v>athlete</v>
      </c>
    </row>
    <row r="1484">
      <c r="B1484" s="6"/>
      <c r="D1484" s="6"/>
      <c r="G1484" s="6"/>
      <c r="H1484" s="6" t="str">
        <f>IFERROR(__xludf.DUMMYFUNCTION("""COMPUTED_VALUE"""),"rigid")</f>
        <v>rigid</v>
      </c>
      <c r="I1484" s="6"/>
      <c r="J1484" s="6" t="str">
        <f>IFERROR(__xludf.DUMMYFUNCTION("""COMPUTED_VALUE"""),"topical")</f>
        <v>topical</v>
      </c>
      <c r="L1484" s="6" t="str">
        <f>IFERROR(__xludf.DUMMYFUNCTION("""COMPUTED_VALUE"""),"stitch")</f>
        <v>stitch</v>
      </c>
      <c r="M1484" s="6" t="str">
        <f>IFERROR(__xludf.DUMMYFUNCTION("""COMPUTED_VALUE"""),"striking")</f>
        <v>striking</v>
      </c>
      <c r="N1484" s="6" t="str">
        <f>IFERROR(__xludf.DUMMYFUNCTION("""COMPUTED_VALUE"""),"footage")</f>
        <v>footage</v>
      </c>
      <c r="P1484" s="6" t="str">
        <f>IFERROR(__xludf.DUMMYFUNCTION("""COMPUTED_VALUE"""),"christianity")</f>
        <v>christianity</v>
      </c>
      <c r="Q1484" s="6" t="str">
        <f>IFERROR(__xludf.DUMMYFUNCTION("""COMPUTED_VALUE"""),"tales")</f>
        <v>tales</v>
      </c>
      <c r="S1484" s="6" t="str">
        <f>IFERROR(__xludf.DUMMYFUNCTION("""COMPUTED_VALUE"""),"combat")</f>
        <v>combat</v>
      </c>
    </row>
    <row r="1485">
      <c r="B1485" s="6"/>
      <c r="D1485" s="6"/>
      <c r="G1485" s="6"/>
      <c r="H1485" s="6" t="str">
        <f>IFERROR(__xludf.DUMMYFUNCTION("""COMPUTED_VALUE"""),"devastation")</f>
        <v>devastation</v>
      </c>
      <c r="I1485" s="6"/>
      <c r="J1485" s="6" t="str">
        <f>IFERROR(__xludf.DUMMYFUNCTION("""COMPUTED_VALUE"""),"manifesto")</f>
        <v>manifesto</v>
      </c>
      <c r="L1485" s="6" t="str">
        <f>IFERROR(__xludf.DUMMYFUNCTION("""COMPUTED_VALUE"""),"meditation")</f>
        <v>meditation</v>
      </c>
      <c r="M1485" s="6" t="str">
        <f>IFERROR(__xludf.DUMMYFUNCTION("""COMPUTED_VALUE"""),"danny")</f>
        <v>danny</v>
      </c>
      <c r="N1485" s="6" t="str">
        <f>IFERROR(__xludf.DUMMYFUNCTION("""COMPUTED_VALUE"""),"sequel")</f>
        <v>sequel</v>
      </c>
      <c r="P1485" s="6" t="str">
        <f>IFERROR(__xludf.DUMMYFUNCTION("""COMPUTED_VALUE"""),"robinson")</f>
        <v>robinson</v>
      </c>
      <c r="Q1485" s="6" t="str">
        <f>IFERROR(__xludf.DUMMYFUNCTION("""COMPUTED_VALUE"""),"deaths")</f>
        <v>deaths</v>
      </c>
      <c r="S1485" s="6" t="str">
        <f>IFERROR(__xludf.DUMMYFUNCTION("""COMPUTED_VALUE"""),"winner")</f>
        <v>winner</v>
      </c>
    </row>
    <row r="1486">
      <c r="B1486" s="6"/>
      <c r="D1486" s="6"/>
      <c r="G1486" s="6"/>
      <c r="H1486" s="6" t="str">
        <f>IFERROR(__xludf.DUMMYFUNCTION("""COMPUTED_VALUE"""),"portraying")</f>
        <v>portraying</v>
      </c>
      <c r="I1486" s="6"/>
      <c r="J1486" s="6" t="str">
        <f>IFERROR(__xludf.DUMMYFUNCTION("""COMPUTED_VALUE"""),"swiftly")</f>
        <v>swiftly</v>
      </c>
      <c r="L1486" s="6" t="str">
        <f>IFERROR(__xludf.DUMMYFUNCTION("""COMPUTED_VALUE"""),"weave")</f>
        <v>weave</v>
      </c>
      <c r="M1486" s="6" t="str">
        <f>IFERROR(__xludf.DUMMYFUNCTION("""COMPUTED_VALUE"""),"atlantic")</f>
        <v>atlantic</v>
      </c>
      <c r="N1486" s="6" t="str">
        <f>IFERROR(__xludf.DUMMYFUNCTION("""COMPUTED_VALUE"""),"prejudice")</f>
        <v>prejudice</v>
      </c>
      <c r="P1486" s="6" t="str">
        <f>IFERROR(__xludf.DUMMYFUNCTION("""COMPUTED_VALUE"""),"stripped")</f>
        <v>stripped</v>
      </c>
      <c r="Q1486" s="6" t="str">
        <f>IFERROR(__xludf.DUMMYFUNCTION("""COMPUTED_VALUE"""),"bump")</f>
        <v>bump</v>
      </c>
      <c r="S1486" s="6" t="str">
        <f>IFERROR(__xludf.DUMMYFUNCTION("""COMPUTED_VALUE"""),"captain")</f>
        <v>captain</v>
      </c>
    </row>
    <row r="1487">
      <c r="B1487" s="6"/>
      <c r="D1487" s="6"/>
      <c r="G1487" s="6"/>
      <c r="H1487" s="6" t="str">
        <f>IFERROR(__xludf.DUMMYFUNCTION("""COMPUTED_VALUE"""),"disease")</f>
        <v>disease</v>
      </c>
      <c r="I1487" s="6"/>
      <c r="J1487" s="6" t="str">
        <f>IFERROR(__xludf.DUMMYFUNCTION("""COMPUTED_VALUE"""),"wanderers")</f>
        <v>wanderers</v>
      </c>
      <c r="L1487" s="6" t="str">
        <f>IFERROR(__xludf.DUMMYFUNCTION("""COMPUTED_VALUE"""),"survival")</f>
        <v>survival</v>
      </c>
      <c r="M1487" s="6" t="str">
        <f>IFERROR(__xludf.DUMMYFUNCTION("""COMPUTED_VALUE"""),"rank")</f>
        <v>rank</v>
      </c>
      <c r="N1487" s="6" t="str">
        <f>IFERROR(__xludf.DUMMYFUNCTION("""COMPUTED_VALUE"""),"pornographic")</f>
        <v>pornographic</v>
      </c>
      <c r="P1487" s="6" t="str">
        <f>IFERROR(__xludf.DUMMYFUNCTION("""COMPUTED_VALUE"""),"sat")</f>
        <v>sat</v>
      </c>
      <c r="Q1487" s="6" t="str">
        <f>IFERROR(__xludf.DUMMYFUNCTION("""COMPUTED_VALUE"""),"form")</f>
        <v>form</v>
      </c>
      <c r="S1487" s="6" t="str">
        <f>IFERROR(__xludf.DUMMYFUNCTION("""COMPUTED_VALUE"""),"raise")</f>
        <v>raise</v>
      </c>
    </row>
    <row r="1488">
      <c r="B1488" s="6"/>
      <c r="D1488" s="6"/>
      <c r="G1488" s="6"/>
      <c r="H1488" s="6" t="str">
        <f>IFERROR(__xludf.DUMMYFUNCTION("""COMPUTED_VALUE"""),"classification")</f>
        <v>classification</v>
      </c>
      <c r="I1488" s="6"/>
      <c r="J1488" s="6" t="str">
        <f>IFERROR(__xludf.DUMMYFUNCTION("""COMPUTED_VALUE"""),"equilibrium")</f>
        <v>equilibrium</v>
      </c>
      <c r="L1488" s="6" t="str">
        <f>IFERROR(__xludf.DUMMYFUNCTION("""COMPUTED_VALUE"""),"creators")</f>
        <v>creators</v>
      </c>
      <c r="M1488" s="6" t="str">
        <f>IFERROR(__xludf.DUMMYFUNCTION("""COMPUTED_VALUE"""),"joel")</f>
        <v>joel</v>
      </c>
      <c r="N1488" s="6" t="str">
        <f>IFERROR(__xludf.DUMMYFUNCTION("""COMPUTED_VALUE"""),"souls")</f>
        <v>souls</v>
      </c>
      <c r="P1488" s="6" t="str">
        <f>IFERROR(__xludf.DUMMYFUNCTION("""COMPUTED_VALUE"""),"horses")</f>
        <v>horses</v>
      </c>
      <c r="Q1488" s="6" t="str">
        <f>IFERROR(__xludf.DUMMYFUNCTION("""COMPUTED_VALUE"""),"doris")</f>
        <v>doris</v>
      </c>
      <c r="S1488" s="6" t="str">
        <f>IFERROR(__xludf.DUMMYFUNCTION("""COMPUTED_VALUE"""),"near")</f>
        <v>near</v>
      </c>
    </row>
    <row r="1489">
      <c r="B1489" s="6"/>
      <c r="D1489" s="6"/>
      <c r="G1489" s="6"/>
      <c r="H1489" s="6" t="str">
        <f>IFERROR(__xludf.DUMMYFUNCTION("""COMPUTED_VALUE"""),"revenge")</f>
        <v>revenge</v>
      </c>
      <c r="I1489" s="6"/>
      <c r="J1489" s="6" t="str">
        <f>IFERROR(__xludf.DUMMYFUNCTION("""COMPUTED_VALUE"""),"calculating")</f>
        <v>calculating</v>
      </c>
      <c r="L1489" s="6" t="str">
        <f>IFERROR(__xludf.DUMMYFUNCTION("""COMPUTED_VALUE"""),"endings")</f>
        <v>endings</v>
      </c>
      <c r="M1489" s="6" t="str">
        <f>IFERROR(__xludf.DUMMYFUNCTION("""COMPUTED_VALUE"""),"goals")</f>
        <v>goals</v>
      </c>
      <c r="N1489" s="6" t="str">
        <f>IFERROR(__xludf.DUMMYFUNCTION("""COMPUTED_VALUE"""),"tales")</f>
        <v>tales</v>
      </c>
      <c r="P1489" s="6" t="str">
        <f>IFERROR(__xludf.DUMMYFUNCTION("""COMPUTED_VALUE"""),"partnership")</f>
        <v>partnership</v>
      </c>
      <c r="Q1489" s="6" t="str">
        <f>IFERROR(__xludf.DUMMYFUNCTION("""COMPUTED_VALUE"""),"cultivated")</f>
        <v>cultivated</v>
      </c>
      <c r="S1489" s="6" t="str">
        <f>IFERROR(__xludf.DUMMYFUNCTION("""COMPUTED_VALUE"""),"brooks")</f>
        <v>brooks</v>
      </c>
    </row>
    <row r="1490">
      <c r="B1490" s="6"/>
      <c r="D1490" s="6"/>
      <c r="G1490" s="6"/>
      <c r="H1490" s="6" t="str">
        <f>IFERROR(__xludf.DUMMYFUNCTION("""COMPUTED_VALUE"""),"sundance")</f>
        <v>sundance</v>
      </c>
      <c r="I1490" s="6"/>
      <c r="J1490" s="6">
        <f>IFERROR(__xludf.DUMMYFUNCTION("""COMPUTED_VALUE"""),295.0)</f>
        <v>295</v>
      </c>
      <c r="L1490" s="6" t="str">
        <f>IFERROR(__xludf.DUMMYFUNCTION("""COMPUTED_VALUE"""),"humming")</f>
        <v>humming</v>
      </c>
      <c r="M1490" s="6" t="str">
        <f>IFERROR(__xludf.DUMMYFUNCTION("""COMPUTED_VALUE"""),"threat")</f>
        <v>threat</v>
      </c>
      <c r="N1490" s="6" t="str">
        <f>IFERROR(__xludf.DUMMYFUNCTION("""COMPUTED_VALUE"""),"blair")</f>
        <v>blair</v>
      </c>
      <c r="P1490" s="6" t="str">
        <f>IFERROR(__xludf.DUMMYFUNCTION("""COMPUTED_VALUE"""),"glass")</f>
        <v>glass</v>
      </c>
      <c r="Q1490" s="6" t="str">
        <f>IFERROR(__xludf.DUMMYFUNCTION("""COMPUTED_VALUE"""),"careers")</f>
        <v>careers</v>
      </c>
      <c r="S1490" s="6" t="str">
        <f>IFERROR(__xludf.DUMMYFUNCTION("""COMPUTED_VALUE"""),"magical")</f>
        <v>magical</v>
      </c>
    </row>
    <row r="1491">
      <c r="B1491" s="6"/>
      <c r="D1491" s="6"/>
      <c r="G1491" s="6"/>
      <c r="H1491" s="6" t="str">
        <f>IFERROR(__xludf.DUMMYFUNCTION("""COMPUTED_VALUE"""),"smirk")</f>
        <v>smirk</v>
      </c>
      <c r="I1491" s="6"/>
      <c r="J1491" s="6">
        <f>IFERROR(__xludf.DUMMYFUNCTION("""COMPUTED_VALUE"""),1958.0)</f>
        <v>1958</v>
      </c>
      <c r="L1491" s="6" t="str">
        <f>IFERROR(__xludf.DUMMYFUNCTION("""COMPUTED_VALUE"""),"lark")</f>
        <v>lark</v>
      </c>
      <c r="M1491" s="6" t="str">
        <f>IFERROR(__xludf.DUMMYFUNCTION("""COMPUTED_VALUE"""),"drama")</f>
        <v>drama</v>
      </c>
      <c r="N1491" s="6" t="str">
        <f>IFERROR(__xludf.DUMMYFUNCTION("""COMPUTED_VALUE"""),"bollywood")</f>
        <v>bollywood</v>
      </c>
      <c r="P1491" s="6" t="str">
        <f>IFERROR(__xludf.DUMMYFUNCTION("""COMPUTED_VALUE"""),"bet")</f>
        <v>bet</v>
      </c>
      <c r="Q1491" s="6" t="str">
        <f>IFERROR(__xludf.DUMMYFUNCTION("""COMPUTED_VALUE"""),"titus")</f>
        <v>titus</v>
      </c>
      <c r="S1491" s="6" t="str">
        <f>IFERROR(__xludf.DUMMYFUNCTION("""COMPUTED_VALUE"""),"flowers")</f>
        <v>flowers</v>
      </c>
    </row>
    <row r="1492">
      <c r="B1492" s="6"/>
      <c r="D1492" s="6"/>
      <c r="G1492" s="6"/>
      <c r="H1492" s="6" t="str">
        <f>IFERROR(__xludf.DUMMYFUNCTION("""COMPUTED_VALUE"""),"phillip")</f>
        <v>phillip</v>
      </c>
      <c r="I1492" s="6"/>
      <c r="J1492" s="6" t="str">
        <f>IFERROR(__xludf.DUMMYFUNCTION("""COMPUTED_VALUE"""),"fingered")</f>
        <v>fingered</v>
      </c>
      <c r="L1492" s="6" t="str">
        <f>IFERROR(__xludf.DUMMYFUNCTION("""COMPUTED_VALUE"""),"consciously")</f>
        <v>consciously</v>
      </c>
      <c r="M1492" s="6" t="str">
        <f>IFERROR(__xludf.DUMMYFUNCTION("""COMPUTED_VALUE"""),"li")</f>
        <v>li</v>
      </c>
      <c r="N1492" s="6" t="str">
        <f>IFERROR(__xludf.DUMMYFUNCTION("""COMPUTED_VALUE"""),"editing")</f>
        <v>editing</v>
      </c>
      <c r="P1492" s="6" t="str">
        <f>IFERROR(__xludf.DUMMYFUNCTION("""COMPUTED_VALUE"""),"practices")</f>
        <v>practices</v>
      </c>
      <c r="Q1492" s="6" t="str">
        <f>IFERROR(__xludf.DUMMYFUNCTION("""COMPUTED_VALUE"""),"vastly")</f>
        <v>vastly</v>
      </c>
      <c r="S1492" s="6" t="str">
        <f>IFERROR(__xludf.DUMMYFUNCTION("""COMPUTED_VALUE"""),"al")</f>
        <v>al</v>
      </c>
    </row>
    <row r="1493">
      <c r="B1493" s="6"/>
      <c r="D1493" s="6"/>
      <c r="G1493" s="6"/>
      <c r="H1493" s="6" t="str">
        <f>IFERROR(__xludf.DUMMYFUNCTION("""COMPUTED_VALUE"""),"references")</f>
        <v>references</v>
      </c>
      <c r="I1493" s="6"/>
      <c r="J1493" s="6" t="str">
        <f>IFERROR(__xludf.DUMMYFUNCTION("""COMPUTED_VALUE"""),"curiously")</f>
        <v>curiously</v>
      </c>
      <c r="L1493" s="6" t="str">
        <f>IFERROR(__xludf.DUMMYFUNCTION("""COMPUTED_VALUE"""),"amid")</f>
        <v>amid</v>
      </c>
      <c r="M1493" s="6" t="str">
        <f>IFERROR(__xludf.DUMMYFUNCTION("""COMPUTED_VALUE"""),"austrian")</f>
        <v>austrian</v>
      </c>
      <c r="N1493" s="6" t="str">
        <f>IFERROR(__xludf.DUMMYFUNCTION("""COMPUTED_VALUE"""),"assumes")</f>
        <v>assumes</v>
      </c>
      <c r="P1493" s="6" t="str">
        <f>IFERROR(__xludf.DUMMYFUNCTION("""COMPUTED_VALUE"""),"arrest")</f>
        <v>arrest</v>
      </c>
      <c r="Q1493" s="6" t="str">
        <f>IFERROR(__xludf.DUMMYFUNCTION("""COMPUTED_VALUE"""),"missed")</f>
        <v>missed</v>
      </c>
      <c r="S1493" s="6" t="str">
        <f>IFERROR(__xludf.DUMMYFUNCTION("""COMPUTED_VALUE"""),"flag")</f>
        <v>flag</v>
      </c>
    </row>
    <row r="1494">
      <c r="B1494" s="6"/>
      <c r="D1494" s="6"/>
      <c r="G1494" s="6"/>
      <c r="H1494" s="6" t="str">
        <f>IFERROR(__xludf.DUMMYFUNCTION("""COMPUTED_VALUE"""),"skyscraper")</f>
        <v>skyscraper</v>
      </c>
      <c r="I1494" s="6"/>
      <c r="J1494" s="6" t="str">
        <f>IFERROR(__xludf.DUMMYFUNCTION("""COMPUTED_VALUE"""),"characterization")</f>
        <v>characterization</v>
      </c>
      <c r="L1494" s="6" t="str">
        <f>IFERROR(__xludf.DUMMYFUNCTION("""COMPUTED_VALUE"""),"psychedelic")</f>
        <v>psychedelic</v>
      </c>
      <c r="M1494" s="6" t="str">
        <f>IFERROR(__xludf.DUMMYFUNCTION("""COMPUTED_VALUE"""),"existence")</f>
        <v>existence</v>
      </c>
      <c r="N1494" s="6" t="str">
        <f>IFERROR(__xludf.DUMMYFUNCTION("""COMPUTED_VALUE"""),"combining")</f>
        <v>combining</v>
      </c>
      <c r="P1494" s="6" t="str">
        <f>IFERROR(__xludf.DUMMYFUNCTION("""COMPUTED_VALUE"""),"bed")</f>
        <v>bed</v>
      </c>
      <c r="Q1494" s="6" t="str">
        <f>IFERROR(__xludf.DUMMYFUNCTION("""COMPUTED_VALUE"""),"espionage")</f>
        <v>espionage</v>
      </c>
      <c r="S1494" s="6" t="str">
        <f>IFERROR(__xludf.DUMMYFUNCTION("""COMPUTED_VALUE"""),"12th")</f>
        <v>12th</v>
      </c>
    </row>
    <row r="1495">
      <c r="B1495" s="6"/>
      <c r="D1495" s="6"/>
      <c r="G1495" s="6"/>
      <c r="H1495" s="6" t="str">
        <f>IFERROR(__xludf.DUMMYFUNCTION("""COMPUTED_VALUE"""),"clouds")</f>
        <v>clouds</v>
      </c>
      <c r="I1495" s="6"/>
      <c r="J1495" s="6" t="str">
        <f>IFERROR(__xludf.DUMMYFUNCTION("""COMPUTED_VALUE"""),"confidently")</f>
        <v>confidently</v>
      </c>
      <c r="L1495" s="6" t="str">
        <f>IFERROR(__xludf.DUMMYFUNCTION("""COMPUTED_VALUE"""),"espionage")</f>
        <v>espionage</v>
      </c>
      <c r="M1495" s="6" t="str">
        <f>IFERROR(__xludf.DUMMYFUNCTION("""COMPUTED_VALUE"""),"victim")</f>
        <v>victim</v>
      </c>
      <c r="N1495" s="6" t="str">
        <f>IFERROR(__xludf.DUMMYFUNCTION("""COMPUTED_VALUE"""),"beings")</f>
        <v>beings</v>
      </c>
      <c r="P1495" s="6" t="str">
        <f>IFERROR(__xludf.DUMMYFUNCTION("""COMPUTED_VALUE"""),"satisfaction")</f>
        <v>satisfaction</v>
      </c>
      <c r="Q1495" s="6" t="str">
        <f>IFERROR(__xludf.DUMMYFUNCTION("""COMPUTED_VALUE"""),"refugees")</f>
        <v>refugees</v>
      </c>
      <c r="S1495" s="6" t="str">
        <f>IFERROR(__xludf.DUMMYFUNCTION("""COMPUTED_VALUE"""),"mechanical")</f>
        <v>mechanical</v>
      </c>
    </row>
    <row r="1496">
      <c r="B1496" s="6"/>
      <c r="D1496" s="6"/>
      <c r="G1496" s="6"/>
      <c r="H1496" s="6" t="str">
        <f>IFERROR(__xludf.DUMMYFUNCTION("""COMPUTED_VALUE"""),"narration")</f>
        <v>narration</v>
      </c>
      <c r="I1496" s="6"/>
      <c r="J1496" s="6" t="str">
        <f>IFERROR(__xludf.DUMMYFUNCTION("""COMPUTED_VALUE"""),"doctorate")</f>
        <v>doctorate</v>
      </c>
      <c r="L1496" s="6" t="str">
        <f>IFERROR(__xludf.DUMMYFUNCTION("""COMPUTED_VALUE"""),"youthful")</f>
        <v>youthful</v>
      </c>
      <c r="M1496" s="6" t="str">
        <f>IFERROR(__xludf.DUMMYFUNCTION("""COMPUTED_VALUE"""),"portraits")</f>
        <v>portraits</v>
      </c>
      <c r="N1496" s="6" t="str">
        <f>IFERROR(__xludf.DUMMYFUNCTION("""COMPUTED_VALUE"""),"earnest")</f>
        <v>earnest</v>
      </c>
      <c r="P1496" s="6" t="str">
        <f>IFERROR(__xludf.DUMMYFUNCTION("""COMPUTED_VALUE"""),"appeals")</f>
        <v>appeals</v>
      </c>
      <c r="Q1496" s="6" t="str">
        <f>IFERROR(__xludf.DUMMYFUNCTION("""COMPUTED_VALUE"""),"age")</f>
        <v>age</v>
      </c>
      <c r="S1496" s="6" t="str">
        <f>IFERROR(__xludf.DUMMYFUNCTION("""COMPUTED_VALUE"""),"japan")</f>
        <v>japan</v>
      </c>
    </row>
    <row r="1497">
      <c r="B1497" s="6"/>
      <c r="D1497" s="6"/>
      <c r="G1497" s="6"/>
      <c r="H1497" s="6" t="str">
        <f>IFERROR(__xludf.DUMMYFUNCTION("""COMPUTED_VALUE"""),"prolonged")</f>
        <v>prolonged</v>
      </c>
      <c r="I1497" s="6"/>
      <c r="J1497" s="6" t="str">
        <f>IFERROR(__xludf.DUMMYFUNCTION("""COMPUTED_VALUE"""),"telescope")</f>
        <v>telescope</v>
      </c>
      <c r="L1497" s="6" t="str">
        <f>IFERROR(__xludf.DUMMYFUNCTION("""COMPUTED_VALUE"""),"triangle")</f>
        <v>triangle</v>
      </c>
      <c r="M1497" s="6" t="str">
        <f>IFERROR(__xludf.DUMMYFUNCTION("""COMPUTED_VALUE"""),"courage")</f>
        <v>courage</v>
      </c>
      <c r="N1497" s="6" t="str">
        <f>IFERROR(__xludf.DUMMYFUNCTION("""COMPUTED_VALUE"""),"slender")</f>
        <v>slender</v>
      </c>
      <c r="P1497" s="6" t="str">
        <f>IFERROR(__xludf.DUMMYFUNCTION("""COMPUTED_VALUE"""),"arc")</f>
        <v>arc</v>
      </c>
      <c r="Q1497" s="6" t="str">
        <f>IFERROR(__xludf.DUMMYFUNCTION("""COMPUTED_VALUE"""),"alien")</f>
        <v>alien</v>
      </c>
      <c r="S1497" s="6" t="str">
        <f>IFERROR(__xludf.DUMMYFUNCTION("""COMPUTED_VALUE"""),"aids")</f>
        <v>aids</v>
      </c>
    </row>
    <row r="1498">
      <c r="B1498" s="6"/>
      <c r="D1498" s="6"/>
      <c r="G1498" s="6"/>
      <c r="H1498" s="6" t="str">
        <f>IFERROR(__xludf.DUMMYFUNCTION("""COMPUTED_VALUE"""),"opened")</f>
        <v>opened</v>
      </c>
      <c r="I1498" s="6"/>
      <c r="J1498" s="6" t="str">
        <f>IFERROR(__xludf.DUMMYFUNCTION("""COMPUTED_VALUE"""),"analytical")</f>
        <v>analytical</v>
      </c>
      <c r="L1498" s="6" t="str">
        <f>IFERROR(__xludf.DUMMYFUNCTION("""COMPUTED_VALUE"""),"ninety")</f>
        <v>ninety</v>
      </c>
      <c r="M1498" s="6" t="str">
        <f>IFERROR(__xludf.DUMMYFUNCTION("""COMPUTED_VALUE"""),"powers")</f>
        <v>powers</v>
      </c>
      <c r="N1498" s="6" t="str">
        <f>IFERROR(__xludf.DUMMYFUNCTION("""COMPUTED_VALUE"""),"brutally")</f>
        <v>brutally</v>
      </c>
      <c r="P1498" s="6" t="str">
        <f>IFERROR(__xludf.DUMMYFUNCTION("""COMPUTED_VALUE"""),"catching")</f>
        <v>catching</v>
      </c>
      <c r="Q1498" s="6" t="str">
        <f>IFERROR(__xludf.DUMMYFUNCTION("""COMPUTED_VALUE"""),"substantial")</f>
        <v>substantial</v>
      </c>
      <c r="S1498" s="6" t="str">
        <f>IFERROR(__xludf.DUMMYFUNCTION("""COMPUTED_VALUE"""),"pitched")</f>
        <v>pitched</v>
      </c>
    </row>
    <row r="1499">
      <c r="B1499" s="6"/>
      <c r="D1499" s="6"/>
      <c r="G1499" s="6"/>
      <c r="H1499" s="6" t="str">
        <f>IFERROR(__xludf.DUMMYFUNCTION("""COMPUTED_VALUE"""),"literal")</f>
        <v>literal</v>
      </c>
      <c r="I1499" s="6"/>
      <c r="J1499" s="6" t="str">
        <f>IFERROR(__xludf.DUMMYFUNCTION("""COMPUTED_VALUE"""),"transforms")</f>
        <v>transforms</v>
      </c>
      <c r="L1499" s="6" t="str">
        <f>IFERROR(__xludf.DUMMYFUNCTION("""COMPUTED_VALUE"""),"nomination")</f>
        <v>nomination</v>
      </c>
      <c r="M1499" s="6" t="str">
        <f>IFERROR(__xludf.DUMMYFUNCTION("""COMPUTED_VALUE"""),"newcastle")</f>
        <v>newcastle</v>
      </c>
      <c r="N1499" s="6" t="str">
        <f>IFERROR(__xludf.DUMMYFUNCTION("""COMPUTED_VALUE"""),"myth")</f>
        <v>myth</v>
      </c>
      <c r="P1499" s="6" t="str">
        <f>IFERROR(__xludf.DUMMYFUNCTION("""COMPUTED_VALUE"""),"metropolitan")</f>
        <v>metropolitan</v>
      </c>
      <c r="Q1499" s="6" t="str">
        <f>IFERROR(__xludf.DUMMYFUNCTION("""COMPUTED_VALUE"""),"coughed")</f>
        <v>coughed</v>
      </c>
      <c r="S1499" s="6" t="str">
        <f>IFERROR(__xludf.DUMMYFUNCTION("""COMPUTED_VALUE"""),"knowledge")</f>
        <v>knowledge</v>
      </c>
    </row>
    <row r="1500">
      <c r="B1500" s="6"/>
      <c r="D1500" s="6"/>
      <c r="G1500" s="6"/>
      <c r="H1500" s="6" t="str">
        <f>IFERROR(__xludf.DUMMYFUNCTION("""COMPUTED_VALUE"""),"rejected")</f>
        <v>rejected</v>
      </c>
      <c r="I1500" s="6"/>
      <c r="J1500" s="6" t="str">
        <f>IFERROR(__xludf.DUMMYFUNCTION("""COMPUTED_VALUE"""),"undertaking")</f>
        <v>undertaking</v>
      </c>
      <c r="L1500" s="6" t="str">
        <f>IFERROR(__xludf.DUMMYFUNCTION("""COMPUTED_VALUE"""),"artworks")</f>
        <v>artworks</v>
      </c>
      <c r="M1500" s="6" t="str">
        <f>IFERROR(__xludf.DUMMYFUNCTION("""COMPUTED_VALUE"""),"tanks")</f>
        <v>tanks</v>
      </c>
      <c r="N1500" s="6" t="str">
        <f>IFERROR(__xludf.DUMMYFUNCTION("""COMPUTED_VALUE"""),"tnt")</f>
        <v>tnt</v>
      </c>
      <c r="P1500" s="6" t="str">
        <f>IFERROR(__xludf.DUMMYFUNCTION("""COMPUTED_VALUE"""),"holmes")</f>
        <v>holmes</v>
      </c>
      <c r="Q1500" s="6" t="str">
        <f>IFERROR(__xludf.DUMMYFUNCTION("""COMPUTED_VALUE"""),"hooks")</f>
        <v>hooks</v>
      </c>
      <c r="S1500" s="6" t="str">
        <f>IFERROR(__xludf.DUMMYFUNCTION("""COMPUTED_VALUE"""),"league")</f>
        <v>league</v>
      </c>
    </row>
    <row r="1501">
      <c r="B1501" s="6"/>
      <c r="D1501" s="6"/>
      <c r="G1501" s="6"/>
      <c r="H1501" s="6" t="str">
        <f>IFERROR(__xludf.DUMMYFUNCTION("""COMPUTED_VALUE"""),"suggests")</f>
        <v>suggests</v>
      </c>
      <c r="I1501" s="6"/>
      <c r="J1501" s="6" t="str">
        <f>IFERROR(__xludf.DUMMYFUNCTION("""COMPUTED_VALUE"""),"effectively")</f>
        <v>effectively</v>
      </c>
      <c r="L1501" s="6" t="str">
        <f>IFERROR(__xludf.DUMMYFUNCTION("""COMPUTED_VALUE"""),"pulse")</f>
        <v>pulse</v>
      </c>
      <c r="M1501" s="6" t="str">
        <f>IFERROR(__xludf.DUMMYFUNCTION("""COMPUTED_VALUE"""),"uncertain")</f>
        <v>uncertain</v>
      </c>
      <c r="N1501" s="6" t="str">
        <f>IFERROR(__xludf.DUMMYFUNCTION("""COMPUTED_VALUE"""),"irresistible")</f>
        <v>irresistible</v>
      </c>
      <c r="P1501" s="6" t="str">
        <f>IFERROR(__xludf.DUMMYFUNCTION("""COMPUTED_VALUE"""),"senses")</f>
        <v>senses</v>
      </c>
      <c r="Q1501" s="6" t="str">
        <f>IFERROR(__xludf.DUMMYFUNCTION("""COMPUTED_VALUE"""),"oliver")</f>
        <v>oliver</v>
      </c>
      <c r="S1501" s="6" t="str">
        <f>IFERROR(__xludf.DUMMYFUNCTION("""COMPUTED_VALUE"""),"symbols")</f>
        <v>symbols</v>
      </c>
    </row>
    <row r="1502">
      <c r="B1502" s="6"/>
      <c r="D1502" s="6"/>
      <c r="G1502" s="6"/>
      <c r="H1502" s="6" t="str">
        <f>IFERROR(__xludf.DUMMYFUNCTION("""COMPUTED_VALUE"""),"richly")</f>
        <v>richly</v>
      </c>
      <c r="I1502" s="6"/>
      <c r="J1502" s="6" t="str">
        <f>IFERROR(__xludf.DUMMYFUNCTION("""COMPUTED_VALUE"""),"concentration")</f>
        <v>concentration</v>
      </c>
      <c r="L1502" s="6" t="str">
        <f>IFERROR(__xludf.DUMMYFUNCTION("""COMPUTED_VALUE"""),"inclination")</f>
        <v>inclination</v>
      </c>
      <c r="M1502" s="6" t="str">
        <f>IFERROR(__xludf.DUMMYFUNCTION("""COMPUTED_VALUE"""),"effectively")</f>
        <v>effectively</v>
      </c>
      <c r="N1502" s="6" t="str">
        <f>IFERROR(__xludf.DUMMYFUNCTION("""COMPUTED_VALUE"""),"skyscraper")</f>
        <v>skyscraper</v>
      </c>
      <c r="P1502" s="6" t="str">
        <f>IFERROR(__xludf.DUMMYFUNCTION("""COMPUTED_VALUE"""),"goods")</f>
        <v>goods</v>
      </c>
      <c r="Q1502" s="6" t="str">
        <f>IFERROR(__xludf.DUMMYFUNCTION("""COMPUTED_VALUE"""),"irresistible")</f>
        <v>irresistible</v>
      </c>
      <c r="S1502" s="6" t="str">
        <f>IFERROR(__xludf.DUMMYFUNCTION("""COMPUTED_VALUE"""),"factors")</f>
        <v>factors</v>
      </c>
    </row>
    <row r="1503">
      <c r="B1503" s="6"/>
      <c r="D1503" s="6"/>
      <c r="G1503" s="6"/>
      <c r="H1503" s="6" t="str">
        <f>IFERROR(__xludf.DUMMYFUNCTION("""COMPUTED_VALUE"""),"flatly")</f>
        <v>flatly</v>
      </c>
      <c r="I1503" s="6"/>
      <c r="J1503" s="6" t="str">
        <f>IFERROR(__xludf.DUMMYFUNCTION("""COMPUTED_VALUE"""),"prank")</f>
        <v>prank</v>
      </c>
      <c r="L1503" s="6" t="str">
        <f>IFERROR(__xludf.DUMMYFUNCTION("""COMPUTED_VALUE"""),"undone")</f>
        <v>undone</v>
      </c>
      <c r="M1503" s="6" t="str">
        <f>IFERROR(__xludf.DUMMYFUNCTION("""COMPUTED_VALUE"""),"overcome")</f>
        <v>overcome</v>
      </c>
      <c r="N1503" s="6" t="str">
        <f>IFERROR(__xludf.DUMMYFUNCTION("""COMPUTED_VALUE"""),"aids")</f>
        <v>aids</v>
      </c>
      <c r="P1503" s="6" t="str">
        <f>IFERROR(__xludf.DUMMYFUNCTION("""COMPUTED_VALUE"""),"journalist")</f>
        <v>journalist</v>
      </c>
      <c r="Q1503" s="6" t="str">
        <f>IFERROR(__xludf.DUMMYFUNCTION("""COMPUTED_VALUE"""),"dressed")</f>
        <v>dressed</v>
      </c>
      <c r="S1503" s="6" t="str">
        <f>IFERROR(__xludf.DUMMYFUNCTION("""COMPUTED_VALUE"""),"resistance")</f>
        <v>resistance</v>
      </c>
    </row>
    <row r="1504">
      <c r="B1504" s="6"/>
      <c r="D1504" s="6"/>
      <c r="G1504" s="6"/>
      <c r="H1504" s="6" t="str">
        <f>IFERROR(__xludf.DUMMYFUNCTION("""COMPUTED_VALUE"""),"principles")</f>
        <v>principles</v>
      </c>
      <c r="I1504" s="6"/>
      <c r="J1504" s="6" t="str">
        <f>IFERROR(__xludf.DUMMYFUNCTION("""COMPUTED_VALUE"""),"guiding")</f>
        <v>guiding</v>
      </c>
      <c r="L1504" s="6" t="str">
        <f>IFERROR(__xludf.DUMMYFUNCTION("""COMPUTED_VALUE"""),"telescope")</f>
        <v>telescope</v>
      </c>
      <c r="M1504" s="6" t="str">
        <f>IFERROR(__xludf.DUMMYFUNCTION("""COMPUTED_VALUE"""),"franco")</f>
        <v>franco</v>
      </c>
      <c r="N1504" s="6" t="str">
        <f>IFERROR(__xludf.DUMMYFUNCTION("""COMPUTED_VALUE"""),"dungeons")</f>
        <v>dungeons</v>
      </c>
      <c r="P1504" s="6" t="str">
        <f>IFERROR(__xludf.DUMMYFUNCTION("""COMPUTED_VALUE"""),"venice")</f>
        <v>venice</v>
      </c>
      <c r="Q1504" s="6" t="str">
        <f>IFERROR(__xludf.DUMMYFUNCTION("""COMPUTED_VALUE"""),"hussein")</f>
        <v>hussein</v>
      </c>
      <c r="S1504" s="6" t="str">
        <f>IFERROR(__xludf.DUMMYFUNCTION("""COMPUTED_VALUE"""),"artistic")</f>
        <v>artistic</v>
      </c>
    </row>
    <row r="1505">
      <c r="B1505" s="6"/>
      <c r="D1505" s="6"/>
      <c r="G1505" s="6"/>
      <c r="H1505" s="6" t="str">
        <f>IFERROR(__xludf.DUMMYFUNCTION("""COMPUTED_VALUE"""),"atrocities")</f>
        <v>atrocities</v>
      </c>
      <c r="I1505" s="6"/>
      <c r="J1505" s="6" t="str">
        <f>IFERROR(__xludf.DUMMYFUNCTION("""COMPUTED_VALUE"""),"chases")</f>
        <v>chases</v>
      </c>
      <c r="L1505" s="6" t="str">
        <f>IFERROR(__xludf.DUMMYFUNCTION("""COMPUTED_VALUE"""),"conclusions")</f>
        <v>conclusions</v>
      </c>
      <c r="M1505" s="6" t="str">
        <f>IFERROR(__xludf.DUMMYFUNCTION("""COMPUTED_VALUE"""),"berkeley")</f>
        <v>berkeley</v>
      </c>
      <c r="N1505" s="6" t="str">
        <f>IFERROR(__xludf.DUMMYFUNCTION("""COMPUTED_VALUE"""),"successor")</f>
        <v>successor</v>
      </c>
      <c r="P1505" s="6" t="str">
        <f>IFERROR(__xludf.DUMMYFUNCTION("""COMPUTED_VALUE"""),"pursued")</f>
        <v>pursued</v>
      </c>
      <c r="Q1505" s="6" t="str">
        <f>IFERROR(__xludf.DUMMYFUNCTION("""COMPUTED_VALUE"""),"saddam")</f>
        <v>saddam</v>
      </c>
      <c r="S1505" s="6" t="str">
        <f>IFERROR(__xludf.DUMMYFUNCTION("""COMPUTED_VALUE"""),"championship")</f>
        <v>championship</v>
      </c>
    </row>
    <row r="1506">
      <c r="B1506" s="6"/>
      <c r="D1506" s="6"/>
      <c r="G1506" s="6"/>
      <c r="H1506" s="6" t="str">
        <f>IFERROR(__xludf.DUMMYFUNCTION("""COMPUTED_VALUE"""),"mythology")</f>
        <v>mythology</v>
      </c>
      <c r="I1506" s="6"/>
      <c r="J1506" s="6" t="str">
        <f>IFERROR(__xludf.DUMMYFUNCTION("""COMPUTED_VALUE"""),"tucker")</f>
        <v>tucker</v>
      </c>
      <c r="L1506" s="6" t="str">
        <f>IFERROR(__xludf.DUMMYFUNCTION("""COMPUTED_VALUE"""),"endeavors")</f>
        <v>endeavors</v>
      </c>
      <c r="M1506" s="6" t="str">
        <f>IFERROR(__xludf.DUMMYFUNCTION("""COMPUTED_VALUE"""),"fierce")</f>
        <v>fierce</v>
      </c>
      <c r="N1506" s="6" t="str">
        <f>IFERROR(__xludf.DUMMYFUNCTION("""COMPUTED_VALUE"""),"reflective")</f>
        <v>reflective</v>
      </c>
      <c r="P1506" s="6" t="str">
        <f>IFERROR(__xludf.DUMMYFUNCTION("""COMPUTED_VALUE"""),"stevens")</f>
        <v>stevens</v>
      </c>
      <c r="Q1506" s="6" t="str">
        <f>IFERROR(__xludf.DUMMYFUNCTION("""COMPUTED_VALUE"""),"operative")</f>
        <v>operative</v>
      </c>
      <c r="S1506" s="6" t="str">
        <f>IFERROR(__xludf.DUMMYFUNCTION("""COMPUTED_VALUE"""),"labor")</f>
        <v>labor</v>
      </c>
    </row>
    <row r="1507">
      <c r="B1507" s="6"/>
      <c r="D1507" s="6"/>
      <c r="G1507" s="6"/>
      <c r="H1507" s="6" t="str">
        <f>IFERROR(__xludf.DUMMYFUNCTION("""COMPUTED_VALUE"""),"benefited")</f>
        <v>benefited</v>
      </c>
      <c r="I1507" s="6"/>
      <c r="J1507" s="6" t="str">
        <f>IFERROR(__xludf.DUMMYFUNCTION("""COMPUTED_VALUE"""),"italics")</f>
        <v>italics</v>
      </c>
      <c r="L1507" s="6" t="str">
        <f>IFERROR(__xludf.DUMMYFUNCTION("""COMPUTED_VALUE"""),"suspense")</f>
        <v>suspense</v>
      </c>
      <c r="M1507" s="6" t="str">
        <f>IFERROR(__xludf.DUMMYFUNCTION("""COMPUTED_VALUE"""),"dramatic")</f>
        <v>dramatic</v>
      </c>
      <c r="N1507" s="6" t="str">
        <f>IFERROR(__xludf.DUMMYFUNCTION("""COMPUTED_VALUE"""),"forwards")</f>
        <v>forwards</v>
      </c>
      <c r="P1507" s="6" t="str">
        <f>IFERROR(__xludf.DUMMYFUNCTION("""COMPUTED_VALUE"""),"playstation")</f>
        <v>playstation</v>
      </c>
      <c r="Q1507" s="6" t="str">
        <f>IFERROR(__xludf.DUMMYFUNCTION("""COMPUTED_VALUE"""),"exposition")</f>
        <v>exposition</v>
      </c>
      <c r="S1507" s="6" t="str">
        <f>IFERROR(__xludf.DUMMYFUNCTION("""COMPUTED_VALUE"""),"published")</f>
        <v>published</v>
      </c>
    </row>
    <row r="1508">
      <c r="B1508" s="6"/>
      <c r="D1508" s="6"/>
      <c r="G1508" s="6"/>
      <c r="H1508" s="6" t="str">
        <f>IFERROR(__xludf.DUMMYFUNCTION("""COMPUTED_VALUE"""),"directs")</f>
        <v>directs</v>
      </c>
      <c r="I1508" s="6"/>
      <c r="J1508" s="6" t="str">
        <f>IFERROR(__xludf.DUMMYFUNCTION("""COMPUTED_VALUE"""),"attach")</f>
        <v>attach</v>
      </c>
      <c r="L1508" s="6" t="str">
        <f>IFERROR(__xludf.DUMMYFUNCTION("""COMPUTED_VALUE"""),"cheered")</f>
        <v>cheered</v>
      </c>
      <c r="M1508" s="6" t="str">
        <f>IFERROR(__xludf.DUMMYFUNCTION("""COMPUTED_VALUE"""),"dimension")</f>
        <v>dimension</v>
      </c>
      <c r="N1508" s="6" t="str">
        <f>IFERROR(__xludf.DUMMYFUNCTION("""COMPUTED_VALUE"""),"deeds")</f>
        <v>deeds</v>
      </c>
      <c r="P1508" s="6" t="str">
        <f>IFERROR(__xludf.DUMMYFUNCTION("""COMPUTED_VALUE"""),"mtv")</f>
        <v>mtv</v>
      </c>
      <c r="Q1508" s="6" t="str">
        <f>IFERROR(__xludf.DUMMYFUNCTION("""COMPUTED_VALUE"""),"directly")</f>
        <v>directly</v>
      </c>
      <c r="S1508" s="6" t="str">
        <f>IFERROR(__xludf.DUMMYFUNCTION("""COMPUTED_VALUE"""),"escort")</f>
        <v>escort</v>
      </c>
    </row>
    <row r="1509">
      <c r="B1509" s="6"/>
      <c r="D1509" s="6"/>
      <c r="G1509" s="6"/>
      <c r="H1509" s="6">
        <f>IFERROR(__xludf.DUMMYFUNCTION("""COMPUTED_VALUE"""),1938.0)</f>
        <v>1938</v>
      </c>
      <c r="I1509" s="6"/>
      <c r="J1509" s="6" t="str">
        <f>IFERROR(__xludf.DUMMYFUNCTION("""COMPUTED_VALUE"""),"wilde")</f>
        <v>wilde</v>
      </c>
      <c r="L1509" s="6" t="str">
        <f>IFERROR(__xludf.DUMMYFUNCTION("""COMPUTED_VALUE"""),"brit")</f>
        <v>brit</v>
      </c>
      <c r="M1509" s="6" t="str">
        <f>IFERROR(__xludf.DUMMYFUNCTION("""COMPUTED_VALUE"""),"deadly")</f>
        <v>deadly</v>
      </c>
      <c r="N1509" s="6" t="str">
        <f>IFERROR(__xludf.DUMMYFUNCTION("""COMPUTED_VALUE"""),"lengths")</f>
        <v>lengths</v>
      </c>
      <c r="P1509" s="6">
        <f>IFERROR(__xludf.DUMMYFUNCTION("""COMPUTED_VALUE"""),1960.0)</f>
        <v>1960</v>
      </c>
      <c r="Q1509" s="6" t="str">
        <f>IFERROR(__xludf.DUMMYFUNCTION("""COMPUTED_VALUE"""),"scribe")</f>
        <v>scribe</v>
      </c>
      <c r="S1509" s="6" t="str">
        <f>IFERROR(__xludf.DUMMYFUNCTION("""COMPUTED_VALUE"""),"canon")</f>
        <v>canon</v>
      </c>
    </row>
    <row r="1510">
      <c r="B1510" s="6"/>
      <c r="D1510" s="6"/>
      <c r="G1510" s="6"/>
      <c r="H1510" s="6" t="str">
        <f>IFERROR(__xludf.DUMMYFUNCTION("""COMPUTED_VALUE"""),"holden")</f>
        <v>holden</v>
      </c>
      <c r="I1510" s="6"/>
      <c r="J1510" s="6" t="str">
        <f>IFERROR(__xludf.DUMMYFUNCTION("""COMPUTED_VALUE"""),"empowerment")</f>
        <v>empowerment</v>
      </c>
      <c r="L1510" s="6">
        <f>IFERROR(__xludf.DUMMYFUNCTION("""COMPUTED_VALUE"""),1975.0)</f>
        <v>1975</v>
      </c>
      <c r="M1510" s="6" t="str">
        <f>IFERROR(__xludf.DUMMYFUNCTION("""COMPUTED_VALUE"""),"brave")</f>
        <v>brave</v>
      </c>
      <c r="N1510" s="6" t="str">
        <f>IFERROR(__xludf.DUMMYFUNCTION("""COMPUTED_VALUE"""),"creeping")</f>
        <v>creeping</v>
      </c>
      <c r="P1510" s="6" t="str">
        <f>IFERROR(__xludf.DUMMYFUNCTION("""COMPUTED_VALUE"""),"ethan")</f>
        <v>ethan</v>
      </c>
      <c r="Q1510" s="6" t="str">
        <f>IFERROR(__xludf.DUMMYFUNCTION("""COMPUTED_VALUE"""),"chemistry")</f>
        <v>chemistry</v>
      </c>
      <c r="S1510" s="6" t="str">
        <f>IFERROR(__xludf.DUMMYFUNCTION("""COMPUTED_VALUE"""),"grown")</f>
        <v>grown</v>
      </c>
    </row>
    <row r="1511">
      <c r="B1511" s="6"/>
      <c r="D1511" s="6"/>
      <c r="G1511" s="6"/>
      <c r="H1511" s="6" t="str">
        <f>IFERROR(__xludf.DUMMYFUNCTION("""COMPUTED_VALUE"""),"leaping")</f>
        <v>leaping</v>
      </c>
      <c r="I1511" s="6"/>
      <c r="J1511" s="6" t="str">
        <f>IFERROR(__xludf.DUMMYFUNCTION("""COMPUTED_VALUE"""),"established")</f>
        <v>established</v>
      </c>
      <c r="L1511" s="6" t="str">
        <f>IFERROR(__xludf.DUMMYFUNCTION("""COMPUTED_VALUE"""),"exploration")</f>
        <v>exploration</v>
      </c>
      <c r="M1511" s="6" t="str">
        <f>IFERROR(__xludf.DUMMYFUNCTION("""COMPUTED_VALUE"""),"influential")</f>
        <v>influential</v>
      </c>
      <c r="N1511" s="6" t="str">
        <f>IFERROR(__xludf.DUMMYFUNCTION("""COMPUTED_VALUE"""),"philosophers")</f>
        <v>philosophers</v>
      </c>
      <c r="P1511" s="6" t="str">
        <f>IFERROR(__xludf.DUMMYFUNCTION("""COMPUTED_VALUE"""),"acquire")</f>
        <v>acquire</v>
      </c>
      <c r="Q1511" s="6" t="str">
        <f>IFERROR(__xludf.DUMMYFUNCTION("""COMPUTED_VALUE"""),"concludes")</f>
        <v>concludes</v>
      </c>
      <c r="S1511" s="6" t="str">
        <f>IFERROR(__xludf.DUMMYFUNCTION("""COMPUTED_VALUE"""),"flesh")</f>
        <v>flesh</v>
      </c>
    </row>
    <row r="1512">
      <c r="B1512" s="6"/>
      <c r="D1512" s="6"/>
      <c r="G1512" s="6"/>
      <c r="H1512" s="6" t="str">
        <f>IFERROR(__xludf.DUMMYFUNCTION("""COMPUTED_VALUE"""),"traits")</f>
        <v>traits</v>
      </c>
      <c r="I1512" s="6"/>
      <c r="J1512" s="6" t="str">
        <f>IFERROR(__xludf.DUMMYFUNCTION("""COMPUTED_VALUE"""),"passions")</f>
        <v>passions</v>
      </c>
      <c r="L1512" s="6" t="str">
        <f>IFERROR(__xludf.DUMMYFUNCTION("""COMPUTED_VALUE"""),"footage")</f>
        <v>footage</v>
      </c>
      <c r="M1512" s="6" t="str">
        <f>IFERROR(__xludf.DUMMYFUNCTION("""COMPUTED_VALUE"""),"pianist")</f>
        <v>pianist</v>
      </c>
      <c r="N1512" s="6" t="str">
        <f>IFERROR(__xludf.DUMMYFUNCTION("""COMPUTED_VALUE"""),"comprehend")</f>
        <v>comprehend</v>
      </c>
      <c r="P1512" s="6" t="str">
        <f>IFERROR(__xludf.DUMMYFUNCTION("""COMPUTED_VALUE"""),"welsh")</f>
        <v>welsh</v>
      </c>
      <c r="Q1512" s="6" t="str">
        <f>IFERROR(__xludf.DUMMYFUNCTION("""COMPUTED_VALUE"""),"dawn")</f>
        <v>dawn</v>
      </c>
      <c r="S1512" s="6" t="str">
        <f>IFERROR(__xludf.DUMMYFUNCTION("""COMPUTED_VALUE"""),"illness")</f>
        <v>illness</v>
      </c>
    </row>
    <row r="1513">
      <c r="B1513" s="6"/>
      <c r="D1513" s="6"/>
      <c r="G1513" s="6"/>
      <c r="H1513" s="6" t="str">
        <f>IFERROR(__xludf.DUMMYFUNCTION("""COMPUTED_VALUE"""),"gore")</f>
        <v>gore</v>
      </c>
      <c r="I1513" s="6"/>
      <c r="J1513" s="6" t="str">
        <f>IFERROR(__xludf.DUMMYFUNCTION("""COMPUTED_VALUE"""),"assassin")</f>
        <v>assassin</v>
      </c>
      <c r="L1513" s="6" t="str">
        <f>IFERROR(__xludf.DUMMYFUNCTION("""COMPUTED_VALUE"""),"sequel")</f>
        <v>sequel</v>
      </c>
      <c r="M1513" s="6" t="str">
        <f>IFERROR(__xludf.DUMMYFUNCTION("""COMPUTED_VALUE"""),"commentary")</f>
        <v>commentary</v>
      </c>
      <c r="N1513" s="6" t="str">
        <f>IFERROR(__xludf.DUMMYFUNCTION("""COMPUTED_VALUE"""),"sustain")</f>
        <v>sustain</v>
      </c>
      <c r="P1513" s="6" t="str">
        <f>IFERROR(__xludf.DUMMYFUNCTION("""COMPUTED_VALUE"""),"rounded")</f>
        <v>rounded</v>
      </c>
      <c r="Q1513" s="6" t="str">
        <f>IFERROR(__xludf.DUMMYFUNCTION("""COMPUTED_VALUE"""),"crisp")</f>
        <v>crisp</v>
      </c>
      <c r="S1513" s="6" t="str">
        <f>IFERROR(__xludf.DUMMYFUNCTION("""COMPUTED_VALUE"""),"controversy")</f>
        <v>controversy</v>
      </c>
    </row>
    <row r="1514">
      <c r="B1514" s="6"/>
      <c r="D1514" s="6"/>
      <c r="G1514" s="6"/>
      <c r="H1514" s="6" t="str">
        <f>IFERROR(__xludf.DUMMYFUNCTION("""COMPUTED_VALUE"""),"nicolas")</f>
        <v>nicolas</v>
      </c>
      <c r="I1514" s="6"/>
      <c r="J1514" s="6" t="str">
        <f>IFERROR(__xludf.DUMMYFUNCTION("""COMPUTED_VALUE"""),"seduce")</f>
        <v>seduce</v>
      </c>
      <c r="L1514" s="6" t="str">
        <f>IFERROR(__xludf.DUMMYFUNCTION("""COMPUTED_VALUE"""),"prejudice")</f>
        <v>prejudice</v>
      </c>
      <c r="M1514" s="6" t="str">
        <f>IFERROR(__xludf.DUMMYFUNCTION("""COMPUTED_VALUE"""),"african")</f>
        <v>african</v>
      </c>
      <c r="N1514" s="6" t="str">
        <f>IFERROR(__xludf.DUMMYFUNCTION("""COMPUTED_VALUE"""),"brilliance")</f>
        <v>brilliance</v>
      </c>
      <c r="P1514" s="6" t="str">
        <f>IFERROR(__xludf.DUMMYFUNCTION("""COMPUTED_VALUE"""),"rape")</f>
        <v>rape</v>
      </c>
      <c r="Q1514" s="6" t="str">
        <f>IFERROR(__xludf.DUMMYFUNCTION("""COMPUTED_VALUE"""),"meaning")</f>
        <v>meaning</v>
      </c>
      <c r="S1514" s="6" t="str">
        <f>IFERROR(__xludf.DUMMYFUNCTION("""COMPUTED_VALUE"""),"rally")</f>
        <v>rally</v>
      </c>
    </row>
    <row r="1515">
      <c r="B1515" s="6"/>
      <c r="D1515" s="6"/>
      <c r="G1515" s="6"/>
      <c r="H1515" s="6" t="str">
        <f>IFERROR(__xludf.DUMMYFUNCTION("""COMPUTED_VALUE"""),"cage")</f>
        <v>cage</v>
      </c>
      <c r="I1515" s="6"/>
      <c r="J1515" s="6" t="str">
        <f>IFERROR(__xludf.DUMMYFUNCTION("""COMPUTED_VALUE"""),"segment")</f>
        <v>segment</v>
      </c>
      <c r="L1515" s="6" t="str">
        <f>IFERROR(__xludf.DUMMYFUNCTION("""COMPUTED_VALUE"""),"pornographic")</f>
        <v>pornographic</v>
      </c>
      <c r="M1515" s="6" t="str">
        <f>IFERROR(__xludf.DUMMYFUNCTION("""COMPUTED_VALUE"""),"gang")</f>
        <v>gang</v>
      </c>
      <c r="N1515" s="6" t="str">
        <f>IFERROR(__xludf.DUMMYFUNCTION("""COMPUTED_VALUE"""),"intelligence")</f>
        <v>intelligence</v>
      </c>
      <c r="P1515" s="6" t="str">
        <f>IFERROR(__xludf.DUMMYFUNCTION("""COMPUTED_VALUE"""),"stuart")</f>
        <v>stuart</v>
      </c>
      <c r="Q1515" s="6" t="str">
        <f>IFERROR(__xludf.DUMMYFUNCTION("""COMPUTED_VALUE"""),"patch")</f>
        <v>patch</v>
      </c>
      <c r="S1515" s="6" t="str">
        <f>IFERROR(__xludf.DUMMYFUNCTION("""COMPUTED_VALUE"""),"dimensions")</f>
        <v>dimensions</v>
      </c>
    </row>
    <row r="1516">
      <c r="B1516" s="6"/>
      <c r="D1516" s="6"/>
      <c r="G1516" s="6"/>
      <c r="H1516" s="6" t="str">
        <f>IFERROR(__xludf.DUMMYFUNCTION("""COMPUTED_VALUE"""),"paranoia")</f>
        <v>paranoia</v>
      </c>
      <c r="I1516" s="6"/>
      <c r="J1516" s="6" t="str">
        <f>IFERROR(__xludf.DUMMYFUNCTION("""COMPUTED_VALUE"""),"vittorio")</f>
        <v>vittorio</v>
      </c>
      <c r="L1516" s="6" t="str">
        <f>IFERROR(__xludf.DUMMYFUNCTION("""COMPUTED_VALUE"""),"acknowledges")</f>
        <v>acknowledges</v>
      </c>
      <c r="M1516" s="6" t="str">
        <f>IFERROR(__xludf.DUMMYFUNCTION("""COMPUTED_VALUE"""),"composed")</f>
        <v>composed</v>
      </c>
      <c r="N1516" s="6" t="str">
        <f>IFERROR(__xludf.DUMMYFUNCTION("""COMPUTED_VALUE"""),"intensely")</f>
        <v>intensely</v>
      </c>
      <c r="P1516" s="6" t="str">
        <f>IFERROR(__xludf.DUMMYFUNCTION("""COMPUTED_VALUE"""),"believing")</f>
        <v>believing</v>
      </c>
      <c r="Q1516" s="6" t="str">
        <f>IFERROR(__xludf.DUMMYFUNCTION("""COMPUTED_VALUE"""),"willis")</f>
        <v>willis</v>
      </c>
      <c r="S1516" s="6" t="str">
        <f>IFERROR(__xludf.DUMMYFUNCTION("""COMPUTED_VALUE"""),"classification")</f>
        <v>classification</v>
      </c>
    </row>
    <row r="1517">
      <c r="B1517" s="6"/>
      <c r="D1517" s="6"/>
      <c r="G1517" s="6"/>
      <c r="H1517" s="6" t="str">
        <f>IFERROR(__xludf.DUMMYFUNCTION("""COMPUTED_VALUE"""),"confronting")</f>
        <v>confronting</v>
      </c>
      <c r="I1517" s="6"/>
      <c r="J1517" s="6" t="str">
        <f>IFERROR(__xludf.DUMMYFUNCTION("""COMPUTED_VALUE"""),"purity")</f>
        <v>purity</v>
      </c>
      <c r="L1517" s="6" t="str">
        <f>IFERROR(__xludf.DUMMYFUNCTION("""COMPUTED_VALUE"""),"souls")</f>
        <v>souls</v>
      </c>
      <c r="M1517" s="6" t="str">
        <f>IFERROR(__xludf.DUMMYFUNCTION("""COMPUTED_VALUE"""),"circuit")</f>
        <v>circuit</v>
      </c>
      <c r="N1517" s="6" t="str">
        <f>IFERROR(__xludf.DUMMYFUNCTION("""COMPUTED_VALUE"""),"unconventional")</f>
        <v>unconventional</v>
      </c>
      <c r="P1517" s="6" t="str">
        <f>IFERROR(__xludf.DUMMYFUNCTION("""COMPUTED_VALUE"""),"lo")</f>
        <v>lo</v>
      </c>
      <c r="Q1517" s="6" t="str">
        <f>IFERROR(__xludf.DUMMYFUNCTION("""COMPUTED_VALUE"""),"bruce")</f>
        <v>bruce</v>
      </c>
      <c r="S1517" s="6" t="str">
        <f>IFERROR(__xludf.DUMMYFUNCTION("""COMPUTED_VALUE"""),"revenge")</f>
        <v>revenge</v>
      </c>
    </row>
    <row r="1518">
      <c r="B1518" s="6"/>
      <c r="D1518" s="6"/>
      <c r="G1518" s="6"/>
      <c r="H1518" s="6" t="str">
        <f>IFERROR(__xludf.DUMMYFUNCTION("""COMPUTED_VALUE"""),"phenomenon")</f>
        <v>phenomenon</v>
      </c>
      <c r="I1518" s="6"/>
      <c r="J1518" s="6" t="str">
        <f>IFERROR(__xludf.DUMMYFUNCTION("""COMPUTED_VALUE"""),"fictional")</f>
        <v>fictional</v>
      </c>
      <c r="L1518" s="6" t="str">
        <f>IFERROR(__xludf.DUMMYFUNCTION("""COMPUTED_VALUE"""),"tales")</f>
        <v>tales</v>
      </c>
      <c r="M1518" s="6" t="str">
        <f>IFERROR(__xludf.DUMMYFUNCTION("""COMPUTED_VALUE"""),"script")</f>
        <v>script</v>
      </c>
      <c r="N1518" s="6" t="str">
        <f>IFERROR(__xludf.DUMMYFUNCTION("""COMPUTED_VALUE"""),"weighted")</f>
        <v>weighted</v>
      </c>
      <c r="P1518" s="6" t="str">
        <f>IFERROR(__xludf.DUMMYFUNCTION("""COMPUTED_VALUE"""),"philip")</f>
        <v>philip</v>
      </c>
      <c r="Q1518" s="6" t="str">
        <f>IFERROR(__xludf.DUMMYFUNCTION("""COMPUTED_VALUE"""),"win")</f>
        <v>win</v>
      </c>
      <c r="S1518" s="6" t="str">
        <f>IFERROR(__xludf.DUMMYFUNCTION("""COMPUTED_VALUE"""),"cheek")</f>
        <v>cheek</v>
      </c>
    </row>
    <row r="1519">
      <c r="B1519" s="6"/>
      <c r="D1519" s="6"/>
      <c r="G1519" s="6"/>
      <c r="H1519" s="6" t="str">
        <f>IFERROR(__xludf.DUMMYFUNCTION("""COMPUTED_VALUE"""),"viewpoint")</f>
        <v>viewpoint</v>
      </c>
      <c r="I1519" s="6"/>
      <c r="J1519" s="6" t="str">
        <f>IFERROR(__xludf.DUMMYFUNCTION("""COMPUTED_VALUE"""),"roster")</f>
        <v>roster</v>
      </c>
      <c r="L1519" s="6" t="str">
        <f>IFERROR(__xludf.DUMMYFUNCTION("""COMPUTED_VALUE"""),"bollywood")</f>
        <v>bollywood</v>
      </c>
      <c r="M1519" s="6" t="str">
        <f>IFERROR(__xludf.DUMMYFUNCTION("""COMPUTED_VALUE"""),"gaze")</f>
        <v>gaze</v>
      </c>
      <c r="N1519" s="6" t="str">
        <f>IFERROR(__xludf.DUMMYFUNCTION("""COMPUTED_VALUE"""),"stroked")</f>
        <v>stroked</v>
      </c>
      <c r="P1519" s="6" t="str">
        <f>IFERROR(__xludf.DUMMYFUNCTION("""COMPUTED_VALUE"""),"ensure")</f>
        <v>ensure</v>
      </c>
      <c r="Q1519" s="6" t="str">
        <f>IFERROR(__xludf.DUMMYFUNCTION("""COMPUTED_VALUE"""),"creators")</f>
        <v>creators</v>
      </c>
      <c r="S1519" s="6" t="str">
        <f>IFERROR(__xludf.DUMMYFUNCTION("""COMPUTED_VALUE"""),"references")</f>
        <v>references</v>
      </c>
    </row>
    <row r="1520">
      <c r="B1520" s="6"/>
      <c r="D1520" s="6"/>
      <c r="G1520" s="6"/>
      <c r="H1520" s="6" t="str">
        <f>IFERROR(__xludf.DUMMYFUNCTION("""COMPUTED_VALUE"""),"diary")</f>
        <v>diary</v>
      </c>
      <c r="I1520" s="6"/>
      <c r="J1520" s="6" t="str">
        <f>IFERROR(__xludf.DUMMYFUNCTION("""COMPUTED_VALUE"""),"velocity")</f>
        <v>velocity</v>
      </c>
      <c r="L1520" s="6" t="str">
        <f>IFERROR(__xludf.DUMMYFUNCTION("""COMPUTED_VALUE"""),"editing")</f>
        <v>editing</v>
      </c>
      <c r="M1520" s="6" t="str">
        <f>IFERROR(__xludf.DUMMYFUNCTION("""COMPUTED_VALUE"""),"arc")</f>
        <v>arc</v>
      </c>
      <c r="N1520" s="6" t="str">
        <f>IFERROR(__xludf.DUMMYFUNCTION("""COMPUTED_VALUE"""),"outward")</f>
        <v>outward</v>
      </c>
      <c r="P1520" s="6" t="str">
        <f>IFERROR(__xludf.DUMMYFUNCTION("""COMPUTED_VALUE"""),"referred")</f>
        <v>referred</v>
      </c>
      <c r="Q1520" s="6" t="str">
        <f>IFERROR(__xludf.DUMMYFUNCTION("""COMPUTED_VALUE"""),"slap")</f>
        <v>slap</v>
      </c>
      <c r="S1520" s="6" t="str">
        <f>IFERROR(__xludf.DUMMYFUNCTION("""COMPUTED_VALUE"""),"jersey")</f>
        <v>jersey</v>
      </c>
    </row>
    <row r="1521">
      <c r="B1521" s="6"/>
      <c r="D1521" s="6"/>
      <c r="G1521" s="6"/>
      <c r="H1521" s="6" t="str">
        <f>IFERROR(__xludf.DUMMYFUNCTION("""COMPUTED_VALUE"""),"leap")</f>
        <v>leap</v>
      </c>
      <c r="I1521" s="6"/>
      <c r="J1521" s="6" t="str">
        <f>IFERROR(__xludf.DUMMYFUNCTION("""COMPUTED_VALUE"""),"stroke")</f>
        <v>stroke</v>
      </c>
      <c r="L1521" s="6" t="str">
        <f>IFERROR(__xludf.DUMMYFUNCTION("""COMPUTED_VALUE"""),"assumes")</f>
        <v>assumes</v>
      </c>
      <c r="M1521" s="6" t="str">
        <f>IFERROR(__xludf.DUMMYFUNCTION("""COMPUTED_VALUE"""),"storyline")</f>
        <v>storyline</v>
      </c>
      <c r="N1521" s="6" t="str">
        <f>IFERROR(__xludf.DUMMYFUNCTION("""COMPUTED_VALUE"""),"jolt")</f>
        <v>jolt</v>
      </c>
      <c r="P1521" s="6" t="str">
        <f>IFERROR(__xludf.DUMMYFUNCTION("""COMPUTED_VALUE"""),"ivan")</f>
        <v>ivan</v>
      </c>
      <c r="Q1521" s="6" t="str">
        <f>IFERROR(__xludf.DUMMYFUNCTION("""COMPUTED_VALUE"""),"doomed")</f>
        <v>doomed</v>
      </c>
      <c r="S1521" s="6" t="str">
        <f>IFERROR(__xludf.DUMMYFUNCTION("""COMPUTED_VALUE"""),"clouds")</f>
        <v>clouds</v>
      </c>
    </row>
    <row r="1522">
      <c r="B1522" s="6"/>
      <c r="D1522" s="6"/>
      <c r="G1522" s="6"/>
      <c r="H1522" s="6" t="str">
        <f>IFERROR(__xludf.DUMMYFUNCTION("""COMPUTED_VALUE"""),"fuels")</f>
        <v>fuels</v>
      </c>
      <c r="I1522" s="6"/>
      <c r="J1522" s="6" t="str">
        <f>IFERROR(__xludf.DUMMYFUNCTION("""COMPUTED_VALUE"""),"nominated")</f>
        <v>nominated</v>
      </c>
      <c r="L1522" s="6" t="str">
        <f>IFERROR(__xludf.DUMMYFUNCTION("""COMPUTED_VALUE"""),"combining")</f>
        <v>combining</v>
      </c>
      <c r="M1522" s="6" t="str">
        <f>IFERROR(__xludf.DUMMYFUNCTION("""COMPUTED_VALUE"""),"emotions")</f>
        <v>emotions</v>
      </c>
      <c r="N1522" s="6" t="str">
        <f>IFERROR(__xludf.DUMMYFUNCTION("""COMPUTED_VALUE"""),"meaningless")</f>
        <v>meaningless</v>
      </c>
      <c r="P1522" s="6">
        <f>IFERROR(__xludf.DUMMYFUNCTION("""COMPUTED_VALUE"""),1957.0)</f>
        <v>1957</v>
      </c>
      <c r="Q1522" s="6" t="str">
        <f>IFERROR(__xludf.DUMMYFUNCTION("""COMPUTED_VALUE"""),"weep")</f>
        <v>weep</v>
      </c>
      <c r="S1522" s="6" t="str">
        <f>IFERROR(__xludf.DUMMYFUNCTION("""COMPUTED_VALUE"""),"record")</f>
        <v>record</v>
      </c>
    </row>
    <row r="1523">
      <c r="B1523" s="6"/>
      <c r="D1523" s="6"/>
      <c r="G1523" s="6"/>
      <c r="H1523" s="6" t="str">
        <f>IFERROR(__xludf.DUMMYFUNCTION("""COMPUTED_VALUE"""),"freighter")</f>
        <v>freighter</v>
      </c>
      <c r="I1523" s="6"/>
      <c r="J1523" s="6" t="str">
        <f>IFERROR(__xludf.DUMMYFUNCTION("""COMPUTED_VALUE"""),"conrad")</f>
        <v>conrad</v>
      </c>
      <c r="L1523" s="6" t="str">
        <f>IFERROR(__xludf.DUMMYFUNCTION("""COMPUTED_VALUE"""),"beings")</f>
        <v>beings</v>
      </c>
      <c r="M1523" s="6" t="str">
        <f>IFERROR(__xludf.DUMMYFUNCTION("""COMPUTED_VALUE"""),"jaw")</f>
        <v>jaw</v>
      </c>
      <c r="N1523" s="6" t="str">
        <f>IFERROR(__xludf.DUMMYFUNCTION("""COMPUTED_VALUE"""),"participants")</f>
        <v>participants</v>
      </c>
      <c r="P1523" s="6" t="str">
        <f>IFERROR(__xludf.DUMMYFUNCTION("""COMPUTED_VALUE"""),"tall")</f>
        <v>tall</v>
      </c>
      <c r="Q1523" s="6" t="str">
        <f>IFERROR(__xludf.DUMMYFUNCTION("""COMPUTED_VALUE"""),"norton")</f>
        <v>norton</v>
      </c>
      <c r="S1523" s="6" t="str">
        <f>IFERROR(__xludf.DUMMYFUNCTION("""COMPUTED_VALUE"""),"composed")</f>
        <v>composed</v>
      </c>
    </row>
    <row r="1524">
      <c r="B1524" s="6"/>
      <c r="D1524" s="6"/>
      <c r="G1524" s="6"/>
      <c r="H1524" s="6" t="str">
        <f>IFERROR(__xludf.DUMMYFUNCTION("""COMPUTED_VALUE"""),"stretches")</f>
        <v>stretches</v>
      </c>
      <c r="I1524" s="6"/>
      <c r="J1524" s="6" t="str">
        <f>IFERROR(__xludf.DUMMYFUNCTION("""COMPUTED_VALUE"""),"chen")</f>
        <v>chen</v>
      </c>
      <c r="L1524" s="6" t="str">
        <f>IFERROR(__xludf.DUMMYFUNCTION("""COMPUTED_VALUE"""),"earnest")</f>
        <v>earnest</v>
      </c>
      <c r="M1524" s="6" t="str">
        <f>IFERROR(__xludf.DUMMYFUNCTION("""COMPUTED_VALUE"""),"revolution")</f>
        <v>revolution</v>
      </c>
      <c r="N1524" s="6" t="str">
        <f>IFERROR(__xludf.DUMMYFUNCTION("""COMPUTED_VALUE"""),"soundtrack")</f>
        <v>soundtrack</v>
      </c>
      <c r="P1524" s="6" t="str">
        <f>IFERROR(__xludf.DUMMYFUNCTION("""COMPUTED_VALUE"""),"retiring")</f>
        <v>retiring</v>
      </c>
      <c r="Q1524" s="6" t="str">
        <f>IFERROR(__xludf.DUMMYFUNCTION("""COMPUTED_VALUE"""),"numbers")</f>
        <v>numbers</v>
      </c>
      <c r="S1524" s="6" t="str">
        <f>IFERROR(__xludf.DUMMYFUNCTION("""COMPUTED_VALUE"""),"rejected")</f>
        <v>rejected</v>
      </c>
    </row>
    <row r="1525">
      <c r="B1525" s="6"/>
      <c r="D1525" s="6"/>
      <c r="G1525" s="6"/>
      <c r="H1525" s="6" t="str">
        <f>IFERROR(__xludf.DUMMYFUNCTION("""COMPUTED_VALUE"""),"ecstasy")</f>
        <v>ecstasy</v>
      </c>
      <c r="I1525" s="6"/>
      <c r="J1525" s="6" t="str">
        <f>IFERROR(__xludf.DUMMYFUNCTION("""COMPUTED_VALUE"""),"ardent")</f>
        <v>ardent</v>
      </c>
      <c r="L1525" s="6" t="str">
        <f>IFERROR(__xludf.DUMMYFUNCTION("""COMPUTED_VALUE"""),"slender")</f>
        <v>slender</v>
      </c>
      <c r="M1525" s="6" t="str">
        <f>IFERROR(__xludf.DUMMYFUNCTION("""COMPUTED_VALUE"""),"followers")</f>
        <v>followers</v>
      </c>
      <c r="N1525" s="6" t="str">
        <f>IFERROR(__xludf.DUMMYFUNCTION("""COMPUTED_VALUE"""),"debut")</f>
        <v>debut</v>
      </c>
      <c r="P1525" s="6">
        <f>IFERROR(__xludf.DUMMYFUNCTION("""COMPUTED_VALUE"""),87.0)</f>
        <v>87</v>
      </c>
      <c r="Q1525" s="6" t="str">
        <f>IFERROR(__xludf.DUMMYFUNCTION("""COMPUTED_VALUE"""),"illuminating")</f>
        <v>illuminating</v>
      </c>
      <c r="S1525" s="6" t="str">
        <f>IFERROR(__xludf.DUMMYFUNCTION("""COMPUTED_VALUE"""),"perform")</f>
        <v>perform</v>
      </c>
    </row>
    <row r="1526">
      <c r="B1526" s="6"/>
      <c r="D1526" s="6"/>
      <c r="G1526" s="6"/>
      <c r="H1526" s="6" t="str">
        <f>IFERROR(__xludf.DUMMYFUNCTION("""COMPUTED_VALUE"""),"wonders")</f>
        <v>wonders</v>
      </c>
      <c r="I1526" s="6"/>
      <c r="J1526" s="6" t="str">
        <f>IFERROR(__xludf.DUMMYFUNCTION("""COMPUTED_VALUE"""),"backstage")</f>
        <v>backstage</v>
      </c>
      <c r="L1526" s="6" t="str">
        <f>IFERROR(__xludf.DUMMYFUNCTION("""COMPUTED_VALUE"""),"brutally")</f>
        <v>brutally</v>
      </c>
      <c r="M1526" s="6" t="str">
        <f>IFERROR(__xludf.DUMMYFUNCTION("""COMPUTED_VALUE"""),"writer")</f>
        <v>writer</v>
      </c>
      <c r="N1526" s="6" t="str">
        <f>IFERROR(__xludf.DUMMYFUNCTION("""COMPUTED_VALUE"""),"defend")</f>
        <v>defend</v>
      </c>
      <c r="P1526" s="6" t="str">
        <f>IFERROR(__xludf.DUMMYFUNCTION("""COMPUTED_VALUE"""),"experimental")</f>
        <v>experimental</v>
      </c>
      <c r="Q1526" s="6" t="str">
        <f>IFERROR(__xludf.DUMMYFUNCTION("""COMPUTED_VALUE"""),"jonah")</f>
        <v>jonah</v>
      </c>
      <c r="S1526" s="6" t="str">
        <f>IFERROR(__xludf.DUMMYFUNCTION("""COMPUTED_VALUE"""),"principles")</f>
        <v>principles</v>
      </c>
    </row>
    <row r="1527">
      <c r="B1527" s="6"/>
      <c r="D1527" s="6"/>
      <c r="G1527" s="6"/>
      <c r="H1527" s="6" t="str">
        <f>IFERROR(__xludf.DUMMYFUNCTION("""COMPUTED_VALUE"""),"emphasizes")</f>
        <v>emphasizes</v>
      </c>
      <c r="I1527" s="6"/>
      <c r="J1527" s="6" t="str">
        <f>IFERROR(__xludf.DUMMYFUNCTION("""COMPUTED_VALUE"""),"pivotal")</f>
        <v>pivotal</v>
      </c>
      <c r="L1527" s="6" t="str">
        <f>IFERROR(__xludf.DUMMYFUNCTION("""COMPUTED_VALUE"""),"swings")</f>
        <v>swings</v>
      </c>
      <c r="M1527" s="6" t="str">
        <f>IFERROR(__xludf.DUMMYFUNCTION("""COMPUTED_VALUE"""),"dual")</f>
        <v>dual</v>
      </c>
      <c r="N1527" s="6" t="str">
        <f>IFERROR(__xludf.DUMMYFUNCTION("""COMPUTED_VALUE"""),"metaphor")</f>
        <v>metaphor</v>
      </c>
      <c r="P1527" s="6" t="str">
        <f>IFERROR(__xludf.DUMMYFUNCTION("""COMPUTED_VALUE"""),"pan")</f>
        <v>pan</v>
      </c>
      <c r="Q1527" s="6" t="str">
        <f>IFERROR(__xludf.DUMMYFUNCTION("""COMPUTED_VALUE"""),"pronounced")</f>
        <v>pronounced</v>
      </c>
      <c r="S1527" s="6">
        <f>IFERROR(__xludf.DUMMYFUNCTION("""COMPUTED_VALUE"""),1938.0)</f>
        <v>1938</v>
      </c>
    </row>
    <row r="1528">
      <c r="B1528" s="6"/>
      <c r="D1528" s="6"/>
      <c r="G1528" s="6"/>
      <c r="H1528" s="6" t="str">
        <f>IFERROR(__xludf.DUMMYFUNCTION("""COMPUTED_VALUE"""),"conception")</f>
        <v>conception</v>
      </c>
      <c r="I1528" s="6"/>
      <c r="J1528" s="6" t="str">
        <f>IFERROR(__xludf.DUMMYFUNCTION("""COMPUTED_VALUE"""),"comparisons")</f>
        <v>comparisons</v>
      </c>
      <c r="L1528" s="6" t="str">
        <f>IFERROR(__xludf.DUMMYFUNCTION("""COMPUTED_VALUE"""),"myth")</f>
        <v>myth</v>
      </c>
      <c r="M1528" s="6" t="str">
        <f>IFERROR(__xludf.DUMMYFUNCTION("""COMPUTED_VALUE"""),"simultaneously")</f>
        <v>simultaneously</v>
      </c>
      <c r="N1528" s="6" t="str">
        <f>IFERROR(__xludf.DUMMYFUNCTION("""COMPUTED_VALUE"""),"discoveries")</f>
        <v>discoveries</v>
      </c>
      <c r="P1528" s="6" t="str">
        <f>IFERROR(__xludf.DUMMYFUNCTION("""COMPUTED_VALUE"""),"reaches")</f>
        <v>reaches</v>
      </c>
      <c r="Q1528" s="6" t="str">
        <f>IFERROR(__xludf.DUMMYFUNCTION("""COMPUTED_VALUE"""),"freud")</f>
        <v>freud</v>
      </c>
      <c r="S1528" s="6" t="str">
        <f>IFERROR(__xludf.DUMMYFUNCTION("""COMPUTED_VALUE"""),"lying")</f>
        <v>lying</v>
      </c>
    </row>
    <row r="1529">
      <c r="B1529" s="6"/>
      <c r="D1529" s="6"/>
      <c r="G1529" s="6"/>
      <c r="H1529" s="6" t="str">
        <f>IFERROR(__xludf.DUMMYFUNCTION("""COMPUTED_VALUE"""),"evelyn")</f>
        <v>evelyn</v>
      </c>
      <c r="I1529" s="6"/>
      <c r="J1529" s="6" t="str">
        <f>IFERROR(__xludf.DUMMYFUNCTION("""COMPUTED_VALUE"""),"followers")</f>
        <v>followers</v>
      </c>
      <c r="L1529" s="6" t="str">
        <f>IFERROR(__xludf.DUMMYFUNCTION("""COMPUTED_VALUE"""),"tnt")</f>
        <v>tnt</v>
      </c>
      <c r="M1529" s="6" t="str">
        <f>IFERROR(__xludf.DUMMYFUNCTION("""COMPUTED_VALUE"""),"spreading")</f>
        <v>spreading</v>
      </c>
      <c r="N1529" s="6" t="str">
        <f>IFERROR(__xludf.DUMMYFUNCTION("""COMPUTED_VALUE"""),"narrated")</f>
        <v>narrated</v>
      </c>
      <c r="P1529" s="6" t="str">
        <f>IFERROR(__xludf.DUMMYFUNCTION("""COMPUTED_VALUE"""),"crisis")</f>
        <v>crisis</v>
      </c>
      <c r="Q1529" s="6" t="str">
        <f>IFERROR(__xludf.DUMMYFUNCTION("""COMPUTED_VALUE"""),"shining")</f>
        <v>shining</v>
      </c>
      <c r="S1529" s="6" t="str">
        <f>IFERROR(__xludf.DUMMYFUNCTION("""COMPUTED_VALUE"""),"nicolas")</f>
        <v>nicolas</v>
      </c>
    </row>
    <row r="1530">
      <c r="B1530" s="6"/>
      <c r="D1530" s="6"/>
      <c r="G1530" s="6"/>
      <c r="H1530" s="6" t="str">
        <f>IFERROR(__xludf.DUMMYFUNCTION("""COMPUTED_VALUE"""),"embrace")</f>
        <v>embrace</v>
      </c>
      <c r="I1530" s="6"/>
      <c r="J1530" s="6" t="str">
        <f>IFERROR(__xludf.DUMMYFUNCTION("""COMPUTED_VALUE"""),"stark")</f>
        <v>stark</v>
      </c>
      <c r="L1530" s="6" t="str">
        <f>IFERROR(__xludf.DUMMYFUNCTION("""COMPUTED_VALUE"""),"irresistible")</f>
        <v>irresistible</v>
      </c>
      <c r="M1530" s="6" t="str">
        <f>IFERROR(__xludf.DUMMYFUNCTION("""COMPUTED_VALUE"""),"generations")</f>
        <v>generations</v>
      </c>
      <c r="N1530" s="6" t="str">
        <f>IFERROR(__xludf.DUMMYFUNCTION("""COMPUTED_VALUE"""),"credible")</f>
        <v>credible</v>
      </c>
      <c r="P1530" s="6" t="str">
        <f>IFERROR(__xludf.DUMMYFUNCTION("""COMPUTED_VALUE"""),"sullivan")</f>
        <v>sullivan</v>
      </c>
      <c r="Q1530" s="6" t="str">
        <f>IFERROR(__xludf.DUMMYFUNCTION("""COMPUTED_VALUE"""),"mendes")</f>
        <v>mendes</v>
      </c>
      <c r="S1530" s="6" t="str">
        <f>IFERROR(__xludf.DUMMYFUNCTION("""COMPUTED_VALUE"""),"phenomenon")</f>
        <v>phenomenon</v>
      </c>
    </row>
    <row r="1531">
      <c r="B1531" s="6"/>
      <c r="D1531" s="6"/>
      <c r="G1531" s="6"/>
      <c r="H1531" s="6" t="str">
        <f>IFERROR(__xludf.DUMMYFUNCTION("""COMPUTED_VALUE"""),"sonny")</f>
        <v>sonny</v>
      </c>
      <c r="I1531" s="6"/>
      <c r="J1531" s="6" t="str">
        <f>IFERROR(__xludf.DUMMYFUNCTION("""COMPUTED_VALUE"""),"bodily")</f>
        <v>bodily</v>
      </c>
      <c r="L1531" s="6" t="str">
        <f>IFERROR(__xludf.DUMMYFUNCTION("""COMPUTED_VALUE"""),"skyscraper")</f>
        <v>skyscraper</v>
      </c>
      <c r="M1531" s="6" t="str">
        <f>IFERROR(__xludf.DUMMYFUNCTION("""COMPUTED_VALUE"""),"reconstruction")</f>
        <v>reconstruction</v>
      </c>
      <c r="N1531" s="6" t="str">
        <f>IFERROR(__xludf.DUMMYFUNCTION("""COMPUTED_VALUE"""),"opaque")</f>
        <v>opaque</v>
      </c>
      <c r="P1531" s="6" t="str">
        <f>IFERROR(__xludf.DUMMYFUNCTION("""COMPUTED_VALUE"""),"servants")</f>
        <v>servants</v>
      </c>
      <c r="Q1531" s="6" t="str">
        <f>IFERROR(__xludf.DUMMYFUNCTION("""COMPUTED_VALUE"""),"photographed")</f>
        <v>photographed</v>
      </c>
      <c r="S1531" s="6" t="str">
        <f>IFERROR(__xludf.DUMMYFUNCTION("""COMPUTED_VALUE"""),"eventually")</f>
        <v>eventually</v>
      </c>
    </row>
    <row r="1532">
      <c r="B1532" s="6"/>
      <c r="D1532" s="6"/>
      <c r="G1532" s="6"/>
      <c r="H1532" s="6" t="str">
        <f>IFERROR(__xludf.DUMMYFUNCTION("""COMPUTED_VALUE"""),"delicately")</f>
        <v>delicately</v>
      </c>
      <c r="I1532" s="6"/>
      <c r="J1532" s="6" t="str">
        <f>IFERROR(__xludf.DUMMYFUNCTION("""COMPUTED_VALUE"""),"proving")</f>
        <v>proving</v>
      </c>
      <c r="L1532" s="6" t="str">
        <f>IFERROR(__xludf.DUMMYFUNCTION("""COMPUTED_VALUE"""),"aids")</f>
        <v>aids</v>
      </c>
      <c r="M1532" s="6" t="str">
        <f>IFERROR(__xludf.DUMMYFUNCTION("""COMPUTED_VALUE"""),"log")</f>
        <v>log</v>
      </c>
      <c r="N1532" s="6" t="str">
        <f>IFERROR(__xludf.DUMMYFUNCTION("""COMPUTED_VALUE"""),"comprehension")</f>
        <v>comprehension</v>
      </c>
      <c r="P1532" s="6">
        <f>IFERROR(__xludf.DUMMYFUNCTION("""COMPUTED_VALUE"""),1933.0)</f>
        <v>1933</v>
      </c>
      <c r="Q1532" s="6" t="str">
        <f>IFERROR(__xludf.DUMMYFUNCTION("""COMPUTED_VALUE"""),"unprecedented")</f>
        <v>unprecedented</v>
      </c>
      <c r="S1532" s="6" t="str">
        <f>IFERROR(__xludf.DUMMYFUNCTION("""COMPUTED_VALUE"""),"content")</f>
        <v>content</v>
      </c>
    </row>
    <row r="1533">
      <c r="B1533" s="6"/>
      <c r="D1533" s="6"/>
      <c r="G1533" s="6"/>
      <c r="H1533" s="6" t="str">
        <f>IFERROR(__xludf.DUMMYFUNCTION("""COMPUTED_VALUE"""),"media")</f>
        <v>media</v>
      </c>
      <c r="I1533" s="6"/>
      <c r="J1533" s="6" t="str">
        <f>IFERROR(__xludf.DUMMYFUNCTION("""COMPUTED_VALUE"""),"fling")</f>
        <v>fling</v>
      </c>
      <c r="L1533" s="6" t="str">
        <f>IFERROR(__xludf.DUMMYFUNCTION("""COMPUTED_VALUE"""),"dungeons")</f>
        <v>dungeons</v>
      </c>
      <c r="M1533" s="6" t="str">
        <f>IFERROR(__xludf.DUMMYFUNCTION("""COMPUTED_VALUE"""),"gaining")</f>
        <v>gaining</v>
      </c>
      <c r="N1533" s="6" t="str">
        <f>IFERROR(__xludf.DUMMYFUNCTION("""COMPUTED_VALUE"""),"mischievous")</f>
        <v>mischievous</v>
      </c>
      <c r="P1533" s="6" t="str">
        <f>IFERROR(__xludf.DUMMYFUNCTION("""COMPUTED_VALUE"""),"error")</f>
        <v>error</v>
      </c>
      <c r="Q1533" s="6" t="str">
        <f>IFERROR(__xludf.DUMMYFUNCTION("""COMPUTED_VALUE"""),"drawing")</f>
        <v>drawing</v>
      </c>
      <c r="S1533" s="6" t="str">
        <f>IFERROR(__xludf.DUMMYFUNCTION("""COMPUTED_VALUE"""),"diary")</f>
        <v>diary</v>
      </c>
    </row>
    <row r="1534">
      <c r="B1534" s="6"/>
      <c r="D1534" s="6"/>
      <c r="G1534" s="6"/>
      <c r="H1534" s="6" t="str">
        <f>IFERROR(__xludf.DUMMYFUNCTION("""COMPUTED_VALUE"""),"memoir")</f>
        <v>memoir</v>
      </c>
      <c r="I1534" s="6"/>
      <c r="J1534" s="6" t="str">
        <f>IFERROR(__xludf.DUMMYFUNCTION("""COMPUTED_VALUE"""),"fleeting")</f>
        <v>fleeting</v>
      </c>
      <c r="L1534" s="6" t="str">
        <f>IFERROR(__xludf.DUMMYFUNCTION("""COMPUTED_VALUE"""),"successor")</f>
        <v>successor</v>
      </c>
      <c r="M1534" s="6" t="str">
        <f>IFERROR(__xludf.DUMMYFUNCTION("""COMPUTED_VALUE"""),"fears")</f>
        <v>fears</v>
      </c>
      <c r="N1534" s="6" t="str">
        <f>IFERROR(__xludf.DUMMYFUNCTION("""COMPUTED_VALUE"""),"exceeding")</f>
        <v>exceeding</v>
      </c>
      <c r="P1534" s="6" t="str">
        <f>IFERROR(__xludf.DUMMYFUNCTION("""COMPUTED_VALUE"""),"collaboration")</f>
        <v>collaboration</v>
      </c>
      <c r="Q1534" s="6" t="str">
        <f>IFERROR(__xludf.DUMMYFUNCTION("""COMPUTED_VALUE"""),"arbitrary")</f>
        <v>arbitrary</v>
      </c>
      <c r="S1534" s="6" t="str">
        <f>IFERROR(__xludf.DUMMYFUNCTION("""COMPUTED_VALUE"""),"six")</f>
        <v>six</v>
      </c>
    </row>
    <row r="1535">
      <c r="B1535" s="6"/>
      <c r="D1535" s="6"/>
      <c r="G1535" s="6"/>
      <c r="H1535" s="6" t="str">
        <f>IFERROR(__xludf.DUMMYFUNCTION("""COMPUTED_VALUE"""),"sublime")</f>
        <v>sublime</v>
      </c>
      <c r="I1535" s="6"/>
      <c r="J1535" s="6" t="str">
        <f>IFERROR(__xludf.DUMMYFUNCTION("""COMPUTED_VALUE"""),"thrust")</f>
        <v>thrust</v>
      </c>
      <c r="L1535" s="6" t="str">
        <f>IFERROR(__xludf.DUMMYFUNCTION("""COMPUTED_VALUE"""),"forwards")</f>
        <v>forwards</v>
      </c>
      <c r="M1535" s="6" t="str">
        <f>IFERROR(__xludf.DUMMYFUNCTION("""COMPUTED_VALUE"""),"episodes")</f>
        <v>episodes</v>
      </c>
      <c r="N1535" s="6" t="str">
        <f>IFERROR(__xludf.DUMMYFUNCTION("""COMPUTED_VALUE"""),"athlete")</f>
        <v>athlete</v>
      </c>
      <c r="P1535" s="6" t="str">
        <f>IFERROR(__xludf.DUMMYFUNCTION("""COMPUTED_VALUE"""),"notably")</f>
        <v>notably</v>
      </c>
      <c r="Q1535" s="6" t="str">
        <f>IFERROR(__xludf.DUMMYFUNCTION("""COMPUTED_VALUE"""),"labeled")</f>
        <v>labeled</v>
      </c>
      <c r="S1535" s="6" t="str">
        <f>IFERROR(__xludf.DUMMYFUNCTION("""COMPUTED_VALUE"""),"key")</f>
        <v>key</v>
      </c>
    </row>
    <row r="1536">
      <c r="B1536" s="6"/>
      <c r="D1536" s="6"/>
      <c r="G1536" s="6"/>
      <c r="H1536" s="6" t="str">
        <f>IFERROR(__xludf.DUMMYFUNCTION("""COMPUTED_VALUE"""),"scarcely")</f>
        <v>scarcely</v>
      </c>
      <c r="I1536" s="6"/>
      <c r="J1536" s="6" t="str">
        <f>IFERROR(__xludf.DUMMYFUNCTION("""COMPUTED_VALUE"""),"substantive")</f>
        <v>substantive</v>
      </c>
      <c r="L1536" s="6" t="str">
        <f>IFERROR(__xludf.DUMMYFUNCTION("""COMPUTED_VALUE"""),"assert")</f>
        <v>assert</v>
      </c>
      <c r="M1536" s="6" t="str">
        <f>IFERROR(__xludf.DUMMYFUNCTION("""COMPUTED_VALUE"""),"australia")</f>
        <v>australia</v>
      </c>
      <c r="N1536" s="6" t="str">
        <f>IFERROR(__xludf.DUMMYFUNCTION("""COMPUTED_VALUE"""),"spanning")</f>
        <v>spanning</v>
      </c>
      <c r="P1536" s="6" t="str">
        <f>IFERROR(__xludf.DUMMYFUNCTION("""COMPUTED_VALUE"""),"sustained")</f>
        <v>sustained</v>
      </c>
      <c r="Q1536" s="6" t="str">
        <f>IFERROR(__xludf.DUMMYFUNCTION("""COMPUTED_VALUE"""),"darkly")</f>
        <v>darkly</v>
      </c>
      <c r="S1536" s="6" t="str">
        <f>IFERROR(__xludf.DUMMYFUNCTION("""COMPUTED_VALUE"""),"sessions")</f>
        <v>sessions</v>
      </c>
    </row>
    <row r="1537">
      <c r="B1537" s="6"/>
      <c r="D1537" s="6"/>
      <c r="G1537" s="6"/>
      <c r="H1537" s="6" t="str">
        <f>IFERROR(__xludf.DUMMYFUNCTION("""COMPUTED_VALUE"""),"expressive")</f>
        <v>expressive</v>
      </c>
      <c r="I1537" s="6"/>
      <c r="J1537" s="6" t="str">
        <f>IFERROR(__xludf.DUMMYFUNCTION("""COMPUTED_VALUE"""),"teeth")</f>
        <v>teeth</v>
      </c>
      <c r="L1537" s="6" t="str">
        <f>IFERROR(__xludf.DUMMYFUNCTION("""COMPUTED_VALUE"""),"deeds")</f>
        <v>deeds</v>
      </c>
      <c r="M1537" s="6" t="str">
        <f>IFERROR(__xludf.DUMMYFUNCTION("""COMPUTED_VALUE"""),"escaped")</f>
        <v>escaped</v>
      </c>
      <c r="N1537" s="6" t="str">
        <f>IFERROR(__xludf.DUMMYFUNCTION("""COMPUTED_VALUE"""),"involving")</f>
        <v>involving</v>
      </c>
      <c r="P1537" s="6" t="str">
        <f>IFERROR(__xludf.DUMMYFUNCTION("""COMPUTED_VALUE"""),"electoral")</f>
        <v>electoral</v>
      </c>
      <c r="Q1537" s="6" t="str">
        <f>IFERROR(__xludf.DUMMYFUNCTION("""COMPUTED_VALUE"""),"realm")</f>
        <v>realm</v>
      </c>
      <c r="S1537" s="6" t="str">
        <f>IFERROR(__xludf.DUMMYFUNCTION("""COMPUTED_VALUE"""),"serial")</f>
        <v>serial</v>
      </c>
    </row>
    <row r="1538">
      <c r="B1538" s="6"/>
      <c r="D1538" s="6"/>
      <c r="G1538" s="6"/>
      <c r="H1538" s="6" t="str">
        <f>IFERROR(__xludf.DUMMYFUNCTION("""COMPUTED_VALUE"""),"provoked")</f>
        <v>provoked</v>
      </c>
      <c r="I1538" s="6"/>
      <c r="J1538" s="6" t="str">
        <f>IFERROR(__xludf.DUMMYFUNCTION("""COMPUTED_VALUE"""),"binary")</f>
        <v>binary</v>
      </c>
      <c r="L1538" s="6" t="str">
        <f>IFERROR(__xludf.DUMMYFUNCTION("""COMPUTED_VALUE"""),"creeping")</f>
        <v>creeping</v>
      </c>
      <c r="M1538" s="6" t="str">
        <f>IFERROR(__xludf.DUMMYFUNCTION("""COMPUTED_VALUE"""),"producers")</f>
        <v>producers</v>
      </c>
      <c r="N1538" s="6" t="str">
        <f>IFERROR(__xludf.DUMMYFUNCTION("""COMPUTED_VALUE"""),"destruction")</f>
        <v>destruction</v>
      </c>
      <c r="P1538" s="6" t="str">
        <f>IFERROR(__xludf.DUMMYFUNCTION("""COMPUTED_VALUE"""),"instrument")</f>
        <v>instrument</v>
      </c>
      <c r="Q1538" s="6" t="str">
        <f>IFERROR(__xludf.DUMMYFUNCTION("""COMPUTED_VALUE"""),"fencing")</f>
        <v>fencing</v>
      </c>
      <c r="S1538" s="6" t="str">
        <f>IFERROR(__xludf.DUMMYFUNCTION("""COMPUTED_VALUE"""),"murders")</f>
        <v>murders</v>
      </c>
    </row>
    <row r="1539">
      <c r="B1539" s="6"/>
      <c r="D1539" s="6"/>
      <c r="G1539" s="6"/>
      <c r="H1539" s="6" t="str">
        <f>IFERROR(__xludf.DUMMYFUNCTION("""COMPUTED_VALUE"""),"tenor")</f>
        <v>tenor</v>
      </c>
      <c r="I1539" s="6"/>
      <c r="J1539" s="6" t="str">
        <f>IFERROR(__xludf.DUMMYFUNCTION("""COMPUTED_VALUE"""),"goldman")</f>
        <v>goldman</v>
      </c>
      <c r="L1539" s="6" t="str">
        <f>IFERROR(__xludf.DUMMYFUNCTION("""COMPUTED_VALUE"""),"philosophers")</f>
        <v>philosophers</v>
      </c>
      <c r="M1539" s="6" t="str">
        <f>IFERROR(__xludf.DUMMYFUNCTION("""COMPUTED_VALUE"""),"victories")</f>
        <v>victories</v>
      </c>
      <c r="N1539" s="6" t="str">
        <f>IFERROR(__xludf.DUMMYFUNCTION("""COMPUTED_VALUE"""),"photographed")</f>
        <v>photographed</v>
      </c>
      <c r="P1539" s="6" t="str">
        <f>IFERROR(__xludf.DUMMYFUNCTION("""COMPUTED_VALUE"""),"reportedly")</f>
        <v>reportedly</v>
      </c>
      <c r="Q1539" s="6" t="str">
        <f>IFERROR(__xludf.DUMMYFUNCTION("""COMPUTED_VALUE"""),"accurate")</f>
        <v>accurate</v>
      </c>
      <c r="S1539" s="6" t="str">
        <f>IFERROR(__xludf.DUMMYFUNCTION("""COMPUTED_VALUE"""),"embrace")</f>
        <v>embrace</v>
      </c>
    </row>
    <row r="1540">
      <c r="B1540" s="6"/>
      <c r="D1540" s="6"/>
      <c r="G1540" s="6"/>
      <c r="H1540" s="6" t="str">
        <f>IFERROR(__xludf.DUMMYFUNCTION("""COMPUTED_VALUE"""),"mourning")</f>
        <v>mourning</v>
      </c>
      <c r="I1540" s="6"/>
      <c r="J1540" s="6" t="str">
        <f>IFERROR(__xludf.DUMMYFUNCTION("""COMPUTED_VALUE"""),"shapiro")</f>
        <v>shapiro</v>
      </c>
      <c r="L1540" s="6" t="str">
        <f>IFERROR(__xludf.DUMMYFUNCTION("""COMPUTED_VALUE"""),"comprehend")</f>
        <v>comprehend</v>
      </c>
      <c r="M1540" s="6" t="str">
        <f>IFERROR(__xludf.DUMMYFUNCTION("""COMPUTED_VALUE"""),"heroes")</f>
        <v>heroes</v>
      </c>
      <c r="N1540" s="6" t="str">
        <f>IFERROR(__xludf.DUMMYFUNCTION("""COMPUTED_VALUE"""),"unprecedented")</f>
        <v>unprecedented</v>
      </c>
      <c r="P1540" s="6" t="str">
        <f>IFERROR(__xludf.DUMMYFUNCTION("""COMPUTED_VALUE"""),"dimensional")</f>
        <v>dimensional</v>
      </c>
      <c r="Q1540" s="6" t="str">
        <f>IFERROR(__xludf.DUMMYFUNCTION("""COMPUTED_VALUE"""),"relevance")</f>
        <v>relevance</v>
      </c>
      <c r="S1540" s="6" t="str">
        <f>IFERROR(__xludf.DUMMYFUNCTION("""COMPUTED_VALUE"""),"station")</f>
        <v>station</v>
      </c>
    </row>
    <row r="1541">
      <c r="B1541" s="6"/>
      <c r="D1541" s="6"/>
      <c r="G1541" s="6"/>
      <c r="H1541" s="6" t="str">
        <f>IFERROR(__xludf.DUMMYFUNCTION("""COMPUTED_VALUE"""),"adultery")</f>
        <v>adultery</v>
      </c>
      <c r="I1541" s="6"/>
      <c r="J1541" s="6" t="str">
        <f>IFERROR(__xludf.DUMMYFUNCTION("""COMPUTED_VALUE"""),"participants")</f>
        <v>participants</v>
      </c>
      <c r="L1541" s="6" t="str">
        <f>IFERROR(__xludf.DUMMYFUNCTION("""COMPUTED_VALUE"""),"sustain")</f>
        <v>sustain</v>
      </c>
      <c r="M1541" s="6" t="str">
        <f>IFERROR(__xludf.DUMMYFUNCTION("""COMPUTED_VALUE"""),"considerable")</f>
        <v>considerable</v>
      </c>
      <c r="N1541" s="6" t="str">
        <f>IFERROR(__xludf.DUMMYFUNCTION("""COMPUTED_VALUE"""),"startling")</f>
        <v>startling</v>
      </c>
      <c r="P1541" s="6" t="str">
        <f>IFERROR(__xludf.DUMMYFUNCTION("""COMPUTED_VALUE"""),"byzantine")</f>
        <v>byzantine</v>
      </c>
      <c r="Q1541" s="6" t="str">
        <f>IFERROR(__xludf.DUMMYFUNCTION("""COMPUTED_VALUE"""),"texture")</f>
        <v>texture</v>
      </c>
      <c r="S1541" s="6" t="str">
        <f>IFERROR(__xludf.DUMMYFUNCTION("""COMPUTED_VALUE"""),"hearing")</f>
        <v>hearing</v>
      </c>
    </row>
    <row r="1542">
      <c r="B1542" s="6"/>
      <c r="D1542" s="6"/>
      <c r="G1542" s="6"/>
      <c r="H1542" s="6" t="str">
        <f>IFERROR(__xludf.DUMMYFUNCTION("""COMPUTED_VALUE"""),"rampant")</f>
        <v>rampant</v>
      </c>
      <c r="I1542" s="6"/>
      <c r="J1542" s="6" t="str">
        <f>IFERROR(__xludf.DUMMYFUNCTION("""COMPUTED_VALUE"""),"franklin")</f>
        <v>franklin</v>
      </c>
      <c r="L1542" s="6" t="str">
        <f>IFERROR(__xludf.DUMMYFUNCTION("""COMPUTED_VALUE"""),"brilliance")</f>
        <v>brilliance</v>
      </c>
      <c r="M1542" s="6" t="str">
        <f>IFERROR(__xludf.DUMMYFUNCTION("""COMPUTED_VALUE"""),"plot")</f>
        <v>plot</v>
      </c>
      <c r="N1542" s="6" t="str">
        <f>IFERROR(__xludf.DUMMYFUNCTION("""COMPUTED_VALUE"""),"revelation")</f>
        <v>revelation</v>
      </c>
      <c r="P1542" s="6" t="str">
        <f>IFERROR(__xludf.DUMMYFUNCTION("""COMPUTED_VALUE"""),"stability")</f>
        <v>stability</v>
      </c>
      <c r="Q1542" s="6" t="str">
        <f>IFERROR(__xludf.DUMMYFUNCTION("""COMPUTED_VALUE"""),"wilson")</f>
        <v>wilson</v>
      </c>
      <c r="S1542" s="6" t="str">
        <f>IFERROR(__xludf.DUMMYFUNCTION("""COMPUTED_VALUE"""),"forum")</f>
        <v>forum</v>
      </c>
    </row>
    <row r="1543">
      <c r="B1543" s="6"/>
      <c r="D1543" s="6"/>
      <c r="G1543" s="6"/>
      <c r="H1543" s="6" t="str">
        <f>IFERROR(__xludf.DUMMYFUNCTION("""COMPUTED_VALUE"""),"kingsley")</f>
        <v>kingsley</v>
      </c>
      <c r="I1543" s="6"/>
      <c r="J1543" s="6" t="str">
        <f>IFERROR(__xludf.DUMMYFUNCTION("""COMPUTED_VALUE"""),"carl")</f>
        <v>carl</v>
      </c>
      <c r="L1543" s="6" t="str">
        <f>IFERROR(__xludf.DUMMYFUNCTION("""COMPUTED_VALUE"""),"intelligence")</f>
        <v>intelligence</v>
      </c>
      <c r="M1543" s="6" t="str">
        <f>IFERROR(__xludf.DUMMYFUNCTION("""COMPUTED_VALUE"""),"sources")</f>
        <v>sources</v>
      </c>
      <c r="N1543" s="6" t="str">
        <f>IFERROR(__xludf.DUMMYFUNCTION("""COMPUTED_VALUE"""),"emerge")</f>
        <v>emerge</v>
      </c>
      <c r="P1543" s="6" t="str">
        <f>IFERROR(__xludf.DUMMYFUNCTION("""COMPUTED_VALUE"""),"pc")</f>
        <v>pc</v>
      </c>
      <c r="Q1543" s="6" t="str">
        <f>IFERROR(__xludf.DUMMYFUNCTION("""COMPUTED_VALUE"""),"pink")</f>
        <v>pink</v>
      </c>
      <c r="S1543" s="6" t="str">
        <f>IFERROR(__xludf.DUMMYFUNCTION("""COMPUTED_VALUE"""),"basis")</f>
        <v>basis</v>
      </c>
    </row>
    <row r="1544">
      <c r="B1544" s="6"/>
      <c r="D1544" s="6"/>
      <c r="G1544" s="6"/>
      <c r="H1544" s="6" t="str">
        <f>IFERROR(__xludf.DUMMYFUNCTION("""COMPUTED_VALUE"""),"modeled")</f>
        <v>modeled</v>
      </c>
      <c r="I1544" s="6"/>
      <c r="J1544" s="6" t="str">
        <f>IFERROR(__xludf.DUMMYFUNCTION("""COMPUTED_VALUE"""),"relic")</f>
        <v>relic</v>
      </c>
      <c r="L1544" s="6" t="str">
        <f>IFERROR(__xludf.DUMMYFUNCTION("""COMPUTED_VALUE"""),"intensely")</f>
        <v>intensely</v>
      </c>
      <c r="M1544" s="6" t="str">
        <f>IFERROR(__xludf.DUMMYFUNCTION("""COMPUTED_VALUE"""),"grin")</f>
        <v>grin</v>
      </c>
      <c r="N1544" s="6" t="str">
        <f>IFERROR(__xludf.DUMMYFUNCTION("""COMPUTED_VALUE"""),"collaborative")</f>
        <v>collaborative</v>
      </c>
      <c r="P1544" s="6" t="str">
        <f>IFERROR(__xludf.DUMMYFUNCTION("""COMPUTED_VALUE"""),"percussion")</f>
        <v>percussion</v>
      </c>
      <c r="Q1544" s="6" t="str">
        <f>IFERROR(__xludf.DUMMYFUNCTION("""COMPUTED_VALUE"""),"derived")</f>
        <v>derived</v>
      </c>
      <c r="S1544" s="6" t="str">
        <f>IFERROR(__xludf.DUMMYFUNCTION("""COMPUTED_VALUE"""),"cure")</f>
        <v>cure</v>
      </c>
    </row>
    <row r="1545">
      <c r="B1545" s="6"/>
      <c r="D1545" s="6"/>
      <c r="G1545" s="6"/>
      <c r="H1545" s="6" t="str">
        <f>IFERROR(__xludf.DUMMYFUNCTION("""COMPUTED_VALUE"""),"successor")</f>
        <v>successor</v>
      </c>
      <c r="I1545" s="6"/>
      <c r="J1545" s="6" t="str">
        <f>IFERROR(__xludf.DUMMYFUNCTION("""COMPUTED_VALUE"""),"turks")</f>
        <v>turks</v>
      </c>
      <c r="L1545" s="6" t="str">
        <f>IFERROR(__xludf.DUMMYFUNCTION("""COMPUTED_VALUE"""),"unconventional")</f>
        <v>unconventional</v>
      </c>
      <c r="M1545" s="6" t="str">
        <f>IFERROR(__xludf.DUMMYFUNCTION("""COMPUTED_VALUE"""),"emotion")</f>
        <v>emotion</v>
      </c>
      <c r="N1545" s="6" t="str">
        <f>IFERROR(__xludf.DUMMYFUNCTION("""COMPUTED_VALUE"""),"bourne")</f>
        <v>bourne</v>
      </c>
      <c r="P1545" s="6" t="str">
        <f>IFERROR(__xludf.DUMMYFUNCTION("""COMPUTED_VALUE"""),"ninth")</f>
        <v>ninth</v>
      </c>
      <c r="Q1545" s="6" t="str">
        <f>IFERROR(__xludf.DUMMYFUNCTION("""COMPUTED_VALUE"""),"tormented")</f>
        <v>tormented</v>
      </c>
      <c r="S1545" s="6" t="str">
        <f>IFERROR(__xludf.DUMMYFUNCTION("""COMPUTED_VALUE"""),"tenor")</f>
        <v>tenor</v>
      </c>
    </row>
    <row r="1546">
      <c r="B1546" s="6"/>
      <c r="D1546" s="6"/>
      <c r="G1546" s="6"/>
      <c r="H1546" s="6" t="str">
        <f>IFERROR(__xludf.DUMMYFUNCTION("""COMPUTED_VALUE"""),"rewards")</f>
        <v>rewards</v>
      </c>
      <c r="I1546" s="6"/>
      <c r="J1546" s="6" t="str">
        <f>IFERROR(__xludf.DUMMYFUNCTION("""COMPUTED_VALUE"""),"sap")</f>
        <v>sap</v>
      </c>
      <c r="L1546" s="6" t="str">
        <f>IFERROR(__xludf.DUMMYFUNCTION("""COMPUTED_VALUE"""),"weighted")</f>
        <v>weighted</v>
      </c>
      <c r="M1546" s="6" t="str">
        <f>IFERROR(__xludf.DUMMYFUNCTION("""COMPUTED_VALUE"""),"martial")</f>
        <v>martial</v>
      </c>
      <c r="N1546" s="6" t="str">
        <f>IFERROR(__xludf.DUMMYFUNCTION("""COMPUTED_VALUE"""),"principles")</f>
        <v>principles</v>
      </c>
      <c r="P1546" s="6" t="str">
        <f>IFERROR(__xludf.DUMMYFUNCTION("""COMPUTED_VALUE"""),"map")</f>
        <v>map</v>
      </c>
      <c r="Q1546" s="6" t="str">
        <f>IFERROR(__xludf.DUMMYFUNCTION("""COMPUTED_VALUE"""),"victims")</f>
        <v>victims</v>
      </c>
      <c r="S1546" s="6" t="str">
        <f>IFERROR(__xludf.DUMMYFUNCTION("""COMPUTED_VALUE"""),"molly")</f>
        <v>molly</v>
      </c>
    </row>
    <row r="1547">
      <c r="B1547" s="6"/>
      <c r="D1547" s="6"/>
      <c r="G1547" s="6"/>
      <c r="H1547" s="6" t="str">
        <f>IFERROR(__xludf.DUMMYFUNCTION("""COMPUTED_VALUE"""),"shear")</f>
        <v>shear</v>
      </c>
      <c r="I1547" s="6"/>
      <c r="J1547" s="6" t="str">
        <f>IFERROR(__xludf.DUMMYFUNCTION("""COMPUTED_VALUE"""),"dad")</f>
        <v>dad</v>
      </c>
      <c r="L1547" s="6" t="str">
        <f>IFERROR(__xludf.DUMMYFUNCTION("""COMPUTED_VALUE"""),"stroked")</f>
        <v>stroked</v>
      </c>
      <c r="M1547" s="6" t="str">
        <f>IFERROR(__xludf.DUMMYFUNCTION("""COMPUTED_VALUE"""),"narrative")</f>
        <v>narrative</v>
      </c>
      <c r="N1547" s="6" t="str">
        <f>IFERROR(__xludf.DUMMYFUNCTION("""COMPUTED_VALUE"""),"ideology")</f>
        <v>ideology</v>
      </c>
      <c r="P1547" s="6" t="str">
        <f>IFERROR(__xludf.DUMMYFUNCTION("""COMPUTED_VALUE"""),"torn")</f>
        <v>torn</v>
      </c>
      <c r="Q1547" s="6" t="str">
        <f>IFERROR(__xludf.DUMMYFUNCTION("""COMPUTED_VALUE"""),"proceedings")</f>
        <v>proceedings</v>
      </c>
      <c r="S1547" s="6" t="str">
        <f>IFERROR(__xludf.DUMMYFUNCTION("""COMPUTED_VALUE"""),"successor")</f>
        <v>successor</v>
      </c>
    </row>
    <row r="1548">
      <c r="B1548" s="6"/>
      <c r="D1548" s="6"/>
      <c r="G1548" s="6"/>
      <c r="H1548" s="6" t="str">
        <f>IFERROR(__xludf.DUMMYFUNCTION("""COMPUTED_VALUE"""),"hack")</f>
        <v>hack</v>
      </c>
      <c r="I1548" s="6"/>
      <c r="J1548" s="6" t="str">
        <f>IFERROR(__xludf.DUMMYFUNCTION("""COMPUTED_VALUE"""),"vain")</f>
        <v>vain</v>
      </c>
      <c r="L1548" s="6" t="str">
        <f>IFERROR(__xludf.DUMMYFUNCTION("""COMPUTED_VALUE"""),"outward")</f>
        <v>outward</v>
      </c>
      <c r="M1548" s="6" t="str">
        <f>IFERROR(__xludf.DUMMYFUNCTION("""COMPUTED_VALUE"""),"stakes")</f>
        <v>stakes</v>
      </c>
      <c r="N1548" s="6" t="str">
        <f>IFERROR(__xludf.DUMMYFUNCTION("""COMPUTED_VALUE"""),"charms")</f>
        <v>charms</v>
      </c>
      <c r="P1548" s="6" t="str">
        <f>IFERROR(__xludf.DUMMYFUNCTION("""COMPUTED_VALUE"""),"monday")</f>
        <v>monday</v>
      </c>
      <c r="Q1548" s="6" t="str">
        <f>IFERROR(__xludf.DUMMYFUNCTION("""COMPUTED_VALUE"""),"solemn")</f>
        <v>solemn</v>
      </c>
      <c r="S1548" s="6" t="str">
        <f>IFERROR(__xludf.DUMMYFUNCTION("""COMPUTED_VALUE"""),"chest")</f>
        <v>chest</v>
      </c>
    </row>
    <row r="1549">
      <c r="B1549" s="6"/>
      <c r="D1549" s="6"/>
      <c r="G1549" s="6"/>
      <c r="H1549" s="6" t="str">
        <f>IFERROR(__xludf.DUMMYFUNCTION("""COMPUTED_VALUE"""),"volatile")</f>
        <v>volatile</v>
      </c>
      <c r="I1549" s="6"/>
      <c r="J1549" s="6" t="str">
        <f>IFERROR(__xludf.DUMMYFUNCTION("""COMPUTED_VALUE"""),"zhang")</f>
        <v>zhang</v>
      </c>
      <c r="L1549" s="6" t="str">
        <f>IFERROR(__xludf.DUMMYFUNCTION("""COMPUTED_VALUE"""),"jolt")</f>
        <v>jolt</v>
      </c>
      <c r="M1549" s="6" t="str">
        <f>IFERROR(__xludf.DUMMYFUNCTION("""COMPUTED_VALUE"""),"precious")</f>
        <v>precious</v>
      </c>
      <c r="N1549" s="6" t="str">
        <f>IFERROR(__xludf.DUMMYFUNCTION("""COMPUTED_VALUE"""),"shimmering")</f>
        <v>shimmering</v>
      </c>
      <c r="P1549" s="6" t="str">
        <f>IFERROR(__xludf.DUMMYFUNCTION("""COMPUTED_VALUE"""),"prisoners")</f>
        <v>prisoners</v>
      </c>
      <c r="Q1549" s="6" t="str">
        <f>IFERROR(__xludf.DUMMYFUNCTION("""COMPUTED_VALUE"""),"anchor")</f>
        <v>anchor</v>
      </c>
      <c r="S1549" s="6" t="str">
        <f>IFERROR(__xludf.DUMMYFUNCTION("""COMPUTED_VALUE"""),"kitchen")</f>
        <v>kitchen</v>
      </c>
    </row>
    <row r="1550">
      <c r="B1550" s="6"/>
      <c r="D1550" s="6"/>
      <c r="G1550" s="6"/>
      <c r="H1550" s="6" t="str">
        <f>IFERROR(__xludf.DUMMYFUNCTION("""COMPUTED_VALUE"""),"indefinitely")</f>
        <v>indefinitely</v>
      </c>
      <c r="I1550" s="6"/>
      <c r="J1550" s="6" t="str">
        <f>IFERROR(__xludf.DUMMYFUNCTION("""COMPUTED_VALUE"""),"knockout")</f>
        <v>knockout</v>
      </c>
      <c r="L1550" s="6" t="str">
        <f>IFERROR(__xludf.DUMMYFUNCTION("""COMPUTED_VALUE"""),"meaningless")</f>
        <v>meaningless</v>
      </c>
      <c r="M1550" s="6" t="str">
        <f>IFERROR(__xludf.DUMMYFUNCTION("""COMPUTED_VALUE"""),"williams")</f>
        <v>williams</v>
      </c>
      <c r="N1550" s="6" t="str">
        <f>IFERROR(__xludf.DUMMYFUNCTION("""COMPUTED_VALUE"""),"prism")</f>
        <v>prism</v>
      </c>
      <c r="P1550" s="6" t="str">
        <f>IFERROR(__xludf.DUMMYFUNCTION("""COMPUTED_VALUE"""),"founders")</f>
        <v>founders</v>
      </c>
      <c r="Q1550" s="6" t="str">
        <f>IFERROR(__xludf.DUMMYFUNCTION("""COMPUTED_VALUE"""),"audrey")</f>
        <v>audrey</v>
      </c>
      <c r="S1550" s="6" t="str">
        <f>IFERROR(__xludf.DUMMYFUNCTION("""COMPUTED_VALUE"""),"bow")</f>
        <v>bow</v>
      </c>
    </row>
    <row r="1551">
      <c r="B1551" s="6"/>
      <c r="D1551" s="6"/>
      <c r="G1551" s="6"/>
      <c r="H1551" s="6" t="str">
        <f>IFERROR(__xludf.DUMMYFUNCTION("""COMPUTED_VALUE"""),"resolutions")</f>
        <v>resolutions</v>
      </c>
      <c r="I1551" s="6"/>
      <c r="J1551" s="6" t="str">
        <f>IFERROR(__xludf.DUMMYFUNCTION("""COMPUTED_VALUE"""),"wryly")</f>
        <v>wryly</v>
      </c>
      <c r="L1551" s="6" t="str">
        <f>IFERROR(__xludf.DUMMYFUNCTION("""COMPUTED_VALUE"""),"participants")</f>
        <v>participants</v>
      </c>
      <c r="M1551" s="6" t="str">
        <f>IFERROR(__xludf.DUMMYFUNCTION("""COMPUTED_VALUE"""),"bombs")</f>
        <v>bombs</v>
      </c>
      <c r="N1551" s="6" t="str">
        <f>IFERROR(__xludf.DUMMYFUNCTION("""COMPUTED_VALUE"""),"monument")</f>
        <v>monument</v>
      </c>
      <c r="P1551" s="6">
        <f>IFERROR(__xludf.DUMMYFUNCTION("""COMPUTED_VALUE"""),1975.0)</f>
        <v>1975</v>
      </c>
      <c r="Q1551" s="6" t="str">
        <f>IFERROR(__xludf.DUMMYFUNCTION("""COMPUTED_VALUE"""),"soldiers")</f>
        <v>soldiers</v>
      </c>
      <c r="S1551" s="6" t="str">
        <f>IFERROR(__xludf.DUMMYFUNCTION("""COMPUTED_VALUE"""),"rap")</f>
        <v>rap</v>
      </c>
    </row>
    <row r="1552">
      <c r="B1552" s="6"/>
      <c r="D1552" s="6"/>
      <c r="G1552" s="6"/>
      <c r="H1552" s="6" t="str">
        <f>IFERROR(__xludf.DUMMYFUNCTION("""COMPUTED_VALUE"""),"haynes")</f>
        <v>haynes</v>
      </c>
      <c r="I1552" s="6"/>
      <c r="J1552" s="6" t="str">
        <f>IFERROR(__xludf.DUMMYFUNCTION("""COMPUTED_VALUE"""),"fable")</f>
        <v>fable</v>
      </c>
      <c r="L1552" s="6" t="str">
        <f>IFERROR(__xludf.DUMMYFUNCTION("""COMPUTED_VALUE"""),"soundtrack")</f>
        <v>soundtrack</v>
      </c>
      <c r="M1552" s="6" t="str">
        <f>IFERROR(__xludf.DUMMYFUNCTION("""COMPUTED_VALUE"""),"tang")</f>
        <v>tang</v>
      </c>
      <c r="N1552" s="6" t="str">
        <f>IFERROR(__xludf.DUMMYFUNCTION("""COMPUTED_VALUE"""),"proves")</f>
        <v>proves</v>
      </c>
      <c r="P1552" s="6" t="str">
        <f>IFERROR(__xludf.DUMMYFUNCTION("""COMPUTED_VALUE"""),"derek")</f>
        <v>derek</v>
      </c>
      <c r="Q1552" s="6" t="str">
        <f>IFERROR(__xludf.DUMMYFUNCTION("""COMPUTED_VALUE"""),"lawrence")</f>
        <v>lawrence</v>
      </c>
      <c r="S1552" s="6" t="str">
        <f>IFERROR(__xludf.DUMMYFUNCTION("""COMPUTED_VALUE"""),"repeatedly")</f>
        <v>repeatedly</v>
      </c>
    </row>
    <row r="1553">
      <c r="B1553" s="6"/>
      <c r="D1553" s="6"/>
      <c r="G1553" s="6"/>
      <c r="H1553" s="6" t="str">
        <f>IFERROR(__xludf.DUMMYFUNCTION("""COMPUTED_VALUE"""),"rhetoric")</f>
        <v>rhetoric</v>
      </c>
      <c r="I1553" s="6"/>
      <c r="J1553" s="6" t="str">
        <f>IFERROR(__xludf.DUMMYFUNCTION("""COMPUTED_VALUE"""),"undertaken")</f>
        <v>undertaken</v>
      </c>
      <c r="L1553" s="6" t="str">
        <f>IFERROR(__xludf.DUMMYFUNCTION("""COMPUTED_VALUE"""),"debut")</f>
        <v>debut</v>
      </c>
      <c r="M1553" s="6" t="str">
        <f>IFERROR(__xludf.DUMMYFUNCTION("""COMPUTED_VALUE"""),"aerial")</f>
        <v>aerial</v>
      </c>
      <c r="N1553" s="6" t="str">
        <f>IFERROR(__xludf.DUMMYFUNCTION("""COMPUTED_VALUE"""),"clash")</f>
        <v>clash</v>
      </c>
      <c r="P1553" s="6" t="str">
        <f>IFERROR(__xludf.DUMMYFUNCTION("""COMPUTED_VALUE"""),"sources")</f>
        <v>sources</v>
      </c>
      <c r="Q1553" s="6" t="str">
        <f>IFERROR(__xludf.DUMMYFUNCTION("""COMPUTED_VALUE"""),"textbook")</f>
        <v>textbook</v>
      </c>
      <c r="S1553" s="6" t="str">
        <f>IFERROR(__xludf.DUMMYFUNCTION("""COMPUTED_VALUE"""),"stopped")</f>
        <v>stopped</v>
      </c>
    </row>
    <row r="1554">
      <c r="B1554" s="6"/>
      <c r="D1554" s="6"/>
      <c r="G1554" s="6"/>
      <c r="H1554" s="6" t="str">
        <f>IFERROR(__xludf.DUMMYFUNCTION("""COMPUTED_VALUE"""),"wartime")</f>
        <v>wartime</v>
      </c>
      <c r="I1554" s="6"/>
      <c r="J1554" s="6" t="str">
        <f>IFERROR(__xludf.DUMMYFUNCTION("""COMPUTED_VALUE"""),"determination")</f>
        <v>determination</v>
      </c>
      <c r="L1554" s="6" t="str">
        <f>IFERROR(__xludf.DUMMYFUNCTION("""COMPUTED_VALUE"""),"metaphor")</f>
        <v>metaphor</v>
      </c>
      <c r="M1554" s="6" t="str">
        <f>IFERROR(__xludf.DUMMYFUNCTION("""COMPUTED_VALUE"""),"historically")</f>
        <v>historically</v>
      </c>
      <c r="N1554" s="6" t="str">
        <f>IFERROR(__xludf.DUMMYFUNCTION("""COMPUTED_VALUE"""),"cinematic")</f>
        <v>cinematic</v>
      </c>
      <c r="P1554" s="6" t="str">
        <f>IFERROR(__xludf.DUMMYFUNCTION("""COMPUTED_VALUE"""),"mentioned")</f>
        <v>mentioned</v>
      </c>
      <c r="Q1554" s="6" t="str">
        <f>IFERROR(__xludf.DUMMYFUNCTION("""COMPUTED_VALUE"""),"loosely")</f>
        <v>loosely</v>
      </c>
      <c r="S1554" s="6" t="str">
        <f>IFERROR(__xludf.DUMMYFUNCTION("""COMPUTED_VALUE"""),"egypt")</f>
        <v>egypt</v>
      </c>
    </row>
    <row r="1555">
      <c r="B1555" s="6"/>
      <c r="D1555" s="6"/>
      <c r="G1555" s="6"/>
      <c r="H1555" s="6" t="str">
        <f>IFERROR(__xludf.DUMMYFUNCTION("""COMPUTED_VALUE"""),"downward")</f>
        <v>downward</v>
      </c>
      <c r="I1555" s="6"/>
      <c r="J1555" s="6" t="str">
        <f>IFERROR(__xludf.DUMMYFUNCTION("""COMPUTED_VALUE"""),"surrounding")</f>
        <v>surrounding</v>
      </c>
      <c r="L1555" s="6" t="str">
        <f>IFERROR(__xludf.DUMMYFUNCTION("""COMPUTED_VALUE"""),"discoveries")</f>
        <v>discoveries</v>
      </c>
      <c r="M1555" s="6" t="str">
        <f>IFERROR(__xludf.DUMMYFUNCTION("""COMPUTED_VALUE"""),"philip")</f>
        <v>philip</v>
      </c>
      <c r="N1555" s="6" t="str">
        <f>IFERROR(__xludf.DUMMYFUNCTION("""COMPUTED_VALUE"""),"collectively")</f>
        <v>collectively</v>
      </c>
      <c r="P1555" s="6">
        <f>IFERROR(__xludf.DUMMYFUNCTION("""COMPUTED_VALUE"""),1973.0)</f>
        <v>1973</v>
      </c>
      <c r="Q1555" s="6" t="str">
        <f>IFERROR(__xludf.DUMMYFUNCTION("""COMPUTED_VALUE"""),"operatic")</f>
        <v>operatic</v>
      </c>
      <c r="S1555" s="6" t="str">
        <f>IFERROR(__xludf.DUMMYFUNCTION("""COMPUTED_VALUE"""),"twenty")</f>
        <v>twenty</v>
      </c>
    </row>
    <row r="1556">
      <c r="B1556" s="6"/>
      <c r="D1556" s="6"/>
      <c r="G1556" s="6"/>
      <c r="H1556" s="6" t="str">
        <f>IFERROR(__xludf.DUMMYFUNCTION("""COMPUTED_VALUE"""),"inclination")</f>
        <v>inclination</v>
      </c>
      <c r="I1556" s="6"/>
      <c r="J1556" s="6" t="str">
        <f>IFERROR(__xludf.DUMMYFUNCTION("""COMPUTED_VALUE"""),"scientists")</f>
        <v>scientists</v>
      </c>
      <c r="L1556" s="6" t="str">
        <f>IFERROR(__xludf.DUMMYFUNCTION("""COMPUTED_VALUE"""),"narrated")</f>
        <v>narrated</v>
      </c>
      <c r="M1556" s="6" t="str">
        <f>IFERROR(__xludf.DUMMYFUNCTION("""COMPUTED_VALUE"""),"operational")</f>
        <v>operational</v>
      </c>
      <c r="N1556" s="6" t="str">
        <f>IFERROR(__xludf.DUMMYFUNCTION("""COMPUTED_VALUE"""),"hughes")</f>
        <v>hughes</v>
      </c>
      <c r="P1556" s="6" t="str">
        <f>IFERROR(__xludf.DUMMYFUNCTION("""COMPUTED_VALUE"""),"negative")</f>
        <v>negative</v>
      </c>
      <c r="Q1556" s="6" t="str">
        <f>IFERROR(__xludf.DUMMYFUNCTION("""COMPUTED_VALUE"""),"limbs")</f>
        <v>limbs</v>
      </c>
      <c r="S1556" s="6" t="str">
        <f>IFERROR(__xludf.DUMMYFUNCTION("""COMPUTED_VALUE"""),"entry")</f>
        <v>entry</v>
      </c>
    </row>
    <row r="1557">
      <c r="B1557" s="6"/>
      <c r="D1557" s="6"/>
      <c r="G1557" s="6"/>
      <c r="H1557" s="6" t="str">
        <f>IFERROR(__xludf.DUMMYFUNCTION("""COMPUTED_VALUE"""),"hannibal")</f>
        <v>hannibal</v>
      </c>
      <c r="I1557" s="6"/>
      <c r="J1557" s="6" t="str">
        <f>IFERROR(__xludf.DUMMYFUNCTION("""COMPUTED_VALUE"""),"craftsmen")</f>
        <v>craftsmen</v>
      </c>
      <c r="L1557" s="6" t="str">
        <f>IFERROR(__xludf.DUMMYFUNCTION("""COMPUTED_VALUE"""),"credible")</f>
        <v>credible</v>
      </c>
      <c r="M1557" s="6" t="str">
        <f>IFERROR(__xludf.DUMMYFUNCTION("""COMPUTED_VALUE"""),"entity")</f>
        <v>entity</v>
      </c>
      <c r="N1557" s="6" t="str">
        <f>IFERROR(__xludf.DUMMYFUNCTION("""COMPUTED_VALUE"""),"expressive")</f>
        <v>expressive</v>
      </c>
      <c r="P1557" s="6" t="str">
        <f>IFERROR(__xludf.DUMMYFUNCTION("""COMPUTED_VALUE"""),"grave")</f>
        <v>grave</v>
      </c>
      <c r="Q1557" s="6" t="str">
        <f>IFERROR(__xludf.DUMMYFUNCTION("""COMPUTED_VALUE"""),"disbelief")</f>
        <v>disbelief</v>
      </c>
      <c r="S1557" s="6" t="str">
        <f>IFERROR(__xludf.DUMMYFUNCTION("""COMPUTED_VALUE"""),"pants")</f>
        <v>pants</v>
      </c>
    </row>
    <row r="1558">
      <c r="B1558" s="6"/>
      <c r="D1558" s="6"/>
      <c r="G1558" s="6"/>
      <c r="H1558" s="6" t="str">
        <f>IFERROR(__xludf.DUMMYFUNCTION("""COMPUTED_VALUE"""),"terrified")</f>
        <v>terrified</v>
      </c>
      <c r="I1558" s="6"/>
      <c r="J1558" s="6" t="str">
        <f>IFERROR(__xludf.DUMMYFUNCTION("""COMPUTED_VALUE"""),"acclaimed")</f>
        <v>acclaimed</v>
      </c>
      <c r="L1558" s="6" t="str">
        <f>IFERROR(__xludf.DUMMYFUNCTION("""COMPUTED_VALUE"""),"opaque")</f>
        <v>opaque</v>
      </c>
      <c r="M1558" s="6" t="str">
        <f>IFERROR(__xludf.DUMMYFUNCTION("""COMPUTED_VALUE"""),"titled")</f>
        <v>titled</v>
      </c>
      <c r="N1558" s="6" t="str">
        <f>IFERROR(__xludf.DUMMYFUNCTION("""COMPUTED_VALUE"""),"morgan")</f>
        <v>morgan</v>
      </c>
      <c r="P1558" s="6" t="str">
        <f>IFERROR(__xludf.DUMMYFUNCTION("""COMPUTED_VALUE"""),"jaw")</f>
        <v>jaw</v>
      </c>
      <c r="Q1558" s="6" t="str">
        <f>IFERROR(__xludf.DUMMYFUNCTION("""COMPUTED_VALUE"""),"suspend")</f>
        <v>suspend</v>
      </c>
      <c r="S1558" s="6" t="str">
        <f>IFERROR(__xludf.DUMMYFUNCTION("""COMPUTED_VALUE"""),"harrison")</f>
        <v>harrison</v>
      </c>
    </row>
    <row r="1559">
      <c r="B1559" s="6"/>
      <c r="D1559" s="6"/>
      <c r="G1559" s="6"/>
      <c r="H1559" s="6" t="str">
        <f>IFERROR(__xludf.DUMMYFUNCTION("""COMPUTED_VALUE"""),"whimper")</f>
        <v>whimper</v>
      </c>
      <c r="I1559" s="6"/>
      <c r="J1559" s="6">
        <f>IFERROR(__xludf.DUMMYFUNCTION("""COMPUTED_VALUE"""),1952.0)</f>
        <v>1952</v>
      </c>
      <c r="L1559" s="6" t="str">
        <f>IFERROR(__xludf.DUMMYFUNCTION("""COMPUTED_VALUE"""),"comprehension")</f>
        <v>comprehension</v>
      </c>
      <c r="M1559" s="6" t="str">
        <f>IFERROR(__xludf.DUMMYFUNCTION("""COMPUTED_VALUE"""),"context")</f>
        <v>context</v>
      </c>
      <c r="N1559" s="6" t="str">
        <f>IFERROR(__xludf.DUMMYFUNCTION("""COMPUTED_VALUE"""),"empowerment")</f>
        <v>empowerment</v>
      </c>
      <c r="P1559" s="6" t="str">
        <f>IFERROR(__xludf.DUMMYFUNCTION("""COMPUTED_VALUE"""),"dear")</f>
        <v>dear</v>
      </c>
      <c r="Q1559" s="6" t="str">
        <f>IFERROR(__xludf.DUMMYFUNCTION("""COMPUTED_VALUE"""),"traditions")</f>
        <v>traditions</v>
      </c>
      <c r="S1559" s="6" t="str">
        <f>IFERROR(__xludf.DUMMYFUNCTION("""COMPUTED_VALUE"""),"willie")</f>
        <v>willie</v>
      </c>
    </row>
    <row r="1560">
      <c r="B1560" s="6"/>
      <c r="D1560" s="6"/>
      <c r="G1560" s="6"/>
      <c r="H1560" s="6" t="str">
        <f>IFERROR(__xludf.DUMMYFUNCTION("""COMPUTED_VALUE"""),"tract")</f>
        <v>tract</v>
      </c>
      <c r="I1560" s="6"/>
      <c r="J1560" s="6" t="str">
        <f>IFERROR(__xludf.DUMMYFUNCTION("""COMPUTED_VALUE"""),"icon")</f>
        <v>icon</v>
      </c>
      <c r="L1560" s="6" t="str">
        <f>IFERROR(__xludf.DUMMYFUNCTION("""COMPUTED_VALUE"""),"weighs")</f>
        <v>weighs</v>
      </c>
      <c r="M1560" s="6" t="str">
        <f>IFERROR(__xludf.DUMMYFUNCTION("""COMPUTED_VALUE"""),"profile")</f>
        <v>profile</v>
      </c>
      <c r="N1560" s="6">
        <f>IFERROR(__xludf.DUMMYFUNCTION("""COMPUTED_VALUE"""),1973.0)</f>
        <v>1973</v>
      </c>
      <c r="P1560" s="6" t="str">
        <f>IFERROR(__xludf.DUMMYFUNCTION("""COMPUTED_VALUE"""),"circles")</f>
        <v>circles</v>
      </c>
      <c r="Q1560" s="6" t="str">
        <f>IFERROR(__xludf.DUMMYFUNCTION("""COMPUTED_VALUE"""),"curling")</f>
        <v>curling</v>
      </c>
      <c r="S1560" s="6" t="str">
        <f>IFERROR(__xludf.DUMMYFUNCTION("""COMPUTED_VALUE"""),"wondering")</f>
        <v>wondering</v>
      </c>
    </row>
    <row r="1561">
      <c r="B1561" s="6"/>
      <c r="D1561" s="6"/>
      <c r="G1561" s="6"/>
      <c r="H1561" s="6" t="str">
        <f>IFERROR(__xludf.DUMMYFUNCTION("""COMPUTED_VALUE"""),"permitting")</f>
        <v>permitting</v>
      </c>
      <c r="I1561" s="6"/>
      <c r="J1561" s="6" t="str">
        <f>IFERROR(__xludf.DUMMYFUNCTION("""COMPUTED_VALUE"""),"unified")</f>
        <v>unified</v>
      </c>
      <c r="L1561" s="6" t="str">
        <f>IFERROR(__xludf.DUMMYFUNCTION("""COMPUTED_VALUE"""),"mischievous")</f>
        <v>mischievous</v>
      </c>
      <c r="M1561" s="6" t="str">
        <f>IFERROR(__xludf.DUMMYFUNCTION("""COMPUTED_VALUE"""),"lectures")</f>
        <v>lectures</v>
      </c>
      <c r="N1561" s="6" t="str">
        <f>IFERROR(__xludf.DUMMYFUNCTION("""COMPUTED_VALUE"""),"prolific")</f>
        <v>prolific</v>
      </c>
      <c r="P1561" s="6" t="str">
        <f>IFERROR(__xludf.DUMMYFUNCTION("""COMPUTED_VALUE"""),"losses")</f>
        <v>losses</v>
      </c>
      <c r="Q1561" s="6" t="str">
        <f>IFERROR(__xludf.DUMMYFUNCTION("""COMPUTED_VALUE"""),"pbs")</f>
        <v>pbs</v>
      </c>
      <c r="S1561" s="6" t="str">
        <f>IFERROR(__xludf.DUMMYFUNCTION("""COMPUTED_VALUE"""),"specific")</f>
        <v>specific</v>
      </c>
    </row>
    <row r="1562">
      <c r="B1562" s="6"/>
      <c r="D1562" s="6"/>
      <c r="G1562" s="6"/>
      <c r="H1562" s="6" t="str">
        <f>IFERROR(__xludf.DUMMYFUNCTION("""COMPUTED_VALUE"""),"cartoon")</f>
        <v>cartoon</v>
      </c>
      <c r="I1562" s="6"/>
      <c r="J1562" s="6" t="str">
        <f>IFERROR(__xludf.DUMMYFUNCTION("""COMPUTED_VALUE"""),"ladder")</f>
        <v>ladder</v>
      </c>
      <c r="L1562" s="6" t="str">
        <f>IFERROR(__xludf.DUMMYFUNCTION("""COMPUTED_VALUE"""),"ideally")</f>
        <v>ideally</v>
      </c>
      <c r="M1562" s="6" t="str">
        <f>IFERROR(__xludf.DUMMYFUNCTION("""COMPUTED_VALUE"""),"climate")</f>
        <v>climate</v>
      </c>
      <c r="N1562" s="6" t="str">
        <f>IFERROR(__xludf.DUMMYFUNCTION("""COMPUTED_VALUE"""),"lizard")</f>
        <v>lizard</v>
      </c>
      <c r="P1562" s="6" t="str">
        <f>IFERROR(__xludf.DUMMYFUNCTION("""COMPUTED_VALUE"""),"controlling")</f>
        <v>controlling</v>
      </c>
      <c r="Q1562" s="6" t="str">
        <f>IFERROR(__xludf.DUMMYFUNCTION("""COMPUTED_VALUE"""),"field")</f>
        <v>field</v>
      </c>
      <c r="S1562" s="6" t="str">
        <f>IFERROR(__xludf.DUMMYFUNCTION("""COMPUTED_VALUE"""),"portions")</f>
        <v>portions</v>
      </c>
    </row>
    <row r="1563">
      <c r="B1563" s="6"/>
      <c r="D1563" s="6"/>
      <c r="G1563" s="6"/>
      <c r="H1563" s="6">
        <f>IFERROR(__xludf.DUMMYFUNCTION("""COMPUTED_VALUE"""),66.0)</f>
        <v>66</v>
      </c>
      <c r="I1563" s="6"/>
      <c r="J1563" s="6" t="str">
        <f>IFERROR(__xludf.DUMMYFUNCTION("""COMPUTED_VALUE"""),"libretto")</f>
        <v>libretto</v>
      </c>
      <c r="L1563" s="6" t="str">
        <f>IFERROR(__xludf.DUMMYFUNCTION("""COMPUTED_VALUE"""),"athlete")</f>
        <v>athlete</v>
      </c>
      <c r="M1563" s="6" t="str">
        <f>IFERROR(__xludf.DUMMYFUNCTION("""COMPUTED_VALUE"""),"vampire")</f>
        <v>vampire</v>
      </c>
      <c r="N1563" s="6" t="str">
        <f>IFERROR(__xludf.DUMMYFUNCTION("""COMPUTED_VALUE"""),"celebrates")</f>
        <v>celebrates</v>
      </c>
      <c r="P1563" s="6" t="str">
        <f>IFERROR(__xludf.DUMMYFUNCTION("""COMPUTED_VALUE"""),"guardian")</f>
        <v>guardian</v>
      </c>
      <c r="Q1563" s="6" t="str">
        <f>IFERROR(__xludf.DUMMYFUNCTION("""COMPUTED_VALUE"""),"merits")</f>
        <v>merits</v>
      </c>
      <c r="S1563" s="6" t="str">
        <f>IFERROR(__xludf.DUMMYFUNCTION("""COMPUTED_VALUE"""),"band")</f>
        <v>band</v>
      </c>
    </row>
    <row r="1564">
      <c r="B1564" s="6"/>
      <c r="D1564" s="6"/>
      <c r="G1564" s="6"/>
      <c r="H1564" s="6" t="str">
        <f>IFERROR(__xludf.DUMMYFUNCTION("""COMPUTED_VALUE"""),"stopped")</f>
        <v>stopped</v>
      </c>
      <c r="I1564" s="6"/>
      <c r="J1564" s="6" t="str">
        <f>IFERROR(__xludf.DUMMYFUNCTION("""COMPUTED_VALUE"""),"defeated")</f>
        <v>defeated</v>
      </c>
      <c r="L1564" s="6" t="str">
        <f>IFERROR(__xludf.DUMMYFUNCTION("""COMPUTED_VALUE"""),"spanning")</f>
        <v>spanning</v>
      </c>
      <c r="M1564" s="6" t="str">
        <f>IFERROR(__xludf.DUMMYFUNCTION("""COMPUTED_VALUE"""),"experiment")</f>
        <v>experiment</v>
      </c>
      <c r="N1564" s="6" t="str">
        <f>IFERROR(__xludf.DUMMYFUNCTION("""COMPUTED_VALUE"""),"projectile")</f>
        <v>projectile</v>
      </c>
      <c r="P1564" s="6" t="str">
        <f>IFERROR(__xludf.DUMMYFUNCTION("""COMPUTED_VALUE"""),"iranian")</f>
        <v>iranian</v>
      </c>
      <c r="Q1564" s="6" t="str">
        <f>IFERROR(__xludf.DUMMYFUNCTION("""COMPUTED_VALUE"""),"dreadful")</f>
        <v>dreadful</v>
      </c>
      <c r="S1564" s="6" t="str">
        <f>IFERROR(__xludf.DUMMYFUNCTION("""COMPUTED_VALUE"""),"horse")</f>
        <v>horse</v>
      </c>
    </row>
    <row r="1565">
      <c r="B1565" s="6"/>
      <c r="D1565" s="6"/>
      <c r="G1565" s="6"/>
      <c r="H1565" s="6" t="str">
        <f>IFERROR(__xludf.DUMMYFUNCTION("""COMPUTED_VALUE"""),"unnoticed")</f>
        <v>unnoticed</v>
      </c>
      <c r="I1565" s="6"/>
      <c r="J1565" s="6" t="str">
        <f>IFERROR(__xludf.DUMMYFUNCTION("""COMPUTED_VALUE"""),"monument")</f>
        <v>monument</v>
      </c>
      <c r="L1565" s="6" t="str">
        <f>IFERROR(__xludf.DUMMYFUNCTION("""COMPUTED_VALUE"""),"involving")</f>
        <v>involving</v>
      </c>
      <c r="M1565" s="6" t="str">
        <f>IFERROR(__xludf.DUMMYFUNCTION("""COMPUTED_VALUE"""),"documented")</f>
        <v>documented</v>
      </c>
      <c r="N1565" s="6" t="str">
        <f>IFERROR(__xludf.DUMMYFUNCTION("""COMPUTED_VALUE"""),"pokemon")</f>
        <v>pokemon</v>
      </c>
      <c r="P1565" s="6" t="str">
        <f>IFERROR(__xludf.DUMMYFUNCTION("""COMPUTED_VALUE"""),"daniel")</f>
        <v>daniel</v>
      </c>
      <c r="Q1565" s="6" t="str">
        <f>IFERROR(__xludf.DUMMYFUNCTION("""COMPUTED_VALUE"""),"elephant")</f>
        <v>elephant</v>
      </c>
      <c r="S1565" s="6" t="str">
        <f>IFERROR(__xludf.DUMMYFUNCTION("""COMPUTED_VALUE"""),"torpedo")</f>
        <v>torpedo</v>
      </c>
    </row>
    <row r="1566">
      <c r="B1566" s="6"/>
      <c r="D1566" s="6"/>
      <c r="G1566" s="6"/>
      <c r="H1566" s="6" t="str">
        <f>IFERROR(__xludf.DUMMYFUNCTION("""COMPUTED_VALUE"""),"unconventional")</f>
        <v>unconventional</v>
      </c>
      <c r="I1566" s="6"/>
      <c r="J1566" s="6" t="str">
        <f>IFERROR(__xludf.DUMMYFUNCTION("""COMPUTED_VALUE"""),"minority")</f>
        <v>minority</v>
      </c>
      <c r="L1566" s="6" t="str">
        <f>IFERROR(__xludf.DUMMYFUNCTION("""COMPUTED_VALUE"""),"universal")</f>
        <v>universal</v>
      </c>
      <c r="M1566" s="6" t="str">
        <f>IFERROR(__xludf.DUMMYFUNCTION("""COMPUTED_VALUE"""),"proceedings")</f>
        <v>proceedings</v>
      </c>
      <c r="N1566" s="6" t="str">
        <f>IFERROR(__xludf.DUMMYFUNCTION("""COMPUTED_VALUE"""),"naval")</f>
        <v>naval</v>
      </c>
      <c r="P1566" s="6" t="str">
        <f>IFERROR(__xludf.DUMMYFUNCTION("""COMPUTED_VALUE"""),"1930s")</f>
        <v>1930s</v>
      </c>
      <c r="Q1566" s="6" t="str">
        <f>IFERROR(__xludf.DUMMYFUNCTION("""COMPUTED_VALUE"""),"contradictory")</f>
        <v>contradictory</v>
      </c>
      <c r="S1566" s="6" t="str">
        <f>IFERROR(__xludf.DUMMYFUNCTION("""COMPUTED_VALUE"""),"confidence")</f>
        <v>confidence</v>
      </c>
    </row>
    <row r="1567">
      <c r="B1567" s="6"/>
      <c r="D1567" s="6"/>
      <c r="G1567" s="6"/>
      <c r="H1567" s="6" t="str">
        <f>IFERROR(__xludf.DUMMYFUNCTION("""COMPUTED_VALUE"""),"turbulent")</f>
        <v>turbulent</v>
      </c>
      <c r="I1567" s="6"/>
      <c r="J1567" s="6" t="str">
        <f>IFERROR(__xludf.DUMMYFUNCTION("""COMPUTED_VALUE"""),"spine")</f>
        <v>spine</v>
      </c>
      <c r="L1567" s="6" t="str">
        <f>IFERROR(__xludf.DUMMYFUNCTION("""COMPUTED_VALUE"""),"adhere")</f>
        <v>adhere</v>
      </c>
      <c r="M1567" s="6" t="str">
        <f>IFERROR(__xludf.DUMMYFUNCTION("""COMPUTED_VALUE"""),"chen")</f>
        <v>chen</v>
      </c>
      <c r="N1567" s="6" t="str">
        <f>IFERROR(__xludf.DUMMYFUNCTION("""COMPUTED_VALUE"""),"depicted")</f>
        <v>depicted</v>
      </c>
      <c r="P1567" s="6" t="str">
        <f>IFERROR(__xludf.DUMMYFUNCTION("""COMPUTED_VALUE"""),"influential")</f>
        <v>influential</v>
      </c>
      <c r="Q1567" s="6" t="str">
        <f>IFERROR(__xludf.DUMMYFUNCTION("""COMPUTED_VALUE"""),"endings")</f>
        <v>endings</v>
      </c>
      <c r="S1567" s="6" t="str">
        <f>IFERROR(__xludf.DUMMYFUNCTION("""COMPUTED_VALUE"""),"malcolm")</f>
        <v>malcolm</v>
      </c>
    </row>
    <row r="1568">
      <c r="B1568" s="6"/>
      <c r="D1568" s="6"/>
      <c r="G1568" s="6"/>
      <c r="H1568" s="6" t="str">
        <f>IFERROR(__xludf.DUMMYFUNCTION("""COMPUTED_VALUE"""),"egypt")</f>
        <v>egypt</v>
      </c>
      <c r="I1568" s="6"/>
      <c r="J1568" s="6" t="str">
        <f>IFERROR(__xludf.DUMMYFUNCTION("""COMPUTED_VALUE"""),"shivers")</f>
        <v>shivers</v>
      </c>
      <c r="L1568" s="6" t="str">
        <f>IFERROR(__xludf.DUMMYFUNCTION("""COMPUTED_VALUE"""),"sway")</f>
        <v>sway</v>
      </c>
      <c r="M1568" s="6" t="str">
        <f>IFERROR(__xludf.DUMMYFUNCTION("""COMPUTED_VALUE"""),"intensity")</f>
        <v>intensity</v>
      </c>
      <c r="N1568" s="6" t="str">
        <f>IFERROR(__xludf.DUMMYFUNCTION("""COMPUTED_VALUE"""),"triumph")</f>
        <v>triumph</v>
      </c>
      <c r="P1568" s="6" t="str">
        <f>IFERROR(__xludf.DUMMYFUNCTION("""COMPUTED_VALUE"""),"guilt")</f>
        <v>guilt</v>
      </c>
      <c r="Q1568" s="6" t="str">
        <f>IFERROR(__xludf.DUMMYFUNCTION("""COMPUTED_VALUE"""),"tongue")</f>
        <v>tongue</v>
      </c>
      <c r="S1568" s="6" t="str">
        <f>IFERROR(__xludf.DUMMYFUNCTION("""COMPUTED_VALUE"""),"roman")</f>
        <v>roman</v>
      </c>
    </row>
    <row r="1569">
      <c r="B1569" s="6"/>
      <c r="D1569" s="6"/>
      <c r="G1569" s="6"/>
      <c r="H1569" s="6" t="str">
        <f>IFERROR(__xludf.DUMMYFUNCTION("""COMPUTED_VALUE"""),"racial")</f>
        <v>racial</v>
      </c>
      <c r="I1569" s="6"/>
      <c r="J1569" s="6" t="str">
        <f>IFERROR(__xludf.DUMMYFUNCTION("""COMPUTED_VALUE"""),"environmental")</f>
        <v>environmental</v>
      </c>
      <c r="L1569" s="6" t="str">
        <f>IFERROR(__xludf.DUMMYFUNCTION("""COMPUTED_VALUE"""),"emphasizing")</f>
        <v>emphasizing</v>
      </c>
      <c r="M1569" s="6" t="str">
        <f>IFERROR(__xludf.DUMMYFUNCTION("""COMPUTED_VALUE"""),"evolved")</f>
        <v>evolved</v>
      </c>
      <c r="N1569" s="6" t="str">
        <f>IFERROR(__xludf.DUMMYFUNCTION("""COMPUTED_VALUE"""),"comedies")</f>
        <v>comedies</v>
      </c>
      <c r="P1569" s="6" t="str">
        <f>IFERROR(__xludf.DUMMYFUNCTION("""COMPUTED_VALUE"""),"conflicts")</f>
        <v>conflicts</v>
      </c>
      <c r="Q1569" s="6" t="str">
        <f>IFERROR(__xludf.DUMMYFUNCTION("""COMPUTED_VALUE"""),"bergman")</f>
        <v>bergman</v>
      </c>
      <c r="S1569" s="6" t="str">
        <f>IFERROR(__xludf.DUMMYFUNCTION("""COMPUTED_VALUE"""),"iran")</f>
        <v>iran</v>
      </c>
    </row>
    <row r="1570">
      <c r="B1570" s="6"/>
      <c r="D1570" s="6"/>
      <c r="G1570" s="6"/>
      <c r="H1570" s="6" t="str">
        <f>IFERROR(__xludf.DUMMYFUNCTION("""COMPUTED_VALUE"""),"homicide")</f>
        <v>homicide</v>
      </c>
      <c r="I1570" s="6"/>
      <c r="J1570" s="6" t="str">
        <f>IFERROR(__xludf.DUMMYFUNCTION("""COMPUTED_VALUE"""),"fleeing")</f>
        <v>fleeing</v>
      </c>
      <c r="L1570" s="6" t="str">
        <f>IFERROR(__xludf.DUMMYFUNCTION("""COMPUTED_VALUE"""),"destruction")</f>
        <v>destruction</v>
      </c>
      <c r="M1570" s="6" t="str">
        <f>IFERROR(__xludf.DUMMYFUNCTION("""COMPUTED_VALUE"""),"approaches")</f>
        <v>approaches</v>
      </c>
      <c r="N1570" s="6" t="str">
        <f>IFERROR(__xludf.DUMMYFUNCTION("""COMPUTED_VALUE"""),"relevance")</f>
        <v>relevance</v>
      </c>
      <c r="P1570" s="6" t="str">
        <f>IFERROR(__xludf.DUMMYFUNCTION("""COMPUTED_VALUE"""),"seventeen")</f>
        <v>seventeen</v>
      </c>
      <c r="Q1570" s="6" t="str">
        <f>IFERROR(__xludf.DUMMYFUNCTION("""COMPUTED_VALUE"""),"approaches")</f>
        <v>approaches</v>
      </c>
      <c r="S1570" s="6" t="str">
        <f>IFERROR(__xludf.DUMMYFUNCTION("""COMPUTED_VALUE"""),"stone")</f>
        <v>stone</v>
      </c>
    </row>
    <row r="1571">
      <c r="B1571" s="6"/>
      <c r="D1571" s="6"/>
      <c r="G1571" s="6"/>
      <c r="H1571" s="6" t="str">
        <f>IFERROR(__xludf.DUMMYFUNCTION("""COMPUTED_VALUE"""),"cinderella")</f>
        <v>cinderella</v>
      </c>
      <c r="I1571" s="6"/>
      <c r="J1571" s="6" t="str">
        <f>IFERROR(__xludf.DUMMYFUNCTION("""COMPUTED_VALUE"""),"ramsay")</f>
        <v>ramsay</v>
      </c>
      <c r="L1571" s="6" t="str">
        <f>IFERROR(__xludf.DUMMYFUNCTION("""COMPUTED_VALUE"""),"photographed")</f>
        <v>photographed</v>
      </c>
      <c r="M1571" s="6" t="str">
        <f>IFERROR(__xludf.DUMMYFUNCTION("""COMPUTED_VALUE"""),"develop")</f>
        <v>develop</v>
      </c>
      <c r="N1571" s="6" t="str">
        <f>IFERROR(__xludf.DUMMYFUNCTION("""COMPUTED_VALUE"""),"searing")</f>
        <v>searing</v>
      </c>
      <c r="P1571" s="6" t="str">
        <f>IFERROR(__xludf.DUMMYFUNCTION("""COMPUTED_VALUE"""),"austrian")</f>
        <v>austrian</v>
      </c>
      <c r="Q1571" s="6" t="str">
        <f>IFERROR(__xludf.DUMMYFUNCTION("""COMPUTED_VALUE"""),"effortlessly")</f>
        <v>effortlessly</v>
      </c>
      <c r="S1571" s="6" t="str">
        <f>IFERROR(__xludf.DUMMYFUNCTION("""COMPUTED_VALUE"""),"golden")</f>
        <v>golden</v>
      </c>
    </row>
    <row r="1572">
      <c r="B1572" s="6"/>
      <c r="D1572" s="6"/>
      <c r="G1572" s="6"/>
      <c r="H1572" s="6" t="str">
        <f>IFERROR(__xludf.DUMMYFUNCTION("""COMPUTED_VALUE"""),"harrison")</f>
        <v>harrison</v>
      </c>
      <c r="I1572" s="6"/>
      <c r="J1572" s="6" t="str">
        <f>IFERROR(__xludf.DUMMYFUNCTION("""COMPUTED_VALUE"""),"converts")</f>
        <v>converts</v>
      </c>
      <c r="L1572" s="6" t="str">
        <f>IFERROR(__xludf.DUMMYFUNCTION("""COMPUTED_VALUE"""),"unprecedented")</f>
        <v>unprecedented</v>
      </c>
      <c r="M1572" s="6" t="str">
        <f>IFERROR(__xludf.DUMMYFUNCTION("""COMPUTED_VALUE"""),"innovation")</f>
        <v>innovation</v>
      </c>
      <c r="N1572" s="6" t="str">
        <f>IFERROR(__xludf.DUMMYFUNCTION("""COMPUTED_VALUE"""),"stylistic")</f>
        <v>stylistic</v>
      </c>
      <c r="P1572" s="6" t="str">
        <f>IFERROR(__xludf.DUMMYFUNCTION("""COMPUTED_VALUE"""),"1950s")</f>
        <v>1950s</v>
      </c>
      <c r="Q1572" s="6" t="str">
        <f>IFERROR(__xludf.DUMMYFUNCTION("""COMPUTED_VALUE"""),"sparks")</f>
        <v>sparks</v>
      </c>
      <c r="S1572" s="6" t="str">
        <f>IFERROR(__xludf.DUMMYFUNCTION("""COMPUTED_VALUE"""),"california")</f>
        <v>california</v>
      </c>
    </row>
    <row r="1573">
      <c r="B1573" s="6"/>
      <c r="D1573" s="6"/>
      <c r="G1573" s="6"/>
      <c r="H1573" s="6" t="str">
        <f>IFERROR(__xludf.DUMMYFUNCTION("""COMPUTED_VALUE"""),"evolve")</f>
        <v>evolve</v>
      </c>
      <c r="I1573" s="6"/>
      <c r="J1573" s="6" t="str">
        <f>IFERROR(__xludf.DUMMYFUNCTION("""COMPUTED_VALUE"""),"fade")</f>
        <v>fade</v>
      </c>
      <c r="L1573" s="6" t="str">
        <f>IFERROR(__xludf.DUMMYFUNCTION("""COMPUTED_VALUE"""),"drastic")</f>
        <v>drastic</v>
      </c>
      <c r="M1573" s="6" t="str">
        <f>IFERROR(__xludf.DUMMYFUNCTION("""COMPUTED_VALUE"""),"academy")</f>
        <v>academy</v>
      </c>
      <c r="N1573" s="6" t="str">
        <f>IFERROR(__xludf.DUMMYFUNCTION("""COMPUTED_VALUE"""),"turmoil")</f>
        <v>turmoil</v>
      </c>
      <c r="P1573" s="6" t="str">
        <f>IFERROR(__xludf.DUMMYFUNCTION("""COMPUTED_VALUE"""),"throat")</f>
        <v>throat</v>
      </c>
      <c r="Q1573" s="6" t="str">
        <f>IFERROR(__xludf.DUMMYFUNCTION("""COMPUTED_VALUE"""),"cumulative")</f>
        <v>cumulative</v>
      </c>
      <c r="S1573" s="6" t="str">
        <f>IFERROR(__xludf.DUMMYFUNCTION("""COMPUTED_VALUE"""),"chronicle")</f>
        <v>chronicle</v>
      </c>
    </row>
    <row r="1574">
      <c r="B1574" s="6"/>
      <c r="D1574" s="6"/>
      <c r="G1574" s="6"/>
      <c r="H1574" s="6" t="str">
        <f>IFERROR(__xludf.DUMMYFUNCTION("""COMPUTED_VALUE"""),"jumps")</f>
        <v>jumps</v>
      </c>
      <c r="I1574" s="6"/>
      <c r="J1574" s="6" t="str">
        <f>IFERROR(__xludf.DUMMYFUNCTION("""COMPUTED_VALUE"""),"encompassing")</f>
        <v>encompassing</v>
      </c>
      <c r="L1574" s="6" t="str">
        <f>IFERROR(__xludf.DUMMYFUNCTION("""COMPUTED_VALUE"""),"startling")</f>
        <v>startling</v>
      </c>
      <c r="M1574" s="6" t="str">
        <f>IFERROR(__xludf.DUMMYFUNCTION("""COMPUTED_VALUE"""),"nominated")</f>
        <v>nominated</v>
      </c>
      <c r="N1574" s="6" t="str">
        <f>IFERROR(__xludf.DUMMYFUNCTION("""COMPUTED_VALUE"""),"breadth")</f>
        <v>breadth</v>
      </c>
      <c r="P1574" s="6" t="str">
        <f>IFERROR(__xludf.DUMMYFUNCTION("""COMPUTED_VALUE"""),"wash")</f>
        <v>wash</v>
      </c>
      <c r="Q1574" s="6" t="str">
        <f>IFERROR(__xludf.DUMMYFUNCTION("""COMPUTED_VALUE"""),"visionary")</f>
        <v>visionary</v>
      </c>
      <c r="S1574" s="6" t="str">
        <f>IFERROR(__xludf.DUMMYFUNCTION("""COMPUTED_VALUE"""),"couch")</f>
        <v>couch</v>
      </c>
    </row>
    <row r="1575">
      <c r="B1575" s="6"/>
      <c r="D1575" s="6"/>
      <c r="G1575" s="6"/>
      <c r="H1575" s="6" t="str">
        <f>IFERROR(__xludf.DUMMYFUNCTION("""COMPUTED_VALUE"""),"engages")</f>
        <v>engages</v>
      </c>
      <c r="I1575" s="6"/>
      <c r="J1575" s="6" t="str">
        <f>IFERROR(__xludf.DUMMYFUNCTION("""COMPUTED_VALUE"""),"favorably")</f>
        <v>favorably</v>
      </c>
      <c r="L1575" s="6" t="str">
        <f>IFERROR(__xludf.DUMMYFUNCTION("""COMPUTED_VALUE"""),"revelation")</f>
        <v>revelation</v>
      </c>
      <c r="M1575" s="6" t="str">
        <f>IFERROR(__xludf.DUMMYFUNCTION("""COMPUTED_VALUE"""),"1960s")</f>
        <v>1960s</v>
      </c>
      <c r="N1575" s="6" t="str">
        <f>IFERROR(__xludf.DUMMYFUNCTION("""COMPUTED_VALUE"""),"collateral")</f>
        <v>collateral</v>
      </c>
      <c r="P1575" s="6" t="str">
        <f>IFERROR(__xludf.DUMMYFUNCTION("""COMPUTED_VALUE"""),"depicted")</f>
        <v>depicted</v>
      </c>
      <c r="Q1575" s="6" t="str">
        <f>IFERROR(__xludf.DUMMYFUNCTION("""COMPUTED_VALUE"""),"ferrara")</f>
        <v>ferrara</v>
      </c>
      <c r="S1575" s="6" t="str">
        <f>IFERROR(__xludf.DUMMYFUNCTION("""COMPUTED_VALUE"""),"cousin")</f>
        <v>cousin</v>
      </c>
    </row>
    <row r="1576">
      <c r="B1576" s="6"/>
      <c r="D1576" s="6"/>
      <c r="G1576" s="6"/>
      <c r="H1576" s="6" t="str">
        <f>IFERROR(__xludf.DUMMYFUNCTION("""COMPUTED_VALUE"""),"walt")</f>
        <v>walt</v>
      </c>
      <c r="I1576" s="6"/>
      <c r="J1576" s="6" t="str">
        <f>IFERROR(__xludf.DUMMYFUNCTION("""COMPUTED_VALUE"""),"clare")</f>
        <v>clare</v>
      </c>
      <c r="L1576" s="6" t="str">
        <f>IFERROR(__xludf.DUMMYFUNCTION("""COMPUTED_VALUE"""),"verve")</f>
        <v>verve</v>
      </c>
      <c r="M1576" s="6" t="str">
        <f>IFERROR(__xludf.DUMMYFUNCTION("""COMPUTED_VALUE"""),"twisted")</f>
        <v>twisted</v>
      </c>
      <c r="N1576" s="6" t="str">
        <f>IFERROR(__xludf.DUMMYFUNCTION("""COMPUTED_VALUE"""),"nicholas")</f>
        <v>nicholas</v>
      </c>
      <c r="P1576" s="6" t="str">
        <f>IFERROR(__xludf.DUMMYFUNCTION("""COMPUTED_VALUE"""),"columbia")</f>
        <v>columbia</v>
      </c>
      <c r="Q1576" s="6" t="str">
        <f>IFERROR(__xludf.DUMMYFUNCTION("""COMPUTED_VALUE"""),"abel")</f>
        <v>abel</v>
      </c>
      <c r="S1576" s="6" t="str">
        <f>IFERROR(__xludf.DUMMYFUNCTION("""COMPUTED_VALUE"""),"fellow")</f>
        <v>fellow</v>
      </c>
    </row>
    <row r="1577">
      <c r="B1577" s="6"/>
      <c r="D1577" s="6"/>
      <c r="G1577" s="6"/>
      <c r="H1577" s="6" t="str">
        <f>IFERROR(__xludf.DUMMYFUNCTION("""COMPUTED_VALUE"""),"discontent")</f>
        <v>discontent</v>
      </c>
      <c r="I1577" s="6"/>
      <c r="J1577" s="6">
        <f>IFERROR(__xludf.DUMMYFUNCTION("""COMPUTED_VALUE"""),146.0)</f>
        <v>146</v>
      </c>
      <c r="L1577" s="6" t="str">
        <f>IFERROR(__xludf.DUMMYFUNCTION("""COMPUTED_VALUE"""),"emerge")</f>
        <v>emerge</v>
      </c>
      <c r="M1577" s="6" t="str">
        <f>IFERROR(__xludf.DUMMYFUNCTION("""COMPUTED_VALUE"""),"editorial")</f>
        <v>editorial</v>
      </c>
      <c r="N1577" s="6" t="str">
        <f>IFERROR(__xludf.DUMMYFUNCTION("""COMPUTED_VALUE"""),"reagan")</f>
        <v>reagan</v>
      </c>
      <c r="P1577" s="6" t="str">
        <f>IFERROR(__xludf.DUMMYFUNCTION("""COMPUTED_VALUE"""),"sharing")</f>
        <v>sharing</v>
      </c>
      <c r="Q1577" s="6" t="str">
        <f>IFERROR(__xludf.DUMMYFUNCTION("""COMPUTED_VALUE"""),"reliance")</f>
        <v>reliance</v>
      </c>
      <c r="S1577" s="6" t="str">
        <f>IFERROR(__xludf.DUMMYFUNCTION("""COMPUTED_VALUE"""),"lecture")</f>
        <v>lecture</v>
      </c>
    </row>
    <row r="1578">
      <c r="B1578" s="6"/>
      <c r="D1578" s="6"/>
      <c r="G1578" s="6"/>
      <c r="H1578" s="6" t="str">
        <f>IFERROR(__xludf.DUMMYFUNCTION("""COMPUTED_VALUE"""),"deepest")</f>
        <v>deepest</v>
      </c>
      <c r="I1578" s="6"/>
      <c r="J1578" s="6" t="str">
        <f>IFERROR(__xludf.DUMMYFUNCTION("""COMPUTED_VALUE"""),"alfred")</f>
        <v>alfred</v>
      </c>
      <c r="L1578" s="6" t="str">
        <f>IFERROR(__xludf.DUMMYFUNCTION("""COMPUTED_VALUE"""),"collaborative")</f>
        <v>collaborative</v>
      </c>
      <c r="M1578" s="6" t="str">
        <f>IFERROR(__xludf.DUMMYFUNCTION("""COMPUTED_VALUE"""),"acquire")</f>
        <v>acquire</v>
      </c>
      <c r="N1578" s="6" t="str">
        <f>IFERROR(__xludf.DUMMYFUNCTION("""COMPUTED_VALUE"""),"sparks")</f>
        <v>sparks</v>
      </c>
      <c r="P1578" s="6" t="str">
        <f>IFERROR(__xludf.DUMMYFUNCTION("""COMPUTED_VALUE"""),"freight")</f>
        <v>freight</v>
      </c>
      <c r="Q1578" s="6" t="str">
        <f>IFERROR(__xludf.DUMMYFUNCTION("""COMPUTED_VALUE"""),"weighted")</f>
        <v>weighted</v>
      </c>
      <c r="S1578" s="6" t="str">
        <f>IFERROR(__xludf.DUMMYFUNCTION("""COMPUTED_VALUE"""),"und")</f>
        <v>und</v>
      </c>
    </row>
    <row r="1579">
      <c r="B1579" s="6"/>
      <c r="D1579" s="6"/>
      <c r="G1579" s="6"/>
      <c r="H1579" s="6" t="str">
        <f>IFERROR(__xludf.DUMMYFUNCTION("""COMPUTED_VALUE"""),"physical")</f>
        <v>physical</v>
      </c>
      <c r="I1579" s="6"/>
      <c r="J1579" s="6" t="str">
        <f>IFERROR(__xludf.DUMMYFUNCTION("""COMPUTED_VALUE"""),"hitchcock")</f>
        <v>hitchcock</v>
      </c>
      <c r="L1579" s="6" t="str">
        <f>IFERROR(__xludf.DUMMYFUNCTION("""COMPUTED_VALUE"""),"bourne")</f>
        <v>bourne</v>
      </c>
      <c r="M1579" s="6" t="str">
        <f>IFERROR(__xludf.DUMMYFUNCTION("""COMPUTED_VALUE"""),"finale")</f>
        <v>finale</v>
      </c>
      <c r="N1579" s="6" t="str">
        <f>IFERROR(__xludf.DUMMYFUNCTION("""COMPUTED_VALUE"""),"proving")</f>
        <v>proving</v>
      </c>
      <c r="P1579" s="6" t="str">
        <f>IFERROR(__xludf.DUMMYFUNCTION("""COMPUTED_VALUE"""),"destruction")</f>
        <v>destruction</v>
      </c>
      <c r="Q1579" s="6" t="str">
        <f>IFERROR(__xludf.DUMMYFUNCTION("""COMPUTED_VALUE"""),"toilet")</f>
        <v>toilet</v>
      </c>
      <c r="S1579" s="6" t="str">
        <f>IFERROR(__xludf.DUMMYFUNCTION("""COMPUTED_VALUE"""),"integrated")</f>
        <v>integrated</v>
      </c>
    </row>
    <row r="1580">
      <c r="B1580" s="6"/>
      <c r="D1580" s="6"/>
      <c r="G1580" s="6"/>
      <c r="H1580" s="6" t="str">
        <f>IFERROR(__xludf.DUMMYFUNCTION("""COMPUTED_VALUE"""),"evans")</f>
        <v>evans</v>
      </c>
      <c r="I1580" s="6"/>
      <c r="J1580" s="6" t="str">
        <f>IFERROR(__xludf.DUMMYFUNCTION("""COMPUTED_VALUE"""),"fontaine")</f>
        <v>fontaine</v>
      </c>
      <c r="L1580" s="6" t="str">
        <f>IFERROR(__xludf.DUMMYFUNCTION("""COMPUTED_VALUE"""),"principles")</f>
        <v>principles</v>
      </c>
      <c r="M1580" s="6" t="str">
        <f>IFERROR(__xludf.DUMMYFUNCTION("""COMPUTED_VALUE"""),"casting")</f>
        <v>casting</v>
      </c>
      <c r="N1580" s="6" t="str">
        <f>IFERROR(__xludf.DUMMYFUNCTION("""COMPUTED_VALUE"""),"breakthrough")</f>
        <v>breakthrough</v>
      </c>
      <c r="P1580" s="6" t="str">
        <f>IFERROR(__xludf.DUMMYFUNCTION("""COMPUTED_VALUE"""),"pa")</f>
        <v>pa</v>
      </c>
      <c r="Q1580" s="6" t="str">
        <f>IFERROR(__xludf.DUMMYFUNCTION("""COMPUTED_VALUE"""),"equation")</f>
        <v>equation</v>
      </c>
      <c r="S1580" s="6" t="str">
        <f>IFERROR(__xludf.DUMMYFUNCTION("""COMPUTED_VALUE"""),"store")</f>
        <v>store</v>
      </c>
    </row>
    <row r="1581">
      <c r="B1581" s="6"/>
      <c r="D1581" s="6"/>
      <c r="G1581" s="6"/>
      <c r="H1581" s="6" t="str">
        <f>IFERROR(__xludf.DUMMYFUNCTION("""COMPUTED_VALUE"""),"overlapping")</f>
        <v>overlapping</v>
      </c>
      <c r="I1581" s="6"/>
      <c r="J1581" s="6" t="str">
        <f>IFERROR(__xludf.DUMMYFUNCTION("""COMPUTED_VALUE"""),"shakespeare")</f>
        <v>shakespeare</v>
      </c>
      <c r="L1581" s="6" t="str">
        <f>IFERROR(__xludf.DUMMYFUNCTION("""COMPUTED_VALUE"""),"ideology")</f>
        <v>ideology</v>
      </c>
      <c r="M1581" s="6" t="str">
        <f>IFERROR(__xludf.DUMMYFUNCTION("""COMPUTED_VALUE"""),"nationwide")</f>
        <v>nationwide</v>
      </c>
      <c r="N1581" s="6" t="str">
        <f>IFERROR(__xludf.DUMMYFUNCTION("""COMPUTED_VALUE"""),"awakening")</f>
        <v>awakening</v>
      </c>
      <c r="P1581" s="6" t="str">
        <f>IFERROR(__xludf.DUMMYFUNCTION("""COMPUTED_VALUE"""),"provincial")</f>
        <v>provincial</v>
      </c>
      <c r="Q1581" s="6">
        <f>IFERROR(__xludf.DUMMYFUNCTION("""COMPUTED_VALUE"""),3.0)</f>
        <v>3</v>
      </c>
      <c r="S1581" s="6" t="str">
        <f>IFERROR(__xludf.DUMMYFUNCTION("""COMPUTED_VALUE"""),"pre")</f>
        <v>pre</v>
      </c>
    </row>
    <row r="1582">
      <c r="B1582" s="6"/>
      <c r="D1582" s="6"/>
      <c r="G1582" s="6"/>
      <c r="H1582" s="6" t="str">
        <f>IFERROR(__xludf.DUMMYFUNCTION("""COMPUTED_VALUE"""),"collateral")</f>
        <v>collateral</v>
      </c>
      <c r="I1582" s="6"/>
      <c r="J1582" s="6" t="str">
        <f>IFERROR(__xludf.DUMMYFUNCTION("""COMPUTED_VALUE"""),"weakly")</f>
        <v>weakly</v>
      </c>
      <c r="L1582" s="6" t="str">
        <f>IFERROR(__xludf.DUMMYFUNCTION("""COMPUTED_VALUE"""),"lending")</f>
        <v>lending</v>
      </c>
      <c r="M1582" s="6" t="str">
        <f>IFERROR(__xludf.DUMMYFUNCTION("""COMPUTED_VALUE"""),"marine")</f>
        <v>marine</v>
      </c>
      <c r="N1582" s="6" t="str">
        <f>IFERROR(__xludf.DUMMYFUNCTION("""COMPUTED_VALUE"""),"stuart")</f>
        <v>stuart</v>
      </c>
      <c r="P1582" s="6" t="str">
        <f>IFERROR(__xludf.DUMMYFUNCTION("""COMPUTED_VALUE"""),"joins")</f>
        <v>joins</v>
      </c>
      <c r="Q1582" s="6" t="str">
        <f>IFERROR(__xludf.DUMMYFUNCTION("""COMPUTED_VALUE"""),"molina")</f>
        <v>molina</v>
      </c>
      <c r="S1582" s="6" t="str">
        <f>IFERROR(__xludf.DUMMYFUNCTION("""COMPUTED_VALUE"""),"characterized")</f>
        <v>characterized</v>
      </c>
    </row>
    <row r="1583">
      <c r="B1583" s="6"/>
      <c r="D1583" s="6"/>
      <c r="G1583" s="6"/>
      <c r="H1583" s="6" t="str">
        <f>IFERROR(__xludf.DUMMYFUNCTION("""COMPUTED_VALUE"""),"archive")</f>
        <v>archive</v>
      </c>
      <c r="I1583" s="6"/>
      <c r="J1583" s="6" t="str">
        <f>IFERROR(__xludf.DUMMYFUNCTION("""COMPUTED_VALUE"""),"clyde")</f>
        <v>clyde</v>
      </c>
      <c r="L1583" s="6" t="str">
        <f>IFERROR(__xludf.DUMMYFUNCTION("""COMPUTED_VALUE"""),"charms")</f>
        <v>charms</v>
      </c>
      <c r="M1583" s="6" t="str">
        <f>IFERROR(__xludf.DUMMYFUNCTION("""COMPUTED_VALUE"""),"graves")</f>
        <v>graves</v>
      </c>
      <c r="N1583" s="6" t="str">
        <f>IFERROR(__xludf.DUMMYFUNCTION("""COMPUTED_VALUE"""),"distinguished")</f>
        <v>distinguished</v>
      </c>
      <c r="P1583" s="6" t="str">
        <f>IFERROR(__xludf.DUMMYFUNCTION("""COMPUTED_VALUE"""),"fraser")</f>
        <v>fraser</v>
      </c>
      <c r="Q1583" s="6" t="str">
        <f>IFERROR(__xludf.DUMMYFUNCTION("""COMPUTED_VALUE"""),"kang")</f>
        <v>kang</v>
      </c>
      <c r="S1583" s="6" t="str">
        <f>IFERROR(__xludf.DUMMYFUNCTION("""COMPUTED_VALUE"""),"bronze")</f>
        <v>bronze</v>
      </c>
    </row>
    <row r="1584">
      <c r="B1584" s="6"/>
      <c r="D1584" s="6"/>
      <c r="G1584" s="6"/>
      <c r="H1584" s="6" t="str">
        <f>IFERROR(__xludf.DUMMYFUNCTION("""COMPUTED_VALUE"""),"specific")</f>
        <v>specific</v>
      </c>
      <c r="I1584" s="6"/>
      <c r="J1584" s="6" t="str">
        <f>IFERROR(__xludf.DUMMYFUNCTION("""COMPUTED_VALUE"""),"wreck")</f>
        <v>wreck</v>
      </c>
      <c r="L1584" s="6" t="str">
        <f>IFERROR(__xludf.DUMMYFUNCTION("""COMPUTED_VALUE"""),"shimmering")</f>
        <v>shimmering</v>
      </c>
      <c r="M1584" s="6" t="str">
        <f>IFERROR(__xludf.DUMMYFUNCTION("""COMPUTED_VALUE"""),"champion")</f>
        <v>champion</v>
      </c>
      <c r="N1584" s="6" t="str">
        <f>IFERROR(__xludf.DUMMYFUNCTION("""COMPUTED_VALUE"""),"bodily")</f>
        <v>bodily</v>
      </c>
      <c r="P1584" s="6" t="str">
        <f>IFERROR(__xludf.DUMMYFUNCTION("""COMPUTED_VALUE"""),"anton")</f>
        <v>anton</v>
      </c>
      <c r="Q1584" s="6" t="str">
        <f>IFERROR(__xludf.DUMMYFUNCTION("""COMPUTED_VALUE"""),"arresting")</f>
        <v>arresting</v>
      </c>
      <c r="S1584" s="6" t="str">
        <f>IFERROR(__xludf.DUMMYFUNCTION("""COMPUTED_VALUE"""),"relating")</f>
        <v>relating</v>
      </c>
    </row>
    <row r="1585">
      <c r="B1585" s="6"/>
      <c r="D1585" s="6"/>
      <c r="G1585" s="6"/>
      <c r="H1585" s="6" t="str">
        <f>IFERROR(__xludf.DUMMYFUNCTION("""COMPUTED_VALUE"""),"stills")</f>
        <v>stills</v>
      </c>
      <c r="I1585" s="6"/>
      <c r="J1585" s="6" t="str">
        <f>IFERROR(__xludf.DUMMYFUNCTION("""COMPUTED_VALUE"""),"curves")</f>
        <v>curves</v>
      </c>
      <c r="L1585" s="6" t="str">
        <f>IFERROR(__xludf.DUMMYFUNCTION("""COMPUTED_VALUE"""),"lina")</f>
        <v>lina</v>
      </c>
      <c r="M1585" s="6" t="str">
        <f>IFERROR(__xludf.DUMMYFUNCTION("""COMPUTED_VALUE"""),"terrorist")</f>
        <v>terrorist</v>
      </c>
      <c r="N1585" s="6" t="str">
        <f>IFERROR(__xludf.DUMMYFUNCTION("""COMPUTED_VALUE"""),"ecstasy")</f>
        <v>ecstasy</v>
      </c>
      <c r="P1585" s="6" t="str">
        <f>IFERROR(__xludf.DUMMYFUNCTION("""COMPUTED_VALUE"""),"fellowship")</f>
        <v>fellowship</v>
      </c>
      <c r="Q1585" s="6" t="str">
        <f>IFERROR(__xludf.DUMMYFUNCTION("""COMPUTED_VALUE"""),"idol")</f>
        <v>idol</v>
      </c>
      <c r="S1585" s="6" t="str">
        <f>IFERROR(__xludf.DUMMYFUNCTION("""COMPUTED_VALUE"""),"prepare")</f>
        <v>prepare</v>
      </c>
    </row>
    <row r="1586">
      <c r="B1586" s="6"/>
      <c r="D1586" s="6"/>
      <c r="G1586" s="6"/>
      <c r="H1586" s="6" t="str">
        <f>IFERROR(__xludf.DUMMYFUNCTION("""COMPUTED_VALUE"""),"grasp")</f>
        <v>grasp</v>
      </c>
      <c r="I1586" s="6"/>
      <c r="J1586" s="6" t="str">
        <f>IFERROR(__xludf.DUMMYFUNCTION("""COMPUTED_VALUE"""),"fashioned")</f>
        <v>fashioned</v>
      </c>
      <c r="L1586" s="6" t="str">
        <f>IFERROR(__xludf.DUMMYFUNCTION("""COMPUTED_VALUE"""),"prism")</f>
        <v>prism</v>
      </c>
      <c r="M1586" s="6" t="str">
        <f>IFERROR(__xludf.DUMMYFUNCTION("""COMPUTED_VALUE"""),"sustained")</f>
        <v>sustained</v>
      </c>
      <c r="N1586" s="6" t="str">
        <f>IFERROR(__xludf.DUMMYFUNCTION("""COMPUTED_VALUE"""),"isolation")</f>
        <v>isolation</v>
      </c>
      <c r="P1586" s="6" t="str">
        <f>IFERROR(__xludf.DUMMYFUNCTION("""COMPUTED_VALUE"""),"framework")</f>
        <v>framework</v>
      </c>
      <c r="Q1586" s="6" t="str">
        <f>IFERROR(__xludf.DUMMYFUNCTION("""COMPUTED_VALUE"""),"craven")</f>
        <v>craven</v>
      </c>
      <c r="S1586" s="6">
        <f>IFERROR(__xludf.DUMMYFUNCTION("""COMPUTED_VALUE"""),1958.0)</f>
        <v>1958</v>
      </c>
    </row>
    <row r="1587">
      <c r="B1587" s="6"/>
      <c r="D1587" s="6"/>
      <c r="G1587" s="6"/>
      <c r="H1587" s="6" t="str">
        <f>IFERROR(__xludf.DUMMYFUNCTION("""COMPUTED_VALUE"""),"insignificant")</f>
        <v>insignificant</v>
      </c>
      <c r="I1587" s="6"/>
      <c r="J1587" s="6" t="str">
        <f>IFERROR(__xludf.DUMMYFUNCTION("""COMPUTED_VALUE"""),"strains")</f>
        <v>strains</v>
      </c>
      <c r="L1587" s="6" t="str">
        <f>IFERROR(__xludf.DUMMYFUNCTION("""COMPUTED_VALUE"""),"juliette")</f>
        <v>juliette</v>
      </c>
      <c r="M1587" s="6" t="str">
        <f>IFERROR(__xludf.DUMMYFUNCTION("""COMPUTED_VALUE"""),"refers")</f>
        <v>refers</v>
      </c>
      <c r="N1587" s="6" t="str">
        <f>IFERROR(__xludf.DUMMYFUNCTION("""COMPUTED_VALUE"""),"childish")</f>
        <v>childish</v>
      </c>
      <c r="P1587" s="6" t="str">
        <f>IFERROR(__xludf.DUMMYFUNCTION("""COMPUTED_VALUE"""),"detective")</f>
        <v>detective</v>
      </c>
      <c r="Q1587" s="6" t="str">
        <f>IFERROR(__xludf.DUMMYFUNCTION("""COMPUTED_VALUE"""),"soul")</f>
        <v>soul</v>
      </c>
      <c r="S1587" s="6" t="str">
        <f>IFERROR(__xludf.DUMMYFUNCTION("""COMPUTED_VALUE"""),"races")</f>
        <v>races</v>
      </c>
    </row>
    <row r="1588">
      <c r="B1588" s="6"/>
      <c r="D1588" s="6"/>
      <c r="G1588" s="6"/>
      <c r="H1588" s="6" t="str">
        <f>IFERROR(__xludf.DUMMYFUNCTION("""COMPUTED_VALUE"""),"examines")</f>
        <v>examines</v>
      </c>
      <c r="I1588" s="6"/>
      <c r="J1588" s="6" t="str">
        <f>IFERROR(__xludf.DUMMYFUNCTION("""COMPUTED_VALUE"""),"jolt")</f>
        <v>jolt</v>
      </c>
      <c r="L1588" s="6" t="str">
        <f>IFERROR(__xludf.DUMMYFUNCTION("""COMPUTED_VALUE"""),"monument")</f>
        <v>monument</v>
      </c>
      <c r="M1588" s="6" t="str">
        <f>IFERROR(__xludf.DUMMYFUNCTION("""COMPUTED_VALUE"""),"heavyweight")</f>
        <v>heavyweight</v>
      </c>
      <c r="N1588" s="6" t="str">
        <f>IFERROR(__xludf.DUMMYFUNCTION("""COMPUTED_VALUE"""),"subtly")</f>
        <v>subtly</v>
      </c>
      <c r="P1588" s="6" t="str">
        <f>IFERROR(__xludf.DUMMYFUNCTION("""COMPUTED_VALUE"""),"scoring")</f>
        <v>scoring</v>
      </c>
      <c r="Q1588" s="6" t="str">
        <f>IFERROR(__xludf.DUMMYFUNCTION("""COMPUTED_VALUE"""),"warriors")</f>
        <v>warriors</v>
      </c>
      <c r="S1588" s="6" t="str">
        <f>IFERROR(__xludf.DUMMYFUNCTION("""COMPUTED_VALUE"""),"loving")</f>
        <v>loving</v>
      </c>
    </row>
    <row r="1589">
      <c r="B1589" s="6"/>
      <c r="D1589" s="6"/>
      <c r="G1589" s="6"/>
      <c r="H1589" s="6" t="str">
        <f>IFERROR(__xludf.DUMMYFUNCTION("""COMPUTED_VALUE"""),"tense")</f>
        <v>tense</v>
      </c>
      <c r="I1589" s="6"/>
      <c r="J1589" s="6" t="str">
        <f>IFERROR(__xludf.DUMMYFUNCTION("""COMPUTED_VALUE"""),"juliet")</f>
        <v>juliet</v>
      </c>
      <c r="L1589" s="6" t="str">
        <f>IFERROR(__xludf.DUMMYFUNCTION("""COMPUTED_VALUE"""),"proves")</f>
        <v>proves</v>
      </c>
      <c r="M1589" s="6" t="str">
        <f>IFERROR(__xludf.DUMMYFUNCTION("""COMPUTED_VALUE"""),"lucas")</f>
        <v>lucas</v>
      </c>
      <c r="N1589" s="6" t="str">
        <f>IFERROR(__xludf.DUMMYFUNCTION("""COMPUTED_VALUE"""),"despair")</f>
        <v>despair</v>
      </c>
      <c r="P1589" s="6" t="str">
        <f>IFERROR(__xludf.DUMMYFUNCTION("""COMPUTED_VALUE"""),"sword")</f>
        <v>sword</v>
      </c>
      <c r="Q1589" s="6" t="str">
        <f>IFERROR(__xludf.DUMMYFUNCTION("""COMPUTED_VALUE"""),"transparent")</f>
        <v>transparent</v>
      </c>
      <c r="S1589" s="6" t="str">
        <f>IFERROR(__xludf.DUMMYFUNCTION("""COMPUTED_VALUE"""),"luther")</f>
        <v>luther</v>
      </c>
    </row>
    <row r="1590">
      <c r="B1590" s="6"/>
      <c r="D1590" s="6"/>
      <c r="G1590" s="6"/>
      <c r="H1590" s="6" t="str">
        <f>IFERROR(__xludf.DUMMYFUNCTION("""COMPUTED_VALUE"""),"dismay")</f>
        <v>dismay</v>
      </c>
      <c r="I1590" s="6"/>
      <c r="J1590" s="6" t="str">
        <f>IFERROR(__xludf.DUMMYFUNCTION("""COMPUTED_VALUE"""),"exchanges")</f>
        <v>exchanges</v>
      </c>
      <c r="L1590" s="6" t="str">
        <f>IFERROR(__xludf.DUMMYFUNCTION("""COMPUTED_VALUE"""),"friendship")</f>
        <v>friendship</v>
      </c>
      <c r="M1590" s="6" t="str">
        <f>IFERROR(__xludf.DUMMYFUNCTION("""COMPUTED_VALUE"""),"marking")</f>
        <v>marking</v>
      </c>
      <c r="N1590" s="6" t="str">
        <f>IFERROR(__xludf.DUMMYFUNCTION("""COMPUTED_VALUE"""),"commerce")</f>
        <v>commerce</v>
      </c>
      <c r="P1590" s="6" t="str">
        <f>IFERROR(__xludf.DUMMYFUNCTION("""COMPUTED_VALUE"""),"parent")</f>
        <v>parent</v>
      </c>
      <c r="Q1590" s="6" t="str">
        <f>IFERROR(__xludf.DUMMYFUNCTION("""COMPUTED_VALUE"""),"relate")</f>
        <v>relate</v>
      </c>
      <c r="S1590" s="6" t="str">
        <f>IFERROR(__xludf.DUMMYFUNCTION("""COMPUTED_VALUE"""),"frequent")</f>
        <v>frequent</v>
      </c>
    </row>
    <row r="1591">
      <c r="B1591" s="6"/>
      <c r="D1591" s="6"/>
      <c r="G1591" s="6"/>
      <c r="H1591" s="6" t="str">
        <f>IFERROR(__xludf.DUMMYFUNCTION("""COMPUTED_VALUE"""),"explores")</f>
        <v>explores</v>
      </c>
      <c r="I1591" s="6"/>
      <c r="J1591" s="6" t="str">
        <f>IFERROR(__xludf.DUMMYFUNCTION("""COMPUTED_VALUE"""),"staggered")</f>
        <v>staggered</v>
      </c>
      <c r="L1591" s="6" t="str">
        <f>IFERROR(__xludf.DUMMYFUNCTION("""COMPUTED_VALUE"""),"cinematic")</f>
        <v>cinematic</v>
      </c>
      <c r="M1591" s="6" t="str">
        <f>IFERROR(__xludf.DUMMYFUNCTION("""COMPUTED_VALUE"""),"marshall")</f>
        <v>marshall</v>
      </c>
      <c r="N1591" s="6" t="str">
        <f>IFERROR(__xludf.DUMMYFUNCTION("""COMPUTED_VALUE"""),"egypt")</f>
        <v>egypt</v>
      </c>
      <c r="P1591" s="6" t="str">
        <f>IFERROR(__xludf.DUMMYFUNCTION("""COMPUTED_VALUE"""),"brow")</f>
        <v>brow</v>
      </c>
      <c r="Q1591" s="6" t="str">
        <f>IFERROR(__xludf.DUMMYFUNCTION("""COMPUTED_VALUE"""),"accidental")</f>
        <v>accidental</v>
      </c>
      <c r="S1591" s="6" t="str">
        <f>IFERROR(__xludf.DUMMYFUNCTION("""COMPUTED_VALUE"""),"doctorate")</f>
        <v>doctorate</v>
      </c>
    </row>
    <row r="1592">
      <c r="B1592" s="6"/>
      <c r="D1592" s="6"/>
      <c r="G1592" s="6"/>
      <c r="H1592" s="6" t="str">
        <f>IFERROR(__xludf.DUMMYFUNCTION("""COMPUTED_VALUE"""),"reinforcement")</f>
        <v>reinforcement</v>
      </c>
      <c r="I1592" s="6"/>
      <c r="J1592" s="6" t="str">
        <f>IFERROR(__xludf.DUMMYFUNCTION("""COMPUTED_VALUE"""),"suspects")</f>
        <v>suspects</v>
      </c>
      <c r="L1592" s="6" t="str">
        <f>IFERROR(__xludf.DUMMYFUNCTION("""COMPUTED_VALUE"""),"cameo")</f>
        <v>cameo</v>
      </c>
      <c r="M1592" s="6" t="str">
        <f>IFERROR(__xludf.DUMMYFUNCTION("""COMPUTED_VALUE"""),"harvard")</f>
        <v>harvard</v>
      </c>
      <c r="N1592" s="6" t="str">
        <f>IFERROR(__xludf.DUMMYFUNCTION("""COMPUTED_VALUE"""),"palestinian")</f>
        <v>palestinian</v>
      </c>
      <c r="P1592" s="6" t="str">
        <f>IFERROR(__xludf.DUMMYFUNCTION("""COMPUTED_VALUE"""),"divisions")</f>
        <v>divisions</v>
      </c>
      <c r="Q1592" s="6" t="str">
        <f>IFERROR(__xludf.DUMMYFUNCTION("""COMPUTED_VALUE"""),"hewitt")</f>
        <v>hewitt</v>
      </c>
      <c r="S1592" s="6" t="str">
        <f>IFERROR(__xludf.DUMMYFUNCTION("""COMPUTED_VALUE"""),"mid")</f>
        <v>mid</v>
      </c>
    </row>
    <row r="1593">
      <c r="B1593" s="6"/>
      <c r="D1593" s="6"/>
      <c r="G1593" s="6"/>
      <c r="H1593" s="6" t="str">
        <f>IFERROR(__xludf.DUMMYFUNCTION("""COMPUTED_VALUE"""),"distinguish")</f>
        <v>distinguish</v>
      </c>
      <c r="I1593" s="6"/>
      <c r="J1593" s="6" t="str">
        <f>IFERROR(__xludf.DUMMYFUNCTION("""COMPUTED_VALUE"""),"forcefully")</f>
        <v>forcefully</v>
      </c>
      <c r="L1593" s="6" t="str">
        <f>IFERROR(__xludf.DUMMYFUNCTION("""COMPUTED_VALUE"""),"mcgrath")</f>
        <v>mcgrath</v>
      </c>
      <c r="M1593" s="6" t="str">
        <f>IFERROR(__xludf.DUMMYFUNCTION("""COMPUTED_VALUE"""),"gently")</f>
        <v>gently</v>
      </c>
      <c r="N1593" s="6" t="str">
        <f>IFERROR(__xludf.DUMMYFUNCTION("""COMPUTED_VALUE"""),"odyssey")</f>
        <v>odyssey</v>
      </c>
      <c r="P1593" s="6" t="str">
        <f>IFERROR(__xludf.DUMMYFUNCTION("""COMPUTED_VALUE"""),"graves")</f>
        <v>graves</v>
      </c>
      <c r="Q1593" s="6" t="str">
        <f>IFERROR(__xludf.DUMMYFUNCTION("""COMPUTED_VALUE"""),"inadequate")</f>
        <v>inadequate</v>
      </c>
      <c r="S1593" s="6" t="str">
        <f>IFERROR(__xludf.DUMMYFUNCTION("""COMPUTED_VALUE"""),"insane")</f>
        <v>insane</v>
      </c>
    </row>
    <row r="1594">
      <c r="B1594" s="6"/>
      <c r="D1594" s="6"/>
      <c r="G1594" s="6"/>
      <c r="H1594" s="6" t="str">
        <f>IFERROR(__xludf.DUMMYFUNCTION("""COMPUTED_VALUE"""),"exploit")</f>
        <v>exploit</v>
      </c>
      <c r="I1594" s="6"/>
      <c r="J1594" s="6" t="str">
        <f>IFERROR(__xludf.DUMMYFUNCTION("""COMPUTED_VALUE"""),"combustion")</f>
        <v>combustion</v>
      </c>
      <c r="L1594" s="6" t="str">
        <f>IFERROR(__xludf.DUMMYFUNCTION("""COMPUTED_VALUE"""),"clocks")</f>
        <v>clocks</v>
      </c>
      <c r="M1594" s="6" t="str">
        <f>IFERROR(__xludf.DUMMYFUNCTION("""COMPUTED_VALUE"""),"writes")</f>
        <v>writes</v>
      </c>
      <c r="N1594" s="6" t="str">
        <f>IFERROR(__xludf.DUMMYFUNCTION("""COMPUTED_VALUE"""),"strategic")</f>
        <v>strategic</v>
      </c>
      <c r="P1594" s="6" t="str">
        <f>IFERROR(__xludf.DUMMYFUNCTION("""COMPUTED_VALUE"""),"generations")</f>
        <v>generations</v>
      </c>
      <c r="Q1594" s="6" t="str">
        <f>IFERROR(__xludf.DUMMYFUNCTION("""COMPUTED_VALUE"""),"adrenaline")</f>
        <v>adrenaline</v>
      </c>
      <c r="S1594" s="6" t="str">
        <f>IFERROR(__xludf.DUMMYFUNCTION("""COMPUTED_VALUE"""),"aggressive")</f>
        <v>aggressive</v>
      </c>
    </row>
    <row r="1595">
      <c r="B1595" s="6"/>
      <c r="D1595" s="6"/>
      <c r="G1595" s="6"/>
      <c r="H1595" s="6" t="str">
        <f>IFERROR(__xludf.DUMMYFUNCTION("""COMPUTED_VALUE"""),"holocaust")</f>
        <v>holocaust</v>
      </c>
      <c r="I1595" s="6"/>
      <c r="J1595" s="6" t="str">
        <f>IFERROR(__xludf.DUMMYFUNCTION("""COMPUTED_VALUE"""),"sketches")</f>
        <v>sketches</v>
      </c>
      <c r="L1595" s="6" t="str">
        <f>IFERROR(__xludf.DUMMYFUNCTION("""COMPUTED_VALUE"""),"madonna")</f>
        <v>madonna</v>
      </c>
      <c r="M1595" s="6" t="str">
        <f>IFERROR(__xludf.DUMMYFUNCTION("""COMPUTED_VALUE"""),"viewed")</f>
        <v>viewed</v>
      </c>
      <c r="N1595" s="6" t="str">
        <f>IFERROR(__xludf.DUMMYFUNCTION("""COMPUTED_VALUE"""),"demons")</f>
        <v>demons</v>
      </c>
      <c r="P1595" s="6" t="str">
        <f>IFERROR(__xludf.DUMMYFUNCTION("""COMPUTED_VALUE"""),"enemies")</f>
        <v>enemies</v>
      </c>
      <c r="Q1595" s="6" t="str">
        <f>IFERROR(__xludf.DUMMYFUNCTION("""COMPUTED_VALUE"""),"preserving")</f>
        <v>preserving</v>
      </c>
      <c r="S1595" s="6" t="str">
        <f>IFERROR(__xludf.DUMMYFUNCTION("""COMPUTED_VALUE"""),"prison")</f>
        <v>prison</v>
      </c>
    </row>
    <row r="1596">
      <c r="B1596" s="6"/>
      <c r="D1596" s="6"/>
      <c r="G1596" s="6"/>
      <c r="H1596" s="6" t="str">
        <f>IFERROR(__xludf.DUMMYFUNCTION("""COMPUTED_VALUE"""),"streamed")</f>
        <v>streamed</v>
      </c>
      <c r="I1596" s="6"/>
      <c r="J1596" s="6" t="str">
        <f>IFERROR(__xludf.DUMMYFUNCTION("""COMPUTED_VALUE"""),"barlow")</f>
        <v>barlow</v>
      </c>
      <c r="L1596" s="6" t="str">
        <f>IFERROR(__xludf.DUMMYFUNCTION("""COMPUTED_VALUE"""),"racial")</f>
        <v>racial</v>
      </c>
      <c r="M1596" s="6" t="str">
        <f>IFERROR(__xludf.DUMMYFUNCTION("""COMPUTED_VALUE"""),"christopher")</f>
        <v>christopher</v>
      </c>
      <c r="N1596" s="6" t="str">
        <f>IFERROR(__xludf.DUMMYFUNCTION("""COMPUTED_VALUE"""),"genesis")</f>
        <v>genesis</v>
      </c>
      <c r="P1596" s="6" t="str">
        <f>IFERROR(__xludf.DUMMYFUNCTION("""COMPUTED_VALUE"""),"theological")</f>
        <v>theological</v>
      </c>
      <c r="Q1596" s="6" t="str">
        <f>IFERROR(__xludf.DUMMYFUNCTION("""COMPUTED_VALUE"""),"tendency")</f>
        <v>tendency</v>
      </c>
      <c r="S1596" s="6">
        <f>IFERROR(__xludf.DUMMYFUNCTION("""COMPUTED_VALUE"""),25.0)</f>
        <v>25</v>
      </c>
    </row>
    <row r="1597">
      <c r="B1597" s="6"/>
      <c r="D1597" s="6"/>
      <c r="G1597" s="6"/>
      <c r="H1597" s="6" t="str">
        <f>IFERROR(__xludf.DUMMYFUNCTION("""COMPUTED_VALUE"""),"iran")</f>
        <v>iran</v>
      </c>
      <c r="I1597" s="6"/>
      <c r="J1597" s="6" t="str">
        <f>IFERROR(__xludf.DUMMYFUNCTION("""COMPUTED_VALUE"""),"buried")</f>
        <v>buried</v>
      </c>
      <c r="L1597" s="6" t="str">
        <f>IFERROR(__xludf.DUMMYFUNCTION("""COMPUTED_VALUE"""),"wesley")</f>
        <v>wesley</v>
      </c>
      <c r="M1597" s="6" t="str">
        <f>IFERROR(__xludf.DUMMYFUNCTION("""COMPUTED_VALUE"""),"backward")</f>
        <v>backward</v>
      </c>
      <c r="N1597" s="6" t="str">
        <f>IFERROR(__xludf.DUMMYFUNCTION("""COMPUTED_VALUE"""),"sibling")</f>
        <v>sibling</v>
      </c>
      <c r="P1597" s="6" t="str">
        <f>IFERROR(__xludf.DUMMYFUNCTION("""COMPUTED_VALUE"""),"hitler")</f>
        <v>hitler</v>
      </c>
      <c r="Q1597" s="6" t="str">
        <f>IFERROR(__xludf.DUMMYFUNCTION("""COMPUTED_VALUE"""),"lectures")</f>
        <v>lectures</v>
      </c>
      <c r="S1597" s="6" t="str">
        <f>IFERROR(__xludf.DUMMYFUNCTION("""COMPUTED_VALUE"""),"effectively")</f>
        <v>effectively</v>
      </c>
    </row>
    <row r="1598">
      <c r="B1598" s="6"/>
      <c r="D1598" s="6"/>
      <c r="G1598" s="6"/>
      <c r="H1598" s="6" t="str">
        <f>IFERROR(__xludf.DUMMYFUNCTION("""COMPUTED_VALUE"""),"facades")</f>
        <v>facades</v>
      </c>
      <c r="I1598" s="6"/>
      <c r="J1598" s="6" t="str">
        <f>IFERROR(__xludf.DUMMYFUNCTION("""COMPUTED_VALUE"""),"coping")</f>
        <v>coping</v>
      </c>
      <c r="L1598" s="6" t="str">
        <f>IFERROR(__xludf.DUMMYFUNCTION("""COMPUTED_VALUE"""),"hughes")</f>
        <v>hughes</v>
      </c>
      <c r="M1598" s="6" t="str">
        <f>IFERROR(__xludf.DUMMYFUNCTION("""COMPUTED_VALUE"""),"comedian")</f>
        <v>comedian</v>
      </c>
      <c r="N1598" s="6" t="str">
        <f>IFERROR(__xludf.DUMMYFUNCTION("""COMPUTED_VALUE"""),"judd")</f>
        <v>judd</v>
      </c>
      <c r="P1598" s="6" t="str">
        <f>IFERROR(__xludf.DUMMYFUNCTION("""COMPUTED_VALUE"""),"writings")</f>
        <v>writings</v>
      </c>
      <c r="Q1598" s="6" t="str">
        <f>IFERROR(__xludf.DUMMYFUNCTION("""COMPUTED_VALUE"""),"vh1")</f>
        <v>vh1</v>
      </c>
      <c r="S1598" s="6" t="str">
        <f>IFERROR(__xludf.DUMMYFUNCTION("""COMPUTED_VALUE"""),"proof")</f>
        <v>proof</v>
      </c>
    </row>
    <row r="1599">
      <c r="B1599" s="6"/>
      <c r="D1599" s="6"/>
      <c r="G1599" s="6"/>
      <c r="H1599" s="6" t="str">
        <f>IFERROR(__xludf.DUMMYFUNCTION("""COMPUTED_VALUE"""),"anchors")</f>
        <v>anchors</v>
      </c>
      <c r="I1599" s="6"/>
      <c r="J1599" s="6" t="str">
        <f>IFERROR(__xludf.DUMMYFUNCTION("""COMPUTED_VALUE"""),"winger")</f>
        <v>winger</v>
      </c>
      <c r="L1599" s="6" t="str">
        <f>IFERROR(__xludf.DUMMYFUNCTION("""COMPUTED_VALUE"""),"distances")</f>
        <v>distances</v>
      </c>
      <c r="M1599" s="6" t="str">
        <f>IFERROR(__xludf.DUMMYFUNCTION("""COMPUTED_VALUE"""),"literature")</f>
        <v>literature</v>
      </c>
      <c r="N1599" s="6" t="str">
        <f>IFERROR(__xludf.DUMMYFUNCTION("""COMPUTED_VALUE"""),"topical")</f>
        <v>topical</v>
      </c>
      <c r="P1599" s="6" t="str">
        <f>IFERROR(__xludf.DUMMYFUNCTION("""COMPUTED_VALUE"""),"clinical")</f>
        <v>clinical</v>
      </c>
      <c r="Q1599" s="6" t="str">
        <f>IFERROR(__xludf.DUMMYFUNCTION("""COMPUTED_VALUE"""),"terrorist")</f>
        <v>terrorist</v>
      </c>
      <c r="S1599" s="6" t="str">
        <f>IFERROR(__xludf.DUMMYFUNCTION("""COMPUTED_VALUE"""),"concentration")</f>
        <v>concentration</v>
      </c>
    </row>
    <row r="1600">
      <c r="B1600" s="6"/>
      <c r="D1600" s="6"/>
      <c r="G1600" s="6"/>
      <c r="H1600" s="6" t="str">
        <f>IFERROR(__xludf.DUMMYFUNCTION("""COMPUTED_VALUE"""),"expects")</f>
        <v>expects</v>
      </c>
      <c r="I1600" s="6"/>
      <c r="J1600" s="6" t="str">
        <f>IFERROR(__xludf.DUMMYFUNCTION("""COMPUTED_VALUE"""),"eccentric")</f>
        <v>eccentric</v>
      </c>
      <c r="L1600" s="6" t="str">
        <f>IFERROR(__xludf.DUMMYFUNCTION("""COMPUTED_VALUE"""),"expressive")</f>
        <v>expressive</v>
      </c>
      <c r="M1600" s="6" t="str">
        <f>IFERROR(__xludf.DUMMYFUNCTION("""COMPUTED_VALUE"""),"reid")</f>
        <v>reid</v>
      </c>
      <c r="N1600" s="6" t="str">
        <f>IFERROR(__xludf.DUMMYFUNCTION("""COMPUTED_VALUE"""),"pushes")</f>
        <v>pushes</v>
      </c>
      <c r="P1600" s="6">
        <f>IFERROR(__xludf.DUMMYFUNCTION("""COMPUTED_VALUE"""),1962.0)</f>
        <v>1962</v>
      </c>
      <c r="Q1600" s="6" t="str">
        <f>IFERROR(__xludf.DUMMYFUNCTION("""COMPUTED_VALUE"""),"gaze")</f>
        <v>gaze</v>
      </c>
      <c r="S1600" s="6" t="str">
        <f>IFERROR(__xludf.DUMMYFUNCTION("""COMPUTED_VALUE"""),"lawyers")</f>
        <v>lawyers</v>
      </c>
    </row>
    <row r="1601">
      <c r="B1601" s="6"/>
      <c r="D1601" s="6"/>
      <c r="G1601" s="6"/>
      <c r="H1601" s="6" t="str">
        <f>IFERROR(__xludf.DUMMYFUNCTION("""COMPUTED_VALUE"""),"gloom")</f>
        <v>gloom</v>
      </c>
      <c r="I1601" s="6"/>
      <c r="J1601" s="6" t="str">
        <f>IFERROR(__xludf.DUMMYFUNCTION("""COMPUTED_VALUE"""),"reagan")</f>
        <v>reagan</v>
      </c>
      <c r="L1601" s="6" t="str">
        <f>IFERROR(__xludf.DUMMYFUNCTION("""COMPUTED_VALUE"""),"animation")</f>
        <v>animation</v>
      </c>
      <c r="M1601" s="6" t="str">
        <f>IFERROR(__xludf.DUMMYFUNCTION("""COMPUTED_VALUE"""),"recording")</f>
        <v>recording</v>
      </c>
      <c r="N1601" s="6" t="str">
        <f>IFERROR(__xludf.DUMMYFUNCTION("""COMPUTED_VALUE"""),"mira")</f>
        <v>mira</v>
      </c>
      <c r="P1601" s="6">
        <f>IFERROR(__xludf.DUMMYFUNCTION("""COMPUTED_VALUE"""),1987.0)</f>
        <v>1987</v>
      </c>
      <c r="Q1601" s="6" t="str">
        <f>IFERROR(__xludf.DUMMYFUNCTION("""COMPUTED_VALUE"""),"chuckles")</f>
        <v>chuckles</v>
      </c>
      <c r="S1601" s="6" t="str">
        <f>IFERROR(__xludf.DUMMYFUNCTION("""COMPUTED_VALUE"""),"pot")</f>
        <v>pot</v>
      </c>
    </row>
    <row r="1602">
      <c r="B1602" s="6"/>
      <c r="D1602" s="6"/>
      <c r="G1602" s="6"/>
      <c r="H1602" s="6" t="str">
        <f>IFERROR(__xludf.DUMMYFUNCTION("""COMPUTED_VALUE"""),"hideous")</f>
        <v>hideous</v>
      </c>
      <c r="I1602" s="6"/>
      <c r="J1602" s="6" t="str">
        <f>IFERROR(__xludf.DUMMYFUNCTION("""COMPUTED_VALUE"""),"damon")</f>
        <v>damon</v>
      </c>
      <c r="L1602" s="6" t="str">
        <f>IFERROR(__xludf.DUMMYFUNCTION("""COMPUTED_VALUE"""),"destiny")</f>
        <v>destiny</v>
      </c>
      <c r="M1602" s="6" t="str">
        <f>IFERROR(__xludf.DUMMYFUNCTION("""COMPUTED_VALUE"""),"document")</f>
        <v>document</v>
      </c>
      <c r="N1602" s="6" t="str">
        <f>IFERROR(__xludf.DUMMYFUNCTION("""COMPUTED_VALUE"""),"secretary")</f>
        <v>secretary</v>
      </c>
      <c r="P1602" s="6" t="str">
        <f>IFERROR(__xludf.DUMMYFUNCTION("""COMPUTED_VALUE"""),"commune")</f>
        <v>commune</v>
      </c>
      <c r="Q1602" s="6" t="str">
        <f>IFERROR(__xludf.DUMMYFUNCTION("""COMPUTED_VALUE"""),"album")</f>
        <v>album</v>
      </c>
      <c r="S1602" s="6" t="str">
        <f>IFERROR(__xludf.DUMMYFUNCTION("""COMPUTED_VALUE"""),"stakes")</f>
        <v>stakes</v>
      </c>
    </row>
    <row r="1603">
      <c r="B1603" s="6"/>
      <c r="D1603" s="6"/>
      <c r="G1603" s="6"/>
      <c r="H1603" s="6" t="str">
        <f>IFERROR(__xludf.DUMMYFUNCTION("""COMPUTED_VALUE"""),"throbbing")</f>
        <v>throbbing</v>
      </c>
      <c r="I1603" s="6"/>
      <c r="J1603" s="6">
        <f>IFERROR(__xludf.DUMMYFUNCTION("""COMPUTED_VALUE"""),163.0)</f>
        <v>163</v>
      </c>
      <c r="L1603" s="6" t="str">
        <f>IFERROR(__xludf.DUMMYFUNCTION("""COMPUTED_VALUE"""),"morgan")</f>
        <v>morgan</v>
      </c>
      <c r="M1603" s="6" t="str">
        <f>IFERROR(__xludf.DUMMYFUNCTION("""COMPUTED_VALUE"""),"edward")</f>
        <v>edward</v>
      </c>
      <c r="N1603" s="6" t="str">
        <f>IFERROR(__xludf.DUMMYFUNCTION("""COMPUTED_VALUE"""),"pivotal")</f>
        <v>pivotal</v>
      </c>
      <c r="P1603" s="6" t="str">
        <f>IFERROR(__xludf.DUMMYFUNCTION("""COMPUTED_VALUE"""),"casualties")</f>
        <v>casualties</v>
      </c>
      <c r="Q1603" s="6" t="str">
        <f>IFERROR(__xludf.DUMMYFUNCTION("""COMPUTED_VALUE"""),"sheridan")</f>
        <v>sheridan</v>
      </c>
      <c r="S1603" s="6" t="str">
        <f>IFERROR(__xludf.DUMMYFUNCTION("""COMPUTED_VALUE"""),"ran")</f>
        <v>ran</v>
      </c>
    </row>
    <row r="1604">
      <c r="B1604" s="6"/>
      <c r="D1604" s="6"/>
      <c r="G1604" s="6"/>
      <c r="H1604" s="6" t="str">
        <f>IFERROR(__xludf.DUMMYFUNCTION("""COMPUTED_VALUE"""),"myth")</f>
        <v>myth</v>
      </c>
      <c r="I1604" s="6"/>
      <c r="J1604" s="6" t="str">
        <f>IFERROR(__xludf.DUMMYFUNCTION("""COMPUTED_VALUE"""),"iii")</f>
        <v>iii</v>
      </c>
      <c r="L1604" s="6" t="str">
        <f>IFERROR(__xludf.DUMMYFUNCTION("""COMPUTED_VALUE"""),"infants")</f>
        <v>infants</v>
      </c>
      <c r="M1604" s="6" t="str">
        <f>IFERROR(__xludf.DUMMYFUNCTION("""COMPUTED_VALUE"""),"argentine")</f>
        <v>argentine</v>
      </c>
      <c r="N1604" s="6" t="str">
        <f>IFERROR(__xludf.DUMMYFUNCTION("""COMPUTED_VALUE"""),"swords")</f>
        <v>swords</v>
      </c>
      <c r="P1604" s="6" t="str">
        <f>IFERROR(__xludf.DUMMYFUNCTION("""COMPUTED_VALUE"""),"expansion")</f>
        <v>expansion</v>
      </c>
      <c r="Q1604" s="6" t="str">
        <f>IFERROR(__xludf.DUMMYFUNCTION("""COMPUTED_VALUE"""),"stylized")</f>
        <v>stylized</v>
      </c>
      <c r="S1604" s="6" t="str">
        <f>IFERROR(__xludf.DUMMYFUNCTION("""COMPUTED_VALUE"""),"answer")</f>
        <v>answer</v>
      </c>
    </row>
    <row r="1605">
      <c r="B1605" s="6"/>
      <c r="D1605" s="6"/>
      <c r="G1605" s="6"/>
      <c r="H1605" s="6" t="str">
        <f>IFERROR(__xludf.DUMMYFUNCTION("""COMPUTED_VALUE"""),"heroic")</f>
        <v>heroic</v>
      </c>
      <c r="I1605" s="6"/>
      <c r="J1605" s="6" t="str">
        <f>IFERROR(__xludf.DUMMYFUNCTION("""COMPUTED_VALUE"""),"proposal")</f>
        <v>proposal</v>
      </c>
      <c r="L1605" s="6" t="str">
        <f>IFERROR(__xludf.DUMMYFUNCTION("""COMPUTED_VALUE"""),"empowerment")</f>
        <v>empowerment</v>
      </c>
      <c r="M1605" s="6" t="str">
        <f>IFERROR(__xludf.DUMMYFUNCTION("""COMPUTED_VALUE"""),"fairy")</f>
        <v>fairy</v>
      </c>
      <c r="N1605" s="6" t="str">
        <f>IFERROR(__xludf.DUMMYFUNCTION("""COMPUTED_VALUE"""),"resume")</f>
        <v>resume</v>
      </c>
      <c r="P1605" s="6" t="str">
        <f>IFERROR(__xludf.DUMMYFUNCTION("""COMPUTED_VALUE"""),"compositions")</f>
        <v>compositions</v>
      </c>
      <c r="Q1605" s="6" t="str">
        <f>IFERROR(__xludf.DUMMYFUNCTION("""COMPUTED_VALUE"""),"appropriated")</f>
        <v>appropriated</v>
      </c>
      <c r="S1605" s="6" t="str">
        <f>IFERROR(__xludf.DUMMYFUNCTION("""COMPUTED_VALUE"""),"er")</f>
        <v>er</v>
      </c>
    </row>
    <row r="1606">
      <c r="B1606" s="6"/>
      <c r="D1606" s="6"/>
      <c r="G1606" s="6"/>
      <c r="H1606" s="6" t="str">
        <f>IFERROR(__xludf.DUMMYFUNCTION("""COMPUTED_VALUE"""),"sprung")</f>
        <v>sprung</v>
      </c>
      <c r="I1606" s="6"/>
      <c r="J1606" s="6" t="str">
        <f>IFERROR(__xludf.DUMMYFUNCTION("""COMPUTED_VALUE"""),"eventual")</f>
        <v>eventual</v>
      </c>
      <c r="L1606" s="6">
        <f>IFERROR(__xludf.DUMMYFUNCTION("""COMPUTED_VALUE"""),1973.0)</f>
        <v>1973</v>
      </c>
      <c r="M1606" s="6" t="str">
        <f>IFERROR(__xludf.DUMMYFUNCTION("""COMPUTED_VALUE"""),"musicians")</f>
        <v>musicians</v>
      </c>
      <c r="N1606" s="6" t="str">
        <f>IFERROR(__xludf.DUMMYFUNCTION("""COMPUTED_VALUE"""),"integrated")</f>
        <v>integrated</v>
      </c>
      <c r="P1606" s="6" t="str">
        <f>IFERROR(__xludf.DUMMYFUNCTION("""COMPUTED_VALUE"""),"rose")</f>
        <v>rose</v>
      </c>
      <c r="Q1606" s="6" t="str">
        <f>IFERROR(__xludf.DUMMYFUNCTION("""COMPUTED_VALUE"""),"square")</f>
        <v>square</v>
      </c>
      <c r="S1606" s="6" t="str">
        <f>IFERROR(__xludf.DUMMYFUNCTION("""COMPUTED_VALUE"""),"mud")</f>
        <v>mud</v>
      </c>
    </row>
    <row r="1607">
      <c r="B1607" s="6"/>
      <c r="D1607" s="6"/>
      <c r="G1607" s="6"/>
      <c r="H1607" s="6" t="str">
        <f>IFERROR(__xludf.DUMMYFUNCTION("""COMPUTED_VALUE"""),"humidity")</f>
        <v>humidity</v>
      </c>
      <c r="I1607" s="6"/>
      <c r="J1607" s="6" t="str">
        <f>IFERROR(__xludf.DUMMYFUNCTION("""COMPUTED_VALUE"""),"commands")</f>
        <v>commands</v>
      </c>
      <c r="L1607" s="6" t="str">
        <f>IFERROR(__xludf.DUMMYFUNCTION("""COMPUTED_VALUE"""),"prolific")</f>
        <v>prolific</v>
      </c>
      <c r="M1607" s="6" t="str">
        <f>IFERROR(__xludf.DUMMYFUNCTION("""COMPUTED_VALUE"""),"appearing")</f>
        <v>appearing</v>
      </c>
      <c r="N1607" s="6" t="str">
        <f>IFERROR(__xludf.DUMMYFUNCTION("""COMPUTED_VALUE"""),"sacrificed")</f>
        <v>sacrificed</v>
      </c>
      <c r="P1607" s="6" t="str">
        <f>IFERROR(__xludf.DUMMYFUNCTION("""COMPUTED_VALUE"""),"kane")</f>
        <v>kane</v>
      </c>
      <c r="Q1607" s="6" t="str">
        <f>IFERROR(__xludf.DUMMYFUNCTION("""COMPUTED_VALUE"""),"hilary")</f>
        <v>hilary</v>
      </c>
      <c r="S1607" s="6" t="str">
        <f>IFERROR(__xludf.DUMMYFUNCTION("""COMPUTED_VALUE"""),"tucker")</f>
        <v>tucker</v>
      </c>
    </row>
    <row r="1608">
      <c r="B1608" s="6"/>
      <c r="D1608" s="6"/>
      <c r="G1608" s="6"/>
      <c r="H1608" s="6" t="str">
        <f>IFERROR(__xludf.DUMMYFUNCTION("""COMPUTED_VALUE"""),"expressions")</f>
        <v>expressions</v>
      </c>
      <c r="I1608" s="6"/>
      <c r="J1608" s="6" t="str">
        <f>IFERROR(__xludf.DUMMYFUNCTION("""COMPUTED_VALUE"""),"heavyweight")</f>
        <v>heavyweight</v>
      </c>
      <c r="L1608" s="6" t="str">
        <f>IFERROR(__xludf.DUMMYFUNCTION("""COMPUTED_VALUE"""),"lizard")</f>
        <v>lizard</v>
      </c>
      <c r="M1608" s="6" t="str">
        <f>IFERROR(__xludf.DUMMYFUNCTION("""COMPUTED_VALUE"""),"illustrated")</f>
        <v>illustrated</v>
      </c>
      <c r="N1608" s="6" t="str">
        <f>IFERROR(__xludf.DUMMYFUNCTION("""COMPUTED_VALUE"""),"distinguishing")</f>
        <v>distinguishing</v>
      </c>
      <c r="P1608" s="6" t="str">
        <f>IFERROR(__xludf.DUMMYFUNCTION("""COMPUTED_VALUE"""),"china")</f>
        <v>china</v>
      </c>
      <c r="Q1608" s="6" t="str">
        <f>IFERROR(__xludf.DUMMYFUNCTION("""COMPUTED_VALUE"""),"birmingham")</f>
        <v>birmingham</v>
      </c>
      <c r="S1608" s="6">
        <f>IFERROR(__xludf.DUMMYFUNCTION("""COMPUTED_VALUE"""),94.0)</f>
        <v>94</v>
      </c>
    </row>
    <row r="1609">
      <c r="B1609" s="6"/>
      <c r="D1609" s="6"/>
      <c r="G1609" s="6"/>
      <c r="H1609" s="6" t="str">
        <f>IFERROR(__xludf.DUMMYFUNCTION("""COMPUTED_VALUE"""),"appearing")</f>
        <v>appearing</v>
      </c>
      <c r="I1609" s="6"/>
      <c r="J1609" s="6" t="str">
        <f>IFERROR(__xludf.DUMMYFUNCTION("""COMPUTED_VALUE"""),"endangered")</f>
        <v>endangered</v>
      </c>
      <c r="L1609" s="6" t="str">
        <f>IFERROR(__xludf.DUMMYFUNCTION("""COMPUTED_VALUE"""),"celebrates")</f>
        <v>celebrates</v>
      </c>
      <c r="M1609" s="6" t="str">
        <f>IFERROR(__xludf.DUMMYFUNCTION("""COMPUTED_VALUE"""),"israel")</f>
        <v>israel</v>
      </c>
      <c r="N1609" s="6" t="str">
        <f>IFERROR(__xludf.DUMMYFUNCTION("""COMPUTED_VALUE"""),"accidental")</f>
        <v>accidental</v>
      </c>
      <c r="P1609" s="6" t="str">
        <f>IFERROR(__xludf.DUMMYFUNCTION("""COMPUTED_VALUE"""),"ram")</f>
        <v>ram</v>
      </c>
      <c r="Q1609" s="6" t="str">
        <f>IFERROR(__xludf.DUMMYFUNCTION("""COMPUTED_VALUE"""),"rural")</f>
        <v>rural</v>
      </c>
      <c r="S1609" s="6" t="str">
        <f>IFERROR(__xludf.DUMMYFUNCTION("""COMPUTED_VALUE"""),"attempted")</f>
        <v>attempted</v>
      </c>
    </row>
    <row r="1610">
      <c r="B1610" s="6"/>
      <c r="D1610" s="6"/>
      <c r="G1610" s="6"/>
      <c r="H1610" s="6" t="str">
        <f>IFERROR(__xludf.DUMMYFUNCTION("""COMPUTED_VALUE"""),"award")</f>
        <v>award</v>
      </c>
      <c r="I1610" s="6"/>
      <c r="J1610" s="6" t="str">
        <f>IFERROR(__xludf.DUMMYFUNCTION("""COMPUTED_VALUE"""),"unpaid")</f>
        <v>unpaid</v>
      </c>
      <c r="L1610" s="6" t="str">
        <f>IFERROR(__xludf.DUMMYFUNCTION("""COMPUTED_VALUE"""),"projectile")</f>
        <v>projectile</v>
      </c>
      <c r="M1610" s="6" t="str">
        <f>IFERROR(__xludf.DUMMYFUNCTION("""COMPUTED_VALUE"""),"innocent")</f>
        <v>innocent</v>
      </c>
      <c r="N1610" s="6" t="str">
        <f>IFERROR(__xludf.DUMMYFUNCTION("""COMPUTED_VALUE"""),"betrayal")</f>
        <v>betrayal</v>
      </c>
      <c r="P1610" s="6" t="str">
        <f>IFERROR(__xludf.DUMMYFUNCTION("""COMPUTED_VALUE"""),"australia")</f>
        <v>australia</v>
      </c>
      <c r="Q1610" s="6" t="str">
        <f>IFERROR(__xludf.DUMMYFUNCTION("""COMPUTED_VALUE"""),"sensitivity")</f>
        <v>sensitivity</v>
      </c>
      <c r="S1610" s="6" t="str">
        <f>IFERROR(__xludf.DUMMYFUNCTION("""COMPUTED_VALUE"""),"established")</f>
        <v>established</v>
      </c>
    </row>
    <row r="1611">
      <c r="B1611" s="6"/>
      <c r="D1611" s="6"/>
      <c r="G1611" s="6"/>
      <c r="H1611" s="6" t="str">
        <f>IFERROR(__xludf.DUMMYFUNCTION("""COMPUTED_VALUE"""),"televised")</f>
        <v>televised</v>
      </c>
      <c r="I1611" s="6"/>
      <c r="J1611" s="6" t="str">
        <f>IFERROR(__xludf.DUMMYFUNCTION("""COMPUTED_VALUE"""),"chaplin")</f>
        <v>chaplin</v>
      </c>
      <c r="L1611" s="6" t="str">
        <f>IFERROR(__xludf.DUMMYFUNCTION("""COMPUTED_VALUE"""),"pokemon")</f>
        <v>pokemon</v>
      </c>
      <c r="M1611" s="6" t="str">
        <f>IFERROR(__xludf.DUMMYFUNCTION("""COMPUTED_VALUE"""),"mtv")</f>
        <v>mtv</v>
      </c>
      <c r="N1611" s="6" t="str">
        <f>IFERROR(__xludf.DUMMYFUNCTION("""COMPUTED_VALUE"""),"fragile")</f>
        <v>fragile</v>
      </c>
      <c r="P1611" s="6" t="str">
        <f>IFERROR(__xludf.DUMMYFUNCTION("""COMPUTED_VALUE"""),"assets")</f>
        <v>assets</v>
      </c>
      <c r="Q1611" s="6" t="str">
        <f>IFERROR(__xludf.DUMMYFUNCTION("""COMPUTED_VALUE"""),"utilizing")</f>
        <v>utilizing</v>
      </c>
      <c r="S1611" s="6" t="str">
        <f>IFERROR(__xludf.DUMMYFUNCTION("""COMPUTED_VALUE"""),"powers")</f>
        <v>powers</v>
      </c>
    </row>
    <row r="1612">
      <c r="B1612" s="6"/>
      <c r="D1612" s="6"/>
      <c r="G1612" s="6"/>
      <c r="H1612" s="6" t="str">
        <f>IFERROR(__xludf.DUMMYFUNCTION("""COMPUTED_VALUE"""),"chord")</f>
        <v>chord</v>
      </c>
      <c r="I1612" s="6"/>
      <c r="J1612" s="6" t="str">
        <f>IFERROR(__xludf.DUMMYFUNCTION("""COMPUTED_VALUE"""),"fiercely")</f>
        <v>fiercely</v>
      </c>
      <c r="L1612" s="6" t="str">
        <f>IFERROR(__xludf.DUMMYFUNCTION("""COMPUTED_VALUE"""),"naval")</f>
        <v>naval</v>
      </c>
      <c r="M1612" s="6" t="str">
        <f>IFERROR(__xludf.DUMMYFUNCTION("""COMPUTED_VALUE"""),"thirteen")</f>
        <v>thirteen</v>
      </c>
      <c r="N1612" s="6" t="str">
        <f>IFERROR(__xludf.DUMMYFUNCTION("""COMPUTED_VALUE"""),"veil")</f>
        <v>veil</v>
      </c>
      <c r="P1612" s="6"/>
      <c r="Q1612" s="6" t="str">
        <f>IFERROR(__xludf.DUMMYFUNCTION("""COMPUTED_VALUE"""),"precision")</f>
        <v>precision</v>
      </c>
      <c r="S1612" s="6" t="str">
        <f>IFERROR(__xludf.DUMMYFUNCTION("""COMPUTED_VALUE"""),"segment")</f>
        <v>segment</v>
      </c>
    </row>
    <row r="1613">
      <c r="B1613" s="6"/>
      <c r="D1613" s="6"/>
      <c r="G1613" s="6"/>
      <c r="H1613" s="6" t="str">
        <f>IFERROR(__xludf.DUMMYFUNCTION("""COMPUTED_VALUE"""),"morals")</f>
        <v>morals</v>
      </c>
      <c r="I1613" s="6"/>
      <c r="J1613" s="6" t="str">
        <f>IFERROR(__xludf.DUMMYFUNCTION("""COMPUTED_VALUE"""),"exhaustion")</f>
        <v>exhaustion</v>
      </c>
      <c r="L1613" s="6" t="str">
        <f>IFERROR(__xludf.DUMMYFUNCTION("""COMPUTED_VALUE"""),"cleansing")</f>
        <v>cleansing</v>
      </c>
      <c r="M1613" s="6" t="str">
        <f>IFERROR(__xludf.DUMMYFUNCTION("""COMPUTED_VALUE"""),"wallace")</f>
        <v>wallace</v>
      </c>
      <c r="N1613" s="6" t="str">
        <f>IFERROR(__xludf.DUMMYFUNCTION("""COMPUTED_VALUE"""),"virtue")</f>
        <v>virtue</v>
      </c>
      <c r="P1613" s="6"/>
      <c r="Q1613" s="6" t="str">
        <f>IFERROR(__xludf.DUMMYFUNCTION("""COMPUTED_VALUE"""),"front")</f>
        <v>front</v>
      </c>
      <c r="S1613" s="6" t="str">
        <f>IFERROR(__xludf.DUMMYFUNCTION("""COMPUTED_VALUE"""),"fictional")</f>
        <v>fictional</v>
      </c>
    </row>
    <row r="1614">
      <c r="B1614" s="6"/>
      <c r="D1614" s="6"/>
      <c r="G1614" s="6"/>
      <c r="H1614" s="6" t="str">
        <f>IFERROR(__xludf.DUMMYFUNCTION("""COMPUTED_VALUE"""),"chronicle")</f>
        <v>chronicle</v>
      </c>
      <c r="I1614" s="6"/>
      <c r="J1614" s="6" t="str">
        <f>IFERROR(__xludf.DUMMYFUNCTION("""COMPUTED_VALUE"""),"installment")</f>
        <v>installment</v>
      </c>
      <c r="L1614" s="6" t="str">
        <f>IFERROR(__xludf.DUMMYFUNCTION("""COMPUTED_VALUE"""),"depicted")</f>
        <v>depicted</v>
      </c>
      <c r="M1614" s="6" t="str">
        <f>IFERROR(__xludf.DUMMYFUNCTION("""COMPUTED_VALUE"""),"adventures")</f>
        <v>adventures</v>
      </c>
      <c r="N1614" s="6" t="str">
        <f>IFERROR(__xludf.DUMMYFUNCTION("""COMPUTED_VALUE"""),"veins")</f>
        <v>veins</v>
      </c>
      <c r="P1614" s="6"/>
      <c r="Q1614" s="6" t="str">
        <f>IFERROR(__xludf.DUMMYFUNCTION("""COMPUTED_VALUE"""),"aspirations")</f>
        <v>aspirations</v>
      </c>
      <c r="S1614" s="6" t="str">
        <f>IFERROR(__xludf.DUMMYFUNCTION("""COMPUTED_VALUE"""),"roster")</f>
        <v>roster</v>
      </c>
    </row>
    <row r="1615">
      <c r="B1615" s="6"/>
      <c r="D1615" s="6"/>
      <c r="G1615" s="6"/>
      <c r="H1615" s="6" t="str">
        <f>IFERROR(__xludf.DUMMYFUNCTION("""COMPUTED_VALUE"""),"parker")</f>
        <v>parker</v>
      </c>
      <c r="I1615" s="6"/>
      <c r="J1615" s="6" t="str">
        <f>IFERROR(__xludf.DUMMYFUNCTION("""COMPUTED_VALUE"""),"grenade")</f>
        <v>grenade</v>
      </c>
      <c r="L1615" s="6" t="str">
        <f>IFERROR(__xludf.DUMMYFUNCTION("""COMPUTED_VALUE"""),"riot")</f>
        <v>riot</v>
      </c>
      <c r="M1615" s="6" t="str">
        <f>IFERROR(__xludf.DUMMYFUNCTION("""COMPUTED_VALUE"""),"revealing")</f>
        <v>revealing</v>
      </c>
      <c r="N1615" s="6" t="str">
        <f>IFERROR(__xludf.DUMMYFUNCTION("""COMPUTED_VALUE"""),"landscapes")</f>
        <v>landscapes</v>
      </c>
      <c r="P1615" s="6"/>
      <c r="Q1615" s="6" t="str">
        <f>IFERROR(__xludf.DUMMYFUNCTION("""COMPUTED_VALUE"""),"charms")</f>
        <v>charms</v>
      </c>
      <c r="S1615" s="6" t="str">
        <f>IFERROR(__xludf.DUMMYFUNCTION("""COMPUTED_VALUE"""),"gregory")</f>
        <v>gregory</v>
      </c>
    </row>
    <row r="1616">
      <c r="B1616" s="6"/>
      <c r="D1616" s="6"/>
      <c r="G1616" s="6"/>
      <c r="H1616" s="6" t="str">
        <f>IFERROR(__xludf.DUMMYFUNCTION("""COMPUTED_VALUE"""),"flowering")</f>
        <v>flowering</v>
      </c>
      <c r="I1616" s="6"/>
      <c r="J1616" s="6" t="str">
        <f>IFERROR(__xludf.DUMMYFUNCTION("""COMPUTED_VALUE"""),"discoveries")</f>
        <v>discoveries</v>
      </c>
      <c r="L1616" s="6" t="str">
        <f>IFERROR(__xludf.DUMMYFUNCTION("""COMPUTED_VALUE"""),"triumph")</f>
        <v>triumph</v>
      </c>
      <c r="M1616" s="6" t="str">
        <f>IFERROR(__xludf.DUMMYFUNCTION("""COMPUTED_VALUE"""),"album")</f>
        <v>album</v>
      </c>
      <c r="N1616" s="6" t="str">
        <f>IFERROR(__xludf.DUMMYFUNCTION("""COMPUTED_VALUE"""),"inherently")</f>
        <v>inherently</v>
      </c>
      <c r="P1616" s="6"/>
      <c r="Q1616" s="6" t="str">
        <f>IFERROR(__xludf.DUMMYFUNCTION("""COMPUTED_VALUE"""),"conservative")</f>
        <v>conservative</v>
      </c>
      <c r="S1616" s="6" t="str">
        <f>IFERROR(__xludf.DUMMYFUNCTION("""COMPUTED_VALUE"""),"stroke")</f>
        <v>stroke</v>
      </c>
    </row>
    <row r="1617">
      <c r="B1617" s="6"/>
      <c r="D1617" s="6"/>
      <c r="G1617" s="6"/>
      <c r="H1617" s="6" t="str">
        <f>IFERROR(__xludf.DUMMYFUNCTION("""COMPUTED_VALUE"""),"testosterone")</f>
        <v>testosterone</v>
      </c>
      <c r="I1617" s="6"/>
      <c r="J1617" s="6" t="str">
        <f>IFERROR(__xludf.DUMMYFUNCTION("""COMPUTED_VALUE"""),"inhabitants")</f>
        <v>inhabitants</v>
      </c>
      <c r="L1617" s="6" t="str">
        <f>IFERROR(__xludf.DUMMYFUNCTION("""COMPUTED_VALUE"""),"comedies")</f>
        <v>comedies</v>
      </c>
      <c r="M1617" s="6" t="str">
        <f>IFERROR(__xludf.DUMMYFUNCTION("""COMPUTED_VALUE"""),"reveal")</f>
        <v>reveal</v>
      </c>
      <c r="N1617" s="6" t="str">
        <f>IFERROR(__xludf.DUMMYFUNCTION("""COMPUTED_VALUE"""),"profoundly")</f>
        <v>profoundly</v>
      </c>
      <c r="P1617" s="6"/>
      <c r="Q1617" s="6" t="str">
        <f>IFERROR(__xludf.DUMMYFUNCTION("""COMPUTED_VALUE"""),"garnered")</f>
        <v>garnered</v>
      </c>
      <c r="S1617" s="6" t="str">
        <f>IFERROR(__xludf.DUMMYFUNCTION("""COMPUTED_VALUE"""),"nominated")</f>
        <v>nominated</v>
      </c>
    </row>
    <row r="1618">
      <c r="B1618" s="6"/>
      <c r="D1618" s="6"/>
      <c r="G1618" s="6"/>
      <c r="H1618" s="6" t="str">
        <f>IFERROR(__xludf.DUMMYFUNCTION("""COMPUTED_VALUE"""),"serials")</f>
        <v>serials</v>
      </c>
      <c r="I1618" s="6"/>
      <c r="J1618" s="6" t="str">
        <f>IFERROR(__xludf.DUMMYFUNCTION("""COMPUTED_VALUE"""),"christianity")</f>
        <v>christianity</v>
      </c>
      <c r="L1618" s="6" t="str">
        <f>IFERROR(__xludf.DUMMYFUNCTION("""COMPUTED_VALUE"""),"relevance")</f>
        <v>relevance</v>
      </c>
      <c r="M1618" s="6" t="str">
        <f>IFERROR(__xludf.DUMMYFUNCTION("""COMPUTED_VALUE"""),"submarine")</f>
        <v>submarine</v>
      </c>
      <c r="N1618" s="6" t="str">
        <f>IFERROR(__xludf.DUMMYFUNCTION("""COMPUTED_VALUE"""),"characteristic")</f>
        <v>characteristic</v>
      </c>
      <c r="P1618" s="6"/>
      <c r="Q1618" s="6" t="str">
        <f>IFERROR(__xludf.DUMMYFUNCTION("""COMPUTED_VALUE"""),"condition")</f>
        <v>condition</v>
      </c>
      <c r="S1618" s="6" t="str">
        <f>IFERROR(__xludf.DUMMYFUNCTION("""COMPUTED_VALUE"""),"chen")</f>
        <v>chen</v>
      </c>
    </row>
    <row r="1619">
      <c r="B1619" s="6"/>
      <c r="D1619" s="6"/>
      <c r="G1619" s="6"/>
      <c r="H1619" s="6" t="str">
        <f>IFERROR(__xludf.DUMMYFUNCTION("""COMPUTED_VALUE"""),"slender")</f>
        <v>slender</v>
      </c>
      <c r="I1619" s="6"/>
      <c r="J1619" s="6" t="str">
        <f>IFERROR(__xludf.DUMMYFUNCTION("""COMPUTED_VALUE"""),"activism")</f>
        <v>activism</v>
      </c>
      <c r="L1619" s="6" t="str">
        <f>IFERROR(__xludf.DUMMYFUNCTION("""COMPUTED_VALUE"""),"searing")</f>
        <v>searing</v>
      </c>
      <c r="M1619" s="6" t="str">
        <f>IFERROR(__xludf.DUMMYFUNCTION("""COMPUTED_VALUE"""),"revenge")</f>
        <v>revenge</v>
      </c>
      <c r="N1619" s="6" t="str">
        <f>IFERROR(__xludf.DUMMYFUNCTION("""COMPUTED_VALUE"""),"insignificant")</f>
        <v>insignificant</v>
      </c>
      <c r="P1619" s="6"/>
      <c r="Q1619" s="6" t="str">
        <f>IFERROR(__xludf.DUMMYFUNCTION("""COMPUTED_VALUE"""),"privy")</f>
        <v>privy</v>
      </c>
      <c r="S1619" s="6" t="str">
        <f>IFERROR(__xludf.DUMMYFUNCTION("""COMPUTED_VALUE"""),"economics")</f>
        <v>economics</v>
      </c>
    </row>
    <row r="1620">
      <c r="B1620" s="6"/>
      <c r="D1620" s="6"/>
      <c r="G1620" s="6"/>
      <c r="H1620" s="6" t="str">
        <f>IFERROR(__xludf.DUMMYFUNCTION("""COMPUTED_VALUE"""),"kaufman")</f>
        <v>kaufman</v>
      </c>
      <c r="I1620" s="6"/>
      <c r="J1620" s="6" t="str">
        <f>IFERROR(__xludf.DUMMYFUNCTION("""COMPUTED_VALUE"""),"walsh")</f>
        <v>walsh</v>
      </c>
      <c r="L1620" s="6" t="str">
        <f>IFERROR(__xludf.DUMMYFUNCTION("""COMPUTED_VALUE"""),"stylistic")</f>
        <v>stylistic</v>
      </c>
      <c r="M1620" s="6" t="str">
        <f>IFERROR(__xludf.DUMMYFUNCTION("""COMPUTED_VALUE"""),"actress")</f>
        <v>actress</v>
      </c>
      <c r="N1620" s="6" t="str">
        <f>IFERROR(__xludf.DUMMYFUNCTION("""COMPUTED_VALUE"""),"possess")</f>
        <v>possess</v>
      </c>
      <c r="P1620" s="6"/>
      <c r="Q1620" s="6" t="str">
        <f>IFERROR(__xludf.DUMMYFUNCTION("""COMPUTED_VALUE"""),"underlying")</f>
        <v>underlying</v>
      </c>
      <c r="S1620" s="6" t="str">
        <f>IFERROR(__xludf.DUMMYFUNCTION("""COMPUTED_VALUE"""),"followers")</f>
        <v>followers</v>
      </c>
    </row>
    <row r="1621">
      <c r="B1621" s="6"/>
      <c r="D1621" s="6"/>
      <c r="G1621" s="6"/>
      <c r="H1621" s="6" t="str">
        <f>IFERROR(__xludf.DUMMYFUNCTION("""COMPUTED_VALUE"""),"masculine")</f>
        <v>masculine</v>
      </c>
      <c r="I1621" s="6"/>
      <c r="J1621" s="6" t="str">
        <f>IFERROR(__xludf.DUMMYFUNCTION("""COMPUTED_VALUE"""),"eileen")</f>
        <v>eileen</v>
      </c>
      <c r="L1621" s="6" t="str">
        <f>IFERROR(__xludf.DUMMYFUNCTION("""COMPUTED_VALUE"""),"turmoil")</f>
        <v>turmoil</v>
      </c>
      <c r="M1621" s="6" t="str">
        <f>IFERROR(__xludf.DUMMYFUNCTION("""COMPUTED_VALUE"""),"subjects")</f>
        <v>subjects</v>
      </c>
      <c r="N1621" s="6" t="str">
        <f>IFERROR(__xludf.DUMMYFUNCTION("""COMPUTED_VALUE"""),"stirring")</f>
        <v>stirring</v>
      </c>
      <c r="P1621" s="6"/>
      <c r="Q1621" s="6" t="str">
        <f>IFERROR(__xludf.DUMMYFUNCTION("""COMPUTED_VALUE"""),"space")</f>
        <v>space</v>
      </c>
      <c r="S1621" s="6" t="str">
        <f>IFERROR(__xludf.DUMMYFUNCTION("""COMPUTED_VALUE"""),"stark")</f>
        <v>stark</v>
      </c>
    </row>
    <row r="1622">
      <c r="B1622" s="6"/>
      <c r="D1622" s="6"/>
      <c r="G1622" s="6"/>
      <c r="H1622" s="6" t="str">
        <f>IFERROR(__xludf.DUMMYFUNCTION("""COMPUTED_VALUE"""),"humanist")</f>
        <v>humanist</v>
      </c>
      <c r="I1622" s="6"/>
      <c r="J1622" s="6" t="str">
        <f>IFERROR(__xludf.DUMMYFUNCTION("""COMPUTED_VALUE"""),"taut")</f>
        <v>taut</v>
      </c>
      <c r="L1622" s="6" t="str">
        <f>IFERROR(__xludf.DUMMYFUNCTION("""COMPUTED_VALUE"""),"breadth")</f>
        <v>breadth</v>
      </c>
      <c r="M1622" s="6" t="str">
        <f>IFERROR(__xludf.DUMMYFUNCTION("""COMPUTED_VALUE"""),"architect")</f>
        <v>architect</v>
      </c>
      <c r="N1622" s="6" t="str">
        <f>IFERROR(__xludf.DUMMYFUNCTION("""COMPUTED_VALUE"""),"backlash")</f>
        <v>backlash</v>
      </c>
      <c r="P1622" s="6"/>
      <c r="Q1622" s="6" t="str">
        <f>IFERROR(__xludf.DUMMYFUNCTION("""COMPUTED_VALUE"""),"sought")</f>
        <v>sought</v>
      </c>
      <c r="S1622" s="6" t="str">
        <f>IFERROR(__xludf.DUMMYFUNCTION("""COMPUTED_VALUE"""),"insurance")</f>
        <v>insurance</v>
      </c>
    </row>
    <row r="1623">
      <c r="B1623" s="6"/>
      <c r="D1623" s="6"/>
      <c r="G1623" s="6"/>
      <c r="H1623" s="6" t="str">
        <f>IFERROR(__xludf.DUMMYFUNCTION("""COMPUTED_VALUE"""),"adaptations")</f>
        <v>adaptations</v>
      </c>
      <c r="I1623" s="6"/>
      <c r="J1623" s="6" t="str">
        <f>IFERROR(__xludf.DUMMYFUNCTION("""COMPUTED_VALUE"""),"discreet")</f>
        <v>discreet</v>
      </c>
      <c r="L1623" s="6" t="str">
        <f>IFERROR(__xludf.DUMMYFUNCTION("""COMPUTED_VALUE"""),"collateral")</f>
        <v>collateral</v>
      </c>
      <c r="M1623" s="6" t="str">
        <f>IFERROR(__xludf.DUMMYFUNCTION("""COMPUTED_VALUE"""),"prince")</f>
        <v>prince</v>
      </c>
      <c r="N1623" s="6" t="str">
        <f>IFERROR(__xludf.DUMMYFUNCTION("""COMPUTED_VALUE"""),"inactive")</f>
        <v>inactive</v>
      </c>
      <c r="P1623" s="6"/>
      <c r="Q1623" s="6" t="str">
        <f>IFERROR(__xludf.DUMMYFUNCTION("""COMPUTED_VALUE"""),"superhero")</f>
        <v>superhero</v>
      </c>
      <c r="S1623" s="6" t="str">
        <f>IFERROR(__xludf.DUMMYFUNCTION("""COMPUTED_VALUE"""),"del")</f>
        <v>del</v>
      </c>
    </row>
    <row r="1624">
      <c r="B1624" s="6"/>
      <c r="D1624" s="6"/>
      <c r="G1624" s="6"/>
      <c r="H1624" s="6" t="str">
        <f>IFERROR(__xludf.DUMMYFUNCTION("""COMPUTED_VALUE"""),"satin")</f>
        <v>satin</v>
      </c>
      <c r="I1624" s="6"/>
      <c r="J1624" s="6" t="str">
        <f>IFERROR(__xludf.DUMMYFUNCTION("""COMPUTED_VALUE"""),"partnership")</f>
        <v>partnership</v>
      </c>
      <c r="L1624" s="6" t="str">
        <f>IFERROR(__xludf.DUMMYFUNCTION("""COMPUTED_VALUE"""),"nicholas")</f>
        <v>nicholas</v>
      </c>
      <c r="M1624" s="6" t="str">
        <f>IFERROR(__xludf.DUMMYFUNCTION("""COMPUTED_VALUE"""),"freight")</f>
        <v>freight</v>
      </c>
      <c r="N1624" s="6" t="str">
        <f>IFERROR(__xludf.DUMMYFUNCTION("""COMPUTED_VALUE"""),"agile")</f>
        <v>agile</v>
      </c>
      <c r="P1624" s="6"/>
      <c r="Q1624" s="6" t="str">
        <f>IFERROR(__xludf.DUMMYFUNCTION("""COMPUTED_VALUE"""),"intellect")</f>
        <v>intellect</v>
      </c>
      <c r="S1624" s="6" t="str">
        <f>IFERROR(__xludf.DUMMYFUNCTION("""COMPUTED_VALUE"""),"library")</f>
        <v>library</v>
      </c>
    </row>
    <row r="1625">
      <c r="B1625" s="6"/>
      <c r="D1625" s="6"/>
      <c r="G1625" s="6"/>
      <c r="H1625" s="6" t="str">
        <f>IFERROR(__xludf.DUMMYFUNCTION("""COMPUTED_VALUE"""),"integrated")</f>
        <v>integrated</v>
      </c>
      <c r="I1625" s="6"/>
      <c r="J1625" s="6" t="str">
        <f>IFERROR(__xludf.DUMMYFUNCTION("""COMPUTED_VALUE"""),"mined")</f>
        <v>mined</v>
      </c>
      <c r="L1625" s="6" t="str">
        <f>IFERROR(__xludf.DUMMYFUNCTION("""COMPUTED_VALUE"""),"reagan")</f>
        <v>reagan</v>
      </c>
      <c r="M1625" s="6" t="str">
        <f>IFERROR(__xludf.DUMMYFUNCTION("""COMPUTED_VALUE"""),"eventual")</f>
        <v>eventual</v>
      </c>
      <c r="N1625" s="6" t="str">
        <f>IFERROR(__xludf.DUMMYFUNCTION("""COMPUTED_VALUE"""),"garcia")</f>
        <v>garcia</v>
      </c>
      <c r="P1625" s="6"/>
      <c r="Q1625" s="6" t="str">
        <f>IFERROR(__xludf.DUMMYFUNCTION("""COMPUTED_VALUE"""),"kissing")</f>
        <v>kissing</v>
      </c>
      <c r="S1625" s="6" t="str">
        <f>IFERROR(__xludf.DUMMYFUNCTION("""COMPUTED_VALUE"""),"dust")</f>
        <v>dust</v>
      </c>
    </row>
    <row r="1626">
      <c r="B1626" s="6"/>
      <c r="D1626" s="6"/>
      <c r="G1626" s="6"/>
      <c r="H1626" s="6" t="str">
        <f>IFERROR(__xludf.DUMMYFUNCTION("""COMPUTED_VALUE"""),"speculative")</f>
        <v>speculative</v>
      </c>
      <c r="I1626" s="6"/>
      <c r="J1626" s="6" t="str">
        <f>IFERROR(__xludf.DUMMYFUNCTION("""COMPUTED_VALUE"""),"glass")</f>
        <v>glass</v>
      </c>
      <c r="L1626" s="6" t="str">
        <f>IFERROR(__xludf.DUMMYFUNCTION("""COMPUTED_VALUE"""),"sparks")</f>
        <v>sparks</v>
      </c>
      <c r="M1626" s="6" t="str">
        <f>IFERROR(__xludf.DUMMYFUNCTION("""COMPUTED_VALUE"""),"hollow")</f>
        <v>hollow</v>
      </c>
      <c r="N1626" s="6" t="str">
        <f>IFERROR(__xludf.DUMMYFUNCTION("""COMPUTED_VALUE"""),"resistance")</f>
        <v>resistance</v>
      </c>
      <c r="P1626" s="6"/>
      <c r="Q1626" s="6" t="str">
        <f>IFERROR(__xludf.DUMMYFUNCTION("""COMPUTED_VALUE"""),"pencil")</f>
        <v>pencil</v>
      </c>
      <c r="S1626" s="6" t="str">
        <f>IFERROR(__xludf.DUMMYFUNCTION("""COMPUTED_VALUE"""),"regard")</f>
        <v>regard</v>
      </c>
    </row>
    <row r="1627">
      <c r="B1627" s="6"/>
      <c r="D1627" s="6"/>
      <c r="G1627" s="6"/>
      <c r="H1627" s="6" t="str">
        <f>IFERROR(__xludf.DUMMYFUNCTION("""COMPUTED_VALUE"""),"successes")</f>
        <v>successes</v>
      </c>
      <c r="I1627" s="6"/>
      <c r="J1627" s="6" t="str">
        <f>IFERROR(__xludf.DUMMYFUNCTION("""COMPUTED_VALUE"""),"tabloid")</f>
        <v>tabloid</v>
      </c>
      <c r="L1627" s="6" t="str">
        <f>IFERROR(__xludf.DUMMYFUNCTION("""COMPUTED_VALUE"""),"breakthrough")</f>
        <v>breakthrough</v>
      </c>
      <c r="M1627" s="6" t="str">
        <f>IFERROR(__xludf.DUMMYFUNCTION("""COMPUTED_VALUE"""),"temple")</f>
        <v>temple</v>
      </c>
      <c r="N1627" s="6" t="str">
        <f>IFERROR(__xludf.DUMMYFUNCTION("""COMPUTED_VALUE"""),"stanley")</f>
        <v>stanley</v>
      </c>
      <c r="P1627" s="6"/>
      <c r="Q1627" s="6" t="str">
        <f>IFERROR(__xludf.DUMMYFUNCTION("""COMPUTED_VALUE"""),"stuffing")</f>
        <v>stuffing</v>
      </c>
      <c r="S1627" s="6" t="str">
        <f>IFERROR(__xludf.DUMMYFUNCTION("""COMPUTED_VALUE"""),"damaged")</f>
        <v>damaged</v>
      </c>
    </row>
    <row r="1628">
      <c r="B1628" s="6"/>
      <c r="D1628" s="6"/>
      <c r="G1628" s="6"/>
      <c r="H1628" s="6" t="str">
        <f>IFERROR(__xludf.DUMMYFUNCTION("""COMPUTED_VALUE"""),"store")</f>
        <v>store</v>
      </c>
      <c r="I1628" s="6"/>
      <c r="J1628" s="6" t="str">
        <f>IFERROR(__xludf.DUMMYFUNCTION("""COMPUTED_VALUE"""),"mystical")</f>
        <v>mystical</v>
      </c>
      <c r="L1628" s="6" t="str">
        <f>IFERROR(__xludf.DUMMYFUNCTION("""COMPUTED_VALUE"""),"readings")</f>
        <v>readings</v>
      </c>
      <c r="M1628" s="6" t="str">
        <f>IFERROR(__xludf.DUMMYFUNCTION("""COMPUTED_VALUE"""),"composition")</f>
        <v>composition</v>
      </c>
      <c r="N1628" s="6" t="str">
        <f>IFERROR(__xludf.DUMMYFUNCTION("""COMPUTED_VALUE"""),"molina")</f>
        <v>molina</v>
      </c>
      <c r="P1628" s="6"/>
      <c r="Q1628" s="6" t="str">
        <f>IFERROR(__xludf.DUMMYFUNCTION("""COMPUTED_VALUE"""),"defiance")</f>
        <v>defiance</v>
      </c>
      <c r="S1628" s="6" t="str">
        <f>IFERROR(__xludf.DUMMYFUNCTION("""COMPUTED_VALUE"""),"thrust")</f>
        <v>thrust</v>
      </c>
    </row>
    <row r="1629">
      <c r="B1629" s="6"/>
      <c r="D1629" s="6"/>
      <c r="G1629" s="6"/>
      <c r="H1629" s="6" t="str">
        <f>IFERROR(__xludf.DUMMYFUNCTION("""COMPUTED_VALUE"""),"characterized")</f>
        <v>characterized</v>
      </c>
      <c r="I1629" s="6"/>
      <c r="J1629" s="6" t="str">
        <f>IFERROR(__xludf.DUMMYFUNCTION("""COMPUTED_VALUE"""),"derive")</f>
        <v>derive</v>
      </c>
      <c r="L1629" s="6" t="str">
        <f>IFERROR(__xludf.DUMMYFUNCTION("""COMPUTED_VALUE"""),"awakening")</f>
        <v>awakening</v>
      </c>
      <c r="M1629" s="6" t="str">
        <f>IFERROR(__xludf.DUMMYFUNCTION("""COMPUTED_VALUE"""),"sought")</f>
        <v>sought</v>
      </c>
      <c r="N1629" s="6" t="str">
        <f>IFERROR(__xludf.DUMMYFUNCTION("""COMPUTED_VALUE"""),"puzzle")</f>
        <v>puzzle</v>
      </c>
      <c r="P1629" s="6"/>
      <c r="Q1629" s="6" t="str">
        <f>IFERROR(__xludf.DUMMYFUNCTION("""COMPUTED_VALUE"""),"pollution")</f>
        <v>pollution</v>
      </c>
      <c r="S1629" s="6" t="str">
        <f>IFERROR(__xludf.DUMMYFUNCTION("""COMPUTED_VALUE"""),"teeth")</f>
        <v>teeth</v>
      </c>
    </row>
    <row r="1630">
      <c r="B1630" s="6"/>
      <c r="D1630" s="6"/>
      <c r="G1630" s="6"/>
      <c r="H1630" s="6" t="str">
        <f>IFERROR(__xludf.DUMMYFUNCTION("""COMPUTED_VALUE"""),"post")</f>
        <v>post</v>
      </c>
      <c r="I1630" s="6"/>
      <c r="J1630" s="6" t="str">
        <f>IFERROR(__xludf.DUMMYFUNCTION("""COMPUTED_VALUE"""),"tinged")</f>
        <v>tinged</v>
      </c>
      <c r="L1630" s="6" t="str">
        <f>IFERROR(__xludf.DUMMYFUNCTION("""COMPUTED_VALUE"""),"stuart")</f>
        <v>stuart</v>
      </c>
      <c r="M1630" s="6" t="str">
        <f>IFERROR(__xludf.DUMMYFUNCTION("""COMPUTED_VALUE"""),"achievement")</f>
        <v>achievement</v>
      </c>
      <c r="N1630" s="6" t="str">
        <f>IFERROR(__xludf.DUMMYFUNCTION("""COMPUTED_VALUE"""),"ragged")</f>
        <v>ragged</v>
      </c>
      <c r="P1630" s="6"/>
      <c r="Q1630" s="6" t="str">
        <f>IFERROR(__xludf.DUMMYFUNCTION("""COMPUTED_VALUE"""),"achieving")</f>
        <v>achieving</v>
      </c>
      <c r="S1630" s="6" t="str">
        <f>IFERROR(__xludf.DUMMYFUNCTION("""COMPUTED_VALUE"""),"angel")</f>
        <v>angel</v>
      </c>
    </row>
    <row r="1631">
      <c r="B1631" s="6"/>
      <c r="D1631" s="6"/>
      <c r="G1631" s="6"/>
      <c r="H1631" s="6" t="str">
        <f>IFERROR(__xludf.DUMMYFUNCTION("""COMPUTED_VALUE"""),"cardiac")</f>
        <v>cardiac</v>
      </c>
      <c r="I1631" s="6"/>
      <c r="J1631" s="6" t="str">
        <f>IFERROR(__xludf.DUMMYFUNCTION("""COMPUTED_VALUE"""),"manipulating")</f>
        <v>manipulating</v>
      </c>
      <c r="L1631" s="6" t="str">
        <f>IFERROR(__xludf.DUMMYFUNCTION("""COMPUTED_VALUE"""),"distinguished")</f>
        <v>distinguished</v>
      </c>
      <c r="M1631" s="6" t="str">
        <f>IFERROR(__xludf.DUMMYFUNCTION("""COMPUTED_VALUE"""),"wildlife")</f>
        <v>wildlife</v>
      </c>
      <c r="N1631" s="6" t="str">
        <f>IFERROR(__xludf.DUMMYFUNCTION("""COMPUTED_VALUE"""),"warfare")</f>
        <v>warfare</v>
      </c>
      <c r="P1631" s="6"/>
      <c r="Q1631" s="6" t="str">
        <f>IFERROR(__xludf.DUMMYFUNCTION("""COMPUTED_VALUE"""),"chief")</f>
        <v>chief</v>
      </c>
      <c r="S1631" s="6" t="str">
        <f>IFERROR(__xludf.DUMMYFUNCTION("""COMPUTED_VALUE"""),"crossed")</f>
        <v>crossed</v>
      </c>
    </row>
    <row r="1632">
      <c r="B1632" s="6"/>
      <c r="D1632" s="6"/>
      <c r="G1632" s="6"/>
      <c r="H1632" s="6" t="str">
        <f>IFERROR(__xludf.DUMMYFUNCTION("""COMPUTED_VALUE"""),"marquis")</f>
        <v>marquis</v>
      </c>
      <c r="I1632" s="6"/>
      <c r="J1632" s="6" t="str">
        <f>IFERROR(__xludf.DUMMYFUNCTION("""COMPUTED_VALUE"""),"barry")</f>
        <v>barry</v>
      </c>
      <c r="L1632" s="6" t="str">
        <f>IFERROR(__xludf.DUMMYFUNCTION("""COMPUTED_VALUE"""),"modeled")</f>
        <v>modeled</v>
      </c>
      <c r="M1632" s="6" t="str">
        <f>IFERROR(__xludf.DUMMYFUNCTION("""COMPUTED_VALUE"""),"fury")</f>
        <v>fury</v>
      </c>
      <c r="N1632" s="6" t="str">
        <f>IFERROR(__xludf.DUMMYFUNCTION("""COMPUTED_VALUE"""),"depiction")</f>
        <v>depiction</v>
      </c>
      <c r="P1632" s="6"/>
      <c r="Q1632" s="6" t="str">
        <f>IFERROR(__xludf.DUMMYFUNCTION("""COMPUTED_VALUE"""),"impress")</f>
        <v>impress</v>
      </c>
      <c r="S1632" s="6" t="str">
        <f>IFERROR(__xludf.DUMMYFUNCTION("""COMPUTED_VALUE"""),"participants")</f>
        <v>participants</v>
      </c>
    </row>
    <row r="1633">
      <c r="B1633" s="6"/>
      <c r="D1633" s="6"/>
      <c r="G1633" s="6"/>
      <c r="H1633" s="6" t="str">
        <f>IFERROR(__xludf.DUMMYFUNCTION("""COMPUTED_VALUE"""),"menace")</f>
        <v>menace</v>
      </c>
      <c r="I1633" s="6"/>
      <c r="J1633" s="6" t="str">
        <f>IFERROR(__xludf.DUMMYFUNCTION("""COMPUTED_VALUE"""),"hypothesis")</f>
        <v>hypothesis</v>
      </c>
      <c r="L1633" s="6" t="str">
        <f>IFERROR(__xludf.DUMMYFUNCTION("""COMPUTED_VALUE"""),"bodily")</f>
        <v>bodily</v>
      </c>
      <c r="M1633" s="6" t="str">
        <f>IFERROR(__xludf.DUMMYFUNCTION("""COMPUTED_VALUE"""),"blade")</f>
        <v>blade</v>
      </c>
      <c r="N1633" s="6" t="str">
        <f>IFERROR(__xludf.DUMMYFUNCTION("""COMPUTED_VALUE"""),"fatal")</f>
        <v>fatal</v>
      </c>
      <c r="P1633" s="6"/>
      <c r="Q1633" s="6" t="str">
        <f>IFERROR(__xludf.DUMMYFUNCTION("""COMPUTED_VALUE"""),"sorrow")</f>
        <v>sorrow</v>
      </c>
      <c r="S1633" s="6" t="str">
        <f>IFERROR(__xludf.DUMMYFUNCTION("""COMPUTED_VALUE"""),"partly")</f>
        <v>partly</v>
      </c>
    </row>
    <row r="1634">
      <c r="B1634" s="6"/>
      <c r="D1634" s="6"/>
      <c r="G1634" s="6"/>
      <c r="H1634" s="6" t="str">
        <f>IFERROR(__xludf.DUMMYFUNCTION("""COMPUTED_VALUE"""),"nerves")</f>
        <v>nerves</v>
      </c>
      <c r="I1634" s="6"/>
      <c r="J1634" s="6" t="str">
        <f>IFERROR(__xludf.DUMMYFUNCTION("""COMPUTED_VALUE"""),"elemental")</f>
        <v>elemental</v>
      </c>
      <c r="L1634" s="6" t="str">
        <f>IFERROR(__xludf.DUMMYFUNCTION("""COMPUTED_VALUE"""),"ecstasy")</f>
        <v>ecstasy</v>
      </c>
      <c r="M1634" s="6" t="str">
        <f>IFERROR(__xludf.DUMMYFUNCTION("""COMPUTED_VALUE"""),"chan")</f>
        <v>chan</v>
      </c>
      <c r="N1634" s="6" t="str">
        <f>IFERROR(__xludf.DUMMYFUNCTION("""COMPUTED_VALUE"""),"shivers")</f>
        <v>shivers</v>
      </c>
      <c r="P1634" s="6"/>
      <c r="Q1634" s="6" t="str">
        <f>IFERROR(__xludf.DUMMYFUNCTION("""COMPUTED_VALUE"""),"intensely")</f>
        <v>intensely</v>
      </c>
      <c r="S1634" s="6" t="str">
        <f>IFERROR(__xludf.DUMMYFUNCTION("""COMPUTED_VALUE"""),"carl")</f>
        <v>carl</v>
      </c>
    </row>
    <row r="1635">
      <c r="B1635" s="6"/>
      <c r="D1635" s="6"/>
      <c r="G1635" s="6"/>
      <c r="H1635" s="6" t="str">
        <f>IFERROR(__xludf.DUMMYFUNCTION("""COMPUTED_VALUE"""),"yank")</f>
        <v>yank</v>
      </c>
      <c r="I1635" s="6"/>
      <c r="J1635" s="6">
        <f>IFERROR(__xludf.DUMMYFUNCTION("""COMPUTED_VALUE"""),18.0)</f>
        <v>18</v>
      </c>
      <c r="L1635" s="6" t="str">
        <f>IFERROR(__xludf.DUMMYFUNCTION("""COMPUTED_VALUE"""),"glaring")</f>
        <v>glaring</v>
      </c>
      <c r="M1635" s="6" t="str">
        <f>IFERROR(__xludf.DUMMYFUNCTION("""COMPUTED_VALUE"""),"evolution")</f>
        <v>evolution</v>
      </c>
      <c r="N1635" s="6" t="str">
        <f>IFERROR(__xludf.DUMMYFUNCTION("""COMPUTED_VALUE"""),"definitions")</f>
        <v>definitions</v>
      </c>
      <c r="P1635" s="6"/>
      <c r="Q1635" s="6" t="str">
        <f>IFERROR(__xludf.DUMMYFUNCTION("""COMPUTED_VALUE"""),"glucose")</f>
        <v>glucose</v>
      </c>
      <c r="S1635" s="6" t="str">
        <f>IFERROR(__xludf.DUMMYFUNCTION("""COMPUTED_VALUE"""),"franklin")</f>
        <v>franklin</v>
      </c>
    </row>
    <row r="1636">
      <c r="B1636" s="6"/>
      <c r="D1636" s="6"/>
      <c r="G1636" s="6"/>
      <c r="H1636" s="6" t="str">
        <f>IFERROR(__xludf.DUMMYFUNCTION("""COMPUTED_VALUE"""),"leash")</f>
        <v>leash</v>
      </c>
      <c r="I1636" s="6"/>
      <c r="J1636" s="6" t="str">
        <f>IFERROR(__xludf.DUMMYFUNCTION("""COMPUTED_VALUE"""),"needy")</f>
        <v>needy</v>
      </c>
      <c r="L1636" s="6" t="str">
        <f>IFERROR(__xludf.DUMMYFUNCTION("""COMPUTED_VALUE"""),"mortal")</f>
        <v>mortal</v>
      </c>
      <c r="M1636" s="6" t="str">
        <f>IFERROR(__xludf.DUMMYFUNCTION("""COMPUTED_VALUE"""),"chemistry")</f>
        <v>chemistry</v>
      </c>
      <c r="N1636" s="6" t="str">
        <f>IFERROR(__xludf.DUMMYFUNCTION("""COMPUTED_VALUE"""),"transparency")</f>
        <v>transparency</v>
      </c>
      <c r="P1636" s="6"/>
      <c r="Q1636" s="6" t="str">
        <f>IFERROR(__xludf.DUMMYFUNCTION("""COMPUTED_VALUE"""),"revelation")</f>
        <v>revelation</v>
      </c>
      <c r="S1636" s="6" t="str">
        <f>IFERROR(__xludf.DUMMYFUNCTION("""COMPUTED_VALUE"""),"jon")</f>
        <v>jon</v>
      </c>
    </row>
    <row r="1637">
      <c r="B1637" s="6"/>
      <c r="D1637" s="6"/>
      <c r="G1637" s="6"/>
      <c r="H1637" s="6" t="str">
        <f>IFERROR(__xludf.DUMMYFUNCTION("""COMPUTED_VALUE"""),"signals")</f>
        <v>signals</v>
      </c>
      <c r="I1637" s="6"/>
      <c r="J1637" s="6" t="str">
        <f>IFERROR(__xludf.DUMMYFUNCTION("""COMPUTED_VALUE"""),"prostitute")</f>
        <v>prostitute</v>
      </c>
      <c r="L1637" s="6" t="str">
        <f>IFERROR(__xludf.DUMMYFUNCTION("""COMPUTED_VALUE"""),"norwegian")</f>
        <v>norwegian</v>
      </c>
      <c r="M1637" s="6" t="str">
        <f>IFERROR(__xludf.DUMMYFUNCTION("""COMPUTED_VALUE"""),"predecessor")</f>
        <v>predecessor</v>
      </c>
      <c r="N1637" s="6" t="str">
        <f>IFERROR(__xludf.DUMMYFUNCTION("""COMPUTED_VALUE"""),"harrison")</f>
        <v>harrison</v>
      </c>
      <c r="P1637" s="6"/>
      <c r="Q1637" s="6" t="str">
        <f>IFERROR(__xludf.DUMMYFUNCTION("""COMPUTED_VALUE"""),"atmospheric")</f>
        <v>atmospheric</v>
      </c>
      <c r="S1637" s="6" t="str">
        <f>IFERROR(__xludf.DUMMYFUNCTION("""COMPUTED_VALUE"""),"miller")</f>
        <v>miller</v>
      </c>
    </row>
    <row r="1638">
      <c r="B1638" s="6"/>
      <c r="D1638" s="6"/>
      <c r="G1638" s="6"/>
      <c r="H1638" s="6" t="str">
        <f>IFERROR(__xludf.DUMMYFUNCTION("""COMPUTED_VALUE"""),"intro")</f>
        <v>intro</v>
      </c>
      <c r="I1638" s="6"/>
      <c r="J1638" s="6" t="str">
        <f>IFERROR(__xludf.DUMMYFUNCTION("""COMPUTED_VALUE"""),"radioactive")</f>
        <v>radioactive</v>
      </c>
      <c r="L1638" s="6" t="str">
        <f>IFERROR(__xludf.DUMMYFUNCTION("""COMPUTED_VALUE"""),"tortured")</f>
        <v>tortured</v>
      </c>
      <c r="M1638" s="6" t="str">
        <f>IFERROR(__xludf.DUMMYFUNCTION("""COMPUTED_VALUE"""),"ninth")</f>
        <v>ninth</v>
      </c>
      <c r="N1638" s="6" t="str">
        <f>IFERROR(__xludf.DUMMYFUNCTION("""COMPUTED_VALUE"""),"abandon")</f>
        <v>abandon</v>
      </c>
      <c r="P1638" s="6"/>
      <c r="Q1638" s="6" t="str">
        <f>IFERROR(__xludf.DUMMYFUNCTION("""COMPUTED_VALUE"""),"horizons")</f>
        <v>horizons</v>
      </c>
      <c r="S1638" s="6" t="str">
        <f>IFERROR(__xludf.DUMMYFUNCTION("""COMPUTED_VALUE"""),"dad")</f>
        <v>dad</v>
      </c>
    </row>
    <row r="1639">
      <c r="B1639" s="6"/>
      <c r="D1639" s="6"/>
      <c r="G1639" s="6"/>
      <c r="H1639" s="6" t="str">
        <f>IFERROR(__xludf.DUMMYFUNCTION("""COMPUTED_VALUE"""),"topical")</f>
        <v>topical</v>
      </c>
      <c r="I1639" s="6"/>
      <c r="J1639" s="6" t="str">
        <f>IFERROR(__xludf.DUMMYFUNCTION("""COMPUTED_VALUE"""),"destructive")</f>
        <v>destructive</v>
      </c>
      <c r="L1639" s="6" t="str">
        <f>IFERROR(__xludf.DUMMYFUNCTION("""COMPUTED_VALUE"""),"isolation")</f>
        <v>isolation</v>
      </c>
      <c r="M1639" s="6" t="str">
        <f>IFERROR(__xludf.DUMMYFUNCTION("""COMPUTED_VALUE"""),"poverty")</f>
        <v>poverty</v>
      </c>
      <c r="N1639" s="6" t="str">
        <f>IFERROR(__xludf.DUMMYFUNCTION("""COMPUTED_VALUE"""),"unpredictable")</f>
        <v>unpredictable</v>
      </c>
      <c r="P1639" s="6"/>
      <c r="Q1639" s="6" t="str">
        <f>IFERROR(__xludf.DUMMYFUNCTION("""COMPUTED_VALUE"""),"accurately")</f>
        <v>accurately</v>
      </c>
      <c r="S1639" s="6" t="str">
        <f>IFERROR(__xludf.DUMMYFUNCTION("""COMPUTED_VALUE"""),"zhang")</f>
        <v>zhang</v>
      </c>
    </row>
    <row r="1640">
      <c r="B1640" s="6"/>
      <c r="D1640" s="6"/>
      <c r="G1640" s="6"/>
      <c r="H1640" s="6" t="str">
        <f>IFERROR(__xludf.DUMMYFUNCTION("""COMPUTED_VALUE"""),"manifesto")</f>
        <v>manifesto</v>
      </c>
      <c r="I1640" s="6"/>
      <c r="J1640" s="6" t="str">
        <f>IFERROR(__xludf.DUMMYFUNCTION("""COMPUTED_VALUE"""),"demonic")</f>
        <v>demonic</v>
      </c>
      <c r="L1640" s="6" t="str">
        <f>IFERROR(__xludf.DUMMYFUNCTION("""COMPUTED_VALUE"""),"subtly")</f>
        <v>subtly</v>
      </c>
      <c r="M1640" s="6" t="str">
        <f>IFERROR(__xludf.DUMMYFUNCTION("""COMPUTED_VALUE"""),"terror")</f>
        <v>terror</v>
      </c>
      <c r="N1640" s="6" t="str">
        <f>IFERROR(__xludf.DUMMYFUNCTION("""COMPUTED_VALUE"""),"accuracy")</f>
        <v>accuracy</v>
      </c>
      <c r="P1640" s="6"/>
      <c r="Q1640" s="6" t="str">
        <f>IFERROR(__xludf.DUMMYFUNCTION("""COMPUTED_VALUE"""),"titled")</f>
        <v>titled</v>
      </c>
      <c r="S1640" s="6" t="str">
        <f>IFERROR(__xludf.DUMMYFUNCTION("""COMPUTED_VALUE"""),"ed")</f>
        <v>ed</v>
      </c>
    </row>
    <row r="1641">
      <c r="B1641" s="6"/>
      <c r="D1641" s="6"/>
      <c r="G1641" s="6"/>
      <c r="H1641" s="6" t="str">
        <f>IFERROR(__xludf.DUMMYFUNCTION("""COMPUTED_VALUE"""),"duel")</f>
        <v>duel</v>
      </c>
      <c r="I1641" s="6"/>
      <c r="J1641" s="6" t="str">
        <f>IFERROR(__xludf.DUMMYFUNCTION("""COMPUTED_VALUE"""),"poking")</f>
        <v>poking</v>
      </c>
      <c r="L1641" s="6" t="str">
        <f>IFERROR(__xludf.DUMMYFUNCTION("""COMPUTED_VALUE"""),"ghosts")</f>
        <v>ghosts</v>
      </c>
      <c r="M1641" s="6" t="str">
        <f>IFERROR(__xludf.DUMMYFUNCTION("""COMPUTED_VALUE"""),"rises")</f>
        <v>rises</v>
      </c>
      <c r="N1641" s="6" t="str">
        <f>IFERROR(__xludf.DUMMYFUNCTION("""COMPUTED_VALUE"""),"succeeds")</f>
        <v>succeeds</v>
      </c>
      <c r="P1641" s="6"/>
      <c r="Q1641" s="6" t="str">
        <f>IFERROR(__xludf.DUMMYFUNCTION("""COMPUTED_VALUE"""),"turmoil")</f>
        <v>turmoil</v>
      </c>
      <c r="S1641" s="6" t="str">
        <f>IFERROR(__xludf.DUMMYFUNCTION("""COMPUTED_VALUE"""),"observed")</f>
        <v>observed</v>
      </c>
    </row>
    <row r="1642">
      <c r="B1642" s="6"/>
      <c r="D1642" s="6"/>
      <c r="G1642" s="6"/>
      <c r="H1642" s="6" t="str">
        <f>IFERROR(__xludf.DUMMYFUNCTION("""COMPUTED_VALUE"""),"swiftly")</f>
        <v>swiftly</v>
      </c>
      <c r="I1642" s="6"/>
      <c r="J1642" s="6" t="str">
        <f>IFERROR(__xludf.DUMMYFUNCTION("""COMPUTED_VALUE"""),"holmes")</f>
        <v>holmes</v>
      </c>
      <c r="L1642" s="6" t="str">
        <f>IFERROR(__xludf.DUMMYFUNCTION("""COMPUTED_VALUE"""),"despair")</f>
        <v>despair</v>
      </c>
      <c r="M1642" s="6" t="str">
        <f>IFERROR(__xludf.DUMMYFUNCTION("""COMPUTED_VALUE"""),"crosses")</f>
        <v>crosses</v>
      </c>
      <c r="N1642" s="6" t="str">
        <f>IFERROR(__xludf.DUMMYFUNCTION("""COMPUTED_VALUE"""),"descends")</f>
        <v>descends</v>
      </c>
      <c r="P1642" s="6"/>
      <c r="Q1642" s="6" t="str">
        <f>IFERROR(__xludf.DUMMYFUNCTION("""COMPUTED_VALUE"""),"ad")</f>
        <v>ad</v>
      </c>
      <c r="S1642" s="6" t="str">
        <f>IFERROR(__xludf.DUMMYFUNCTION("""COMPUTED_VALUE"""),"lies")</f>
        <v>lies</v>
      </c>
    </row>
    <row r="1643">
      <c r="B1643" s="6"/>
      <c r="D1643" s="6"/>
      <c r="G1643" s="6"/>
      <c r="H1643" s="6" t="str">
        <f>IFERROR(__xludf.DUMMYFUNCTION("""COMPUTED_VALUE"""),"wanderers")</f>
        <v>wanderers</v>
      </c>
      <c r="I1643" s="6"/>
      <c r="J1643" s="6" t="str">
        <f>IFERROR(__xludf.DUMMYFUNCTION("""COMPUTED_VALUE"""),"convictions")</f>
        <v>convictions</v>
      </c>
      <c r="L1643" s="6" t="str">
        <f>IFERROR(__xludf.DUMMYFUNCTION("""COMPUTED_VALUE"""),"commerce")</f>
        <v>commerce</v>
      </c>
      <c r="M1643" s="6" t="str">
        <f>IFERROR(__xludf.DUMMYFUNCTION("""COMPUTED_VALUE"""),"ensemble")</f>
        <v>ensemble</v>
      </c>
      <c r="N1643" s="6" t="str">
        <f>IFERROR(__xludf.DUMMYFUNCTION("""COMPUTED_VALUE"""),"discipline")</f>
        <v>discipline</v>
      </c>
      <c r="P1643" s="6"/>
      <c r="Q1643" s="6">
        <f>IFERROR(__xludf.DUMMYFUNCTION("""COMPUTED_VALUE"""),83.0)</f>
        <v>83</v>
      </c>
      <c r="S1643" s="6" t="str">
        <f>IFERROR(__xludf.DUMMYFUNCTION("""COMPUTED_VALUE"""),"determination")</f>
        <v>determination</v>
      </c>
    </row>
    <row r="1644">
      <c r="B1644" s="6"/>
      <c r="D1644" s="6"/>
      <c r="G1644" s="6"/>
      <c r="H1644" s="6" t="str">
        <f>IFERROR(__xludf.DUMMYFUNCTION("""COMPUTED_VALUE"""),"equilibrium")</f>
        <v>equilibrium</v>
      </c>
      <c r="I1644" s="6"/>
      <c r="J1644" s="6" t="str">
        <f>IFERROR(__xludf.DUMMYFUNCTION("""COMPUTED_VALUE"""),"populace")</f>
        <v>populace</v>
      </c>
      <c r="L1644" s="6" t="str">
        <f>IFERROR(__xludf.DUMMYFUNCTION("""COMPUTED_VALUE"""),"egypt")</f>
        <v>egypt</v>
      </c>
      <c r="M1644" s="6" t="str">
        <f>IFERROR(__xludf.DUMMYFUNCTION("""COMPUTED_VALUE"""),"bernard")</f>
        <v>bernard</v>
      </c>
      <c r="N1644" s="6" t="str">
        <f>IFERROR(__xludf.DUMMYFUNCTION("""COMPUTED_VALUE"""),"sap")</f>
        <v>sap</v>
      </c>
      <c r="P1644" s="6"/>
      <c r="Q1644" s="6" t="str">
        <f>IFERROR(__xludf.DUMMYFUNCTION("""COMPUTED_VALUE"""),"hartley")</f>
        <v>hartley</v>
      </c>
      <c r="S1644" s="6" t="str">
        <f>IFERROR(__xludf.DUMMYFUNCTION("""COMPUTED_VALUE"""),"became")</f>
        <v>became</v>
      </c>
    </row>
    <row r="1645">
      <c r="B1645" s="6"/>
      <c r="D1645" s="6"/>
      <c r="G1645" s="6"/>
      <c r="H1645" s="6" t="str">
        <f>IFERROR(__xludf.DUMMYFUNCTION("""COMPUTED_VALUE"""),"calculating")</f>
        <v>calculating</v>
      </c>
      <c r="I1645" s="6"/>
      <c r="J1645" s="6" t="str">
        <f>IFERROR(__xludf.DUMMYFUNCTION("""COMPUTED_VALUE"""),"journalist")</f>
        <v>journalist</v>
      </c>
      <c r="L1645" s="6" t="str">
        <f>IFERROR(__xludf.DUMMYFUNCTION("""COMPUTED_VALUE"""),"palestinian")</f>
        <v>palestinian</v>
      </c>
      <c r="M1645" s="6" t="str">
        <f>IFERROR(__xludf.DUMMYFUNCTION("""COMPUTED_VALUE"""),"editor")</f>
        <v>editor</v>
      </c>
      <c r="N1645" s="6" t="str">
        <f>IFERROR(__xludf.DUMMYFUNCTION("""COMPUTED_VALUE"""),"capturing")</f>
        <v>capturing</v>
      </c>
      <c r="P1645" s="6"/>
      <c r="Q1645" s="6" t="str">
        <f>IFERROR(__xludf.DUMMYFUNCTION("""COMPUTED_VALUE"""),"resembling")</f>
        <v>resembling</v>
      </c>
      <c r="S1645" s="6" t="str">
        <f>IFERROR(__xludf.DUMMYFUNCTION("""COMPUTED_VALUE"""),"surrounding")</f>
        <v>surrounding</v>
      </c>
    </row>
    <row r="1646">
      <c r="B1646" s="6"/>
      <c r="D1646" s="6"/>
      <c r="G1646" s="6"/>
      <c r="H1646" s="6" t="str">
        <f>IFERROR(__xludf.DUMMYFUNCTION("""COMPUTED_VALUE"""),"criticizing")</f>
        <v>criticizing</v>
      </c>
      <c r="I1646" s="6"/>
      <c r="J1646" s="6" t="str">
        <f>IFERROR(__xludf.DUMMYFUNCTION("""COMPUTED_VALUE"""),"excursion")</f>
        <v>excursion</v>
      </c>
      <c r="L1646" s="6" t="str">
        <f>IFERROR(__xludf.DUMMYFUNCTION("""COMPUTED_VALUE"""),"odyssey")</f>
        <v>odyssey</v>
      </c>
      <c r="M1646" s="6">
        <f>IFERROR(__xludf.DUMMYFUNCTION("""COMPUTED_VALUE"""),83.0)</f>
        <v>83</v>
      </c>
      <c r="N1646" s="6" t="str">
        <f>IFERROR(__xludf.DUMMYFUNCTION("""COMPUTED_VALUE"""),"explicit")</f>
        <v>explicit</v>
      </c>
      <c r="P1646" s="6"/>
      <c r="Q1646" s="6" t="str">
        <f>IFERROR(__xludf.DUMMYFUNCTION("""COMPUTED_VALUE"""),"significance")</f>
        <v>significance</v>
      </c>
      <c r="S1646" s="6" t="str">
        <f>IFERROR(__xludf.DUMMYFUNCTION("""COMPUTED_VALUE"""),"scientists")</f>
        <v>scientists</v>
      </c>
    </row>
    <row r="1647">
      <c r="B1647" s="6"/>
      <c r="D1647" s="6"/>
      <c r="G1647" s="6"/>
      <c r="H1647" s="6">
        <f>IFERROR(__xludf.DUMMYFUNCTION("""COMPUTED_VALUE"""),295.0)</f>
        <v>295</v>
      </c>
      <c r="I1647" s="6"/>
      <c r="J1647" s="6" t="str">
        <f>IFERROR(__xludf.DUMMYFUNCTION("""COMPUTED_VALUE"""),"exasperated")</f>
        <v>exasperated</v>
      </c>
      <c r="L1647" s="6" t="str">
        <f>IFERROR(__xludf.DUMMYFUNCTION("""COMPUTED_VALUE"""),"strategic")</f>
        <v>strategic</v>
      </c>
      <c r="M1647" s="6" t="str">
        <f>IFERROR(__xludf.DUMMYFUNCTION("""COMPUTED_VALUE"""),"inquiry")</f>
        <v>inquiry</v>
      </c>
      <c r="N1647" s="6" t="str">
        <f>IFERROR(__xludf.DUMMYFUNCTION("""COMPUTED_VALUE"""),"cinderella")</f>
        <v>cinderella</v>
      </c>
      <c r="P1647" s="6"/>
      <c r="Q1647" s="6" t="str">
        <f>IFERROR(__xludf.DUMMYFUNCTION("""COMPUTED_VALUE"""),"anarchist")</f>
        <v>anarchist</v>
      </c>
      <c r="S1647" s="6">
        <f>IFERROR(__xludf.DUMMYFUNCTION("""COMPUTED_VALUE"""),1952.0)</f>
        <v>1952</v>
      </c>
    </row>
    <row r="1648">
      <c r="B1648" s="6"/>
      <c r="D1648" s="6"/>
      <c r="G1648" s="6"/>
      <c r="H1648" s="6">
        <f>IFERROR(__xludf.DUMMYFUNCTION("""COMPUTED_VALUE"""),1958.0)</f>
        <v>1958</v>
      </c>
      <c r="I1648" s="6"/>
      <c r="J1648" s="6" t="str">
        <f>IFERROR(__xludf.DUMMYFUNCTION("""COMPUTED_VALUE"""),"venice")</f>
        <v>venice</v>
      </c>
      <c r="L1648" s="6" t="str">
        <f>IFERROR(__xludf.DUMMYFUNCTION("""COMPUTED_VALUE"""),"demons")</f>
        <v>demons</v>
      </c>
      <c r="M1648" s="6" t="str">
        <f>IFERROR(__xludf.DUMMYFUNCTION("""COMPUTED_VALUE"""),"1950s")</f>
        <v>1950s</v>
      </c>
      <c r="N1648" s="6" t="str">
        <f>IFERROR(__xludf.DUMMYFUNCTION("""COMPUTED_VALUE"""),"hilary")</f>
        <v>hilary</v>
      </c>
      <c r="P1648" s="6"/>
      <c r="Q1648" s="6" t="str">
        <f>IFERROR(__xludf.DUMMYFUNCTION("""COMPUTED_VALUE"""),"learn")</f>
        <v>learn</v>
      </c>
      <c r="S1648" s="6" t="str">
        <f>IFERROR(__xludf.DUMMYFUNCTION("""COMPUTED_VALUE"""),"killing")</f>
        <v>killing</v>
      </c>
    </row>
    <row r="1649">
      <c r="B1649" s="6"/>
      <c r="D1649" s="6"/>
      <c r="G1649" s="6"/>
      <c r="H1649" s="6" t="str">
        <f>IFERROR(__xludf.DUMMYFUNCTION("""COMPUTED_VALUE"""),"fingered")</f>
        <v>fingered</v>
      </c>
      <c r="I1649" s="6"/>
      <c r="J1649" s="6" t="str">
        <f>IFERROR(__xludf.DUMMYFUNCTION("""COMPUTED_VALUE"""),"mika")</f>
        <v>mika</v>
      </c>
      <c r="L1649" s="6" t="str">
        <f>IFERROR(__xludf.DUMMYFUNCTION("""COMPUTED_VALUE"""),"orthodox")</f>
        <v>orthodox</v>
      </c>
      <c r="M1649" s="6" t="str">
        <f>IFERROR(__xludf.DUMMYFUNCTION("""COMPUTED_VALUE"""),"define")</f>
        <v>define</v>
      </c>
      <c r="N1649" s="6" t="str">
        <f>IFERROR(__xludf.DUMMYFUNCTION("""COMPUTED_VALUE"""),"partnership")</f>
        <v>partnership</v>
      </c>
      <c r="P1649" s="6"/>
      <c r="Q1649" s="6" t="str">
        <f>IFERROR(__xludf.DUMMYFUNCTION("""COMPUTED_VALUE"""),"productions")</f>
        <v>productions</v>
      </c>
      <c r="S1649" s="6" t="str">
        <f>IFERROR(__xludf.DUMMYFUNCTION("""COMPUTED_VALUE"""),"defeated")</f>
        <v>defeated</v>
      </c>
    </row>
    <row r="1650">
      <c r="B1650" s="6"/>
      <c r="D1650" s="6"/>
      <c r="G1650" s="6"/>
      <c r="H1650" s="6" t="str">
        <f>IFERROR(__xludf.DUMMYFUNCTION("""COMPUTED_VALUE"""),"curiously")</f>
        <v>curiously</v>
      </c>
      <c r="I1650" s="6"/>
      <c r="J1650" s="6" t="str">
        <f>IFERROR(__xludf.DUMMYFUNCTION("""COMPUTED_VALUE"""),"fallon")</f>
        <v>fallon</v>
      </c>
      <c r="L1650" s="6" t="str">
        <f>IFERROR(__xludf.DUMMYFUNCTION("""COMPUTED_VALUE"""),"depression")</f>
        <v>depression</v>
      </c>
      <c r="M1650" s="6" t="str">
        <f>IFERROR(__xludf.DUMMYFUNCTION("""COMPUTED_VALUE"""),"symbols")</f>
        <v>symbols</v>
      </c>
      <c r="N1650" s="6" t="str">
        <f>IFERROR(__xludf.DUMMYFUNCTION("""COMPUTED_VALUE"""),"iran")</f>
        <v>iran</v>
      </c>
      <c r="P1650" s="6"/>
      <c r="Q1650" s="6" t="str">
        <f>IFERROR(__xludf.DUMMYFUNCTION("""COMPUTED_VALUE"""),"meaningless")</f>
        <v>meaningless</v>
      </c>
      <c r="S1650" s="6" t="str">
        <f>IFERROR(__xludf.DUMMYFUNCTION("""COMPUTED_VALUE"""),"monument")</f>
        <v>monument</v>
      </c>
    </row>
    <row r="1651">
      <c r="B1651" s="6"/>
      <c r="D1651" s="6"/>
      <c r="G1651" s="6"/>
      <c r="H1651" s="6" t="str">
        <f>IFERROR(__xludf.DUMMYFUNCTION("""COMPUTED_VALUE"""),"characterization")</f>
        <v>characterization</v>
      </c>
      <c r="I1651" s="6"/>
      <c r="J1651" s="6" t="str">
        <f>IFERROR(__xludf.DUMMYFUNCTION("""COMPUTED_VALUE"""),"forgiveness")</f>
        <v>forgiveness</v>
      </c>
      <c r="L1651" s="6" t="str">
        <f>IFERROR(__xludf.DUMMYFUNCTION("""COMPUTED_VALUE"""),"genesis")</f>
        <v>genesis</v>
      </c>
      <c r="M1651" s="6" t="str">
        <f>IFERROR(__xludf.DUMMYFUNCTION("""COMPUTED_VALUE"""),"roster")</f>
        <v>roster</v>
      </c>
      <c r="N1651" s="6" t="str">
        <f>IFERROR(__xludf.DUMMYFUNCTION("""COMPUTED_VALUE"""),"afterlife")</f>
        <v>afterlife</v>
      </c>
      <c r="P1651" s="6"/>
      <c r="Q1651" s="6" t="str">
        <f>IFERROR(__xludf.DUMMYFUNCTION("""COMPUTED_VALUE"""),"leone")</f>
        <v>leone</v>
      </c>
      <c r="S1651" s="6" t="str">
        <f>IFERROR(__xludf.DUMMYFUNCTION("""COMPUTED_VALUE"""),"minority")</f>
        <v>minority</v>
      </c>
    </row>
    <row r="1652">
      <c r="B1652" s="6"/>
      <c r="D1652" s="6"/>
      <c r="G1652" s="6"/>
      <c r="H1652" s="6" t="str">
        <f>IFERROR(__xludf.DUMMYFUNCTION("""COMPUTED_VALUE"""),"orchestrated")</f>
        <v>orchestrated</v>
      </c>
      <c r="I1652" s="6"/>
      <c r="J1652" s="6" t="str">
        <f>IFERROR(__xludf.DUMMYFUNCTION("""COMPUTED_VALUE"""),"cinematographer")</f>
        <v>cinematographer</v>
      </c>
      <c r="L1652" s="6" t="str">
        <f>IFERROR(__xludf.DUMMYFUNCTION("""COMPUTED_VALUE"""),"sibling")</f>
        <v>sibling</v>
      </c>
      <c r="M1652" s="6" t="str">
        <f>IFERROR(__xludf.DUMMYFUNCTION("""COMPUTED_VALUE"""),"flesh")</f>
        <v>flesh</v>
      </c>
      <c r="N1652" s="6" t="str">
        <f>IFERROR(__xludf.DUMMYFUNCTION("""COMPUTED_VALUE"""),"explores")</f>
        <v>explores</v>
      </c>
      <c r="P1652" s="6"/>
      <c r="Q1652" s="6" t="str">
        <f>IFERROR(__xludf.DUMMYFUNCTION("""COMPUTED_VALUE"""),"cloudy")</f>
        <v>cloudy</v>
      </c>
      <c r="S1652" s="6" t="str">
        <f>IFERROR(__xludf.DUMMYFUNCTION("""COMPUTED_VALUE"""),"spine")</f>
        <v>spine</v>
      </c>
    </row>
    <row r="1653">
      <c r="B1653" s="6"/>
      <c r="D1653" s="6"/>
      <c r="G1653" s="6"/>
      <c r="H1653" s="6" t="str">
        <f>IFERROR(__xludf.DUMMYFUNCTION("""COMPUTED_VALUE"""),"confidently")</f>
        <v>confidently</v>
      </c>
      <c r="I1653" s="6"/>
      <c r="J1653" s="6" t="str">
        <f>IFERROR(__xludf.DUMMYFUNCTION("""COMPUTED_VALUE"""),"stevens")</f>
        <v>stevens</v>
      </c>
      <c r="L1653" s="6" t="str">
        <f>IFERROR(__xludf.DUMMYFUNCTION("""COMPUTED_VALUE"""),"judd")</f>
        <v>judd</v>
      </c>
      <c r="M1653" s="6" t="str">
        <f>IFERROR(__xludf.DUMMYFUNCTION("""COMPUTED_VALUE"""),"significance")</f>
        <v>significance</v>
      </c>
      <c r="N1653" s="6" t="str">
        <f>IFERROR(__xludf.DUMMYFUNCTION("""COMPUTED_VALUE"""),"paints")</f>
        <v>paints</v>
      </c>
      <c r="P1653" s="6"/>
      <c r="Q1653" s="6" t="str">
        <f>IFERROR(__xludf.DUMMYFUNCTION("""COMPUTED_VALUE"""),"hope")</f>
        <v>hope</v>
      </c>
      <c r="S1653" s="6" t="str">
        <f>IFERROR(__xludf.DUMMYFUNCTION("""COMPUTED_VALUE"""),"environmental")</f>
        <v>environmental</v>
      </c>
    </row>
    <row r="1654">
      <c r="B1654" s="6"/>
      <c r="D1654" s="6"/>
      <c r="G1654" s="6"/>
      <c r="H1654" s="6" t="str">
        <f>IFERROR(__xludf.DUMMYFUNCTION("""COMPUTED_VALUE"""),"doctorate")</f>
        <v>doctorate</v>
      </c>
      <c r="I1654" s="6"/>
      <c r="J1654" s="6" t="str">
        <f>IFERROR(__xludf.DUMMYFUNCTION("""COMPUTED_VALUE"""),"mtv")</f>
        <v>mtv</v>
      </c>
      <c r="L1654" s="6" t="str">
        <f>IFERROR(__xludf.DUMMYFUNCTION("""COMPUTED_VALUE"""),"topical")</f>
        <v>topical</v>
      </c>
      <c r="M1654" s="6" t="str">
        <f>IFERROR(__xludf.DUMMYFUNCTION("""COMPUTED_VALUE"""),"workshop")</f>
        <v>workshop</v>
      </c>
      <c r="N1654" s="6" t="str">
        <f>IFERROR(__xludf.DUMMYFUNCTION("""COMPUTED_VALUE"""),"preliminary")</f>
        <v>preliminary</v>
      </c>
      <c r="P1654" s="6"/>
      <c r="Q1654" s="6" t="str">
        <f>IFERROR(__xludf.DUMMYFUNCTION("""COMPUTED_VALUE"""),"documentaries")</f>
        <v>documentaries</v>
      </c>
      <c r="S1654" s="6" t="str">
        <f>IFERROR(__xludf.DUMMYFUNCTION("""COMPUTED_VALUE"""),"oh")</f>
        <v>oh</v>
      </c>
    </row>
    <row r="1655">
      <c r="B1655" s="6"/>
      <c r="D1655" s="6"/>
      <c r="G1655" s="6"/>
      <c r="H1655" s="6" t="str">
        <f>IFERROR(__xludf.DUMMYFUNCTION("""COMPUTED_VALUE"""),"telescope")</f>
        <v>telescope</v>
      </c>
      <c r="I1655" s="6"/>
      <c r="J1655" s="6" t="str">
        <f>IFERROR(__xludf.DUMMYFUNCTION("""COMPUTED_VALUE"""),"hysteria")</f>
        <v>hysteria</v>
      </c>
      <c r="L1655" s="6" t="str">
        <f>IFERROR(__xludf.DUMMYFUNCTION("""COMPUTED_VALUE"""),"pushes")</f>
        <v>pushes</v>
      </c>
      <c r="M1655" s="6" t="str">
        <f>IFERROR(__xludf.DUMMYFUNCTION("""COMPUTED_VALUE"""),"developments")</f>
        <v>developments</v>
      </c>
      <c r="N1655" s="6" t="str">
        <f>IFERROR(__xludf.DUMMYFUNCTION("""COMPUTED_VALUE"""),"morally")</f>
        <v>morally</v>
      </c>
      <c r="P1655" s="6"/>
      <c r="Q1655" s="6" t="str">
        <f>IFERROR(__xludf.DUMMYFUNCTION("""COMPUTED_VALUE"""),"peas")</f>
        <v>peas</v>
      </c>
      <c r="S1655" s="6" t="str">
        <f>IFERROR(__xludf.DUMMYFUNCTION("""COMPUTED_VALUE"""),"squeezed")</f>
        <v>squeezed</v>
      </c>
    </row>
    <row r="1656">
      <c r="B1656" s="6"/>
      <c r="D1656" s="6"/>
      <c r="G1656" s="6"/>
      <c r="H1656" s="6" t="str">
        <f>IFERROR(__xludf.DUMMYFUNCTION("""COMPUTED_VALUE"""),"analytical")</f>
        <v>analytical</v>
      </c>
      <c r="I1656" s="6"/>
      <c r="J1656" s="6" t="str">
        <f>IFERROR(__xludf.DUMMYFUNCTION("""COMPUTED_VALUE"""),"conan")</f>
        <v>conan</v>
      </c>
      <c r="L1656" s="6" t="str">
        <f>IFERROR(__xludf.DUMMYFUNCTION("""COMPUTED_VALUE"""),"mira")</f>
        <v>mira</v>
      </c>
      <c r="M1656" s="6" t="str">
        <f>IFERROR(__xludf.DUMMYFUNCTION("""COMPUTED_VALUE"""),"cultures")</f>
        <v>cultures</v>
      </c>
      <c r="N1656" s="6" t="str">
        <f>IFERROR(__xludf.DUMMYFUNCTION("""COMPUTED_VALUE"""),"birmingham")</f>
        <v>birmingham</v>
      </c>
      <c r="P1656" s="6"/>
      <c r="Q1656" s="6" t="str">
        <f>IFERROR(__xludf.DUMMYFUNCTION("""COMPUTED_VALUE"""),"mosque")</f>
        <v>mosque</v>
      </c>
      <c r="S1656" s="6" t="str">
        <f>IFERROR(__xludf.DUMMYFUNCTION("""COMPUTED_VALUE"""),"twelve")</f>
        <v>twelve</v>
      </c>
    </row>
    <row r="1657">
      <c r="B1657" s="6"/>
      <c r="D1657" s="6"/>
      <c r="G1657" s="6"/>
      <c r="H1657" s="6" t="str">
        <f>IFERROR(__xludf.DUMMYFUNCTION("""COMPUTED_VALUE"""),"transforms")</f>
        <v>transforms</v>
      </c>
      <c r="I1657" s="6"/>
      <c r="J1657" s="6" t="str">
        <f>IFERROR(__xludf.DUMMYFUNCTION("""COMPUTED_VALUE"""),"resentment")</f>
        <v>resentment</v>
      </c>
      <c r="L1657" s="6" t="str">
        <f>IFERROR(__xludf.DUMMYFUNCTION("""COMPUTED_VALUE"""),"secretary")</f>
        <v>secretary</v>
      </c>
      <c r="M1657" s="6" t="str">
        <f>IFERROR(__xludf.DUMMYFUNCTION("""COMPUTED_VALUE"""),"vital")</f>
        <v>vital</v>
      </c>
      <c r="N1657" s="6" t="str">
        <f>IFERROR(__xludf.DUMMYFUNCTION("""COMPUTED_VALUE"""),"kramer")</f>
        <v>kramer</v>
      </c>
      <c r="P1657" s="6"/>
      <c r="Q1657" s="6" t="str">
        <f>IFERROR(__xludf.DUMMYFUNCTION("""COMPUTED_VALUE"""),"glimpse")</f>
        <v>glimpse</v>
      </c>
      <c r="S1657" s="6" t="str">
        <f>IFERROR(__xludf.DUMMYFUNCTION("""COMPUTED_VALUE"""),"alfred")</f>
        <v>alfred</v>
      </c>
    </row>
    <row r="1658">
      <c r="B1658" s="6"/>
      <c r="D1658" s="6"/>
      <c r="G1658" s="6"/>
      <c r="H1658" s="6" t="str">
        <f>IFERROR(__xludf.DUMMYFUNCTION("""COMPUTED_VALUE"""),"undertaking")</f>
        <v>undertaking</v>
      </c>
      <c r="I1658" s="6"/>
      <c r="J1658" s="6" t="str">
        <f>IFERROR(__xludf.DUMMYFUNCTION("""COMPUTED_VALUE"""),"hypnotic")</f>
        <v>hypnotic</v>
      </c>
      <c r="L1658" s="6" t="str">
        <f>IFERROR(__xludf.DUMMYFUNCTION("""COMPUTED_VALUE"""),"endeavor")</f>
        <v>endeavor</v>
      </c>
      <c r="M1658" s="6" t="str">
        <f>IFERROR(__xludf.DUMMYFUNCTION("""COMPUTED_VALUE"""),"harvey")</f>
        <v>harvey</v>
      </c>
      <c r="N1658" s="6" t="str">
        <f>IFERROR(__xludf.DUMMYFUNCTION("""COMPUTED_VALUE"""),"singular")</f>
        <v>singular</v>
      </c>
      <c r="P1658" s="6"/>
      <c r="Q1658" s="6" t="str">
        <f>IFERROR(__xludf.DUMMYFUNCTION("""COMPUTED_VALUE"""),"queen")</f>
        <v>queen</v>
      </c>
      <c r="S1658" s="6" t="str">
        <f>IFERROR(__xludf.DUMMYFUNCTION("""COMPUTED_VALUE"""),"shakespeare")</f>
        <v>shakespeare</v>
      </c>
    </row>
    <row r="1659">
      <c r="B1659" s="6"/>
      <c r="D1659" s="6"/>
      <c r="G1659" s="6"/>
      <c r="H1659" s="6" t="str">
        <f>IFERROR(__xludf.DUMMYFUNCTION("""COMPUTED_VALUE"""),"discovery")</f>
        <v>discovery</v>
      </c>
      <c r="I1659" s="6"/>
      <c r="J1659" s="6" t="str">
        <f>IFERROR(__xludf.DUMMYFUNCTION("""COMPUTED_VALUE"""),"welsh")</f>
        <v>welsh</v>
      </c>
      <c r="L1659" s="6" t="str">
        <f>IFERROR(__xludf.DUMMYFUNCTION("""COMPUTED_VALUE"""),"pivotal")</f>
        <v>pivotal</v>
      </c>
      <c r="M1659" s="6" t="str">
        <f>IFERROR(__xludf.DUMMYFUNCTION("""COMPUTED_VALUE"""),"fictional")</f>
        <v>fictional</v>
      </c>
      <c r="N1659" s="6" t="str">
        <f>IFERROR(__xludf.DUMMYFUNCTION("""COMPUTED_VALUE"""),"compatible")</f>
        <v>compatible</v>
      </c>
      <c r="P1659" s="6"/>
      <c r="Q1659" s="6" t="str">
        <f>IFERROR(__xludf.DUMMYFUNCTION("""COMPUTED_VALUE"""),"anne")</f>
        <v>anne</v>
      </c>
      <c r="S1659" s="6" t="str">
        <f>IFERROR(__xludf.DUMMYFUNCTION("""COMPUTED_VALUE"""),"companion")</f>
        <v>companion</v>
      </c>
    </row>
    <row r="1660">
      <c r="B1660" s="6"/>
      <c r="D1660" s="6"/>
      <c r="G1660" s="6"/>
      <c r="H1660" s="6" t="str">
        <f>IFERROR(__xludf.DUMMYFUNCTION("""COMPUTED_VALUE"""),"effectively")</f>
        <v>effectively</v>
      </c>
      <c r="I1660" s="6"/>
      <c r="J1660" s="6" t="str">
        <f>IFERROR(__xludf.DUMMYFUNCTION("""COMPUTED_VALUE"""),"goose")</f>
        <v>goose</v>
      </c>
      <c r="L1660" s="6" t="str">
        <f>IFERROR(__xludf.DUMMYFUNCTION("""COMPUTED_VALUE"""),"swords")</f>
        <v>swords</v>
      </c>
      <c r="M1660" s="6" t="str">
        <f>IFERROR(__xludf.DUMMYFUNCTION("""COMPUTED_VALUE"""),"literary")</f>
        <v>literary</v>
      </c>
      <c r="N1660" s="6" t="str">
        <f>IFERROR(__xludf.DUMMYFUNCTION("""COMPUTED_VALUE"""),"pitted")</f>
        <v>pitted</v>
      </c>
      <c r="P1660" s="6"/>
      <c r="Q1660" s="6" t="str">
        <f>IFERROR(__xludf.DUMMYFUNCTION("""COMPUTED_VALUE"""),"sylvie")</f>
        <v>sylvie</v>
      </c>
      <c r="S1660" s="6" t="str">
        <f>IFERROR(__xludf.DUMMYFUNCTION("""COMPUTED_VALUE"""),"beach")</f>
        <v>beach</v>
      </c>
    </row>
    <row r="1661">
      <c r="B1661" s="6"/>
      <c r="D1661" s="6"/>
      <c r="G1661" s="6"/>
      <c r="H1661" s="6" t="str">
        <f>IFERROR(__xludf.DUMMYFUNCTION("""COMPUTED_VALUE"""),"concentration")</f>
        <v>concentration</v>
      </c>
      <c r="I1661" s="6"/>
      <c r="J1661" s="6" t="str">
        <f>IFERROR(__xludf.DUMMYFUNCTION("""COMPUTED_VALUE"""),"stuart")</f>
        <v>stuart</v>
      </c>
      <c r="L1661" s="6" t="str">
        <f>IFERROR(__xludf.DUMMYFUNCTION("""COMPUTED_VALUE"""),"integrated")</f>
        <v>integrated</v>
      </c>
      <c r="M1661" s="6" t="str">
        <f>IFERROR(__xludf.DUMMYFUNCTION("""COMPUTED_VALUE"""),"survival")</f>
        <v>survival</v>
      </c>
      <c r="N1661" s="6" t="str">
        <f>IFERROR(__xludf.DUMMYFUNCTION("""COMPUTED_VALUE"""),"exhaustion")</f>
        <v>exhaustion</v>
      </c>
      <c r="P1661" s="6"/>
      <c r="Q1661" s="6" t="str">
        <f>IFERROR(__xludf.DUMMYFUNCTION("""COMPUTED_VALUE"""),"politically")</f>
        <v>politically</v>
      </c>
      <c r="S1661" s="6" t="str">
        <f>IFERROR(__xludf.DUMMYFUNCTION("""COMPUTED_VALUE"""),"causes")</f>
        <v>causes</v>
      </c>
    </row>
    <row r="1662">
      <c r="B1662" s="6"/>
      <c r="D1662" s="6"/>
      <c r="G1662" s="6"/>
      <c r="H1662" s="6" t="str">
        <f>IFERROR(__xludf.DUMMYFUNCTION("""COMPUTED_VALUE"""),"neutral")</f>
        <v>neutral</v>
      </c>
      <c r="I1662" s="6"/>
      <c r="J1662" s="6" t="str">
        <f>IFERROR(__xludf.DUMMYFUNCTION("""COMPUTED_VALUE"""),"siegel")</f>
        <v>siegel</v>
      </c>
      <c r="L1662" s="6" t="str">
        <f>IFERROR(__xludf.DUMMYFUNCTION("""COMPUTED_VALUE"""),"alabama")</f>
        <v>alabama</v>
      </c>
      <c r="M1662" s="6" t="str">
        <f>IFERROR(__xludf.DUMMYFUNCTION("""COMPUTED_VALUE"""),"triangle")</f>
        <v>triangle</v>
      </c>
      <c r="N1662" s="6" t="str">
        <f>IFERROR(__xludf.DUMMYFUNCTION("""COMPUTED_VALUE"""),"exposition")</f>
        <v>exposition</v>
      </c>
      <c r="P1662" s="6"/>
      <c r="Q1662" s="6" t="str">
        <f>IFERROR(__xludf.DUMMYFUNCTION("""COMPUTED_VALUE"""),"eponymous")</f>
        <v>eponymous</v>
      </c>
      <c r="S1662" s="6" t="str">
        <f>IFERROR(__xludf.DUMMYFUNCTION("""COMPUTED_VALUE"""),"buried")</f>
        <v>buried</v>
      </c>
    </row>
    <row r="1663">
      <c r="B1663" s="6"/>
      <c r="D1663" s="6"/>
      <c r="G1663" s="6"/>
      <c r="H1663" s="6" t="str">
        <f>IFERROR(__xludf.DUMMYFUNCTION("""COMPUTED_VALUE"""),"singh")</f>
        <v>singh</v>
      </c>
      <c r="I1663" s="6"/>
      <c r="J1663" s="6" t="str">
        <f>IFERROR(__xludf.DUMMYFUNCTION("""COMPUTED_VALUE"""),"parochial")</f>
        <v>parochial</v>
      </c>
      <c r="L1663" s="6" t="str">
        <f>IFERROR(__xludf.DUMMYFUNCTION("""COMPUTED_VALUE"""),"distinguishing")</f>
        <v>distinguishing</v>
      </c>
      <c r="M1663" s="6">
        <f>IFERROR(__xludf.DUMMYFUNCTION("""COMPUTED_VALUE"""),93.0)</f>
        <v>93</v>
      </c>
      <c r="N1663" s="6" t="str">
        <f>IFERROR(__xludf.DUMMYFUNCTION("""COMPUTED_VALUE"""),"thud")</f>
        <v>thud</v>
      </c>
      <c r="P1663" s="6"/>
      <c r="Q1663" s="6" t="str">
        <f>IFERROR(__xludf.DUMMYFUNCTION("""COMPUTED_VALUE"""),"mysteries")</f>
        <v>mysteries</v>
      </c>
      <c r="S1663" s="6" t="str">
        <f>IFERROR(__xludf.DUMMYFUNCTION("""COMPUTED_VALUE"""),"lit")</f>
        <v>lit</v>
      </c>
    </row>
    <row r="1664">
      <c r="B1664" s="6"/>
      <c r="D1664" s="6"/>
      <c r="G1664" s="6"/>
      <c r="H1664" s="6" t="str">
        <f>IFERROR(__xludf.DUMMYFUNCTION("""COMPUTED_VALUE"""),"acknowledges")</f>
        <v>acknowledges</v>
      </c>
      <c r="I1664" s="6"/>
      <c r="J1664" s="6" t="str">
        <f>IFERROR(__xludf.DUMMYFUNCTION("""COMPUTED_VALUE"""),"friendships")</f>
        <v>friendships</v>
      </c>
      <c r="L1664" s="6" t="str">
        <f>IFERROR(__xludf.DUMMYFUNCTION("""COMPUTED_VALUE"""),"accidental")</f>
        <v>accidental</v>
      </c>
      <c r="M1664" s="6" t="str">
        <f>IFERROR(__xludf.DUMMYFUNCTION("""COMPUTED_VALUE"""),"nomination")</f>
        <v>nomination</v>
      </c>
      <c r="N1664" s="6" t="str">
        <f>IFERROR(__xludf.DUMMYFUNCTION("""COMPUTED_VALUE"""),"damon")</f>
        <v>damon</v>
      </c>
      <c r="P1664" s="6"/>
      <c r="Q1664" s="6" t="str">
        <f>IFERROR(__xludf.DUMMYFUNCTION("""COMPUTED_VALUE"""),"attackers")</f>
        <v>attackers</v>
      </c>
      <c r="S1664" s="6" t="str">
        <f>IFERROR(__xludf.DUMMYFUNCTION("""COMPUTED_VALUE"""),"iii")</f>
        <v>iii</v>
      </c>
    </row>
    <row r="1665">
      <c r="B1665" s="6"/>
      <c r="D1665" s="6"/>
      <c r="G1665" s="6"/>
      <c r="H1665" s="6" t="str">
        <f>IFERROR(__xludf.DUMMYFUNCTION("""COMPUTED_VALUE"""),"chases")</f>
        <v>chases</v>
      </c>
      <c r="I1665" s="6"/>
      <c r="J1665" s="6" t="str">
        <f>IFERROR(__xludf.DUMMYFUNCTION("""COMPUTED_VALUE"""),"philip")</f>
        <v>philip</v>
      </c>
      <c r="L1665" s="6" t="str">
        <f>IFERROR(__xludf.DUMMYFUNCTION("""COMPUTED_VALUE"""),"betrayal")</f>
        <v>betrayal</v>
      </c>
      <c r="M1665" s="6" t="str">
        <f>IFERROR(__xludf.DUMMYFUNCTION("""COMPUTED_VALUE"""),"pulse")</f>
        <v>pulse</v>
      </c>
      <c r="N1665" s="6" t="str">
        <f>IFERROR(__xludf.DUMMYFUNCTION("""COMPUTED_VALUE"""),"fantasies")</f>
        <v>fantasies</v>
      </c>
      <c r="P1665" s="6"/>
      <c r="Q1665" s="6" t="str">
        <f>IFERROR(__xludf.DUMMYFUNCTION("""COMPUTED_VALUE"""),"tunnels")</f>
        <v>tunnels</v>
      </c>
      <c r="S1665" s="6" t="str">
        <f>IFERROR(__xludf.DUMMYFUNCTION("""COMPUTED_VALUE"""),"proposal")</f>
        <v>proposal</v>
      </c>
    </row>
    <row r="1666">
      <c r="B1666" s="6"/>
      <c r="D1666" s="6"/>
      <c r="G1666" s="6"/>
      <c r="H1666" s="6" t="str">
        <f>IFERROR(__xludf.DUMMYFUNCTION("""COMPUTED_VALUE"""),"tucker")</f>
        <v>tucker</v>
      </c>
      <c r="I1666" s="6"/>
      <c r="J1666" s="6" t="str">
        <f>IFERROR(__xludf.DUMMYFUNCTION("""COMPUTED_VALUE"""),"fragmented")</f>
        <v>fragmented</v>
      </c>
      <c r="L1666" s="6" t="str">
        <f>IFERROR(__xludf.DUMMYFUNCTION("""COMPUTED_VALUE"""),"fragile")</f>
        <v>fragile</v>
      </c>
      <c r="M1666" s="6">
        <f>IFERROR(__xludf.DUMMYFUNCTION("""COMPUTED_VALUE"""),1975.0)</f>
        <v>1975</v>
      </c>
      <c r="N1666" s="6" t="str">
        <f>IFERROR(__xludf.DUMMYFUNCTION("""COMPUTED_VALUE"""),"rapids")</f>
        <v>rapids</v>
      </c>
      <c r="P1666" s="6"/>
      <c r="Q1666" s="6" t="str">
        <f>IFERROR(__xludf.DUMMYFUNCTION("""COMPUTED_VALUE"""),"anonymous")</f>
        <v>anonymous</v>
      </c>
      <c r="S1666" s="6" t="str">
        <f>IFERROR(__xludf.DUMMYFUNCTION("""COMPUTED_VALUE"""),"peace")</f>
        <v>peace</v>
      </c>
    </row>
    <row r="1667">
      <c r="B1667" s="6"/>
      <c r="D1667" s="6"/>
      <c r="G1667" s="6"/>
      <c r="H1667" s="6" t="str">
        <f>IFERROR(__xludf.DUMMYFUNCTION("""COMPUTED_VALUE"""),"sci")</f>
        <v>sci</v>
      </c>
      <c r="I1667" s="6"/>
      <c r="J1667" s="6" t="str">
        <f>IFERROR(__xludf.DUMMYFUNCTION("""COMPUTED_VALUE"""),"enhancing")</f>
        <v>enhancing</v>
      </c>
      <c r="L1667" s="6" t="str">
        <f>IFERROR(__xludf.DUMMYFUNCTION("""COMPUTED_VALUE"""),"virtue")</f>
        <v>virtue</v>
      </c>
      <c r="M1667" s="6" t="str">
        <f>IFERROR(__xludf.DUMMYFUNCTION("""COMPUTED_VALUE"""),"exploration")</f>
        <v>exploration</v>
      </c>
      <c r="N1667" s="6" t="str">
        <f>IFERROR(__xludf.DUMMYFUNCTION("""COMPUTED_VALUE"""),"technological")</f>
        <v>technological</v>
      </c>
      <c r="P1667" s="6"/>
      <c r="Q1667" s="6" t="str">
        <f>IFERROR(__xludf.DUMMYFUNCTION("""COMPUTED_VALUE"""),"technologies")</f>
        <v>technologies</v>
      </c>
      <c r="S1667" s="6" t="str">
        <f>IFERROR(__xludf.DUMMYFUNCTION("""COMPUTED_VALUE"""),"east")</f>
        <v>east</v>
      </c>
    </row>
    <row r="1668">
      <c r="B1668" s="6"/>
      <c r="D1668" s="6"/>
      <c r="G1668" s="6"/>
      <c r="H1668" s="6" t="str">
        <f>IFERROR(__xludf.DUMMYFUNCTION("""COMPUTED_VALUE"""),"italics")</f>
        <v>italics</v>
      </c>
      <c r="I1668" s="6"/>
      <c r="J1668" s="6" t="str">
        <f>IFERROR(__xludf.DUMMYFUNCTION("""COMPUTED_VALUE"""),"feral")</f>
        <v>feral</v>
      </c>
      <c r="L1668" s="6" t="str">
        <f>IFERROR(__xludf.DUMMYFUNCTION("""COMPUTED_VALUE"""),"veins")</f>
        <v>veins</v>
      </c>
      <c r="M1668" s="6" t="str">
        <f>IFERROR(__xludf.DUMMYFUNCTION("""COMPUTED_VALUE"""),"footage")</f>
        <v>footage</v>
      </c>
      <c r="N1668" s="6" t="str">
        <f>IFERROR(__xludf.DUMMYFUNCTION("""COMPUTED_VALUE"""),"cylinders")</f>
        <v>cylinders</v>
      </c>
      <c r="P1668" s="6"/>
      <c r="Q1668" s="6" t="str">
        <f>IFERROR(__xludf.DUMMYFUNCTION("""COMPUTED_VALUE"""),"primitive")</f>
        <v>primitive</v>
      </c>
      <c r="S1668" s="6" t="str">
        <f>IFERROR(__xludf.DUMMYFUNCTION("""COMPUTED_VALUE"""),"eventual")</f>
        <v>eventual</v>
      </c>
    </row>
    <row r="1669">
      <c r="B1669" s="6"/>
      <c r="D1669" s="6"/>
      <c r="G1669" s="6"/>
      <c r="H1669" s="6" t="str">
        <f>IFERROR(__xludf.DUMMYFUNCTION("""COMPUTED_VALUE"""),"attach")</f>
        <v>attach</v>
      </c>
      <c r="I1669" s="6"/>
      <c r="J1669" s="6" t="str">
        <f>IFERROR(__xludf.DUMMYFUNCTION("""COMPUTED_VALUE"""),"uncomfortable")</f>
        <v>uncomfortable</v>
      </c>
      <c r="L1669" s="6" t="str">
        <f>IFERROR(__xludf.DUMMYFUNCTION("""COMPUTED_VALUE"""),"landscapes")</f>
        <v>landscapes</v>
      </c>
      <c r="M1669" s="6" t="str">
        <f>IFERROR(__xludf.DUMMYFUNCTION("""COMPUTED_VALUE"""),"sequel")</f>
        <v>sequel</v>
      </c>
      <c r="N1669" s="6" t="str">
        <f>IFERROR(__xludf.DUMMYFUNCTION("""COMPUTED_VALUE"""),"flashes")</f>
        <v>flashes</v>
      </c>
      <c r="P1669" s="6"/>
      <c r="Q1669" s="6" t="str">
        <f>IFERROR(__xludf.DUMMYFUNCTION("""COMPUTED_VALUE"""),"olivier")</f>
        <v>olivier</v>
      </c>
      <c r="S1669" s="6" t="str">
        <f>IFERROR(__xludf.DUMMYFUNCTION("""COMPUTED_VALUE"""),"heavyweight")</f>
        <v>heavyweight</v>
      </c>
    </row>
    <row r="1670">
      <c r="B1670" s="6"/>
      <c r="D1670" s="6"/>
      <c r="G1670" s="6"/>
      <c r="H1670" s="6" t="str">
        <f>IFERROR(__xludf.DUMMYFUNCTION("""COMPUTED_VALUE"""),"wilde")</f>
        <v>wilde</v>
      </c>
      <c r="I1670" s="6"/>
      <c r="J1670" s="6" t="str">
        <f>IFERROR(__xludf.DUMMYFUNCTION("""COMPUTED_VALUE"""),"decommissioned")</f>
        <v>decommissioned</v>
      </c>
      <c r="L1670" s="6" t="str">
        <f>IFERROR(__xludf.DUMMYFUNCTION("""COMPUTED_VALUE"""),"battlefield")</f>
        <v>battlefield</v>
      </c>
      <c r="M1670" s="6" t="str">
        <f>IFERROR(__xludf.DUMMYFUNCTION("""COMPUTED_VALUE"""),"souls")</f>
        <v>souls</v>
      </c>
      <c r="N1670" s="6" t="str">
        <f>IFERROR(__xludf.DUMMYFUNCTION("""COMPUTED_VALUE"""),"crashing")</f>
        <v>crashing</v>
      </c>
      <c r="P1670" s="6"/>
      <c r="Q1670" s="6" t="str">
        <f>IFERROR(__xludf.DUMMYFUNCTION("""COMPUTED_VALUE"""),"laurence")</f>
        <v>laurence</v>
      </c>
      <c r="S1670" s="6" t="str">
        <f>IFERROR(__xludf.DUMMYFUNCTION("""COMPUTED_VALUE"""),"burns")</f>
        <v>burns</v>
      </c>
    </row>
    <row r="1671">
      <c r="B1671" s="6"/>
      <c r="D1671" s="6"/>
      <c r="G1671" s="6"/>
      <c r="H1671" s="6" t="str">
        <f>IFERROR(__xludf.DUMMYFUNCTION("""COMPUTED_VALUE"""),"empowerment")</f>
        <v>empowerment</v>
      </c>
      <c r="I1671" s="6"/>
      <c r="J1671" s="6" t="str">
        <f>IFERROR(__xludf.DUMMYFUNCTION("""COMPUTED_VALUE"""),"humiliated")</f>
        <v>humiliated</v>
      </c>
      <c r="L1671" s="6" t="str">
        <f>IFERROR(__xludf.DUMMYFUNCTION("""COMPUTED_VALUE"""),"inherently")</f>
        <v>inherently</v>
      </c>
      <c r="M1671" s="6" t="str">
        <f>IFERROR(__xludf.DUMMYFUNCTION("""COMPUTED_VALUE"""),"tales")</f>
        <v>tales</v>
      </c>
      <c r="N1671" s="6" t="str">
        <f>IFERROR(__xludf.DUMMYFUNCTION("""COMPUTED_VALUE"""),"haute")</f>
        <v>haute</v>
      </c>
      <c r="P1671" s="6"/>
      <c r="Q1671" s="6" t="str">
        <f>IFERROR(__xludf.DUMMYFUNCTION("""COMPUTED_VALUE"""),"groan")</f>
        <v>groan</v>
      </c>
      <c r="S1671" s="6" t="str">
        <f>IFERROR(__xludf.DUMMYFUNCTION("""COMPUTED_VALUE"""),"foot")</f>
        <v>foot</v>
      </c>
    </row>
    <row r="1672">
      <c r="B1672" s="6"/>
      <c r="D1672" s="6"/>
      <c r="G1672" s="6"/>
      <c r="H1672" s="6" t="str">
        <f>IFERROR(__xludf.DUMMYFUNCTION("""COMPUTED_VALUE"""),"outrage")</f>
        <v>outrage</v>
      </c>
      <c r="I1672" s="6"/>
      <c r="J1672" s="6">
        <f>IFERROR(__xludf.DUMMYFUNCTION("""COMPUTED_VALUE"""),451.0)</f>
        <v>451</v>
      </c>
      <c r="L1672" s="6" t="str">
        <f>IFERROR(__xludf.DUMMYFUNCTION("""COMPUTED_VALUE"""),"profoundly")</f>
        <v>profoundly</v>
      </c>
      <c r="M1672" s="6" t="str">
        <f>IFERROR(__xludf.DUMMYFUNCTION("""COMPUTED_VALUE"""),"editing")</f>
        <v>editing</v>
      </c>
      <c r="N1672" s="6" t="str">
        <f>IFERROR(__xludf.DUMMYFUNCTION("""COMPUTED_VALUE"""),"provoked")</f>
        <v>provoked</v>
      </c>
      <c r="P1672" s="6"/>
      <c r="Q1672" s="6" t="str">
        <f>IFERROR(__xludf.DUMMYFUNCTION("""COMPUTED_VALUE"""),"confined")</f>
        <v>confined</v>
      </c>
      <c r="S1672" s="6" t="str">
        <f>IFERROR(__xludf.DUMMYFUNCTION("""COMPUTED_VALUE"""),"tenth")</f>
        <v>tenth</v>
      </c>
    </row>
    <row r="1673">
      <c r="B1673" s="6"/>
      <c r="D1673" s="6"/>
      <c r="G1673" s="6"/>
      <c r="H1673" s="6" t="str">
        <f>IFERROR(__xludf.DUMMYFUNCTION("""COMPUTED_VALUE"""),"passions")</f>
        <v>passions</v>
      </c>
      <c r="I1673" s="6"/>
      <c r="J1673" s="6" t="str">
        <f>IFERROR(__xludf.DUMMYFUNCTION("""COMPUTED_VALUE"""),"numb")</f>
        <v>numb</v>
      </c>
      <c r="L1673" s="6" t="str">
        <f>IFERROR(__xludf.DUMMYFUNCTION("""COMPUTED_VALUE"""),"characteristic")</f>
        <v>characteristic</v>
      </c>
      <c r="M1673" s="6" t="str">
        <f>IFERROR(__xludf.DUMMYFUNCTION("""COMPUTED_VALUE"""),"beings")</f>
        <v>beings</v>
      </c>
      <c r="N1673" s="6" t="str">
        <f>IFERROR(__xludf.DUMMYFUNCTION("""COMPUTED_VALUE"""),"embraced")</f>
        <v>embraced</v>
      </c>
      <c r="P1673" s="6"/>
      <c r="Q1673" s="6" t="str">
        <f>IFERROR(__xludf.DUMMYFUNCTION("""COMPUTED_VALUE"""),"freddie")</f>
        <v>freddie</v>
      </c>
      <c r="S1673" s="6" t="str">
        <f>IFERROR(__xludf.DUMMYFUNCTION("""COMPUTED_VALUE"""),"inhabitants")</f>
        <v>inhabitants</v>
      </c>
    </row>
    <row r="1674">
      <c r="B1674" s="6"/>
      <c r="D1674" s="6"/>
      <c r="G1674" s="6"/>
      <c r="H1674" s="6" t="str">
        <f>IFERROR(__xludf.DUMMYFUNCTION("""COMPUTED_VALUE"""),"assassin")</f>
        <v>assassin</v>
      </c>
      <c r="I1674" s="6"/>
      <c r="J1674" s="6">
        <f>IFERROR(__xludf.DUMMYFUNCTION("""COMPUTED_VALUE"""),1957.0)</f>
        <v>1957</v>
      </c>
      <c r="L1674" s="6" t="str">
        <f>IFERROR(__xludf.DUMMYFUNCTION("""COMPUTED_VALUE"""),"gliding")</f>
        <v>gliding</v>
      </c>
      <c r="M1674" s="6" t="str">
        <f>IFERROR(__xludf.DUMMYFUNCTION("""COMPUTED_VALUE"""),"shifting")</f>
        <v>shifting</v>
      </c>
      <c r="N1674" s="6" t="str">
        <f>IFERROR(__xludf.DUMMYFUNCTION("""COMPUTED_VALUE"""),"poet")</f>
        <v>poet</v>
      </c>
      <c r="P1674" s="6"/>
      <c r="Q1674" s="6" t="str">
        <f>IFERROR(__xludf.DUMMYFUNCTION("""COMPUTED_VALUE"""),"harvard")</f>
        <v>harvard</v>
      </c>
      <c r="S1674" s="6" t="str">
        <f>IFERROR(__xludf.DUMMYFUNCTION("""COMPUTED_VALUE"""),"christianity")</f>
        <v>christianity</v>
      </c>
    </row>
    <row r="1675">
      <c r="B1675" s="6"/>
      <c r="D1675" s="6"/>
      <c r="G1675" s="6"/>
      <c r="H1675" s="6" t="str">
        <f>IFERROR(__xludf.DUMMYFUNCTION("""COMPUTED_VALUE"""),"seduce")</f>
        <v>seduce</v>
      </c>
      <c r="I1675" s="6"/>
      <c r="J1675" s="6" t="str">
        <f>IFERROR(__xludf.DUMMYFUNCTION("""COMPUTED_VALUE"""),"consciously")</f>
        <v>consciously</v>
      </c>
      <c r="L1675" s="6" t="str">
        <f>IFERROR(__xludf.DUMMYFUNCTION("""COMPUTED_VALUE"""),"insignificant")</f>
        <v>insignificant</v>
      </c>
      <c r="M1675" s="6" t="str">
        <f>IFERROR(__xludf.DUMMYFUNCTION("""COMPUTED_VALUE"""),"variant")</f>
        <v>variant</v>
      </c>
      <c r="N1675" s="6" t="str">
        <f>IFERROR(__xludf.DUMMYFUNCTION("""COMPUTED_VALUE"""),"allegiance")</f>
        <v>allegiance</v>
      </c>
      <c r="P1675" s="6"/>
      <c r="Q1675" s="6" t="str">
        <f>IFERROR(__xludf.DUMMYFUNCTION("""COMPUTED_VALUE"""),"encompasses")</f>
        <v>encompasses</v>
      </c>
      <c r="S1675" s="6" t="str">
        <f>IFERROR(__xludf.DUMMYFUNCTION("""COMPUTED_VALUE"""),"local")</f>
        <v>local</v>
      </c>
    </row>
    <row r="1676">
      <c r="B1676" s="6"/>
      <c r="D1676" s="6"/>
      <c r="G1676" s="6"/>
      <c r="H1676" s="6" t="str">
        <f>IFERROR(__xludf.DUMMYFUNCTION("""COMPUTED_VALUE"""),"segment")</f>
        <v>segment</v>
      </c>
      <c r="I1676" s="6"/>
      <c r="J1676" s="6" t="str">
        <f>IFERROR(__xludf.DUMMYFUNCTION("""COMPUTED_VALUE"""),"asphalt")</f>
        <v>asphalt</v>
      </c>
      <c r="L1676" s="6" t="str">
        <f>IFERROR(__xludf.DUMMYFUNCTION("""COMPUTED_VALUE"""),"possess")</f>
        <v>possess</v>
      </c>
      <c r="M1676" s="6" t="str">
        <f>IFERROR(__xludf.DUMMYFUNCTION("""COMPUTED_VALUE"""),"aids")</f>
        <v>aids</v>
      </c>
      <c r="N1676" s="6" t="str">
        <f>IFERROR(__xludf.DUMMYFUNCTION("""COMPUTED_VALUE"""),"asphalt")</f>
        <v>asphalt</v>
      </c>
      <c r="P1676" s="6"/>
      <c r="Q1676" s="6" t="str">
        <f>IFERROR(__xludf.DUMMYFUNCTION("""COMPUTED_VALUE"""),"newfoundland")</f>
        <v>newfoundland</v>
      </c>
      <c r="S1676" s="6" t="str">
        <f>IFERROR(__xludf.DUMMYFUNCTION("""COMPUTED_VALUE"""),"sat")</f>
        <v>sat</v>
      </c>
    </row>
    <row r="1677">
      <c r="B1677" s="6"/>
      <c r="D1677" s="6"/>
      <c r="G1677" s="6"/>
      <c r="H1677" s="6" t="str">
        <f>IFERROR(__xludf.DUMMYFUNCTION("""COMPUTED_VALUE"""),"vittorio")</f>
        <v>vittorio</v>
      </c>
      <c r="I1677" s="6"/>
      <c r="J1677" s="6" t="str">
        <f>IFERROR(__xludf.DUMMYFUNCTION("""COMPUTED_VALUE"""),"cho")</f>
        <v>cho</v>
      </c>
      <c r="L1677" s="6" t="str">
        <f>IFERROR(__xludf.DUMMYFUNCTION("""COMPUTED_VALUE"""),"stirring")</f>
        <v>stirring</v>
      </c>
      <c r="M1677" s="6" t="str">
        <f>IFERROR(__xludf.DUMMYFUNCTION("""COMPUTED_VALUE"""),"successor")</f>
        <v>successor</v>
      </c>
      <c r="N1677" s="6" t="str">
        <f>IFERROR(__xludf.DUMMYFUNCTION("""COMPUTED_VALUE"""),"revolutionary")</f>
        <v>revolutionary</v>
      </c>
      <c r="P1677" s="6"/>
      <c r="Q1677" s="6" t="str">
        <f>IFERROR(__xludf.DUMMYFUNCTION("""COMPUTED_VALUE"""),"reynolds")</f>
        <v>reynolds</v>
      </c>
      <c r="S1677" s="6" t="str">
        <f>IFERROR(__xludf.DUMMYFUNCTION("""COMPUTED_VALUE"""),"pretend")</f>
        <v>pretend</v>
      </c>
    </row>
    <row r="1678">
      <c r="B1678" s="6"/>
      <c r="D1678" s="6"/>
      <c r="G1678" s="6"/>
      <c r="H1678" s="6" t="str">
        <f>IFERROR(__xludf.DUMMYFUNCTION("""COMPUTED_VALUE"""),"nash")</f>
        <v>nash</v>
      </c>
      <c r="I1678" s="6"/>
      <c r="J1678" s="6" t="str">
        <f>IFERROR(__xludf.DUMMYFUNCTION("""COMPUTED_VALUE"""),"grim")</f>
        <v>grim</v>
      </c>
      <c r="L1678" s="6" t="str">
        <f>IFERROR(__xludf.DUMMYFUNCTION("""COMPUTED_VALUE"""),"backlash")</f>
        <v>backlash</v>
      </c>
      <c r="M1678" s="6" t="str">
        <f>IFERROR(__xludf.DUMMYFUNCTION("""COMPUTED_VALUE"""),"intelligence")</f>
        <v>intelligence</v>
      </c>
      <c r="P1678" s="6"/>
      <c r="Q1678" s="6" t="str">
        <f>IFERROR(__xludf.DUMMYFUNCTION("""COMPUTED_VALUE"""),"shapes")</f>
        <v>shapes</v>
      </c>
      <c r="S1678" s="6" t="str">
        <f>IFERROR(__xludf.DUMMYFUNCTION("""COMPUTED_VALUE"""),"horses")</f>
        <v>horses</v>
      </c>
    </row>
    <row r="1679">
      <c r="B1679" s="6"/>
      <c r="D1679" s="6"/>
      <c r="G1679" s="6"/>
      <c r="H1679" s="6" t="str">
        <f>IFERROR(__xludf.DUMMYFUNCTION("""COMPUTED_VALUE"""),"purity")</f>
        <v>purity</v>
      </c>
      <c r="I1679" s="6"/>
      <c r="J1679" s="6" t="str">
        <f>IFERROR(__xludf.DUMMYFUNCTION("""COMPUTED_VALUE"""),"retiring")</f>
        <v>retiring</v>
      </c>
      <c r="L1679" s="6" t="str">
        <f>IFERROR(__xludf.DUMMYFUNCTION("""COMPUTED_VALUE"""),"inactive")</f>
        <v>inactive</v>
      </c>
      <c r="M1679" s="6" t="str">
        <f>IFERROR(__xludf.DUMMYFUNCTION("""COMPUTED_VALUE"""),"participants")</f>
        <v>participants</v>
      </c>
      <c r="P1679" s="6"/>
      <c r="Q1679" s="6" t="str">
        <f>IFERROR(__xludf.DUMMYFUNCTION("""COMPUTED_VALUE"""),"aboriginal")</f>
        <v>aboriginal</v>
      </c>
      <c r="S1679" s="6" t="str">
        <f>IFERROR(__xludf.DUMMYFUNCTION("""COMPUTED_VALUE"""),"partnership")</f>
        <v>partnership</v>
      </c>
    </row>
    <row r="1680">
      <c r="B1680" s="6"/>
      <c r="D1680" s="6"/>
      <c r="G1680" s="6"/>
      <c r="H1680" s="6" t="str">
        <f>IFERROR(__xludf.DUMMYFUNCTION("""COMPUTED_VALUE"""),"psycho")</f>
        <v>psycho</v>
      </c>
      <c r="I1680" s="6"/>
      <c r="J1680" s="6" t="str">
        <f>IFERROR(__xludf.DUMMYFUNCTION("""COMPUTED_VALUE"""),"tolkien")</f>
        <v>tolkien</v>
      </c>
      <c r="L1680" s="6" t="str">
        <f>IFERROR(__xludf.DUMMYFUNCTION("""COMPUTED_VALUE"""),"agile")</f>
        <v>agile</v>
      </c>
      <c r="M1680" s="6" t="str">
        <f>IFERROR(__xludf.DUMMYFUNCTION("""COMPUTED_VALUE"""),"soundtrack")</f>
        <v>soundtrack</v>
      </c>
      <c r="P1680" s="6"/>
      <c r="Q1680" s="6" t="str">
        <f>IFERROR(__xludf.DUMMYFUNCTION("""COMPUTED_VALUE"""),"tomorrow")</f>
        <v>tomorrow</v>
      </c>
      <c r="S1680" s="6" t="str">
        <f>IFERROR(__xludf.DUMMYFUNCTION("""COMPUTED_VALUE"""),"glass")</f>
        <v>glass</v>
      </c>
    </row>
    <row r="1681">
      <c r="B1681" s="6"/>
      <c r="D1681" s="6"/>
      <c r="G1681" s="6"/>
      <c r="H1681" s="6" t="str">
        <f>IFERROR(__xludf.DUMMYFUNCTION("""COMPUTED_VALUE"""),"fictional")</f>
        <v>fictional</v>
      </c>
      <c r="I1681" s="6"/>
      <c r="J1681" s="6" t="str">
        <f>IFERROR(__xludf.DUMMYFUNCTION("""COMPUTED_VALUE"""),"longtime")</f>
        <v>longtime</v>
      </c>
      <c r="L1681" s="6" t="str">
        <f>IFERROR(__xludf.DUMMYFUNCTION("""COMPUTED_VALUE"""),"garcia")</f>
        <v>garcia</v>
      </c>
      <c r="M1681" s="6" t="str">
        <f>IFERROR(__xludf.DUMMYFUNCTION("""COMPUTED_VALUE"""),"debut")</f>
        <v>debut</v>
      </c>
      <c r="P1681" s="6"/>
      <c r="Q1681" s="6" t="str">
        <f>IFERROR(__xludf.DUMMYFUNCTION("""COMPUTED_VALUE"""),"depleted")</f>
        <v>depleted</v>
      </c>
      <c r="S1681" s="6" t="str">
        <f>IFERROR(__xludf.DUMMYFUNCTION("""COMPUTED_VALUE"""),"participate")</f>
        <v>participate</v>
      </c>
    </row>
    <row r="1682">
      <c r="B1682" s="6"/>
      <c r="D1682" s="6"/>
      <c r="G1682" s="6"/>
      <c r="H1682" s="6" t="str">
        <f>IFERROR(__xludf.DUMMYFUNCTION("""COMPUTED_VALUE"""),"roster")</f>
        <v>roster</v>
      </c>
      <c r="I1682" s="6"/>
      <c r="J1682" s="6" t="str">
        <f>IFERROR(__xludf.DUMMYFUNCTION("""COMPUTED_VALUE"""),"twisting")</f>
        <v>twisting</v>
      </c>
      <c r="L1682" s="6" t="str">
        <f>IFERROR(__xludf.DUMMYFUNCTION("""COMPUTED_VALUE"""),"resistance")</f>
        <v>resistance</v>
      </c>
      <c r="M1682" s="6" t="str">
        <f>IFERROR(__xludf.DUMMYFUNCTION("""COMPUTED_VALUE"""),"defend")</f>
        <v>defend</v>
      </c>
      <c r="P1682" s="6"/>
      <c r="Q1682" s="6" t="str">
        <f>IFERROR(__xludf.DUMMYFUNCTION("""COMPUTED_VALUE"""),"decomposition")</f>
        <v>decomposition</v>
      </c>
      <c r="S1682" s="6" t="str">
        <f>IFERROR(__xludf.DUMMYFUNCTION("""COMPUTED_VALUE"""),"practices")</f>
        <v>practices</v>
      </c>
    </row>
    <row r="1683">
      <c r="B1683" s="6"/>
      <c r="D1683" s="6"/>
      <c r="G1683" s="6"/>
      <c r="H1683" s="6" t="str">
        <f>IFERROR(__xludf.DUMMYFUNCTION("""COMPUTED_VALUE"""),"afford")</f>
        <v>afford</v>
      </c>
      <c r="I1683" s="6"/>
      <c r="J1683" s="6" t="str">
        <f>IFERROR(__xludf.DUMMYFUNCTION("""COMPUTED_VALUE"""),"littered")</f>
        <v>littered</v>
      </c>
      <c r="L1683" s="6" t="str">
        <f>IFERROR(__xludf.DUMMYFUNCTION("""COMPUTED_VALUE"""),"myrtle")</f>
        <v>myrtle</v>
      </c>
      <c r="M1683" s="6" t="str">
        <f>IFERROR(__xludf.DUMMYFUNCTION("""COMPUTED_VALUE"""),"hardy")</f>
        <v>hardy</v>
      </c>
      <c r="P1683" s="6"/>
      <c r="Q1683" s="6" t="str">
        <f>IFERROR(__xludf.DUMMYFUNCTION("""COMPUTED_VALUE"""),"swaying")</f>
        <v>swaying</v>
      </c>
      <c r="S1683" s="6" t="str">
        <f>IFERROR(__xludf.DUMMYFUNCTION("""COMPUTED_VALUE"""),"bed")</f>
        <v>bed</v>
      </c>
    </row>
    <row r="1684">
      <c r="B1684" s="6"/>
      <c r="D1684" s="6"/>
      <c r="G1684" s="6"/>
      <c r="H1684" s="6" t="str">
        <f>IFERROR(__xludf.DUMMYFUNCTION("""COMPUTED_VALUE"""),"velocity")</f>
        <v>velocity</v>
      </c>
      <c r="I1684" s="6"/>
      <c r="J1684" s="6" t="str">
        <f>IFERROR(__xludf.DUMMYFUNCTION("""COMPUTED_VALUE"""),"methodology")</f>
        <v>methodology</v>
      </c>
      <c r="L1684" s="6" t="str">
        <f>IFERROR(__xludf.DUMMYFUNCTION("""COMPUTED_VALUE"""),"stanley")</f>
        <v>stanley</v>
      </c>
      <c r="M1684" s="6" t="str">
        <f>IFERROR(__xludf.DUMMYFUNCTION("""COMPUTED_VALUE"""),"athlete")</f>
        <v>athlete</v>
      </c>
      <c r="P1684" s="6"/>
      <c r="Q1684" s="6" t="str">
        <f>IFERROR(__xludf.DUMMYFUNCTION("""COMPUTED_VALUE"""),"forth")</f>
        <v>forth</v>
      </c>
      <c r="S1684" s="6" t="str">
        <f>IFERROR(__xludf.DUMMYFUNCTION("""COMPUTED_VALUE"""),"latter")</f>
        <v>latter</v>
      </c>
    </row>
    <row r="1685">
      <c r="B1685" s="6"/>
      <c r="D1685" s="6"/>
      <c r="G1685" s="6"/>
      <c r="H1685" s="6" t="str">
        <f>IFERROR(__xludf.DUMMYFUNCTION("""COMPUTED_VALUE"""),"stroke")</f>
        <v>stroke</v>
      </c>
      <c r="I1685" s="6"/>
      <c r="J1685" s="6" t="str">
        <f>IFERROR(__xludf.DUMMYFUNCTION("""COMPUTED_VALUE"""),"cleavage")</f>
        <v>cleavage</v>
      </c>
      <c r="L1685" s="6" t="str">
        <f>IFERROR(__xludf.DUMMYFUNCTION("""COMPUTED_VALUE"""),"molina")</f>
        <v>molina</v>
      </c>
      <c r="M1685" s="6" t="str">
        <f>IFERROR(__xludf.DUMMYFUNCTION("""COMPUTED_VALUE"""),"involving")</f>
        <v>involving</v>
      </c>
      <c r="P1685" s="6"/>
      <c r="Q1685" s="6" t="str">
        <f>IFERROR(__xludf.DUMMYFUNCTION("""COMPUTED_VALUE"""),"accompanying")</f>
        <v>accompanying</v>
      </c>
      <c r="S1685" s="6" t="str">
        <f>IFERROR(__xludf.DUMMYFUNCTION("""COMPUTED_VALUE"""),"remembered")</f>
        <v>remembered</v>
      </c>
    </row>
    <row r="1686">
      <c r="B1686" s="6"/>
      <c r="D1686" s="6"/>
      <c r="G1686" s="6"/>
      <c r="H1686" s="6" t="str">
        <f>IFERROR(__xludf.DUMMYFUNCTION("""COMPUTED_VALUE"""),"improves")</f>
        <v>improves</v>
      </c>
      <c r="I1686" s="6"/>
      <c r="J1686" s="6" t="str">
        <f>IFERROR(__xludf.DUMMYFUNCTION("""COMPUTED_VALUE"""),"inhabit")</f>
        <v>inhabit</v>
      </c>
      <c r="L1686" s="6" t="str">
        <f>IFERROR(__xludf.DUMMYFUNCTION("""COMPUTED_VALUE"""),"fundamentally")</f>
        <v>fundamentally</v>
      </c>
      <c r="M1686" s="6" t="str">
        <f>IFERROR(__xludf.DUMMYFUNCTION("""COMPUTED_VALUE"""),"universal")</f>
        <v>universal</v>
      </c>
      <c r="P1686" s="6"/>
      <c r="Q1686" s="6" t="str">
        <f>IFERROR(__xludf.DUMMYFUNCTION("""COMPUTED_VALUE"""),"injuries")</f>
        <v>injuries</v>
      </c>
      <c r="S1686" s="6" t="str">
        <f>IFERROR(__xludf.DUMMYFUNCTION("""COMPUTED_VALUE"""),"7th")</f>
        <v>7th</v>
      </c>
    </row>
    <row r="1687">
      <c r="B1687" s="6"/>
      <c r="D1687" s="6"/>
      <c r="G1687" s="6"/>
      <c r="H1687" s="6" t="str">
        <f>IFERROR(__xludf.DUMMYFUNCTION("""COMPUTED_VALUE"""),"nominated")</f>
        <v>nominated</v>
      </c>
      <c r="I1687" s="6"/>
      <c r="J1687" s="6" t="str">
        <f>IFERROR(__xludf.DUMMYFUNCTION("""COMPUTED_VALUE"""),"predict")</f>
        <v>predict</v>
      </c>
      <c r="L1687" s="6" t="str">
        <f>IFERROR(__xludf.DUMMYFUNCTION("""COMPUTED_VALUE"""),"evaluate")</f>
        <v>evaluate</v>
      </c>
      <c r="M1687" s="6" t="str">
        <f>IFERROR(__xludf.DUMMYFUNCTION("""COMPUTED_VALUE"""),"destruction")</f>
        <v>destruction</v>
      </c>
      <c r="P1687" s="6"/>
      <c r="Q1687" s="6" t="str">
        <f>IFERROR(__xludf.DUMMYFUNCTION("""COMPUTED_VALUE"""),"strategic")</f>
        <v>strategic</v>
      </c>
      <c r="S1687" s="6" t="str">
        <f>IFERROR(__xludf.DUMMYFUNCTION("""COMPUTED_VALUE"""),"barry")</f>
        <v>barry</v>
      </c>
    </row>
    <row r="1688">
      <c r="B1688" s="6"/>
      <c r="D1688" s="6"/>
      <c r="G1688" s="6"/>
      <c r="H1688" s="6" t="str">
        <f>IFERROR(__xludf.DUMMYFUNCTION("""COMPUTED_VALUE"""),"conrad")</f>
        <v>conrad</v>
      </c>
      <c r="I1688" s="6"/>
      <c r="J1688" s="6" t="str">
        <f>IFERROR(__xludf.DUMMYFUNCTION("""COMPUTED_VALUE"""),"villains")</f>
        <v>villains</v>
      </c>
      <c r="L1688" s="6">
        <f>IFERROR(__xludf.DUMMYFUNCTION("""COMPUTED_VALUE"""),1984.0)</f>
        <v>1984</v>
      </c>
      <c r="M1688" s="6" t="str">
        <f>IFERROR(__xludf.DUMMYFUNCTION("""COMPUTED_VALUE"""),"vampires")</f>
        <v>vampires</v>
      </c>
      <c r="P1688" s="6"/>
      <c r="Q1688" s="6" t="str">
        <f>IFERROR(__xludf.DUMMYFUNCTION("""COMPUTED_VALUE"""),"helm")</f>
        <v>helm</v>
      </c>
      <c r="S1688" s="6">
        <f>IFERROR(__xludf.DUMMYFUNCTION("""COMPUTED_VALUE"""),18.0)</f>
        <v>18</v>
      </c>
    </row>
    <row r="1689">
      <c r="B1689" s="6"/>
      <c r="D1689" s="6"/>
      <c r="G1689" s="6"/>
      <c r="H1689" s="6" t="str">
        <f>IFERROR(__xludf.DUMMYFUNCTION("""COMPUTED_VALUE"""),"ardent")</f>
        <v>ardent</v>
      </c>
      <c r="I1689" s="6"/>
      <c r="J1689" s="6" t="str">
        <f>IFERROR(__xludf.DUMMYFUNCTION("""COMPUTED_VALUE"""),"servants")</f>
        <v>servants</v>
      </c>
      <c r="L1689" s="6" t="str">
        <f>IFERROR(__xludf.DUMMYFUNCTION("""COMPUTED_VALUE"""),"puzzle")</f>
        <v>puzzle</v>
      </c>
      <c r="M1689" s="6" t="str">
        <f>IFERROR(__xludf.DUMMYFUNCTION("""COMPUTED_VALUE"""),"principles")</f>
        <v>principles</v>
      </c>
      <c r="P1689" s="6"/>
      <c r="Q1689" s="6" t="str">
        <f>IFERROR(__xludf.DUMMYFUNCTION("""COMPUTED_VALUE"""),"philosophers")</f>
        <v>philosophers</v>
      </c>
      <c r="S1689" s="6" t="str">
        <f>IFERROR(__xludf.DUMMYFUNCTION("""COMPUTED_VALUE"""),"worried")</f>
        <v>worried</v>
      </c>
    </row>
    <row r="1690">
      <c r="B1690" s="6"/>
      <c r="D1690" s="6"/>
      <c r="G1690" s="6"/>
      <c r="H1690" s="6" t="str">
        <f>IFERROR(__xludf.DUMMYFUNCTION("""COMPUTED_VALUE"""),"backstage")</f>
        <v>backstage</v>
      </c>
      <c r="I1690" s="6"/>
      <c r="J1690" s="6" t="str">
        <f>IFERROR(__xludf.DUMMYFUNCTION("""COMPUTED_VALUE"""),"remembrance")</f>
        <v>remembrance</v>
      </c>
      <c r="L1690" s="6" t="str">
        <f>IFERROR(__xludf.DUMMYFUNCTION("""COMPUTED_VALUE"""),"invincible")</f>
        <v>invincible</v>
      </c>
      <c r="M1690" s="6" t="str">
        <f>IFERROR(__xludf.DUMMYFUNCTION("""COMPUTED_VALUE"""),"secondary")</f>
        <v>secondary</v>
      </c>
      <c r="P1690" s="6"/>
      <c r="Q1690" s="6" t="str">
        <f>IFERROR(__xludf.DUMMYFUNCTION("""COMPUTED_VALUE"""),"ritchie")</f>
        <v>ritchie</v>
      </c>
      <c r="S1690" s="6" t="str">
        <f>IFERROR(__xludf.DUMMYFUNCTION("""COMPUTED_VALUE"""),"terminal")</f>
        <v>terminal</v>
      </c>
    </row>
    <row r="1691">
      <c r="B1691" s="6"/>
      <c r="D1691" s="6"/>
      <c r="G1691" s="6"/>
      <c r="H1691" s="6" t="str">
        <f>IFERROR(__xludf.DUMMYFUNCTION("""COMPUTED_VALUE"""),"pivotal")</f>
        <v>pivotal</v>
      </c>
      <c r="I1691" s="6"/>
      <c r="J1691" s="6" t="str">
        <f>IFERROR(__xludf.DUMMYFUNCTION("""COMPUTED_VALUE"""),"error")</f>
        <v>error</v>
      </c>
      <c r="L1691" s="6" t="str">
        <f>IFERROR(__xludf.DUMMYFUNCTION("""COMPUTED_VALUE"""),"ragged")</f>
        <v>ragged</v>
      </c>
      <c r="M1691" s="6" t="str">
        <f>IFERROR(__xludf.DUMMYFUNCTION("""COMPUTED_VALUE"""),"movements")</f>
        <v>movements</v>
      </c>
      <c r="P1691" s="6"/>
      <c r="Q1691" s="6" t="str">
        <f>IFERROR(__xludf.DUMMYFUNCTION("""COMPUTED_VALUE"""),"bonding")</f>
        <v>bonding</v>
      </c>
      <c r="S1691" s="6" t="str">
        <f>IFERROR(__xludf.DUMMYFUNCTION("""COMPUTED_VALUE"""),"mode")</f>
        <v>mode</v>
      </c>
    </row>
    <row r="1692">
      <c r="B1692" s="6"/>
      <c r="D1692" s="6"/>
      <c r="G1692" s="6"/>
      <c r="H1692" s="6" t="str">
        <f>IFERROR(__xludf.DUMMYFUNCTION("""COMPUTED_VALUE"""),"comparisons")</f>
        <v>comparisons</v>
      </c>
      <c r="I1692" s="6"/>
      <c r="J1692" s="6" t="str">
        <f>IFERROR(__xludf.DUMMYFUNCTION("""COMPUTED_VALUE"""),"germanic")</f>
        <v>germanic</v>
      </c>
      <c r="L1692" s="6" t="str">
        <f>IFERROR(__xludf.DUMMYFUNCTION("""COMPUTED_VALUE"""),"warfare")</f>
        <v>warfare</v>
      </c>
      <c r="M1692" s="6" t="str">
        <f>IFERROR(__xludf.DUMMYFUNCTION("""COMPUTED_VALUE"""),"battles")</f>
        <v>battles</v>
      </c>
      <c r="P1692" s="6"/>
      <c r="Q1692" s="6" t="str">
        <f>IFERROR(__xludf.DUMMYFUNCTION("""COMPUTED_VALUE"""),"governmental")</f>
        <v>governmental</v>
      </c>
      <c r="S1692" s="6" t="str">
        <f>IFERROR(__xludf.DUMMYFUNCTION("""COMPUTED_VALUE"""),"reverse")</f>
        <v>reverse</v>
      </c>
    </row>
    <row r="1693">
      <c r="B1693" s="6"/>
      <c r="D1693" s="6"/>
      <c r="G1693" s="6"/>
      <c r="H1693" s="6" t="str">
        <f>IFERROR(__xludf.DUMMYFUNCTION("""COMPUTED_VALUE"""),"followers")</f>
        <v>followers</v>
      </c>
      <c r="I1693" s="6"/>
      <c r="J1693" s="6" t="str">
        <f>IFERROR(__xludf.DUMMYFUNCTION("""COMPUTED_VALUE"""),"keel")</f>
        <v>keel</v>
      </c>
      <c r="L1693" s="6" t="str">
        <f>IFERROR(__xludf.DUMMYFUNCTION("""COMPUTED_VALUE"""),"nash")</f>
        <v>nash</v>
      </c>
      <c r="M1693" s="6" t="str">
        <f>IFERROR(__xludf.DUMMYFUNCTION("""COMPUTED_VALUE"""),"monument")</f>
        <v>monument</v>
      </c>
      <c r="P1693" s="6"/>
      <c r="Q1693" s="6" t="str">
        <f>IFERROR(__xludf.DUMMYFUNCTION("""COMPUTED_VALUE"""),"disciplined")</f>
        <v>disciplined</v>
      </c>
      <c r="S1693" s="6" t="str">
        <f>IFERROR(__xludf.DUMMYFUNCTION("""COMPUTED_VALUE"""),"metropolitan")</f>
        <v>metropolitan</v>
      </c>
    </row>
    <row r="1694">
      <c r="B1694" s="6"/>
      <c r="D1694" s="6"/>
      <c r="G1694" s="6"/>
      <c r="H1694" s="6" t="str">
        <f>IFERROR(__xludf.DUMMYFUNCTION("""COMPUTED_VALUE"""),"crocodile")</f>
        <v>crocodile</v>
      </c>
      <c r="I1694" s="6"/>
      <c r="J1694" s="6" t="str">
        <f>IFERROR(__xludf.DUMMYFUNCTION("""COMPUTED_VALUE"""),"tolerance")</f>
        <v>tolerance</v>
      </c>
      <c r="L1694" s="6" t="str">
        <f>IFERROR(__xludf.DUMMYFUNCTION("""COMPUTED_VALUE"""),"depiction")</f>
        <v>depiction</v>
      </c>
      <c r="M1694" s="6" t="str">
        <f>IFERROR(__xludf.DUMMYFUNCTION("""COMPUTED_VALUE"""),"friendship")</f>
        <v>friendship</v>
      </c>
      <c r="P1694" s="6"/>
      <c r="Q1694" s="6" t="str">
        <f>IFERROR(__xludf.DUMMYFUNCTION("""COMPUTED_VALUE"""),"endurance")</f>
        <v>endurance</v>
      </c>
      <c r="S1694" s="6" t="str">
        <f>IFERROR(__xludf.DUMMYFUNCTION("""COMPUTED_VALUE"""),"holmes")</f>
        <v>holmes</v>
      </c>
    </row>
    <row r="1695">
      <c r="B1695" s="6"/>
      <c r="D1695" s="6"/>
      <c r="G1695" s="6"/>
      <c r="H1695" s="6" t="str">
        <f>IFERROR(__xludf.DUMMYFUNCTION("""COMPUTED_VALUE"""),"bodily")</f>
        <v>bodily</v>
      </c>
      <c r="I1695" s="6"/>
      <c r="J1695" s="6" t="str">
        <f>IFERROR(__xludf.DUMMYFUNCTION("""COMPUTED_VALUE"""),"prowess")</f>
        <v>prowess</v>
      </c>
      <c r="L1695" s="6" t="str">
        <f>IFERROR(__xludf.DUMMYFUNCTION("""COMPUTED_VALUE"""),"fatal")</f>
        <v>fatal</v>
      </c>
      <c r="M1695" s="6" t="str">
        <f>IFERROR(__xludf.DUMMYFUNCTION("""COMPUTED_VALUE"""),"racial")</f>
        <v>racial</v>
      </c>
      <c r="P1695" s="6"/>
      <c r="Q1695" s="6" t="str">
        <f>IFERROR(__xludf.DUMMYFUNCTION("""COMPUTED_VALUE"""),"tightened")</f>
        <v>tightened</v>
      </c>
      <c r="S1695" s="6" t="str">
        <f>IFERROR(__xludf.DUMMYFUNCTION("""COMPUTED_VALUE"""),"senses")</f>
        <v>senses</v>
      </c>
    </row>
    <row r="1696">
      <c r="B1696" s="6"/>
      <c r="D1696" s="6"/>
      <c r="G1696" s="6"/>
      <c r="H1696" s="6" t="str">
        <f>IFERROR(__xludf.DUMMYFUNCTION("""COMPUTED_VALUE"""),"fling")</f>
        <v>fling</v>
      </c>
      <c r="I1696" s="6"/>
      <c r="J1696" s="6" t="str">
        <f>IFERROR(__xludf.DUMMYFUNCTION("""COMPUTED_VALUE"""),"preaching")</f>
        <v>preaching</v>
      </c>
      <c r="L1696" s="6" t="str">
        <f>IFERROR(__xludf.DUMMYFUNCTION("""COMPUTED_VALUE"""),"shivers")</f>
        <v>shivers</v>
      </c>
      <c r="M1696" s="6" t="str">
        <f>IFERROR(__xludf.DUMMYFUNCTION("""COMPUTED_VALUE"""),"hughes")</f>
        <v>hughes</v>
      </c>
      <c r="P1696" s="6"/>
      <c r="Q1696" s="6" t="str">
        <f>IFERROR(__xludf.DUMMYFUNCTION("""COMPUTED_VALUE"""),"collaborative")</f>
        <v>collaborative</v>
      </c>
      <c r="S1696" s="6" t="str">
        <f>IFERROR(__xludf.DUMMYFUNCTION("""COMPUTED_VALUE"""),"massive")</f>
        <v>massive</v>
      </c>
    </row>
    <row r="1697">
      <c r="B1697" s="6"/>
      <c r="D1697" s="6"/>
      <c r="G1697" s="6"/>
      <c r="H1697" s="6" t="str">
        <f>IFERROR(__xludf.DUMMYFUNCTION("""COMPUTED_VALUE"""),"fleeting")</f>
        <v>fleeting</v>
      </c>
      <c r="I1697" s="6"/>
      <c r="J1697" s="6" t="str">
        <f>IFERROR(__xludf.DUMMYFUNCTION("""COMPUTED_VALUE"""),"reportedly")</f>
        <v>reportedly</v>
      </c>
      <c r="L1697" s="6" t="str">
        <f>IFERROR(__xludf.DUMMYFUNCTION("""COMPUTED_VALUE"""),"definitions")</f>
        <v>definitions</v>
      </c>
      <c r="M1697" s="6" t="str">
        <f>IFERROR(__xludf.DUMMYFUNCTION("""COMPUTED_VALUE"""),"animation")</f>
        <v>animation</v>
      </c>
      <c r="P1697" s="6"/>
      <c r="Q1697" s="6" t="str">
        <f>IFERROR(__xludf.DUMMYFUNCTION("""COMPUTED_VALUE"""),"ai")</f>
        <v>ai</v>
      </c>
      <c r="S1697" s="6" t="str">
        <f>IFERROR(__xludf.DUMMYFUNCTION("""COMPUTED_VALUE"""),"journalist")</f>
        <v>journalist</v>
      </c>
    </row>
    <row r="1698">
      <c r="B1698" s="6"/>
      <c r="D1698" s="6"/>
      <c r="G1698" s="6"/>
      <c r="H1698" s="6" t="str">
        <f>IFERROR(__xludf.DUMMYFUNCTION("""COMPUTED_VALUE"""),"thrust")</f>
        <v>thrust</v>
      </c>
      <c r="I1698" s="6"/>
      <c r="J1698" s="6" t="str">
        <f>IFERROR(__xludf.DUMMYFUNCTION("""COMPUTED_VALUE"""),"dimensional")</f>
        <v>dimensional</v>
      </c>
      <c r="L1698" s="6" t="str">
        <f>IFERROR(__xludf.DUMMYFUNCTION("""COMPUTED_VALUE"""),"transparency")</f>
        <v>transparency</v>
      </c>
      <c r="M1698" s="6" t="str">
        <f>IFERROR(__xludf.DUMMYFUNCTION("""COMPUTED_VALUE"""),"morgan")</f>
        <v>morgan</v>
      </c>
      <c r="P1698" s="6"/>
      <c r="Q1698" s="6" t="str">
        <f>IFERROR(__xludf.DUMMYFUNCTION("""COMPUTED_VALUE"""),"continuity")</f>
        <v>continuity</v>
      </c>
      <c r="S1698" s="6" t="str">
        <f>IFERROR(__xludf.DUMMYFUNCTION("""COMPUTED_VALUE"""),"venice")</f>
        <v>venice</v>
      </c>
    </row>
    <row r="1699">
      <c r="B1699" s="6"/>
      <c r="D1699" s="6"/>
      <c r="G1699" s="6"/>
      <c r="H1699" s="6" t="str">
        <f>IFERROR(__xludf.DUMMYFUNCTION("""COMPUTED_VALUE"""),"substantive")</f>
        <v>substantive</v>
      </c>
      <c r="I1699" s="6"/>
      <c r="J1699" s="6" t="str">
        <f>IFERROR(__xludf.DUMMYFUNCTION("""COMPUTED_VALUE"""),"tackled")</f>
        <v>tackled</v>
      </c>
      <c r="L1699" s="6" t="str">
        <f>IFERROR(__xludf.DUMMYFUNCTION("""COMPUTED_VALUE"""),"harrison")</f>
        <v>harrison</v>
      </c>
      <c r="M1699" s="6">
        <f>IFERROR(__xludf.DUMMYFUNCTION("""COMPUTED_VALUE"""),1973.0)</f>
        <v>1973</v>
      </c>
      <c r="P1699" s="6"/>
      <c r="Q1699" s="6" t="str">
        <f>IFERROR(__xludf.DUMMYFUNCTION("""COMPUTED_VALUE"""),"ambrose")</f>
        <v>ambrose</v>
      </c>
      <c r="S1699" s="6" t="str">
        <f>IFERROR(__xludf.DUMMYFUNCTION("""COMPUTED_VALUE"""),"stevens")</f>
        <v>stevens</v>
      </c>
    </row>
    <row r="1700">
      <c r="B1700" s="6"/>
      <c r="D1700" s="6"/>
      <c r="G1700" s="6"/>
      <c r="H1700" s="6" t="str">
        <f>IFERROR(__xludf.DUMMYFUNCTION("""COMPUTED_VALUE"""),"teeth")</f>
        <v>teeth</v>
      </c>
      <c r="I1700" s="6"/>
      <c r="J1700" s="6" t="str">
        <f>IFERROR(__xludf.DUMMYFUNCTION("""COMPUTED_VALUE"""),"byzantine")</f>
        <v>byzantine</v>
      </c>
      <c r="L1700" s="6" t="str">
        <f>IFERROR(__xludf.DUMMYFUNCTION("""COMPUTED_VALUE"""),"catholic")</f>
        <v>catholic</v>
      </c>
      <c r="M1700" s="6" t="str">
        <f>IFERROR(__xludf.DUMMYFUNCTION("""COMPUTED_VALUE"""),"naval")</f>
        <v>naval</v>
      </c>
      <c r="P1700" s="6"/>
      <c r="Q1700" s="6" t="str">
        <f>IFERROR(__xludf.DUMMYFUNCTION("""COMPUTED_VALUE"""),"leaps")</f>
        <v>leaps</v>
      </c>
      <c r="S1700" s="6" t="str">
        <f>IFERROR(__xludf.DUMMYFUNCTION("""COMPUTED_VALUE"""),"available")</f>
        <v>available</v>
      </c>
    </row>
    <row r="1701">
      <c r="B1701" s="6"/>
      <c r="D1701" s="6"/>
      <c r="G1701" s="6"/>
      <c r="H1701" s="6" t="str">
        <f>IFERROR(__xludf.DUMMYFUNCTION("""COMPUTED_VALUE"""),"binary")</f>
        <v>binary</v>
      </c>
      <c r="I1701" s="6"/>
      <c r="J1701" s="6" t="str">
        <f>IFERROR(__xludf.DUMMYFUNCTION("""COMPUTED_VALUE"""),"barrie")</f>
        <v>barrie</v>
      </c>
      <c r="L1701" s="6" t="str">
        <f>IFERROR(__xludf.DUMMYFUNCTION("""COMPUTED_VALUE"""),"abandon")</f>
        <v>abandon</v>
      </c>
      <c r="M1701" s="6" t="str">
        <f>IFERROR(__xludf.DUMMYFUNCTION("""COMPUTED_VALUE"""),"depicted")</f>
        <v>depicted</v>
      </c>
      <c r="P1701" s="6"/>
      <c r="Q1701" s="6" t="str">
        <f>IFERROR(__xludf.DUMMYFUNCTION("""COMPUTED_VALUE"""),"unnamed")</f>
        <v>unnamed</v>
      </c>
      <c r="S1701" s="6" t="str">
        <f>IFERROR(__xludf.DUMMYFUNCTION("""COMPUTED_VALUE"""),"mtv")</f>
        <v>mtv</v>
      </c>
    </row>
    <row r="1702">
      <c r="B1702" s="6"/>
      <c r="D1702" s="6"/>
      <c r="G1702" s="6"/>
      <c r="H1702" s="6" t="str">
        <f>IFERROR(__xludf.DUMMYFUNCTION("""COMPUTED_VALUE"""),"messenger")</f>
        <v>messenger</v>
      </c>
      <c r="I1702" s="6"/>
      <c r="J1702" s="6" t="str">
        <f>IFERROR(__xludf.DUMMYFUNCTION("""COMPUTED_VALUE"""),"marching")</f>
        <v>marching</v>
      </c>
      <c r="L1702" s="6" t="str">
        <f>IFERROR(__xludf.DUMMYFUNCTION("""COMPUTED_VALUE"""),"unpredictable")</f>
        <v>unpredictable</v>
      </c>
      <c r="M1702" s="6" t="str">
        <f>IFERROR(__xludf.DUMMYFUNCTION("""COMPUTED_VALUE"""),"nicholas")</f>
        <v>nicholas</v>
      </c>
      <c r="P1702" s="6"/>
      <c r="Q1702" s="6" t="str">
        <f>IFERROR(__xludf.DUMMYFUNCTION("""COMPUTED_VALUE"""),"sexes")</f>
        <v>sexes</v>
      </c>
      <c r="S1702" s="6" t="str">
        <f>IFERROR(__xludf.DUMMYFUNCTION("""COMPUTED_VALUE"""),"playstation")</f>
        <v>playstation</v>
      </c>
    </row>
    <row r="1703">
      <c r="B1703" s="6"/>
      <c r="D1703" s="6"/>
      <c r="G1703" s="6"/>
      <c r="H1703" s="6" t="str">
        <f>IFERROR(__xludf.DUMMYFUNCTION("""COMPUTED_VALUE"""),"goldman")</f>
        <v>goldman</v>
      </c>
      <c r="I1703" s="6"/>
      <c r="J1703" s="6" t="str">
        <f>IFERROR(__xludf.DUMMYFUNCTION("""COMPUTED_VALUE"""),"percussion")</f>
        <v>percussion</v>
      </c>
      <c r="L1703" s="6" t="str">
        <f>IFERROR(__xludf.DUMMYFUNCTION("""COMPUTED_VALUE"""),"accuracy")</f>
        <v>accuracy</v>
      </c>
      <c r="M1703" s="6" t="str">
        <f>IFERROR(__xludf.DUMMYFUNCTION("""COMPUTED_VALUE"""),"stuart")</f>
        <v>stuart</v>
      </c>
      <c r="P1703" s="6"/>
      <c r="Q1703" s="6" t="str">
        <f>IFERROR(__xludf.DUMMYFUNCTION("""COMPUTED_VALUE"""),"ambition")</f>
        <v>ambition</v>
      </c>
      <c r="S1703" s="6" t="str">
        <f>IFERROR(__xludf.DUMMYFUNCTION("""COMPUTED_VALUE"""),"ethan")</f>
        <v>ethan</v>
      </c>
    </row>
    <row r="1704">
      <c r="B1704" s="6"/>
      <c r="D1704" s="6"/>
      <c r="G1704" s="6"/>
      <c r="H1704" s="6" t="str">
        <f>IFERROR(__xludf.DUMMYFUNCTION("""COMPUTED_VALUE"""),"shapiro")</f>
        <v>shapiro</v>
      </c>
      <c r="I1704" s="6"/>
      <c r="J1704" s="6" t="str">
        <f>IFERROR(__xludf.DUMMYFUNCTION("""COMPUTED_VALUE"""),"ninth")</f>
        <v>ninth</v>
      </c>
      <c r="L1704" s="6" t="str">
        <f>IFERROR(__xludf.DUMMYFUNCTION("""COMPUTED_VALUE"""),"succeeds")</f>
        <v>succeeds</v>
      </c>
      <c r="M1704" s="6" t="str">
        <f>IFERROR(__xludf.DUMMYFUNCTION("""COMPUTED_VALUE"""),"distinguished")</f>
        <v>distinguished</v>
      </c>
      <c r="P1704" s="6"/>
      <c r="Q1704" s="6" t="str">
        <f>IFERROR(__xludf.DUMMYFUNCTION("""COMPUTED_VALUE"""),"abdul")</f>
        <v>abdul</v>
      </c>
      <c r="S1704" s="6" t="str">
        <f>IFERROR(__xludf.DUMMYFUNCTION("""COMPUTED_VALUE"""),"acquire")</f>
        <v>acquire</v>
      </c>
    </row>
    <row r="1705">
      <c r="B1705" s="6"/>
      <c r="D1705" s="6"/>
      <c r="G1705" s="6"/>
      <c r="H1705" s="6" t="str">
        <f>IFERROR(__xludf.DUMMYFUNCTION("""COMPUTED_VALUE"""),"participants")</f>
        <v>participants</v>
      </c>
      <c r="I1705" s="6"/>
      <c r="J1705" s="6" t="str">
        <f>IFERROR(__xludf.DUMMYFUNCTION("""COMPUTED_VALUE"""),"develops")</f>
        <v>develops</v>
      </c>
      <c r="L1705" s="6" t="str">
        <f>IFERROR(__xludf.DUMMYFUNCTION("""COMPUTED_VALUE"""),"descends")</f>
        <v>descends</v>
      </c>
      <c r="M1705" s="6" t="str">
        <f>IFERROR(__xludf.DUMMYFUNCTION("""COMPUTED_VALUE"""),"alleged")</f>
        <v>alleged</v>
      </c>
      <c r="P1705" s="6"/>
      <c r="Q1705" s="6" t="str">
        <f>IFERROR(__xludf.DUMMYFUNCTION("""COMPUTED_VALUE"""),"malik")</f>
        <v>malik</v>
      </c>
      <c r="S1705" s="6" t="str">
        <f>IFERROR(__xludf.DUMMYFUNCTION("""COMPUTED_VALUE"""),"welsh")</f>
        <v>welsh</v>
      </c>
    </row>
    <row r="1706">
      <c r="B1706" s="6"/>
      <c r="D1706" s="6"/>
      <c r="G1706" s="6"/>
      <c r="H1706" s="6" t="str">
        <f>IFERROR(__xludf.DUMMYFUNCTION("""COMPUTED_VALUE"""),"franklin")</f>
        <v>franklin</v>
      </c>
      <c r="I1706" s="6"/>
      <c r="J1706" s="6" t="str">
        <f>IFERROR(__xludf.DUMMYFUNCTION("""COMPUTED_VALUE"""),"ballot")</f>
        <v>ballot</v>
      </c>
      <c r="L1706" s="6" t="str">
        <f>IFERROR(__xludf.DUMMYFUNCTION("""COMPUTED_VALUE"""),"discipline")</f>
        <v>discipline</v>
      </c>
      <c r="M1706" s="6" t="str">
        <f>IFERROR(__xludf.DUMMYFUNCTION("""COMPUTED_VALUE"""),"mortal")</f>
        <v>mortal</v>
      </c>
      <c r="P1706" s="6"/>
      <c r="Q1706" s="6" t="str">
        <f>IFERROR(__xludf.DUMMYFUNCTION("""COMPUTED_VALUE"""),"ernest")</f>
        <v>ernest</v>
      </c>
      <c r="S1706" s="6" t="str">
        <f>IFERROR(__xludf.DUMMYFUNCTION("""COMPUTED_VALUE"""),"rape")</f>
        <v>rape</v>
      </c>
    </row>
    <row r="1707">
      <c r="B1707" s="6"/>
      <c r="D1707" s="6"/>
      <c r="G1707" s="6"/>
      <c r="H1707" s="6" t="str">
        <f>IFERROR(__xludf.DUMMYFUNCTION("""COMPUTED_VALUE"""),"carl")</f>
        <v>carl</v>
      </c>
      <c r="I1707" s="6"/>
      <c r="J1707" s="6" t="str">
        <f>IFERROR(__xludf.DUMMYFUNCTION("""COMPUTED_VALUE"""),"cheered")</f>
        <v>cheered</v>
      </c>
      <c r="L1707" s="6" t="str">
        <f>IFERROR(__xludf.DUMMYFUNCTION("""COMPUTED_VALUE"""),"maiden")</f>
        <v>maiden</v>
      </c>
      <c r="M1707" s="6" t="str">
        <f>IFERROR(__xludf.DUMMYFUNCTION("""COMPUTED_VALUE"""),"norwegian")</f>
        <v>norwegian</v>
      </c>
      <c r="P1707" s="6"/>
      <c r="Q1707" s="6" t="str">
        <f>IFERROR(__xludf.DUMMYFUNCTION("""COMPUTED_VALUE"""),"abbott")</f>
        <v>abbott</v>
      </c>
      <c r="S1707" s="6" t="str">
        <f>IFERROR(__xludf.DUMMYFUNCTION("""COMPUTED_VALUE"""),"stuart")</f>
        <v>stuart</v>
      </c>
    </row>
    <row r="1708">
      <c r="B1708" s="6"/>
      <c r="D1708" s="6"/>
      <c r="G1708" s="6"/>
      <c r="H1708" s="6" t="str">
        <f>IFERROR(__xludf.DUMMYFUNCTION("""COMPUTED_VALUE"""),"relic")</f>
        <v>relic</v>
      </c>
      <c r="I1708" s="6"/>
      <c r="J1708" s="6" t="str">
        <f>IFERROR(__xludf.DUMMYFUNCTION("""COMPUTED_VALUE"""),"integrating")</f>
        <v>integrating</v>
      </c>
      <c r="L1708" s="6" t="str">
        <f>IFERROR(__xludf.DUMMYFUNCTION("""COMPUTED_VALUE"""),"sap")</f>
        <v>sap</v>
      </c>
      <c r="M1708" s="6" t="str">
        <f>IFERROR(__xludf.DUMMYFUNCTION("""COMPUTED_VALUE"""),"commerce")</f>
        <v>commerce</v>
      </c>
      <c r="P1708" s="6"/>
      <c r="Q1708" s="6" t="str">
        <f>IFERROR(__xludf.DUMMYFUNCTION("""COMPUTED_VALUE"""),"improvised")</f>
        <v>improvised</v>
      </c>
      <c r="S1708" s="6" t="str">
        <f>IFERROR(__xludf.DUMMYFUNCTION("""COMPUTED_VALUE"""),"believing")</f>
        <v>believing</v>
      </c>
    </row>
    <row r="1709">
      <c r="B1709" s="6"/>
      <c r="D1709" s="6"/>
      <c r="G1709" s="6"/>
      <c r="H1709" s="6" t="str">
        <f>IFERROR(__xludf.DUMMYFUNCTION("""COMPUTED_VALUE"""),"turks")</f>
        <v>turks</v>
      </c>
      <c r="I1709" s="6"/>
      <c r="J1709" s="6" t="str">
        <f>IFERROR(__xludf.DUMMYFUNCTION("""COMPUTED_VALUE"""),"nouvelle")</f>
        <v>nouvelle</v>
      </c>
      <c r="L1709" s="6" t="str">
        <f>IFERROR(__xludf.DUMMYFUNCTION("""COMPUTED_VALUE"""),"capturing")</f>
        <v>capturing</v>
      </c>
      <c r="M1709" s="6" t="str">
        <f>IFERROR(__xludf.DUMMYFUNCTION("""COMPUTED_VALUE"""),"egypt")</f>
        <v>egypt</v>
      </c>
      <c r="P1709" s="6"/>
      <c r="Q1709" s="6" t="str">
        <f>IFERROR(__xludf.DUMMYFUNCTION("""COMPUTED_VALUE"""),"tapestry")</f>
        <v>tapestry</v>
      </c>
      <c r="S1709" s="6" t="str">
        <f>IFERROR(__xludf.DUMMYFUNCTION("""COMPUTED_VALUE"""),"lo")</f>
        <v>lo</v>
      </c>
    </row>
    <row r="1710">
      <c r="B1710" s="6"/>
      <c r="D1710" s="6"/>
      <c r="G1710" s="6"/>
      <c r="H1710" s="6" t="str">
        <f>IFERROR(__xludf.DUMMYFUNCTION("""COMPUTED_VALUE"""),"sap")</f>
        <v>sap</v>
      </c>
      <c r="I1710" s="6"/>
      <c r="J1710" s="6" t="str">
        <f>IFERROR(__xludf.DUMMYFUNCTION("""COMPUTED_VALUE"""),"bluff")</f>
        <v>bluff</v>
      </c>
      <c r="L1710" s="6" t="str">
        <f>IFERROR(__xludf.DUMMYFUNCTION("""COMPUTED_VALUE"""),"explicit")</f>
        <v>explicit</v>
      </c>
      <c r="M1710" s="6" t="str">
        <f>IFERROR(__xludf.DUMMYFUNCTION("""COMPUTED_VALUE"""),"palestinian")</f>
        <v>palestinian</v>
      </c>
      <c r="P1710" s="6"/>
      <c r="Q1710" s="6" t="str">
        <f>IFERROR(__xludf.DUMMYFUNCTION("""COMPUTED_VALUE"""),"roles")</f>
        <v>roles</v>
      </c>
      <c r="S1710" s="6" t="str">
        <f>IFERROR(__xludf.DUMMYFUNCTION("""COMPUTED_VALUE"""),"butt")</f>
        <v>butt</v>
      </c>
    </row>
    <row r="1711">
      <c r="B1711" s="6"/>
      <c r="D1711" s="6"/>
      <c r="G1711" s="6"/>
      <c r="H1711" s="6" t="str">
        <f>IFERROR(__xludf.DUMMYFUNCTION("""COMPUTED_VALUE"""),"dad")</f>
        <v>dad</v>
      </c>
      <c r="I1711" s="6"/>
      <c r="J1711" s="6" t="str">
        <f>IFERROR(__xludf.DUMMYFUNCTION("""COMPUTED_VALUE"""),"wreckage")</f>
        <v>wreckage</v>
      </c>
      <c r="L1711" s="6" t="str">
        <f>IFERROR(__xludf.DUMMYFUNCTION("""COMPUTED_VALUE"""),"cinderella")</f>
        <v>cinderella</v>
      </c>
      <c r="M1711" s="6" t="str">
        <f>IFERROR(__xludf.DUMMYFUNCTION("""COMPUTED_VALUE"""),"strategic")</f>
        <v>strategic</v>
      </c>
      <c r="P1711" s="6"/>
      <c r="Q1711" s="6" t="str">
        <f>IFERROR(__xludf.DUMMYFUNCTION("""COMPUTED_VALUE"""),"heights")</f>
        <v>heights</v>
      </c>
      <c r="S1711" s="6" t="str">
        <f>IFERROR(__xludf.DUMMYFUNCTION("""COMPUTED_VALUE"""),"philip")</f>
        <v>philip</v>
      </c>
    </row>
    <row r="1712">
      <c r="B1712" s="6"/>
      <c r="D1712" s="6"/>
      <c r="G1712" s="6"/>
      <c r="H1712" s="6" t="str">
        <f>IFERROR(__xludf.DUMMYFUNCTION("""COMPUTED_VALUE"""),"vain")</f>
        <v>vain</v>
      </c>
      <c r="I1712" s="6"/>
      <c r="J1712" s="6" t="str">
        <f>IFERROR(__xludf.DUMMYFUNCTION("""COMPUTED_VALUE"""),"interrogation")</f>
        <v>interrogation</v>
      </c>
      <c r="L1712" s="6" t="str">
        <f>IFERROR(__xludf.DUMMYFUNCTION("""COMPUTED_VALUE"""),"hilary")</f>
        <v>hilary</v>
      </c>
      <c r="M1712" s="6" t="str">
        <f>IFERROR(__xludf.DUMMYFUNCTION("""COMPUTED_VALUE"""),"demons")</f>
        <v>demons</v>
      </c>
      <c r="P1712" s="6"/>
      <c r="Q1712" s="6" t="str">
        <f>IFERROR(__xludf.DUMMYFUNCTION("""COMPUTED_VALUE"""),"mischievous")</f>
        <v>mischievous</v>
      </c>
      <c r="S1712" s="6" t="str">
        <f>IFERROR(__xludf.DUMMYFUNCTION("""COMPUTED_VALUE"""),"uncomfortable")</f>
        <v>uncomfortable</v>
      </c>
    </row>
    <row r="1713">
      <c r="B1713" s="6"/>
      <c r="D1713" s="6"/>
      <c r="G1713" s="6"/>
      <c r="H1713" s="6" t="str">
        <f>IFERROR(__xludf.DUMMYFUNCTION("""COMPUTED_VALUE"""),"zhang")</f>
        <v>zhang</v>
      </c>
      <c r="I1713" s="6"/>
      <c r="J1713" s="6" t="str">
        <f>IFERROR(__xludf.DUMMYFUNCTION("""COMPUTED_VALUE"""),"huskies")</f>
        <v>huskies</v>
      </c>
      <c r="L1713" s="6" t="str">
        <f>IFERROR(__xludf.DUMMYFUNCTION("""COMPUTED_VALUE"""),"partnership")</f>
        <v>partnership</v>
      </c>
      <c r="M1713" s="6" t="str">
        <f>IFERROR(__xludf.DUMMYFUNCTION("""COMPUTED_VALUE"""),"orthodox")</f>
        <v>orthodox</v>
      </c>
      <c r="P1713" s="6"/>
      <c r="Q1713" s="6" t="str">
        <f>IFERROR(__xludf.DUMMYFUNCTION("""COMPUTED_VALUE"""),"ambiguity")</f>
        <v>ambiguity</v>
      </c>
      <c r="S1713" s="6" t="str">
        <f>IFERROR(__xludf.DUMMYFUNCTION("""COMPUTED_VALUE"""),"retreat")</f>
        <v>retreat</v>
      </c>
    </row>
    <row r="1714">
      <c r="B1714" s="6"/>
      <c r="D1714" s="6"/>
      <c r="G1714" s="6"/>
      <c r="H1714" s="6" t="str">
        <f>IFERROR(__xludf.DUMMYFUNCTION("""COMPUTED_VALUE"""),"knockout")</f>
        <v>knockout</v>
      </c>
      <c r="I1714" s="6"/>
      <c r="J1714" s="6" t="str">
        <f>IFERROR(__xludf.DUMMYFUNCTION("""COMPUTED_VALUE"""),"discarded")</f>
        <v>discarded</v>
      </c>
      <c r="L1714" s="6" t="str">
        <f>IFERROR(__xludf.DUMMYFUNCTION("""COMPUTED_VALUE"""),"iran")</f>
        <v>iran</v>
      </c>
      <c r="M1714" s="6" t="str">
        <f>IFERROR(__xludf.DUMMYFUNCTION("""COMPUTED_VALUE"""),"depression")</f>
        <v>depression</v>
      </c>
      <c r="P1714" s="6"/>
      <c r="Q1714" s="6" t="str">
        <f>IFERROR(__xludf.DUMMYFUNCTION("""COMPUTED_VALUE"""),"symbolic")</f>
        <v>symbolic</v>
      </c>
      <c r="S1714" s="6" t="str">
        <f>IFERROR(__xludf.DUMMYFUNCTION("""COMPUTED_VALUE"""),"amusement")</f>
        <v>amusement</v>
      </c>
    </row>
    <row r="1715">
      <c r="B1715" s="6"/>
      <c r="D1715" s="6"/>
      <c r="G1715" s="6"/>
      <c r="H1715" s="6" t="str">
        <f>IFERROR(__xludf.DUMMYFUNCTION("""COMPUTED_VALUE"""),"wryly")</f>
        <v>wryly</v>
      </c>
      <c r="I1715" s="6"/>
      <c r="J1715" s="6" t="str">
        <f>IFERROR(__xludf.DUMMYFUNCTION("""COMPUTED_VALUE"""),"humming")</f>
        <v>humming</v>
      </c>
      <c r="L1715" s="6" t="str">
        <f>IFERROR(__xludf.DUMMYFUNCTION("""COMPUTED_VALUE"""),"afterlife")</f>
        <v>afterlife</v>
      </c>
      <c r="M1715" s="6" t="str">
        <f>IFERROR(__xludf.DUMMYFUNCTION("""COMPUTED_VALUE"""),"michel")</f>
        <v>michel</v>
      </c>
      <c r="P1715" s="6"/>
      <c r="Q1715" s="6" t="str">
        <f>IFERROR(__xludf.DUMMYFUNCTION("""COMPUTED_VALUE"""),"contenders")</f>
        <v>contenders</v>
      </c>
      <c r="S1715" s="6" t="str">
        <f>IFERROR(__xludf.DUMMYFUNCTION("""COMPUTED_VALUE"""),"ivan")</f>
        <v>ivan</v>
      </c>
    </row>
    <row r="1716">
      <c r="B1716" s="6"/>
      <c r="D1716" s="6"/>
      <c r="G1716" s="6"/>
      <c r="H1716" s="6" t="str">
        <f>IFERROR(__xludf.DUMMYFUNCTION("""COMPUTED_VALUE"""),"fable")</f>
        <v>fable</v>
      </c>
      <c r="I1716" s="6"/>
      <c r="J1716" s="6" t="str">
        <f>IFERROR(__xludf.DUMMYFUNCTION("""COMPUTED_VALUE"""),"ticking")</f>
        <v>ticking</v>
      </c>
      <c r="L1716" s="6" t="str">
        <f>IFERROR(__xludf.DUMMYFUNCTION("""COMPUTED_VALUE"""),"explores")</f>
        <v>explores</v>
      </c>
      <c r="M1716" s="6" t="str">
        <f>IFERROR(__xludf.DUMMYFUNCTION("""COMPUTED_VALUE"""),"secretary")</f>
        <v>secretary</v>
      </c>
      <c r="P1716" s="6"/>
      <c r="Q1716" s="6" t="str">
        <f>IFERROR(__xludf.DUMMYFUNCTION("""COMPUTED_VALUE"""),"russell")</f>
        <v>russell</v>
      </c>
      <c r="S1716" s="6">
        <f>IFERROR(__xludf.DUMMYFUNCTION("""COMPUTED_VALUE"""),1957.0)</f>
        <v>1957</v>
      </c>
    </row>
    <row r="1717">
      <c r="B1717" s="6"/>
      <c r="D1717" s="6"/>
      <c r="G1717" s="6"/>
      <c r="H1717" s="6" t="str">
        <f>IFERROR(__xludf.DUMMYFUNCTION("""COMPUTED_VALUE"""),"undertaken")</f>
        <v>undertaken</v>
      </c>
      <c r="I1717" s="6"/>
      <c r="J1717" s="6" t="str">
        <f>IFERROR(__xludf.DUMMYFUNCTION("""COMPUTED_VALUE"""),"millennium")</f>
        <v>millennium</v>
      </c>
      <c r="L1717" s="6" t="str">
        <f>IFERROR(__xludf.DUMMYFUNCTION("""COMPUTED_VALUE"""),"paints")</f>
        <v>paints</v>
      </c>
      <c r="M1717" s="6" t="str">
        <f>IFERROR(__xludf.DUMMYFUNCTION("""COMPUTED_VALUE"""),"integrated")</f>
        <v>integrated</v>
      </c>
      <c r="P1717" s="6"/>
      <c r="Q1717" s="6" t="str">
        <f>IFERROR(__xludf.DUMMYFUNCTION("""COMPUTED_VALUE"""),"irwin")</f>
        <v>irwin</v>
      </c>
      <c r="S1717" s="6" t="str">
        <f>IFERROR(__xludf.DUMMYFUNCTION("""COMPUTED_VALUE"""),"tall")</f>
        <v>tall</v>
      </c>
    </row>
    <row r="1718">
      <c r="B1718" s="6"/>
      <c r="D1718" s="6"/>
      <c r="G1718" s="6"/>
      <c r="H1718" s="6" t="str">
        <f>IFERROR(__xludf.DUMMYFUNCTION("""COMPUTED_VALUE"""),"determination")</f>
        <v>determination</v>
      </c>
      <c r="I1718" s="6"/>
      <c r="J1718" s="6" t="str">
        <f>IFERROR(__xludf.DUMMYFUNCTION("""COMPUTED_VALUE"""),"overview")</f>
        <v>overview</v>
      </c>
      <c r="L1718" s="6" t="str">
        <f>IFERROR(__xludf.DUMMYFUNCTION("""COMPUTED_VALUE"""),"preliminary")</f>
        <v>preliminary</v>
      </c>
      <c r="M1718" s="6" t="str">
        <f>IFERROR(__xludf.DUMMYFUNCTION("""COMPUTED_VALUE"""),"alabama")</f>
        <v>alabama</v>
      </c>
      <c r="P1718" s="6"/>
      <c r="Q1718" s="6" t="str">
        <f>IFERROR(__xludf.DUMMYFUNCTION("""COMPUTED_VALUE"""),"procedural")</f>
        <v>procedural</v>
      </c>
      <c r="S1718" s="6" t="str">
        <f>IFERROR(__xludf.DUMMYFUNCTION("""COMPUTED_VALUE"""),"retiring")</f>
        <v>retiring</v>
      </c>
    </row>
    <row r="1719">
      <c r="B1719" s="6"/>
      <c r="D1719" s="6"/>
      <c r="G1719" s="6"/>
      <c r="H1719" s="6" t="str">
        <f>IFERROR(__xludf.DUMMYFUNCTION("""COMPUTED_VALUE"""),"scientists")</f>
        <v>scientists</v>
      </c>
      <c r="I1719" s="6"/>
      <c r="J1719" s="6" t="str">
        <f>IFERROR(__xludf.DUMMYFUNCTION("""COMPUTED_VALUE"""),"clash")</f>
        <v>clash</v>
      </c>
      <c r="L1719" s="6" t="str">
        <f>IFERROR(__xludf.DUMMYFUNCTION("""COMPUTED_VALUE"""),"morally")</f>
        <v>morally</v>
      </c>
      <c r="M1719" s="6" t="str">
        <f>IFERROR(__xludf.DUMMYFUNCTION("""COMPUTED_VALUE"""),"veins")</f>
        <v>veins</v>
      </c>
      <c r="P1719" s="6"/>
      <c r="Q1719" s="6" t="str">
        <f>IFERROR(__xludf.DUMMYFUNCTION("""COMPUTED_VALUE"""),"schneider")</f>
        <v>schneider</v>
      </c>
      <c r="S1719" s="6" t="str">
        <f>IFERROR(__xludf.DUMMYFUNCTION("""COMPUTED_VALUE"""),"pan")</f>
        <v>pan</v>
      </c>
    </row>
    <row r="1720">
      <c r="B1720" s="6"/>
      <c r="D1720" s="6"/>
      <c r="G1720" s="6"/>
      <c r="H1720" s="6" t="str">
        <f>IFERROR(__xludf.DUMMYFUNCTION("""COMPUTED_VALUE"""),"marilyn")</f>
        <v>marilyn</v>
      </c>
      <c r="I1720" s="6"/>
      <c r="J1720" s="6" t="str">
        <f>IFERROR(__xludf.DUMMYFUNCTION("""COMPUTED_VALUE"""),"prisoners")</f>
        <v>prisoners</v>
      </c>
      <c r="L1720" s="6" t="str">
        <f>IFERROR(__xludf.DUMMYFUNCTION("""COMPUTED_VALUE"""),"birmingham")</f>
        <v>birmingham</v>
      </c>
      <c r="M1720" s="6" t="str">
        <f>IFERROR(__xludf.DUMMYFUNCTION("""COMPUTED_VALUE"""),"characteristic")</f>
        <v>characteristic</v>
      </c>
      <c r="P1720" s="6"/>
      <c r="Q1720" s="6" t="str">
        <f>IFERROR(__xludf.DUMMYFUNCTION("""COMPUTED_VALUE"""),"crypt")</f>
        <v>crypt</v>
      </c>
      <c r="S1720" s="6" t="str">
        <f>IFERROR(__xludf.DUMMYFUNCTION("""COMPUTED_VALUE"""),"crisis")</f>
        <v>crisis</v>
      </c>
    </row>
    <row r="1721">
      <c r="B1721" s="6"/>
      <c r="D1721" s="6"/>
      <c r="G1721" s="6"/>
      <c r="H1721" s="6" t="str">
        <f>IFERROR(__xludf.DUMMYFUNCTION("""COMPUTED_VALUE"""),"craftsmen")</f>
        <v>craftsmen</v>
      </c>
      <c r="I1721" s="6"/>
      <c r="J1721" s="6" t="str">
        <f>IFERROR(__xludf.DUMMYFUNCTION("""COMPUTED_VALUE"""),"prolific")</f>
        <v>prolific</v>
      </c>
      <c r="L1721" s="6" t="str">
        <f>IFERROR(__xludf.DUMMYFUNCTION("""COMPUTED_VALUE"""),"kramer")</f>
        <v>kramer</v>
      </c>
      <c r="M1721" s="6" t="str">
        <f>IFERROR(__xludf.DUMMYFUNCTION("""COMPUTED_VALUE"""),"garcia")</f>
        <v>garcia</v>
      </c>
      <c r="P1721" s="6"/>
      <c r="Q1721" s="6" t="str">
        <f>IFERROR(__xludf.DUMMYFUNCTION("""COMPUTED_VALUE"""),"mist")</f>
        <v>mist</v>
      </c>
      <c r="S1721" s="6" t="str">
        <f>IFERROR(__xludf.DUMMYFUNCTION("""COMPUTED_VALUE"""),"sullivan")</f>
        <v>sullivan</v>
      </c>
    </row>
    <row r="1722">
      <c r="B1722" s="6"/>
      <c r="D1722" s="6"/>
      <c r="G1722" s="6"/>
      <c r="H1722" s="6" t="str">
        <f>IFERROR(__xludf.DUMMYFUNCTION("""COMPUTED_VALUE"""),"acclaimed")</f>
        <v>acclaimed</v>
      </c>
      <c r="I1722" s="6"/>
      <c r="J1722" s="6" t="str">
        <f>IFERROR(__xludf.DUMMYFUNCTION("""COMPUTED_VALUE"""),"lunar")</f>
        <v>lunar</v>
      </c>
      <c r="L1722" s="6" t="str">
        <f>IFERROR(__xludf.DUMMYFUNCTION("""COMPUTED_VALUE"""),"singular")</f>
        <v>singular</v>
      </c>
      <c r="M1722" s="6" t="str">
        <f>IFERROR(__xludf.DUMMYFUNCTION("""COMPUTED_VALUE"""),"resistance")</f>
        <v>resistance</v>
      </c>
      <c r="P1722" s="6"/>
      <c r="Q1722" s="6" t="str">
        <f>IFERROR(__xludf.DUMMYFUNCTION("""COMPUTED_VALUE"""),"peek")</f>
        <v>peek</v>
      </c>
      <c r="S1722" s="6" t="str">
        <f>IFERROR(__xludf.DUMMYFUNCTION("""COMPUTED_VALUE"""),"secret")</f>
        <v>secret</v>
      </c>
    </row>
    <row r="1723">
      <c r="B1723" s="6"/>
      <c r="D1723" s="6"/>
      <c r="G1723" s="6"/>
      <c r="H1723" s="6">
        <f>IFERROR(__xludf.DUMMYFUNCTION("""COMPUTED_VALUE"""),1952.0)</f>
        <v>1952</v>
      </c>
      <c r="I1723" s="6"/>
      <c r="J1723" s="6" t="str">
        <f>IFERROR(__xludf.DUMMYFUNCTION("""COMPUTED_VALUE"""),"capability")</f>
        <v>capability</v>
      </c>
      <c r="L1723" s="6" t="str">
        <f>IFERROR(__xludf.DUMMYFUNCTION("""COMPUTED_VALUE"""),"compatible")</f>
        <v>compatible</v>
      </c>
      <c r="M1723" s="6" t="str">
        <f>IFERROR(__xludf.DUMMYFUNCTION("""COMPUTED_VALUE"""),"stanley")</f>
        <v>stanley</v>
      </c>
      <c r="P1723" s="6"/>
      <c r="Q1723" s="6" t="str">
        <f>IFERROR(__xludf.DUMMYFUNCTION("""COMPUTED_VALUE"""),"protagonist")</f>
        <v>protagonist</v>
      </c>
      <c r="S1723" s="6" t="str">
        <f>IFERROR(__xludf.DUMMYFUNCTION("""COMPUTED_VALUE"""),"servants")</f>
        <v>servants</v>
      </c>
    </row>
    <row r="1724">
      <c r="B1724" s="6"/>
      <c r="D1724" s="6"/>
      <c r="G1724" s="6"/>
      <c r="H1724" s="6" t="str">
        <f>IFERROR(__xludf.DUMMYFUNCTION("""COMPUTED_VALUE"""),"icon")</f>
        <v>icon</v>
      </c>
      <c r="I1724" s="6"/>
      <c r="J1724" s="6" t="str">
        <f>IFERROR(__xludf.DUMMYFUNCTION("""COMPUTED_VALUE"""),"gifford")</f>
        <v>gifford</v>
      </c>
      <c r="L1724" s="6" t="str">
        <f>IFERROR(__xludf.DUMMYFUNCTION("""COMPUTED_VALUE"""),"pitted")</f>
        <v>pitted</v>
      </c>
      <c r="M1724" s="6" t="str">
        <f>IFERROR(__xludf.DUMMYFUNCTION("""COMPUTED_VALUE"""),"khan")</f>
        <v>khan</v>
      </c>
      <c r="P1724" s="6"/>
      <c r="Q1724" s="6" t="str">
        <f>IFERROR(__xludf.DUMMYFUNCTION("""COMPUTED_VALUE"""),"patriotic")</f>
        <v>patriotic</v>
      </c>
      <c r="S1724" s="6" t="str">
        <f>IFERROR(__xludf.DUMMYFUNCTION("""COMPUTED_VALUE"""),"gas")</f>
        <v>gas</v>
      </c>
    </row>
    <row r="1725">
      <c r="B1725" s="6"/>
      <c r="D1725" s="6"/>
      <c r="G1725" s="6"/>
      <c r="H1725" s="6" t="str">
        <f>IFERROR(__xludf.DUMMYFUNCTION("""COMPUTED_VALUE"""),"unaffected")</f>
        <v>unaffected</v>
      </c>
      <c r="I1725" s="6"/>
      <c r="J1725" s="6" t="str">
        <f>IFERROR(__xludf.DUMMYFUNCTION("""COMPUTED_VALUE"""),"disturbance")</f>
        <v>disturbance</v>
      </c>
      <c r="L1725" s="6" t="str">
        <f>IFERROR(__xludf.DUMMYFUNCTION("""COMPUTED_VALUE"""),"exhaustion")</f>
        <v>exhaustion</v>
      </c>
      <c r="M1725" s="6">
        <f>IFERROR(__xludf.DUMMYFUNCTION("""COMPUTED_VALUE"""),1984.0)</f>
        <v>1984</v>
      </c>
      <c r="P1725" s="6"/>
      <c r="Q1725" s="6" t="str">
        <f>IFERROR(__xludf.DUMMYFUNCTION("""COMPUTED_VALUE"""),"origins")</f>
        <v>origins</v>
      </c>
      <c r="S1725" s="6" t="str">
        <f>IFERROR(__xludf.DUMMYFUNCTION("""COMPUTED_VALUE"""),"error")</f>
        <v>error</v>
      </c>
    </row>
    <row r="1726">
      <c r="B1726" s="6"/>
      <c r="D1726" s="6"/>
      <c r="G1726" s="6"/>
      <c r="H1726" s="6" t="str">
        <f>IFERROR(__xludf.DUMMYFUNCTION("""COMPUTED_VALUE"""),"minded")</f>
        <v>minded</v>
      </c>
      <c r="I1726" s="6"/>
      <c r="J1726" s="6" t="str">
        <f>IFERROR(__xludf.DUMMYFUNCTION("""COMPUTED_VALUE"""),"bender")</f>
        <v>bender</v>
      </c>
      <c r="L1726" s="6" t="str">
        <f>IFERROR(__xludf.DUMMYFUNCTION("""COMPUTED_VALUE"""),"exposition")</f>
        <v>exposition</v>
      </c>
      <c r="M1726" s="6" t="str">
        <f>IFERROR(__xludf.DUMMYFUNCTION("""COMPUTED_VALUE"""),"warfare")</f>
        <v>warfare</v>
      </c>
      <c r="P1726" s="6"/>
      <c r="Q1726" s="6" t="str">
        <f>IFERROR(__xludf.DUMMYFUNCTION("""COMPUTED_VALUE"""),"yiddish")</f>
        <v>yiddish</v>
      </c>
      <c r="S1726" s="6" t="str">
        <f>IFERROR(__xludf.DUMMYFUNCTION("""COMPUTED_VALUE"""),"electoral")</f>
        <v>electoral</v>
      </c>
    </row>
    <row r="1727">
      <c r="B1727" s="6"/>
      <c r="D1727" s="6"/>
      <c r="G1727" s="6"/>
      <c r="H1727" s="6" t="str">
        <f>IFERROR(__xludf.DUMMYFUNCTION("""COMPUTED_VALUE"""),"unified")</f>
        <v>unified</v>
      </c>
      <c r="I1727" s="6"/>
      <c r="J1727" s="6" t="str">
        <f>IFERROR(__xludf.DUMMYFUNCTION("""COMPUTED_VALUE"""),"precedent")</f>
        <v>precedent</v>
      </c>
      <c r="L1727" s="6" t="str">
        <f>IFERROR(__xludf.DUMMYFUNCTION("""COMPUTED_VALUE"""),"copenhagen")</f>
        <v>copenhagen</v>
      </c>
      <c r="M1727" s="6" t="str">
        <f>IFERROR(__xludf.DUMMYFUNCTION("""COMPUTED_VALUE"""),"harrison")</f>
        <v>harrison</v>
      </c>
      <c r="P1727" s="6"/>
      <c r="Q1727" s="6" t="str">
        <f>IFERROR(__xludf.DUMMYFUNCTION("""COMPUTED_VALUE"""),"burst")</f>
        <v>burst</v>
      </c>
      <c r="S1727" s="6" t="str">
        <f>IFERROR(__xludf.DUMMYFUNCTION("""COMPUTED_VALUE"""),"reportedly")</f>
        <v>reportedly</v>
      </c>
    </row>
    <row r="1728">
      <c r="B1728" s="6"/>
      <c r="D1728" s="6"/>
      <c r="G1728" s="6"/>
      <c r="H1728" s="6" t="str">
        <f>IFERROR(__xludf.DUMMYFUNCTION("""COMPUTED_VALUE"""),"ladder")</f>
        <v>ladder</v>
      </c>
      <c r="I1728" s="6"/>
      <c r="J1728" s="6" t="str">
        <f>IFERROR(__xludf.DUMMYFUNCTION("""COMPUTED_VALUE"""),"catastrophic")</f>
        <v>catastrophic</v>
      </c>
      <c r="L1728" s="6" t="str">
        <f>IFERROR(__xludf.DUMMYFUNCTION("""COMPUTED_VALUE"""),"thud")</f>
        <v>thud</v>
      </c>
      <c r="M1728" s="6" t="str">
        <f>IFERROR(__xludf.DUMMYFUNCTION("""COMPUTED_VALUE"""),"catholic")</f>
        <v>catholic</v>
      </c>
      <c r="P1728" s="6"/>
      <c r="Q1728" s="6" t="str">
        <f>IFERROR(__xludf.DUMMYFUNCTION("""COMPUTED_VALUE"""),"weary")</f>
        <v>weary</v>
      </c>
      <c r="S1728" s="6" t="str">
        <f>IFERROR(__xludf.DUMMYFUNCTION("""COMPUTED_VALUE"""),"dimensional")</f>
        <v>dimensional</v>
      </c>
    </row>
    <row r="1729">
      <c r="B1729" s="6"/>
      <c r="D1729" s="6"/>
      <c r="G1729" s="6"/>
      <c r="H1729" s="6" t="str">
        <f>IFERROR(__xludf.DUMMYFUNCTION("""COMPUTED_VALUE"""),"libretto")</f>
        <v>libretto</v>
      </c>
      <c r="I1729" s="6"/>
      <c r="J1729" s="6" t="str">
        <f>IFERROR(__xludf.DUMMYFUNCTION("""COMPUTED_VALUE"""),"pact")</f>
        <v>pact</v>
      </c>
      <c r="L1729" s="6" t="str">
        <f>IFERROR(__xludf.DUMMYFUNCTION("""COMPUTED_VALUE"""),"stimulating")</f>
        <v>stimulating</v>
      </c>
      <c r="M1729" s="6" t="str">
        <f>IFERROR(__xludf.DUMMYFUNCTION("""COMPUTED_VALUE"""),"discipline")</f>
        <v>discipline</v>
      </c>
      <c r="P1729" s="6"/>
      <c r="Q1729" s="6" t="str">
        <f>IFERROR(__xludf.DUMMYFUNCTION("""COMPUTED_VALUE"""),"annals")</f>
        <v>annals</v>
      </c>
      <c r="S1729" s="6" t="str">
        <f>IFERROR(__xludf.DUMMYFUNCTION("""COMPUTED_VALUE"""),"byzantine")</f>
        <v>byzantine</v>
      </c>
    </row>
    <row r="1730">
      <c r="B1730" s="6"/>
      <c r="D1730" s="6"/>
      <c r="G1730" s="6"/>
      <c r="H1730" s="6" t="str">
        <f>IFERROR(__xludf.DUMMYFUNCTION("""COMPUTED_VALUE"""),"monument")</f>
        <v>monument</v>
      </c>
      <c r="I1730" s="6"/>
      <c r="J1730" s="6" t="str">
        <f>IFERROR(__xludf.DUMMYFUNCTION("""COMPUTED_VALUE"""),"grave")</f>
        <v>grave</v>
      </c>
      <c r="L1730" s="6" t="str">
        <f>IFERROR(__xludf.DUMMYFUNCTION("""COMPUTED_VALUE"""),"damon")</f>
        <v>damon</v>
      </c>
      <c r="M1730" s="6" t="str">
        <f>IFERROR(__xludf.DUMMYFUNCTION("""COMPUTED_VALUE"""),"partnership")</f>
        <v>partnership</v>
      </c>
      <c r="P1730" s="6"/>
      <c r="Q1730" s="6" t="str">
        <f>IFERROR(__xludf.DUMMYFUNCTION("""COMPUTED_VALUE"""),"forceful")</f>
        <v>forceful</v>
      </c>
      <c r="S1730" s="6" t="str">
        <f>IFERROR(__xludf.DUMMYFUNCTION("""COMPUTED_VALUE"""),"mass")</f>
        <v>mass</v>
      </c>
    </row>
    <row r="1731">
      <c r="B1731" s="6"/>
      <c r="D1731" s="6"/>
      <c r="G1731" s="6"/>
      <c r="H1731" s="6" t="str">
        <f>IFERROR(__xludf.DUMMYFUNCTION("""COMPUTED_VALUE"""),"minority")</f>
        <v>minority</v>
      </c>
      <c r="I1731" s="6"/>
      <c r="J1731" s="6" t="str">
        <f>IFERROR(__xludf.DUMMYFUNCTION("""COMPUTED_VALUE"""),"crushing")</f>
        <v>crushing</v>
      </c>
      <c r="L1731" s="6" t="str">
        <f>IFERROR(__xludf.DUMMYFUNCTION("""COMPUTED_VALUE"""),"fantasies")</f>
        <v>fantasies</v>
      </c>
      <c r="M1731" s="6" t="str">
        <f>IFERROR(__xludf.DUMMYFUNCTION("""COMPUTED_VALUE"""),"iran")</f>
        <v>iran</v>
      </c>
      <c r="P1731" s="6"/>
      <c r="Q1731" s="6" t="str">
        <f>IFERROR(__xludf.DUMMYFUNCTION("""COMPUTED_VALUE"""),"innovations")</f>
        <v>innovations</v>
      </c>
      <c r="S1731" s="6" t="str">
        <f>IFERROR(__xludf.DUMMYFUNCTION("""COMPUTED_VALUE"""),"pc")</f>
        <v>pc</v>
      </c>
    </row>
    <row r="1732">
      <c r="B1732" s="6"/>
      <c r="D1732" s="6"/>
      <c r="G1732" s="6"/>
      <c r="H1732" s="6" t="str">
        <f>IFERROR(__xludf.DUMMYFUNCTION("""COMPUTED_VALUE"""),"spine")</f>
        <v>spine</v>
      </c>
      <c r="I1732" s="6"/>
      <c r="J1732" s="6" t="str">
        <f>IFERROR(__xludf.DUMMYFUNCTION("""COMPUTED_VALUE"""),"split")</f>
        <v>split</v>
      </c>
      <c r="L1732" s="6" t="str">
        <f>IFERROR(__xludf.DUMMYFUNCTION("""COMPUTED_VALUE"""),"rapids")</f>
        <v>rapids</v>
      </c>
      <c r="M1732" s="6" t="str">
        <f>IFERROR(__xludf.DUMMYFUNCTION("""COMPUTED_VALUE"""),"preliminary")</f>
        <v>preliminary</v>
      </c>
      <c r="P1732" s="6"/>
      <c r="Q1732" s="6" t="str">
        <f>IFERROR(__xludf.DUMMYFUNCTION("""COMPUTED_VALUE"""),"despair")</f>
        <v>despair</v>
      </c>
      <c r="S1732" s="6" t="str">
        <f>IFERROR(__xludf.DUMMYFUNCTION("""COMPUTED_VALUE"""),"stability")</f>
        <v>stability</v>
      </c>
    </row>
    <row r="1733">
      <c r="B1733" s="6"/>
      <c r="D1733" s="6"/>
      <c r="G1733" s="6"/>
      <c r="H1733" s="6" t="str">
        <f>IFERROR(__xludf.DUMMYFUNCTION("""COMPUTED_VALUE"""),"shivers")</f>
        <v>shivers</v>
      </c>
      <c r="I1733" s="6"/>
      <c r="J1733" s="6" t="str">
        <f>IFERROR(__xludf.DUMMYFUNCTION("""COMPUTED_VALUE"""),"fragment")</f>
        <v>fragment</v>
      </c>
      <c r="L1733" s="6" t="str">
        <f>IFERROR(__xludf.DUMMYFUNCTION("""COMPUTED_VALUE"""),"technological")</f>
        <v>technological</v>
      </c>
      <c r="M1733" s="6" t="str">
        <f>IFERROR(__xludf.DUMMYFUNCTION("""COMPUTED_VALUE"""),"birmingham")</f>
        <v>birmingham</v>
      </c>
      <c r="P1733" s="6"/>
      <c r="Q1733" s="6" t="str">
        <f>IFERROR(__xludf.DUMMYFUNCTION("""COMPUTED_VALUE"""),"pardon")</f>
        <v>pardon</v>
      </c>
      <c r="S1733" s="6" t="str">
        <f>IFERROR(__xludf.DUMMYFUNCTION("""COMPUTED_VALUE"""),"percussion")</f>
        <v>percussion</v>
      </c>
    </row>
    <row r="1734">
      <c r="B1734" s="6"/>
      <c r="D1734" s="6"/>
      <c r="G1734" s="6"/>
      <c r="H1734" s="6" t="str">
        <f>IFERROR(__xludf.DUMMYFUNCTION("""COMPUTED_VALUE"""),"environmental")</f>
        <v>environmental</v>
      </c>
      <c r="I1734" s="6"/>
      <c r="J1734" s="6" t="str">
        <f>IFERROR(__xludf.DUMMYFUNCTION("""COMPUTED_VALUE"""),"pornographic")</f>
        <v>pornographic</v>
      </c>
      <c r="L1734" s="6" t="str">
        <f>IFERROR(__xludf.DUMMYFUNCTION("""COMPUTED_VALUE"""),"cylinders")</f>
        <v>cylinders</v>
      </c>
      <c r="M1734" s="6" t="str">
        <f>IFERROR(__xludf.DUMMYFUNCTION("""COMPUTED_VALUE"""),"invasion")</f>
        <v>invasion</v>
      </c>
      <c r="P1734" s="6"/>
      <c r="Q1734" s="6" t="str">
        <f>IFERROR(__xludf.DUMMYFUNCTION("""COMPUTED_VALUE"""),"pun")</f>
        <v>pun</v>
      </c>
      <c r="S1734" s="6" t="str">
        <f>IFERROR(__xludf.DUMMYFUNCTION("""COMPUTED_VALUE"""),"brass")</f>
        <v>brass</v>
      </c>
    </row>
    <row r="1735">
      <c r="B1735" s="6"/>
      <c r="D1735" s="6"/>
      <c r="G1735" s="6"/>
      <c r="H1735" s="6" t="str">
        <f>IFERROR(__xludf.DUMMYFUNCTION("""COMPUTED_VALUE"""),"fleeing")</f>
        <v>fleeing</v>
      </c>
      <c r="I1735" s="6"/>
      <c r="J1735" s="6" t="str">
        <f>IFERROR(__xludf.DUMMYFUNCTION("""COMPUTED_VALUE"""),"frontal")</f>
        <v>frontal</v>
      </c>
      <c r="L1735" s="6" t="str">
        <f>IFERROR(__xludf.DUMMYFUNCTION("""COMPUTED_VALUE"""),"flashes")</f>
        <v>flashes</v>
      </c>
      <c r="M1735" s="6" t="str">
        <f>IFERROR(__xludf.DUMMYFUNCTION("""COMPUTED_VALUE"""),"exposition")</f>
        <v>exposition</v>
      </c>
      <c r="P1735" s="6"/>
      <c r="Q1735" s="6" t="str">
        <f>IFERROR(__xludf.DUMMYFUNCTION("""COMPUTED_VALUE"""),"replaced")</f>
        <v>replaced</v>
      </c>
      <c r="S1735" s="6" t="str">
        <f>IFERROR(__xludf.DUMMYFUNCTION("""COMPUTED_VALUE"""),"ninth")</f>
        <v>ninth</v>
      </c>
    </row>
    <row r="1736">
      <c r="B1736" s="6"/>
      <c r="D1736" s="6"/>
      <c r="G1736" s="6"/>
      <c r="H1736" s="6" t="str">
        <f>IFERROR(__xludf.DUMMYFUNCTION("""COMPUTED_VALUE"""),"ramsay")</f>
        <v>ramsay</v>
      </c>
      <c r="I1736" s="6"/>
      <c r="J1736" s="6" t="str">
        <f>IFERROR(__xludf.DUMMYFUNCTION("""COMPUTED_VALUE"""),"fused")</f>
        <v>fused</v>
      </c>
      <c r="L1736" s="6" t="str">
        <f>IFERROR(__xludf.DUMMYFUNCTION("""COMPUTED_VALUE"""),"haute")</f>
        <v>haute</v>
      </c>
      <c r="M1736" s="6" t="str">
        <f>IFERROR(__xludf.DUMMYFUNCTION("""COMPUTED_VALUE"""),"copenhagen")</f>
        <v>copenhagen</v>
      </c>
      <c r="P1736" s="6"/>
      <c r="Q1736" s="6" t="str">
        <f>IFERROR(__xludf.DUMMYFUNCTION("""COMPUTED_VALUE"""),"executives")</f>
        <v>executives</v>
      </c>
      <c r="S1736" s="6" t="str">
        <f>IFERROR(__xludf.DUMMYFUNCTION("""COMPUTED_VALUE"""),"map")</f>
        <v>map</v>
      </c>
    </row>
    <row r="1737">
      <c r="B1737" s="6"/>
      <c r="D1737" s="6"/>
      <c r="G1737" s="6"/>
      <c r="H1737" s="6" t="str">
        <f>IFERROR(__xludf.DUMMYFUNCTION("""COMPUTED_VALUE"""),"converts")</f>
        <v>converts</v>
      </c>
      <c r="I1737" s="6"/>
      <c r="J1737" s="6" t="str">
        <f>IFERROR(__xludf.DUMMYFUNCTION("""COMPUTED_VALUE"""),"losses")</f>
        <v>losses</v>
      </c>
      <c r="L1737" s="6" t="str">
        <f>IFERROR(__xludf.DUMMYFUNCTION("""COMPUTED_VALUE"""),"juvenile")</f>
        <v>juvenile</v>
      </c>
      <c r="M1737" s="6" t="str">
        <f>IFERROR(__xludf.DUMMYFUNCTION("""COMPUTED_VALUE"""),"poet")</f>
        <v>poet</v>
      </c>
      <c r="P1737" s="6"/>
      <c r="Q1737" s="6" t="str">
        <f>IFERROR(__xludf.DUMMYFUNCTION("""COMPUTED_VALUE"""),"hoped")</f>
        <v>hoped</v>
      </c>
      <c r="S1737" s="6" t="str">
        <f>IFERROR(__xludf.DUMMYFUNCTION("""COMPUTED_VALUE"""),"torn")</f>
        <v>torn</v>
      </c>
    </row>
    <row r="1738">
      <c r="B1738" s="6"/>
      <c r="D1738" s="6"/>
      <c r="G1738" s="6"/>
      <c r="H1738" s="6" t="str">
        <f>IFERROR(__xludf.DUMMYFUNCTION("""COMPUTED_VALUE"""),"encompassing")</f>
        <v>encompassing</v>
      </c>
      <c r="I1738" s="6"/>
      <c r="J1738" s="6" t="str">
        <f>IFERROR(__xludf.DUMMYFUNCTION("""COMPUTED_VALUE"""),"broader")</f>
        <v>broader</v>
      </c>
      <c r="L1738" s="6" t="str">
        <f>IFERROR(__xludf.DUMMYFUNCTION("""COMPUTED_VALUE"""),"digest")</f>
        <v>digest</v>
      </c>
      <c r="M1738" s="6" t="str">
        <f>IFERROR(__xludf.DUMMYFUNCTION("""COMPUTED_VALUE"""),"revolutionary")</f>
        <v>revolutionary</v>
      </c>
      <c r="P1738" s="6"/>
      <c r="Q1738" s="6" t="str">
        <f>IFERROR(__xludf.DUMMYFUNCTION("""COMPUTED_VALUE"""),"commended")</f>
        <v>commended</v>
      </c>
      <c r="S1738" s="6" t="str">
        <f>IFERROR(__xludf.DUMMYFUNCTION("""COMPUTED_VALUE"""),"invented")</f>
        <v>invented</v>
      </c>
    </row>
    <row r="1739">
      <c r="B1739" s="6"/>
      <c r="D1739" s="6"/>
      <c r="G1739" s="6"/>
      <c r="H1739" s="6" t="str">
        <f>IFERROR(__xludf.DUMMYFUNCTION("""COMPUTED_VALUE"""),"favorably")</f>
        <v>favorably</v>
      </c>
      <c r="I1739" s="6"/>
      <c r="J1739" s="6" t="str">
        <f>IFERROR(__xludf.DUMMYFUNCTION("""COMPUTED_VALUE"""),"bestowed")</f>
        <v>bestowed</v>
      </c>
      <c r="L1739" s="6" t="str">
        <f>IFERROR(__xludf.DUMMYFUNCTION("""COMPUTED_VALUE"""),"undo")</f>
        <v>undo</v>
      </c>
      <c r="M1739" s="6"/>
      <c r="P1739" s="6"/>
      <c r="Q1739" s="6" t="str">
        <f>IFERROR(__xludf.DUMMYFUNCTION("""COMPUTED_VALUE"""),"illustrating")</f>
        <v>illustrating</v>
      </c>
      <c r="S1739" s="6" t="str">
        <f>IFERROR(__xludf.DUMMYFUNCTION("""COMPUTED_VALUE"""),"shoes")</f>
        <v>shoes</v>
      </c>
    </row>
    <row r="1740">
      <c r="B1740" s="6"/>
      <c r="D1740" s="6"/>
      <c r="G1740" s="6"/>
      <c r="H1740" s="6" t="str">
        <f>IFERROR(__xludf.DUMMYFUNCTION("""COMPUTED_VALUE"""),"hurts")</f>
        <v>hurts</v>
      </c>
      <c r="I1740" s="6"/>
      <c r="J1740" s="6" t="str">
        <f>IFERROR(__xludf.DUMMYFUNCTION("""COMPUTED_VALUE"""),"waldo")</f>
        <v>waldo</v>
      </c>
      <c r="L1740" s="6" t="str">
        <f>IFERROR(__xludf.DUMMYFUNCTION("""COMPUTED_VALUE"""),"provoked")</f>
        <v>provoked</v>
      </c>
      <c r="M1740" s="6"/>
      <c r="P1740" s="6"/>
      <c r="Q1740" s="6" t="str">
        <f>IFERROR(__xludf.DUMMYFUNCTION("""COMPUTED_VALUE"""),"matters")</f>
        <v>matters</v>
      </c>
      <c r="S1740" s="6" t="str">
        <f>IFERROR(__xludf.DUMMYFUNCTION("""COMPUTED_VALUE"""),"section")</f>
        <v>section</v>
      </c>
    </row>
    <row r="1741">
      <c r="B1741" s="6"/>
      <c r="D1741" s="6"/>
      <c r="G1741" s="6"/>
      <c r="H1741" s="6" t="str">
        <f>IFERROR(__xludf.DUMMYFUNCTION("""COMPUTED_VALUE"""),"clare")</f>
        <v>clare</v>
      </c>
      <c r="I1741" s="6"/>
      <c r="J1741" s="6" t="str">
        <f>IFERROR(__xludf.DUMMYFUNCTION("""COMPUTED_VALUE"""),"confront")</f>
        <v>confront</v>
      </c>
      <c r="L1741" s="6" t="str">
        <f>IFERROR(__xludf.DUMMYFUNCTION("""COMPUTED_VALUE"""),"sci")</f>
        <v>sci</v>
      </c>
      <c r="M1741" s="6"/>
      <c r="P1741" s="6"/>
      <c r="Q1741" s="6" t="str">
        <f>IFERROR(__xludf.DUMMYFUNCTION("""COMPUTED_VALUE"""),"whale")</f>
        <v>whale</v>
      </c>
      <c r="S1741" s="6" t="str">
        <f>IFERROR(__xludf.DUMMYFUNCTION("""COMPUTED_VALUE"""),"monday")</f>
        <v>monday</v>
      </c>
    </row>
    <row r="1742">
      <c r="B1742" s="6"/>
      <c r="D1742" s="6"/>
      <c r="G1742" s="6"/>
      <c r="H1742" s="6">
        <f>IFERROR(__xludf.DUMMYFUNCTION("""COMPUTED_VALUE"""),146.0)</f>
        <v>146</v>
      </c>
      <c r="I1742" s="6"/>
      <c r="J1742" s="6" t="str">
        <f>IFERROR(__xludf.DUMMYFUNCTION("""COMPUTED_VALUE"""),"familiarity")</f>
        <v>familiarity</v>
      </c>
      <c r="L1742" s="6" t="str">
        <f>IFERROR(__xludf.DUMMYFUNCTION("""COMPUTED_VALUE"""),"embraced")</f>
        <v>embraced</v>
      </c>
      <c r="M1742" s="6"/>
      <c r="P1742" s="6"/>
      <c r="Q1742" s="6" t="str">
        <f>IFERROR(__xludf.DUMMYFUNCTION("""COMPUTED_VALUE"""),"michele")</f>
        <v>michele</v>
      </c>
      <c r="S1742" s="6" t="str">
        <f>IFERROR(__xludf.DUMMYFUNCTION("""COMPUTED_VALUE"""),"prisoners")</f>
        <v>prisoners</v>
      </c>
    </row>
    <row r="1743">
      <c r="B1743" s="6"/>
      <c r="D1743" s="6"/>
      <c r="G1743" s="6"/>
      <c r="H1743" s="6" t="str">
        <f>IFERROR(__xludf.DUMMYFUNCTION("""COMPUTED_VALUE"""),"muse")</f>
        <v>muse</v>
      </c>
      <c r="I1743" s="6"/>
      <c r="J1743" s="6" t="str">
        <f>IFERROR(__xludf.DUMMYFUNCTION("""COMPUTED_VALUE"""),"carmichael")</f>
        <v>carmichael</v>
      </c>
      <c r="L1743" s="6" t="str">
        <f>IFERROR(__xludf.DUMMYFUNCTION("""COMPUTED_VALUE"""),"poet")</f>
        <v>poet</v>
      </c>
      <c r="M1743" s="6"/>
      <c r="P1743" s="6"/>
      <c r="Q1743" s="6" t="str">
        <f>IFERROR(__xludf.DUMMYFUNCTION("""COMPUTED_VALUE"""),"bitterly")</f>
        <v>bitterly</v>
      </c>
      <c r="S1743" s="6">
        <f>IFERROR(__xludf.DUMMYFUNCTION("""COMPUTED_VALUE"""),1973.0)</f>
        <v>1973</v>
      </c>
    </row>
    <row r="1744">
      <c r="B1744" s="6"/>
      <c r="D1744" s="6"/>
      <c r="G1744" s="6"/>
      <c r="H1744" s="6" t="str">
        <f>IFERROR(__xludf.DUMMYFUNCTION("""COMPUTED_VALUE"""),"weighs")</f>
        <v>weighs</v>
      </c>
      <c r="I1744" s="6"/>
      <c r="J1744" s="6" t="str">
        <f>IFERROR(__xludf.DUMMYFUNCTION("""COMPUTED_VALUE"""),"victorious")</f>
        <v>victorious</v>
      </c>
      <c r="L1744" s="6" t="str">
        <f>IFERROR(__xludf.DUMMYFUNCTION("""COMPUTED_VALUE"""),"allegiance")</f>
        <v>allegiance</v>
      </c>
      <c r="M1744" s="6"/>
      <c r="P1744" s="6"/>
      <c r="Q1744" s="6" t="str">
        <f>IFERROR(__xludf.DUMMYFUNCTION("""COMPUTED_VALUE"""),"lower")</f>
        <v>lower</v>
      </c>
      <c r="S1744" s="6" t="str">
        <f>IFERROR(__xludf.DUMMYFUNCTION("""COMPUTED_VALUE"""),"roy")</f>
        <v>roy</v>
      </c>
    </row>
    <row r="1745">
      <c r="B1745" s="6"/>
      <c r="D1745" s="6"/>
      <c r="G1745" s="6"/>
      <c r="H1745" s="6" t="str">
        <f>IFERROR(__xludf.DUMMYFUNCTION("""COMPUTED_VALUE"""),"alfred")</f>
        <v>alfred</v>
      </c>
      <c r="I1745" s="6"/>
      <c r="J1745" s="6" t="str">
        <f>IFERROR(__xludf.DUMMYFUNCTION("""COMPUTED_VALUE"""),"revolutionaries")</f>
        <v>revolutionaries</v>
      </c>
      <c r="L1745" s="6" t="str">
        <f>IFERROR(__xludf.DUMMYFUNCTION("""COMPUTED_VALUE"""),"asphalt")</f>
        <v>asphalt</v>
      </c>
      <c r="M1745" s="6"/>
      <c r="P1745" s="6"/>
      <c r="Q1745" s="6" t="str">
        <f>IFERROR(__xludf.DUMMYFUNCTION("""COMPUTED_VALUE"""),"athlete")</f>
        <v>athlete</v>
      </c>
      <c r="S1745" s="6" t="str">
        <f>IFERROR(__xludf.DUMMYFUNCTION("""COMPUTED_VALUE"""),"grave")</f>
        <v>grave</v>
      </c>
    </row>
    <row r="1746">
      <c r="B1746" s="6"/>
      <c r="D1746" s="6"/>
      <c r="G1746" s="6"/>
      <c r="H1746" s="6" t="str">
        <f>IFERROR(__xludf.DUMMYFUNCTION("""COMPUTED_VALUE"""),"hitchcock")</f>
        <v>hitchcock</v>
      </c>
      <c r="I1746" s="6"/>
      <c r="J1746" s="6" t="str">
        <f>IFERROR(__xludf.DUMMYFUNCTION("""COMPUTED_VALUE"""),"exiled")</f>
        <v>exiled</v>
      </c>
      <c r="L1746" s="6" t="str">
        <f>IFERROR(__xludf.DUMMYFUNCTION("""COMPUTED_VALUE"""),"revolutionary")</f>
        <v>revolutionary</v>
      </c>
      <c r="M1746" s="6"/>
      <c r="P1746" s="6"/>
      <c r="Q1746" s="6" t="str">
        <f>IFERROR(__xludf.DUMMYFUNCTION("""COMPUTED_VALUE"""),"splash")</f>
        <v>splash</v>
      </c>
      <c r="S1746" s="6" t="str">
        <f>IFERROR(__xludf.DUMMYFUNCTION("""COMPUTED_VALUE"""),"jaw")</f>
        <v>jaw</v>
      </c>
    </row>
    <row r="1747">
      <c r="B1747" s="6"/>
      <c r="D1747" s="6"/>
      <c r="G1747" s="6"/>
      <c r="H1747" s="6" t="str">
        <f>IFERROR(__xludf.DUMMYFUNCTION("""COMPUTED_VALUE"""),"fontaine")</f>
        <v>fontaine</v>
      </c>
      <c r="I1747" s="6"/>
      <c r="J1747" s="6" t="str">
        <f>IFERROR(__xludf.DUMMYFUNCTION("""COMPUTED_VALUE"""),"aristocracy")</f>
        <v>aristocracy</v>
      </c>
      <c r="M1747" s="6"/>
      <c r="P1747" s="6"/>
      <c r="Q1747" s="6" t="str">
        <f>IFERROR(__xludf.DUMMYFUNCTION("""COMPUTED_VALUE"""),"ambiguous")</f>
        <v>ambiguous</v>
      </c>
      <c r="S1747" s="6" t="str">
        <f>IFERROR(__xludf.DUMMYFUNCTION("""COMPUTED_VALUE"""),"split")</f>
        <v>split</v>
      </c>
    </row>
    <row r="1748">
      <c r="B1748" s="6"/>
      <c r="D1748" s="6"/>
      <c r="G1748" s="6"/>
      <c r="H1748" s="6" t="str">
        <f>IFERROR(__xludf.DUMMYFUNCTION("""COMPUTED_VALUE"""),"shakespeare")</f>
        <v>shakespeare</v>
      </c>
      <c r="I1748" s="6"/>
      <c r="J1748" s="6" t="str">
        <f>IFERROR(__xludf.DUMMYFUNCTION("""COMPUTED_VALUE"""),"hounds")</f>
        <v>hounds</v>
      </c>
      <c r="M1748" s="6"/>
      <c r="P1748" s="6"/>
      <c r="Q1748" s="6" t="str">
        <f>IFERROR(__xludf.DUMMYFUNCTION("""COMPUTED_VALUE"""),"combat")</f>
        <v>combat</v>
      </c>
      <c r="S1748" s="6" t="str">
        <f>IFERROR(__xludf.DUMMYFUNCTION("""COMPUTED_VALUE"""),"dear")</f>
        <v>dear</v>
      </c>
    </row>
    <row r="1749">
      <c r="B1749" s="6"/>
      <c r="D1749" s="6"/>
      <c r="G1749" s="6"/>
      <c r="H1749" s="6" t="str">
        <f>IFERROR(__xludf.DUMMYFUNCTION("""COMPUTED_VALUE"""),"weakly")</f>
        <v>weakly</v>
      </c>
      <c r="I1749" s="6"/>
      <c r="J1749" s="6" t="str">
        <f>IFERROR(__xludf.DUMMYFUNCTION("""COMPUTED_VALUE"""),"iranian")</f>
        <v>iranian</v>
      </c>
      <c r="M1749" s="6"/>
      <c r="P1749" s="6"/>
      <c r="Q1749" s="6" t="str">
        <f>IFERROR(__xludf.DUMMYFUNCTION("""COMPUTED_VALUE"""),"expose")</f>
        <v>expose</v>
      </c>
      <c r="S1749" s="6" t="str">
        <f>IFERROR(__xludf.DUMMYFUNCTION("""COMPUTED_VALUE"""),"losses")</f>
        <v>losses</v>
      </c>
    </row>
    <row r="1750">
      <c r="B1750" s="6"/>
      <c r="D1750" s="6"/>
      <c r="G1750" s="6"/>
      <c r="H1750" s="6" t="str">
        <f>IFERROR(__xludf.DUMMYFUNCTION("""COMPUTED_VALUE"""),"clyde")</f>
        <v>clyde</v>
      </c>
      <c r="I1750" s="6"/>
      <c r="J1750" s="6" t="str">
        <f>IFERROR(__xludf.DUMMYFUNCTION("""COMPUTED_VALUE"""),"fledgling")</f>
        <v>fledgling</v>
      </c>
      <c r="M1750" s="6"/>
      <c r="P1750" s="6"/>
      <c r="Q1750" s="6" t="str">
        <f>IFERROR(__xludf.DUMMYFUNCTION("""COMPUTED_VALUE"""),"prejudice")</f>
        <v>prejudice</v>
      </c>
      <c r="S1750" s="6" t="str">
        <f>IFERROR(__xludf.DUMMYFUNCTION("""COMPUTED_VALUE"""),"concrete")</f>
        <v>concrete</v>
      </c>
    </row>
    <row r="1751">
      <c r="B1751" s="6"/>
      <c r="D1751" s="6"/>
      <c r="G1751" s="6"/>
      <c r="H1751" s="6" t="str">
        <f>IFERROR(__xludf.DUMMYFUNCTION("""COMPUTED_VALUE"""),"curves")</f>
        <v>curves</v>
      </c>
      <c r="I1751" s="6"/>
      <c r="J1751" s="6" t="str">
        <f>IFERROR(__xludf.DUMMYFUNCTION("""COMPUTED_VALUE"""),"presiding")</f>
        <v>presiding</v>
      </c>
      <c r="M1751" s="6"/>
      <c r="P1751" s="6"/>
      <c r="Q1751" s="6" t="str">
        <f>IFERROR(__xludf.DUMMYFUNCTION("""COMPUTED_VALUE"""),"enigma")</f>
        <v>enigma</v>
      </c>
      <c r="S1751" s="6" t="str">
        <f>IFERROR(__xludf.DUMMYFUNCTION("""COMPUTED_VALUE"""),"drawings")</f>
        <v>drawings</v>
      </c>
    </row>
    <row r="1752">
      <c r="B1752" s="6"/>
      <c r="D1752" s="6"/>
      <c r="G1752" s="6"/>
      <c r="H1752" s="6" t="str">
        <f>IFERROR(__xludf.DUMMYFUNCTION("""COMPUTED_VALUE"""),"fashioned")</f>
        <v>fashioned</v>
      </c>
      <c r="I1752" s="6"/>
      <c r="J1752" s="6" t="str">
        <f>IFERROR(__xludf.DUMMYFUNCTION("""COMPUTED_VALUE"""),"macbeth")</f>
        <v>macbeth</v>
      </c>
      <c r="M1752" s="6"/>
      <c r="P1752" s="6"/>
      <c r="Q1752" s="6" t="str">
        <f>IFERROR(__xludf.DUMMYFUNCTION("""COMPUTED_VALUE"""),"screenwriter")</f>
        <v>screenwriter</v>
      </c>
      <c r="S1752" s="6" t="str">
        <f>IFERROR(__xludf.DUMMYFUNCTION("""COMPUTED_VALUE"""),"iranian")</f>
        <v>iranian</v>
      </c>
    </row>
    <row r="1753">
      <c r="B1753" s="6"/>
      <c r="D1753" s="6"/>
      <c r="G1753" s="6"/>
      <c r="H1753" s="6" t="str">
        <f>IFERROR(__xludf.DUMMYFUNCTION("""COMPUTED_VALUE"""),"strains")</f>
        <v>strains</v>
      </c>
      <c r="I1753" s="6"/>
      <c r="J1753" s="6" t="str">
        <f>IFERROR(__xludf.DUMMYFUNCTION("""COMPUTED_VALUE"""),"conflicts")</f>
        <v>conflicts</v>
      </c>
      <c r="M1753" s="6"/>
      <c r="P1753" s="6"/>
      <c r="Q1753" s="6" t="str">
        <f>IFERROR(__xludf.DUMMYFUNCTION("""COMPUTED_VALUE"""),"reversal")</f>
        <v>reversal</v>
      </c>
      <c r="S1753" s="6" t="str">
        <f>IFERROR(__xludf.DUMMYFUNCTION("""COMPUTED_VALUE"""),"defend")</f>
        <v>defend</v>
      </c>
    </row>
    <row r="1754">
      <c r="B1754" s="6"/>
      <c r="D1754" s="6"/>
      <c r="G1754" s="6"/>
      <c r="H1754" s="6" t="str">
        <f>IFERROR(__xludf.DUMMYFUNCTION("""COMPUTED_VALUE"""),"lucas")</f>
        <v>lucas</v>
      </c>
      <c r="I1754" s="6"/>
      <c r="J1754" s="6" t="str">
        <f>IFERROR(__xludf.DUMMYFUNCTION("""COMPUTED_VALUE"""),"uniquely")</f>
        <v>uniquely</v>
      </c>
      <c r="M1754" s="6"/>
      <c r="P1754" s="6"/>
      <c r="Q1754" s="6" t="str">
        <f>IFERROR(__xludf.DUMMYFUNCTION("""COMPUTED_VALUE"""),"kazan")</f>
        <v>kazan</v>
      </c>
      <c r="S1754" s="6" t="str">
        <f>IFERROR(__xludf.DUMMYFUNCTION("""COMPUTED_VALUE"""),"1930s")</f>
        <v>1930s</v>
      </c>
    </row>
    <row r="1755">
      <c r="B1755" s="6"/>
      <c r="D1755" s="6"/>
      <c r="G1755" s="6"/>
      <c r="H1755" s="6" t="str">
        <f>IFERROR(__xludf.DUMMYFUNCTION("""COMPUTED_VALUE"""),"jolt")</f>
        <v>jolt</v>
      </c>
      <c r="I1755" s="6"/>
      <c r="J1755" s="6" t="str">
        <f>IFERROR(__xludf.DUMMYFUNCTION("""COMPUTED_VALUE"""),"joan")</f>
        <v>joan</v>
      </c>
      <c r="M1755" s="6"/>
      <c r="P1755" s="6"/>
      <c r="Q1755" s="6" t="str">
        <f>IFERROR(__xludf.DUMMYFUNCTION("""COMPUTED_VALUE"""),"chiefly")</f>
        <v>chiefly</v>
      </c>
      <c r="S1755" s="6" t="str">
        <f>IFERROR(__xludf.DUMMYFUNCTION("""COMPUTED_VALUE"""),"davis")</f>
        <v>davis</v>
      </c>
    </row>
    <row r="1756">
      <c r="B1756" s="6"/>
      <c r="D1756" s="6"/>
      <c r="G1756" s="6"/>
      <c r="H1756" s="6" t="str">
        <f>IFERROR(__xludf.DUMMYFUNCTION("""COMPUTED_VALUE"""),"juliet")</f>
        <v>juliet</v>
      </c>
      <c r="I1756" s="6"/>
      <c r="J1756" s="6" t="str">
        <f>IFERROR(__xludf.DUMMYFUNCTION("""COMPUTED_VALUE"""),"pinnacle")</f>
        <v>pinnacle</v>
      </c>
      <c r="M1756" s="6"/>
      <c r="P1756" s="6"/>
      <c r="Q1756" s="6" t="str">
        <f>IFERROR(__xludf.DUMMYFUNCTION("""COMPUTED_VALUE"""),"yearning")</f>
        <v>yearning</v>
      </c>
      <c r="S1756" s="6" t="str">
        <f>IFERROR(__xludf.DUMMYFUNCTION("""COMPUTED_VALUE"""),"conflicts")</f>
        <v>conflicts</v>
      </c>
    </row>
    <row r="1757">
      <c r="B1757" s="6"/>
      <c r="D1757" s="6"/>
      <c r="G1757" s="6"/>
      <c r="H1757" s="6" t="str">
        <f>IFERROR(__xludf.DUMMYFUNCTION("""COMPUTED_VALUE"""),"fighters")</f>
        <v>fighters</v>
      </c>
      <c r="I1757" s="6"/>
      <c r="J1757" s="6" t="str">
        <f>IFERROR(__xludf.DUMMYFUNCTION("""COMPUTED_VALUE"""),"probation")</f>
        <v>probation</v>
      </c>
      <c r="M1757" s="6"/>
      <c r="P1757" s="6"/>
      <c r="Q1757" s="6" t="str">
        <f>IFERROR(__xludf.DUMMYFUNCTION("""COMPUTED_VALUE"""),"near")</f>
        <v>near</v>
      </c>
      <c r="S1757" s="6" t="str">
        <f>IFERROR(__xludf.DUMMYFUNCTION("""COMPUTED_VALUE"""),"seventeen")</f>
        <v>seventeen</v>
      </c>
    </row>
    <row r="1758">
      <c r="B1758" s="6"/>
      <c r="D1758" s="6"/>
      <c r="G1758" s="6"/>
      <c r="H1758" s="6" t="str">
        <f>IFERROR(__xludf.DUMMYFUNCTION("""COMPUTED_VALUE"""),"exchanges")</f>
        <v>exchanges</v>
      </c>
      <c r="I1758" s="6"/>
      <c r="J1758" s="6" t="str">
        <f>IFERROR(__xludf.DUMMYFUNCTION("""COMPUTED_VALUE"""),"mankind")</f>
        <v>mankind</v>
      </c>
      <c r="M1758" s="6"/>
      <c r="P1758" s="6"/>
      <c r="Q1758" s="6" t="str">
        <f>IFERROR(__xludf.DUMMYFUNCTION("""COMPUTED_VALUE"""),"framing")</f>
        <v>framing</v>
      </c>
      <c r="S1758" s="6" t="str">
        <f>IFERROR(__xludf.DUMMYFUNCTION("""COMPUTED_VALUE"""),"austrian")</f>
        <v>austrian</v>
      </c>
    </row>
    <row r="1759">
      <c r="B1759" s="6"/>
      <c r="D1759" s="6"/>
      <c r="G1759" s="6"/>
      <c r="H1759" s="6" t="str">
        <f>IFERROR(__xludf.DUMMYFUNCTION("""COMPUTED_VALUE"""),"staggered")</f>
        <v>staggered</v>
      </c>
      <c r="I1759" s="6"/>
      <c r="J1759" s="6" t="str">
        <f>IFERROR(__xludf.DUMMYFUNCTION("""COMPUTED_VALUE"""),"wasp")</f>
        <v>wasp</v>
      </c>
      <c r="M1759" s="6"/>
      <c r="P1759" s="6"/>
      <c r="Q1759" s="6" t="str">
        <f>IFERROR(__xludf.DUMMYFUNCTION("""COMPUTED_VALUE"""),"spreads")</f>
        <v>spreads</v>
      </c>
      <c r="S1759" s="6" t="str">
        <f>IFERROR(__xludf.DUMMYFUNCTION("""COMPUTED_VALUE"""),"doc")</f>
        <v>doc</v>
      </c>
    </row>
    <row r="1760">
      <c r="B1760" s="6"/>
      <c r="D1760" s="6"/>
      <c r="G1760" s="6"/>
      <c r="H1760" s="6" t="str">
        <f>IFERROR(__xludf.DUMMYFUNCTION("""COMPUTED_VALUE"""),"suspects")</f>
        <v>suspects</v>
      </c>
      <c r="I1760" s="6"/>
      <c r="J1760" s="6" t="str">
        <f>IFERROR(__xludf.DUMMYFUNCTION("""COMPUTED_VALUE"""),"weber")</f>
        <v>weber</v>
      </c>
      <c r="M1760" s="6"/>
      <c r="P1760" s="6"/>
      <c r="Q1760" s="6" t="str">
        <f>IFERROR(__xludf.DUMMYFUNCTION("""COMPUTED_VALUE"""),"rumor")</f>
        <v>rumor</v>
      </c>
      <c r="S1760" s="6" t="str">
        <f>IFERROR(__xludf.DUMMYFUNCTION("""COMPUTED_VALUE"""),"joan")</f>
        <v>joan</v>
      </c>
    </row>
    <row r="1761">
      <c r="B1761" s="6"/>
      <c r="D1761" s="6"/>
      <c r="G1761" s="6"/>
      <c r="H1761" s="6" t="str">
        <f>IFERROR(__xludf.DUMMYFUNCTION("""COMPUTED_VALUE"""),"invincible")</f>
        <v>invincible</v>
      </c>
      <c r="I1761" s="6"/>
      <c r="J1761" s="6" t="str">
        <f>IFERROR(__xludf.DUMMYFUNCTION("""COMPUTED_VALUE"""),"stud")</f>
        <v>stud</v>
      </c>
      <c r="M1761" s="6"/>
      <c r="P1761" s="6"/>
      <c r="Q1761" s="6" t="str">
        <f>IFERROR(__xludf.DUMMYFUNCTION("""COMPUTED_VALUE"""),"magical")</f>
        <v>magical</v>
      </c>
      <c r="S1761" s="6" t="str">
        <f>IFERROR(__xludf.DUMMYFUNCTION("""COMPUTED_VALUE"""),"throat")</f>
        <v>throat</v>
      </c>
    </row>
    <row r="1762">
      <c r="B1762" s="6"/>
      <c r="D1762" s="6"/>
      <c r="G1762" s="6"/>
      <c r="H1762" s="6" t="str">
        <f>IFERROR(__xludf.DUMMYFUNCTION("""COMPUTED_VALUE"""),"forcefully")</f>
        <v>forcefully</v>
      </c>
      <c r="I1762" s="6"/>
      <c r="J1762" s="6" t="str">
        <f>IFERROR(__xludf.DUMMYFUNCTION("""COMPUTED_VALUE"""),"terrorism")</f>
        <v>terrorism</v>
      </c>
      <c r="M1762" s="6"/>
      <c r="P1762" s="6"/>
      <c r="Q1762" s="6" t="str">
        <f>IFERROR(__xludf.DUMMYFUNCTION("""COMPUTED_VALUE"""),"alternately")</f>
        <v>alternately</v>
      </c>
      <c r="S1762" s="6" t="str">
        <f>IFERROR(__xludf.DUMMYFUNCTION("""COMPUTED_VALUE"""),"solo")</f>
        <v>solo</v>
      </c>
    </row>
    <row r="1763">
      <c r="B1763" s="6"/>
      <c r="D1763" s="6"/>
      <c r="G1763" s="6"/>
      <c r="H1763" s="6" t="str">
        <f>IFERROR(__xludf.DUMMYFUNCTION("""COMPUTED_VALUE"""),"combustion")</f>
        <v>combustion</v>
      </c>
      <c r="I1763" s="6"/>
      <c r="J1763" s="6" t="str">
        <f>IFERROR(__xludf.DUMMYFUNCTION("""COMPUTED_VALUE"""),"sociology")</f>
        <v>sociology</v>
      </c>
      <c r="M1763" s="6"/>
      <c r="P1763" s="6"/>
      <c r="Q1763" s="6" t="str">
        <f>IFERROR(__xludf.DUMMYFUNCTION("""COMPUTED_VALUE"""),"hopeful")</f>
        <v>hopeful</v>
      </c>
      <c r="S1763" s="6" t="str">
        <f>IFERROR(__xludf.DUMMYFUNCTION("""COMPUTED_VALUE"""),"wash")</f>
        <v>wash</v>
      </c>
    </row>
    <row r="1764">
      <c r="B1764" s="6"/>
      <c r="D1764" s="6"/>
      <c r="G1764" s="6"/>
      <c r="H1764" s="6" t="str">
        <f>IFERROR(__xludf.DUMMYFUNCTION("""COMPUTED_VALUE"""),"barlow")</f>
        <v>barlow</v>
      </c>
      <c r="I1764" s="6"/>
      <c r="J1764" s="6" t="str">
        <f>IFERROR(__xludf.DUMMYFUNCTION("""COMPUTED_VALUE"""),"solo")</f>
        <v>solo</v>
      </c>
      <c r="M1764" s="6"/>
      <c r="P1764" s="6"/>
      <c r="Q1764" s="6" t="str">
        <f>IFERROR(__xludf.DUMMYFUNCTION("""COMPUTED_VALUE"""),"flag")</f>
        <v>flag</v>
      </c>
      <c r="S1764" s="6" t="str">
        <f>IFERROR(__xludf.DUMMYFUNCTION("""COMPUTED_VALUE"""),"depicted")</f>
        <v>depicted</v>
      </c>
    </row>
    <row r="1765">
      <c r="B1765" s="6"/>
      <c r="D1765" s="6"/>
      <c r="G1765" s="6"/>
      <c r="H1765" s="6" t="str">
        <f>IFERROR(__xludf.DUMMYFUNCTION("""COMPUTED_VALUE"""),"buried")</f>
        <v>buried</v>
      </c>
      <c r="I1765" s="6"/>
      <c r="J1765" s="6" t="str">
        <f>IFERROR(__xludf.DUMMYFUNCTION("""COMPUTED_VALUE"""),"hazy")</f>
        <v>hazy</v>
      </c>
      <c r="M1765" s="6"/>
      <c r="P1765" s="6"/>
      <c r="Q1765" s="6" t="str">
        <f>IFERROR(__xludf.DUMMYFUNCTION("""COMPUTED_VALUE"""),"mechanical")</f>
        <v>mechanical</v>
      </c>
      <c r="S1765" s="6" t="str">
        <f>IFERROR(__xludf.DUMMYFUNCTION("""COMPUTED_VALUE"""),"sharing")</f>
        <v>sharing</v>
      </c>
    </row>
    <row r="1766">
      <c r="B1766" s="6"/>
      <c r="D1766" s="6"/>
      <c r="G1766" s="6"/>
      <c r="H1766" s="6" t="str">
        <f>IFERROR(__xludf.DUMMYFUNCTION("""COMPUTED_VALUE"""),"copenhagen")</f>
        <v>copenhagen</v>
      </c>
      <c r="I1766" s="6"/>
      <c r="J1766" s="6" t="str">
        <f>IFERROR(__xludf.DUMMYFUNCTION("""COMPUTED_VALUE"""),"debts")</f>
        <v>debts</v>
      </c>
      <c r="M1766" s="6"/>
      <c r="P1766" s="6"/>
      <c r="Q1766" s="6" t="str">
        <f>IFERROR(__xludf.DUMMYFUNCTION("""COMPUTED_VALUE"""),"compatible")</f>
        <v>compatible</v>
      </c>
      <c r="S1766" s="6" t="str">
        <f>IFERROR(__xludf.DUMMYFUNCTION("""COMPUTED_VALUE"""),"freight")</f>
        <v>freight</v>
      </c>
    </row>
    <row r="1767">
      <c r="B1767" s="6"/>
      <c r="D1767" s="6"/>
      <c r="G1767" s="6"/>
      <c r="H1767" s="6" t="str">
        <f>IFERROR(__xludf.DUMMYFUNCTION("""COMPUTED_VALUE"""),"coping")</f>
        <v>coping</v>
      </c>
      <c r="I1767" s="6"/>
      <c r="J1767" s="6" t="str">
        <f>IFERROR(__xludf.DUMMYFUNCTION("""COMPUTED_VALUE"""),"destruction")</f>
        <v>destruction</v>
      </c>
      <c r="M1767" s="6"/>
      <c r="P1767" s="6"/>
      <c r="Q1767" s="6" t="str">
        <f>IFERROR(__xludf.DUMMYFUNCTION("""COMPUTED_VALUE"""),"depiction")</f>
        <v>depiction</v>
      </c>
      <c r="S1767" s="6" t="str">
        <f>IFERROR(__xludf.DUMMYFUNCTION("""COMPUTED_VALUE"""),"destruction")</f>
        <v>destruction</v>
      </c>
    </row>
    <row r="1768">
      <c r="B1768" s="6"/>
      <c r="D1768" s="6"/>
      <c r="G1768" s="6"/>
      <c r="H1768" s="6" t="str">
        <f>IFERROR(__xludf.DUMMYFUNCTION("""COMPUTED_VALUE"""),"winger")</f>
        <v>winger</v>
      </c>
      <c r="I1768" s="6"/>
      <c r="J1768" s="6" t="str">
        <f>IFERROR(__xludf.DUMMYFUNCTION("""COMPUTED_VALUE"""),"gracefully")</f>
        <v>gracefully</v>
      </c>
      <c r="M1768" s="6"/>
      <c r="P1768" s="6"/>
      <c r="Q1768" s="6" t="str">
        <f>IFERROR(__xludf.DUMMYFUNCTION("""COMPUTED_VALUE"""),"japan")</f>
        <v>japan</v>
      </c>
      <c r="S1768" s="6">
        <f>IFERROR(__xludf.DUMMYFUNCTION("""COMPUTED_VALUE"""),88.0)</f>
        <v>88</v>
      </c>
    </row>
    <row r="1769">
      <c r="B1769" s="6"/>
      <c r="D1769" s="6"/>
      <c r="G1769" s="6"/>
      <c r="H1769" s="6" t="str">
        <f>IFERROR(__xludf.DUMMYFUNCTION("""COMPUTED_VALUE"""),"cloak")</f>
        <v>cloak</v>
      </c>
      <c r="I1769" s="6"/>
      <c r="J1769" s="6" t="str">
        <f>IFERROR(__xludf.DUMMYFUNCTION("""COMPUTED_VALUE"""),"moat")</f>
        <v>moat</v>
      </c>
      <c r="M1769" s="6"/>
      <c r="P1769" s="6"/>
      <c r="Q1769" s="6" t="str">
        <f>IFERROR(__xludf.DUMMYFUNCTION("""COMPUTED_VALUE"""),"embraced")</f>
        <v>embraced</v>
      </c>
      <c r="S1769" s="6" t="str">
        <f>IFERROR(__xludf.DUMMYFUNCTION("""COMPUTED_VALUE"""),"simpson")</f>
        <v>simpson</v>
      </c>
    </row>
    <row r="1770">
      <c r="B1770" s="6"/>
      <c r="D1770" s="6"/>
      <c r="G1770" s="6"/>
      <c r="H1770" s="6" t="str">
        <f>IFERROR(__xludf.DUMMYFUNCTION("""COMPUTED_VALUE"""),"eccentric")</f>
        <v>eccentric</v>
      </c>
      <c r="I1770" s="6"/>
      <c r="J1770" s="6" t="str">
        <f>IFERROR(__xludf.DUMMYFUNCTION("""COMPUTED_VALUE"""),"bourgeois")</f>
        <v>bourgeois</v>
      </c>
      <c r="M1770" s="6"/>
      <c r="P1770" s="6"/>
      <c r="Q1770" s="6" t="str">
        <f>IFERROR(__xludf.DUMMYFUNCTION("""COMPUTED_VALUE"""),"realities")</f>
        <v>realities</v>
      </c>
      <c r="S1770" s="6" t="str">
        <f>IFERROR(__xludf.DUMMYFUNCTION("""COMPUTED_VALUE"""),"provincial")</f>
        <v>provincial</v>
      </c>
    </row>
    <row r="1771">
      <c r="B1771" s="6"/>
      <c r="D1771" s="6"/>
      <c r="G1771" s="6"/>
      <c r="H1771" s="6" t="str">
        <f>IFERROR(__xludf.DUMMYFUNCTION("""COMPUTED_VALUE"""),"reagan")</f>
        <v>reagan</v>
      </c>
      <c r="I1771" s="6"/>
      <c r="J1771" s="6" t="str">
        <f>IFERROR(__xludf.DUMMYFUNCTION("""COMPUTED_VALUE"""),"provincial")</f>
        <v>provincial</v>
      </c>
      <c r="M1771" s="6"/>
      <c r="P1771" s="6"/>
      <c r="Q1771" s="6" t="str">
        <f>IFERROR(__xludf.DUMMYFUNCTION("""COMPUTED_VALUE"""),"aids")</f>
        <v>aids</v>
      </c>
      <c r="S1771" s="6" t="str">
        <f>IFERROR(__xludf.DUMMYFUNCTION("""COMPUTED_VALUE"""),"suffered")</f>
        <v>suffered</v>
      </c>
    </row>
    <row r="1772">
      <c r="B1772" s="6"/>
      <c r="D1772" s="6"/>
      <c r="G1772" s="6"/>
      <c r="H1772" s="6" t="str">
        <f>IFERROR(__xludf.DUMMYFUNCTION("""COMPUTED_VALUE"""),"damon")</f>
        <v>damon</v>
      </c>
      <c r="I1772" s="6"/>
      <c r="J1772" s="6" t="str">
        <f>IFERROR(__xludf.DUMMYFUNCTION("""COMPUTED_VALUE"""),"contrasting")</f>
        <v>contrasting</v>
      </c>
      <c r="M1772" s="6"/>
      <c r="P1772" s="6"/>
      <c r="Q1772" s="6" t="str">
        <f>IFERROR(__xludf.DUMMYFUNCTION("""COMPUTED_VALUE"""),"harlem")</f>
        <v>harlem</v>
      </c>
      <c r="S1772" s="6" t="str">
        <f>IFERROR(__xludf.DUMMYFUNCTION("""COMPUTED_VALUE"""),"fraser")</f>
        <v>fraser</v>
      </c>
    </row>
    <row r="1773">
      <c r="B1773" s="6"/>
      <c r="D1773" s="6"/>
      <c r="G1773" s="6"/>
      <c r="H1773" s="6">
        <f>IFERROR(__xludf.DUMMYFUNCTION("""COMPUTED_VALUE"""),163.0)</f>
        <v>163</v>
      </c>
      <c r="I1773" s="6"/>
      <c r="J1773" s="6" t="str">
        <f>IFERROR(__xludf.DUMMYFUNCTION("""COMPUTED_VALUE"""),"demographic")</f>
        <v>demographic</v>
      </c>
      <c r="M1773" s="6"/>
      <c r="P1773" s="6"/>
      <c r="Q1773" s="6" t="str">
        <f>IFERROR(__xludf.DUMMYFUNCTION("""COMPUTED_VALUE"""),"repetition")</f>
        <v>repetition</v>
      </c>
      <c r="S1773" s="6" t="str">
        <f>IFERROR(__xludf.DUMMYFUNCTION("""COMPUTED_VALUE"""),"admitted")</f>
        <v>admitted</v>
      </c>
    </row>
    <row r="1774">
      <c r="B1774" s="6"/>
      <c r="D1774" s="6"/>
      <c r="G1774" s="6"/>
      <c r="H1774" s="6" t="str">
        <f>IFERROR(__xludf.DUMMYFUNCTION("""COMPUTED_VALUE"""),"eventual")</f>
        <v>eventual</v>
      </c>
      <c r="I1774" s="6"/>
      <c r="J1774" s="6" t="str">
        <f>IFERROR(__xludf.DUMMYFUNCTION("""COMPUTED_VALUE"""),"explosions")</f>
        <v>explosions</v>
      </c>
      <c r="M1774" s="6"/>
      <c r="P1774" s="6"/>
      <c r="Q1774" s="6" t="str">
        <f>IFERROR(__xludf.DUMMYFUNCTION("""COMPUTED_VALUE"""),"etched")</f>
        <v>etched</v>
      </c>
      <c r="S1774" s="6" t="str">
        <f>IFERROR(__xludf.DUMMYFUNCTION("""COMPUTED_VALUE"""),"crash")</f>
        <v>crash</v>
      </c>
    </row>
    <row r="1775">
      <c r="B1775" s="6"/>
      <c r="D1775" s="6"/>
      <c r="G1775" s="6"/>
      <c r="H1775" s="6" t="str">
        <f>IFERROR(__xludf.DUMMYFUNCTION("""COMPUTED_VALUE"""),"commands")</f>
        <v>commands</v>
      </c>
      <c r="I1775" s="6"/>
      <c r="J1775" s="6" t="str">
        <f>IFERROR(__xludf.DUMMYFUNCTION("""COMPUTED_VALUE"""),"landscapes")</f>
        <v>landscapes</v>
      </c>
      <c r="M1775" s="6"/>
      <c r="P1775" s="6"/>
      <c r="Q1775" s="6" t="str">
        <f>IFERROR(__xludf.DUMMYFUNCTION("""COMPUTED_VALUE"""),"agile")</f>
        <v>agile</v>
      </c>
      <c r="S1775" s="6" t="str">
        <f>IFERROR(__xludf.DUMMYFUNCTION("""COMPUTED_VALUE"""),"inc")</f>
        <v>inc</v>
      </c>
    </row>
    <row r="1776">
      <c r="B1776" s="6"/>
      <c r="D1776" s="6"/>
      <c r="G1776" s="6"/>
      <c r="H1776" s="6" t="str">
        <f>IFERROR(__xludf.DUMMYFUNCTION("""COMPUTED_VALUE"""),"heavyweight")</f>
        <v>heavyweight</v>
      </c>
      <c r="I1776" s="6"/>
      <c r="J1776" s="6" t="str">
        <f>IFERROR(__xludf.DUMMYFUNCTION("""COMPUTED_VALUE"""),"lore")</f>
        <v>lore</v>
      </c>
      <c r="M1776" s="6"/>
      <c r="P1776" s="6"/>
      <c r="Q1776" s="6" t="str">
        <f>IFERROR(__xludf.DUMMYFUNCTION("""COMPUTED_VALUE"""),"proficient")</f>
        <v>proficient</v>
      </c>
      <c r="S1776" s="6" t="str">
        <f>IFERROR(__xludf.DUMMYFUNCTION("""COMPUTED_VALUE"""),"framework")</f>
        <v>framework</v>
      </c>
    </row>
    <row r="1777">
      <c r="B1777" s="6"/>
      <c r="D1777" s="6"/>
      <c r="G1777" s="6"/>
      <c r="H1777" s="6" t="str">
        <f>IFERROR(__xludf.DUMMYFUNCTION("""COMPUTED_VALUE"""),"endangered")</f>
        <v>endangered</v>
      </c>
      <c r="I1777" s="6"/>
      <c r="J1777" s="6" t="str">
        <f>IFERROR(__xludf.DUMMYFUNCTION("""COMPUTED_VALUE"""),"terrorists")</f>
        <v>terrorists</v>
      </c>
      <c r="M1777" s="6"/>
      <c r="P1777" s="6"/>
      <c r="Q1777" s="6" t="str">
        <f>IFERROR(__xludf.DUMMYFUNCTION("""COMPUTED_VALUE"""),"tuck")</f>
        <v>tuck</v>
      </c>
      <c r="S1777" s="6" t="str">
        <f>IFERROR(__xludf.DUMMYFUNCTION("""COMPUTED_VALUE"""),"appropriate")</f>
        <v>appropriate</v>
      </c>
    </row>
    <row r="1778">
      <c r="B1778" s="6"/>
      <c r="D1778" s="6"/>
      <c r="G1778" s="6"/>
      <c r="H1778" s="6" t="str">
        <f>IFERROR(__xludf.DUMMYFUNCTION("""COMPUTED_VALUE"""),"unpaid")</f>
        <v>unpaid</v>
      </c>
      <c r="I1778" s="6"/>
      <c r="J1778" s="6" t="str">
        <f>IFERROR(__xludf.DUMMYFUNCTION("""COMPUTED_VALUE"""),"introduces")</f>
        <v>introduces</v>
      </c>
      <c r="M1778" s="6"/>
      <c r="P1778" s="6"/>
      <c r="Q1778" s="6" t="str">
        <f>IFERROR(__xludf.DUMMYFUNCTION("""COMPUTED_VALUE"""),"symbols")</f>
        <v>symbols</v>
      </c>
      <c r="S1778" s="6" t="str">
        <f>IFERROR(__xludf.DUMMYFUNCTION("""COMPUTED_VALUE"""),"scoring")</f>
        <v>scoring</v>
      </c>
    </row>
    <row r="1779">
      <c r="B1779" s="6"/>
      <c r="D1779" s="6"/>
      <c r="G1779" s="6"/>
      <c r="H1779" s="6" t="str">
        <f>IFERROR(__xludf.DUMMYFUNCTION("""COMPUTED_VALUE"""),"rash")</f>
        <v>rash</v>
      </c>
      <c r="I1779" s="6"/>
      <c r="J1779" s="6" t="str">
        <f>IFERROR(__xludf.DUMMYFUNCTION("""COMPUTED_VALUE"""),"thinkers")</f>
        <v>thinkers</v>
      </c>
      <c r="M1779" s="6"/>
      <c r="P1779" s="6"/>
      <c r="Q1779" s="6" t="str">
        <f>IFERROR(__xludf.DUMMYFUNCTION("""COMPUTED_VALUE"""),"denial")</f>
        <v>denial</v>
      </c>
      <c r="S1779" s="6" t="str">
        <f>IFERROR(__xludf.DUMMYFUNCTION("""COMPUTED_VALUE"""),"everybody")</f>
        <v>everybody</v>
      </c>
    </row>
    <row r="1780">
      <c r="B1780" s="6"/>
      <c r="D1780" s="6"/>
      <c r="G1780" s="6"/>
      <c r="H1780" s="6" t="str">
        <f>IFERROR(__xludf.DUMMYFUNCTION("""COMPUTED_VALUE"""),"chaplin")</f>
        <v>chaplin</v>
      </c>
      <c r="I1780" s="6"/>
      <c r="J1780" s="6" t="str">
        <f>IFERROR(__xludf.DUMMYFUNCTION("""COMPUTED_VALUE"""),"orbits")</f>
        <v>orbits</v>
      </c>
      <c r="M1780" s="6"/>
      <c r="P1780" s="6"/>
      <c r="Q1780" s="6" t="str">
        <f>IFERROR(__xludf.DUMMYFUNCTION("""COMPUTED_VALUE"""),"wow")</f>
        <v>wow</v>
      </c>
      <c r="S1780" s="6" t="str">
        <f>IFERROR(__xludf.DUMMYFUNCTION("""COMPUTED_VALUE"""),"divisions")</f>
        <v>divisions</v>
      </c>
    </row>
    <row r="1781">
      <c r="B1781" s="6"/>
      <c r="D1781" s="6"/>
      <c r="G1781" s="6"/>
      <c r="H1781" s="6" t="str">
        <f>IFERROR(__xludf.DUMMYFUNCTION("""COMPUTED_VALUE"""),"fiercely")</f>
        <v>fiercely</v>
      </c>
      <c r="I1781" s="6"/>
      <c r="J1781" s="6" t="str">
        <f>IFERROR(__xludf.DUMMYFUNCTION("""COMPUTED_VALUE"""),"reassure")</f>
        <v>reassure</v>
      </c>
      <c r="M1781" s="6"/>
      <c r="P1781" s="6"/>
      <c r="Q1781" s="6" t="str">
        <f>IFERROR(__xludf.DUMMYFUNCTION("""COMPUTED_VALUE"""),"factors")</f>
        <v>factors</v>
      </c>
      <c r="S1781" s="6" t="str">
        <f>IFERROR(__xludf.DUMMYFUNCTION("""COMPUTED_VALUE"""),"faced")</f>
        <v>faced</v>
      </c>
    </row>
    <row r="1782">
      <c r="B1782" s="6"/>
      <c r="D1782" s="6"/>
      <c r="G1782" s="6"/>
      <c r="H1782" s="6" t="str">
        <f>IFERROR(__xludf.DUMMYFUNCTION("""COMPUTED_VALUE"""),"assault")</f>
        <v>assault</v>
      </c>
      <c r="I1782" s="6"/>
      <c r="J1782" s="6" t="str">
        <f>IFERROR(__xludf.DUMMYFUNCTION("""COMPUTED_VALUE"""),"ragged")</f>
        <v>ragged</v>
      </c>
      <c r="M1782" s="6"/>
      <c r="P1782" s="6"/>
      <c r="Q1782" s="6" t="str">
        <f>IFERROR(__xludf.DUMMYFUNCTION("""COMPUTED_VALUE"""),"paxton")</f>
        <v>paxton</v>
      </c>
      <c r="S1782" s="6" t="str">
        <f>IFERROR(__xludf.DUMMYFUNCTION("""COMPUTED_VALUE"""),"blues")</f>
        <v>blues</v>
      </c>
    </row>
    <row r="1783">
      <c r="B1783" s="6"/>
      <c r="D1783" s="6"/>
      <c r="G1783" s="6"/>
      <c r="H1783" s="6" t="str">
        <f>IFERROR(__xludf.DUMMYFUNCTION("""COMPUTED_VALUE"""),"exhaustion")</f>
        <v>exhaustion</v>
      </c>
      <c r="I1783" s="6"/>
      <c r="J1783" s="6" t="str">
        <f>IFERROR(__xludf.DUMMYFUNCTION("""COMPUTED_VALUE"""),"enacted")</f>
        <v>enacted</v>
      </c>
      <c r="M1783" s="6"/>
      <c r="P1783" s="6"/>
      <c r="Q1783" s="6" t="str">
        <f>IFERROR(__xludf.DUMMYFUNCTION("""COMPUTED_VALUE"""),"resistance")</f>
        <v>resistance</v>
      </c>
      <c r="S1783" s="6" t="str">
        <f>IFERROR(__xludf.DUMMYFUNCTION("""COMPUTED_VALUE"""),"enemies")</f>
        <v>enemies</v>
      </c>
    </row>
    <row r="1784">
      <c r="B1784" s="6"/>
      <c r="D1784" s="6"/>
      <c r="G1784" s="6"/>
      <c r="H1784" s="6" t="str">
        <f>IFERROR(__xludf.DUMMYFUNCTION("""COMPUTED_VALUE"""),"installment")</f>
        <v>installment</v>
      </c>
      <c r="I1784" s="6"/>
      <c r="J1784" s="6" t="str">
        <f>IFERROR(__xludf.DUMMYFUNCTION("""COMPUTED_VALUE"""),"annex")</f>
        <v>annex</v>
      </c>
      <c r="M1784" s="6"/>
      <c r="P1784" s="6"/>
      <c r="Q1784" s="6" t="str">
        <f>IFERROR(__xludf.DUMMYFUNCTION("""COMPUTED_VALUE"""),"forster")</f>
        <v>forster</v>
      </c>
      <c r="S1784" s="6" t="str">
        <f>IFERROR(__xludf.DUMMYFUNCTION("""COMPUTED_VALUE"""),"refers")</f>
        <v>refers</v>
      </c>
    </row>
    <row r="1785">
      <c r="B1785" s="6"/>
      <c r="D1785" s="6"/>
      <c r="G1785" s="6"/>
      <c r="H1785" s="6" t="str">
        <f>IFERROR(__xludf.DUMMYFUNCTION("""COMPUTED_VALUE"""),"grenade")</f>
        <v>grenade</v>
      </c>
      <c r="I1785" s="6"/>
      <c r="J1785" s="6" t="str">
        <f>IFERROR(__xludf.DUMMYFUNCTION("""COMPUTED_VALUE"""),"overture")</f>
        <v>overture</v>
      </c>
      <c r="M1785" s="6"/>
      <c r="P1785" s="6"/>
      <c r="Q1785" s="6" t="str">
        <f>IFERROR(__xludf.DUMMYFUNCTION("""COMPUTED_VALUE"""),"levy")</f>
        <v>levy</v>
      </c>
      <c r="S1785" s="6" t="str">
        <f>IFERROR(__xludf.DUMMYFUNCTION("""COMPUTED_VALUE"""),"theological")</f>
        <v>theological</v>
      </c>
    </row>
    <row r="1786">
      <c r="B1786" s="6"/>
      <c r="D1786" s="6"/>
      <c r="G1786" s="6"/>
      <c r="H1786" s="6" t="str">
        <f>IFERROR(__xludf.DUMMYFUNCTION("""COMPUTED_VALUE"""),"discoveries")</f>
        <v>discoveries</v>
      </c>
      <c r="I1786" s="6"/>
      <c r="J1786" s="6" t="str">
        <f>IFERROR(__xludf.DUMMYFUNCTION("""COMPUTED_VALUE"""),"framework")</f>
        <v>framework</v>
      </c>
      <c r="M1786" s="6"/>
      <c r="P1786" s="6"/>
      <c r="Q1786" s="6" t="str">
        <f>IFERROR(__xludf.DUMMYFUNCTION("""COMPUTED_VALUE"""),"championship")</f>
        <v>championship</v>
      </c>
      <c r="S1786" s="6" t="str">
        <f>IFERROR(__xludf.DUMMYFUNCTION("""COMPUTED_VALUE"""),"hitler")</f>
        <v>hitler</v>
      </c>
    </row>
    <row r="1787">
      <c r="B1787" s="6"/>
      <c r="D1787" s="6"/>
      <c r="G1787" s="6"/>
      <c r="H1787" s="6" t="str">
        <f>IFERROR(__xludf.DUMMYFUNCTION("""COMPUTED_VALUE"""),"inhabitants")</f>
        <v>inhabitants</v>
      </c>
      <c r="I1787" s="6"/>
      <c r="J1787" s="6" t="str">
        <f>IFERROR(__xludf.DUMMYFUNCTION("""COMPUTED_VALUE"""),"naive")</f>
        <v>naive</v>
      </c>
      <c r="M1787" s="6"/>
      <c r="P1787" s="6"/>
      <c r="Q1787" s="6" t="str">
        <f>IFERROR(__xludf.DUMMYFUNCTION("""COMPUTED_VALUE"""),"stroked")</f>
        <v>stroked</v>
      </c>
      <c r="S1787" s="6" t="str">
        <f>IFERROR(__xludf.DUMMYFUNCTION("""COMPUTED_VALUE"""),"writings")</f>
        <v>writings</v>
      </c>
    </row>
    <row r="1788">
      <c r="B1788" s="6"/>
      <c r="D1788" s="6"/>
      <c r="G1788" s="6"/>
      <c r="H1788" s="6" t="str">
        <f>IFERROR(__xludf.DUMMYFUNCTION("""COMPUTED_VALUE"""),"franco")</f>
        <v>franco</v>
      </c>
      <c r="I1788" s="6"/>
      <c r="J1788" s="6" t="str">
        <f>IFERROR(__xludf.DUMMYFUNCTION("""COMPUTED_VALUE"""),"lullaby")</f>
        <v>lullaby</v>
      </c>
      <c r="M1788" s="6"/>
      <c r="P1788" s="6"/>
      <c r="Q1788" s="6" t="str">
        <f>IFERROR(__xludf.DUMMYFUNCTION("""COMPUTED_VALUE"""),"strokes")</f>
        <v>strokes</v>
      </c>
      <c r="S1788" s="6">
        <f>IFERROR(__xludf.DUMMYFUNCTION("""COMPUTED_VALUE"""),1962.0)</f>
        <v>1962</v>
      </c>
    </row>
    <row r="1789">
      <c r="B1789" s="6"/>
      <c r="D1789" s="6"/>
      <c r="G1789" s="6"/>
      <c r="H1789" s="6" t="str">
        <f>IFERROR(__xludf.DUMMYFUNCTION("""COMPUTED_VALUE"""),"seas")</f>
        <v>seas</v>
      </c>
      <c r="I1789" s="6"/>
      <c r="J1789" s="6" t="str">
        <f>IFERROR(__xludf.DUMMYFUNCTION("""COMPUTED_VALUE"""),"scoring")</f>
        <v>scoring</v>
      </c>
      <c r="M1789" s="6"/>
      <c r="P1789" s="6"/>
      <c r="Q1789" s="6" t="str">
        <f>IFERROR(__xludf.DUMMYFUNCTION("""COMPUTED_VALUE"""),"vin")</f>
        <v>vin</v>
      </c>
      <c r="S1789" s="6" t="str">
        <f>IFERROR(__xludf.DUMMYFUNCTION("""COMPUTED_VALUE"""),"thirteen")</f>
        <v>thirteen</v>
      </c>
    </row>
    <row r="1790">
      <c r="B1790" s="6"/>
      <c r="D1790" s="6"/>
      <c r="G1790" s="6"/>
      <c r="H1790" s="6" t="str">
        <f>IFERROR(__xludf.DUMMYFUNCTION("""COMPUTED_VALUE"""),"christianity")</f>
        <v>christianity</v>
      </c>
      <c r="I1790" s="6"/>
      <c r="J1790" s="6" t="str">
        <f>IFERROR(__xludf.DUMMYFUNCTION("""COMPUTED_VALUE"""),"pearce")</f>
        <v>pearce</v>
      </c>
      <c r="M1790" s="6"/>
      <c r="P1790" s="6"/>
      <c r="Q1790" s="6" t="str">
        <f>IFERROR(__xludf.DUMMYFUNCTION("""COMPUTED_VALUE"""),"furiously")</f>
        <v>furiously</v>
      </c>
      <c r="S1790" s="6" t="str">
        <f>IFERROR(__xludf.DUMMYFUNCTION("""COMPUTED_VALUE"""),"pet")</f>
        <v>pet</v>
      </c>
    </row>
    <row r="1791">
      <c r="B1791" s="6"/>
      <c r="D1791" s="6"/>
      <c r="G1791" s="6"/>
      <c r="H1791" s="6" t="str">
        <f>IFERROR(__xludf.DUMMYFUNCTION("""COMPUTED_VALUE"""),"activism")</f>
        <v>activism</v>
      </c>
      <c r="I1791" s="6"/>
      <c r="J1791" s="6" t="str">
        <f>IFERROR(__xludf.DUMMYFUNCTION("""COMPUTED_VALUE"""),"ke")</f>
        <v>ke</v>
      </c>
      <c r="M1791" s="6"/>
      <c r="P1791" s="6"/>
      <c r="Q1791" s="6" t="str">
        <f>IFERROR(__xludf.DUMMYFUNCTION("""COMPUTED_VALUE"""),"banged")</f>
        <v>banged</v>
      </c>
      <c r="S1791" s="6" t="str">
        <f>IFERROR(__xludf.DUMMYFUNCTION("""COMPUTED_VALUE"""),"bath")</f>
        <v>bath</v>
      </c>
    </row>
    <row r="1792">
      <c r="B1792" s="6"/>
      <c r="D1792" s="6"/>
      <c r="G1792" s="6"/>
      <c r="H1792" s="6" t="str">
        <f>IFERROR(__xludf.DUMMYFUNCTION("""COMPUTED_VALUE"""),"salvage")</f>
        <v>salvage</v>
      </c>
      <c r="I1792" s="6"/>
      <c r="J1792" s="6" t="str">
        <f>IFERROR(__xludf.DUMMYFUNCTION("""COMPUTED_VALUE"""),"forefront")</f>
        <v>forefront</v>
      </c>
      <c r="M1792" s="6"/>
      <c r="P1792" s="6"/>
      <c r="Q1792" s="6" t="str">
        <f>IFERROR(__xludf.DUMMYFUNCTION("""COMPUTED_VALUE"""),"labor")</f>
        <v>labor</v>
      </c>
      <c r="S1792" s="6" t="str">
        <f>IFERROR(__xludf.DUMMYFUNCTION("""COMPUTED_VALUE"""),"casualties")</f>
        <v>casualties</v>
      </c>
    </row>
    <row r="1793">
      <c r="B1793" s="6"/>
      <c r="D1793" s="6"/>
      <c r="G1793" s="6"/>
      <c r="H1793" s="6" t="str">
        <f>IFERROR(__xludf.DUMMYFUNCTION("""COMPUTED_VALUE"""),"walsh")</f>
        <v>walsh</v>
      </c>
      <c r="I1793" s="6"/>
      <c r="J1793" s="6" t="str">
        <f>IFERROR(__xludf.DUMMYFUNCTION("""COMPUTED_VALUE"""),"divisions")</f>
        <v>divisions</v>
      </c>
      <c r="M1793" s="6"/>
      <c r="P1793" s="6"/>
      <c r="Q1793" s="6" t="str">
        <f>IFERROR(__xludf.DUMMYFUNCTION("""COMPUTED_VALUE"""),"posthumously")</f>
        <v>posthumously</v>
      </c>
      <c r="S1793" s="6" t="str">
        <f>IFERROR(__xludf.DUMMYFUNCTION("""COMPUTED_VALUE"""),"expansion")</f>
        <v>expansion</v>
      </c>
    </row>
    <row r="1794">
      <c r="B1794" s="6"/>
      <c r="D1794" s="6"/>
      <c r="G1794" s="6"/>
      <c r="H1794" s="6" t="str">
        <f>IFERROR(__xludf.DUMMYFUNCTION("""COMPUTED_VALUE"""),"eileen")</f>
        <v>eileen</v>
      </c>
      <c r="I1794" s="6"/>
      <c r="J1794" s="6" t="str">
        <f>IFERROR(__xludf.DUMMYFUNCTION("""COMPUTED_VALUE"""),"nonfiction")</f>
        <v>nonfiction</v>
      </c>
      <c r="M1794" s="6"/>
      <c r="P1794" s="6"/>
      <c r="Q1794" s="6" t="str">
        <f>IFERROR(__xludf.DUMMYFUNCTION("""COMPUTED_VALUE"""),"published")</f>
        <v>published</v>
      </c>
      <c r="S1794" s="6" t="str">
        <f>IFERROR(__xludf.DUMMYFUNCTION("""COMPUTED_VALUE"""),"compositions")</f>
        <v>compositions</v>
      </c>
    </row>
    <row r="1795">
      <c r="B1795" s="6"/>
      <c r="D1795" s="6"/>
      <c r="G1795" s="6"/>
      <c r="H1795" s="6" t="str">
        <f>IFERROR(__xludf.DUMMYFUNCTION("""COMPUTED_VALUE"""),"taut")</f>
        <v>taut</v>
      </c>
      <c r="I1795" s="6"/>
      <c r="J1795" s="6" t="str">
        <f>IFERROR(__xludf.DUMMYFUNCTION("""COMPUTED_VALUE"""),"effectiveness")</f>
        <v>effectiveness</v>
      </c>
      <c r="M1795" s="6"/>
      <c r="P1795" s="6"/>
      <c r="Q1795" s="6" t="str">
        <f>IFERROR(__xludf.DUMMYFUNCTION("""COMPUTED_VALUE"""),"screenings")</f>
        <v>screenings</v>
      </c>
      <c r="S1795" s="6" t="str">
        <f>IFERROR(__xludf.DUMMYFUNCTION("""COMPUTED_VALUE"""),"palm")</f>
        <v>palm</v>
      </c>
    </row>
    <row r="1796">
      <c r="B1796" s="6"/>
      <c r="D1796" s="6"/>
      <c r="G1796" s="6"/>
      <c r="H1796" s="6" t="str">
        <f>IFERROR(__xludf.DUMMYFUNCTION("""COMPUTED_VALUE"""),"robinson")</f>
        <v>robinson</v>
      </c>
      <c r="I1796" s="6"/>
      <c r="J1796" s="6" t="str">
        <f>IFERROR(__xludf.DUMMYFUNCTION("""COMPUTED_VALUE"""),"configurations")</f>
        <v>configurations</v>
      </c>
      <c r="M1796" s="6"/>
      <c r="P1796" s="6"/>
      <c r="Q1796" s="6" t="str">
        <f>IFERROR(__xludf.DUMMYFUNCTION("""COMPUTED_VALUE"""),"canon")</f>
        <v>canon</v>
      </c>
      <c r="S1796" s="6" t="str">
        <f>IFERROR(__xludf.DUMMYFUNCTION("""COMPUTED_VALUE"""),"rose")</f>
        <v>rose</v>
      </c>
    </row>
    <row r="1797">
      <c r="B1797" s="6"/>
      <c r="D1797" s="6"/>
      <c r="G1797" s="6"/>
      <c r="H1797" s="6" t="str">
        <f>IFERROR(__xludf.DUMMYFUNCTION("""COMPUTED_VALUE"""),"discreet")</f>
        <v>discreet</v>
      </c>
      <c r="I1797" s="6"/>
      <c r="J1797" s="6" t="str">
        <f>IFERROR(__xludf.DUMMYFUNCTION("""COMPUTED_VALUE"""),"contentious")</f>
        <v>contentious</v>
      </c>
      <c r="M1797" s="6"/>
      <c r="P1797" s="6"/>
      <c r="Q1797" s="6" t="str">
        <f>IFERROR(__xludf.DUMMYFUNCTION("""COMPUTED_VALUE"""),"grown")</f>
        <v>grown</v>
      </c>
      <c r="S1797" s="6" t="str">
        <f>IFERROR(__xludf.DUMMYFUNCTION("""COMPUTED_VALUE"""),"kane")</f>
        <v>kane</v>
      </c>
    </row>
    <row r="1798">
      <c r="B1798" s="6"/>
      <c r="D1798" s="6"/>
      <c r="G1798" s="6"/>
      <c r="H1798" s="6" t="str">
        <f>IFERROR(__xludf.DUMMYFUNCTION("""COMPUTED_VALUE"""),"partnership")</f>
        <v>partnership</v>
      </c>
      <c r="I1798" s="6"/>
      <c r="J1798" s="6" t="str">
        <f>IFERROR(__xludf.DUMMYFUNCTION("""COMPUTED_VALUE"""),"apocalypse")</f>
        <v>apocalypse</v>
      </c>
      <c r="M1798" s="6"/>
      <c r="P1798" s="6"/>
      <c r="Q1798" s="6" t="str">
        <f>IFERROR(__xludf.DUMMYFUNCTION("""COMPUTED_VALUE"""),"flesh")</f>
        <v>flesh</v>
      </c>
      <c r="S1798" s="6" t="str">
        <f>IFERROR(__xludf.DUMMYFUNCTION("""COMPUTED_VALUE"""),"rough")</f>
        <v>rough</v>
      </c>
    </row>
    <row r="1799">
      <c r="B1799" s="6"/>
      <c r="D1799" s="6"/>
      <c r="G1799" s="6"/>
      <c r="H1799" s="6" t="str">
        <f>IFERROR(__xludf.DUMMYFUNCTION("""COMPUTED_VALUE"""),"mined")</f>
        <v>mined</v>
      </c>
      <c r="I1799" s="6"/>
      <c r="J1799" s="6" t="str">
        <f>IFERROR(__xludf.DUMMYFUNCTION("""COMPUTED_VALUE"""),"juice")</f>
        <v>juice</v>
      </c>
      <c r="M1799" s="6"/>
      <c r="P1799" s="6"/>
      <c r="Q1799" s="6" t="str">
        <f>IFERROR(__xludf.DUMMYFUNCTION("""COMPUTED_VALUE"""),"capturing")</f>
        <v>capturing</v>
      </c>
      <c r="S1799" s="6" t="str">
        <f>IFERROR(__xludf.DUMMYFUNCTION("""COMPUTED_VALUE"""),"china")</f>
        <v>china</v>
      </c>
    </row>
    <row r="1800">
      <c r="B1800" s="6"/>
      <c r="D1800" s="6"/>
      <c r="G1800" s="6"/>
      <c r="H1800" s="6" t="str">
        <f>IFERROR(__xludf.DUMMYFUNCTION("""COMPUTED_VALUE"""),"glass")</f>
        <v>glass</v>
      </c>
      <c r="I1800" s="6"/>
      <c r="J1800" s="6" t="str">
        <f>IFERROR(__xludf.DUMMYFUNCTION("""COMPUTED_VALUE"""),"deeds")</f>
        <v>deeds</v>
      </c>
      <c r="M1800" s="6"/>
      <c r="P1800" s="6"/>
      <c r="Q1800" s="6" t="str">
        <f>IFERROR(__xludf.DUMMYFUNCTION("""COMPUTED_VALUE"""),"fantasies")</f>
        <v>fantasies</v>
      </c>
      <c r="S1800" s="6" t="str">
        <f>IFERROR(__xludf.DUMMYFUNCTION("""COMPUTED_VALUE"""),"aim")</f>
        <v>aim</v>
      </c>
    </row>
    <row r="1801">
      <c r="B1801" s="6"/>
      <c r="D1801" s="6"/>
      <c r="G1801" s="6"/>
      <c r="H1801" s="6" t="str">
        <f>IFERROR(__xludf.DUMMYFUNCTION("""COMPUTED_VALUE"""),"tabloid")</f>
        <v>tabloid</v>
      </c>
      <c r="I1801" s="6"/>
      <c r="J1801" s="6" t="str">
        <f>IFERROR(__xludf.DUMMYFUNCTION("""COMPUTED_VALUE"""),"principals")</f>
        <v>principals</v>
      </c>
      <c r="M1801" s="6"/>
      <c r="P1801" s="6"/>
      <c r="Q1801" s="6" t="str">
        <f>IFERROR(__xludf.DUMMYFUNCTION("""COMPUTED_VALUE"""),"illness")</f>
        <v>illness</v>
      </c>
      <c r="S1801" s="6" t="str">
        <f>IFERROR(__xludf.DUMMYFUNCTION("""COMPUTED_VALUE"""),"ram")</f>
        <v>ram</v>
      </c>
    </row>
    <row r="1802">
      <c r="B1802" s="6"/>
      <c r="D1802" s="6"/>
      <c r="G1802" s="6"/>
      <c r="H1802" s="6" t="str">
        <f>IFERROR(__xludf.DUMMYFUNCTION("""COMPUTED_VALUE"""),"mystical")</f>
        <v>mystical</v>
      </c>
      <c r="I1802" s="6"/>
      <c r="J1802" s="6" t="str">
        <f>IFERROR(__xludf.DUMMYFUNCTION("""COMPUTED_VALUE"""),"blues")</f>
        <v>blues</v>
      </c>
      <c r="M1802" s="6"/>
      <c r="P1802" s="6"/>
      <c r="Q1802" s="6" t="str">
        <f>IFERROR(__xludf.DUMMYFUNCTION("""COMPUTED_VALUE"""),"metaphysical")</f>
        <v>metaphysical</v>
      </c>
      <c r="S1802" s="6" t="str">
        <f>IFERROR(__xludf.DUMMYFUNCTION("""COMPUTED_VALUE"""),"australia")</f>
        <v>australia</v>
      </c>
    </row>
    <row r="1803">
      <c r="B1803" s="6"/>
      <c r="D1803" s="6"/>
      <c r="G1803" s="6"/>
      <c r="H1803" s="6" t="str">
        <f>IFERROR(__xludf.DUMMYFUNCTION("""COMPUTED_VALUE"""),"darkest")</f>
        <v>darkest</v>
      </c>
      <c r="I1803" s="6"/>
      <c r="J1803" s="6" t="str">
        <f>IFERROR(__xludf.DUMMYFUNCTION("""COMPUTED_VALUE"""),"valiant")</f>
        <v>valiant</v>
      </c>
      <c r="M1803" s="6"/>
      <c r="P1803" s="6"/>
      <c r="Q1803" s="6" t="str">
        <f>IFERROR(__xludf.DUMMYFUNCTION("""COMPUTED_VALUE"""),"echoes")</f>
        <v>echoes</v>
      </c>
    </row>
    <row r="1804">
      <c r="B1804" s="6"/>
      <c r="D1804" s="6"/>
      <c r="G1804" s="6"/>
      <c r="H1804" s="6" t="str">
        <f>IFERROR(__xludf.DUMMYFUNCTION("""COMPUTED_VALUE"""),"derive")</f>
        <v>derive</v>
      </c>
      <c r="I1804" s="6"/>
      <c r="J1804" s="6" t="str">
        <f>IFERROR(__xludf.DUMMYFUNCTION("""COMPUTED_VALUE"""),"springer")</f>
        <v>springer</v>
      </c>
      <c r="M1804" s="6"/>
      <c r="P1804" s="6"/>
      <c r="Q1804" s="6" t="str">
        <f>IFERROR(__xludf.DUMMYFUNCTION("""COMPUTED_VALUE"""),"canadians")</f>
        <v>canadians</v>
      </c>
    </row>
    <row r="1805">
      <c r="B1805" s="6"/>
      <c r="D1805" s="6"/>
      <c r="G1805" s="6"/>
      <c r="H1805" s="6" t="str">
        <f>IFERROR(__xludf.DUMMYFUNCTION("""COMPUTED_VALUE"""),"saga")</f>
        <v>saga</v>
      </c>
      <c r="I1805" s="6"/>
      <c r="J1805" s="6" t="str">
        <f>IFERROR(__xludf.DUMMYFUNCTION("""COMPUTED_VALUE"""),"refers")</f>
        <v>refers</v>
      </c>
      <c r="M1805" s="6"/>
      <c r="P1805" s="6"/>
      <c r="Q1805" s="6" t="str">
        <f>IFERROR(__xludf.DUMMYFUNCTION("""COMPUTED_VALUE"""),"controversy")</f>
        <v>controversy</v>
      </c>
    </row>
    <row r="1806">
      <c r="B1806" s="6"/>
      <c r="D1806" s="6"/>
      <c r="G1806" s="6"/>
      <c r="H1806" s="6" t="str">
        <f>IFERROR(__xludf.DUMMYFUNCTION("""COMPUTED_VALUE"""),"tinged")</f>
        <v>tinged</v>
      </c>
      <c r="I1806" s="6"/>
      <c r="J1806" s="6" t="str">
        <f>IFERROR(__xludf.DUMMYFUNCTION("""COMPUTED_VALUE"""),"hitler")</f>
        <v>hitler</v>
      </c>
      <c r="M1806" s="6"/>
      <c r="P1806" s="6"/>
      <c r="Q1806" s="6" t="str">
        <f>IFERROR(__xludf.DUMMYFUNCTION("""COMPUTED_VALUE"""),"rally")</f>
        <v>rally</v>
      </c>
    </row>
    <row r="1807">
      <c r="B1807" s="6"/>
      <c r="D1807" s="6"/>
      <c r="G1807" s="6"/>
      <c r="H1807" s="6" t="str">
        <f>IFERROR(__xludf.DUMMYFUNCTION("""COMPUTED_VALUE"""),"arrest")</f>
        <v>arrest</v>
      </c>
      <c r="I1807" s="6"/>
      <c r="J1807" s="6" t="str">
        <f>IFERROR(__xludf.DUMMYFUNCTION("""COMPUTED_VALUE"""),"alexandre")</f>
        <v>alexandre</v>
      </c>
      <c r="M1807" s="6"/>
      <c r="P1807" s="6"/>
      <c r="Q1807" s="6" t="str">
        <f>IFERROR(__xludf.DUMMYFUNCTION("""COMPUTED_VALUE"""),"psychotic")</f>
        <v>psychotic</v>
      </c>
    </row>
    <row r="1808">
      <c r="B1808" s="6"/>
      <c r="D1808" s="6"/>
      <c r="G1808" s="6"/>
      <c r="H1808" s="6" t="str">
        <f>IFERROR(__xludf.DUMMYFUNCTION("""COMPUTED_VALUE"""),"distances")</f>
        <v>distances</v>
      </c>
      <c r="I1808" s="6"/>
      <c r="J1808" s="6" t="str">
        <f>IFERROR(__xludf.DUMMYFUNCTION("""COMPUTED_VALUE"""),"writings")</f>
        <v>writings</v>
      </c>
      <c r="M1808" s="6"/>
      <c r="P1808" s="6"/>
      <c r="Q1808" s="6" t="str">
        <f>IFERROR(__xludf.DUMMYFUNCTION("""COMPUTED_VALUE"""),"cabins")</f>
        <v>cabins</v>
      </c>
    </row>
    <row r="1809">
      <c r="B1809" s="6"/>
      <c r="D1809" s="6"/>
      <c r="G1809" s="6"/>
      <c r="H1809" s="6" t="str">
        <f>IFERROR(__xludf.DUMMYFUNCTION("""COMPUTED_VALUE"""),"appeals")</f>
        <v>appeals</v>
      </c>
      <c r="I1809" s="6"/>
      <c r="J1809" s="6" t="str">
        <f>IFERROR(__xludf.DUMMYFUNCTION("""COMPUTED_VALUE"""),"jagger")</f>
        <v>jagger</v>
      </c>
      <c r="M1809" s="6"/>
      <c r="P1809" s="6"/>
      <c r="Q1809" s="6" t="str">
        <f>IFERROR(__xludf.DUMMYFUNCTION("""COMPUTED_VALUE"""),"astronauts")</f>
        <v>astronauts</v>
      </c>
    </row>
    <row r="1810">
      <c r="B1810" s="6"/>
      <c r="D1810" s="6"/>
      <c r="G1810" s="6"/>
      <c r="H1810" s="6" t="str">
        <f>IFERROR(__xludf.DUMMYFUNCTION("""COMPUTED_VALUE"""),"manipulating")</f>
        <v>manipulating</v>
      </c>
      <c r="I1810" s="6"/>
      <c r="J1810" s="6" t="str">
        <f>IFERROR(__xludf.DUMMYFUNCTION("""COMPUTED_VALUE"""),"afterlife")</f>
        <v>afterlife</v>
      </c>
      <c r="M1810" s="6"/>
      <c r="P1810" s="6"/>
      <c r="Q1810" s="6" t="str">
        <f>IFERROR(__xludf.DUMMYFUNCTION("""COMPUTED_VALUE"""),"dimensions")</f>
        <v>dimensions</v>
      </c>
    </row>
    <row r="1811">
      <c r="B1811" s="6"/>
      <c r="D1811" s="6"/>
      <c r="G1811" s="6"/>
      <c r="H1811" s="6" t="str">
        <f>IFERROR(__xludf.DUMMYFUNCTION("""COMPUTED_VALUE"""),"hypothesis")</f>
        <v>hypothesis</v>
      </c>
      <c r="I1811" s="6"/>
      <c r="J1811" s="6" t="str">
        <f>IFERROR(__xludf.DUMMYFUNCTION("""COMPUTED_VALUE"""),"thirteen")</f>
        <v>thirteen</v>
      </c>
      <c r="M1811" s="6"/>
      <c r="P1811" s="6"/>
      <c r="Q1811" s="6" t="str">
        <f>IFERROR(__xludf.DUMMYFUNCTION("""COMPUTED_VALUE"""),"devastation")</f>
        <v>devastation</v>
      </c>
    </row>
    <row r="1812">
      <c r="B1812" s="6"/>
      <c r="D1812" s="6"/>
      <c r="G1812" s="6"/>
      <c r="H1812" s="6" t="str">
        <f>IFERROR(__xludf.DUMMYFUNCTION("""COMPUTED_VALUE"""),"elemental")</f>
        <v>elemental</v>
      </c>
      <c r="I1812" s="6"/>
      <c r="J1812" s="6" t="str">
        <f>IFERROR(__xludf.DUMMYFUNCTION("""COMPUTED_VALUE"""),"documenting")</f>
        <v>documenting</v>
      </c>
      <c r="M1812" s="6"/>
      <c r="P1812" s="6"/>
      <c r="Q1812" s="6" t="str">
        <f>IFERROR(__xludf.DUMMYFUNCTION("""COMPUTED_VALUE"""),"portraying")</f>
        <v>portraying</v>
      </c>
    </row>
    <row r="1813">
      <c r="B1813" s="6"/>
      <c r="D1813" s="6"/>
      <c r="G1813" s="6"/>
      <c r="H1813" s="6" t="str">
        <f>IFERROR(__xludf.DUMMYFUNCTION("""COMPUTED_VALUE"""),"arc")</f>
        <v>arc</v>
      </c>
      <c r="I1813" s="6"/>
      <c r="J1813" s="6" t="str">
        <f>IFERROR(__xludf.DUMMYFUNCTION("""COMPUTED_VALUE"""),"fragile")</f>
        <v>fragile</v>
      </c>
      <c r="M1813" s="6"/>
      <c r="P1813" s="6"/>
      <c r="Q1813" s="6" t="str">
        <f>IFERROR(__xludf.DUMMYFUNCTION("""COMPUTED_VALUE"""),"classification")</f>
        <v>classification</v>
      </c>
    </row>
    <row r="1814">
      <c r="B1814" s="6"/>
      <c r="D1814" s="6"/>
      <c r="G1814" s="6"/>
      <c r="H1814" s="6" t="str">
        <f>IFERROR(__xludf.DUMMYFUNCTION("""COMPUTED_VALUE"""),"needy")</f>
        <v>needy</v>
      </c>
      <c r="I1814" s="6"/>
      <c r="J1814" s="6" t="str">
        <f>IFERROR(__xludf.DUMMYFUNCTION("""COMPUTED_VALUE"""),"traces")</f>
        <v>traces</v>
      </c>
      <c r="M1814" s="6"/>
      <c r="P1814" s="6"/>
      <c r="Q1814" s="6" t="str">
        <f>IFERROR(__xludf.DUMMYFUNCTION("""COMPUTED_VALUE"""),"revenge")</f>
        <v>revenge</v>
      </c>
    </row>
    <row r="1815">
      <c r="B1815" s="6"/>
      <c r="D1815" s="6"/>
      <c r="G1815" s="6"/>
      <c r="H1815" s="6" t="str">
        <f>IFERROR(__xludf.DUMMYFUNCTION("""COMPUTED_VALUE"""),"prostitute")</f>
        <v>prostitute</v>
      </c>
      <c r="I1815" s="6"/>
      <c r="J1815" s="6" t="str">
        <f>IFERROR(__xludf.DUMMYFUNCTION("""COMPUTED_VALUE"""),"pedestal")</f>
        <v>pedestal</v>
      </c>
      <c r="M1815" s="6"/>
      <c r="P1815" s="6"/>
      <c r="Q1815" s="6" t="str">
        <f>IFERROR(__xludf.DUMMYFUNCTION("""COMPUTED_VALUE"""),"cheek")</f>
        <v>cheek</v>
      </c>
    </row>
    <row r="1816">
      <c r="B1816" s="6"/>
      <c r="D1816" s="6"/>
      <c r="G1816" s="6"/>
      <c r="H1816" s="6" t="str">
        <f>IFERROR(__xludf.DUMMYFUNCTION("""COMPUTED_VALUE"""),"radioactive")</f>
        <v>radioactive</v>
      </c>
      <c r="I1816" s="6"/>
      <c r="J1816" s="6" t="str">
        <f>IFERROR(__xludf.DUMMYFUNCTION("""COMPUTED_VALUE"""),"paralyzed")</f>
        <v>paralyzed</v>
      </c>
      <c r="M1816" s="6"/>
      <c r="P1816" s="6"/>
      <c r="Q1816" s="6" t="str">
        <f>IFERROR(__xludf.DUMMYFUNCTION("""COMPUTED_VALUE"""),"ham")</f>
        <v>ham</v>
      </c>
    </row>
    <row r="1817">
      <c r="B1817" s="6"/>
      <c r="D1817" s="6"/>
      <c r="G1817" s="6"/>
      <c r="H1817" s="6" t="str">
        <f>IFERROR(__xludf.DUMMYFUNCTION("""COMPUTED_VALUE"""),"destructive")</f>
        <v>destructive</v>
      </c>
      <c r="I1817" s="6"/>
      <c r="J1817" s="6" t="str">
        <f>IFERROR(__xludf.DUMMYFUNCTION("""COMPUTED_VALUE"""),"werner")</f>
        <v>werner</v>
      </c>
      <c r="M1817" s="6"/>
      <c r="P1817" s="6"/>
      <c r="Q1817" s="6" t="str">
        <f>IFERROR(__xludf.DUMMYFUNCTION("""COMPUTED_VALUE"""),"sundance")</f>
        <v>sundance</v>
      </c>
    </row>
    <row r="1818">
      <c r="B1818" s="6"/>
      <c r="D1818" s="6"/>
      <c r="G1818" s="6"/>
      <c r="H1818" s="6" t="str">
        <f>IFERROR(__xludf.DUMMYFUNCTION("""COMPUTED_VALUE"""),"demonic")</f>
        <v>demonic</v>
      </c>
      <c r="I1818" s="6"/>
      <c r="J1818" s="6" t="str">
        <f>IFERROR(__xludf.DUMMYFUNCTION("""COMPUTED_VALUE"""),"brutality")</f>
        <v>brutality</v>
      </c>
      <c r="M1818" s="6"/>
      <c r="P1818" s="6"/>
      <c r="Q1818" s="6" t="str">
        <f>IFERROR(__xludf.DUMMYFUNCTION("""COMPUTED_VALUE"""),"phillip")</f>
        <v>phillip</v>
      </c>
    </row>
    <row r="1819">
      <c r="B1819" s="6"/>
      <c r="D1819" s="6"/>
      <c r="G1819" s="6"/>
      <c r="H1819" s="6" t="str">
        <f>IFERROR(__xludf.DUMMYFUNCTION("""COMPUTED_VALUE"""),"crane")</f>
        <v>crane</v>
      </c>
      <c r="I1819" s="6"/>
      <c r="J1819" s="6" t="str">
        <f>IFERROR(__xludf.DUMMYFUNCTION("""COMPUTED_VALUE"""),"impetus")</f>
        <v>impetus</v>
      </c>
      <c r="M1819" s="6"/>
      <c r="P1819" s="6"/>
      <c r="Q1819" s="6" t="str">
        <f>IFERROR(__xludf.DUMMYFUNCTION("""COMPUTED_VALUE"""),"references")</f>
        <v>references</v>
      </c>
    </row>
    <row r="1820">
      <c r="B1820" s="6"/>
      <c r="D1820" s="6"/>
      <c r="G1820" s="6"/>
      <c r="H1820" s="6" t="str">
        <f>IFERROR(__xludf.DUMMYFUNCTION("""COMPUTED_VALUE"""),"poking")</f>
        <v>poking</v>
      </c>
      <c r="I1820" s="6"/>
      <c r="J1820" s="6" t="str">
        <f>IFERROR(__xludf.DUMMYFUNCTION("""COMPUTED_VALUE"""),"castro")</f>
        <v>castro</v>
      </c>
      <c r="M1820" s="6"/>
      <c r="P1820" s="6"/>
      <c r="Q1820" s="6" t="str">
        <f>IFERROR(__xludf.DUMMYFUNCTION("""COMPUTED_VALUE"""),"skyscraper")</f>
        <v>skyscraper</v>
      </c>
    </row>
    <row r="1821">
      <c r="B1821" s="6"/>
      <c r="D1821" s="6"/>
      <c r="G1821" s="6"/>
      <c r="H1821" s="6" t="str">
        <f>IFERROR(__xludf.DUMMYFUNCTION("""COMPUTED_VALUE"""),"holmes")</f>
        <v>holmes</v>
      </c>
      <c r="I1821" s="6"/>
      <c r="J1821" s="6" t="str">
        <f>IFERROR(__xludf.DUMMYFUNCTION("""COMPUTED_VALUE"""),"critique")</f>
        <v>critique</v>
      </c>
      <c r="M1821" s="6"/>
      <c r="P1821" s="6"/>
      <c r="Q1821" s="6" t="str">
        <f>IFERROR(__xludf.DUMMYFUNCTION("""COMPUTED_VALUE"""),"clouds")</f>
        <v>clouds</v>
      </c>
    </row>
    <row r="1822">
      <c r="B1822" s="6"/>
      <c r="D1822" s="6"/>
      <c r="G1822" s="6"/>
      <c r="H1822" s="6" t="str">
        <f>IFERROR(__xludf.DUMMYFUNCTION("""COMPUTED_VALUE"""),"convictions")</f>
        <v>convictions</v>
      </c>
      <c r="I1822" s="6"/>
      <c r="J1822" s="6" t="str">
        <f>IFERROR(__xludf.DUMMYFUNCTION("""COMPUTED_VALUE"""),"prologue")</f>
        <v>prologue</v>
      </c>
      <c r="M1822" s="6"/>
      <c r="P1822" s="6"/>
      <c r="Q1822" s="6" t="str">
        <f>IFERROR(__xludf.DUMMYFUNCTION("""COMPUTED_VALUE"""),"narration")</f>
        <v>narration</v>
      </c>
    </row>
    <row r="1823">
      <c r="B1823" s="6"/>
      <c r="D1823" s="6"/>
      <c r="G1823" s="6"/>
      <c r="H1823" s="6" t="str">
        <f>IFERROR(__xludf.DUMMYFUNCTION("""COMPUTED_VALUE"""),"populace")</f>
        <v>populace</v>
      </c>
      <c r="I1823" s="6"/>
      <c r="J1823" s="6" t="str">
        <f>IFERROR(__xludf.DUMMYFUNCTION("""COMPUTED_VALUE"""),"antonia")</f>
        <v>antonia</v>
      </c>
      <c r="M1823" s="6"/>
      <c r="P1823" s="6"/>
      <c r="Q1823" s="6" t="str">
        <f>IFERROR(__xludf.DUMMYFUNCTION("""COMPUTED_VALUE"""),"prolonged")</f>
        <v>prolonged</v>
      </c>
    </row>
    <row r="1824">
      <c r="B1824" s="6"/>
      <c r="D1824" s="6"/>
      <c r="G1824" s="6"/>
      <c r="H1824" s="6" t="str">
        <f>IFERROR(__xludf.DUMMYFUNCTION("""COMPUTED_VALUE"""),"disastrous")</f>
        <v>disastrous</v>
      </c>
      <c r="I1824" s="6"/>
      <c r="J1824" s="6" t="str">
        <f>IFERROR(__xludf.DUMMYFUNCTION("""COMPUTED_VALUE"""),"enlightenment")</f>
        <v>enlightenment</v>
      </c>
      <c r="M1824" s="6"/>
      <c r="P1824" s="6"/>
      <c r="Q1824" s="6" t="str">
        <f>IFERROR(__xludf.DUMMYFUNCTION("""COMPUTED_VALUE"""),"composed")</f>
        <v>composed</v>
      </c>
    </row>
    <row r="1825">
      <c r="B1825" s="6"/>
      <c r="D1825" s="6"/>
      <c r="G1825" s="6"/>
      <c r="H1825" s="6" t="str">
        <f>IFERROR(__xludf.DUMMYFUNCTION("""COMPUTED_VALUE"""),"behave")</f>
        <v>behave</v>
      </c>
      <c r="I1825" s="6"/>
      <c r="J1825" s="6" t="str">
        <f>IFERROR(__xludf.DUMMYFUNCTION("""COMPUTED_VALUE"""),"thoughtfully")</f>
        <v>thoughtfully</v>
      </c>
      <c r="M1825" s="6"/>
      <c r="P1825" s="6"/>
      <c r="Q1825" s="6" t="str">
        <f>IFERROR(__xludf.DUMMYFUNCTION("""COMPUTED_VALUE"""),"rejected")</f>
        <v>rejected</v>
      </c>
    </row>
    <row r="1826">
      <c r="B1826" s="6"/>
      <c r="D1826" s="6"/>
      <c r="G1826" s="6"/>
      <c r="H1826" s="6" t="str">
        <f>IFERROR(__xludf.DUMMYFUNCTION("""COMPUTED_VALUE"""),"journalist")</f>
        <v>journalist</v>
      </c>
      <c r="I1826" s="6"/>
      <c r="J1826" s="6" t="str">
        <f>IFERROR(__xludf.DUMMYFUNCTION("""COMPUTED_VALUE"""),"critically")</f>
        <v>critically</v>
      </c>
      <c r="M1826" s="6"/>
      <c r="P1826" s="6"/>
      <c r="Q1826" s="6" t="str">
        <f>IFERROR(__xludf.DUMMYFUNCTION("""COMPUTED_VALUE"""),"richly")</f>
        <v>richly</v>
      </c>
    </row>
    <row r="1827">
      <c r="B1827" s="6"/>
      <c r="D1827" s="6"/>
      <c r="G1827" s="6"/>
      <c r="H1827" s="6" t="str">
        <f>IFERROR(__xludf.DUMMYFUNCTION("""COMPUTED_VALUE"""),"exasperated")</f>
        <v>exasperated</v>
      </c>
      <c r="I1827" s="6"/>
      <c r="J1827" s="6" t="str">
        <f>IFERROR(__xludf.DUMMYFUNCTION("""COMPUTED_VALUE"""),"leigh")</f>
        <v>leigh</v>
      </c>
      <c r="M1827" s="6"/>
      <c r="P1827" s="6"/>
      <c r="Q1827" s="6" t="str">
        <f>IFERROR(__xludf.DUMMYFUNCTION("""COMPUTED_VALUE"""),"perform")</f>
        <v>perform</v>
      </c>
    </row>
    <row r="1828">
      <c r="B1828" s="6"/>
      <c r="D1828" s="6"/>
      <c r="G1828" s="6"/>
      <c r="H1828" s="6" t="str">
        <f>IFERROR(__xludf.DUMMYFUNCTION("""COMPUTED_VALUE"""),"venice")</f>
        <v>venice</v>
      </c>
      <c r="I1828" s="6"/>
      <c r="J1828" s="6" t="str">
        <f>IFERROR(__xludf.DUMMYFUNCTION("""COMPUTED_VALUE"""),"ram")</f>
        <v>ram</v>
      </c>
      <c r="M1828" s="6"/>
      <c r="P1828" s="6"/>
      <c r="Q1828" s="6" t="str">
        <f>IFERROR(__xludf.DUMMYFUNCTION("""COMPUTED_VALUE"""),"flatly")</f>
        <v>flatly</v>
      </c>
    </row>
    <row r="1829">
      <c r="B1829" s="6"/>
      <c r="D1829" s="6"/>
      <c r="G1829" s="6"/>
      <c r="H1829" s="6" t="str">
        <f>IFERROR(__xludf.DUMMYFUNCTION("""COMPUTED_VALUE"""),"mika")</f>
        <v>mika</v>
      </c>
      <c r="I1829" s="6"/>
      <c r="J1829" s="6" t="str">
        <f>IFERROR(__xludf.DUMMYFUNCTION("""COMPUTED_VALUE"""),"ransom")</f>
        <v>ransom</v>
      </c>
      <c r="M1829" s="6"/>
      <c r="P1829" s="6"/>
      <c r="Q1829" s="6" t="str">
        <f>IFERROR(__xludf.DUMMYFUNCTION("""COMPUTED_VALUE"""),"kendall")</f>
        <v>kendall</v>
      </c>
    </row>
    <row r="1830">
      <c r="B1830" s="6"/>
      <c r="D1830" s="6"/>
      <c r="G1830" s="6"/>
      <c r="H1830" s="6" t="str">
        <f>IFERROR(__xludf.DUMMYFUNCTION("""COMPUTED_VALUE"""),"fallon")</f>
        <v>fallon</v>
      </c>
      <c r="I1830" s="6"/>
      <c r="J1830" s="6" t="str">
        <f>IFERROR(__xludf.DUMMYFUNCTION("""COMPUTED_VALUE"""),"lucia")</f>
        <v>lucia</v>
      </c>
      <c r="M1830" s="6"/>
      <c r="P1830" s="6"/>
      <c r="Q1830" s="6" t="str">
        <f>IFERROR(__xludf.DUMMYFUNCTION("""COMPUTED_VALUE"""),"principles")</f>
        <v>principles</v>
      </c>
    </row>
    <row r="1831">
      <c r="B1831" s="6"/>
      <c r="D1831" s="6"/>
      <c r="G1831" s="6"/>
      <c r="H1831" s="6" t="str">
        <f>IFERROR(__xludf.DUMMYFUNCTION("""COMPUTED_VALUE"""),"forgiveness")</f>
        <v>forgiveness</v>
      </c>
      <c r="I1831" s="6"/>
      <c r="J1831" s="6" t="str">
        <f>IFERROR(__xludf.DUMMYFUNCTION("""COMPUTED_VALUE"""),"heartbreak")</f>
        <v>heartbreak</v>
      </c>
      <c r="M1831" s="6"/>
      <c r="P1831" s="6"/>
      <c r="Q1831" s="6" t="str">
        <f>IFERROR(__xludf.DUMMYFUNCTION("""COMPUTED_VALUE"""),"smackdown")</f>
        <v>smackdown</v>
      </c>
    </row>
    <row r="1832">
      <c r="B1832" s="6"/>
      <c r="D1832" s="6"/>
      <c r="G1832" s="6"/>
      <c r="H1832" s="6" t="str">
        <f>IFERROR(__xludf.DUMMYFUNCTION("""COMPUTED_VALUE"""),"prose")</f>
        <v>prose</v>
      </c>
      <c r="I1832" s="6"/>
      <c r="J1832" s="6" t="str">
        <f>IFERROR(__xludf.DUMMYFUNCTION("""COMPUTED_VALUE"""),"liner")</f>
        <v>liner</v>
      </c>
      <c r="M1832" s="6"/>
      <c r="P1832" s="6"/>
      <c r="Q1832" s="6" t="str">
        <f>IFERROR(__xludf.DUMMYFUNCTION("""COMPUTED_VALUE"""),"atrocities")</f>
        <v>atrocities</v>
      </c>
    </row>
    <row r="1833">
      <c r="B1833" s="6"/>
      <c r="D1833" s="6"/>
      <c r="G1833" s="6"/>
      <c r="H1833" s="6" t="str">
        <f>IFERROR(__xludf.DUMMYFUNCTION("""COMPUTED_VALUE"""),"cinematographer")</f>
        <v>cinematographer</v>
      </c>
      <c r="I1833" s="6"/>
      <c r="J1833" s="6" t="str">
        <f>IFERROR(__xludf.DUMMYFUNCTION("""COMPUTED_VALUE"""),"australia")</f>
        <v>australia</v>
      </c>
      <c r="M1833" s="6"/>
      <c r="P1833" s="6"/>
      <c r="Q1833" s="6" t="str">
        <f>IFERROR(__xludf.DUMMYFUNCTION("""COMPUTED_VALUE"""),"mythology")</f>
        <v>mythology</v>
      </c>
    </row>
    <row r="1834">
      <c r="B1834" s="6"/>
      <c r="D1834" s="6"/>
      <c r="G1834" s="6"/>
      <c r="H1834" s="6" t="str">
        <f>IFERROR(__xludf.DUMMYFUNCTION("""COMPUTED_VALUE"""),"stevens")</f>
        <v>stevens</v>
      </c>
      <c r="I1834" s="6"/>
      <c r="J1834" s="6" t="str">
        <f>IFERROR(__xludf.DUMMYFUNCTION("""COMPUTED_VALUE"""),"stitch")</f>
        <v>stitch</v>
      </c>
      <c r="M1834" s="6"/>
      <c r="P1834" s="6"/>
      <c r="Q1834" s="6" t="str">
        <f>IFERROR(__xludf.DUMMYFUNCTION("""COMPUTED_VALUE"""),"benefited")</f>
        <v>benefited</v>
      </c>
    </row>
    <row r="1835">
      <c r="B1835" s="6"/>
      <c r="D1835" s="6"/>
      <c r="G1835" s="6"/>
      <c r="H1835" s="6" t="str">
        <f>IFERROR(__xludf.DUMMYFUNCTION("""COMPUTED_VALUE"""),"mtv")</f>
        <v>mtv</v>
      </c>
      <c r="I1835" s="6"/>
      <c r="M1835" s="6"/>
      <c r="P1835" s="6"/>
      <c r="Q1835" s="6" t="str">
        <f>IFERROR(__xludf.DUMMYFUNCTION("""COMPUTED_VALUE"""),"directs")</f>
        <v>directs</v>
      </c>
    </row>
    <row r="1836">
      <c r="B1836" s="6"/>
      <c r="D1836" s="6"/>
      <c r="G1836" s="6"/>
      <c r="H1836" s="6" t="str">
        <f>IFERROR(__xludf.DUMMYFUNCTION("""COMPUTED_VALUE"""),"hysteria")</f>
        <v>hysteria</v>
      </c>
      <c r="I1836" s="6"/>
      <c r="M1836" s="6"/>
      <c r="P1836" s="6"/>
      <c r="Q1836" s="6" t="str">
        <f>IFERROR(__xludf.DUMMYFUNCTION("""COMPUTED_VALUE"""),"snap")</f>
        <v>snap</v>
      </c>
    </row>
    <row r="1837">
      <c r="B1837" s="6"/>
      <c r="D1837" s="6"/>
      <c r="G1837" s="6"/>
      <c r="H1837" s="6" t="str">
        <f>IFERROR(__xludf.DUMMYFUNCTION("""COMPUTED_VALUE"""),"resentment")</f>
        <v>resentment</v>
      </c>
      <c r="I1837" s="6"/>
      <c r="M1837" s="6"/>
      <c r="P1837" s="6"/>
      <c r="Q1837" s="6" t="str">
        <f>IFERROR(__xludf.DUMMYFUNCTION("""COMPUTED_VALUE"""),"extravagant")</f>
        <v>extravagant</v>
      </c>
    </row>
    <row r="1838">
      <c r="B1838" s="6"/>
      <c r="D1838" s="6"/>
      <c r="G1838" s="6"/>
      <c r="H1838" s="6" t="str">
        <f>IFERROR(__xludf.DUMMYFUNCTION("""COMPUTED_VALUE"""),"cadence")</f>
        <v>cadence</v>
      </c>
      <c r="I1838" s="6"/>
      <c r="M1838" s="6"/>
      <c r="P1838" s="6"/>
      <c r="Q1838" s="6">
        <f>IFERROR(__xludf.DUMMYFUNCTION("""COMPUTED_VALUE"""),1938.0)</f>
        <v>1938</v>
      </c>
    </row>
    <row r="1839">
      <c r="B1839" s="6"/>
      <c r="D1839" s="6"/>
      <c r="G1839" s="6"/>
      <c r="H1839" s="6" t="str">
        <f>IFERROR(__xludf.DUMMYFUNCTION("""COMPUTED_VALUE"""),"hypnotic")</f>
        <v>hypnotic</v>
      </c>
      <c r="I1839" s="6"/>
      <c r="M1839" s="6"/>
      <c r="P1839" s="6"/>
      <c r="Q1839" s="6" t="str">
        <f>IFERROR(__xludf.DUMMYFUNCTION("""COMPUTED_VALUE"""),"holden")</f>
        <v>holden</v>
      </c>
    </row>
    <row r="1840">
      <c r="B1840" s="6"/>
      <c r="D1840" s="6"/>
      <c r="G1840" s="6"/>
      <c r="H1840" s="6" t="str">
        <f>IFERROR(__xludf.DUMMYFUNCTION("""COMPUTED_VALUE"""),"welsh")</f>
        <v>welsh</v>
      </c>
      <c r="I1840" s="6"/>
      <c r="M1840" s="6"/>
      <c r="P1840" s="6"/>
      <c r="Q1840" s="6" t="str">
        <f>IFERROR(__xludf.DUMMYFUNCTION("""COMPUTED_VALUE"""),"wince")</f>
        <v>wince</v>
      </c>
    </row>
    <row r="1841">
      <c r="B1841" s="6"/>
      <c r="D1841" s="6"/>
      <c r="G1841" s="6"/>
      <c r="H1841" s="6" t="str">
        <f>IFERROR(__xludf.DUMMYFUNCTION("""COMPUTED_VALUE"""),"rounded")</f>
        <v>rounded</v>
      </c>
      <c r="I1841" s="6"/>
      <c r="M1841" s="6"/>
      <c r="P1841" s="6"/>
      <c r="Q1841" s="6" t="str">
        <f>IFERROR(__xludf.DUMMYFUNCTION("""COMPUTED_VALUE"""),"leaping")</f>
        <v>leaping</v>
      </c>
    </row>
    <row r="1842">
      <c r="B1842" s="6"/>
      <c r="D1842" s="6"/>
      <c r="G1842" s="6"/>
      <c r="H1842" s="6" t="str">
        <f>IFERROR(__xludf.DUMMYFUNCTION("""COMPUTED_VALUE"""),"goose")</f>
        <v>goose</v>
      </c>
      <c r="I1842" s="6"/>
      <c r="M1842" s="6"/>
      <c r="P1842" s="6"/>
      <c r="Q1842" s="6" t="str">
        <f>IFERROR(__xludf.DUMMYFUNCTION("""COMPUTED_VALUE"""),"oppressive")</f>
        <v>oppressive</v>
      </c>
    </row>
    <row r="1843">
      <c r="B1843" s="6"/>
      <c r="D1843" s="6"/>
      <c r="G1843" s="6"/>
      <c r="H1843" s="6" t="str">
        <f>IFERROR(__xludf.DUMMYFUNCTION("""COMPUTED_VALUE"""),"stuart")</f>
        <v>stuart</v>
      </c>
      <c r="I1843" s="6"/>
      <c r="M1843" s="6"/>
      <c r="P1843" s="6"/>
      <c r="Q1843" s="6" t="str">
        <f>IFERROR(__xludf.DUMMYFUNCTION("""COMPUTED_VALUE"""),"nicolas")</f>
        <v>nicolas</v>
      </c>
    </row>
    <row r="1844">
      <c r="B1844" s="6"/>
      <c r="D1844" s="6"/>
      <c r="G1844" s="6"/>
      <c r="H1844" s="6" t="str">
        <f>IFERROR(__xludf.DUMMYFUNCTION("""COMPUTED_VALUE"""),"siegel")</f>
        <v>siegel</v>
      </c>
      <c r="I1844" s="6"/>
      <c r="M1844" s="6"/>
      <c r="P1844" s="6"/>
      <c r="Q1844" s="6" t="str">
        <f>IFERROR(__xludf.DUMMYFUNCTION("""COMPUTED_VALUE"""),"confronting")</f>
        <v>confronting</v>
      </c>
    </row>
    <row r="1845">
      <c r="B1845" s="6"/>
      <c r="D1845" s="6"/>
      <c r="G1845" s="6"/>
      <c r="H1845" s="6" t="str">
        <f>IFERROR(__xludf.DUMMYFUNCTION("""COMPUTED_VALUE"""),"parochial")</f>
        <v>parochial</v>
      </c>
      <c r="I1845" s="6"/>
      <c r="M1845" s="6"/>
      <c r="P1845" s="6"/>
      <c r="Q1845" s="6" t="str">
        <f>IFERROR(__xludf.DUMMYFUNCTION("""COMPUTED_VALUE"""),"paranoia")</f>
        <v>paranoia</v>
      </c>
    </row>
    <row r="1846">
      <c r="B1846" s="6"/>
      <c r="D1846" s="6"/>
      <c r="G1846" s="6"/>
      <c r="H1846" s="6" t="str">
        <f>IFERROR(__xludf.DUMMYFUNCTION("""COMPUTED_VALUE"""),"friendships")</f>
        <v>friendships</v>
      </c>
      <c r="I1846" s="6"/>
      <c r="M1846" s="6"/>
      <c r="P1846" s="6"/>
      <c r="Q1846" s="6" t="str">
        <f>IFERROR(__xludf.DUMMYFUNCTION("""COMPUTED_VALUE"""),"phenomenon")</f>
        <v>phenomenon</v>
      </c>
    </row>
    <row r="1847">
      <c r="B1847" s="6"/>
      <c r="D1847" s="6"/>
      <c r="G1847" s="6"/>
      <c r="H1847" s="6" t="str">
        <f>IFERROR(__xludf.DUMMYFUNCTION("""COMPUTED_VALUE"""),"philip")</f>
        <v>philip</v>
      </c>
      <c r="I1847" s="6"/>
      <c r="M1847" s="6"/>
      <c r="P1847" s="6"/>
      <c r="Q1847" s="6" t="str">
        <f>IFERROR(__xludf.DUMMYFUNCTION("""COMPUTED_VALUE"""),"viewpoint")</f>
        <v>viewpoint</v>
      </c>
    </row>
    <row r="1848">
      <c r="B1848" s="6"/>
      <c r="D1848" s="6"/>
      <c r="G1848" s="6"/>
      <c r="H1848" s="6" t="str">
        <f>IFERROR(__xludf.DUMMYFUNCTION("""COMPUTED_VALUE"""),"ensure")</f>
        <v>ensure</v>
      </c>
      <c r="I1848" s="6"/>
      <c r="M1848" s="6"/>
      <c r="P1848" s="6"/>
      <c r="Q1848" s="6" t="str">
        <f>IFERROR(__xludf.DUMMYFUNCTION("""COMPUTED_VALUE"""),"diary")</f>
        <v>diary</v>
      </c>
    </row>
    <row r="1849">
      <c r="B1849" s="6"/>
      <c r="D1849" s="6"/>
      <c r="G1849" s="6"/>
      <c r="H1849" s="6" t="str">
        <f>IFERROR(__xludf.DUMMYFUNCTION("""COMPUTED_VALUE"""),"fragmented")</f>
        <v>fragmented</v>
      </c>
      <c r="I1849" s="6"/>
      <c r="M1849" s="6"/>
      <c r="P1849" s="6"/>
      <c r="Q1849" s="6" t="str">
        <f>IFERROR(__xludf.DUMMYFUNCTION("""COMPUTED_VALUE"""),"fuels")</f>
        <v>fuels</v>
      </c>
    </row>
    <row r="1850">
      <c r="B1850" s="6"/>
      <c r="D1850" s="6"/>
      <c r="G1850" s="6"/>
      <c r="H1850" s="6" t="str">
        <f>IFERROR(__xludf.DUMMYFUNCTION("""COMPUTED_VALUE"""),"enhancing")</f>
        <v>enhancing</v>
      </c>
      <c r="I1850" s="6"/>
      <c r="M1850" s="6"/>
      <c r="P1850" s="6"/>
      <c r="Q1850" s="6" t="str">
        <f>IFERROR(__xludf.DUMMYFUNCTION("""COMPUTED_VALUE"""),"freighter")</f>
        <v>freighter</v>
      </c>
    </row>
    <row r="1851">
      <c r="B1851" s="6"/>
      <c r="D1851" s="6"/>
      <c r="G1851" s="6"/>
      <c r="H1851" s="6" t="str">
        <f>IFERROR(__xludf.DUMMYFUNCTION("""COMPUTED_VALUE"""),"feral")</f>
        <v>feral</v>
      </c>
      <c r="I1851" s="6"/>
      <c r="M1851" s="6"/>
      <c r="P1851" s="6"/>
      <c r="Q1851" s="6" t="str">
        <f>IFERROR(__xludf.DUMMYFUNCTION("""COMPUTED_VALUE"""),"backdrop")</f>
        <v>backdrop</v>
      </c>
    </row>
    <row r="1852">
      <c r="B1852" s="6"/>
      <c r="D1852" s="6"/>
      <c r="G1852" s="6"/>
      <c r="H1852" s="6" t="str">
        <f>IFERROR(__xludf.DUMMYFUNCTION("""COMPUTED_VALUE"""),"decommissioned")</f>
        <v>decommissioned</v>
      </c>
      <c r="I1852" s="6"/>
      <c r="M1852" s="6"/>
      <c r="P1852" s="6"/>
      <c r="Q1852" s="6" t="str">
        <f>IFERROR(__xludf.DUMMYFUNCTION("""COMPUTED_VALUE"""),"stretches")</f>
        <v>stretches</v>
      </c>
    </row>
    <row r="1853">
      <c r="B1853" s="6"/>
      <c r="D1853" s="6"/>
      <c r="G1853" s="6"/>
      <c r="H1853" s="6" t="str">
        <f>IFERROR(__xludf.DUMMYFUNCTION("""COMPUTED_VALUE"""),"forbidden")</f>
        <v>forbidden</v>
      </c>
      <c r="I1853" s="6"/>
      <c r="M1853" s="6"/>
      <c r="P1853" s="6"/>
      <c r="Q1853" s="6" t="str">
        <f>IFERROR(__xludf.DUMMYFUNCTION("""COMPUTED_VALUE"""),"expressing")</f>
        <v>expressing</v>
      </c>
    </row>
    <row r="1854">
      <c r="B1854" s="6"/>
      <c r="D1854" s="6"/>
      <c r="G1854" s="6"/>
      <c r="H1854" s="6" t="str">
        <f>IFERROR(__xludf.DUMMYFUNCTION("""COMPUTED_VALUE"""),"ordeal")</f>
        <v>ordeal</v>
      </c>
      <c r="I1854" s="6"/>
      <c r="M1854" s="6"/>
      <c r="P1854" s="6"/>
      <c r="Q1854" s="6" t="str">
        <f>IFERROR(__xludf.DUMMYFUNCTION("""COMPUTED_VALUE"""),"ecstasy")</f>
        <v>ecstasy</v>
      </c>
    </row>
    <row r="1855">
      <c r="B1855" s="6"/>
      <c r="D1855" s="6"/>
      <c r="G1855" s="6"/>
      <c r="H1855" s="6" t="str">
        <f>IFERROR(__xludf.DUMMYFUNCTION("""COMPUTED_VALUE"""),"humiliated")</f>
        <v>humiliated</v>
      </c>
      <c r="I1855" s="6"/>
      <c r="M1855" s="6"/>
      <c r="P1855" s="6"/>
      <c r="Q1855" s="6" t="str">
        <f>IFERROR(__xludf.DUMMYFUNCTION("""COMPUTED_VALUE"""),"key")</f>
        <v>key</v>
      </c>
    </row>
    <row r="1856">
      <c r="B1856" s="6"/>
      <c r="D1856" s="6"/>
      <c r="G1856" s="6"/>
      <c r="H1856" s="6">
        <f>IFERROR(__xludf.DUMMYFUNCTION("""COMPUTED_VALUE"""),451.0)</f>
        <v>451</v>
      </c>
      <c r="I1856" s="6"/>
      <c r="M1856" s="6"/>
      <c r="P1856" s="6"/>
      <c r="Q1856" s="6" t="str">
        <f>IFERROR(__xludf.DUMMYFUNCTION("""COMPUTED_VALUE"""),"wonders")</f>
        <v>wonders</v>
      </c>
    </row>
    <row r="1857">
      <c r="B1857" s="6"/>
      <c r="D1857" s="6"/>
      <c r="G1857" s="6"/>
      <c r="H1857" s="6" t="str">
        <f>IFERROR(__xludf.DUMMYFUNCTION("""COMPUTED_VALUE"""),"beaches")</f>
        <v>beaches</v>
      </c>
      <c r="I1857" s="6"/>
      <c r="M1857" s="6"/>
      <c r="P1857" s="6"/>
      <c r="Q1857" s="6" t="str">
        <f>IFERROR(__xludf.DUMMYFUNCTION("""COMPUTED_VALUE"""),"stalked")</f>
        <v>stalked</v>
      </c>
    </row>
    <row r="1858">
      <c r="B1858" s="6"/>
      <c r="D1858" s="6"/>
      <c r="G1858" s="6"/>
      <c r="H1858" s="6">
        <f>IFERROR(__xludf.DUMMYFUNCTION("""COMPUTED_VALUE"""),1957.0)</f>
        <v>1957</v>
      </c>
      <c r="I1858" s="6"/>
      <c r="M1858" s="6"/>
      <c r="P1858" s="6"/>
      <c r="Q1858" s="6" t="str">
        <f>IFERROR(__xludf.DUMMYFUNCTION("""COMPUTED_VALUE"""),"emphasizes")</f>
        <v>emphasizes</v>
      </c>
    </row>
    <row r="1859">
      <c r="B1859" s="6"/>
      <c r="D1859" s="6"/>
      <c r="G1859" s="6"/>
      <c r="H1859" s="6" t="str">
        <f>IFERROR(__xludf.DUMMYFUNCTION("""COMPUTED_VALUE"""),"sacrifices")</f>
        <v>sacrifices</v>
      </c>
      <c r="I1859" s="6"/>
      <c r="M1859" s="6"/>
      <c r="P1859" s="6"/>
      <c r="Q1859" s="6" t="str">
        <f>IFERROR(__xludf.DUMMYFUNCTION("""COMPUTED_VALUE"""),"murders")</f>
        <v>murders</v>
      </c>
    </row>
    <row r="1860">
      <c r="B1860" s="6"/>
      <c r="D1860" s="6"/>
      <c r="G1860" s="6"/>
      <c r="H1860" s="6" t="str">
        <f>IFERROR(__xludf.DUMMYFUNCTION("""COMPUTED_VALUE"""),"consciously")</f>
        <v>consciously</v>
      </c>
      <c r="I1860" s="6"/>
      <c r="M1860" s="6"/>
      <c r="P1860" s="6"/>
      <c r="Q1860" s="6" t="str">
        <f>IFERROR(__xludf.DUMMYFUNCTION("""COMPUTED_VALUE"""),"serial")</f>
        <v>serial</v>
      </c>
    </row>
    <row r="1861">
      <c r="B1861" s="6"/>
      <c r="D1861" s="6"/>
      <c r="G1861" s="6"/>
      <c r="H1861" s="6" t="str">
        <f>IFERROR(__xludf.DUMMYFUNCTION("""COMPUTED_VALUE"""),"asphalt")</f>
        <v>asphalt</v>
      </c>
      <c r="I1861" s="6"/>
      <c r="M1861" s="6"/>
      <c r="P1861" s="6"/>
      <c r="Q1861" s="6" t="str">
        <f>IFERROR(__xludf.DUMMYFUNCTION("""COMPUTED_VALUE"""),"conception")</f>
        <v>conception</v>
      </c>
    </row>
    <row r="1862">
      <c r="B1862" s="6"/>
      <c r="D1862" s="6"/>
      <c r="G1862" s="6"/>
      <c r="H1862" s="6" t="str">
        <f>IFERROR(__xludf.DUMMYFUNCTION("""COMPUTED_VALUE"""),"retiring")</f>
        <v>retiring</v>
      </c>
      <c r="I1862" s="6"/>
      <c r="M1862" s="6"/>
      <c r="P1862" s="6"/>
      <c r="Q1862" s="6" t="str">
        <f>IFERROR(__xludf.DUMMYFUNCTION("""COMPUTED_VALUE"""),"evelyn")</f>
        <v>evelyn</v>
      </c>
    </row>
    <row r="1863">
      <c r="B1863" s="6"/>
      <c r="D1863" s="6"/>
      <c r="G1863" s="6"/>
      <c r="H1863" s="6" t="str">
        <f>IFERROR(__xludf.DUMMYFUNCTION("""COMPUTED_VALUE"""),"tolkien")</f>
        <v>tolkien</v>
      </c>
      <c r="I1863" s="6"/>
      <c r="M1863" s="6"/>
      <c r="P1863" s="6"/>
      <c r="Q1863" s="6" t="str">
        <f>IFERROR(__xludf.DUMMYFUNCTION("""COMPUTED_VALUE"""),"embrace")</f>
        <v>embrace</v>
      </c>
    </row>
    <row r="1864">
      <c r="B1864" s="6"/>
      <c r="D1864" s="6"/>
      <c r="G1864" s="6"/>
      <c r="H1864" s="6" t="str">
        <f>IFERROR(__xludf.DUMMYFUNCTION("""COMPUTED_VALUE"""),"longtime")</f>
        <v>longtime</v>
      </c>
      <c r="I1864" s="6"/>
      <c r="M1864" s="6"/>
      <c r="P1864" s="6"/>
      <c r="Q1864" s="6" t="str">
        <f>IFERROR(__xludf.DUMMYFUNCTION("""COMPUTED_VALUE"""),"sonny")</f>
        <v>sonny</v>
      </c>
    </row>
    <row r="1865">
      <c r="B1865" s="6"/>
      <c r="D1865" s="6"/>
      <c r="G1865" s="6"/>
      <c r="H1865" s="6" t="str">
        <f>IFERROR(__xludf.DUMMYFUNCTION("""COMPUTED_VALUE"""),"twisting")</f>
        <v>twisting</v>
      </c>
      <c r="I1865" s="6"/>
      <c r="M1865" s="6"/>
      <c r="P1865" s="6"/>
      <c r="Q1865" s="6" t="str">
        <f>IFERROR(__xludf.DUMMYFUNCTION("""COMPUTED_VALUE"""),"delicately")</f>
        <v>delicately</v>
      </c>
    </row>
    <row r="1866">
      <c r="B1866" s="6"/>
      <c r="D1866" s="6"/>
      <c r="G1866" s="6"/>
      <c r="H1866" s="6" t="str">
        <f>IFERROR(__xludf.DUMMYFUNCTION("""COMPUTED_VALUE"""),"littered")</f>
        <v>littered</v>
      </c>
      <c r="I1866" s="6"/>
      <c r="M1866" s="6"/>
      <c r="P1866" s="6"/>
      <c r="Q1866" s="6" t="str">
        <f>IFERROR(__xludf.DUMMYFUNCTION("""COMPUTED_VALUE"""),"forum")</f>
        <v>forum</v>
      </c>
    </row>
    <row r="1867">
      <c r="B1867" s="6"/>
      <c r="D1867" s="6"/>
      <c r="G1867" s="6"/>
      <c r="H1867" s="6" t="str">
        <f>IFERROR(__xludf.DUMMYFUNCTION("""COMPUTED_VALUE"""),"experimental")</f>
        <v>experimental</v>
      </c>
      <c r="I1867" s="6"/>
      <c r="M1867" s="6"/>
      <c r="P1867" s="6"/>
      <c r="Q1867" s="6" t="str">
        <f>IFERROR(__xludf.DUMMYFUNCTION("""COMPUTED_VALUE"""),"memoir")</f>
        <v>memoir</v>
      </c>
    </row>
    <row r="1868">
      <c r="B1868" s="6"/>
      <c r="D1868" s="6"/>
      <c r="G1868" s="6"/>
      <c r="H1868" s="6" t="str">
        <f>IFERROR(__xludf.DUMMYFUNCTION("""COMPUTED_VALUE"""),"methodology")</f>
        <v>methodology</v>
      </c>
      <c r="I1868" s="6"/>
      <c r="M1868" s="6"/>
      <c r="P1868" s="6"/>
      <c r="Q1868" s="6" t="str">
        <f>IFERROR(__xludf.DUMMYFUNCTION("""COMPUTED_VALUE"""),"scarcely")</f>
        <v>scarcely</v>
      </c>
    </row>
    <row r="1869">
      <c r="B1869" s="6"/>
      <c r="D1869" s="6"/>
      <c r="G1869" s="6"/>
      <c r="H1869" s="6" t="str">
        <f>IFERROR(__xludf.DUMMYFUNCTION("""COMPUTED_VALUE"""),"cleavage")</f>
        <v>cleavage</v>
      </c>
      <c r="I1869" s="6"/>
      <c r="M1869" s="6"/>
      <c r="P1869" s="6"/>
      <c r="Q1869" s="6" t="str">
        <f>IFERROR(__xludf.DUMMYFUNCTION("""COMPUTED_VALUE"""),"expressive")</f>
        <v>expressive</v>
      </c>
    </row>
    <row r="1870">
      <c r="B1870" s="6"/>
      <c r="D1870" s="6"/>
      <c r="G1870" s="6"/>
      <c r="H1870" s="6" t="str">
        <f>IFERROR(__xludf.DUMMYFUNCTION("""COMPUTED_VALUE"""),"reaches")</f>
        <v>reaches</v>
      </c>
      <c r="I1870" s="6"/>
      <c r="M1870" s="6"/>
      <c r="P1870" s="6"/>
      <c r="Q1870" s="6" t="str">
        <f>IFERROR(__xludf.DUMMYFUNCTION("""COMPUTED_VALUE"""),"provoked")</f>
        <v>provoked</v>
      </c>
    </row>
    <row r="1871">
      <c r="B1871" s="6"/>
      <c r="D1871" s="6"/>
      <c r="G1871" s="6"/>
      <c r="H1871" s="6" t="str">
        <f>IFERROR(__xludf.DUMMYFUNCTION("""COMPUTED_VALUE"""),"youthful")</f>
        <v>youthful</v>
      </c>
      <c r="I1871" s="6"/>
      <c r="M1871" s="6"/>
      <c r="P1871" s="6"/>
      <c r="Q1871" s="6" t="str">
        <f>IFERROR(__xludf.DUMMYFUNCTION("""COMPUTED_VALUE"""),"tenor")</f>
        <v>tenor</v>
      </c>
    </row>
    <row r="1872">
      <c r="B1872" s="6"/>
      <c r="D1872" s="6"/>
      <c r="G1872" s="6"/>
      <c r="H1872" s="6" t="str">
        <f>IFERROR(__xludf.DUMMYFUNCTION("""COMPUTED_VALUE"""),"inhabit")</f>
        <v>inhabit</v>
      </c>
      <c r="I1872" s="6"/>
      <c r="M1872" s="6"/>
      <c r="P1872" s="6"/>
      <c r="Q1872" s="6" t="str">
        <f>IFERROR(__xludf.DUMMYFUNCTION("""COMPUTED_VALUE"""),"mourning")</f>
        <v>mourning</v>
      </c>
    </row>
    <row r="1873">
      <c r="B1873" s="6"/>
      <c r="D1873" s="6"/>
      <c r="G1873" s="6"/>
      <c r="H1873" s="6" t="str">
        <f>IFERROR(__xludf.DUMMYFUNCTION("""COMPUTED_VALUE"""),"predict")</f>
        <v>predict</v>
      </c>
      <c r="I1873" s="6"/>
      <c r="M1873" s="6"/>
      <c r="P1873" s="6"/>
      <c r="Q1873" s="6" t="str">
        <f>IFERROR(__xludf.DUMMYFUNCTION("""COMPUTED_VALUE"""),"adultery")</f>
        <v>adultery</v>
      </c>
    </row>
    <row r="1874">
      <c r="B1874" s="6"/>
      <c r="D1874" s="6"/>
      <c r="G1874" s="6"/>
      <c r="H1874" s="6" t="str">
        <f>IFERROR(__xludf.DUMMYFUNCTION("""COMPUTED_VALUE"""),"villains")</f>
        <v>villains</v>
      </c>
      <c r="I1874" s="6"/>
      <c r="M1874" s="6"/>
      <c r="P1874" s="6"/>
      <c r="Q1874" s="6" t="str">
        <f>IFERROR(__xludf.DUMMYFUNCTION("""COMPUTED_VALUE"""),"rampant")</f>
        <v>rampant</v>
      </c>
    </row>
    <row r="1875">
      <c r="B1875" s="6"/>
      <c r="D1875" s="6"/>
      <c r="G1875" s="6"/>
      <c r="H1875" s="6" t="str">
        <f>IFERROR(__xludf.DUMMYFUNCTION("""COMPUTED_VALUE"""),"servants")</f>
        <v>servants</v>
      </c>
      <c r="I1875" s="6"/>
      <c r="M1875" s="6"/>
      <c r="P1875" s="6"/>
      <c r="Q1875" s="6" t="str">
        <f>IFERROR(__xludf.DUMMYFUNCTION("""COMPUTED_VALUE"""),"kingsley")</f>
        <v>kingsley</v>
      </c>
    </row>
    <row r="1876">
      <c r="B1876" s="6"/>
      <c r="D1876" s="6"/>
      <c r="G1876" s="6"/>
      <c r="H1876" s="6" t="str">
        <f>IFERROR(__xludf.DUMMYFUNCTION("""COMPUTED_VALUE"""),"nemesis")</f>
        <v>nemesis</v>
      </c>
      <c r="I1876" s="6"/>
      <c r="M1876" s="6"/>
      <c r="P1876" s="6"/>
      <c r="Q1876" s="6" t="str">
        <f>IFERROR(__xludf.DUMMYFUNCTION("""COMPUTED_VALUE"""),"molly")</f>
        <v>molly</v>
      </c>
    </row>
    <row r="1877">
      <c r="B1877" s="6"/>
      <c r="D1877" s="6"/>
      <c r="G1877" s="6"/>
      <c r="H1877" s="6" t="str">
        <f>IFERROR(__xludf.DUMMYFUNCTION("""COMPUTED_VALUE"""),"remembrance")</f>
        <v>remembrance</v>
      </c>
      <c r="I1877" s="6"/>
      <c r="M1877" s="6"/>
      <c r="P1877" s="6"/>
      <c r="Q1877" s="6" t="str">
        <f>IFERROR(__xludf.DUMMYFUNCTION("""COMPUTED_VALUE"""),"successor")</f>
        <v>successor</v>
      </c>
    </row>
    <row r="1878">
      <c r="B1878" s="6"/>
      <c r="D1878" s="6"/>
      <c r="G1878" s="6"/>
      <c r="H1878" s="6" t="str">
        <f>IFERROR(__xludf.DUMMYFUNCTION("""COMPUTED_VALUE"""),"lina")</f>
        <v>lina</v>
      </c>
      <c r="I1878" s="6"/>
      <c r="M1878" s="6"/>
      <c r="P1878" s="6"/>
      <c r="Q1878" s="6" t="str">
        <f>IFERROR(__xludf.DUMMYFUNCTION("""COMPUTED_VALUE"""),"shear")</f>
        <v>shear</v>
      </c>
    </row>
    <row r="1879">
      <c r="B1879" s="6"/>
      <c r="D1879" s="6"/>
      <c r="G1879" s="6"/>
      <c r="H1879" s="6" t="str">
        <f>IFERROR(__xludf.DUMMYFUNCTION("""COMPUTED_VALUE"""),"shriek")</f>
        <v>shriek</v>
      </c>
      <c r="I1879" s="6"/>
      <c r="M1879" s="6"/>
      <c r="P1879" s="6"/>
      <c r="Q1879" s="6" t="str">
        <f>IFERROR(__xludf.DUMMYFUNCTION("""COMPUTED_VALUE"""),"hack")</f>
        <v>hack</v>
      </c>
    </row>
    <row r="1880">
      <c r="B1880" s="6"/>
      <c r="D1880" s="6"/>
      <c r="G1880" s="6"/>
      <c r="H1880" s="6" t="str">
        <f>IFERROR(__xludf.DUMMYFUNCTION("""COMPUTED_VALUE"""),"error")</f>
        <v>error</v>
      </c>
      <c r="I1880" s="6"/>
      <c r="M1880" s="6"/>
      <c r="P1880" s="6"/>
      <c r="Q1880" s="6" t="str">
        <f>IFERROR(__xludf.DUMMYFUNCTION("""COMPUTED_VALUE"""),"chest")</f>
        <v>chest</v>
      </c>
    </row>
    <row r="1881">
      <c r="B1881" s="6"/>
      <c r="D1881" s="6"/>
      <c r="G1881" s="6"/>
      <c r="H1881" s="6" t="str">
        <f>IFERROR(__xludf.DUMMYFUNCTION("""COMPUTED_VALUE"""),"collaboration")</f>
        <v>collaboration</v>
      </c>
      <c r="I1881" s="6"/>
      <c r="M1881" s="6"/>
      <c r="P1881" s="6"/>
      <c r="Q1881" s="6" t="str">
        <f>IFERROR(__xludf.DUMMYFUNCTION("""COMPUTED_VALUE"""),"volatile")</f>
        <v>volatile</v>
      </c>
    </row>
    <row r="1882">
      <c r="B1882" s="6"/>
      <c r="D1882" s="6"/>
      <c r="G1882" s="6"/>
      <c r="H1882" s="6" t="str">
        <f>IFERROR(__xludf.DUMMYFUNCTION("""COMPUTED_VALUE"""),"germanic")</f>
        <v>germanic</v>
      </c>
      <c r="I1882" s="6"/>
      <c r="M1882" s="6"/>
      <c r="P1882" s="6"/>
      <c r="Q1882" s="6" t="str">
        <f>IFERROR(__xludf.DUMMYFUNCTION("""COMPUTED_VALUE"""),"resolutions")</f>
        <v>resolutions</v>
      </c>
    </row>
    <row r="1883">
      <c r="B1883" s="6"/>
      <c r="D1883" s="6"/>
      <c r="G1883" s="6"/>
      <c r="H1883" s="6" t="str">
        <f>IFERROR(__xludf.DUMMYFUNCTION("""COMPUTED_VALUE"""),"sustained")</f>
        <v>sustained</v>
      </c>
      <c r="I1883" s="6"/>
      <c r="M1883" s="6"/>
      <c r="P1883" s="6"/>
      <c r="Q1883" s="6" t="str">
        <f>IFERROR(__xludf.DUMMYFUNCTION("""COMPUTED_VALUE"""),"rap")</f>
        <v>rap</v>
      </c>
    </row>
    <row r="1884">
      <c r="B1884" s="6"/>
      <c r="D1884" s="6"/>
      <c r="G1884" s="6"/>
      <c r="H1884" s="6" t="str">
        <f>IFERROR(__xludf.DUMMYFUNCTION("""COMPUTED_VALUE"""),"keel")</f>
        <v>keel</v>
      </c>
      <c r="I1884" s="6"/>
      <c r="M1884" s="6"/>
      <c r="P1884" s="6"/>
      <c r="Q1884" s="6" t="str">
        <f>IFERROR(__xludf.DUMMYFUNCTION("""COMPUTED_VALUE"""),"bow")</f>
        <v>bow</v>
      </c>
    </row>
    <row r="1885">
      <c r="B1885" s="6"/>
      <c r="D1885" s="6"/>
      <c r="G1885" s="6"/>
      <c r="H1885" s="6" t="str">
        <f>IFERROR(__xludf.DUMMYFUNCTION("""COMPUTED_VALUE"""),"tolerance")</f>
        <v>tolerance</v>
      </c>
      <c r="I1885" s="6"/>
      <c r="M1885" s="6"/>
      <c r="P1885" s="6"/>
      <c r="Q1885" s="6" t="str">
        <f>IFERROR(__xludf.DUMMYFUNCTION("""COMPUTED_VALUE"""),"rhetoric")</f>
        <v>rhetoric</v>
      </c>
    </row>
    <row r="1886">
      <c r="B1886" s="6"/>
      <c r="D1886" s="6"/>
      <c r="G1886" s="6"/>
      <c r="H1886" s="6" t="str">
        <f>IFERROR(__xludf.DUMMYFUNCTION("""COMPUTED_VALUE"""),"prowess")</f>
        <v>prowess</v>
      </c>
      <c r="I1886" s="6"/>
      <c r="M1886" s="6"/>
      <c r="P1886" s="6"/>
      <c r="Q1886" s="6" t="str">
        <f>IFERROR(__xludf.DUMMYFUNCTION("""COMPUTED_VALUE"""),"haynes")</f>
        <v>haynes</v>
      </c>
    </row>
    <row r="1887">
      <c r="B1887" s="6"/>
      <c r="D1887" s="6"/>
      <c r="G1887" s="6"/>
      <c r="H1887" s="6" t="str">
        <f>IFERROR(__xludf.DUMMYFUNCTION("""COMPUTED_VALUE"""),"preaching")</f>
        <v>preaching</v>
      </c>
      <c r="I1887" s="6"/>
      <c r="M1887" s="6"/>
      <c r="P1887" s="6"/>
      <c r="Q1887" s="6" t="str">
        <f>IFERROR(__xludf.DUMMYFUNCTION("""COMPUTED_VALUE"""),"wartime")</f>
        <v>wartime</v>
      </c>
    </row>
    <row r="1888">
      <c r="B1888" s="6"/>
      <c r="D1888" s="6"/>
      <c r="G1888" s="6"/>
      <c r="H1888" s="6" t="str">
        <f>IFERROR(__xludf.DUMMYFUNCTION("""COMPUTED_VALUE"""),"reportedly")</f>
        <v>reportedly</v>
      </c>
      <c r="I1888" s="6"/>
      <c r="M1888" s="6"/>
      <c r="P1888" s="6"/>
      <c r="Q1888" s="6" t="str">
        <f>IFERROR(__xludf.DUMMYFUNCTION("""COMPUTED_VALUE"""),"downward")</f>
        <v>downward</v>
      </c>
    </row>
    <row r="1889">
      <c r="B1889" s="6"/>
      <c r="D1889" s="6"/>
      <c r="G1889" s="6"/>
      <c r="H1889" s="6" t="str">
        <f>IFERROR(__xludf.DUMMYFUNCTION("""COMPUTED_VALUE"""),"dimensional")</f>
        <v>dimensional</v>
      </c>
      <c r="I1889" s="6"/>
      <c r="M1889" s="6"/>
      <c r="P1889" s="6"/>
      <c r="Q1889" s="6" t="str">
        <f>IFERROR(__xludf.DUMMYFUNCTION("""COMPUTED_VALUE"""),"spiral")</f>
        <v>spiral</v>
      </c>
    </row>
    <row r="1890">
      <c r="B1890" s="6"/>
      <c r="D1890" s="6"/>
      <c r="G1890" s="6"/>
      <c r="H1890" s="6" t="str">
        <f>IFERROR(__xludf.DUMMYFUNCTION("""COMPUTED_VALUE"""),"liability")</f>
        <v>liability</v>
      </c>
      <c r="I1890" s="6"/>
      <c r="M1890" s="6"/>
      <c r="P1890" s="6"/>
      <c r="Q1890" s="6" t="str">
        <f>IFERROR(__xludf.DUMMYFUNCTION("""COMPUTED_VALUE"""),"teens")</f>
        <v>teens</v>
      </c>
    </row>
    <row r="1891">
      <c r="B1891" s="6"/>
      <c r="D1891" s="6"/>
      <c r="G1891" s="6"/>
      <c r="H1891" s="6" t="str">
        <f>IFERROR(__xludf.DUMMYFUNCTION("""COMPUTED_VALUE"""),"tackled")</f>
        <v>tackled</v>
      </c>
      <c r="I1891" s="6"/>
      <c r="M1891" s="6"/>
      <c r="P1891" s="6"/>
      <c r="Q1891" s="6" t="str">
        <f>IFERROR(__xludf.DUMMYFUNCTION("""COMPUTED_VALUE"""),"hannibal")</f>
        <v>hannibal</v>
      </c>
    </row>
    <row r="1892">
      <c r="B1892" s="6"/>
      <c r="D1892" s="6"/>
      <c r="G1892" s="6"/>
      <c r="H1892" s="6" t="str">
        <f>IFERROR(__xludf.DUMMYFUNCTION("""COMPUTED_VALUE"""),"byzantine")</f>
        <v>byzantine</v>
      </c>
      <c r="I1892" s="6"/>
      <c r="M1892" s="6"/>
      <c r="P1892" s="6"/>
      <c r="Q1892" s="6" t="str">
        <f>IFERROR(__xludf.DUMMYFUNCTION("""COMPUTED_VALUE"""),"inclination")</f>
        <v>inclination</v>
      </c>
    </row>
    <row r="1893">
      <c r="B1893" s="6"/>
      <c r="D1893" s="6"/>
      <c r="G1893" s="6"/>
      <c r="H1893" s="6" t="str">
        <f>IFERROR(__xludf.DUMMYFUNCTION("""COMPUTED_VALUE"""),"barrie")</f>
        <v>barrie</v>
      </c>
      <c r="I1893" s="6"/>
      <c r="M1893" s="6"/>
      <c r="P1893" s="6"/>
      <c r="Q1893" s="6" t="str">
        <f>IFERROR(__xludf.DUMMYFUNCTION("""COMPUTED_VALUE"""),"whimper")</f>
        <v>whimper</v>
      </c>
    </row>
    <row r="1894">
      <c r="B1894" s="6"/>
      <c r="D1894" s="6"/>
      <c r="G1894" s="6"/>
      <c r="H1894" s="6" t="str">
        <f>IFERROR(__xludf.DUMMYFUNCTION("""COMPUTED_VALUE"""),"myrtle")</f>
        <v>myrtle</v>
      </c>
      <c r="I1894" s="6"/>
      <c r="M1894" s="6"/>
      <c r="P1894" s="6"/>
      <c r="Q1894" s="6" t="str">
        <f>IFERROR(__xludf.DUMMYFUNCTION("""COMPUTED_VALUE"""),"paradigm")</f>
        <v>paradigm</v>
      </c>
    </row>
    <row r="1895">
      <c r="B1895" s="6"/>
      <c r="D1895" s="6"/>
      <c r="G1895" s="6"/>
      <c r="H1895" s="6" t="str">
        <f>IFERROR(__xludf.DUMMYFUNCTION("""COMPUTED_VALUE"""),"affinity")</f>
        <v>affinity</v>
      </c>
      <c r="I1895" s="6"/>
      <c r="M1895" s="6"/>
      <c r="P1895" s="6"/>
      <c r="Q1895" s="6" t="str">
        <f>IFERROR(__xludf.DUMMYFUNCTION("""COMPUTED_VALUE"""),"permitting")</f>
        <v>permitting</v>
      </c>
    </row>
    <row r="1896">
      <c r="B1896" s="6"/>
      <c r="D1896" s="6"/>
      <c r="G1896" s="6"/>
      <c r="H1896" s="6" t="str">
        <f>IFERROR(__xludf.DUMMYFUNCTION("""COMPUTED_VALUE"""),"marching")</f>
        <v>marching</v>
      </c>
      <c r="I1896" s="6"/>
      <c r="M1896" s="6"/>
      <c r="P1896" s="6"/>
      <c r="Q1896" s="6" t="str">
        <f>IFERROR(__xludf.DUMMYFUNCTION("""COMPUTED_VALUE"""),"stopped")</f>
        <v>stopped</v>
      </c>
    </row>
    <row r="1897">
      <c r="B1897" s="6"/>
      <c r="D1897" s="6"/>
      <c r="G1897" s="6"/>
      <c r="H1897" s="6" t="str">
        <f>IFERROR(__xludf.DUMMYFUNCTION("""COMPUTED_VALUE"""),"percussion")</f>
        <v>percussion</v>
      </c>
      <c r="I1897" s="6"/>
      <c r="M1897" s="6"/>
      <c r="P1897" s="6"/>
      <c r="Q1897" s="6" t="str">
        <f>IFERROR(__xludf.DUMMYFUNCTION("""COMPUTED_VALUE"""),"omitted")</f>
        <v>omitted</v>
      </c>
    </row>
    <row r="1898">
      <c r="B1898" s="6"/>
      <c r="D1898" s="6"/>
      <c r="G1898" s="6"/>
      <c r="H1898" s="6" t="str">
        <f>IFERROR(__xludf.DUMMYFUNCTION("""COMPUTED_VALUE"""),"ninth")</f>
        <v>ninth</v>
      </c>
      <c r="I1898" s="6"/>
      <c r="M1898" s="6"/>
      <c r="P1898" s="6"/>
      <c r="Q1898" s="6" t="str">
        <f>IFERROR(__xludf.DUMMYFUNCTION("""COMPUTED_VALUE"""),"splitting")</f>
        <v>splitting</v>
      </c>
    </row>
    <row r="1899">
      <c r="B1899" s="6"/>
      <c r="D1899" s="6"/>
      <c r="G1899" s="6"/>
      <c r="H1899" s="6" t="str">
        <f>IFERROR(__xludf.DUMMYFUNCTION("""COMPUTED_VALUE"""),"develops")</f>
        <v>develops</v>
      </c>
      <c r="I1899" s="6"/>
      <c r="M1899" s="6"/>
      <c r="P1899" s="6"/>
      <c r="Q1899" s="6" t="str">
        <f>IFERROR(__xludf.DUMMYFUNCTION("""COMPUTED_VALUE"""),"isabelle")</f>
        <v>isabelle</v>
      </c>
    </row>
    <row r="1900">
      <c r="B1900" s="6"/>
      <c r="D1900" s="6"/>
      <c r="G1900" s="6"/>
      <c r="H1900" s="6" t="str">
        <f>IFERROR(__xludf.DUMMYFUNCTION("""COMPUTED_VALUE"""),"ballot")</f>
        <v>ballot</v>
      </c>
      <c r="I1900" s="6"/>
      <c r="M1900" s="6"/>
      <c r="P1900" s="6"/>
      <c r="Q1900" s="6" t="str">
        <f>IFERROR(__xludf.DUMMYFUNCTION("""COMPUTED_VALUE"""),"unnoticed")</f>
        <v>unnoticed</v>
      </c>
    </row>
    <row r="1901">
      <c r="B1901" s="6"/>
      <c r="D1901" s="6"/>
      <c r="G1901" s="6"/>
      <c r="H1901" s="6" t="str">
        <f>IFERROR(__xludf.DUMMYFUNCTION("""COMPUTED_VALUE"""),"cheered")</f>
        <v>cheered</v>
      </c>
      <c r="I1901" s="6"/>
      <c r="M1901" s="6"/>
      <c r="P1901" s="6"/>
      <c r="Q1901" s="6" t="str">
        <f>IFERROR(__xludf.DUMMYFUNCTION("""COMPUTED_VALUE"""),"unconventional")</f>
        <v>unconventional</v>
      </c>
    </row>
    <row r="1902">
      <c r="B1902" s="6"/>
      <c r="D1902" s="6"/>
      <c r="G1902" s="6"/>
      <c r="H1902" s="6" t="str">
        <f>IFERROR(__xludf.DUMMYFUNCTION("""COMPUTED_VALUE"""),"integrating")</f>
        <v>integrating</v>
      </c>
      <c r="I1902" s="6"/>
      <c r="M1902" s="6"/>
      <c r="P1902" s="6"/>
      <c r="Q1902" s="6" t="str">
        <f>IFERROR(__xludf.DUMMYFUNCTION("""COMPUTED_VALUE"""),"turbulent")</f>
        <v>turbulent</v>
      </c>
    </row>
    <row r="1903">
      <c r="B1903" s="6"/>
      <c r="D1903" s="6"/>
      <c r="G1903" s="6"/>
      <c r="H1903" s="6" t="str">
        <f>IFERROR(__xludf.DUMMYFUNCTION("""COMPUTED_VALUE"""),"nouvelle")</f>
        <v>nouvelle</v>
      </c>
      <c r="I1903" s="6"/>
      <c r="M1903" s="6"/>
      <c r="P1903" s="6"/>
      <c r="Q1903" s="6" t="str">
        <f>IFERROR(__xludf.DUMMYFUNCTION("""COMPUTED_VALUE"""),"egypt")</f>
        <v>egypt</v>
      </c>
    </row>
    <row r="1904">
      <c r="B1904" s="6"/>
      <c r="D1904" s="6"/>
      <c r="G1904" s="6"/>
      <c r="H1904" s="6" t="str">
        <f>IFERROR(__xludf.DUMMYFUNCTION("""COMPUTED_VALUE"""),"bluff")</f>
        <v>bluff</v>
      </c>
      <c r="I1904" s="6"/>
      <c r="M1904" s="6"/>
      <c r="P1904" s="6"/>
      <c r="Q1904" s="6" t="str">
        <f>IFERROR(__xludf.DUMMYFUNCTION("""COMPUTED_VALUE"""),"homicide")</f>
        <v>homicide</v>
      </c>
    </row>
    <row r="1905">
      <c r="B1905" s="6"/>
      <c r="D1905" s="6"/>
      <c r="G1905" s="6"/>
      <c r="H1905" s="6" t="str">
        <f>IFERROR(__xludf.DUMMYFUNCTION("""COMPUTED_VALUE"""),"wreckage")</f>
        <v>wreckage</v>
      </c>
      <c r="I1905" s="6"/>
      <c r="M1905" s="6"/>
      <c r="P1905" s="6"/>
      <c r="Q1905" s="6" t="str">
        <f>IFERROR(__xludf.DUMMYFUNCTION("""COMPUTED_VALUE"""),"cinderella")</f>
        <v>cinderella</v>
      </c>
    </row>
    <row r="1906">
      <c r="B1906" s="6"/>
      <c r="D1906" s="6"/>
      <c r="G1906" s="6"/>
      <c r="H1906" s="6" t="str">
        <f>IFERROR(__xludf.DUMMYFUNCTION("""COMPUTED_VALUE"""),"interrogation")</f>
        <v>interrogation</v>
      </c>
      <c r="I1906" s="6"/>
      <c r="M1906" s="6"/>
      <c r="P1906" s="6"/>
      <c r="Q1906" s="6" t="str">
        <f>IFERROR(__xludf.DUMMYFUNCTION("""COMPUTED_VALUE"""),"pants")</f>
        <v>pants</v>
      </c>
    </row>
    <row r="1907">
      <c r="B1907" s="6"/>
      <c r="D1907" s="6"/>
      <c r="G1907" s="6"/>
      <c r="H1907" s="6" t="str">
        <f>IFERROR(__xludf.DUMMYFUNCTION("""COMPUTED_VALUE"""),"huskies")</f>
        <v>huskies</v>
      </c>
      <c r="I1907" s="6"/>
      <c r="M1907" s="6"/>
      <c r="P1907" s="6"/>
      <c r="Q1907" s="6" t="str">
        <f>IFERROR(__xludf.DUMMYFUNCTION("""COMPUTED_VALUE"""),"harrison")</f>
        <v>harrison</v>
      </c>
    </row>
    <row r="1908">
      <c r="B1908" s="6"/>
      <c r="D1908" s="6"/>
      <c r="G1908" s="6"/>
      <c r="H1908" s="6" t="str">
        <f>IFERROR(__xludf.DUMMYFUNCTION("""COMPUTED_VALUE"""),"discarded")</f>
        <v>discarded</v>
      </c>
      <c r="I1908" s="6"/>
      <c r="M1908" s="6"/>
      <c r="P1908" s="6"/>
      <c r="Q1908" s="6" t="str">
        <f>IFERROR(__xludf.DUMMYFUNCTION("""COMPUTED_VALUE"""),"banquet")</f>
        <v>banquet</v>
      </c>
    </row>
    <row r="1909">
      <c r="B1909" s="6"/>
      <c r="D1909" s="6"/>
      <c r="G1909" s="6"/>
      <c r="H1909" s="6" t="str">
        <f>IFERROR(__xludf.DUMMYFUNCTION("""COMPUTED_VALUE"""),"humming")</f>
        <v>humming</v>
      </c>
      <c r="I1909" s="6"/>
      <c r="M1909" s="6"/>
      <c r="P1909" s="6"/>
      <c r="Q1909" s="6" t="str">
        <f>IFERROR(__xludf.DUMMYFUNCTION("""COMPUTED_VALUE"""),"evolve")</f>
        <v>evolve</v>
      </c>
    </row>
    <row r="1910">
      <c r="B1910" s="6"/>
      <c r="D1910" s="6"/>
      <c r="G1910" s="6"/>
      <c r="H1910" s="6" t="str">
        <f>IFERROR(__xludf.DUMMYFUNCTION("""COMPUTED_VALUE"""),"ticking")</f>
        <v>ticking</v>
      </c>
      <c r="I1910" s="6"/>
      <c r="M1910" s="6"/>
      <c r="P1910" s="6"/>
      <c r="Q1910" s="6" t="str">
        <f>IFERROR(__xludf.DUMMYFUNCTION("""COMPUTED_VALUE"""),"jumps")</f>
        <v>jumps</v>
      </c>
    </row>
    <row r="1911">
      <c r="B1911" s="6"/>
      <c r="D1911" s="6"/>
      <c r="G1911" s="6"/>
      <c r="H1911" s="6" t="str">
        <f>IFERROR(__xludf.DUMMYFUNCTION("""COMPUTED_VALUE"""),"millennium")</f>
        <v>millennium</v>
      </c>
      <c r="I1911" s="6"/>
      <c r="M1911" s="6"/>
      <c r="P1911" s="6"/>
      <c r="Q1911" s="6" t="str">
        <f>IFERROR(__xludf.DUMMYFUNCTION("""COMPUTED_VALUE"""),"engages")</f>
        <v>engages</v>
      </c>
    </row>
    <row r="1912">
      <c r="B1912" s="6"/>
      <c r="D1912" s="6"/>
      <c r="G1912" s="6"/>
      <c r="H1912" s="6" t="str">
        <f>IFERROR(__xludf.DUMMYFUNCTION("""COMPUTED_VALUE"""),"overview")</f>
        <v>overview</v>
      </c>
      <c r="I1912" s="6"/>
      <c r="M1912" s="6"/>
      <c r="P1912" s="6"/>
      <c r="Q1912" s="6" t="str">
        <f>IFERROR(__xludf.DUMMYFUNCTION("""COMPUTED_VALUE"""),"walt")</f>
        <v>walt</v>
      </c>
    </row>
    <row r="1913">
      <c r="B1913" s="6"/>
      <c r="D1913" s="6"/>
      <c r="G1913" s="6"/>
      <c r="H1913" s="6" t="str">
        <f>IFERROR(__xludf.DUMMYFUNCTION("""COMPUTED_VALUE"""),"motionless")</f>
        <v>motionless</v>
      </c>
      <c r="I1913" s="6"/>
      <c r="M1913" s="6"/>
      <c r="P1913" s="6"/>
      <c r="Q1913" s="6" t="str">
        <f>IFERROR(__xludf.DUMMYFUNCTION("""COMPUTED_VALUE"""),"willie")</f>
        <v>willie</v>
      </c>
    </row>
    <row r="1914">
      <c r="B1914" s="6"/>
      <c r="D1914" s="6"/>
      <c r="G1914" s="6"/>
      <c r="H1914" s="6" t="str">
        <f>IFERROR(__xludf.DUMMYFUNCTION("""COMPUTED_VALUE"""),"prisoners")</f>
        <v>prisoners</v>
      </c>
      <c r="I1914" s="6"/>
      <c r="M1914" s="6"/>
      <c r="P1914" s="6"/>
      <c r="Q1914" s="6" t="str">
        <f>IFERROR(__xludf.DUMMYFUNCTION("""COMPUTED_VALUE"""),"deepest")</f>
        <v>deepest</v>
      </c>
    </row>
    <row r="1915">
      <c r="B1915" s="6"/>
      <c r="D1915" s="6"/>
      <c r="G1915" s="6"/>
      <c r="H1915" s="6" t="str">
        <f>IFERROR(__xludf.DUMMYFUNCTION("""COMPUTED_VALUE"""),"prolific")</f>
        <v>prolific</v>
      </c>
      <c r="I1915" s="6"/>
      <c r="M1915" s="6"/>
      <c r="P1915" s="6"/>
      <c r="Q1915" s="6" t="str">
        <f>IFERROR(__xludf.DUMMYFUNCTION("""COMPUTED_VALUE"""),"overlapping")</f>
        <v>overlapping</v>
      </c>
    </row>
    <row r="1916">
      <c r="B1916" s="6"/>
      <c r="D1916" s="6"/>
      <c r="G1916" s="6"/>
      <c r="H1916" s="6" t="str">
        <f>IFERROR(__xludf.DUMMYFUNCTION("""COMPUTED_VALUE"""),"spins")</f>
        <v>spins</v>
      </c>
      <c r="I1916" s="6"/>
      <c r="M1916" s="6"/>
      <c r="P1916" s="6"/>
      <c r="Q1916" s="6" t="str">
        <f>IFERROR(__xludf.DUMMYFUNCTION("""COMPUTED_VALUE"""),"collateral")</f>
        <v>collateral</v>
      </c>
    </row>
    <row r="1917">
      <c r="B1917" s="6"/>
      <c r="D1917" s="6"/>
      <c r="G1917" s="6"/>
      <c r="H1917" s="6" t="str">
        <f>IFERROR(__xludf.DUMMYFUNCTION("""COMPUTED_VALUE"""),"lunar")</f>
        <v>lunar</v>
      </c>
      <c r="I1917" s="6"/>
      <c r="M1917" s="6"/>
      <c r="P1917" s="6"/>
      <c r="Q1917" s="6" t="str">
        <f>IFERROR(__xludf.DUMMYFUNCTION("""COMPUTED_VALUE"""),"paranormal")</f>
        <v>paranormal</v>
      </c>
    </row>
    <row r="1918">
      <c r="B1918" s="6"/>
      <c r="D1918" s="6"/>
      <c r="G1918" s="6"/>
      <c r="H1918" s="6" t="str">
        <f>IFERROR(__xludf.DUMMYFUNCTION("""COMPUTED_VALUE"""),"emergence")</f>
        <v>emergence</v>
      </c>
      <c r="I1918" s="6"/>
      <c r="M1918" s="6"/>
      <c r="P1918" s="6"/>
      <c r="Q1918" s="6" t="str">
        <f>IFERROR(__xludf.DUMMYFUNCTION("""COMPUTED_VALUE"""),"specific")</f>
        <v>specific</v>
      </c>
    </row>
    <row r="1919">
      <c r="B1919" s="6"/>
      <c r="D1919" s="6"/>
      <c r="G1919" s="6"/>
      <c r="H1919" s="6">
        <f>IFERROR(__xludf.DUMMYFUNCTION("""COMPUTED_VALUE"""),1975.0)</f>
        <v>1975</v>
      </c>
      <c r="I1919" s="6"/>
      <c r="M1919" s="6"/>
      <c r="P1919" s="6"/>
      <c r="Q1919" s="6" t="str">
        <f>IFERROR(__xludf.DUMMYFUNCTION("""COMPUTED_VALUE"""),"stills")</f>
        <v>stills</v>
      </c>
    </row>
    <row r="1920">
      <c r="B1920" s="6"/>
      <c r="D1920" s="6"/>
      <c r="G1920" s="6"/>
      <c r="H1920" s="6" t="str">
        <f>IFERROR(__xludf.DUMMYFUNCTION("""COMPUTED_VALUE"""),"derek")</f>
        <v>derek</v>
      </c>
      <c r="I1920" s="6"/>
      <c r="M1920" s="6"/>
      <c r="P1920" s="6"/>
      <c r="Q1920" s="6" t="str">
        <f>IFERROR(__xludf.DUMMYFUNCTION("""COMPUTED_VALUE"""),"grasp")</f>
        <v>grasp</v>
      </c>
    </row>
    <row r="1921">
      <c r="B1921" s="6"/>
      <c r="D1921" s="6"/>
      <c r="G1921" s="6"/>
      <c r="H1921" s="6" t="str">
        <f>IFERROR(__xludf.DUMMYFUNCTION("""COMPUTED_VALUE"""),"sources")</f>
        <v>sources</v>
      </c>
      <c r="I1921" s="6"/>
      <c r="M1921" s="6"/>
      <c r="P1921" s="6"/>
      <c r="Q1921" s="6" t="str">
        <f>IFERROR(__xludf.DUMMYFUNCTION("""COMPUTED_VALUE"""),"rattling")</f>
        <v>rattling</v>
      </c>
    </row>
    <row r="1922">
      <c r="B1922" s="6"/>
      <c r="D1922" s="6"/>
      <c r="G1922" s="6"/>
      <c r="H1922" s="6" t="str">
        <f>IFERROR(__xludf.DUMMYFUNCTION("""COMPUTED_VALUE"""),"gifford")</f>
        <v>gifford</v>
      </c>
      <c r="I1922" s="6"/>
      <c r="M1922" s="6"/>
      <c r="P1922" s="6"/>
      <c r="Q1922" s="6" t="str">
        <f>IFERROR(__xludf.DUMMYFUNCTION("""COMPUTED_VALUE"""),"portions")</f>
        <v>portions</v>
      </c>
    </row>
    <row r="1923">
      <c r="B1923" s="6"/>
      <c r="D1923" s="6"/>
      <c r="G1923" s="6"/>
      <c r="H1923" s="6" t="str">
        <f>IFERROR(__xludf.DUMMYFUNCTION("""COMPUTED_VALUE"""),"disturbance")</f>
        <v>disturbance</v>
      </c>
      <c r="I1923" s="6"/>
      <c r="M1923" s="6"/>
      <c r="P1923" s="6"/>
      <c r="Q1923" s="6" t="str">
        <f>IFERROR(__xludf.DUMMYFUNCTION("""COMPUTED_VALUE"""),"insignificant")</f>
        <v>insignificant</v>
      </c>
    </row>
    <row r="1924">
      <c r="B1924" s="6"/>
      <c r="D1924" s="6"/>
      <c r="G1924" s="6"/>
      <c r="H1924" s="6" t="str">
        <f>IFERROR(__xludf.DUMMYFUNCTION("""COMPUTED_VALUE"""),"plausible")</f>
        <v>plausible</v>
      </c>
      <c r="I1924" s="6"/>
      <c r="M1924" s="6"/>
      <c r="P1924" s="6"/>
      <c r="Q1924" s="6" t="str">
        <f>IFERROR(__xludf.DUMMYFUNCTION("""COMPUTED_VALUE"""),"examines")</f>
        <v>examines</v>
      </c>
    </row>
    <row r="1925">
      <c r="B1925" s="6"/>
      <c r="D1925" s="6"/>
      <c r="G1925" s="6"/>
      <c r="H1925" s="6" t="str">
        <f>IFERROR(__xludf.DUMMYFUNCTION("""COMPUTED_VALUE"""),"skeleton")</f>
        <v>skeleton</v>
      </c>
      <c r="I1925" s="6"/>
      <c r="M1925" s="6"/>
      <c r="P1925" s="6"/>
      <c r="Q1925" s="6" t="str">
        <f>IFERROR(__xludf.DUMMYFUNCTION("""COMPUTED_VALUE"""),"band")</f>
        <v>band</v>
      </c>
    </row>
    <row r="1926">
      <c r="B1926" s="6"/>
      <c r="D1926" s="6"/>
      <c r="G1926" s="6"/>
      <c r="H1926" s="6" t="str">
        <f>IFERROR(__xludf.DUMMYFUNCTION("""COMPUTED_VALUE"""),"bender")</f>
        <v>bender</v>
      </c>
      <c r="I1926" s="6"/>
      <c r="M1926" s="6"/>
      <c r="P1926" s="6"/>
      <c r="Q1926" s="6" t="str">
        <f>IFERROR(__xludf.DUMMYFUNCTION("""COMPUTED_VALUE"""),"explores")</f>
        <v>explores</v>
      </c>
    </row>
    <row r="1927">
      <c r="B1927" s="6"/>
      <c r="D1927" s="6"/>
      <c r="G1927" s="6"/>
      <c r="H1927" s="6" t="str">
        <f>IFERROR(__xludf.DUMMYFUNCTION("""COMPUTED_VALUE"""),"precedent")</f>
        <v>precedent</v>
      </c>
      <c r="I1927" s="6"/>
      <c r="M1927" s="6"/>
      <c r="P1927" s="6"/>
      <c r="Q1927" s="6" t="str">
        <f>IFERROR(__xludf.DUMMYFUNCTION("""COMPUTED_VALUE"""),"horse")</f>
        <v>horse</v>
      </c>
    </row>
    <row r="1928">
      <c r="B1928" s="6"/>
      <c r="D1928" s="6"/>
      <c r="G1928" s="6"/>
      <c r="H1928" s="6" t="str">
        <f>IFERROR(__xludf.DUMMYFUNCTION("""COMPUTED_VALUE"""),"catastrophic")</f>
        <v>catastrophic</v>
      </c>
      <c r="I1928" s="6"/>
      <c r="M1928" s="6"/>
      <c r="P1928" s="6"/>
      <c r="Q1928" s="6" t="str">
        <f>IFERROR(__xludf.DUMMYFUNCTION("""COMPUTED_VALUE"""),"exploit")</f>
        <v>exploit</v>
      </c>
    </row>
    <row r="1929">
      <c r="B1929" s="6"/>
      <c r="D1929" s="6"/>
      <c r="G1929" s="6"/>
      <c r="H1929" s="6" t="str">
        <f>IFERROR(__xludf.DUMMYFUNCTION("""COMPUTED_VALUE"""),"pact")</f>
        <v>pact</v>
      </c>
      <c r="I1929" s="6"/>
      <c r="M1929" s="6"/>
      <c r="P1929" s="6"/>
      <c r="Q1929" s="6" t="str">
        <f>IFERROR(__xludf.DUMMYFUNCTION("""COMPUTED_VALUE"""),"instincts")</f>
        <v>instincts</v>
      </c>
    </row>
    <row r="1930">
      <c r="B1930" s="6"/>
      <c r="D1930" s="6"/>
      <c r="G1930" s="6"/>
      <c r="H1930" s="6" t="str">
        <f>IFERROR(__xludf.DUMMYFUNCTION("""COMPUTED_VALUE"""),"grave")</f>
        <v>grave</v>
      </c>
      <c r="I1930" s="6"/>
      <c r="M1930" s="6"/>
      <c r="P1930" s="6"/>
      <c r="Q1930" s="6" t="str">
        <f>IFERROR(__xludf.DUMMYFUNCTION("""COMPUTED_VALUE"""),"malcolm")</f>
        <v>malcolm</v>
      </c>
    </row>
    <row r="1931">
      <c r="B1931" s="6"/>
      <c r="D1931" s="6"/>
      <c r="G1931" s="6"/>
      <c r="H1931" s="6" t="str">
        <f>IFERROR(__xludf.DUMMYFUNCTION("""COMPUTED_VALUE"""),"crushing")</f>
        <v>crushing</v>
      </c>
      <c r="I1931" s="6"/>
      <c r="M1931" s="6"/>
      <c r="P1931" s="6"/>
      <c r="Q1931" s="6" t="str">
        <f>IFERROR(__xludf.DUMMYFUNCTION("""COMPUTED_VALUE"""),"ridley")</f>
        <v>ridley</v>
      </c>
    </row>
    <row r="1932">
      <c r="B1932" s="6"/>
      <c r="D1932" s="6"/>
      <c r="G1932" s="6"/>
      <c r="H1932" s="6" t="str">
        <f>IFERROR(__xludf.DUMMYFUNCTION("""COMPUTED_VALUE"""),"fragment")</f>
        <v>fragment</v>
      </c>
      <c r="I1932" s="6"/>
      <c r="M1932" s="6"/>
      <c r="P1932" s="6"/>
      <c r="Q1932" s="6" t="str">
        <f>IFERROR(__xludf.DUMMYFUNCTION("""COMPUTED_VALUE"""),"roman")</f>
        <v>roman</v>
      </c>
    </row>
    <row r="1933">
      <c r="B1933" s="6"/>
      <c r="D1933" s="6"/>
      <c r="G1933" s="6"/>
      <c r="H1933" s="6" t="str">
        <f>IFERROR(__xludf.DUMMYFUNCTION("""COMPUTED_VALUE"""),"pornographic")</f>
        <v>pornographic</v>
      </c>
      <c r="I1933" s="6"/>
      <c r="M1933" s="6"/>
      <c r="P1933" s="6"/>
      <c r="Q1933" s="6" t="str">
        <f>IFERROR(__xludf.DUMMYFUNCTION("""COMPUTED_VALUE"""),"ideology")</f>
        <v>ideology</v>
      </c>
    </row>
    <row r="1934">
      <c r="B1934" s="6"/>
      <c r="D1934" s="6"/>
      <c r="G1934" s="6"/>
      <c r="H1934" s="6" t="str">
        <f>IFERROR(__xludf.DUMMYFUNCTION("""COMPUTED_VALUE"""),"frontal")</f>
        <v>frontal</v>
      </c>
      <c r="I1934" s="6"/>
      <c r="M1934" s="6"/>
      <c r="P1934" s="6"/>
      <c r="Q1934" s="6" t="str">
        <f>IFERROR(__xludf.DUMMYFUNCTION("""COMPUTED_VALUE"""),"holocaust")</f>
        <v>holocaust</v>
      </c>
    </row>
    <row r="1935">
      <c r="B1935" s="6"/>
      <c r="D1935" s="6"/>
      <c r="G1935" s="6"/>
      <c r="H1935" s="6" t="str">
        <f>IFERROR(__xludf.DUMMYFUNCTION("""COMPUTED_VALUE"""),"fused")</f>
        <v>fused</v>
      </c>
      <c r="I1935" s="6"/>
      <c r="M1935" s="6"/>
      <c r="P1935" s="6"/>
      <c r="Q1935" s="6" t="str">
        <f>IFERROR(__xludf.DUMMYFUNCTION("""COMPUTED_VALUE"""),"streamed")</f>
        <v>streamed</v>
      </c>
    </row>
    <row r="1936">
      <c r="B1936" s="6"/>
      <c r="D1936" s="6"/>
      <c r="G1936" s="6"/>
      <c r="H1936" s="6" t="str">
        <f>IFERROR(__xludf.DUMMYFUNCTION("""COMPUTED_VALUE"""),"playfully")</f>
        <v>playfully</v>
      </c>
      <c r="I1936" s="6"/>
      <c r="M1936" s="6"/>
      <c r="P1936" s="6"/>
      <c r="Q1936" s="6" t="str">
        <f>IFERROR(__xludf.DUMMYFUNCTION("""COMPUTED_VALUE"""),"iran")</f>
        <v>iran</v>
      </c>
    </row>
    <row r="1937">
      <c r="B1937" s="6"/>
      <c r="D1937" s="6"/>
      <c r="G1937" s="6"/>
      <c r="H1937" s="6" t="str">
        <f>IFERROR(__xludf.DUMMYFUNCTION("""COMPUTED_VALUE"""),"losses")</f>
        <v>losses</v>
      </c>
      <c r="I1937" s="6"/>
      <c r="M1937" s="6"/>
      <c r="P1937" s="6"/>
      <c r="Q1937" s="6" t="str">
        <f>IFERROR(__xludf.DUMMYFUNCTION("""COMPUTED_VALUE"""),"facades")</f>
        <v>facades</v>
      </c>
    </row>
    <row r="1938">
      <c r="B1938" s="6"/>
      <c r="D1938" s="6"/>
      <c r="G1938" s="6"/>
      <c r="H1938" s="6" t="str">
        <f>IFERROR(__xludf.DUMMYFUNCTION("""COMPUTED_VALUE"""),"broader")</f>
        <v>broader</v>
      </c>
      <c r="I1938" s="6"/>
      <c r="M1938" s="6"/>
      <c r="P1938" s="6"/>
      <c r="Q1938" s="6" t="str">
        <f>IFERROR(__xludf.DUMMYFUNCTION("""COMPUTED_VALUE"""),"anchors")</f>
        <v>anchors</v>
      </c>
    </row>
    <row r="1939">
      <c r="B1939" s="6"/>
      <c r="D1939" s="6"/>
      <c r="G1939" s="6"/>
      <c r="H1939" s="6" t="str">
        <f>IFERROR(__xludf.DUMMYFUNCTION("""COMPUTED_VALUE"""),"bestowed")</f>
        <v>bestowed</v>
      </c>
      <c r="I1939" s="6"/>
      <c r="M1939" s="6"/>
      <c r="P1939" s="6"/>
      <c r="Q1939" s="6" t="str">
        <f>IFERROR(__xludf.DUMMYFUNCTION("""COMPUTED_VALUE"""),"expects")</f>
        <v>expects</v>
      </c>
    </row>
    <row r="1940">
      <c r="B1940" s="6"/>
      <c r="D1940" s="6"/>
      <c r="G1940" s="6"/>
      <c r="H1940" s="6" t="str">
        <f>IFERROR(__xludf.DUMMYFUNCTION("""COMPUTED_VALUE"""),"waldo")</f>
        <v>waldo</v>
      </c>
      <c r="I1940" s="6"/>
      <c r="M1940" s="6"/>
      <c r="P1940" s="6"/>
      <c r="Q1940" s="6" t="str">
        <f>IFERROR(__xludf.DUMMYFUNCTION("""COMPUTED_VALUE"""),"gloom")</f>
        <v>gloom</v>
      </c>
    </row>
    <row r="1941">
      <c r="B1941" s="6"/>
      <c r="D1941" s="6"/>
      <c r="G1941" s="6"/>
      <c r="H1941" s="6" t="str">
        <f>IFERROR(__xludf.DUMMYFUNCTION("""COMPUTED_VALUE"""),"familiarity")</f>
        <v>familiarity</v>
      </c>
      <c r="I1941" s="6"/>
      <c r="M1941" s="6"/>
      <c r="P1941" s="6"/>
      <c r="Q1941" s="6" t="str">
        <f>IFERROR(__xludf.DUMMYFUNCTION("""COMPUTED_VALUE"""),"patting")</f>
        <v>patting</v>
      </c>
    </row>
    <row r="1942">
      <c r="B1942" s="6"/>
      <c r="D1942" s="6"/>
      <c r="G1942" s="6"/>
      <c r="H1942" s="6" t="str">
        <f>IFERROR(__xludf.DUMMYFUNCTION("""COMPUTED_VALUE"""),"carmichael")</f>
        <v>carmichael</v>
      </c>
      <c r="I1942" s="6"/>
      <c r="M1942" s="6"/>
      <c r="P1942" s="6"/>
      <c r="Q1942" s="6" t="str">
        <f>IFERROR(__xludf.DUMMYFUNCTION("""COMPUTED_VALUE"""),"throbbing")</f>
        <v>throbbing</v>
      </c>
    </row>
    <row r="1943">
      <c r="B1943" s="6"/>
      <c r="D1943" s="6"/>
      <c r="G1943" s="6"/>
      <c r="H1943" s="6" t="str">
        <f>IFERROR(__xludf.DUMMYFUNCTION("""COMPUTED_VALUE"""),"victorious")</f>
        <v>victorious</v>
      </c>
      <c r="I1943" s="6"/>
      <c r="M1943" s="6"/>
      <c r="P1943" s="6"/>
      <c r="Q1943" s="6" t="str">
        <f>IFERROR(__xludf.DUMMYFUNCTION("""COMPUTED_VALUE"""),"myth")</f>
        <v>myth</v>
      </c>
    </row>
    <row r="1944">
      <c r="B1944" s="6"/>
      <c r="D1944" s="6"/>
      <c r="G1944" s="6"/>
      <c r="H1944" s="6" t="str">
        <f>IFERROR(__xludf.DUMMYFUNCTION("""COMPUTED_VALUE"""),"revolutionaries")</f>
        <v>revolutionaries</v>
      </c>
      <c r="I1944" s="6"/>
      <c r="M1944" s="6"/>
      <c r="P1944" s="6"/>
      <c r="Q1944" s="6" t="str">
        <f>IFERROR(__xludf.DUMMYFUNCTION("""COMPUTED_VALUE"""),"heroic")</f>
        <v>heroic</v>
      </c>
    </row>
    <row r="1945">
      <c r="B1945" s="6"/>
      <c r="D1945" s="6"/>
      <c r="G1945" s="6"/>
      <c r="H1945" s="6" t="str">
        <f>IFERROR(__xludf.DUMMYFUNCTION("""COMPUTED_VALUE"""),"exiled")</f>
        <v>exiled</v>
      </c>
      <c r="I1945" s="6"/>
      <c r="M1945" s="6"/>
      <c r="P1945" s="6"/>
      <c r="Q1945" s="6" t="str">
        <f>IFERROR(__xludf.DUMMYFUNCTION("""COMPUTED_VALUE"""),"hicks")</f>
        <v>hicks</v>
      </c>
    </row>
    <row r="1946">
      <c r="B1946" s="6"/>
      <c r="D1946" s="6"/>
      <c r="G1946" s="6"/>
      <c r="H1946" s="6" t="str">
        <f>IFERROR(__xludf.DUMMYFUNCTION("""COMPUTED_VALUE"""),"aristocracy")</f>
        <v>aristocracy</v>
      </c>
      <c r="I1946" s="6"/>
      <c r="M1946" s="6"/>
      <c r="P1946" s="6"/>
      <c r="Q1946" s="6" t="str">
        <f>IFERROR(__xludf.DUMMYFUNCTION("""COMPUTED_VALUE"""),"sprung")</f>
        <v>sprung</v>
      </c>
    </row>
    <row r="1947">
      <c r="B1947" s="6"/>
      <c r="D1947" s="6"/>
      <c r="G1947" s="6"/>
      <c r="H1947" s="6" t="str">
        <f>IFERROR(__xludf.DUMMYFUNCTION("""COMPUTED_VALUE"""),"hounds")</f>
        <v>hounds</v>
      </c>
      <c r="I1947" s="6"/>
      <c r="M1947" s="6"/>
      <c r="P1947" s="6"/>
      <c r="Q1947" s="6" t="str">
        <f>IFERROR(__xludf.DUMMYFUNCTION("""COMPUTED_VALUE"""),"california")</f>
        <v>california</v>
      </c>
    </row>
    <row r="1948">
      <c r="B1948" s="6"/>
      <c r="D1948" s="6"/>
      <c r="G1948" s="6"/>
      <c r="H1948" s="6" t="str">
        <f>IFERROR(__xludf.DUMMYFUNCTION("""COMPUTED_VALUE"""),"iranian")</f>
        <v>iranian</v>
      </c>
      <c r="I1948" s="6"/>
      <c r="M1948" s="6"/>
      <c r="P1948" s="6"/>
      <c r="Q1948" s="6" t="str">
        <f>IFERROR(__xludf.DUMMYFUNCTION("""COMPUTED_VALUE"""),"expressions")</f>
        <v>expressions</v>
      </c>
    </row>
    <row r="1949">
      <c r="B1949" s="6"/>
      <c r="D1949" s="6"/>
      <c r="G1949" s="6"/>
      <c r="H1949" s="6" t="str">
        <f>IFERROR(__xludf.DUMMYFUNCTION("""COMPUTED_VALUE"""),"fledgling")</f>
        <v>fledgling</v>
      </c>
      <c r="I1949" s="6"/>
      <c r="M1949" s="6"/>
      <c r="P1949" s="6"/>
      <c r="Q1949" s="6" t="str">
        <f>IFERROR(__xludf.DUMMYFUNCTION("""COMPUTED_VALUE"""),"chord")</f>
        <v>chord</v>
      </c>
    </row>
    <row r="1950">
      <c r="B1950" s="6"/>
      <c r="D1950" s="6"/>
      <c r="G1950" s="6"/>
      <c r="H1950" s="6" t="str">
        <f>IFERROR(__xludf.DUMMYFUNCTION("""COMPUTED_VALUE"""),"presiding")</f>
        <v>presiding</v>
      </c>
      <c r="I1950" s="6"/>
      <c r="M1950" s="6"/>
      <c r="P1950" s="6"/>
      <c r="Q1950" s="6" t="str">
        <f>IFERROR(__xludf.DUMMYFUNCTION("""COMPUTED_VALUE"""),"chronicle")</f>
        <v>chronicle</v>
      </c>
    </row>
    <row r="1951">
      <c r="B1951" s="6"/>
      <c r="D1951" s="6"/>
      <c r="G1951" s="6"/>
      <c r="H1951" s="6" t="str">
        <f>IFERROR(__xludf.DUMMYFUNCTION("""COMPUTED_VALUE"""),"macbeth")</f>
        <v>macbeth</v>
      </c>
      <c r="I1951" s="6"/>
      <c r="M1951" s="6"/>
      <c r="P1951" s="6"/>
      <c r="Q1951" s="6" t="str">
        <f>IFERROR(__xludf.DUMMYFUNCTION("""COMPUTED_VALUE"""),"vaudeville")</f>
        <v>vaudeville</v>
      </c>
    </row>
    <row r="1952">
      <c r="B1952" s="6"/>
      <c r="D1952" s="6"/>
      <c r="G1952" s="6"/>
      <c r="H1952" s="6" t="str">
        <f>IFERROR(__xludf.DUMMYFUNCTION("""COMPUTED_VALUE"""),"influential")</f>
        <v>influential</v>
      </c>
      <c r="I1952" s="6"/>
      <c r="M1952" s="6"/>
      <c r="P1952" s="6"/>
      <c r="Q1952" s="6" t="str">
        <f>IFERROR(__xludf.DUMMYFUNCTION("""COMPUTED_VALUE"""),"flowering")</f>
        <v>flowering</v>
      </c>
    </row>
    <row r="1953">
      <c r="B1953" s="6"/>
      <c r="D1953" s="6"/>
      <c r="G1953" s="6"/>
      <c r="H1953" s="6" t="str">
        <f>IFERROR(__xludf.DUMMYFUNCTION("""COMPUTED_VALUE"""),"goldberg")</f>
        <v>goldberg</v>
      </c>
      <c r="I1953" s="6"/>
      <c r="M1953" s="6"/>
      <c r="P1953" s="6"/>
      <c r="Q1953" s="6" t="str">
        <f>IFERROR(__xludf.DUMMYFUNCTION("""COMPUTED_VALUE"""),"testosterone")</f>
        <v>testosterone</v>
      </c>
    </row>
    <row r="1954">
      <c r="B1954" s="6"/>
      <c r="D1954" s="6"/>
      <c r="G1954" s="6"/>
      <c r="H1954" s="6" t="str">
        <f>IFERROR(__xludf.DUMMYFUNCTION("""COMPUTED_VALUE"""),"elm")</f>
        <v>elm</v>
      </c>
      <c r="I1954" s="6"/>
      <c r="M1954" s="6"/>
      <c r="P1954" s="6"/>
      <c r="Q1954" s="6" t="str">
        <f>IFERROR(__xludf.DUMMYFUNCTION("""COMPUTED_VALUE"""),"serials")</f>
        <v>serials</v>
      </c>
    </row>
    <row r="1955">
      <c r="B1955" s="6"/>
      <c r="D1955" s="6"/>
      <c r="G1955" s="6"/>
      <c r="H1955" s="6" t="str">
        <f>IFERROR(__xludf.DUMMYFUNCTION("""COMPUTED_VALUE"""),"guilt")</f>
        <v>guilt</v>
      </c>
      <c r="I1955" s="6"/>
      <c r="M1955" s="6"/>
      <c r="P1955" s="6"/>
      <c r="Q1955" s="6" t="str">
        <f>IFERROR(__xludf.DUMMYFUNCTION("""COMPUTED_VALUE"""),"jolted")</f>
        <v>jolted</v>
      </c>
    </row>
    <row r="1956">
      <c r="B1956" s="6"/>
      <c r="D1956" s="6"/>
      <c r="G1956" s="6"/>
      <c r="H1956" s="6" t="str">
        <f>IFERROR(__xludf.DUMMYFUNCTION("""COMPUTED_VALUE"""),"conflicts")</f>
        <v>conflicts</v>
      </c>
      <c r="I1956" s="6"/>
      <c r="M1956" s="6"/>
      <c r="P1956" s="6"/>
      <c r="Q1956" s="6" t="str">
        <f>IFERROR(__xludf.DUMMYFUNCTION("""COMPUTED_VALUE"""),"cousin")</f>
        <v>cousin</v>
      </c>
    </row>
    <row r="1957">
      <c r="B1957" s="6"/>
      <c r="D1957" s="6"/>
      <c r="G1957" s="6"/>
      <c r="H1957" s="6" t="str">
        <f>IFERROR(__xludf.DUMMYFUNCTION("""COMPUTED_VALUE"""),"uniquely")</f>
        <v>uniquely</v>
      </c>
      <c r="I1957" s="6"/>
      <c r="M1957" s="6"/>
      <c r="P1957" s="6"/>
      <c r="Q1957" s="6" t="str">
        <f>IFERROR(__xludf.DUMMYFUNCTION("""COMPUTED_VALUE"""),"slender")</f>
        <v>slender</v>
      </c>
    </row>
    <row r="1958">
      <c r="B1958" s="6"/>
      <c r="D1958" s="6"/>
      <c r="G1958" s="6"/>
      <c r="H1958" s="6" t="str">
        <f>IFERROR(__xludf.DUMMYFUNCTION("""COMPUTED_VALUE"""),"pinnacle")</f>
        <v>pinnacle</v>
      </c>
      <c r="I1958" s="6"/>
      <c r="M1958" s="6"/>
      <c r="P1958" s="6"/>
      <c r="Q1958" s="6" t="str">
        <f>IFERROR(__xludf.DUMMYFUNCTION("""COMPUTED_VALUE"""),"kaufman")</f>
        <v>kaufman</v>
      </c>
    </row>
    <row r="1959">
      <c r="B1959" s="6"/>
      <c r="D1959" s="6"/>
      <c r="G1959" s="6"/>
      <c r="H1959" s="6" t="str">
        <f>IFERROR(__xludf.DUMMYFUNCTION("""COMPUTED_VALUE"""),"probation")</f>
        <v>probation</v>
      </c>
      <c r="I1959" s="6"/>
      <c r="M1959" s="6"/>
      <c r="P1959" s="6"/>
      <c r="Q1959" s="6" t="str">
        <f>IFERROR(__xludf.DUMMYFUNCTION("""COMPUTED_VALUE"""),"masculine")</f>
        <v>masculine</v>
      </c>
    </row>
    <row r="1960">
      <c r="B1960" s="6"/>
      <c r="D1960" s="6"/>
      <c r="G1960" s="6"/>
      <c r="H1960" s="6" t="str">
        <f>IFERROR(__xludf.DUMMYFUNCTION("""COMPUTED_VALUE"""),"yields")</f>
        <v>yields</v>
      </c>
      <c r="I1960" s="6"/>
      <c r="M1960" s="6"/>
      <c r="P1960" s="6"/>
      <c r="Q1960" s="6" t="str">
        <f>IFERROR(__xludf.DUMMYFUNCTION("""COMPUTED_VALUE"""),"humanist")</f>
        <v>humanist</v>
      </c>
    </row>
    <row r="1961">
      <c r="B1961" s="6"/>
      <c r="D1961" s="6"/>
      <c r="G1961" s="6"/>
      <c r="H1961" s="6" t="str">
        <f>IFERROR(__xludf.DUMMYFUNCTION("""COMPUTED_VALUE"""),"mankind")</f>
        <v>mankind</v>
      </c>
      <c r="I1961" s="6"/>
      <c r="M1961" s="6"/>
      <c r="P1961" s="6"/>
      <c r="Q1961" s="6" t="str">
        <f>IFERROR(__xludf.DUMMYFUNCTION("""COMPUTED_VALUE"""),"adaptations")</f>
        <v>adaptations</v>
      </c>
    </row>
    <row r="1962">
      <c r="B1962" s="6"/>
      <c r="D1962" s="6"/>
      <c r="G1962" s="6"/>
      <c r="H1962" s="6" t="str">
        <f>IFERROR(__xludf.DUMMYFUNCTION("""COMPUTED_VALUE"""),"wasp")</f>
        <v>wasp</v>
      </c>
      <c r="I1962" s="6"/>
      <c r="M1962" s="6"/>
      <c r="P1962" s="6"/>
      <c r="Q1962" s="6" t="str">
        <f>IFERROR(__xludf.DUMMYFUNCTION("""COMPUTED_VALUE"""),"satin")</f>
        <v>satin</v>
      </c>
    </row>
    <row r="1963">
      <c r="B1963" s="6"/>
      <c r="D1963" s="6"/>
      <c r="G1963" s="6"/>
      <c r="H1963" s="6" t="str">
        <f>IFERROR(__xludf.DUMMYFUNCTION("""COMPUTED_VALUE"""),"weber")</f>
        <v>weber</v>
      </c>
      <c r="I1963" s="6"/>
      <c r="M1963" s="6"/>
      <c r="P1963" s="6"/>
      <c r="Q1963" s="6" t="str">
        <f>IFERROR(__xludf.DUMMYFUNCTION("""COMPUTED_VALUE"""),"rouge")</f>
        <v>rouge</v>
      </c>
    </row>
    <row r="1964">
      <c r="B1964" s="6"/>
      <c r="D1964" s="6"/>
      <c r="G1964" s="6"/>
      <c r="H1964" s="6" t="str">
        <f>IFERROR(__xludf.DUMMYFUNCTION("""COMPUTED_VALUE"""),"stud")</f>
        <v>stud</v>
      </c>
      <c r="I1964" s="6"/>
      <c r="M1964" s="6"/>
      <c r="P1964" s="6"/>
      <c r="Q1964" s="6" t="str">
        <f>IFERROR(__xludf.DUMMYFUNCTION("""COMPUTED_VALUE"""),"ripe")</f>
        <v>ripe</v>
      </c>
    </row>
    <row r="1965">
      <c r="B1965" s="6"/>
      <c r="D1965" s="6"/>
      <c r="G1965" s="6"/>
      <c r="H1965" s="6" t="str">
        <f>IFERROR(__xludf.DUMMYFUNCTION("""COMPUTED_VALUE"""),"terrorism")</f>
        <v>terrorism</v>
      </c>
      <c r="I1965" s="6"/>
      <c r="M1965" s="6"/>
      <c r="P1965" s="6"/>
      <c r="Q1965" s="6" t="str">
        <f>IFERROR(__xludf.DUMMYFUNCTION("""COMPUTED_VALUE"""),"integrated")</f>
        <v>integrated</v>
      </c>
    </row>
    <row r="1966">
      <c r="B1966" s="6"/>
      <c r="D1966" s="6"/>
      <c r="G1966" s="6"/>
      <c r="H1966" s="6" t="str">
        <f>IFERROR(__xludf.DUMMYFUNCTION("""COMPUTED_VALUE"""),"sociology")</f>
        <v>sociology</v>
      </c>
      <c r="I1966" s="6"/>
      <c r="M1966" s="6"/>
      <c r="P1966" s="6"/>
      <c r="Q1966" s="6" t="str">
        <f>IFERROR(__xludf.DUMMYFUNCTION("""COMPUTED_VALUE"""),"speculative")</f>
        <v>speculative</v>
      </c>
    </row>
    <row r="1967">
      <c r="B1967" s="6"/>
      <c r="D1967" s="6"/>
      <c r="G1967" s="6"/>
      <c r="H1967" s="6" t="str">
        <f>IFERROR(__xludf.DUMMYFUNCTION("""COMPUTED_VALUE"""),"hazy")</f>
        <v>hazy</v>
      </c>
      <c r="I1967" s="6"/>
      <c r="M1967" s="6"/>
      <c r="P1967" s="6"/>
      <c r="Q1967" s="6" t="str">
        <f>IFERROR(__xludf.DUMMYFUNCTION("""COMPUTED_VALUE"""),"baird")</f>
        <v>baird</v>
      </c>
    </row>
    <row r="1968">
      <c r="B1968" s="6"/>
      <c r="D1968" s="6"/>
      <c r="G1968" s="6"/>
      <c r="H1968" s="6" t="str">
        <f>IFERROR(__xludf.DUMMYFUNCTION("""COMPUTED_VALUE"""),"attracting")</f>
        <v>attracting</v>
      </c>
      <c r="I1968" s="6"/>
      <c r="M1968" s="6"/>
      <c r="P1968" s="6"/>
      <c r="Q1968" s="6" t="str">
        <f>IFERROR(__xludf.DUMMYFUNCTION("""COMPUTED_VALUE"""),"store")</f>
        <v>store</v>
      </c>
    </row>
    <row r="1969">
      <c r="B1969" s="6"/>
      <c r="D1969" s="6"/>
      <c r="G1969" s="6"/>
      <c r="H1969" s="6" t="str">
        <f>IFERROR(__xludf.DUMMYFUNCTION("""COMPUTED_VALUE"""),"debts")</f>
        <v>debts</v>
      </c>
      <c r="I1969" s="6"/>
      <c r="M1969" s="6"/>
      <c r="P1969" s="6"/>
      <c r="Q1969" s="6" t="str">
        <f>IFERROR(__xludf.DUMMYFUNCTION("""COMPUTED_VALUE"""),"extant")</f>
        <v>extant</v>
      </c>
    </row>
    <row r="1970">
      <c r="B1970" s="6"/>
      <c r="D1970" s="6"/>
      <c r="G1970" s="6"/>
      <c r="H1970" s="6" t="str">
        <f>IFERROR(__xludf.DUMMYFUNCTION("""COMPUTED_VALUE"""),"destruction")</f>
        <v>destruction</v>
      </c>
      <c r="I1970" s="6"/>
      <c r="M1970" s="6"/>
      <c r="P1970" s="6"/>
      <c r="Q1970" s="6" t="str">
        <f>IFERROR(__xludf.DUMMYFUNCTION("""COMPUTED_VALUE"""),"characterized")</f>
        <v>characterized</v>
      </c>
    </row>
    <row r="1971">
      <c r="B1971" s="6"/>
      <c r="D1971" s="6"/>
      <c r="G1971" s="6"/>
      <c r="H1971" s="6" t="str">
        <f>IFERROR(__xludf.DUMMYFUNCTION("""COMPUTED_VALUE"""),"gracefully")</f>
        <v>gracefully</v>
      </c>
      <c r="I1971" s="6"/>
      <c r="M1971" s="6"/>
      <c r="P1971" s="6"/>
      <c r="Q1971" s="6" t="str">
        <f>IFERROR(__xludf.DUMMYFUNCTION("""COMPUTED_VALUE"""),"pre")</f>
        <v>pre</v>
      </c>
    </row>
    <row r="1972">
      <c r="B1972" s="6"/>
      <c r="D1972" s="6"/>
      <c r="G1972" s="6"/>
      <c r="H1972" s="6" t="str">
        <f>IFERROR(__xludf.DUMMYFUNCTION("""COMPUTED_VALUE"""),"moat")</f>
        <v>moat</v>
      </c>
      <c r="I1972" s="6"/>
      <c r="M1972" s="6"/>
      <c r="P1972" s="6"/>
      <c r="Q1972" s="6" t="str">
        <f>IFERROR(__xludf.DUMMYFUNCTION("""COMPUTED_VALUE"""),"bronze")</f>
        <v>bronze</v>
      </c>
    </row>
    <row r="1973">
      <c r="B1973" s="6"/>
      <c r="D1973" s="6"/>
      <c r="G1973" s="6"/>
      <c r="H1973" s="6" t="str">
        <f>IFERROR(__xludf.DUMMYFUNCTION("""COMPUTED_VALUE"""),"rooted")</f>
        <v>rooted</v>
      </c>
      <c r="I1973" s="6"/>
      <c r="M1973" s="6"/>
      <c r="P1973" s="6"/>
      <c r="Q1973" s="6" t="str">
        <f>IFERROR(__xludf.DUMMYFUNCTION("""COMPUTED_VALUE"""),"cardiac")</f>
        <v>cardiac</v>
      </c>
    </row>
    <row r="1974">
      <c r="B1974" s="6"/>
      <c r="D1974" s="6"/>
      <c r="G1974" s="6"/>
      <c r="H1974" s="6" t="str">
        <f>IFERROR(__xludf.DUMMYFUNCTION("""COMPUTED_VALUE"""),"bourgeois")</f>
        <v>bourgeois</v>
      </c>
      <c r="I1974" s="6"/>
      <c r="M1974" s="6"/>
      <c r="P1974" s="6"/>
      <c r="Q1974" s="6" t="str">
        <f>IFERROR(__xludf.DUMMYFUNCTION("""COMPUTED_VALUE"""),"marquis")</f>
        <v>marquis</v>
      </c>
    </row>
    <row r="1975">
      <c r="B1975" s="6"/>
      <c r="D1975" s="6"/>
      <c r="G1975" s="6"/>
      <c r="H1975" s="6" t="str">
        <f>IFERROR(__xludf.DUMMYFUNCTION("""COMPUTED_VALUE"""),"provincial")</f>
        <v>provincial</v>
      </c>
      <c r="I1975" s="6"/>
      <c r="M1975" s="6"/>
      <c r="P1975" s="6"/>
      <c r="Q1975" s="6" t="str">
        <f>IFERROR(__xludf.DUMMYFUNCTION("""COMPUTED_VALUE"""),"menace")</f>
        <v>menace</v>
      </c>
    </row>
    <row r="1976">
      <c r="B1976" s="6"/>
      <c r="D1976" s="6"/>
      <c r="G1976" s="6"/>
      <c r="H1976" s="6" t="str">
        <f>IFERROR(__xludf.DUMMYFUNCTION("""COMPUTED_VALUE"""),"contrasting")</f>
        <v>contrasting</v>
      </c>
      <c r="I1976" s="6"/>
      <c r="M1976" s="6"/>
      <c r="P1976" s="6"/>
      <c r="Q1976" s="6" t="str">
        <f>IFERROR(__xludf.DUMMYFUNCTION("""COMPUTED_VALUE"""),"phantom")</f>
        <v>phantom</v>
      </c>
    </row>
    <row r="1977">
      <c r="B1977" s="6"/>
      <c r="D1977" s="6"/>
      <c r="G1977" s="6"/>
      <c r="H1977" s="6" t="str">
        <f>IFERROR(__xludf.DUMMYFUNCTION("""COMPUTED_VALUE"""),"explosions")</f>
        <v>explosions</v>
      </c>
      <c r="I1977" s="6"/>
      <c r="M1977" s="6"/>
      <c r="P1977" s="6"/>
      <c r="Q1977" s="6" t="str">
        <f>IFERROR(__xludf.DUMMYFUNCTION("""COMPUTED_VALUE"""),"relying")</f>
        <v>relying</v>
      </c>
    </row>
    <row r="1978">
      <c r="B1978" s="6"/>
      <c r="D1978" s="6"/>
      <c r="G1978" s="6"/>
      <c r="H1978" s="6" t="str">
        <f>IFERROR(__xludf.DUMMYFUNCTION("""COMPUTED_VALUE"""),"landscapes")</f>
        <v>landscapes</v>
      </c>
      <c r="I1978" s="6"/>
      <c r="M1978" s="6"/>
      <c r="P1978" s="6"/>
      <c r="Q1978" s="6" t="str">
        <f>IFERROR(__xludf.DUMMYFUNCTION("""COMPUTED_VALUE"""),"yank")</f>
        <v>yank</v>
      </c>
    </row>
    <row r="1979">
      <c r="B1979" s="6"/>
      <c r="D1979" s="6"/>
      <c r="G1979" s="6"/>
      <c r="H1979" s="6" t="str">
        <f>IFERROR(__xludf.DUMMYFUNCTION("""COMPUTED_VALUE"""),"lore")</f>
        <v>lore</v>
      </c>
      <c r="I1979" s="6"/>
      <c r="M1979" s="6"/>
      <c r="P1979" s="6"/>
      <c r="Q1979" s="6" t="str">
        <f>IFERROR(__xludf.DUMMYFUNCTION("""COMPUTED_VALUE"""),"intro")</f>
        <v>intro</v>
      </c>
    </row>
    <row r="1980">
      <c r="B1980" s="6"/>
      <c r="D1980" s="6"/>
      <c r="G1980" s="6"/>
      <c r="H1980" s="6" t="str">
        <f>IFERROR(__xludf.DUMMYFUNCTION("""COMPUTED_VALUE"""),"terrorists")</f>
        <v>terrorists</v>
      </c>
      <c r="I1980" s="6"/>
      <c r="M1980" s="6"/>
      <c r="P1980" s="6"/>
      <c r="Q1980" s="6" t="str">
        <f>IFERROR(__xludf.DUMMYFUNCTION("""COMPUTED_VALUE"""),"manifesto")</f>
        <v>manifesto</v>
      </c>
    </row>
    <row r="1981">
      <c r="B1981" s="6"/>
      <c r="D1981" s="6"/>
      <c r="G1981" s="6"/>
      <c r="H1981" s="6" t="str">
        <f>IFERROR(__xludf.DUMMYFUNCTION("""COMPUTED_VALUE"""),"introduces")</f>
        <v>introduces</v>
      </c>
      <c r="I1981" s="6"/>
      <c r="M1981" s="6"/>
      <c r="P1981" s="6"/>
      <c r="Q1981" s="6" t="str">
        <f>IFERROR(__xludf.DUMMYFUNCTION("""COMPUTED_VALUE"""),"topical")</f>
        <v>topical</v>
      </c>
    </row>
    <row r="1982">
      <c r="B1982" s="6"/>
      <c r="D1982" s="6"/>
      <c r="G1982" s="6"/>
      <c r="H1982" s="6" t="str">
        <f>IFERROR(__xludf.DUMMYFUNCTION("""COMPUTED_VALUE"""),"thinkers")</f>
        <v>thinkers</v>
      </c>
      <c r="I1982" s="6"/>
      <c r="M1982" s="6"/>
      <c r="P1982" s="6"/>
      <c r="Q1982" s="6" t="str">
        <f>IFERROR(__xludf.DUMMYFUNCTION("""COMPUTED_VALUE"""),"swiftly")</f>
        <v>swiftly</v>
      </c>
    </row>
    <row r="1983">
      <c r="B1983" s="6"/>
      <c r="D1983" s="6"/>
      <c r="G1983" s="6"/>
      <c r="H1983" s="6" t="str">
        <f>IFERROR(__xludf.DUMMYFUNCTION("""COMPUTED_VALUE"""),"orbits")</f>
        <v>orbits</v>
      </c>
      <c r="I1983" s="6"/>
      <c r="M1983" s="6"/>
      <c r="P1983" s="6"/>
      <c r="Q1983" s="6" t="str">
        <f>IFERROR(__xludf.DUMMYFUNCTION("""COMPUTED_VALUE"""),"wanderers")</f>
        <v>wanderers</v>
      </c>
    </row>
    <row r="1984">
      <c r="B1984" s="6"/>
      <c r="D1984" s="6"/>
      <c r="G1984" s="6"/>
      <c r="H1984" s="6" t="str">
        <f>IFERROR(__xludf.DUMMYFUNCTION("""COMPUTED_VALUE"""),"reassure")</f>
        <v>reassure</v>
      </c>
      <c r="I1984" s="6"/>
      <c r="M1984" s="6"/>
      <c r="P1984" s="6"/>
      <c r="Q1984" s="6" t="str">
        <f>IFERROR(__xludf.DUMMYFUNCTION("""COMPUTED_VALUE"""),"equilibrium")</f>
        <v>equilibrium</v>
      </c>
    </row>
    <row r="1985">
      <c r="B1985" s="6"/>
      <c r="D1985" s="6"/>
      <c r="G1985" s="6"/>
      <c r="H1985" s="6" t="str">
        <f>IFERROR(__xludf.DUMMYFUNCTION("""COMPUTED_VALUE"""),"ragged")</f>
        <v>ragged</v>
      </c>
      <c r="I1985" s="6"/>
      <c r="M1985" s="6"/>
      <c r="P1985" s="6"/>
      <c r="Q1985" s="6" t="str">
        <f>IFERROR(__xludf.DUMMYFUNCTION("""COMPUTED_VALUE"""),"calculating")</f>
        <v>calculating</v>
      </c>
    </row>
    <row r="1986">
      <c r="B1986" s="6"/>
      <c r="D1986" s="6"/>
      <c r="G1986" s="6"/>
      <c r="H1986" s="6" t="str">
        <f>IFERROR(__xludf.DUMMYFUNCTION("""COMPUTED_VALUE"""),"enacted")</f>
        <v>enacted</v>
      </c>
      <c r="I1986" s="6"/>
      <c r="M1986" s="6"/>
      <c r="P1986" s="6"/>
      <c r="Q1986" s="6">
        <f>IFERROR(__xludf.DUMMYFUNCTION("""COMPUTED_VALUE"""),295.0)</f>
        <v>295</v>
      </c>
    </row>
    <row r="1987">
      <c r="B1987" s="6"/>
      <c r="D1987" s="6"/>
      <c r="G1987" s="6"/>
      <c r="H1987" s="6" t="str">
        <f>IFERROR(__xludf.DUMMYFUNCTION("""COMPUTED_VALUE"""),"annex")</f>
        <v>annex</v>
      </c>
      <c r="I1987" s="6"/>
      <c r="M1987" s="6"/>
      <c r="P1987" s="6"/>
      <c r="Q1987" s="6">
        <f>IFERROR(__xludf.DUMMYFUNCTION("""COMPUTED_VALUE"""),1958.0)</f>
        <v>1958</v>
      </c>
    </row>
    <row r="1988">
      <c r="B1988" s="6"/>
      <c r="D1988" s="6"/>
      <c r="G1988" s="6"/>
      <c r="H1988" s="6" t="str">
        <f>IFERROR(__xludf.DUMMYFUNCTION("""COMPUTED_VALUE"""),"revived")</f>
        <v>revived</v>
      </c>
      <c r="I1988" s="6"/>
      <c r="M1988" s="6"/>
      <c r="P1988" s="6"/>
      <c r="Q1988" s="6" t="str">
        <f>IFERROR(__xludf.DUMMYFUNCTION("""COMPUTED_VALUE"""),"turf")</f>
        <v>turf</v>
      </c>
    </row>
    <row r="1989">
      <c r="B1989" s="6"/>
      <c r="D1989" s="6"/>
      <c r="G1989" s="6"/>
      <c r="H1989" s="6" t="str">
        <f>IFERROR(__xludf.DUMMYFUNCTION("""COMPUTED_VALUE"""),"overture")</f>
        <v>overture</v>
      </c>
      <c r="I1989" s="6"/>
      <c r="M1989" s="6"/>
      <c r="P1989" s="6"/>
      <c r="Q1989" s="6" t="str">
        <f>IFERROR(__xludf.DUMMYFUNCTION("""COMPUTED_VALUE"""),"fingered")</f>
        <v>fingered</v>
      </c>
    </row>
    <row r="1990">
      <c r="B1990" s="6"/>
      <c r="D1990" s="6"/>
      <c r="G1990" s="6"/>
      <c r="H1990" s="6" t="str">
        <f>IFERROR(__xludf.DUMMYFUNCTION("""COMPUTED_VALUE"""),"fellowship")</f>
        <v>fellowship</v>
      </c>
      <c r="I1990" s="6"/>
      <c r="M1990" s="6"/>
      <c r="P1990" s="6"/>
      <c r="Q1990" s="6" t="str">
        <f>IFERROR(__xludf.DUMMYFUNCTION("""COMPUTED_VALUE"""),"races")</f>
        <v>races</v>
      </c>
    </row>
    <row r="1991">
      <c r="B1991" s="6"/>
      <c r="D1991" s="6"/>
      <c r="G1991" s="6"/>
      <c r="H1991" s="6" t="str">
        <f>IFERROR(__xludf.DUMMYFUNCTION("""COMPUTED_VALUE"""),"framework")</f>
        <v>framework</v>
      </c>
      <c r="I1991" s="6"/>
      <c r="M1991" s="6"/>
      <c r="P1991" s="6"/>
      <c r="Q1991" s="6" t="str">
        <f>IFERROR(__xludf.DUMMYFUNCTION("""COMPUTED_VALUE"""),"amassed")</f>
        <v>amassed</v>
      </c>
    </row>
    <row r="1992">
      <c r="B1992" s="6"/>
      <c r="D1992" s="6"/>
      <c r="G1992" s="6"/>
      <c r="H1992" s="6" t="str">
        <f>IFERROR(__xludf.DUMMYFUNCTION("""COMPUTED_VALUE"""),"naive")</f>
        <v>naive</v>
      </c>
      <c r="I1992" s="6"/>
      <c r="M1992" s="6"/>
      <c r="P1992" s="6"/>
      <c r="Q1992" s="6" t="str">
        <f>IFERROR(__xludf.DUMMYFUNCTION("""COMPUTED_VALUE"""),"curiously")</f>
        <v>curiously</v>
      </c>
    </row>
    <row r="1993">
      <c r="B1993" s="6"/>
      <c r="D1993" s="6"/>
      <c r="G1993" s="6"/>
      <c r="H1993" s="6" t="str">
        <f>IFERROR(__xludf.DUMMYFUNCTION("""COMPUTED_VALUE"""),"detective")</f>
        <v>detective</v>
      </c>
      <c r="I1993" s="6"/>
      <c r="M1993" s="6"/>
      <c r="P1993" s="6"/>
      <c r="Q1993" s="6" t="str">
        <f>IFERROR(__xludf.DUMMYFUNCTION("""COMPUTED_VALUE"""),"luther")</f>
        <v>luther</v>
      </c>
    </row>
    <row r="1994">
      <c r="B1994" s="6"/>
      <c r="D1994" s="6"/>
      <c r="G1994" s="6"/>
      <c r="H1994" s="6" t="str">
        <f>IFERROR(__xludf.DUMMYFUNCTION("""COMPUTED_VALUE"""),"lullaby")</f>
        <v>lullaby</v>
      </c>
      <c r="I1994" s="6"/>
      <c r="M1994" s="6"/>
      <c r="P1994" s="6"/>
      <c r="Q1994" s="6" t="str">
        <f>IFERROR(__xludf.DUMMYFUNCTION("""COMPUTED_VALUE"""),"characterization")</f>
        <v>characterization</v>
      </c>
    </row>
    <row r="1995">
      <c r="B1995" s="6"/>
      <c r="D1995" s="6"/>
      <c r="G1995" s="6"/>
      <c r="H1995" s="6" t="str">
        <f>IFERROR(__xludf.DUMMYFUNCTION("""COMPUTED_VALUE"""),"scoring")</f>
        <v>scoring</v>
      </c>
      <c r="I1995" s="6"/>
      <c r="M1995" s="6"/>
      <c r="P1995" s="6"/>
      <c r="Q1995" s="6" t="str">
        <f>IFERROR(__xludf.DUMMYFUNCTION("""COMPUTED_VALUE"""),"confidently")</f>
        <v>confidently</v>
      </c>
    </row>
    <row r="1996">
      <c r="B1996" s="6"/>
      <c r="D1996" s="6"/>
      <c r="G1996" s="6"/>
      <c r="H1996" s="6" t="str">
        <f>IFERROR(__xludf.DUMMYFUNCTION("""COMPUTED_VALUE"""),"pearce")</f>
        <v>pearce</v>
      </c>
      <c r="I1996" s="6"/>
      <c r="M1996" s="6"/>
      <c r="P1996" s="6"/>
      <c r="Q1996" s="6" t="str">
        <f>IFERROR(__xludf.DUMMYFUNCTION("""COMPUTED_VALUE"""),"doctorate")</f>
        <v>doctorate</v>
      </c>
    </row>
    <row r="1997">
      <c r="B1997" s="6"/>
      <c r="D1997" s="6"/>
      <c r="G1997" s="6"/>
      <c r="H1997" s="6" t="str">
        <f>IFERROR(__xludf.DUMMYFUNCTION("""COMPUTED_VALUE"""),"forefront")</f>
        <v>forefront</v>
      </c>
      <c r="I1997" s="6"/>
      <c r="M1997" s="6"/>
      <c r="P1997" s="6"/>
      <c r="Q1997" s="6" t="str">
        <f>IFERROR(__xludf.DUMMYFUNCTION("""COMPUTED_VALUE"""),"telescope")</f>
        <v>telescope</v>
      </c>
    </row>
    <row r="1998">
      <c r="B1998" s="6"/>
      <c r="D1998" s="6"/>
      <c r="G1998" s="6"/>
      <c r="H1998" s="6" t="str">
        <f>IFERROR(__xludf.DUMMYFUNCTION("""COMPUTED_VALUE"""),"divisions")</f>
        <v>divisions</v>
      </c>
      <c r="I1998" s="6"/>
      <c r="M1998" s="6"/>
      <c r="P1998" s="6"/>
      <c r="Q1998" s="6" t="str">
        <f>IFERROR(__xludf.DUMMYFUNCTION("""COMPUTED_VALUE"""),"mid")</f>
        <v>mid</v>
      </c>
    </row>
    <row r="1999">
      <c r="B1999" s="6"/>
      <c r="D1999" s="6"/>
      <c r="G1999" s="6"/>
      <c r="H1999" s="6" t="str">
        <f>IFERROR(__xludf.DUMMYFUNCTION("""COMPUTED_VALUE"""),"nonfiction")</f>
        <v>nonfiction</v>
      </c>
      <c r="I1999" s="6"/>
      <c r="M1999" s="6"/>
      <c r="P1999" s="6"/>
      <c r="Q1999" s="6" t="str">
        <f>IFERROR(__xludf.DUMMYFUNCTION("""COMPUTED_VALUE"""),"analytical")</f>
        <v>analytical</v>
      </c>
    </row>
    <row r="2000">
      <c r="B2000" s="6"/>
      <c r="D2000" s="6"/>
      <c r="G2000" s="6"/>
      <c r="H2000" s="6" t="str">
        <f>IFERROR(__xludf.DUMMYFUNCTION("""COMPUTED_VALUE"""),"effectiveness")</f>
        <v>effectiveness</v>
      </c>
      <c r="I2000" s="6"/>
      <c r="M2000" s="6"/>
      <c r="P2000" s="6"/>
      <c r="Q2000" s="6" t="str">
        <f>IFERROR(__xludf.DUMMYFUNCTION("""COMPUTED_VALUE"""),"transforms")</f>
        <v>transforms</v>
      </c>
    </row>
    <row r="2001">
      <c r="B2001" s="6"/>
      <c r="D2001" s="6"/>
      <c r="G2001" s="6"/>
      <c r="H2001" s="6" t="str">
        <f>IFERROR(__xludf.DUMMYFUNCTION("""COMPUTED_VALUE"""),"graves")</f>
        <v>graves</v>
      </c>
      <c r="I2001" s="6"/>
      <c r="M2001" s="6"/>
      <c r="P2001" s="6"/>
      <c r="Q2001" s="6" t="str">
        <f>IFERROR(__xludf.DUMMYFUNCTION("""COMPUTED_VALUE"""),"undertaking")</f>
        <v>undertaking</v>
      </c>
    </row>
    <row r="2002">
      <c r="B2002" s="6"/>
      <c r="D2002" s="6"/>
      <c r="G2002" s="6"/>
      <c r="H2002" s="6" t="str">
        <f>IFERROR(__xludf.DUMMYFUNCTION("""COMPUTED_VALUE"""),"configurations")</f>
        <v>configurations</v>
      </c>
      <c r="I2002" s="6"/>
      <c r="M2002" s="6"/>
      <c r="P2002" s="6"/>
      <c r="Q2002" s="6" t="str">
        <f>IFERROR(__xludf.DUMMYFUNCTION("""COMPUTED_VALUE"""),"insane")</f>
        <v>insane</v>
      </c>
    </row>
    <row r="2003">
      <c r="B2003" s="6"/>
      <c r="D2003" s="6"/>
      <c r="G2003" s="6"/>
      <c r="H2003" s="6" t="str">
        <f>IFERROR(__xludf.DUMMYFUNCTION("""COMPUTED_VALUE"""),"contentious")</f>
        <v>contentious</v>
      </c>
      <c r="I2003" s="6"/>
      <c r="M2003" s="6"/>
      <c r="P2003" s="6"/>
      <c r="Q2003" s="6" t="str">
        <f>IFERROR(__xludf.DUMMYFUNCTION("""COMPUTED_VALUE"""),"prison")</f>
        <v>prison</v>
      </c>
    </row>
    <row r="2004">
      <c r="B2004" s="6"/>
      <c r="D2004" s="6"/>
      <c r="G2004" s="6"/>
      <c r="H2004" s="6" t="str">
        <f>IFERROR(__xludf.DUMMYFUNCTION("""COMPUTED_VALUE"""),"apocalypse")</f>
        <v>apocalypse</v>
      </c>
      <c r="I2004" s="6"/>
      <c r="M2004" s="6"/>
      <c r="P2004" s="6"/>
      <c r="Q2004" s="6" t="str">
        <f>IFERROR(__xludf.DUMMYFUNCTION("""COMPUTED_VALUE"""),"effectively")</f>
        <v>effectively</v>
      </c>
    </row>
    <row r="2005">
      <c r="B2005" s="6"/>
      <c r="D2005" s="6"/>
      <c r="G2005" s="6"/>
      <c r="H2005" s="6" t="str">
        <f>IFERROR(__xludf.DUMMYFUNCTION("""COMPUTED_VALUE"""),"generations")</f>
        <v>generations</v>
      </c>
      <c r="I2005" s="6"/>
      <c r="M2005" s="6"/>
      <c r="P2005" s="6"/>
      <c r="Q2005" s="6" t="str">
        <f>IFERROR(__xludf.DUMMYFUNCTION("""COMPUTED_VALUE"""),"proof")</f>
        <v>proof</v>
      </c>
    </row>
    <row r="2006">
      <c r="B2006" s="6"/>
      <c r="D2006" s="6"/>
      <c r="G2006" s="6"/>
      <c r="H2006" s="6" t="str">
        <f>IFERROR(__xludf.DUMMYFUNCTION("""COMPUTED_VALUE"""),"deeds")</f>
        <v>deeds</v>
      </c>
      <c r="I2006" s="6"/>
      <c r="M2006" s="6"/>
      <c r="P2006" s="6"/>
      <c r="Q2006" s="6" t="str">
        <f>IFERROR(__xludf.DUMMYFUNCTION("""COMPUTED_VALUE"""),"concentration")</f>
        <v>concentration</v>
      </c>
    </row>
    <row r="2007">
      <c r="B2007" s="6"/>
      <c r="D2007" s="6"/>
      <c r="G2007" s="6"/>
      <c r="H2007" s="6" t="str">
        <f>IFERROR(__xludf.DUMMYFUNCTION("""COMPUTED_VALUE"""),"principals")</f>
        <v>principals</v>
      </c>
      <c r="I2007" s="6"/>
      <c r="M2007" s="6"/>
      <c r="P2007" s="6"/>
      <c r="Q2007" s="6" t="str">
        <f>IFERROR(__xludf.DUMMYFUNCTION("""COMPUTED_VALUE"""),"stakes")</f>
        <v>stakes</v>
      </c>
    </row>
    <row r="2008">
      <c r="B2008" s="6"/>
      <c r="D2008" s="6"/>
      <c r="G2008" s="6"/>
      <c r="H2008" s="6" t="str">
        <f>IFERROR(__xludf.DUMMYFUNCTION("""COMPUTED_VALUE"""),"rigged")</f>
        <v>rigged</v>
      </c>
      <c r="I2008" s="6"/>
      <c r="M2008" s="6"/>
      <c r="P2008" s="6"/>
      <c r="Q2008" s="6" t="str">
        <f>IFERROR(__xludf.DUMMYFUNCTION("""COMPUTED_VALUE"""),"ran")</f>
        <v>ran</v>
      </c>
    </row>
    <row r="2009">
      <c r="B2009" s="6"/>
      <c r="D2009" s="6"/>
      <c r="G2009" s="6"/>
      <c r="H2009" s="6" t="str">
        <f>IFERROR(__xludf.DUMMYFUNCTION("""COMPUTED_VALUE"""),"valiant")</f>
        <v>valiant</v>
      </c>
      <c r="I2009" s="6"/>
      <c r="M2009" s="6"/>
      <c r="P2009" s="6"/>
      <c r="Q2009" s="6" t="str">
        <f>IFERROR(__xludf.DUMMYFUNCTION("""COMPUTED_VALUE"""),"chases")</f>
        <v>chases</v>
      </c>
    </row>
    <row r="2010">
      <c r="B2010" s="6"/>
      <c r="D2010" s="6"/>
      <c r="G2010" s="6"/>
      <c r="H2010" s="6" t="str">
        <f>IFERROR(__xludf.DUMMYFUNCTION("""COMPUTED_VALUE"""),"springer")</f>
        <v>springer</v>
      </c>
      <c r="I2010" s="6"/>
      <c r="M2010" s="6"/>
      <c r="P2010" s="6"/>
      <c r="Q2010" s="6" t="str">
        <f>IFERROR(__xludf.DUMMYFUNCTION("""COMPUTED_VALUE"""),"tucker")</f>
        <v>tucker</v>
      </c>
    </row>
    <row r="2011">
      <c r="B2011" s="6"/>
      <c r="D2011" s="6"/>
      <c r="G2011" s="6"/>
      <c r="H2011" s="6" t="str">
        <f>IFERROR(__xludf.DUMMYFUNCTION("""COMPUTED_VALUE"""),"hitler")</f>
        <v>hitler</v>
      </c>
      <c r="I2011" s="6"/>
      <c r="M2011" s="6"/>
      <c r="P2011" s="6"/>
      <c r="Q2011" s="6">
        <f>IFERROR(__xludf.DUMMYFUNCTION("""COMPUTED_VALUE"""),94.0)</f>
        <v>94</v>
      </c>
    </row>
    <row r="2012">
      <c r="B2012" s="6"/>
      <c r="D2012" s="6"/>
      <c r="G2012" s="6"/>
      <c r="H2012" s="6" t="str">
        <f>IFERROR(__xludf.DUMMYFUNCTION("""COMPUTED_VALUE"""),"alexandre")</f>
        <v>alexandre</v>
      </c>
      <c r="I2012" s="6"/>
      <c r="M2012" s="6"/>
      <c r="P2012" s="6"/>
      <c r="Q2012" s="6" t="str">
        <f>IFERROR(__xludf.DUMMYFUNCTION("""COMPUTED_VALUE"""),"italics")</f>
        <v>italics</v>
      </c>
    </row>
    <row r="2013">
      <c r="B2013" s="6"/>
      <c r="D2013" s="6"/>
      <c r="G2013" s="6"/>
      <c r="H2013" s="6" t="str">
        <f>IFERROR(__xludf.DUMMYFUNCTION("""COMPUTED_VALUE"""),"writings")</f>
        <v>writings</v>
      </c>
      <c r="I2013" s="6"/>
      <c r="M2013" s="6"/>
      <c r="P2013" s="6"/>
      <c r="Q2013" s="6" t="str">
        <f>IFERROR(__xludf.DUMMYFUNCTION("""COMPUTED_VALUE"""),"sleek")</f>
        <v>sleek</v>
      </c>
    </row>
    <row r="2014">
      <c r="B2014" s="6"/>
      <c r="D2014" s="6"/>
      <c r="G2014" s="6"/>
      <c r="H2014" s="6" t="str">
        <f>IFERROR(__xludf.DUMMYFUNCTION("""COMPUTED_VALUE"""),"jagger")</f>
        <v>jagger</v>
      </c>
      <c r="I2014" s="6"/>
      <c r="M2014" s="6"/>
      <c r="P2014" s="6"/>
      <c r="Q2014" s="6" t="str">
        <f>IFERROR(__xludf.DUMMYFUNCTION("""COMPUTED_VALUE"""),"attach")</f>
        <v>attach</v>
      </c>
    </row>
    <row r="2015">
      <c r="B2015" s="6"/>
      <c r="D2015" s="6"/>
      <c r="G2015" s="6"/>
      <c r="H2015" s="6" t="str">
        <f>IFERROR(__xludf.DUMMYFUNCTION("""COMPUTED_VALUE"""),"afterlife")</f>
        <v>afterlife</v>
      </c>
      <c r="I2015" s="6"/>
      <c r="M2015" s="6"/>
      <c r="P2015" s="6"/>
      <c r="Q2015" s="6" t="str">
        <f>IFERROR(__xludf.DUMMYFUNCTION("""COMPUTED_VALUE"""),"wilde")</f>
        <v>wilde</v>
      </c>
    </row>
    <row r="2016">
      <c r="B2016" s="6"/>
      <c r="D2016" s="6"/>
      <c r="G2016" s="6"/>
      <c r="H2016" s="6" t="str">
        <f>IFERROR(__xludf.DUMMYFUNCTION("""COMPUTED_VALUE"""),"plagued")</f>
        <v>plagued</v>
      </c>
      <c r="I2016" s="6"/>
      <c r="M2016" s="6"/>
      <c r="P2016" s="6"/>
      <c r="Q2016" s="6" t="str">
        <f>IFERROR(__xludf.DUMMYFUNCTION("""COMPUTED_VALUE"""),"empowerment")</f>
        <v>empowerment</v>
      </c>
    </row>
    <row r="2017">
      <c r="B2017" s="6"/>
      <c r="D2017" s="6"/>
      <c r="G2017" s="6"/>
      <c r="H2017" s="6" t="str">
        <f>IFERROR(__xludf.DUMMYFUNCTION("""COMPUTED_VALUE"""),"documenting")</f>
        <v>documenting</v>
      </c>
      <c r="I2017" s="6"/>
      <c r="M2017" s="6"/>
      <c r="P2017" s="6"/>
      <c r="Q2017" s="6" t="str">
        <f>IFERROR(__xludf.DUMMYFUNCTION("""COMPUTED_VALUE"""),"murderer")</f>
        <v>murderer</v>
      </c>
    </row>
    <row r="2018">
      <c r="B2018" s="6"/>
      <c r="D2018" s="6"/>
      <c r="G2018" s="6"/>
      <c r="H2018" s="6" t="str">
        <f>IFERROR(__xludf.DUMMYFUNCTION("""COMPUTED_VALUE"""),"fragile")</f>
        <v>fragile</v>
      </c>
      <c r="I2018" s="6"/>
      <c r="M2018" s="6"/>
      <c r="P2018" s="6"/>
      <c r="Q2018" s="6" t="str">
        <f>IFERROR(__xludf.DUMMYFUNCTION("""COMPUTED_VALUE"""),"powers")</f>
        <v>powers</v>
      </c>
    </row>
    <row r="2019">
      <c r="B2019" s="6"/>
      <c r="D2019" s="6"/>
      <c r="G2019" s="6"/>
      <c r="H2019" s="6" t="str">
        <f>IFERROR(__xludf.DUMMYFUNCTION("""COMPUTED_VALUE"""),"teaming")</f>
        <v>teaming</v>
      </c>
      <c r="I2019" s="6"/>
      <c r="M2019" s="6"/>
      <c r="P2019" s="6"/>
      <c r="Q2019" s="6" t="str">
        <f>IFERROR(__xludf.DUMMYFUNCTION("""COMPUTED_VALUE"""),"passions")</f>
        <v>passions</v>
      </c>
    </row>
    <row r="2020">
      <c r="B2020" s="6"/>
      <c r="D2020" s="6"/>
      <c r="G2020" s="6"/>
      <c r="H2020" s="6" t="str">
        <f>IFERROR(__xludf.DUMMYFUNCTION("""COMPUTED_VALUE"""),"traces")</f>
        <v>traces</v>
      </c>
      <c r="I2020" s="6"/>
      <c r="M2020" s="6"/>
      <c r="P2020" s="6"/>
      <c r="Q2020" s="6" t="str">
        <f>IFERROR(__xludf.DUMMYFUNCTION("""COMPUTED_VALUE"""),"assassin")</f>
        <v>assassin</v>
      </c>
    </row>
    <row r="2021">
      <c r="B2021" s="6"/>
      <c r="D2021" s="6"/>
      <c r="G2021" s="6"/>
      <c r="H2021" s="6" t="str">
        <f>IFERROR(__xludf.DUMMYFUNCTION("""COMPUTED_VALUE"""),"paralyzed")</f>
        <v>paralyzed</v>
      </c>
      <c r="I2021" s="6"/>
      <c r="M2021" s="6"/>
      <c r="P2021" s="6"/>
      <c r="Q2021" s="6" t="str">
        <f>IFERROR(__xludf.DUMMYFUNCTION("""COMPUTED_VALUE"""),"seduce")</f>
        <v>seduce</v>
      </c>
    </row>
    <row r="2022">
      <c r="B2022" s="6"/>
      <c r="D2022" s="6"/>
      <c r="G2022" s="6"/>
      <c r="H2022" s="6" t="str">
        <f>IFERROR(__xludf.DUMMYFUNCTION("""COMPUTED_VALUE"""),"werner")</f>
        <v>werner</v>
      </c>
      <c r="I2022" s="6"/>
      <c r="M2022" s="6"/>
      <c r="P2022" s="6"/>
      <c r="Q2022" s="6" t="str">
        <f>IFERROR(__xludf.DUMMYFUNCTION("""COMPUTED_VALUE"""),"stealing")</f>
        <v>stealing</v>
      </c>
    </row>
    <row r="2023">
      <c r="B2023" s="6"/>
      <c r="D2023" s="6"/>
      <c r="G2023" s="6"/>
      <c r="H2023" s="6" t="str">
        <f>IFERROR(__xludf.DUMMYFUNCTION("""COMPUTED_VALUE"""),"brutality")</f>
        <v>brutality</v>
      </c>
      <c r="I2023" s="6"/>
      <c r="M2023" s="6"/>
      <c r="P2023" s="6"/>
      <c r="Q2023" s="6" t="str">
        <f>IFERROR(__xludf.DUMMYFUNCTION("""COMPUTED_VALUE"""),"tidal")</f>
        <v>tidal</v>
      </c>
    </row>
    <row r="2024">
      <c r="B2024" s="6"/>
      <c r="D2024" s="6"/>
      <c r="G2024" s="6"/>
      <c r="H2024" s="6" t="str">
        <f>IFERROR(__xludf.DUMMYFUNCTION("""COMPUTED_VALUE"""),"impetus")</f>
        <v>impetus</v>
      </c>
      <c r="I2024" s="6"/>
      <c r="M2024" s="6"/>
      <c r="P2024" s="6"/>
      <c r="Q2024" s="6" t="str">
        <f>IFERROR(__xludf.DUMMYFUNCTION("""COMPUTED_VALUE"""),"segment")</f>
        <v>segment</v>
      </c>
    </row>
    <row r="2025">
      <c r="B2025" s="6"/>
      <c r="D2025" s="6"/>
      <c r="G2025" s="6"/>
      <c r="H2025" s="6" t="str">
        <f>IFERROR(__xludf.DUMMYFUNCTION("""COMPUTED_VALUE"""),"castro")</f>
        <v>castro</v>
      </c>
      <c r="I2025" s="6"/>
      <c r="M2025" s="6"/>
      <c r="P2025" s="6"/>
      <c r="Q2025" s="6" t="str">
        <f>IFERROR(__xludf.DUMMYFUNCTION("""COMPUTED_VALUE"""),"vittorio")</f>
        <v>vittorio</v>
      </c>
    </row>
    <row r="2026">
      <c r="B2026" s="6"/>
      <c r="D2026" s="6"/>
      <c r="G2026" s="6"/>
      <c r="H2026" s="6" t="str">
        <f>IFERROR(__xludf.DUMMYFUNCTION("""COMPUTED_VALUE"""),"prologue")</f>
        <v>prologue</v>
      </c>
      <c r="I2026" s="6"/>
      <c r="M2026" s="6"/>
      <c r="P2026" s="6"/>
      <c r="Q2026" s="6" t="str">
        <f>IFERROR(__xludf.DUMMYFUNCTION("""COMPUTED_VALUE"""),"microscope")</f>
        <v>microscope</v>
      </c>
    </row>
    <row r="2027">
      <c r="B2027" s="6"/>
      <c r="D2027" s="6"/>
      <c r="G2027" s="6"/>
      <c r="H2027" s="6" t="str">
        <f>IFERROR(__xludf.DUMMYFUNCTION("""COMPUTED_VALUE"""),"antonia")</f>
        <v>antonia</v>
      </c>
      <c r="I2027" s="6"/>
      <c r="M2027" s="6"/>
      <c r="P2027" s="6"/>
      <c r="Q2027" s="6" t="str">
        <f>IFERROR(__xludf.DUMMYFUNCTION("""COMPUTED_VALUE"""),"purity")</f>
        <v>purity</v>
      </c>
    </row>
    <row r="2028">
      <c r="B2028" s="6"/>
      <c r="D2028" s="6"/>
      <c r="G2028" s="6"/>
      <c r="H2028" s="6" t="str">
        <f>IFERROR(__xludf.DUMMYFUNCTION("""COMPUTED_VALUE"""),"enlightenment")</f>
        <v>enlightenment</v>
      </c>
      <c r="I2028" s="6"/>
      <c r="M2028" s="6"/>
      <c r="P2028" s="6"/>
      <c r="Q2028" s="6" t="str">
        <f>IFERROR(__xludf.DUMMYFUNCTION("""COMPUTED_VALUE"""),"puzzled")</f>
        <v>puzzled</v>
      </c>
    </row>
    <row r="2029">
      <c r="B2029" s="6"/>
      <c r="D2029" s="6"/>
      <c r="G2029" s="6"/>
      <c r="H2029" s="6" t="str">
        <f>IFERROR(__xludf.DUMMYFUNCTION("""COMPUTED_VALUE"""),"thoughtfully")</f>
        <v>thoughtfully</v>
      </c>
      <c r="I2029" s="6"/>
      <c r="M2029" s="6"/>
      <c r="P2029" s="6"/>
      <c r="Q2029" s="6" t="str">
        <f>IFERROR(__xludf.DUMMYFUNCTION("""COMPUTED_VALUE"""),"fictional")</f>
        <v>fictional</v>
      </c>
    </row>
    <row r="2030">
      <c r="B2030" s="6"/>
      <c r="D2030" s="6"/>
      <c r="G2030" s="6"/>
      <c r="H2030" s="6" t="str">
        <f>IFERROR(__xludf.DUMMYFUNCTION("""COMPUTED_VALUE"""),"powerhouse")</f>
        <v>powerhouse</v>
      </c>
      <c r="I2030" s="6"/>
      <c r="M2030" s="6"/>
      <c r="P2030" s="6"/>
      <c r="Q2030" s="6" t="str">
        <f>IFERROR(__xludf.DUMMYFUNCTION("""COMPUTED_VALUE"""),"roster")</f>
        <v>roster</v>
      </c>
    </row>
    <row r="2031">
      <c r="B2031" s="6"/>
      <c r="D2031" s="6"/>
      <c r="G2031" s="6"/>
      <c r="H2031" s="6" t="str">
        <f>IFERROR(__xludf.DUMMYFUNCTION("""COMPUTED_VALUE"""),"critically")</f>
        <v>critically</v>
      </c>
      <c r="I2031" s="6"/>
      <c r="M2031" s="6"/>
      <c r="P2031" s="6"/>
      <c r="Q2031" s="6" t="str">
        <f>IFERROR(__xludf.DUMMYFUNCTION("""COMPUTED_VALUE"""),"kathryn")</f>
        <v>kathryn</v>
      </c>
    </row>
    <row r="2032">
      <c r="B2032" s="6"/>
      <c r="D2032" s="6"/>
      <c r="G2032" s="6"/>
      <c r="H2032" s="6" t="str">
        <f>IFERROR(__xludf.DUMMYFUNCTION("""COMPUTED_VALUE"""),"searches")</f>
        <v>searches</v>
      </c>
      <c r="I2032" s="6"/>
      <c r="M2032" s="6"/>
      <c r="P2032" s="6"/>
      <c r="Q2032" s="6" t="str">
        <f>IFERROR(__xludf.DUMMYFUNCTION("""COMPUTED_VALUE"""),"kindness")</f>
        <v>kindness</v>
      </c>
    </row>
    <row r="2033">
      <c r="B2033" s="6"/>
      <c r="D2033" s="6"/>
      <c r="G2033" s="6"/>
      <c r="H2033" s="6" t="str">
        <f>IFERROR(__xludf.DUMMYFUNCTION("""COMPUTED_VALUE"""),"leigh")</f>
        <v>leigh</v>
      </c>
      <c r="I2033" s="6"/>
      <c r="M2033" s="6"/>
      <c r="P2033" s="6"/>
      <c r="Q2033" s="6" t="str">
        <f>IFERROR(__xludf.DUMMYFUNCTION("""COMPUTED_VALUE"""),"gregory")</f>
        <v>gregory</v>
      </c>
    </row>
    <row r="2034">
      <c r="B2034" s="6"/>
      <c r="D2034" s="6"/>
      <c r="G2034" s="6"/>
      <c r="H2034" s="6" t="str">
        <f>IFERROR(__xludf.DUMMYFUNCTION("""COMPUTED_VALUE"""),"ram")</f>
        <v>ram</v>
      </c>
      <c r="I2034" s="6"/>
      <c r="M2034" s="6"/>
      <c r="P2034" s="6"/>
      <c r="Q2034" s="6" t="str">
        <f>IFERROR(__xludf.DUMMYFUNCTION("""COMPUTED_VALUE"""),"velocity")</f>
        <v>velocity</v>
      </c>
    </row>
    <row r="2035">
      <c r="B2035" s="6"/>
      <c r="D2035" s="6"/>
      <c r="G2035" s="6"/>
      <c r="H2035" s="6" t="str">
        <f>IFERROR(__xludf.DUMMYFUNCTION("""COMPUTED_VALUE"""),"ransom")</f>
        <v>ransom</v>
      </c>
      <c r="I2035" s="6"/>
      <c r="M2035" s="6"/>
      <c r="P2035" s="6"/>
      <c r="Q2035" s="6" t="str">
        <f>IFERROR(__xludf.DUMMYFUNCTION("""COMPUTED_VALUE"""),"stroke")</f>
        <v>stroke</v>
      </c>
    </row>
    <row r="2036">
      <c r="B2036" s="6"/>
      <c r="D2036" s="6"/>
      <c r="G2036" s="6"/>
      <c r="H2036" s="6" t="str">
        <f>IFERROR(__xludf.DUMMYFUNCTION("""COMPUTED_VALUE"""),"lucia")</f>
        <v>lucia</v>
      </c>
      <c r="I2036" s="6"/>
      <c r="M2036" s="6"/>
      <c r="P2036" s="6"/>
      <c r="Q2036" s="6" t="str">
        <f>IFERROR(__xludf.DUMMYFUNCTION("""COMPUTED_VALUE"""),"ryder")</f>
        <v>ryder</v>
      </c>
    </row>
    <row r="2037">
      <c r="B2037" s="6"/>
      <c r="D2037" s="6"/>
      <c r="G2037" s="6"/>
      <c r="H2037" s="6" t="str">
        <f>IFERROR(__xludf.DUMMYFUNCTION("""COMPUTED_VALUE"""),"fluttering")</f>
        <v>fluttering</v>
      </c>
      <c r="I2037" s="6"/>
      <c r="M2037" s="6"/>
      <c r="P2037" s="6"/>
      <c r="Q2037" s="6" t="str">
        <f>IFERROR(__xludf.DUMMYFUNCTION("""COMPUTED_VALUE"""),"bias")</f>
        <v>bias</v>
      </c>
    </row>
    <row r="2038">
      <c r="B2038" s="6"/>
      <c r="D2038" s="6"/>
      <c r="G2038" s="6"/>
      <c r="H2038" s="6" t="str">
        <f>IFERROR(__xludf.DUMMYFUNCTION("""COMPUTED_VALUE"""),"heartbreak")</f>
        <v>heartbreak</v>
      </c>
      <c r="I2038" s="6"/>
      <c r="M2038" s="6"/>
      <c r="P2038" s="6"/>
      <c r="Q2038" s="6" t="str">
        <f>IFERROR(__xludf.DUMMYFUNCTION("""COMPUTED_VALUE"""),"nominated")</f>
        <v>nominated</v>
      </c>
    </row>
    <row r="2039">
      <c r="B2039" s="6"/>
      <c r="D2039" s="6"/>
      <c r="G2039" s="6"/>
      <c r="H2039" s="6" t="str">
        <f>IFERROR(__xludf.DUMMYFUNCTION("""COMPUTED_VALUE"""),"liner")</f>
        <v>liner</v>
      </c>
      <c r="I2039" s="6"/>
      <c r="M2039" s="6"/>
      <c r="P2039" s="6"/>
      <c r="Q2039" s="6" t="str">
        <f>IFERROR(__xludf.DUMMYFUNCTION("""COMPUTED_VALUE"""),"conrad")</f>
        <v>conrad</v>
      </c>
    </row>
    <row r="2040">
      <c r="B2040" s="6"/>
      <c r="D2040" s="6"/>
      <c r="G2040" s="6"/>
      <c r="H2040" s="6" t="str">
        <f>IFERROR(__xludf.DUMMYFUNCTION("""COMPUTED_VALUE"""),"gliding")</f>
        <v>gliding</v>
      </c>
      <c r="I2040" s="6"/>
      <c r="M2040" s="6"/>
      <c r="P2040" s="6"/>
      <c r="Q2040" s="6" t="str">
        <f>IFERROR(__xludf.DUMMYFUNCTION("""COMPUTED_VALUE"""),"ardent")</f>
        <v>ardent</v>
      </c>
    </row>
    <row r="2041">
      <c r="B2041" s="6"/>
      <c r="D2041" s="6"/>
      <c r="G2041" s="6"/>
      <c r="H2041" s="6" t="str">
        <f>IFERROR(__xludf.DUMMYFUNCTION("""COMPUTED_VALUE"""),"australia")</f>
        <v>australia</v>
      </c>
      <c r="I2041" s="6"/>
      <c r="M2041" s="6"/>
      <c r="P2041" s="6"/>
      <c r="Q2041" s="6" t="str">
        <f>IFERROR(__xludf.DUMMYFUNCTION("""COMPUTED_VALUE"""),"economics")</f>
        <v>economics</v>
      </c>
    </row>
    <row r="2042">
      <c r="B2042" s="6"/>
      <c r="D2042" s="6"/>
      <c r="G2042" s="6"/>
      <c r="H2042" s="6" t="str">
        <f>IFERROR(__xludf.DUMMYFUNCTION("""COMPUTED_VALUE"""),"stitch")</f>
        <v>stitch</v>
      </c>
      <c r="I2042" s="6"/>
      <c r="M2042" s="6"/>
      <c r="P2042" s="6"/>
      <c r="Q2042" s="6" t="str">
        <f>IFERROR(__xludf.DUMMYFUNCTION("""COMPUTED_VALUE"""),"backstage")</f>
        <v>backstage</v>
      </c>
    </row>
    <row r="2043">
      <c r="B2043" s="6"/>
      <c r="D2043" s="6"/>
      <c r="G2043" s="6"/>
      <c r="H2043" s="6" t="str">
        <f>IFERROR(__xludf.DUMMYFUNCTION("""COMPUTED_VALUE"""),"assets")</f>
        <v>assets</v>
      </c>
      <c r="I2043" s="6"/>
      <c r="M2043" s="6"/>
      <c r="P2043" s="6"/>
      <c r="Q2043" s="6" t="str">
        <f>IFERROR(__xludf.DUMMYFUNCTION("""COMPUTED_VALUE"""),"pivotal")</f>
        <v>pivotal</v>
      </c>
    </row>
    <row r="2044">
      <c r="B2044" s="6"/>
      <c r="D2044" s="6"/>
      <c r="G2044" s="6"/>
      <c r="I2044" s="6"/>
      <c r="M2044" s="6"/>
      <c r="P2044" s="6"/>
      <c r="Q2044" s="6" t="str">
        <f>IFERROR(__xludf.DUMMYFUNCTION("""COMPUTED_VALUE"""),"comparisons")</f>
        <v>comparisons</v>
      </c>
    </row>
    <row r="2045">
      <c r="B2045" s="6"/>
      <c r="D2045" s="6"/>
      <c r="G2045" s="6"/>
      <c r="I2045" s="6"/>
      <c r="M2045" s="6"/>
      <c r="P2045" s="6"/>
      <c r="Q2045" s="6" t="str">
        <f>IFERROR(__xludf.DUMMYFUNCTION("""COMPUTED_VALUE"""),"followers")</f>
        <v>followers</v>
      </c>
    </row>
    <row r="2046">
      <c r="B2046" s="6"/>
      <c r="D2046" s="6"/>
      <c r="G2046" s="6"/>
      <c r="I2046" s="6"/>
      <c r="M2046" s="6"/>
      <c r="P2046" s="6"/>
      <c r="Q2046" s="6" t="str">
        <f>IFERROR(__xludf.DUMMYFUNCTION("""COMPUTED_VALUE"""),"coupling")</f>
        <v>coupling</v>
      </c>
    </row>
    <row r="2047">
      <c r="B2047" s="6"/>
      <c r="D2047" s="6"/>
      <c r="G2047" s="6"/>
      <c r="I2047" s="6"/>
      <c r="M2047" s="6"/>
      <c r="P2047" s="6"/>
      <c r="Q2047" s="6" t="str">
        <f>IFERROR(__xludf.DUMMYFUNCTION("""COMPUTED_VALUE"""),"bodily")</f>
        <v>bodily</v>
      </c>
    </row>
    <row r="2048">
      <c r="B2048" s="6"/>
      <c r="D2048" s="6"/>
      <c r="G2048" s="6"/>
      <c r="I2048" s="6"/>
      <c r="M2048" s="6"/>
      <c r="P2048" s="6"/>
      <c r="Q2048" s="6" t="str">
        <f>IFERROR(__xludf.DUMMYFUNCTION("""COMPUTED_VALUE"""),"outward")</f>
        <v>outward</v>
      </c>
    </row>
    <row r="2049">
      <c r="B2049" s="6"/>
      <c r="D2049" s="6"/>
      <c r="G2049" s="6"/>
      <c r="I2049" s="6"/>
      <c r="M2049" s="6"/>
      <c r="P2049" s="6"/>
      <c r="Q2049" s="6" t="str">
        <f>IFERROR(__xludf.DUMMYFUNCTION("""COMPUTED_VALUE"""),"chick")</f>
        <v>chick</v>
      </c>
    </row>
    <row r="2050">
      <c r="B2050" s="6"/>
      <c r="D2050" s="6"/>
      <c r="G2050" s="6"/>
      <c r="I2050" s="6"/>
      <c r="M2050" s="6"/>
      <c r="P2050" s="6"/>
      <c r="Q2050" s="6" t="str">
        <f>IFERROR(__xludf.DUMMYFUNCTION("""COMPUTED_VALUE"""),"library")</f>
        <v>library</v>
      </c>
    </row>
    <row r="2051">
      <c r="B2051" s="6"/>
      <c r="D2051" s="6"/>
      <c r="G2051" s="6"/>
      <c r="I2051" s="6"/>
      <c r="M2051" s="6"/>
      <c r="P2051" s="6"/>
      <c r="Q2051" s="6" t="str">
        <f>IFERROR(__xludf.DUMMYFUNCTION("""COMPUTED_VALUE"""),"fling")</f>
        <v>fling</v>
      </c>
    </row>
    <row r="2052">
      <c r="B2052" s="6"/>
      <c r="D2052" s="6"/>
      <c r="G2052" s="6"/>
      <c r="I2052" s="6"/>
      <c r="M2052" s="6"/>
      <c r="P2052" s="6"/>
      <c r="Q2052" s="6" t="str">
        <f>IFERROR(__xludf.DUMMYFUNCTION("""COMPUTED_VALUE"""),"fleeting")</f>
        <v>fleeting</v>
      </c>
    </row>
    <row r="2053">
      <c r="B2053" s="6"/>
      <c r="D2053" s="6"/>
      <c r="G2053" s="6"/>
      <c r="I2053" s="6"/>
      <c r="M2053" s="6"/>
      <c r="P2053" s="6"/>
      <c r="Q2053" s="6" t="str">
        <f>IFERROR(__xludf.DUMMYFUNCTION("""COMPUTED_VALUE"""),"dared")</f>
        <v>dared</v>
      </c>
    </row>
    <row r="2054">
      <c r="B2054" s="6"/>
      <c r="D2054" s="6"/>
      <c r="G2054" s="6"/>
      <c r="I2054" s="6"/>
      <c r="M2054" s="6"/>
      <c r="P2054" s="6"/>
      <c r="Q2054" s="6" t="str">
        <f>IFERROR(__xludf.DUMMYFUNCTION("""COMPUTED_VALUE"""),"damaged")</f>
        <v>damaged</v>
      </c>
    </row>
    <row r="2055">
      <c r="B2055" s="6"/>
      <c r="D2055" s="6"/>
      <c r="G2055" s="6"/>
      <c r="I2055" s="6"/>
      <c r="M2055" s="6"/>
      <c r="P2055" s="6"/>
      <c r="Q2055" s="6" t="str">
        <f>IFERROR(__xludf.DUMMYFUNCTION("""COMPUTED_VALUE"""),"explicit")</f>
        <v>explicit</v>
      </c>
    </row>
    <row r="2056">
      <c r="B2056" s="6"/>
      <c r="D2056" s="6"/>
      <c r="G2056" s="6"/>
      <c r="I2056" s="6"/>
      <c r="M2056" s="6"/>
      <c r="P2056" s="6"/>
      <c r="Q2056" s="6" t="str">
        <f>IFERROR(__xludf.DUMMYFUNCTION("""COMPUTED_VALUE"""),"thrust")</f>
        <v>thrust</v>
      </c>
    </row>
    <row r="2057">
      <c r="B2057" s="6"/>
      <c r="D2057" s="6"/>
      <c r="G2057" s="6"/>
      <c r="I2057" s="6"/>
      <c r="M2057" s="6"/>
      <c r="P2057" s="6"/>
      <c r="Q2057" s="6" t="str">
        <f>IFERROR(__xludf.DUMMYFUNCTION("""COMPUTED_VALUE"""),"substantive")</f>
        <v>substantive</v>
      </c>
    </row>
    <row r="2058">
      <c r="B2058" s="6"/>
      <c r="D2058" s="6"/>
      <c r="G2058" s="6"/>
      <c r="I2058" s="6"/>
      <c r="M2058" s="6"/>
      <c r="P2058" s="6"/>
      <c r="Q2058" s="6" t="str">
        <f>IFERROR(__xludf.DUMMYFUNCTION("""COMPUTED_VALUE"""),"teeth")</f>
        <v>teeth</v>
      </c>
    </row>
    <row r="2059">
      <c r="B2059" s="6"/>
      <c r="D2059" s="6"/>
      <c r="G2059" s="6"/>
      <c r="I2059" s="6"/>
      <c r="M2059" s="6"/>
      <c r="P2059" s="6"/>
      <c r="Q2059" s="6" t="str">
        <f>IFERROR(__xludf.DUMMYFUNCTION("""COMPUTED_VALUE"""),"binary")</f>
        <v>binary</v>
      </c>
    </row>
    <row r="2060">
      <c r="B2060" s="6"/>
      <c r="D2060" s="6"/>
      <c r="G2060" s="6"/>
      <c r="I2060" s="6"/>
      <c r="M2060" s="6"/>
      <c r="P2060" s="6"/>
      <c r="Q2060" s="6" t="str">
        <f>IFERROR(__xludf.DUMMYFUNCTION("""COMPUTED_VALUE"""),"shapiro")</f>
        <v>shapiro</v>
      </c>
    </row>
    <row r="2061">
      <c r="B2061" s="6"/>
      <c r="D2061" s="6"/>
      <c r="G2061" s="6"/>
      <c r="I2061" s="6"/>
      <c r="M2061" s="6"/>
      <c r="P2061" s="6"/>
      <c r="Q2061" s="6" t="str">
        <f>IFERROR(__xludf.DUMMYFUNCTION("""COMPUTED_VALUE"""),"goldman")</f>
        <v>goldman</v>
      </c>
    </row>
    <row r="2062">
      <c r="B2062" s="6"/>
      <c r="D2062" s="6"/>
      <c r="G2062" s="6"/>
      <c r="I2062" s="6"/>
      <c r="M2062" s="6"/>
      <c r="P2062" s="6"/>
      <c r="Q2062" s="6" t="str">
        <f>IFERROR(__xludf.DUMMYFUNCTION("""COMPUTED_VALUE"""),"participants")</f>
        <v>participants</v>
      </c>
    </row>
    <row r="2063">
      <c r="B2063" s="6"/>
      <c r="D2063" s="6"/>
      <c r="G2063" s="6"/>
      <c r="I2063" s="6"/>
      <c r="M2063" s="6"/>
      <c r="P2063" s="6"/>
      <c r="Q2063" s="6" t="str">
        <f>IFERROR(__xludf.DUMMYFUNCTION("""COMPUTED_VALUE"""),"illuminated")</f>
        <v>illuminated</v>
      </c>
    </row>
    <row r="2064">
      <c r="B2064" s="6"/>
      <c r="D2064" s="6"/>
      <c r="G2064" s="6"/>
      <c r="I2064" s="6"/>
      <c r="M2064" s="6"/>
      <c r="P2064" s="6"/>
      <c r="Q2064" s="6" t="str">
        <f>IFERROR(__xludf.DUMMYFUNCTION("""COMPUTED_VALUE"""),"franklin")</f>
        <v>franklin</v>
      </c>
    </row>
    <row r="2065">
      <c r="B2065" s="6"/>
      <c r="D2065" s="6"/>
      <c r="G2065" s="6"/>
      <c r="I2065" s="6"/>
      <c r="M2065" s="6"/>
      <c r="P2065" s="6"/>
      <c r="Q2065" s="6" t="str">
        <f>IFERROR(__xludf.DUMMYFUNCTION("""COMPUTED_VALUE"""),"carl")</f>
        <v>carl</v>
      </c>
    </row>
    <row r="2066">
      <c r="B2066" s="6"/>
      <c r="D2066" s="6"/>
      <c r="G2066" s="6"/>
      <c r="I2066" s="6"/>
      <c r="M2066" s="6"/>
      <c r="P2066" s="6"/>
      <c r="Q2066" s="6" t="str">
        <f>IFERROR(__xludf.DUMMYFUNCTION("""COMPUTED_VALUE"""),"relic")</f>
        <v>relic</v>
      </c>
    </row>
    <row r="2067">
      <c r="B2067" s="6"/>
      <c r="D2067" s="6"/>
      <c r="G2067" s="6"/>
      <c r="I2067" s="6"/>
      <c r="M2067" s="6"/>
      <c r="P2067" s="6"/>
      <c r="Q2067" s="6" t="str">
        <f>IFERROR(__xludf.DUMMYFUNCTION("""COMPUTED_VALUE"""),"turks")</f>
        <v>turks</v>
      </c>
    </row>
    <row r="2068">
      <c r="B2068" s="6"/>
      <c r="D2068" s="6"/>
      <c r="G2068" s="6"/>
      <c r="I2068" s="6"/>
      <c r="M2068" s="6"/>
      <c r="P2068" s="6"/>
      <c r="Q2068" s="6" t="str">
        <f>IFERROR(__xludf.DUMMYFUNCTION("""COMPUTED_VALUE"""),"sap")</f>
        <v>sap</v>
      </c>
    </row>
    <row r="2069">
      <c r="B2069" s="6"/>
      <c r="D2069" s="6"/>
      <c r="G2069" s="6"/>
      <c r="I2069" s="6"/>
      <c r="M2069" s="6"/>
      <c r="P2069" s="6"/>
      <c r="Q2069" s="6" t="str">
        <f>IFERROR(__xludf.DUMMYFUNCTION("""COMPUTED_VALUE"""),"jon")</f>
        <v>jon</v>
      </c>
    </row>
    <row r="2070">
      <c r="B2070" s="6"/>
      <c r="D2070" s="6"/>
      <c r="G2070" s="6"/>
      <c r="I2070" s="6"/>
      <c r="M2070" s="6"/>
      <c r="P2070" s="6"/>
      <c r="Q2070" s="6" t="str">
        <f>IFERROR(__xludf.DUMMYFUNCTION("""COMPUTED_VALUE"""),"dad")</f>
        <v>dad</v>
      </c>
    </row>
    <row r="2071">
      <c r="B2071" s="6"/>
      <c r="D2071" s="6"/>
      <c r="G2071" s="6"/>
      <c r="I2071" s="6"/>
      <c r="M2071" s="6"/>
      <c r="P2071" s="6"/>
      <c r="Q2071" s="6" t="str">
        <f>IFERROR(__xludf.DUMMYFUNCTION("""COMPUTED_VALUE"""),"vain")</f>
        <v>vain</v>
      </c>
    </row>
    <row r="2072">
      <c r="B2072" s="6"/>
      <c r="D2072" s="6"/>
      <c r="G2072" s="6"/>
      <c r="I2072" s="6"/>
      <c r="M2072" s="6"/>
      <c r="P2072" s="6"/>
      <c r="Q2072" s="6" t="str">
        <f>IFERROR(__xludf.DUMMYFUNCTION("""COMPUTED_VALUE"""),"zhang")</f>
        <v>zhang</v>
      </c>
    </row>
    <row r="2073">
      <c r="B2073" s="6"/>
      <c r="D2073" s="6"/>
      <c r="G2073" s="6"/>
      <c r="I2073" s="6"/>
      <c r="M2073" s="6"/>
      <c r="P2073" s="6"/>
      <c r="Q2073" s="6" t="str">
        <f>IFERROR(__xludf.DUMMYFUNCTION("""COMPUTED_VALUE"""),"knockout")</f>
        <v>knockout</v>
      </c>
    </row>
    <row r="2074">
      <c r="B2074" s="6"/>
      <c r="D2074" s="6"/>
      <c r="G2074" s="6"/>
      <c r="I2074" s="6"/>
      <c r="M2074" s="6"/>
      <c r="P2074" s="6"/>
      <c r="Q2074" s="6" t="str">
        <f>IFERROR(__xludf.DUMMYFUNCTION("""COMPUTED_VALUE"""),"wryly")</f>
        <v>wryly</v>
      </c>
    </row>
    <row r="2075">
      <c r="B2075" s="6"/>
      <c r="D2075" s="6"/>
      <c r="G2075" s="6"/>
      <c r="I2075" s="6"/>
      <c r="M2075" s="6"/>
      <c r="P2075" s="6"/>
      <c r="Q2075" s="6" t="str">
        <f>IFERROR(__xludf.DUMMYFUNCTION("""COMPUTED_VALUE"""),"ed")</f>
        <v>ed</v>
      </c>
    </row>
    <row r="2076">
      <c r="B2076" s="6"/>
      <c r="D2076" s="6"/>
      <c r="G2076" s="6"/>
      <c r="I2076" s="6"/>
      <c r="M2076" s="6"/>
      <c r="P2076" s="6"/>
      <c r="Q2076" s="6" t="str">
        <f>IFERROR(__xludf.DUMMYFUNCTION("""COMPUTED_VALUE"""),"outline")</f>
        <v>outline</v>
      </c>
    </row>
    <row r="2077">
      <c r="B2077" s="6"/>
      <c r="D2077" s="6"/>
      <c r="G2077" s="6"/>
      <c r="I2077" s="6"/>
      <c r="M2077" s="6"/>
      <c r="P2077" s="6"/>
      <c r="Q2077" s="6" t="str">
        <f>IFERROR(__xludf.DUMMYFUNCTION("""COMPUTED_VALUE"""),"fable")</f>
        <v>fable</v>
      </c>
    </row>
    <row r="2078">
      <c r="B2078" s="6"/>
      <c r="D2078" s="6"/>
      <c r="G2078" s="6"/>
      <c r="I2078" s="6"/>
      <c r="M2078" s="6"/>
      <c r="P2078" s="6"/>
      <c r="Q2078" s="6" t="str">
        <f>IFERROR(__xludf.DUMMYFUNCTION("""COMPUTED_VALUE"""),"undertaken")</f>
        <v>undertaken</v>
      </c>
    </row>
    <row r="2079">
      <c r="B2079" s="6"/>
      <c r="D2079" s="6"/>
      <c r="G2079" s="6"/>
      <c r="I2079" s="6"/>
      <c r="M2079" s="6"/>
      <c r="P2079" s="6"/>
      <c r="Q2079" s="6" t="str">
        <f>IFERROR(__xludf.DUMMYFUNCTION("""COMPUTED_VALUE"""),"determination")</f>
        <v>determination</v>
      </c>
    </row>
    <row r="2080">
      <c r="B2080" s="6"/>
      <c r="D2080" s="6"/>
      <c r="G2080" s="6"/>
      <c r="I2080" s="6"/>
      <c r="M2080" s="6"/>
      <c r="P2080" s="6"/>
      <c r="Q2080" s="6" t="str">
        <f>IFERROR(__xludf.DUMMYFUNCTION("""COMPUTED_VALUE"""),"scientists")</f>
        <v>scientists</v>
      </c>
    </row>
    <row r="2081">
      <c r="B2081" s="6"/>
      <c r="D2081" s="6"/>
      <c r="G2081" s="6"/>
      <c r="I2081" s="6"/>
      <c r="M2081" s="6"/>
      <c r="P2081" s="6"/>
      <c r="Q2081" s="6" t="str">
        <f>IFERROR(__xludf.DUMMYFUNCTION("""COMPUTED_VALUE"""),"craftsmen")</f>
        <v>craftsmen</v>
      </c>
    </row>
    <row r="2082">
      <c r="B2082" s="6"/>
      <c r="D2082" s="6"/>
      <c r="G2082" s="6"/>
      <c r="I2082" s="6"/>
      <c r="M2082" s="6"/>
      <c r="P2082" s="6"/>
      <c r="Q2082" s="6">
        <f>IFERROR(__xludf.DUMMYFUNCTION("""COMPUTED_VALUE"""),1952.0)</f>
        <v>1952</v>
      </c>
    </row>
    <row r="2083">
      <c r="B2083" s="6"/>
      <c r="D2083" s="6"/>
      <c r="G2083" s="6"/>
      <c r="I2083" s="6"/>
      <c r="M2083" s="6"/>
      <c r="P2083" s="6"/>
      <c r="Q2083" s="6" t="str">
        <f>IFERROR(__xludf.DUMMYFUNCTION("""COMPUTED_VALUE"""),"acclaimed")</f>
        <v>acclaimed</v>
      </c>
    </row>
    <row r="2084">
      <c r="B2084" s="6"/>
      <c r="D2084" s="6"/>
      <c r="G2084" s="6"/>
      <c r="I2084" s="6"/>
      <c r="M2084" s="6"/>
      <c r="P2084" s="6"/>
      <c r="Q2084" s="6" t="str">
        <f>IFERROR(__xludf.DUMMYFUNCTION("""COMPUTED_VALUE"""),"icon")</f>
        <v>icon</v>
      </c>
    </row>
    <row r="2085">
      <c r="B2085" s="6"/>
      <c r="D2085" s="6"/>
      <c r="G2085" s="6"/>
      <c r="I2085" s="6"/>
      <c r="M2085" s="6"/>
      <c r="P2085" s="6"/>
      <c r="Q2085" s="6" t="str">
        <f>IFERROR(__xludf.DUMMYFUNCTION("""COMPUTED_VALUE"""),"unified")</f>
        <v>unified</v>
      </c>
    </row>
    <row r="2086">
      <c r="B2086" s="6"/>
      <c r="D2086" s="6"/>
      <c r="G2086" s="6"/>
      <c r="I2086" s="6"/>
      <c r="M2086" s="6"/>
      <c r="P2086" s="6"/>
      <c r="Q2086" s="6" t="str">
        <f>IFERROR(__xludf.DUMMYFUNCTION("""COMPUTED_VALUE"""),"ladder")</f>
        <v>ladder</v>
      </c>
    </row>
    <row r="2087">
      <c r="B2087" s="6"/>
      <c r="D2087" s="6"/>
      <c r="G2087" s="6"/>
      <c r="I2087" s="6"/>
      <c r="M2087" s="6"/>
      <c r="P2087" s="6"/>
      <c r="Q2087" s="6" t="str">
        <f>IFERROR(__xludf.DUMMYFUNCTION("""COMPUTED_VALUE"""),"libretto")</f>
        <v>libretto</v>
      </c>
    </row>
    <row r="2088">
      <c r="B2088" s="6"/>
      <c r="D2088" s="6"/>
      <c r="G2088" s="6"/>
      <c r="I2088" s="6"/>
      <c r="M2088" s="6"/>
      <c r="P2088" s="6"/>
      <c r="Q2088" s="6" t="str">
        <f>IFERROR(__xludf.DUMMYFUNCTION("""COMPUTED_VALUE"""),"satisfactory")</f>
        <v>satisfactory</v>
      </c>
    </row>
    <row r="2089">
      <c r="B2089" s="6"/>
      <c r="D2089" s="6"/>
      <c r="G2089" s="6"/>
      <c r="I2089" s="6"/>
      <c r="M2089" s="6"/>
      <c r="P2089" s="6"/>
      <c r="Q2089" s="6" t="str">
        <f>IFERROR(__xludf.DUMMYFUNCTION("""COMPUTED_VALUE"""),"monument")</f>
        <v>monument</v>
      </c>
    </row>
    <row r="2090">
      <c r="B2090" s="6"/>
      <c r="D2090" s="6"/>
      <c r="G2090" s="6"/>
      <c r="I2090" s="6"/>
      <c r="M2090" s="6"/>
      <c r="P2090" s="6"/>
      <c r="Q2090" s="6" t="str">
        <f>IFERROR(__xludf.DUMMYFUNCTION("""COMPUTED_VALUE"""),"minority")</f>
        <v>minority</v>
      </c>
    </row>
    <row r="2091">
      <c r="B2091" s="6"/>
      <c r="D2091" s="6"/>
      <c r="G2091" s="6"/>
      <c r="I2091" s="6"/>
      <c r="M2091" s="6"/>
      <c r="P2091" s="6"/>
      <c r="Q2091" s="6" t="str">
        <f>IFERROR(__xludf.DUMMYFUNCTION("""COMPUTED_VALUE"""),"shivers")</f>
        <v>shivers</v>
      </c>
    </row>
    <row r="2092">
      <c r="B2092" s="6"/>
      <c r="D2092" s="6"/>
      <c r="G2092" s="6"/>
      <c r="I2092" s="6"/>
      <c r="M2092" s="6"/>
      <c r="P2092" s="6"/>
      <c r="Q2092" s="6" t="str">
        <f>IFERROR(__xludf.DUMMYFUNCTION("""COMPUTED_VALUE"""),"spine")</f>
        <v>spine</v>
      </c>
    </row>
    <row r="2093">
      <c r="B2093" s="6"/>
      <c r="D2093" s="6"/>
      <c r="G2093" s="6"/>
      <c r="I2093" s="6"/>
      <c r="M2093" s="6"/>
      <c r="P2093" s="6"/>
      <c r="Q2093" s="6" t="str">
        <f>IFERROR(__xludf.DUMMYFUNCTION("""COMPUTED_VALUE"""),"environmental")</f>
        <v>environmental</v>
      </c>
    </row>
    <row r="2094">
      <c r="B2094" s="6"/>
      <c r="D2094" s="6"/>
      <c r="G2094" s="6"/>
      <c r="I2094" s="6"/>
      <c r="M2094" s="6"/>
      <c r="P2094" s="6"/>
      <c r="Q2094" s="6" t="str">
        <f>IFERROR(__xludf.DUMMYFUNCTION("""COMPUTED_VALUE"""),"fleeing")</f>
        <v>fleeing</v>
      </c>
    </row>
    <row r="2095">
      <c r="B2095" s="6"/>
      <c r="D2095" s="6"/>
      <c r="G2095" s="6"/>
      <c r="I2095" s="6"/>
      <c r="M2095" s="6"/>
      <c r="P2095" s="6"/>
      <c r="Q2095" s="6" t="str">
        <f>IFERROR(__xludf.DUMMYFUNCTION("""COMPUTED_VALUE"""),"lynne")</f>
        <v>lynne</v>
      </c>
    </row>
    <row r="2096">
      <c r="B2096" s="6"/>
      <c r="D2096" s="6"/>
      <c r="G2096" s="6"/>
      <c r="I2096" s="6"/>
      <c r="M2096" s="6"/>
      <c r="P2096" s="6"/>
      <c r="Q2096" s="6" t="str">
        <f>IFERROR(__xludf.DUMMYFUNCTION("""COMPUTED_VALUE"""),"ramsay")</f>
        <v>ramsay</v>
      </c>
    </row>
    <row r="2097">
      <c r="B2097" s="6"/>
      <c r="D2097" s="6"/>
      <c r="G2097" s="6"/>
      <c r="I2097" s="6"/>
      <c r="M2097" s="6"/>
      <c r="P2097" s="6"/>
      <c r="Q2097" s="6" t="str">
        <f>IFERROR(__xludf.DUMMYFUNCTION("""COMPUTED_VALUE"""),"restraint")</f>
        <v>restraint</v>
      </c>
    </row>
    <row r="2098">
      <c r="B2098" s="6"/>
      <c r="D2098" s="6"/>
      <c r="G2098" s="6"/>
      <c r="I2098" s="6"/>
      <c r="M2098" s="6"/>
      <c r="P2098" s="6"/>
      <c r="Q2098" s="6" t="str">
        <f>IFERROR(__xludf.DUMMYFUNCTION("""COMPUTED_VALUE"""),"converts")</f>
        <v>converts</v>
      </c>
    </row>
    <row r="2099">
      <c r="B2099" s="6"/>
      <c r="D2099" s="6"/>
      <c r="G2099" s="6"/>
      <c r="I2099" s="6"/>
      <c r="M2099" s="6"/>
      <c r="Q2099" s="6" t="str">
        <f>IFERROR(__xludf.DUMMYFUNCTION("""COMPUTED_VALUE"""),"pedestrian")</f>
        <v>pedestrian</v>
      </c>
    </row>
    <row r="2100">
      <c r="B2100" s="6"/>
      <c r="D2100" s="6"/>
      <c r="G2100" s="6"/>
      <c r="I2100" s="6"/>
      <c r="M2100" s="6"/>
      <c r="Q2100" s="6" t="str">
        <f>IFERROR(__xludf.DUMMYFUNCTION("""COMPUTED_VALUE"""),"encompassing")</f>
        <v>encompassing</v>
      </c>
    </row>
    <row r="2101">
      <c r="B2101" s="6"/>
      <c r="D2101" s="6"/>
      <c r="G2101" s="6"/>
      <c r="I2101" s="6"/>
      <c r="M2101" s="6"/>
      <c r="Q2101" s="6" t="str">
        <f>IFERROR(__xludf.DUMMYFUNCTION("""COMPUTED_VALUE"""),"socially")</f>
        <v>socially</v>
      </c>
    </row>
    <row r="2102">
      <c r="B2102" s="6"/>
      <c r="D2102" s="6"/>
      <c r="G2102" s="6"/>
      <c r="I2102" s="6"/>
      <c r="M2102" s="6"/>
      <c r="Q2102" s="6" t="str">
        <f>IFERROR(__xludf.DUMMYFUNCTION("""COMPUTED_VALUE"""),"spawned")</f>
        <v>spawned</v>
      </c>
    </row>
    <row r="2103">
      <c r="B2103" s="6"/>
      <c r="D2103" s="6"/>
      <c r="G2103" s="6"/>
      <c r="I2103" s="6"/>
      <c r="M2103" s="6"/>
      <c r="Q2103" s="6" t="str">
        <f>IFERROR(__xludf.DUMMYFUNCTION("""COMPUTED_VALUE"""),"favorably")</f>
        <v>favorably</v>
      </c>
    </row>
    <row r="2104">
      <c r="B2104" s="6"/>
      <c r="D2104" s="6"/>
      <c r="G2104" s="6"/>
      <c r="I2104" s="6"/>
      <c r="M2104" s="6"/>
      <c r="Q2104" s="6" t="str">
        <f>IFERROR(__xludf.DUMMYFUNCTION("""COMPUTED_VALUE"""),"clare")</f>
        <v>clare</v>
      </c>
    </row>
    <row r="2105">
      <c r="B2105" s="6"/>
      <c r="D2105" s="6"/>
      <c r="G2105" s="6"/>
      <c r="I2105" s="6"/>
      <c r="M2105" s="6"/>
      <c r="Q2105" s="6">
        <f>IFERROR(__xludf.DUMMYFUNCTION("""COMPUTED_VALUE"""),146.0)</f>
        <v>146</v>
      </c>
    </row>
    <row r="2106">
      <c r="B2106" s="6"/>
      <c r="D2106" s="6"/>
      <c r="G2106" s="6"/>
      <c r="I2106" s="6"/>
      <c r="M2106" s="6"/>
      <c r="Q2106" s="6" t="str">
        <f>IFERROR(__xludf.DUMMYFUNCTION("""COMPUTED_VALUE"""),"densely")</f>
        <v>densely</v>
      </c>
    </row>
    <row r="2107">
      <c r="B2107" s="6"/>
      <c r="D2107" s="6"/>
      <c r="G2107" s="6"/>
      <c r="I2107" s="6"/>
      <c r="M2107" s="6"/>
      <c r="Q2107" s="6" t="str">
        <f>IFERROR(__xludf.DUMMYFUNCTION("""COMPUTED_VALUE"""),"alfred")</f>
        <v>alfred</v>
      </c>
    </row>
    <row r="2108">
      <c r="B2108" s="6"/>
      <c r="D2108" s="6"/>
      <c r="G2108" s="6"/>
      <c r="I2108" s="6"/>
      <c r="M2108" s="6"/>
      <c r="Q2108" s="6" t="str">
        <f>IFERROR(__xludf.DUMMYFUNCTION("""COMPUTED_VALUE"""),"hitchcock")</f>
        <v>hitchcock</v>
      </c>
    </row>
    <row r="2109">
      <c r="B2109" s="6"/>
      <c r="D2109" s="6"/>
      <c r="G2109" s="6"/>
      <c r="I2109" s="6"/>
      <c r="M2109" s="6"/>
      <c r="Q2109" s="6" t="str">
        <f>IFERROR(__xludf.DUMMYFUNCTION("""COMPUTED_VALUE"""),"fontaine")</f>
        <v>fontaine</v>
      </c>
    </row>
    <row r="2110">
      <c r="B2110" s="6"/>
      <c r="D2110" s="6"/>
      <c r="G2110" s="6"/>
      <c r="I2110" s="6"/>
      <c r="M2110" s="6"/>
      <c r="Q2110" s="6" t="str">
        <f>IFERROR(__xludf.DUMMYFUNCTION("""COMPUTED_VALUE"""),"telenovela")</f>
        <v>telenovela</v>
      </c>
    </row>
    <row r="2111">
      <c r="B2111" s="6"/>
      <c r="D2111" s="6"/>
      <c r="G2111" s="6"/>
      <c r="I2111" s="6"/>
      <c r="M2111" s="6"/>
      <c r="Q2111" s="6" t="str">
        <f>IFERROR(__xludf.DUMMYFUNCTION("""COMPUTED_VALUE"""),"shakespeare")</f>
        <v>shakespeare</v>
      </c>
    </row>
    <row r="2112">
      <c r="B2112" s="6"/>
      <c r="D2112" s="6"/>
      <c r="G2112" s="6"/>
      <c r="I2112" s="6"/>
      <c r="M2112" s="6"/>
      <c r="Q2112" s="6" t="str">
        <f>IFERROR(__xludf.DUMMYFUNCTION("""COMPUTED_VALUE"""),"weakly")</f>
        <v>weakly</v>
      </c>
    </row>
    <row r="2113">
      <c r="B2113" s="6"/>
      <c r="D2113" s="6"/>
      <c r="G2113" s="6"/>
      <c r="I2113" s="6"/>
      <c r="M2113" s="6"/>
      <c r="Q2113" s="6" t="str">
        <f>IFERROR(__xludf.DUMMYFUNCTION("""COMPUTED_VALUE"""),"companion")</f>
        <v>companion</v>
      </c>
    </row>
    <row r="2114">
      <c r="B2114" s="6"/>
      <c r="D2114" s="6"/>
      <c r="G2114" s="6"/>
      <c r="I2114" s="6"/>
      <c r="M2114" s="6"/>
      <c r="Q2114" s="6" t="str">
        <f>IFERROR(__xludf.DUMMYFUNCTION("""COMPUTED_VALUE"""),"clyde")</f>
        <v>clyde</v>
      </c>
    </row>
    <row r="2115">
      <c r="B2115" s="6"/>
      <c r="D2115" s="6"/>
      <c r="G2115" s="6"/>
      <c r="I2115" s="6"/>
      <c r="M2115" s="6"/>
      <c r="Q2115" s="6" t="str">
        <f>IFERROR(__xludf.DUMMYFUNCTION("""COMPUTED_VALUE"""),"titans")</f>
        <v>titans</v>
      </c>
    </row>
    <row r="2116">
      <c r="B2116" s="6"/>
      <c r="D2116" s="6"/>
      <c r="G2116" s="6"/>
      <c r="I2116" s="6"/>
      <c r="M2116" s="6"/>
      <c r="Q2116" s="6" t="str">
        <f>IFERROR(__xludf.DUMMYFUNCTION("""COMPUTED_VALUE"""),"curves")</f>
        <v>curves</v>
      </c>
    </row>
    <row r="2117">
      <c r="B2117" s="6"/>
      <c r="D2117" s="6"/>
      <c r="G2117" s="6"/>
      <c r="I2117" s="6"/>
      <c r="M2117" s="6"/>
      <c r="Q2117" s="6" t="str">
        <f>IFERROR(__xludf.DUMMYFUNCTION("""COMPUTED_VALUE"""),"fashioned")</f>
        <v>fashioned</v>
      </c>
    </row>
    <row r="2118">
      <c r="B2118" s="6"/>
      <c r="D2118" s="6"/>
      <c r="G2118" s="6"/>
      <c r="I2118" s="6"/>
      <c r="M2118" s="6"/>
      <c r="Q2118" s="6" t="str">
        <f>IFERROR(__xludf.DUMMYFUNCTION("""COMPUTED_VALUE"""),"strains")</f>
        <v>strains</v>
      </c>
    </row>
    <row r="2119">
      <c r="B2119" s="6"/>
      <c r="D2119" s="6"/>
      <c r="G2119" s="6"/>
      <c r="I2119" s="6"/>
      <c r="M2119" s="6"/>
      <c r="Q2119" s="6" t="str">
        <f>IFERROR(__xludf.DUMMYFUNCTION("""COMPUTED_VALUE"""),"jolt")</f>
        <v>jolt</v>
      </c>
    </row>
    <row r="2120">
      <c r="B2120" s="6"/>
      <c r="D2120" s="6"/>
      <c r="G2120" s="6"/>
      <c r="I2120" s="6"/>
      <c r="M2120" s="6"/>
      <c r="Q2120" s="6" t="str">
        <f>IFERROR(__xludf.DUMMYFUNCTION("""COMPUTED_VALUE"""),"juliet")</f>
        <v>juliet</v>
      </c>
    </row>
    <row r="2121">
      <c r="B2121" s="6"/>
      <c r="D2121" s="6"/>
      <c r="G2121" s="6"/>
      <c r="I2121" s="6"/>
      <c r="M2121" s="6"/>
      <c r="Q2121" s="6" t="str">
        <f>IFERROR(__xludf.DUMMYFUNCTION("""COMPUTED_VALUE"""),"exchanges")</f>
        <v>exchanges</v>
      </c>
    </row>
    <row r="2122">
      <c r="B2122" s="6"/>
      <c r="D2122" s="6"/>
      <c r="G2122" s="6"/>
      <c r="I2122" s="6"/>
      <c r="M2122" s="6"/>
      <c r="Q2122" s="6" t="str">
        <f>IFERROR(__xludf.DUMMYFUNCTION("""COMPUTED_VALUE"""),"staggered")</f>
        <v>staggered</v>
      </c>
    </row>
    <row r="2123">
      <c r="B2123" s="6"/>
      <c r="D2123" s="6"/>
      <c r="G2123" s="6"/>
      <c r="I2123" s="6"/>
      <c r="M2123" s="6"/>
      <c r="Q2123" s="6" t="str">
        <f>IFERROR(__xludf.DUMMYFUNCTION("""COMPUTED_VALUE"""),"suspects")</f>
        <v>suspects</v>
      </c>
    </row>
    <row r="2124">
      <c r="B2124" s="6"/>
      <c r="D2124" s="6"/>
      <c r="G2124" s="6"/>
      <c r="I2124" s="6"/>
      <c r="M2124" s="6"/>
      <c r="Q2124" s="6" t="str">
        <f>IFERROR(__xludf.DUMMYFUNCTION("""COMPUTED_VALUE"""),"forcefully")</f>
        <v>forcefully</v>
      </c>
    </row>
    <row r="2125">
      <c r="B2125" s="6"/>
      <c r="D2125" s="6"/>
      <c r="G2125" s="6"/>
      <c r="I2125" s="6"/>
      <c r="M2125" s="6"/>
      <c r="Q2125" s="6" t="str">
        <f>IFERROR(__xludf.DUMMYFUNCTION("""COMPUTED_VALUE"""),"combustion")</f>
        <v>combustion</v>
      </c>
    </row>
    <row r="2126">
      <c r="B2126" s="6"/>
      <c r="D2126" s="6"/>
      <c r="G2126" s="6"/>
      <c r="I2126" s="6"/>
      <c r="M2126" s="6"/>
      <c r="Q2126" s="6" t="str">
        <f>IFERROR(__xludf.DUMMYFUNCTION("""COMPUTED_VALUE"""),"forgiven")</f>
        <v>forgiven</v>
      </c>
    </row>
    <row r="2127">
      <c r="B2127" s="6"/>
      <c r="D2127" s="6"/>
      <c r="G2127" s="6"/>
      <c r="I2127" s="6"/>
      <c r="M2127" s="6"/>
      <c r="Q2127" s="6" t="str">
        <f>IFERROR(__xludf.DUMMYFUNCTION("""COMPUTED_VALUE"""),"barlow")</f>
        <v>barlow</v>
      </c>
    </row>
    <row r="2128">
      <c r="B2128" s="6"/>
      <c r="D2128" s="6"/>
      <c r="G2128" s="6"/>
      <c r="I2128" s="6"/>
      <c r="M2128" s="6"/>
      <c r="Q2128" s="6" t="str">
        <f>IFERROR(__xludf.DUMMYFUNCTION("""COMPUTED_VALUE"""),"buried")</f>
        <v>buried</v>
      </c>
    </row>
    <row r="2129">
      <c r="B2129" s="6"/>
      <c r="D2129" s="6"/>
      <c r="G2129" s="6"/>
      <c r="I2129" s="6"/>
      <c r="M2129" s="6"/>
      <c r="Q2129" s="6" t="str">
        <f>IFERROR(__xludf.DUMMYFUNCTION("""COMPUTED_VALUE"""),"coping")</f>
        <v>coping</v>
      </c>
    </row>
    <row r="2130">
      <c r="B2130" s="6"/>
      <c r="D2130" s="6"/>
      <c r="G2130" s="6"/>
      <c r="I2130" s="6"/>
      <c r="M2130" s="6"/>
      <c r="Q2130" s="6" t="str">
        <f>IFERROR(__xludf.DUMMYFUNCTION("""COMPUTED_VALUE"""),"winger")</f>
        <v>winger</v>
      </c>
    </row>
    <row r="2131">
      <c r="B2131" s="6"/>
      <c r="D2131" s="6"/>
      <c r="G2131" s="6"/>
      <c r="I2131" s="6"/>
      <c r="M2131" s="6"/>
      <c r="Q2131" s="6" t="str">
        <f>IFERROR(__xludf.DUMMYFUNCTION("""COMPUTED_VALUE"""),"eccentric")</f>
        <v>eccentric</v>
      </c>
    </row>
    <row r="2132">
      <c r="B2132" s="6"/>
      <c r="D2132" s="6"/>
      <c r="G2132" s="6"/>
      <c r="I2132" s="6"/>
      <c r="M2132" s="6"/>
      <c r="Q2132" s="6" t="str">
        <f>IFERROR(__xludf.DUMMYFUNCTION("""COMPUTED_VALUE"""),"reagan")</f>
        <v>reagan</v>
      </c>
    </row>
    <row r="2133">
      <c r="B2133" s="6"/>
      <c r="D2133" s="6"/>
      <c r="G2133" s="6"/>
      <c r="I2133" s="6"/>
      <c r="M2133" s="6"/>
      <c r="Q2133" s="6" t="str">
        <f>IFERROR(__xludf.DUMMYFUNCTION("""COMPUTED_VALUE"""),"geared")</f>
        <v>geared</v>
      </c>
    </row>
    <row r="2134">
      <c r="B2134" s="6"/>
      <c r="D2134" s="6"/>
      <c r="G2134" s="6"/>
      <c r="I2134" s="6"/>
      <c r="M2134" s="6"/>
      <c r="Q2134" s="6" t="str">
        <f>IFERROR(__xludf.DUMMYFUNCTION("""COMPUTED_VALUE"""),"damon")</f>
        <v>damon</v>
      </c>
    </row>
    <row r="2135">
      <c r="B2135" s="6"/>
      <c r="D2135" s="6"/>
      <c r="G2135" s="6"/>
      <c r="I2135" s="6"/>
      <c r="M2135" s="6"/>
      <c r="Q2135" s="6">
        <f>IFERROR(__xludf.DUMMYFUNCTION("""COMPUTED_VALUE"""),163.0)</f>
        <v>163</v>
      </c>
    </row>
    <row r="2136">
      <c r="B2136" s="6"/>
      <c r="D2136" s="6"/>
      <c r="G2136" s="6"/>
      <c r="I2136" s="6"/>
      <c r="M2136" s="6"/>
      <c r="Q2136" s="6" t="str">
        <f>IFERROR(__xludf.DUMMYFUNCTION("""COMPUTED_VALUE"""),"peace")</f>
        <v>peace</v>
      </c>
    </row>
    <row r="2137">
      <c r="B2137" s="6"/>
      <c r="D2137" s="6"/>
      <c r="G2137" s="6"/>
      <c r="I2137" s="6"/>
      <c r="M2137" s="6"/>
      <c r="Q2137" s="6" t="str">
        <f>IFERROR(__xludf.DUMMYFUNCTION("""COMPUTED_VALUE"""),"eventual")</f>
        <v>eventual</v>
      </c>
    </row>
    <row r="2138">
      <c r="B2138" s="6"/>
      <c r="D2138" s="6"/>
      <c r="G2138" s="6"/>
      <c r="I2138" s="6"/>
      <c r="M2138" s="6"/>
      <c r="Q2138" s="6" t="str">
        <f>IFERROR(__xludf.DUMMYFUNCTION("""COMPUTED_VALUE"""),"commands")</f>
        <v>commands</v>
      </c>
    </row>
    <row r="2139">
      <c r="B2139" s="6"/>
      <c r="D2139" s="6"/>
      <c r="G2139" s="6"/>
      <c r="I2139" s="6"/>
      <c r="M2139" s="6"/>
      <c r="Q2139" s="6" t="str">
        <f>IFERROR(__xludf.DUMMYFUNCTION("""COMPUTED_VALUE"""),"grit")</f>
        <v>grit</v>
      </c>
    </row>
    <row r="2140">
      <c r="B2140" s="6"/>
      <c r="D2140" s="6"/>
      <c r="G2140" s="6"/>
      <c r="I2140" s="6"/>
      <c r="M2140" s="6"/>
      <c r="Q2140" s="6" t="str">
        <f>IFERROR(__xludf.DUMMYFUNCTION("""COMPUTED_VALUE"""),"endangered")</f>
        <v>endangered</v>
      </c>
    </row>
    <row r="2141">
      <c r="B2141" s="6"/>
      <c r="D2141" s="6"/>
      <c r="G2141" s="6"/>
      <c r="I2141" s="6"/>
      <c r="M2141" s="6"/>
      <c r="Q2141" s="6" t="str">
        <f>IFERROR(__xludf.DUMMYFUNCTION("""COMPUTED_VALUE"""),"heavyweight")</f>
        <v>heavyweight</v>
      </c>
    </row>
    <row r="2142">
      <c r="B2142" s="6"/>
      <c r="D2142" s="6"/>
      <c r="G2142" s="6"/>
      <c r="I2142" s="6"/>
      <c r="M2142" s="6"/>
      <c r="Q2142" s="6" t="str">
        <f>IFERROR(__xludf.DUMMYFUNCTION("""COMPUTED_VALUE"""),"unpaid")</f>
        <v>unpaid</v>
      </c>
    </row>
    <row r="2143">
      <c r="B2143" s="6"/>
      <c r="D2143" s="6"/>
      <c r="G2143" s="6"/>
      <c r="I2143" s="6"/>
      <c r="M2143" s="6"/>
      <c r="Q2143" s="6" t="str">
        <f>IFERROR(__xludf.DUMMYFUNCTION("""COMPUTED_VALUE"""),"burns")</f>
        <v>burns</v>
      </c>
    </row>
    <row r="2144">
      <c r="B2144" s="6"/>
      <c r="D2144" s="6"/>
      <c r="G2144" s="6"/>
      <c r="I2144" s="6"/>
      <c r="M2144" s="6"/>
      <c r="Q2144" s="6" t="str">
        <f>IFERROR(__xludf.DUMMYFUNCTION("""COMPUTED_VALUE"""),"scandals")</f>
        <v>scandals</v>
      </c>
    </row>
    <row r="2145">
      <c r="B2145" s="6"/>
      <c r="D2145" s="6"/>
      <c r="G2145" s="6"/>
      <c r="I2145" s="6"/>
      <c r="M2145" s="6"/>
      <c r="Q2145" s="6" t="str">
        <f>IFERROR(__xludf.DUMMYFUNCTION("""COMPUTED_VALUE"""),"ruse")</f>
        <v>ruse</v>
      </c>
    </row>
    <row r="2146">
      <c r="B2146" s="6"/>
      <c r="D2146" s="6"/>
      <c r="G2146" s="6"/>
      <c r="I2146" s="6"/>
      <c r="M2146" s="6"/>
      <c r="Q2146" s="6" t="str">
        <f>IFERROR(__xludf.DUMMYFUNCTION("""COMPUTED_VALUE"""),"chaplin")</f>
        <v>chaplin</v>
      </c>
    </row>
    <row r="2147">
      <c r="B2147" s="6"/>
      <c r="D2147" s="6"/>
      <c r="G2147" s="6"/>
      <c r="I2147" s="6"/>
      <c r="M2147" s="6"/>
      <c r="Q2147" s="6" t="str">
        <f>IFERROR(__xludf.DUMMYFUNCTION("""COMPUTED_VALUE"""),"fiercely")</f>
        <v>fiercely</v>
      </c>
    </row>
    <row r="2148">
      <c r="B2148" s="6"/>
      <c r="D2148" s="6"/>
      <c r="G2148" s="6"/>
      <c r="I2148" s="6"/>
      <c r="M2148" s="6"/>
      <c r="Q2148" s="6" t="str">
        <f>IFERROR(__xludf.DUMMYFUNCTION("""COMPUTED_VALUE"""),"exhaustion")</f>
        <v>exhaustion</v>
      </c>
    </row>
    <row r="2149">
      <c r="B2149" s="6"/>
      <c r="D2149" s="6"/>
      <c r="G2149" s="6"/>
      <c r="I2149" s="6"/>
      <c r="M2149" s="6"/>
      <c r="Q2149" s="6" t="str">
        <f>IFERROR(__xludf.DUMMYFUNCTION("""COMPUTED_VALUE"""),"tenth")</f>
        <v>tenth</v>
      </c>
    </row>
    <row r="2150">
      <c r="B2150" s="6"/>
      <c r="D2150" s="6"/>
      <c r="G2150" s="6"/>
      <c r="I2150" s="6"/>
      <c r="M2150" s="6"/>
      <c r="Q2150" s="6" t="str">
        <f>IFERROR(__xludf.DUMMYFUNCTION("""COMPUTED_VALUE"""),"installment")</f>
        <v>installment</v>
      </c>
    </row>
    <row r="2151">
      <c r="B2151" s="6"/>
      <c r="D2151" s="6"/>
      <c r="G2151" s="6"/>
      <c r="I2151" s="6"/>
      <c r="M2151" s="6"/>
      <c r="Q2151" s="6" t="str">
        <f>IFERROR(__xludf.DUMMYFUNCTION("""COMPUTED_VALUE"""),"grenade")</f>
        <v>grenade</v>
      </c>
    </row>
    <row r="2152">
      <c r="B2152" s="6"/>
      <c r="D2152" s="6"/>
      <c r="G2152" s="6"/>
      <c r="I2152" s="6"/>
      <c r="M2152" s="6"/>
      <c r="Q2152" s="6" t="str">
        <f>IFERROR(__xludf.DUMMYFUNCTION("""COMPUTED_VALUE"""),"discoveries")</f>
        <v>discoveries</v>
      </c>
    </row>
    <row r="2153">
      <c r="B2153" s="6"/>
      <c r="D2153" s="6"/>
      <c r="G2153" s="6"/>
      <c r="I2153" s="6"/>
      <c r="M2153" s="6"/>
      <c r="Q2153" s="6" t="str">
        <f>IFERROR(__xludf.DUMMYFUNCTION("""COMPUTED_VALUE"""),"inhabitants")</f>
        <v>inhabitants</v>
      </c>
    </row>
    <row r="2154">
      <c r="B2154" s="6"/>
      <c r="D2154" s="6"/>
      <c r="G2154" s="6"/>
      <c r="I2154" s="6"/>
      <c r="M2154" s="6"/>
      <c r="Q2154" s="6" t="str">
        <f>IFERROR(__xludf.DUMMYFUNCTION("""COMPUTED_VALUE"""),"christianity")</f>
        <v>christianity</v>
      </c>
    </row>
    <row r="2155">
      <c r="B2155" s="6"/>
      <c r="D2155" s="6"/>
      <c r="G2155" s="6"/>
      <c r="I2155" s="6"/>
      <c r="M2155" s="6"/>
      <c r="Q2155" s="6" t="str">
        <f>IFERROR(__xludf.DUMMYFUNCTION("""COMPUTED_VALUE"""),"activism")</f>
        <v>activism</v>
      </c>
    </row>
    <row r="2156">
      <c r="B2156" s="6"/>
      <c r="D2156" s="6"/>
      <c r="G2156" s="6"/>
      <c r="I2156" s="6"/>
      <c r="M2156" s="6"/>
      <c r="Q2156" s="6" t="str">
        <f>IFERROR(__xludf.DUMMYFUNCTION("""COMPUTED_VALUE"""),"walsh")</f>
        <v>walsh</v>
      </c>
    </row>
    <row r="2157">
      <c r="B2157" s="6"/>
      <c r="D2157" s="6"/>
      <c r="G2157" s="6"/>
      <c r="I2157" s="6"/>
      <c r="M2157" s="6"/>
      <c r="Q2157" s="6" t="str">
        <f>IFERROR(__xludf.DUMMYFUNCTION("""COMPUTED_VALUE"""),"eileen")</f>
        <v>eileen</v>
      </c>
    </row>
    <row r="2158">
      <c r="B2158" s="6"/>
      <c r="D2158" s="6"/>
      <c r="G2158" s="6"/>
      <c r="I2158" s="6"/>
      <c r="M2158" s="6"/>
      <c r="Q2158" s="6" t="str">
        <f>IFERROR(__xludf.DUMMYFUNCTION("""COMPUTED_VALUE"""),"taut")</f>
        <v>taut</v>
      </c>
    </row>
    <row r="2159">
      <c r="B2159" s="6"/>
      <c r="D2159" s="6"/>
      <c r="G2159" s="6"/>
      <c r="I2159" s="6"/>
      <c r="M2159" s="6"/>
      <c r="Q2159" s="6" t="str">
        <f>IFERROR(__xludf.DUMMYFUNCTION("""COMPUTED_VALUE"""),"discreet")</f>
        <v>discreet</v>
      </c>
    </row>
    <row r="2160">
      <c r="B2160" s="6"/>
      <c r="D2160" s="6"/>
      <c r="G2160" s="6"/>
      <c r="I2160" s="6"/>
      <c r="M2160" s="6"/>
      <c r="Q2160" s="6" t="str">
        <f>IFERROR(__xludf.DUMMYFUNCTION("""COMPUTED_VALUE"""),"sat")</f>
        <v>sat</v>
      </c>
    </row>
    <row r="2161">
      <c r="B2161" s="6"/>
      <c r="D2161" s="6"/>
      <c r="G2161" s="6"/>
      <c r="I2161" s="6"/>
      <c r="M2161" s="6"/>
      <c r="Q2161" s="6" t="str">
        <f>IFERROR(__xludf.DUMMYFUNCTION("""COMPUTED_VALUE"""),"horses")</f>
        <v>horses</v>
      </c>
    </row>
    <row r="2162">
      <c r="B2162" s="6"/>
      <c r="D2162" s="6"/>
      <c r="G2162" s="6"/>
      <c r="I2162" s="6"/>
      <c r="M2162" s="6"/>
      <c r="Q2162" s="6" t="str">
        <f>IFERROR(__xludf.DUMMYFUNCTION("""COMPUTED_VALUE"""),"partnership")</f>
        <v>partnership</v>
      </c>
    </row>
    <row r="2163">
      <c r="B2163" s="6"/>
      <c r="D2163" s="6"/>
      <c r="G2163" s="6"/>
      <c r="I2163" s="6"/>
      <c r="M2163" s="6"/>
      <c r="Q2163" s="6" t="str">
        <f>IFERROR(__xludf.DUMMYFUNCTION("""COMPUTED_VALUE"""),"mined")</f>
        <v>mined</v>
      </c>
    </row>
    <row r="2164">
      <c r="B2164" s="6"/>
      <c r="D2164" s="6"/>
      <c r="G2164" s="6"/>
      <c r="I2164" s="6"/>
      <c r="M2164" s="6"/>
      <c r="Q2164" s="6" t="str">
        <f>IFERROR(__xludf.DUMMYFUNCTION("""COMPUTED_VALUE"""),"glass")</f>
        <v>glass</v>
      </c>
    </row>
    <row r="2165">
      <c r="B2165" s="6"/>
      <c r="D2165" s="6"/>
      <c r="G2165" s="6"/>
      <c r="I2165" s="6"/>
      <c r="M2165" s="6"/>
      <c r="Q2165" s="6" t="str">
        <f>IFERROR(__xludf.DUMMYFUNCTION("""COMPUTED_VALUE"""),"rewarded")</f>
        <v>rewarded</v>
      </c>
    </row>
    <row r="2166">
      <c r="B2166" s="6"/>
      <c r="D2166" s="6"/>
      <c r="G2166" s="6"/>
      <c r="I2166" s="6"/>
      <c r="M2166" s="6"/>
      <c r="Q2166" s="6" t="str">
        <f>IFERROR(__xludf.DUMMYFUNCTION("""COMPUTED_VALUE"""),"tabloid")</f>
        <v>tabloid</v>
      </c>
    </row>
    <row r="2167">
      <c r="B2167" s="6"/>
      <c r="D2167" s="6"/>
      <c r="G2167" s="6"/>
      <c r="I2167" s="6"/>
      <c r="M2167" s="6"/>
      <c r="Q2167" s="6" t="str">
        <f>IFERROR(__xludf.DUMMYFUNCTION("""COMPUTED_VALUE"""),"mystical")</f>
        <v>mystical</v>
      </c>
    </row>
    <row r="2168">
      <c r="B2168" s="6"/>
      <c r="D2168" s="6"/>
      <c r="G2168" s="6"/>
      <c r="I2168" s="6"/>
      <c r="M2168" s="6"/>
      <c r="Q2168" s="6" t="str">
        <f>IFERROR(__xludf.DUMMYFUNCTION("""COMPUTED_VALUE"""),"derive")</f>
        <v>derive</v>
      </c>
    </row>
    <row r="2169">
      <c r="B2169" s="6"/>
      <c r="D2169" s="6"/>
      <c r="G2169" s="6"/>
      <c r="I2169" s="6"/>
      <c r="M2169" s="6"/>
      <c r="Q2169" s="6" t="str">
        <f>IFERROR(__xludf.DUMMYFUNCTION("""COMPUTED_VALUE"""),"tinged")</f>
        <v>tinged</v>
      </c>
    </row>
    <row r="2170">
      <c r="B2170" s="6"/>
      <c r="D2170" s="6"/>
      <c r="G2170" s="6"/>
      <c r="I2170" s="6"/>
      <c r="M2170" s="6"/>
      <c r="Q2170" s="6" t="str">
        <f>IFERROR(__xludf.DUMMYFUNCTION("""COMPUTED_VALUE"""),"practices")</f>
        <v>practices</v>
      </c>
    </row>
    <row r="2171">
      <c r="B2171" s="6"/>
      <c r="D2171" s="6"/>
      <c r="G2171" s="6"/>
      <c r="I2171" s="6"/>
      <c r="M2171" s="6"/>
      <c r="Q2171" s="6" t="str">
        <f>IFERROR(__xludf.DUMMYFUNCTION("""COMPUTED_VALUE"""),"bed")</f>
        <v>bed</v>
      </c>
    </row>
    <row r="2172">
      <c r="B2172" s="6"/>
      <c r="D2172" s="6"/>
      <c r="G2172" s="6"/>
      <c r="I2172" s="6"/>
      <c r="M2172" s="6"/>
      <c r="Q2172" s="6" t="str">
        <f>IFERROR(__xludf.DUMMYFUNCTION("""COMPUTED_VALUE"""),"chong")</f>
        <v>chong</v>
      </c>
    </row>
    <row r="2173">
      <c r="B2173" s="6"/>
      <c r="D2173" s="6"/>
      <c r="G2173" s="6"/>
      <c r="I2173" s="6"/>
      <c r="M2173" s="6"/>
      <c r="Q2173" s="6" t="str">
        <f>IFERROR(__xludf.DUMMYFUNCTION("""COMPUTED_VALUE"""),"manipulating")</f>
        <v>manipulating</v>
      </c>
    </row>
    <row r="2174">
      <c r="B2174" s="6"/>
      <c r="D2174" s="6"/>
      <c r="G2174" s="6"/>
      <c r="I2174" s="6"/>
      <c r="M2174" s="6"/>
      <c r="Q2174" s="6" t="str">
        <f>IFERROR(__xludf.DUMMYFUNCTION("""COMPUTED_VALUE"""),"implications")</f>
        <v>implications</v>
      </c>
    </row>
    <row r="2175">
      <c r="B2175" s="6"/>
      <c r="D2175" s="6"/>
      <c r="G2175" s="6"/>
      <c r="I2175" s="6"/>
      <c r="M2175" s="6"/>
      <c r="Q2175" s="6" t="str">
        <f>IFERROR(__xludf.DUMMYFUNCTION("""COMPUTED_VALUE"""),"hypothesis")</f>
        <v>hypothesis</v>
      </c>
    </row>
    <row r="2176">
      <c r="B2176" s="6"/>
      <c r="D2176" s="6"/>
      <c r="G2176" s="6"/>
      <c r="I2176" s="6"/>
      <c r="M2176" s="6"/>
      <c r="Q2176" s="6" t="str">
        <f>IFERROR(__xludf.DUMMYFUNCTION("""COMPUTED_VALUE"""),"elemental")</f>
        <v>elemental</v>
      </c>
    </row>
    <row r="2177">
      <c r="B2177" s="6"/>
      <c r="D2177" s="6"/>
      <c r="G2177" s="6"/>
      <c r="I2177" s="6"/>
      <c r="M2177" s="6"/>
      <c r="Q2177" s="6" t="str">
        <f>IFERROR(__xludf.DUMMYFUNCTION("""COMPUTED_VALUE"""),"wrestler")</f>
        <v>wrestler</v>
      </c>
    </row>
    <row r="2178">
      <c r="B2178" s="6"/>
      <c r="D2178" s="6"/>
      <c r="G2178" s="6"/>
      <c r="I2178" s="6"/>
      <c r="M2178" s="6"/>
      <c r="Q2178" s="6" t="str">
        <f>IFERROR(__xludf.DUMMYFUNCTION("""COMPUTED_VALUE"""),"prostitute")</f>
        <v>prostitute</v>
      </c>
    </row>
    <row r="2179">
      <c r="B2179" s="6"/>
      <c r="D2179" s="6"/>
      <c r="G2179" s="6"/>
      <c r="I2179" s="6"/>
      <c r="M2179" s="6"/>
      <c r="Q2179" s="6" t="str">
        <f>IFERROR(__xludf.DUMMYFUNCTION("""COMPUTED_VALUE"""),"needy")</f>
        <v>needy</v>
      </c>
    </row>
    <row r="2180">
      <c r="B2180" s="6"/>
      <c r="D2180" s="6"/>
      <c r="G2180" s="6"/>
      <c r="I2180" s="6"/>
      <c r="M2180" s="6"/>
      <c r="Q2180" s="6" t="str">
        <f>IFERROR(__xludf.DUMMYFUNCTION("""COMPUTED_VALUE"""),"radioactive")</f>
        <v>radioactive</v>
      </c>
    </row>
    <row r="2181">
      <c r="B2181" s="6"/>
      <c r="D2181" s="6"/>
      <c r="G2181" s="6"/>
      <c r="I2181" s="6"/>
      <c r="M2181" s="6"/>
      <c r="Q2181" s="6" t="str">
        <f>IFERROR(__xludf.DUMMYFUNCTION("""COMPUTED_VALUE"""),"destructive")</f>
        <v>destructive</v>
      </c>
    </row>
    <row r="2182">
      <c r="B2182" s="6"/>
      <c r="D2182" s="6"/>
      <c r="G2182" s="6"/>
      <c r="I2182" s="6"/>
      <c r="M2182" s="6"/>
      <c r="Q2182" s="6" t="str">
        <f>IFERROR(__xludf.DUMMYFUNCTION("""COMPUTED_VALUE"""),"demonic")</f>
        <v>demonic</v>
      </c>
    </row>
    <row r="2183">
      <c r="B2183" s="6"/>
      <c r="D2183" s="6"/>
      <c r="G2183" s="6"/>
      <c r="I2183" s="6"/>
      <c r="M2183" s="6"/>
      <c r="Q2183" s="6" t="str">
        <f>IFERROR(__xludf.DUMMYFUNCTION("""COMPUTED_VALUE"""),"laden")</f>
        <v>laden</v>
      </c>
    </row>
    <row r="2184">
      <c r="B2184" s="6"/>
      <c r="D2184" s="6"/>
      <c r="G2184" s="6"/>
      <c r="I2184" s="6"/>
      <c r="M2184" s="6"/>
      <c r="Q2184" s="6" t="str">
        <f>IFERROR(__xludf.DUMMYFUNCTION("""COMPUTED_VALUE"""),"siren")</f>
        <v>siren</v>
      </c>
    </row>
    <row r="2185">
      <c r="B2185" s="6"/>
      <c r="D2185" s="6"/>
      <c r="G2185" s="6"/>
      <c r="I2185" s="6"/>
      <c r="M2185" s="6"/>
      <c r="Q2185" s="6" t="str">
        <f>IFERROR(__xludf.DUMMYFUNCTION("""COMPUTED_VALUE"""),"poking")</f>
        <v>poking</v>
      </c>
    </row>
    <row r="2186">
      <c r="B2186" s="6"/>
      <c r="D2186" s="6"/>
      <c r="G2186" s="6"/>
      <c r="I2186" s="6"/>
      <c r="M2186" s="6"/>
      <c r="Q2186" s="6" t="str">
        <f>IFERROR(__xludf.DUMMYFUNCTION("""COMPUTED_VALUE"""),"metropolitan")</f>
        <v>metropolitan</v>
      </c>
    </row>
    <row r="2187">
      <c r="B2187" s="6"/>
      <c r="D2187" s="6"/>
      <c r="G2187" s="6"/>
      <c r="I2187" s="6"/>
      <c r="M2187" s="6"/>
      <c r="Q2187" s="6" t="str">
        <f>IFERROR(__xludf.DUMMYFUNCTION("""COMPUTED_VALUE"""),"hades")</f>
        <v>hades</v>
      </c>
    </row>
    <row r="2188">
      <c r="B2188" s="6"/>
      <c r="D2188" s="6"/>
      <c r="G2188" s="6"/>
      <c r="I2188" s="6"/>
      <c r="M2188" s="6"/>
      <c r="Q2188" s="6" t="str">
        <f>IFERROR(__xludf.DUMMYFUNCTION("""COMPUTED_VALUE"""),"holmes")</f>
        <v>holmes</v>
      </c>
    </row>
    <row r="2189">
      <c r="B2189" s="6"/>
      <c r="D2189" s="6"/>
      <c r="G2189" s="6"/>
      <c r="I2189" s="6"/>
      <c r="M2189" s="6"/>
      <c r="Q2189" s="6" t="str">
        <f>IFERROR(__xludf.DUMMYFUNCTION("""COMPUTED_VALUE"""),"senses")</f>
        <v>senses</v>
      </c>
    </row>
    <row r="2190">
      <c r="B2190" s="6"/>
      <c r="D2190" s="6"/>
      <c r="G2190" s="6"/>
      <c r="I2190" s="6"/>
      <c r="M2190" s="6"/>
      <c r="Q2190" s="6" t="str">
        <f>IFERROR(__xludf.DUMMYFUNCTION("""COMPUTED_VALUE"""),"refined")</f>
        <v>refined</v>
      </c>
    </row>
    <row r="2191">
      <c r="B2191" s="6"/>
      <c r="D2191" s="6"/>
      <c r="G2191" s="6"/>
      <c r="I2191" s="6"/>
      <c r="M2191" s="6"/>
      <c r="Q2191" s="6" t="str">
        <f>IFERROR(__xludf.DUMMYFUNCTION("""COMPUTED_VALUE"""),"convictions")</f>
        <v>convictions</v>
      </c>
    </row>
    <row r="2192">
      <c r="B2192" s="6"/>
      <c r="D2192" s="6"/>
      <c r="G2192" s="6"/>
      <c r="I2192" s="6"/>
      <c r="M2192" s="6"/>
      <c r="Q2192" s="6" t="str">
        <f>IFERROR(__xludf.DUMMYFUNCTION("""COMPUTED_VALUE"""),"posing")</f>
        <v>posing</v>
      </c>
    </row>
    <row r="2193">
      <c r="B2193" s="6"/>
      <c r="D2193" s="6"/>
      <c r="G2193" s="6"/>
      <c r="I2193" s="6"/>
      <c r="M2193" s="6"/>
      <c r="Q2193" s="6" t="str">
        <f>IFERROR(__xludf.DUMMYFUNCTION("""COMPUTED_VALUE"""),"populace")</f>
        <v>populace</v>
      </c>
    </row>
    <row r="2194">
      <c r="B2194" s="6"/>
      <c r="D2194" s="6"/>
      <c r="G2194" s="6"/>
      <c r="I2194" s="6"/>
      <c r="M2194" s="6"/>
      <c r="Q2194" s="6" t="str">
        <f>IFERROR(__xludf.DUMMYFUNCTION("""COMPUTED_VALUE"""),"pageant")</f>
        <v>pageant</v>
      </c>
    </row>
    <row r="2195">
      <c r="B2195" s="6"/>
      <c r="D2195" s="6"/>
      <c r="G2195" s="6"/>
      <c r="I2195" s="6"/>
      <c r="M2195" s="6"/>
      <c r="Q2195" s="6" t="str">
        <f>IFERROR(__xludf.DUMMYFUNCTION("""COMPUTED_VALUE"""),"journalist")</f>
        <v>journalist</v>
      </c>
    </row>
    <row r="2196">
      <c r="B2196" s="6"/>
      <c r="D2196" s="6"/>
      <c r="G2196" s="6"/>
      <c r="I2196" s="6"/>
      <c r="M2196" s="6"/>
      <c r="Q2196" s="6" t="str">
        <f>IFERROR(__xludf.DUMMYFUNCTION("""COMPUTED_VALUE"""),"noticeable")</f>
        <v>noticeable</v>
      </c>
    </row>
    <row r="2197">
      <c r="B2197" s="6"/>
      <c r="D2197" s="6"/>
      <c r="G2197" s="6"/>
      <c r="I2197" s="6"/>
      <c r="M2197" s="6"/>
      <c r="Q2197" s="6" t="str">
        <f>IFERROR(__xludf.DUMMYFUNCTION("""COMPUTED_VALUE"""),"exasperated")</f>
        <v>exasperated</v>
      </c>
    </row>
    <row r="2198">
      <c r="B2198" s="6"/>
      <c r="D2198" s="6"/>
      <c r="G2198" s="6"/>
      <c r="I2198" s="6"/>
      <c r="M2198" s="6"/>
      <c r="Q2198" s="6" t="str">
        <f>IFERROR(__xludf.DUMMYFUNCTION("""COMPUTED_VALUE"""),"venice")</f>
        <v>venice</v>
      </c>
    </row>
    <row r="2199">
      <c r="B2199" s="6"/>
      <c r="D2199" s="6"/>
      <c r="G2199" s="6"/>
      <c r="I2199" s="6"/>
      <c r="M2199" s="6"/>
      <c r="Q2199" s="6" t="str">
        <f>IFERROR(__xludf.DUMMYFUNCTION("""COMPUTED_VALUE"""),"mika")</f>
        <v>mika</v>
      </c>
    </row>
    <row r="2200">
      <c r="B2200" s="6"/>
      <c r="D2200" s="6"/>
      <c r="G2200" s="6"/>
      <c r="I2200" s="6"/>
      <c r="M2200" s="6"/>
      <c r="Q2200" s="6" t="str">
        <f>IFERROR(__xludf.DUMMYFUNCTION("""COMPUTED_VALUE"""),"fallon")</f>
        <v>fallon</v>
      </c>
    </row>
    <row r="2201">
      <c r="B2201" s="6"/>
      <c r="D2201" s="6"/>
      <c r="G2201" s="6"/>
      <c r="I2201" s="6"/>
      <c r="M2201" s="6"/>
      <c r="Q2201" s="6" t="str">
        <f>IFERROR(__xludf.DUMMYFUNCTION("""COMPUTED_VALUE"""),"forgiveness")</f>
        <v>forgiveness</v>
      </c>
    </row>
    <row r="2202">
      <c r="B2202" s="6"/>
      <c r="D2202" s="6"/>
      <c r="G2202" s="6"/>
      <c r="I2202" s="6"/>
      <c r="M2202" s="6"/>
      <c r="Q2202" s="6" t="str">
        <f>IFERROR(__xludf.DUMMYFUNCTION("""COMPUTED_VALUE"""),"cinematographer")</f>
        <v>cinematographer</v>
      </c>
    </row>
    <row r="2203">
      <c r="B2203" s="6"/>
      <c r="D2203" s="6"/>
      <c r="G2203" s="6"/>
      <c r="I2203" s="6"/>
      <c r="M2203" s="6"/>
      <c r="Q2203" s="6" t="str">
        <f>IFERROR(__xludf.DUMMYFUNCTION("""COMPUTED_VALUE"""),"stevens")</f>
        <v>stevens</v>
      </c>
    </row>
    <row r="2204">
      <c r="B2204" s="6"/>
      <c r="D2204" s="6"/>
      <c r="G2204" s="6"/>
      <c r="I2204" s="6"/>
      <c r="M2204" s="6"/>
      <c r="Q2204" s="6" t="str">
        <f>IFERROR(__xludf.DUMMYFUNCTION("""COMPUTED_VALUE"""),"playstation")</f>
        <v>playstation</v>
      </c>
    </row>
    <row r="2205">
      <c r="B2205" s="6"/>
      <c r="D2205" s="6"/>
      <c r="G2205" s="6"/>
      <c r="I2205" s="6"/>
      <c r="M2205" s="6"/>
      <c r="Q2205" s="6" t="str">
        <f>IFERROR(__xludf.DUMMYFUNCTION("""COMPUTED_VALUE"""),"mtv")</f>
        <v>mtv</v>
      </c>
    </row>
    <row r="2206">
      <c r="B2206" s="6"/>
      <c r="D2206" s="6"/>
      <c r="G2206" s="6"/>
      <c r="I2206" s="6"/>
      <c r="M2206" s="6"/>
      <c r="Q2206" s="6" t="str">
        <f>IFERROR(__xludf.DUMMYFUNCTION("""COMPUTED_VALUE"""),"hysteria")</f>
        <v>hysteria</v>
      </c>
    </row>
    <row r="2207">
      <c r="B2207" s="6"/>
      <c r="D2207" s="6"/>
      <c r="G2207" s="6"/>
      <c r="I2207" s="6"/>
      <c r="M2207" s="6"/>
      <c r="Q2207" s="6" t="str">
        <f>IFERROR(__xludf.DUMMYFUNCTION("""COMPUTED_VALUE"""),"barbarian")</f>
        <v>barbarian</v>
      </c>
    </row>
    <row r="2208">
      <c r="B2208" s="6"/>
      <c r="D2208" s="6"/>
      <c r="G2208" s="6"/>
      <c r="I2208" s="6"/>
      <c r="M2208" s="6"/>
      <c r="Q2208" s="6" t="str">
        <f>IFERROR(__xludf.DUMMYFUNCTION("""COMPUTED_VALUE"""),"ethan")</f>
        <v>ethan</v>
      </c>
    </row>
    <row r="2209">
      <c r="B2209" s="6"/>
      <c r="D2209" s="6"/>
      <c r="G2209" s="6"/>
      <c r="I2209" s="6"/>
      <c r="M2209" s="6"/>
      <c r="Q2209" s="6" t="str">
        <f>IFERROR(__xludf.DUMMYFUNCTION("""COMPUTED_VALUE"""),"threatens")</f>
        <v>threatens</v>
      </c>
    </row>
    <row r="2210">
      <c r="B2210" s="6"/>
      <c r="D2210" s="6"/>
      <c r="G2210" s="6"/>
      <c r="I2210" s="6"/>
      <c r="M2210" s="6"/>
      <c r="Q2210" s="6" t="str">
        <f>IFERROR(__xludf.DUMMYFUNCTION("""COMPUTED_VALUE"""),"resentment")</f>
        <v>resentment</v>
      </c>
    </row>
    <row r="2211">
      <c r="B2211" s="6"/>
      <c r="D2211" s="6"/>
      <c r="G2211" s="6"/>
      <c r="I2211" s="6"/>
      <c r="M2211" s="6"/>
      <c r="Q2211" s="6" t="str">
        <f>IFERROR(__xludf.DUMMYFUNCTION("""COMPUTED_VALUE"""),"acquire")</f>
        <v>acquire</v>
      </c>
    </row>
    <row r="2212">
      <c r="B2212" s="6"/>
      <c r="D2212" s="6"/>
      <c r="G2212" s="6"/>
      <c r="I2212" s="6"/>
      <c r="M2212" s="6"/>
      <c r="Q2212" s="6" t="str">
        <f>IFERROR(__xludf.DUMMYFUNCTION("""COMPUTED_VALUE"""),"hypnotic")</f>
        <v>hypnotic</v>
      </c>
    </row>
    <row r="2213">
      <c r="B2213" s="6"/>
      <c r="D2213" s="6"/>
      <c r="G2213" s="6"/>
      <c r="I2213" s="6"/>
      <c r="M2213" s="6"/>
      <c r="Q2213" s="6" t="str">
        <f>IFERROR(__xludf.DUMMYFUNCTION("""COMPUTED_VALUE"""),"welsh")</f>
        <v>welsh</v>
      </c>
    </row>
    <row r="2214">
      <c r="B2214" s="6"/>
      <c r="D2214" s="6"/>
      <c r="G2214" s="6"/>
      <c r="I2214" s="6"/>
      <c r="M2214" s="6"/>
      <c r="Q2214" s="6" t="str">
        <f>IFERROR(__xludf.DUMMYFUNCTION("""COMPUTED_VALUE"""),"goose")</f>
        <v>goose</v>
      </c>
    </row>
    <row r="2215">
      <c r="B2215" s="6"/>
      <c r="D2215" s="6"/>
      <c r="G2215" s="6"/>
      <c r="I2215" s="6"/>
      <c r="M2215" s="6"/>
      <c r="Q2215" s="6" t="str">
        <f>IFERROR(__xludf.DUMMYFUNCTION("""COMPUTED_VALUE"""),"rape")</f>
        <v>rape</v>
      </c>
    </row>
    <row r="2216">
      <c r="B2216" s="6"/>
      <c r="D2216" s="6"/>
      <c r="G2216" s="6"/>
      <c r="I2216" s="6"/>
      <c r="M2216" s="6"/>
      <c r="Q2216" s="6" t="str">
        <f>IFERROR(__xludf.DUMMYFUNCTION("""COMPUTED_VALUE"""),"stuart")</f>
        <v>stuart</v>
      </c>
    </row>
    <row r="2217">
      <c r="B2217" s="6"/>
      <c r="D2217" s="6"/>
      <c r="G2217" s="6"/>
      <c r="I2217" s="6"/>
      <c r="M2217" s="6"/>
      <c r="Q2217" s="6" t="str">
        <f>IFERROR(__xludf.DUMMYFUNCTION("""COMPUTED_VALUE"""),"believing")</f>
        <v>believing</v>
      </c>
    </row>
    <row r="2218">
      <c r="B2218" s="6"/>
      <c r="D2218" s="6"/>
      <c r="G2218" s="6"/>
      <c r="I2218" s="6"/>
      <c r="M2218" s="6"/>
      <c r="Q2218" s="6" t="str">
        <f>IFERROR(__xludf.DUMMYFUNCTION("""COMPUTED_VALUE"""),"siegel")</f>
        <v>siegel</v>
      </c>
    </row>
    <row r="2219">
      <c r="B2219" s="6"/>
      <c r="D2219" s="6"/>
      <c r="G2219" s="6"/>
      <c r="I2219" s="6"/>
      <c r="M2219" s="6"/>
      <c r="Q2219" s="6" t="str">
        <f>IFERROR(__xludf.DUMMYFUNCTION("""COMPUTED_VALUE"""),"lo")</f>
        <v>lo</v>
      </c>
    </row>
    <row r="2220">
      <c r="B2220" s="6"/>
      <c r="D2220" s="6"/>
      <c r="G2220" s="6"/>
      <c r="I2220" s="6"/>
      <c r="M2220" s="6"/>
      <c r="Q2220" s="6" t="str">
        <f>IFERROR(__xludf.DUMMYFUNCTION("""COMPUTED_VALUE"""),"parochial")</f>
        <v>parochial</v>
      </c>
    </row>
    <row r="2221">
      <c r="B2221" s="6"/>
      <c r="D2221" s="6"/>
      <c r="G2221" s="6"/>
      <c r="I2221" s="6"/>
      <c r="M2221" s="6"/>
      <c r="Q2221" s="6" t="str">
        <f>IFERROR(__xludf.DUMMYFUNCTION("""COMPUTED_VALUE"""),"romero")</f>
        <v>romero</v>
      </c>
    </row>
    <row r="2222">
      <c r="B2222" s="6"/>
      <c r="D2222" s="6"/>
      <c r="G2222" s="6"/>
      <c r="I2222" s="6"/>
      <c r="M2222" s="6"/>
      <c r="Q2222" s="6" t="str">
        <f>IFERROR(__xludf.DUMMYFUNCTION("""COMPUTED_VALUE"""),"friendships")</f>
        <v>friendships</v>
      </c>
    </row>
    <row r="2223">
      <c r="B2223" s="6"/>
      <c r="D2223" s="6"/>
      <c r="G2223" s="6"/>
      <c r="I2223" s="6"/>
      <c r="M2223" s="6"/>
      <c r="Q2223" s="6" t="str">
        <f>IFERROR(__xludf.DUMMYFUNCTION("""COMPUTED_VALUE"""),"philip")</f>
        <v>philip</v>
      </c>
    </row>
    <row r="2224">
      <c r="B2224" s="6"/>
      <c r="D2224" s="6"/>
      <c r="G2224" s="6"/>
      <c r="I2224" s="6"/>
      <c r="M2224" s="6"/>
      <c r="Q2224" s="6" t="str">
        <f>IFERROR(__xludf.DUMMYFUNCTION("""COMPUTED_VALUE"""),"rosario")</f>
        <v>rosario</v>
      </c>
    </row>
    <row r="2225">
      <c r="B2225" s="6"/>
      <c r="D2225" s="6"/>
      <c r="G2225" s="6"/>
      <c r="I2225" s="6"/>
      <c r="M2225" s="6"/>
      <c r="Q2225" s="6" t="str">
        <f>IFERROR(__xludf.DUMMYFUNCTION("""COMPUTED_VALUE"""),"fragmented")</f>
        <v>fragmented</v>
      </c>
    </row>
    <row r="2226">
      <c r="B2226" s="6"/>
      <c r="D2226" s="6"/>
      <c r="G2226" s="6"/>
      <c r="I2226" s="6"/>
      <c r="M2226" s="6"/>
      <c r="Q2226" s="6" t="str">
        <f>IFERROR(__xludf.DUMMYFUNCTION("""COMPUTED_VALUE"""),"enhancing")</f>
        <v>enhancing</v>
      </c>
    </row>
    <row r="2227">
      <c r="B2227" s="6"/>
      <c r="D2227" s="6"/>
      <c r="G2227" s="6"/>
      <c r="I2227" s="6"/>
      <c r="M2227" s="6"/>
      <c r="Q2227" s="6" t="str">
        <f>IFERROR(__xludf.DUMMYFUNCTION("""COMPUTED_VALUE"""),"feral")</f>
        <v>feral</v>
      </c>
    </row>
    <row r="2228">
      <c r="B2228" s="6"/>
      <c r="D2228" s="6"/>
      <c r="G2228" s="6"/>
      <c r="I2228" s="6"/>
      <c r="M2228" s="6"/>
      <c r="Q2228" s="6" t="str">
        <f>IFERROR(__xludf.DUMMYFUNCTION("""COMPUTED_VALUE"""),"romeo")</f>
        <v>romeo</v>
      </c>
    </row>
    <row r="2229">
      <c r="B2229" s="6"/>
      <c r="D2229" s="6"/>
      <c r="G2229" s="6"/>
      <c r="I2229" s="6"/>
      <c r="M2229" s="6"/>
      <c r="Q2229" s="6" t="str">
        <f>IFERROR(__xludf.DUMMYFUNCTION("""COMPUTED_VALUE"""),"decommissioned")</f>
        <v>decommissioned</v>
      </c>
    </row>
    <row r="2230">
      <c r="B2230" s="6"/>
      <c r="D2230" s="6"/>
      <c r="G2230" s="6"/>
      <c r="I2230" s="6"/>
      <c r="M2230" s="6"/>
      <c r="Q2230" s="6" t="str">
        <f>IFERROR(__xludf.DUMMYFUNCTION("""COMPUTED_VALUE"""),"trembling")</f>
        <v>trembling</v>
      </c>
    </row>
    <row r="2231">
      <c r="B2231" s="6"/>
      <c r="D2231" s="6"/>
      <c r="G2231" s="6"/>
      <c r="I2231" s="6"/>
      <c r="M2231" s="6"/>
      <c r="Q2231" s="6" t="str">
        <f>IFERROR(__xludf.DUMMYFUNCTION("""COMPUTED_VALUE"""),"humiliated")</f>
        <v>humiliated</v>
      </c>
    </row>
    <row r="2232">
      <c r="B2232" s="6"/>
      <c r="D2232" s="6"/>
      <c r="G2232" s="6"/>
      <c r="I2232" s="6"/>
      <c r="M2232" s="6"/>
      <c r="Q2232" s="6">
        <f>IFERROR(__xludf.DUMMYFUNCTION("""COMPUTED_VALUE"""),451.0)</f>
        <v>451</v>
      </c>
    </row>
    <row r="2233">
      <c r="B2233" s="6"/>
      <c r="D2233" s="6"/>
      <c r="G2233" s="6"/>
      <c r="I2233" s="6"/>
      <c r="M2233" s="6"/>
      <c r="Q2233" s="6" t="str">
        <f>IFERROR(__xludf.DUMMYFUNCTION("""COMPUTED_VALUE"""),"ivan")</f>
        <v>ivan</v>
      </c>
    </row>
    <row r="2234">
      <c r="B2234" s="6"/>
      <c r="D2234" s="6"/>
      <c r="G2234" s="6"/>
      <c r="I2234" s="6"/>
      <c r="M2234" s="6"/>
      <c r="Q2234" s="6">
        <f>IFERROR(__xludf.DUMMYFUNCTION("""COMPUTED_VALUE"""),1957.0)</f>
        <v>1957</v>
      </c>
    </row>
    <row r="2235">
      <c r="B2235" s="6"/>
      <c r="D2235" s="6"/>
      <c r="G2235" s="6"/>
      <c r="I2235" s="6"/>
      <c r="M2235" s="6"/>
      <c r="Q2235" s="6" t="str">
        <f>IFERROR(__xludf.DUMMYFUNCTION("""COMPUTED_VALUE"""),"heroism")</f>
        <v>heroism</v>
      </c>
    </row>
    <row r="2236">
      <c r="B2236" s="6"/>
      <c r="D2236" s="6"/>
      <c r="G2236" s="6"/>
      <c r="I2236" s="6"/>
      <c r="M2236" s="6"/>
      <c r="Q2236" s="6" t="str">
        <f>IFERROR(__xludf.DUMMYFUNCTION("""COMPUTED_VALUE"""),"consciously")</f>
        <v>consciously</v>
      </c>
    </row>
    <row r="2237">
      <c r="B2237" s="6"/>
      <c r="D2237" s="6"/>
      <c r="G2237" s="6"/>
      <c r="I2237" s="6"/>
      <c r="M2237" s="6"/>
      <c r="Q2237" s="6" t="str">
        <f>IFERROR(__xludf.DUMMYFUNCTION("""COMPUTED_VALUE"""),"asphalt")</f>
        <v>asphalt</v>
      </c>
    </row>
    <row r="2238">
      <c r="B2238" s="6"/>
      <c r="D2238" s="6"/>
      <c r="G2238" s="6"/>
      <c r="I2238" s="6"/>
      <c r="M2238" s="6"/>
      <c r="Q2238" s="6" t="str">
        <f>IFERROR(__xludf.DUMMYFUNCTION("""COMPUTED_VALUE"""),"persecuted")</f>
        <v>persecuted</v>
      </c>
    </row>
    <row r="2239">
      <c r="B2239" s="6"/>
      <c r="D2239" s="6"/>
      <c r="G2239" s="6"/>
      <c r="I2239" s="6"/>
      <c r="M2239" s="6"/>
      <c r="Q2239" s="6" t="str">
        <f>IFERROR(__xludf.DUMMYFUNCTION("""COMPUTED_VALUE"""),"tall")</f>
        <v>tall</v>
      </c>
    </row>
    <row r="2240">
      <c r="B2240" s="6"/>
      <c r="D2240" s="6"/>
      <c r="G2240" s="6"/>
      <c r="I2240" s="6"/>
      <c r="M2240" s="6"/>
      <c r="Q2240" s="6" t="str">
        <f>IFERROR(__xludf.DUMMYFUNCTION("""COMPUTED_VALUE"""),"retiring")</f>
        <v>retiring</v>
      </c>
    </row>
    <row r="2241">
      <c r="B2241" s="6"/>
      <c r="D2241" s="6"/>
      <c r="G2241" s="6"/>
      <c r="I2241" s="6"/>
      <c r="M2241" s="6"/>
      <c r="Q2241" s="6" t="str">
        <f>IFERROR(__xludf.DUMMYFUNCTION("""COMPUTED_VALUE"""),"longtime")</f>
        <v>longtime</v>
      </c>
    </row>
    <row r="2242">
      <c r="B2242" s="6"/>
      <c r="D2242" s="6"/>
      <c r="G2242" s="6"/>
      <c r="I2242" s="6"/>
      <c r="M2242" s="6"/>
      <c r="Q2242" s="6" t="str">
        <f>IFERROR(__xludf.DUMMYFUNCTION("""COMPUTED_VALUE"""),"tolkien")</f>
        <v>tolkien</v>
      </c>
    </row>
    <row r="2243">
      <c r="B2243" s="6"/>
      <c r="D2243" s="6"/>
      <c r="G2243" s="6"/>
      <c r="I2243" s="6"/>
      <c r="M2243" s="6"/>
      <c r="Q2243" s="6" t="str">
        <f>IFERROR(__xludf.DUMMYFUNCTION("""COMPUTED_VALUE"""),"twisting")</f>
        <v>twisting</v>
      </c>
    </row>
    <row r="2244">
      <c r="B2244" s="6"/>
      <c r="D2244" s="6"/>
      <c r="G2244" s="6"/>
      <c r="I2244" s="6"/>
      <c r="M2244" s="6"/>
      <c r="Q2244" s="6" t="str">
        <f>IFERROR(__xludf.DUMMYFUNCTION("""COMPUTED_VALUE"""),"littered")</f>
        <v>littered</v>
      </c>
    </row>
    <row r="2245">
      <c r="B2245" s="6"/>
      <c r="D2245" s="6"/>
      <c r="G2245" s="6"/>
      <c r="I2245" s="6"/>
      <c r="M2245" s="6"/>
      <c r="Q2245" s="6" t="str">
        <f>IFERROR(__xludf.DUMMYFUNCTION("""COMPUTED_VALUE"""),"methodology")</f>
        <v>methodology</v>
      </c>
    </row>
    <row r="2246">
      <c r="B2246" s="6"/>
      <c r="D2246" s="6"/>
      <c r="G2246" s="6"/>
      <c r="I2246" s="6"/>
      <c r="M2246" s="6"/>
      <c r="Q2246" s="6" t="str">
        <f>IFERROR(__xludf.DUMMYFUNCTION("""COMPUTED_VALUE"""),"cleavage")</f>
        <v>cleavage</v>
      </c>
    </row>
    <row r="2247">
      <c r="B2247" s="6"/>
      <c r="D2247" s="6"/>
      <c r="G2247" s="6"/>
      <c r="I2247" s="6"/>
      <c r="M2247" s="6"/>
      <c r="Q2247" s="6" t="str">
        <f>IFERROR(__xludf.DUMMYFUNCTION("""COMPUTED_VALUE"""),"hymn")</f>
        <v>hymn</v>
      </c>
    </row>
    <row r="2248">
      <c r="B2248" s="6"/>
      <c r="D2248" s="6"/>
      <c r="G2248" s="6"/>
      <c r="I2248" s="6"/>
      <c r="M2248" s="6"/>
      <c r="Q2248" s="6" t="str">
        <f>IFERROR(__xludf.DUMMYFUNCTION("""COMPUTED_VALUE"""),"pan")</f>
        <v>pan</v>
      </c>
    </row>
    <row r="2249">
      <c r="B2249" s="6"/>
      <c r="D2249" s="6"/>
      <c r="G2249" s="6"/>
      <c r="I2249" s="6"/>
      <c r="M2249" s="6"/>
      <c r="Q2249" s="6" t="str">
        <f>IFERROR(__xludf.DUMMYFUNCTION("""COMPUTED_VALUE"""),"inhabit")</f>
        <v>inhabit</v>
      </c>
    </row>
    <row r="2250">
      <c r="B2250" s="6"/>
      <c r="D2250" s="6"/>
      <c r="G2250" s="6"/>
      <c r="I2250" s="6"/>
      <c r="M2250" s="6"/>
      <c r="Q2250" s="6" t="str">
        <f>IFERROR(__xludf.DUMMYFUNCTION("""COMPUTED_VALUE"""),"crisis")</f>
        <v>crisis</v>
      </c>
    </row>
    <row r="2251">
      <c r="B2251" s="6"/>
      <c r="D2251" s="6"/>
      <c r="G2251" s="6"/>
      <c r="I2251" s="6"/>
      <c r="M2251" s="6"/>
      <c r="Q2251" s="6" t="str">
        <f>IFERROR(__xludf.DUMMYFUNCTION("""COMPUTED_VALUE"""),"sullivan")</f>
        <v>sullivan</v>
      </c>
    </row>
    <row r="2252">
      <c r="B2252" s="6"/>
      <c r="D2252" s="6"/>
      <c r="G2252" s="6"/>
      <c r="I2252" s="6"/>
      <c r="M2252" s="6"/>
      <c r="Q2252" s="6" t="str">
        <f>IFERROR(__xludf.DUMMYFUNCTION("""COMPUTED_VALUE"""),"predict")</f>
        <v>predict</v>
      </c>
    </row>
    <row r="2253">
      <c r="B2253" s="6"/>
      <c r="D2253" s="6"/>
      <c r="G2253" s="6"/>
      <c r="I2253" s="6"/>
      <c r="M2253" s="6"/>
      <c r="Q2253" s="6" t="str">
        <f>IFERROR(__xludf.DUMMYFUNCTION("""COMPUTED_VALUE"""),"villains")</f>
        <v>villains</v>
      </c>
    </row>
    <row r="2254">
      <c r="B2254" s="6"/>
      <c r="D2254" s="6"/>
      <c r="G2254" s="6"/>
      <c r="I2254" s="6"/>
      <c r="M2254" s="6"/>
      <c r="Q2254" s="6" t="str">
        <f>IFERROR(__xludf.DUMMYFUNCTION("""COMPUTED_VALUE"""),"servants")</f>
        <v>servants</v>
      </c>
    </row>
    <row r="2255">
      <c r="B2255" s="6"/>
      <c r="D2255" s="6"/>
      <c r="G2255" s="6"/>
      <c r="I2255" s="6"/>
      <c r="M2255" s="6"/>
      <c r="Q2255" s="6" t="str">
        <f>IFERROR(__xludf.DUMMYFUNCTION("""COMPUTED_VALUE"""),"inversion")</f>
        <v>inversion</v>
      </c>
    </row>
    <row r="2256">
      <c r="B2256" s="6"/>
      <c r="D2256" s="6"/>
      <c r="G2256" s="6"/>
      <c r="I2256" s="6"/>
      <c r="M2256" s="6"/>
      <c r="Q2256" s="6" t="str">
        <f>IFERROR(__xludf.DUMMYFUNCTION("""COMPUTED_VALUE"""),"remembrance")</f>
        <v>remembrance</v>
      </c>
    </row>
    <row r="2257">
      <c r="B2257" s="6"/>
      <c r="D2257" s="6"/>
      <c r="G2257" s="6"/>
      <c r="I2257" s="6"/>
      <c r="M2257" s="6"/>
      <c r="Q2257" s="6" t="str">
        <f>IFERROR(__xludf.DUMMYFUNCTION("""COMPUTED_VALUE"""),"learns")</f>
        <v>learns</v>
      </c>
    </row>
    <row r="2258">
      <c r="B2258" s="6"/>
      <c r="D2258" s="6"/>
      <c r="G2258" s="6"/>
      <c r="I2258" s="6"/>
      <c r="M2258" s="6"/>
      <c r="Q2258" s="6" t="str">
        <f>IFERROR(__xludf.DUMMYFUNCTION("""COMPUTED_VALUE"""),"ferris")</f>
        <v>ferris</v>
      </c>
    </row>
    <row r="2259">
      <c r="B2259" s="6"/>
      <c r="D2259" s="6"/>
      <c r="G2259" s="6"/>
      <c r="I2259" s="6"/>
      <c r="M2259" s="6"/>
      <c r="Q2259" s="6" t="str">
        <f>IFERROR(__xludf.DUMMYFUNCTION("""COMPUTED_VALUE"""),"narrated")</f>
        <v>narrated</v>
      </c>
    </row>
    <row r="2260">
      <c r="B2260" s="6"/>
      <c r="D2260" s="6"/>
      <c r="G2260" s="6"/>
      <c r="I2260" s="6"/>
      <c r="M2260" s="6"/>
      <c r="Q2260" s="6" t="str">
        <f>IFERROR(__xludf.DUMMYFUNCTION("""COMPUTED_VALUE"""),"landau")</f>
        <v>landau</v>
      </c>
    </row>
    <row r="2261">
      <c r="B2261" s="6"/>
      <c r="D2261" s="6"/>
      <c r="G2261" s="6"/>
      <c r="I2261" s="6"/>
      <c r="M2261" s="6"/>
      <c r="Q2261" s="6" t="str">
        <f>IFERROR(__xludf.DUMMYFUNCTION("""COMPUTED_VALUE"""),"error")</f>
        <v>error</v>
      </c>
    </row>
    <row r="2262">
      <c r="B2262" s="6"/>
      <c r="D2262" s="6"/>
      <c r="G2262" s="6"/>
      <c r="I2262" s="6"/>
      <c r="M2262" s="6"/>
      <c r="Q2262" s="6" t="str">
        <f>IFERROR(__xludf.DUMMYFUNCTION("""COMPUTED_VALUE"""),"germanic")</f>
        <v>germanic</v>
      </c>
    </row>
    <row r="2263">
      <c r="B2263" s="6"/>
      <c r="D2263" s="6"/>
      <c r="G2263" s="6"/>
      <c r="I2263" s="6"/>
      <c r="M2263" s="6"/>
      <c r="Q2263" s="6" t="str">
        <f>IFERROR(__xludf.DUMMYFUNCTION("""COMPUTED_VALUE"""),"instability")</f>
        <v>instability</v>
      </c>
    </row>
    <row r="2264">
      <c r="B2264" s="6"/>
      <c r="D2264" s="6"/>
      <c r="G2264" s="6"/>
      <c r="I2264" s="6"/>
      <c r="M2264" s="6"/>
      <c r="Q2264" s="6" t="str">
        <f>IFERROR(__xludf.DUMMYFUNCTION("""COMPUTED_VALUE"""),"keel")</f>
        <v>keel</v>
      </c>
    </row>
    <row r="2265">
      <c r="B2265" s="6"/>
      <c r="D2265" s="6"/>
      <c r="G2265" s="6"/>
      <c r="I2265" s="6"/>
      <c r="M2265" s="6"/>
      <c r="Q2265" s="6" t="str">
        <f>IFERROR(__xludf.DUMMYFUNCTION("""COMPUTED_VALUE"""),"tolerance")</f>
        <v>tolerance</v>
      </c>
    </row>
    <row r="2266">
      <c r="B2266" s="6"/>
      <c r="D2266" s="6"/>
      <c r="G2266" s="6"/>
      <c r="I2266" s="6"/>
      <c r="M2266" s="6"/>
      <c r="Q2266" s="6" t="str">
        <f>IFERROR(__xludf.DUMMYFUNCTION("""COMPUTED_VALUE"""),"electoral")</f>
        <v>electoral</v>
      </c>
    </row>
    <row r="2267">
      <c r="B2267" s="6"/>
      <c r="D2267" s="6"/>
      <c r="G2267" s="6"/>
      <c r="I2267" s="6"/>
      <c r="M2267" s="6"/>
      <c r="Q2267" s="6" t="str">
        <f>IFERROR(__xludf.DUMMYFUNCTION("""COMPUTED_VALUE"""),"prowess")</f>
        <v>prowess</v>
      </c>
    </row>
    <row r="2268">
      <c r="B2268" s="6"/>
      <c r="D2268" s="6"/>
      <c r="G2268" s="6"/>
      <c r="I2268" s="6"/>
      <c r="M2268" s="6"/>
      <c r="Q2268" s="6" t="str">
        <f>IFERROR(__xludf.DUMMYFUNCTION("""COMPUTED_VALUE"""),"preaching")</f>
        <v>preaching</v>
      </c>
    </row>
    <row r="2269">
      <c r="B2269" s="6"/>
      <c r="D2269" s="6"/>
      <c r="G2269" s="6"/>
      <c r="I2269" s="6"/>
      <c r="M2269" s="6"/>
      <c r="Q2269" s="6" t="str">
        <f>IFERROR(__xludf.DUMMYFUNCTION("""COMPUTED_VALUE"""),"reportedly")</f>
        <v>reportedly</v>
      </c>
    </row>
    <row r="2270">
      <c r="B2270" s="6"/>
      <c r="D2270" s="6"/>
      <c r="G2270" s="6"/>
      <c r="I2270" s="6"/>
      <c r="M2270" s="6"/>
      <c r="Q2270" s="6" t="str">
        <f>IFERROR(__xludf.DUMMYFUNCTION("""COMPUTED_VALUE"""),"harmed")</f>
        <v>harmed</v>
      </c>
    </row>
    <row r="2271">
      <c r="B2271" s="6"/>
      <c r="D2271" s="6"/>
      <c r="G2271" s="6"/>
      <c r="I2271" s="6"/>
      <c r="M2271" s="6"/>
      <c r="Q2271" s="6" t="str">
        <f>IFERROR(__xludf.DUMMYFUNCTION("""COMPUTED_VALUE"""),"dimensional")</f>
        <v>dimensional</v>
      </c>
    </row>
    <row r="2272">
      <c r="B2272" s="6"/>
      <c r="D2272" s="6"/>
      <c r="G2272" s="6"/>
      <c r="I2272" s="6"/>
      <c r="M2272" s="6"/>
      <c r="Q2272" s="6" t="str">
        <f>IFERROR(__xludf.DUMMYFUNCTION("""COMPUTED_VALUE"""),"tackled")</f>
        <v>tackled</v>
      </c>
    </row>
    <row r="2273">
      <c r="B2273" s="6"/>
      <c r="D2273" s="6"/>
      <c r="G2273" s="6"/>
      <c r="I2273" s="6"/>
      <c r="M2273" s="6"/>
      <c r="Q2273" s="6" t="str">
        <f>IFERROR(__xludf.DUMMYFUNCTION("""COMPUTED_VALUE"""),"byzantine")</f>
        <v>byzantine</v>
      </c>
    </row>
    <row r="2274">
      <c r="B2274" s="6"/>
      <c r="D2274" s="6"/>
      <c r="G2274" s="6"/>
      <c r="I2274" s="6"/>
      <c r="M2274" s="6"/>
      <c r="Q2274" s="6" t="str">
        <f>IFERROR(__xludf.DUMMYFUNCTION("""COMPUTED_VALUE"""),"barrie")</f>
        <v>barrie</v>
      </c>
    </row>
    <row r="2275">
      <c r="B2275" s="6"/>
      <c r="D2275" s="6"/>
      <c r="G2275" s="6"/>
      <c r="I2275" s="6"/>
      <c r="M2275" s="6"/>
      <c r="Q2275" s="6" t="str">
        <f>IFERROR(__xludf.DUMMYFUNCTION("""COMPUTED_VALUE"""),"stability")</f>
        <v>stability</v>
      </c>
    </row>
    <row r="2276">
      <c r="B2276" s="6"/>
      <c r="D2276" s="6"/>
      <c r="G2276" s="6"/>
      <c r="I2276" s="6"/>
      <c r="M2276" s="6"/>
      <c r="Q2276" s="6" t="str">
        <f>IFERROR(__xludf.DUMMYFUNCTION("""COMPUTED_VALUE"""),"pc")</f>
        <v>pc</v>
      </c>
    </row>
    <row r="2277">
      <c r="B2277" s="6"/>
      <c r="D2277" s="6"/>
      <c r="G2277" s="6"/>
      <c r="I2277" s="6"/>
      <c r="M2277" s="6"/>
      <c r="Q2277" s="6" t="str">
        <f>IFERROR(__xludf.DUMMYFUNCTION("""COMPUTED_VALUE"""),"marching")</f>
        <v>marching</v>
      </c>
    </row>
    <row r="2278">
      <c r="B2278" s="6"/>
      <c r="D2278" s="6"/>
      <c r="G2278" s="6"/>
      <c r="I2278" s="6"/>
      <c r="M2278" s="6"/>
      <c r="Q2278" s="6" t="str">
        <f>IFERROR(__xludf.DUMMYFUNCTION("""COMPUTED_VALUE"""),"percussion")</f>
        <v>percussion</v>
      </c>
    </row>
    <row r="2279">
      <c r="B2279" s="6"/>
      <c r="D2279" s="6"/>
      <c r="G2279" s="6"/>
      <c r="I2279" s="6"/>
      <c r="M2279" s="6"/>
      <c r="Q2279" s="6" t="str">
        <f>IFERROR(__xludf.DUMMYFUNCTION("""COMPUTED_VALUE"""),"ninth")</f>
        <v>ninth</v>
      </c>
    </row>
    <row r="2280">
      <c r="B2280" s="6"/>
      <c r="D2280" s="6"/>
      <c r="G2280" s="6"/>
      <c r="I2280" s="6"/>
      <c r="M2280" s="6"/>
      <c r="Q2280" s="6" t="str">
        <f>IFERROR(__xludf.DUMMYFUNCTION("""COMPUTED_VALUE"""),"develops")</f>
        <v>develops</v>
      </c>
    </row>
    <row r="2281">
      <c r="B2281" s="6"/>
      <c r="D2281" s="6"/>
      <c r="G2281" s="6"/>
      <c r="I2281" s="6"/>
      <c r="M2281" s="6"/>
      <c r="Q2281" s="6" t="str">
        <f>IFERROR(__xludf.DUMMYFUNCTION("""COMPUTED_VALUE"""),"ballot")</f>
        <v>ballot</v>
      </c>
    </row>
    <row r="2282">
      <c r="B2282" s="6"/>
      <c r="D2282" s="6"/>
      <c r="G2282" s="6"/>
      <c r="I2282" s="6"/>
      <c r="M2282" s="6"/>
      <c r="Q2282" s="6" t="str">
        <f>IFERROR(__xludf.DUMMYFUNCTION("""COMPUTED_VALUE"""),"map")</f>
        <v>map</v>
      </c>
    </row>
    <row r="2283">
      <c r="B2283" s="6"/>
      <c r="D2283" s="6"/>
      <c r="G2283" s="6"/>
      <c r="I2283" s="6"/>
      <c r="M2283" s="6"/>
      <c r="Q2283" s="6" t="str">
        <f>IFERROR(__xludf.DUMMYFUNCTION("""COMPUTED_VALUE"""),"torn")</f>
        <v>torn</v>
      </c>
    </row>
    <row r="2284">
      <c r="B2284" s="6"/>
      <c r="D2284" s="6"/>
      <c r="G2284" s="6"/>
      <c r="I2284" s="6"/>
      <c r="M2284" s="6"/>
      <c r="Q2284" s="6" t="str">
        <f>IFERROR(__xludf.DUMMYFUNCTION("""COMPUTED_VALUE"""),"cheered")</f>
        <v>cheered</v>
      </c>
    </row>
    <row r="2285">
      <c r="B2285" s="6"/>
      <c r="D2285" s="6"/>
      <c r="G2285" s="6"/>
      <c r="I2285" s="6"/>
      <c r="M2285" s="6"/>
      <c r="Q2285" s="6" t="str">
        <f>IFERROR(__xludf.DUMMYFUNCTION("""COMPUTED_VALUE"""),"integrating")</f>
        <v>integrating</v>
      </c>
    </row>
    <row r="2286">
      <c r="B2286" s="6"/>
      <c r="D2286" s="6"/>
      <c r="G2286" s="6"/>
      <c r="I2286" s="6"/>
      <c r="M2286" s="6"/>
      <c r="Q2286" s="6" t="str">
        <f>IFERROR(__xludf.DUMMYFUNCTION("""COMPUTED_VALUE"""),"nouvelle")</f>
        <v>nouvelle</v>
      </c>
    </row>
    <row r="2287">
      <c r="B2287" s="6"/>
      <c r="D2287" s="6"/>
      <c r="G2287" s="6"/>
      <c r="I2287" s="6"/>
      <c r="M2287" s="6"/>
      <c r="Q2287" s="6" t="str">
        <f>IFERROR(__xludf.DUMMYFUNCTION("""COMPUTED_VALUE"""),"bluff")</f>
        <v>bluff</v>
      </c>
    </row>
    <row r="2288">
      <c r="B2288" s="6"/>
      <c r="D2288" s="6"/>
      <c r="G2288" s="6"/>
      <c r="I2288" s="6"/>
      <c r="M2288" s="6"/>
      <c r="Q2288" s="6" t="str">
        <f>IFERROR(__xludf.DUMMYFUNCTION("""COMPUTED_VALUE"""),"wreckage")</f>
        <v>wreckage</v>
      </c>
    </row>
    <row r="2289">
      <c r="B2289" s="6"/>
      <c r="D2289" s="6"/>
      <c r="G2289" s="6"/>
      <c r="I2289" s="6"/>
      <c r="M2289" s="6"/>
      <c r="Q2289" s="6" t="str">
        <f>IFERROR(__xludf.DUMMYFUNCTION("""COMPUTED_VALUE"""),"parrot")</f>
        <v>parrot</v>
      </c>
    </row>
    <row r="2290">
      <c r="B2290" s="6"/>
      <c r="D2290" s="6"/>
      <c r="G2290" s="6"/>
      <c r="I2290" s="6"/>
      <c r="M2290" s="6"/>
      <c r="Q2290" s="6" t="str">
        <f>IFERROR(__xludf.DUMMYFUNCTION("""COMPUTED_VALUE"""),"interrogation")</f>
        <v>interrogation</v>
      </c>
    </row>
    <row r="2291">
      <c r="B2291" s="6"/>
      <c r="D2291" s="6"/>
      <c r="G2291" s="6"/>
      <c r="I2291" s="6"/>
      <c r="M2291" s="6"/>
      <c r="Q2291" s="6" t="str">
        <f>IFERROR(__xludf.DUMMYFUNCTION("""COMPUTED_VALUE"""),"huskies")</f>
        <v>huskies</v>
      </c>
    </row>
    <row r="2292">
      <c r="B2292" s="6"/>
      <c r="D2292" s="6"/>
      <c r="G2292" s="6"/>
      <c r="I2292" s="6"/>
      <c r="M2292" s="6"/>
      <c r="Q2292" s="6" t="str">
        <f>IFERROR(__xludf.DUMMYFUNCTION("""COMPUTED_VALUE"""),"discarded")</f>
        <v>discarded</v>
      </c>
    </row>
    <row r="2293">
      <c r="B2293" s="6"/>
      <c r="D2293" s="6"/>
      <c r="G2293" s="6"/>
      <c r="I2293" s="6"/>
      <c r="M2293" s="6"/>
      <c r="Q2293" s="6" t="str">
        <f>IFERROR(__xludf.DUMMYFUNCTION("""COMPUTED_VALUE"""),"humming")</f>
        <v>humming</v>
      </c>
    </row>
    <row r="2294">
      <c r="B2294" s="6"/>
      <c r="D2294" s="6"/>
      <c r="G2294" s="6"/>
      <c r="I2294" s="6"/>
      <c r="M2294" s="6"/>
      <c r="Q2294" s="6" t="str">
        <f>IFERROR(__xludf.DUMMYFUNCTION("""COMPUTED_VALUE"""),"ticking")</f>
        <v>ticking</v>
      </c>
    </row>
    <row r="2295">
      <c r="B2295" s="6"/>
      <c r="D2295" s="6"/>
      <c r="G2295" s="6"/>
      <c r="I2295" s="6"/>
      <c r="M2295" s="6"/>
      <c r="Q2295" s="6" t="str">
        <f>IFERROR(__xludf.DUMMYFUNCTION("""COMPUTED_VALUE"""),"millennium")</f>
        <v>millennium</v>
      </c>
    </row>
    <row r="2296">
      <c r="B2296" s="6"/>
      <c r="D2296" s="6"/>
      <c r="G2296" s="6"/>
      <c r="I2296" s="6"/>
      <c r="M2296" s="6"/>
      <c r="Q2296" s="6" t="str">
        <f>IFERROR(__xludf.DUMMYFUNCTION("""COMPUTED_VALUE"""),"overview")</f>
        <v>overview</v>
      </c>
    </row>
    <row r="2297">
      <c r="B2297" s="6"/>
      <c r="D2297" s="6"/>
      <c r="G2297" s="6"/>
      <c r="I2297" s="6"/>
      <c r="M2297" s="6"/>
      <c r="Q2297" s="6" t="str">
        <f>IFERROR(__xludf.DUMMYFUNCTION("""COMPUTED_VALUE"""),"omnibus")</f>
        <v>omnibus</v>
      </c>
    </row>
    <row r="2298">
      <c r="B2298" s="6"/>
      <c r="D2298" s="6"/>
      <c r="G2298" s="6"/>
      <c r="I2298" s="6"/>
      <c r="M2298" s="6"/>
      <c r="Q2298" s="6" t="str">
        <f>IFERROR(__xludf.DUMMYFUNCTION("""COMPUTED_VALUE"""),"mobility")</f>
        <v>mobility</v>
      </c>
    </row>
    <row r="2299">
      <c r="B2299" s="6"/>
      <c r="D2299" s="6"/>
      <c r="G2299" s="6"/>
      <c r="I2299" s="6"/>
      <c r="M2299" s="6"/>
      <c r="Q2299" s="6" t="str">
        <f>IFERROR(__xludf.DUMMYFUNCTION("""COMPUTED_VALUE"""),"monday")</f>
        <v>monday</v>
      </c>
    </row>
    <row r="2300">
      <c r="B2300" s="6"/>
      <c r="D2300" s="6"/>
      <c r="G2300" s="6"/>
      <c r="I2300" s="6"/>
      <c r="M2300" s="6"/>
      <c r="Q2300" s="6" t="str">
        <f>IFERROR(__xludf.DUMMYFUNCTION("""COMPUTED_VALUE"""),"prisoners")</f>
        <v>prisoners</v>
      </c>
    </row>
    <row r="2301">
      <c r="B2301" s="6"/>
      <c r="D2301" s="6"/>
      <c r="G2301" s="6"/>
      <c r="I2301" s="6"/>
      <c r="M2301" s="6"/>
      <c r="Q2301" s="6" t="str">
        <f>IFERROR(__xludf.DUMMYFUNCTION("""COMPUTED_VALUE"""),"eisenhower")</f>
        <v>eisenhower</v>
      </c>
    </row>
    <row r="2302">
      <c r="B2302" s="6"/>
      <c r="D2302" s="6"/>
      <c r="G2302" s="6"/>
      <c r="I2302" s="6"/>
      <c r="M2302" s="6"/>
      <c r="Q2302" s="6" t="str">
        <f>IFERROR(__xludf.DUMMYFUNCTION("""COMPUTED_VALUE"""),"prolific")</f>
        <v>prolific</v>
      </c>
    </row>
    <row r="2303">
      <c r="B2303" s="6"/>
      <c r="D2303" s="6"/>
      <c r="G2303" s="6"/>
      <c r="I2303" s="6"/>
      <c r="M2303" s="6"/>
      <c r="Q2303" s="6" t="str">
        <f>IFERROR(__xludf.DUMMYFUNCTION("""COMPUTED_VALUE"""),"lunar")</f>
        <v>lunar</v>
      </c>
    </row>
    <row r="2304">
      <c r="B2304" s="6"/>
      <c r="D2304" s="6"/>
      <c r="G2304" s="6"/>
      <c r="I2304" s="6"/>
      <c r="M2304" s="6"/>
      <c r="Q2304" s="6" t="str">
        <f>IFERROR(__xludf.DUMMYFUNCTION("""COMPUTED_VALUE"""),"interpreting")</f>
        <v>interpreting</v>
      </c>
    </row>
    <row r="2305">
      <c r="B2305" s="6"/>
      <c r="D2305" s="6"/>
      <c r="G2305" s="6"/>
      <c r="I2305" s="6"/>
      <c r="M2305" s="6"/>
      <c r="Q2305" s="6" t="str">
        <f>IFERROR(__xludf.DUMMYFUNCTION("""COMPUTED_VALUE"""),"underworld")</f>
        <v>underworld</v>
      </c>
    </row>
    <row r="2306">
      <c r="B2306" s="6"/>
      <c r="D2306" s="6"/>
      <c r="G2306" s="6"/>
      <c r="I2306" s="6"/>
      <c r="M2306" s="6"/>
      <c r="Q2306" s="6" t="str">
        <f>IFERROR(__xludf.DUMMYFUNCTION("""COMPUTED_VALUE"""),"gifford")</f>
        <v>gifford</v>
      </c>
    </row>
    <row r="2307">
      <c r="B2307" s="6"/>
      <c r="D2307" s="6"/>
      <c r="G2307" s="6"/>
      <c r="I2307" s="6"/>
      <c r="M2307" s="6"/>
      <c r="Q2307" s="6" t="str">
        <f>IFERROR(__xludf.DUMMYFUNCTION("""COMPUTED_VALUE"""),"disturbance")</f>
        <v>disturbance</v>
      </c>
    </row>
    <row r="2308">
      <c r="B2308" s="6"/>
      <c r="D2308" s="6"/>
      <c r="G2308" s="6"/>
      <c r="I2308" s="6"/>
      <c r="M2308" s="6"/>
      <c r="Q2308" s="6" t="str">
        <f>IFERROR(__xludf.DUMMYFUNCTION("""COMPUTED_VALUE"""),"bender")</f>
        <v>bender</v>
      </c>
    </row>
    <row r="2309">
      <c r="B2309" s="6"/>
      <c r="D2309" s="6"/>
      <c r="G2309" s="6"/>
      <c r="I2309" s="6"/>
      <c r="M2309" s="6"/>
      <c r="Q2309" s="6" t="str">
        <f>IFERROR(__xludf.DUMMYFUNCTION("""COMPUTED_VALUE"""),"precedent")</f>
        <v>precedent</v>
      </c>
    </row>
    <row r="2310">
      <c r="B2310" s="6"/>
      <c r="D2310" s="6"/>
      <c r="G2310" s="6"/>
      <c r="I2310" s="6"/>
      <c r="M2310" s="6"/>
      <c r="Q2310" s="6" t="str">
        <f>IFERROR(__xludf.DUMMYFUNCTION("""COMPUTED_VALUE"""),"catastrophic")</f>
        <v>catastrophic</v>
      </c>
    </row>
    <row r="2311">
      <c r="B2311" s="6"/>
      <c r="D2311" s="6"/>
      <c r="G2311" s="6"/>
      <c r="I2311" s="6"/>
      <c r="M2311" s="6"/>
      <c r="Q2311" s="6" t="str">
        <f>IFERROR(__xludf.DUMMYFUNCTION("""COMPUTED_VALUE"""),"contempt")</f>
        <v>contempt</v>
      </c>
    </row>
    <row r="2312">
      <c r="B2312" s="6"/>
      <c r="D2312" s="6"/>
      <c r="G2312" s="6"/>
      <c r="I2312" s="6"/>
      <c r="M2312" s="6"/>
      <c r="Q2312" s="6">
        <f>IFERROR(__xludf.DUMMYFUNCTION("""COMPUTED_VALUE"""),1973.0)</f>
        <v>1973</v>
      </c>
    </row>
    <row r="2313">
      <c r="B2313" s="6"/>
      <c r="D2313" s="6"/>
      <c r="G2313" s="6"/>
      <c r="I2313" s="6"/>
      <c r="M2313" s="6"/>
      <c r="Q2313" s="6" t="str">
        <f>IFERROR(__xludf.DUMMYFUNCTION("""COMPUTED_VALUE"""),"pact")</f>
        <v>pact</v>
      </c>
    </row>
    <row r="2314">
      <c r="B2314" s="6"/>
      <c r="D2314" s="6"/>
      <c r="G2314" s="6"/>
      <c r="I2314" s="6"/>
      <c r="M2314" s="6"/>
      <c r="Q2314" s="6" t="str">
        <f>IFERROR(__xludf.DUMMYFUNCTION("""COMPUTED_VALUE"""),"grave")</f>
        <v>grave</v>
      </c>
    </row>
    <row r="2315">
      <c r="B2315" s="6"/>
      <c r="D2315" s="6"/>
      <c r="G2315" s="6"/>
      <c r="I2315" s="6"/>
      <c r="M2315" s="6"/>
      <c r="Q2315" s="6" t="str">
        <f>IFERROR(__xludf.DUMMYFUNCTION("""COMPUTED_VALUE"""),"jaw")</f>
        <v>jaw</v>
      </c>
    </row>
    <row r="2316">
      <c r="B2316" s="6"/>
      <c r="D2316" s="6"/>
      <c r="G2316" s="6"/>
      <c r="I2316" s="6"/>
      <c r="M2316" s="6"/>
      <c r="Q2316" s="6" t="str">
        <f>IFERROR(__xludf.DUMMYFUNCTION("""COMPUTED_VALUE"""),"crushing")</f>
        <v>crushing</v>
      </c>
    </row>
    <row r="2317">
      <c r="B2317" s="6"/>
      <c r="D2317" s="6"/>
      <c r="G2317" s="6"/>
      <c r="I2317" s="6"/>
      <c r="M2317" s="6"/>
      <c r="Q2317" s="6" t="str">
        <f>IFERROR(__xludf.DUMMYFUNCTION("""COMPUTED_VALUE"""),"dear")</f>
        <v>dear</v>
      </c>
    </row>
    <row r="2318">
      <c r="B2318" s="6"/>
      <c r="D2318" s="6"/>
      <c r="G2318" s="6"/>
      <c r="I2318" s="6"/>
      <c r="M2318" s="6"/>
      <c r="Q2318" s="6" t="str">
        <f>IFERROR(__xludf.DUMMYFUNCTION("""COMPUTED_VALUE"""),"fragment")</f>
        <v>fragment</v>
      </c>
    </row>
    <row r="2319">
      <c r="B2319" s="6"/>
      <c r="D2319" s="6"/>
      <c r="G2319" s="6"/>
      <c r="I2319" s="6"/>
      <c r="M2319" s="6"/>
      <c r="Q2319" s="6" t="str">
        <f>IFERROR(__xludf.DUMMYFUNCTION("""COMPUTED_VALUE"""),"pornographic")</f>
        <v>pornographic</v>
      </c>
    </row>
    <row r="2320">
      <c r="B2320" s="6"/>
      <c r="D2320" s="6"/>
      <c r="G2320" s="6"/>
      <c r="I2320" s="6"/>
      <c r="M2320" s="6"/>
      <c r="Q2320" s="6" t="str">
        <f>IFERROR(__xludf.DUMMYFUNCTION("""COMPUTED_VALUE"""),"frontal")</f>
        <v>frontal</v>
      </c>
    </row>
    <row r="2321">
      <c r="B2321" s="6"/>
      <c r="D2321" s="6"/>
      <c r="G2321" s="6"/>
      <c r="I2321" s="6"/>
      <c r="M2321" s="6"/>
      <c r="Q2321" s="6" t="str">
        <f>IFERROR(__xludf.DUMMYFUNCTION("""COMPUTED_VALUE"""),"virtue")</f>
        <v>virtue</v>
      </c>
    </row>
    <row r="2322">
      <c r="B2322" s="6"/>
      <c r="D2322" s="6"/>
      <c r="G2322" s="6"/>
      <c r="I2322" s="6"/>
      <c r="M2322" s="6"/>
      <c r="Q2322" s="6" t="str">
        <f>IFERROR(__xludf.DUMMYFUNCTION("""COMPUTED_VALUE"""),"fused")</f>
        <v>fused</v>
      </c>
    </row>
    <row r="2323">
      <c r="B2323" s="6"/>
      <c r="D2323" s="6"/>
      <c r="G2323" s="6"/>
      <c r="I2323" s="6"/>
      <c r="M2323" s="6"/>
      <c r="Q2323" s="6" t="str">
        <f>IFERROR(__xludf.DUMMYFUNCTION("""COMPUTED_VALUE"""),"losses")</f>
        <v>losses</v>
      </c>
    </row>
    <row r="2324">
      <c r="B2324" s="6"/>
      <c r="D2324" s="6"/>
      <c r="G2324" s="6"/>
      <c r="I2324" s="6"/>
      <c r="M2324" s="6"/>
      <c r="Q2324" s="6" t="str">
        <f>IFERROR(__xludf.DUMMYFUNCTION("""COMPUTED_VALUE"""),"broader")</f>
        <v>broader</v>
      </c>
    </row>
    <row r="2325">
      <c r="B2325" s="6"/>
      <c r="D2325" s="6"/>
      <c r="G2325" s="6"/>
      <c r="I2325" s="6"/>
      <c r="M2325" s="6"/>
      <c r="Q2325" s="6" t="str">
        <f>IFERROR(__xludf.DUMMYFUNCTION("""COMPUTED_VALUE"""),"bestowed")</f>
        <v>bestowed</v>
      </c>
    </row>
    <row r="2326">
      <c r="B2326" s="6"/>
      <c r="D2326" s="6"/>
      <c r="G2326" s="6"/>
      <c r="I2326" s="6"/>
      <c r="M2326" s="6"/>
      <c r="Q2326" s="6" t="str">
        <f>IFERROR(__xludf.DUMMYFUNCTION("""COMPUTED_VALUE"""),"waldo")</f>
        <v>waldo</v>
      </c>
    </row>
    <row r="2327">
      <c r="B2327" s="6"/>
      <c r="D2327" s="6"/>
      <c r="G2327" s="6"/>
      <c r="I2327" s="6"/>
      <c r="M2327" s="6"/>
      <c r="Q2327" s="6" t="str">
        <f>IFERROR(__xludf.DUMMYFUNCTION("""COMPUTED_VALUE"""),"reginald")</f>
        <v>reginald</v>
      </c>
    </row>
    <row r="2328">
      <c r="B2328" s="6"/>
      <c r="D2328" s="6"/>
      <c r="G2328" s="6"/>
      <c r="I2328" s="6"/>
      <c r="M2328" s="6"/>
      <c r="Q2328" s="6" t="str">
        <f>IFERROR(__xludf.DUMMYFUNCTION("""COMPUTED_VALUE"""),"familiarity")</f>
        <v>familiarity</v>
      </c>
    </row>
    <row r="2329">
      <c r="B2329" s="6"/>
      <c r="D2329" s="6"/>
      <c r="G2329" s="6"/>
      <c r="I2329" s="6"/>
      <c r="M2329" s="6"/>
      <c r="Q2329" s="6" t="str">
        <f>IFERROR(__xludf.DUMMYFUNCTION("""COMPUTED_VALUE"""),"carmichael")</f>
        <v>carmichael</v>
      </c>
    </row>
    <row r="2330">
      <c r="B2330" s="6"/>
      <c r="D2330" s="6"/>
      <c r="G2330" s="6"/>
      <c r="I2330" s="6"/>
      <c r="M2330" s="6"/>
      <c r="Q2330" s="6" t="str">
        <f>IFERROR(__xludf.DUMMYFUNCTION("""COMPUTED_VALUE"""),"rom")</f>
        <v>rom</v>
      </c>
    </row>
    <row r="2331">
      <c r="B2331" s="6"/>
      <c r="D2331" s="6"/>
      <c r="G2331" s="6"/>
      <c r="I2331" s="6"/>
      <c r="M2331" s="6"/>
      <c r="Q2331" s="6" t="str">
        <f>IFERROR(__xludf.DUMMYFUNCTION("""COMPUTED_VALUE"""),"victorious")</f>
        <v>victorious</v>
      </c>
    </row>
    <row r="2332">
      <c r="B2332" s="6"/>
      <c r="D2332" s="6"/>
      <c r="G2332" s="6"/>
      <c r="I2332" s="6"/>
      <c r="M2332" s="6"/>
      <c r="Q2332" s="6" t="str">
        <f>IFERROR(__xludf.DUMMYFUNCTION("""COMPUTED_VALUE"""),"aristocracy")</f>
        <v>aristocracy</v>
      </c>
    </row>
    <row r="2333">
      <c r="B2333" s="6"/>
      <c r="D2333" s="6"/>
      <c r="G2333" s="6"/>
      <c r="I2333" s="6"/>
      <c r="M2333" s="6"/>
      <c r="Q2333" s="6" t="str">
        <f>IFERROR(__xludf.DUMMYFUNCTION("""COMPUTED_VALUE"""),"exiled")</f>
        <v>exiled</v>
      </c>
    </row>
    <row r="2334">
      <c r="B2334" s="6"/>
      <c r="D2334" s="6"/>
      <c r="G2334" s="6"/>
      <c r="I2334" s="6"/>
      <c r="M2334" s="6"/>
      <c r="Q2334" s="6" t="str">
        <f>IFERROR(__xludf.DUMMYFUNCTION("""COMPUTED_VALUE"""),"revolutionaries")</f>
        <v>revolutionaries</v>
      </c>
    </row>
    <row r="2335">
      <c r="B2335" s="6"/>
      <c r="D2335" s="6"/>
      <c r="G2335" s="6"/>
      <c r="I2335" s="6"/>
      <c r="M2335" s="6"/>
      <c r="Q2335" s="6" t="str">
        <f>IFERROR(__xludf.DUMMYFUNCTION("""COMPUTED_VALUE"""),"hounds")</f>
        <v>hounds</v>
      </c>
    </row>
    <row r="2336">
      <c r="B2336" s="6"/>
      <c r="D2336" s="6"/>
      <c r="G2336" s="6"/>
      <c r="I2336" s="6"/>
      <c r="M2336" s="6"/>
      <c r="Q2336" s="6" t="str">
        <f>IFERROR(__xludf.DUMMYFUNCTION("""COMPUTED_VALUE"""),"fledgling")</f>
        <v>fledgling</v>
      </c>
    </row>
    <row r="2337">
      <c r="B2337" s="6"/>
      <c r="D2337" s="6"/>
      <c r="G2337" s="6"/>
      <c r="I2337" s="6"/>
      <c r="M2337" s="6"/>
      <c r="Q2337" s="6" t="str">
        <f>IFERROR(__xludf.DUMMYFUNCTION("""COMPUTED_VALUE"""),"iranian")</f>
        <v>iranian</v>
      </c>
    </row>
    <row r="2338">
      <c r="B2338" s="6"/>
      <c r="D2338" s="6"/>
      <c r="G2338" s="6"/>
      <c r="I2338" s="6"/>
      <c r="M2338" s="6"/>
      <c r="Q2338" s="6" t="str">
        <f>IFERROR(__xludf.DUMMYFUNCTION("""COMPUTED_VALUE"""),"presiding")</f>
        <v>presiding</v>
      </c>
    </row>
    <row r="2339">
      <c r="B2339" s="6"/>
      <c r="D2339" s="6"/>
      <c r="G2339" s="6"/>
      <c r="I2339" s="6"/>
      <c r="M2339" s="6"/>
      <c r="Q2339" s="6" t="str">
        <f>IFERROR(__xludf.DUMMYFUNCTION("""COMPUTED_VALUE"""),"macbeth")</f>
        <v>macbeth</v>
      </c>
    </row>
    <row r="2340">
      <c r="B2340" s="6"/>
      <c r="D2340" s="6"/>
      <c r="G2340" s="6"/>
      <c r="I2340" s="6"/>
      <c r="M2340" s="6"/>
      <c r="Q2340" s="6" t="str">
        <f>IFERROR(__xludf.DUMMYFUNCTION("""COMPUTED_VALUE"""),"1930s")</f>
        <v>1930s</v>
      </c>
    </row>
    <row r="2341">
      <c r="B2341" s="6"/>
      <c r="D2341" s="6"/>
      <c r="G2341" s="6"/>
      <c r="I2341" s="6"/>
      <c r="M2341" s="6"/>
      <c r="Q2341" s="6" t="str">
        <f>IFERROR(__xludf.DUMMYFUNCTION("""COMPUTED_VALUE"""),"conflicts")</f>
        <v>conflicts</v>
      </c>
    </row>
    <row r="2342">
      <c r="B2342" s="6"/>
      <c r="D2342" s="6"/>
      <c r="G2342" s="6"/>
      <c r="I2342" s="6"/>
      <c r="M2342" s="6"/>
      <c r="Q2342" s="6" t="str">
        <f>IFERROR(__xludf.DUMMYFUNCTION("""COMPUTED_VALUE"""),"uniquely")</f>
        <v>uniquely</v>
      </c>
    </row>
    <row r="2343">
      <c r="B2343" s="6"/>
      <c r="D2343" s="6"/>
      <c r="G2343" s="6"/>
      <c r="I2343" s="6"/>
      <c r="M2343" s="6"/>
      <c r="Q2343" s="6" t="str">
        <f>IFERROR(__xludf.DUMMYFUNCTION("""COMPUTED_VALUE"""),"seventeen")</f>
        <v>seventeen</v>
      </c>
    </row>
    <row r="2344">
      <c r="B2344" s="6"/>
      <c r="D2344" s="6"/>
      <c r="G2344" s="6"/>
      <c r="I2344" s="6"/>
      <c r="M2344" s="6"/>
      <c r="Q2344" s="6" t="str">
        <f>IFERROR(__xludf.DUMMYFUNCTION("""COMPUTED_VALUE"""),"suppression")</f>
        <v>suppression</v>
      </c>
    </row>
    <row r="2345">
      <c r="B2345" s="6"/>
      <c r="D2345" s="6"/>
      <c r="G2345" s="6"/>
      <c r="I2345" s="6"/>
      <c r="M2345" s="6"/>
      <c r="Q2345" s="6" t="str">
        <f>IFERROR(__xludf.DUMMYFUNCTION("""COMPUTED_VALUE"""),"austrian")</f>
        <v>austrian</v>
      </c>
    </row>
    <row r="2346">
      <c r="B2346" s="6"/>
      <c r="D2346" s="6"/>
      <c r="G2346" s="6"/>
      <c r="I2346" s="6"/>
      <c r="M2346" s="6"/>
      <c r="Q2346" s="6" t="str">
        <f>IFERROR(__xludf.DUMMYFUNCTION("""COMPUTED_VALUE"""),"saddle")</f>
        <v>saddle</v>
      </c>
    </row>
    <row r="2347">
      <c r="B2347" s="6"/>
      <c r="D2347" s="6"/>
      <c r="G2347" s="6"/>
      <c r="I2347" s="6"/>
      <c r="M2347" s="6"/>
      <c r="Q2347" s="6" t="str">
        <f>IFERROR(__xludf.DUMMYFUNCTION("""COMPUTED_VALUE"""),"pinnacle")</f>
        <v>pinnacle</v>
      </c>
    </row>
    <row r="2348">
      <c r="B2348" s="6"/>
      <c r="D2348" s="6"/>
      <c r="G2348" s="6"/>
      <c r="I2348" s="6"/>
      <c r="M2348" s="6"/>
      <c r="Q2348" s="6" t="str">
        <f>IFERROR(__xludf.DUMMYFUNCTION("""COMPUTED_VALUE"""),"rapids")</f>
        <v>rapids</v>
      </c>
    </row>
    <row r="2349">
      <c r="B2349" s="6"/>
      <c r="D2349" s="6"/>
      <c r="G2349" s="6"/>
      <c r="I2349" s="6"/>
      <c r="M2349" s="6"/>
      <c r="Q2349" s="6" t="str">
        <f>IFERROR(__xludf.DUMMYFUNCTION("""COMPUTED_VALUE"""),"lds")</f>
        <v>lds</v>
      </c>
    </row>
    <row r="2350">
      <c r="B2350" s="6"/>
      <c r="D2350" s="6"/>
      <c r="G2350" s="6"/>
      <c r="I2350" s="6"/>
      <c r="M2350" s="6"/>
      <c r="Q2350" s="6" t="str">
        <f>IFERROR(__xludf.DUMMYFUNCTION("""COMPUTED_VALUE"""),"probation")</f>
        <v>probation</v>
      </c>
    </row>
    <row r="2351">
      <c r="B2351" s="6"/>
      <c r="D2351" s="6"/>
      <c r="G2351" s="6"/>
      <c r="I2351" s="6"/>
      <c r="M2351" s="6"/>
      <c r="Q2351" s="6" t="str">
        <f>IFERROR(__xludf.DUMMYFUNCTION("""COMPUTED_VALUE"""),"mankind")</f>
        <v>mankind</v>
      </c>
    </row>
    <row r="2352">
      <c r="B2352" s="6"/>
      <c r="D2352" s="6"/>
      <c r="G2352" s="6"/>
      <c r="I2352" s="6"/>
      <c r="M2352" s="6"/>
      <c r="Q2352" s="6" t="str">
        <f>IFERROR(__xludf.DUMMYFUNCTION("""COMPUTED_VALUE"""),"wasp")</f>
        <v>wasp</v>
      </c>
    </row>
    <row r="2353">
      <c r="B2353" s="6"/>
      <c r="D2353" s="6"/>
      <c r="G2353" s="6"/>
      <c r="I2353" s="6"/>
      <c r="M2353" s="6"/>
      <c r="Q2353" s="6" t="str">
        <f>IFERROR(__xludf.DUMMYFUNCTION("""COMPUTED_VALUE"""),"weber")</f>
        <v>weber</v>
      </c>
    </row>
    <row r="2354">
      <c r="B2354" s="6"/>
      <c r="D2354" s="6"/>
      <c r="G2354" s="6"/>
      <c r="I2354" s="6"/>
      <c r="M2354" s="6"/>
      <c r="Q2354" s="6" t="str">
        <f>IFERROR(__xludf.DUMMYFUNCTION("""COMPUTED_VALUE"""),"stud")</f>
        <v>stud</v>
      </c>
    </row>
    <row r="2355">
      <c r="B2355" s="6"/>
      <c r="D2355" s="6"/>
      <c r="G2355" s="6"/>
      <c r="I2355" s="6"/>
      <c r="M2355" s="6"/>
      <c r="Q2355" s="6" t="str">
        <f>IFERROR(__xludf.DUMMYFUNCTION("""COMPUTED_VALUE"""),"terrorism")</f>
        <v>terrorism</v>
      </c>
    </row>
    <row r="2356">
      <c r="B2356" s="6"/>
      <c r="D2356" s="6"/>
      <c r="G2356" s="6"/>
      <c r="I2356" s="6"/>
      <c r="M2356" s="6"/>
      <c r="Q2356" s="6" t="str">
        <f>IFERROR(__xludf.DUMMYFUNCTION("""COMPUTED_VALUE"""),"throat")</f>
        <v>throat</v>
      </c>
    </row>
    <row r="2357">
      <c r="B2357" s="6"/>
      <c r="D2357" s="6"/>
      <c r="G2357" s="6"/>
      <c r="I2357" s="6"/>
      <c r="M2357" s="6"/>
      <c r="Q2357" s="6" t="str">
        <f>IFERROR(__xludf.DUMMYFUNCTION("""COMPUTED_VALUE"""),"sociology")</f>
        <v>sociology</v>
      </c>
    </row>
    <row r="2358">
      <c r="B2358" s="6"/>
      <c r="D2358" s="6"/>
      <c r="G2358" s="6"/>
      <c r="I2358" s="6"/>
      <c r="M2358" s="6"/>
      <c r="Q2358" s="6" t="str">
        <f>IFERROR(__xludf.DUMMYFUNCTION("""COMPUTED_VALUE"""),"wash")</f>
        <v>wash</v>
      </c>
    </row>
    <row r="2359">
      <c r="B2359" s="6"/>
      <c r="D2359" s="6"/>
      <c r="G2359" s="6"/>
      <c r="I2359" s="6"/>
      <c r="M2359" s="6"/>
      <c r="Q2359" s="6" t="str">
        <f>IFERROR(__xludf.DUMMYFUNCTION("""COMPUTED_VALUE"""),"depicted")</f>
        <v>depicted</v>
      </c>
    </row>
    <row r="2360">
      <c r="B2360" s="6"/>
      <c r="D2360" s="6"/>
      <c r="G2360" s="6"/>
      <c r="I2360" s="6"/>
      <c r="M2360" s="6"/>
      <c r="Q2360" s="6" t="str">
        <f>IFERROR(__xludf.DUMMYFUNCTION("""COMPUTED_VALUE"""),"gesturing")</f>
        <v>gesturing</v>
      </c>
    </row>
    <row r="2361">
      <c r="B2361" s="6"/>
      <c r="D2361" s="6"/>
      <c r="G2361" s="6"/>
      <c r="I2361" s="6"/>
      <c r="M2361" s="6"/>
      <c r="Q2361" s="6" t="str">
        <f>IFERROR(__xludf.DUMMYFUNCTION("""COMPUTED_VALUE"""),"hazy")</f>
        <v>hazy</v>
      </c>
    </row>
    <row r="2362">
      <c r="B2362" s="6"/>
      <c r="D2362" s="6"/>
      <c r="G2362" s="6"/>
      <c r="I2362" s="6"/>
      <c r="M2362" s="6"/>
      <c r="Q2362" s="6" t="str">
        <f>IFERROR(__xludf.DUMMYFUNCTION("""COMPUTED_VALUE"""),"debts")</f>
        <v>debts</v>
      </c>
    </row>
    <row r="2363">
      <c r="B2363" s="6"/>
      <c r="D2363" s="6"/>
      <c r="G2363" s="6"/>
      <c r="I2363" s="6"/>
      <c r="M2363" s="6"/>
      <c r="Q2363" s="6" t="str">
        <f>IFERROR(__xludf.DUMMYFUNCTION("""COMPUTED_VALUE"""),"murderous")</f>
        <v>murderous</v>
      </c>
    </row>
    <row r="2364">
      <c r="B2364" s="6"/>
      <c r="D2364" s="6"/>
      <c r="G2364" s="6"/>
      <c r="I2364" s="6"/>
      <c r="M2364" s="6"/>
      <c r="Q2364" s="6" t="str">
        <f>IFERROR(__xludf.DUMMYFUNCTION("""COMPUTED_VALUE"""),"chimney")</f>
        <v>chimney</v>
      </c>
    </row>
    <row r="2365">
      <c r="B2365" s="6"/>
      <c r="D2365" s="6"/>
      <c r="G2365" s="6"/>
      <c r="I2365" s="6"/>
      <c r="M2365" s="6"/>
      <c r="Q2365" s="6" t="str">
        <f>IFERROR(__xludf.DUMMYFUNCTION("""COMPUTED_VALUE"""),"detachment")</f>
        <v>detachment</v>
      </c>
    </row>
    <row r="2366">
      <c r="B2366" s="6"/>
      <c r="D2366" s="6"/>
      <c r="G2366" s="6"/>
      <c r="I2366" s="6"/>
      <c r="M2366" s="6"/>
      <c r="Q2366" s="6" t="str">
        <f>IFERROR(__xludf.DUMMYFUNCTION("""COMPUTED_VALUE"""),"sharing")</f>
        <v>sharing</v>
      </c>
    </row>
    <row r="2367">
      <c r="B2367" s="6"/>
      <c r="D2367" s="6"/>
      <c r="G2367" s="6"/>
      <c r="I2367" s="6"/>
      <c r="M2367" s="6"/>
      <c r="Q2367" s="6" t="str">
        <f>IFERROR(__xludf.DUMMYFUNCTION("""COMPUTED_VALUE"""),"compass")</f>
        <v>compass</v>
      </c>
    </row>
    <row r="2368">
      <c r="B2368" s="6"/>
      <c r="D2368" s="6"/>
      <c r="G2368" s="6"/>
      <c r="I2368" s="6"/>
      <c r="M2368" s="6"/>
      <c r="Q2368" s="6" t="str">
        <f>IFERROR(__xludf.DUMMYFUNCTION("""COMPUTED_VALUE"""),"salaries")</f>
        <v>salaries</v>
      </c>
    </row>
    <row r="2369">
      <c r="B2369" s="6"/>
      <c r="D2369" s="6"/>
      <c r="G2369" s="6"/>
      <c r="M2369" s="6"/>
      <c r="Q2369" s="6" t="str">
        <f>IFERROR(__xludf.DUMMYFUNCTION("""COMPUTED_VALUE"""),"karim")</f>
        <v>karim</v>
      </c>
    </row>
    <row r="2370">
      <c r="B2370" s="6"/>
      <c r="D2370" s="6"/>
      <c r="G2370" s="6"/>
      <c r="M2370" s="6"/>
      <c r="Q2370" s="6" t="str">
        <f>IFERROR(__xludf.DUMMYFUNCTION("""COMPUTED_VALUE"""),"freight")</f>
        <v>freight</v>
      </c>
    </row>
    <row r="2371">
      <c r="B2371" s="6"/>
      <c r="D2371" s="6"/>
      <c r="G2371" s="6"/>
      <c r="M2371" s="6"/>
      <c r="Q2371" s="6" t="str">
        <f>IFERROR(__xludf.DUMMYFUNCTION("""COMPUTED_VALUE"""),"destruction")</f>
        <v>destruction</v>
      </c>
    </row>
    <row r="2372">
      <c r="B2372" s="6"/>
      <c r="D2372" s="6"/>
      <c r="G2372" s="6"/>
      <c r="M2372" s="6"/>
      <c r="Q2372" s="6" t="str">
        <f>IFERROR(__xludf.DUMMYFUNCTION("""COMPUTED_VALUE"""),"gracefully")</f>
        <v>gracefully</v>
      </c>
    </row>
    <row r="2373">
      <c r="B2373" s="6"/>
      <c r="D2373" s="6"/>
      <c r="G2373" s="6"/>
      <c r="M2373" s="6"/>
      <c r="Q2373" s="6" t="str">
        <f>IFERROR(__xludf.DUMMYFUNCTION("""COMPUTED_VALUE"""),"hierarchy")</f>
        <v>hierarchy</v>
      </c>
    </row>
    <row r="2374">
      <c r="B2374" s="6"/>
      <c r="D2374" s="6"/>
      <c r="G2374" s="6"/>
      <c r="M2374" s="6"/>
      <c r="Q2374" s="6" t="str">
        <f>IFERROR(__xludf.DUMMYFUNCTION("""COMPUTED_VALUE"""),"moat")</f>
        <v>moat</v>
      </c>
    </row>
    <row r="2375">
      <c r="B2375" s="6"/>
      <c r="D2375" s="6"/>
      <c r="G2375" s="6"/>
      <c r="M2375" s="6"/>
      <c r="Q2375" s="6" t="str">
        <f>IFERROR(__xludf.DUMMYFUNCTION("""COMPUTED_VALUE"""),"rejection")</f>
        <v>rejection</v>
      </c>
    </row>
    <row r="2376">
      <c r="B2376" s="6"/>
      <c r="D2376" s="6"/>
      <c r="G2376" s="6"/>
      <c r="M2376" s="6"/>
      <c r="Q2376" s="6" t="str">
        <f>IFERROR(__xludf.DUMMYFUNCTION("""COMPUTED_VALUE"""),"provincial")</f>
        <v>provincial</v>
      </c>
    </row>
    <row r="2377">
      <c r="B2377" s="6"/>
      <c r="D2377" s="6"/>
      <c r="G2377" s="6"/>
      <c r="M2377" s="6"/>
      <c r="Q2377" s="6" t="str">
        <f>IFERROR(__xludf.DUMMYFUNCTION("""COMPUTED_VALUE"""),"bourgeois")</f>
        <v>bourgeois</v>
      </c>
    </row>
    <row r="2378">
      <c r="B2378" s="6"/>
      <c r="D2378" s="6"/>
      <c r="G2378" s="6"/>
      <c r="M2378" s="6"/>
      <c r="Q2378" s="6" t="str">
        <f>IFERROR(__xludf.DUMMYFUNCTION("""COMPUTED_VALUE"""),"contrasting")</f>
        <v>contrasting</v>
      </c>
    </row>
    <row r="2379">
      <c r="B2379" s="6"/>
      <c r="D2379" s="6"/>
      <c r="G2379" s="6"/>
      <c r="M2379" s="6"/>
      <c r="Q2379" s="6" t="str">
        <f>IFERROR(__xludf.DUMMYFUNCTION("""COMPUTED_VALUE"""),"superman")</f>
        <v>superman</v>
      </c>
    </row>
    <row r="2380">
      <c r="B2380" s="6"/>
      <c r="D2380" s="6"/>
      <c r="G2380" s="6"/>
      <c r="M2380" s="6"/>
      <c r="Q2380" s="6" t="str">
        <f>IFERROR(__xludf.DUMMYFUNCTION("""COMPUTED_VALUE"""),"explosions")</f>
        <v>explosions</v>
      </c>
    </row>
    <row r="2381">
      <c r="B2381" s="6"/>
      <c r="D2381" s="6"/>
      <c r="G2381" s="6"/>
      <c r="M2381" s="6"/>
      <c r="Q2381" s="6" t="str">
        <f>IFERROR(__xludf.DUMMYFUNCTION("""COMPUTED_VALUE"""),"landscapes")</f>
        <v>landscapes</v>
      </c>
    </row>
    <row r="2382">
      <c r="B2382" s="6"/>
      <c r="D2382" s="6"/>
      <c r="G2382" s="6"/>
      <c r="M2382" s="6"/>
      <c r="Q2382" s="6" t="str">
        <f>IFERROR(__xludf.DUMMYFUNCTION("""COMPUTED_VALUE"""),"lore")</f>
        <v>lore</v>
      </c>
    </row>
    <row r="2383">
      <c r="B2383" s="6"/>
      <c r="D2383" s="6"/>
      <c r="G2383" s="6"/>
      <c r="M2383" s="6"/>
      <c r="Q2383" s="6" t="str">
        <f>IFERROR(__xludf.DUMMYFUNCTION("""COMPUTED_VALUE"""),"fraser")</f>
        <v>fraser</v>
      </c>
    </row>
    <row r="2384">
      <c r="B2384" s="6"/>
      <c r="D2384" s="6"/>
      <c r="G2384" s="6"/>
      <c r="M2384" s="6"/>
      <c r="Q2384" s="6" t="str">
        <f>IFERROR(__xludf.DUMMYFUNCTION("""COMPUTED_VALUE"""),"terrorists")</f>
        <v>terrorists</v>
      </c>
    </row>
    <row r="2385">
      <c r="B2385" s="6"/>
      <c r="D2385" s="6"/>
      <c r="G2385" s="6"/>
      <c r="M2385" s="6"/>
      <c r="Q2385" s="6" t="str">
        <f>IFERROR(__xludf.DUMMYFUNCTION("""COMPUTED_VALUE"""),"thinkers")</f>
        <v>thinkers</v>
      </c>
    </row>
    <row r="2386">
      <c r="B2386" s="6"/>
      <c r="D2386" s="6"/>
      <c r="G2386" s="6"/>
      <c r="M2386" s="6"/>
      <c r="Q2386" s="6" t="str">
        <f>IFERROR(__xludf.DUMMYFUNCTION("""COMPUTED_VALUE"""),"introduces")</f>
        <v>introduces</v>
      </c>
    </row>
    <row r="2387">
      <c r="B2387" s="6"/>
      <c r="D2387" s="6"/>
      <c r="G2387" s="6"/>
      <c r="M2387" s="6"/>
      <c r="Q2387" s="6" t="str">
        <f>IFERROR(__xludf.DUMMYFUNCTION("""COMPUTED_VALUE"""),"orbits")</f>
        <v>orbits</v>
      </c>
    </row>
    <row r="2388">
      <c r="B2388" s="6"/>
      <c r="D2388" s="6"/>
      <c r="G2388" s="6"/>
      <c r="M2388" s="6"/>
      <c r="Q2388" s="6" t="str">
        <f>IFERROR(__xludf.DUMMYFUNCTION("""COMPUTED_VALUE"""),"reassure")</f>
        <v>reassure</v>
      </c>
    </row>
    <row r="2389">
      <c r="B2389" s="6"/>
      <c r="D2389" s="6"/>
      <c r="G2389" s="6"/>
      <c r="M2389" s="6"/>
      <c r="Q2389" s="6" t="str">
        <f>IFERROR(__xludf.DUMMYFUNCTION("""COMPUTED_VALUE"""),"corbett")</f>
        <v>corbett</v>
      </c>
    </row>
    <row r="2390">
      <c r="B2390" s="6"/>
      <c r="D2390" s="6"/>
      <c r="G2390" s="6"/>
      <c r="M2390" s="6"/>
      <c r="Q2390" s="6" t="str">
        <f>IFERROR(__xludf.DUMMYFUNCTION("""COMPUTED_VALUE"""),"ragged")</f>
        <v>ragged</v>
      </c>
    </row>
    <row r="2391">
      <c r="B2391" s="6"/>
      <c r="D2391" s="6"/>
      <c r="G2391" s="6"/>
      <c r="M2391" s="6"/>
      <c r="Q2391" s="6" t="str">
        <f>IFERROR(__xludf.DUMMYFUNCTION("""COMPUTED_VALUE"""),"enacted")</f>
        <v>enacted</v>
      </c>
    </row>
    <row r="2392">
      <c r="B2392" s="6"/>
      <c r="D2392" s="6"/>
      <c r="G2392" s="6"/>
      <c r="M2392" s="6"/>
      <c r="Q2392" s="6" t="str">
        <f>IFERROR(__xludf.DUMMYFUNCTION("""COMPUTED_VALUE"""),"moan")</f>
        <v>moan</v>
      </c>
    </row>
    <row r="2393">
      <c r="B2393" s="6"/>
      <c r="D2393" s="6"/>
      <c r="G2393" s="6"/>
      <c r="M2393" s="6"/>
      <c r="Q2393" s="6" t="str">
        <f>IFERROR(__xludf.DUMMYFUNCTION("""COMPUTED_VALUE"""),"annex")</f>
        <v>annex</v>
      </c>
    </row>
    <row r="2394">
      <c r="B2394" s="6"/>
      <c r="D2394" s="6"/>
      <c r="G2394" s="6"/>
      <c r="M2394" s="6"/>
      <c r="Q2394" s="6" t="str">
        <f>IFERROR(__xludf.DUMMYFUNCTION("""COMPUTED_VALUE"""),"overture")</f>
        <v>overture</v>
      </c>
    </row>
    <row r="2395">
      <c r="B2395" s="6"/>
      <c r="D2395" s="6"/>
      <c r="G2395" s="6"/>
      <c r="M2395" s="6"/>
      <c r="Q2395" s="6" t="str">
        <f>IFERROR(__xludf.DUMMYFUNCTION("""COMPUTED_VALUE"""),"pointedly")</f>
        <v>pointedly</v>
      </c>
    </row>
    <row r="2396">
      <c r="B2396" s="6"/>
      <c r="D2396" s="6"/>
      <c r="G2396" s="6"/>
      <c r="M2396" s="6"/>
      <c r="Q2396" s="6" t="str">
        <f>IFERROR(__xludf.DUMMYFUNCTION("""COMPUTED_VALUE"""),"requiem")</f>
        <v>requiem</v>
      </c>
    </row>
    <row r="2397">
      <c r="B2397" s="6"/>
      <c r="D2397" s="6"/>
      <c r="G2397" s="6"/>
      <c r="M2397" s="6"/>
      <c r="Q2397" s="6" t="str">
        <f>IFERROR(__xludf.DUMMYFUNCTION("""COMPUTED_VALUE"""),"mummy")</f>
        <v>mummy</v>
      </c>
    </row>
    <row r="2398">
      <c r="B2398" s="6"/>
      <c r="D2398" s="6"/>
      <c r="G2398" s="6"/>
      <c r="M2398" s="6"/>
      <c r="Q2398" s="6" t="str">
        <f>IFERROR(__xludf.DUMMYFUNCTION("""COMPUTED_VALUE"""),"framework")</f>
        <v>framework</v>
      </c>
    </row>
    <row r="2399">
      <c r="B2399" s="6"/>
      <c r="D2399" s="6"/>
      <c r="G2399" s="6"/>
      <c r="M2399" s="6"/>
      <c r="Q2399" s="6" t="str">
        <f>IFERROR(__xludf.DUMMYFUNCTION("""COMPUTED_VALUE"""),"naive")</f>
        <v>naive</v>
      </c>
    </row>
    <row r="2400">
      <c r="B2400" s="6"/>
      <c r="D2400" s="6"/>
      <c r="G2400" s="6"/>
      <c r="M2400" s="6"/>
      <c r="Q2400" s="6" t="str">
        <f>IFERROR(__xludf.DUMMYFUNCTION("""COMPUTED_VALUE"""),"lullaby")</f>
        <v>lullaby</v>
      </c>
    </row>
    <row r="2401">
      <c r="B2401" s="6"/>
      <c r="D2401" s="6"/>
      <c r="G2401" s="6"/>
      <c r="M2401" s="6"/>
      <c r="Q2401" s="6" t="str">
        <f>IFERROR(__xludf.DUMMYFUNCTION("""COMPUTED_VALUE"""),"synagogue")</f>
        <v>synagogue</v>
      </c>
    </row>
    <row r="2402">
      <c r="B2402" s="6"/>
      <c r="D2402" s="6"/>
      <c r="G2402" s="6"/>
      <c r="M2402" s="6"/>
      <c r="Q2402" s="6" t="str">
        <f>IFERROR(__xludf.DUMMYFUNCTION("""COMPUTED_VALUE"""),"scoring")</f>
        <v>scoring</v>
      </c>
    </row>
    <row r="2403">
      <c r="B2403" s="6"/>
      <c r="D2403" s="6"/>
      <c r="G2403" s="6"/>
      <c r="M2403" s="6"/>
      <c r="Q2403" s="6" t="str">
        <f>IFERROR(__xludf.DUMMYFUNCTION("""COMPUTED_VALUE"""),"derives")</f>
        <v>derives</v>
      </c>
    </row>
    <row r="2404">
      <c r="B2404" s="6"/>
      <c r="D2404" s="6"/>
      <c r="G2404" s="6"/>
      <c r="M2404" s="6"/>
      <c r="Q2404" s="6" t="str">
        <f>IFERROR(__xludf.DUMMYFUNCTION("""COMPUTED_VALUE"""),"maguire")</f>
        <v>maguire</v>
      </c>
    </row>
    <row r="2405">
      <c r="B2405" s="6"/>
      <c r="D2405" s="6"/>
      <c r="G2405" s="6"/>
      <c r="M2405" s="6"/>
      <c r="Q2405" s="6" t="str">
        <f>IFERROR(__xludf.DUMMYFUNCTION("""COMPUTED_VALUE"""),"obligations")</f>
        <v>obligations</v>
      </c>
    </row>
    <row r="2406">
      <c r="B2406" s="6"/>
      <c r="D2406" s="6"/>
      <c r="G2406" s="6"/>
      <c r="M2406" s="6"/>
      <c r="Q2406" s="6" t="str">
        <f>IFERROR(__xludf.DUMMYFUNCTION("""COMPUTED_VALUE"""),"pearce")</f>
        <v>pearce</v>
      </c>
    </row>
    <row r="2407">
      <c r="B2407" s="6"/>
      <c r="D2407" s="6"/>
      <c r="G2407" s="6"/>
      <c r="M2407" s="6"/>
      <c r="Q2407" s="6" t="str">
        <f>IFERROR(__xludf.DUMMYFUNCTION("""COMPUTED_VALUE"""),"rappers")</f>
        <v>rappers</v>
      </c>
    </row>
    <row r="2408">
      <c r="B2408" s="6"/>
      <c r="D2408" s="6"/>
      <c r="G2408" s="6"/>
      <c r="M2408" s="6"/>
      <c r="Q2408" s="6" t="str">
        <f>IFERROR(__xludf.DUMMYFUNCTION("""COMPUTED_VALUE"""),"forefront")</f>
        <v>forefront</v>
      </c>
    </row>
    <row r="2409">
      <c r="B2409" s="6"/>
      <c r="D2409" s="6"/>
      <c r="G2409" s="6"/>
      <c r="M2409" s="6"/>
      <c r="Q2409" s="6" t="str">
        <f>IFERROR(__xludf.DUMMYFUNCTION("""COMPUTED_VALUE"""),"divisions")</f>
        <v>divisions</v>
      </c>
    </row>
    <row r="2410">
      <c r="B2410" s="6"/>
      <c r="D2410" s="6"/>
      <c r="G2410" s="6"/>
      <c r="M2410" s="6"/>
      <c r="Q2410" s="6" t="str">
        <f>IFERROR(__xludf.DUMMYFUNCTION("""COMPUTED_VALUE"""),"nonfiction")</f>
        <v>nonfiction</v>
      </c>
    </row>
    <row r="2411">
      <c r="B2411" s="6"/>
      <c r="D2411" s="6"/>
      <c r="G2411" s="6"/>
      <c r="M2411" s="6"/>
      <c r="Q2411" s="6" t="str">
        <f>IFERROR(__xludf.DUMMYFUNCTION("""COMPUTED_VALUE"""),"tnt")</f>
        <v>tnt</v>
      </c>
    </row>
    <row r="2412">
      <c r="B2412" s="6"/>
      <c r="D2412" s="6"/>
      <c r="G2412" s="6"/>
      <c r="M2412" s="6"/>
      <c r="Q2412" s="6" t="str">
        <f>IFERROR(__xludf.DUMMYFUNCTION("""COMPUTED_VALUE"""),"effectiveness")</f>
        <v>effectiveness</v>
      </c>
    </row>
    <row r="2413">
      <c r="B2413" s="6"/>
      <c r="D2413" s="6"/>
      <c r="G2413" s="6"/>
      <c r="M2413" s="6"/>
      <c r="Q2413" s="6" t="str">
        <f>IFERROR(__xludf.DUMMYFUNCTION("""COMPUTED_VALUE"""),"contentious")</f>
        <v>contentious</v>
      </c>
    </row>
    <row r="2414">
      <c r="B2414" s="6"/>
      <c r="D2414" s="6"/>
      <c r="G2414" s="6"/>
      <c r="M2414" s="6"/>
      <c r="Q2414" s="6" t="str">
        <f>IFERROR(__xludf.DUMMYFUNCTION("""COMPUTED_VALUE"""),"configurations")</f>
        <v>configurations</v>
      </c>
    </row>
    <row r="2415">
      <c r="B2415" s="6"/>
      <c r="D2415" s="6"/>
      <c r="G2415" s="6"/>
      <c r="M2415" s="6"/>
      <c r="Q2415" s="6" t="str">
        <f>IFERROR(__xludf.DUMMYFUNCTION("""COMPUTED_VALUE"""),"apocalypse")</f>
        <v>apocalypse</v>
      </c>
    </row>
    <row r="2416">
      <c r="B2416" s="6"/>
      <c r="D2416" s="6"/>
      <c r="G2416" s="6"/>
      <c r="M2416" s="6"/>
      <c r="Q2416" s="6" t="str">
        <f>IFERROR(__xludf.DUMMYFUNCTION("""COMPUTED_VALUE"""),"deeds")</f>
        <v>deeds</v>
      </c>
    </row>
    <row r="2417">
      <c r="B2417" s="6"/>
      <c r="D2417" s="6"/>
      <c r="G2417" s="6"/>
      <c r="M2417" s="6"/>
      <c r="Q2417" s="6" t="str">
        <f>IFERROR(__xludf.DUMMYFUNCTION("""COMPUTED_VALUE"""),"innate")</f>
        <v>innate</v>
      </c>
    </row>
    <row r="2418">
      <c r="B2418" s="6"/>
      <c r="D2418" s="6"/>
      <c r="G2418" s="6"/>
      <c r="M2418" s="6"/>
      <c r="Q2418" s="6" t="str">
        <f>IFERROR(__xludf.DUMMYFUNCTION("""COMPUTED_VALUE"""),"principals")</f>
        <v>principals</v>
      </c>
    </row>
    <row r="2419">
      <c r="B2419" s="6"/>
      <c r="D2419" s="6"/>
      <c r="G2419" s="6"/>
      <c r="M2419" s="6"/>
      <c r="Q2419" s="6" t="str">
        <f>IFERROR(__xludf.DUMMYFUNCTION("""COMPUTED_VALUE"""),"valiant")</f>
        <v>valiant</v>
      </c>
    </row>
    <row r="2420">
      <c r="B2420" s="6"/>
      <c r="D2420" s="6"/>
      <c r="G2420" s="6"/>
      <c r="M2420" s="6"/>
      <c r="Q2420" s="6" t="str">
        <f>IFERROR(__xludf.DUMMYFUNCTION("""COMPUTED_VALUE"""),"springer")</f>
        <v>springer</v>
      </c>
    </row>
    <row r="2421">
      <c r="B2421" s="6"/>
      <c r="D2421" s="6"/>
      <c r="G2421" s="6"/>
      <c r="M2421" s="6"/>
      <c r="Q2421" s="6" t="str">
        <f>IFERROR(__xludf.DUMMYFUNCTION("""COMPUTED_VALUE"""),"enemies")</f>
        <v>enemies</v>
      </c>
    </row>
    <row r="2422">
      <c r="B2422" s="6"/>
      <c r="D2422" s="6"/>
      <c r="G2422" s="6"/>
      <c r="M2422" s="6"/>
      <c r="Q2422" s="6" t="str">
        <f>IFERROR(__xludf.DUMMYFUNCTION("""COMPUTED_VALUE"""),"zoe")</f>
        <v>zoe</v>
      </c>
    </row>
    <row r="2423">
      <c r="B2423" s="6"/>
      <c r="D2423" s="6"/>
      <c r="G2423" s="6"/>
      <c r="M2423" s="6"/>
      <c r="Q2423" s="6" t="str">
        <f>IFERROR(__xludf.DUMMYFUNCTION("""COMPUTED_VALUE"""),"theological")</f>
        <v>theological</v>
      </c>
    </row>
    <row r="2424">
      <c r="B2424" s="6"/>
      <c r="D2424" s="6"/>
      <c r="G2424" s="6"/>
      <c r="M2424" s="6"/>
      <c r="Q2424" s="6" t="str">
        <f>IFERROR(__xludf.DUMMYFUNCTION("""COMPUTED_VALUE"""),"motown")</f>
        <v>motown</v>
      </c>
    </row>
    <row r="2425">
      <c r="B2425" s="6"/>
      <c r="D2425" s="6"/>
      <c r="G2425" s="6"/>
      <c r="M2425" s="6"/>
      <c r="Q2425" s="6" t="str">
        <f>IFERROR(__xludf.DUMMYFUNCTION("""COMPUTED_VALUE"""),"hitler")</f>
        <v>hitler</v>
      </c>
    </row>
    <row r="2426">
      <c r="B2426" s="6"/>
      <c r="D2426" s="6"/>
      <c r="G2426" s="6"/>
      <c r="M2426" s="6"/>
      <c r="Q2426" s="6" t="str">
        <f>IFERROR(__xludf.DUMMYFUNCTION("""COMPUTED_VALUE"""),"alexandre")</f>
        <v>alexandre</v>
      </c>
    </row>
    <row r="2427">
      <c r="B2427" s="6"/>
      <c r="D2427" s="6"/>
      <c r="G2427" s="6"/>
      <c r="M2427" s="6"/>
      <c r="Q2427" s="6" t="str">
        <f>IFERROR(__xludf.DUMMYFUNCTION("""COMPUTED_VALUE"""),"writings")</f>
        <v>writings</v>
      </c>
    </row>
    <row r="2428">
      <c r="B2428" s="6"/>
      <c r="D2428" s="6"/>
      <c r="G2428" s="6"/>
      <c r="M2428" s="6"/>
      <c r="Q2428" s="6" t="str">
        <f>IFERROR(__xludf.DUMMYFUNCTION("""COMPUTED_VALUE"""),"jagger")</f>
        <v>jagger</v>
      </c>
    </row>
    <row r="2429">
      <c r="B2429" s="6"/>
      <c r="D2429" s="6"/>
      <c r="G2429" s="6"/>
      <c r="M2429" s="6"/>
      <c r="Q2429" s="6">
        <f>IFERROR(__xludf.DUMMYFUNCTION("""COMPUTED_VALUE"""),1962.0)</f>
        <v>1962</v>
      </c>
    </row>
    <row r="2430">
      <c r="B2430" s="6"/>
      <c r="D2430" s="6"/>
      <c r="G2430" s="6"/>
      <c r="M2430" s="6"/>
      <c r="Q2430" s="6" t="str">
        <f>IFERROR(__xludf.DUMMYFUNCTION("""COMPUTED_VALUE"""),"afterlife")</f>
        <v>afterlife</v>
      </c>
    </row>
    <row r="2431">
      <c r="B2431" s="6"/>
      <c r="D2431" s="6"/>
      <c r="G2431" s="6"/>
      <c r="M2431" s="6"/>
      <c r="Q2431" s="6" t="str">
        <f>IFERROR(__xludf.DUMMYFUNCTION("""COMPUTED_VALUE"""),"mob")</f>
        <v>mob</v>
      </c>
    </row>
    <row r="2432">
      <c r="B2432" s="6"/>
      <c r="D2432" s="6"/>
      <c r="G2432" s="6"/>
      <c r="M2432" s="6"/>
      <c r="Q2432" s="6" t="str">
        <f>IFERROR(__xludf.DUMMYFUNCTION("""COMPUTED_VALUE"""),"fertility")</f>
        <v>fertility</v>
      </c>
    </row>
    <row r="2433">
      <c r="B2433" s="6"/>
      <c r="D2433" s="6"/>
      <c r="G2433" s="6"/>
      <c r="M2433" s="6"/>
      <c r="Q2433" s="6" t="str">
        <f>IFERROR(__xludf.DUMMYFUNCTION("""COMPUTED_VALUE"""),"mitch")</f>
        <v>mitch</v>
      </c>
    </row>
    <row r="2434">
      <c r="B2434" s="6"/>
      <c r="D2434" s="6"/>
      <c r="G2434" s="6"/>
      <c r="M2434" s="6"/>
      <c r="Q2434" s="6" t="str">
        <f>IFERROR(__xludf.DUMMYFUNCTION("""COMPUTED_VALUE"""),"bytes")</f>
        <v>bytes</v>
      </c>
    </row>
    <row r="2435">
      <c r="B2435" s="6"/>
      <c r="D2435" s="6"/>
      <c r="G2435" s="6"/>
      <c r="M2435" s="6"/>
      <c r="Q2435" s="6" t="str">
        <f>IFERROR(__xludf.DUMMYFUNCTION("""COMPUTED_VALUE"""),"documenting")</f>
        <v>documenting</v>
      </c>
    </row>
    <row r="2436">
      <c r="B2436" s="6"/>
      <c r="D2436" s="6"/>
      <c r="G2436" s="6"/>
      <c r="M2436" s="6"/>
      <c r="Q2436" s="6" t="str">
        <f>IFERROR(__xludf.DUMMYFUNCTION("""COMPUTED_VALUE"""),"andrei")</f>
        <v>andrei</v>
      </c>
    </row>
    <row r="2437">
      <c r="B2437" s="6"/>
      <c r="D2437" s="6"/>
      <c r="G2437" s="6"/>
      <c r="M2437" s="6"/>
      <c r="Q2437" s="6" t="str">
        <f>IFERROR(__xludf.DUMMYFUNCTION("""COMPUTED_VALUE"""),"ventures")</f>
        <v>ventures</v>
      </c>
    </row>
    <row r="2438">
      <c r="B2438" s="6"/>
      <c r="D2438" s="6"/>
      <c r="G2438" s="6"/>
      <c r="M2438" s="6"/>
      <c r="Q2438" s="6" t="str">
        <f>IFERROR(__xludf.DUMMYFUNCTION("""COMPUTED_VALUE"""),"fragile")</f>
        <v>fragile</v>
      </c>
    </row>
    <row r="2439">
      <c r="B2439" s="6"/>
      <c r="D2439" s="6"/>
      <c r="G2439" s="6"/>
      <c r="M2439" s="6"/>
      <c r="Q2439" s="6" t="str">
        <f>IFERROR(__xludf.DUMMYFUNCTION("""COMPUTED_VALUE"""),"chop")</f>
        <v>chop</v>
      </c>
    </row>
    <row r="2440">
      <c r="B2440" s="6"/>
      <c r="D2440" s="6"/>
      <c r="G2440" s="6"/>
      <c r="M2440" s="6"/>
      <c r="Q2440" s="6" t="str">
        <f>IFERROR(__xludf.DUMMYFUNCTION("""COMPUTED_VALUE"""),"casualties")</f>
        <v>casualties</v>
      </c>
    </row>
    <row r="2441">
      <c r="B2441" s="6"/>
      <c r="D2441" s="6"/>
      <c r="G2441" s="6"/>
      <c r="M2441" s="6"/>
      <c r="Q2441" s="6" t="str">
        <f>IFERROR(__xludf.DUMMYFUNCTION("""COMPUTED_VALUE"""),"expansion")</f>
        <v>expansion</v>
      </c>
    </row>
    <row r="2442">
      <c r="B2442" s="6"/>
      <c r="D2442" s="6"/>
      <c r="G2442" s="6"/>
      <c r="M2442" s="6"/>
      <c r="Q2442" s="6" t="str">
        <f>IFERROR(__xludf.DUMMYFUNCTION("""COMPUTED_VALUE"""),"traces")</f>
        <v>traces</v>
      </c>
    </row>
    <row r="2443">
      <c r="B2443" s="6"/>
      <c r="D2443" s="6"/>
      <c r="G2443" s="6"/>
      <c r="M2443" s="6"/>
      <c r="Q2443" s="6" t="str">
        <f>IFERROR(__xludf.DUMMYFUNCTION("""COMPUTED_VALUE"""),"spells")</f>
        <v>spells</v>
      </c>
    </row>
    <row r="2444">
      <c r="B2444" s="6"/>
      <c r="D2444" s="6"/>
      <c r="G2444" s="6"/>
      <c r="M2444" s="6"/>
      <c r="Q2444" s="6" t="str">
        <f>IFERROR(__xludf.DUMMYFUNCTION("""COMPUTED_VALUE"""),"retrospective")</f>
        <v>retrospective</v>
      </c>
    </row>
    <row r="2445">
      <c r="B2445" s="6"/>
      <c r="D2445" s="6"/>
      <c r="G2445" s="6"/>
      <c r="M2445" s="6"/>
      <c r="Q2445" s="6" t="str">
        <f>IFERROR(__xludf.DUMMYFUNCTION("""COMPUTED_VALUE"""),"paralyzed")</f>
        <v>paralyzed</v>
      </c>
    </row>
    <row r="2446">
      <c r="B2446" s="6"/>
      <c r="D2446" s="6"/>
      <c r="G2446" s="6"/>
      <c r="M2446" s="6"/>
      <c r="Q2446" s="6" t="str">
        <f>IFERROR(__xludf.DUMMYFUNCTION("""COMPUTED_VALUE"""),"werner")</f>
        <v>werner</v>
      </c>
    </row>
    <row r="2447">
      <c r="B2447" s="6"/>
      <c r="D2447" s="6"/>
      <c r="G2447" s="6"/>
      <c r="M2447" s="6"/>
      <c r="Q2447" s="6" t="str">
        <f>IFERROR(__xludf.DUMMYFUNCTION("""COMPUTED_VALUE"""),"brutality")</f>
        <v>brutality</v>
      </c>
    </row>
    <row r="2448">
      <c r="B2448" s="6"/>
      <c r="D2448" s="6"/>
      <c r="G2448" s="6"/>
      <c r="M2448" s="6"/>
      <c r="Q2448" s="6" t="str">
        <f>IFERROR(__xludf.DUMMYFUNCTION("""COMPUTED_VALUE"""),"enabling")</f>
        <v>enabling</v>
      </c>
    </row>
    <row r="2449">
      <c r="B2449" s="6"/>
      <c r="D2449" s="6"/>
      <c r="G2449" s="6"/>
      <c r="M2449" s="6"/>
      <c r="Q2449" s="6" t="str">
        <f>IFERROR(__xludf.DUMMYFUNCTION("""COMPUTED_VALUE"""),"compositions")</f>
        <v>compositions</v>
      </c>
    </row>
    <row r="2450">
      <c r="B2450" s="6"/>
      <c r="D2450" s="6"/>
      <c r="G2450" s="6"/>
      <c r="M2450" s="6"/>
      <c r="Q2450" s="6" t="str">
        <f>IFERROR(__xludf.DUMMYFUNCTION("""COMPUTED_VALUE"""),"impetus")</f>
        <v>impetus</v>
      </c>
    </row>
    <row r="2451">
      <c r="B2451" s="6"/>
      <c r="D2451" s="6"/>
      <c r="G2451" s="6"/>
      <c r="M2451" s="6"/>
      <c r="Q2451" s="6" t="str">
        <f>IFERROR(__xludf.DUMMYFUNCTION("""COMPUTED_VALUE"""),"castro")</f>
        <v>castro</v>
      </c>
    </row>
    <row r="2452">
      <c r="B2452" s="6"/>
      <c r="D2452" s="6"/>
      <c r="G2452" s="6"/>
      <c r="M2452" s="6"/>
      <c r="Q2452" s="6" t="str">
        <f>IFERROR(__xludf.DUMMYFUNCTION("""COMPUTED_VALUE"""),"rose")</f>
        <v>rose</v>
      </c>
    </row>
    <row r="2453">
      <c r="B2453" s="6"/>
      <c r="D2453" s="6"/>
      <c r="G2453" s="6"/>
      <c r="M2453" s="6"/>
      <c r="Q2453" s="6" t="str">
        <f>IFERROR(__xludf.DUMMYFUNCTION("""COMPUTED_VALUE"""),"diver")</f>
        <v>diver</v>
      </c>
    </row>
    <row r="2454">
      <c r="B2454" s="6"/>
      <c r="D2454" s="6"/>
      <c r="G2454" s="6"/>
      <c r="M2454" s="6"/>
      <c r="Q2454" s="6" t="str">
        <f>IFERROR(__xludf.DUMMYFUNCTION("""COMPUTED_VALUE"""),"prologue")</f>
        <v>prologue</v>
      </c>
    </row>
    <row r="2455">
      <c r="B2455" s="6"/>
      <c r="D2455" s="6"/>
      <c r="G2455" s="6"/>
      <c r="M2455" s="6"/>
      <c r="Q2455" s="6" t="str">
        <f>IFERROR(__xludf.DUMMYFUNCTION("""COMPUTED_VALUE"""),"kane")</f>
        <v>kane</v>
      </c>
    </row>
    <row r="2456">
      <c r="B2456" s="6"/>
      <c r="D2456" s="6"/>
      <c r="G2456" s="6"/>
      <c r="M2456" s="6"/>
      <c r="Q2456" s="6" t="str">
        <f>IFERROR(__xludf.DUMMYFUNCTION("""COMPUTED_VALUE"""),"antonia")</f>
        <v>antonia</v>
      </c>
    </row>
    <row r="2457">
      <c r="B2457" s="6"/>
      <c r="D2457" s="6"/>
      <c r="G2457" s="6"/>
      <c r="M2457" s="6"/>
      <c r="Q2457" s="6" t="str">
        <f>IFERROR(__xludf.DUMMYFUNCTION("""COMPUTED_VALUE"""),"confuse")</f>
        <v>confuse</v>
      </c>
    </row>
    <row r="2458">
      <c r="B2458" s="6"/>
      <c r="D2458" s="6"/>
      <c r="G2458" s="6"/>
      <c r="M2458" s="6"/>
      <c r="Q2458" s="6" t="str">
        <f>IFERROR(__xludf.DUMMYFUNCTION("""COMPUTED_VALUE"""),"enlightenment")</f>
        <v>enlightenment</v>
      </c>
    </row>
    <row r="2459">
      <c r="B2459" s="6"/>
      <c r="D2459" s="6"/>
      <c r="G2459" s="6"/>
      <c r="M2459" s="6"/>
      <c r="Q2459" s="6" t="str">
        <f>IFERROR(__xludf.DUMMYFUNCTION("""COMPUTED_VALUE"""),"rudd")</f>
        <v>rudd</v>
      </c>
    </row>
    <row r="2460">
      <c r="B2460" s="6"/>
      <c r="D2460" s="6"/>
      <c r="G2460" s="6"/>
      <c r="M2460" s="6"/>
      <c r="Q2460" s="6" t="str">
        <f>IFERROR(__xludf.DUMMYFUNCTION("""COMPUTED_VALUE"""),"confession")</f>
        <v>confession</v>
      </c>
    </row>
    <row r="2461">
      <c r="B2461" s="6"/>
      <c r="D2461" s="6"/>
      <c r="G2461" s="6"/>
      <c r="M2461" s="6"/>
      <c r="Q2461" s="6" t="str">
        <f>IFERROR(__xludf.DUMMYFUNCTION("""COMPUTED_VALUE"""),"thoughtfully")</f>
        <v>thoughtfully</v>
      </c>
    </row>
    <row r="2462">
      <c r="B2462" s="6"/>
      <c r="D2462" s="6"/>
      <c r="G2462" s="6"/>
      <c r="M2462" s="6"/>
      <c r="Q2462" s="6" t="str">
        <f>IFERROR(__xludf.DUMMYFUNCTION("""COMPUTED_VALUE"""),"liberalism")</f>
        <v>liberalism</v>
      </c>
    </row>
    <row r="2463">
      <c r="B2463" s="6"/>
      <c r="D2463" s="6"/>
      <c r="G2463" s="6"/>
      <c r="M2463" s="6"/>
      <c r="Q2463" s="6" t="str">
        <f>IFERROR(__xludf.DUMMYFUNCTION("""COMPUTED_VALUE"""),"china")</f>
        <v>china</v>
      </c>
    </row>
    <row r="2464">
      <c r="B2464" s="6"/>
      <c r="D2464" s="6"/>
      <c r="G2464" s="6"/>
      <c r="M2464" s="6"/>
      <c r="Q2464" s="6" t="str">
        <f>IFERROR(__xludf.DUMMYFUNCTION("""COMPUTED_VALUE"""),"critically")</f>
        <v>critically</v>
      </c>
    </row>
    <row r="2465">
      <c r="B2465" s="6"/>
      <c r="D2465" s="6"/>
      <c r="G2465" s="6"/>
      <c r="M2465" s="6"/>
      <c r="Q2465" s="6" t="str">
        <f>IFERROR(__xludf.DUMMYFUNCTION("""COMPUTED_VALUE"""),"leigh")</f>
        <v>leigh</v>
      </c>
    </row>
    <row r="2466">
      <c r="B2466" s="6"/>
      <c r="D2466" s="6"/>
      <c r="G2466" s="6"/>
      <c r="M2466" s="6"/>
      <c r="Q2466" s="6" t="str">
        <f>IFERROR(__xludf.DUMMYFUNCTION("""COMPUTED_VALUE"""),"ram")</f>
        <v>ram</v>
      </c>
    </row>
    <row r="2467">
      <c r="B2467" s="6"/>
      <c r="D2467" s="6"/>
      <c r="G2467" s="6"/>
      <c r="M2467" s="6"/>
      <c r="Q2467" s="6" t="str">
        <f>IFERROR(__xludf.DUMMYFUNCTION("""COMPUTED_VALUE"""),"ransom")</f>
        <v>ransom</v>
      </c>
    </row>
    <row r="2468">
      <c r="B2468" s="6"/>
      <c r="D2468" s="6"/>
      <c r="G2468" s="6"/>
      <c r="M2468" s="6"/>
      <c r="Q2468" s="6" t="str">
        <f>IFERROR(__xludf.DUMMYFUNCTION("""COMPUTED_VALUE"""),"lucia")</f>
        <v>lucia</v>
      </c>
    </row>
    <row r="2469">
      <c r="B2469" s="6"/>
      <c r="D2469" s="6"/>
      <c r="G2469" s="6"/>
      <c r="M2469" s="6"/>
      <c r="Q2469" s="6" t="str">
        <f>IFERROR(__xludf.DUMMYFUNCTION("""COMPUTED_VALUE"""),"heartbreak")</f>
        <v>heartbreak</v>
      </c>
    </row>
    <row r="2470">
      <c r="B2470" s="6"/>
      <c r="D2470" s="6"/>
      <c r="G2470" s="6"/>
      <c r="M2470" s="6"/>
      <c r="Q2470" s="6" t="str">
        <f>IFERROR(__xludf.DUMMYFUNCTION("""COMPUTED_VALUE"""),"liner")</f>
        <v>liner</v>
      </c>
    </row>
    <row r="2471">
      <c r="B2471" s="6"/>
      <c r="D2471" s="6"/>
      <c r="G2471" s="6"/>
      <c r="M2471" s="6"/>
      <c r="Q2471" s="6" t="str">
        <f>IFERROR(__xludf.DUMMYFUNCTION("""COMPUTED_VALUE"""),"schultz")</f>
        <v>schultz</v>
      </c>
    </row>
    <row r="2472">
      <c r="B2472" s="6"/>
      <c r="D2472" s="6"/>
      <c r="G2472" s="6"/>
      <c r="M2472" s="6"/>
      <c r="Q2472" s="6" t="str">
        <f>IFERROR(__xludf.DUMMYFUNCTION("""COMPUTED_VALUE"""),"australia")</f>
        <v>australia</v>
      </c>
    </row>
    <row r="2473">
      <c r="B2473" s="6"/>
      <c r="D2473" s="6"/>
      <c r="G2473" s="6"/>
      <c r="M2473" s="6"/>
      <c r="Q2473" s="6" t="str">
        <f>IFERROR(__xludf.DUMMYFUNCTION("""COMPUTED_VALUE"""),"stitch")</f>
        <v>stitch</v>
      </c>
    </row>
    <row r="2474">
      <c r="B2474" s="6"/>
      <c r="D2474" s="6"/>
      <c r="G2474" s="6"/>
      <c r="M2474" s="6"/>
      <c r="Q2474" s="6" t="str">
        <f>IFERROR(__xludf.DUMMYFUNCTION("""COMPUTED_VALUE"""),"partnerships")</f>
        <v>partnerships</v>
      </c>
    </row>
    <row r="2475">
      <c r="B2475" s="6"/>
      <c r="D2475" s="6"/>
      <c r="G2475" s="6"/>
      <c r="M2475" s="6"/>
    </row>
    <row r="2476">
      <c r="B2476" s="6"/>
      <c r="D2476" s="6"/>
      <c r="G2476" s="6"/>
      <c r="M2476" s="6"/>
    </row>
    <row r="2477">
      <c r="B2477" s="6"/>
      <c r="D2477" s="6"/>
      <c r="G2477" s="6"/>
      <c r="M2477" s="6"/>
    </row>
    <row r="2478">
      <c r="B2478" s="6"/>
      <c r="D2478" s="6"/>
      <c r="G2478" s="6"/>
      <c r="M2478" s="6"/>
    </row>
    <row r="2479">
      <c r="B2479" s="6"/>
      <c r="D2479" s="6"/>
      <c r="G2479" s="6"/>
      <c r="M2479" s="6"/>
    </row>
    <row r="2480">
      <c r="B2480" s="6"/>
      <c r="D2480" s="6"/>
      <c r="G2480" s="6"/>
      <c r="M2480" s="6"/>
    </row>
    <row r="2481">
      <c r="B2481" s="6"/>
      <c r="D2481" s="6"/>
      <c r="G2481" s="6"/>
      <c r="M2481" s="6"/>
    </row>
    <row r="2482">
      <c r="B2482" s="6"/>
      <c r="D2482" s="6"/>
      <c r="G2482" s="6"/>
      <c r="M2482" s="6"/>
    </row>
    <row r="2483">
      <c r="B2483" s="6"/>
      <c r="D2483" s="6"/>
      <c r="G2483" s="6"/>
      <c r="M2483" s="6"/>
    </row>
    <row r="2484">
      <c r="B2484" s="6"/>
      <c r="D2484" s="6"/>
      <c r="G2484" s="6"/>
      <c r="M2484" s="6"/>
    </row>
    <row r="2485">
      <c r="B2485" s="6"/>
      <c r="D2485" s="6"/>
      <c r="G2485" s="6"/>
      <c r="M2485" s="6"/>
    </row>
    <row r="2486">
      <c r="B2486" s="6"/>
      <c r="D2486" s="6"/>
      <c r="G2486" s="6"/>
      <c r="M2486" s="6"/>
    </row>
    <row r="2487">
      <c r="B2487" s="6"/>
      <c r="D2487" s="6"/>
      <c r="G2487" s="6"/>
      <c r="M2487" s="6"/>
    </row>
    <row r="2488">
      <c r="B2488" s="6"/>
      <c r="D2488" s="6"/>
      <c r="G2488" s="6"/>
      <c r="M2488" s="6"/>
    </row>
    <row r="2489">
      <c r="B2489" s="6"/>
      <c r="D2489" s="6"/>
      <c r="G2489" s="6"/>
      <c r="M2489" s="6"/>
    </row>
    <row r="2490">
      <c r="B2490" s="6"/>
      <c r="D2490" s="6"/>
      <c r="G2490" s="6"/>
      <c r="M2490" s="6"/>
    </row>
    <row r="2491">
      <c r="B2491" s="6"/>
      <c r="D2491" s="6"/>
      <c r="G2491" s="6"/>
      <c r="M2491" s="6"/>
    </row>
    <row r="2492">
      <c r="B2492" s="6"/>
      <c r="D2492" s="6"/>
      <c r="G2492" s="6"/>
      <c r="M2492" s="6"/>
    </row>
    <row r="2493">
      <c r="B2493" s="6"/>
      <c r="D2493" s="6"/>
      <c r="G2493" s="6"/>
      <c r="M2493" s="6"/>
    </row>
    <row r="2494">
      <c r="B2494" s="6"/>
      <c r="D2494" s="6"/>
      <c r="G2494" s="6"/>
      <c r="M2494" s="6"/>
    </row>
    <row r="2495">
      <c r="B2495" s="6"/>
      <c r="D2495" s="6"/>
      <c r="G2495" s="6"/>
      <c r="M2495" s="6"/>
    </row>
    <row r="2496">
      <c r="B2496" s="6"/>
      <c r="D2496" s="6"/>
      <c r="G2496" s="6"/>
      <c r="M2496" s="6"/>
    </row>
    <row r="2497">
      <c r="B2497" s="6"/>
      <c r="D2497" s="6"/>
      <c r="G2497" s="6"/>
      <c r="M2497" s="6"/>
    </row>
    <row r="2498">
      <c r="B2498" s="6"/>
      <c r="D2498" s="6"/>
      <c r="G2498" s="6"/>
      <c r="M2498" s="6"/>
    </row>
    <row r="2499">
      <c r="B2499" s="6"/>
      <c r="D2499" s="6"/>
      <c r="G2499" s="6"/>
      <c r="M2499" s="6"/>
    </row>
    <row r="2500">
      <c r="B2500" s="6"/>
      <c r="D2500" s="6"/>
      <c r="G2500" s="6"/>
      <c r="M2500" s="6"/>
    </row>
    <row r="2501">
      <c r="B2501" s="6"/>
      <c r="D2501" s="6"/>
      <c r="G2501" s="6"/>
      <c r="M2501" s="6"/>
    </row>
    <row r="2502">
      <c r="B2502" s="6"/>
      <c r="D2502" s="6"/>
      <c r="G2502" s="6"/>
      <c r="M2502" s="6"/>
    </row>
    <row r="2503">
      <c r="B2503" s="6"/>
      <c r="D2503" s="6"/>
      <c r="G2503" s="6"/>
      <c r="M2503" s="6"/>
    </row>
    <row r="2504">
      <c r="B2504" s="6"/>
      <c r="D2504" s="6"/>
      <c r="G2504" s="6"/>
      <c r="M2504" s="6"/>
    </row>
    <row r="2505">
      <c r="B2505" s="6"/>
      <c r="D2505" s="6"/>
      <c r="G2505" s="6"/>
      <c r="M2505" s="6"/>
    </row>
    <row r="2506">
      <c r="B2506" s="6"/>
      <c r="D2506" s="6"/>
      <c r="G2506" s="6"/>
      <c r="M2506" s="6"/>
    </row>
    <row r="2507">
      <c r="B2507" s="6"/>
      <c r="D2507" s="6"/>
      <c r="G2507" s="6"/>
      <c r="M2507" s="6"/>
    </row>
    <row r="2508">
      <c r="B2508" s="6"/>
      <c r="D2508" s="6"/>
      <c r="G2508" s="6"/>
      <c r="M2508" s="6"/>
    </row>
    <row r="2509">
      <c r="B2509" s="6"/>
      <c r="D2509" s="6"/>
      <c r="G2509" s="6"/>
      <c r="M2509" s="6"/>
    </row>
    <row r="2510">
      <c r="B2510" s="6"/>
      <c r="D2510" s="6"/>
      <c r="G2510" s="6"/>
      <c r="M2510" s="6"/>
    </row>
    <row r="2511">
      <c r="B2511" s="6"/>
      <c r="D2511" s="6"/>
      <c r="G2511" s="6"/>
      <c r="M2511" s="6"/>
    </row>
    <row r="2512">
      <c r="B2512" s="6"/>
      <c r="D2512" s="6"/>
      <c r="G2512" s="6"/>
      <c r="M2512" s="6"/>
    </row>
    <row r="2513">
      <c r="B2513" s="6"/>
      <c r="D2513" s="6"/>
      <c r="G2513" s="6"/>
      <c r="M2513" s="6"/>
    </row>
    <row r="2514">
      <c r="B2514" s="6"/>
      <c r="D2514" s="6"/>
      <c r="G2514" s="6"/>
      <c r="M2514" s="6"/>
    </row>
    <row r="2515">
      <c r="B2515" s="6"/>
      <c r="D2515" s="6"/>
      <c r="G2515" s="6"/>
      <c r="M2515" s="6"/>
    </row>
    <row r="2516">
      <c r="B2516" s="6"/>
      <c r="D2516" s="6"/>
      <c r="G2516" s="6"/>
      <c r="M2516" s="6"/>
    </row>
    <row r="2517">
      <c r="B2517" s="6"/>
      <c r="D2517" s="6"/>
      <c r="G2517" s="6"/>
      <c r="M2517" s="6"/>
    </row>
    <row r="2518">
      <c r="B2518" s="6"/>
      <c r="D2518" s="6"/>
      <c r="G2518" s="6"/>
      <c r="M2518" s="6"/>
    </row>
    <row r="2519">
      <c r="B2519" s="6"/>
      <c r="D2519" s="6"/>
      <c r="G2519" s="6"/>
      <c r="M2519" s="6"/>
    </row>
    <row r="2520">
      <c r="B2520" s="6"/>
      <c r="D2520" s="6"/>
      <c r="G2520" s="6"/>
      <c r="M2520" s="6"/>
    </row>
    <row r="2521">
      <c r="B2521" s="6"/>
      <c r="D2521" s="6"/>
      <c r="G2521" s="6"/>
      <c r="M2521" s="6"/>
    </row>
    <row r="2522">
      <c r="B2522" s="6"/>
      <c r="D2522" s="6"/>
      <c r="G2522" s="6"/>
      <c r="M2522" s="6"/>
    </row>
    <row r="2523">
      <c r="B2523" s="6"/>
      <c r="D2523" s="6"/>
      <c r="G2523" s="6"/>
      <c r="M2523" s="6"/>
    </row>
    <row r="2524">
      <c r="B2524" s="6"/>
      <c r="D2524" s="6"/>
      <c r="G2524" s="6"/>
      <c r="M2524" s="6"/>
    </row>
    <row r="2525">
      <c r="B2525" s="6"/>
      <c r="D2525" s="6"/>
      <c r="G2525" s="6"/>
      <c r="M2525" s="6"/>
    </row>
    <row r="2526">
      <c r="B2526" s="6"/>
      <c r="D2526" s="6"/>
      <c r="G2526" s="6"/>
      <c r="M2526" s="6"/>
    </row>
    <row r="2527">
      <c r="B2527" s="6"/>
      <c r="D2527" s="6"/>
      <c r="G2527" s="6"/>
      <c r="M2527" s="6"/>
    </row>
    <row r="2528">
      <c r="B2528" s="6"/>
      <c r="D2528" s="6"/>
      <c r="G2528" s="6"/>
      <c r="M2528" s="6"/>
    </row>
    <row r="2529">
      <c r="B2529" s="6"/>
      <c r="D2529" s="6"/>
      <c r="G2529" s="6"/>
      <c r="M2529" s="6"/>
    </row>
    <row r="2530">
      <c r="B2530" s="6"/>
      <c r="D2530" s="6"/>
      <c r="G2530" s="6"/>
      <c r="M2530" s="6"/>
    </row>
    <row r="2531">
      <c r="B2531" s="6"/>
      <c r="D2531" s="6"/>
      <c r="G2531" s="6"/>
      <c r="M2531" s="6"/>
    </row>
    <row r="2532">
      <c r="B2532" s="6"/>
      <c r="D2532" s="6"/>
      <c r="G2532" s="6"/>
      <c r="M2532" s="6"/>
    </row>
    <row r="2533">
      <c r="B2533" s="6"/>
      <c r="D2533" s="6"/>
      <c r="G2533" s="6"/>
      <c r="M2533" s="6"/>
    </row>
    <row r="2534">
      <c r="B2534" s="6"/>
      <c r="D2534" s="6"/>
      <c r="G2534" s="6"/>
      <c r="M2534" s="6"/>
    </row>
    <row r="2535">
      <c r="B2535" s="6"/>
      <c r="D2535" s="6"/>
      <c r="G2535" s="6"/>
      <c r="M2535" s="6"/>
    </row>
    <row r="2536">
      <c r="B2536" s="6"/>
      <c r="D2536" s="6"/>
      <c r="G2536" s="6"/>
      <c r="M2536" s="6"/>
    </row>
    <row r="2537">
      <c r="B2537" s="6"/>
      <c r="D2537" s="6"/>
      <c r="G2537" s="6"/>
      <c r="M2537" s="6"/>
    </row>
    <row r="2538">
      <c r="B2538" s="6"/>
      <c r="D2538" s="6"/>
      <c r="G2538" s="6"/>
      <c r="M2538" s="6"/>
    </row>
    <row r="2539">
      <c r="B2539" s="6"/>
      <c r="D2539" s="6"/>
      <c r="G2539" s="6"/>
      <c r="M2539" s="6"/>
    </row>
    <row r="2540">
      <c r="B2540" s="6"/>
      <c r="D2540" s="6"/>
      <c r="G2540" s="6"/>
      <c r="M2540" s="6"/>
    </row>
    <row r="2541">
      <c r="B2541" s="6"/>
      <c r="D2541" s="6"/>
      <c r="G2541" s="6"/>
      <c r="M2541" s="6"/>
    </row>
    <row r="2542">
      <c r="B2542" s="6"/>
      <c r="D2542" s="6"/>
      <c r="G2542" s="6"/>
      <c r="M2542" s="6"/>
    </row>
    <row r="2543">
      <c r="B2543" s="6"/>
      <c r="D2543" s="6"/>
      <c r="G2543" s="6"/>
      <c r="M2543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" t="s">
        <v>7190</v>
      </c>
      <c r="B1" s="23" t="s">
        <v>7191</v>
      </c>
      <c r="C1" s="23" t="s">
        <v>7192</v>
      </c>
      <c r="D1" s="23" t="s">
        <v>7193</v>
      </c>
      <c r="E1" s="23" t="s">
        <v>7194</v>
      </c>
      <c r="F1" s="23" t="s">
        <v>7203</v>
      </c>
      <c r="G1" s="24"/>
      <c r="H1" s="23" t="s">
        <v>7204</v>
      </c>
      <c r="I1" s="24"/>
      <c r="J1" s="25"/>
      <c r="K1" s="25"/>
      <c r="L1" s="25"/>
      <c r="M1" s="25"/>
      <c r="N1" s="25"/>
      <c r="O1" s="26"/>
      <c r="P1" s="27"/>
      <c r="Q1" s="25"/>
      <c r="R1" s="27"/>
      <c r="S1" s="27"/>
      <c r="T1" s="27"/>
      <c r="U1" s="27"/>
      <c r="V1" s="27"/>
      <c r="W1" s="27"/>
      <c r="X1" s="27"/>
      <c r="Y1" s="27"/>
      <c r="Z1" s="27"/>
    </row>
    <row r="2">
      <c r="A2" s="28">
        <f>IFERROR(__xludf.DUMMYFUNCTION("COUNTA(new_comparison!A:A)/COUNTA(UNIQUE({Ofc!$A:$A;Ofc!B:B}))"),0.08434151399930867)</f>
        <v>0.084341514</v>
      </c>
      <c r="B2" s="28">
        <f>IFERROR(__xludf.DUMMYFUNCTION("COUNTA(new_comparison!B:B)/COUNTA(UNIQUE({Ofc!$A:$A;Ofc!C:C}))"),0.056910569105691054)</f>
        <v>0.05691056911</v>
      </c>
      <c r="C2" s="28">
        <f>IFERROR(__xludf.DUMMYFUNCTION("COUNTA(new_comparison!C:C)/COUNTA(UNIQUE({Ofc!$A:$A;Ofc!D:D}))"),0.0635663181067694)</f>
        <v>0.06356631811</v>
      </c>
      <c r="D2" s="28">
        <f>IFERROR(__xludf.DUMMYFUNCTION("COUNTA(new_comparison!D:D)/COUNTA(UNIQUE({Ofc!$A:$A;Ofc!E:E}))"),0.018249883013570427)</f>
        <v>0.01824988301</v>
      </c>
      <c r="E2" s="28">
        <f>IFERROR(__xludf.DUMMYFUNCTION("COUNTA(new_comparison!E:E)/COUNTA(UNIQUE({Ofc!$A:$A;Ofc!F:F}))"),0.057319698600645855)</f>
        <v>0.0573196986</v>
      </c>
      <c r="F2" s="29" t="s">
        <v>7205</v>
      </c>
      <c r="G2" s="24"/>
      <c r="H2" s="30" t="s">
        <v>7206</v>
      </c>
      <c r="I2" s="24"/>
      <c r="J2" s="25"/>
      <c r="K2" s="25"/>
      <c r="L2" s="25"/>
      <c r="M2" s="25"/>
      <c r="N2" s="25"/>
      <c r="O2" s="27"/>
      <c r="P2" s="27"/>
      <c r="Q2" s="25"/>
      <c r="R2" s="27"/>
      <c r="S2" s="27"/>
      <c r="T2" s="27"/>
      <c r="U2" s="27"/>
      <c r="V2" s="27"/>
      <c r="W2" s="27"/>
      <c r="X2" s="27"/>
      <c r="Y2" s="27"/>
      <c r="Z2" s="27"/>
    </row>
    <row r="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5"/>
      <c r="R3" s="27"/>
      <c r="S3" s="27"/>
      <c r="T3" s="27"/>
      <c r="U3" s="27"/>
      <c r="V3" s="27"/>
      <c r="W3" s="27"/>
      <c r="X3" s="27"/>
      <c r="Y3" s="27"/>
      <c r="Z3" s="27"/>
    </row>
    <row r="4">
      <c r="A4" s="31" t="s">
        <v>2</v>
      </c>
      <c r="B4" s="31" t="s">
        <v>7195</v>
      </c>
      <c r="C4" s="31" t="s">
        <v>7196</v>
      </c>
      <c r="D4" s="31" t="s">
        <v>6234</v>
      </c>
      <c r="E4" s="31" t="s">
        <v>7197</v>
      </c>
      <c r="F4" s="32" t="s">
        <v>6231</v>
      </c>
      <c r="G4" s="25"/>
      <c r="H4" s="28"/>
      <c r="I4" s="23" t="s">
        <v>7207</v>
      </c>
      <c r="J4" s="23" t="s">
        <v>7208</v>
      </c>
      <c r="K4" s="23" t="s">
        <v>7209</v>
      </c>
      <c r="L4" s="23" t="s">
        <v>7210</v>
      </c>
      <c r="M4" s="23" t="s">
        <v>7211</v>
      </c>
      <c r="N4" s="23" t="s">
        <v>7212</v>
      </c>
      <c r="O4" s="25"/>
      <c r="P4" s="27"/>
      <c r="Q4" s="25"/>
      <c r="R4" s="27"/>
      <c r="S4" s="27"/>
      <c r="T4" s="27"/>
      <c r="U4" s="27"/>
      <c r="V4" s="27"/>
      <c r="W4" s="27"/>
      <c r="X4" s="27"/>
      <c r="Y4" s="27"/>
      <c r="Z4" s="27"/>
    </row>
    <row r="5">
      <c r="A5" s="27">
        <f>IFERROR(__xludf.DUMMYFUNCTION("COUNTA(new_comparison!A:A)/COUNTA(UNIQUE({Ofc!$A:$A;Ofc!B:B}))"),0.08434151399930867)</f>
        <v>0.084341514</v>
      </c>
      <c r="B5" s="27">
        <f>IFERROR(__xludf.DUMMYFUNCTION("COUNTA(new_comparison!G:G)/COUNTA(UNIQUE({Ofc!$B:$B;Ofc!C:C}))"),0.3203840142889038)</f>
        <v>0.3203840143</v>
      </c>
      <c r="C5" s="27">
        <f>IFERROR(__xludf.DUMMYFUNCTION("COUNTA(new_comparison!H:H)/COUNTA(UNIQUE({Ofc!$B:$B;Ofc!D:D}))"),0.4690082644628099)</f>
        <v>0.4690082645</v>
      </c>
      <c r="D5" s="27">
        <f>IFERROR(__xludf.DUMMYFUNCTION("COUNTA(new_comparison!I:I)/COUNTA(UNIQUE({Ofc!$B:$B;Ofc!E:E}))"),0.20111634397348682)</f>
        <v>0.201116344</v>
      </c>
      <c r="E5" s="27">
        <f>IFERROR(__xludf.DUMMYFUNCTION("COUNTA(new_comparison!J:J)/COUNTA(UNIQUE({Ofc!$B:$B;Ofc!F:F}))"),0.396197882912076)</f>
        <v>0.3961978829</v>
      </c>
      <c r="F5" s="33" t="s">
        <v>7213</v>
      </c>
      <c r="G5" s="25"/>
      <c r="H5" s="23" t="s">
        <v>7214</v>
      </c>
      <c r="I5" s="28"/>
      <c r="J5" s="28"/>
      <c r="K5" s="28"/>
      <c r="L5" s="28"/>
      <c r="M5" s="28"/>
      <c r="N5" s="28"/>
      <c r="O5" s="25"/>
      <c r="P5" s="27"/>
      <c r="Q5" s="25"/>
      <c r="R5" s="27"/>
      <c r="S5" s="27"/>
      <c r="T5" s="27"/>
      <c r="U5" s="27"/>
      <c r="V5" s="27"/>
      <c r="W5" s="27"/>
      <c r="X5" s="27"/>
      <c r="Y5" s="27"/>
      <c r="Z5" s="27"/>
    </row>
    <row r="6">
      <c r="A6" s="27"/>
      <c r="B6" s="27"/>
      <c r="C6" s="27"/>
      <c r="D6" s="27"/>
      <c r="E6" s="27"/>
      <c r="F6" s="27"/>
      <c r="G6" s="25"/>
      <c r="H6" s="28"/>
      <c r="I6" s="28">
        <f>AVERAGE(B2:E2)</f>
        <v>0.04901161721</v>
      </c>
      <c r="J6" s="34">
        <f>AVERAGE(A2)</f>
        <v>0.084341514</v>
      </c>
      <c r="K6" s="28">
        <f>AVERAGE(C2,E2)</f>
        <v>0.06044300835</v>
      </c>
      <c r="L6" s="28">
        <f>AVERAGE(A2,B2,D2)</f>
        <v>0.05316732204</v>
      </c>
      <c r="M6" s="28">
        <f>AVERAGE(C2:E2)</f>
        <v>0.04637863324</v>
      </c>
      <c r="N6" s="28">
        <f>AVERAGE(A2:B2)</f>
        <v>0.07062604155</v>
      </c>
      <c r="O6" s="25"/>
      <c r="P6" s="27"/>
      <c r="Q6" s="25"/>
      <c r="R6" s="27"/>
      <c r="S6" s="27"/>
      <c r="T6" s="27"/>
      <c r="U6" s="27"/>
      <c r="V6" s="27"/>
      <c r="W6" s="27"/>
      <c r="X6" s="27"/>
      <c r="Y6" s="27"/>
      <c r="Z6" s="27"/>
    </row>
    <row r="7">
      <c r="A7" s="31" t="s">
        <v>7215</v>
      </c>
      <c r="B7" s="31" t="s">
        <v>9</v>
      </c>
      <c r="C7" s="31" t="s">
        <v>7198</v>
      </c>
      <c r="D7" s="31" t="s">
        <v>7199</v>
      </c>
      <c r="E7" s="31" t="s">
        <v>7200</v>
      </c>
      <c r="F7" s="32" t="s">
        <v>6230</v>
      </c>
      <c r="G7" s="25"/>
      <c r="H7" s="27"/>
      <c r="I7" s="35"/>
      <c r="J7" s="35"/>
      <c r="K7" s="35"/>
      <c r="L7" s="27"/>
      <c r="M7" s="27"/>
      <c r="N7" s="27"/>
      <c r="O7" s="27"/>
      <c r="P7" s="27"/>
      <c r="Q7" s="25"/>
      <c r="R7" s="27"/>
      <c r="S7" s="27"/>
      <c r="T7" s="27"/>
      <c r="U7" s="27"/>
      <c r="V7" s="27"/>
      <c r="W7" s="27"/>
      <c r="X7" s="27"/>
      <c r="Y7" s="27"/>
      <c r="Z7" s="27"/>
    </row>
    <row r="8">
      <c r="A8" s="36">
        <f>IFERROR(__xludf.DUMMYFUNCTION("COUNTA(new_comparison!B:B)/COUNTA(UNIQUE({Ofc!$A:$A;Ofc!C:C}))"),0.056910569105691054)</f>
        <v>0.05691056911</v>
      </c>
      <c r="B8" s="27">
        <f>IFERROR(__xludf.DUMMYFUNCTION("COUNTA(new_comparison!G:G)/COUNTA(UNIQUE({Ofc!$B:$B;Ofc!C:C}))"),0.3203840142889038)</f>
        <v>0.3203840143</v>
      </c>
      <c r="C8" s="36">
        <f>IFERROR(__xludf.DUMMYFUNCTION("COUNTA(new_comparison!L:L)/COUNTA(UNIQUE({Ofc!$C:$C;Ofc!D:D}))"),0.356472029399755)</f>
        <v>0.3564720294</v>
      </c>
      <c r="D8" s="36">
        <f>IFERROR(__xludf.DUMMYFUNCTION("COUNTA(new_comparison!M:M)/COUNTA(UNIQUE({Ofc!$C:$C;Ofc!E:E}))"),0.32226960875208605)</f>
        <v>0.3222696088</v>
      </c>
      <c r="E8" s="36">
        <f>IFERROR(__xludf.DUMMYFUNCTION("COUNTA(new_comparison!N:N)/COUNTA(UNIQUE({Ofc!$C:$C;Ofc!F:F}))"),0.3333996023856859)</f>
        <v>0.3333996024</v>
      </c>
      <c r="F8" s="33" t="s">
        <v>7216</v>
      </c>
      <c r="G8" s="25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/>
      <c r="B9" s="27"/>
      <c r="C9" s="27"/>
      <c r="D9" s="27"/>
      <c r="E9" s="27"/>
      <c r="F9" s="27"/>
      <c r="G9" s="25"/>
      <c r="H9" s="26" t="s">
        <v>7217</v>
      </c>
      <c r="I9" s="26" t="s">
        <v>7218</v>
      </c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31" t="s">
        <v>7219</v>
      </c>
      <c r="B10" s="31" t="s">
        <v>19</v>
      </c>
      <c r="C10" s="31" t="s">
        <v>21</v>
      </c>
      <c r="D10" s="31" t="s">
        <v>20</v>
      </c>
      <c r="E10" s="31" t="s">
        <v>7201</v>
      </c>
      <c r="F10" s="32" t="s">
        <v>18</v>
      </c>
      <c r="G10" s="25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>
        <f>IFERROR(__xludf.DUMMYFUNCTION("COUNTA(new_comparison!C:C)/COUNTA(UNIQUE({Ofc!$A:$A;Ofc!D:D}))"),0.0635663181067694)</f>
        <v>0.06356631811</v>
      </c>
      <c r="B11" s="27">
        <f>IFERROR(__xludf.DUMMYFUNCTION("COUNTA(new_comparison!H:H)/COUNTA(UNIQUE({Ofc!$B:$B;Ofc!D:D}))"),0.4690082644628099)</f>
        <v>0.4690082645</v>
      </c>
      <c r="C11" s="27">
        <f>IFERROR(__xludf.DUMMYFUNCTION("COUNTA(new_comparison!L:L)/COUNTA(UNIQUE({Ofc!$C:$C;Ofc!D:D}))"),0.356472029399755)</f>
        <v>0.3564720294</v>
      </c>
      <c r="D11" s="27">
        <f>IFERROR(__xludf.DUMMYFUNCTION("COUNTA(new_comparison!P:P)/COUNTA(UNIQUE({Ofc!$D:$D;Ofc!E:E}))"),0.2683658170914543)</f>
        <v>0.2683658171</v>
      </c>
      <c r="E11" s="27">
        <f>IFERROR(__xludf.DUMMYFUNCTION("COUNTA(new_comparison!Q:Q)/COUNTA(UNIQUE({Ofc!$D:$D;Ofc!F:F}))"),0.5244859020563918)</f>
        <v>0.5244859021</v>
      </c>
      <c r="F11" s="37" t="s">
        <v>7220</v>
      </c>
      <c r="G11" s="25"/>
      <c r="H11" s="38" t="s">
        <v>7204</v>
      </c>
      <c r="I11" s="38" t="s">
        <v>7204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/>
      <c r="B12" s="27"/>
      <c r="C12" s="27"/>
      <c r="D12" s="27"/>
      <c r="E12" s="27"/>
      <c r="F12" s="27"/>
      <c r="G12" s="25"/>
      <c r="H12" s="38" t="s">
        <v>7214</v>
      </c>
      <c r="I12" s="38" t="s">
        <v>7214</v>
      </c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31" t="s">
        <v>7221</v>
      </c>
      <c r="B13" s="31" t="s">
        <v>16</v>
      </c>
      <c r="C13" s="31" t="s">
        <v>7222</v>
      </c>
      <c r="D13" s="31" t="s">
        <v>7223</v>
      </c>
      <c r="E13" s="31" t="s">
        <v>7202</v>
      </c>
      <c r="F13" s="32" t="s">
        <v>15</v>
      </c>
      <c r="G13" s="25"/>
      <c r="H13" s="39" t="s">
        <v>7224</v>
      </c>
      <c r="I13" s="39" t="s">
        <v>7224</v>
      </c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>
        <f>IFERROR(__xludf.DUMMYFUNCTION("COUNTA(new_comparison!D:D)/COUNTA(UNIQUE({Ofc!$A:$A;Ofc!E:E}))"),0.018249883013570427)</f>
        <v>0.01824988301</v>
      </c>
      <c r="B14" s="27">
        <f>IFERROR(__xludf.DUMMYFUNCTION("COUNTA(new_comparison!I:I)/COUNTA(UNIQUE({Ofc!$B:$B;Ofc!E:E}))"),0.20111634397348682)</f>
        <v>0.201116344</v>
      </c>
      <c r="C14" s="27">
        <f>IFERROR(__xludf.DUMMYFUNCTION("COUNTA(new_comparison!M:M)/COUNTA(UNIQUE({Ofc!$C:$C;Ofc!E:E}))"),0.32226960875208605)</f>
        <v>0.3222696088</v>
      </c>
      <c r="D14" s="27">
        <f>IFERROR(__xludf.DUMMYFUNCTION("COUNTA(new_comparison!P:P)/COUNTA(UNIQUE({Ofc!$D:$D;Ofc!E:E}))"),0.2683658170914543)</f>
        <v>0.2683658171</v>
      </c>
      <c r="E14" s="36">
        <f>IFERROR(__xludf.DUMMYFUNCTION("COUNTA(new_comparison!S:S)/COUNTA(UNIQUE({Ofc!$E:$E;Ofc!F:F}))"),0.3066712049012934)</f>
        <v>0.3066712049</v>
      </c>
      <c r="F14" s="37" t="s">
        <v>7225</v>
      </c>
      <c r="G14" s="25"/>
      <c r="H14" s="39" t="s">
        <v>7226</v>
      </c>
      <c r="I14" s="39" t="s">
        <v>7226</v>
      </c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/>
      <c r="B15" s="27"/>
      <c r="C15" s="27"/>
      <c r="D15" s="27"/>
      <c r="E15" s="27"/>
      <c r="F15" s="27"/>
      <c r="G15" s="25"/>
      <c r="H15" s="25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31" t="s">
        <v>7227</v>
      </c>
      <c r="B16" s="40" t="s">
        <v>7228</v>
      </c>
      <c r="C16" s="40" t="s">
        <v>7229</v>
      </c>
      <c r="D16" s="40" t="s">
        <v>7230</v>
      </c>
      <c r="E16" s="40" t="s">
        <v>7231</v>
      </c>
      <c r="F16" s="32" t="s">
        <v>7232</v>
      </c>
      <c r="G16" s="25"/>
      <c r="H16" s="25"/>
      <c r="I16" s="25"/>
      <c r="J16" s="25"/>
      <c r="K16" s="25"/>
      <c r="L16" s="25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>
        <f>IFERROR(__xludf.DUMMYFUNCTION("COUNTA(new_comparison!E:E)/COUNTA(UNIQUE({Ofc!$A:$A;Ofc!F:F}))"),0.057319698600645855)</f>
        <v>0.0573196986</v>
      </c>
      <c r="B17" s="27">
        <f>IFERROR(__xludf.DUMMYFUNCTION("COUNTA(new_comparison!J:J)/COUNTA(UNIQUE({Ofc!$B:$B;Ofc!F:F}))"),0.396197882912076)</f>
        <v>0.3961978829</v>
      </c>
      <c r="C17" s="27">
        <f>IFERROR(__xludf.DUMMYFUNCTION("COUNTA(new_comparison!N:N)/COUNTA(UNIQUE({Ofc!$C:$C;Ofc!F:F}))"),0.3333996023856859)</f>
        <v>0.3333996024</v>
      </c>
      <c r="D17" s="27">
        <f>IFERROR(__xludf.DUMMYFUNCTION("COUNTA(new_comparison!Q:Q)/COUNTA(UNIQUE({Ofc!$D:$D;Ofc!F:F}))"),0.5244859020563918)</f>
        <v>0.5244859021</v>
      </c>
      <c r="E17" s="27">
        <f>IFERROR(__xludf.DUMMYFUNCTION("COUNTA(new_comparison!S:S)/COUNTA(UNIQUE({Ofc!$E:$E;Ofc!F:F}))"),0.3066712049012934)</f>
        <v>0.3066712049</v>
      </c>
      <c r="F17" s="37" t="s">
        <v>7233</v>
      </c>
      <c r="G17" s="25"/>
      <c r="H17" s="25"/>
      <c r="I17" s="25"/>
      <c r="J17" s="25"/>
      <c r="K17" s="25"/>
      <c r="L17" s="25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41"/>
      <c r="B19" s="42" t="s">
        <v>7190</v>
      </c>
      <c r="C19" s="42" t="s">
        <v>7191</v>
      </c>
      <c r="D19" s="42" t="s">
        <v>7192</v>
      </c>
      <c r="E19" s="42" t="s">
        <v>7193</v>
      </c>
      <c r="F19" s="42" t="s">
        <v>7194</v>
      </c>
      <c r="G19" s="25"/>
      <c r="H19" s="25"/>
      <c r="I19" s="25"/>
      <c r="J19" s="25"/>
      <c r="K19" s="25"/>
      <c r="L19" s="25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43" t="s">
        <v>7234</v>
      </c>
      <c r="B20" s="27">
        <f>60+35*(0.0843415139993087-MIN(A2:E2))/(MAX(A2:E2)-MIN(A2:E2))</f>
        <v>95</v>
      </c>
      <c r="C20" s="27">
        <f>60+35*(0.0569105691056911-MIN(A2:E2))/(MAX(A2:E2)-MIN(A2:E2))</f>
        <v>80.4734547</v>
      </c>
      <c r="D20" s="27">
        <f>60+35*(0.0635663181067694-MIN(A2:E2))/(MAX(A2:E2)-MIN(A2:E2))</f>
        <v>83.9981251</v>
      </c>
      <c r="E20" s="27">
        <f>60+35*(0.0182498830135704-MIN(A2:E2))/(MAX(A2:E2)-MIN(A2:E2))</f>
        <v>60</v>
      </c>
      <c r="F20" s="27">
        <f>60+35*(0.0573196986006459-MIN(A2:E2))/(MAX(A2:E2)-MIN(A2:E2))</f>
        <v>80.69011651</v>
      </c>
      <c r="G20" s="25"/>
      <c r="H20" s="25"/>
      <c r="I20" s="25"/>
      <c r="J20" s="25"/>
      <c r="K20" s="25"/>
      <c r="L20" s="25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3" t="s">
        <v>7190</v>
      </c>
      <c r="B1" s="23" t="s">
        <v>7191</v>
      </c>
      <c r="C1" s="23" t="s">
        <v>7192</v>
      </c>
      <c r="D1" s="23" t="s">
        <v>7193</v>
      </c>
      <c r="E1" s="23" t="s">
        <v>7194</v>
      </c>
      <c r="F1" s="23" t="s">
        <v>7203</v>
      </c>
      <c r="G1" s="24"/>
      <c r="H1" s="23" t="s">
        <v>7204</v>
      </c>
      <c r="I1" s="30"/>
      <c r="J1" s="25"/>
      <c r="K1" s="44"/>
      <c r="L1" s="27"/>
      <c r="M1" s="27"/>
      <c r="N1" s="27"/>
      <c r="O1" s="27"/>
      <c r="P1" s="27"/>
      <c r="Q1" s="25"/>
      <c r="R1" s="27"/>
      <c r="S1" s="27"/>
      <c r="T1" s="27"/>
      <c r="U1" s="27"/>
      <c r="V1" s="27"/>
      <c r="W1" s="27"/>
      <c r="X1" s="27"/>
      <c r="Y1" s="27"/>
      <c r="Z1" s="27"/>
    </row>
    <row r="2">
      <c r="A2" s="28">
        <f>COUNTA(new_comparison!A:A)/MIN(COUNTA(Ofc!B:B),COUNTA(Ofc!$A:$A))</f>
        <v>0.8106312292</v>
      </c>
      <c r="B2" s="28">
        <f>COUNTA(new_comparison!B:B)/MIN(COUNTA(Ofc!C:C),COUNTA(Ofc!$A:$A))</f>
        <v>0.6046511628</v>
      </c>
      <c r="C2" s="28">
        <f>COUNTA(new_comparison!C:C)/MIN(COUNTA(Ofc!D:D),COUNTA(Ofc!$A:$A))</f>
        <v>0.7674418605</v>
      </c>
      <c r="D2" s="28">
        <f>COUNTA(new_comparison!D:D)/MIN(COUNTA(Ofc!E:E),COUNTA(Ofc!$A:$A))</f>
        <v>0.2591362126</v>
      </c>
      <c r="E2" s="28">
        <f>COUNTA(new_comparison!E:E)/MIN(COUNTA(Ofc!F:F),COUNTA(Ofc!$A:$A))</f>
        <v>0.707641196</v>
      </c>
      <c r="F2" s="29" t="s">
        <v>7205</v>
      </c>
      <c r="G2" s="24"/>
      <c r="H2" s="30" t="s">
        <v>7206</v>
      </c>
      <c r="I2" s="28"/>
      <c r="J2" s="25"/>
      <c r="K2" s="27"/>
      <c r="L2" s="27"/>
      <c r="M2" s="27"/>
      <c r="N2" s="27"/>
      <c r="O2" s="27"/>
      <c r="P2" s="27"/>
      <c r="Q2" s="25"/>
      <c r="R2" s="27"/>
      <c r="S2" s="27"/>
      <c r="T2" s="27"/>
      <c r="U2" s="27"/>
      <c r="V2" s="27"/>
      <c r="W2" s="27"/>
      <c r="X2" s="27"/>
      <c r="Y2" s="27"/>
      <c r="Z2" s="27"/>
    </row>
    <row r="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5"/>
      <c r="R3" s="27"/>
      <c r="S3" s="27"/>
      <c r="T3" s="27"/>
      <c r="U3" s="27"/>
      <c r="V3" s="27"/>
      <c r="W3" s="27"/>
      <c r="X3" s="27"/>
      <c r="Y3" s="27"/>
      <c r="Z3" s="27"/>
    </row>
    <row r="4">
      <c r="A4" s="31" t="s">
        <v>2</v>
      </c>
      <c r="B4" s="31" t="s">
        <v>7195</v>
      </c>
      <c r="C4" s="31" t="s">
        <v>7196</v>
      </c>
      <c r="D4" s="31" t="s">
        <v>6234</v>
      </c>
      <c r="E4" s="31" t="s">
        <v>7197</v>
      </c>
      <c r="F4" s="32" t="s">
        <v>6231</v>
      </c>
      <c r="G4" s="25"/>
      <c r="H4" s="28"/>
      <c r="I4" s="23" t="s">
        <v>7207</v>
      </c>
      <c r="J4" s="23" t="s">
        <v>7208</v>
      </c>
      <c r="K4" s="23" t="s">
        <v>7209</v>
      </c>
      <c r="L4" s="23" t="s">
        <v>7210</v>
      </c>
      <c r="M4" s="23" t="s">
        <v>7211</v>
      </c>
      <c r="N4" s="23" t="s">
        <v>7212</v>
      </c>
      <c r="O4" s="25"/>
      <c r="P4" s="27"/>
      <c r="Q4" s="25"/>
      <c r="R4" s="27"/>
      <c r="S4" s="27"/>
      <c r="T4" s="27"/>
      <c r="U4" s="27"/>
      <c r="V4" s="27"/>
      <c r="W4" s="27"/>
      <c r="X4" s="27"/>
      <c r="Y4" s="27"/>
      <c r="Z4" s="27"/>
    </row>
    <row r="5">
      <c r="A5" s="27">
        <f>COUNTA(new_comparison!A:A)/MIN(COUNTA(Ofc!B:B),COUNTA(Ofc!$A:$A))</f>
        <v>0.8106312292</v>
      </c>
      <c r="B5" s="27">
        <f>COUNTA(new_comparison!G:G)/MIN(COUNTA(Ofc!C:C),COUNTA(Ofc!$B:$B))</f>
        <v>0.5061728395</v>
      </c>
      <c r="C5" s="27">
        <f>COUNTA(new_comparison!H:H)/MIN(COUNTA(Ofc!D:D),COUNTA(Ofc!$B:$B))</f>
        <v>0.7206349206</v>
      </c>
      <c r="D5" s="27">
        <f>COUNTA(new_comparison!I:I)/MIN(COUNTA(Ofc!E:E),COUNTA(Ofc!$B:$B))</f>
        <v>0.40670194</v>
      </c>
      <c r="E5" s="27">
        <f>COUNTA(new_comparison!J:J)/MIN(COUNTA(Ofc!F:F),COUNTA(Ofc!$B:$B))</f>
        <v>0.6469135802</v>
      </c>
      <c r="F5" s="33" t="s">
        <v>7235</v>
      </c>
      <c r="G5" s="25"/>
      <c r="H5" s="23" t="s">
        <v>7214</v>
      </c>
      <c r="I5" s="28"/>
      <c r="J5" s="28"/>
      <c r="K5" s="28"/>
      <c r="L5" s="28"/>
      <c r="M5" s="28"/>
      <c r="N5" s="28"/>
      <c r="O5" s="25"/>
      <c r="P5" s="27"/>
      <c r="Q5" s="25"/>
      <c r="R5" s="27"/>
      <c r="S5" s="27"/>
      <c r="T5" s="27"/>
      <c r="U5" s="27"/>
      <c r="V5" s="27"/>
      <c r="W5" s="27"/>
      <c r="X5" s="27"/>
      <c r="Y5" s="27"/>
      <c r="Z5" s="27"/>
    </row>
    <row r="6">
      <c r="A6" s="27"/>
      <c r="B6" s="27"/>
      <c r="C6" s="27"/>
      <c r="D6" s="27"/>
      <c r="E6" s="27"/>
      <c r="F6" s="27"/>
      <c r="G6" s="25"/>
      <c r="H6" s="28"/>
      <c r="I6" s="28">
        <f>AVERAGE(B2:E2)</f>
        <v>0.584717608</v>
      </c>
      <c r="J6" s="34">
        <f>AVERAGE(A2)</f>
        <v>0.8106312292</v>
      </c>
      <c r="K6" s="28">
        <f>AVERAGE(C2,E2)</f>
        <v>0.7375415282</v>
      </c>
      <c r="L6" s="28">
        <f>AVERAGE(A2,B2,D2)</f>
        <v>0.5581395349</v>
      </c>
      <c r="M6" s="28">
        <f>AVERAGE(C2:E2)</f>
        <v>0.5780730897</v>
      </c>
      <c r="N6" s="28">
        <f>AVERAGE(A2:B2)</f>
        <v>0.707641196</v>
      </c>
      <c r="O6" s="25"/>
      <c r="P6" s="27"/>
      <c r="Q6" s="25"/>
      <c r="R6" s="27"/>
      <c r="S6" s="27"/>
      <c r="T6" s="27"/>
      <c r="U6" s="27"/>
      <c r="V6" s="27"/>
      <c r="W6" s="27"/>
      <c r="X6" s="27"/>
      <c r="Y6" s="27"/>
      <c r="Z6" s="27"/>
    </row>
    <row r="7">
      <c r="A7" s="31" t="s">
        <v>7215</v>
      </c>
      <c r="B7" s="31" t="s">
        <v>9</v>
      </c>
      <c r="C7" s="31" t="s">
        <v>7198</v>
      </c>
      <c r="D7" s="31" t="s">
        <v>7199</v>
      </c>
      <c r="E7" s="31" t="s">
        <v>7200</v>
      </c>
      <c r="F7" s="32" t="s">
        <v>6230</v>
      </c>
      <c r="G7" s="25"/>
      <c r="H7" s="27"/>
      <c r="I7" s="27"/>
      <c r="J7" s="27"/>
      <c r="K7" s="27"/>
      <c r="L7" s="27"/>
      <c r="M7" s="27"/>
      <c r="N7" s="27"/>
      <c r="O7" s="27"/>
      <c r="P7" s="27"/>
      <c r="Q7" s="25"/>
      <c r="R7" s="27"/>
      <c r="S7" s="27"/>
      <c r="T7" s="27"/>
      <c r="U7" s="27"/>
      <c r="V7" s="27"/>
      <c r="W7" s="27"/>
      <c r="X7" s="27"/>
      <c r="Y7" s="27"/>
      <c r="Z7" s="27"/>
    </row>
    <row r="8">
      <c r="A8" s="36">
        <f>COUNTA(new_comparison!B:B)/MIN(COUNTA(Ofc!C:C),COUNTA(Ofc!$A:$A))</f>
        <v>0.6046511628</v>
      </c>
      <c r="B8" s="27">
        <f>COUNTA(new_comparison!G:G)/MIN(COUNTA(Ofc!C:C),COUNTA(Ofc!$B:$B))</f>
        <v>0.5061728395</v>
      </c>
      <c r="C8" s="36">
        <f>COUNTA(new_comparison!L:L)/MIN(COUNTA(Ofc!D:D),COUNTA(Ofc!$C:$C))</f>
        <v>0.567251462</v>
      </c>
      <c r="D8" s="36">
        <f>COUNTA(new_comparison!M:M)/MIN(COUNTA(Ofc!E:E),COUNTA(Ofc!$C:$C))</f>
        <v>0.5646523717</v>
      </c>
      <c r="E8" s="36">
        <f>COUNTA(new_comparison!N:N)/MIN(COUNTA(Ofc!F:F),COUNTA(Ofc!$C:$C))</f>
        <v>0.544834308</v>
      </c>
      <c r="F8" s="33" t="s">
        <v>7236</v>
      </c>
      <c r="G8" s="25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/>
      <c r="B9" s="27"/>
      <c r="C9" s="27"/>
      <c r="D9" s="27"/>
      <c r="E9" s="27"/>
      <c r="F9" s="27"/>
      <c r="G9" s="25"/>
      <c r="H9" s="26" t="s">
        <v>7217</v>
      </c>
      <c r="I9" s="26" t="s">
        <v>7218</v>
      </c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31" t="s">
        <v>7219</v>
      </c>
      <c r="B10" s="31" t="s">
        <v>19</v>
      </c>
      <c r="C10" s="31" t="s">
        <v>21</v>
      </c>
      <c r="D10" s="31" t="s">
        <v>20</v>
      </c>
      <c r="E10" s="31" t="s">
        <v>7201</v>
      </c>
      <c r="F10" s="32" t="s">
        <v>18</v>
      </c>
      <c r="G10" s="25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>
        <f>COUNTA(new_comparison!C:C)/MIN(COUNTA(Ofc!D:D),COUNTA(Ofc!$A:$A))</f>
        <v>0.7674418605</v>
      </c>
      <c r="B11" s="27">
        <f>COUNTA(new_comparison!H:H)/MIN(COUNTA(Ofc!D:D),COUNTA(Ofc!$B:$B))</f>
        <v>0.7206349206</v>
      </c>
      <c r="C11" s="27">
        <f>COUNTA(new_comparison!L:L)/MIN(COUNTA(Ofc!D:D),COUNTA(Ofc!$C:$C))</f>
        <v>0.567251462</v>
      </c>
      <c r="D11" s="27">
        <f>COUNTA(new_comparison!P:P)/MIN(COUNTA(Ofc!E:E),COUNTA(Ofc!$D:$D))</f>
        <v>0.4521470671</v>
      </c>
      <c r="E11" s="27">
        <f>COUNTA(new_comparison!Q:Q)/MIN(COUNTA(Ofc!F:F),COUNTA(Ofc!$D:$D))</f>
        <v>0.6943586865</v>
      </c>
      <c r="F11" s="37" t="s">
        <v>7237</v>
      </c>
      <c r="G11" s="25"/>
      <c r="H11" s="38" t="s">
        <v>7204</v>
      </c>
      <c r="I11" s="38" t="s">
        <v>7204</v>
      </c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/>
      <c r="B12" s="27"/>
      <c r="C12" s="27"/>
      <c r="D12" s="27"/>
      <c r="E12" s="27"/>
      <c r="F12" s="27"/>
      <c r="G12" s="25"/>
      <c r="H12" s="38" t="s">
        <v>7214</v>
      </c>
      <c r="I12" s="38" t="s">
        <v>7214</v>
      </c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31" t="s">
        <v>7221</v>
      </c>
      <c r="B13" s="31" t="s">
        <v>16</v>
      </c>
      <c r="C13" s="31" t="s">
        <v>7222</v>
      </c>
      <c r="D13" s="31" t="s">
        <v>7223</v>
      </c>
      <c r="E13" s="31" t="s">
        <v>7202</v>
      </c>
      <c r="F13" s="32" t="s">
        <v>15</v>
      </c>
      <c r="G13" s="25"/>
      <c r="H13" s="39" t="s">
        <v>7224</v>
      </c>
      <c r="I13" s="39" t="s">
        <v>7224</v>
      </c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>
        <f>COUNTA(new_comparison!D:D)/MIN(COUNTA(Ofc!E:E),COUNTA(Ofc!$A:$A))</f>
        <v>0.2591362126</v>
      </c>
      <c r="B14" s="27">
        <f>COUNTA(new_comparison!I:I)/MIN(COUNTA(Ofc!E:E),COUNTA(Ofc!$B:$B))</f>
        <v>0.40670194</v>
      </c>
      <c r="C14" s="27">
        <f>COUNTA(new_comparison!M:M)/MIN(COUNTA(Ofc!E:E),COUNTA(Ofc!$C:$C))</f>
        <v>0.5646523717</v>
      </c>
      <c r="D14" s="27">
        <f>COUNTA(new_comparison!P:P)/MIN(COUNTA(Ofc!E:E),COUNTA(Ofc!$D:$D))</f>
        <v>0.4521470671</v>
      </c>
      <c r="E14" s="36">
        <f>COUNTA(new_comparison!S:S)/MIN(COUNTA(Ofc!F:F),COUNTA(Ofc!$E:$E))</f>
        <v>0.4968293355</v>
      </c>
      <c r="F14" s="37" t="s">
        <v>7225</v>
      </c>
      <c r="G14" s="25"/>
      <c r="H14" s="39" t="s">
        <v>7226</v>
      </c>
      <c r="I14" s="39" t="s">
        <v>7226</v>
      </c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/>
      <c r="B15" s="27"/>
      <c r="C15" s="27"/>
      <c r="D15" s="27"/>
      <c r="E15" s="27"/>
      <c r="F15" s="27"/>
      <c r="G15" s="25"/>
      <c r="H15" s="25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31" t="s">
        <v>7227</v>
      </c>
      <c r="B16" s="40" t="s">
        <v>7228</v>
      </c>
      <c r="C16" s="40" t="s">
        <v>7229</v>
      </c>
      <c r="D16" s="40" t="s">
        <v>7230</v>
      </c>
      <c r="E16" s="40" t="s">
        <v>7231</v>
      </c>
      <c r="F16" s="32" t="s">
        <v>7232</v>
      </c>
      <c r="G16" s="25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>
        <f>COUNTA(new_comparison!E:E)/MIN(COUNTA(Ofc!F:F),COUNTA(Ofc!$A:$A))</f>
        <v>0.707641196</v>
      </c>
      <c r="B17" s="27">
        <f>COUNTA(new_comparison!J:J)/MIN(COUNTA(Ofc!F:F),COUNTA(Ofc!$B:$B))</f>
        <v>0.6469135802</v>
      </c>
      <c r="C17" s="27">
        <f>COUNTA(new_comparison!N:N)/MIN(COUNTA(Ofc!F:F),COUNTA(Ofc!$C:$C))</f>
        <v>0.544834308</v>
      </c>
      <c r="D17" s="27">
        <f>COUNTA(new_comparison!Q:Q)/MIN(COUNTA(Ofc!F:F),COUNTA(Ofc!$D:$D))</f>
        <v>0.6943586865</v>
      </c>
      <c r="E17" s="27">
        <f>COUNTA(new_comparison!S:S)/MIN(COUNTA(Ofc!F:F),COUNTA(Ofc!$E:$E))</f>
        <v>0.4968293355</v>
      </c>
      <c r="F17" s="37" t="s">
        <v>7238</v>
      </c>
      <c r="G17" s="25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7.25"/>
    <col customWidth="1" min="3" max="3" width="14.75"/>
    <col customWidth="1" min="4" max="5" width="18.13"/>
    <col customWidth="1" min="10" max="11" width="16.5"/>
    <col customWidth="1" min="12" max="13" width="18.5"/>
    <col customWidth="1" min="21" max="21" width="18.25"/>
    <col customWidth="1" min="28" max="29" width="17.63"/>
    <col customWidth="1" min="30" max="30" width="13.5"/>
    <col customWidth="1" min="36" max="36" width="17.13"/>
    <col customWidth="1" min="37" max="37" width="20.25"/>
    <col customWidth="1" min="43" max="43" width="16.75"/>
    <col customWidth="1" min="44" max="44" width="18.5"/>
  </cols>
  <sheetData>
    <row r="1">
      <c r="A1" s="45" t="s">
        <v>0</v>
      </c>
      <c r="B1" s="46" t="s">
        <v>7239</v>
      </c>
      <c r="C1" s="46" t="s">
        <v>7240</v>
      </c>
      <c r="D1" s="46" t="s">
        <v>7241</v>
      </c>
      <c r="E1" s="46" t="s">
        <v>7242</v>
      </c>
      <c r="F1" s="46" t="s">
        <v>7243</v>
      </c>
      <c r="G1" s="46" t="s">
        <v>7244</v>
      </c>
      <c r="H1" s="47" t="s">
        <v>6272</v>
      </c>
      <c r="I1" s="47"/>
      <c r="J1" s="46" t="s">
        <v>7245</v>
      </c>
      <c r="K1" s="46" t="s">
        <v>7246</v>
      </c>
      <c r="L1" s="46" t="s">
        <v>7241</v>
      </c>
      <c r="M1" s="46" t="s">
        <v>7242</v>
      </c>
      <c r="N1" s="46" t="s">
        <v>7243</v>
      </c>
      <c r="O1" s="46" t="s">
        <v>7244</v>
      </c>
      <c r="P1" s="48" t="s">
        <v>6271</v>
      </c>
      <c r="Q1" s="49"/>
      <c r="R1" s="46" t="s">
        <v>7247</v>
      </c>
      <c r="S1" s="46" t="s">
        <v>7248</v>
      </c>
      <c r="T1" s="46" t="s">
        <v>7241</v>
      </c>
      <c r="U1" s="46" t="s">
        <v>7242</v>
      </c>
      <c r="V1" s="46" t="s">
        <v>7243</v>
      </c>
      <c r="W1" s="46" t="s">
        <v>7244</v>
      </c>
      <c r="X1" s="48" t="s">
        <v>6273</v>
      </c>
      <c r="Y1" s="49"/>
      <c r="Z1" s="46" t="s">
        <v>7249</v>
      </c>
      <c r="AA1" s="46" t="s">
        <v>7250</v>
      </c>
      <c r="AB1" s="46" t="s">
        <v>7241</v>
      </c>
      <c r="AC1" s="46" t="s">
        <v>7242</v>
      </c>
      <c r="AD1" s="46" t="s">
        <v>7243</v>
      </c>
      <c r="AE1" s="46" t="s">
        <v>7244</v>
      </c>
      <c r="AF1" s="48" t="s">
        <v>6269</v>
      </c>
      <c r="AG1" s="49"/>
      <c r="AH1" s="46" t="s">
        <v>7251</v>
      </c>
      <c r="AI1" s="46" t="s">
        <v>7252</v>
      </c>
      <c r="AJ1" s="46" t="s">
        <v>7241</v>
      </c>
      <c r="AK1" s="46" t="s">
        <v>7242</v>
      </c>
      <c r="AL1" s="46" t="s">
        <v>7243</v>
      </c>
      <c r="AM1" s="46" t="s">
        <v>7244</v>
      </c>
      <c r="AN1" s="48" t="s">
        <v>6270</v>
      </c>
      <c r="AP1" s="50"/>
      <c r="AQ1" s="46"/>
      <c r="AR1" s="46"/>
      <c r="AS1" s="46"/>
      <c r="AT1" s="46"/>
    </row>
    <row r="2">
      <c r="A2" s="51" t="s">
        <v>28</v>
      </c>
      <c r="B2" s="50" t="s">
        <v>35</v>
      </c>
      <c r="C2" s="50" t="s">
        <v>46</v>
      </c>
      <c r="D2" s="52" t="str">
        <f>IFERROR(__xludf.DUMMYFUNCTION("filter(C:C, MATCH(C:C,B:B , false))"),"new")</f>
        <v>new</v>
      </c>
      <c r="E2" s="52" t="str">
        <f>IFERROR(__xludf.DUMMYFUNCTION("filter(A:A, MATCH(A:A,B:B , false))"),"touching")</f>
        <v>touching</v>
      </c>
      <c r="F2" s="52" t="str">
        <f>IFERROR(__xludf.DUMMYFUNCTION("filter(B2:B4552, iserror(MATCH(B2:B4552, C2:C4552, false)))"),"tech")</f>
        <v>tech</v>
      </c>
      <c r="G2" s="53" t="str">
        <f>IFERROR(__xludf.DUMMYFUNCTION("filter(C2:C4552, iserror(MATCH(C2:C4552, B:B, false)))"),"units")</f>
        <v>units</v>
      </c>
      <c r="H2" s="54" t="str">
        <f t="shared" ref="H2:H4050" si="1">CONCAT(B2,",")</f>
        <v>one,</v>
      </c>
      <c r="I2" s="54"/>
      <c r="J2" s="50" t="s">
        <v>1021</v>
      </c>
      <c r="K2" s="50" t="s">
        <v>30</v>
      </c>
      <c r="L2" s="52" t="str">
        <f>IFERROR(__xludf.DUMMYFUNCTION("filter(J:J, MATCH(J:J,K:K , false))"),"?")</f>
        <v>?</v>
      </c>
      <c r="M2" s="52" t="str">
        <f>IFERROR(__xludf.DUMMYFUNCTION("filter(A:A, MATCH(A:A,L:L , false))"),"depressed")</f>
        <v>depressed</v>
      </c>
      <c r="N2" s="52" t="str">
        <f>IFERROR(__xludf.DUMMYFUNCTION("filter(J2:J4552, iserror(MATCH(J2:J4552, K2:K4552, false)))"),"an")</f>
        <v>an</v>
      </c>
      <c r="O2" s="52" t="str">
        <f>IFERROR(__xludf.DUMMYFUNCTION("filter(K2:K4552, iserror(MATCH(K2:K4552, J2:J4552, false)))"),"characters")</f>
        <v>characters</v>
      </c>
      <c r="P2" s="49" t="str">
        <f t="shared" ref="P2:P3563" si="2">CONCAT(J2,",")</f>
        <v>?,</v>
      </c>
      <c r="Q2" s="49"/>
      <c r="R2" s="50" t="s">
        <v>6283</v>
      </c>
      <c r="S2" s="55" t="s">
        <v>30</v>
      </c>
      <c r="T2" s="52" t="str">
        <f>IFERROR(__xludf.DUMMYFUNCTION("filter(R:R, MATCH(R:R,S:S , false))"),"go")</f>
        <v>go</v>
      </c>
      <c r="U2" s="52" t="str">
        <f>IFERROR(__xludf.DUMMYFUNCTION("filter(A:A, MATCH(A:A,R:R , false))"),"superficial")</f>
        <v>superficial</v>
      </c>
      <c r="V2" s="52" t="str">
        <f>IFERROR(__xludf.DUMMYFUNCTION("filter(R2:R4552, iserror(MATCH(R2:R4552, S2:S4552, false)))"),"they")</f>
        <v>they</v>
      </c>
      <c r="W2" s="52" t="str">
        <f>IFERROR(__xludf.DUMMYFUNCTION("filter(S2:S4552, iserror(MATCH(S2:S4552, R2:R4552, false)))"),"nature")</f>
        <v>nature</v>
      </c>
      <c r="X2" s="49" t="str">
        <f t="shared" ref="X2:X3627" si="3">CONCAT(R2,",")</f>
        <v>they,</v>
      </c>
      <c r="Y2" s="49"/>
      <c r="Z2" s="1" t="s">
        <v>253</v>
      </c>
      <c r="AA2" s="1" t="s">
        <v>30</v>
      </c>
      <c r="AB2" s="52" t="str">
        <f>IFERROR(__xludf.DUMMYFUNCTION("filter(Z:Z, MATCH(Z:Z,AA:AA , false))"),"has")</f>
        <v>has</v>
      </c>
      <c r="AC2" s="52" t="str">
        <f>IFERROR(__xludf.DUMMYFUNCTION("filter(A:A, MATCH(A:A,Z:Z , false))"),"superficial")</f>
        <v>superficial</v>
      </c>
      <c r="AD2" s="52" t="str">
        <f>IFERROR(__xludf.DUMMYFUNCTION("filter(J2:J4552, iserror(MATCH(J2:J4552, K2:K4552, false)))"),"an")</f>
        <v>an</v>
      </c>
      <c r="AE2" s="52" t="str">
        <f>IFERROR(__xludf.DUMMYFUNCTION("filter(K2:K4552, iserror(MATCH(K2:K4552, J2:J4552, false)))"),"characters")</f>
        <v>characters</v>
      </c>
      <c r="AF2" s="49" t="str">
        <f t="shared" ref="AF2:AF2835" si="4">CONCAT(Z2,",")</f>
        <v>with,</v>
      </c>
      <c r="AG2" s="49"/>
      <c r="AH2" s="1" t="s">
        <v>815</v>
      </c>
      <c r="AI2" s="1" t="s">
        <v>39</v>
      </c>
      <c r="AJ2" s="52" t="str">
        <f>IFERROR(__xludf.DUMMYFUNCTION("filter(AH:AH, MATCH(AH:AH,AI:AI , false))"),"(")</f>
        <v>(</v>
      </c>
      <c r="AK2" s="52" t="str">
        <f>IFERROR(__xludf.DUMMYFUNCTION("filter(A:A, MATCH(A:A,AH:AH , false))"),"touching")</f>
        <v>touching</v>
      </c>
      <c r="AL2" s="52" t="str">
        <f>IFERROR(__xludf.DUMMYFUNCTION("filter(AH2:AH4552, iserror(MATCH(AH2:AH4552, AI2:AI4552, false)))"),"review")</f>
        <v>review</v>
      </c>
      <c r="AM2" s="52" t="str">
        <f>IFERROR(__xludf.DUMMYFUNCTION("filter(AI2:AI4552, iserror(MATCH(AI2:AI4552, AH2:AH4552, false)))"),"units")</f>
        <v>units</v>
      </c>
      <c r="AN2" s="52" t="str">
        <f t="shared" ref="AN2:AN3354" si="5">CONCAT(AH2,",")</f>
        <v>(,</v>
      </c>
      <c r="AQ2" s="52"/>
      <c r="AR2" s="53"/>
      <c r="AS2" s="52"/>
      <c r="AT2" s="52"/>
    </row>
    <row r="3">
      <c r="A3" s="51" t="s">
        <v>37</v>
      </c>
      <c r="B3" s="50" t="s">
        <v>324</v>
      </c>
      <c r="C3" s="50" t="s">
        <v>4981</v>
      </c>
      <c r="D3" s="49" t="str">
        <f>IFERROR(__xludf.DUMMYFUNCTION("""COMPUTED_VALUE"""),"hide")</f>
        <v>hide</v>
      </c>
      <c r="E3" s="49" t="str">
        <f>IFERROR(__xludf.DUMMYFUNCTION("""COMPUTED_VALUE"""),"wisdom")</f>
        <v>wisdom</v>
      </c>
      <c r="F3" s="49" t="str">
        <f>IFERROR(__xludf.DUMMYFUNCTION("""COMPUTED_VALUE"""),"virus")</f>
        <v>virus</v>
      </c>
      <c r="G3" s="49" t="str">
        <f>IFERROR(__xludf.DUMMYFUNCTION("""COMPUTED_VALUE"""),"swimming")</f>
        <v>swimming</v>
      </c>
      <c r="H3" s="54" t="str">
        <f t="shared" si="1"/>
        <v>two,</v>
      </c>
      <c r="I3" s="50"/>
      <c r="J3" s="50" t="s">
        <v>68</v>
      </c>
      <c r="K3" s="50" t="s">
        <v>46</v>
      </c>
      <c r="L3" s="49" t="str">
        <f>IFERROR(__xludf.DUMMYFUNCTION("""COMPUTED_VALUE"""),"and")</f>
        <v>and</v>
      </c>
      <c r="M3" s="49" t="str">
        <f>IFERROR(__xludf.DUMMYFUNCTION("""COMPUTED_VALUE"""),"redundant")</f>
        <v>redundant</v>
      </c>
      <c r="N3" s="49" t="str">
        <f>IFERROR(__xludf.DUMMYFUNCTION("""COMPUTED_VALUE"""),"a")</f>
        <v>a</v>
      </c>
      <c r="O3" s="49" t="str">
        <f>IFERROR(__xludf.DUMMYFUNCTION("""COMPUTED_VALUE"""),"worst")</f>
        <v>worst</v>
      </c>
      <c r="P3" s="49" t="str">
        <f t="shared" si="2"/>
        <v>and,</v>
      </c>
      <c r="Q3" s="49"/>
      <c r="R3" s="50" t="s">
        <v>1349</v>
      </c>
      <c r="S3" s="55" t="s">
        <v>46</v>
      </c>
      <c r="T3" s="49" t="str">
        <f>IFERROR(__xludf.DUMMYFUNCTION("""COMPUTED_VALUE"""),"and")</f>
        <v>and</v>
      </c>
      <c r="U3" s="49" t="str">
        <f>IFERROR(__xludf.DUMMYFUNCTION("""COMPUTED_VALUE"""),"redundant")</f>
        <v>redundant</v>
      </c>
      <c r="V3" s="49" t="str">
        <f>IFERROR(__xludf.DUMMYFUNCTION("""COMPUTED_VALUE"""),"into")</f>
        <v>into</v>
      </c>
      <c r="W3" s="49" t="str">
        <f>IFERROR(__xludf.DUMMYFUNCTION("""COMPUTED_VALUE"""),"characters")</f>
        <v>characters</v>
      </c>
      <c r="X3" s="49" t="str">
        <f t="shared" si="3"/>
        <v>into,</v>
      </c>
      <c r="Y3" s="49"/>
      <c r="Z3" s="1" t="s">
        <v>388</v>
      </c>
      <c r="AA3" s="1" t="s">
        <v>39</v>
      </c>
      <c r="AB3" s="49" t="str">
        <f>IFERROR(__xludf.DUMMYFUNCTION("""COMPUTED_VALUE"""),"and")</f>
        <v>and</v>
      </c>
      <c r="AC3" s="49" t="str">
        <f>IFERROR(__xludf.DUMMYFUNCTION("""COMPUTED_VALUE"""),"redundant")</f>
        <v>redundant</v>
      </c>
      <c r="AD3" s="49" t="str">
        <f>IFERROR(__xludf.DUMMYFUNCTION("""COMPUTED_VALUE"""),"a")</f>
        <v>a</v>
      </c>
      <c r="AE3" s="49" t="str">
        <f>IFERROR(__xludf.DUMMYFUNCTION("""COMPUTED_VALUE"""),"worst")</f>
        <v>worst</v>
      </c>
      <c r="AF3" s="49" t="str">
        <f t="shared" si="4"/>
        <v>his,</v>
      </c>
      <c r="AG3" s="49"/>
      <c r="AH3" s="1" t="s">
        <v>435</v>
      </c>
      <c r="AI3" s="1" t="s">
        <v>58</v>
      </c>
      <c r="AJ3" s="6" t="str">
        <f>IFERROR(__xludf.DUMMYFUNCTION("""COMPUTED_VALUE"""),",")</f>
        <v>,</v>
      </c>
      <c r="AK3" s="53" t="str">
        <f>IFERROR(__xludf.DUMMYFUNCTION("""COMPUTED_VALUE"""),"reveals")</f>
        <v>reveals</v>
      </c>
      <c r="AL3" s="49" t="str">
        <f>IFERROR(__xludf.DUMMYFUNCTION("""COMPUTED_VALUE"""),"partner")</f>
        <v>partner</v>
      </c>
      <c r="AM3" s="49" t="str">
        <f>IFERROR(__xludf.DUMMYFUNCTION("""COMPUTED_VALUE"""),"swimming")</f>
        <v>swimming</v>
      </c>
      <c r="AN3" s="52" t="str">
        <f t="shared" si="5"/>
        <v>,,</v>
      </c>
    </row>
    <row r="4">
      <c r="A4" s="51" t="s">
        <v>47</v>
      </c>
      <c r="B4" s="50" t="s">
        <v>156</v>
      </c>
      <c r="C4" s="50" t="s">
        <v>49</v>
      </c>
      <c r="D4" s="49" t="str">
        <f>IFERROR(__xludf.DUMMYFUNCTION("""COMPUTED_VALUE"""),"contains")</f>
        <v>contains</v>
      </c>
      <c r="E4" s="49" t="str">
        <f>IFERROR(__xludf.DUMMYFUNCTION("""COMPUTED_VALUE"""),"reveals")</f>
        <v>reveals</v>
      </c>
      <c r="F4" s="49" t="str">
        <f>IFERROR(__xludf.DUMMYFUNCTION("""COMPUTED_VALUE"""),"mouse")</f>
        <v>mouse</v>
      </c>
      <c r="G4" s="49" t="str">
        <f>IFERROR(__xludf.DUMMYFUNCTION("""COMPUTED_VALUE"""),"camps")</f>
        <v>camps</v>
      </c>
      <c r="H4" s="54" t="str">
        <f t="shared" si="1"/>
        <v>even,</v>
      </c>
      <c r="I4" s="50"/>
      <c r="J4" s="50" t="s">
        <v>253</v>
      </c>
      <c r="K4" s="50" t="s">
        <v>45</v>
      </c>
      <c r="L4" s="49" t="str">
        <f>IFERROR(__xludf.DUMMYFUNCTION("""COMPUTED_VALUE"""),"with")</f>
        <v>with</v>
      </c>
      <c r="M4" s="49" t="str">
        <f>IFERROR(__xludf.DUMMYFUNCTION("""COMPUTED_VALUE"""),"succeeds")</f>
        <v>succeeds</v>
      </c>
      <c r="N4" s="49" t="str">
        <f>IFERROR(__xludf.DUMMYFUNCTION("""COMPUTED_VALUE"""),",")</f>
        <v>,</v>
      </c>
      <c r="O4" s="49" t="str">
        <f>IFERROR(__xludf.DUMMYFUNCTION("""COMPUTED_VALUE"""),"superficial")</f>
        <v>superficial</v>
      </c>
      <c r="P4" s="49" t="str">
        <f t="shared" si="2"/>
        <v>with,</v>
      </c>
      <c r="Q4" s="49"/>
      <c r="R4" s="50" t="s">
        <v>724</v>
      </c>
      <c r="S4" s="55" t="s">
        <v>58</v>
      </c>
      <c r="T4" s="49" t="str">
        <f>IFERROR(__xludf.DUMMYFUNCTION("""COMPUTED_VALUE"""),"one")</f>
        <v>one</v>
      </c>
      <c r="U4" s="49" t="str">
        <f>IFERROR(__xludf.DUMMYFUNCTION("""COMPUTED_VALUE"""),"recycled")</f>
        <v>recycled</v>
      </c>
      <c r="V4" s="49" t="str">
        <f>IFERROR(__xludf.DUMMYFUNCTION("""COMPUTED_VALUE"""),"on")</f>
        <v>on</v>
      </c>
      <c r="W4" s="49" t="str">
        <f>IFERROR(__xludf.DUMMYFUNCTION("""COMPUTED_VALUE"""),"same")</f>
        <v>same</v>
      </c>
      <c r="X4" s="49" t="str">
        <f t="shared" si="3"/>
        <v>go,</v>
      </c>
      <c r="Y4" s="49"/>
      <c r="Z4" s="1" t="s">
        <v>288</v>
      </c>
      <c r="AA4" s="1" t="s">
        <v>32</v>
      </c>
      <c r="AB4" s="49" t="str">
        <f>IFERROR(__xludf.DUMMYFUNCTION("""COMPUTED_VALUE"""),"in")</f>
        <v>in</v>
      </c>
      <c r="AC4" s="49" t="str">
        <f>IFERROR(__xludf.DUMMYFUNCTION("""COMPUTED_VALUE"""),"succeeds")</f>
        <v>succeeds</v>
      </c>
      <c r="AD4" s="49" t="str">
        <f>IFERROR(__xludf.DUMMYFUNCTION("""COMPUTED_VALUE"""),",")</f>
        <v>,</v>
      </c>
      <c r="AE4" s="49" t="str">
        <f>IFERROR(__xludf.DUMMYFUNCTION("""COMPUTED_VALUE"""),"superficial")</f>
        <v>superficial</v>
      </c>
      <c r="AF4" s="49" t="str">
        <f t="shared" si="4"/>
        <v>that,</v>
      </c>
      <c r="AG4" s="49"/>
      <c r="AH4" s="1" t="s">
        <v>6262</v>
      </c>
      <c r="AI4" s="1" t="s">
        <v>46</v>
      </c>
      <c r="AJ4" s="6" t="str">
        <f>IFERROR(__xludf.DUMMYFUNCTION("""COMPUTED_VALUE"""),".")</f>
        <v>.</v>
      </c>
      <c r="AK4" s="53" t="str">
        <f>IFERROR(__xludf.DUMMYFUNCTION("""COMPUTED_VALUE"""),"considerable")</f>
        <v>considerable</v>
      </c>
      <c r="AL4" s="49" t="str">
        <f>IFERROR(__xludf.DUMMYFUNCTION("""COMPUTED_VALUE"""),"moon")</f>
        <v>moon</v>
      </c>
      <c r="AM4" s="49" t="str">
        <f>IFERROR(__xludf.DUMMYFUNCTION("""COMPUTED_VALUE"""),"climate")</f>
        <v>climate</v>
      </c>
      <c r="AN4" s="52" t="str">
        <f t="shared" si="5"/>
        <v>.,</v>
      </c>
    </row>
    <row r="5">
      <c r="A5" s="51" t="s">
        <v>55</v>
      </c>
      <c r="B5" s="50" t="s">
        <v>161</v>
      </c>
      <c r="C5" s="50" t="s">
        <v>45</v>
      </c>
      <c r="D5" s="49" t="str">
        <f>IFERROR(__xludf.DUMMYFUNCTION("""COMPUTED_VALUE"""),"something")</f>
        <v>something</v>
      </c>
      <c r="E5" s="49" t="str">
        <f>IFERROR(__xludf.DUMMYFUNCTION("""COMPUTED_VALUE"""),"epic")</f>
        <v>epic</v>
      </c>
      <c r="F5" s="49" t="str">
        <f>IFERROR(__xludf.DUMMYFUNCTION("""COMPUTED_VALUE"""),"stable")</f>
        <v>stable</v>
      </c>
      <c r="G5" s="49" t="str">
        <f>IFERROR(__xludf.DUMMYFUNCTION("""COMPUTED_VALUE"""),"brave")</f>
        <v>brave</v>
      </c>
      <c r="H5" s="54" t="str">
        <f t="shared" si="1"/>
        <v>get,</v>
      </c>
      <c r="I5" s="50"/>
      <c r="J5" s="50" t="s">
        <v>2094</v>
      </c>
      <c r="K5" s="50" t="s">
        <v>32</v>
      </c>
      <c r="L5" s="49" t="str">
        <f>IFERROR(__xludf.DUMMYFUNCTION("""COMPUTED_VALUE"""),"her")</f>
        <v>her</v>
      </c>
      <c r="M5" s="49" t="str">
        <f>IFERROR(__xludf.DUMMYFUNCTION("""COMPUTED_VALUE"""),"crude")</f>
        <v>crude</v>
      </c>
      <c r="N5" s="49" t="str">
        <f>IFERROR(__xludf.DUMMYFUNCTION("""COMPUTED_VALUE"""),"has")</f>
        <v>has</v>
      </c>
      <c r="O5" s="49" t="str">
        <f>IFERROR(__xludf.DUMMYFUNCTION("""COMPUTED_VALUE"""),"tragic")</f>
        <v>tragic</v>
      </c>
      <c r="P5" s="49" t="str">
        <f t="shared" si="2"/>
        <v>her,</v>
      </c>
      <c r="Q5" s="49"/>
      <c r="R5" s="50" t="s">
        <v>68</v>
      </c>
      <c r="S5" s="55" t="s">
        <v>57</v>
      </c>
      <c r="T5" s="49" t="str">
        <f>IFERROR(__xludf.DUMMYFUNCTION("""COMPUTED_VALUE"""),"with")</f>
        <v>with</v>
      </c>
      <c r="U5" s="49" t="str">
        <f>IFERROR(__xludf.DUMMYFUNCTION("""COMPUTED_VALUE"""),"vivid")</f>
        <v>vivid</v>
      </c>
      <c r="V5" s="49" t="str">
        <f>IFERROR(__xludf.DUMMYFUNCTION("""COMPUTED_VALUE"""),"very")</f>
        <v>very</v>
      </c>
      <c r="W5" s="49" t="str">
        <f>IFERROR(__xludf.DUMMYFUNCTION("""COMPUTED_VALUE"""),"remain")</f>
        <v>remain</v>
      </c>
      <c r="X5" s="49" t="str">
        <f t="shared" si="3"/>
        <v>and,</v>
      </c>
      <c r="Y5" s="49"/>
      <c r="Z5" s="1" t="s">
        <v>229</v>
      </c>
      <c r="AA5" s="1" t="s">
        <v>57</v>
      </c>
      <c r="AB5" s="49" t="str">
        <f>IFERROR(__xludf.DUMMYFUNCTION("""COMPUTED_VALUE"""),"of")</f>
        <v>of</v>
      </c>
      <c r="AC5" s="49" t="str">
        <f>IFERROR(__xludf.DUMMYFUNCTION("""COMPUTED_VALUE"""),"crude")</f>
        <v>crude</v>
      </c>
      <c r="AD5" s="49" t="str">
        <f>IFERROR(__xludf.DUMMYFUNCTION("""COMPUTED_VALUE"""),"has")</f>
        <v>has</v>
      </c>
      <c r="AE5" s="49" t="str">
        <f>IFERROR(__xludf.DUMMYFUNCTION("""COMPUTED_VALUE"""),"tragic")</f>
        <v>tragic</v>
      </c>
      <c r="AF5" s="49" t="str">
        <f t="shared" si="4"/>
        <v>has,</v>
      </c>
      <c r="AG5" s="49"/>
      <c r="AH5" s="1" t="s">
        <v>1888</v>
      </c>
      <c r="AI5" s="1" t="s">
        <v>4981</v>
      </c>
      <c r="AJ5" s="6" t="str">
        <f>IFERROR(__xludf.DUMMYFUNCTION("""COMPUTED_VALUE"""),":")</f>
        <v>:</v>
      </c>
      <c r="AK5" s="53" t="str">
        <f>IFERROR(__xludf.DUMMYFUNCTION("""COMPUTED_VALUE"""),"essentially")</f>
        <v>essentially</v>
      </c>
      <c r="AL5" s="49" t="str">
        <f>IFERROR(__xludf.DUMMYFUNCTION("""COMPUTED_VALUE"""),"founding")</f>
        <v>founding</v>
      </c>
      <c r="AM5" s="49" t="str">
        <f>IFERROR(__xludf.DUMMYFUNCTION("""COMPUTED_VALUE"""),"historically")</f>
        <v>historically</v>
      </c>
      <c r="AN5" s="52" t="str">
        <f t="shared" si="5"/>
        <v>:,</v>
      </c>
    </row>
    <row r="6">
      <c r="A6" s="51" t="s">
        <v>66</v>
      </c>
      <c r="B6" s="50" t="s">
        <v>837</v>
      </c>
      <c r="C6" s="50" t="s">
        <v>88</v>
      </c>
      <c r="D6" s="49" t="str">
        <f>IFERROR(__xludf.DUMMYFUNCTION("""COMPUTED_VALUE"""),"human")</f>
        <v>human</v>
      </c>
      <c r="E6" s="49" t="str">
        <f>IFERROR(__xludf.DUMMYFUNCTION("""COMPUTED_VALUE"""),"considerable")</f>
        <v>considerable</v>
      </c>
      <c r="F6" s="49" t="str">
        <f>IFERROR(__xludf.DUMMYFUNCTION("""COMPUTED_VALUE"""),"nine")</f>
        <v>nine</v>
      </c>
      <c r="G6" s="49" t="str">
        <f>IFERROR(__xludf.DUMMYFUNCTION("""COMPUTED_VALUE"""),"sharply")</f>
        <v>sharply</v>
      </c>
      <c r="H6" s="54" t="str">
        <f t="shared" si="1"/>
        <v>head,</v>
      </c>
      <c r="I6" s="50"/>
      <c r="J6" s="50" t="s">
        <v>388</v>
      </c>
      <c r="K6" s="50" t="s">
        <v>76</v>
      </c>
      <c r="L6" s="49" t="str">
        <f>IFERROR(__xludf.DUMMYFUNCTION("""COMPUTED_VALUE"""),"his")</f>
        <v>his</v>
      </c>
      <c r="M6" s="49" t="str">
        <f>IFERROR(__xludf.DUMMYFUNCTION("""COMPUTED_VALUE"""),"proves")</f>
        <v>proves</v>
      </c>
      <c r="N6" s="49" t="str">
        <f>IFERROR(__xludf.DUMMYFUNCTION("""COMPUTED_VALUE"""),"such")</f>
        <v>such</v>
      </c>
      <c r="O6" s="49" t="str">
        <f>IFERROR(__xludf.DUMMYFUNCTION("""COMPUTED_VALUE"""),"patriot")</f>
        <v>patriot</v>
      </c>
      <c r="P6" s="49" t="str">
        <f t="shared" si="2"/>
        <v>his,</v>
      </c>
      <c r="Q6" s="49"/>
      <c r="R6" s="50" t="s">
        <v>35</v>
      </c>
      <c r="S6" s="55" t="s">
        <v>86</v>
      </c>
      <c r="T6" s="49" t="str">
        <f>IFERROR(__xludf.DUMMYFUNCTION("""COMPUTED_VALUE"""),"attempt")</f>
        <v>attempt</v>
      </c>
      <c r="U6" s="49" t="str">
        <f>IFERROR(__xludf.DUMMYFUNCTION("""COMPUTED_VALUE"""),"touching")</f>
        <v>touching</v>
      </c>
      <c r="V6" s="49" t="str">
        <f>IFERROR(__xludf.DUMMYFUNCTION("""COMPUTED_VALUE"""),"for")</f>
        <v>for</v>
      </c>
      <c r="W6" s="49" t="str">
        <f>IFERROR(__xludf.DUMMYFUNCTION("""COMPUTED_VALUE"""),"filmmakers")</f>
        <v>filmmakers</v>
      </c>
      <c r="X6" s="49" t="str">
        <f t="shared" si="3"/>
        <v>one,</v>
      </c>
      <c r="Y6" s="49"/>
      <c r="Z6" s="1" t="s">
        <v>445</v>
      </c>
      <c r="AA6" s="1" t="s">
        <v>68</v>
      </c>
      <c r="AB6" s="49" t="str">
        <f>IFERROR(__xludf.DUMMYFUNCTION("""COMPUTED_VALUE"""),"for")</f>
        <v>for</v>
      </c>
      <c r="AC6" s="49" t="str">
        <f>IFERROR(__xludf.DUMMYFUNCTION("""COMPUTED_VALUE"""),"recycled")</f>
        <v>recycled</v>
      </c>
      <c r="AD6" s="49" t="str">
        <f>IFERROR(__xludf.DUMMYFUNCTION("""COMPUTED_VALUE"""),"such")</f>
        <v>such</v>
      </c>
      <c r="AE6" s="49" t="str">
        <f>IFERROR(__xludf.DUMMYFUNCTION("""COMPUTED_VALUE"""),"patriot")</f>
        <v>patriot</v>
      </c>
      <c r="AF6" s="49" t="str">
        <f t="shared" si="4"/>
        <v>is,</v>
      </c>
      <c r="AG6" s="49"/>
      <c r="AH6" s="1" t="s">
        <v>1021</v>
      </c>
      <c r="AI6" s="1" t="s">
        <v>49</v>
      </c>
      <c r="AJ6" s="6" t="str">
        <f>IFERROR(__xludf.DUMMYFUNCTION("""COMPUTED_VALUE"""),"?")</f>
        <v>?</v>
      </c>
      <c r="AK6" s="53" t="str">
        <f>IFERROR(__xludf.DUMMYFUNCTION("""COMPUTED_VALUE"""),"pale")</f>
        <v>pale</v>
      </c>
      <c r="AL6" s="49" t="str">
        <f>IFERROR(__xludf.DUMMYFUNCTION("""COMPUTED_VALUE"""),"trial")</f>
        <v>trial</v>
      </c>
      <c r="AM6" s="49" t="str">
        <f>IFERROR(__xludf.DUMMYFUNCTION("""COMPUTED_VALUE"""),"seal")</f>
        <v>seal</v>
      </c>
      <c r="AN6" s="52" t="str">
        <f t="shared" si="5"/>
        <v>?,</v>
      </c>
    </row>
    <row r="7">
      <c r="A7" s="51" t="s">
        <v>77</v>
      </c>
      <c r="B7" s="50" t="s">
        <v>493</v>
      </c>
      <c r="C7" s="50" t="s">
        <v>40</v>
      </c>
      <c r="D7" s="49" t="str">
        <f>IFERROR(__xludf.DUMMYFUNCTION("""COMPUTED_VALUE"""),"rather")</f>
        <v>rather</v>
      </c>
      <c r="E7" s="49" t="str">
        <f>IFERROR(__xludf.DUMMYFUNCTION("""COMPUTED_VALUE"""),"essentially")</f>
        <v>essentially</v>
      </c>
      <c r="F7" s="49" t="str">
        <f>IFERROR(__xludf.DUMMYFUNCTION("""COMPUTED_VALUE"""),"fourteen")</f>
        <v>fourteen</v>
      </c>
      <c r="G7" s="49" t="str">
        <f>IFERROR(__xludf.DUMMYFUNCTION("""COMPUTED_VALUE"""),"veins")</f>
        <v>veins</v>
      </c>
      <c r="H7" s="54" t="str">
        <f t="shared" si="1"/>
        <v>since,</v>
      </c>
      <c r="I7" s="50"/>
      <c r="J7" s="50" t="s">
        <v>204</v>
      </c>
      <c r="K7" s="50" t="s">
        <v>86</v>
      </c>
      <c r="L7" s="49" t="str">
        <f>IFERROR(__xludf.DUMMYFUNCTION("""COMPUTED_VALUE"""),"into")</f>
        <v>into</v>
      </c>
      <c r="M7" s="49" t="str">
        <f>IFERROR(__xludf.DUMMYFUNCTION("""COMPUTED_VALUE"""),"vivid")</f>
        <v>vivid</v>
      </c>
      <c r="N7" s="49" t="str">
        <f>IFERROR(__xludf.DUMMYFUNCTION("""COMPUTED_VALUE"""),"this")</f>
        <v>this</v>
      </c>
      <c r="O7" s="49" t="str">
        <f>IFERROR(__xludf.DUMMYFUNCTION("""COMPUTED_VALUE"""),"demonstrates")</f>
        <v>demonstrates</v>
      </c>
      <c r="P7" s="49" t="str">
        <f t="shared" si="2"/>
        <v>an,</v>
      </c>
      <c r="Q7" s="49"/>
      <c r="R7" s="50" t="s">
        <v>253</v>
      </c>
      <c r="S7" s="55" t="s">
        <v>76</v>
      </c>
      <c r="T7" s="49" t="str">
        <f>IFERROR(__xludf.DUMMYFUNCTION("""COMPUTED_VALUE"""),"but")</f>
        <v>but</v>
      </c>
      <c r="U7" s="49" t="str">
        <f>IFERROR(__xludf.DUMMYFUNCTION("""COMPUTED_VALUE"""),"emptiness")</f>
        <v>emptiness</v>
      </c>
      <c r="V7" s="49" t="str">
        <f>IFERROR(__xludf.DUMMYFUNCTION("""COMPUTED_VALUE"""),"guys")</f>
        <v>guys</v>
      </c>
      <c r="W7" s="49" t="str">
        <f>IFERROR(__xludf.DUMMYFUNCTION("""COMPUTED_VALUE"""),"treatment")</f>
        <v>treatment</v>
      </c>
      <c r="X7" s="49" t="str">
        <f t="shared" si="3"/>
        <v>with,</v>
      </c>
      <c r="Y7" s="49"/>
      <c r="Z7" s="1" t="s">
        <v>68</v>
      </c>
      <c r="AA7" s="1" t="s">
        <v>76</v>
      </c>
      <c r="AB7" s="49" t="str">
        <f>IFERROR(__xludf.DUMMYFUNCTION("""COMPUTED_VALUE"""),"an")</f>
        <v>an</v>
      </c>
      <c r="AC7" s="49" t="str">
        <f>IFERROR(__xludf.DUMMYFUNCTION("""COMPUTED_VALUE"""),"proves")</f>
        <v>proves</v>
      </c>
      <c r="AD7" s="49" t="str">
        <f>IFERROR(__xludf.DUMMYFUNCTION("""COMPUTED_VALUE"""),"this")</f>
        <v>this</v>
      </c>
      <c r="AE7" s="49" t="str">
        <f>IFERROR(__xludf.DUMMYFUNCTION("""COMPUTED_VALUE"""),"demonstrates")</f>
        <v>demonstrates</v>
      </c>
      <c r="AF7" s="49" t="str">
        <f t="shared" si="4"/>
        <v>and,</v>
      </c>
      <c r="AG7" s="49"/>
      <c r="AH7" s="1" t="s">
        <v>583</v>
      </c>
      <c r="AI7" s="1" t="s">
        <v>435</v>
      </c>
      <c r="AJ7" s="6" t="str">
        <f>IFERROR(__xludf.DUMMYFUNCTION("""COMPUTED_VALUE"""),"a")</f>
        <v>a</v>
      </c>
      <c r="AK7" s="53" t="str">
        <f>IFERROR(__xludf.DUMMYFUNCTION("""COMPUTED_VALUE"""),"powerful")</f>
        <v>powerful</v>
      </c>
      <c r="AL7" s="49" t="str">
        <f>IFERROR(__xludf.DUMMYFUNCTION("""COMPUTED_VALUE"""),"sample")</f>
        <v>sample</v>
      </c>
      <c r="AM7" s="49" t="str">
        <f>IFERROR(__xludf.DUMMYFUNCTION("""COMPUTED_VALUE"""),"da")</f>
        <v>da</v>
      </c>
      <c r="AN7" s="52" t="str">
        <f t="shared" si="5"/>
        <v>a,</v>
      </c>
    </row>
    <row r="8">
      <c r="A8" s="51" t="s">
        <v>84</v>
      </c>
      <c r="B8" s="50" t="s">
        <v>393</v>
      </c>
      <c r="C8" s="50" t="s">
        <v>113</v>
      </c>
      <c r="D8" s="49" t="str">
        <f>IFERROR(__xludf.DUMMYFUNCTION("""COMPUTED_VALUE"""),"nature")</f>
        <v>nature</v>
      </c>
      <c r="E8" s="49" t="str">
        <f>IFERROR(__xludf.DUMMYFUNCTION("""COMPUTED_VALUE"""),"pale")</f>
        <v>pale</v>
      </c>
      <c r="F8" s="49" t="str">
        <f>IFERROR(__xludf.DUMMYFUNCTION("""COMPUTED_VALUE"""),"campaign")</f>
        <v>campaign</v>
      </c>
      <c r="G8" s="49" t="str">
        <f>IFERROR(__xludf.DUMMYFUNCTION("""COMPUTED_VALUE"""),"climate")</f>
        <v>climate</v>
      </c>
      <c r="H8" s="54" t="str">
        <f t="shared" si="1"/>
        <v>see,</v>
      </c>
      <c r="I8" s="50"/>
      <c r="J8" s="50" t="s">
        <v>583</v>
      </c>
      <c r="K8" s="50" t="s">
        <v>68</v>
      </c>
      <c r="L8" s="49" t="str">
        <f>IFERROR(__xludf.DUMMYFUNCTION("""COMPUTED_VALUE"""),"out")</f>
        <v>out</v>
      </c>
      <c r="M8" s="49" t="str">
        <f>IFERROR(__xludf.DUMMYFUNCTION("""COMPUTED_VALUE"""),"touching")</f>
        <v>touching</v>
      </c>
      <c r="N8" s="49" t="str">
        <f>IFERROR(__xludf.DUMMYFUNCTION("""COMPUTED_VALUE"""),"very")</f>
        <v>very</v>
      </c>
      <c r="O8" s="49" t="str">
        <f>IFERROR(__xludf.DUMMYFUNCTION("""COMPUTED_VALUE"""),"deeply")</f>
        <v>deeply</v>
      </c>
      <c r="P8" s="49" t="str">
        <f t="shared" si="2"/>
        <v>a,</v>
      </c>
      <c r="Q8" s="49"/>
      <c r="R8" s="50" t="s">
        <v>2319</v>
      </c>
      <c r="S8" s="55" t="s">
        <v>280</v>
      </c>
      <c r="T8" s="49" t="str">
        <f>IFERROR(__xludf.DUMMYFUNCTION("""COMPUTED_VALUE"""),"i")</f>
        <v>i</v>
      </c>
      <c r="U8" s="49" t="str">
        <f>IFERROR(__xludf.DUMMYFUNCTION("""COMPUTED_VALUE"""),"cruel")</f>
        <v>cruel</v>
      </c>
      <c r="V8" s="49" t="str">
        <f>IFERROR(__xludf.DUMMYFUNCTION("""COMPUTED_VALUE"""),"(")</f>
        <v>(</v>
      </c>
      <c r="W8" s="49" t="str">
        <f>IFERROR(__xludf.DUMMYFUNCTION("""COMPUTED_VALUE"""),"too")</f>
        <v>too</v>
      </c>
      <c r="X8" s="49" t="str">
        <f t="shared" si="3"/>
        <v>attempt,</v>
      </c>
      <c r="Y8" s="49"/>
      <c r="Z8" s="1" t="s">
        <v>278</v>
      </c>
      <c r="AA8" s="1" t="s">
        <v>88</v>
      </c>
      <c r="AB8" s="49" t="str">
        <f>IFERROR(__xludf.DUMMYFUNCTION("""COMPUTED_VALUE"""),"cool")</f>
        <v>cool</v>
      </c>
      <c r="AC8" s="49" t="str">
        <f>IFERROR(__xludf.DUMMYFUNCTION("""COMPUTED_VALUE"""),"vivid")</f>
        <v>vivid</v>
      </c>
      <c r="AD8" s="49" t="str">
        <f>IFERROR(__xludf.DUMMYFUNCTION("""COMPUTED_VALUE"""),"very")</f>
        <v>very</v>
      </c>
      <c r="AE8" s="49" t="str">
        <f>IFERROR(__xludf.DUMMYFUNCTION("""COMPUTED_VALUE"""),"deeply")</f>
        <v>deeply</v>
      </c>
      <c r="AF8" s="49" t="str">
        <f t="shared" si="4"/>
        <v>in,</v>
      </c>
      <c r="AG8" s="49"/>
      <c r="AH8" s="1" t="s">
        <v>348</v>
      </c>
      <c r="AI8" s="1" t="s">
        <v>89</v>
      </c>
      <c r="AJ8" s="6" t="str">
        <f>IFERROR(__xludf.DUMMYFUNCTION("""COMPUTED_VALUE"""),"i")</f>
        <v>i</v>
      </c>
      <c r="AK8" s="53" t="str">
        <f>IFERROR(__xludf.DUMMYFUNCTION("""COMPUTED_VALUE"""),"offensive")</f>
        <v>offensive</v>
      </c>
      <c r="AL8" s="49" t="str">
        <f>IFERROR(__xludf.DUMMYFUNCTION("""COMPUTED_VALUE"""),"ownership")</f>
        <v>ownership</v>
      </c>
      <c r="AM8" s="49" t="str">
        <f>IFERROR(__xludf.DUMMYFUNCTION("""COMPUTED_VALUE"""),"markets")</f>
        <v>markets</v>
      </c>
      <c r="AN8" s="52" t="str">
        <f t="shared" si="5"/>
        <v>i,</v>
      </c>
    </row>
    <row r="9">
      <c r="A9" s="51" t="s">
        <v>96</v>
      </c>
      <c r="B9" s="50" t="s">
        <v>542</v>
      </c>
      <c r="C9" s="50" t="s">
        <v>86</v>
      </c>
      <c r="D9" s="49" t="str">
        <f>IFERROR(__xludf.DUMMYFUNCTION("""COMPUTED_VALUE"""),"beautiful")</f>
        <v>beautiful</v>
      </c>
      <c r="E9" s="49" t="str">
        <f>IFERROR(__xludf.DUMMYFUNCTION("""COMPUTED_VALUE"""),"intelligent")</f>
        <v>intelligent</v>
      </c>
      <c r="F9" s="49" t="str">
        <f>IFERROR(__xludf.DUMMYFUNCTION("""COMPUTED_VALUE"""),"cats")</f>
        <v>cats</v>
      </c>
      <c r="G9" s="49" t="str">
        <f>IFERROR(__xludf.DUMMYFUNCTION("""COMPUTED_VALUE"""),"circus")</f>
        <v>circus</v>
      </c>
      <c r="H9" s="54" t="str">
        <f t="shared" si="1"/>
        <v>life,</v>
      </c>
      <c r="I9" s="50"/>
      <c r="J9" s="50" t="s">
        <v>435</v>
      </c>
      <c r="K9" s="50" t="s">
        <v>98</v>
      </c>
      <c r="L9" s="49" t="str">
        <f>IFERROR(__xludf.DUMMYFUNCTION("""COMPUTED_VALUE"""),"drive")</f>
        <v>drive</v>
      </c>
      <c r="M9" s="49" t="str">
        <f>IFERROR(__xludf.DUMMYFUNCTION("""COMPUTED_VALUE"""),"cruel")</f>
        <v>cruel</v>
      </c>
      <c r="N9" s="49" t="str">
        <f>IFERROR(__xludf.DUMMYFUNCTION("""COMPUTED_VALUE"""),"for")</f>
        <v>for</v>
      </c>
      <c r="O9" s="49" t="str">
        <f>IFERROR(__xludf.DUMMYFUNCTION("""COMPUTED_VALUE"""),"goes")</f>
        <v>goes</v>
      </c>
      <c r="P9" s="49" t="str">
        <f t="shared" si="2"/>
        <v>,,</v>
      </c>
      <c r="Q9" s="49"/>
      <c r="R9" s="50" t="s">
        <v>180</v>
      </c>
      <c r="S9" s="55" t="s">
        <v>98</v>
      </c>
      <c r="T9" s="49" t="str">
        <f>IFERROR(__xludf.DUMMYFUNCTION("""COMPUTED_VALUE"""),"then")</f>
        <v>then</v>
      </c>
      <c r="U9" s="49" t="str">
        <f>IFERROR(__xludf.DUMMYFUNCTION("""COMPUTED_VALUE"""),"wisdom")</f>
        <v>wisdom</v>
      </c>
      <c r="V9" s="49" t="str">
        <f>IFERROR(__xludf.DUMMYFUNCTION("""COMPUTED_VALUE"""),"get")</f>
        <v>get</v>
      </c>
      <c r="W9" s="49" t="str">
        <f>IFERROR(__xludf.DUMMYFUNCTION("""COMPUTED_VALUE"""),"patriot")</f>
        <v>patriot</v>
      </c>
      <c r="X9" s="49" t="str">
        <f t="shared" si="3"/>
        <v>but,</v>
      </c>
      <c r="Y9" s="49"/>
      <c r="Z9" s="1" t="s">
        <v>91</v>
      </c>
      <c r="AA9" s="1" t="s">
        <v>98</v>
      </c>
      <c r="AB9" s="49" t="str">
        <f>IFERROR(__xludf.DUMMYFUNCTION("""COMPUTED_VALUE"""),"the")</f>
        <v>the</v>
      </c>
      <c r="AC9" s="49" t="str">
        <f>IFERROR(__xludf.DUMMYFUNCTION("""COMPUTED_VALUE"""),"pointless")</f>
        <v>pointless</v>
      </c>
      <c r="AD9" s="49" t="str">
        <f>IFERROR(__xludf.DUMMYFUNCTION("""COMPUTED_VALUE"""),"for")</f>
        <v>for</v>
      </c>
      <c r="AE9" s="49" t="str">
        <f>IFERROR(__xludf.DUMMYFUNCTION("""COMPUTED_VALUE"""),"goes")</f>
        <v>goes</v>
      </c>
      <c r="AF9" s="49" t="str">
        <f t="shared" si="4"/>
        <v>of,</v>
      </c>
      <c r="AG9" s="49"/>
      <c r="AH9" s="1" t="s">
        <v>6278</v>
      </c>
      <c r="AI9" s="1" t="s">
        <v>57</v>
      </c>
      <c r="AJ9" s="6" t="str">
        <f>IFERROR(__xludf.DUMMYFUNCTION("""COMPUTED_VALUE"""),"s")</f>
        <v>s</v>
      </c>
      <c r="AK9" s="53" t="str">
        <f>IFERROR(__xludf.DUMMYFUNCTION("""COMPUTED_VALUE"""),"tale")</f>
        <v>tale</v>
      </c>
      <c r="AL9" s="49" t="str">
        <f>IFERROR(__xludf.DUMMYFUNCTION("""COMPUTED_VALUE"""),"g")</f>
        <v>g</v>
      </c>
      <c r="AM9" s="49" t="str">
        <f>IFERROR(__xludf.DUMMYFUNCTION("""COMPUTED_VALUE"""),"norwegian")</f>
        <v>norwegian</v>
      </c>
      <c r="AN9" s="52" t="str">
        <f t="shared" si="5"/>
        <v>s,</v>
      </c>
    </row>
    <row r="10">
      <c r="A10" s="51" t="s">
        <v>105</v>
      </c>
      <c r="B10" s="50" t="s">
        <v>724</v>
      </c>
      <c r="C10" s="50" t="s">
        <v>98</v>
      </c>
      <c r="D10" s="49" t="str">
        <f>IFERROR(__xludf.DUMMYFUNCTION("""COMPUTED_VALUE"""),"characters")</f>
        <v>characters</v>
      </c>
      <c r="E10" s="49" t="str">
        <f>IFERROR(__xludf.DUMMYFUNCTION("""COMPUTED_VALUE"""),"powerful")</f>
        <v>powerful</v>
      </c>
      <c r="F10" s="49" t="str">
        <f>IFERROR(__xludf.DUMMYFUNCTION("""COMPUTED_VALUE"""),"bent")</f>
        <v>bent</v>
      </c>
      <c r="G10" s="49" t="str">
        <f>IFERROR(__xludf.DUMMYFUNCTION("""COMPUTED_VALUE"""),"aerial")</f>
        <v>aerial</v>
      </c>
      <c r="H10" s="54" t="str">
        <f t="shared" si="1"/>
        <v>go,</v>
      </c>
      <c r="I10" s="50"/>
      <c r="J10" s="50" t="s">
        <v>1349</v>
      </c>
      <c r="K10" s="50" t="s">
        <v>113</v>
      </c>
      <c r="L10" s="49" t="str">
        <f>IFERROR(__xludf.DUMMYFUNCTION("""COMPUTED_VALUE"""),"generation")</f>
        <v>generation</v>
      </c>
      <c r="M10" s="49" t="str">
        <f>IFERROR(__xludf.DUMMYFUNCTION("""COMPUTED_VALUE"""),"casts")</f>
        <v>casts</v>
      </c>
      <c r="N10" s="49" t="str">
        <f>IFERROR(__xludf.DUMMYFUNCTION("""COMPUTED_VALUE"""),"to")</f>
        <v>to</v>
      </c>
      <c r="O10" s="49" t="str">
        <f>IFERROR(__xludf.DUMMYFUNCTION("""COMPUTED_VALUE"""),"lend")</f>
        <v>lend</v>
      </c>
      <c r="P10" s="49" t="str">
        <f t="shared" si="2"/>
        <v>into,</v>
      </c>
      <c r="Q10" s="49"/>
      <c r="R10" s="50" t="s">
        <v>348</v>
      </c>
      <c r="S10" s="55" t="s">
        <v>88</v>
      </c>
      <c r="T10" s="49" t="str">
        <f>IFERROR(__xludf.DUMMYFUNCTION("""COMPUTED_VALUE"""),"find")</f>
        <v>find</v>
      </c>
      <c r="U10" s="49" t="str">
        <f>IFERROR(__xludf.DUMMYFUNCTION("""COMPUTED_VALUE"""),"hopeless")</f>
        <v>hopeless</v>
      </c>
      <c r="V10" s="49" t="str">
        <f>IFERROR(__xludf.DUMMYFUNCTION("""COMPUTED_VALUE"""),"back")</f>
        <v>back</v>
      </c>
      <c r="W10" s="49" t="str">
        <f>IFERROR(__xludf.DUMMYFUNCTION("""COMPUTED_VALUE"""),"film")</f>
        <v>film</v>
      </c>
      <c r="X10" s="49" t="str">
        <f t="shared" si="3"/>
        <v>i,</v>
      </c>
      <c r="Y10" s="49"/>
      <c r="Z10" s="1" t="s">
        <v>118</v>
      </c>
      <c r="AA10" s="1" t="s">
        <v>40</v>
      </c>
      <c r="AB10" s="49" t="str">
        <f>IFERROR(__xludf.DUMMYFUNCTION("""COMPUTED_VALUE"""),"continues")</f>
        <v>continues</v>
      </c>
      <c r="AC10" s="49" t="str">
        <f>IFERROR(__xludf.DUMMYFUNCTION("""COMPUTED_VALUE"""),"touching")</f>
        <v>touching</v>
      </c>
      <c r="AD10" s="49" t="str">
        <f>IFERROR(__xludf.DUMMYFUNCTION("""COMPUTED_VALUE"""),"to")</f>
        <v>to</v>
      </c>
      <c r="AE10" s="49" t="str">
        <f>IFERROR(__xludf.DUMMYFUNCTION("""COMPUTED_VALUE"""),"lend")</f>
        <v>lend</v>
      </c>
      <c r="AF10" s="49" t="str">
        <f t="shared" si="4"/>
        <v>for,</v>
      </c>
      <c r="AG10" s="49"/>
      <c r="AH10" s="1" t="s">
        <v>39</v>
      </c>
      <c r="AI10" s="1" t="s">
        <v>45</v>
      </c>
      <c r="AJ10" s="6" t="str">
        <f>IFERROR(__xludf.DUMMYFUNCTION("""COMPUTED_VALUE"""),"the")</f>
        <v>the</v>
      </c>
      <c r="AK10" s="53" t="str">
        <f>IFERROR(__xludf.DUMMYFUNCTION("""COMPUTED_VALUE"""),"abuse")</f>
        <v>abuse</v>
      </c>
      <c r="AL10" s="49" t="str">
        <f>IFERROR(__xludf.DUMMYFUNCTION("""COMPUTED_VALUE"""),"italy")</f>
        <v>italy</v>
      </c>
      <c r="AM10" s="49" t="str">
        <f>IFERROR(__xludf.DUMMYFUNCTION("""COMPUTED_VALUE"""),"manufactured")</f>
        <v>manufactured</v>
      </c>
      <c r="AN10" s="52" t="str">
        <f t="shared" si="5"/>
        <v>the,</v>
      </c>
    </row>
    <row r="11">
      <c r="A11" s="51" t="s">
        <v>95</v>
      </c>
      <c r="B11" s="50" t="s">
        <v>1493</v>
      </c>
      <c r="C11" s="50" t="s">
        <v>76</v>
      </c>
      <c r="D11" s="49" t="str">
        <f>IFERROR(__xludf.DUMMYFUNCTION("""COMPUTED_VALUE"""),"loves")</f>
        <v>loves</v>
      </c>
      <c r="E11" s="49" t="str">
        <f>IFERROR(__xludf.DUMMYFUNCTION("""COMPUTED_VALUE"""),"torture")</f>
        <v>torture</v>
      </c>
      <c r="F11" s="49" t="str">
        <f>IFERROR(__xludf.DUMMYFUNCTION("""COMPUTED_VALUE"""),"hart")</f>
        <v>hart</v>
      </c>
      <c r="G11" s="49" t="str">
        <f>IFERROR(__xludf.DUMMYFUNCTION("""COMPUTED_VALUE"""),"historically")</f>
        <v>historically</v>
      </c>
      <c r="H11" s="54" t="str">
        <f t="shared" si="1"/>
        <v>church,</v>
      </c>
      <c r="I11" s="50"/>
      <c r="J11" s="50" t="s">
        <v>229</v>
      </c>
      <c r="K11" s="50" t="s">
        <v>124</v>
      </c>
      <c r="L11" s="49" t="str">
        <f>IFERROR(__xludf.DUMMYFUNCTION("""COMPUTED_VALUE"""),"generally")</f>
        <v>generally</v>
      </c>
      <c r="M11" s="49" t="str">
        <f>IFERROR(__xludf.DUMMYFUNCTION("""COMPUTED_VALUE"""),"masterpiece")</f>
        <v>masterpiece</v>
      </c>
      <c r="N11" s="49" t="str">
        <f>IFERROR(__xludf.DUMMYFUNCTION("""COMPUTED_VALUE"""),"on")</f>
        <v>on</v>
      </c>
      <c r="O11" s="49" t="str">
        <f>IFERROR(__xludf.DUMMYFUNCTION("""COMPUTED_VALUE"""),"casting")</f>
        <v>casting</v>
      </c>
      <c r="P11" s="49" t="str">
        <f t="shared" si="2"/>
        <v>has,</v>
      </c>
      <c r="Q11" s="49"/>
      <c r="R11" s="50" t="s">
        <v>3203</v>
      </c>
      <c r="S11" s="55" t="s">
        <v>68</v>
      </c>
      <c r="T11" s="49" t="str">
        <f>IFERROR(__xludf.DUMMYFUNCTION("""COMPUTED_VALUE"""),"lost")</f>
        <v>lost</v>
      </c>
      <c r="U11" s="49" t="str">
        <f>IFERROR(__xludf.DUMMYFUNCTION("""COMPUTED_VALUE"""),"conviction")</f>
        <v>conviction</v>
      </c>
      <c r="V11" s="49" t="str">
        <f>IFERROR(__xludf.DUMMYFUNCTION("""COMPUTED_VALUE"""),"happy")</f>
        <v>happy</v>
      </c>
      <c r="W11" s="49" t="str">
        <f>IFERROR(__xludf.DUMMYFUNCTION("""COMPUTED_VALUE"""),"can")</f>
        <v>can</v>
      </c>
      <c r="X11" s="49" t="str">
        <f t="shared" si="3"/>
        <v>then,</v>
      </c>
      <c r="Y11" s="49"/>
      <c r="Z11" s="1" t="s">
        <v>180</v>
      </c>
      <c r="AA11" s="1" t="s">
        <v>115</v>
      </c>
      <c r="AB11" s="49" t="str">
        <f>IFERROR(__xludf.DUMMYFUNCTION("""COMPUTED_VALUE"""),"teen")</f>
        <v>teen</v>
      </c>
      <c r="AC11" s="49" t="str">
        <f>IFERROR(__xludf.DUMMYFUNCTION("""COMPUTED_VALUE"""),"emptiness")</f>
        <v>emptiness</v>
      </c>
      <c r="AD11" s="49" t="str">
        <f>IFERROR(__xludf.DUMMYFUNCTION("""COMPUTED_VALUE"""),"on")</f>
        <v>on</v>
      </c>
      <c r="AE11" s="49" t="str">
        <f>IFERROR(__xludf.DUMMYFUNCTION("""COMPUTED_VALUE"""),"casting")</f>
        <v>casting</v>
      </c>
      <c r="AF11" s="49" t="str">
        <f t="shared" si="4"/>
        <v>but,</v>
      </c>
      <c r="AG11" s="49"/>
      <c r="AH11" s="1" t="s">
        <v>91</v>
      </c>
      <c r="AI11" s="1" t="s">
        <v>68</v>
      </c>
      <c r="AJ11" s="6" t="str">
        <f>IFERROR(__xludf.DUMMYFUNCTION("""COMPUTED_VALUE"""),"of")</f>
        <v>of</v>
      </c>
      <c r="AK11" s="53" t="str">
        <f>IFERROR(__xludf.DUMMYFUNCTION("""COMPUTED_VALUE"""),"portrait")</f>
        <v>portrait</v>
      </c>
      <c r="AL11" s="49" t="str">
        <f>IFERROR(__xludf.DUMMYFUNCTION("""COMPUTED_VALUE"""),"description")</f>
        <v>description</v>
      </c>
      <c r="AM11" s="49" t="str">
        <f>IFERROR(__xludf.DUMMYFUNCTION("""COMPUTED_VALUE"""),"valuable")</f>
        <v>valuable</v>
      </c>
      <c r="AN11" s="52" t="str">
        <f t="shared" si="5"/>
        <v>of,</v>
      </c>
    </row>
    <row r="12">
      <c r="A12" s="51" t="s">
        <v>125</v>
      </c>
      <c r="B12" s="50" t="s">
        <v>980</v>
      </c>
      <c r="C12" s="50" t="s">
        <v>6274</v>
      </c>
      <c r="D12" s="49" t="str">
        <f>IFERROR(__xludf.DUMMYFUNCTION("""COMPUTED_VALUE"""),"throughout")</f>
        <v>throughout</v>
      </c>
      <c r="E12" s="49" t="str">
        <f>IFERROR(__xludf.DUMMYFUNCTION("""COMPUTED_VALUE"""),"offensive")</f>
        <v>offensive</v>
      </c>
      <c r="F12" s="49" t="str">
        <f>IFERROR(__xludf.DUMMYFUNCTION("""COMPUTED_VALUE"""),"reader")</f>
        <v>reader</v>
      </c>
      <c r="G12" s="49" t="str">
        <f>IFERROR(__xludf.DUMMYFUNCTION("""COMPUTED_VALUE"""),"generate")</f>
        <v>generate</v>
      </c>
      <c r="H12" s="54" t="str">
        <f t="shared" si="1"/>
        <v>party,</v>
      </c>
      <c r="I12" s="50"/>
      <c r="J12" s="50" t="s">
        <v>1337</v>
      </c>
      <c r="K12" s="50" t="s">
        <v>115</v>
      </c>
      <c r="L12" s="49" t="str">
        <f>IFERROR(__xludf.DUMMYFUNCTION("""COMPUTED_VALUE"""),"head")</f>
        <v>head</v>
      </c>
      <c r="M12" s="49" t="str">
        <f>IFERROR(__xludf.DUMMYFUNCTION("""COMPUTED_VALUE"""),"hopeless")</f>
        <v>hopeless</v>
      </c>
      <c r="N12" s="49" t="str">
        <f>IFERROR(__xludf.DUMMYFUNCTION("""COMPUTED_VALUE"""),"of")</f>
        <v>of</v>
      </c>
      <c r="O12" s="49" t="str">
        <f>IFERROR(__xludf.DUMMYFUNCTION("""COMPUTED_VALUE"""),"face")</f>
        <v>face</v>
      </c>
      <c r="P12" s="49" t="str">
        <f t="shared" si="2"/>
        <v>such,</v>
      </c>
      <c r="Q12" s="49"/>
      <c r="R12" s="50" t="s">
        <v>314</v>
      </c>
      <c r="S12" s="55" t="s">
        <v>167</v>
      </c>
      <c r="T12" s="49" t="str">
        <f>IFERROR(__xludf.DUMMYFUNCTION("""COMPUTED_VALUE"""),"accident")</f>
        <v>accident</v>
      </c>
      <c r="U12" s="49" t="str">
        <f>IFERROR(__xludf.DUMMYFUNCTION("""COMPUTED_VALUE"""),"portrayal")</f>
        <v>portrayal</v>
      </c>
      <c r="V12" s="49" t="str">
        <f>IFERROR(__xludf.DUMMYFUNCTION("""COMPUTED_VALUE"""),"all")</f>
        <v>all</v>
      </c>
      <c r="W12" s="49" t="str">
        <f>IFERROR(__xludf.DUMMYFUNCTION("""COMPUTED_VALUE"""),"director")</f>
        <v>director</v>
      </c>
      <c r="X12" s="49" t="str">
        <f t="shared" si="3"/>
        <v>find,</v>
      </c>
      <c r="Y12" s="49"/>
      <c r="Z12" s="1" t="s">
        <v>35</v>
      </c>
      <c r="AA12" s="1" t="s">
        <v>127</v>
      </c>
      <c r="AB12" s="49" t="str">
        <f>IFERROR(__xludf.DUMMYFUNCTION("""COMPUTED_VALUE"""),"get")</f>
        <v>get</v>
      </c>
      <c r="AC12" s="49" t="str">
        <f>IFERROR(__xludf.DUMMYFUNCTION("""COMPUTED_VALUE"""),"cruel")</f>
        <v>cruel</v>
      </c>
      <c r="AD12" s="49" t="str">
        <f>IFERROR(__xludf.DUMMYFUNCTION("""COMPUTED_VALUE"""),"of")</f>
        <v>of</v>
      </c>
      <c r="AE12" s="49" t="str">
        <f>IFERROR(__xludf.DUMMYFUNCTION("""COMPUTED_VALUE"""),"face")</f>
        <v>face</v>
      </c>
      <c r="AF12" s="49" t="str">
        <f t="shared" si="4"/>
        <v>one,</v>
      </c>
      <c r="AG12" s="49"/>
      <c r="AH12" s="1" t="s">
        <v>68</v>
      </c>
      <c r="AI12" s="1" t="s">
        <v>288</v>
      </c>
      <c r="AJ12" s="6" t="str">
        <f>IFERROR(__xludf.DUMMYFUNCTION("""COMPUTED_VALUE"""),"and")</f>
        <v>and</v>
      </c>
      <c r="AK12" s="53" t="str">
        <f>IFERROR(__xludf.DUMMYFUNCTION("""COMPUTED_VALUE"""),"universal")</f>
        <v>universal</v>
      </c>
      <c r="AL12" s="49" t="str">
        <f>IFERROR(__xludf.DUMMYFUNCTION("""COMPUTED_VALUE"""),"include")</f>
        <v>include</v>
      </c>
      <c r="AM12" s="49" t="str">
        <f>IFERROR(__xludf.DUMMYFUNCTION("""COMPUTED_VALUE"""),"contribution")</f>
        <v>contribution</v>
      </c>
      <c r="AN12" s="52" t="str">
        <f t="shared" si="5"/>
        <v>and,</v>
      </c>
    </row>
    <row r="13">
      <c r="A13" s="51" t="s">
        <v>133</v>
      </c>
      <c r="B13" s="50" t="s">
        <v>314</v>
      </c>
      <c r="C13" s="50" t="s">
        <v>124</v>
      </c>
      <c r="D13" s="49" t="str">
        <f>IFERROR(__xludf.DUMMYFUNCTION("""COMPUTED_VALUE"""),"remains")</f>
        <v>remains</v>
      </c>
      <c r="E13" s="49" t="str">
        <f>IFERROR(__xludf.DUMMYFUNCTION("""COMPUTED_VALUE"""),"tale")</f>
        <v>tale</v>
      </c>
      <c r="F13" s="49" t="str">
        <f>IFERROR(__xludf.DUMMYFUNCTION("""COMPUTED_VALUE"""),"entrance")</f>
        <v>entrance</v>
      </c>
      <c r="G13" s="49" t="str">
        <f>IFERROR(__xludf.DUMMYFUNCTION("""COMPUTED_VALUE"""),"seal")</f>
        <v>seal</v>
      </c>
      <c r="H13" s="54" t="str">
        <f t="shared" si="1"/>
        <v>find,</v>
      </c>
      <c r="I13" s="50"/>
      <c r="J13" s="50" t="s">
        <v>101</v>
      </c>
      <c r="K13" s="50" t="s">
        <v>127</v>
      </c>
      <c r="L13" s="49" t="str">
        <f>IFERROR(__xludf.DUMMYFUNCTION("""COMPUTED_VALUE"""),"go")</f>
        <v>go</v>
      </c>
      <c r="M13" s="49" t="str">
        <f>IFERROR(__xludf.DUMMYFUNCTION("""COMPUTED_VALUE"""),"conviction")</f>
        <v>conviction</v>
      </c>
      <c r="N13" s="49" t="str">
        <f>IFERROR(__xludf.DUMMYFUNCTION("""COMPUTED_VALUE"""),"him")</f>
        <v>him</v>
      </c>
      <c r="O13" s="49" t="str">
        <f>IFERROR(__xludf.DUMMYFUNCTION("""COMPUTED_VALUE"""),"young")</f>
        <v>young</v>
      </c>
      <c r="P13" s="49" t="str">
        <f t="shared" si="2"/>
        <v>this,</v>
      </c>
      <c r="Q13" s="49"/>
      <c r="R13" s="50" t="s">
        <v>978</v>
      </c>
      <c r="S13" s="55" t="s">
        <v>127</v>
      </c>
      <c r="T13" s="49" t="str">
        <f>IFERROR(__xludf.DUMMYFUNCTION("""COMPUTED_VALUE"""),"him")</f>
        <v>him</v>
      </c>
      <c r="U13" s="49" t="str">
        <f>IFERROR(__xludf.DUMMYFUNCTION("""COMPUTED_VALUE"""),"reveals")</f>
        <v>reveals</v>
      </c>
      <c r="V13" s="49" t="str">
        <f>IFERROR(__xludf.DUMMYFUNCTION("""COMPUTED_VALUE"""),"we")</f>
        <v>we</v>
      </c>
      <c r="W13" s="49" t="str">
        <f>IFERROR(__xludf.DUMMYFUNCTION("""COMPUTED_VALUE"""),"a")</f>
        <v>a</v>
      </c>
      <c r="X13" s="49" t="str">
        <f t="shared" si="3"/>
        <v>lost,</v>
      </c>
      <c r="Y13" s="49"/>
      <c r="Z13" s="1" t="s">
        <v>523</v>
      </c>
      <c r="AA13" s="1" t="s">
        <v>50</v>
      </c>
      <c r="AB13" s="49" t="str">
        <f>IFERROR(__xludf.DUMMYFUNCTION("""COMPUTED_VALUE"""),"bad")</f>
        <v>bad</v>
      </c>
      <c r="AC13" s="49" t="str">
        <f>IFERROR(__xludf.DUMMYFUNCTION("""COMPUTED_VALUE"""),"wisdom")</f>
        <v>wisdom</v>
      </c>
      <c r="AD13" s="49" t="str">
        <f>IFERROR(__xludf.DUMMYFUNCTION("""COMPUTED_VALUE"""),"him")</f>
        <v>him</v>
      </c>
      <c r="AE13" s="49" t="str">
        <f>IFERROR(__xludf.DUMMYFUNCTION("""COMPUTED_VALUE"""),"young")</f>
        <v>young</v>
      </c>
      <c r="AF13" s="49" t="str">
        <f t="shared" si="4"/>
        <v>it,</v>
      </c>
      <c r="AG13" s="49"/>
      <c r="AH13" s="1" t="s">
        <v>278</v>
      </c>
      <c r="AI13" s="1" t="s">
        <v>6275</v>
      </c>
      <c r="AJ13" s="6" t="str">
        <f>IFERROR(__xludf.DUMMYFUNCTION("""COMPUTED_VALUE"""),"in")</f>
        <v>in</v>
      </c>
      <c r="AK13" s="53" t="str">
        <f>IFERROR(__xludf.DUMMYFUNCTION("""COMPUTED_VALUE"""),"capable")</f>
        <v>capable</v>
      </c>
      <c r="AL13" s="49" t="str">
        <f>IFERROR(__xludf.DUMMYFUNCTION("""COMPUTED_VALUE"""),"currently")</f>
        <v>currently</v>
      </c>
      <c r="AM13" s="49" t="str">
        <f>IFERROR(__xludf.DUMMYFUNCTION("""COMPUTED_VALUE"""),"sand")</f>
        <v>sand</v>
      </c>
      <c r="AN13" s="52" t="str">
        <f t="shared" si="5"/>
        <v>in,</v>
      </c>
    </row>
    <row r="14">
      <c r="A14" s="51" t="s">
        <v>143</v>
      </c>
      <c r="B14" s="50" t="s">
        <v>978</v>
      </c>
      <c r="C14" s="50" t="s">
        <v>5017</v>
      </c>
      <c r="D14" s="49" t="str">
        <f>IFERROR(__xludf.DUMMYFUNCTION("""COMPUTED_VALUE"""),"remain")</f>
        <v>remain</v>
      </c>
      <c r="E14" s="49" t="str">
        <f>IFERROR(__xludf.DUMMYFUNCTION("""COMPUTED_VALUE"""),"abuse")</f>
        <v>abuse</v>
      </c>
      <c r="F14" s="49" t="str">
        <f>IFERROR(__xludf.DUMMYFUNCTION("""COMPUTED_VALUE"""),"awake")</f>
        <v>awake</v>
      </c>
      <c r="G14" s="49" t="str">
        <f>IFERROR(__xludf.DUMMYFUNCTION("""COMPUTED_VALUE"""),"fluid")</f>
        <v>fluid</v>
      </c>
      <c r="H14" s="54" t="str">
        <f t="shared" si="1"/>
        <v>lost,</v>
      </c>
      <c r="I14" s="50"/>
      <c r="J14" s="50" t="s">
        <v>6292</v>
      </c>
      <c r="K14" s="50" t="s">
        <v>50</v>
      </c>
      <c r="L14" s="49" t="str">
        <f>IFERROR(__xludf.DUMMYFUNCTION("""COMPUTED_VALUE"""),"life")</f>
        <v>life</v>
      </c>
      <c r="M14" s="49" t="str">
        <f>IFERROR(__xludf.DUMMYFUNCTION("""COMPUTED_VALUE"""),"realistic")</f>
        <v>realistic</v>
      </c>
      <c r="N14" s="49" t="str">
        <f>IFERROR(__xludf.DUMMYFUNCTION("""COMPUTED_VALUE"""),"your")</f>
        <v>your</v>
      </c>
      <c r="O14" s="49" t="str">
        <f>IFERROR(__xludf.DUMMYFUNCTION("""COMPUTED_VALUE"""),"conspiracy")</f>
        <v>conspiracy</v>
      </c>
      <c r="P14" s="49" t="str">
        <f t="shared" si="2"/>
        <v>very,</v>
      </c>
      <c r="Q14" s="49"/>
      <c r="R14" s="50" t="s">
        <v>3298</v>
      </c>
      <c r="S14" s="55" t="s">
        <v>71</v>
      </c>
      <c r="T14" s="49" t="str">
        <f>IFERROR(__xludf.DUMMYFUNCTION("""COMPUTED_VALUE"""),"out")</f>
        <v>out</v>
      </c>
      <c r="U14" s="49" t="str">
        <f>IFERROR(__xludf.DUMMYFUNCTION("""COMPUTED_VALUE"""),"uneven")</f>
        <v>uneven</v>
      </c>
      <c r="V14" s="49" t="str">
        <f>IFERROR(__xludf.DUMMYFUNCTION("""COMPUTED_VALUE"""),"tech")</f>
        <v>tech</v>
      </c>
      <c r="W14" s="49" t="str">
        <f>IFERROR(__xludf.DUMMYFUNCTION("""COMPUTED_VALUE"""),"thought")</f>
        <v>thought</v>
      </c>
      <c r="X14" s="49" t="str">
        <f t="shared" si="3"/>
        <v>accident,</v>
      </c>
      <c r="Y14" s="49"/>
      <c r="Z14" s="1" t="s">
        <v>204</v>
      </c>
      <c r="AA14" s="1" t="s">
        <v>65</v>
      </c>
      <c r="AB14" s="49" t="str">
        <f>IFERROR(__xludf.DUMMYFUNCTION("""COMPUTED_VALUE"""),"plot")</f>
        <v>plot</v>
      </c>
      <c r="AC14" s="49" t="str">
        <f>IFERROR(__xludf.DUMMYFUNCTION("""COMPUTED_VALUE"""),"masterpiece")</f>
        <v>masterpiece</v>
      </c>
      <c r="AD14" s="49" t="str">
        <f>IFERROR(__xludf.DUMMYFUNCTION("""COMPUTED_VALUE"""),"your")</f>
        <v>your</v>
      </c>
      <c r="AE14" s="49" t="str">
        <f>IFERROR(__xludf.DUMMYFUNCTION("""COMPUTED_VALUE"""),"conspiracy")</f>
        <v>conspiracy</v>
      </c>
      <c r="AF14" s="49" t="str">
        <f t="shared" si="4"/>
        <v>an,</v>
      </c>
      <c r="AG14" s="49"/>
      <c r="AH14" s="1" t="s">
        <v>71</v>
      </c>
      <c r="AI14" s="1" t="s">
        <v>280</v>
      </c>
      <c r="AJ14" s="6" t="str">
        <f>IFERROR(__xludf.DUMMYFUNCTION("""COMPUTED_VALUE"""),"to")</f>
        <v>to</v>
      </c>
      <c r="AK14" s="53" t="str">
        <f>IFERROR(__xludf.DUMMYFUNCTION("""COMPUTED_VALUE"""),"longest")</f>
        <v>longest</v>
      </c>
      <c r="AL14" s="49" t="str">
        <f>IFERROR(__xludf.DUMMYFUNCTION("""COMPUTED_VALUE"""),"label")</f>
        <v>label</v>
      </c>
      <c r="AM14" s="49" t="str">
        <f>IFERROR(__xludf.DUMMYFUNCTION("""COMPUTED_VALUE"""),"sufficient")</f>
        <v>sufficient</v>
      </c>
      <c r="AN14" s="52" t="str">
        <f t="shared" si="5"/>
        <v>to,</v>
      </c>
    </row>
    <row r="15">
      <c r="A15" s="51" t="s">
        <v>151</v>
      </c>
      <c r="B15" s="50" t="s">
        <v>1138</v>
      </c>
      <c r="C15" s="50" t="s">
        <v>127</v>
      </c>
      <c r="D15" s="49" t="str">
        <f>IFERROR(__xludf.DUMMYFUNCTION("""COMPUTED_VALUE"""),"satisfied")</f>
        <v>satisfied</v>
      </c>
      <c r="E15" s="49" t="str">
        <f>IFERROR(__xludf.DUMMYFUNCTION("""COMPUTED_VALUE"""),"portrait")</f>
        <v>portrait</v>
      </c>
      <c r="F15" s="49" t="str">
        <f>IFERROR(__xludf.DUMMYFUNCTION("""COMPUTED_VALUE"""),"commander")</f>
        <v>commander</v>
      </c>
      <c r="G15" s="49" t="str">
        <f>IFERROR(__xludf.DUMMYFUNCTION("""COMPUTED_VALUE"""),"consistent")</f>
        <v>consistent</v>
      </c>
      <c r="H15" s="54" t="str">
        <f t="shared" si="1"/>
        <v>idea,</v>
      </c>
      <c r="I15" s="50"/>
      <c r="J15" s="50" t="s">
        <v>118</v>
      </c>
      <c r="K15" s="50" t="s">
        <v>65</v>
      </c>
      <c r="L15" s="49" t="str">
        <f>IFERROR(__xludf.DUMMYFUNCTION("""COMPUTED_VALUE"""),"party")</f>
        <v>party</v>
      </c>
      <c r="M15" s="49" t="str">
        <f>IFERROR(__xludf.DUMMYFUNCTION("""COMPUTED_VALUE"""),"portrayal")</f>
        <v>portrayal</v>
      </c>
      <c r="N15" s="49" t="str">
        <f>IFERROR(__xludf.DUMMYFUNCTION("""COMPUTED_VALUE"""),"in")</f>
        <v>in</v>
      </c>
      <c r="O15" s="49" t="str">
        <f>IFERROR(__xludf.DUMMYFUNCTION("""COMPUTED_VALUE"""),"theorist")</f>
        <v>theorist</v>
      </c>
      <c r="P15" s="49" t="str">
        <f t="shared" si="2"/>
        <v>for,</v>
      </c>
      <c r="Q15" s="49"/>
      <c r="R15" s="50" t="s">
        <v>2146</v>
      </c>
      <c r="S15" s="55" t="s">
        <v>50</v>
      </c>
      <c r="T15" s="49" t="str">
        <f>IFERROR(__xludf.DUMMYFUNCTION("""COMPUTED_VALUE"""),"even")</f>
        <v>even</v>
      </c>
      <c r="U15" s="49" t="str">
        <f>IFERROR(__xludf.DUMMYFUNCTION("""COMPUTED_VALUE"""),"epic")</f>
        <v>epic</v>
      </c>
      <c r="V15" s="49" t="str">
        <f>IFERROR(__xludf.DUMMYFUNCTION("""COMPUTED_VALUE"""),"know")</f>
        <v>know</v>
      </c>
      <c r="W15" s="49" t="str">
        <f>IFERROR(__xludf.DUMMYFUNCTION("""COMPUTED_VALUE"""),"in")</f>
        <v>in</v>
      </c>
      <c r="X15" s="49" t="str">
        <f t="shared" si="3"/>
        <v>him,</v>
      </c>
      <c r="Y15" s="49"/>
      <c r="Z15" s="1" t="s">
        <v>71</v>
      </c>
      <c r="AA15" s="1" t="s">
        <v>152</v>
      </c>
      <c r="AB15" s="49" t="str">
        <f>IFERROR(__xludf.DUMMYFUNCTION("""COMPUTED_VALUE"""),"generally")</f>
        <v>generally</v>
      </c>
      <c r="AC15" s="49" t="str">
        <f>IFERROR(__xludf.DUMMYFUNCTION("""COMPUTED_VALUE"""),"clumsy")</f>
        <v>clumsy</v>
      </c>
      <c r="AD15" s="49" t="str">
        <f>IFERROR(__xludf.DUMMYFUNCTION("""COMPUTED_VALUE"""),"in")</f>
        <v>in</v>
      </c>
      <c r="AE15" s="49" t="str">
        <f>IFERROR(__xludf.DUMMYFUNCTION("""COMPUTED_VALUE"""),"theorist")</f>
        <v>theorist</v>
      </c>
      <c r="AF15" s="49" t="str">
        <f t="shared" si="4"/>
        <v>to,</v>
      </c>
      <c r="AG15" s="49"/>
      <c r="AH15" s="1" t="s">
        <v>445</v>
      </c>
      <c r="AI15" s="1" t="s">
        <v>88</v>
      </c>
      <c r="AJ15" s="6" t="str">
        <f>IFERROR(__xludf.DUMMYFUNCTION("""COMPUTED_VALUE"""),"is")</f>
        <v>is</v>
      </c>
      <c r="AK15" s="53" t="str">
        <f>IFERROR(__xludf.DUMMYFUNCTION("""COMPUTED_VALUE"""),"fallen")</f>
        <v>fallen</v>
      </c>
      <c r="AL15" s="49" t="str">
        <f>IFERROR(__xludf.DUMMYFUNCTION("""COMPUTED_VALUE"""),"exchange")</f>
        <v>exchange</v>
      </c>
      <c r="AM15" s="49" t="str">
        <f>IFERROR(__xludf.DUMMYFUNCTION("""COMPUTED_VALUE"""),"greek")</f>
        <v>greek</v>
      </c>
      <c r="AN15" s="52" t="str">
        <f t="shared" si="5"/>
        <v>is,</v>
      </c>
    </row>
    <row r="16">
      <c r="A16" s="51" t="s">
        <v>158</v>
      </c>
      <c r="B16" s="50" t="s">
        <v>337</v>
      </c>
      <c r="C16" s="50" t="s">
        <v>6276</v>
      </c>
      <c r="D16" s="49" t="str">
        <f>IFERROR(__xludf.DUMMYFUNCTION("""COMPUTED_VALUE"""),"could")</f>
        <v>could</v>
      </c>
      <c r="E16" s="49" t="str">
        <f>IFERROR(__xludf.DUMMYFUNCTION("""COMPUTED_VALUE"""),"kills")</f>
        <v>kills</v>
      </c>
      <c r="F16" s="49" t="str">
        <f>IFERROR(__xludf.DUMMYFUNCTION("""COMPUTED_VALUE"""),"jeff")</f>
        <v>jeff</v>
      </c>
      <c r="G16" s="49" t="str">
        <f>IFERROR(__xludf.DUMMYFUNCTION("""COMPUTED_VALUE"""),"da")</f>
        <v>da</v>
      </c>
      <c r="H16" s="54" t="str">
        <f t="shared" si="1"/>
        <v>bad,</v>
      </c>
      <c r="I16" s="50"/>
      <c r="J16" s="50" t="s">
        <v>266</v>
      </c>
      <c r="K16" s="50" t="s">
        <v>164</v>
      </c>
      <c r="L16" s="49" t="str">
        <f>IFERROR(__xludf.DUMMYFUNCTION("""COMPUTED_VALUE"""),"bad")</f>
        <v>bad</v>
      </c>
      <c r="M16" s="49" t="str">
        <f>IFERROR(__xludf.DUMMYFUNCTION("""COMPUTED_VALUE"""),"reveals")</f>
        <v>reveals</v>
      </c>
      <c r="N16" s="49" t="str">
        <f>IFERROR(__xludf.DUMMYFUNCTION("""COMPUTED_VALUE"""),".")</f>
        <v>.</v>
      </c>
      <c r="O16" s="49" t="str">
        <f>IFERROR(__xludf.DUMMYFUNCTION("""COMPUTED_VALUE"""),"brave")</f>
        <v>brave</v>
      </c>
      <c r="P16" s="49" t="str">
        <f t="shared" si="2"/>
        <v>out,</v>
      </c>
      <c r="Q16" s="49"/>
      <c r="R16" s="50" t="s">
        <v>266</v>
      </c>
      <c r="S16" s="55" t="s">
        <v>152</v>
      </c>
      <c r="T16" s="49" t="str">
        <f>IFERROR(__xludf.DUMMYFUNCTION("""COMPUTED_VALUE"""),"to")</f>
        <v>to</v>
      </c>
      <c r="U16" s="49" t="str">
        <f>IFERROR(__xludf.DUMMYFUNCTION("""COMPUTED_VALUE"""),"considerable")</f>
        <v>considerable</v>
      </c>
      <c r="V16" s="49" t="str">
        <f>IFERROR(__xludf.DUMMYFUNCTION("""COMPUTED_VALUE"""),"like")</f>
        <v>like</v>
      </c>
      <c r="W16" s="49" t="str">
        <f>IFERROR(__xludf.DUMMYFUNCTION("""COMPUTED_VALUE"""),"absurd")</f>
        <v>absurd</v>
      </c>
      <c r="X16" s="49" t="str">
        <f t="shared" si="3"/>
        <v>out,</v>
      </c>
      <c r="Y16" s="49"/>
      <c r="Z16" s="1" t="s">
        <v>41</v>
      </c>
      <c r="AA16" s="1" t="s">
        <v>28</v>
      </c>
      <c r="AB16" s="49" t="str">
        <f>IFERROR(__xludf.DUMMYFUNCTION("""COMPUTED_VALUE"""),"generation")</f>
        <v>generation</v>
      </c>
      <c r="AC16" s="49" t="str">
        <f>IFERROR(__xludf.DUMMYFUNCTION("""COMPUTED_VALUE"""),"conviction")</f>
        <v>conviction</v>
      </c>
      <c r="AD16" s="49" t="str">
        <f>IFERROR(__xludf.DUMMYFUNCTION("""COMPUTED_VALUE"""),".")</f>
        <v>.</v>
      </c>
      <c r="AE16" s="49" t="str">
        <f>IFERROR(__xludf.DUMMYFUNCTION("""COMPUTED_VALUE"""),"brave")</f>
        <v>brave</v>
      </c>
      <c r="AF16" s="49" t="str">
        <f t="shared" si="4"/>
        <v>on,</v>
      </c>
      <c r="AG16" s="49"/>
      <c r="AH16" s="1" t="s">
        <v>118</v>
      </c>
      <c r="AI16" s="1" t="s">
        <v>40</v>
      </c>
      <c r="AJ16" s="6" t="str">
        <f>IFERROR(__xludf.DUMMYFUNCTION("""COMPUTED_VALUE"""),"for")</f>
        <v>for</v>
      </c>
      <c r="AK16" s="53" t="str">
        <f>IFERROR(__xludf.DUMMYFUNCTION("""COMPUTED_VALUE"""),"achievement")</f>
        <v>achievement</v>
      </c>
      <c r="AL16" s="49" t="str">
        <f>IFERROR(__xludf.DUMMYFUNCTION("""COMPUTED_VALUE"""),"walter")</f>
        <v>walter</v>
      </c>
      <c r="AM16" s="49" t="str">
        <f>IFERROR(__xludf.DUMMYFUNCTION("""COMPUTED_VALUE"""),"document")</f>
        <v>document</v>
      </c>
      <c r="AN16" s="52" t="str">
        <f t="shared" si="5"/>
        <v>for,</v>
      </c>
    </row>
    <row r="17">
      <c r="A17" s="51" t="s">
        <v>165</v>
      </c>
      <c r="B17" s="50" t="s">
        <v>1529</v>
      </c>
      <c r="C17" s="50" t="s">
        <v>152</v>
      </c>
      <c r="D17" s="49" t="str">
        <f>IFERROR(__xludf.DUMMYFUNCTION("""COMPUTED_VALUE"""),"worst")</f>
        <v>worst</v>
      </c>
      <c r="E17" s="49" t="str">
        <f>IFERROR(__xludf.DUMMYFUNCTION("""COMPUTED_VALUE"""),"courage")</f>
        <v>courage</v>
      </c>
      <c r="F17" s="49" t="str">
        <f>IFERROR(__xludf.DUMMYFUNCTION("""COMPUTED_VALUE"""),"author")</f>
        <v>author</v>
      </c>
      <c r="G17" s="49" t="str">
        <f>IFERROR(__xludf.DUMMYFUNCTION("""COMPUTED_VALUE"""),"archives")</f>
        <v>archives</v>
      </c>
      <c r="H17" s="54" t="str">
        <f t="shared" si="1"/>
        <v>deal,</v>
      </c>
      <c r="I17" s="50"/>
      <c r="J17" s="50" t="s">
        <v>71</v>
      </c>
      <c r="K17" s="50" t="s">
        <v>28</v>
      </c>
      <c r="L17" s="49" t="str">
        <f>IFERROR(__xludf.DUMMYFUNCTION("""COMPUTED_VALUE"""),"deal")</f>
        <v>deal</v>
      </c>
      <c r="M17" s="49" t="str">
        <f>IFERROR(__xludf.DUMMYFUNCTION("""COMPUTED_VALUE"""),"uneven")</f>
        <v>uneven</v>
      </c>
      <c r="N17" s="49" t="str">
        <f>IFERROR(__xludf.DUMMYFUNCTION("""COMPUTED_VALUE"""),"they")</f>
        <v>they</v>
      </c>
      <c r="O17" s="49" t="str">
        <f>IFERROR(__xludf.DUMMYFUNCTION("""COMPUTED_VALUE"""),"performances")</f>
        <v>performances</v>
      </c>
      <c r="P17" s="49" t="str">
        <f t="shared" si="2"/>
        <v>to,</v>
      </c>
      <c r="Q17" s="49"/>
      <c r="R17" s="50" t="s">
        <v>156</v>
      </c>
      <c r="S17" s="55" t="s">
        <v>65</v>
      </c>
      <c r="T17" s="49" t="str">
        <f>IFERROR(__xludf.DUMMYFUNCTION("""COMPUTED_VALUE"""),".")</f>
        <v>.</v>
      </c>
      <c r="U17" s="49" t="str">
        <f>IFERROR(__xludf.DUMMYFUNCTION("""COMPUTED_VALUE"""),"enables")</f>
        <v>enables</v>
      </c>
      <c r="V17" s="49" t="str">
        <f>IFERROR(__xludf.DUMMYFUNCTION("""COMPUTED_VALUE"""),"cute")</f>
        <v>cute</v>
      </c>
      <c r="W17" s="49" t="str">
        <f>IFERROR(__xludf.DUMMYFUNCTION("""COMPUTED_VALUE"""),"goes")</f>
        <v>goes</v>
      </c>
      <c r="X17" s="49" t="str">
        <f t="shared" si="3"/>
        <v>even,</v>
      </c>
      <c r="Y17" s="49"/>
      <c r="Z17" s="1" t="s">
        <v>101</v>
      </c>
      <c r="AA17" s="1" t="s">
        <v>60</v>
      </c>
      <c r="AB17" s="49" t="str">
        <f>IFERROR(__xludf.DUMMYFUNCTION("""COMPUTED_VALUE"""),"find")</f>
        <v>find</v>
      </c>
      <c r="AC17" s="49" t="str">
        <f>IFERROR(__xludf.DUMMYFUNCTION("""COMPUTED_VALUE"""),"realistic")</f>
        <v>realistic</v>
      </c>
      <c r="AD17" s="49" t="str">
        <f>IFERROR(__xludf.DUMMYFUNCTION("""COMPUTED_VALUE"""),"they")</f>
        <v>they</v>
      </c>
      <c r="AE17" s="49" t="str">
        <f>IFERROR(__xludf.DUMMYFUNCTION("""COMPUTED_VALUE"""),"performances")</f>
        <v>performances</v>
      </c>
      <c r="AF17" s="49" t="str">
        <f t="shared" si="4"/>
        <v>this,</v>
      </c>
      <c r="AG17" s="49"/>
      <c r="AH17" s="1" t="s">
        <v>41</v>
      </c>
      <c r="AI17" s="1" t="s">
        <v>113</v>
      </c>
      <c r="AJ17" s="6" t="str">
        <f>IFERROR(__xludf.DUMMYFUNCTION("""COMPUTED_VALUE"""),"on")</f>
        <v>on</v>
      </c>
      <c r="AK17" s="53" t="str">
        <f>IFERROR(__xludf.DUMMYFUNCTION("""COMPUTED_VALUE"""),"touched")</f>
        <v>touched</v>
      </c>
      <c r="AL17" s="49" t="str">
        <f>IFERROR(__xludf.DUMMYFUNCTION("""COMPUTED_VALUE"""),"australian")</f>
        <v>australian</v>
      </c>
      <c r="AM17" s="49">
        <f>IFERROR(__xludf.DUMMYFUNCTION("""COMPUTED_VALUE"""),2002.0)</f>
        <v>2002</v>
      </c>
      <c r="AN17" s="52" t="str">
        <f t="shared" si="5"/>
        <v>on,</v>
      </c>
    </row>
    <row r="18">
      <c r="A18" s="51" t="s">
        <v>175</v>
      </c>
      <c r="B18" s="50" t="s">
        <v>2172</v>
      </c>
      <c r="C18" s="50" t="s">
        <v>164</v>
      </c>
      <c r="D18" s="49" t="str">
        <f>IFERROR(__xludf.DUMMYFUNCTION("""COMPUTED_VALUE"""),"far")</f>
        <v>far</v>
      </c>
      <c r="E18" s="49" t="str">
        <f>IFERROR(__xludf.DUMMYFUNCTION("""COMPUTED_VALUE"""),"universal")</f>
        <v>universal</v>
      </c>
      <c r="F18" s="49" t="str">
        <f>IFERROR(__xludf.DUMMYFUNCTION("""COMPUTED_VALUE"""),"solar")</f>
        <v>solar</v>
      </c>
      <c r="G18" s="49" t="str">
        <f>IFERROR(__xludf.DUMMYFUNCTION("""COMPUTED_VALUE"""),"preliminary")</f>
        <v>preliminary</v>
      </c>
      <c r="H18" s="54" t="str">
        <f t="shared" si="1"/>
        <v>makes,</v>
      </c>
      <c r="I18" s="50"/>
      <c r="J18" s="50" t="s">
        <v>41</v>
      </c>
      <c r="K18" s="50" t="s">
        <v>185</v>
      </c>
      <c r="L18" s="49" t="str">
        <f>IFERROR(__xludf.DUMMYFUNCTION("""COMPUTED_VALUE"""),"accident")</f>
        <v>accident</v>
      </c>
      <c r="M18" s="49" t="str">
        <f>IFERROR(__xludf.DUMMYFUNCTION("""COMPUTED_VALUE"""),"epic")</f>
        <v>epic</v>
      </c>
      <c r="N18" s="49" t="str">
        <f>IFERROR(__xludf.DUMMYFUNCTION("""COMPUTED_VALUE"""),":")</f>
        <v>:</v>
      </c>
      <c r="O18" s="49" t="str">
        <f>IFERROR(__xludf.DUMMYFUNCTION("""COMPUTED_VALUE"""),"enriched")</f>
        <v>enriched</v>
      </c>
      <c r="P18" s="49" t="str">
        <f t="shared" si="2"/>
        <v>on,</v>
      </c>
      <c r="Q18" s="49"/>
      <c r="R18" s="50" t="s">
        <v>71</v>
      </c>
      <c r="S18" s="55" t="s">
        <v>164</v>
      </c>
      <c r="T18" s="49" t="str">
        <f>IFERROR(__xludf.DUMMYFUNCTION("""COMPUTED_VALUE"""),"his")</f>
        <v>his</v>
      </c>
      <c r="U18" s="49" t="str">
        <f>IFERROR(__xludf.DUMMYFUNCTION("""COMPUTED_VALUE"""),"slick")</f>
        <v>slick</v>
      </c>
      <c r="V18" s="49" t="str">
        <f>IFERROR(__xludf.DUMMYFUNCTION("""COMPUTED_VALUE"""),"not")</f>
        <v>not</v>
      </c>
      <c r="W18" s="49" t="str">
        <f>IFERROR(__xludf.DUMMYFUNCTION("""COMPUTED_VALUE"""),"do")</f>
        <v>do</v>
      </c>
      <c r="X18" s="49" t="str">
        <f t="shared" si="3"/>
        <v>to,</v>
      </c>
      <c r="Y18" s="49"/>
      <c r="Z18" s="1" t="s">
        <v>3535</v>
      </c>
      <c r="AA18" s="1" t="s">
        <v>177</v>
      </c>
      <c r="AB18" s="49" t="str">
        <f>IFERROR(__xludf.DUMMYFUNCTION("""COMPUTED_VALUE"""),"power")</f>
        <v>power</v>
      </c>
      <c r="AC18" s="49" t="str">
        <f>IFERROR(__xludf.DUMMYFUNCTION("""COMPUTED_VALUE"""),"portrayal")</f>
        <v>portrayal</v>
      </c>
      <c r="AD18" s="49" t="str">
        <f>IFERROR(__xludf.DUMMYFUNCTION("""COMPUTED_VALUE"""),":")</f>
        <v>:</v>
      </c>
      <c r="AE18" s="49" t="str">
        <f>IFERROR(__xludf.DUMMYFUNCTION("""COMPUTED_VALUE"""),"enriched")</f>
        <v>enriched</v>
      </c>
      <c r="AF18" s="49" t="str">
        <f t="shared" si="4"/>
        <v>cool,</v>
      </c>
      <c r="AG18" s="49"/>
      <c r="AH18" s="1" t="s">
        <v>253</v>
      </c>
      <c r="AI18" s="1" t="s">
        <v>86</v>
      </c>
      <c r="AJ18" s="6" t="str">
        <f>IFERROR(__xludf.DUMMYFUNCTION("""COMPUTED_VALUE"""),"with")</f>
        <v>with</v>
      </c>
      <c r="AK18" s="53" t="str">
        <f>IFERROR(__xludf.DUMMYFUNCTION("""COMPUTED_VALUE"""),"breathe")</f>
        <v>breathe</v>
      </c>
      <c r="AL18" s="49">
        <f>IFERROR(__xludf.DUMMYFUNCTION("""COMPUTED_VALUE"""),19.0)</f>
        <v>19</v>
      </c>
      <c r="AM18" s="49" t="str">
        <f>IFERROR(__xludf.DUMMYFUNCTION("""COMPUTED_VALUE"""),"korean")</f>
        <v>korean</v>
      </c>
      <c r="AN18" s="52" t="str">
        <f t="shared" si="5"/>
        <v>with,</v>
      </c>
    </row>
    <row r="19">
      <c r="A19" s="51" t="s">
        <v>186</v>
      </c>
      <c r="B19" s="50" t="s">
        <v>383</v>
      </c>
      <c r="C19" s="50" t="s">
        <v>1264</v>
      </c>
      <c r="D19" s="49" t="str">
        <f>IFERROR(__xludf.DUMMYFUNCTION("""COMPUTED_VALUE"""),"treatment")</f>
        <v>treatment</v>
      </c>
      <c r="E19" s="49" t="str">
        <f>IFERROR(__xludf.DUMMYFUNCTION("""COMPUTED_VALUE"""),"capable")</f>
        <v>capable</v>
      </c>
      <c r="F19" s="49" t="str">
        <f>IFERROR(__xludf.DUMMYFUNCTION("""COMPUTED_VALUE"""),"pen")</f>
        <v>pen</v>
      </c>
      <c r="G19" s="49" t="str">
        <f>IFERROR(__xludf.DUMMYFUNCTION("""COMPUTED_VALUE"""),"warmth")</f>
        <v>warmth</v>
      </c>
      <c r="H19" s="54" t="str">
        <f t="shared" si="1"/>
        <v>films,</v>
      </c>
      <c r="I19" s="50"/>
      <c r="J19" s="50" t="s">
        <v>91</v>
      </c>
      <c r="K19" s="50" t="s">
        <v>60</v>
      </c>
      <c r="L19" s="49" t="str">
        <f>IFERROR(__xludf.DUMMYFUNCTION("""COMPUTED_VALUE"""),"teen")</f>
        <v>teen</v>
      </c>
      <c r="M19" s="49" t="str">
        <f>IFERROR(__xludf.DUMMYFUNCTION("""COMPUTED_VALUE"""),"enables")</f>
        <v>enables</v>
      </c>
      <c r="N19" s="49" t="str">
        <f>IFERROR(__xludf.DUMMYFUNCTION("""COMPUTED_VALUE"""),"that")</f>
        <v>that</v>
      </c>
      <c r="O19" s="49" t="str">
        <f>IFERROR(__xludf.DUMMYFUNCTION("""COMPUTED_VALUE"""),"plot")</f>
        <v>plot</v>
      </c>
      <c r="P19" s="49" t="str">
        <f t="shared" si="2"/>
        <v>of,</v>
      </c>
      <c r="Q19" s="49"/>
      <c r="R19" s="50" t="s">
        <v>6262</v>
      </c>
      <c r="S19" s="55" t="s">
        <v>28</v>
      </c>
      <c r="T19" s="49" t="str">
        <f>IFERROR(__xludf.DUMMYFUNCTION("""COMPUTED_VALUE"""),"cool")</f>
        <v>cool</v>
      </c>
      <c r="U19" s="49" t="str">
        <f>IFERROR(__xludf.DUMMYFUNCTION("""COMPUTED_VALUE"""),"haunting")</f>
        <v>haunting</v>
      </c>
      <c r="V19" s="49" t="str">
        <f>IFERROR(__xludf.DUMMYFUNCTION("""COMPUTED_VALUE"""),"seem")</f>
        <v>seem</v>
      </c>
      <c r="W19" s="49" t="str">
        <f>IFERROR(__xludf.DUMMYFUNCTION("""COMPUTED_VALUE"""),"make")</f>
        <v>make</v>
      </c>
      <c r="X19" s="49" t="str">
        <f t="shared" si="3"/>
        <v>.,</v>
      </c>
      <c r="Y19" s="49"/>
      <c r="Z19" s="1" t="s">
        <v>39</v>
      </c>
      <c r="AA19" s="1" t="s">
        <v>36</v>
      </c>
      <c r="AB19" s="49" t="str">
        <f>IFERROR(__xludf.DUMMYFUNCTION("""COMPUTED_VALUE"""),"there")</f>
        <v>there</v>
      </c>
      <c r="AC19" s="49" t="str">
        <f>IFERROR(__xludf.DUMMYFUNCTION("""COMPUTED_VALUE"""),"reveals")</f>
        <v>reveals</v>
      </c>
      <c r="AD19" s="49" t="str">
        <f>IFERROR(__xludf.DUMMYFUNCTION("""COMPUTED_VALUE"""),"that")</f>
        <v>that</v>
      </c>
      <c r="AE19" s="49" t="str">
        <f>IFERROR(__xludf.DUMMYFUNCTION("""COMPUTED_VALUE"""),"plot")</f>
        <v>plot</v>
      </c>
      <c r="AF19" s="49" t="str">
        <f t="shared" si="4"/>
        <v>the,</v>
      </c>
      <c r="AG19" s="49"/>
      <c r="AH19" s="1" t="s">
        <v>288</v>
      </c>
      <c r="AI19" s="1" t="s">
        <v>98</v>
      </c>
      <c r="AJ19" s="6" t="str">
        <f>IFERROR(__xludf.DUMMYFUNCTION("""COMPUTED_VALUE"""),"that")</f>
        <v>that</v>
      </c>
      <c r="AK19" s="49" t="str">
        <f>IFERROR(__xludf.DUMMYFUNCTION("""COMPUTED_VALUE"""),"asleep")</f>
        <v>asleep</v>
      </c>
      <c r="AL19" s="49" t="str">
        <f>IFERROR(__xludf.DUMMYFUNCTION("""COMPUTED_VALUE"""),"wire")</f>
        <v>wire</v>
      </c>
      <c r="AM19" s="49" t="str">
        <f>IFERROR(__xludf.DUMMYFUNCTION("""COMPUTED_VALUE"""),"israeli")</f>
        <v>israeli</v>
      </c>
      <c r="AN19" s="52" t="str">
        <f t="shared" si="5"/>
        <v>that,</v>
      </c>
    </row>
    <row r="20">
      <c r="A20" s="51" t="s">
        <v>195</v>
      </c>
      <c r="B20" s="50" t="s">
        <v>3522</v>
      </c>
      <c r="C20" s="50" t="s">
        <v>236</v>
      </c>
      <c r="D20" s="49" t="str">
        <f>IFERROR(__xludf.DUMMYFUNCTION("""COMPUTED_VALUE"""),"merit")</f>
        <v>merit</v>
      </c>
      <c r="E20" s="49" t="str">
        <f>IFERROR(__xludf.DUMMYFUNCTION("""COMPUTED_VALUE"""),"deadly")</f>
        <v>deadly</v>
      </c>
      <c r="F20" s="49" t="str">
        <f>IFERROR(__xludf.DUMMYFUNCTION("""COMPUTED_VALUE"""),"praised")</f>
        <v>praised</v>
      </c>
      <c r="G20" s="49" t="str">
        <f>IFERROR(__xludf.DUMMYFUNCTION("""COMPUTED_VALUE"""),"performers")</f>
        <v>performers</v>
      </c>
      <c r="H20" s="54" t="str">
        <f t="shared" si="1"/>
        <v>movie,</v>
      </c>
      <c r="I20" s="50"/>
      <c r="J20" s="50" t="s">
        <v>2146</v>
      </c>
      <c r="K20" s="50" t="s">
        <v>36</v>
      </c>
      <c r="L20" s="49" t="str">
        <f>IFERROR(__xludf.DUMMYFUNCTION("""COMPUTED_VALUE"""),"t")</f>
        <v>t</v>
      </c>
      <c r="M20" s="49" t="str">
        <f>IFERROR(__xludf.DUMMYFUNCTION("""COMPUTED_VALUE"""),"essentially")</f>
        <v>essentially</v>
      </c>
      <c r="N20" s="49" t="str">
        <f>IFERROR(__xludf.DUMMYFUNCTION("""COMPUTED_VALUE"""),"the")</f>
        <v>the</v>
      </c>
      <c r="O20" s="49" t="str">
        <f>IFERROR(__xludf.DUMMYFUNCTION("""COMPUTED_VALUE"""),"cylinders")</f>
        <v>cylinders</v>
      </c>
      <c r="P20" s="49" t="str">
        <f t="shared" si="2"/>
        <v>him,</v>
      </c>
      <c r="Q20" s="49"/>
      <c r="R20" s="50" t="s">
        <v>388</v>
      </c>
      <c r="S20" s="55" t="s">
        <v>236</v>
      </c>
      <c r="T20" s="49" t="str">
        <f>IFERROR(__xludf.DUMMYFUNCTION("""COMPUTED_VALUE"""),"s")</f>
        <v>s</v>
      </c>
      <c r="U20" s="49" t="str">
        <f>IFERROR(__xludf.DUMMYFUNCTION("""COMPUTED_VALUE"""),"pale")</f>
        <v>pale</v>
      </c>
      <c r="V20" s="49" t="str">
        <f>IFERROR(__xludf.DUMMYFUNCTION("""COMPUTED_VALUE"""),"based")</f>
        <v>based</v>
      </c>
      <c r="W20" s="49" t="str">
        <f>IFERROR(__xludf.DUMMYFUNCTION("""COMPUTED_VALUE"""),"story")</f>
        <v>story</v>
      </c>
      <c r="X20" s="49" t="str">
        <f t="shared" si="3"/>
        <v>his,</v>
      </c>
      <c r="Y20" s="49"/>
      <c r="Z20" s="1" t="s">
        <v>2250</v>
      </c>
      <c r="AA20" s="1" t="s">
        <v>197</v>
      </c>
      <c r="AB20" s="49" t="str">
        <f>IFERROR(__xludf.DUMMYFUNCTION("""COMPUTED_VALUE"""),"do")</f>
        <v>do</v>
      </c>
      <c r="AC20" s="49" t="str">
        <f>IFERROR(__xludf.DUMMYFUNCTION("""COMPUTED_VALUE"""),"uneven")</f>
        <v>uneven</v>
      </c>
      <c r="AD20" s="49" t="str">
        <f>IFERROR(__xludf.DUMMYFUNCTION("""COMPUTED_VALUE"""),"the")</f>
        <v>the</v>
      </c>
      <c r="AE20" s="49" t="str">
        <f>IFERROR(__xludf.DUMMYFUNCTION("""COMPUTED_VALUE"""),"cylinders")</f>
        <v>cylinders</v>
      </c>
      <c r="AF20" s="49" t="str">
        <f t="shared" si="4"/>
        <v>break,</v>
      </c>
      <c r="AG20" s="49"/>
      <c r="AH20" s="1" t="s">
        <v>523</v>
      </c>
      <c r="AI20" s="1" t="s">
        <v>76</v>
      </c>
      <c r="AJ20" s="6" t="str">
        <f>IFERROR(__xludf.DUMMYFUNCTION("""COMPUTED_VALUE"""),"it")</f>
        <v>it</v>
      </c>
      <c r="AK20" s="49" t="str">
        <f>IFERROR(__xludf.DUMMYFUNCTION("""COMPUTED_VALUE"""),"viewed")</f>
        <v>viewed</v>
      </c>
      <c r="AL20" s="49" t="str">
        <f>IFERROR(__xludf.DUMMYFUNCTION("""COMPUTED_VALUE"""),"relocated")</f>
        <v>relocated</v>
      </c>
      <c r="AM20" s="49" t="str">
        <f>IFERROR(__xludf.DUMMYFUNCTION("""COMPUTED_VALUE"""),"diverse")</f>
        <v>diverse</v>
      </c>
      <c r="AN20" s="52" t="str">
        <f t="shared" si="5"/>
        <v>it,</v>
      </c>
    </row>
    <row r="21">
      <c r="A21" s="51" t="s">
        <v>140</v>
      </c>
      <c r="B21" s="50" t="s">
        <v>1192</v>
      </c>
      <c r="C21" s="50" t="s">
        <v>177</v>
      </c>
      <c r="D21" s="49" t="str">
        <f>IFERROR(__xludf.DUMMYFUNCTION("""COMPUTED_VALUE"""),"film")</f>
        <v>film</v>
      </c>
      <c r="E21" s="49" t="str">
        <f>IFERROR(__xludf.DUMMYFUNCTION("""COMPUTED_VALUE"""),"striking")</f>
        <v>striking</v>
      </c>
      <c r="F21" s="49" t="str">
        <f>IFERROR(__xludf.DUMMYFUNCTION("""COMPUTED_VALUE"""),"19th")</f>
        <v>19th</v>
      </c>
      <c r="G21" s="49" t="str">
        <f>IFERROR(__xludf.DUMMYFUNCTION("""COMPUTED_VALUE"""),"markets")</f>
        <v>markets</v>
      </c>
      <c r="H21" s="54" t="str">
        <f t="shared" si="1"/>
        <v>generally,</v>
      </c>
      <c r="I21" s="50"/>
      <c r="J21" s="50" t="s">
        <v>959</v>
      </c>
      <c r="K21" s="50" t="s">
        <v>80</v>
      </c>
      <c r="L21" s="49" t="str">
        <f>IFERROR(__xludf.DUMMYFUNCTION("""COMPUTED_VALUE"""),"few")</f>
        <v>few</v>
      </c>
      <c r="M21" s="49" t="str">
        <f>IFERROR(__xludf.DUMMYFUNCTION("""COMPUTED_VALUE"""),"haunting")</f>
        <v>haunting</v>
      </c>
      <c r="N21" s="49" t="str">
        <f>IFERROR(__xludf.DUMMYFUNCTION("""COMPUTED_VALUE"""),"but")</f>
        <v>but</v>
      </c>
      <c r="O21" s="49" t="str">
        <f>IFERROR(__xludf.DUMMYFUNCTION("""COMPUTED_VALUE"""),"poorly")</f>
        <v>poorly</v>
      </c>
      <c r="P21" s="49" t="str">
        <f t="shared" si="2"/>
        <v>your,</v>
      </c>
      <c r="Q21" s="49"/>
      <c r="R21" s="50" t="s">
        <v>41</v>
      </c>
      <c r="S21" s="55" t="s">
        <v>185</v>
      </c>
      <c r="T21" s="49" t="str">
        <f>IFERROR(__xludf.DUMMYFUNCTION("""COMPUTED_VALUE"""),"has")</f>
        <v>has</v>
      </c>
      <c r="U21" s="49" t="str">
        <f>IFERROR(__xludf.DUMMYFUNCTION("""COMPUTED_VALUE"""),"affecting")</f>
        <v>affecting</v>
      </c>
      <c r="V21" s="49" t="str">
        <f>IFERROR(__xludf.DUMMYFUNCTION("""COMPUTED_VALUE"""),"however")</f>
        <v>however</v>
      </c>
      <c r="W21" s="49" t="str">
        <f>IFERROR(__xludf.DUMMYFUNCTION("""COMPUTED_VALUE"""),"musicians")</f>
        <v>musicians</v>
      </c>
      <c r="X21" s="49" t="str">
        <f t="shared" si="3"/>
        <v>on,</v>
      </c>
      <c r="Y21" s="49"/>
      <c r="Z21" s="1" t="s">
        <v>2476</v>
      </c>
      <c r="AA21" s="1" t="s">
        <v>204</v>
      </c>
      <c r="AB21" s="49" t="str">
        <f>IFERROR(__xludf.DUMMYFUNCTION("""COMPUTED_VALUE"""),"got")</f>
        <v>got</v>
      </c>
      <c r="AC21" s="49" t="str">
        <f>IFERROR(__xludf.DUMMYFUNCTION("""COMPUTED_VALUE"""),"epic")</f>
        <v>epic</v>
      </c>
      <c r="AD21" s="49" t="str">
        <f>IFERROR(__xludf.DUMMYFUNCTION("""COMPUTED_VALUE"""),"but")</f>
        <v>but</v>
      </c>
      <c r="AE21" s="49" t="str">
        <f>IFERROR(__xludf.DUMMYFUNCTION("""COMPUTED_VALUE"""),"poorly")</f>
        <v>poorly</v>
      </c>
      <c r="AF21" s="49" t="str">
        <f t="shared" si="4"/>
        <v>continues,</v>
      </c>
      <c r="AG21" s="49"/>
      <c r="AH21" s="1" t="s">
        <v>388</v>
      </c>
      <c r="AI21" s="1" t="s">
        <v>6274</v>
      </c>
      <c r="AJ21" s="6" t="str">
        <f>IFERROR(__xludf.DUMMYFUNCTION("""COMPUTED_VALUE"""),"his")</f>
        <v>his</v>
      </c>
      <c r="AK21" s="49" t="str">
        <f>IFERROR(__xludf.DUMMYFUNCTION("""COMPUTED_VALUE"""),"wins")</f>
        <v>wins</v>
      </c>
      <c r="AL21" s="49" t="str">
        <f>IFERROR(__xludf.DUMMYFUNCTION("""COMPUTED_VALUE"""),"metro")</f>
        <v>metro</v>
      </c>
      <c r="AM21" s="49" t="str">
        <f>IFERROR(__xludf.DUMMYFUNCTION("""COMPUTED_VALUE"""),"orthodox")</f>
        <v>orthodox</v>
      </c>
      <c r="AN21" s="52" t="str">
        <f t="shared" si="5"/>
        <v>his,</v>
      </c>
    </row>
    <row r="22">
      <c r="A22" s="51" t="s">
        <v>209</v>
      </c>
      <c r="B22" s="50" t="s">
        <v>2234</v>
      </c>
      <c r="C22" s="50" t="s">
        <v>112</v>
      </c>
      <c r="D22" s="49" t="str">
        <f>IFERROR(__xludf.DUMMYFUNCTION("""COMPUTED_VALUE"""),"still")</f>
        <v>still</v>
      </c>
      <c r="E22" s="49" t="str">
        <f>IFERROR(__xludf.DUMMYFUNCTION("""COMPUTED_VALUE"""),"longest")</f>
        <v>longest</v>
      </c>
      <c r="F22" s="49" t="str">
        <f>IFERROR(__xludf.DUMMYFUNCTION("""COMPUTED_VALUE"""),"col")</f>
        <v>col</v>
      </c>
      <c r="G22" s="49" t="str">
        <f>IFERROR(__xludf.DUMMYFUNCTION("""COMPUTED_VALUE"""),"norwegian")</f>
        <v>norwegian</v>
      </c>
      <c r="H22" s="54" t="str">
        <f t="shared" si="1"/>
        <v>drive,</v>
      </c>
      <c r="I22" s="50"/>
      <c r="J22" s="50" t="s">
        <v>278</v>
      </c>
      <c r="K22" s="50" t="s">
        <v>70</v>
      </c>
      <c r="L22" s="49" t="str">
        <f>IFERROR(__xludf.DUMMYFUNCTION("""COMPUTED_VALUE"""),"got")</f>
        <v>got</v>
      </c>
      <c r="M22" s="49" t="str">
        <f>IFERROR(__xludf.DUMMYFUNCTION("""COMPUTED_VALUE"""),"affecting")</f>
        <v>affecting</v>
      </c>
      <c r="N22" s="49" t="str">
        <f>IFERROR(__xludf.DUMMYFUNCTION("""COMPUTED_VALUE"""),"what")</f>
        <v>what</v>
      </c>
      <c r="O22" s="49" t="str">
        <f>IFERROR(__xludf.DUMMYFUNCTION("""COMPUTED_VALUE"""),"find")</f>
        <v>find</v>
      </c>
      <c r="P22" s="49" t="str">
        <f t="shared" si="2"/>
        <v>in,</v>
      </c>
      <c r="Q22" s="49"/>
      <c r="R22" s="50" t="s">
        <v>3535</v>
      </c>
      <c r="S22" s="55" t="s">
        <v>60</v>
      </c>
      <c r="T22" s="49" t="str">
        <f>IFERROR(__xludf.DUMMYFUNCTION("""COMPUTED_VALUE"""),"is")</f>
        <v>is</v>
      </c>
      <c r="U22" s="49" t="str">
        <f>IFERROR(__xludf.DUMMYFUNCTION("""COMPUTED_VALUE"""),"intelligent")</f>
        <v>intelligent</v>
      </c>
      <c r="V22" s="49" t="str">
        <f>IFERROR(__xludf.DUMMYFUNCTION("""COMPUTED_VALUE"""),"wrong")</f>
        <v>wrong</v>
      </c>
      <c r="W22" s="49" t="str">
        <f>IFERROR(__xludf.DUMMYFUNCTION("""COMPUTED_VALUE"""),"cold")</f>
        <v>cold</v>
      </c>
      <c r="X22" s="49" t="str">
        <f t="shared" si="3"/>
        <v>cool,</v>
      </c>
      <c r="Y22" s="49"/>
      <c r="Z22" s="1" t="s">
        <v>2641</v>
      </c>
      <c r="AA22" s="1" t="s">
        <v>70</v>
      </c>
      <c r="AB22" s="49" t="str">
        <f>IFERROR(__xludf.DUMMYFUNCTION("""COMPUTED_VALUE"""),"here")</f>
        <v>here</v>
      </c>
      <c r="AC22" s="49" t="str">
        <f>IFERROR(__xludf.DUMMYFUNCTION("""COMPUTED_VALUE"""),"considerable")</f>
        <v>considerable</v>
      </c>
      <c r="AD22" s="49" t="str">
        <f>IFERROR(__xludf.DUMMYFUNCTION("""COMPUTED_VALUE"""),"what")</f>
        <v>what</v>
      </c>
      <c r="AE22" s="49" t="str">
        <f>IFERROR(__xludf.DUMMYFUNCTION("""COMPUTED_VALUE"""),"find")</f>
        <v>find</v>
      </c>
      <c r="AF22" s="49" t="str">
        <f t="shared" si="4"/>
        <v>guys,</v>
      </c>
      <c r="AG22" s="49"/>
      <c r="AH22" s="1" t="s">
        <v>2094</v>
      </c>
      <c r="AI22" s="1" t="s">
        <v>71</v>
      </c>
      <c r="AJ22" s="6" t="str">
        <f>IFERROR(__xludf.DUMMYFUNCTION("""COMPUTED_VALUE"""),"her")</f>
        <v>her</v>
      </c>
      <c r="AK22" s="49" t="str">
        <f>IFERROR(__xludf.DUMMYFUNCTION("""COMPUTED_VALUE"""),"quietly")</f>
        <v>quietly</v>
      </c>
      <c r="AL22" s="49" t="str">
        <f>IFERROR(__xludf.DUMMYFUNCTION("""COMPUTED_VALUE"""),"canada")</f>
        <v>canada</v>
      </c>
      <c r="AM22" s="49" t="str">
        <f>IFERROR(__xludf.DUMMYFUNCTION("""COMPUTED_VALUE"""),"acid")</f>
        <v>acid</v>
      </c>
      <c r="AN22" s="52" t="str">
        <f t="shared" si="5"/>
        <v>her,</v>
      </c>
    </row>
    <row r="23">
      <c r="A23" s="51" t="s">
        <v>216</v>
      </c>
      <c r="B23" s="50" t="s">
        <v>3567</v>
      </c>
      <c r="C23" s="50" t="s">
        <v>282</v>
      </c>
      <c r="D23" s="49" t="str">
        <f>IFERROR(__xludf.DUMMYFUNCTION("""COMPUTED_VALUE"""),"small")</f>
        <v>small</v>
      </c>
      <c r="E23" s="49" t="str">
        <f>IFERROR(__xludf.DUMMYFUNCTION("""COMPUTED_VALUE"""),"skill")</f>
        <v>skill</v>
      </c>
      <c r="F23" s="49" t="str">
        <f>IFERROR(__xludf.DUMMYFUNCTION("""COMPUTED_VALUE"""),"ny")</f>
        <v>ny</v>
      </c>
      <c r="G23" s="49" t="str">
        <f>IFERROR(__xludf.DUMMYFUNCTION("""COMPUTED_VALUE"""),"manufactured")</f>
        <v>manufactured</v>
      </c>
      <c r="H23" s="54" t="str">
        <f t="shared" si="1"/>
        <v>highway,</v>
      </c>
      <c r="I23" s="50"/>
      <c r="J23" s="50" t="s">
        <v>6262</v>
      </c>
      <c r="K23" s="50" t="s">
        <v>112</v>
      </c>
      <c r="L23" s="49" t="str">
        <f>IFERROR(__xludf.DUMMYFUNCTION("""COMPUTED_VALUE"""),"sequences")</f>
        <v>sequences</v>
      </c>
      <c r="M23" s="49" t="str">
        <f>IFERROR(__xludf.DUMMYFUNCTION("""COMPUTED_VALUE"""),"intelligent")</f>
        <v>intelligent</v>
      </c>
      <c r="N23" s="49" t="str">
        <f>IFERROR(__xludf.DUMMYFUNCTION("""COMPUTED_VALUE"""),"it")</f>
        <v>it</v>
      </c>
      <c r="O23" s="49" t="str">
        <f>IFERROR(__xludf.DUMMYFUNCTION("""COMPUTED_VALUE"""),"clone")</f>
        <v>clone</v>
      </c>
      <c r="P23" s="49" t="str">
        <f t="shared" si="2"/>
        <v>.,</v>
      </c>
      <c r="Q23" s="49"/>
      <c r="R23" s="50" t="s">
        <v>6278</v>
      </c>
      <c r="S23" s="55" t="s">
        <v>6278</v>
      </c>
      <c r="T23" s="49" t="str">
        <f>IFERROR(__xludf.DUMMYFUNCTION("""COMPUTED_VALUE"""),"life")</f>
        <v>life</v>
      </c>
      <c r="U23" s="49" t="str">
        <f>IFERROR(__xludf.DUMMYFUNCTION("""COMPUTED_VALUE"""),"powerful")</f>
        <v>powerful</v>
      </c>
      <c r="V23" s="49" t="str">
        <f>IFERROR(__xludf.DUMMYFUNCTION("""COMPUTED_VALUE"""),"their")</f>
        <v>their</v>
      </c>
      <c r="W23" s="49" t="str">
        <f>IFERROR(__xludf.DUMMYFUNCTION("""COMPUTED_VALUE"""),"succeeds")</f>
        <v>succeeds</v>
      </c>
      <c r="X23" s="49" t="str">
        <f t="shared" si="3"/>
        <v>s,</v>
      </c>
      <c r="Y23" s="49"/>
      <c r="Z23" s="1" t="s">
        <v>1349</v>
      </c>
      <c r="AA23" s="1" t="s">
        <v>91</v>
      </c>
      <c r="AB23" s="49" t="str">
        <f>IFERROR(__xludf.DUMMYFUNCTION("""COMPUTED_VALUE"""),"back")</f>
        <v>back</v>
      </c>
      <c r="AC23" s="49" t="str">
        <f>IFERROR(__xludf.DUMMYFUNCTION("""COMPUTED_VALUE"""),"essentially")</f>
        <v>essentially</v>
      </c>
      <c r="AD23" s="49" t="str">
        <f>IFERROR(__xludf.DUMMYFUNCTION("""COMPUTED_VALUE"""),"it")</f>
        <v>it</v>
      </c>
      <c r="AE23" s="49" t="str">
        <f>IFERROR(__xludf.DUMMYFUNCTION("""COMPUTED_VALUE"""),"clone")</f>
        <v>clone</v>
      </c>
      <c r="AF23" s="49" t="str">
        <f t="shared" si="4"/>
        <v>into,</v>
      </c>
      <c r="AG23" s="49"/>
      <c r="AH23" s="1" t="s">
        <v>204</v>
      </c>
      <c r="AI23" s="1" t="s">
        <v>167</v>
      </c>
      <c r="AJ23" s="6" t="str">
        <f>IFERROR(__xludf.DUMMYFUNCTION("""COMPUTED_VALUE"""),"an")</f>
        <v>an</v>
      </c>
      <c r="AK23" s="49" t="str">
        <f>IFERROR(__xludf.DUMMYFUNCTION("""COMPUTED_VALUE"""),"represents")</f>
        <v>represents</v>
      </c>
      <c r="AL23" s="49" t="str">
        <f>IFERROR(__xludf.DUMMYFUNCTION("""COMPUTED_VALUE"""),"attending")</f>
        <v>attending</v>
      </c>
      <c r="AM23" s="49" t="str">
        <f>IFERROR(__xludf.DUMMYFUNCTION("""COMPUTED_VALUE"""),"purposes")</f>
        <v>purposes</v>
      </c>
      <c r="AN23" s="52" t="str">
        <f t="shared" si="5"/>
        <v>an,</v>
      </c>
    </row>
    <row r="24">
      <c r="A24" s="51" t="s">
        <v>224</v>
      </c>
      <c r="B24" s="50" t="s">
        <v>2250</v>
      </c>
      <c r="C24" s="50" t="s">
        <v>234</v>
      </c>
      <c r="D24" s="49" t="str">
        <f>IFERROR(__xludf.DUMMYFUNCTION("""COMPUTED_VALUE"""),"games")</f>
        <v>games</v>
      </c>
      <c r="E24" s="49" t="str">
        <f>IFERROR(__xludf.DUMMYFUNCTION("""COMPUTED_VALUE"""),"fallen")</f>
        <v>fallen</v>
      </c>
      <c r="F24" s="49" t="str">
        <f>IFERROR(__xludf.DUMMYFUNCTION("""COMPUTED_VALUE"""),"rid")</f>
        <v>rid</v>
      </c>
      <c r="G24" s="49" t="str">
        <f>IFERROR(__xludf.DUMMYFUNCTION("""COMPUTED_VALUE"""),"valuable")</f>
        <v>valuable</v>
      </c>
      <c r="H24" s="54" t="str">
        <f t="shared" si="1"/>
        <v>break,</v>
      </c>
      <c r="I24" s="50"/>
      <c r="J24" s="50" t="s">
        <v>6283</v>
      </c>
      <c r="K24" s="50" t="s">
        <v>234</v>
      </c>
      <c r="L24" s="49" t="str">
        <f>IFERROR(__xludf.DUMMYFUNCTION("""COMPUTED_VALUE"""),"power")</f>
        <v>power</v>
      </c>
      <c r="M24" s="49" t="str">
        <f>IFERROR(__xludf.DUMMYFUNCTION("""COMPUTED_VALUE"""),"thrill")</f>
        <v>thrill</v>
      </c>
      <c r="N24" s="49" t="str">
        <f>IFERROR(__xludf.DUMMYFUNCTION("""COMPUTED_VALUE"""),"s")</f>
        <v>s</v>
      </c>
      <c r="O24" s="49" t="str">
        <f>IFERROR(__xludf.DUMMYFUNCTION("""COMPUTED_VALUE"""),"storyline")</f>
        <v>storyline</v>
      </c>
      <c r="P24" s="49" t="str">
        <f t="shared" si="2"/>
        <v>they,</v>
      </c>
      <c r="Q24" s="49"/>
      <c r="R24" s="50" t="s">
        <v>6292</v>
      </c>
      <c r="S24" s="55" t="s">
        <v>36</v>
      </c>
      <c r="T24" s="49" t="str">
        <f>IFERROR(__xludf.DUMMYFUNCTION("""COMPUTED_VALUE"""),"mess")</f>
        <v>mess</v>
      </c>
      <c r="U24" s="49" t="str">
        <f>IFERROR(__xludf.DUMMYFUNCTION("""COMPUTED_VALUE"""),"strongest")</f>
        <v>strongest</v>
      </c>
      <c r="V24" s="49" t="str">
        <f>IFERROR(__xludf.DUMMYFUNCTION("""COMPUTED_VALUE"""),"century")</f>
        <v>century</v>
      </c>
      <c r="W24" s="49" t="str">
        <f>IFERROR(__xludf.DUMMYFUNCTION("""COMPUTED_VALUE"""),"whose")</f>
        <v>whose</v>
      </c>
      <c r="X24" s="49" t="str">
        <f t="shared" si="3"/>
        <v>very,</v>
      </c>
      <c r="Y24" s="49"/>
      <c r="Z24" s="1" t="s">
        <v>724</v>
      </c>
      <c r="AA24" s="1" t="s">
        <v>226</v>
      </c>
      <c r="AB24" s="49" t="str">
        <f>IFERROR(__xludf.DUMMYFUNCTION("""COMPUTED_VALUE"""),"sequences")</f>
        <v>sequences</v>
      </c>
      <c r="AC24" s="49" t="str">
        <f>IFERROR(__xludf.DUMMYFUNCTION("""COMPUTED_VALUE"""),"haunting")</f>
        <v>haunting</v>
      </c>
      <c r="AD24" s="49" t="str">
        <f>IFERROR(__xludf.DUMMYFUNCTION("""COMPUTED_VALUE"""),"s")</f>
        <v>s</v>
      </c>
      <c r="AE24" s="49" t="str">
        <f>IFERROR(__xludf.DUMMYFUNCTION("""COMPUTED_VALUE"""),"storyline")</f>
        <v>storyline</v>
      </c>
      <c r="AF24" s="49" t="str">
        <f t="shared" si="4"/>
        <v>go,</v>
      </c>
      <c r="AG24" s="49"/>
      <c r="AH24" s="1" t="s">
        <v>180</v>
      </c>
      <c r="AI24" s="1" t="s">
        <v>124</v>
      </c>
      <c r="AJ24" s="6" t="str">
        <f>IFERROR(__xludf.DUMMYFUNCTION("""COMPUTED_VALUE"""),"but")</f>
        <v>but</v>
      </c>
      <c r="AK24" s="49" t="str">
        <f>IFERROR(__xludf.DUMMYFUNCTION("""COMPUTED_VALUE"""),"capture")</f>
        <v>capture</v>
      </c>
      <c r="AL24" s="56">
        <f>IFERROR(__xludf.DUMMYFUNCTION("""COMPUTED_VALUE"""),35.0)</f>
        <v>35</v>
      </c>
      <c r="AM24" s="49" t="str">
        <f>IFERROR(__xludf.DUMMYFUNCTION("""COMPUTED_VALUE"""),"root")</f>
        <v>root</v>
      </c>
      <c r="AN24" s="52" t="str">
        <f t="shared" si="5"/>
        <v>but,</v>
      </c>
    </row>
    <row r="25">
      <c r="A25" s="51" t="s">
        <v>149</v>
      </c>
      <c r="B25" s="50" t="s">
        <v>2606</v>
      </c>
      <c r="C25" s="50" t="s">
        <v>226</v>
      </c>
      <c r="D25" s="49" t="str">
        <f>IFERROR(__xludf.DUMMYFUNCTION("""COMPUTED_VALUE"""),"director")</f>
        <v>director</v>
      </c>
      <c r="E25" s="49" t="str">
        <f>IFERROR(__xludf.DUMMYFUNCTION("""COMPUTED_VALUE"""),"rises")</f>
        <v>rises</v>
      </c>
      <c r="F25" s="49">
        <f>IFERROR(__xludf.DUMMYFUNCTION("""COMPUTED_VALUE"""),19.0)</f>
        <v>19</v>
      </c>
      <c r="G25" s="49" t="str">
        <f>IFERROR(__xludf.DUMMYFUNCTION("""COMPUTED_VALUE"""),"elevated")</f>
        <v>elevated</v>
      </c>
      <c r="H25" s="54" t="str">
        <f t="shared" si="1"/>
        <v>watch,</v>
      </c>
      <c r="I25" s="50"/>
      <c r="J25" s="50" t="s">
        <v>1888</v>
      </c>
      <c r="K25" s="50" t="s">
        <v>197</v>
      </c>
      <c r="L25" s="49" t="str">
        <f>IFERROR(__xludf.DUMMYFUNCTION("""COMPUTED_VALUE"""),"time")</f>
        <v>time</v>
      </c>
      <c r="M25" s="49" t="str">
        <f>IFERROR(__xludf.DUMMYFUNCTION("""COMPUTED_VALUE"""),"powerful")</f>
        <v>powerful</v>
      </c>
      <c r="N25" s="49" t="str">
        <f>IFERROR(__xludf.DUMMYFUNCTION("""COMPUTED_VALUE"""),"(")</f>
        <v>(</v>
      </c>
      <c r="O25" s="49" t="str">
        <f>IFERROR(__xludf.DUMMYFUNCTION("""COMPUTED_VALUE"""),"sharply")</f>
        <v>sharply</v>
      </c>
      <c r="P25" s="49" t="str">
        <f t="shared" si="2"/>
        <v>:,</v>
      </c>
      <c r="Q25" s="49"/>
      <c r="R25" s="50" t="s">
        <v>229</v>
      </c>
      <c r="S25" s="55" t="s">
        <v>70</v>
      </c>
      <c r="T25" s="49" t="str">
        <f>IFERROR(__xludf.DUMMYFUNCTION("""COMPUTED_VALUE"""),"movie")</f>
        <v>movie</v>
      </c>
      <c r="U25" s="49" t="str">
        <f>IFERROR(__xludf.DUMMYFUNCTION("""COMPUTED_VALUE"""),"smug")</f>
        <v>smug</v>
      </c>
      <c r="V25" s="49" t="str">
        <f>IFERROR(__xludf.DUMMYFUNCTION("""COMPUTED_VALUE"""),"lively")</f>
        <v>lively</v>
      </c>
      <c r="W25" s="49" t="str">
        <f>IFERROR(__xludf.DUMMYFUNCTION("""COMPUTED_VALUE"""),"above")</f>
        <v>above</v>
      </c>
      <c r="X25" s="49" t="str">
        <f t="shared" si="3"/>
        <v>has,</v>
      </c>
      <c r="Y25" s="49"/>
      <c r="Z25" s="1" t="s">
        <v>156</v>
      </c>
      <c r="AA25" s="1" t="s">
        <v>235</v>
      </c>
      <c r="AB25" s="49" t="str">
        <f>IFERROR(__xludf.DUMMYFUNCTION("""COMPUTED_VALUE"""),"few")</f>
        <v>few</v>
      </c>
      <c r="AC25" s="49" t="str">
        <f>IFERROR(__xludf.DUMMYFUNCTION("""COMPUTED_VALUE"""),"pale")</f>
        <v>pale</v>
      </c>
      <c r="AD25" s="49" t="str">
        <f>IFERROR(__xludf.DUMMYFUNCTION("""COMPUTED_VALUE"""),"(")</f>
        <v>(</v>
      </c>
      <c r="AE25" s="49" t="str">
        <f>IFERROR(__xludf.DUMMYFUNCTION("""COMPUTED_VALUE"""),"sharply")</f>
        <v>sharply</v>
      </c>
      <c r="AF25" s="49" t="str">
        <f t="shared" si="4"/>
        <v>even,</v>
      </c>
      <c r="AG25" s="49"/>
      <c r="AH25" s="1" t="s">
        <v>101</v>
      </c>
      <c r="AI25" s="1" t="s">
        <v>5017</v>
      </c>
      <c r="AJ25" s="6" t="str">
        <f>IFERROR(__xludf.DUMMYFUNCTION("""COMPUTED_VALUE"""),"this")</f>
        <v>this</v>
      </c>
      <c r="AK25" s="49" t="str">
        <f>IFERROR(__xludf.DUMMYFUNCTION("""COMPUTED_VALUE"""),"repeated")</f>
        <v>repeated</v>
      </c>
      <c r="AL25" s="49" t="str">
        <f>IFERROR(__xludf.DUMMYFUNCTION("""COMPUTED_VALUE"""),"twin")</f>
        <v>twin</v>
      </c>
      <c r="AM25" s="49" t="str">
        <f>IFERROR(__xludf.DUMMYFUNCTION("""COMPUTED_VALUE"""),"hispanic")</f>
        <v>hispanic</v>
      </c>
      <c r="AN25" s="52" t="str">
        <f t="shared" si="5"/>
        <v>this,</v>
      </c>
    </row>
    <row r="26">
      <c r="A26" s="51" t="s">
        <v>241</v>
      </c>
      <c r="B26" s="50" t="s">
        <v>2319</v>
      </c>
      <c r="C26" s="50" t="s">
        <v>197</v>
      </c>
      <c r="D26" s="49" t="str">
        <f>IFERROR(__xludf.DUMMYFUNCTION("""COMPUTED_VALUE"""),"turn")</f>
        <v>turn</v>
      </c>
      <c r="E26" s="49" t="str">
        <f>IFERROR(__xludf.DUMMYFUNCTION("""COMPUTED_VALUE"""),"achievement")</f>
        <v>achievement</v>
      </c>
      <c r="F26" s="49">
        <f>IFERROR(__xludf.DUMMYFUNCTION("""COMPUTED_VALUE"""),1995.0)</f>
        <v>1995</v>
      </c>
      <c r="G26" s="49" t="str">
        <f>IFERROR(__xludf.DUMMYFUNCTION("""COMPUTED_VALUE"""),"handsome")</f>
        <v>handsome</v>
      </c>
      <c r="H26" s="54" t="str">
        <f t="shared" si="1"/>
        <v>attempt,</v>
      </c>
      <c r="I26" s="50"/>
      <c r="J26" s="50" t="s">
        <v>288</v>
      </c>
      <c r="K26" s="50" t="s">
        <v>249</v>
      </c>
      <c r="L26" s="49" t="str">
        <f>IFERROR(__xludf.DUMMYFUNCTION("""COMPUTED_VALUE"""),"story")</f>
        <v>story</v>
      </c>
      <c r="M26" s="49" t="str">
        <f>IFERROR(__xludf.DUMMYFUNCTION("""COMPUTED_VALUE"""),"torture")</f>
        <v>torture</v>
      </c>
      <c r="N26" s="49" t="str">
        <f>IFERROR(__xludf.DUMMYFUNCTION("""COMPUTED_VALUE"""),"then")</f>
        <v>then</v>
      </c>
      <c r="O26" s="49" t="str">
        <f>IFERROR(__xludf.DUMMYFUNCTION("""COMPUTED_VALUE"""),"nowhere")</f>
        <v>nowhere</v>
      </c>
      <c r="P26" s="49" t="str">
        <f t="shared" si="2"/>
        <v>that,</v>
      </c>
      <c r="Q26" s="49"/>
      <c r="R26" s="50" t="s">
        <v>445</v>
      </c>
      <c r="S26" s="55" t="s">
        <v>112</v>
      </c>
      <c r="T26" s="49" t="str">
        <f>IFERROR(__xludf.DUMMYFUNCTION("""COMPUTED_VALUE"""),"?")</f>
        <v>?</v>
      </c>
      <c r="U26" s="49" t="str">
        <f>IFERROR(__xludf.DUMMYFUNCTION("""COMPUTED_VALUE"""),"captures")</f>
        <v>captures</v>
      </c>
      <c r="V26" s="49" t="str">
        <f>IFERROR(__xludf.DUMMYFUNCTION("""COMPUTED_VALUE"""),"steal")</f>
        <v>steal</v>
      </c>
      <c r="W26" s="49" t="str">
        <f>IFERROR(__xludf.DUMMYFUNCTION("""COMPUTED_VALUE"""),"young")</f>
        <v>young</v>
      </c>
      <c r="X26" s="49" t="str">
        <f t="shared" si="3"/>
        <v>is,</v>
      </c>
      <c r="Y26" s="49"/>
      <c r="Z26" s="1" t="s">
        <v>2234</v>
      </c>
      <c r="AA26" s="1" t="s">
        <v>123</v>
      </c>
      <c r="AB26" s="49" t="str">
        <f>IFERROR(__xludf.DUMMYFUNCTION("""COMPUTED_VALUE"""),"as")</f>
        <v>as</v>
      </c>
      <c r="AC26" s="49" t="str">
        <f>IFERROR(__xludf.DUMMYFUNCTION("""COMPUTED_VALUE"""),"affecting")</f>
        <v>affecting</v>
      </c>
      <c r="AD26" s="49" t="str">
        <f>IFERROR(__xludf.DUMMYFUNCTION("""COMPUTED_VALUE"""),"then")</f>
        <v>then</v>
      </c>
      <c r="AE26" s="49" t="str">
        <f>IFERROR(__xludf.DUMMYFUNCTION("""COMPUTED_VALUE"""),"nowhere")</f>
        <v>nowhere</v>
      </c>
      <c r="AF26" s="49" t="str">
        <f t="shared" si="4"/>
        <v>drive,</v>
      </c>
      <c r="AG26" s="49"/>
      <c r="AH26" s="1" t="s">
        <v>6283</v>
      </c>
      <c r="AI26" s="1" t="s">
        <v>127</v>
      </c>
      <c r="AJ26" s="6" t="str">
        <f>IFERROR(__xludf.DUMMYFUNCTION("""COMPUTED_VALUE"""),"they")</f>
        <v>they</v>
      </c>
      <c r="AK26" s="49" t="str">
        <f>IFERROR(__xludf.DUMMYFUNCTION("""COMPUTED_VALUE"""),"impact")</f>
        <v>impact</v>
      </c>
      <c r="AL26" s="49" t="str">
        <f>IFERROR(__xludf.DUMMYFUNCTION("""COMPUTED_VALUE"""),"mom")</f>
        <v>mom</v>
      </c>
      <c r="AM26" s="49" t="str">
        <f>IFERROR(__xludf.DUMMYFUNCTION("""COMPUTED_VALUE"""),"bonus")</f>
        <v>bonus</v>
      </c>
      <c r="AN26" s="52" t="str">
        <f t="shared" si="5"/>
        <v>they,</v>
      </c>
    </row>
    <row r="27">
      <c r="A27" s="51" t="s">
        <v>250</v>
      </c>
      <c r="B27" s="50" t="s">
        <v>2388</v>
      </c>
      <c r="C27" s="50" t="s">
        <v>1665</v>
      </c>
      <c r="D27" s="49" t="str">
        <f>IFERROR(__xludf.DUMMYFUNCTION("""COMPUTED_VALUE"""),"personal")</f>
        <v>personal</v>
      </c>
      <c r="E27" s="49" t="str">
        <f>IFERROR(__xludf.DUMMYFUNCTION("""COMPUTED_VALUE"""),"touched")</f>
        <v>touched</v>
      </c>
      <c r="F27" s="49">
        <f>IFERROR(__xludf.DUMMYFUNCTION("""COMPUTED_VALUE"""),1994.0)</f>
        <v>1994</v>
      </c>
      <c r="G27" s="49" t="str">
        <f>IFERROR(__xludf.DUMMYFUNCTION("""COMPUTED_VALUE"""),"contribution")</f>
        <v>contribution</v>
      </c>
      <c r="H27" s="54" t="str">
        <f t="shared" si="1"/>
        <v>generation,</v>
      </c>
      <c r="I27" s="50"/>
      <c r="J27" s="50" t="s">
        <v>39</v>
      </c>
      <c r="K27" s="50" t="s">
        <v>253</v>
      </c>
      <c r="L27" s="49" t="str">
        <f>IFERROR(__xludf.DUMMYFUNCTION("""COMPUTED_VALUE"""),"another")</f>
        <v>another</v>
      </c>
      <c r="M27" s="49" t="str">
        <f>IFERROR(__xludf.DUMMYFUNCTION("""COMPUTED_VALUE"""),"captures")</f>
        <v>captures</v>
      </c>
      <c r="N27" s="49" t="str">
        <f>IFERROR(__xludf.DUMMYFUNCTION("""COMPUTED_VALUE"""),"is")</f>
        <v>is</v>
      </c>
      <c r="O27" s="49" t="str">
        <f>IFERROR(__xludf.DUMMYFUNCTION("""COMPUTED_VALUE"""),"recycled")</f>
        <v>recycled</v>
      </c>
      <c r="P27" s="49" t="str">
        <f t="shared" si="2"/>
        <v>the,</v>
      </c>
      <c r="Q27" s="49"/>
      <c r="R27" s="50" t="s">
        <v>542</v>
      </c>
      <c r="S27" s="55" t="s">
        <v>6279</v>
      </c>
      <c r="T27" s="49" t="str">
        <f>IFERROR(__xludf.DUMMYFUNCTION("""COMPUTED_VALUE"""),"idea")</f>
        <v>idea</v>
      </c>
      <c r="U27" s="49" t="str">
        <f>IFERROR(__xludf.DUMMYFUNCTION("""COMPUTED_VALUE"""),"tale")</f>
        <v>tale</v>
      </c>
      <c r="V27" s="49" t="str">
        <f>IFERROR(__xludf.DUMMYFUNCTION("""COMPUTED_VALUE"""),"quest")</f>
        <v>quest</v>
      </c>
      <c r="W27" s="49" t="str">
        <f>IFERROR(__xludf.DUMMYFUNCTION("""COMPUTED_VALUE"""),"conspiracy")</f>
        <v>conspiracy</v>
      </c>
      <c r="X27" s="49" t="str">
        <f t="shared" si="3"/>
        <v>life,</v>
      </c>
      <c r="Y27" s="49"/>
      <c r="Z27" s="1" t="s">
        <v>2094</v>
      </c>
      <c r="AA27" s="1" t="s">
        <v>37</v>
      </c>
      <c r="AB27" s="49" t="str">
        <f>IFERROR(__xludf.DUMMYFUNCTION("""COMPUTED_VALUE"""),"by")</f>
        <v>by</v>
      </c>
      <c r="AC27" s="49" t="str">
        <f>IFERROR(__xludf.DUMMYFUNCTION("""COMPUTED_VALUE"""),"intelligent")</f>
        <v>intelligent</v>
      </c>
      <c r="AD27" s="49" t="str">
        <f>IFERROR(__xludf.DUMMYFUNCTION("""COMPUTED_VALUE"""),"is")</f>
        <v>is</v>
      </c>
      <c r="AE27" s="49" t="str">
        <f>IFERROR(__xludf.DUMMYFUNCTION("""COMPUTED_VALUE"""),"recycled")</f>
        <v>recycled</v>
      </c>
      <c r="AF27" s="49" t="str">
        <f t="shared" si="4"/>
        <v>her,</v>
      </c>
      <c r="AG27" s="49"/>
      <c r="AH27" s="1" t="s">
        <v>35</v>
      </c>
      <c r="AI27" s="1" t="s">
        <v>41</v>
      </c>
      <c r="AJ27" s="6" t="str">
        <f>IFERROR(__xludf.DUMMYFUNCTION("""COMPUTED_VALUE"""),"one")</f>
        <v>one</v>
      </c>
      <c r="AK27" s="49" t="str">
        <f>IFERROR(__xludf.DUMMYFUNCTION("""COMPUTED_VALUE"""),"lowered")</f>
        <v>lowered</v>
      </c>
      <c r="AL27" s="49" t="str">
        <f>IFERROR(__xludf.DUMMYFUNCTION("""COMPUTED_VALUE"""),"factory")</f>
        <v>factory</v>
      </c>
      <c r="AM27" s="49" t="str">
        <f>IFERROR(__xludf.DUMMYFUNCTION("""COMPUTED_VALUE"""),"quarter")</f>
        <v>quarter</v>
      </c>
      <c r="AN27" s="52" t="str">
        <f t="shared" si="5"/>
        <v>one,</v>
      </c>
    </row>
    <row r="28">
      <c r="A28" s="51" t="s">
        <v>157</v>
      </c>
      <c r="B28" s="50" t="s">
        <v>2476</v>
      </c>
      <c r="C28" s="50" t="s">
        <v>249</v>
      </c>
      <c r="D28" s="49" t="str">
        <f>IFERROR(__xludf.DUMMYFUNCTION("""COMPUTED_VALUE"""),"hollywood")</f>
        <v>hollywood</v>
      </c>
      <c r="E28" s="49" t="str">
        <f>IFERROR(__xludf.DUMMYFUNCTION("""COMPUTED_VALUE"""),"breathe")</f>
        <v>breathe</v>
      </c>
      <c r="F28" s="49" t="str">
        <f>IFERROR(__xludf.DUMMYFUNCTION("""COMPUTED_VALUE"""),"wire")</f>
        <v>wire</v>
      </c>
      <c r="G28" s="49" t="str">
        <f>IFERROR(__xludf.DUMMYFUNCTION("""COMPUTED_VALUE"""),"blast")</f>
        <v>blast</v>
      </c>
      <c r="H28" s="54" t="str">
        <f t="shared" si="1"/>
        <v>continues,</v>
      </c>
      <c r="I28" s="50"/>
      <c r="J28" s="50" t="s">
        <v>180</v>
      </c>
      <c r="K28" s="50" t="s">
        <v>266</v>
      </c>
      <c r="L28" s="49" t="str">
        <f>IFERROR(__xludf.DUMMYFUNCTION("""COMPUTED_VALUE"""),"flash")</f>
        <v>flash</v>
      </c>
      <c r="M28" s="49" t="str">
        <f>IFERROR(__xludf.DUMMYFUNCTION("""COMPUTED_VALUE"""),"offensive")</f>
        <v>offensive</v>
      </c>
      <c r="N28" s="49" t="str">
        <f>IFERROR(__xludf.DUMMYFUNCTION("""COMPUTED_VALUE"""),"i")</f>
        <v>i</v>
      </c>
      <c r="O28" s="49" t="str">
        <f>IFERROR(__xludf.DUMMYFUNCTION("""COMPUTED_VALUE"""),"fourth")</f>
        <v>fourth</v>
      </c>
      <c r="P28" s="49" t="str">
        <f t="shared" si="2"/>
        <v>but,</v>
      </c>
      <c r="Q28" s="49"/>
      <c r="R28" s="50" t="s">
        <v>2138</v>
      </c>
      <c r="S28" s="55" t="s">
        <v>6262</v>
      </c>
      <c r="T28" s="49" t="str">
        <f>IFERROR(__xludf.DUMMYFUNCTION("""COMPUTED_VALUE"""),"party")</f>
        <v>party</v>
      </c>
      <c r="U28" s="49" t="str">
        <f>IFERROR(__xludf.DUMMYFUNCTION("""COMPUTED_VALUE"""),"abuse")</f>
        <v>abuse</v>
      </c>
      <c r="V28" s="49" t="str">
        <f>IFERROR(__xludf.DUMMYFUNCTION("""COMPUTED_VALUE"""),"dead")</f>
        <v>dead</v>
      </c>
      <c r="W28" s="49" t="str">
        <f>IFERROR(__xludf.DUMMYFUNCTION("""COMPUTED_VALUE"""),"feminist")</f>
        <v>feminist</v>
      </c>
      <c r="X28" s="49" t="str">
        <f t="shared" si="3"/>
        <v>mess,</v>
      </c>
      <c r="Y28" s="49"/>
      <c r="Z28" s="1" t="s">
        <v>1996</v>
      </c>
      <c r="AA28" s="1" t="s">
        <v>260</v>
      </c>
      <c r="AB28" s="49" t="str">
        <f>IFERROR(__xludf.DUMMYFUNCTION("""COMPUTED_VALUE"""),"music")</f>
        <v>music</v>
      </c>
      <c r="AC28" s="49" t="str">
        <f>IFERROR(__xludf.DUMMYFUNCTION("""COMPUTED_VALUE"""),"thrill")</f>
        <v>thrill</v>
      </c>
      <c r="AD28" s="49" t="str">
        <f>IFERROR(__xludf.DUMMYFUNCTION("""COMPUTED_VALUE"""),"i")</f>
        <v>i</v>
      </c>
      <c r="AE28" s="49" t="str">
        <f>IFERROR(__xludf.DUMMYFUNCTION("""COMPUTED_VALUE"""),"fourth")</f>
        <v>fourth</v>
      </c>
      <c r="AF28" s="49" t="str">
        <f t="shared" si="4"/>
        <v>teen,</v>
      </c>
      <c r="AG28" s="49"/>
      <c r="AH28" s="1" t="s">
        <v>1222</v>
      </c>
      <c r="AI28" s="1" t="s">
        <v>65</v>
      </c>
      <c r="AJ28" s="6" t="str">
        <f>IFERROR(__xludf.DUMMYFUNCTION("""COMPUTED_VALUE"""),"which")</f>
        <v>which</v>
      </c>
      <c r="AK28" s="49" t="str">
        <f>IFERROR(__xludf.DUMMYFUNCTION("""COMPUTED_VALUE"""),"slip")</f>
        <v>slip</v>
      </c>
      <c r="AL28" s="49" t="str">
        <f>IFERROR(__xludf.DUMMYFUNCTION("""COMPUTED_VALUE"""),"establish")</f>
        <v>establish</v>
      </c>
      <c r="AM28" s="49" t="str">
        <f>IFERROR(__xludf.DUMMYFUNCTION("""COMPUTED_VALUE"""),"winners")</f>
        <v>winners</v>
      </c>
      <c r="AN28" s="52" t="str">
        <f t="shared" si="5"/>
        <v>which,</v>
      </c>
    </row>
    <row r="29">
      <c r="A29" s="51" t="s">
        <v>267</v>
      </c>
      <c r="B29" s="50" t="s">
        <v>7073</v>
      </c>
      <c r="C29" s="50" t="s">
        <v>6277</v>
      </c>
      <c r="D29" s="49" t="str">
        <f>IFERROR(__xludf.DUMMYFUNCTION("""COMPUTED_VALUE"""),"emotional")</f>
        <v>emotional</v>
      </c>
      <c r="E29" s="49" t="str">
        <f>IFERROR(__xludf.DUMMYFUNCTION("""COMPUTED_VALUE"""),"asleep")</f>
        <v>asleep</v>
      </c>
      <c r="F29" s="49" t="str">
        <f>IFERROR(__xludf.DUMMYFUNCTION("""COMPUTED_VALUE"""),"los")</f>
        <v>los</v>
      </c>
      <c r="G29" s="49" t="str">
        <f>IFERROR(__xludf.DUMMYFUNCTION("""COMPUTED_VALUE"""),"sand")</f>
        <v>sand</v>
      </c>
      <c r="H29" s="54" t="str">
        <f t="shared" si="1"/>
        <v>write,</v>
      </c>
      <c r="I29" s="50"/>
      <c r="J29" s="50" t="s">
        <v>33</v>
      </c>
      <c r="K29" s="50" t="s">
        <v>123</v>
      </c>
      <c r="L29" s="49" t="str">
        <f>IFERROR(__xludf.DUMMYFUNCTION("""COMPUTED_VALUE"""),"russian")</f>
        <v>russian</v>
      </c>
      <c r="M29" s="49" t="str">
        <f>IFERROR(__xludf.DUMMYFUNCTION("""COMPUTED_VALUE"""),"tale")</f>
        <v>tale</v>
      </c>
      <c r="N29" s="49" t="str">
        <f>IFERROR(__xludf.DUMMYFUNCTION("""COMPUTED_VALUE"""),"which")</f>
        <v>which</v>
      </c>
      <c r="O29" s="49" t="str">
        <f>IFERROR(__xludf.DUMMYFUNCTION("""COMPUTED_VALUE"""),"covers")</f>
        <v>covers</v>
      </c>
      <c r="P29" s="49" t="str">
        <f t="shared" si="2"/>
        <v>what,</v>
      </c>
      <c r="Q29" s="49"/>
      <c r="R29" s="50" t="s">
        <v>3522</v>
      </c>
      <c r="S29" s="55" t="s">
        <v>282</v>
      </c>
      <c r="T29" s="49" t="str">
        <f>IFERROR(__xludf.DUMMYFUNCTION("""COMPUTED_VALUE"""),"of")</f>
        <v>of</v>
      </c>
      <c r="U29" s="49" t="str">
        <f>IFERROR(__xludf.DUMMYFUNCTION("""COMPUTED_VALUE"""),"drown")</f>
        <v>drown</v>
      </c>
      <c r="V29" s="49" t="str">
        <f>IFERROR(__xludf.DUMMYFUNCTION("""COMPUTED_VALUE"""),"due")</f>
        <v>due</v>
      </c>
      <c r="W29" s="49" t="str">
        <f>IFERROR(__xludf.DUMMYFUNCTION("""COMPUTED_VALUE"""),"theorist")</f>
        <v>theorist</v>
      </c>
      <c r="X29" s="49" t="str">
        <f t="shared" si="3"/>
        <v>movie,</v>
      </c>
      <c r="Y29" s="49"/>
      <c r="Z29" s="1" t="s">
        <v>2138</v>
      </c>
      <c r="AA29" s="1" t="s">
        <v>269</v>
      </c>
      <c r="AB29" s="49" t="str">
        <f>IFERROR(__xludf.DUMMYFUNCTION("""COMPUTED_VALUE"""),"are")</f>
        <v>are</v>
      </c>
      <c r="AC29" s="49" t="str">
        <f>IFERROR(__xludf.DUMMYFUNCTION("""COMPUTED_VALUE"""),"powerful")</f>
        <v>powerful</v>
      </c>
      <c r="AD29" s="49" t="str">
        <f>IFERROR(__xludf.DUMMYFUNCTION("""COMPUTED_VALUE"""),"which")</f>
        <v>which</v>
      </c>
      <c r="AE29" s="49" t="str">
        <f>IFERROR(__xludf.DUMMYFUNCTION("""COMPUTED_VALUE"""),"covers")</f>
        <v>covers</v>
      </c>
      <c r="AF29" s="49" t="str">
        <f t="shared" si="4"/>
        <v>mess,</v>
      </c>
      <c r="AG29" s="49"/>
      <c r="AH29" s="1" t="s">
        <v>2146</v>
      </c>
      <c r="AI29" s="1" t="s">
        <v>152</v>
      </c>
      <c r="AJ29" s="6" t="str">
        <f>IFERROR(__xludf.DUMMYFUNCTION("""COMPUTED_VALUE"""),"him")</f>
        <v>him</v>
      </c>
      <c r="AK29" s="49" t="str">
        <f>IFERROR(__xludf.DUMMYFUNCTION("""COMPUTED_VALUE"""),"stretched")</f>
        <v>stretched</v>
      </c>
      <c r="AL29" s="49" t="str">
        <f>IFERROR(__xludf.DUMMYFUNCTION("""COMPUTED_VALUE"""),"confusion")</f>
        <v>confusion</v>
      </c>
      <c r="AM29" s="49" t="str">
        <f>IFERROR(__xludf.DUMMYFUNCTION("""COMPUTED_VALUE"""),"tax")</f>
        <v>tax</v>
      </c>
      <c r="AN29" s="52" t="str">
        <f t="shared" si="5"/>
        <v>him,</v>
      </c>
    </row>
    <row r="30">
      <c r="A30" s="51" t="s">
        <v>192</v>
      </c>
      <c r="B30" s="50" t="s">
        <v>2641</v>
      </c>
      <c r="C30" s="50" t="s">
        <v>80</v>
      </c>
      <c r="D30" s="49" t="str">
        <f>IFERROR(__xludf.DUMMYFUNCTION("""COMPUTED_VALUE"""),"poetry")</f>
        <v>poetry</v>
      </c>
      <c r="E30" s="49" t="str">
        <f>IFERROR(__xludf.DUMMYFUNCTION("""COMPUTED_VALUE"""),"creates")</f>
        <v>creates</v>
      </c>
      <c r="F30" s="49" t="str">
        <f>IFERROR(__xludf.DUMMYFUNCTION("""COMPUTED_VALUE"""),"doctor")</f>
        <v>doctor</v>
      </c>
      <c r="G30" s="49" t="str">
        <f>IFERROR(__xludf.DUMMYFUNCTION("""COMPUTED_VALUE"""),"sofia")</f>
        <v>sofia</v>
      </c>
      <c r="H30" s="54" t="str">
        <f t="shared" si="1"/>
        <v>guys,</v>
      </c>
      <c r="I30" s="50"/>
      <c r="J30" s="50" t="s">
        <v>523</v>
      </c>
      <c r="K30" s="50" t="s">
        <v>37</v>
      </c>
      <c r="L30" s="49" t="str">
        <f>IFERROR(__xludf.DUMMYFUNCTION("""COMPUTED_VALUE"""),"up")</f>
        <v>up</v>
      </c>
      <c r="M30" s="49" t="str">
        <f>IFERROR(__xludf.DUMMYFUNCTION("""COMPUTED_VALUE"""),"sitcom")</f>
        <v>sitcom</v>
      </c>
      <c r="N30" s="49" t="str">
        <f>IFERROR(__xludf.DUMMYFUNCTION("""COMPUTED_VALUE"""),"since")</f>
        <v>since</v>
      </c>
      <c r="O30" s="49" t="str">
        <f>IFERROR(__xludf.DUMMYFUNCTION("""COMPUTED_VALUE"""),"swords")</f>
        <v>swords</v>
      </c>
      <c r="P30" s="49" t="str">
        <f t="shared" si="2"/>
        <v>it,</v>
      </c>
      <c r="Q30" s="49"/>
      <c r="R30" s="50" t="s">
        <v>118</v>
      </c>
      <c r="S30" s="55" t="s">
        <v>234</v>
      </c>
      <c r="T30" s="49" t="str">
        <f>IFERROR(__xludf.DUMMYFUNCTION("""COMPUTED_VALUE"""),"films")</f>
        <v>films</v>
      </c>
      <c r="U30" s="49" t="str">
        <f>IFERROR(__xludf.DUMMYFUNCTION("""COMPUTED_VALUE"""),"enduring")</f>
        <v>enduring</v>
      </c>
      <c r="V30" s="49" t="str">
        <f>IFERROR(__xludf.DUMMYFUNCTION("""COMPUTED_VALUE"""),"stable")</f>
        <v>stable</v>
      </c>
      <c r="W30" s="49" t="str">
        <f>IFERROR(__xludf.DUMMYFUNCTION("""COMPUTED_VALUE"""),"anything")</f>
        <v>anything</v>
      </c>
      <c r="X30" s="49" t="str">
        <f t="shared" si="3"/>
        <v>for,</v>
      </c>
      <c r="Y30" s="49"/>
      <c r="Z30" s="1" t="s">
        <v>2172</v>
      </c>
      <c r="AA30" s="1" t="s">
        <v>278</v>
      </c>
      <c r="AB30" s="49" t="str">
        <f>IFERROR(__xludf.DUMMYFUNCTION("""COMPUTED_VALUE"""),"cute")</f>
        <v>cute</v>
      </c>
      <c r="AC30" s="49" t="str">
        <f>IFERROR(__xludf.DUMMYFUNCTION("""COMPUTED_VALUE"""),"torture")</f>
        <v>torture</v>
      </c>
      <c r="AD30" s="49" t="str">
        <f>IFERROR(__xludf.DUMMYFUNCTION("""COMPUTED_VALUE"""),"since")</f>
        <v>since</v>
      </c>
      <c r="AE30" s="49" t="str">
        <f>IFERROR(__xludf.DUMMYFUNCTION("""COMPUTED_VALUE"""),"swords")</f>
        <v>swords</v>
      </c>
      <c r="AF30" s="49" t="str">
        <f t="shared" si="4"/>
        <v>makes,</v>
      </c>
      <c r="AG30" s="49"/>
      <c r="AH30" s="1" t="s">
        <v>229</v>
      </c>
      <c r="AI30" s="1" t="s">
        <v>164</v>
      </c>
      <c r="AJ30" s="6" t="str">
        <f>IFERROR(__xludf.DUMMYFUNCTION("""COMPUTED_VALUE"""),"has")</f>
        <v>has</v>
      </c>
      <c r="AK30" s="49" t="str">
        <f>IFERROR(__xludf.DUMMYFUNCTION("""COMPUTED_VALUE"""),"freedom")</f>
        <v>freedom</v>
      </c>
      <c r="AL30" s="49" t="str">
        <f>IFERROR(__xludf.DUMMYFUNCTION("""COMPUTED_VALUE"""),"included")</f>
        <v>included</v>
      </c>
      <c r="AM30" s="49" t="str">
        <f>IFERROR(__xludf.DUMMYFUNCTION("""COMPUTED_VALUE"""),"rapid")</f>
        <v>rapid</v>
      </c>
      <c r="AN30" s="52" t="str">
        <f t="shared" si="5"/>
        <v>has,</v>
      </c>
    </row>
    <row r="31">
      <c r="A31" s="51" t="s">
        <v>285</v>
      </c>
      <c r="B31" s="50" t="s">
        <v>2221</v>
      </c>
      <c r="C31" s="50" t="s">
        <v>100</v>
      </c>
      <c r="D31" s="49" t="str">
        <f>IFERROR(__xludf.DUMMYFUNCTION("""COMPUTED_VALUE"""),"thought")</f>
        <v>thought</v>
      </c>
      <c r="E31" s="49" t="str">
        <f>IFERROR(__xludf.DUMMYFUNCTION("""COMPUTED_VALUE"""),"feast")</f>
        <v>feast</v>
      </c>
      <c r="F31" s="49" t="str">
        <f>IFERROR(__xludf.DUMMYFUNCTION("""COMPUTED_VALUE"""),"massacre")</f>
        <v>massacre</v>
      </c>
      <c r="G31" s="49" t="str">
        <f>IFERROR(__xludf.DUMMYFUNCTION("""COMPUTED_VALUE"""),"backward")</f>
        <v>backward</v>
      </c>
      <c r="H31" s="54" t="str">
        <f t="shared" si="1"/>
        <v>drink,</v>
      </c>
      <c r="I31" s="50"/>
      <c r="J31" s="50" t="s">
        <v>6278</v>
      </c>
      <c r="K31" s="50" t="s">
        <v>117</v>
      </c>
      <c r="L31" s="49" t="str">
        <f>IFERROR(__xludf.DUMMYFUNCTION("""COMPUTED_VALUE"""),"sounds")</f>
        <v>sounds</v>
      </c>
      <c r="M31" s="49" t="str">
        <f>IFERROR(__xludf.DUMMYFUNCTION("""COMPUTED_VALUE"""),"abuse")</f>
        <v>abuse</v>
      </c>
      <c r="N31" s="49" t="str">
        <f>IFERROR(__xludf.DUMMYFUNCTION("""COMPUTED_VALUE"""),"watch")</f>
        <v>watch</v>
      </c>
      <c r="O31" s="49" t="str">
        <f>IFERROR(__xludf.DUMMYFUNCTION("""COMPUTED_VALUE"""),"horrors")</f>
        <v>horrors</v>
      </c>
      <c r="P31" s="49" t="str">
        <f t="shared" si="2"/>
        <v>s,</v>
      </c>
      <c r="Q31" s="49"/>
      <c r="R31" s="50" t="s">
        <v>1021</v>
      </c>
      <c r="S31" s="55" t="s">
        <v>249</v>
      </c>
      <c r="T31" s="49" t="str">
        <f>IFERROR(__xludf.DUMMYFUNCTION("""COMPUTED_VALUE"""),"two")</f>
        <v>two</v>
      </c>
      <c r="U31" s="49" t="str">
        <f>IFERROR(__xludf.DUMMYFUNCTION("""COMPUTED_VALUE"""),"portrait")</f>
        <v>portrait</v>
      </c>
      <c r="V31" s="49" t="str">
        <f>IFERROR(__xludf.DUMMYFUNCTION("""COMPUTED_VALUE"""),"string")</f>
        <v>string</v>
      </c>
      <c r="W31" s="49" t="str">
        <f>IFERROR(__xludf.DUMMYFUNCTION("""COMPUTED_VALUE"""),"your")</f>
        <v>your</v>
      </c>
      <c r="X31" s="49" t="str">
        <f t="shared" si="3"/>
        <v>?,</v>
      </c>
      <c r="Y31" s="49"/>
      <c r="Z31" s="1" t="s">
        <v>3080</v>
      </c>
      <c r="AA31" s="1" t="s">
        <v>287</v>
      </c>
      <c r="AB31" s="49" t="str">
        <f>IFERROR(__xludf.DUMMYFUNCTION("""COMPUTED_VALUE"""),"tale")</f>
        <v>tale</v>
      </c>
      <c r="AC31" s="49" t="str">
        <f>IFERROR(__xludf.DUMMYFUNCTION("""COMPUTED_VALUE"""),"strongest")</f>
        <v>strongest</v>
      </c>
      <c r="AD31" s="49" t="str">
        <f>IFERROR(__xludf.DUMMYFUNCTION("""COMPUTED_VALUE"""),"watch")</f>
        <v>watch</v>
      </c>
      <c r="AE31" s="49" t="str">
        <f>IFERROR(__xludf.DUMMYFUNCTION("""COMPUTED_VALUE"""),"horrors")</f>
        <v>horrors</v>
      </c>
      <c r="AF31" s="49" t="str">
        <f t="shared" si="4"/>
        <v>package,</v>
      </c>
      <c r="AG31" s="49"/>
      <c r="AH31" s="1" t="s">
        <v>266</v>
      </c>
      <c r="AI31" s="1" t="s">
        <v>6278</v>
      </c>
      <c r="AJ31" s="6" t="str">
        <f>IFERROR(__xludf.DUMMYFUNCTION("""COMPUTED_VALUE"""),"out")</f>
        <v>out</v>
      </c>
      <c r="AK31" s="49" t="str">
        <f>IFERROR(__xludf.DUMMYFUNCTION("""COMPUTED_VALUE"""),"rejected")</f>
        <v>rejected</v>
      </c>
      <c r="AL31" s="49" t="str">
        <f>IFERROR(__xludf.DUMMYFUNCTION("""COMPUTED_VALUE"""),"cash")</f>
        <v>cash</v>
      </c>
      <c r="AM31" s="49" t="str">
        <f>IFERROR(__xludf.DUMMYFUNCTION("""COMPUTED_VALUE"""),"kennedy")</f>
        <v>kennedy</v>
      </c>
      <c r="AN31" s="52" t="str">
        <f t="shared" si="5"/>
        <v>out,</v>
      </c>
    </row>
    <row r="32">
      <c r="A32" s="51" t="s">
        <v>293</v>
      </c>
      <c r="B32" s="50" t="s">
        <v>3535</v>
      </c>
      <c r="C32" s="50" t="s">
        <v>260</v>
      </c>
      <c r="D32" s="49" t="str">
        <f>IFERROR(__xludf.DUMMYFUNCTION("""COMPUTED_VALUE"""),"films")</f>
        <v>films</v>
      </c>
      <c r="E32" s="49" t="str">
        <f>IFERROR(__xludf.DUMMYFUNCTION("""COMPUTED_VALUE"""),"confident")</f>
        <v>confident</v>
      </c>
      <c r="F32" s="49" t="str">
        <f>IFERROR(__xludf.DUMMYFUNCTION("""COMPUTED_VALUE"""),"custom")</f>
        <v>custom</v>
      </c>
      <c r="G32" s="49" t="str">
        <f>IFERROR(__xludf.DUMMYFUNCTION("""COMPUTED_VALUE"""),"sufficient")</f>
        <v>sufficient</v>
      </c>
      <c r="H32" s="54" t="str">
        <f t="shared" si="1"/>
        <v>cool,</v>
      </c>
      <c r="I32" s="50"/>
      <c r="J32" s="50" t="s">
        <v>815</v>
      </c>
      <c r="K32" s="50" t="s">
        <v>107</v>
      </c>
      <c r="L32" s="49" t="str">
        <f>IFERROR(__xludf.DUMMYFUNCTION("""COMPUTED_VALUE"""),"cute")</f>
        <v>cute</v>
      </c>
      <c r="M32" s="49" t="str">
        <f>IFERROR(__xludf.DUMMYFUNCTION("""COMPUTED_VALUE"""),"enduring")</f>
        <v>enduring</v>
      </c>
      <c r="N32" s="49" t="str">
        <f>IFERROR(__xludf.DUMMYFUNCTION("""COMPUTED_VALUE"""),"girlfriend")</f>
        <v>girlfriend</v>
      </c>
      <c r="O32" s="49" t="str">
        <f>IFERROR(__xludf.DUMMYFUNCTION("""COMPUTED_VALUE"""),"pointless")</f>
        <v>pointless</v>
      </c>
      <c r="P32" s="49" t="str">
        <f t="shared" si="2"/>
        <v>(,</v>
      </c>
      <c r="Q32" s="49"/>
      <c r="R32" s="50" t="s">
        <v>1138</v>
      </c>
      <c r="S32" s="55" t="s">
        <v>226</v>
      </c>
      <c r="T32" s="49" t="str">
        <f>IFERROR(__xludf.DUMMYFUNCTION("""COMPUTED_VALUE"""),"church")</f>
        <v>church</v>
      </c>
      <c r="U32" s="49" t="str">
        <f>IFERROR(__xludf.DUMMYFUNCTION("""COMPUTED_VALUE"""),"compassion")</f>
        <v>compassion</v>
      </c>
      <c r="V32" s="49" t="str">
        <f>IFERROR(__xludf.DUMMYFUNCTION("""COMPUTED_VALUE"""),"favor")</f>
        <v>favor</v>
      </c>
      <c r="W32" s="49" t="str">
        <f>IFERROR(__xludf.DUMMYFUNCTION("""COMPUTED_VALUE"""),"brave")</f>
        <v>brave</v>
      </c>
      <c r="X32" s="49" t="str">
        <f t="shared" si="3"/>
        <v>idea,</v>
      </c>
      <c r="Y32" s="49"/>
      <c r="Z32" s="1" t="s">
        <v>978</v>
      </c>
      <c r="AA32" s="1" t="s">
        <v>295</v>
      </c>
      <c r="AB32" s="49" t="str">
        <f>IFERROR(__xludf.DUMMYFUNCTION("""COMPUTED_VALUE"""),"invention")</f>
        <v>invention</v>
      </c>
      <c r="AC32" s="49" t="str">
        <f>IFERROR(__xludf.DUMMYFUNCTION("""COMPUTED_VALUE"""),"irrelevant")</f>
        <v>irrelevant</v>
      </c>
      <c r="AD32" s="49" t="str">
        <f>IFERROR(__xludf.DUMMYFUNCTION("""COMPUTED_VALUE"""),"girlfriend")</f>
        <v>girlfriend</v>
      </c>
      <c r="AE32" s="49" t="str">
        <f>IFERROR(__xludf.DUMMYFUNCTION("""COMPUTED_VALUE"""),"pointless")</f>
        <v>pointless</v>
      </c>
      <c r="AF32" s="49" t="str">
        <f t="shared" si="4"/>
        <v>lost,</v>
      </c>
      <c r="AG32" s="49"/>
      <c r="AH32" s="1" t="s">
        <v>1349</v>
      </c>
      <c r="AI32" s="1" t="s">
        <v>1337</v>
      </c>
      <c r="AJ32" s="6" t="str">
        <f>IFERROR(__xludf.DUMMYFUNCTION("""COMPUTED_VALUE"""),"into")</f>
        <v>into</v>
      </c>
      <c r="AK32" s="49" t="str">
        <f>IFERROR(__xludf.DUMMYFUNCTION("""COMPUTED_VALUE"""),"successfully")</f>
        <v>successfully</v>
      </c>
      <c r="AL32" s="49" t="str">
        <f>IFERROR(__xludf.DUMMYFUNCTION("""COMPUTED_VALUE"""),"independence")</f>
        <v>independence</v>
      </c>
      <c r="AM32" s="49" t="str">
        <f>IFERROR(__xludf.DUMMYFUNCTION("""COMPUTED_VALUE"""),"meetings")</f>
        <v>meetings</v>
      </c>
      <c r="AN32" s="52" t="str">
        <f t="shared" si="5"/>
        <v>into,</v>
      </c>
    </row>
    <row r="33">
      <c r="A33" s="51" t="s">
        <v>301</v>
      </c>
      <c r="B33" s="50" t="s">
        <v>3298</v>
      </c>
      <c r="C33" s="50" t="s">
        <v>383</v>
      </c>
      <c r="D33" s="49" t="str">
        <f>IFERROR(__xludf.DUMMYFUNCTION("""COMPUTED_VALUE"""),"deeply")</f>
        <v>deeply</v>
      </c>
      <c r="E33" s="49" t="str">
        <f>IFERROR(__xludf.DUMMYFUNCTION("""COMPUTED_VALUE"""),"hollow")</f>
        <v>hollow</v>
      </c>
      <c r="F33" s="49" t="str">
        <f>IFERROR(__xludf.DUMMYFUNCTION("""COMPUTED_VALUE"""),"canada")</f>
        <v>canada</v>
      </c>
      <c r="G33" s="49" t="str">
        <f>IFERROR(__xludf.DUMMYFUNCTION("""COMPUTED_VALUE"""),"argentine")</f>
        <v>argentine</v>
      </c>
      <c r="H33" s="54" t="str">
        <f t="shared" si="1"/>
        <v>accident,</v>
      </c>
      <c r="I33" s="50"/>
      <c r="J33" s="50" t="s">
        <v>3203</v>
      </c>
      <c r="K33" s="50" t="s">
        <v>295</v>
      </c>
      <c r="L33" s="49" t="str">
        <f>IFERROR(__xludf.DUMMYFUNCTION("""COMPUTED_VALUE"""),"seem")</f>
        <v>seem</v>
      </c>
      <c r="M33" s="49" t="str">
        <f>IFERROR(__xludf.DUMMYFUNCTION("""COMPUTED_VALUE"""),"meaningful")</f>
        <v>meaningful</v>
      </c>
      <c r="N33" s="49" t="str">
        <f>IFERROR(__xludf.DUMMYFUNCTION("""COMPUTED_VALUE"""),"harder")</f>
        <v>harder</v>
      </c>
      <c r="O33" s="49" t="str">
        <f>IFERROR(__xludf.DUMMYFUNCTION("""COMPUTED_VALUE"""),"room")</f>
        <v>room</v>
      </c>
      <c r="P33" s="49" t="str">
        <f t="shared" si="2"/>
        <v>then,</v>
      </c>
      <c r="Q33" s="49"/>
      <c r="R33" s="50" t="s">
        <v>980</v>
      </c>
      <c r="S33" s="55" t="s">
        <v>197</v>
      </c>
      <c r="T33" s="49" t="str">
        <f>IFERROR(__xludf.DUMMYFUNCTION("""COMPUTED_VALUE"""),"break")</f>
        <v>break</v>
      </c>
      <c r="U33" s="49" t="str">
        <f>IFERROR(__xludf.DUMMYFUNCTION("""COMPUTED_VALUE"""),"clever")</f>
        <v>clever</v>
      </c>
      <c r="V33" s="49" t="str">
        <f>IFERROR(__xludf.DUMMYFUNCTION("""COMPUTED_VALUE"""),"horrible")</f>
        <v>horrible</v>
      </c>
      <c r="W33" s="49" t="str">
        <f>IFERROR(__xludf.DUMMYFUNCTION("""COMPUTED_VALUE"""),"enriched")</f>
        <v>enriched</v>
      </c>
      <c r="X33" s="49" t="str">
        <f t="shared" si="3"/>
        <v>party,</v>
      </c>
      <c r="Y33" s="49"/>
      <c r="Z33" s="1" t="s">
        <v>1222</v>
      </c>
      <c r="AA33" s="1" t="s">
        <v>303</v>
      </c>
      <c r="AB33" s="49" t="str">
        <f>IFERROR(__xludf.DUMMYFUNCTION("""COMPUTED_VALUE"""),"things")</f>
        <v>things</v>
      </c>
      <c r="AC33" s="49" t="str">
        <f>IFERROR(__xludf.DUMMYFUNCTION("""COMPUTED_VALUE"""),"smug")</f>
        <v>smug</v>
      </c>
      <c r="AD33" s="49" t="str">
        <f>IFERROR(__xludf.DUMMYFUNCTION("""COMPUTED_VALUE"""),"harder")</f>
        <v>harder</v>
      </c>
      <c r="AE33" s="49" t="str">
        <f>IFERROR(__xludf.DUMMYFUNCTION("""COMPUTED_VALUE"""),"room")</f>
        <v>room</v>
      </c>
      <c r="AF33" s="49" t="str">
        <f t="shared" si="4"/>
        <v>which,</v>
      </c>
      <c r="AG33" s="49"/>
      <c r="AH33" s="1" t="s">
        <v>324</v>
      </c>
      <c r="AI33" s="1" t="s">
        <v>60</v>
      </c>
      <c r="AJ33" s="6" t="str">
        <f>IFERROR(__xludf.DUMMYFUNCTION("""COMPUTED_VALUE"""),"two")</f>
        <v>two</v>
      </c>
      <c r="AK33" s="49" t="str">
        <f>IFERROR(__xludf.DUMMYFUNCTION("""COMPUTED_VALUE"""),"formed")</f>
        <v>formed</v>
      </c>
      <c r="AL33" s="49" t="str">
        <f>IFERROR(__xludf.DUMMYFUNCTION("""COMPUTED_VALUE"""),"government")</f>
        <v>government</v>
      </c>
      <c r="AM33" s="49" t="str">
        <f>IFERROR(__xludf.DUMMYFUNCTION("""COMPUTED_VALUE"""),"semi")</f>
        <v>semi</v>
      </c>
      <c r="AN33" s="52" t="str">
        <f t="shared" si="5"/>
        <v>two,</v>
      </c>
    </row>
    <row r="34">
      <c r="A34" s="51" t="s">
        <v>208</v>
      </c>
      <c r="B34" s="50" t="s">
        <v>237</v>
      </c>
      <c r="C34" s="50" t="s">
        <v>117</v>
      </c>
      <c r="D34" s="49" t="str">
        <f>IFERROR(__xludf.DUMMYFUNCTION("""COMPUTED_VALUE"""),"goes")</f>
        <v>goes</v>
      </c>
      <c r="E34" s="49" t="str">
        <f>IFERROR(__xludf.DUMMYFUNCTION("""COMPUTED_VALUE"""),"sensation")</f>
        <v>sensation</v>
      </c>
      <c r="F34" s="49" t="str">
        <f>IFERROR(__xludf.DUMMYFUNCTION("""COMPUTED_VALUE"""),"canadian")</f>
        <v>canadian</v>
      </c>
      <c r="G34" s="49" t="str">
        <f>IFERROR(__xludf.DUMMYFUNCTION("""COMPUTED_VALUE"""),"greek")</f>
        <v>greek</v>
      </c>
      <c r="H34" s="54" t="str">
        <f t="shared" si="1"/>
        <v>plot,</v>
      </c>
      <c r="I34" s="50"/>
      <c r="J34" s="50" t="s">
        <v>445</v>
      </c>
      <c r="K34" s="50" t="s">
        <v>136</v>
      </c>
      <c r="L34" s="49" t="str">
        <f>IFERROR(__xludf.DUMMYFUNCTION("""COMPUTED_VALUE"""),"tale")</f>
        <v>tale</v>
      </c>
      <c r="M34" s="49" t="str">
        <f>IFERROR(__xludf.DUMMYFUNCTION("""COMPUTED_VALUE"""),"portrait")</f>
        <v>portrait</v>
      </c>
      <c r="N34" s="49" t="str">
        <f>IFERROR(__xludf.DUMMYFUNCTION("""COMPUTED_VALUE"""),"films")</f>
        <v>films</v>
      </c>
      <c r="O34" s="49" t="str">
        <f>IFERROR(__xludf.DUMMYFUNCTION("""COMPUTED_VALUE"""),"veins")</f>
        <v>veins</v>
      </c>
      <c r="P34" s="49" t="str">
        <f t="shared" si="2"/>
        <v>is,</v>
      </c>
      <c r="Q34" s="49"/>
      <c r="R34" s="50" t="s">
        <v>91</v>
      </c>
      <c r="S34" s="55" t="s">
        <v>253</v>
      </c>
      <c r="T34" s="49" t="str">
        <f>IFERROR(__xludf.DUMMYFUNCTION("""COMPUTED_VALUE"""),"kick")</f>
        <v>kick</v>
      </c>
      <c r="U34" s="49" t="str">
        <f>IFERROR(__xludf.DUMMYFUNCTION("""COMPUTED_VALUE"""),"faithful")</f>
        <v>faithful</v>
      </c>
      <c r="V34" s="49" t="str">
        <f>IFERROR(__xludf.DUMMYFUNCTION("""COMPUTED_VALUE"""),"carpenter")</f>
        <v>carpenter</v>
      </c>
      <c r="W34" s="49" t="str">
        <f>IFERROR(__xludf.DUMMYFUNCTION("""COMPUTED_VALUE"""),"which")</f>
        <v>which</v>
      </c>
      <c r="X34" s="49" t="str">
        <f t="shared" si="3"/>
        <v>of,</v>
      </c>
      <c r="Y34" s="49"/>
      <c r="Z34" s="1" t="s">
        <v>161</v>
      </c>
      <c r="AA34" s="1" t="s">
        <v>118</v>
      </c>
      <c r="AB34" s="49" t="str">
        <f>IFERROR(__xludf.DUMMYFUNCTION("""COMPUTED_VALUE"""),"up")</f>
        <v>up</v>
      </c>
      <c r="AC34" s="49" t="str">
        <f>IFERROR(__xludf.DUMMYFUNCTION("""COMPUTED_VALUE"""),"captures")</f>
        <v>captures</v>
      </c>
      <c r="AD34" s="49" t="str">
        <f>IFERROR(__xludf.DUMMYFUNCTION("""COMPUTED_VALUE"""),"films")</f>
        <v>films</v>
      </c>
      <c r="AE34" s="49" t="str">
        <f>IFERROR(__xludf.DUMMYFUNCTION("""COMPUTED_VALUE"""),"veins")</f>
        <v>veins</v>
      </c>
      <c r="AF34" s="49" t="str">
        <f t="shared" si="4"/>
        <v>get,</v>
      </c>
      <c r="AG34" s="49"/>
      <c r="AH34" s="1" t="s">
        <v>33</v>
      </c>
      <c r="AI34" s="1" t="s">
        <v>1264</v>
      </c>
      <c r="AJ34" s="6" t="str">
        <f>IFERROR(__xludf.DUMMYFUNCTION("""COMPUTED_VALUE"""),"what")</f>
        <v>what</v>
      </c>
      <c r="AK34" s="49" t="str">
        <f>IFERROR(__xludf.DUMMYFUNCTION("""COMPUTED_VALUE"""),"effectively")</f>
        <v>effectively</v>
      </c>
      <c r="AL34" s="49" t="str">
        <f>IFERROR(__xludf.DUMMYFUNCTION("""COMPUTED_VALUE"""),"georgia")</f>
        <v>georgia</v>
      </c>
      <c r="AM34" s="49" t="str">
        <f>IFERROR(__xludf.DUMMYFUNCTION("""COMPUTED_VALUE"""),"measured")</f>
        <v>measured</v>
      </c>
      <c r="AN34" s="52" t="str">
        <f t="shared" si="5"/>
        <v>what,</v>
      </c>
    </row>
    <row r="35">
      <c r="A35" s="51" t="s">
        <v>317</v>
      </c>
      <c r="B35" s="50" t="s">
        <v>6855</v>
      </c>
      <c r="C35" s="50" t="s">
        <v>136</v>
      </c>
      <c r="D35" s="49" t="str">
        <f>IFERROR(__xludf.DUMMYFUNCTION("""COMPUTED_VALUE"""),"like")</f>
        <v>like</v>
      </c>
      <c r="E35" s="49" t="str">
        <f>IFERROR(__xludf.DUMMYFUNCTION("""COMPUTED_VALUE"""),"viewed")</f>
        <v>viewed</v>
      </c>
      <c r="F35" s="49" t="str">
        <f>IFERROR(__xludf.DUMMYFUNCTION("""COMPUTED_VALUE"""),"multi")</f>
        <v>multi</v>
      </c>
      <c r="G35" s="49" t="str">
        <f>IFERROR(__xludf.DUMMYFUNCTION("""COMPUTED_VALUE"""),"document")</f>
        <v>document</v>
      </c>
      <c r="H35" s="54" t="str">
        <f t="shared" si="1"/>
        <v>couples,</v>
      </c>
      <c r="I35" s="50"/>
      <c r="J35" s="50" t="s">
        <v>348</v>
      </c>
      <c r="K35" s="50" t="s">
        <v>326</v>
      </c>
      <c r="L35" s="49" t="str">
        <f>IFERROR(__xludf.DUMMYFUNCTION("""COMPUTED_VALUE"""),"nice")</f>
        <v>nice</v>
      </c>
      <c r="M35" s="49" t="str">
        <f>IFERROR(__xludf.DUMMYFUNCTION("""COMPUTED_VALUE"""),"compassion")</f>
        <v>compassion</v>
      </c>
      <c r="N35" s="49" t="str">
        <f>IFERROR(__xludf.DUMMYFUNCTION("""COMPUTED_VALUE"""),"cool")</f>
        <v>cool</v>
      </c>
      <c r="O35" s="49" t="str">
        <f>IFERROR(__xludf.DUMMYFUNCTION("""COMPUTED_VALUE"""),"exploration")</f>
        <v>exploration</v>
      </c>
      <c r="P35" s="49" t="str">
        <f t="shared" si="2"/>
        <v>i,</v>
      </c>
      <c r="Q35" s="49"/>
      <c r="R35" s="50" t="s">
        <v>383</v>
      </c>
      <c r="S35" s="55" t="s">
        <v>235</v>
      </c>
      <c r="T35" s="49" t="str">
        <f>IFERROR(__xludf.DUMMYFUNCTION("""COMPUTED_VALUE"""),"going")</f>
        <v>going</v>
      </c>
      <c r="U35" s="49" t="str">
        <f>IFERROR(__xludf.DUMMYFUNCTION("""COMPUTED_VALUE"""),"daring")</f>
        <v>daring</v>
      </c>
      <c r="V35" s="49" t="str">
        <f>IFERROR(__xludf.DUMMYFUNCTION("""COMPUTED_VALUE"""),"making")</f>
        <v>making</v>
      </c>
      <c r="W35" s="49" t="str">
        <f>IFERROR(__xludf.DUMMYFUNCTION("""COMPUTED_VALUE"""),"cinema")</f>
        <v>cinema</v>
      </c>
      <c r="X35" s="49" t="str">
        <f t="shared" si="3"/>
        <v>films,</v>
      </c>
      <c r="Y35" s="49"/>
      <c r="Z35" s="1" t="s">
        <v>1138</v>
      </c>
      <c r="AA35" s="1" t="s">
        <v>319</v>
      </c>
      <c r="AB35" s="49" t="str">
        <f>IFERROR(__xludf.DUMMYFUNCTION("""COMPUTED_VALUE"""),"does")</f>
        <v>does</v>
      </c>
      <c r="AC35" s="49" t="str">
        <f>IFERROR(__xludf.DUMMYFUNCTION("""COMPUTED_VALUE"""),"offensive")</f>
        <v>offensive</v>
      </c>
      <c r="AD35" s="49" t="str">
        <f>IFERROR(__xludf.DUMMYFUNCTION("""COMPUTED_VALUE"""),"cool")</f>
        <v>cool</v>
      </c>
      <c r="AE35" s="49" t="str">
        <f>IFERROR(__xludf.DUMMYFUNCTION("""COMPUTED_VALUE"""),"exploration")</f>
        <v>exploration</v>
      </c>
      <c r="AF35" s="49" t="str">
        <f t="shared" si="4"/>
        <v>idea,</v>
      </c>
      <c r="AG35" s="49"/>
      <c r="AH35" s="1" t="s">
        <v>3203</v>
      </c>
      <c r="AI35" s="1" t="s">
        <v>236</v>
      </c>
      <c r="AJ35" s="6" t="str">
        <f>IFERROR(__xludf.DUMMYFUNCTION("""COMPUTED_VALUE"""),"then")</f>
        <v>then</v>
      </c>
      <c r="AK35" s="49" t="str">
        <f>IFERROR(__xludf.DUMMYFUNCTION("""COMPUTED_VALUE"""),"prominent")</f>
        <v>prominent</v>
      </c>
      <c r="AL35" s="49" t="str">
        <f>IFERROR(__xludf.DUMMYFUNCTION("""COMPUTED_VALUE"""),"network")</f>
        <v>network</v>
      </c>
      <c r="AM35" s="49" t="str">
        <f>IFERROR(__xludf.DUMMYFUNCTION("""COMPUTED_VALUE"""),"liberation")</f>
        <v>liberation</v>
      </c>
      <c r="AN35" s="52" t="str">
        <f t="shared" si="5"/>
        <v>then,</v>
      </c>
    </row>
    <row r="36">
      <c r="A36" s="51" t="s">
        <v>327</v>
      </c>
      <c r="B36" s="50" t="s">
        <v>2088</v>
      </c>
      <c r="C36" s="50" t="s">
        <v>43</v>
      </c>
      <c r="D36" s="49" t="str">
        <f>IFERROR(__xludf.DUMMYFUNCTION("""COMPUTED_VALUE"""),"used")</f>
        <v>used</v>
      </c>
      <c r="E36" s="49" t="str">
        <f>IFERROR(__xludf.DUMMYFUNCTION("""COMPUTED_VALUE"""),"wins")</f>
        <v>wins</v>
      </c>
      <c r="F36" s="49" t="str">
        <f>IFERROR(__xludf.DUMMYFUNCTION("""COMPUTED_VALUE"""),"twin")</f>
        <v>twin</v>
      </c>
      <c r="G36" s="49" t="str">
        <f>IFERROR(__xludf.DUMMYFUNCTION("""COMPUTED_VALUE"""),"auto")</f>
        <v>auto</v>
      </c>
      <c r="H36" s="54" t="str">
        <f t="shared" si="1"/>
        <v>harder,</v>
      </c>
      <c r="I36" s="50"/>
      <c r="J36" s="50" t="s">
        <v>1222</v>
      </c>
      <c r="K36" s="50" t="s">
        <v>334</v>
      </c>
      <c r="L36" s="49" t="str">
        <f>IFERROR(__xludf.DUMMYFUNCTION("""COMPUTED_VALUE"""),"late")</f>
        <v>late</v>
      </c>
      <c r="M36" s="49" t="str">
        <f>IFERROR(__xludf.DUMMYFUNCTION("""COMPUTED_VALUE"""),"bleak")</f>
        <v>bleak</v>
      </c>
      <c r="N36" s="49" t="str">
        <f>IFERROR(__xludf.DUMMYFUNCTION("""COMPUTED_VALUE"""),"movie")</f>
        <v>movie</v>
      </c>
      <c r="O36" s="49" t="str">
        <f>IFERROR(__xludf.DUMMYFUNCTION("""COMPUTED_VALUE"""),"emptiness")</f>
        <v>emptiness</v>
      </c>
      <c r="P36" s="49" t="str">
        <f t="shared" si="2"/>
        <v>which,</v>
      </c>
      <c r="Q36" s="49"/>
      <c r="R36" s="50" t="s">
        <v>2641</v>
      </c>
      <c r="S36" s="55" t="s">
        <v>91</v>
      </c>
      <c r="T36" s="49" t="str">
        <f>IFERROR(__xludf.DUMMYFUNCTION("""COMPUTED_VALUE"""),"really")</f>
        <v>really</v>
      </c>
      <c r="U36" s="49" t="str">
        <f>IFERROR(__xludf.DUMMYFUNCTION("""COMPUTED_VALUE"""),"emerge")</f>
        <v>emerge</v>
      </c>
      <c r="V36" s="49" t="str">
        <f>IFERROR(__xludf.DUMMYFUNCTION("""COMPUTED_VALUE"""),"business")</f>
        <v>business</v>
      </c>
      <c r="W36" s="49" t="str">
        <f>IFERROR(__xludf.DUMMYFUNCTION("""COMPUTED_VALUE"""),"viewing")</f>
        <v>viewing</v>
      </c>
      <c r="X36" s="49" t="str">
        <f t="shared" si="3"/>
        <v>guys,</v>
      </c>
      <c r="Y36" s="49"/>
      <c r="Z36" s="1" t="s">
        <v>1921</v>
      </c>
      <c r="AA36" s="1" t="s">
        <v>328</v>
      </c>
      <c r="AB36" s="49" t="str">
        <f>IFERROR(__xludf.DUMMYFUNCTION("""COMPUTED_VALUE"""),"car")</f>
        <v>car</v>
      </c>
      <c r="AC36" s="49" t="str">
        <f>IFERROR(__xludf.DUMMYFUNCTION("""COMPUTED_VALUE"""),"tale")</f>
        <v>tale</v>
      </c>
      <c r="AD36" s="49" t="str">
        <f>IFERROR(__xludf.DUMMYFUNCTION("""COMPUTED_VALUE"""),"movie")</f>
        <v>movie</v>
      </c>
      <c r="AE36" s="49" t="str">
        <f>IFERROR(__xludf.DUMMYFUNCTION("""COMPUTED_VALUE"""),"emptiness")</f>
        <v>emptiness</v>
      </c>
      <c r="AF36" s="49" t="str">
        <f t="shared" si="4"/>
        <v>touches,</v>
      </c>
      <c r="AG36" s="49"/>
      <c r="AH36" s="1" t="s">
        <v>1337</v>
      </c>
      <c r="AI36" s="1" t="s">
        <v>177</v>
      </c>
      <c r="AJ36" s="6" t="str">
        <f>IFERROR(__xludf.DUMMYFUNCTION("""COMPUTED_VALUE"""),"such")</f>
        <v>such</v>
      </c>
      <c r="AK36" s="49" t="str">
        <f>IFERROR(__xludf.DUMMYFUNCTION("""COMPUTED_VALUE"""),"stakes")</f>
        <v>stakes</v>
      </c>
      <c r="AL36" s="49" t="str">
        <f>IFERROR(__xludf.DUMMYFUNCTION("""COMPUTED_VALUE"""),"carter")</f>
        <v>carter</v>
      </c>
      <c r="AM36" s="49" t="str">
        <f>IFERROR(__xludf.DUMMYFUNCTION("""COMPUTED_VALUE"""),"credited")</f>
        <v>credited</v>
      </c>
      <c r="AN36" s="52" t="str">
        <f t="shared" si="5"/>
        <v>such,</v>
      </c>
    </row>
    <row r="37">
      <c r="A37" s="51" t="s">
        <v>335</v>
      </c>
      <c r="B37" s="50" t="s">
        <v>5362</v>
      </c>
      <c r="C37" s="50" t="s">
        <v>455</v>
      </c>
      <c r="D37" s="49" t="str">
        <f>IFERROR(__xludf.DUMMYFUNCTION("""COMPUTED_VALUE"""),"make")</f>
        <v>make</v>
      </c>
      <c r="E37" s="49" t="str">
        <f>IFERROR(__xludf.DUMMYFUNCTION("""COMPUTED_VALUE"""),"elaborate")</f>
        <v>elaborate</v>
      </c>
      <c r="F37" s="49" t="str">
        <f>IFERROR(__xludf.DUMMYFUNCTION("""COMPUTED_VALUE"""),"bitch")</f>
        <v>bitch</v>
      </c>
      <c r="G37" s="49">
        <f>IFERROR(__xludf.DUMMYFUNCTION("""COMPUTED_VALUE"""),2002.0)</f>
        <v>2002</v>
      </c>
      <c r="H37" s="54" t="str">
        <f t="shared" si="1"/>
        <v>girlfriend,</v>
      </c>
      <c r="I37" s="50"/>
      <c r="J37" s="50" t="s">
        <v>493</v>
      </c>
      <c r="K37" s="50" t="s">
        <v>337</v>
      </c>
      <c r="L37" s="49" t="str">
        <f>IFERROR(__xludf.DUMMYFUNCTION("""COMPUTED_VALUE"""),"music")</f>
        <v>music</v>
      </c>
      <c r="M37" s="49" t="str">
        <f>IFERROR(__xludf.DUMMYFUNCTION("""COMPUTED_VALUE"""),"affection")</f>
        <v>affection</v>
      </c>
      <c r="N37" s="49" t="str">
        <f>IFERROR(__xludf.DUMMYFUNCTION("""COMPUTED_VALUE"""),"one")</f>
        <v>one</v>
      </c>
      <c r="O37" s="49" t="str">
        <f>IFERROR(__xludf.DUMMYFUNCTION("""COMPUTED_VALUE"""),"thrilling")</f>
        <v>thrilling</v>
      </c>
      <c r="P37" s="49" t="str">
        <f t="shared" si="2"/>
        <v>since,</v>
      </c>
      <c r="Q37" s="49"/>
      <c r="R37" s="50" t="s">
        <v>815</v>
      </c>
      <c r="S37" s="55" t="s">
        <v>266</v>
      </c>
      <c r="T37" s="49" t="str">
        <f>IFERROR(__xludf.DUMMYFUNCTION("""COMPUTED_VALUE"""),"damn")</f>
        <v>damn</v>
      </c>
      <c r="U37" s="49" t="str">
        <f>IFERROR(__xludf.DUMMYFUNCTION("""COMPUTED_VALUE"""),"deadly")</f>
        <v>deadly</v>
      </c>
      <c r="V37" s="49" t="str">
        <f>IFERROR(__xludf.DUMMYFUNCTION("""COMPUTED_VALUE"""),"position")</f>
        <v>position</v>
      </c>
      <c r="W37" s="49" t="str">
        <f>IFERROR(__xludf.DUMMYFUNCTION("""COMPUTED_VALUE"""),"plot")</f>
        <v>plot</v>
      </c>
      <c r="X37" s="49" t="str">
        <f t="shared" si="3"/>
        <v>(,</v>
      </c>
      <c r="Y37" s="49"/>
      <c r="Z37" s="1" t="s">
        <v>383</v>
      </c>
      <c r="AA37" s="1" t="s">
        <v>337</v>
      </c>
      <c r="AB37" s="49" t="str">
        <f>IFERROR(__xludf.DUMMYFUNCTION("""COMPUTED_VALUE"""),"television")</f>
        <v>television</v>
      </c>
      <c r="AC37" s="49" t="str">
        <f>IFERROR(__xludf.DUMMYFUNCTION("""COMPUTED_VALUE"""),"sitcom")</f>
        <v>sitcom</v>
      </c>
      <c r="AD37" s="49" t="str">
        <f>IFERROR(__xludf.DUMMYFUNCTION("""COMPUTED_VALUE"""),"one")</f>
        <v>one</v>
      </c>
      <c r="AE37" s="49" t="str">
        <f>IFERROR(__xludf.DUMMYFUNCTION("""COMPUTED_VALUE"""),"thrilling")</f>
        <v>thrilling</v>
      </c>
      <c r="AF37" s="49" t="str">
        <f t="shared" si="4"/>
        <v>films,</v>
      </c>
      <c r="AG37" s="49"/>
      <c r="AH37" s="1" t="s">
        <v>959</v>
      </c>
      <c r="AI37" s="1" t="s">
        <v>6262</v>
      </c>
      <c r="AJ37" s="6" t="str">
        <f>IFERROR(__xludf.DUMMYFUNCTION("""COMPUTED_VALUE"""),"your")</f>
        <v>your</v>
      </c>
      <c r="AK37" s="49" t="str">
        <f>IFERROR(__xludf.DUMMYFUNCTION("""COMPUTED_VALUE"""),"scoring")</f>
        <v>scoring</v>
      </c>
      <c r="AL37" s="49" t="str">
        <f>IFERROR(__xludf.DUMMYFUNCTION("""COMPUTED_VALUE"""),"prominent")</f>
        <v>prominent</v>
      </c>
      <c r="AM37" s="49" t="str">
        <f>IFERROR(__xludf.DUMMYFUNCTION("""COMPUTED_VALUE"""),"uh")</f>
        <v>uh</v>
      </c>
      <c r="AN37" s="52" t="str">
        <f t="shared" si="5"/>
        <v>your,</v>
      </c>
    </row>
    <row r="38">
      <c r="A38" s="51" t="s">
        <v>345</v>
      </c>
      <c r="B38" s="50" t="s">
        <v>2138</v>
      </c>
      <c r="C38" s="50" t="s">
        <v>1056</v>
      </c>
      <c r="D38" s="49" t="str">
        <f>IFERROR(__xludf.DUMMYFUNCTION("""COMPUTED_VALUE"""),"anymore")</f>
        <v>anymore</v>
      </c>
      <c r="E38" s="49" t="str">
        <f>IFERROR(__xludf.DUMMYFUNCTION("""COMPUTED_VALUE"""),"quietly")</f>
        <v>quietly</v>
      </c>
      <c r="F38" s="49" t="str">
        <f>IFERROR(__xludf.DUMMYFUNCTION("""COMPUTED_VALUE"""),"basement")</f>
        <v>basement</v>
      </c>
      <c r="G38" s="49" t="str">
        <f>IFERROR(__xludf.DUMMYFUNCTION("""COMPUTED_VALUE"""),"korean")</f>
        <v>korean</v>
      </c>
      <c r="H38" s="54" t="str">
        <f t="shared" si="1"/>
        <v>mess,</v>
      </c>
      <c r="I38" s="50"/>
      <c r="J38" s="50" t="s">
        <v>2606</v>
      </c>
      <c r="K38" s="50" t="s">
        <v>132</v>
      </c>
      <c r="L38" s="49" t="str">
        <f>IFERROR(__xludf.DUMMYFUNCTION("""COMPUTED_VALUE"""),"wrong")</f>
        <v>wrong</v>
      </c>
      <c r="M38" s="49" t="str">
        <f>IFERROR(__xludf.DUMMYFUNCTION("""COMPUTED_VALUE"""),"universal")</f>
        <v>universal</v>
      </c>
      <c r="N38" s="49" t="str">
        <f>IFERROR(__xludf.DUMMYFUNCTION("""COMPUTED_VALUE"""),"lost")</f>
        <v>lost</v>
      </c>
      <c r="O38" s="49" t="str">
        <f>IFERROR(__xludf.DUMMYFUNCTION("""COMPUTED_VALUE"""),"ford")</f>
        <v>ford</v>
      </c>
      <c r="P38" s="49" t="str">
        <f t="shared" si="2"/>
        <v>watch,</v>
      </c>
      <c r="Q38" s="49"/>
      <c r="R38" s="50" t="s">
        <v>324</v>
      </c>
      <c r="S38" s="55" t="s">
        <v>583</v>
      </c>
      <c r="T38" s="49" t="str">
        <f>IFERROR(__xludf.DUMMYFUNCTION("""COMPUTED_VALUE"""),"flash")</f>
        <v>flash</v>
      </c>
      <c r="U38" s="49" t="str">
        <f>IFERROR(__xludf.DUMMYFUNCTION("""COMPUTED_VALUE"""),"striking")</f>
        <v>striking</v>
      </c>
      <c r="V38" s="49" t="str">
        <f>IFERROR(__xludf.DUMMYFUNCTION("""COMPUTED_VALUE"""),"desires")</f>
        <v>desires</v>
      </c>
      <c r="W38" s="49" t="str">
        <f>IFERROR(__xludf.DUMMYFUNCTION("""COMPUTED_VALUE"""),"cylinders")</f>
        <v>cylinders</v>
      </c>
      <c r="X38" s="49" t="str">
        <f t="shared" si="3"/>
        <v>two,</v>
      </c>
      <c r="Y38" s="49"/>
      <c r="Z38" s="1" t="s">
        <v>33</v>
      </c>
      <c r="AA38" s="1" t="s">
        <v>142</v>
      </c>
      <c r="AB38" s="49" t="str">
        <f>IFERROR(__xludf.DUMMYFUNCTION("""COMPUTED_VALUE"""),"these")</f>
        <v>these</v>
      </c>
      <c r="AC38" s="49" t="str">
        <f>IFERROR(__xludf.DUMMYFUNCTION("""COMPUTED_VALUE"""),"abuse")</f>
        <v>abuse</v>
      </c>
      <c r="AD38" s="49" t="str">
        <f>IFERROR(__xludf.DUMMYFUNCTION("""COMPUTED_VALUE"""),"lost")</f>
        <v>lost</v>
      </c>
      <c r="AE38" s="49" t="str">
        <f>IFERROR(__xludf.DUMMYFUNCTION("""COMPUTED_VALUE"""),"ford")</f>
        <v>ford</v>
      </c>
      <c r="AF38" s="49" t="str">
        <f t="shared" si="4"/>
        <v>what,</v>
      </c>
      <c r="AG38" s="49"/>
      <c r="AH38" s="1" t="s">
        <v>156</v>
      </c>
      <c r="AI38" s="1" t="s">
        <v>583</v>
      </c>
      <c r="AJ38" s="6" t="str">
        <f>IFERROR(__xludf.DUMMYFUNCTION("""COMPUTED_VALUE"""),"even")</f>
        <v>even</v>
      </c>
      <c r="AK38" s="49" t="str">
        <f>IFERROR(__xludf.DUMMYFUNCTION("""COMPUTED_VALUE"""),"error")</f>
        <v>error</v>
      </c>
      <c r="AL38" s="49" t="str">
        <f>IFERROR(__xludf.DUMMYFUNCTION("""COMPUTED_VALUE"""),"sleeping")</f>
        <v>sleeping</v>
      </c>
      <c r="AM38" s="49" t="str">
        <f>IFERROR(__xludf.DUMMYFUNCTION("""COMPUTED_VALUE"""),"ease")</f>
        <v>ease</v>
      </c>
      <c r="AN38" s="52" t="str">
        <f t="shared" si="5"/>
        <v>even,</v>
      </c>
    </row>
    <row r="39">
      <c r="A39" s="51" t="s">
        <v>352</v>
      </c>
      <c r="B39" s="50" t="s">
        <v>3080</v>
      </c>
      <c r="C39" s="50" t="s">
        <v>6280</v>
      </c>
      <c r="D39" s="49" t="str">
        <f>IFERROR(__xludf.DUMMYFUNCTION("""COMPUTED_VALUE"""),"movies")</f>
        <v>movies</v>
      </c>
      <c r="E39" s="49" t="str">
        <f>IFERROR(__xludf.DUMMYFUNCTION("""COMPUTED_VALUE"""),"represents")</f>
        <v>represents</v>
      </c>
      <c r="F39" s="49" t="str">
        <f>IFERROR(__xludf.DUMMYFUNCTION("""COMPUTED_VALUE"""),"cash")</f>
        <v>cash</v>
      </c>
      <c r="G39" s="49" t="str">
        <f>IFERROR(__xludf.DUMMYFUNCTION("""COMPUTED_VALUE"""),"engage")</f>
        <v>engage</v>
      </c>
      <c r="H39" s="54" t="str">
        <f t="shared" si="1"/>
        <v>package,</v>
      </c>
      <c r="I39" s="50"/>
      <c r="J39" s="50" t="s">
        <v>2234</v>
      </c>
      <c r="K39" s="50" t="s">
        <v>360</v>
      </c>
      <c r="L39" s="49" t="str">
        <f>IFERROR(__xludf.DUMMYFUNCTION("""COMPUTED_VALUE"""),"course")</f>
        <v>course</v>
      </c>
      <c r="M39" s="49" t="str">
        <f>IFERROR(__xludf.DUMMYFUNCTION("""COMPUTED_VALUE"""),"detached")</f>
        <v>detached</v>
      </c>
      <c r="N39" s="49" t="str">
        <f>IFERROR(__xludf.DUMMYFUNCTION("""COMPUTED_VALUE"""),"makes")</f>
        <v>makes</v>
      </c>
      <c r="O39" s="49" t="str">
        <f>IFERROR(__xludf.DUMMYFUNCTION("""COMPUTED_VALUE"""),"mergers")</f>
        <v>mergers</v>
      </c>
      <c r="P39" s="49" t="str">
        <f t="shared" si="2"/>
        <v>drive,</v>
      </c>
      <c r="Q39" s="49"/>
      <c r="R39" s="50" t="s">
        <v>1493</v>
      </c>
      <c r="S39" s="55" t="s">
        <v>123</v>
      </c>
      <c r="T39" s="49" t="str">
        <f>IFERROR(__xludf.DUMMYFUNCTION("""COMPUTED_VALUE"""),"within")</f>
        <v>within</v>
      </c>
      <c r="U39" s="49" t="str">
        <f>IFERROR(__xludf.DUMMYFUNCTION("""COMPUTED_VALUE"""),"dramatically")</f>
        <v>dramatically</v>
      </c>
      <c r="V39" s="49" t="str">
        <f>IFERROR(__xludf.DUMMYFUNCTION("""COMPUTED_VALUE"""),"jim")</f>
        <v>jim</v>
      </c>
      <c r="W39" s="49" t="str">
        <f>IFERROR(__xludf.DUMMYFUNCTION("""COMPUTED_VALUE"""),"often")</f>
        <v>often</v>
      </c>
      <c r="X39" s="49" t="str">
        <f t="shared" si="3"/>
        <v>church,</v>
      </c>
      <c r="Y39" s="49"/>
      <c r="Z39" s="1" t="s">
        <v>493</v>
      </c>
      <c r="AA39" s="1" t="s">
        <v>145</v>
      </c>
      <c r="AB39" s="49" t="str">
        <f>IFERROR(__xludf.DUMMYFUNCTION("""COMPUTED_VALUE"""),"viewer")</f>
        <v>viewer</v>
      </c>
      <c r="AC39" s="49" t="str">
        <f>IFERROR(__xludf.DUMMYFUNCTION("""COMPUTED_VALUE"""),"suffers")</f>
        <v>suffers</v>
      </c>
      <c r="AD39" s="49" t="str">
        <f>IFERROR(__xludf.DUMMYFUNCTION("""COMPUTED_VALUE"""),"makes")</f>
        <v>makes</v>
      </c>
      <c r="AE39" s="49" t="str">
        <f>IFERROR(__xludf.DUMMYFUNCTION("""COMPUTED_VALUE"""),"mergers")</f>
        <v>mergers</v>
      </c>
      <c r="AF39" s="49" t="str">
        <f t="shared" si="4"/>
        <v>since,</v>
      </c>
      <c r="AG39" s="49"/>
      <c r="AH39" s="1" t="s">
        <v>161</v>
      </c>
      <c r="AI39" s="1" t="s">
        <v>91</v>
      </c>
      <c r="AJ39" s="6" t="str">
        <f>IFERROR(__xludf.DUMMYFUNCTION("""COMPUTED_VALUE"""),"get")</f>
        <v>get</v>
      </c>
      <c r="AK39" s="49"/>
      <c r="AL39" s="49" t="str">
        <f>IFERROR(__xludf.DUMMYFUNCTION("""COMPUTED_VALUE"""),"noticed")</f>
        <v>noticed</v>
      </c>
      <c r="AM39" s="49" t="str">
        <f>IFERROR(__xludf.DUMMYFUNCTION("""COMPUTED_VALUE"""),"philadelphia")</f>
        <v>philadelphia</v>
      </c>
      <c r="AN39" s="52" t="str">
        <f t="shared" si="5"/>
        <v>get,</v>
      </c>
    </row>
    <row r="40">
      <c r="A40" s="51" t="s">
        <v>361</v>
      </c>
      <c r="B40" s="50" t="s">
        <v>2272</v>
      </c>
      <c r="C40" s="50" t="s">
        <v>3529</v>
      </c>
      <c r="D40" s="49" t="str">
        <f>IFERROR(__xludf.DUMMYFUNCTION("""COMPUTED_VALUE"""),"part")</f>
        <v>part</v>
      </c>
      <c r="E40" s="49" t="str">
        <f>IFERROR(__xludf.DUMMYFUNCTION("""COMPUTED_VALUE"""),"capture")</f>
        <v>capture</v>
      </c>
      <c r="F40" s="49" t="str">
        <f>IFERROR(__xludf.DUMMYFUNCTION("""COMPUTED_VALUE"""),"rod")</f>
        <v>rod</v>
      </c>
      <c r="G40" s="49" t="str">
        <f>IFERROR(__xludf.DUMMYFUNCTION("""COMPUTED_VALUE"""),"fewer")</f>
        <v>fewer</v>
      </c>
      <c r="H40" s="54" t="str">
        <f t="shared" si="1"/>
        <v>presents,</v>
      </c>
      <c r="I40" s="50"/>
      <c r="J40" s="50" t="s">
        <v>2388</v>
      </c>
      <c r="K40" s="50" t="s">
        <v>367</v>
      </c>
      <c r="L40" s="49" t="str">
        <f>IFERROR(__xludf.DUMMYFUNCTION("""COMPUTED_VALUE"""),"viewer")</f>
        <v>viewer</v>
      </c>
      <c r="M40" s="49" t="str">
        <f>IFERROR(__xludf.DUMMYFUNCTION("""COMPUTED_VALUE"""),"clever")</f>
        <v>clever</v>
      </c>
      <c r="N40" s="49" t="str">
        <f>IFERROR(__xludf.DUMMYFUNCTION("""COMPUTED_VALUE"""),"no")</f>
        <v>no</v>
      </c>
      <c r="O40" s="49" t="str">
        <f>IFERROR(__xludf.DUMMYFUNCTION("""COMPUTED_VALUE"""),"climate")</f>
        <v>climate</v>
      </c>
      <c r="P40" s="49" t="str">
        <f t="shared" si="2"/>
        <v>generation,</v>
      </c>
      <c r="Q40" s="49"/>
      <c r="R40" s="50" t="s">
        <v>161</v>
      </c>
      <c r="S40" s="55" t="s">
        <v>100</v>
      </c>
      <c r="T40" s="49" t="str">
        <f>IFERROR(__xludf.DUMMYFUNCTION("""COMPUTED_VALUE"""),"substance")</f>
        <v>substance</v>
      </c>
      <c r="U40" s="49" t="str">
        <f>IFERROR(__xludf.DUMMYFUNCTION("""COMPUTED_VALUE"""),"longest")</f>
        <v>longest</v>
      </c>
      <c r="V40" s="49" t="str">
        <f>IFERROR(__xludf.DUMMYFUNCTION("""COMPUTED_VALUE"""),"months")</f>
        <v>months</v>
      </c>
      <c r="W40" s="49" t="str">
        <f>IFERROR(__xludf.DUMMYFUNCTION("""COMPUTED_VALUE"""),"interest")</f>
        <v>interest</v>
      </c>
      <c r="X40" s="49" t="str">
        <f t="shared" si="3"/>
        <v>get,</v>
      </c>
      <c r="Y40" s="49"/>
      <c r="Z40" s="1" t="s">
        <v>980</v>
      </c>
      <c r="AA40" s="1" t="s">
        <v>47</v>
      </c>
      <c r="AB40" s="49" t="str">
        <f>IFERROR(__xludf.DUMMYFUNCTION("""COMPUTED_VALUE"""),"century")</f>
        <v>century</v>
      </c>
      <c r="AC40" s="49" t="str">
        <f>IFERROR(__xludf.DUMMYFUNCTION("""COMPUTED_VALUE"""),"drown")</f>
        <v>drown</v>
      </c>
      <c r="AD40" s="49" t="str">
        <f>IFERROR(__xludf.DUMMYFUNCTION("""COMPUTED_VALUE"""),"no")</f>
        <v>no</v>
      </c>
      <c r="AE40" s="49" t="str">
        <f>IFERROR(__xludf.DUMMYFUNCTION("""COMPUTED_VALUE"""),"climate")</f>
        <v>climate</v>
      </c>
      <c r="AF40" s="49" t="str">
        <f t="shared" si="4"/>
        <v>party,</v>
      </c>
      <c r="AG40" s="49"/>
      <c r="AH40" s="1" t="s">
        <v>837</v>
      </c>
      <c r="AI40" s="1" t="s">
        <v>235</v>
      </c>
      <c r="AJ40" s="6" t="str">
        <f>IFERROR(__xludf.DUMMYFUNCTION("""COMPUTED_VALUE"""),"head")</f>
        <v>head</v>
      </c>
      <c r="AK40" s="49"/>
      <c r="AL40" s="49" t="str">
        <f>IFERROR(__xludf.DUMMYFUNCTION("""COMPUTED_VALUE"""),"decides")</f>
        <v>decides</v>
      </c>
      <c r="AM40" s="49" t="str">
        <f>IFERROR(__xludf.DUMMYFUNCTION("""COMPUTED_VALUE"""),"zealand")</f>
        <v>zealand</v>
      </c>
      <c r="AN40" s="52" t="str">
        <f t="shared" si="5"/>
        <v>head,</v>
      </c>
    </row>
    <row r="41">
      <c r="A41" s="51" t="s">
        <v>31</v>
      </c>
      <c r="B41" s="50" t="s">
        <v>1687</v>
      </c>
      <c r="C41" s="50" t="s">
        <v>443</v>
      </c>
      <c r="D41" s="49" t="str">
        <f>IFERROR(__xludf.DUMMYFUNCTION("""COMPUTED_VALUE"""),"happening")</f>
        <v>happening</v>
      </c>
      <c r="E41" s="49" t="str">
        <f>IFERROR(__xludf.DUMMYFUNCTION("""COMPUTED_VALUE"""),"displays")</f>
        <v>displays</v>
      </c>
      <c r="F41" s="49" t="str">
        <f>IFERROR(__xludf.DUMMYFUNCTION("""COMPUTED_VALUE"""),"matt")</f>
        <v>matt</v>
      </c>
      <c r="G41" s="49" t="str">
        <f>IFERROR(__xludf.DUMMYFUNCTION("""COMPUTED_VALUE"""),"claude")</f>
        <v>claude</v>
      </c>
      <c r="H41" s="54" t="str">
        <f t="shared" si="1"/>
        <v>dies,</v>
      </c>
      <c r="I41" s="50"/>
      <c r="J41" s="50" t="s">
        <v>1192</v>
      </c>
      <c r="K41" s="50" t="s">
        <v>142</v>
      </c>
      <c r="L41" s="49" t="str">
        <f>IFERROR(__xludf.DUMMYFUNCTION("""COMPUTED_VALUE"""),"year")</f>
        <v>year</v>
      </c>
      <c r="M41" s="49" t="str">
        <f>IFERROR(__xludf.DUMMYFUNCTION("""COMPUTED_VALUE"""),"faithful")</f>
        <v>faithful</v>
      </c>
      <c r="N41" s="49" t="str">
        <f>IFERROR(__xludf.DUMMYFUNCTION("""COMPUTED_VALUE"""),"why")</f>
        <v>why</v>
      </c>
      <c r="O41" s="49" t="str">
        <f>IFERROR(__xludf.DUMMYFUNCTION("""COMPUTED_VALUE"""),"current")</f>
        <v>current</v>
      </c>
      <c r="P41" s="49" t="str">
        <f t="shared" si="2"/>
        <v>generally,</v>
      </c>
      <c r="Q41" s="49"/>
      <c r="R41" s="50" t="s">
        <v>2250</v>
      </c>
      <c r="S41" s="55" t="s">
        <v>260</v>
      </c>
      <c r="T41" s="49" t="str">
        <f>IFERROR(__xludf.DUMMYFUNCTION("""COMPUTED_VALUE"""),"bringing")</f>
        <v>bringing</v>
      </c>
      <c r="U41" s="49" t="str">
        <f>IFERROR(__xludf.DUMMYFUNCTION("""COMPUTED_VALUE"""),"fallen")</f>
        <v>fallen</v>
      </c>
      <c r="V41" s="49" t="str">
        <f>IFERROR(__xludf.DUMMYFUNCTION("""COMPUTED_VALUE"""),"swedish")</f>
        <v>swedish</v>
      </c>
      <c r="W41" s="49" t="str">
        <f>IFERROR(__xludf.DUMMYFUNCTION("""COMPUTED_VALUE"""),"will")</f>
        <v>will</v>
      </c>
      <c r="X41" s="49" t="str">
        <f t="shared" si="3"/>
        <v>break,</v>
      </c>
      <c r="Y41" s="49"/>
      <c r="Z41" s="1" t="s">
        <v>2146</v>
      </c>
      <c r="AA41" s="1" t="s">
        <v>55</v>
      </c>
      <c r="AB41" s="49" t="str">
        <f>IFERROR(__xludf.DUMMYFUNCTION("""COMPUTED_VALUE"""),"colorful")</f>
        <v>colorful</v>
      </c>
      <c r="AC41" s="49" t="str">
        <f>IFERROR(__xludf.DUMMYFUNCTION("""COMPUTED_VALUE"""),"enduring")</f>
        <v>enduring</v>
      </c>
      <c r="AD41" s="49" t="str">
        <f>IFERROR(__xludf.DUMMYFUNCTION("""COMPUTED_VALUE"""),"why")</f>
        <v>why</v>
      </c>
      <c r="AE41" s="49" t="str">
        <f>IFERROR(__xludf.DUMMYFUNCTION("""COMPUTED_VALUE"""),"current")</f>
        <v>current</v>
      </c>
      <c r="AF41" s="49" t="str">
        <f t="shared" si="4"/>
        <v>him,</v>
      </c>
      <c r="AG41" s="49"/>
      <c r="AH41" s="1" t="s">
        <v>493</v>
      </c>
      <c r="AI41" s="1" t="s">
        <v>253</v>
      </c>
      <c r="AJ41" s="6" t="str">
        <f>IFERROR(__xludf.DUMMYFUNCTION("""COMPUTED_VALUE"""),"since")</f>
        <v>since</v>
      </c>
      <c r="AK41" s="49"/>
      <c r="AL41" s="49" t="str">
        <f>IFERROR(__xludf.DUMMYFUNCTION("""COMPUTED_VALUE"""),"houses")</f>
        <v>houses</v>
      </c>
      <c r="AM41" s="49" t="str">
        <f>IFERROR(__xludf.DUMMYFUNCTION("""COMPUTED_VALUE"""),"grey")</f>
        <v>grey</v>
      </c>
      <c r="AN41" s="52" t="str">
        <f t="shared" si="5"/>
        <v>since,</v>
      </c>
    </row>
    <row r="42">
      <c r="A42" s="51" t="s">
        <v>376</v>
      </c>
      <c r="B42" s="50" t="s">
        <v>1996</v>
      </c>
      <c r="C42" s="50" t="s">
        <v>334</v>
      </c>
      <c r="D42" s="49" t="str">
        <f>IFERROR(__xludf.DUMMYFUNCTION("""COMPUTED_VALUE"""),"saw")</f>
        <v>saw</v>
      </c>
      <c r="E42" s="49" t="str">
        <f>IFERROR(__xludf.DUMMYFUNCTION("""COMPUTED_VALUE"""),"repeated")</f>
        <v>repeated</v>
      </c>
      <c r="F42" s="49" t="str">
        <f>IFERROR(__xludf.DUMMYFUNCTION("""COMPUTED_VALUE"""),"quit")</f>
        <v>quit</v>
      </c>
      <c r="G42" s="49" t="str">
        <f>IFERROR(__xludf.DUMMYFUNCTION("""COMPUTED_VALUE"""),"israeli")</f>
        <v>israeli</v>
      </c>
      <c r="H42" s="54" t="str">
        <f t="shared" si="1"/>
        <v>teen,</v>
      </c>
      <c r="I42" s="50"/>
      <c r="J42" s="50" t="s">
        <v>5362</v>
      </c>
      <c r="K42" s="50" t="s">
        <v>145</v>
      </c>
      <c r="L42" s="49" t="str">
        <f>IFERROR(__xludf.DUMMYFUNCTION("""COMPUTED_VALUE"""),"colorful")</f>
        <v>colorful</v>
      </c>
      <c r="M42" s="49" t="str">
        <f>IFERROR(__xludf.DUMMYFUNCTION("""COMPUTED_VALUE"""),"exaggerated")</f>
        <v>exaggerated</v>
      </c>
      <c r="N42" s="49" t="str">
        <f>IFERROR(__xludf.DUMMYFUNCTION("""COMPUTED_VALUE"""),"was")</f>
        <v>was</v>
      </c>
      <c r="O42" s="49" t="str">
        <f>IFERROR(__xludf.DUMMYFUNCTION("""COMPUTED_VALUE"""),"storylines")</f>
        <v>storylines</v>
      </c>
      <c r="P42" s="49" t="str">
        <f t="shared" si="2"/>
        <v>girlfriend,</v>
      </c>
      <c r="Q42" s="49"/>
      <c r="R42" s="50" t="s">
        <v>4744</v>
      </c>
      <c r="S42" s="55" t="s">
        <v>287</v>
      </c>
      <c r="T42" s="49" t="str">
        <f>IFERROR(__xludf.DUMMYFUNCTION("""COMPUTED_VALUE"""),"comes")</f>
        <v>comes</v>
      </c>
      <c r="U42" s="49" t="str">
        <f>IFERROR(__xludf.DUMMYFUNCTION("""COMPUTED_VALUE"""),"remarkably")</f>
        <v>remarkably</v>
      </c>
      <c r="V42" s="49" t="str">
        <f>IFERROR(__xludf.DUMMYFUNCTION("""COMPUTED_VALUE"""),"call")</f>
        <v>call</v>
      </c>
      <c r="W42" s="49" t="str">
        <f>IFERROR(__xludf.DUMMYFUNCTION("""COMPUTED_VALUE"""),"clone")</f>
        <v>clone</v>
      </c>
      <c r="X42" s="49" t="str">
        <f t="shared" si="3"/>
        <v>kick,</v>
      </c>
      <c r="Y42" s="49"/>
      <c r="Z42" s="1" t="s">
        <v>337</v>
      </c>
      <c r="AA42" s="1" t="s">
        <v>169</v>
      </c>
      <c r="AB42" s="49" t="str">
        <f>IFERROR(__xludf.DUMMYFUNCTION("""COMPUTED_VALUE"""),"20th")</f>
        <v>20th</v>
      </c>
      <c r="AC42" s="49" t="str">
        <f>IFERROR(__xludf.DUMMYFUNCTION("""COMPUTED_VALUE"""),"meaningful")</f>
        <v>meaningful</v>
      </c>
      <c r="AD42" s="49" t="str">
        <f>IFERROR(__xludf.DUMMYFUNCTION("""COMPUTED_VALUE"""),"was")</f>
        <v>was</v>
      </c>
      <c r="AE42" s="49" t="str">
        <f>IFERROR(__xludf.DUMMYFUNCTION("""COMPUTED_VALUE"""),"storylines")</f>
        <v>storylines</v>
      </c>
      <c r="AF42" s="49" t="str">
        <f t="shared" si="4"/>
        <v>bad,</v>
      </c>
      <c r="AG42" s="49"/>
      <c r="AH42" s="1" t="s">
        <v>393</v>
      </c>
      <c r="AI42" s="1" t="s">
        <v>204</v>
      </c>
      <c r="AJ42" s="6" t="str">
        <f>IFERROR(__xludf.DUMMYFUNCTION("""COMPUTED_VALUE"""),"see")</f>
        <v>see</v>
      </c>
      <c r="AK42" s="49"/>
      <c r="AL42" s="49" t="str">
        <f>IFERROR(__xludf.DUMMYFUNCTION("""COMPUTED_VALUE"""),"achieved")</f>
        <v>achieved</v>
      </c>
      <c r="AM42" s="49" t="str">
        <f>IFERROR(__xludf.DUMMYFUNCTION("""COMPUTED_VALUE"""),"meat")</f>
        <v>meat</v>
      </c>
      <c r="AN42" s="52" t="str">
        <f t="shared" si="5"/>
        <v>see,</v>
      </c>
    </row>
    <row r="43">
      <c r="A43" s="51" t="s">
        <v>382</v>
      </c>
      <c r="B43" s="50" t="s">
        <v>139</v>
      </c>
      <c r="C43" s="50" t="s">
        <v>785</v>
      </c>
      <c r="D43" s="49" t="str">
        <f>IFERROR(__xludf.DUMMYFUNCTION("""COMPUTED_VALUE"""),"bad")</f>
        <v>bad</v>
      </c>
      <c r="E43" s="49" t="str">
        <f>IFERROR(__xludf.DUMMYFUNCTION("""COMPUTED_VALUE"""),"impact")</f>
        <v>impact</v>
      </c>
      <c r="F43" s="49" t="str">
        <f>IFERROR(__xludf.DUMMYFUNCTION("""COMPUTED_VALUE"""),"denmark")</f>
        <v>denmark</v>
      </c>
      <c r="G43" s="49" t="str">
        <f>IFERROR(__xludf.DUMMYFUNCTION("""COMPUTED_VALUE"""),"diverse")</f>
        <v>diverse</v>
      </c>
      <c r="H43" s="54" t="str">
        <f t="shared" si="1"/>
        <v>time,</v>
      </c>
      <c r="I43" s="50"/>
      <c r="J43" s="50" t="s">
        <v>837</v>
      </c>
      <c r="K43" s="50" t="s">
        <v>388</v>
      </c>
      <c r="L43" s="49" t="str">
        <f>IFERROR(__xludf.DUMMYFUNCTION("""COMPUTED_VALUE"""),"quest")</f>
        <v>quest</v>
      </c>
      <c r="M43" s="49" t="str">
        <f>IFERROR(__xludf.DUMMYFUNCTION("""COMPUTED_VALUE"""),"daring")</f>
        <v>daring</v>
      </c>
      <c r="N43" s="49" t="str">
        <f>IFERROR(__xludf.DUMMYFUNCTION("""COMPUTED_VALUE"""),"all")</f>
        <v>all</v>
      </c>
      <c r="O43" s="49" t="str">
        <f>IFERROR(__xludf.DUMMYFUNCTION("""COMPUTED_VALUE"""),"woven")</f>
        <v>woven</v>
      </c>
      <c r="P43" s="49" t="str">
        <f t="shared" si="2"/>
        <v>head,</v>
      </c>
      <c r="Q43" s="49"/>
      <c r="R43" s="50" t="s">
        <v>191</v>
      </c>
      <c r="S43" s="55" t="s">
        <v>107</v>
      </c>
      <c r="T43" s="49" t="str">
        <f>IFERROR(__xludf.DUMMYFUNCTION("""COMPUTED_VALUE"""),"sequences")</f>
        <v>sequences</v>
      </c>
      <c r="U43" s="49" t="str">
        <f>IFERROR(__xludf.DUMMYFUNCTION("""COMPUTED_VALUE"""),"brightly")</f>
        <v>brightly</v>
      </c>
      <c r="V43" s="49" t="str">
        <f>IFERROR(__xludf.DUMMYFUNCTION("""COMPUTED_VALUE"""),"drama")</f>
        <v>drama</v>
      </c>
      <c r="W43" s="49" t="str">
        <f>IFERROR(__xludf.DUMMYFUNCTION("""COMPUTED_VALUE"""),"storyline")</f>
        <v>storyline</v>
      </c>
      <c r="X43" s="49" t="str">
        <f t="shared" si="3"/>
        <v>going,</v>
      </c>
      <c r="Y43" s="49"/>
      <c r="Z43" s="1" t="s">
        <v>6283</v>
      </c>
      <c r="AA43" s="1" t="s">
        <v>179</v>
      </c>
      <c r="AB43" s="49" t="str">
        <f>IFERROR(__xludf.DUMMYFUNCTION("""COMPUTED_VALUE"""),"flawed")</f>
        <v>flawed</v>
      </c>
      <c r="AC43" s="49" t="str">
        <f>IFERROR(__xludf.DUMMYFUNCTION("""COMPUTED_VALUE"""),"portrait")</f>
        <v>portrait</v>
      </c>
      <c r="AD43" s="49" t="str">
        <f>IFERROR(__xludf.DUMMYFUNCTION("""COMPUTED_VALUE"""),"all")</f>
        <v>all</v>
      </c>
      <c r="AE43" s="49" t="str">
        <f>IFERROR(__xludf.DUMMYFUNCTION("""COMPUTED_VALUE"""),"woven")</f>
        <v>woven</v>
      </c>
      <c r="AF43" s="49" t="str">
        <f t="shared" si="4"/>
        <v>they,</v>
      </c>
      <c r="AG43" s="49"/>
      <c r="AH43" s="1" t="s">
        <v>542</v>
      </c>
      <c r="AI43" s="1" t="s">
        <v>266</v>
      </c>
      <c r="AJ43" s="6" t="str">
        <f>IFERROR(__xludf.DUMMYFUNCTION("""COMPUTED_VALUE"""),"life")</f>
        <v>life</v>
      </c>
      <c r="AK43" s="49"/>
      <c r="AL43" s="49" t="str">
        <f>IFERROR(__xludf.DUMMYFUNCTION("""COMPUTED_VALUE"""),"antonio")</f>
        <v>antonio</v>
      </c>
      <c r="AM43" s="49" t="str">
        <f>IFERROR(__xludf.DUMMYFUNCTION("""COMPUTED_VALUE"""),"hungry")</f>
        <v>hungry</v>
      </c>
      <c r="AN43" s="52" t="str">
        <f t="shared" si="5"/>
        <v>life,</v>
      </c>
    </row>
    <row r="44">
      <c r="A44" s="51" t="s">
        <v>389</v>
      </c>
      <c r="B44" s="50" t="s">
        <v>43</v>
      </c>
      <c r="C44" s="50" t="s">
        <v>337</v>
      </c>
      <c r="D44" s="49" t="str">
        <f>IFERROR(__xludf.DUMMYFUNCTION("""COMPUTED_VALUE"""),"movie")</f>
        <v>movie</v>
      </c>
      <c r="E44" s="49" t="str">
        <f>IFERROR(__xludf.DUMMYFUNCTION("""COMPUTED_VALUE"""),"approaches")</f>
        <v>approaches</v>
      </c>
      <c r="F44" s="49" t="str">
        <f>IFERROR(__xludf.DUMMYFUNCTION("""COMPUTED_VALUE"""),"bob")</f>
        <v>bob</v>
      </c>
      <c r="G44" s="49" t="str">
        <f>IFERROR(__xludf.DUMMYFUNCTION("""COMPUTED_VALUE"""),"palestinian")</f>
        <v>palestinian</v>
      </c>
      <c r="H44" s="54" t="str">
        <f t="shared" si="1"/>
        <v>like,</v>
      </c>
      <c r="I44" s="50"/>
      <c r="J44" s="50" t="s">
        <v>724</v>
      </c>
      <c r="K44" s="50" t="s">
        <v>397</v>
      </c>
      <c r="L44" s="49" t="str">
        <f>IFERROR(__xludf.DUMMYFUNCTION("""COMPUTED_VALUE"""),"recent")</f>
        <v>recent</v>
      </c>
      <c r="M44" s="49" t="str">
        <f>IFERROR(__xludf.DUMMYFUNCTION("""COMPUTED_VALUE"""),"deadly")</f>
        <v>deadly</v>
      </c>
      <c r="N44" s="49" t="str">
        <f>IFERROR(__xludf.DUMMYFUNCTION("""COMPUTED_VALUE"""),"when")</f>
        <v>when</v>
      </c>
      <c r="O44" s="49" t="str">
        <f>IFERROR(__xludf.DUMMYFUNCTION("""COMPUTED_VALUE"""),"empathy")</f>
        <v>empathy</v>
      </c>
      <c r="P44" s="49" t="str">
        <f t="shared" si="2"/>
        <v>go,</v>
      </c>
      <c r="Q44" s="49"/>
      <c r="R44" s="50" t="s">
        <v>437</v>
      </c>
      <c r="S44" s="55" t="s">
        <v>117</v>
      </c>
      <c r="T44" s="49" t="str">
        <f>IFERROR(__xludf.DUMMYFUNCTION("""COMPUTED_VALUE"""),"start")</f>
        <v>start</v>
      </c>
      <c r="U44" s="49" t="str">
        <f>IFERROR(__xludf.DUMMYFUNCTION("""COMPUTED_VALUE"""),"absorbing")</f>
        <v>absorbing</v>
      </c>
      <c r="V44" s="49" t="str">
        <f>IFERROR(__xludf.DUMMYFUNCTION("""COMPUTED_VALUE"""),"evil")</f>
        <v>evil</v>
      </c>
      <c r="W44" s="49" t="str">
        <f>IFERROR(__xludf.DUMMYFUNCTION("""COMPUTED_VALUE"""),"silly")</f>
        <v>silly</v>
      </c>
      <c r="X44" s="49" t="str">
        <f t="shared" si="3"/>
        <v>really,</v>
      </c>
      <c r="Y44" s="49"/>
      <c r="Z44" s="1" t="s">
        <v>542</v>
      </c>
      <c r="AA44" s="1" t="s">
        <v>184</v>
      </c>
      <c r="AB44" s="49" t="str">
        <f>IFERROR(__xludf.DUMMYFUNCTION("""COMPUTED_VALUE"""),"had")</f>
        <v>had</v>
      </c>
      <c r="AC44" s="49" t="str">
        <f>IFERROR(__xludf.DUMMYFUNCTION("""COMPUTED_VALUE"""),"compassion")</f>
        <v>compassion</v>
      </c>
      <c r="AD44" s="49" t="str">
        <f>IFERROR(__xludf.DUMMYFUNCTION("""COMPUTED_VALUE"""),"when")</f>
        <v>when</v>
      </c>
      <c r="AE44" s="49" t="str">
        <f>IFERROR(__xludf.DUMMYFUNCTION("""COMPUTED_VALUE"""),"empathy")</f>
        <v>empathy</v>
      </c>
      <c r="AF44" s="49" t="str">
        <f t="shared" si="4"/>
        <v>life,</v>
      </c>
      <c r="AG44" s="49"/>
      <c r="AH44" s="1" t="s">
        <v>724</v>
      </c>
      <c r="AI44" s="1" t="s">
        <v>6279</v>
      </c>
      <c r="AJ44" s="6" t="str">
        <f>IFERROR(__xludf.DUMMYFUNCTION("""COMPUTED_VALUE"""),"go")</f>
        <v>go</v>
      </c>
      <c r="AK44" s="49"/>
      <c r="AL44" s="49" t="str">
        <f>IFERROR(__xludf.DUMMYFUNCTION("""COMPUTED_VALUE"""),"mary")</f>
        <v>mary</v>
      </c>
      <c r="AM44" s="49" t="str">
        <f>IFERROR(__xludf.DUMMYFUNCTION("""COMPUTED_VALUE"""),"cattle")</f>
        <v>cattle</v>
      </c>
      <c r="AN44" s="52" t="str">
        <f t="shared" si="5"/>
        <v>go,</v>
      </c>
    </row>
    <row r="45">
      <c r="A45" s="51" t="s">
        <v>398</v>
      </c>
      <c r="B45" s="50" t="s">
        <v>148</v>
      </c>
      <c r="C45" s="50" t="s">
        <v>3522</v>
      </c>
      <c r="D45" s="49" t="str">
        <f>IFERROR(__xludf.DUMMYFUNCTION("""COMPUTED_VALUE"""),"story")</f>
        <v>story</v>
      </c>
      <c r="E45" s="49" t="str">
        <f>IFERROR(__xludf.DUMMYFUNCTION("""COMPUTED_VALUE"""),"lowered")</f>
        <v>lowered</v>
      </c>
      <c r="F45" s="49" t="str">
        <f>IFERROR(__xludf.DUMMYFUNCTION("""COMPUTED_VALUE"""),"las")</f>
        <v>las</v>
      </c>
      <c r="G45" s="49" t="str">
        <f>IFERROR(__xludf.DUMMYFUNCTION("""COMPUTED_VALUE"""),"bombs")</f>
        <v>bombs</v>
      </c>
      <c r="H45" s="54" t="str">
        <f t="shared" si="1"/>
        <v>back,</v>
      </c>
      <c r="I45" s="50"/>
      <c r="J45" s="50" t="s">
        <v>2088</v>
      </c>
      <c r="K45" s="50" t="s">
        <v>47</v>
      </c>
      <c r="L45" s="49" t="str">
        <f>IFERROR(__xludf.DUMMYFUNCTION("""COMPUTED_VALUE"""),"cast")</f>
        <v>cast</v>
      </c>
      <c r="M45" s="49" t="str">
        <f>IFERROR(__xludf.DUMMYFUNCTION("""COMPUTED_VALUE"""),"dramatically")</f>
        <v>dramatically</v>
      </c>
      <c r="N45" s="49" t="str">
        <f>IFERROR(__xludf.DUMMYFUNCTION("""COMPUTED_VALUE"""),"here")</f>
        <v>here</v>
      </c>
      <c r="O45" s="49" t="str">
        <f>IFERROR(__xludf.DUMMYFUNCTION("""COMPUTED_VALUE"""),"deception")</f>
        <v>deception</v>
      </c>
      <c r="P45" s="49" t="str">
        <f t="shared" si="2"/>
        <v>harder,</v>
      </c>
      <c r="Q45" s="49"/>
      <c r="R45" s="50" t="s">
        <v>6578</v>
      </c>
      <c r="S45" s="55" t="s">
        <v>383</v>
      </c>
      <c r="T45" s="49" t="str">
        <f>IFERROR(__xludf.DUMMYFUNCTION("""COMPUTED_VALUE"""),"got")</f>
        <v>got</v>
      </c>
      <c r="U45" s="49" t="str">
        <f>IFERROR(__xludf.DUMMYFUNCTION("""COMPUTED_VALUE"""),"qualities")</f>
        <v>qualities</v>
      </c>
      <c r="V45" s="49" t="str">
        <f>IFERROR(__xludf.DUMMYFUNCTION("""COMPUTED_VALUE"""),"dude")</f>
        <v>dude</v>
      </c>
      <c r="W45" s="49" t="str">
        <f>IFERROR(__xludf.DUMMYFUNCTION("""COMPUTED_VALUE"""),"crude")</f>
        <v>crude</v>
      </c>
      <c r="X45" s="49" t="str">
        <f t="shared" si="3"/>
        <v>damn,</v>
      </c>
      <c r="Y45" s="49"/>
      <c r="Z45" s="1" t="s">
        <v>2272</v>
      </c>
      <c r="AA45" s="1" t="s">
        <v>400</v>
      </c>
      <c r="AB45" s="49" t="str">
        <f>IFERROR(__xludf.DUMMYFUNCTION("""COMPUTED_VALUE"""),"pretty")</f>
        <v>pretty</v>
      </c>
      <c r="AC45" s="49" t="str">
        <f>IFERROR(__xludf.DUMMYFUNCTION("""COMPUTED_VALUE"""),"bleak")</f>
        <v>bleak</v>
      </c>
      <c r="AD45" s="49" t="str">
        <f>IFERROR(__xludf.DUMMYFUNCTION("""COMPUTED_VALUE"""),"here")</f>
        <v>here</v>
      </c>
      <c r="AE45" s="49" t="str">
        <f>IFERROR(__xludf.DUMMYFUNCTION("""COMPUTED_VALUE"""),"deception")</f>
        <v>deception</v>
      </c>
      <c r="AF45" s="49" t="str">
        <f t="shared" si="4"/>
        <v>presents,</v>
      </c>
      <c r="AG45" s="49"/>
      <c r="AH45" s="1" t="s">
        <v>6292</v>
      </c>
      <c r="AI45" s="1" t="s">
        <v>112</v>
      </c>
      <c r="AJ45" s="6" t="str">
        <f>IFERROR(__xludf.DUMMYFUNCTION("""COMPUTED_VALUE"""),"very")</f>
        <v>very</v>
      </c>
      <c r="AK45" s="49"/>
      <c r="AL45" s="49" t="str">
        <f>IFERROR(__xludf.DUMMYFUNCTION("""COMPUTED_VALUE"""),"initially")</f>
        <v>initially</v>
      </c>
      <c r="AM45" s="49" t="str">
        <f>IFERROR(__xludf.DUMMYFUNCTION("""COMPUTED_VALUE"""),"tier")</f>
        <v>tier</v>
      </c>
      <c r="AN45" s="52" t="str">
        <f t="shared" si="5"/>
        <v>very,</v>
      </c>
    </row>
    <row r="46">
      <c r="A46" s="51" t="s">
        <v>408</v>
      </c>
      <c r="B46" s="50" t="s">
        <v>73</v>
      </c>
      <c r="C46" s="50" t="s">
        <v>132</v>
      </c>
      <c r="D46" s="49" t="str">
        <f>IFERROR(__xludf.DUMMYFUNCTION("""COMPUTED_VALUE"""),"greatest")</f>
        <v>greatest</v>
      </c>
      <c r="E46" s="49" t="str">
        <f>IFERROR(__xludf.DUMMYFUNCTION("""COMPUTED_VALUE"""),"slip")</f>
        <v>slip</v>
      </c>
      <c r="F46" s="49" t="str">
        <f>IFERROR(__xludf.DUMMYFUNCTION("""COMPUTED_VALUE"""),"dam")</f>
        <v>dam</v>
      </c>
      <c r="G46" s="49" t="str">
        <f>IFERROR(__xludf.DUMMYFUNCTION("""COMPUTED_VALUE"""),"orthodox")</f>
        <v>orthodox</v>
      </c>
      <c r="H46" s="54" t="str">
        <f t="shared" si="1"/>
        <v>know,</v>
      </c>
      <c r="I46" s="50"/>
      <c r="J46" s="50" t="s">
        <v>383</v>
      </c>
      <c r="K46" s="50" t="s">
        <v>417</v>
      </c>
      <c r="L46" s="49" t="str">
        <f>IFERROR(__xludf.DUMMYFUNCTION("""COMPUTED_VALUE"""),"20th")</f>
        <v>20th</v>
      </c>
      <c r="M46" s="49" t="str">
        <f>IFERROR(__xludf.DUMMYFUNCTION("""COMPUTED_VALUE"""),"longest")</f>
        <v>longest</v>
      </c>
      <c r="N46" s="49" t="str">
        <f>IFERROR(__xludf.DUMMYFUNCTION("""COMPUTED_VALUE"""),")")</f>
        <v>)</v>
      </c>
      <c r="O46" s="49" t="str">
        <f>IFERROR(__xludf.DUMMYFUNCTION("""COMPUTED_VALUE"""),"lack")</f>
        <v>lack</v>
      </c>
      <c r="P46" s="49" t="str">
        <f t="shared" si="2"/>
        <v>films,</v>
      </c>
      <c r="Q46" s="49"/>
      <c r="R46" s="50" t="s">
        <v>148</v>
      </c>
      <c r="S46" s="55" t="s">
        <v>5648</v>
      </c>
      <c r="T46" s="49" t="str">
        <f>IFERROR(__xludf.DUMMYFUNCTION("""COMPUTED_VALUE"""),"still")</f>
        <v>still</v>
      </c>
      <c r="U46" s="49" t="str">
        <f>IFERROR(__xludf.DUMMYFUNCTION("""COMPUTED_VALUE"""),"startling")</f>
        <v>startling</v>
      </c>
      <c r="V46" s="49" t="str">
        <f>IFERROR(__xludf.DUMMYFUNCTION("""COMPUTED_VALUE"""),"along")</f>
        <v>along</v>
      </c>
      <c r="W46" s="49" t="str">
        <f>IFERROR(__xludf.DUMMYFUNCTION("""COMPUTED_VALUE"""),"think")</f>
        <v>think</v>
      </c>
      <c r="X46" s="49" t="str">
        <f t="shared" si="3"/>
        <v>back,</v>
      </c>
      <c r="Y46" s="49"/>
      <c r="Z46" s="1" t="s">
        <v>3203</v>
      </c>
      <c r="AA46" s="1" t="s">
        <v>410</v>
      </c>
      <c r="AB46" s="49" t="str">
        <f>IFERROR(__xludf.DUMMYFUNCTION("""COMPUTED_VALUE"""),"came")</f>
        <v>came</v>
      </c>
      <c r="AC46" s="49" t="str">
        <f>IFERROR(__xludf.DUMMYFUNCTION("""COMPUTED_VALUE"""),"convincing")</f>
        <v>convincing</v>
      </c>
      <c r="AD46" s="49" t="str">
        <f>IFERROR(__xludf.DUMMYFUNCTION("""COMPUTED_VALUE"""),")")</f>
        <v>)</v>
      </c>
      <c r="AE46" s="49" t="str">
        <f>IFERROR(__xludf.DUMMYFUNCTION("""COMPUTED_VALUE"""),"lack")</f>
        <v>lack</v>
      </c>
      <c r="AF46" s="49" t="str">
        <f t="shared" si="4"/>
        <v>then,</v>
      </c>
      <c r="AG46" s="49"/>
      <c r="AH46" s="1" t="s">
        <v>1493</v>
      </c>
      <c r="AI46" s="1" t="s">
        <v>282</v>
      </c>
      <c r="AJ46" s="6" t="str">
        <f>IFERROR(__xludf.DUMMYFUNCTION("""COMPUTED_VALUE"""),"church")</f>
        <v>church</v>
      </c>
      <c r="AK46" s="49"/>
      <c r="AL46" s="49" t="str">
        <f>IFERROR(__xludf.DUMMYFUNCTION("""COMPUTED_VALUE"""),"selling")</f>
        <v>selling</v>
      </c>
      <c r="AM46" s="49" t="str">
        <f>IFERROR(__xludf.DUMMYFUNCTION("""COMPUTED_VALUE"""),"indoor")</f>
        <v>indoor</v>
      </c>
      <c r="AN46" s="52" t="str">
        <f t="shared" si="5"/>
        <v>church,</v>
      </c>
    </row>
    <row r="47">
      <c r="A47" s="51" t="s">
        <v>418</v>
      </c>
      <c r="B47" s="50" t="s">
        <v>282</v>
      </c>
      <c r="C47" s="50" t="s">
        <v>142</v>
      </c>
      <c r="D47" s="49" t="str">
        <f>IFERROR(__xludf.DUMMYFUNCTION("""COMPUTED_VALUE"""),"musicians")</f>
        <v>musicians</v>
      </c>
      <c r="E47" s="49" t="str">
        <f>IFERROR(__xludf.DUMMYFUNCTION("""COMPUTED_VALUE"""),"fires")</f>
        <v>fires</v>
      </c>
      <c r="F47" s="49" t="str">
        <f>IFERROR(__xludf.DUMMYFUNCTION("""COMPUTED_VALUE"""),"cliff")</f>
        <v>cliff</v>
      </c>
      <c r="G47" s="49" t="str">
        <f>IFERROR(__xludf.DUMMYFUNCTION("""COMPUTED_VALUE"""),"acid")</f>
        <v>acid</v>
      </c>
      <c r="H47" s="54" t="str">
        <f t="shared" si="1"/>
        <v>still,</v>
      </c>
      <c r="I47" s="50"/>
      <c r="J47" s="50" t="s">
        <v>3535</v>
      </c>
      <c r="K47" s="50" t="s">
        <v>55</v>
      </c>
      <c r="L47" s="49" t="str">
        <f>IFERROR(__xludf.DUMMYFUNCTION("""COMPUTED_VALUE"""),"piece")</f>
        <v>piece</v>
      </c>
      <c r="M47" s="49" t="str">
        <f>IFERROR(__xludf.DUMMYFUNCTION("""COMPUTED_VALUE"""),"skill")</f>
        <v>skill</v>
      </c>
      <c r="N47" s="49" t="str">
        <f>IFERROR(__xludf.DUMMYFUNCTION("""COMPUTED_VALUE"""),"there")</f>
        <v>there</v>
      </c>
      <c r="O47" s="49" t="str">
        <f>IFERROR(__xludf.DUMMYFUNCTION("""COMPUTED_VALUE"""),"laughs")</f>
        <v>laughs</v>
      </c>
      <c r="P47" s="49" t="str">
        <f t="shared" si="2"/>
        <v>cool,</v>
      </c>
      <c r="Q47" s="49"/>
      <c r="R47" s="50" t="s">
        <v>5093</v>
      </c>
      <c r="S47" s="55" t="s">
        <v>805</v>
      </c>
      <c r="T47" s="49" t="str">
        <f>IFERROR(__xludf.DUMMYFUNCTION("""COMPUTED_VALUE"""),"another")</f>
        <v>another</v>
      </c>
      <c r="U47" s="49" t="str">
        <f>IFERROR(__xludf.DUMMYFUNCTION("""COMPUTED_VALUE"""),"glossy")</f>
        <v>glossy</v>
      </c>
      <c r="V47" s="49" t="str">
        <f>IFERROR(__xludf.DUMMYFUNCTION("""COMPUTED_VALUE"""),"almost")</f>
        <v>almost</v>
      </c>
      <c r="W47" s="49" t="str">
        <f>IFERROR(__xludf.DUMMYFUNCTION("""COMPUTED_VALUE"""),"sharply")</f>
        <v>sharply</v>
      </c>
      <c r="X47" s="49" t="str">
        <f t="shared" si="3"/>
        <v>flash,</v>
      </c>
      <c r="Y47" s="49"/>
      <c r="Z47" s="1" t="s">
        <v>237</v>
      </c>
      <c r="AA47" s="1" t="s">
        <v>44</v>
      </c>
      <c r="AB47" s="49" t="str">
        <f>IFERROR(__xludf.DUMMYFUNCTION("""COMPUTED_VALUE"""),"cartoon")</f>
        <v>cartoon</v>
      </c>
      <c r="AC47" s="49" t="str">
        <f>IFERROR(__xludf.DUMMYFUNCTION("""COMPUTED_VALUE"""),"affection")</f>
        <v>affection</v>
      </c>
      <c r="AD47" s="49" t="str">
        <f>IFERROR(__xludf.DUMMYFUNCTION("""COMPUTED_VALUE"""),"there")</f>
        <v>there</v>
      </c>
      <c r="AE47" s="49" t="str">
        <f>IFERROR(__xludf.DUMMYFUNCTION("""COMPUTED_VALUE"""),"laughs")</f>
        <v>laughs</v>
      </c>
      <c r="AF47" s="49" t="str">
        <f t="shared" si="4"/>
        <v>plot,</v>
      </c>
      <c r="AG47" s="49"/>
      <c r="AH47" s="1" t="s">
        <v>980</v>
      </c>
      <c r="AI47" s="1" t="s">
        <v>234</v>
      </c>
      <c r="AJ47" s="6" t="str">
        <f>IFERROR(__xludf.DUMMYFUNCTION("""COMPUTED_VALUE"""),"party")</f>
        <v>party</v>
      </c>
      <c r="AK47" s="49"/>
      <c r="AL47" s="49" t="str">
        <f>IFERROR(__xludf.DUMMYFUNCTION("""COMPUTED_VALUE"""),"lieutenant")</f>
        <v>lieutenant</v>
      </c>
      <c r="AM47" s="49" t="str">
        <f>IFERROR(__xludf.DUMMYFUNCTION("""COMPUTED_VALUE"""),"northwest")</f>
        <v>northwest</v>
      </c>
      <c r="AN47" s="52" t="str">
        <f t="shared" si="5"/>
        <v>party,</v>
      </c>
    </row>
    <row r="48">
      <c r="A48" s="51" t="s">
        <v>426</v>
      </c>
      <c r="B48" s="50" t="s">
        <v>664</v>
      </c>
      <c r="C48" s="50" t="s">
        <v>498</v>
      </c>
      <c r="D48" s="49" t="str">
        <f>IFERROR(__xludf.DUMMYFUNCTION("""COMPUTED_VALUE"""),"cold")</f>
        <v>cold</v>
      </c>
      <c r="E48" s="49" t="str">
        <f>IFERROR(__xludf.DUMMYFUNCTION("""COMPUTED_VALUE"""),"stretched")</f>
        <v>stretched</v>
      </c>
      <c r="F48" s="49" t="str">
        <f>IFERROR(__xludf.DUMMYFUNCTION("""COMPUTED_VALUE"""),"vice")</f>
        <v>vice</v>
      </c>
      <c r="G48" s="49" t="str">
        <f>IFERROR(__xludf.DUMMYFUNCTION("""COMPUTED_VALUE"""),"purposes")</f>
        <v>purposes</v>
      </c>
      <c r="H48" s="54" t="str">
        <f t="shared" si="1"/>
        <v>another,</v>
      </c>
      <c r="I48" s="50"/>
      <c r="J48" s="50" t="s">
        <v>542</v>
      </c>
      <c r="K48" s="50" t="s">
        <v>169</v>
      </c>
      <c r="L48" s="49" t="str">
        <f>IFERROR(__xludf.DUMMYFUNCTION("""COMPUTED_VALUE"""),"first")</f>
        <v>first</v>
      </c>
      <c r="M48" s="49" t="str">
        <f>IFERROR(__xludf.DUMMYFUNCTION("""COMPUTED_VALUE"""),"brightly")</f>
        <v>brightly</v>
      </c>
      <c r="N48" s="49" t="str">
        <f>IFERROR(__xludf.DUMMYFUNCTION("""COMPUTED_VALUE"""),"do")</f>
        <v>do</v>
      </c>
      <c r="O48" s="49" t="str">
        <f>IFERROR(__xludf.DUMMYFUNCTION("""COMPUTED_VALUE"""),"help")</f>
        <v>help</v>
      </c>
      <c r="P48" s="49" t="str">
        <f t="shared" si="2"/>
        <v>life,</v>
      </c>
      <c r="Q48" s="49"/>
      <c r="R48" s="50" t="s">
        <v>4464</v>
      </c>
      <c r="S48" s="55" t="s">
        <v>278</v>
      </c>
      <c r="T48" s="49" t="str">
        <f>IFERROR(__xludf.DUMMYFUNCTION("""COMPUTED_VALUE"""),"t")</f>
        <v>t</v>
      </c>
      <c r="U48" s="49" t="str">
        <f>IFERROR(__xludf.DUMMYFUNCTION("""COMPUTED_VALUE"""),"achievement")</f>
        <v>achievement</v>
      </c>
      <c r="V48" s="49" t="str">
        <f>IFERROR(__xludf.DUMMYFUNCTION("""COMPUTED_VALUE"""),"campaign")</f>
        <v>campaign</v>
      </c>
      <c r="W48" s="49" t="str">
        <f>IFERROR(__xludf.DUMMYFUNCTION("""COMPUTED_VALUE"""),"classic")</f>
        <v>classic</v>
      </c>
      <c r="X48" s="49" t="str">
        <f t="shared" si="3"/>
        <v>happy,</v>
      </c>
      <c r="Y48" s="49"/>
      <c r="Z48" s="1" t="s">
        <v>1337</v>
      </c>
      <c r="AA48" s="1" t="s">
        <v>75</v>
      </c>
      <c r="AB48" s="49" t="str">
        <f>IFERROR(__xludf.DUMMYFUNCTION("""COMPUTED_VALUE"""),"other")</f>
        <v>other</v>
      </c>
      <c r="AC48" s="49" t="str">
        <f>IFERROR(__xludf.DUMMYFUNCTION("""COMPUTED_VALUE"""),"courage")</f>
        <v>courage</v>
      </c>
      <c r="AD48" s="49" t="str">
        <f>IFERROR(__xludf.DUMMYFUNCTION("""COMPUTED_VALUE"""),"do")</f>
        <v>do</v>
      </c>
      <c r="AE48" s="49" t="str">
        <f>IFERROR(__xludf.DUMMYFUNCTION("""COMPUTED_VALUE"""),"help")</f>
        <v>help</v>
      </c>
      <c r="AF48" s="49" t="str">
        <f t="shared" si="4"/>
        <v>such,</v>
      </c>
      <c r="AG48" s="49"/>
      <c r="AH48" s="1" t="s">
        <v>314</v>
      </c>
      <c r="AI48" s="1" t="s">
        <v>226</v>
      </c>
      <c r="AJ48" s="6" t="str">
        <f>IFERROR(__xludf.DUMMYFUNCTION("""COMPUTED_VALUE"""),"find")</f>
        <v>find</v>
      </c>
      <c r="AK48" s="49"/>
      <c r="AL48" s="49" t="str">
        <f>IFERROR(__xludf.DUMMYFUNCTION("""COMPUTED_VALUE"""),"location")</f>
        <v>location</v>
      </c>
      <c r="AM48" s="49" t="str">
        <f>IFERROR(__xludf.DUMMYFUNCTION("""COMPUTED_VALUE"""),"divine")</f>
        <v>divine</v>
      </c>
      <c r="AN48" s="52" t="str">
        <f t="shared" si="5"/>
        <v>find,</v>
      </c>
    </row>
    <row r="49">
      <c r="A49" s="51" t="s">
        <v>432</v>
      </c>
      <c r="B49" s="50" t="s">
        <v>191</v>
      </c>
      <c r="C49" s="50" t="s">
        <v>505</v>
      </c>
      <c r="D49" s="49" t="str">
        <f>IFERROR(__xludf.DUMMYFUNCTION("""COMPUTED_VALUE"""),"intelligence")</f>
        <v>intelligence</v>
      </c>
      <c r="E49" s="49" t="str">
        <f>IFERROR(__xludf.DUMMYFUNCTION("""COMPUTED_VALUE"""),"freedom")</f>
        <v>freedom</v>
      </c>
      <c r="F49" s="49" t="str">
        <f>IFERROR(__xludf.DUMMYFUNCTION("""COMPUTED_VALUE"""),"tag")</f>
        <v>tag</v>
      </c>
      <c r="G49" s="49" t="str">
        <f>IFERROR(__xludf.DUMMYFUNCTION("""COMPUTED_VALUE"""),"root")</f>
        <v>root</v>
      </c>
      <c r="H49" s="54" t="str">
        <f t="shared" si="1"/>
        <v>going,</v>
      </c>
      <c r="I49" s="50"/>
      <c r="J49" s="50" t="s">
        <v>3522</v>
      </c>
      <c r="K49" s="50" t="s">
        <v>184</v>
      </c>
      <c r="L49" s="49" t="str">
        <f>IFERROR(__xludf.DUMMYFUNCTION("""COMPUTED_VALUE"""),"dead")</f>
        <v>dead</v>
      </c>
      <c r="M49" s="49" t="str">
        <f>IFERROR(__xludf.DUMMYFUNCTION("""COMPUTED_VALUE"""),"absorbing")</f>
        <v>absorbing</v>
      </c>
      <c r="N49" s="49" t="str">
        <f>IFERROR(__xludf.DUMMYFUNCTION("""COMPUTED_VALUE"""),"we")</f>
        <v>we</v>
      </c>
      <c r="O49" s="49" t="str">
        <f>IFERROR(__xludf.DUMMYFUNCTION("""COMPUTED_VALUE"""),"generates")</f>
        <v>generates</v>
      </c>
      <c r="P49" s="49" t="str">
        <f t="shared" si="2"/>
        <v>movie,</v>
      </c>
      <c r="Q49" s="49"/>
      <c r="R49" s="50" t="s">
        <v>1200</v>
      </c>
      <c r="S49" s="55" t="s">
        <v>269</v>
      </c>
      <c r="T49" s="49" t="str">
        <f>IFERROR(__xludf.DUMMYFUNCTION("""COMPUTED_VALUE"""),"few")</f>
        <v>few</v>
      </c>
      <c r="U49" s="49" t="str">
        <f>IFERROR(__xludf.DUMMYFUNCTION("""COMPUTED_VALUE"""),"graceful")</f>
        <v>graceful</v>
      </c>
      <c r="V49" s="49" t="str">
        <f>IFERROR(__xludf.DUMMYFUNCTION("""COMPUTED_VALUE"""),"double")</f>
        <v>double</v>
      </c>
      <c r="W49" s="49" t="str">
        <f>IFERROR(__xludf.DUMMYFUNCTION("""COMPUTED_VALUE"""),"dog")</f>
        <v>dog</v>
      </c>
      <c r="X49" s="49" t="str">
        <f t="shared" si="3"/>
        <v>within,</v>
      </c>
      <c r="Y49" s="49"/>
      <c r="Z49" s="1" t="s">
        <v>2319</v>
      </c>
      <c r="AA49" s="1" t="s">
        <v>434</v>
      </c>
      <c r="AB49" s="49" t="str">
        <f>IFERROR(__xludf.DUMMYFUNCTION("""COMPUTED_VALUE"""),"animation")</f>
        <v>animation</v>
      </c>
      <c r="AC49" s="49" t="str">
        <f>IFERROR(__xludf.DUMMYFUNCTION("""COMPUTED_VALUE"""),"universal")</f>
        <v>universal</v>
      </c>
      <c r="AD49" s="49" t="str">
        <f>IFERROR(__xludf.DUMMYFUNCTION("""COMPUTED_VALUE"""),"we")</f>
        <v>we</v>
      </c>
      <c r="AE49" s="49" t="str">
        <f>IFERROR(__xludf.DUMMYFUNCTION("""COMPUTED_VALUE"""),"generates")</f>
        <v>generates</v>
      </c>
      <c r="AF49" s="49" t="str">
        <f t="shared" si="4"/>
        <v>attempt,</v>
      </c>
      <c r="AG49" s="49"/>
      <c r="AH49" s="1" t="s">
        <v>978</v>
      </c>
      <c r="AI49" s="1" t="s">
        <v>197</v>
      </c>
      <c r="AJ49" s="6" t="str">
        <f>IFERROR(__xludf.DUMMYFUNCTION("""COMPUTED_VALUE"""),"lost")</f>
        <v>lost</v>
      </c>
      <c r="AK49" s="49"/>
      <c r="AL49" s="49" t="str">
        <f>IFERROR(__xludf.DUMMYFUNCTION("""COMPUTED_VALUE"""),"coast")</f>
        <v>coast</v>
      </c>
      <c r="AM49" s="49" t="str">
        <f>IFERROR(__xludf.DUMMYFUNCTION("""COMPUTED_VALUE"""),"painted")</f>
        <v>painted</v>
      </c>
      <c r="AN49" s="52" t="str">
        <f t="shared" si="5"/>
        <v>lost,</v>
      </c>
    </row>
    <row r="50">
      <c r="A50" s="51" t="s">
        <v>440</v>
      </c>
      <c r="B50" s="50" t="s">
        <v>749</v>
      </c>
      <c r="C50" s="50" t="s">
        <v>145</v>
      </c>
      <c r="D50" s="49" t="str">
        <f>IFERROR(__xludf.DUMMYFUNCTION("""COMPUTED_VALUE"""),"usual")</f>
        <v>usual</v>
      </c>
      <c r="E50" s="49" t="str">
        <f>IFERROR(__xludf.DUMMYFUNCTION("""COMPUTED_VALUE"""),"rejected")</f>
        <v>rejected</v>
      </c>
      <c r="F50" s="49" t="str">
        <f>IFERROR(__xludf.DUMMYFUNCTION("""COMPUTED_VALUE"""),"voiced")</f>
        <v>voiced</v>
      </c>
      <c r="G50" s="49" t="str">
        <f>IFERROR(__xludf.DUMMYFUNCTION("""COMPUTED_VALUE"""),"hispanic")</f>
        <v>hispanic</v>
      </c>
      <c r="H50" s="54" t="str">
        <f t="shared" si="1"/>
        <v>little,</v>
      </c>
      <c r="I50" s="50"/>
      <c r="J50" s="50" t="s">
        <v>980</v>
      </c>
      <c r="K50" s="50" t="s">
        <v>451</v>
      </c>
      <c r="L50" s="49" t="str">
        <f>IFERROR(__xludf.DUMMYFUNCTION("""COMPUTED_VALUE"""),"flawed")</f>
        <v>flawed</v>
      </c>
      <c r="M50" s="49" t="str">
        <f>IFERROR(__xludf.DUMMYFUNCTION("""COMPUTED_VALUE"""),"gripping")</f>
        <v>gripping</v>
      </c>
      <c r="N50" s="49" t="str">
        <f>IFERROR(__xludf.DUMMYFUNCTION("""COMPUTED_VALUE"""),"start")</f>
        <v>start</v>
      </c>
      <c r="O50" s="49" t="str">
        <f>IFERROR(__xludf.DUMMYFUNCTION("""COMPUTED_VALUE"""),"historically")</f>
        <v>historically</v>
      </c>
      <c r="P50" s="49" t="str">
        <f t="shared" si="2"/>
        <v>party,</v>
      </c>
      <c r="Q50" s="49"/>
      <c r="R50" s="50" t="s">
        <v>4329</v>
      </c>
      <c r="S50" s="55" t="s">
        <v>129</v>
      </c>
      <c r="T50" s="49" t="str">
        <f>IFERROR(__xludf.DUMMYFUNCTION("""COMPUTED_VALUE"""),"was")</f>
        <v>was</v>
      </c>
      <c r="U50" s="49" t="str">
        <f>IFERROR(__xludf.DUMMYFUNCTION("""COMPUTED_VALUE"""),"amusing")</f>
        <v>amusing</v>
      </c>
      <c r="V50" s="49" t="str">
        <f>IFERROR(__xludf.DUMMYFUNCTION("""COMPUTED_VALUE"""),"did")</f>
        <v>did</v>
      </c>
      <c r="W50" s="49" t="str">
        <f>IFERROR(__xludf.DUMMYFUNCTION("""COMPUTED_VALUE"""),"point")</f>
        <v>point</v>
      </c>
      <c r="X50" s="49" t="str">
        <f t="shared" si="3"/>
        <v>substance,</v>
      </c>
      <c r="Y50" s="49"/>
      <c r="Z50" s="1" t="s">
        <v>3522</v>
      </c>
      <c r="AA50" s="1" t="s">
        <v>442</v>
      </c>
      <c r="AB50" s="49" t="str">
        <f>IFERROR(__xludf.DUMMYFUNCTION("""COMPUTED_VALUE"""),"only")</f>
        <v>only</v>
      </c>
      <c r="AC50" s="49" t="str">
        <f>IFERROR(__xludf.DUMMYFUNCTION("""COMPUTED_VALUE"""),"clever")</f>
        <v>clever</v>
      </c>
      <c r="AD50" s="49" t="str">
        <f>IFERROR(__xludf.DUMMYFUNCTION("""COMPUTED_VALUE"""),"start")</f>
        <v>start</v>
      </c>
      <c r="AE50" s="49" t="str">
        <f>IFERROR(__xludf.DUMMYFUNCTION("""COMPUTED_VALUE"""),"historically")</f>
        <v>historically</v>
      </c>
      <c r="AF50" s="49" t="str">
        <f t="shared" si="4"/>
        <v>movie,</v>
      </c>
      <c r="AG50" s="49"/>
      <c r="AH50" s="1" t="s">
        <v>1138</v>
      </c>
      <c r="AI50" s="1" t="s">
        <v>1665</v>
      </c>
      <c r="AJ50" s="6" t="str">
        <f>IFERROR(__xludf.DUMMYFUNCTION("""COMPUTED_VALUE"""),"idea")</f>
        <v>idea</v>
      </c>
      <c r="AK50" s="49"/>
      <c r="AL50" s="49" t="str">
        <f>IFERROR(__xludf.DUMMYFUNCTION("""COMPUTED_VALUE"""),"jesus")</f>
        <v>jesus</v>
      </c>
      <c r="AM50" s="49" t="str">
        <f>IFERROR(__xludf.DUMMYFUNCTION("""COMPUTED_VALUE"""),"retail")</f>
        <v>retail</v>
      </c>
      <c r="AN50" s="52" t="str">
        <f t="shared" si="5"/>
        <v>idea,</v>
      </c>
    </row>
    <row r="51">
      <c r="A51" s="51" t="s">
        <v>452</v>
      </c>
      <c r="B51" s="50" t="s">
        <v>777</v>
      </c>
      <c r="C51" s="50" t="s">
        <v>397</v>
      </c>
      <c r="D51" s="49" t="str">
        <f>IFERROR(__xludf.DUMMYFUNCTION("""COMPUTED_VALUE"""),"concept")</f>
        <v>concept</v>
      </c>
      <c r="E51" s="49" t="str">
        <f>IFERROR(__xludf.DUMMYFUNCTION("""COMPUTED_VALUE"""),"phenomenon")</f>
        <v>phenomenon</v>
      </c>
      <c r="F51" s="49" t="str">
        <f>IFERROR(__xludf.DUMMYFUNCTION("""COMPUTED_VALUE"""),"alec")</f>
        <v>alec</v>
      </c>
      <c r="G51" s="49" t="str">
        <f>IFERROR(__xludf.DUMMYFUNCTION("""COMPUTED_VALUE"""),"davies")</f>
        <v>davies</v>
      </c>
      <c r="H51" s="54" t="str">
        <f t="shared" si="1"/>
        <v>got,</v>
      </c>
      <c r="I51" s="50"/>
      <c r="J51" s="50" t="s">
        <v>35</v>
      </c>
      <c r="K51" s="50" t="s">
        <v>458</v>
      </c>
      <c r="L51" s="49" t="str">
        <f>IFERROR(__xludf.DUMMYFUNCTION("""COMPUTED_VALUE"""),"cartoon")</f>
        <v>cartoon</v>
      </c>
      <c r="M51" s="49" t="str">
        <f>IFERROR(__xludf.DUMMYFUNCTION("""COMPUTED_VALUE"""),"graceful")</f>
        <v>graceful</v>
      </c>
      <c r="N51" s="49" t="str">
        <f>IFERROR(__xludf.DUMMYFUNCTION("""COMPUTED_VALUE"""),"feels")</f>
        <v>feels</v>
      </c>
      <c r="O51" s="49" t="str">
        <f>IFERROR(__xludf.DUMMYFUNCTION("""COMPUTED_VALUE"""),"tribute")</f>
        <v>tribute</v>
      </c>
      <c r="P51" s="49" t="str">
        <f t="shared" si="2"/>
        <v>one,</v>
      </c>
      <c r="Q51" s="49"/>
      <c r="R51" s="50" t="s">
        <v>355</v>
      </c>
      <c r="S51" s="55" t="s">
        <v>295</v>
      </c>
      <c r="T51" s="49" t="str">
        <f>IFERROR(__xludf.DUMMYFUNCTION("""COMPUTED_VALUE"""),"lee")</f>
        <v>lee</v>
      </c>
      <c r="U51" s="49" t="str">
        <f>IFERROR(__xludf.DUMMYFUNCTION("""COMPUTED_VALUE"""),"stirring")</f>
        <v>stirring</v>
      </c>
      <c r="V51" s="49" t="str">
        <f>IFERROR(__xludf.DUMMYFUNCTION("""COMPUTED_VALUE"""),"moment")</f>
        <v>moment</v>
      </c>
      <c r="W51" s="49" t="str">
        <f>IFERROR(__xludf.DUMMYFUNCTION("""COMPUTED_VALUE"""),"entire")</f>
        <v>entire</v>
      </c>
      <c r="X51" s="49" t="str">
        <f t="shared" si="3"/>
        <v>bringing,</v>
      </c>
      <c r="Y51" s="49"/>
      <c r="Z51" s="1" t="s">
        <v>393</v>
      </c>
      <c r="AA51" s="1" t="s">
        <v>188</v>
      </c>
      <c r="AB51" s="49" t="str">
        <f>IFERROR(__xludf.DUMMYFUNCTION("""COMPUTED_VALUE"""),"may")</f>
        <v>may</v>
      </c>
      <c r="AC51" s="49" t="str">
        <f>IFERROR(__xludf.DUMMYFUNCTION("""COMPUTED_VALUE"""),"faithful")</f>
        <v>faithful</v>
      </c>
      <c r="AD51" s="49" t="str">
        <f>IFERROR(__xludf.DUMMYFUNCTION("""COMPUTED_VALUE"""),"feels")</f>
        <v>feels</v>
      </c>
      <c r="AE51" s="49" t="str">
        <f>IFERROR(__xludf.DUMMYFUNCTION("""COMPUTED_VALUE"""),"tribute")</f>
        <v>tribute</v>
      </c>
      <c r="AF51" s="49" t="str">
        <f t="shared" si="4"/>
        <v>see,</v>
      </c>
      <c r="AG51" s="49"/>
      <c r="AH51" s="1" t="s">
        <v>337</v>
      </c>
      <c r="AI51" s="1" t="s">
        <v>249</v>
      </c>
      <c r="AJ51" s="6" t="str">
        <f>IFERROR(__xludf.DUMMYFUNCTION("""COMPUTED_VALUE"""),"bad")</f>
        <v>bad</v>
      </c>
      <c r="AK51" s="49"/>
      <c r="AL51" s="49" t="str">
        <f>IFERROR(__xludf.DUMMYFUNCTION("""COMPUTED_VALUE"""),"arch")</f>
        <v>arch</v>
      </c>
      <c r="AM51" s="49" t="str">
        <f>IFERROR(__xludf.DUMMYFUNCTION("""COMPUTED_VALUE"""),"memorial")</f>
        <v>memorial</v>
      </c>
      <c r="AN51" s="52" t="str">
        <f t="shared" si="5"/>
        <v>bad,</v>
      </c>
    </row>
    <row r="52">
      <c r="A52" s="51" t="s">
        <v>459</v>
      </c>
      <c r="B52" s="50" t="s">
        <v>1200</v>
      </c>
      <c r="C52" s="50" t="s">
        <v>417</v>
      </c>
      <c r="D52" s="49" t="str">
        <f>IFERROR(__xludf.DUMMYFUNCTION("""COMPUTED_VALUE"""),"face")</f>
        <v>face</v>
      </c>
      <c r="E52" s="49" t="str">
        <f>IFERROR(__xludf.DUMMYFUNCTION("""COMPUTED_VALUE"""),"successfully")</f>
        <v>successfully</v>
      </c>
      <c r="F52" s="49" t="str">
        <f>IFERROR(__xludf.DUMMYFUNCTION("""COMPUTED_VALUE"""),"penn")</f>
        <v>penn</v>
      </c>
      <c r="G52" s="49" t="str">
        <f>IFERROR(__xludf.DUMMYFUNCTION("""COMPUTED_VALUE"""),"efficiency")</f>
        <v>efficiency</v>
      </c>
      <c r="H52" s="54" t="str">
        <f t="shared" si="1"/>
        <v>within,</v>
      </c>
      <c r="I52" s="50"/>
      <c r="J52" s="50" t="s">
        <v>337</v>
      </c>
      <c r="K52" s="50" t="s">
        <v>466</v>
      </c>
      <c r="L52" s="49" t="str">
        <f>IFERROR(__xludf.DUMMYFUNCTION("""COMPUTED_VALUE"""),"animation")</f>
        <v>animation</v>
      </c>
      <c r="M52" s="49" t="str">
        <f>IFERROR(__xludf.DUMMYFUNCTION("""COMPUTED_VALUE"""),"stirring")</f>
        <v>stirring</v>
      </c>
      <c r="N52" s="49" t="str">
        <f>IFERROR(__xludf.DUMMYFUNCTION("""COMPUTED_VALUE"""),"tech")</f>
        <v>tech</v>
      </c>
      <c r="O52" s="49" t="str">
        <f>IFERROR(__xludf.DUMMYFUNCTION("""COMPUTED_VALUE"""),"two")</f>
        <v>two</v>
      </c>
      <c r="P52" s="49" t="str">
        <f t="shared" si="2"/>
        <v>bad,</v>
      </c>
      <c r="Q52" s="49"/>
      <c r="R52" s="50" t="s">
        <v>198</v>
      </c>
      <c r="S52" s="55" t="s">
        <v>136</v>
      </c>
      <c r="T52" s="49" t="str">
        <f>IFERROR(__xludf.DUMMYFUNCTION("""COMPUTED_VALUE"""),"little")</f>
        <v>little</v>
      </c>
      <c r="U52" s="49" t="str">
        <f>IFERROR(__xludf.DUMMYFUNCTION("""COMPUTED_VALUE"""),"touched")</f>
        <v>touched</v>
      </c>
      <c r="V52" s="49" t="str">
        <f>IFERROR(__xludf.DUMMYFUNCTION("""COMPUTED_VALUE"""),"provide")</f>
        <v>provide</v>
      </c>
      <c r="W52" s="49" t="str">
        <f>IFERROR(__xludf.DUMMYFUNCTION("""COMPUTED_VALUE"""),"having")</f>
        <v>having</v>
      </c>
      <c r="X52" s="49" t="str">
        <f t="shared" si="3"/>
        <v>comes,</v>
      </c>
      <c r="Y52" s="49"/>
      <c r="Z52" s="1" t="s">
        <v>1529</v>
      </c>
      <c r="AA52" s="1" t="s">
        <v>461</v>
      </c>
      <c r="AB52" s="49" t="str">
        <f>IFERROR(__xludf.DUMMYFUNCTION("""COMPUTED_VALUE"""),"fatal")</f>
        <v>fatal</v>
      </c>
      <c r="AC52" s="49" t="str">
        <f>IFERROR(__xludf.DUMMYFUNCTION("""COMPUTED_VALUE"""),"exaggerated")</f>
        <v>exaggerated</v>
      </c>
      <c r="AD52" s="49" t="str">
        <f>IFERROR(__xludf.DUMMYFUNCTION("""COMPUTED_VALUE"""),"tech")</f>
        <v>tech</v>
      </c>
      <c r="AE52" s="49" t="str">
        <f>IFERROR(__xludf.DUMMYFUNCTION("""COMPUTED_VALUE"""),"two")</f>
        <v>two</v>
      </c>
      <c r="AF52" s="49" t="str">
        <f t="shared" si="4"/>
        <v>deal,</v>
      </c>
      <c r="AG52" s="49"/>
      <c r="AH52" s="1" t="s">
        <v>1529</v>
      </c>
      <c r="AI52" s="1" t="s">
        <v>6277</v>
      </c>
      <c r="AJ52" s="6" t="str">
        <f>IFERROR(__xludf.DUMMYFUNCTION("""COMPUTED_VALUE"""),"deal")</f>
        <v>deal</v>
      </c>
      <c r="AK52" s="49"/>
      <c r="AL52" s="49" t="str">
        <f>IFERROR(__xludf.DUMMYFUNCTION("""COMPUTED_VALUE"""),"describing")</f>
        <v>describing</v>
      </c>
      <c r="AM52" s="49" t="str">
        <f>IFERROR(__xludf.DUMMYFUNCTION("""COMPUTED_VALUE"""),"dual")</f>
        <v>dual</v>
      </c>
      <c r="AN52" s="52" t="str">
        <f t="shared" si="5"/>
        <v>deal,</v>
      </c>
    </row>
    <row r="53">
      <c r="A53" s="51" t="s">
        <v>467</v>
      </c>
      <c r="B53" s="50" t="s">
        <v>537</v>
      </c>
      <c r="C53" s="50" t="s">
        <v>184</v>
      </c>
      <c r="D53" s="49" t="str">
        <f>IFERROR(__xludf.DUMMYFUNCTION("""COMPUTED_VALUE"""),"young")</f>
        <v>young</v>
      </c>
      <c r="E53" s="49" t="str">
        <f>IFERROR(__xludf.DUMMYFUNCTION("""COMPUTED_VALUE"""),"transformed")</f>
        <v>transformed</v>
      </c>
      <c r="F53" s="49" t="str">
        <f>IFERROR(__xludf.DUMMYFUNCTION("""COMPUTED_VALUE"""),"coat")</f>
        <v>coat</v>
      </c>
      <c r="G53" s="49" t="str">
        <f>IFERROR(__xludf.DUMMYFUNCTION("""COMPUTED_VALUE"""),"bonus")</f>
        <v>bonus</v>
      </c>
      <c r="H53" s="54" t="str">
        <f t="shared" si="1"/>
        <v>power,</v>
      </c>
      <c r="I53" s="50"/>
      <c r="J53" s="50" t="s">
        <v>1529</v>
      </c>
      <c r="K53" s="50" t="s">
        <v>194</v>
      </c>
      <c r="L53" s="49" t="str">
        <f>IFERROR(__xludf.DUMMYFUNCTION("""COMPUTED_VALUE"""),"reason")</f>
        <v>reason</v>
      </c>
      <c r="M53" s="49" t="str">
        <f>IFERROR(__xludf.DUMMYFUNCTION("""COMPUTED_VALUE"""),"builds")</f>
        <v>builds</v>
      </c>
      <c r="N53" s="49" t="str">
        <f>IFERROR(__xludf.DUMMYFUNCTION("""COMPUTED_VALUE"""),"comes")</f>
        <v>comes</v>
      </c>
      <c r="O53" s="49" t="str">
        <f>IFERROR(__xludf.DUMMYFUNCTION("""COMPUTED_VALUE"""),"continuum")</f>
        <v>continuum</v>
      </c>
      <c r="P53" s="49" t="str">
        <f t="shared" si="2"/>
        <v>deal,</v>
      </c>
      <c r="Q53" s="49"/>
      <c r="R53" s="50" t="s">
        <v>575</v>
      </c>
      <c r="S53" s="55" t="s">
        <v>411</v>
      </c>
      <c r="T53" s="49" t="str">
        <f>IFERROR(__xludf.DUMMYFUNCTION("""COMPUTED_VALUE"""),"empty")</f>
        <v>empty</v>
      </c>
      <c r="U53" s="49" t="str">
        <f>IFERROR(__xludf.DUMMYFUNCTION("""COMPUTED_VALUE"""),"problematic")</f>
        <v>problematic</v>
      </c>
      <c r="V53" s="49" t="str">
        <f>IFERROR(__xludf.DUMMYFUNCTION("""COMPUTED_VALUE"""),"dream")</f>
        <v>dream</v>
      </c>
      <c r="W53" s="49" t="str">
        <f>IFERROR(__xludf.DUMMYFUNCTION("""COMPUTED_VALUE"""),"million")</f>
        <v>million</v>
      </c>
      <c r="X53" s="49" t="str">
        <f t="shared" si="3"/>
        <v>all,</v>
      </c>
      <c r="Y53" s="49"/>
      <c r="Z53" s="1" t="s">
        <v>5362</v>
      </c>
      <c r="AA53" s="1" t="s">
        <v>54</v>
      </c>
      <c r="AB53" s="49" t="str">
        <f>IFERROR(__xludf.DUMMYFUNCTION("""COMPUTED_VALUE"""),"theatrical")</f>
        <v>theatrical</v>
      </c>
      <c r="AC53" s="49" t="str">
        <f>IFERROR(__xludf.DUMMYFUNCTION("""COMPUTED_VALUE"""),"capable")</f>
        <v>capable</v>
      </c>
      <c r="AD53" s="49" t="str">
        <f>IFERROR(__xludf.DUMMYFUNCTION("""COMPUTED_VALUE"""),"comes")</f>
        <v>comes</v>
      </c>
      <c r="AE53" s="49" t="str">
        <f>IFERROR(__xludf.DUMMYFUNCTION("""COMPUTED_VALUE"""),"continuum")</f>
        <v>continuum</v>
      </c>
      <c r="AF53" s="49" t="str">
        <f t="shared" si="4"/>
        <v>girlfriend,</v>
      </c>
      <c r="AG53" s="49"/>
      <c r="AH53" s="1" t="s">
        <v>2172</v>
      </c>
      <c r="AI53" s="1" t="s">
        <v>80</v>
      </c>
      <c r="AJ53" s="6" t="str">
        <f>IFERROR(__xludf.DUMMYFUNCTION("""COMPUTED_VALUE"""),"makes")</f>
        <v>makes</v>
      </c>
      <c r="AK53" s="49"/>
      <c r="AL53" s="49" t="str">
        <f>IFERROR(__xludf.DUMMYFUNCTION("""COMPUTED_VALUE"""),"jazz")</f>
        <v>jazz</v>
      </c>
      <c r="AM53" s="49" t="str">
        <f>IFERROR(__xludf.DUMMYFUNCTION("""COMPUTED_VALUE"""),"flow")</f>
        <v>flow</v>
      </c>
      <c r="AN53" s="52" t="str">
        <f t="shared" si="5"/>
        <v>makes,</v>
      </c>
    </row>
    <row r="54">
      <c r="A54" s="51" t="s">
        <v>474</v>
      </c>
      <c r="B54" s="50" t="s">
        <v>1314</v>
      </c>
      <c r="C54" s="50" t="s">
        <v>466</v>
      </c>
      <c r="D54" s="49" t="str">
        <f>IFERROR(__xludf.DUMMYFUNCTION("""COMPUTED_VALUE"""),"whose")</f>
        <v>whose</v>
      </c>
      <c r="E54" s="49" t="str">
        <f>IFERROR(__xludf.DUMMYFUNCTION("""COMPUTED_VALUE"""),"dies")</f>
        <v>dies</v>
      </c>
      <c r="F54" s="49" t="str">
        <f>IFERROR(__xludf.DUMMYFUNCTION("""COMPUTED_VALUE"""),"fifteen")</f>
        <v>fifteen</v>
      </c>
      <c r="G54" s="49" t="str">
        <f>IFERROR(__xludf.DUMMYFUNCTION("""COMPUTED_VALUE"""),"exterior")</f>
        <v>exterior</v>
      </c>
      <c r="H54" s="54" t="str">
        <f t="shared" si="1"/>
        <v>across,</v>
      </c>
      <c r="I54" s="50"/>
      <c r="J54" s="50" t="s">
        <v>3298</v>
      </c>
      <c r="K54" s="50" t="s">
        <v>410</v>
      </c>
      <c r="L54" s="49" t="str">
        <f>IFERROR(__xludf.DUMMYFUNCTION("""COMPUTED_VALUE"""),"re")</f>
        <v>re</v>
      </c>
      <c r="M54" s="49" t="str">
        <f>IFERROR(__xludf.DUMMYFUNCTION("""COMPUTED_VALUE"""),"problematic")</f>
        <v>problematic</v>
      </c>
      <c r="N54" s="49" t="str">
        <f>IFERROR(__xludf.DUMMYFUNCTION("""COMPUTED_VALUE"""),"within")</f>
        <v>within</v>
      </c>
      <c r="O54" s="49" t="str">
        <f>IFERROR(__xludf.DUMMYFUNCTION("""COMPUTED_VALUE"""),"android")</f>
        <v>android</v>
      </c>
      <c r="P54" s="49" t="str">
        <f t="shared" si="2"/>
        <v>accident,</v>
      </c>
      <c r="Q54" s="49"/>
      <c r="R54" s="50" t="s">
        <v>517</v>
      </c>
      <c r="S54" s="55" t="s">
        <v>326</v>
      </c>
      <c r="T54" s="49" t="str">
        <f>IFERROR(__xludf.DUMMYFUNCTION("""COMPUTED_VALUE"""),"why")</f>
        <v>why</v>
      </c>
      <c r="U54" s="49" t="str">
        <f>IFERROR(__xludf.DUMMYFUNCTION("""COMPUTED_VALUE"""),"monstrous")</f>
        <v>monstrous</v>
      </c>
      <c r="V54" s="49" t="str">
        <f>IFERROR(__xludf.DUMMYFUNCTION("""COMPUTED_VALUE"""),"science")</f>
        <v>science</v>
      </c>
      <c r="W54" s="49" t="str">
        <f>IFERROR(__xludf.DUMMYFUNCTION("""COMPUTED_VALUE"""),"swords")</f>
        <v>swords</v>
      </c>
      <c r="X54" s="49" t="str">
        <f t="shared" si="3"/>
        <v>sequences,</v>
      </c>
      <c r="Y54" s="49"/>
      <c r="Z54" s="1" t="s">
        <v>266</v>
      </c>
      <c r="AA54" s="1" t="s">
        <v>233</v>
      </c>
      <c r="AB54" s="49" t="str">
        <f>IFERROR(__xludf.DUMMYFUNCTION("""COMPUTED_VALUE"""),"man")</f>
        <v>man</v>
      </c>
      <c r="AC54" s="49" t="str">
        <f>IFERROR(__xludf.DUMMYFUNCTION("""COMPUTED_VALUE"""),"daring")</f>
        <v>daring</v>
      </c>
      <c r="AD54" s="49" t="str">
        <f>IFERROR(__xludf.DUMMYFUNCTION("""COMPUTED_VALUE"""),"within")</f>
        <v>within</v>
      </c>
      <c r="AE54" s="49" t="str">
        <f>IFERROR(__xludf.DUMMYFUNCTION("""COMPUTED_VALUE"""),"android")</f>
        <v>android</v>
      </c>
      <c r="AF54" s="49" t="str">
        <f t="shared" si="4"/>
        <v>out,</v>
      </c>
      <c r="AG54" s="49"/>
      <c r="AH54" s="1" t="s">
        <v>383</v>
      </c>
      <c r="AI54" s="1" t="s">
        <v>100</v>
      </c>
      <c r="AJ54" s="6" t="str">
        <f>IFERROR(__xludf.DUMMYFUNCTION("""COMPUTED_VALUE"""),"films")</f>
        <v>films</v>
      </c>
      <c r="AK54" s="49"/>
      <c r="AL54" s="49" t="str">
        <f>IFERROR(__xludf.DUMMYFUNCTION("""COMPUTED_VALUE"""),"pressure")</f>
        <v>pressure</v>
      </c>
      <c r="AM54" s="49" t="str">
        <f>IFERROR(__xludf.DUMMYFUNCTION("""COMPUTED_VALUE"""),"participation")</f>
        <v>participation</v>
      </c>
      <c r="AN54" s="52" t="str">
        <f t="shared" si="5"/>
        <v>films,</v>
      </c>
    </row>
    <row r="55">
      <c r="A55" s="51" t="s">
        <v>481</v>
      </c>
      <c r="B55" s="50" t="s">
        <v>437</v>
      </c>
      <c r="C55" s="50" t="s">
        <v>2389</v>
      </c>
      <c r="D55" s="49" t="str">
        <f>IFERROR(__xludf.DUMMYFUNCTION("""COMPUTED_VALUE"""),"actress")</f>
        <v>actress</v>
      </c>
      <c r="E55" s="49" t="str">
        <f>IFERROR(__xludf.DUMMYFUNCTION("""COMPUTED_VALUE"""),"formed")</f>
        <v>formed</v>
      </c>
      <c r="F55" s="49" t="str">
        <f>IFERROR(__xludf.DUMMYFUNCTION("""COMPUTED_VALUE"""),"capital")</f>
        <v>capital</v>
      </c>
      <c r="G55" s="49" t="str">
        <f>IFERROR(__xludf.DUMMYFUNCTION("""COMPUTED_VALUE"""),"quarter")</f>
        <v>quarter</v>
      </c>
      <c r="H55" s="54" t="str">
        <f t="shared" si="1"/>
        <v>really,</v>
      </c>
      <c r="I55" s="50"/>
      <c r="J55" s="50" t="s">
        <v>978</v>
      </c>
      <c r="K55" s="50" t="s">
        <v>44</v>
      </c>
      <c r="L55" s="49" t="str">
        <f>IFERROR(__xludf.DUMMYFUNCTION("""COMPUTED_VALUE"""),"pictures")</f>
        <v>pictures</v>
      </c>
      <c r="M55" s="49" t="str">
        <f>IFERROR(__xludf.DUMMYFUNCTION("""COMPUTED_VALUE"""),"monstrous")</f>
        <v>monstrous</v>
      </c>
      <c r="N55" s="49" t="str">
        <f>IFERROR(__xludf.DUMMYFUNCTION("""COMPUTED_VALUE"""),"going")</f>
        <v>going</v>
      </c>
      <c r="O55" s="49" t="str">
        <f>IFERROR(__xludf.DUMMYFUNCTION("""COMPUTED_VALUE"""),"pulp")</f>
        <v>pulp</v>
      </c>
      <c r="P55" s="49" t="str">
        <f t="shared" si="2"/>
        <v>lost,</v>
      </c>
      <c r="Q55" s="49"/>
      <c r="R55" s="50" t="s">
        <v>2650</v>
      </c>
      <c r="S55" s="55" t="s">
        <v>303</v>
      </c>
      <c r="T55" s="49" t="str">
        <f>IFERROR(__xludf.DUMMYFUNCTION("""COMPUTED_VALUE"""),"tells")</f>
        <v>tells</v>
      </c>
      <c r="U55" s="49" t="str">
        <f>IFERROR(__xludf.DUMMYFUNCTION("""COMPUTED_VALUE"""),"breathe")</f>
        <v>breathe</v>
      </c>
      <c r="V55" s="49" t="str">
        <f>IFERROR(__xludf.DUMMYFUNCTION("""COMPUTED_VALUE"""),"green")</f>
        <v>green</v>
      </c>
      <c r="W55" s="49" t="str">
        <f>IFERROR(__xludf.DUMMYFUNCTION("""COMPUTED_VALUE"""),"proves")</f>
        <v>proves</v>
      </c>
      <c r="X55" s="49" t="str">
        <f t="shared" si="3"/>
        <v>start,</v>
      </c>
      <c r="Y55" s="49"/>
      <c r="Z55" s="1" t="s">
        <v>324</v>
      </c>
      <c r="AA55" s="1" t="s">
        <v>61</v>
      </c>
      <c r="AB55" s="49" t="str">
        <f>IFERROR(__xludf.DUMMYFUNCTION("""COMPUTED_VALUE"""),"endless")</f>
        <v>endless</v>
      </c>
      <c r="AC55" s="49" t="str">
        <f>IFERROR(__xludf.DUMMYFUNCTION("""COMPUTED_VALUE"""),"emerge")</f>
        <v>emerge</v>
      </c>
      <c r="AD55" s="49" t="str">
        <f>IFERROR(__xludf.DUMMYFUNCTION("""COMPUTED_VALUE"""),"going")</f>
        <v>going</v>
      </c>
      <c r="AE55" s="49" t="str">
        <f>IFERROR(__xludf.DUMMYFUNCTION("""COMPUTED_VALUE"""),"pulp")</f>
        <v>pulp</v>
      </c>
      <c r="AF55" s="49" t="str">
        <f t="shared" si="4"/>
        <v>two,</v>
      </c>
      <c r="AG55" s="49"/>
      <c r="AH55" s="1" t="s">
        <v>3522</v>
      </c>
      <c r="AI55" s="1" t="s">
        <v>5648</v>
      </c>
      <c r="AJ55" s="6" t="str">
        <f>IFERROR(__xludf.DUMMYFUNCTION("""COMPUTED_VALUE"""),"movie")</f>
        <v>movie</v>
      </c>
      <c r="AK55" s="49"/>
      <c r="AL55" s="49" t="str">
        <f>IFERROR(__xludf.DUMMYFUNCTION("""COMPUTED_VALUE"""),"concerns")</f>
        <v>concerns</v>
      </c>
      <c r="AM55" s="49" t="str">
        <f>IFERROR(__xludf.DUMMYFUNCTION("""COMPUTED_VALUE"""),"affected")</f>
        <v>affected</v>
      </c>
      <c r="AN55" s="52" t="str">
        <f t="shared" si="5"/>
        <v>movie,</v>
      </c>
    </row>
    <row r="56">
      <c r="A56" s="51" t="s">
        <v>489</v>
      </c>
      <c r="B56" s="50" t="s">
        <v>132</v>
      </c>
      <c r="C56" s="50" t="s">
        <v>179</v>
      </c>
      <c r="D56" s="49" t="str">
        <f>IFERROR(__xludf.DUMMYFUNCTION("""COMPUTED_VALUE"""),"projects")</f>
        <v>projects</v>
      </c>
      <c r="E56" s="49" t="str">
        <f>IFERROR(__xludf.DUMMYFUNCTION("""COMPUTED_VALUE"""),"effectively")</f>
        <v>effectively</v>
      </c>
      <c r="F56" s="49" t="str">
        <f>IFERROR(__xludf.DUMMYFUNCTION("""COMPUTED_VALUE"""),"met")</f>
        <v>met</v>
      </c>
      <c r="G56" s="49">
        <f>IFERROR(__xludf.DUMMYFUNCTION("""COMPUTED_VALUE"""),105.0)</f>
        <v>105</v>
      </c>
      <c r="H56" s="54" t="str">
        <f t="shared" si="1"/>
        <v>story,</v>
      </c>
      <c r="I56" s="50"/>
      <c r="J56" s="50" t="s">
        <v>1996</v>
      </c>
      <c r="K56" s="50" t="s">
        <v>75</v>
      </c>
      <c r="L56" s="49" t="str">
        <f>IFERROR(__xludf.DUMMYFUNCTION("""COMPUTED_VALUE"""),"film")</f>
        <v>film</v>
      </c>
      <c r="M56" s="49" t="str">
        <f>IFERROR(__xludf.DUMMYFUNCTION("""COMPUTED_VALUE"""),"breathe")</f>
        <v>breathe</v>
      </c>
      <c r="N56" s="49" t="str">
        <f>IFERROR(__xludf.DUMMYFUNCTION("""COMPUTED_VALUE"""),"still")</f>
        <v>still</v>
      </c>
      <c r="O56" s="49" t="str">
        <f>IFERROR(__xludf.DUMMYFUNCTION("""COMPUTED_VALUE"""),"alternating")</f>
        <v>alternating</v>
      </c>
      <c r="P56" s="49" t="str">
        <f t="shared" si="2"/>
        <v>teen,</v>
      </c>
      <c r="Q56" s="49"/>
      <c r="R56" s="50" t="s">
        <v>6307</v>
      </c>
      <c r="S56" s="55" t="s">
        <v>1056</v>
      </c>
      <c r="T56" s="49" t="str">
        <f>IFERROR(__xludf.DUMMYFUNCTION("""COMPUTED_VALUE"""),"things")</f>
        <v>things</v>
      </c>
      <c r="U56" s="49" t="str">
        <f>IFERROR(__xludf.DUMMYFUNCTION("""COMPUTED_VALUE"""),"creates")</f>
        <v>creates</v>
      </c>
      <c r="V56" s="49" t="str">
        <f>IFERROR(__xludf.DUMMYFUNCTION("""COMPUTED_VALUE"""),"choosing")</f>
        <v>choosing</v>
      </c>
      <c r="W56" s="49" t="str">
        <f>IFERROR(__xludf.DUMMYFUNCTION("""COMPUTED_VALUE"""),"us")</f>
        <v>us</v>
      </c>
      <c r="X56" s="49" t="str">
        <f t="shared" si="3"/>
        <v>we,</v>
      </c>
      <c r="Y56" s="49"/>
      <c r="Z56" s="1" t="s">
        <v>2606</v>
      </c>
      <c r="AA56" s="1" t="s">
        <v>218</v>
      </c>
      <c r="AB56" s="49" t="str">
        <f>IFERROR(__xludf.DUMMYFUNCTION("""COMPUTED_VALUE"""),"fact")</f>
        <v>fact</v>
      </c>
      <c r="AC56" s="49" t="str">
        <f>IFERROR(__xludf.DUMMYFUNCTION("""COMPUTED_VALUE"""),"deadly")</f>
        <v>deadly</v>
      </c>
      <c r="AD56" s="49" t="str">
        <f>IFERROR(__xludf.DUMMYFUNCTION("""COMPUTED_VALUE"""),"still")</f>
        <v>still</v>
      </c>
      <c r="AE56" s="49" t="str">
        <f>IFERROR(__xludf.DUMMYFUNCTION("""COMPUTED_VALUE"""),"alternating")</f>
        <v>alternating</v>
      </c>
      <c r="AF56" s="49" t="str">
        <f t="shared" si="4"/>
        <v>watch,</v>
      </c>
      <c r="AG56" s="49"/>
      <c r="AH56" s="1" t="s">
        <v>1192</v>
      </c>
      <c r="AI56" s="1" t="s">
        <v>278</v>
      </c>
      <c r="AJ56" s="6" t="str">
        <f>IFERROR(__xludf.DUMMYFUNCTION("""COMPUTED_VALUE"""),"generally")</f>
        <v>generally</v>
      </c>
      <c r="AK56" s="49"/>
      <c r="AL56" s="49" t="str">
        <f>IFERROR(__xludf.DUMMYFUNCTION("""COMPUTED_VALUE"""),"belong")</f>
        <v>belong</v>
      </c>
      <c r="AM56" s="49" t="str">
        <f>IFERROR(__xludf.DUMMYFUNCTION("""COMPUTED_VALUE"""),"objective")</f>
        <v>objective</v>
      </c>
      <c r="AN56" s="52" t="str">
        <f t="shared" si="5"/>
        <v>generally,</v>
      </c>
    </row>
    <row r="57">
      <c r="A57" s="51" t="s">
        <v>496</v>
      </c>
      <c r="B57" s="50" t="s">
        <v>4267</v>
      </c>
      <c r="C57" s="50" t="s">
        <v>451</v>
      </c>
      <c r="D57" s="49" t="str">
        <f>IFERROR(__xludf.DUMMYFUNCTION("""COMPUTED_VALUE"""),"casting")</f>
        <v>casting</v>
      </c>
      <c r="E57" s="49" t="str">
        <f>IFERROR(__xludf.DUMMYFUNCTION("""COMPUTED_VALUE"""),"bolt")</f>
        <v>bolt</v>
      </c>
      <c r="F57" s="49" t="str">
        <f>IFERROR(__xludf.DUMMYFUNCTION("""COMPUTED_VALUE"""),"Jan")</f>
        <v>Jan</v>
      </c>
      <c r="G57" s="49" t="str">
        <f>IFERROR(__xludf.DUMMYFUNCTION("""COMPUTED_VALUE"""),"winners")</f>
        <v>winners</v>
      </c>
      <c r="H57" s="54" t="str">
        <f t="shared" si="1"/>
        <v>william,</v>
      </c>
      <c r="I57" s="50"/>
      <c r="J57" s="50" t="s">
        <v>2172</v>
      </c>
      <c r="K57" s="50" t="s">
        <v>85</v>
      </c>
      <c r="L57" s="49" t="str">
        <f>IFERROR(__xludf.DUMMYFUNCTION("""COMPUTED_VALUE"""),"favor")</f>
        <v>favor</v>
      </c>
      <c r="M57" s="49" t="str">
        <f>IFERROR(__xludf.DUMMYFUNCTION("""COMPUTED_VALUE"""),"creates")</f>
        <v>creates</v>
      </c>
      <c r="N57" s="49" t="str">
        <f>IFERROR(__xludf.DUMMYFUNCTION("""COMPUTED_VALUE"""),"ship")</f>
        <v>ship</v>
      </c>
      <c r="O57" s="49" t="str">
        <f>IFERROR(__xludf.DUMMYFUNCTION("""COMPUTED_VALUE"""),"questions")</f>
        <v>questions</v>
      </c>
      <c r="P57" s="49" t="str">
        <f t="shared" si="2"/>
        <v>makes,</v>
      </c>
      <c r="Q57" s="49"/>
      <c r="R57" s="50" t="s">
        <v>777</v>
      </c>
      <c r="S57" s="55" t="s">
        <v>2252</v>
      </c>
      <c r="T57" s="49" t="str">
        <f>IFERROR(__xludf.DUMMYFUNCTION("""COMPUTED_VALUE"""),"immediately")</f>
        <v>immediately</v>
      </c>
      <c r="U57" s="49" t="str">
        <f>IFERROR(__xludf.DUMMYFUNCTION("""COMPUTED_VALUE"""),"inactive")</f>
        <v>inactive</v>
      </c>
      <c r="V57" s="49" t="str">
        <f>IFERROR(__xludf.DUMMYFUNCTION("""COMPUTED_VALUE"""),"m")</f>
        <v>m</v>
      </c>
      <c r="W57" s="49" t="str">
        <f>IFERROR(__xludf.DUMMYFUNCTION("""COMPUTED_VALUE"""),"beauty")</f>
        <v>beauty</v>
      </c>
      <c r="X57" s="49" t="str">
        <f t="shared" si="3"/>
        <v>got,</v>
      </c>
      <c r="Y57" s="49"/>
      <c r="Z57" s="1" t="s">
        <v>837</v>
      </c>
      <c r="AA57" s="1" t="s">
        <v>237</v>
      </c>
      <c r="AB57" s="49" t="str">
        <f>IFERROR(__xludf.DUMMYFUNCTION("""COMPUTED_VALUE"""),"lot")</f>
        <v>lot</v>
      </c>
      <c r="AC57" s="49" t="str">
        <f>IFERROR(__xludf.DUMMYFUNCTION("""COMPUTED_VALUE"""),"striking")</f>
        <v>striking</v>
      </c>
      <c r="AD57" s="49" t="str">
        <f>IFERROR(__xludf.DUMMYFUNCTION("""COMPUTED_VALUE"""),"ship")</f>
        <v>ship</v>
      </c>
      <c r="AE57" s="49" t="str">
        <f>IFERROR(__xludf.DUMMYFUNCTION("""COMPUTED_VALUE"""),"questions")</f>
        <v>questions</v>
      </c>
      <c r="AF57" s="49" t="str">
        <f t="shared" si="4"/>
        <v>head,</v>
      </c>
      <c r="AG57" s="49"/>
      <c r="AH57" s="1" t="s">
        <v>2234</v>
      </c>
      <c r="AI57" s="1" t="s">
        <v>269</v>
      </c>
      <c r="AJ57" s="6" t="str">
        <f>IFERROR(__xludf.DUMMYFUNCTION("""COMPUTED_VALUE"""),"drive")</f>
        <v>drive</v>
      </c>
      <c r="AK57" s="49"/>
      <c r="AL57" s="49" t="str">
        <f>IFERROR(__xludf.DUMMYFUNCTION("""COMPUTED_VALUE"""),"prepared")</f>
        <v>prepared</v>
      </c>
      <c r="AM57" s="49" t="str">
        <f>IFERROR(__xludf.DUMMYFUNCTION("""COMPUTED_VALUE"""),"sung")</f>
        <v>sung</v>
      </c>
      <c r="AN57" s="52" t="str">
        <f t="shared" si="5"/>
        <v>drive,</v>
      </c>
    </row>
    <row r="58">
      <c r="A58" s="51" t="s">
        <v>503</v>
      </c>
      <c r="B58" s="50" t="s">
        <v>3953</v>
      </c>
      <c r="C58" s="50" t="s">
        <v>6281</v>
      </c>
      <c r="D58" s="49" t="str">
        <f>IFERROR(__xludf.DUMMYFUNCTION("""COMPUTED_VALUE"""),"even")</f>
        <v>even</v>
      </c>
      <c r="E58" s="49" t="str">
        <f>IFERROR(__xludf.DUMMYFUNCTION("""COMPUTED_VALUE"""),"stakes")</f>
        <v>stakes</v>
      </c>
      <c r="F58" s="49" t="str">
        <f>IFERROR(__xludf.DUMMYFUNCTION("""COMPUTED_VALUE"""),"lieutenant")</f>
        <v>lieutenant</v>
      </c>
      <c r="G58" s="49" t="str">
        <f>IFERROR(__xludf.DUMMYFUNCTION("""COMPUTED_VALUE"""),"collegiate")</f>
        <v>collegiate</v>
      </c>
      <c r="H58" s="54" t="str">
        <f t="shared" si="1"/>
        <v>brother,</v>
      </c>
      <c r="I58" s="50"/>
      <c r="J58" s="50" t="s">
        <v>89</v>
      </c>
      <c r="K58" s="50" t="s">
        <v>509</v>
      </c>
      <c r="L58" s="49" t="str">
        <f>IFERROR(__xludf.DUMMYFUNCTION("""COMPUTED_VALUE"""),"yet")</f>
        <v>yet</v>
      </c>
      <c r="M58" s="49" t="str">
        <f>IFERROR(__xludf.DUMMYFUNCTION("""COMPUTED_VALUE"""),"inactive")</f>
        <v>inactive</v>
      </c>
      <c r="N58" s="49" t="str">
        <f>IFERROR(__xludf.DUMMYFUNCTION("""COMPUTED_VALUE"""),"like")</f>
        <v>like</v>
      </c>
      <c r="O58" s="49" t="str">
        <f>IFERROR(__xludf.DUMMYFUNCTION("""COMPUTED_VALUE"""),"artworks")</f>
        <v>artworks</v>
      </c>
      <c r="P58" s="49" t="str">
        <f t="shared" si="2"/>
        <v>no,</v>
      </c>
      <c r="Q58" s="49"/>
      <c r="R58" s="50" t="s">
        <v>7253</v>
      </c>
      <c r="S58" s="55" t="s">
        <v>443</v>
      </c>
      <c r="T58" s="49" t="str">
        <f>IFERROR(__xludf.DUMMYFUNCTION("""COMPUTED_VALUE"""),"as")</f>
        <v>as</v>
      </c>
      <c r="U58" s="49" t="str">
        <f>IFERROR(__xludf.DUMMYFUNCTION("""COMPUTED_VALUE"""),"establishes")</f>
        <v>establishes</v>
      </c>
      <c r="V58" s="49" t="str">
        <f>IFERROR(__xludf.DUMMYFUNCTION("""COMPUTED_VALUE"""),"crush")</f>
        <v>crush</v>
      </c>
      <c r="W58" s="49" t="str">
        <f>IFERROR(__xludf.DUMMYFUNCTION("""COMPUTED_VALUE"""),"bloody")</f>
        <v>bloody</v>
      </c>
      <c r="X58" s="49" t="str">
        <f t="shared" si="3"/>
        <v>tech,</v>
      </c>
      <c r="Y58" s="49"/>
      <c r="Z58" s="1" t="s">
        <v>1192</v>
      </c>
      <c r="AA58" s="1" t="s">
        <v>314</v>
      </c>
      <c r="AB58" s="49" t="str">
        <f>IFERROR(__xludf.DUMMYFUNCTION("""COMPUTED_VALUE"""),"assault")</f>
        <v>assault</v>
      </c>
      <c r="AC58" s="49" t="str">
        <f>IFERROR(__xludf.DUMMYFUNCTION("""COMPUTED_VALUE"""),"dramatically")</f>
        <v>dramatically</v>
      </c>
      <c r="AD58" s="49" t="str">
        <f>IFERROR(__xludf.DUMMYFUNCTION("""COMPUTED_VALUE"""),"like")</f>
        <v>like</v>
      </c>
      <c r="AE58" s="49" t="str">
        <f>IFERROR(__xludf.DUMMYFUNCTION("""COMPUTED_VALUE"""),"artworks")</f>
        <v>artworks</v>
      </c>
      <c r="AF58" s="49" t="str">
        <f t="shared" si="4"/>
        <v>generally,</v>
      </c>
      <c r="AG58" s="49"/>
      <c r="AH58" s="1" t="s">
        <v>3567</v>
      </c>
      <c r="AI58" s="1" t="s">
        <v>129</v>
      </c>
      <c r="AJ58" s="6" t="str">
        <f>IFERROR(__xludf.DUMMYFUNCTION("""COMPUTED_VALUE"""),"highway")</f>
        <v>highway</v>
      </c>
      <c r="AK58" s="49"/>
      <c r="AL58" s="49" t="str">
        <f>IFERROR(__xludf.DUMMYFUNCTION("""COMPUTED_VALUE"""),"began")</f>
        <v>began</v>
      </c>
      <c r="AM58" s="49" t="str">
        <f>IFERROR(__xludf.DUMMYFUNCTION("""COMPUTED_VALUE"""),"colored")</f>
        <v>colored</v>
      </c>
      <c r="AN58" s="52" t="str">
        <f t="shared" si="5"/>
        <v>highway,</v>
      </c>
    </row>
    <row r="59">
      <c r="A59" s="51" t="s">
        <v>510</v>
      </c>
      <c r="B59" s="50" t="s">
        <v>2650</v>
      </c>
      <c r="C59" s="50" t="s">
        <v>169</v>
      </c>
      <c r="D59" s="49" t="str">
        <f>IFERROR(__xludf.DUMMYFUNCTION("""COMPUTED_VALUE"""),"original")</f>
        <v>original</v>
      </c>
      <c r="E59" s="49" t="str">
        <f>IFERROR(__xludf.DUMMYFUNCTION("""COMPUTED_VALUE"""),"scoring")</f>
        <v>scoring</v>
      </c>
      <c r="F59" s="49" t="str">
        <f>IFERROR(__xludf.DUMMYFUNCTION("""COMPUTED_VALUE"""),"flowing")</f>
        <v>flowing</v>
      </c>
      <c r="G59" s="49" t="str">
        <f>IFERROR(__xludf.DUMMYFUNCTION("""COMPUTED_VALUE"""),"tax")</f>
        <v>tax</v>
      </c>
      <c r="H59" s="54" t="str">
        <f t="shared" si="1"/>
        <v>start,</v>
      </c>
      <c r="I59" s="50"/>
      <c r="J59" s="50" t="s">
        <v>326</v>
      </c>
      <c r="K59" s="50" t="s">
        <v>461</v>
      </c>
      <c r="L59" s="49" t="str">
        <f>IFERROR(__xludf.DUMMYFUNCTION("""COMPUTED_VALUE"""),"title")</f>
        <v>title</v>
      </c>
      <c r="M59" s="49" t="str">
        <f>IFERROR(__xludf.DUMMYFUNCTION("""COMPUTED_VALUE"""),"establishes")</f>
        <v>establishes</v>
      </c>
      <c r="N59" s="49" t="str">
        <f>IFERROR(__xludf.DUMMYFUNCTION("""COMPUTED_VALUE"""),"happy")</f>
        <v>happy</v>
      </c>
      <c r="O59" s="49" t="str">
        <f>IFERROR(__xludf.DUMMYFUNCTION("""COMPUTED_VALUE"""),"wisdom")</f>
        <v>wisdom</v>
      </c>
      <c r="P59" s="49" t="str">
        <f t="shared" si="2"/>
        <v>t,</v>
      </c>
      <c r="Q59" s="49"/>
      <c r="R59" s="50" t="s">
        <v>282</v>
      </c>
      <c r="S59" s="55" t="s">
        <v>469</v>
      </c>
      <c r="T59" s="49" t="str">
        <f>IFERROR(__xludf.DUMMYFUNCTION("""COMPUTED_VALUE"""),"car")</f>
        <v>car</v>
      </c>
      <c r="U59" s="49" t="str">
        <f>IFERROR(__xludf.DUMMYFUNCTION("""COMPUTED_VALUE"""),"clarity")</f>
        <v>clarity</v>
      </c>
      <c r="V59" s="49" t="str">
        <f>IFERROR(__xludf.DUMMYFUNCTION("""COMPUTED_VALUE"""),"earth")</f>
        <v>earth</v>
      </c>
      <c r="W59" s="49" t="str">
        <f>IFERROR(__xludf.DUMMYFUNCTION("""COMPUTED_VALUE"""),"legend")</f>
        <v>legend</v>
      </c>
      <c r="X59" s="49" t="str">
        <f t="shared" si="3"/>
        <v>still,</v>
      </c>
      <c r="Y59" s="49"/>
      <c r="Z59" s="1" t="s">
        <v>959</v>
      </c>
      <c r="AA59" s="1" t="s">
        <v>64</v>
      </c>
      <c r="AB59" s="49" t="str">
        <f>IFERROR(__xludf.DUMMYFUNCTION("""COMPUTED_VALUE"""),"called")</f>
        <v>called</v>
      </c>
      <c r="AC59" s="49" t="str">
        <f>IFERROR(__xludf.DUMMYFUNCTION("""COMPUTED_VALUE"""),"skill")</f>
        <v>skill</v>
      </c>
      <c r="AD59" s="49" t="str">
        <f>IFERROR(__xludf.DUMMYFUNCTION("""COMPUTED_VALUE"""),"happy")</f>
        <v>happy</v>
      </c>
      <c r="AE59" s="49" t="str">
        <f>IFERROR(__xludf.DUMMYFUNCTION("""COMPUTED_VALUE"""),"wisdom")</f>
        <v>wisdom</v>
      </c>
      <c r="AF59" s="49" t="str">
        <f t="shared" si="4"/>
        <v>your,</v>
      </c>
      <c r="AG59" s="49"/>
      <c r="AH59" s="1" t="s">
        <v>7254</v>
      </c>
      <c r="AI59" s="1" t="s">
        <v>287</v>
      </c>
      <c r="AJ59" s="6" t="str">
        <f>IFERROR(__xludf.DUMMYFUNCTION("""COMPUTED_VALUE"""),"break")</f>
        <v>break</v>
      </c>
      <c r="AK59" s="49"/>
      <c r="AL59" s="49" t="str">
        <f>IFERROR(__xludf.DUMMYFUNCTION("""COMPUTED_VALUE"""),"producing")</f>
        <v>producing</v>
      </c>
      <c r="AM59" s="49" t="str">
        <f>IFERROR(__xludf.DUMMYFUNCTION("""COMPUTED_VALUE"""),"firing")</f>
        <v>firing</v>
      </c>
      <c r="AN59" s="52" t="str">
        <f t="shared" si="5"/>
        <v>review,</v>
      </c>
    </row>
    <row r="60">
      <c r="A60" s="51" t="s">
        <v>518</v>
      </c>
      <c r="B60" s="50" t="s">
        <v>2849</v>
      </c>
      <c r="C60" s="50" t="s">
        <v>156</v>
      </c>
      <c r="D60" s="49" t="str">
        <f>IFERROR(__xludf.DUMMYFUNCTION("""COMPUTED_VALUE"""),"ways")</f>
        <v>ways</v>
      </c>
      <c r="E60" s="49" t="str">
        <f>IFERROR(__xludf.DUMMYFUNCTION("""COMPUTED_VALUE"""),"stripped")</f>
        <v>stripped</v>
      </c>
      <c r="F60" s="49" t="str">
        <f>IFERROR(__xludf.DUMMYFUNCTION("""COMPUTED_VALUE"""),"pounding")</f>
        <v>pounding</v>
      </c>
      <c r="G60" s="49" t="str">
        <f>IFERROR(__xludf.DUMMYFUNCTION("""COMPUTED_VALUE"""),"rapid")</f>
        <v>rapid</v>
      </c>
      <c r="H60" s="54" t="str">
        <f t="shared" si="1"/>
        <v>russian,</v>
      </c>
      <c r="I60" s="50"/>
      <c r="J60" s="50" t="s">
        <v>1456</v>
      </c>
      <c r="K60" s="50" t="s">
        <v>188</v>
      </c>
      <c r="L60" s="49" t="str">
        <f>IFERROR(__xludf.DUMMYFUNCTION("""COMPUTED_VALUE"""),"lot")</f>
        <v>lot</v>
      </c>
      <c r="M60" s="49" t="str">
        <f>IFERROR(__xludf.DUMMYFUNCTION("""COMPUTED_VALUE"""),"lavish")</f>
        <v>lavish</v>
      </c>
      <c r="N60" s="49" t="str">
        <f>IFERROR(__xludf.DUMMYFUNCTION("""COMPUTED_VALUE"""),"bringing")</f>
        <v>bringing</v>
      </c>
      <c r="O60" s="49" t="str">
        <f>IFERROR(__xludf.DUMMYFUNCTION("""COMPUTED_VALUE"""),"washington")</f>
        <v>washington</v>
      </c>
      <c r="P60" s="49" t="str">
        <f t="shared" si="2"/>
        <v>why,</v>
      </c>
      <c r="Q60" s="49"/>
      <c r="R60" s="50" t="s">
        <v>664</v>
      </c>
      <c r="S60" s="55" t="s">
        <v>3522</v>
      </c>
      <c r="T60" s="49" t="str">
        <f>IFERROR(__xludf.DUMMYFUNCTION("""COMPUTED_VALUE"""),"tale")</f>
        <v>tale</v>
      </c>
      <c r="U60" s="49" t="str">
        <f>IFERROR(__xludf.DUMMYFUNCTION("""COMPUTED_VALUE"""),"chuckle")</f>
        <v>chuckle</v>
      </c>
      <c r="V60" s="49" t="str">
        <f>IFERROR(__xludf.DUMMYFUNCTION("""COMPUTED_VALUE"""),"everything")</f>
        <v>everything</v>
      </c>
      <c r="W60" s="49" t="str">
        <f>IFERROR(__xludf.DUMMYFUNCTION("""COMPUTED_VALUE"""),"sophisticated")</f>
        <v>sophisticated</v>
      </c>
      <c r="X60" s="49" t="str">
        <f t="shared" si="3"/>
        <v>another,</v>
      </c>
      <c r="Y60" s="49"/>
      <c r="Z60" s="1" t="s">
        <v>6292</v>
      </c>
      <c r="AA60" s="1" t="s">
        <v>520</v>
      </c>
      <c r="AB60" s="49" t="str">
        <f>IFERROR(__xludf.DUMMYFUNCTION("""COMPUTED_VALUE"""),"something")</f>
        <v>something</v>
      </c>
      <c r="AC60" s="49" t="str">
        <f>IFERROR(__xludf.DUMMYFUNCTION("""COMPUTED_VALUE"""),"fallen")</f>
        <v>fallen</v>
      </c>
      <c r="AD60" s="49" t="str">
        <f>IFERROR(__xludf.DUMMYFUNCTION("""COMPUTED_VALUE"""),"bringing")</f>
        <v>bringing</v>
      </c>
      <c r="AE60" s="49" t="str">
        <f>IFERROR(__xludf.DUMMYFUNCTION("""COMPUTED_VALUE"""),"washington")</f>
        <v>washington</v>
      </c>
      <c r="AF60" s="49" t="str">
        <f t="shared" si="4"/>
        <v>very,</v>
      </c>
      <c r="AG60" s="49"/>
      <c r="AH60" s="1" t="s">
        <v>2250</v>
      </c>
      <c r="AI60" s="1" t="s">
        <v>805</v>
      </c>
      <c r="AJ60" s="6" t="str">
        <f>IFERROR(__xludf.DUMMYFUNCTION("""COMPUTED_VALUE"""),"watch")</f>
        <v>watch</v>
      </c>
      <c r="AK60" s="49"/>
      <c r="AL60" s="49" t="str">
        <f>IFERROR(__xludf.DUMMYFUNCTION("""COMPUTED_VALUE"""),"components")</f>
        <v>components</v>
      </c>
      <c r="AM60" s="49" t="str">
        <f>IFERROR(__xludf.DUMMYFUNCTION("""COMPUTED_VALUE"""),"centuries")</f>
        <v>centuries</v>
      </c>
      <c r="AN60" s="52" t="str">
        <f t="shared" si="5"/>
        <v>break,</v>
      </c>
    </row>
    <row r="61">
      <c r="A61" s="51" t="s">
        <v>468</v>
      </c>
      <c r="B61" s="50" t="s">
        <v>4483</v>
      </c>
      <c r="C61" s="50" t="s">
        <v>194</v>
      </c>
      <c r="D61" s="49" t="str">
        <f>IFERROR(__xludf.DUMMYFUNCTION("""COMPUTED_VALUE"""),"see")</f>
        <v>see</v>
      </c>
      <c r="E61" s="49" t="str">
        <f>IFERROR(__xludf.DUMMYFUNCTION("""COMPUTED_VALUE"""),"error")</f>
        <v>error</v>
      </c>
      <c r="F61" s="49" t="str">
        <f>IFERROR(__xludf.DUMMYFUNCTION("""COMPUTED_VALUE"""),"oriented")</f>
        <v>oriented</v>
      </c>
      <c r="G61" s="49" t="str">
        <f>IFERROR(__xludf.DUMMYFUNCTION("""COMPUTED_VALUE"""),"monroe")</f>
        <v>monroe</v>
      </c>
      <c r="H61" s="54" t="str">
        <f t="shared" si="1"/>
        <v>action,</v>
      </c>
      <c r="I61" s="50"/>
      <c r="J61" s="50" t="s">
        <v>469</v>
      </c>
      <c r="K61" s="50" t="s">
        <v>54</v>
      </c>
      <c r="L61" s="49" t="str">
        <f>IFERROR(__xludf.DUMMYFUNCTION("""COMPUTED_VALUE"""),"planet")</f>
        <v>planet</v>
      </c>
      <c r="M61" s="49" t="str">
        <f>IFERROR(__xludf.DUMMYFUNCTION("""COMPUTED_VALUE"""),"reduces")</f>
        <v>reduces</v>
      </c>
      <c r="N61" s="49" t="str">
        <f>IFERROR(__xludf.DUMMYFUNCTION("""COMPUTED_VALUE"""),"quick")</f>
        <v>quick</v>
      </c>
      <c r="O61" s="49" t="str">
        <f>IFERROR(__xludf.DUMMYFUNCTION("""COMPUTED_VALUE"""),"respectable")</f>
        <v>respectable</v>
      </c>
      <c r="P61" s="49" t="str">
        <f t="shared" si="2"/>
        <v>was,</v>
      </c>
      <c r="Q61" s="49"/>
      <c r="R61" s="50" t="s">
        <v>326</v>
      </c>
      <c r="S61" s="55" t="s">
        <v>716</v>
      </c>
      <c r="T61" s="49" t="str">
        <f>IFERROR(__xludf.DUMMYFUNCTION("""COMPUTED_VALUE"""),"up")</f>
        <v>up</v>
      </c>
      <c r="U61" s="49" t="str">
        <f>IFERROR(__xludf.DUMMYFUNCTION("""COMPUTED_VALUE"""),"jerking")</f>
        <v>jerking</v>
      </c>
      <c r="V61" s="49" t="str">
        <f>IFERROR(__xludf.DUMMYFUNCTION("""COMPUTED_VALUE"""),"sent")</f>
        <v>sent</v>
      </c>
      <c r="W61" s="49" t="str">
        <f>IFERROR(__xludf.DUMMYFUNCTION("""COMPUTED_VALUE"""),"veins")</f>
        <v>veins</v>
      </c>
      <c r="X61" s="49" t="str">
        <f t="shared" si="3"/>
        <v>t,</v>
      </c>
      <c r="Y61" s="49"/>
      <c r="Z61" s="1" t="s">
        <v>2388</v>
      </c>
      <c r="AA61" s="1" t="s">
        <v>276</v>
      </c>
      <c r="AB61" s="49" t="str">
        <f>IFERROR(__xludf.DUMMYFUNCTION("""COMPUTED_VALUE"""),"whole")</f>
        <v>whole</v>
      </c>
      <c r="AC61" s="49" t="str">
        <f>IFERROR(__xludf.DUMMYFUNCTION("""COMPUTED_VALUE"""),"remarkably")</f>
        <v>remarkably</v>
      </c>
      <c r="AD61" s="49" t="str">
        <f>IFERROR(__xludf.DUMMYFUNCTION("""COMPUTED_VALUE"""),"quick")</f>
        <v>quick</v>
      </c>
      <c r="AE61" s="49" t="str">
        <f>IFERROR(__xludf.DUMMYFUNCTION("""COMPUTED_VALUE"""),"respectable")</f>
        <v>respectable</v>
      </c>
      <c r="AF61" s="49" t="str">
        <f t="shared" si="4"/>
        <v>generation,</v>
      </c>
      <c r="AG61" s="49"/>
      <c r="AH61" s="1" t="s">
        <v>2606</v>
      </c>
      <c r="AI61" s="1" t="s">
        <v>107</v>
      </c>
      <c r="AJ61" s="6" t="str">
        <f>IFERROR(__xludf.DUMMYFUNCTION("""COMPUTED_VALUE"""),"attempt")</f>
        <v>attempt</v>
      </c>
      <c r="AK61" s="49"/>
      <c r="AL61" s="49" t="str">
        <f>IFERROR(__xludf.DUMMYFUNCTION("""COMPUTED_VALUE"""),"respectively")</f>
        <v>respectively</v>
      </c>
      <c r="AM61" s="49" t="str">
        <f>IFERROR(__xludf.DUMMYFUNCTION("""COMPUTED_VALUE"""),"stages")</f>
        <v>stages</v>
      </c>
      <c r="AN61" s="52" t="str">
        <f t="shared" si="5"/>
        <v>watch,</v>
      </c>
    </row>
    <row r="62">
      <c r="A62" s="51" t="s">
        <v>534</v>
      </c>
      <c r="B62" s="50" t="s">
        <v>4423</v>
      </c>
      <c r="C62" s="50" t="s">
        <v>410</v>
      </c>
      <c r="D62" s="49" t="str">
        <f>IFERROR(__xludf.DUMMYFUNCTION("""COMPUTED_VALUE"""),"black")</f>
        <v>black</v>
      </c>
      <c r="E62" s="49" t="str">
        <f>IFERROR(__xludf.DUMMYFUNCTION("""COMPUTED_VALUE"""),"shaking")</f>
        <v>shaking</v>
      </c>
      <c r="F62" s="49" t="str">
        <f>IFERROR(__xludf.DUMMYFUNCTION("""COMPUTED_VALUE"""),"largest")</f>
        <v>largest</v>
      </c>
      <c r="G62" s="49" t="str">
        <f>IFERROR(__xludf.DUMMYFUNCTION("""COMPUTED_VALUE"""),"marina")</f>
        <v>marina</v>
      </c>
      <c r="H62" s="54" t="str">
        <f t="shared" si="1"/>
        <v>ship,</v>
      </c>
      <c r="I62" s="50"/>
      <c r="J62" s="50" t="s">
        <v>575</v>
      </c>
      <c r="K62" s="50" t="s">
        <v>233</v>
      </c>
      <c r="L62" s="49" t="str">
        <f>IFERROR(__xludf.DUMMYFUNCTION("""COMPUTED_VALUE"""),"writer")</f>
        <v>writer</v>
      </c>
      <c r="M62" s="49" t="str">
        <f>IFERROR(__xludf.DUMMYFUNCTION("""COMPUTED_VALUE"""),"clarity")</f>
        <v>clarity</v>
      </c>
      <c r="N62" s="49" t="str">
        <f>IFERROR(__xludf.DUMMYFUNCTION("""COMPUTED_VALUE"""),"brother")</f>
        <v>brother</v>
      </c>
      <c r="O62" s="49" t="str">
        <f>IFERROR(__xludf.DUMMYFUNCTION("""COMPUTED_VALUE"""),"showcase")</f>
        <v>showcase</v>
      </c>
      <c r="P62" s="49" t="str">
        <f t="shared" si="2"/>
        <v>all,</v>
      </c>
      <c r="Q62" s="49"/>
      <c r="R62" s="50" t="s">
        <v>528</v>
      </c>
      <c r="S62" s="55" t="s">
        <v>483</v>
      </c>
      <c r="T62" s="49" t="str">
        <f>IFERROR(__xludf.DUMMYFUNCTION("""COMPUTED_VALUE"""),"music")</f>
        <v>music</v>
      </c>
      <c r="U62" s="49" t="str">
        <f>IFERROR(__xludf.DUMMYFUNCTION("""COMPUTED_VALUE"""),"adequately")</f>
        <v>adequately</v>
      </c>
      <c r="V62" s="49" t="str">
        <f>IFERROR(__xludf.DUMMYFUNCTION("""COMPUTED_VALUE"""),"nothing")</f>
        <v>nothing</v>
      </c>
      <c r="W62" s="49" t="str">
        <f>IFERROR(__xludf.DUMMYFUNCTION("""COMPUTED_VALUE"""),"exploration")</f>
        <v>exploration</v>
      </c>
      <c r="X62" s="49" t="str">
        <f t="shared" si="3"/>
        <v>few,</v>
      </c>
      <c r="Y62" s="49"/>
      <c r="Z62" s="1" t="s">
        <v>314</v>
      </c>
      <c r="AA62" s="1" t="s">
        <v>74</v>
      </c>
      <c r="AB62" s="49" t="str">
        <f>IFERROR(__xludf.DUMMYFUNCTION("""COMPUTED_VALUE"""),"title")</f>
        <v>title</v>
      </c>
      <c r="AC62" s="49" t="str">
        <f>IFERROR(__xludf.DUMMYFUNCTION("""COMPUTED_VALUE"""),"absorbing")</f>
        <v>absorbing</v>
      </c>
      <c r="AD62" s="49" t="str">
        <f>IFERROR(__xludf.DUMMYFUNCTION("""COMPUTED_VALUE"""),"brother")</f>
        <v>brother</v>
      </c>
      <c r="AE62" s="49" t="str">
        <f>IFERROR(__xludf.DUMMYFUNCTION("""COMPUTED_VALUE"""),"showcase")</f>
        <v>showcase</v>
      </c>
      <c r="AF62" s="49" t="str">
        <f t="shared" si="4"/>
        <v>find,</v>
      </c>
      <c r="AG62" s="49"/>
      <c r="AH62" s="1" t="s">
        <v>2319</v>
      </c>
      <c r="AI62" s="1" t="s">
        <v>260</v>
      </c>
      <c r="AJ62" s="6" t="str">
        <f>IFERROR(__xludf.DUMMYFUNCTION("""COMPUTED_VALUE"""),"generation")</f>
        <v>generation</v>
      </c>
      <c r="AK62" s="49"/>
      <c r="AL62" s="49" t="str">
        <f>IFERROR(__xludf.DUMMYFUNCTION("""COMPUTED_VALUE"""),"alexander")</f>
        <v>alexander</v>
      </c>
      <c r="AM62" s="49" t="str">
        <f>IFERROR(__xludf.DUMMYFUNCTION("""COMPUTED_VALUE"""),"plate")</f>
        <v>plate</v>
      </c>
      <c r="AN62" s="52" t="str">
        <f t="shared" si="5"/>
        <v>attempt,</v>
      </c>
    </row>
    <row r="63">
      <c r="A63" s="51" t="s">
        <v>543</v>
      </c>
      <c r="B63" s="50" t="s">
        <v>198</v>
      </c>
      <c r="C63" s="50" t="s">
        <v>393</v>
      </c>
      <c r="D63" s="49" t="str">
        <f>IFERROR(__xludf.DUMMYFUNCTION("""COMPUTED_VALUE"""),"named")</f>
        <v>named</v>
      </c>
      <c r="E63" s="49"/>
      <c r="F63" s="49" t="str">
        <f>IFERROR(__xludf.DUMMYFUNCTION("""COMPUTED_VALUE"""),"der")</f>
        <v>der</v>
      </c>
      <c r="G63" s="49" t="str">
        <f>IFERROR(__xludf.DUMMYFUNCTION("""COMPUTED_VALUE"""),"kennedy")</f>
        <v>kennedy</v>
      </c>
      <c r="H63" s="54" t="str">
        <f t="shared" si="1"/>
        <v>comes,</v>
      </c>
      <c r="I63" s="50"/>
      <c r="J63" s="50" t="s">
        <v>528</v>
      </c>
      <c r="K63" s="50" t="s">
        <v>211</v>
      </c>
      <c r="L63" s="49" t="str">
        <f>IFERROR(__xludf.DUMMYFUNCTION("""COMPUTED_VALUE"""),"previous")</f>
        <v>previous</v>
      </c>
      <c r="M63" s="49" t="str">
        <f>IFERROR(__xludf.DUMMYFUNCTION("""COMPUTED_VALUE"""),"precisely")</f>
        <v>precisely</v>
      </c>
      <c r="N63" s="49" t="str">
        <f>IFERROR(__xludf.DUMMYFUNCTION("""COMPUTED_VALUE"""),"really")</f>
        <v>really</v>
      </c>
      <c r="O63" s="49" t="str">
        <f>IFERROR(__xludf.DUMMYFUNCTION("""COMPUTED_VALUE"""),"eyes")</f>
        <v>eyes</v>
      </c>
      <c r="P63" s="49" t="str">
        <f t="shared" si="2"/>
        <v>few,</v>
      </c>
      <c r="Q63" s="49"/>
      <c r="R63" s="50" t="s">
        <v>469</v>
      </c>
      <c r="S63" s="55" t="s">
        <v>132</v>
      </c>
      <c r="T63" s="49" t="str">
        <f>IFERROR(__xludf.DUMMYFUNCTION("""COMPUTED_VALUE"""),"are")</f>
        <v>are</v>
      </c>
      <c r="U63" s="49" t="str">
        <f>IFERROR(__xludf.DUMMYFUNCTION("""COMPUTED_VALUE"""),"eerie")</f>
        <v>eerie</v>
      </c>
      <c r="V63" s="49" t="str">
        <f>IFERROR(__xludf.DUMMYFUNCTION("""COMPUTED_VALUE"""),"mine")</f>
        <v>mine</v>
      </c>
      <c r="W63" s="49" t="str">
        <f>IFERROR(__xludf.DUMMYFUNCTION("""COMPUTED_VALUE"""),"at")</f>
        <v>at</v>
      </c>
      <c r="X63" s="49" t="str">
        <f t="shared" si="3"/>
        <v>was,</v>
      </c>
      <c r="Y63" s="49"/>
      <c r="Z63" s="1" t="s">
        <v>575</v>
      </c>
      <c r="AA63" s="1" t="s">
        <v>544</v>
      </c>
      <c r="AB63" s="49" t="str">
        <f>IFERROR(__xludf.DUMMYFUNCTION("""COMPUTED_VALUE"""),"homage")</f>
        <v>homage</v>
      </c>
      <c r="AC63" s="49" t="str">
        <f>IFERROR(__xludf.DUMMYFUNCTION("""COMPUTED_VALUE"""),"gripping")</f>
        <v>gripping</v>
      </c>
      <c r="AD63" s="49" t="str">
        <f>IFERROR(__xludf.DUMMYFUNCTION("""COMPUTED_VALUE"""),"really")</f>
        <v>really</v>
      </c>
      <c r="AE63" s="49" t="str">
        <f>IFERROR(__xludf.DUMMYFUNCTION("""COMPUTED_VALUE"""),"eyes")</f>
        <v>eyes</v>
      </c>
      <c r="AF63" s="49" t="str">
        <f t="shared" si="4"/>
        <v>all,</v>
      </c>
      <c r="AG63" s="49"/>
      <c r="AH63" s="1" t="s">
        <v>2388</v>
      </c>
      <c r="AI63" s="1" t="s">
        <v>383</v>
      </c>
      <c r="AJ63" s="6" t="str">
        <f>IFERROR(__xludf.DUMMYFUNCTION("""COMPUTED_VALUE"""),"continues")</f>
        <v>continues</v>
      </c>
      <c r="AK63" s="49"/>
      <c r="AL63" s="49" t="str">
        <f>IFERROR(__xludf.DUMMYFUNCTION("""COMPUTED_VALUE"""),"pulled")</f>
        <v>pulled</v>
      </c>
      <c r="AM63" s="49" t="str">
        <f>IFERROR(__xludf.DUMMYFUNCTION("""COMPUTED_VALUE"""),"highest")</f>
        <v>highest</v>
      </c>
      <c r="AN63" s="52" t="str">
        <f t="shared" si="5"/>
        <v>generation,</v>
      </c>
    </row>
    <row r="64">
      <c r="A64" s="51" t="s">
        <v>551</v>
      </c>
      <c r="B64" s="50" t="s">
        <v>5257</v>
      </c>
      <c r="C64" s="50" t="s">
        <v>442</v>
      </c>
      <c r="D64" s="49" t="str">
        <f>IFERROR(__xludf.DUMMYFUNCTION("""COMPUTED_VALUE"""),"anything")</f>
        <v>anything</v>
      </c>
      <c r="E64" s="49"/>
      <c r="F64" s="49" t="str">
        <f>IFERROR(__xludf.DUMMYFUNCTION("""COMPUTED_VALUE"""),"dropping")</f>
        <v>dropping</v>
      </c>
      <c r="G64" s="49" t="str">
        <f>IFERROR(__xludf.DUMMYFUNCTION("""COMPUTED_VALUE"""),"biography")</f>
        <v>biography</v>
      </c>
      <c r="H64" s="54" t="str">
        <f t="shared" si="1"/>
        <v>lee,</v>
      </c>
      <c r="I64" s="50"/>
      <c r="J64" s="50" t="s">
        <v>809</v>
      </c>
      <c r="K64" s="50" t="s">
        <v>559</v>
      </c>
      <c r="L64" s="49" t="str">
        <f>IFERROR(__xludf.DUMMYFUNCTION("""COMPUTED_VALUE"""),"director")</f>
        <v>director</v>
      </c>
      <c r="M64" s="49" t="str">
        <f>IFERROR(__xludf.DUMMYFUNCTION("""COMPUTED_VALUE"""),"jerking")</f>
        <v>jerking</v>
      </c>
      <c r="N64" s="49" t="str">
        <f>IFERROR(__xludf.DUMMYFUNCTION("""COMPUTED_VALUE"""),"lee")</f>
        <v>lee</v>
      </c>
      <c r="O64" s="49" t="str">
        <f>IFERROR(__xludf.DUMMYFUNCTION("""COMPUTED_VALUE"""),"tear")</f>
        <v>tear</v>
      </c>
      <c r="P64" s="49" t="str">
        <f t="shared" si="2"/>
        <v>when,</v>
      </c>
      <c r="Q64" s="49"/>
      <c r="R64" s="50" t="s">
        <v>5257</v>
      </c>
      <c r="S64" s="55" t="s">
        <v>142</v>
      </c>
      <c r="T64" s="49" t="str">
        <f>IFERROR(__xludf.DUMMYFUNCTION("""COMPUTED_VALUE"""),"so")</f>
        <v>so</v>
      </c>
      <c r="U64" s="49" t="str">
        <f>IFERROR(__xludf.DUMMYFUNCTION("""COMPUTED_VALUE"""),"racist")</f>
        <v>racist</v>
      </c>
      <c r="V64" s="49" t="str">
        <f>IFERROR(__xludf.DUMMYFUNCTION("""COMPUTED_VALUE"""),"law")</f>
        <v>law</v>
      </c>
      <c r="W64" s="49" t="str">
        <f>IFERROR(__xludf.DUMMYFUNCTION("""COMPUTED_VALUE"""),"ending")</f>
        <v>ending</v>
      </c>
      <c r="X64" s="49" t="str">
        <f t="shared" si="3"/>
        <v>lee,</v>
      </c>
      <c r="Y64" s="49"/>
      <c r="Z64" s="1" t="s">
        <v>355</v>
      </c>
      <c r="AA64" s="1" t="s">
        <v>66</v>
      </c>
      <c r="AB64" s="49" t="str">
        <f>IFERROR(__xludf.DUMMYFUNCTION("""COMPUTED_VALUE"""),"off")</f>
        <v>off</v>
      </c>
      <c r="AC64" s="49" t="str">
        <f>IFERROR(__xludf.DUMMYFUNCTION("""COMPUTED_VALUE"""),"startling")</f>
        <v>startling</v>
      </c>
      <c r="AD64" s="49" t="str">
        <f>IFERROR(__xludf.DUMMYFUNCTION("""COMPUTED_VALUE"""),"lee")</f>
        <v>lee</v>
      </c>
      <c r="AE64" s="49" t="str">
        <f>IFERROR(__xludf.DUMMYFUNCTION("""COMPUTED_VALUE"""),"tear")</f>
        <v>tear</v>
      </c>
      <c r="AF64" s="49" t="str">
        <f t="shared" si="4"/>
        <v>bringing,</v>
      </c>
      <c r="AG64" s="49"/>
      <c r="AH64" s="1" t="s">
        <v>2476</v>
      </c>
      <c r="AI64" s="1" t="s">
        <v>117</v>
      </c>
      <c r="AJ64" s="6" t="str">
        <f>IFERROR(__xludf.DUMMYFUNCTION("""COMPUTED_VALUE"""),"write")</f>
        <v>write</v>
      </c>
      <c r="AK64" s="49"/>
      <c r="AL64" s="49" t="str">
        <f>IFERROR(__xludf.DUMMYFUNCTION("""COMPUTED_VALUE"""),"civil")</f>
        <v>civil</v>
      </c>
      <c r="AM64" s="49" t="str">
        <f>IFERROR(__xludf.DUMMYFUNCTION("""COMPUTED_VALUE"""),"studied")</f>
        <v>studied</v>
      </c>
      <c r="AN64" s="52" t="str">
        <f t="shared" si="5"/>
        <v>continues,</v>
      </c>
    </row>
    <row r="65">
      <c r="A65" s="51" t="s">
        <v>560</v>
      </c>
      <c r="B65" s="50" t="s">
        <v>4464</v>
      </c>
      <c r="C65" s="50" t="s">
        <v>1704</v>
      </c>
      <c r="D65" s="49" t="str">
        <f>IFERROR(__xludf.DUMMYFUNCTION("""COMPUTED_VALUE"""),"storm")</f>
        <v>storm</v>
      </c>
      <c r="E65" s="49"/>
      <c r="F65" s="49" t="str">
        <f>IFERROR(__xludf.DUMMYFUNCTION("""COMPUTED_VALUE"""),"patrol")</f>
        <v>patrol</v>
      </c>
      <c r="G65" s="49" t="str">
        <f>IFERROR(__xludf.DUMMYFUNCTION("""COMPUTED_VALUE"""),"meetings")</f>
        <v>meetings</v>
      </c>
      <c r="H65" s="54" t="str">
        <f t="shared" si="1"/>
        <v>happy,</v>
      </c>
      <c r="I65" s="50"/>
      <c r="J65" s="50" t="s">
        <v>2008</v>
      </c>
      <c r="K65" s="50" t="s">
        <v>568</v>
      </c>
      <c r="L65" s="49" t="str">
        <f>IFERROR(__xludf.DUMMYFUNCTION("""COMPUTED_VALUE"""),"supposedly")</f>
        <v>supposedly</v>
      </c>
      <c r="M65" s="49" t="str">
        <f>IFERROR(__xludf.DUMMYFUNCTION("""COMPUTED_VALUE"""),"harmless")</f>
        <v>harmless</v>
      </c>
      <c r="N65" s="49" t="str">
        <f>IFERROR(__xludf.DUMMYFUNCTION("""COMPUTED_VALUE"""),"not")</f>
        <v>not</v>
      </c>
      <c r="O65" s="49" t="str">
        <f>IFERROR(__xludf.DUMMYFUNCTION("""COMPUTED_VALUE"""),"mystery")</f>
        <v>mystery</v>
      </c>
      <c r="P65" s="49" t="str">
        <f t="shared" si="2"/>
        <v>here,</v>
      </c>
      <c r="Q65" s="49"/>
      <c r="R65" s="50" t="s">
        <v>73</v>
      </c>
      <c r="S65" s="55" t="s">
        <v>498</v>
      </c>
      <c r="T65" s="49" t="str">
        <f>IFERROR(__xludf.DUMMYFUNCTION("""COMPUTED_VALUE"""),"by")</f>
        <v>by</v>
      </c>
      <c r="U65" s="49" t="str">
        <f>IFERROR(__xludf.DUMMYFUNCTION("""COMPUTED_VALUE"""),"confident")</f>
        <v>confident</v>
      </c>
      <c r="V65" s="49" t="str">
        <f>IFERROR(__xludf.DUMMYFUNCTION("""COMPUTED_VALUE"""),"sell")</f>
        <v>sell</v>
      </c>
      <c r="W65" s="49" t="str">
        <f>IFERROR(__xludf.DUMMYFUNCTION("""COMPUTED_VALUE"""),"feel")</f>
        <v>feel</v>
      </c>
      <c r="X65" s="49" t="str">
        <f t="shared" si="3"/>
        <v>know,</v>
      </c>
      <c r="Y65" s="49"/>
      <c r="Z65" s="1" t="s">
        <v>282</v>
      </c>
      <c r="AA65" s="1" t="s">
        <v>562</v>
      </c>
      <c r="AB65" s="49" t="str">
        <f>IFERROR(__xludf.DUMMYFUNCTION("""COMPUTED_VALUE"""),"face")</f>
        <v>face</v>
      </c>
      <c r="AC65" s="49" t="str">
        <f>IFERROR(__xludf.DUMMYFUNCTION("""COMPUTED_VALUE"""),"fatal")</f>
        <v>fatal</v>
      </c>
      <c r="AD65" s="49" t="str">
        <f>IFERROR(__xludf.DUMMYFUNCTION("""COMPUTED_VALUE"""),"not")</f>
        <v>not</v>
      </c>
      <c r="AE65" s="49" t="str">
        <f>IFERROR(__xludf.DUMMYFUNCTION("""COMPUTED_VALUE"""),"mystery")</f>
        <v>mystery</v>
      </c>
      <c r="AF65" s="49" t="str">
        <f t="shared" si="4"/>
        <v>still,</v>
      </c>
      <c r="AG65" s="49"/>
      <c r="AH65" s="1" t="s">
        <v>7073</v>
      </c>
      <c r="AI65" s="1" t="s">
        <v>136</v>
      </c>
      <c r="AJ65" s="6" t="str">
        <f>IFERROR(__xludf.DUMMYFUNCTION("""COMPUTED_VALUE"""),"guys")</f>
        <v>guys</v>
      </c>
      <c r="AK65" s="49"/>
      <c r="AL65" s="49" t="str">
        <f>IFERROR(__xludf.DUMMYFUNCTION("""COMPUTED_VALUE"""),"brooklyn")</f>
        <v>brooklyn</v>
      </c>
      <c r="AM65" s="49" t="str">
        <f>IFERROR(__xludf.DUMMYFUNCTION("""COMPUTED_VALUE"""),"dependent")</f>
        <v>dependent</v>
      </c>
      <c r="AN65" s="52" t="str">
        <f t="shared" si="5"/>
        <v>write,</v>
      </c>
    </row>
    <row r="66">
      <c r="A66" s="51" t="s">
        <v>29</v>
      </c>
      <c r="B66" s="50" t="s">
        <v>6756</v>
      </c>
      <c r="C66" s="50" t="s">
        <v>434</v>
      </c>
      <c r="D66" s="49" t="str">
        <f>IFERROR(__xludf.DUMMYFUNCTION("""COMPUTED_VALUE"""),"dick")</f>
        <v>dick</v>
      </c>
      <c r="E66" s="49"/>
      <c r="F66" s="49" t="str">
        <f>IFERROR(__xludf.DUMMYFUNCTION("""COMPUTED_VALUE"""),"ass")</f>
        <v>ass</v>
      </c>
      <c r="G66" s="49" t="str">
        <f>IFERROR(__xludf.DUMMYFUNCTION("""COMPUTED_VALUE"""),"civic")</f>
        <v>civic</v>
      </c>
      <c r="H66" s="54" t="str">
        <f t="shared" si="1"/>
        <v>crew,</v>
      </c>
      <c r="I66" s="50"/>
      <c r="J66" s="50" t="s">
        <v>6319</v>
      </c>
      <c r="K66" s="50" t="s">
        <v>218</v>
      </c>
      <c r="L66" s="49" t="str">
        <f>IFERROR(__xludf.DUMMYFUNCTION("""COMPUTED_VALUE"""),"horror")</f>
        <v>horror</v>
      </c>
      <c r="M66" s="49" t="str">
        <f>IFERROR(__xludf.DUMMYFUNCTION("""COMPUTED_VALUE"""),"adequately")</f>
        <v>adequately</v>
      </c>
      <c r="N66" s="49" t="str">
        <f>IFERROR(__xludf.DUMMYFUNCTION("""COMPUTED_VALUE"""),"same")</f>
        <v>same</v>
      </c>
      <c r="O66" s="49">
        <f>IFERROR(__xludf.DUMMYFUNCTION("""COMPUTED_VALUE"""),3000.0)</f>
        <v>3000</v>
      </c>
      <c r="P66" s="49" t="str">
        <f t="shared" si="2"/>
        <v>),</v>
      </c>
      <c r="Q66" s="49"/>
      <c r="R66" s="50" t="s">
        <v>749</v>
      </c>
      <c r="S66" s="55" t="s">
        <v>505</v>
      </c>
      <c r="T66" s="49" t="str">
        <f>IFERROR(__xludf.DUMMYFUNCTION("""COMPUTED_VALUE"""),"name")</f>
        <v>name</v>
      </c>
      <c r="U66" s="49" t="str">
        <f>IFERROR(__xludf.DUMMYFUNCTION("""COMPUTED_VALUE"""),"hollow")</f>
        <v>hollow</v>
      </c>
      <c r="V66" s="49" t="str">
        <f>IFERROR(__xludf.DUMMYFUNCTION("""COMPUTED_VALUE"""),"features")</f>
        <v>features</v>
      </c>
      <c r="W66" s="49" t="str">
        <f>IFERROR(__xludf.DUMMYFUNCTION("""COMPUTED_VALUE"""),"mergers")</f>
        <v>mergers</v>
      </c>
      <c r="X66" s="49" t="str">
        <f t="shared" si="3"/>
        <v>little,</v>
      </c>
      <c r="Y66" s="49"/>
      <c r="Z66" s="1" t="s">
        <v>5924</v>
      </c>
      <c r="AA66" s="1" t="s">
        <v>122</v>
      </c>
      <c r="AB66" s="49" t="str">
        <f>IFERROR(__xludf.DUMMYFUNCTION("""COMPUTED_VALUE"""),"director")</f>
        <v>director</v>
      </c>
      <c r="AC66" s="49" t="str">
        <f>IFERROR(__xludf.DUMMYFUNCTION("""COMPUTED_VALUE"""),"glossy")</f>
        <v>glossy</v>
      </c>
      <c r="AD66" s="49" t="str">
        <f>IFERROR(__xludf.DUMMYFUNCTION("""COMPUTED_VALUE"""),"same")</f>
        <v>same</v>
      </c>
      <c r="AE66" s="49">
        <f>IFERROR(__xludf.DUMMYFUNCTION("""COMPUTED_VALUE"""),3000.0)</f>
        <v>3000</v>
      </c>
      <c r="AF66" s="49" t="str">
        <f t="shared" si="4"/>
        <v>bug,</v>
      </c>
      <c r="AG66" s="49"/>
      <c r="AH66" s="1" t="s">
        <v>2641</v>
      </c>
      <c r="AI66" s="1" t="s">
        <v>326</v>
      </c>
      <c r="AJ66" s="6" t="str">
        <f>IFERROR(__xludf.DUMMYFUNCTION("""COMPUTED_VALUE"""),"drink")</f>
        <v>drink</v>
      </c>
      <c r="AK66" s="49"/>
      <c r="AL66" s="49" t="str">
        <f>IFERROR(__xludf.DUMMYFUNCTION("""COMPUTED_VALUE"""),"fighter")</f>
        <v>fighter</v>
      </c>
      <c r="AM66" s="49" t="str">
        <f>IFERROR(__xludf.DUMMYFUNCTION("""COMPUTED_VALUE"""),"publishing")</f>
        <v>publishing</v>
      </c>
      <c r="AN66" s="52" t="str">
        <f t="shared" si="5"/>
        <v>guys,</v>
      </c>
    </row>
    <row r="67">
      <c r="A67" s="51" t="s">
        <v>552</v>
      </c>
      <c r="B67" s="50" t="s">
        <v>2882</v>
      </c>
      <c r="C67" s="50" t="s">
        <v>630</v>
      </c>
      <c r="D67" s="49" t="str">
        <f>IFERROR(__xludf.DUMMYFUNCTION("""COMPUTED_VALUE"""),"dirty")</f>
        <v>dirty</v>
      </c>
      <c r="E67" s="49"/>
      <c r="F67" s="49" t="str">
        <f>IFERROR(__xludf.DUMMYFUNCTION("""COMPUTED_VALUE"""),"julian")</f>
        <v>julian</v>
      </c>
      <c r="G67" s="49" t="str">
        <f>IFERROR(__xludf.DUMMYFUNCTION("""COMPUTED_VALUE"""),"semi")</f>
        <v>semi</v>
      </c>
      <c r="H67" s="54" t="str">
        <f t="shared" si="1"/>
        <v>empty,</v>
      </c>
      <c r="I67" s="50"/>
      <c r="J67" s="50" t="s">
        <v>2517</v>
      </c>
      <c r="K67" s="50" t="s">
        <v>581</v>
      </c>
      <c r="L67" s="49" t="str">
        <f>IFERROR(__xludf.DUMMYFUNCTION("""COMPUTED_VALUE"""),"mistake")</f>
        <v>mistake</v>
      </c>
      <c r="M67" s="49" t="str">
        <f>IFERROR(__xludf.DUMMYFUNCTION("""COMPUTED_VALUE"""),"racist")</f>
        <v>racist</v>
      </c>
      <c r="N67" s="49" t="str">
        <f>IFERROR(__xludf.DUMMYFUNCTION("""COMPUTED_VALUE"""),"so")</f>
        <v>so</v>
      </c>
      <c r="O67" s="49" t="str">
        <f>IFERROR(__xludf.DUMMYFUNCTION("""COMPUTED_VALUE"""),"em")</f>
        <v>em</v>
      </c>
      <c r="P67" s="49" t="str">
        <f t="shared" si="2"/>
        <v>there,</v>
      </c>
      <c r="Q67" s="49"/>
      <c r="R67" s="50" t="s">
        <v>2882</v>
      </c>
      <c r="S67" s="55" t="s">
        <v>145</v>
      </c>
      <c r="T67" s="49" t="str">
        <f>IFERROR(__xludf.DUMMYFUNCTION("""COMPUTED_VALUE"""),"under")</f>
        <v>under</v>
      </c>
      <c r="U67" s="49" t="str">
        <f>IFERROR(__xludf.DUMMYFUNCTION("""COMPUTED_VALUE"""),"sensation")</f>
        <v>sensation</v>
      </c>
      <c r="V67" s="49" t="str">
        <f>IFERROR(__xludf.DUMMYFUNCTION("""COMPUTED_VALUE"""),"lots")</f>
        <v>lots</v>
      </c>
      <c r="W67" s="49" t="str">
        <f>IFERROR(__xludf.DUMMYFUNCTION("""COMPUTED_VALUE"""),"climate")</f>
        <v>climate</v>
      </c>
      <c r="X67" s="49" t="str">
        <f t="shared" si="3"/>
        <v>empty,</v>
      </c>
      <c r="Y67" s="49"/>
      <c r="Z67" s="1" t="s">
        <v>2882</v>
      </c>
      <c r="AA67" s="1" t="s">
        <v>77</v>
      </c>
      <c r="AB67" s="49" t="str">
        <f>IFERROR(__xludf.DUMMYFUNCTION("""COMPUTED_VALUE"""),"loses")</f>
        <v>loses</v>
      </c>
      <c r="AC67" s="49" t="str">
        <f>IFERROR(__xludf.DUMMYFUNCTION("""COMPUTED_VALUE"""),"rises")</f>
        <v>rises</v>
      </c>
      <c r="AD67" s="49" t="str">
        <f>IFERROR(__xludf.DUMMYFUNCTION("""COMPUTED_VALUE"""),"so")</f>
        <v>so</v>
      </c>
      <c r="AE67" s="49" t="str">
        <f>IFERROR(__xludf.DUMMYFUNCTION("""COMPUTED_VALUE"""),"em")</f>
        <v>em</v>
      </c>
      <c r="AF67" s="49" t="str">
        <f t="shared" si="4"/>
        <v>empty,</v>
      </c>
      <c r="AG67" s="49"/>
      <c r="AH67" s="1" t="s">
        <v>2221</v>
      </c>
      <c r="AI67" s="1" t="s">
        <v>118</v>
      </c>
      <c r="AJ67" s="6" t="str">
        <f>IFERROR(__xludf.DUMMYFUNCTION("""COMPUTED_VALUE"""),"cool")</f>
        <v>cool</v>
      </c>
      <c r="AK67" s="49"/>
      <c r="AL67" s="49" t="str">
        <f>IFERROR(__xludf.DUMMYFUNCTION("""COMPUTED_VALUE"""),"adrian")</f>
        <v>adrian</v>
      </c>
      <c r="AM67" s="49" t="str">
        <f>IFERROR(__xludf.DUMMYFUNCTION("""COMPUTED_VALUE"""),"scholar")</f>
        <v>scholar</v>
      </c>
      <c r="AN67" s="52" t="str">
        <f t="shared" si="5"/>
        <v>drink,</v>
      </c>
    </row>
    <row r="68">
      <c r="A68" s="51" t="s">
        <v>511</v>
      </c>
      <c r="B68" s="50" t="s">
        <v>6670</v>
      </c>
      <c r="C68" s="50" t="s">
        <v>6282</v>
      </c>
      <c r="D68" s="49" t="str">
        <f>IFERROR(__xludf.DUMMYFUNCTION("""COMPUTED_VALUE"""),"karen")</f>
        <v>karen</v>
      </c>
      <c r="E68" s="49"/>
      <c r="F68" s="49" t="str">
        <f>IFERROR(__xludf.DUMMYFUNCTION("""COMPUTED_VALUE"""),"inter")</f>
        <v>inter</v>
      </c>
      <c r="G68" s="49" t="str">
        <f>IFERROR(__xludf.DUMMYFUNCTION("""COMPUTED_VALUE"""),"rolls")</f>
        <v>rolls</v>
      </c>
      <c r="H68" s="54" t="str">
        <f t="shared" si="1"/>
        <v>quick,</v>
      </c>
      <c r="I68" s="50"/>
      <c r="J68" s="50" t="s">
        <v>303</v>
      </c>
      <c r="K68" s="50" t="s">
        <v>228</v>
      </c>
      <c r="L68" s="49" t="str">
        <f>IFERROR(__xludf.DUMMYFUNCTION("""COMPUTED_VALUE"""),"assault")</f>
        <v>assault</v>
      </c>
      <c r="M68" s="49" t="str">
        <f>IFERROR(__xludf.DUMMYFUNCTION("""COMPUTED_VALUE"""),"sensual")</f>
        <v>sensual</v>
      </c>
      <c r="N68" s="49" t="str">
        <f>IFERROR(__xludf.DUMMYFUNCTION("""COMPUTED_VALUE"""),"under")</f>
        <v>under</v>
      </c>
      <c r="O68" s="49" t="str">
        <f>IFERROR(__xludf.DUMMYFUNCTION("""COMPUTED_VALUE"""),"fluid")</f>
        <v>fluid</v>
      </c>
      <c r="P68" s="49" t="str">
        <f t="shared" si="2"/>
        <v>do,</v>
      </c>
      <c r="Q68" s="49"/>
      <c r="R68" s="50" t="s">
        <v>43</v>
      </c>
      <c r="S68" s="55" t="s">
        <v>388</v>
      </c>
      <c r="T68" s="49" t="str">
        <f>IFERROR(__xludf.DUMMYFUNCTION("""COMPUTED_VALUE"""),"more")</f>
        <v>more</v>
      </c>
      <c r="U68" s="49" t="str">
        <f>IFERROR(__xludf.DUMMYFUNCTION("""COMPUTED_VALUE"""),"sensual")</f>
        <v>sensual</v>
      </c>
      <c r="V68" s="49" t="str">
        <f>IFERROR(__xludf.DUMMYFUNCTION("""COMPUTED_VALUE"""),"creepy")</f>
        <v>creepy</v>
      </c>
      <c r="W68" s="49" t="str">
        <f>IFERROR(__xludf.DUMMYFUNCTION("""COMPUTED_VALUE"""),"storylines")</f>
        <v>storylines</v>
      </c>
      <c r="X68" s="49" t="str">
        <f t="shared" si="3"/>
        <v>like,</v>
      </c>
      <c r="Y68" s="49"/>
      <c r="Z68" s="1" t="s">
        <v>1188</v>
      </c>
      <c r="AA68" s="1" t="s">
        <v>310</v>
      </c>
      <c r="AB68" s="49" t="str">
        <f>IFERROR(__xludf.DUMMYFUNCTION("""COMPUTED_VALUE"""),"wo")</f>
        <v>wo</v>
      </c>
      <c r="AC68" s="49" t="str">
        <f>IFERROR(__xludf.DUMMYFUNCTION("""COMPUTED_VALUE"""),"achievement")</f>
        <v>achievement</v>
      </c>
      <c r="AD68" s="49" t="str">
        <f>IFERROR(__xludf.DUMMYFUNCTION("""COMPUTED_VALUE"""),"under")</f>
        <v>under</v>
      </c>
      <c r="AE68" s="49" t="str">
        <f>IFERROR(__xludf.DUMMYFUNCTION("""COMPUTED_VALUE"""),"fluid")</f>
        <v>fluid</v>
      </c>
      <c r="AF68" s="49" t="str">
        <f t="shared" si="4"/>
        <v>feels,</v>
      </c>
      <c r="AG68" s="49"/>
      <c r="AH68" s="1" t="s">
        <v>3535</v>
      </c>
      <c r="AI68" s="1" t="s">
        <v>6283</v>
      </c>
      <c r="AJ68" s="6" t="str">
        <f>IFERROR(__xludf.DUMMYFUNCTION("""COMPUTED_VALUE"""),"accident")</f>
        <v>accident</v>
      </c>
      <c r="AK68" s="49"/>
      <c r="AL68" s="49" t="str">
        <f>IFERROR(__xludf.DUMMYFUNCTION("""COMPUTED_VALUE"""),"broke")</f>
        <v>broke</v>
      </c>
      <c r="AM68" s="49" t="str">
        <f>IFERROR(__xludf.DUMMYFUNCTION("""COMPUTED_VALUE"""),"useful")</f>
        <v>useful</v>
      </c>
      <c r="AN68" s="52" t="str">
        <f t="shared" si="5"/>
        <v>cool,</v>
      </c>
    </row>
    <row r="69">
      <c r="A69" s="51" t="s">
        <v>588</v>
      </c>
      <c r="B69" s="50" t="s">
        <v>6578</v>
      </c>
      <c r="C69" s="50" t="s">
        <v>6284</v>
      </c>
      <c r="D69" s="49" t="str">
        <f>IFERROR(__xludf.DUMMYFUNCTION("""COMPUTED_VALUE"""),"conspiracy")</f>
        <v>conspiracy</v>
      </c>
      <c r="E69" s="49"/>
      <c r="F69" s="49" t="str">
        <f>IFERROR(__xludf.DUMMYFUNCTION("""COMPUTED_VALUE"""),"coast")</f>
        <v>coast</v>
      </c>
      <c r="G69" s="49" t="str">
        <f>IFERROR(__xludf.DUMMYFUNCTION("""COMPUTED_VALUE"""),"fierce")</f>
        <v>fierce</v>
      </c>
      <c r="H69" s="54" t="str">
        <f t="shared" si="1"/>
        <v>damn,</v>
      </c>
      <c r="I69" s="50"/>
      <c r="J69" s="50" t="s">
        <v>6307</v>
      </c>
      <c r="K69" s="50" t="s">
        <v>237</v>
      </c>
      <c r="L69" s="49" t="str">
        <f>IFERROR(__xludf.DUMMYFUNCTION("""COMPUTED_VALUE"""),"homage")</f>
        <v>homage</v>
      </c>
      <c r="M69" s="49" t="str">
        <f>IFERROR(__xludf.DUMMYFUNCTION("""COMPUTED_VALUE"""),"glued")</f>
        <v>glued</v>
      </c>
      <c r="N69" s="49" t="str">
        <f>IFERROR(__xludf.DUMMYFUNCTION("""COMPUTED_VALUE"""),"by")</f>
        <v>by</v>
      </c>
      <c r="O69" s="49" t="str">
        <f>IFERROR(__xludf.DUMMYFUNCTION("""COMPUTED_VALUE"""),"direction")</f>
        <v>direction</v>
      </c>
      <c r="P69" s="49" t="str">
        <f t="shared" si="2"/>
        <v>we,</v>
      </c>
      <c r="Q69" s="49"/>
      <c r="R69" s="50" t="s">
        <v>1456</v>
      </c>
      <c r="S69" s="55" t="s">
        <v>397</v>
      </c>
      <c r="T69" s="49" t="str">
        <f>IFERROR(__xludf.DUMMYFUNCTION("""COMPUTED_VALUE"""),"course")</f>
        <v>course</v>
      </c>
      <c r="U69" s="49" t="str">
        <f>IFERROR(__xludf.DUMMYFUNCTION("""COMPUTED_VALUE"""),"glued")</f>
        <v>glued</v>
      </c>
      <c r="V69" s="49" t="str">
        <f>IFERROR(__xludf.DUMMYFUNCTION("""COMPUTED_VALUE"""),"girls")</f>
        <v>girls</v>
      </c>
      <c r="W69" s="49" t="str">
        <f>IFERROR(__xludf.DUMMYFUNCTION("""COMPUTED_VALUE"""),"woven")</f>
        <v>woven</v>
      </c>
      <c r="X69" s="49" t="str">
        <f t="shared" si="3"/>
        <v>why,</v>
      </c>
      <c r="Y69" s="49"/>
      <c r="Z69" s="1" t="s">
        <v>4483</v>
      </c>
      <c r="AA69" s="1" t="s">
        <v>84</v>
      </c>
      <c r="AB69" s="49" t="str">
        <f>IFERROR(__xludf.DUMMYFUNCTION("""COMPUTED_VALUE"""),"or")</f>
        <v>or</v>
      </c>
      <c r="AC69" s="49" t="str">
        <f>IFERROR(__xludf.DUMMYFUNCTION("""COMPUTED_VALUE"""),"graceful")</f>
        <v>graceful</v>
      </c>
      <c r="AD69" s="49" t="str">
        <f>IFERROR(__xludf.DUMMYFUNCTION("""COMPUTED_VALUE"""),"by")</f>
        <v>by</v>
      </c>
      <c r="AE69" s="49" t="str">
        <f>IFERROR(__xludf.DUMMYFUNCTION("""COMPUTED_VALUE"""),"direction")</f>
        <v>direction</v>
      </c>
      <c r="AF69" s="49" t="str">
        <f t="shared" si="4"/>
        <v>action,</v>
      </c>
      <c r="AG69" s="49"/>
      <c r="AH69" s="1" t="s">
        <v>3298</v>
      </c>
      <c r="AI69" s="1" t="s">
        <v>6285</v>
      </c>
      <c r="AJ69" s="6" t="str">
        <f>IFERROR(__xludf.DUMMYFUNCTION("""COMPUTED_VALUE"""),"plot")</f>
        <v>plot</v>
      </c>
      <c r="AK69" s="49"/>
      <c r="AL69" s="49" t="str">
        <f>IFERROR(__xludf.DUMMYFUNCTION("""COMPUTED_VALUE"""),"consists")</f>
        <v>consists</v>
      </c>
      <c r="AM69" s="49" t="str">
        <f>IFERROR(__xludf.DUMMYFUNCTION("""COMPUTED_VALUE"""),"diesel")</f>
        <v>diesel</v>
      </c>
      <c r="AN69" s="52" t="str">
        <f t="shared" si="5"/>
        <v>accident,</v>
      </c>
    </row>
    <row r="70">
      <c r="A70" s="51" t="s">
        <v>420</v>
      </c>
      <c r="B70" s="50" t="s">
        <v>2444</v>
      </c>
      <c r="C70" s="50" t="s">
        <v>6286</v>
      </c>
      <c r="D70" s="49" t="str">
        <f>IFERROR(__xludf.DUMMYFUNCTION("""COMPUTED_VALUE"""),"smile")</f>
        <v>smile</v>
      </c>
      <c r="E70" s="49"/>
      <c r="F70" s="49" t="str">
        <f>IFERROR(__xludf.DUMMYFUNCTION("""COMPUTED_VALUE"""),"knife")</f>
        <v>knife</v>
      </c>
      <c r="G70" s="49" t="str">
        <f>IFERROR(__xludf.DUMMYFUNCTION("""COMPUTED_VALUE"""),"victories")</f>
        <v>victories</v>
      </c>
      <c r="H70" s="54" t="str">
        <f t="shared" si="1"/>
        <v>starring,</v>
      </c>
      <c r="I70" s="50"/>
      <c r="J70" s="50" t="s">
        <v>2650</v>
      </c>
      <c r="K70" s="50" t="s">
        <v>248</v>
      </c>
      <c r="L70" s="49" t="str">
        <f>IFERROR(__xludf.DUMMYFUNCTION("""COMPUTED_VALUE"""),"fight")</f>
        <v>fight</v>
      </c>
      <c r="M70" s="49" t="str">
        <f>IFERROR(__xludf.DUMMYFUNCTION("""COMPUTED_VALUE"""),"viewed")</f>
        <v>viewed</v>
      </c>
      <c r="N70" s="49" t="str">
        <f>IFERROR(__xludf.DUMMYFUNCTION("""COMPUTED_VALUE"""),"are")</f>
        <v>are</v>
      </c>
      <c r="O70" s="49" t="str">
        <f>IFERROR(__xludf.DUMMYFUNCTION("""COMPUTED_VALUE"""),"takes")</f>
        <v>takes</v>
      </c>
      <c r="P70" s="49" t="str">
        <f t="shared" si="2"/>
        <v>start,</v>
      </c>
      <c r="Q70" s="49"/>
      <c r="R70" s="50" t="s">
        <v>6679</v>
      </c>
      <c r="S70" s="55" t="s">
        <v>47</v>
      </c>
      <c r="T70" s="49" t="str">
        <f>IFERROR(__xludf.DUMMYFUNCTION("""COMPUTED_VALUE"""),"20th")</f>
        <v>20th</v>
      </c>
      <c r="U70" s="49" t="str">
        <f>IFERROR(__xludf.DUMMYFUNCTION("""COMPUTED_VALUE"""),"viewed")</f>
        <v>viewed</v>
      </c>
      <c r="V70" s="49" t="str">
        <f>IFERROR(__xludf.DUMMYFUNCTION("""COMPUTED_VALUE"""),"executive")</f>
        <v>executive</v>
      </c>
      <c r="W70" s="49" t="str">
        <f>IFERROR(__xludf.DUMMYFUNCTION("""COMPUTED_VALUE"""),"magnificent")</f>
        <v>magnificent</v>
      </c>
      <c r="X70" s="49" t="str">
        <f t="shared" si="3"/>
        <v>tells,</v>
      </c>
      <c r="Y70" s="49"/>
      <c r="Z70" s="1" t="s">
        <v>2849</v>
      </c>
      <c r="AA70" s="1" t="s">
        <v>598</v>
      </c>
      <c r="AB70" s="49" t="str">
        <f>IFERROR(__xludf.DUMMYFUNCTION("""COMPUTED_VALUE"""),"short")</f>
        <v>short</v>
      </c>
      <c r="AC70" s="49" t="str">
        <f>IFERROR(__xludf.DUMMYFUNCTION("""COMPUTED_VALUE"""),"amusing")</f>
        <v>amusing</v>
      </c>
      <c r="AD70" s="49" t="str">
        <f>IFERROR(__xludf.DUMMYFUNCTION("""COMPUTED_VALUE"""),"are")</f>
        <v>are</v>
      </c>
      <c r="AE70" s="49" t="str">
        <f>IFERROR(__xludf.DUMMYFUNCTION("""COMPUTED_VALUE"""),"takes")</f>
        <v>takes</v>
      </c>
      <c r="AF70" s="49" t="str">
        <f t="shared" si="4"/>
        <v>russian,</v>
      </c>
      <c r="AG70" s="49"/>
      <c r="AH70" s="1" t="s">
        <v>237</v>
      </c>
      <c r="AI70" s="1" t="s">
        <v>43</v>
      </c>
      <c r="AJ70" s="6" t="str">
        <f>IFERROR(__xludf.DUMMYFUNCTION("""COMPUTED_VALUE"""),"couples")</f>
        <v>couples</v>
      </c>
      <c r="AK70" s="49"/>
      <c r="AL70" s="49" t="str">
        <f>IFERROR(__xludf.DUMMYFUNCTION("""COMPUTED_VALUE"""),"route")</f>
        <v>route</v>
      </c>
      <c r="AM70" s="49" t="str">
        <f>IFERROR(__xludf.DUMMYFUNCTION("""COMPUTED_VALUE"""),"flows")</f>
        <v>flows</v>
      </c>
      <c r="AN70" s="52" t="str">
        <f t="shared" si="5"/>
        <v>plot,</v>
      </c>
    </row>
    <row r="71">
      <c r="A71" s="51" t="s">
        <v>606</v>
      </c>
      <c r="B71" s="50" t="s">
        <v>4196</v>
      </c>
      <c r="C71" s="50" t="s">
        <v>6287</v>
      </c>
      <c r="D71" s="49" t="str">
        <f>IFERROR(__xludf.DUMMYFUNCTION("""COMPUTED_VALUE"""),"comes")</f>
        <v>comes</v>
      </c>
      <c r="E71" s="49"/>
      <c r="F71" s="49" t="str">
        <f>IFERROR(__xludf.DUMMYFUNCTION("""COMPUTED_VALUE"""),"benjamin")</f>
        <v>benjamin</v>
      </c>
      <c r="G71" s="49">
        <f>IFERROR(__xludf.DUMMYFUNCTION("""COMPUTED_VALUE"""),140.0)</f>
        <v>140</v>
      </c>
      <c r="H71" s="54" t="str">
        <f t="shared" si="1"/>
        <v>regarding,</v>
      </c>
      <c r="I71" s="50"/>
      <c r="J71" s="50" t="s">
        <v>777</v>
      </c>
      <c r="K71" s="50" t="s">
        <v>614</v>
      </c>
      <c r="L71" s="49" t="str">
        <f>IFERROR(__xludf.DUMMYFUNCTION("""COMPUTED_VALUE"""),"new")</f>
        <v>new</v>
      </c>
      <c r="M71" s="49" t="str">
        <f>IFERROR(__xludf.DUMMYFUNCTION("""COMPUTED_VALUE"""),"profound")</f>
        <v>profound</v>
      </c>
      <c r="N71" s="49" t="str">
        <f>IFERROR(__xludf.DUMMYFUNCTION("""COMPUTED_VALUE"""),"as")</f>
        <v>as</v>
      </c>
      <c r="O71" s="49" t="str">
        <f>IFERROR(__xludf.DUMMYFUNCTION("""COMPUTED_VALUE"""),"dialogue")</f>
        <v>dialogue</v>
      </c>
      <c r="P71" s="49" t="str">
        <f t="shared" si="2"/>
        <v>got,</v>
      </c>
      <c r="Q71" s="49"/>
      <c r="R71" s="50" t="s">
        <v>884</v>
      </c>
      <c r="S71" s="55" t="s">
        <v>179</v>
      </c>
      <c r="T71" s="49" t="str">
        <f>IFERROR(__xludf.DUMMYFUNCTION("""COMPUTED_VALUE"""),"recent")</f>
        <v>recent</v>
      </c>
      <c r="U71" s="49" t="str">
        <f>IFERROR(__xludf.DUMMYFUNCTION("""COMPUTED_VALUE"""),"quietly")</f>
        <v>quietly</v>
      </c>
      <c r="V71" s="49" t="str">
        <f>IFERROR(__xludf.DUMMYFUNCTION("""COMPUTED_VALUE"""),"already")</f>
        <v>already</v>
      </c>
      <c r="W71" s="49" t="str">
        <f>IFERROR(__xludf.DUMMYFUNCTION("""COMPUTED_VALUE"""),"shots")</f>
        <v>shots</v>
      </c>
      <c r="X71" s="49" t="str">
        <f t="shared" si="3"/>
        <v>things,</v>
      </c>
      <c r="Y71" s="49"/>
      <c r="Z71" s="1" t="s">
        <v>6578</v>
      </c>
      <c r="AA71" s="1" t="s">
        <v>312</v>
      </c>
      <c r="AB71" s="49" t="str">
        <f>IFERROR(__xludf.DUMMYFUNCTION("""COMPUTED_VALUE"""),"making")</f>
        <v>making</v>
      </c>
      <c r="AC71" s="49" t="str">
        <f>IFERROR(__xludf.DUMMYFUNCTION("""COMPUTED_VALUE"""),"stirring")</f>
        <v>stirring</v>
      </c>
      <c r="AD71" s="49" t="str">
        <f>IFERROR(__xludf.DUMMYFUNCTION("""COMPUTED_VALUE"""),"as")</f>
        <v>as</v>
      </c>
      <c r="AE71" s="49" t="str">
        <f>IFERROR(__xludf.DUMMYFUNCTION("""COMPUTED_VALUE"""),"dialogue")</f>
        <v>dialogue</v>
      </c>
      <c r="AF71" s="49" t="str">
        <f t="shared" si="4"/>
        <v>damn,</v>
      </c>
      <c r="AG71" s="49"/>
      <c r="AH71" s="1" t="s">
        <v>6855</v>
      </c>
      <c r="AI71" s="1" t="s">
        <v>303</v>
      </c>
      <c r="AJ71" s="6" t="str">
        <f>IFERROR(__xludf.DUMMYFUNCTION("""COMPUTED_VALUE"""),"harder")</f>
        <v>harder</v>
      </c>
      <c r="AK71" s="49"/>
      <c r="AL71" s="49" t="str">
        <f>IFERROR(__xludf.DUMMYFUNCTION("""COMPUTED_VALUE"""),"population")</f>
        <v>population</v>
      </c>
      <c r="AM71" s="49" t="str">
        <f>IFERROR(__xludf.DUMMYFUNCTION("""COMPUTED_VALUE"""),"occupation")</f>
        <v>occupation</v>
      </c>
      <c r="AN71" s="52" t="str">
        <f t="shared" si="5"/>
        <v>couples,</v>
      </c>
    </row>
    <row r="72">
      <c r="A72" s="51" t="s">
        <v>615</v>
      </c>
      <c r="B72" s="50" t="s">
        <v>355</v>
      </c>
      <c r="C72" s="50" t="s">
        <v>75</v>
      </c>
      <c r="D72" s="49" t="str">
        <f>IFERROR(__xludf.DUMMYFUNCTION("""COMPUTED_VALUE"""),"performances")</f>
        <v>performances</v>
      </c>
      <c r="E72" s="49"/>
      <c r="F72" s="49" t="str">
        <f>IFERROR(__xludf.DUMMYFUNCTION("""COMPUTED_VALUE"""),"arch")</f>
        <v>arch</v>
      </c>
      <c r="G72" s="49" t="str">
        <f>IFERROR(__xludf.DUMMYFUNCTION("""COMPUTED_VALUE"""),"measured")</f>
        <v>measured</v>
      </c>
      <c r="H72" s="54" t="str">
        <f t="shared" si="1"/>
        <v>bringing,</v>
      </c>
      <c r="I72" s="50"/>
      <c r="J72" s="50" t="s">
        <v>1188</v>
      </c>
      <c r="K72" s="50" t="s">
        <v>314</v>
      </c>
      <c r="L72" s="49" t="str">
        <f>IFERROR(__xludf.DUMMYFUNCTION("""COMPUTED_VALUE"""),"yourself")</f>
        <v>yourself</v>
      </c>
      <c r="M72" s="49" t="str">
        <f>IFERROR(__xludf.DUMMYFUNCTION("""COMPUTED_VALUE"""),"dubious")</f>
        <v>dubious</v>
      </c>
      <c r="N72" s="49" t="str">
        <f>IFERROR(__xludf.DUMMYFUNCTION("""COMPUTED_VALUE"""),"more")</f>
        <v>more</v>
      </c>
      <c r="O72" s="49" t="str">
        <f>IFERROR(__xludf.DUMMYFUNCTION("""COMPUTED_VALUE"""),"sentiment")</f>
        <v>sentiment</v>
      </c>
      <c r="P72" s="49" t="str">
        <f t="shared" si="2"/>
        <v>feels,</v>
      </c>
      <c r="Q72" s="49"/>
      <c r="R72" s="50" t="s">
        <v>6638</v>
      </c>
      <c r="S72" s="55" t="s">
        <v>55</v>
      </c>
      <c r="T72" s="49" t="str">
        <f>IFERROR(__xludf.DUMMYFUNCTION("""COMPUTED_VALUE"""),"colorful")</f>
        <v>colorful</v>
      </c>
      <c r="U72" s="49" t="str">
        <f>IFERROR(__xludf.DUMMYFUNCTION("""COMPUTED_VALUE"""),"profound")</f>
        <v>profound</v>
      </c>
      <c r="V72" s="49" t="str">
        <f>IFERROR(__xludf.DUMMYFUNCTION("""COMPUTED_VALUE"""),"gives")</f>
        <v>gives</v>
      </c>
      <c r="W72" s="49" t="str">
        <f>IFERROR(__xludf.DUMMYFUNCTION("""COMPUTED_VALUE"""),"deception")</f>
        <v>deception</v>
      </c>
      <c r="X72" s="49" t="str">
        <f t="shared" si="3"/>
        <v>immediately,</v>
      </c>
      <c r="Y72" s="49"/>
      <c r="Z72" s="1" t="s">
        <v>4744</v>
      </c>
      <c r="AA72" s="1" t="s">
        <v>96</v>
      </c>
      <c r="AB72" s="49" t="str">
        <f>IFERROR(__xludf.DUMMYFUNCTION("""COMPUTED_VALUE"""),"twisted")</f>
        <v>twisted</v>
      </c>
      <c r="AC72" s="49" t="str">
        <f>IFERROR(__xludf.DUMMYFUNCTION("""COMPUTED_VALUE"""),"builds")</f>
        <v>builds</v>
      </c>
      <c r="AD72" s="49" t="str">
        <f>IFERROR(__xludf.DUMMYFUNCTION("""COMPUTED_VALUE"""),"more")</f>
        <v>more</v>
      </c>
      <c r="AE72" s="49" t="str">
        <f>IFERROR(__xludf.DUMMYFUNCTION("""COMPUTED_VALUE"""),"sentiment")</f>
        <v>sentiment</v>
      </c>
      <c r="AF72" s="49" t="str">
        <f t="shared" si="4"/>
        <v>kick,</v>
      </c>
      <c r="AG72" s="49"/>
      <c r="AH72" s="1" t="s">
        <v>2088</v>
      </c>
      <c r="AI72" s="1" t="s">
        <v>455</v>
      </c>
      <c r="AJ72" s="6" t="str">
        <f>IFERROR(__xludf.DUMMYFUNCTION("""COMPUTED_VALUE"""),"girlfriend")</f>
        <v>girlfriend</v>
      </c>
      <c r="AK72" s="49"/>
      <c r="AL72" s="49" t="str">
        <f>IFERROR(__xludf.DUMMYFUNCTION("""COMPUTED_VALUE"""),"tons")</f>
        <v>tons</v>
      </c>
      <c r="AM72" s="49">
        <f>IFERROR(__xludf.DUMMYFUNCTION("""COMPUTED_VALUE"""),80.0)</f>
        <v>80</v>
      </c>
      <c r="AN72" s="52" t="str">
        <f t="shared" si="5"/>
        <v>harder,</v>
      </c>
    </row>
    <row r="73">
      <c r="A73" s="51" t="s">
        <v>622</v>
      </c>
      <c r="B73" s="50" t="s">
        <v>1188</v>
      </c>
      <c r="C73" s="50" t="s">
        <v>509</v>
      </c>
      <c r="D73" s="49" t="str">
        <f>IFERROR(__xludf.DUMMYFUNCTION("""COMPUTED_VALUE"""),"cast")</f>
        <v>cast</v>
      </c>
      <c r="E73" s="49"/>
      <c r="F73" s="49" t="str">
        <f>IFERROR(__xludf.DUMMYFUNCTION("""COMPUTED_VALUE"""),"thumb")</f>
        <v>thumb</v>
      </c>
      <c r="G73" s="49" t="str">
        <f>IFERROR(__xludf.DUMMYFUNCTION("""COMPUTED_VALUE"""),"liberation")</f>
        <v>liberation</v>
      </c>
      <c r="H73" s="54" t="str">
        <f t="shared" si="1"/>
        <v>feels,</v>
      </c>
      <c r="I73" s="50"/>
      <c r="J73" s="50" t="s">
        <v>7253</v>
      </c>
      <c r="K73" s="50" t="s">
        <v>258</v>
      </c>
      <c r="L73" s="49" t="str">
        <f>IFERROR(__xludf.DUMMYFUNCTION("""COMPUTED_VALUE"""),"beneath")</f>
        <v>beneath</v>
      </c>
      <c r="M73" s="49" t="str">
        <f>IFERROR(__xludf.DUMMYFUNCTION("""COMPUTED_VALUE"""),"triumph")</f>
        <v>triumph</v>
      </c>
      <c r="N73" s="49" t="str">
        <f>IFERROR(__xludf.DUMMYFUNCTION("""COMPUTED_VALUE"""),"these")</f>
        <v>these</v>
      </c>
      <c r="O73" s="49" t="str">
        <f>IFERROR(__xludf.DUMMYFUNCTION("""COMPUTED_VALUE"""),"clumsy")</f>
        <v>clumsy</v>
      </c>
      <c r="P73" s="49" t="str">
        <f t="shared" si="2"/>
        <v>tech,</v>
      </c>
      <c r="Q73" s="49"/>
      <c r="R73" s="50" t="s">
        <v>4066</v>
      </c>
      <c r="S73" s="55" t="s">
        <v>2389</v>
      </c>
      <c r="T73" s="49" t="str">
        <f>IFERROR(__xludf.DUMMYFUNCTION("""COMPUTED_VALUE"""),"from")</f>
        <v>from</v>
      </c>
      <c r="U73" s="49" t="str">
        <f>IFERROR(__xludf.DUMMYFUNCTION("""COMPUTED_VALUE"""),"dubious")</f>
        <v>dubious</v>
      </c>
      <c r="V73" s="49" t="str">
        <f>IFERROR(__xludf.DUMMYFUNCTION("""COMPUTED_VALUE"""),"becomes")</f>
        <v>becomes</v>
      </c>
      <c r="W73" s="49" t="str">
        <f>IFERROR(__xludf.DUMMYFUNCTION("""COMPUTED_VALUE"""),"empathy")</f>
        <v>empathy</v>
      </c>
      <c r="X73" s="49" t="str">
        <f t="shared" si="3"/>
        <v>cute,</v>
      </c>
      <c r="Y73" s="49"/>
      <c r="Z73" s="1" t="s">
        <v>139</v>
      </c>
      <c r="AA73" s="1" t="s">
        <v>330</v>
      </c>
      <c r="AB73" s="49" t="str">
        <f>IFERROR(__xludf.DUMMYFUNCTION("""COMPUTED_VALUE"""),"how")</f>
        <v>how</v>
      </c>
      <c r="AC73" s="49" t="str">
        <f>IFERROR(__xludf.DUMMYFUNCTION("""COMPUTED_VALUE"""),"touched")</f>
        <v>touched</v>
      </c>
      <c r="AD73" s="49" t="str">
        <f>IFERROR(__xludf.DUMMYFUNCTION("""COMPUTED_VALUE"""),"these")</f>
        <v>these</v>
      </c>
      <c r="AE73" s="49" t="str">
        <f>IFERROR(__xludf.DUMMYFUNCTION("""COMPUTED_VALUE"""),"clumsy")</f>
        <v>clumsy</v>
      </c>
      <c r="AF73" s="49" t="str">
        <f t="shared" si="4"/>
        <v>time,</v>
      </c>
      <c r="AG73" s="49"/>
      <c r="AH73" s="1" t="s">
        <v>5362</v>
      </c>
      <c r="AI73" s="1" t="s">
        <v>1056</v>
      </c>
      <c r="AJ73" s="6" t="str">
        <f>IFERROR(__xludf.DUMMYFUNCTION("""COMPUTED_VALUE"""),"mess")</f>
        <v>mess</v>
      </c>
      <c r="AK73" s="49"/>
      <c r="AL73" s="49" t="str">
        <f>IFERROR(__xludf.DUMMYFUNCTION("""COMPUTED_VALUE"""),"arrived")</f>
        <v>arrived</v>
      </c>
      <c r="AM73" s="49" t="str">
        <f>IFERROR(__xludf.DUMMYFUNCTION("""COMPUTED_VALUE"""),"cotton")</f>
        <v>cotton</v>
      </c>
      <c r="AN73" s="52" t="str">
        <f t="shared" si="5"/>
        <v>girlfriend,</v>
      </c>
    </row>
    <row r="74">
      <c r="A74" s="51" t="s">
        <v>628</v>
      </c>
      <c r="B74" s="50" t="s">
        <v>4744</v>
      </c>
      <c r="C74" s="50" t="s">
        <v>198</v>
      </c>
      <c r="D74" s="49" t="str">
        <f>IFERROR(__xludf.DUMMYFUNCTION("""COMPUTED_VALUE"""),"mixed")</f>
        <v>mixed</v>
      </c>
      <c r="E74" s="49"/>
      <c r="F74" s="49" t="str">
        <f>IFERROR(__xludf.DUMMYFUNCTION("""COMPUTED_VALUE"""),"therapy")</f>
        <v>therapy</v>
      </c>
      <c r="G74" s="49" t="str">
        <f>IFERROR(__xludf.DUMMYFUNCTION("""COMPUTED_VALUE"""),"credited")</f>
        <v>credited</v>
      </c>
      <c r="H74" s="54" t="str">
        <f t="shared" si="1"/>
        <v>kick,</v>
      </c>
      <c r="I74" s="50"/>
      <c r="J74" s="50" t="s">
        <v>198</v>
      </c>
      <c r="K74" s="50" t="s">
        <v>261</v>
      </c>
      <c r="L74" s="49" t="str">
        <f>IFERROR(__xludf.DUMMYFUNCTION("""COMPUTED_VALUE"""),"twisted")</f>
        <v>twisted</v>
      </c>
      <c r="M74" s="49" t="str">
        <f>IFERROR(__xludf.DUMMYFUNCTION("""COMPUTED_VALUE"""),"breakthrough")</f>
        <v>breakthrough</v>
      </c>
      <c r="N74" s="49" t="str">
        <f>IFERROR(__xludf.DUMMYFUNCTION("""COMPUTED_VALUE"""),"does")</f>
        <v>does</v>
      </c>
      <c r="O74" s="49" t="str">
        <f>IFERROR(__xludf.DUMMYFUNCTION("""COMPUTED_VALUE"""),"tissues")</f>
        <v>tissues</v>
      </c>
      <c r="P74" s="49" t="str">
        <f t="shared" si="2"/>
        <v>comes,</v>
      </c>
      <c r="Q74" s="49"/>
      <c r="R74" s="50" t="s">
        <v>235</v>
      </c>
      <c r="S74" s="55" t="s">
        <v>458</v>
      </c>
      <c r="T74" s="49" t="str">
        <f>IFERROR(__xludf.DUMMYFUNCTION("""COMPUTED_VALUE"""),"year")</f>
        <v>year</v>
      </c>
      <c r="U74" s="49" t="str">
        <f>IFERROR(__xludf.DUMMYFUNCTION("""COMPUTED_VALUE"""),"conspicuous")</f>
        <v>conspicuous</v>
      </c>
      <c r="V74" s="49" t="str">
        <f>IFERROR(__xludf.DUMMYFUNCTION("""COMPUTED_VALUE"""),"targets")</f>
        <v>targets</v>
      </c>
      <c r="W74" s="49" t="str">
        <f>IFERROR(__xludf.DUMMYFUNCTION("""COMPUTED_VALUE"""),"women")</f>
        <v>women</v>
      </c>
      <c r="X74" s="49" t="str">
        <f t="shared" si="3"/>
        <v>as,</v>
      </c>
      <c r="Y74" s="49"/>
      <c r="Z74" s="1" t="s">
        <v>749</v>
      </c>
      <c r="AA74" s="1" t="s">
        <v>189</v>
      </c>
      <c r="AB74" s="49" t="str">
        <f>IFERROR(__xludf.DUMMYFUNCTION("""COMPUTED_VALUE"""),"surface")</f>
        <v>surface</v>
      </c>
      <c r="AC74" s="49" t="str">
        <f>IFERROR(__xludf.DUMMYFUNCTION("""COMPUTED_VALUE"""),"problematic")</f>
        <v>problematic</v>
      </c>
      <c r="AD74" s="49" t="str">
        <f>IFERROR(__xludf.DUMMYFUNCTION("""COMPUTED_VALUE"""),"does")</f>
        <v>does</v>
      </c>
      <c r="AE74" s="49" t="str">
        <f>IFERROR(__xludf.DUMMYFUNCTION("""COMPUTED_VALUE"""),"tissues")</f>
        <v>tissues</v>
      </c>
      <c r="AF74" s="49" t="str">
        <f t="shared" si="4"/>
        <v>little,</v>
      </c>
      <c r="AG74" s="49"/>
      <c r="AH74" s="1" t="s">
        <v>2138</v>
      </c>
      <c r="AI74" s="1" t="s">
        <v>2252</v>
      </c>
      <c r="AJ74" s="6" t="str">
        <f>IFERROR(__xludf.DUMMYFUNCTION("""COMPUTED_VALUE"""),"package")</f>
        <v>package</v>
      </c>
      <c r="AK74" s="49"/>
      <c r="AL74" s="49" t="str">
        <f>IFERROR(__xludf.DUMMYFUNCTION("""COMPUTED_VALUE"""),"amateur")</f>
        <v>amateur</v>
      </c>
      <c r="AM74" s="49" t="str">
        <f>IFERROR(__xludf.DUMMYFUNCTION("""COMPUTED_VALUE"""),"composition")</f>
        <v>composition</v>
      </c>
      <c r="AN74" s="52" t="str">
        <f t="shared" si="5"/>
        <v>mess,</v>
      </c>
    </row>
    <row r="75">
      <c r="A75" s="51" t="s">
        <v>636</v>
      </c>
      <c r="B75" s="50" t="s">
        <v>5093</v>
      </c>
      <c r="C75" s="50" t="s">
        <v>188</v>
      </c>
      <c r="D75" s="49" t="str">
        <f>IFERROR(__xludf.DUMMYFUNCTION("""COMPUTED_VALUE"""),"spirits")</f>
        <v>spirits</v>
      </c>
      <c r="E75" s="49"/>
      <c r="F75" s="49" t="str">
        <f>IFERROR(__xludf.DUMMYFUNCTION("""COMPUTED_VALUE"""),"worn")</f>
        <v>worn</v>
      </c>
      <c r="G75" s="49" t="str">
        <f>IFERROR(__xludf.DUMMYFUNCTION("""COMPUTED_VALUE"""),"uh")</f>
        <v>uh</v>
      </c>
      <c r="H75" s="54" t="str">
        <f t="shared" si="1"/>
        <v>flash,</v>
      </c>
      <c r="I75" s="50"/>
      <c r="J75" s="50" t="s">
        <v>517</v>
      </c>
      <c r="K75" s="50" t="s">
        <v>64</v>
      </c>
      <c r="L75" s="49" t="str">
        <f>IFERROR(__xludf.DUMMYFUNCTION("""COMPUTED_VALUE"""),"world")</f>
        <v>world</v>
      </c>
      <c r="M75" s="49" t="str">
        <f>IFERROR(__xludf.DUMMYFUNCTION("""COMPUTED_VALUE"""),"capture")</f>
        <v>capture</v>
      </c>
      <c r="N75" s="49" t="str">
        <f>IFERROR(__xludf.DUMMYFUNCTION("""COMPUTED_VALUE"""),"after")</f>
        <v>after</v>
      </c>
      <c r="O75" s="49" t="str">
        <f>IFERROR(__xludf.DUMMYFUNCTION("""COMPUTED_VALUE"""),"bourne")</f>
        <v>bourne</v>
      </c>
      <c r="P75" s="49" t="str">
        <f t="shared" si="2"/>
        <v>sequences,</v>
      </c>
      <c r="Q75" s="49"/>
      <c r="R75" s="50" t="s">
        <v>836</v>
      </c>
      <c r="S75" s="55" t="s">
        <v>184</v>
      </c>
      <c r="T75" s="49" t="str">
        <f>IFERROR(__xludf.DUMMYFUNCTION("""COMPUTED_VALUE"""),"best")</f>
        <v>best</v>
      </c>
      <c r="U75" s="49" t="str">
        <f>IFERROR(__xludf.DUMMYFUNCTION("""COMPUTED_VALUE"""),"represents")</f>
        <v>represents</v>
      </c>
      <c r="V75" s="49" t="str">
        <f>IFERROR(__xludf.DUMMYFUNCTION("""COMPUTED_VALUE"""),"group")</f>
        <v>group</v>
      </c>
      <c r="W75" s="49" t="str">
        <f>IFERROR(__xludf.DUMMYFUNCTION("""COMPUTED_VALUE"""),"earnest")</f>
        <v>earnest</v>
      </c>
      <c r="X75" s="49" t="str">
        <f t="shared" si="3"/>
        <v>car,</v>
      </c>
      <c r="Y75" s="49"/>
      <c r="Z75" s="1" t="s">
        <v>537</v>
      </c>
      <c r="AA75" s="1" t="s">
        <v>638</v>
      </c>
      <c r="AB75" s="49" t="str">
        <f>IFERROR(__xludf.DUMMYFUNCTION("""COMPUTED_VALUE"""),"murder")</f>
        <v>murder</v>
      </c>
      <c r="AC75" s="49" t="str">
        <f>IFERROR(__xludf.DUMMYFUNCTION("""COMPUTED_VALUE"""),"monstrous")</f>
        <v>monstrous</v>
      </c>
      <c r="AD75" s="49" t="str">
        <f>IFERROR(__xludf.DUMMYFUNCTION("""COMPUTED_VALUE"""),"after")</f>
        <v>after</v>
      </c>
      <c r="AE75" s="49" t="str">
        <f>IFERROR(__xludf.DUMMYFUNCTION("""COMPUTED_VALUE"""),"bourne")</f>
        <v>bourne</v>
      </c>
      <c r="AF75" s="49" t="str">
        <f t="shared" si="4"/>
        <v>power,</v>
      </c>
      <c r="AG75" s="49"/>
      <c r="AH75" s="1" t="s">
        <v>3080</v>
      </c>
      <c r="AI75" s="1" t="s">
        <v>6280</v>
      </c>
      <c r="AJ75" s="6" t="str">
        <f>IFERROR(__xludf.DUMMYFUNCTION("""COMPUTED_VALUE"""),"presents")</f>
        <v>presents</v>
      </c>
      <c r="AK75" s="49"/>
      <c r="AL75" s="49" t="str">
        <f>IFERROR(__xludf.DUMMYFUNCTION("""COMPUTED_VALUE"""),"returned")</f>
        <v>returned</v>
      </c>
      <c r="AM75" s="49" t="str">
        <f>IFERROR(__xludf.DUMMYFUNCTION("""COMPUTED_VALUE"""),"commerce")</f>
        <v>commerce</v>
      </c>
      <c r="AN75" s="52" t="str">
        <f t="shared" si="5"/>
        <v>package,</v>
      </c>
    </row>
    <row r="76">
      <c r="A76" s="51" t="s">
        <v>643</v>
      </c>
      <c r="B76" s="50" t="s">
        <v>7253</v>
      </c>
      <c r="C76" s="50" t="s">
        <v>461</v>
      </c>
      <c r="D76" s="49" t="str">
        <f>IFERROR(__xludf.DUMMYFUNCTION("""COMPUTED_VALUE"""),"half")</f>
        <v>half</v>
      </c>
      <c r="E76" s="49"/>
      <c r="F76" s="49" t="str">
        <f>IFERROR(__xludf.DUMMYFUNCTION("""COMPUTED_VALUE"""),"muscle")</f>
        <v>muscle</v>
      </c>
      <c r="G76" s="49" t="str">
        <f>IFERROR(__xludf.DUMMYFUNCTION("""COMPUTED_VALUE"""),"ease")</f>
        <v>ease</v>
      </c>
      <c r="H76" s="54" t="str">
        <f t="shared" si="1"/>
        <v>tech,</v>
      </c>
      <c r="I76" s="50"/>
      <c r="J76" s="50" t="s">
        <v>537</v>
      </c>
      <c r="K76" s="50" t="s">
        <v>276</v>
      </c>
      <c r="L76" s="49" t="str">
        <f>IFERROR(__xludf.DUMMYFUNCTION("""COMPUTED_VALUE"""),"making")</f>
        <v>making</v>
      </c>
      <c r="M76" s="49" t="str">
        <f>IFERROR(__xludf.DUMMYFUNCTION("""COMPUTED_VALUE"""),"penetrating")</f>
        <v>penetrating</v>
      </c>
      <c r="N76" s="49" t="str">
        <f>IFERROR(__xludf.DUMMYFUNCTION("""COMPUTED_VALUE"""),"cuts")</f>
        <v>cuts</v>
      </c>
      <c r="O76" s="49" t="str">
        <f>IFERROR(__xludf.DUMMYFUNCTION("""COMPUTED_VALUE"""),"role")</f>
        <v>role</v>
      </c>
      <c r="P76" s="49" t="str">
        <f t="shared" si="2"/>
        <v>power,</v>
      </c>
      <c r="Q76" s="49"/>
      <c r="R76" s="50" t="s">
        <v>474</v>
      </c>
      <c r="S76" s="55" t="s">
        <v>466</v>
      </c>
      <c r="T76" s="49" t="str">
        <f>IFERROR(__xludf.DUMMYFUNCTION("""COMPUTED_VALUE"""),"beat")</f>
        <v>beat</v>
      </c>
      <c r="U76" s="49" t="str">
        <f>IFERROR(__xludf.DUMMYFUNCTION("""COMPUTED_VALUE"""),"exploitation")</f>
        <v>exploitation</v>
      </c>
      <c r="V76" s="49" t="str">
        <f>IFERROR(__xludf.DUMMYFUNCTION("""COMPUTED_VALUE"""),"attention")</f>
        <v>attention</v>
      </c>
      <c r="W76" s="49" t="str">
        <f>IFERROR(__xludf.DUMMYFUNCTION("""COMPUTED_VALUE"""),"endure")</f>
        <v>endure</v>
      </c>
      <c r="X76" s="49" t="str">
        <f t="shared" si="3"/>
        <v>tale,</v>
      </c>
      <c r="Y76" s="49"/>
      <c r="Z76" s="1" t="s">
        <v>437</v>
      </c>
      <c r="AA76" s="1" t="s">
        <v>141</v>
      </c>
      <c r="AB76" s="49" t="str">
        <f>IFERROR(__xludf.DUMMYFUNCTION("""COMPUTED_VALUE"""),"hugh")</f>
        <v>hugh</v>
      </c>
      <c r="AC76" s="49" t="str">
        <f>IFERROR(__xludf.DUMMYFUNCTION("""COMPUTED_VALUE"""),"creates")</f>
        <v>creates</v>
      </c>
      <c r="AD76" s="49" t="str">
        <f>IFERROR(__xludf.DUMMYFUNCTION("""COMPUTED_VALUE"""),"cuts")</f>
        <v>cuts</v>
      </c>
      <c r="AE76" s="49" t="str">
        <f>IFERROR(__xludf.DUMMYFUNCTION("""COMPUTED_VALUE"""),"role")</f>
        <v>role</v>
      </c>
      <c r="AF76" s="49" t="str">
        <f t="shared" si="4"/>
        <v>really,</v>
      </c>
      <c r="AG76" s="49"/>
      <c r="AH76" s="1" t="s">
        <v>2272</v>
      </c>
      <c r="AI76" s="1" t="s">
        <v>3529</v>
      </c>
      <c r="AJ76" s="6" t="str">
        <f>IFERROR(__xludf.DUMMYFUNCTION("""COMPUTED_VALUE"""),")")</f>
        <v>)</v>
      </c>
      <c r="AK76" s="49"/>
      <c r="AL76" s="49" t="str">
        <f>IFERROR(__xludf.DUMMYFUNCTION("""COMPUTED_VALUE"""),"fred")</f>
        <v>fred</v>
      </c>
      <c r="AM76" s="49" t="str">
        <f>IFERROR(__xludf.DUMMYFUNCTION("""COMPUTED_VALUE"""),"steady")</f>
        <v>steady</v>
      </c>
      <c r="AN76" s="52" t="str">
        <f t="shared" si="5"/>
        <v>presents,</v>
      </c>
    </row>
    <row r="77">
      <c r="A77" s="51" t="s">
        <v>648</v>
      </c>
      <c r="B77" s="50" t="s">
        <v>7255</v>
      </c>
      <c r="C77" s="50" t="s">
        <v>211</v>
      </c>
      <c r="D77" s="49" t="str">
        <f>IFERROR(__xludf.DUMMYFUNCTION("""COMPUTED_VALUE"""),"worse")</f>
        <v>worse</v>
      </c>
      <c r="E77" s="49"/>
      <c r="F77" s="49" t="str">
        <f>IFERROR(__xludf.DUMMYFUNCTION("""COMPUTED_VALUE"""),"jazz")</f>
        <v>jazz</v>
      </c>
      <c r="G77" s="49" t="str">
        <f>IFERROR(__xludf.DUMMYFUNCTION("""COMPUTED_VALUE"""),"philadelphia")</f>
        <v>philadelphia</v>
      </c>
      <c r="H77" s="54" t="str">
        <f t="shared" si="1"/>
        <v>virus,</v>
      </c>
      <c r="I77" s="50"/>
      <c r="J77" s="50" t="s">
        <v>1200</v>
      </c>
      <c r="K77" s="50" t="s">
        <v>284</v>
      </c>
      <c r="L77" s="49" t="str">
        <f>IFERROR(__xludf.DUMMYFUNCTION("""COMPUTED_VALUE"""),"murder")</f>
        <v>murder</v>
      </c>
      <c r="M77" s="49" t="str">
        <f>IFERROR(__xludf.DUMMYFUNCTION("""COMPUTED_VALUE"""),"costly")</f>
        <v>costly</v>
      </c>
      <c r="N77" s="49" t="str">
        <f>IFERROR(__xludf.DUMMYFUNCTION("""COMPUTED_VALUE"""),"name")</f>
        <v>name</v>
      </c>
      <c r="O77" s="49" t="str">
        <f>IFERROR(__xludf.DUMMYFUNCTION("""COMPUTED_VALUE"""),"diplomacy")</f>
        <v>diplomacy</v>
      </c>
      <c r="P77" s="49" t="str">
        <f t="shared" si="2"/>
        <v>within,</v>
      </c>
      <c r="Q77" s="49"/>
      <c r="R77" s="50" t="s">
        <v>65</v>
      </c>
      <c r="S77" s="55" t="s">
        <v>445</v>
      </c>
      <c r="T77" s="49" t="str">
        <f>IFERROR(__xludf.DUMMYFUNCTION("""COMPUTED_VALUE"""),"production")</f>
        <v>production</v>
      </c>
      <c r="U77" s="49" t="str">
        <f>IFERROR(__xludf.DUMMYFUNCTION("""COMPUTED_VALUE"""),"triumph")</f>
        <v>triumph</v>
      </c>
      <c r="V77" s="49" t="str">
        <f>IFERROR(__xludf.DUMMYFUNCTION("""COMPUTED_VALUE"""),"daniel")</f>
        <v>daniel</v>
      </c>
      <c r="W77" s="49" t="str">
        <f>IFERROR(__xludf.DUMMYFUNCTION("""COMPUTED_VALUE"""),"generates")</f>
        <v>generates</v>
      </c>
      <c r="X77" s="49" t="str">
        <f t="shared" si="3"/>
        <v>up,</v>
      </c>
      <c r="Y77" s="49"/>
      <c r="Z77" s="1" t="s">
        <v>6670</v>
      </c>
      <c r="AA77" s="1" t="s">
        <v>105</v>
      </c>
      <c r="AB77" s="49" t="str">
        <f>IFERROR(__xludf.DUMMYFUNCTION("""COMPUTED_VALUE"""),"grant")</f>
        <v>grant</v>
      </c>
      <c r="AC77" s="49" t="str">
        <f>IFERROR(__xludf.DUMMYFUNCTION("""COMPUTED_VALUE"""),"establishes")</f>
        <v>establishes</v>
      </c>
      <c r="AD77" s="49" t="str">
        <f>IFERROR(__xludf.DUMMYFUNCTION("""COMPUTED_VALUE"""),"name")</f>
        <v>name</v>
      </c>
      <c r="AE77" s="49" t="str">
        <f>IFERROR(__xludf.DUMMYFUNCTION("""COMPUTED_VALUE"""),"diplomacy")</f>
        <v>diplomacy</v>
      </c>
      <c r="AF77" s="49" t="str">
        <f t="shared" si="4"/>
        <v>quick,</v>
      </c>
      <c r="AG77" s="49"/>
      <c r="AH77" s="1" t="s">
        <v>6319</v>
      </c>
      <c r="AI77" s="1" t="s">
        <v>319</v>
      </c>
      <c r="AJ77" s="6" t="str">
        <f>IFERROR(__xludf.DUMMYFUNCTION("""COMPUTED_VALUE"""),"t")</f>
        <v>t</v>
      </c>
      <c r="AK77" s="49"/>
      <c r="AL77" s="49" t="str">
        <f>IFERROR(__xludf.DUMMYFUNCTION("""COMPUTED_VALUE"""),"pedro")</f>
        <v>pedro</v>
      </c>
      <c r="AM77" s="49" t="str">
        <f>IFERROR(__xludf.DUMMYFUNCTION("""COMPUTED_VALUE"""),"struggled")</f>
        <v>struggled</v>
      </c>
      <c r="AN77" s="52" t="str">
        <f t="shared" si="5"/>
        <v>),</v>
      </c>
    </row>
    <row r="78">
      <c r="A78" s="51" t="s">
        <v>655</v>
      </c>
      <c r="B78" s="50" t="s">
        <v>4329</v>
      </c>
      <c r="C78" s="50" t="s">
        <v>679</v>
      </c>
      <c r="D78" s="49" t="str">
        <f>IFERROR(__xludf.DUMMYFUNCTION("""COMPUTED_VALUE"""),"world")</f>
        <v>world</v>
      </c>
      <c r="E78" s="49"/>
      <c r="F78" s="49" t="str">
        <f>IFERROR(__xludf.DUMMYFUNCTION("""COMPUTED_VALUE"""),"demo")</f>
        <v>demo</v>
      </c>
      <c r="G78" s="49" t="str">
        <f>IFERROR(__xludf.DUMMYFUNCTION("""COMPUTED_VALUE"""),"zealand")</f>
        <v>zealand</v>
      </c>
      <c r="H78" s="54" t="str">
        <f t="shared" si="1"/>
        <v>substance,</v>
      </c>
      <c r="I78" s="50"/>
      <c r="J78" s="50" t="s">
        <v>139</v>
      </c>
      <c r="K78" s="50" t="s">
        <v>664</v>
      </c>
      <c r="L78" s="49" t="str">
        <f>IFERROR(__xludf.DUMMYFUNCTION("""COMPUTED_VALUE"""),"surface")</f>
        <v>surface</v>
      </c>
      <c r="M78" s="49" t="str">
        <f>IFERROR(__xludf.DUMMYFUNCTION("""COMPUTED_VALUE"""),"propaganda")</f>
        <v>propaganda</v>
      </c>
      <c r="N78" s="49" t="str">
        <f>IFERROR(__xludf.DUMMYFUNCTION("""COMPUTED_VALUE"""),"movies")</f>
        <v>movies</v>
      </c>
      <c r="O78" s="49" t="str">
        <f>IFERROR(__xludf.DUMMYFUNCTION("""COMPUTED_VALUE"""),"generosity")</f>
        <v>generosity</v>
      </c>
      <c r="P78" s="49" t="str">
        <f t="shared" si="2"/>
        <v>time,</v>
      </c>
      <c r="Q78" s="49"/>
      <c r="R78" s="50" t="s">
        <v>1121</v>
      </c>
      <c r="S78" s="55" t="s">
        <v>400</v>
      </c>
      <c r="T78" s="49" t="str">
        <f>IFERROR(__xludf.DUMMYFUNCTION("""COMPUTED_VALUE"""),"cast")</f>
        <v>cast</v>
      </c>
      <c r="U78" s="49" t="str">
        <f>IFERROR(__xludf.DUMMYFUNCTION("""COMPUTED_VALUE"""),"capture")</f>
        <v>capture</v>
      </c>
      <c r="V78" s="49" t="str">
        <f>IFERROR(__xludf.DUMMYFUNCTION("""COMPUTED_VALUE"""),"around")</f>
        <v>around</v>
      </c>
      <c r="W78" s="49" t="str">
        <f>IFERROR(__xludf.DUMMYFUNCTION("""COMPUTED_VALUE"""),"historically")</f>
        <v>historically</v>
      </c>
      <c r="X78" s="49" t="str">
        <f t="shared" si="3"/>
        <v>music,</v>
      </c>
      <c r="Y78" s="49"/>
      <c r="Z78" s="1" t="s">
        <v>89</v>
      </c>
      <c r="AA78" s="1" t="s">
        <v>657</v>
      </c>
      <c r="AB78" s="49" t="str">
        <f>IFERROR(__xludf.DUMMYFUNCTION("""COMPUTED_VALUE"""),"laughs")</f>
        <v>laughs</v>
      </c>
      <c r="AC78" s="49" t="str">
        <f>IFERROR(__xludf.DUMMYFUNCTION("""COMPUTED_VALUE"""),"lavish")</f>
        <v>lavish</v>
      </c>
      <c r="AD78" s="49" t="str">
        <f>IFERROR(__xludf.DUMMYFUNCTION("""COMPUTED_VALUE"""),"movies")</f>
        <v>movies</v>
      </c>
      <c r="AE78" s="49" t="str">
        <f>IFERROR(__xludf.DUMMYFUNCTION("""COMPUTED_VALUE"""),"generosity")</f>
        <v>generosity</v>
      </c>
      <c r="AF78" s="49" t="str">
        <f t="shared" si="4"/>
        <v>no,</v>
      </c>
      <c r="AG78" s="49"/>
      <c r="AH78" s="1" t="s">
        <v>326</v>
      </c>
      <c r="AI78" s="1" t="s">
        <v>443</v>
      </c>
      <c r="AJ78" s="6" t="str">
        <f>IFERROR(__xludf.DUMMYFUNCTION("""COMPUTED_VALUE"""),"was")</f>
        <v>was</v>
      </c>
      <c r="AK78" s="49"/>
      <c r="AL78" s="49" t="str">
        <f>IFERROR(__xludf.DUMMYFUNCTION("""COMPUTED_VALUE"""),"kim")</f>
        <v>kim</v>
      </c>
      <c r="AM78" s="49" t="str">
        <f>IFERROR(__xludf.DUMMYFUNCTION("""COMPUTED_VALUE"""),"rhythm")</f>
        <v>rhythm</v>
      </c>
      <c r="AN78" s="52" t="str">
        <f t="shared" si="5"/>
        <v>t,</v>
      </c>
    </row>
    <row r="79">
      <c r="A79" s="51" t="s">
        <v>665</v>
      </c>
      <c r="B79" s="50" t="s">
        <v>517</v>
      </c>
      <c r="C79" s="50" t="s">
        <v>233</v>
      </c>
      <c r="D79" s="49" t="str">
        <f>IFERROR(__xludf.DUMMYFUNCTION("""COMPUTED_VALUE"""),"cinema")</f>
        <v>cinema</v>
      </c>
      <c r="E79" s="49"/>
      <c r="F79" s="49" t="str">
        <f>IFERROR(__xludf.DUMMYFUNCTION("""COMPUTED_VALUE"""),"bus")</f>
        <v>bus</v>
      </c>
      <c r="G79" s="49" t="str">
        <f>IFERROR(__xludf.DUMMYFUNCTION("""COMPUTED_VALUE"""),"deemed")</f>
        <v>deemed</v>
      </c>
      <c r="H79" s="54" t="str">
        <f t="shared" si="1"/>
        <v>sequences,</v>
      </c>
      <c r="I79" s="50"/>
      <c r="J79" s="50" t="s">
        <v>191</v>
      </c>
      <c r="K79" s="50" t="s">
        <v>520</v>
      </c>
      <c r="L79" s="49" t="str">
        <f>IFERROR(__xludf.DUMMYFUNCTION("""COMPUTED_VALUE"""),"were")</f>
        <v>were</v>
      </c>
      <c r="M79" s="49" t="str">
        <f>IFERROR(__xludf.DUMMYFUNCTION("""COMPUTED_VALUE"""),"misery")</f>
        <v>misery</v>
      </c>
      <c r="N79" s="49" t="str">
        <f>IFERROR(__xludf.DUMMYFUNCTION("""COMPUTED_VALUE"""),"tells")</f>
        <v>tells</v>
      </c>
      <c r="O79" s="49" t="str">
        <f>IFERROR(__xludf.DUMMYFUNCTION("""COMPUTED_VALUE"""),"forgive")</f>
        <v>forgive</v>
      </c>
      <c r="P79" s="49" t="str">
        <f t="shared" si="2"/>
        <v>going,</v>
      </c>
      <c r="Q79" s="49"/>
      <c r="R79" s="50" t="s">
        <v>269</v>
      </c>
      <c r="S79" s="55" t="s">
        <v>194</v>
      </c>
      <c r="T79" s="49" t="str">
        <f>IFERROR(__xludf.DUMMYFUNCTION("""COMPUTED_VALUE"""),"last")</f>
        <v>last</v>
      </c>
      <c r="U79" s="49" t="str">
        <f>IFERROR(__xludf.DUMMYFUNCTION("""COMPUTED_VALUE"""),"penetrating")</f>
        <v>penetrating</v>
      </c>
      <c r="V79" s="49" t="str">
        <f>IFERROR(__xludf.DUMMYFUNCTION("""COMPUTED_VALUE"""),"dancing")</f>
        <v>dancing</v>
      </c>
      <c r="W79" s="49" t="str">
        <f>IFERROR(__xludf.DUMMYFUNCTION("""COMPUTED_VALUE"""),"appear")</f>
        <v>appear</v>
      </c>
      <c r="X79" s="49" t="str">
        <f t="shared" si="3"/>
        <v>are,</v>
      </c>
      <c r="Y79" s="49"/>
      <c r="Z79" s="1" t="s">
        <v>664</v>
      </c>
      <c r="AA79" s="1" t="s">
        <v>229</v>
      </c>
      <c r="AB79" s="49" t="str">
        <f>IFERROR(__xludf.DUMMYFUNCTION("""COMPUTED_VALUE"""),"long")</f>
        <v>long</v>
      </c>
      <c r="AC79" s="49" t="str">
        <f>IFERROR(__xludf.DUMMYFUNCTION("""COMPUTED_VALUE"""),"sympathetic")</f>
        <v>sympathetic</v>
      </c>
      <c r="AD79" s="49" t="str">
        <f>IFERROR(__xludf.DUMMYFUNCTION("""COMPUTED_VALUE"""),"tells")</f>
        <v>tells</v>
      </c>
      <c r="AE79" s="49" t="str">
        <f>IFERROR(__xludf.DUMMYFUNCTION("""COMPUTED_VALUE"""),"forgive")</f>
        <v>forgive</v>
      </c>
      <c r="AF79" s="49" t="str">
        <f t="shared" si="4"/>
        <v>another,</v>
      </c>
      <c r="AG79" s="49"/>
      <c r="AH79" s="1" t="s">
        <v>469</v>
      </c>
      <c r="AI79" s="1" t="s">
        <v>334</v>
      </c>
      <c r="AJ79" s="6" t="str">
        <f>IFERROR(__xludf.DUMMYFUNCTION("""COMPUTED_VALUE"""),"all")</f>
        <v>all</v>
      </c>
      <c r="AK79" s="49"/>
      <c r="AL79" s="49" t="str">
        <f>IFERROR(__xludf.DUMMYFUNCTION("""COMPUTED_VALUE"""),"size")</f>
        <v>size</v>
      </c>
      <c r="AM79" s="49" t="str">
        <f>IFERROR(__xludf.DUMMYFUNCTION("""COMPUTED_VALUE"""),"elder")</f>
        <v>elder</v>
      </c>
      <c r="AN79" s="52" t="str">
        <f t="shared" si="5"/>
        <v>was,</v>
      </c>
    </row>
    <row r="80">
      <c r="A80" s="51" t="s">
        <v>674</v>
      </c>
      <c r="B80" s="50" t="s">
        <v>379</v>
      </c>
      <c r="C80" s="50" t="s">
        <v>532</v>
      </c>
      <c r="D80" s="49" t="str">
        <f>IFERROR(__xludf.DUMMYFUNCTION("""COMPUTED_VALUE"""),"good")</f>
        <v>good</v>
      </c>
      <c r="E80" s="49"/>
      <c r="F80" s="49" t="str">
        <f>IFERROR(__xludf.DUMMYFUNCTION("""COMPUTED_VALUE"""),"fa")</f>
        <v>fa</v>
      </c>
      <c r="G80" s="49" t="str">
        <f>IFERROR(__xludf.DUMMYFUNCTION("""COMPUTED_VALUE"""),"grey")</f>
        <v>grey</v>
      </c>
      <c r="H80" s="54" t="str">
        <f t="shared" si="1"/>
        <v>three,</v>
      </c>
      <c r="I80" s="50"/>
      <c r="J80" s="50" t="s">
        <v>282</v>
      </c>
      <c r="K80" s="50" t="s">
        <v>74</v>
      </c>
      <c r="L80" s="49" t="str">
        <f>IFERROR(__xludf.DUMMYFUNCTION("""COMPUTED_VALUE"""),"me")</f>
        <v>me</v>
      </c>
      <c r="M80" s="49" t="str">
        <f>IFERROR(__xludf.DUMMYFUNCTION("""COMPUTED_VALUE"""),"pity")</f>
        <v>pity</v>
      </c>
      <c r="N80" s="49" t="str">
        <f>IFERROR(__xludf.DUMMYFUNCTION("""COMPUTED_VALUE"""),"gets")</f>
        <v>gets</v>
      </c>
      <c r="O80" s="49" t="str">
        <f>IFERROR(__xludf.DUMMYFUNCTION("""COMPUTED_VALUE"""),"tool")</f>
        <v>tool</v>
      </c>
      <c r="P80" s="49" t="str">
        <f t="shared" si="2"/>
        <v>still,</v>
      </c>
      <c r="Q80" s="49"/>
      <c r="R80" s="50" t="s">
        <v>6235</v>
      </c>
      <c r="S80" s="55" t="s">
        <v>156</v>
      </c>
      <c r="T80" s="49" t="str">
        <f>IFERROR(__xludf.DUMMYFUNCTION("""COMPUTED_VALUE"""),"be")</f>
        <v>be</v>
      </c>
      <c r="U80" s="49" t="str">
        <f>IFERROR(__xludf.DUMMYFUNCTION("""COMPUTED_VALUE"""),"fascination")</f>
        <v>fascination</v>
      </c>
      <c r="V80" s="49" t="str">
        <f>IFERROR(__xludf.DUMMYFUNCTION("""COMPUTED_VALUE"""),"full")</f>
        <v>full</v>
      </c>
      <c r="W80" s="49" t="str">
        <f>IFERROR(__xludf.DUMMYFUNCTION("""COMPUTED_VALUE"""),"first")</f>
        <v>first</v>
      </c>
      <c r="X80" s="49" t="str">
        <f t="shared" si="3"/>
        <v>not,</v>
      </c>
      <c r="Y80" s="49"/>
      <c r="Z80" s="1" t="s">
        <v>1200</v>
      </c>
      <c r="AA80" s="1" t="s">
        <v>150</v>
      </c>
      <c r="AB80" s="49" t="str">
        <f>IFERROR(__xludf.DUMMYFUNCTION("""COMPUTED_VALUE"""),"adam")</f>
        <v>adam</v>
      </c>
      <c r="AC80" s="49" t="str">
        <f>IFERROR(__xludf.DUMMYFUNCTION("""COMPUTED_VALUE"""),"clarity")</f>
        <v>clarity</v>
      </c>
      <c r="AD80" s="49" t="str">
        <f>IFERROR(__xludf.DUMMYFUNCTION("""COMPUTED_VALUE"""),"gets")</f>
        <v>gets</v>
      </c>
      <c r="AE80" s="49" t="str">
        <f>IFERROR(__xludf.DUMMYFUNCTION("""COMPUTED_VALUE"""),"tool")</f>
        <v>tool</v>
      </c>
      <c r="AF80" s="49" t="str">
        <f t="shared" si="4"/>
        <v>within,</v>
      </c>
      <c r="AG80" s="49"/>
      <c r="AH80" s="1" t="s">
        <v>575</v>
      </c>
      <c r="AI80" s="1" t="s">
        <v>469</v>
      </c>
      <c r="AJ80" s="6" t="str">
        <f>IFERROR(__xludf.DUMMYFUNCTION("""COMPUTED_VALUE"""),"when")</f>
        <v>when</v>
      </c>
      <c r="AK80" s="49"/>
      <c r="AL80" s="49" t="str">
        <f>IFERROR(__xludf.DUMMYFUNCTION("""COMPUTED_VALUE"""),"signing")</f>
        <v>signing</v>
      </c>
      <c r="AM80" s="49" t="str">
        <f>IFERROR(__xludf.DUMMYFUNCTION("""COMPUTED_VALUE"""),"chamber")</f>
        <v>chamber</v>
      </c>
      <c r="AN80" s="52" t="str">
        <f t="shared" si="5"/>
        <v>all,</v>
      </c>
    </row>
    <row r="81">
      <c r="A81" s="51" t="s">
        <v>678</v>
      </c>
      <c r="B81" s="50" t="s">
        <v>1094</v>
      </c>
      <c r="C81" s="50" t="s">
        <v>559</v>
      </c>
      <c r="D81" s="49" t="str">
        <f>IFERROR(__xludf.DUMMYFUNCTION("""COMPUTED_VALUE"""),"alternative")</f>
        <v>alternative</v>
      </c>
      <c r="E81" s="49"/>
      <c r="F81" s="49" t="str">
        <f>IFERROR(__xludf.DUMMYFUNCTION("""COMPUTED_VALUE"""),"phil")</f>
        <v>phil</v>
      </c>
      <c r="G81" s="49" t="str">
        <f>IFERROR(__xludf.DUMMYFUNCTION("""COMPUTED_VALUE"""),"meat")</f>
        <v>meat</v>
      </c>
      <c r="H81" s="54" t="str">
        <f t="shared" si="1"/>
        <v>name,</v>
      </c>
      <c r="I81" s="50"/>
      <c r="J81" s="50" t="s">
        <v>4423</v>
      </c>
      <c r="K81" s="50" t="s">
        <v>66</v>
      </c>
      <c r="L81" s="49" t="str">
        <f>IFERROR(__xludf.DUMMYFUNCTION("""COMPUTED_VALUE"""),"hugh")</f>
        <v>hugh</v>
      </c>
      <c r="M81" s="49" t="str">
        <f>IFERROR(__xludf.DUMMYFUNCTION("""COMPUTED_VALUE"""),"wears")</f>
        <v>wears</v>
      </c>
      <c r="N81" s="49" t="str">
        <f>IFERROR(__xludf.DUMMYFUNCTION("""COMPUTED_VALUE"""),"things")</f>
        <v>things</v>
      </c>
      <c r="O81" s="49" t="str">
        <f>IFERROR(__xludf.DUMMYFUNCTION("""COMPUTED_VALUE"""),"serves")</f>
        <v>serves</v>
      </c>
      <c r="P81" s="49" t="str">
        <f t="shared" si="2"/>
        <v>ship,</v>
      </c>
      <c r="Q81" s="49"/>
      <c r="R81" s="50" t="s">
        <v>538</v>
      </c>
      <c r="S81" s="55" t="s">
        <v>410</v>
      </c>
      <c r="T81" s="49" t="str">
        <f>IFERROR(__xludf.DUMMYFUNCTION("""COMPUTED_VALUE"""),"only")</f>
        <v>only</v>
      </c>
      <c r="U81" s="49" t="str">
        <f>IFERROR(__xludf.DUMMYFUNCTION("""COMPUTED_VALUE"""),"costly")</f>
        <v>costly</v>
      </c>
      <c r="V81" s="49" t="str">
        <f>IFERROR(__xludf.DUMMYFUNCTION("""COMPUTED_VALUE"""),"member")</f>
        <v>member</v>
      </c>
      <c r="W81" s="49" t="str">
        <f>IFERROR(__xludf.DUMMYFUNCTION("""COMPUTED_VALUE"""),"throw")</f>
        <v>throw</v>
      </c>
      <c r="X81" s="49" t="str">
        <f t="shared" si="3"/>
        <v>so,</v>
      </c>
      <c r="Y81" s="49"/>
      <c r="Z81" s="1" t="s">
        <v>198</v>
      </c>
      <c r="AA81" s="1" t="s">
        <v>95</v>
      </c>
      <c r="AB81" s="49" t="str">
        <f>IFERROR(__xludf.DUMMYFUNCTION("""COMPUTED_VALUE"""),"eye")</f>
        <v>eye</v>
      </c>
      <c r="AC81" s="49" t="str">
        <f>IFERROR(__xludf.DUMMYFUNCTION("""COMPUTED_VALUE"""),"chuckle")</f>
        <v>chuckle</v>
      </c>
      <c r="AD81" s="49" t="str">
        <f>IFERROR(__xludf.DUMMYFUNCTION("""COMPUTED_VALUE"""),"things")</f>
        <v>things</v>
      </c>
      <c r="AE81" s="49" t="str">
        <f>IFERROR(__xludf.DUMMYFUNCTION("""COMPUTED_VALUE"""),"serves")</f>
        <v>serves</v>
      </c>
      <c r="AF81" s="49" t="str">
        <f t="shared" si="4"/>
        <v>comes,</v>
      </c>
      <c r="AG81" s="49"/>
      <c r="AH81" s="1" t="s">
        <v>809</v>
      </c>
      <c r="AI81" s="1" t="s">
        <v>101</v>
      </c>
      <c r="AJ81" s="6" t="str">
        <f>IFERROR(__xludf.DUMMYFUNCTION("""COMPUTED_VALUE"""),"there")</f>
        <v>there</v>
      </c>
      <c r="AK81" s="49"/>
      <c r="AL81" s="49" t="str">
        <f>IFERROR(__xludf.DUMMYFUNCTION("""COMPUTED_VALUE"""),"teams")</f>
        <v>teams</v>
      </c>
      <c r="AM81" s="49" t="str">
        <f>IFERROR(__xludf.DUMMYFUNCTION("""COMPUTED_VALUE"""),"shorter")</f>
        <v>shorter</v>
      </c>
      <c r="AN81" s="52" t="str">
        <f t="shared" si="5"/>
        <v>when,</v>
      </c>
    </row>
    <row r="82">
      <c r="A82" s="51" t="s">
        <v>685</v>
      </c>
      <c r="B82" s="50" t="s">
        <v>290</v>
      </c>
      <c r="C82" s="50" t="s">
        <v>568</v>
      </c>
      <c r="D82" s="49" t="str">
        <f>IFERROR(__xludf.DUMMYFUNCTION("""COMPUTED_VALUE"""),"nothing")</f>
        <v>nothing</v>
      </c>
      <c r="E82" s="49"/>
      <c r="F82" s="49" t="str">
        <f>IFERROR(__xludf.DUMMYFUNCTION("""COMPUTED_VALUE"""),"sarah")</f>
        <v>sarah</v>
      </c>
      <c r="G82" s="49" t="str">
        <f>IFERROR(__xludf.DUMMYFUNCTION("""COMPUTED_VALUE"""),"hungry")</f>
        <v>hungry</v>
      </c>
      <c r="H82" s="54" t="str">
        <f t="shared" si="1"/>
        <v>much,</v>
      </c>
      <c r="I82" s="50"/>
      <c r="J82" s="50" t="s">
        <v>132</v>
      </c>
      <c r="K82" s="50" t="s">
        <v>544</v>
      </c>
      <c r="L82" s="49" t="str">
        <f>IFERROR(__xludf.DUMMYFUNCTION("""COMPUTED_VALUE"""),"eye")</f>
        <v>eye</v>
      </c>
      <c r="M82" s="49" t="str">
        <f>IFERROR(__xludf.DUMMYFUNCTION("""COMPUTED_VALUE"""),"sly")</f>
        <v>sly</v>
      </c>
      <c r="N82" s="49" t="str">
        <f>IFERROR(__xludf.DUMMYFUNCTION("""COMPUTED_VALUE"""),"squad")</f>
        <v>squad</v>
      </c>
      <c r="O82" s="49" t="str">
        <f>IFERROR(__xludf.DUMMYFUNCTION("""COMPUTED_VALUE"""),"learning")</f>
        <v>learning</v>
      </c>
      <c r="P82" s="49" t="str">
        <f t="shared" si="2"/>
        <v>story,</v>
      </c>
      <c r="Q82" s="49"/>
      <c r="R82" s="50" t="s">
        <v>400</v>
      </c>
      <c r="S82" s="55" t="s">
        <v>75</v>
      </c>
      <c r="T82" s="49" t="str">
        <f>IFERROR(__xludf.DUMMYFUNCTION("""COMPUTED_VALUE"""),"piece")</f>
        <v>piece</v>
      </c>
      <c r="U82" s="49" t="str">
        <f>IFERROR(__xludf.DUMMYFUNCTION("""COMPUTED_VALUE"""),"directorial")</f>
        <v>directorial</v>
      </c>
      <c r="V82" s="49" t="str">
        <f>IFERROR(__xludf.DUMMYFUNCTION("""COMPUTED_VALUE"""),"cell")</f>
        <v>cell</v>
      </c>
      <c r="W82" s="49" t="str">
        <f>IFERROR(__xludf.DUMMYFUNCTION("""COMPUTED_VALUE"""),"actors")</f>
        <v>actors</v>
      </c>
      <c r="X82" s="49" t="str">
        <f t="shared" si="3"/>
        <v>by,</v>
      </c>
      <c r="Y82" s="49"/>
      <c r="Z82" s="1" t="s">
        <v>4464</v>
      </c>
      <c r="AA82" s="1" t="s">
        <v>687</v>
      </c>
      <c r="AB82" s="49" t="str">
        <f>IFERROR(__xludf.DUMMYFUNCTION("""COMPUTED_VALUE"""),"too")</f>
        <v>too</v>
      </c>
      <c r="AC82" s="49" t="str">
        <f>IFERROR(__xludf.DUMMYFUNCTION("""COMPUTED_VALUE"""),"precisely")</f>
        <v>precisely</v>
      </c>
      <c r="AD82" s="49" t="str">
        <f>IFERROR(__xludf.DUMMYFUNCTION("""COMPUTED_VALUE"""),"squad")</f>
        <v>squad</v>
      </c>
      <c r="AE82" s="49" t="str">
        <f>IFERROR(__xludf.DUMMYFUNCTION("""COMPUTED_VALUE"""),"learning")</f>
        <v>learning</v>
      </c>
      <c r="AF82" s="49" t="str">
        <f t="shared" si="4"/>
        <v>happy,</v>
      </c>
      <c r="AG82" s="49"/>
      <c r="AH82" s="1" t="s">
        <v>2517</v>
      </c>
      <c r="AI82" s="1" t="s">
        <v>328</v>
      </c>
      <c r="AJ82" s="6" t="str">
        <f>IFERROR(__xludf.DUMMYFUNCTION("""COMPUTED_VALUE"""),"time")</f>
        <v>time</v>
      </c>
      <c r="AK82" s="49"/>
      <c r="AL82" s="49" t="str">
        <f>IFERROR(__xludf.DUMMYFUNCTION("""COMPUTED_VALUE"""),"mini")</f>
        <v>mini</v>
      </c>
      <c r="AM82" s="49" t="str">
        <f>IFERROR(__xludf.DUMMYFUNCTION("""COMPUTED_VALUE"""),"pit")</f>
        <v>pit</v>
      </c>
      <c r="AN82" s="52" t="str">
        <f t="shared" si="5"/>
        <v>there,</v>
      </c>
    </row>
    <row r="83">
      <c r="A83" s="51" t="s">
        <v>692</v>
      </c>
      <c r="B83" s="50" t="s">
        <v>500</v>
      </c>
      <c r="C83" s="50" t="s">
        <v>218</v>
      </c>
      <c r="D83" s="49" t="str">
        <f>IFERROR(__xludf.DUMMYFUNCTION("""COMPUTED_VALUE"""),"start")</f>
        <v>start</v>
      </c>
      <c r="E83" s="49"/>
      <c r="F83" s="49" t="str">
        <f>IFERROR(__xludf.DUMMYFUNCTION("""COMPUTED_VALUE"""),"ted")</f>
        <v>ted</v>
      </c>
      <c r="G83" s="49" t="str">
        <f>IFERROR(__xludf.DUMMYFUNCTION("""COMPUTED_VALUE"""),"cattle")</f>
        <v>cattle</v>
      </c>
      <c r="H83" s="54" t="str">
        <f t="shared" si="1"/>
        <v>however,</v>
      </c>
      <c r="I83" s="50"/>
      <c r="J83" s="50" t="s">
        <v>43</v>
      </c>
      <c r="K83" s="50" t="s">
        <v>700</v>
      </c>
      <c r="L83" s="49" t="str">
        <f>IFERROR(__xludf.DUMMYFUNCTION("""COMPUTED_VALUE"""),"grant")</f>
        <v>grant</v>
      </c>
      <c r="M83" s="49" t="str">
        <f>IFERROR(__xludf.DUMMYFUNCTION("""COMPUTED_VALUE"""),"arbitrary")</f>
        <v>arbitrary</v>
      </c>
      <c r="N83" s="49" t="str">
        <f>IFERROR(__xludf.DUMMYFUNCTION("""COMPUTED_VALUE"""),"make")</f>
        <v>make</v>
      </c>
      <c r="O83" s="49" t="str">
        <f>IFERROR(__xludf.DUMMYFUNCTION("""COMPUTED_VALUE"""),"effective")</f>
        <v>effective</v>
      </c>
      <c r="P83" s="49" t="str">
        <f t="shared" si="2"/>
        <v>like,</v>
      </c>
      <c r="Q83" s="49"/>
      <c r="R83" s="50" t="s">
        <v>1094</v>
      </c>
      <c r="S83" s="55" t="s">
        <v>44</v>
      </c>
      <c r="T83" s="49" t="str">
        <f>IFERROR(__xludf.DUMMYFUNCTION("""COMPUTED_VALUE"""),"mother")</f>
        <v>mother</v>
      </c>
      <c r="U83" s="49" t="str">
        <f>IFERROR(__xludf.DUMMYFUNCTION("""COMPUTED_VALUE"""),"wears")</f>
        <v>wears</v>
      </c>
      <c r="V83" s="49" t="str">
        <f>IFERROR(__xludf.DUMMYFUNCTION("""COMPUTED_VALUE"""),"easily")</f>
        <v>easily</v>
      </c>
      <c r="W83" s="49" t="str">
        <f>IFERROR(__xludf.DUMMYFUNCTION("""COMPUTED_VALUE"""),"reaction")</f>
        <v>reaction</v>
      </c>
      <c r="X83" s="49" t="str">
        <f t="shared" si="3"/>
        <v>name,</v>
      </c>
      <c r="Y83" s="49"/>
      <c r="Z83" s="1" t="s">
        <v>4329</v>
      </c>
      <c r="AA83" s="1" t="s">
        <v>694</v>
      </c>
      <c r="AB83" s="49" t="str">
        <f>IFERROR(__xludf.DUMMYFUNCTION("""COMPUTED_VALUE"""),"accurate")</f>
        <v>accurate</v>
      </c>
      <c r="AC83" s="49" t="str">
        <f>IFERROR(__xludf.DUMMYFUNCTION("""COMPUTED_VALUE"""),"jerking")</f>
        <v>jerking</v>
      </c>
      <c r="AD83" s="49" t="str">
        <f>IFERROR(__xludf.DUMMYFUNCTION("""COMPUTED_VALUE"""),"make")</f>
        <v>make</v>
      </c>
      <c r="AE83" s="49" t="str">
        <f>IFERROR(__xludf.DUMMYFUNCTION("""COMPUTED_VALUE"""),"effective")</f>
        <v>effective</v>
      </c>
      <c r="AF83" s="49" t="str">
        <f t="shared" si="4"/>
        <v>substance,</v>
      </c>
      <c r="AG83" s="49"/>
      <c r="AH83" s="1" t="s">
        <v>139</v>
      </c>
      <c r="AI83" s="1" t="s">
        <v>785</v>
      </c>
      <c r="AJ83" s="6" t="str">
        <f>IFERROR(__xludf.DUMMYFUNCTION("""COMPUTED_VALUE"""),"no")</f>
        <v>no</v>
      </c>
      <c r="AK83" s="49"/>
      <c r="AL83" s="49" t="str">
        <f>IFERROR(__xludf.DUMMYFUNCTION("""COMPUTED_VALUE"""),"manual")</f>
        <v>manual</v>
      </c>
      <c r="AM83" s="49" t="str">
        <f>IFERROR(__xludf.DUMMYFUNCTION("""COMPUTED_VALUE"""),"swept")</f>
        <v>swept</v>
      </c>
      <c r="AN83" s="52" t="str">
        <f t="shared" si="5"/>
        <v>time,</v>
      </c>
    </row>
    <row r="84">
      <c r="A84" s="51" t="s">
        <v>701</v>
      </c>
      <c r="B84" s="50" t="s">
        <v>1121</v>
      </c>
      <c r="C84" s="50" t="s">
        <v>239</v>
      </c>
      <c r="D84" s="49" t="str">
        <f>IFERROR(__xludf.DUMMYFUNCTION("""COMPUTED_VALUE"""),"finish")</f>
        <v>finish</v>
      </c>
      <c r="E84" s="49"/>
      <c r="F84" s="49" t="str">
        <f>IFERROR(__xludf.DUMMYFUNCTION("""COMPUTED_VALUE"""),"link")</f>
        <v>link</v>
      </c>
      <c r="G84" s="49" t="str">
        <f>IFERROR(__xludf.DUMMYFUNCTION("""COMPUTED_VALUE"""),"tier")</f>
        <v>tier</v>
      </c>
      <c r="H84" s="54" t="str">
        <f t="shared" si="1"/>
        <v>music,</v>
      </c>
      <c r="I84" s="50"/>
      <c r="J84" s="50" t="s">
        <v>664</v>
      </c>
      <c r="K84" s="50" t="s">
        <v>122</v>
      </c>
      <c r="L84" s="49" t="str">
        <f>IFERROR(__xludf.DUMMYFUNCTION("""COMPUTED_VALUE"""),"hand")</f>
        <v>hand</v>
      </c>
      <c r="M84" s="49" t="str">
        <f>IFERROR(__xludf.DUMMYFUNCTION("""COMPUTED_VALUE"""),"riot")</f>
        <v>riot</v>
      </c>
      <c r="N84" s="49" t="str">
        <f>IFERROR(__xludf.DUMMYFUNCTION("""COMPUTED_VALUE"""),"stuff")</f>
        <v>stuff</v>
      </c>
      <c r="O84" s="49" t="str">
        <f>IFERROR(__xludf.DUMMYFUNCTION("""COMPUTED_VALUE"""),"conquer")</f>
        <v>conquer</v>
      </c>
      <c r="P84" s="49" t="str">
        <f t="shared" si="2"/>
        <v>another,</v>
      </c>
      <c r="Q84" s="49"/>
      <c r="R84" s="50" t="s">
        <v>554</v>
      </c>
      <c r="S84" s="55" t="s">
        <v>85</v>
      </c>
      <c r="T84" s="49" t="str">
        <f>IFERROR(__xludf.DUMMYFUNCTION("""COMPUTED_VALUE"""),"part")</f>
        <v>part</v>
      </c>
      <c r="U84" s="49" t="str">
        <f>IFERROR(__xludf.DUMMYFUNCTION("""COMPUTED_VALUE"""),"assurance")</f>
        <v>assurance</v>
      </c>
      <c r="V84" s="49" t="str">
        <f>IFERROR(__xludf.DUMMYFUNCTION("""COMPUTED_VALUE"""),"solar")</f>
        <v>solar</v>
      </c>
      <c r="W84" s="49" t="str">
        <f>IFERROR(__xludf.DUMMYFUNCTION("""COMPUTED_VALUE"""),"continuum")</f>
        <v>continuum</v>
      </c>
      <c r="X84" s="49" t="str">
        <f t="shared" si="3"/>
        <v>seem,</v>
      </c>
      <c r="Y84" s="49"/>
      <c r="Z84" s="1" t="s">
        <v>2517</v>
      </c>
      <c r="AA84" s="1" t="s">
        <v>125</v>
      </c>
      <c r="AB84" s="49" t="str">
        <f>IFERROR(__xludf.DUMMYFUNCTION("""COMPUTED_VALUE"""),"actor")</f>
        <v>actor</v>
      </c>
      <c r="AC84" s="49" t="str">
        <f>IFERROR(__xludf.DUMMYFUNCTION("""COMPUTED_VALUE"""),"harmless")</f>
        <v>harmless</v>
      </c>
      <c r="AD84" s="49" t="str">
        <f>IFERROR(__xludf.DUMMYFUNCTION("""COMPUTED_VALUE"""),"stuff")</f>
        <v>stuff</v>
      </c>
      <c r="AE84" s="49" t="str">
        <f>IFERROR(__xludf.DUMMYFUNCTION("""COMPUTED_VALUE"""),"conquer")</f>
        <v>conquer</v>
      </c>
      <c r="AF84" s="49" t="str">
        <f t="shared" si="4"/>
        <v>there,</v>
      </c>
      <c r="AG84" s="49"/>
      <c r="AH84" s="1" t="s">
        <v>89</v>
      </c>
      <c r="AI84" s="1" t="s">
        <v>337</v>
      </c>
      <c r="AJ84" s="6" t="str">
        <f>IFERROR(__xludf.DUMMYFUNCTION("""COMPUTED_VALUE"""),"we")</f>
        <v>we</v>
      </c>
      <c r="AK84" s="49"/>
      <c r="AL84" s="49" t="str">
        <f>IFERROR(__xludf.DUMMYFUNCTION("""COMPUTED_VALUE"""),"clothing")</f>
        <v>clothing</v>
      </c>
      <c r="AM84" s="49">
        <f>IFERROR(__xludf.DUMMYFUNCTION("""COMPUTED_VALUE"""),86.0)</f>
        <v>86</v>
      </c>
      <c r="AN84" s="52" t="str">
        <f t="shared" si="5"/>
        <v>no,</v>
      </c>
    </row>
    <row r="85">
      <c r="A85" s="51" t="s">
        <v>706</v>
      </c>
      <c r="B85" s="50" t="s">
        <v>1056</v>
      </c>
      <c r="C85" s="50" t="s">
        <v>581</v>
      </c>
      <c r="D85" s="49" t="str">
        <f>IFERROR(__xludf.DUMMYFUNCTION("""COMPUTED_VALUE"""),"plot")</f>
        <v>plot</v>
      </c>
      <c r="E85" s="49"/>
      <c r="F85" s="49" t="str">
        <f>IFERROR(__xludf.DUMMYFUNCTION("""COMPUTED_VALUE"""),"un")</f>
        <v>un</v>
      </c>
      <c r="G85" s="49" t="str">
        <f>IFERROR(__xludf.DUMMYFUNCTION("""COMPUTED_VALUE"""),"indoor")</f>
        <v>indoor</v>
      </c>
      <c r="H85" s="54" t="str">
        <f t="shared" si="1"/>
        <v>make,</v>
      </c>
      <c r="I85" s="50"/>
      <c r="J85" s="50" t="s">
        <v>4464</v>
      </c>
      <c r="K85" s="50" t="s">
        <v>310</v>
      </c>
      <c r="L85" s="49" t="str">
        <f>IFERROR(__xludf.DUMMYFUNCTION("""COMPUTED_VALUE"""),"smiles")</f>
        <v>smiles</v>
      </c>
      <c r="M85" s="49" t="str">
        <f>IFERROR(__xludf.DUMMYFUNCTION("""COMPUTED_VALUE"""),"loosely")</f>
        <v>loosely</v>
      </c>
      <c r="N85" s="49" t="str">
        <f>IFERROR(__xludf.DUMMYFUNCTION("""COMPUTED_VALUE"""),"only")</f>
        <v>only</v>
      </c>
      <c r="O85" s="49" t="str">
        <f>IFERROR(__xludf.DUMMYFUNCTION("""COMPUTED_VALUE"""),"business")</f>
        <v>business</v>
      </c>
      <c r="P85" s="49" t="str">
        <f t="shared" si="2"/>
        <v>happy,</v>
      </c>
      <c r="Q85" s="49"/>
      <c r="R85" s="50" t="s">
        <v>6318</v>
      </c>
      <c r="S85" s="55" t="s">
        <v>1704</v>
      </c>
      <c r="T85" s="49" t="str">
        <f>IFERROR(__xludf.DUMMYFUNCTION("""COMPUTED_VALUE"""),"re")</f>
        <v>re</v>
      </c>
      <c r="U85" s="49" t="str">
        <f>IFERROR(__xludf.DUMMYFUNCTION("""COMPUTED_VALUE"""),"sly")</f>
        <v>sly</v>
      </c>
      <c r="V85" s="49" t="str">
        <f>IFERROR(__xludf.DUMMYFUNCTION("""COMPUTED_VALUE"""),"method")</f>
        <v>method</v>
      </c>
      <c r="W85" s="49" t="str">
        <f>IFERROR(__xludf.DUMMYFUNCTION("""COMPUTED_VALUE"""),"terrific")</f>
        <v>terrific</v>
      </c>
      <c r="X85" s="49" t="str">
        <f t="shared" si="3"/>
        <v>under,</v>
      </c>
      <c r="Y85" s="49"/>
      <c r="Z85" s="1" t="s">
        <v>132</v>
      </c>
      <c r="AA85" s="1" t="s">
        <v>708</v>
      </c>
      <c r="AB85" s="49" t="str">
        <f>IFERROR(__xludf.DUMMYFUNCTION("""COMPUTED_VALUE"""),"difficult")</f>
        <v>difficult</v>
      </c>
      <c r="AC85" s="49" t="str">
        <f>IFERROR(__xludf.DUMMYFUNCTION("""COMPUTED_VALUE"""),"insulting")</f>
        <v>insulting</v>
      </c>
      <c r="AD85" s="49" t="str">
        <f>IFERROR(__xludf.DUMMYFUNCTION("""COMPUTED_VALUE"""),"only")</f>
        <v>only</v>
      </c>
      <c r="AE85" s="49" t="str">
        <f>IFERROR(__xludf.DUMMYFUNCTION("""COMPUTED_VALUE"""),"business")</f>
        <v>business</v>
      </c>
      <c r="AF85" s="49" t="str">
        <f t="shared" si="4"/>
        <v>story,</v>
      </c>
      <c r="AG85" s="49"/>
      <c r="AH85" s="1" t="s">
        <v>6307</v>
      </c>
      <c r="AI85" s="1" t="s">
        <v>3522</v>
      </c>
      <c r="AJ85" s="6" t="str">
        <f>IFERROR(__xludf.DUMMYFUNCTION("""COMPUTED_VALUE"""),"like")</f>
        <v>like</v>
      </c>
      <c r="AK85" s="49"/>
      <c r="AL85" s="49" t="str">
        <f>IFERROR(__xludf.DUMMYFUNCTION("""COMPUTED_VALUE"""),"carlos")</f>
        <v>carlos</v>
      </c>
      <c r="AM85" s="49" t="str">
        <f>IFERROR(__xludf.DUMMYFUNCTION("""COMPUTED_VALUE"""),"milk")</f>
        <v>milk</v>
      </c>
      <c r="AN85" s="52" t="str">
        <f t="shared" si="5"/>
        <v>we,</v>
      </c>
    </row>
    <row r="86">
      <c r="A86" s="51" t="s">
        <v>713</v>
      </c>
      <c r="B86" s="50" t="s">
        <v>1378</v>
      </c>
      <c r="C86" s="50" t="s">
        <v>6247</v>
      </c>
      <c r="D86" s="49" t="str">
        <f>IFERROR(__xludf.DUMMYFUNCTION("""COMPUTED_VALUE"""),"action")</f>
        <v>action</v>
      </c>
      <c r="E86" s="49"/>
      <c r="F86" s="49" t="str">
        <f>IFERROR(__xludf.DUMMYFUNCTION("""COMPUTED_VALUE"""),"sir")</f>
        <v>sir</v>
      </c>
      <c r="G86" s="49" t="str">
        <f>IFERROR(__xludf.DUMMYFUNCTION("""COMPUTED_VALUE"""),"northwest")</f>
        <v>northwest</v>
      </c>
      <c r="H86" s="54" t="str">
        <f t="shared" si="1"/>
        <v>based,</v>
      </c>
      <c r="I86" s="50"/>
      <c r="J86" s="50" t="s">
        <v>355</v>
      </c>
      <c r="K86" s="50" t="s">
        <v>84</v>
      </c>
      <c r="L86" s="49" t="str">
        <f>IFERROR(__xludf.DUMMYFUNCTION("""COMPUTED_VALUE"""),"exactly")</f>
        <v>exactly</v>
      </c>
      <c r="M86" s="49" t="str">
        <f>IFERROR(__xludf.DUMMYFUNCTION("""COMPUTED_VALUE"""),"dreadful")</f>
        <v>dreadful</v>
      </c>
      <c r="N86" s="49" t="str">
        <f>IFERROR(__xludf.DUMMYFUNCTION("""COMPUTED_VALUE"""),"from")</f>
        <v>from</v>
      </c>
      <c r="O86" s="49" t="str">
        <f>IFERROR(__xludf.DUMMYFUNCTION("""COMPUTED_VALUE"""),"plans")</f>
        <v>plans</v>
      </c>
      <c r="P86" s="49" t="str">
        <f t="shared" si="2"/>
        <v>bringing,</v>
      </c>
      <c r="Q86" s="49"/>
      <c r="R86" s="50" t="s">
        <v>1378</v>
      </c>
      <c r="S86" s="55" t="s">
        <v>442</v>
      </c>
      <c r="T86" s="49" t="str">
        <f>IFERROR(__xludf.DUMMYFUNCTION("""COMPUTED_VALUE"""),"endless")</f>
        <v>endless</v>
      </c>
      <c r="U86" s="49" t="str">
        <f>IFERROR(__xludf.DUMMYFUNCTION("""COMPUTED_VALUE"""),"emerges")</f>
        <v>emerges</v>
      </c>
      <c r="V86" s="49" t="str">
        <f>IFERROR(__xludf.DUMMYFUNCTION("""COMPUTED_VALUE"""),"interesting")</f>
        <v>interesting</v>
      </c>
      <c r="W86" s="49" t="str">
        <f>IFERROR(__xludf.DUMMYFUNCTION("""COMPUTED_VALUE"""),"animated")</f>
        <v>animated</v>
      </c>
      <c r="X86" s="49" t="str">
        <f t="shared" si="3"/>
        <v>based,</v>
      </c>
      <c r="Y86" s="49"/>
      <c r="Z86" s="1" t="s">
        <v>809</v>
      </c>
      <c r="AA86" s="1" t="s">
        <v>396</v>
      </c>
      <c r="AB86" s="49" t="str">
        <f>IFERROR(__xludf.DUMMYFUNCTION("""COMPUTED_VALUE"""),"relationships")</f>
        <v>relationships</v>
      </c>
      <c r="AC86" s="49" t="str">
        <f>IFERROR(__xludf.DUMMYFUNCTION("""COMPUTED_VALUE"""),"confident")</f>
        <v>confident</v>
      </c>
      <c r="AD86" s="49" t="str">
        <f>IFERROR(__xludf.DUMMYFUNCTION("""COMPUTED_VALUE"""),"from")</f>
        <v>from</v>
      </c>
      <c r="AE86" s="49" t="str">
        <f>IFERROR(__xludf.DUMMYFUNCTION("""COMPUTED_VALUE"""),"plans")</f>
        <v>plans</v>
      </c>
      <c r="AF86" s="49" t="str">
        <f t="shared" si="4"/>
        <v>when,</v>
      </c>
      <c r="AG86" s="49"/>
      <c r="AH86" s="1" t="s">
        <v>43</v>
      </c>
      <c r="AI86" s="1" t="s">
        <v>716</v>
      </c>
      <c r="AJ86" s="6" t="str">
        <f>IFERROR(__xludf.DUMMYFUNCTION("""COMPUTED_VALUE"""),"back")</f>
        <v>back</v>
      </c>
      <c r="AK86" s="49"/>
      <c r="AL86" s="49" t="str">
        <f>IFERROR(__xludf.DUMMYFUNCTION("""COMPUTED_VALUE"""),"worker")</f>
        <v>worker</v>
      </c>
      <c r="AM86" s="49" t="str">
        <f>IFERROR(__xludf.DUMMYFUNCTION("""COMPUTED_VALUE"""),"clubs")</f>
        <v>clubs</v>
      </c>
      <c r="AN86" s="52" t="str">
        <f t="shared" si="5"/>
        <v>like,</v>
      </c>
    </row>
    <row r="87">
      <c r="A87" s="51" t="s">
        <v>721</v>
      </c>
      <c r="B87" s="50" t="s">
        <v>1127</v>
      </c>
      <c r="C87" s="50" t="s">
        <v>2650</v>
      </c>
      <c r="D87" s="49" t="str">
        <f>IFERROR(__xludf.DUMMYFUNCTION("""COMPUTED_VALUE"""),"little")</f>
        <v>little</v>
      </c>
      <c r="E87" s="49"/>
      <c r="F87" s="49" t="str">
        <f>IFERROR(__xludf.DUMMYFUNCTION("""COMPUTED_VALUE"""),"firm")</f>
        <v>firm</v>
      </c>
      <c r="G87" s="49" t="str">
        <f>IFERROR(__xludf.DUMMYFUNCTION("""COMPUTED_VALUE"""),"divine")</f>
        <v>divine</v>
      </c>
      <c r="H87" s="54" t="str">
        <f t="shared" si="1"/>
        <v>show,</v>
      </c>
      <c r="I87" s="50"/>
      <c r="J87" s="50" t="s">
        <v>5093</v>
      </c>
      <c r="K87" s="50" t="s">
        <v>312</v>
      </c>
      <c r="L87" s="49" t="str">
        <f>IFERROR(__xludf.DUMMYFUNCTION("""COMPUTED_VALUE"""),"too")</f>
        <v>too</v>
      </c>
      <c r="M87" s="49" t="str">
        <f>IFERROR(__xludf.DUMMYFUNCTION("""COMPUTED_VALUE"""),"fires")</f>
        <v>fires</v>
      </c>
      <c r="N87" s="49" t="str">
        <f>IFERROR(__xludf.DUMMYFUNCTION("""COMPUTED_VALUE"""),"its")</f>
        <v>its</v>
      </c>
      <c r="O87" s="49" t="str">
        <f>IFERROR(__xludf.DUMMYFUNCTION("""COMPUTED_VALUE"""),"suspense")</f>
        <v>suspense</v>
      </c>
      <c r="P87" s="49" t="str">
        <f t="shared" si="2"/>
        <v>flash,</v>
      </c>
      <c r="Q87" s="49"/>
      <c r="R87" s="50" t="s">
        <v>500</v>
      </c>
      <c r="S87" s="55" t="s">
        <v>434</v>
      </c>
      <c r="T87" s="49" t="str">
        <f>IFERROR(__xludf.DUMMYFUNCTION("""COMPUTED_VALUE"""),"people")</f>
        <v>people</v>
      </c>
      <c r="U87" s="49" t="str">
        <f>IFERROR(__xludf.DUMMYFUNCTION("""COMPUTED_VALUE"""),"photographed")</f>
        <v>photographed</v>
      </c>
      <c r="V87" s="49" t="str">
        <f>IFERROR(__xludf.DUMMYFUNCTION("""COMPUTED_VALUE"""),"pitch")</f>
        <v>pitch</v>
      </c>
      <c r="W87" s="49" t="str">
        <f>IFERROR(__xludf.DUMMYFUNCTION("""COMPUTED_VALUE"""),"written")</f>
        <v>written</v>
      </c>
      <c r="X87" s="49" t="str">
        <f t="shared" si="3"/>
        <v>however,</v>
      </c>
      <c r="Y87" s="49"/>
      <c r="Z87" s="1" t="s">
        <v>191</v>
      </c>
      <c r="AA87" s="1" t="s">
        <v>407</v>
      </c>
      <c r="AB87" s="49" t="str">
        <f>IFERROR(__xludf.DUMMYFUNCTION("""COMPUTED_VALUE"""),"secrets")</f>
        <v>secrets</v>
      </c>
      <c r="AC87" s="49" t="str">
        <f>IFERROR(__xludf.DUMMYFUNCTION("""COMPUTED_VALUE"""),"hollow")</f>
        <v>hollow</v>
      </c>
      <c r="AD87" s="49" t="str">
        <f>IFERROR(__xludf.DUMMYFUNCTION("""COMPUTED_VALUE"""),"its")</f>
        <v>its</v>
      </c>
      <c r="AE87" s="49" t="str">
        <f>IFERROR(__xludf.DUMMYFUNCTION("""COMPUTED_VALUE"""),"suspense")</f>
        <v>suspense</v>
      </c>
      <c r="AF87" s="49" t="str">
        <f t="shared" si="4"/>
        <v>going,</v>
      </c>
      <c r="AG87" s="49"/>
      <c r="AH87" s="1" t="s">
        <v>148</v>
      </c>
      <c r="AI87" s="1" t="s">
        <v>132</v>
      </c>
      <c r="AJ87" s="6" t="str">
        <f>IFERROR(__xludf.DUMMYFUNCTION("""COMPUTED_VALUE"""),"do")</f>
        <v>do</v>
      </c>
      <c r="AK87" s="49"/>
      <c r="AL87" s="49" t="str">
        <f>IFERROR(__xludf.DUMMYFUNCTION("""COMPUTED_VALUE"""),"helping")</f>
        <v>helping</v>
      </c>
      <c r="AM87" s="49" t="str">
        <f>IFERROR(__xludf.DUMMYFUNCTION("""COMPUTED_VALUE"""),"golf")</f>
        <v>golf</v>
      </c>
      <c r="AN87" s="52" t="str">
        <f t="shared" si="5"/>
        <v>back,</v>
      </c>
    </row>
    <row r="88">
      <c r="A88" s="51" t="s">
        <v>728</v>
      </c>
      <c r="B88" s="50" t="s">
        <v>1432</v>
      </c>
      <c r="C88" s="50" t="s">
        <v>244</v>
      </c>
      <c r="D88" s="49" t="str">
        <f>IFERROR(__xludf.DUMMYFUNCTION("""COMPUTED_VALUE"""),"often")</f>
        <v>often</v>
      </c>
      <c r="E88" s="49"/>
      <c r="F88" s="49" t="str">
        <f>IFERROR(__xludf.DUMMYFUNCTION("""COMPUTED_VALUE"""),"turner")</f>
        <v>turner</v>
      </c>
      <c r="G88" s="49" t="str">
        <f>IFERROR(__xludf.DUMMYFUNCTION("""COMPUTED_VALUE"""),"magnetic")</f>
        <v>magnetic</v>
      </c>
      <c r="H88" s="54" t="str">
        <f t="shared" si="1"/>
        <v>late,</v>
      </c>
      <c r="I88" s="50"/>
      <c r="J88" s="50" t="s">
        <v>6670</v>
      </c>
      <c r="K88" s="50" t="s">
        <v>598</v>
      </c>
      <c r="L88" s="49" t="str">
        <f>IFERROR(__xludf.DUMMYFUNCTION("""COMPUTED_VALUE"""),"road")</f>
        <v>road</v>
      </c>
      <c r="M88" s="49" t="str">
        <f>IFERROR(__xludf.DUMMYFUNCTION("""COMPUTED_VALUE"""),"achieving")</f>
        <v>achieving</v>
      </c>
      <c r="N88" s="49" t="str">
        <f>IFERROR(__xludf.DUMMYFUNCTION("""COMPUTED_VALUE"""),"their")</f>
        <v>their</v>
      </c>
      <c r="O88" s="49" t="str">
        <f>IFERROR(__xludf.DUMMYFUNCTION("""COMPUTED_VALUE"""),"lacking")</f>
        <v>lacking</v>
      </c>
      <c r="P88" s="49" t="str">
        <f t="shared" si="2"/>
        <v>quick,</v>
      </c>
      <c r="Q88" s="49"/>
      <c r="R88" s="50" t="s">
        <v>129</v>
      </c>
      <c r="S88" s="55" t="s">
        <v>6284</v>
      </c>
      <c r="T88" s="49" t="str">
        <f>IFERROR(__xludf.DUMMYFUNCTION("""COMPUTED_VALUE"""),"love")</f>
        <v>love</v>
      </c>
      <c r="U88" s="49" t="str">
        <f>IFERROR(__xludf.DUMMYFUNCTION("""COMPUTED_VALUE"""),"arbitrary")</f>
        <v>arbitrary</v>
      </c>
      <c r="V88" s="49" t="str">
        <f>IFERROR(__xludf.DUMMYFUNCTION("""COMPUTED_VALUE"""),"ridiculous")</f>
        <v>ridiculous</v>
      </c>
      <c r="W88" s="49" t="str">
        <f>IFERROR(__xludf.DUMMYFUNCTION("""COMPUTED_VALUE"""),"parody")</f>
        <v>parody</v>
      </c>
      <c r="X88" s="49" t="str">
        <f t="shared" si="3"/>
        <v>more,</v>
      </c>
      <c r="Y88" s="49"/>
      <c r="Z88" s="1" t="s">
        <v>5257</v>
      </c>
      <c r="AA88" s="1" t="s">
        <v>133</v>
      </c>
      <c r="AB88" s="49" t="str">
        <f>IFERROR(__xludf.DUMMYFUNCTION("""COMPUTED_VALUE"""),"built")</f>
        <v>built</v>
      </c>
      <c r="AC88" s="49" t="str">
        <f>IFERROR(__xludf.DUMMYFUNCTION("""COMPUTED_VALUE"""),"sensation")</f>
        <v>sensation</v>
      </c>
      <c r="AD88" s="49" t="str">
        <f>IFERROR(__xludf.DUMMYFUNCTION("""COMPUTED_VALUE"""),"their")</f>
        <v>their</v>
      </c>
      <c r="AE88" s="49" t="str">
        <f>IFERROR(__xludf.DUMMYFUNCTION("""COMPUTED_VALUE"""),"lacking")</f>
        <v>lacking</v>
      </c>
      <c r="AF88" s="49" t="str">
        <f t="shared" si="4"/>
        <v>lee,</v>
      </c>
      <c r="AG88" s="49"/>
      <c r="AH88" s="1" t="s">
        <v>303</v>
      </c>
      <c r="AI88" s="1" t="s">
        <v>142</v>
      </c>
      <c r="AJ88" s="6" t="str">
        <f>IFERROR(__xludf.DUMMYFUNCTION("""COMPUTED_VALUE"""),"know")</f>
        <v>know</v>
      </c>
      <c r="AK88" s="49"/>
      <c r="AL88" s="49" t="str">
        <f>IFERROR(__xludf.DUMMYFUNCTION("""COMPUTED_VALUE"""),"marcus")</f>
        <v>marcus</v>
      </c>
      <c r="AM88" s="49" t="str">
        <f>IFERROR(__xludf.DUMMYFUNCTION("""COMPUTED_VALUE"""),"surrender")</f>
        <v>surrender</v>
      </c>
      <c r="AN88" s="52" t="str">
        <f t="shared" si="5"/>
        <v>do,</v>
      </c>
    </row>
    <row r="89">
      <c r="A89" s="51" t="s">
        <v>737</v>
      </c>
      <c r="B89" s="50" t="s">
        <v>884</v>
      </c>
      <c r="C89" s="50" t="s">
        <v>237</v>
      </c>
      <c r="D89" s="49" t="str">
        <f>IFERROR(__xludf.DUMMYFUNCTION("""COMPUTED_VALUE"""),"find")</f>
        <v>find</v>
      </c>
      <c r="E89" s="49"/>
      <c r="F89" s="49" t="str">
        <f>IFERROR(__xludf.DUMMYFUNCTION("""COMPUTED_VALUE"""),"es")</f>
        <v>es</v>
      </c>
      <c r="G89" s="49" t="str">
        <f>IFERROR(__xludf.DUMMYFUNCTION("""COMPUTED_VALUE"""),"painted")</f>
        <v>painted</v>
      </c>
      <c r="H89" s="54" t="str">
        <f t="shared" si="1"/>
        <v>things,</v>
      </c>
      <c r="I89" s="50"/>
      <c r="J89" s="50" t="s">
        <v>3953</v>
      </c>
      <c r="K89" s="50" t="s">
        <v>321</v>
      </c>
      <c r="L89" s="49" t="str">
        <f>IFERROR(__xludf.DUMMYFUNCTION("""COMPUTED_VALUE"""),"depth")</f>
        <v>depth</v>
      </c>
      <c r="M89" s="49" t="str">
        <f>IFERROR(__xludf.DUMMYFUNCTION("""COMPUTED_VALUE"""),"intensely")</f>
        <v>intensely</v>
      </c>
      <c r="N89" s="49" t="str">
        <f>IFERROR(__xludf.DUMMYFUNCTION("""COMPUTED_VALUE"""),"if")</f>
        <v>if</v>
      </c>
      <c r="O89" s="49" t="str">
        <f>IFERROR(__xludf.DUMMYFUNCTION("""COMPUTED_VALUE"""),"lump")</f>
        <v>lump</v>
      </c>
      <c r="P89" s="49" t="str">
        <f t="shared" si="2"/>
        <v>brother,</v>
      </c>
      <c r="Q89" s="49"/>
      <c r="R89" s="50" t="s">
        <v>321</v>
      </c>
      <c r="S89" s="55" t="s">
        <v>959</v>
      </c>
      <c r="T89" s="49" t="str">
        <f>IFERROR(__xludf.DUMMYFUNCTION("""COMPUTED_VALUE"""),"man")</f>
        <v>man</v>
      </c>
      <c r="U89" s="49" t="str">
        <f>IFERROR(__xludf.DUMMYFUNCTION("""COMPUTED_VALUE"""),"loosely")</f>
        <v>loosely</v>
      </c>
      <c r="V89" s="49" t="str">
        <f>IFERROR(__xludf.DUMMYFUNCTION("""COMPUTED_VALUE"""),"mis")</f>
        <v>mis</v>
      </c>
      <c r="W89" s="49" t="str">
        <f>IFERROR(__xludf.DUMMYFUNCTION("""COMPUTED_VALUE"""),"questions")</f>
        <v>questions</v>
      </c>
      <c r="X89" s="49" t="str">
        <f t="shared" si="3"/>
        <v>course,</v>
      </c>
      <c r="Y89" s="49"/>
      <c r="Z89" s="1" t="s">
        <v>2650</v>
      </c>
      <c r="AA89" s="1" t="s">
        <v>739</v>
      </c>
      <c r="AB89" s="49" t="str">
        <f>IFERROR(__xludf.DUMMYFUNCTION("""COMPUTED_VALUE"""),"painfully")</f>
        <v>painfully</v>
      </c>
      <c r="AC89" s="49" t="str">
        <f>IFERROR(__xludf.DUMMYFUNCTION("""COMPUTED_VALUE"""),"sensual")</f>
        <v>sensual</v>
      </c>
      <c r="AD89" s="49" t="str">
        <f>IFERROR(__xludf.DUMMYFUNCTION("""COMPUTED_VALUE"""),"if")</f>
        <v>if</v>
      </c>
      <c r="AE89" s="49" t="str">
        <f>IFERROR(__xludf.DUMMYFUNCTION("""COMPUTED_VALUE"""),"lump")</f>
        <v>lump</v>
      </c>
      <c r="AF89" s="49" t="str">
        <f t="shared" si="4"/>
        <v>start,</v>
      </c>
      <c r="AG89" s="49"/>
      <c r="AH89" s="1" t="s">
        <v>73</v>
      </c>
      <c r="AI89" s="1" t="s">
        <v>498</v>
      </c>
      <c r="AJ89" s="6" t="str">
        <f>IFERROR(__xludf.DUMMYFUNCTION("""COMPUTED_VALUE"""),"still")</f>
        <v>still</v>
      </c>
      <c r="AK89" s="49"/>
      <c r="AL89" s="49" t="str">
        <f>IFERROR(__xludf.DUMMYFUNCTION("""COMPUTED_VALUE"""),"scientific")</f>
        <v>scientific</v>
      </c>
      <c r="AM89" s="49" t="str">
        <f>IFERROR(__xludf.DUMMYFUNCTION("""COMPUTED_VALUE"""),"forming")</f>
        <v>forming</v>
      </c>
      <c r="AN89" s="52" t="str">
        <f t="shared" si="5"/>
        <v>know,</v>
      </c>
    </row>
    <row r="90">
      <c r="A90" s="51" t="s">
        <v>746</v>
      </c>
      <c r="B90" s="50" t="s">
        <v>836</v>
      </c>
      <c r="C90" s="50" t="s">
        <v>4483</v>
      </c>
      <c r="D90" s="49" t="str">
        <f>IFERROR(__xludf.DUMMYFUNCTION("""COMPUTED_VALUE"""),"interest")</f>
        <v>interest</v>
      </c>
      <c r="E90" s="49"/>
      <c r="F90" s="49" t="str">
        <f>IFERROR(__xludf.DUMMYFUNCTION("""COMPUTED_VALUE"""),"hank")</f>
        <v>hank</v>
      </c>
      <c r="G90" s="49" t="str">
        <f>IFERROR(__xludf.DUMMYFUNCTION("""COMPUTED_VALUE"""),"retail")</f>
        <v>retail</v>
      </c>
      <c r="H90" s="54" t="str">
        <f t="shared" si="1"/>
        <v>car,</v>
      </c>
      <c r="I90" s="50"/>
      <c r="J90" s="50" t="s">
        <v>437</v>
      </c>
      <c r="K90" s="50" t="s">
        <v>305</v>
      </c>
      <c r="L90" s="49" t="str">
        <f>IFERROR(__xludf.DUMMYFUNCTION("""COMPUTED_VALUE"""),"secrets")</f>
        <v>secrets</v>
      </c>
      <c r="M90" s="49" t="str">
        <f>IFERROR(__xludf.DUMMYFUNCTION("""COMPUTED_VALUE"""),"weary")</f>
        <v>weary</v>
      </c>
      <c r="N90" s="49" t="str">
        <f>IFERROR(__xludf.DUMMYFUNCTION("""COMPUTED_VALUE"""),"be")</f>
        <v>be</v>
      </c>
      <c r="O90" s="49" t="str">
        <f>IFERROR(__xludf.DUMMYFUNCTION("""COMPUTED_VALUE"""),"stunts")</f>
        <v>stunts</v>
      </c>
      <c r="P90" s="49" t="str">
        <f t="shared" si="2"/>
        <v>really,</v>
      </c>
      <c r="Q90" s="49"/>
      <c r="R90" s="50" t="s">
        <v>2776</v>
      </c>
      <c r="S90" s="55" t="s">
        <v>509</v>
      </c>
      <c r="T90" s="49" t="str">
        <f>IFERROR(__xludf.DUMMYFUNCTION("""COMPUTED_VALUE"""),"special")</f>
        <v>special</v>
      </c>
      <c r="U90" s="49" t="str">
        <f>IFERROR(__xludf.DUMMYFUNCTION("""COMPUTED_VALUE"""),"intensely")</f>
        <v>intensely</v>
      </c>
      <c r="V90" s="49" t="str">
        <f>IFERROR(__xludf.DUMMYFUNCTION("""COMPUTED_VALUE"""),"sex")</f>
        <v>sex</v>
      </c>
      <c r="W90" s="49" t="str">
        <f>IFERROR(__xludf.DUMMYFUNCTION("""COMPUTED_VALUE"""),"artworks")</f>
        <v>artworks</v>
      </c>
      <c r="X90" s="49" t="str">
        <f t="shared" si="3"/>
        <v>wrong,</v>
      </c>
      <c r="Y90" s="49"/>
      <c r="Z90" s="1" t="s">
        <v>469</v>
      </c>
      <c r="AA90" s="1" t="s">
        <v>748</v>
      </c>
      <c r="AB90" s="49" t="str">
        <f>IFERROR(__xludf.DUMMYFUNCTION("""COMPUTED_VALUE"""),"drama")</f>
        <v>drama</v>
      </c>
      <c r="AC90" s="49" t="str">
        <f>IFERROR(__xludf.DUMMYFUNCTION("""COMPUTED_VALUE"""),"combines")</f>
        <v>combines</v>
      </c>
      <c r="AD90" s="49" t="str">
        <f>IFERROR(__xludf.DUMMYFUNCTION("""COMPUTED_VALUE"""),"be")</f>
        <v>be</v>
      </c>
      <c r="AE90" s="49" t="str">
        <f>IFERROR(__xludf.DUMMYFUNCTION("""COMPUTED_VALUE"""),"stunts")</f>
        <v>stunts</v>
      </c>
      <c r="AF90" s="49" t="str">
        <f t="shared" si="4"/>
        <v>was,</v>
      </c>
      <c r="AG90" s="49"/>
      <c r="AH90" s="1" t="s">
        <v>282</v>
      </c>
      <c r="AI90" s="1" t="s">
        <v>505</v>
      </c>
      <c r="AJ90" s="6" t="str">
        <f>IFERROR(__xludf.DUMMYFUNCTION("""COMPUTED_VALUE"""),"another")</f>
        <v>another</v>
      </c>
      <c r="AK90" s="49"/>
      <c r="AL90" s="49" t="str">
        <f>IFERROR(__xludf.DUMMYFUNCTION("""COMPUTED_VALUE"""),"March")</f>
        <v>March</v>
      </c>
      <c r="AM90" s="49" t="str">
        <f>IFERROR(__xludf.DUMMYFUNCTION("""COMPUTED_VALUE"""),"shaped")</f>
        <v>shaped</v>
      </c>
      <c r="AN90" s="52" t="str">
        <f t="shared" si="5"/>
        <v>still,</v>
      </c>
    </row>
    <row r="91">
      <c r="A91" s="51" t="s">
        <v>756</v>
      </c>
      <c r="B91" s="50" t="s">
        <v>4682</v>
      </c>
      <c r="C91" s="50" t="s">
        <v>749</v>
      </c>
      <c r="D91" s="49" t="str">
        <f>IFERROR(__xludf.DUMMYFUNCTION("""COMPUTED_VALUE"""),"acted")</f>
        <v>acted</v>
      </c>
      <c r="E91" s="49"/>
      <c r="F91" s="49" t="str">
        <f>IFERROR(__xludf.DUMMYFUNCTION("""COMPUTED_VALUE"""),"furious")</f>
        <v>furious</v>
      </c>
      <c r="G91" s="49" t="str">
        <f>IFERROR(__xludf.DUMMYFUNCTION("""COMPUTED_VALUE"""),"bonds")</f>
        <v>bonds</v>
      </c>
      <c r="H91" s="54" t="str">
        <f t="shared" si="1"/>
        <v>television,</v>
      </c>
      <c r="I91" s="50"/>
      <c r="J91" s="50" t="s">
        <v>2849</v>
      </c>
      <c r="K91" s="50" t="s">
        <v>764</v>
      </c>
      <c r="L91" s="49" t="str">
        <f>IFERROR(__xludf.DUMMYFUNCTION("""COMPUTED_VALUE"""),"hour")</f>
        <v>hour</v>
      </c>
      <c r="M91" s="49" t="str">
        <f>IFERROR(__xludf.DUMMYFUNCTION("""COMPUTED_VALUE"""),"whale")</f>
        <v>whale</v>
      </c>
      <c r="N91" s="49" t="str">
        <f>IFERROR(__xludf.DUMMYFUNCTION("""COMPUTED_VALUE"""),"had")</f>
        <v>had</v>
      </c>
      <c r="O91" s="49" t="str">
        <f>IFERROR(__xludf.DUMMYFUNCTION("""COMPUTED_VALUE"""),"relief")</f>
        <v>relief</v>
      </c>
      <c r="P91" s="49" t="str">
        <f t="shared" si="2"/>
        <v>russian,</v>
      </c>
      <c r="Q91" s="49"/>
      <c r="R91" s="50" t="s">
        <v>4053</v>
      </c>
      <c r="S91" s="55" t="s">
        <v>198</v>
      </c>
      <c r="T91" s="49" t="str">
        <f>IFERROR(__xludf.DUMMYFUNCTION("""COMPUTED_VALUE"""),"seemingly")</f>
        <v>seemingly</v>
      </c>
      <c r="U91" s="49" t="str">
        <f>IFERROR(__xludf.DUMMYFUNCTION("""COMPUTED_VALUE"""),"weary")</f>
        <v>weary</v>
      </c>
      <c r="V91" s="49" t="str">
        <f>IFERROR(__xludf.DUMMYFUNCTION("""COMPUTED_VALUE"""),"amusing")</f>
        <v>amusing</v>
      </c>
      <c r="W91" s="49" t="str">
        <f>IFERROR(__xludf.DUMMYFUNCTION("""COMPUTED_VALUE"""),"become")</f>
        <v>become</v>
      </c>
      <c r="X91" s="49" t="str">
        <f t="shared" si="3"/>
        <v>20th,</v>
      </c>
      <c r="Y91" s="49"/>
      <c r="Z91" s="1" t="s">
        <v>43</v>
      </c>
      <c r="AA91" s="1" t="s">
        <v>425</v>
      </c>
      <c r="AB91" s="49" t="str">
        <f>IFERROR(__xludf.DUMMYFUNCTION("""COMPUTED_VALUE"""),"hours")</f>
        <v>hours</v>
      </c>
      <c r="AC91" s="49" t="str">
        <f>IFERROR(__xludf.DUMMYFUNCTION("""COMPUTED_VALUE"""),"elaborate")</f>
        <v>elaborate</v>
      </c>
      <c r="AD91" s="49" t="str">
        <f>IFERROR(__xludf.DUMMYFUNCTION("""COMPUTED_VALUE"""),"had")</f>
        <v>had</v>
      </c>
      <c r="AE91" s="49" t="str">
        <f>IFERROR(__xludf.DUMMYFUNCTION("""COMPUTED_VALUE"""),"relief")</f>
        <v>relief</v>
      </c>
      <c r="AF91" s="49" t="str">
        <f t="shared" si="4"/>
        <v>like,</v>
      </c>
      <c r="AG91" s="49"/>
      <c r="AH91" s="1" t="s">
        <v>664</v>
      </c>
      <c r="AI91" s="1" t="s">
        <v>388</v>
      </c>
      <c r="AJ91" s="6" t="str">
        <f>IFERROR(__xludf.DUMMYFUNCTION("""COMPUTED_VALUE"""),"here")</f>
        <v>here</v>
      </c>
      <c r="AK91" s="49"/>
      <c r="AL91" s="49" t="str">
        <f>IFERROR(__xludf.DUMMYFUNCTION("""COMPUTED_VALUE"""),"lucy")</f>
        <v>lucy</v>
      </c>
      <c r="AM91" s="49">
        <f>IFERROR(__xludf.DUMMYFUNCTION("""COMPUTED_VALUE"""),110.0)</f>
        <v>110</v>
      </c>
      <c r="AN91" s="52" t="str">
        <f t="shared" si="5"/>
        <v>another,</v>
      </c>
    </row>
    <row r="92">
      <c r="A92" s="51" t="s">
        <v>765</v>
      </c>
      <c r="B92" s="50" t="s">
        <v>2042</v>
      </c>
      <c r="C92" s="50" t="s">
        <v>264</v>
      </c>
      <c r="D92" s="49" t="str">
        <f>IFERROR(__xludf.DUMMYFUNCTION("""COMPUTED_VALUE"""),"poorly")</f>
        <v>poorly</v>
      </c>
      <c r="E92" s="49"/>
      <c r="F92" s="49" t="str">
        <f>IFERROR(__xludf.DUMMYFUNCTION("""COMPUTED_VALUE"""),"pistol")</f>
        <v>pistol</v>
      </c>
      <c r="G92" s="49" t="str">
        <f>IFERROR(__xludf.DUMMYFUNCTION("""COMPUTED_VALUE"""),"signature")</f>
        <v>signature</v>
      </c>
      <c r="H92" s="54" t="str">
        <f t="shared" si="1"/>
        <v>hair,</v>
      </c>
      <c r="I92" s="50"/>
      <c r="J92" s="50" t="s">
        <v>5257</v>
      </c>
      <c r="K92" s="50" t="s">
        <v>96</v>
      </c>
      <c r="L92" s="49" t="str">
        <f>IFERROR(__xludf.DUMMYFUNCTION("""COMPUTED_VALUE"""),"drama")</f>
        <v>drama</v>
      </c>
      <c r="M92" s="49" t="str">
        <f>IFERROR(__xludf.DUMMYFUNCTION("""COMPUTED_VALUE"""),"prejudice")</f>
        <v>prejudice</v>
      </c>
      <c r="N92" s="49" t="str">
        <f>IFERROR(__xludf.DUMMYFUNCTION("""COMPUTED_VALUE"""),"other")</f>
        <v>other</v>
      </c>
      <c r="O92" s="49" t="str">
        <f>IFERROR(__xludf.DUMMYFUNCTION("""COMPUTED_VALUE"""),"filmmaking")</f>
        <v>filmmaking</v>
      </c>
      <c r="P92" s="49" t="str">
        <f t="shared" si="2"/>
        <v>lee,</v>
      </c>
      <c r="Q92" s="49"/>
      <c r="R92" s="50" t="s">
        <v>1477</v>
      </c>
      <c r="S92" s="55" t="s">
        <v>461</v>
      </c>
      <c r="T92" s="49" t="str">
        <f>IFERROR(__xludf.DUMMYFUNCTION("""COMPUTED_VALUE"""),"both")</f>
        <v>both</v>
      </c>
      <c r="U92" s="49" t="str">
        <f>IFERROR(__xludf.DUMMYFUNCTION("""COMPUTED_VALUE"""),"whale")</f>
        <v>whale</v>
      </c>
      <c r="V92" s="49" t="str">
        <f>IFERROR(__xludf.DUMMYFUNCTION("""COMPUTED_VALUE"""),"directed")</f>
        <v>directed</v>
      </c>
      <c r="W92" s="49" t="str">
        <f>IFERROR(__xludf.DUMMYFUNCTION("""COMPUTED_VALUE"""),"sudden")</f>
        <v>sudden</v>
      </c>
      <c r="X92" s="49" t="str">
        <f t="shared" si="3"/>
        <v>their,</v>
      </c>
      <c r="Y92" s="49"/>
      <c r="Z92" s="1" t="s">
        <v>2444</v>
      </c>
      <c r="AA92" s="1" t="s">
        <v>767</v>
      </c>
      <c r="AB92" s="49" t="str">
        <f>IFERROR(__xludf.DUMMYFUNCTION("""COMPUTED_VALUE"""),"road")</f>
        <v>road</v>
      </c>
      <c r="AC92" s="49" t="str">
        <f>IFERROR(__xludf.DUMMYFUNCTION("""COMPUTED_VALUE"""),"quietly")</f>
        <v>quietly</v>
      </c>
      <c r="AD92" s="49" t="str">
        <f>IFERROR(__xludf.DUMMYFUNCTION("""COMPUTED_VALUE"""),"other")</f>
        <v>other</v>
      </c>
      <c r="AE92" s="49" t="str">
        <f>IFERROR(__xludf.DUMMYFUNCTION("""COMPUTED_VALUE"""),"filmmaking")</f>
        <v>filmmaking</v>
      </c>
      <c r="AF92" s="49" t="str">
        <f t="shared" si="4"/>
        <v>starring,</v>
      </c>
      <c r="AG92" s="49"/>
      <c r="AH92" s="1" t="s">
        <v>2008</v>
      </c>
      <c r="AI92" s="1" t="s">
        <v>145</v>
      </c>
      <c r="AJ92" s="6" t="str">
        <f>IFERROR(__xludf.DUMMYFUNCTION("""COMPUTED_VALUE"""),"going")</f>
        <v>going</v>
      </c>
      <c r="AK92" s="49"/>
      <c r="AL92" s="49" t="str">
        <f>IFERROR(__xludf.DUMMYFUNCTION("""COMPUTED_VALUE"""),"informed")</f>
        <v>informed</v>
      </c>
      <c r="AM92" s="49" t="str">
        <f>IFERROR(__xludf.DUMMYFUNCTION("""COMPUTED_VALUE"""),"1940s")</f>
        <v>1940s</v>
      </c>
      <c r="AN92" s="52" t="str">
        <f t="shared" si="5"/>
        <v>here,</v>
      </c>
    </row>
    <row r="93">
      <c r="A93" s="51" t="s">
        <v>773</v>
      </c>
      <c r="B93" s="50" t="s">
        <v>321</v>
      </c>
      <c r="C93" s="50" t="s">
        <v>314</v>
      </c>
      <c r="D93" s="49" t="str">
        <f>IFERROR(__xludf.DUMMYFUNCTION("""COMPUTED_VALUE"""),"year")</f>
        <v>year</v>
      </c>
      <c r="E93" s="49"/>
      <c r="F93" s="49" t="str">
        <f>IFERROR(__xludf.DUMMYFUNCTION("""COMPUTED_VALUE"""),"cape")</f>
        <v>cape</v>
      </c>
      <c r="G93" s="49" t="str">
        <f>IFERROR(__xludf.DUMMYFUNCTION("""COMPUTED_VALUE"""),"reconstruction")</f>
        <v>reconstruction</v>
      </c>
      <c r="H93" s="54" t="str">
        <f t="shared" si="1"/>
        <v>course,</v>
      </c>
      <c r="I93" s="50"/>
      <c r="J93" s="50" t="s">
        <v>6235</v>
      </c>
      <c r="K93" s="50" t="s">
        <v>779</v>
      </c>
      <c r="L93" s="49" t="str">
        <f>IFERROR(__xludf.DUMMYFUNCTION("""COMPUTED_VALUE"""),"sentimental")</f>
        <v>sentimental</v>
      </c>
      <c r="M93" s="49" t="str">
        <f>IFERROR(__xludf.DUMMYFUNCTION("""COMPUTED_VALUE"""),"rejected")</f>
        <v>rejected</v>
      </c>
      <c r="N93" s="49" t="str">
        <f>IFERROR(__xludf.DUMMYFUNCTION("""COMPUTED_VALUE"""),"best")</f>
        <v>best</v>
      </c>
      <c r="O93" s="49" t="str">
        <f>IFERROR(__xludf.DUMMYFUNCTION("""COMPUTED_VALUE"""),"auschwitz")</f>
        <v>auschwitz</v>
      </c>
      <c r="P93" s="49" t="str">
        <f t="shared" si="2"/>
        <v>not,</v>
      </c>
      <c r="Q93" s="49"/>
      <c r="R93" s="50" t="s">
        <v>1453</v>
      </c>
      <c r="S93" s="55" t="s">
        <v>54</v>
      </c>
      <c r="T93" s="49" t="str">
        <f>IFERROR(__xludf.DUMMYFUNCTION("""COMPUTED_VALUE"""),"falls")</f>
        <v>falls</v>
      </c>
      <c r="U93" s="49" t="str">
        <f>IFERROR(__xludf.DUMMYFUNCTION("""COMPUTED_VALUE"""),"prejudice")</f>
        <v>prejudice</v>
      </c>
      <c r="V93" s="49" t="str">
        <f>IFERROR(__xludf.DUMMYFUNCTION("""COMPUTED_VALUE"""),"robert")</f>
        <v>robert</v>
      </c>
      <c r="W93" s="49" t="str">
        <f>IFERROR(__xludf.DUMMYFUNCTION("""COMPUTED_VALUE"""),"ahead")</f>
        <v>ahead</v>
      </c>
      <c r="X93" s="49" t="str">
        <f t="shared" si="3"/>
        <v>recent,</v>
      </c>
      <c r="Y93" s="49"/>
      <c r="Z93" s="1" t="s">
        <v>303</v>
      </c>
      <c r="AA93" s="1" t="s">
        <v>775</v>
      </c>
      <c r="AB93" s="49" t="str">
        <f>IFERROR(__xludf.DUMMYFUNCTION("""COMPUTED_VALUE"""),"adds")</f>
        <v>adds</v>
      </c>
      <c r="AC93" s="49" t="str">
        <f>IFERROR(__xludf.DUMMYFUNCTION("""COMPUTED_VALUE"""),"portrays")</f>
        <v>portrays</v>
      </c>
      <c r="AD93" s="49" t="str">
        <f>IFERROR(__xludf.DUMMYFUNCTION("""COMPUTED_VALUE"""),"best")</f>
        <v>best</v>
      </c>
      <c r="AE93" s="49" t="str">
        <f>IFERROR(__xludf.DUMMYFUNCTION("""COMPUTED_VALUE"""),"auschwitz")</f>
        <v>auschwitz</v>
      </c>
      <c r="AF93" s="49" t="str">
        <f t="shared" si="4"/>
        <v>do,</v>
      </c>
      <c r="AG93" s="49"/>
      <c r="AH93" s="1" t="s">
        <v>191</v>
      </c>
      <c r="AI93" s="1" t="s">
        <v>397</v>
      </c>
      <c r="AJ93" s="6" t="str">
        <f>IFERROR(__xludf.DUMMYFUNCTION("""COMPUTED_VALUE"""),"little")</f>
        <v>little</v>
      </c>
      <c r="AK93" s="49"/>
      <c r="AL93" s="49" t="str">
        <f>IFERROR(__xludf.DUMMYFUNCTION("""COMPUTED_VALUE"""),"waves")</f>
        <v>waves</v>
      </c>
      <c r="AM93" s="49" t="str">
        <f>IFERROR(__xludf.DUMMYFUNCTION("""COMPUTED_VALUE"""),"capacity")</f>
        <v>capacity</v>
      </c>
      <c r="AN93" s="52" t="str">
        <f t="shared" si="5"/>
        <v>going,</v>
      </c>
    </row>
    <row r="94">
      <c r="A94" s="51" t="s">
        <v>780</v>
      </c>
      <c r="B94" s="50" t="s">
        <v>6487</v>
      </c>
      <c r="C94" s="50" t="s">
        <v>252</v>
      </c>
      <c r="D94" s="49" t="str">
        <f>IFERROR(__xludf.DUMMYFUNCTION("""COMPUTED_VALUE"""),"sit")</f>
        <v>sit</v>
      </c>
      <c r="E94" s="49"/>
      <c r="F94" s="49" t="str">
        <f>IFERROR(__xludf.DUMMYFUNCTION("""COMPUTED_VALUE"""),"chains")</f>
        <v>chains</v>
      </c>
      <c r="G94" s="49" t="str">
        <f>IFERROR(__xludf.DUMMYFUNCTION("""COMPUTED_VALUE"""),"memorial")</f>
        <v>memorial</v>
      </c>
      <c r="H94" s="54" t="str">
        <f t="shared" si="1"/>
        <v>police,</v>
      </c>
      <c r="I94" s="50"/>
      <c r="J94" s="50" t="s">
        <v>167</v>
      </c>
      <c r="K94" s="50" t="s">
        <v>189</v>
      </c>
      <c r="L94" s="49" t="str">
        <f>IFERROR(__xludf.DUMMYFUNCTION("""COMPUTED_VALUE"""),"screen")</f>
        <v>screen</v>
      </c>
      <c r="M94" s="49" t="str">
        <f>IFERROR(__xludf.DUMMYFUNCTION("""COMPUTED_VALUE"""),"phenomenon")</f>
        <v>phenomenon</v>
      </c>
      <c r="N94" s="49" t="str">
        <f>IFERROR(__xludf.DUMMYFUNCTION("""COMPUTED_VALUE"""),"lively")</f>
        <v>lively</v>
      </c>
      <c r="O94" s="49" t="str">
        <f>IFERROR(__xludf.DUMMYFUNCTION("""COMPUTED_VALUE"""),"theatrical")</f>
        <v>theatrical</v>
      </c>
      <c r="P94" s="49" t="str">
        <f t="shared" si="2"/>
        <v>same,</v>
      </c>
      <c r="Q94" s="49"/>
      <c r="R94" s="50" t="s">
        <v>2177</v>
      </c>
      <c r="S94" s="55" t="s">
        <v>233</v>
      </c>
      <c r="T94" s="49" t="str">
        <f>IFERROR(__xludf.DUMMYFUNCTION("""COMPUTED_VALUE"""),"industry")</f>
        <v>industry</v>
      </c>
      <c r="U94" s="49" t="str">
        <f>IFERROR(__xludf.DUMMYFUNCTION("""COMPUTED_VALUE"""),"collectively")</f>
        <v>collectively</v>
      </c>
      <c r="V94" s="49" t="str">
        <f>IFERROR(__xludf.DUMMYFUNCTION("""COMPUTED_VALUE"""),"jack")</f>
        <v>jack</v>
      </c>
      <c r="W94" s="49" t="str">
        <f>IFERROR(__xludf.DUMMYFUNCTION("""COMPUTED_VALUE"""),"tear")</f>
        <v>tear</v>
      </c>
      <c r="X94" s="49" t="str">
        <f t="shared" si="3"/>
        <v>colorful,</v>
      </c>
      <c r="Y94" s="49"/>
      <c r="Z94" s="1" t="s">
        <v>73</v>
      </c>
      <c r="AA94" s="1" t="s">
        <v>782</v>
      </c>
      <c r="AB94" s="49" t="str">
        <f>IFERROR(__xludf.DUMMYFUNCTION("""COMPUTED_VALUE"""),"call")</f>
        <v>call</v>
      </c>
      <c r="AC94" s="49" t="str">
        <f>IFERROR(__xludf.DUMMYFUNCTION("""COMPUTED_VALUE"""),"profound")</f>
        <v>profound</v>
      </c>
      <c r="AD94" s="49" t="str">
        <f>IFERROR(__xludf.DUMMYFUNCTION("""COMPUTED_VALUE"""),"lively")</f>
        <v>lively</v>
      </c>
      <c r="AE94" s="49" t="str">
        <f>IFERROR(__xludf.DUMMYFUNCTION("""COMPUTED_VALUE"""),"theatrical")</f>
        <v>theatrical</v>
      </c>
      <c r="AF94" s="49" t="str">
        <f t="shared" si="4"/>
        <v>know,</v>
      </c>
      <c r="AG94" s="49"/>
      <c r="AH94" s="1" t="s">
        <v>749</v>
      </c>
      <c r="AI94" s="1" t="s">
        <v>417</v>
      </c>
      <c r="AJ94" s="6" t="str">
        <f>IFERROR(__xludf.DUMMYFUNCTION("""COMPUTED_VALUE"""),"few")</f>
        <v>few</v>
      </c>
      <c r="AK94" s="49"/>
      <c r="AL94" s="49" t="str">
        <f>IFERROR(__xludf.DUMMYFUNCTION("""COMPUTED_VALUE"""),"charlie")</f>
        <v>charlie</v>
      </c>
      <c r="AM94" s="49" t="str">
        <f>IFERROR(__xludf.DUMMYFUNCTION("""COMPUTED_VALUE"""),"mount")</f>
        <v>mount</v>
      </c>
      <c r="AN94" s="52" t="str">
        <f t="shared" si="5"/>
        <v>little,</v>
      </c>
    </row>
    <row r="95">
      <c r="A95" s="51" t="s">
        <v>311</v>
      </c>
      <c r="B95" s="50" t="s">
        <v>6638</v>
      </c>
      <c r="C95" s="50" t="s">
        <v>6288</v>
      </c>
      <c r="D95" s="49" t="str">
        <f>IFERROR(__xludf.DUMMYFUNCTION("""COMPUTED_VALUE"""),"another")</f>
        <v>another</v>
      </c>
      <c r="E95" s="49"/>
      <c r="F95" s="49" t="str">
        <f>IFERROR(__xludf.DUMMYFUNCTION("""COMPUTED_VALUE"""),"brooklyn")</f>
        <v>brooklyn</v>
      </c>
      <c r="G95" s="49" t="str">
        <f>IFERROR(__xludf.DUMMYFUNCTION("""COMPUTED_VALUE"""),"dual")</f>
        <v>dual</v>
      </c>
      <c r="H95" s="54" t="str">
        <f t="shared" si="1"/>
        <v>immediately,</v>
      </c>
      <c r="I95" s="50"/>
      <c r="J95" s="50" t="s">
        <v>538</v>
      </c>
      <c r="K95" s="50" t="s">
        <v>795</v>
      </c>
      <c r="L95" s="49" t="str">
        <f>IFERROR(__xludf.DUMMYFUNCTION("""COMPUTED_VALUE"""),"difficult")</f>
        <v>difficult</v>
      </c>
      <c r="M95" s="49" t="str">
        <f>IFERROR(__xludf.DUMMYFUNCTION("""COMPUTED_VALUE"""),"heroic")</f>
        <v>heroic</v>
      </c>
      <c r="N95" s="49" t="str">
        <f>IFERROR(__xludf.DUMMYFUNCTION("""COMPUTED_VALUE"""),"century")</f>
        <v>century</v>
      </c>
      <c r="O95" s="49" t="str">
        <f>IFERROR(__xludf.DUMMYFUNCTION("""COMPUTED_VALUE"""),"simulation")</f>
        <v>simulation</v>
      </c>
      <c r="P95" s="49" t="str">
        <f t="shared" si="2"/>
        <v>so,</v>
      </c>
      <c r="Q95" s="49"/>
      <c r="R95" s="50" t="s">
        <v>1513</v>
      </c>
      <c r="S95" s="55" t="s">
        <v>211</v>
      </c>
      <c r="T95" s="49" t="str">
        <f>IFERROR(__xludf.DUMMYFUNCTION("""COMPUTED_VALUE"""),"he")</f>
        <v>he</v>
      </c>
      <c r="U95" s="49" t="str">
        <f>IFERROR(__xludf.DUMMYFUNCTION("""COMPUTED_VALUE"""),"bitten")</f>
        <v>bitten</v>
      </c>
      <c r="V95" s="49" t="str">
        <f>IFERROR(__xludf.DUMMYFUNCTION("""COMPUTED_VALUE"""),"decade")</f>
        <v>decade</v>
      </c>
      <c r="W95" s="49" t="str">
        <f>IFERROR(__xludf.DUMMYFUNCTION("""COMPUTED_VALUE"""),"images")</f>
        <v>images</v>
      </c>
      <c r="X95" s="49" t="str">
        <f t="shared" si="3"/>
        <v>century,</v>
      </c>
      <c r="Y95" s="49"/>
      <c r="Z95" s="1" t="s">
        <v>777</v>
      </c>
      <c r="AA95" s="1" t="s">
        <v>789</v>
      </c>
      <c r="AB95" s="49" t="str">
        <f>IFERROR(__xludf.DUMMYFUNCTION("""COMPUTED_VALUE"""),"ways")</f>
        <v>ways</v>
      </c>
      <c r="AC95" s="49" t="str">
        <f>IFERROR(__xludf.DUMMYFUNCTION("""COMPUTED_VALUE"""),"represents")</f>
        <v>represents</v>
      </c>
      <c r="AD95" s="49" t="str">
        <f>IFERROR(__xludf.DUMMYFUNCTION("""COMPUTED_VALUE"""),"century")</f>
        <v>century</v>
      </c>
      <c r="AE95" s="49" t="str">
        <f>IFERROR(__xludf.DUMMYFUNCTION("""COMPUTED_VALUE"""),"simulation")</f>
        <v>simulation</v>
      </c>
      <c r="AF95" s="49" t="str">
        <f t="shared" si="4"/>
        <v>got,</v>
      </c>
      <c r="AG95" s="49"/>
      <c r="AH95" s="1" t="s">
        <v>528</v>
      </c>
      <c r="AI95" s="1" t="s">
        <v>445</v>
      </c>
      <c r="AJ95" s="6" t="str">
        <f>IFERROR(__xludf.DUMMYFUNCTION("""COMPUTED_VALUE"""),"got")</f>
        <v>got</v>
      </c>
      <c r="AK95" s="49"/>
      <c r="AL95" s="49" t="str">
        <f>IFERROR(__xludf.DUMMYFUNCTION("""COMPUTED_VALUE"""),"funeral")</f>
        <v>funeral</v>
      </c>
      <c r="AM95" s="49" t="str">
        <f>IFERROR(__xludf.DUMMYFUNCTION("""COMPUTED_VALUE"""),"discuss")</f>
        <v>discuss</v>
      </c>
      <c r="AN95" s="52" t="str">
        <f t="shared" si="5"/>
        <v>few,</v>
      </c>
    </row>
    <row r="96">
      <c r="A96" s="51" t="s">
        <v>796</v>
      </c>
      <c r="B96" s="50" t="s">
        <v>2776</v>
      </c>
      <c r="C96" s="50" t="s">
        <v>614</v>
      </c>
      <c r="D96" s="49" t="str">
        <f>IFERROR(__xludf.DUMMYFUNCTION("""COMPUTED_VALUE"""),"best")</f>
        <v>best</v>
      </c>
      <c r="E96" s="49"/>
      <c r="F96" s="49" t="str">
        <f>IFERROR(__xludf.DUMMYFUNCTION("""COMPUTED_VALUE"""),"ho")</f>
        <v>ho</v>
      </c>
      <c r="G96" s="49" t="str">
        <f>IFERROR(__xludf.DUMMYFUNCTION("""COMPUTED_VALUE"""),"hybrid")</f>
        <v>hybrid</v>
      </c>
      <c r="H96" s="54" t="str">
        <f t="shared" si="1"/>
        <v>wrong,</v>
      </c>
      <c r="I96" s="50"/>
      <c r="J96" s="50" t="s">
        <v>65</v>
      </c>
      <c r="K96" s="50" t="s">
        <v>803</v>
      </c>
      <c r="L96" s="49" t="str">
        <f>IFERROR(__xludf.DUMMYFUNCTION("""COMPUTED_VALUE"""),"built")</f>
        <v>built</v>
      </c>
      <c r="M96" s="49" t="str">
        <f>IFERROR(__xludf.DUMMYFUNCTION("""COMPUTED_VALUE"""),"effectively")</f>
        <v>effectively</v>
      </c>
      <c r="N96" s="49" t="str">
        <f>IFERROR(__xludf.DUMMYFUNCTION("""COMPUTED_VALUE"""),"beat")</f>
        <v>beat</v>
      </c>
      <c r="O96" s="49" t="str">
        <f>IFERROR(__xludf.DUMMYFUNCTION("""COMPUTED_VALUE"""),"descends")</f>
        <v>descends</v>
      </c>
      <c r="P96" s="49" t="str">
        <f t="shared" si="2"/>
        <v>up,</v>
      </c>
      <c r="Q96" s="49"/>
      <c r="R96" s="50" t="s">
        <v>58</v>
      </c>
      <c r="S96" s="55" t="s">
        <v>679</v>
      </c>
      <c r="T96" s="49">
        <f>IFERROR(__xludf.DUMMYFUNCTION("""COMPUTED_VALUE"""),13.0)</f>
        <v>13</v>
      </c>
      <c r="U96" s="49" t="str">
        <f>IFERROR(__xludf.DUMMYFUNCTION("""COMPUTED_VALUE"""),"transformed")</f>
        <v>transformed</v>
      </c>
      <c r="V96" s="49" t="str">
        <f>IFERROR(__xludf.DUMMYFUNCTION("""COMPUTED_VALUE"""),"marks")</f>
        <v>marks</v>
      </c>
      <c r="W96" s="49" t="str">
        <f>IFERROR(__xludf.DUMMYFUNCTION("""COMPUTED_VALUE"""),"titles")</f>
        <v>titles</v>
      </c>
      <c r="X96" s="49" t="str">
        <f t="shared" si="3"/>
        <v>from,</v>
      </c>
      <c r="Y96" s="49"/>
      <c r="Z96" s="1" t="s">
        <v>2008</v>
      </c>
      <c r="AA96" s="1" t="s">
        <v>797</v>
      </c>
      <c r="AB96" s="49" t="str">
        <f>IFERROR(__xludf.DUMMYFUNCTION("""COMPUTED_VALUE"""),"dude")</f>
        <v>dude</v>
      </c>
      <c r="AC96" s="49" t="str">
        <f>IFERROR(__xludf.DUMMYFUNCTION("""COMPUTED_VALUE"""),"exploitation")</f>
        <v>exploitation</v>
      </c>
      <c r="AD96" s="49" t="str">
        <f>IFERROR(__xludf.DUMMYFUNCTION("""COMPUTED_VALUE"""),"beat")</f>
        <v>beat</v>
      </c>
      <c r="AE96" s="49" t="str">
        <f>IFERROR(__xludf.DUMMYFUNCTION("""COMPUTED_VALUE"""),"descends")</f>
        <v>descends</v>
      </c>
      <c r="AF96" s="49" t="str">
        <f t="shared" si="4"/>
        <v>here,</v>
      </c>
      <c r="AG96" s="49"/>
      <c r="AH96" s="1" t="s">
        <v>777</v>
      </c>
      <c r="AI96" s="1" t="s">
        <v>523</v>
      </c>
      <c r="AJ96" s="6" t="str">
        <f>IFERROR(__xludf.DUMMYFUNCTION("""COMPUTED_VALUE"""),"within")</f>
        <v>within</v>
      </c>
      <c r="AK96" s="49"/>
      <c r="AL96" s="49" t="str">
        <f>IFERROR(__xludf.DUMMYFUNCTION("""COMPUTED_VALUE"""),"slide")</f>
        <v>slide</v>
      </c>
      <c r="AM96" s="49" t="str">
        <f>IFERROR(__xludf.DUMMYFUNCTION("""COMPUTED_VALUE"""),"flower")</f>
        <v>flower</v>
      </c>
      <c r="AN96" s="52" t="str">
        <f t="shared" si="5"/>
        <v>got,</v>
      </c>
    </row>
    <row r="97">
      <c r="A97" s="51" t="s">
        <v>259</v>
      </c>
      <c r="B97" s="50" t="s">
        <v>3645</v>
      </c>
      <c r="C97" s="50" t="s">
        <v>258</v>
      </c>
      <c r="D97" s="49" t="str">
        <f>IFERROR(__xludf.DUMMYFUNCTION("""COMPUTED_VALUE"""),"theme")</f>
        <v>theme</v>
      </c>
      <c r="E97" s="49"/>
      <c r="F97" s="49" t="str">
        <f>IFERROR(__xludf.DUMMYFUNCTION("""COMPUTED_VALUE"""),"boundary")</f>
        <v>boundary</v>
      </c>
      <c r="G97" s="49" t="str">
        <f>IFERROR(__xludf.DUMMYFUNCTION("""COMPUTED_VALUE"""),"flow")</f>
        <v>flow</v>
      </c>
      <c r="H97" s="54" t="str">
        <f t="shared" si="1"/>
        <v>evidence,</v>
      </c>
      <c r="I97" s="50"/>
      <c r="J97" s="50" t="s">
        <v>6318</v>
      </c>
      <c r="K97" s="50" t="s">
        <v>638</v>
      </c>
      <c r="L97" s="49" t="str">
        <f>IFERROR(__xludf.DUMMYFUNCTION("""COMPUTED_VALUE"""),"actor")</f>
        <v>actor</v>
      </c>
      <c r="M97" s="49" t="str">
        <f>IFERROR(__xludf.DUMMYFUNCTION("""COMPUTED_VALUE"""),"strains")</f>
        <v>strains</v>
      </c>
      <c r="N97" s="49" t="str">
        <f>IFERROR(__xludf.DUMMYFUNCTION("""COMPUTED_VALUE"""),"both")</f>
        <v>both</v>
      </c>
      <c r="O97" s="49" t="str">
        <f>IFERROR(__xludf.DUMMYFUNCTION("""COMPUTED_VALUE"""),"derivative")</f>
        <v>derivative</v>
      </c>
      <c r="P97" s="49" t="str">
        <f t="shared" si="2"/>
        <v>under,</v>
      </c>
      <c r="Q97" s="49"/>
      <c r="R97" s="50" t="s">
        <v>258</v>
      </c>
      <c r="S97" s="55" t="s">
        <v>1222</v>
      </c>
      <c r="T97" s="49" t="str">
        <f>IFERROR(__xludf.DUMMYFUNCTION("""COMPUTED_VALUE"""),"writer")</f>
        <v>writer</v>
      </c>
      <c r="U97" s="49" t="str">
        <f>IFERROR(__xludf.DUMMYFUNCTION("""COMPUTED_VALUE"""),"examines")</f>
        <v>examines</v>
      </c>
      <c r="V97" s="49" t="str">
        <f>IFERROR(__xludf.DUMMYFUNCTION("""COMPUTED_VALUE"""),"scott")</f>
        <v>scott</v>
      </c>
      <c r="W97" s="49" t="str">
        <f>IFERROR(__xludf.DUMMYFUNCTION("""COMPUTED_VALUE"""),"mystery")</f>
        <v>mystery</v>
      </c>
      <c r="X97" s="49" t="str">
        <f t="shared" si="3"/>
        <v>year,</v>
      </c>
      <c r="Y97" s="49"/>
      <c r="Z97" s="1" t="s">
        <v>1314</v>
      </c>
      <c r="AA97" s="1" t="s">
        <v>143</v>
      </c>
      <c r="AB97" s="49" t="str">
        <f>IFERROR(__xludf.DUMMYFUNCTION("""COMPUTED_VALUE"""),"french")</f>
        <v>french</v>
      </c>
      <c r="AC97" s="49" t="str">
        <f>IFERROR(__xludf.DUMMYFUNCTION("""COMPUTED_VALUE"""),"triumph")</f>
        <v>triumph</v>
      </c>
      <c r="AD97" s="49" t="str">
        <f>IFERROR(__xludf.DUMMYFUNCTION("""COMPUTED_VALUE"""),"both")</f>
        <v>both</v>
      </c>
      <c r="AE97" s="49" t="str">
        <f>IFERROR(__xludf.DUMMYFUNCTION("""COMPUTED_VALUE"""),"derivative")</f>
        <v>derivative</v>
      </c>
      <c r="AF97" s="49" t="str">
        <f t="shared" si="4"/>
        <v>across,</v>
      </c>
      <c r="AG97" s="49"/>
      <c r="AH97" s="1" t="s">
        <v>1200</v>
      </c>
      <c r="AI97" s="1" t="s">
        <v>400</v>
      </c>
      <c r="AJ97" s="6" t="str">
        <f>IFERROR(__xludf.DUMMYFUNCTION("""COMPUTED_VALUE"""),"why")</f>
        <v>why</v>
      </c>
      <c r="AK97" s="49"/>
      <c r="AL97" s="49" t="str">
        <f>IFERROR(__xludf.DUMMYFUNCTION("""COMPUTED_VALUE"""),"health")</f>
        <v>health</v>
      </c>
      <c r="AM97" s="49" t="str">
        <f>IFERROR(__xludf.DUMMYFUNCTION("""COMPUTED_VALUE"""),"bearing")</f>
        <v>bearing</v>
      </c>
      <c r="AN97" s="52" t="str">
        <f t="shared" si="5"/>
        <v>within,</v>
      </c>
    </row>
    <row r="98">
      <c r="A98" s="51" t="s">
        <v>561</v>
      </c>
      <c r="B98" s="50" t="s">
        <v>4153</v>
      </c>
      <c r="C98" s="50" t="s">
        <v>261</v>
      </c>
      <c r="D98" s="49" t="str">
        <f>IFERROR(__xludf.DUMMYFUNCTION("""COMPUTED_VALUE"""),"funny")</f>
        <v>funny</v>
      </c>
      <c r="E98" s="49"/>
      <c r="F98" s="49" t="str">
        <f>IFERROR(__xludf.DUMMYFUNCTION("""COMPUTED_VALUE"""),"creator")</f>
        <v>creator</v>
      </c>
      <c r="G98" s="49" t="str">
        <f>IFERROR(__xludf.DUMMYFUNCTION("""COMPUTED_VALUE"""),"participation")</f>
        <v>participation</v>
      </c>
      <c r="H98" s="54" t="str">
        <f t="shared" si="1"/>
        <v>nice,</v>
      </c>
      <c r="I98" s="50"/>
      <c r="J98" s="50" t="s">
        <v>400</v>
      </c>
      <c r="K98" s="50" t="s">
        <v>813</v>
      </c>
      <c r="L98" s="49" t="str">
        <f>IFERROR(__xludf.DUMMYFUNCTION("""COMPUTED_VALUE"""),"painfully")</f>
        <v>painfully</v>
      </c>
      <c r="M98" s="49" t="str">
        <f>IFERROR(__xludf.DUMMYFUNCTION("""COMPUTED_VALUE"""),"fiercely")</f>
        <v>fiercely</v>
      </c>
      <c r="N98" s="49" t="str">
        <f>IFERROR(__xludf.DUMMYFUNCTION("""COMPUTED_VALUE"""),"he")</f>
        <v>he</v>
      </c>
      <c r="O98" s="49" t="str">
        <f>IFERROR(__xludf.DUMMYFUNCTION("""COMPUTED_VALUE"""),"sequel")</f>
        <v>sequel</v>
      </c>
      <c r="P98" s="49" t="str">
        <f t="shared" si="2"/>
        <v>by,</v>
      </c>
      <c r="Q98" s="49"/>
      <c r="R98" s="50" t="s">
        <v>883</v>
      </c>
      <c r="S98" s="55" t="s">
        <v>559</v>
      </c>
      <c r="T98" s="49" t="str">
        <f>IFERROR(__xludf.DUMMYFUNCTION("""COMPUTED_VALUE"""),"title")</f>
        <v>title</v>
      </c>
      <c r="U98" s="49" t="str">
        <f>IFERROR(__xludf.DUMMYFUNCTION("""COMPUTED_VALUE"""),"formed")</f>
        <v>formed</v>
      </c>
      <c r="V98" s="49" t="str">
        <f>IFERROR(__xludf.DUMMYFUNCTION("""COMPUTED_VALUE"""),"members")</f>
        <v>members</v>
      </c>
      <c r="W98" s="49" t="str">
        <f>IFERROR(__xludf.DUMMYFUNCTION("""COMPUTED_VALUE"""),"other")</f>
        <v>other</v>
      </c>
      <c r="X98" s="49" t="str">
        <f t="shared" si="3"/>
        <v>lively,</v>
      </c>
      <c r="Y98" s="49"/>
      <c r="Z98" s="1" t="s">
        <v>148</v>
      </c>
      <c r="AA98" s="1" t="s">
        <v>433</v>
      </c>
      <c r="AB98" s="49" t="str">
        <f>IFERROR(__xludf.DUMMYFUNCTION("""COMPUTED_VALUE"""),"eyes")</f>
        <v>eyes</v>
      </c>
      <c r="AC98" s="49" t="str">
        <f>IFERROR(__xludf.DUMMYFUNCTION("""COMPUTED_VALUE"""),"capture")</f>
        <v>capture</v>
      </c>
      <c r="AD98" s="49" t="str">
        <f>IFERROR(__xludf.DUMMYFUNCTION("""COMPUTED_VALUE"""),"he")</f>
        <v>he</v>
      </c>
      <c r="AE98" s="49" t="str">
        <f>IFERROR(__xludf.DUMMYFUNCTION("""COMPUTED_VALUE"""),"sequel")</f>
        <v>sequel</v>
      </c>
      <c r="AF98" s="49" t="str">
        <f t="shared" si="4"/>
        <v>back,</v>
      </c>
      <c r="AG98" s="49"/>
      <c r="AH98" s="1" t="s">
        <v>1456</v>
      </c>
      <c r="AI98" s="1" t="s">
        <v>575</v>
      </c>
      <c r="AJ98" s="6" t="str">
        <f>IFERROR(__xludf.DUMMYFUNCTION("""COMPUTED_VALUE"""),"power")</f>
        <v>power</v>
      </c>
      <c r="AK98" s="49"/>
      <c r="AL98" s="49" t="str">
        <f>IFERROR(__xludf.DUMMYFUNCTION("""COMPUTED_VALUE"""),"holland")</f>
        <v>holland</v>
      </c>
      <c r="AM98" s="49" t="str">
        <f>IFERROR(__xludf.DUMMYFUNCTION("""COMPUTED_VALUE"""),"operational")</f>
        <v>operational</v>
      </c>
      <c r="AN98" s="52" t="str">
        <f t="shared" si="5"/>
        <v>why,</v>
      </c>
    </row>
    <row r="99">
      <c r="A99" s="51" t="s">
        <v>774</v>
      </c>
      <c r="B99" s="50" t="s">
        <v>554</v>
      </c>
      <c r="C99" s="50" t="s">
        <v>664</v>
      </c>
      <c r="D99" s="49" t="str">
        <f>IFERROR(__xludf.DUMMYFUNCTION("""COMPUTED_VALUE"""),"think")</f>
        <v>think</v>
      </c>
      <c r="E99" s="49"/>
      <c r="F99" s="49" t="str">
        <f>IFERROR(__xludf.DUMMYFUNCTION("""COMPUTED_VALUE"""),"ac")</f>
        <v>ac</v>
      </c>
      <c r="G99" s="49" t="str">
        <f>IFERROR(__xludf.DUMMYFUNCTION("""COMPUTED_VALUE"""),"yale")</f>
        <v>yale</v>
      </c>
      <c r="H99" s="54" t="str">
        <f t="shared" si="1"/>
        <v>seem,</v>
      </c>
      <c r="I99" s="50"/>
      <c r="J99" s="50" t="s">
        <v>269</v>
      </c>
      <c r="K99" s="50" t="s">
        <v>819</v>
      </c>
      <c r="L99" s="49" t="str">
        <f>IFERROR(__xludf.DUMMYFUNCTION("""COMPUTED_VALUE"""),"reflection")</f>
        <v>reflection</v>
      </c>
      <c r="M99" s="49" t="str">
        <f>IFERROR(__xludf.DUMMYFUNCTION("""COMPUTED_VALUE"""),"ordeal")</f>
        <v>ordeal</v>
      </c>
      <c r="N99" s="49" t="str">
        <f>IFERROR(__xludf.DUMMYFUNCTION("""COMPUTED_VALUE"""),"produce")</f>
        <v>produce</v>
      </c>
      <c r="O99" s="49" t="str">
        <f>IFERROR(__xludf.DUMMYFUNCTION("""COMPUTED_VALUE"""),"archives")</f>
        <v>archives</v>
      </c>
      <c r="P99" s="49" t="str">
        <f t="shared" si="2"/>
        <v>are,</v>
      </c>
      <c r="Q99" s="49"/>
      <c r="R99" s="50" t="s">
        <v>299</v>
      </c>
      <c r="S99" s="55" t="s">
        <v>532</v>
      </c>
      <c r="T99" s="49" t="str">
        <f>IFERROR(__xludf.DUMMYFUNCTION("""COMPUTED_VALUE"""),"off")</f>
        <v>off</v>
      </c>
      <c r="U99" s="49" t="str">
        <f>IFERROR(__xludf.DUMMYFUNCTION("""COMPUTED_VALUE"""),"precise")</f>
        <v>precise</v>
      </c>
      <c r="V99" s="49" t="str">
        <f>IFERROR(__xludf.DUMMYFUNCTION("""COMPUTED_VALUE"""),"douglas")</f>
        <v>douglas</v>
      </c>
      <c r="W99" s="49" t="str">
        <f>IFERROR(__xludf.DUMMYFUNCTION("""COMPUTED_VALUE"""),"late")</f>
        <v>late</v>
      </c>
      <c r="X99" s="49" t="str">
        <f t="shared" si="3"/>
        <v>best,</v>
      </c>
      <c r="Y99" s="49"/>
      <c r="Z99" s="1" t="s">
        <v>1456</v>
      </c>
      <c r="AA99" s="1" t="s">
        <v>163</v>
      </c>
      <c r="AB99" s="49" t="str">
        <f>IFERROR(__xludf.DUMMYFUNCTION("""COMPUTED_VALUE"""),"revenge")</f>
        <v>revenge</v>
      </c>
      <c r="AC99" s="49" t="str">
        <f>IFERROR(__xludf.DUMMYFUNCTION("""COMPUTED_VALUE"""),"fascination")</f>
        <v>fascination</v>
      </c>
      <c r="AD99" s="49" t="str">
        <f>IFERROR(__xludf.DUMMYFUNCTION("""COMPUTED_VALUE"""),"produce")</f>
        <v>produce</v>
      </c>
      <c r="AE99" s="49" t="str">
        <f>IFERROR(__xludf.DUMMYFUNCTION("""COMPUTED_VALUE"""),"archives")</f>
        <v>archives</v>
      </c>
      <c r="AF99" s="49" t="str">
        <f t="shared" si="4"/>
        <v>why,</v>
      </c>
      <c r="AG99" s="49"/>
      <c r="AH99" s="1" t="s">
        <v>537</v>
      </c>
      <c r="AI99" s="1" t="s">
        <v>184</v>
      </c>
      <c r="AJ99" s="6" t="str">
        <f>IFERROR(__xludf.DUMMYFUNCTION("""COMPUTED_VALUE"""),"across")</f>
        <v>across</v>
      </c>
      <c r="AK99" s="49"/>
      <c r="AL99" s="49" t="str">
        <f>IFERROR(__xludf.DUMMYFUNCTION("""COMPUTED_VALUE"""),"beating")</f>
        <v>beating</v>
      </c>
      <c r="AM99" s="49" t="str">
        <f>IFERROR(__xludf.DUMMYFUNCTION("""COMPUTED_VALUE"""),"yesterday")</f>
        <v>yesterday</v>
      </c>
      <c r="AN99" s="52" t="str">
        <f t="shared" si="5"/>
        <v>power,</v>
      </c>
    </row>
    <row r="100">
      <c r="A100" s="51" t="s">
        <v>820</v>
      </c>
      <c r="B100" s="50" t="s">
        <v>6679</v>
      </c>
      <c r="C100" s="50" t="s">
        <v>299</v>
      </c>
      <c r="D100" s="49" t="str">
        <f>IFERROR(__xludf.DUMMYFUNCTION("""COMPUTED_VALUE"""),"real")</f>
        <v>real</v>
      </c>
      <c r="E100" s="49"/>
      <c r="F100" s="49" t="str">
        <f>IFERROR(__xludf.DUMMYFUNCTION("""COMPUTED_VALUE"""),"england")</f>
        <v>england</v>
      </c>
      <c r="G100" s="49" t="str">
        <f>IFERROR(__xludf.DUMMYFUNCTION("""COMPUTED_VALUE"""),"identification")</f>
        <v>identification</v>
      </c>
      <c r="H100" s="54" t="str">
        <f t="shared" si="1"/>
        <v>tells,</v>
      </c>
      <c r="I100" s="50"/>
      <c r="J100" s="50" t="s">
        <v>235</v>
      </c>
      <c r="K100" s="50" t="s">
        <v>339</v>
      </c>
      <c r="L100" s="49" t="str">
        <f>IFERROR(__xludf.DUMMYFUNCTION("""COMPUTED_VALUE"""),"accurate")</f>
        <v>accurate</v>
      </c>
      <c r="M100" s="49" t="str">
        <f>IFERROR(__xludf.DUMMYFUNCTION("""COMPUTED_VALUE"""),"humming")</f>
        <v>humming</v>
      </c>
      <c r="N100" s="49" t="str">
        <f>IFERROR(__xludf.DUMMYFUNCTION("""COMPUTED_VALUE"""),"falls")</f>
        <v>falls</v>
      </c>
      <c r="O100" s="49" t="str">
        <f>IFERROR(__xludf.DUMMYFUNCTION("""COMPUTED_VALUE"""),"fights")</f>
        <v>fights</v>
      </c>
      <c r="P100" s="49" t="str">
        <f t="shared" si="2"/>
        <v>as,</v>
      </c>
      <c r="Q100" s="49"/>
      <c r="R100" s="50" t="s">
        <v>6342</v>
      </c>
      <c r="S100" s="55" t="s">
        <v>61</v>
      </c>
      <c r="T100" s="49" t="str">
        <f>IFERROR(__xludf.DUMMYFUNCTION("""COMPUTED_VALUE"""),"whole")</f>
        <v>whole</v>
      </c>
      <c r="U100" s="49" t="str">
        <f>IFERROR(__xludf.DUMMYFUNCTION("""COMPUTED_VALUE"""),"bolt")</f>
        <v>bolt</v>
      </c>
      <c r="V100" s="49" t="str">
        <f>IFERROR(__xludf.DUMMYFUNCTION("""COMPUTED_VALUE"""),"island")</f>
        <v>island</v>
      </c>
      <c r="W100" s="49" t="str">
        <f>IFERROR(__xludf.DUMMYFUNCTION("""COMPUTED_VALUE"""),"concert")</f>
        <v>concert</v>
      </c>
      <c r="X100" s="49" t="str">
        <f t="shared" si="3"/>
        <v>beat,</v>
      </c>
      <c r="Y100" s="49"/>
      <c r="Z100" s="1" t="s">
        <v>517</v>
      </c>
      <c r="AA100" s="1" t="s">
        <v>821</v>
      </c>
      <c r="AB100" s="49" t="str">
        <f>IFERROR(__xludf.DUMMYFUNCTION("""COMPUTED_VALUE"""),"where")</f>
        <v>where</v>
      </c>
      <c r="AC100" s="49" t="str">
        <f>IFERROR(__xludf.DUMMYFUNCTION("""COMPUTED_VALUE"""),"directorial")</f>
        <v>directorial</v>
      </c>
      <c r="AD100" s="49" t="str">
        <f>IFERROR(__xludf.DUMMYFUNCTION("""COMPUTED_VALUE"""),"falls")</f>
        <v>falls</v>
      </c>
      <c r="AE100" s="49" t="str">
        <f>IFERROR(__xludf.DUMMYFUNCTION("""COMPUTED_VALUE"""),"fights")</f>
        <v>fights</v>
      </c>
      <c r="AF100" s="49" t="str">
        <f t="shared" si="4"/>
        <v>sequences,</v>
      </c>
      <c r="AG100" s="49"/>
      <c r="AH100" s="1" t="s">
        <v>1314</v>
      </c>
      <c r="AI100" s="1" t="s">
        <v>466</v>
      </c>
      <c r="AJ100" s="6" t="str">
        <f>IFERROR(__xludf.DUMMYFUNCTION("""COMPUTED_VALUE"""),"really")</f>
        <v>really</v>
      </c>
      <c r="AK100" s="49"/>
      <c r="AL100" s="49" t="str">
        <f>IFERROR(__xludf.DUMMYFUNCTION("""COMPUTED_VALUE"""),"affect")</f>
        <v>affect</v>
      </c>
      <c r="AM100" s="49" t="str">
        <f>IFERROR(__xludf.DUMMYFUNCTION("""COMPUTED_VALUE"""),"awareness")</f>
        <v>awareness</v>
      </c>
      <c r="AN100" s="52" t="str">
        <f t="shared" si="5"/>
        <v>across,</v>
      </c>
    </row>
    <row r="101">
      <c r="A101" s="51" t="s">
        <v>826</v>
      </c>
      <c r="B101" s="50" t="s">
        <v>1443</v>
      </c>
      <c r="C101" s="50" t="s">
        <v>284</v>
      </c>
      <c r="D101" s="49" t="str">
        <f>IFERROR(__xludf.DUMMYFUNCTION("""COMPUTED_VALUE"""),"issues")</f>
        <v>issues</v>
      </c>
      <c r="E101" s="49"/>
      <c r="F101" s="49" t="str">
        <f>IFERROR(__xludf.DUMMYFUNCTION("""COMPUTED_VALUE"""),"refer")</f>
        <v>refer</v>
      </c>
      <c r="G101" s="49" t="str">
        <f>IFERROR(__xludf.DUMMYFUNCTION("""COMPUTED_VALUE"""),"hotels")</f>
        <v>hotels</v>
      </c>
      <c r="H101" s="54" t="str">
        <f t="shared" si="1"/>
        <v>gets,</v>
      </c>
      <c r="I101" s="50"/>
      <c r="J101" s="50" t="s">
        <v>129</v>
      </c>
      <c r="K101" s="50" t="s">
        <v>833</v>
      </c>
      <c r="L101" s="49" t="str">
        <f>IFERROR(__xludf.DUMMYFUNCTION("""COMPUTED_VALUE"""),"nearly")</f>
        <v>nearly</v>
      </c>
      <c r="M101" s="49" t="str">
        <f>IFERROR(__xludf.DUMMYFUNCTION("""COMPUTED_VALUE"""),"satisfactory")</f>
        <v>satisfactory</v>
      </c>
      <c r="N101" s="49" t="str">
        <f>IFERROR(__xludf.DUMMYFUNCTION("""COMPUTED_VALUE"""),"love")</f>
        <v>love</v>
      </c>
      <c r="O101" s="49" t="str">
        <f>IFERROR(__xludf.DUMMYFUNCTION("""COMPUTED_VALUE"""),"compelling")</f>
        <v>compelling</v>
      </c>
      <c r="P101" s="49" t="str">
        <f t="shared" si="2"/>
        <v>more,</v>
      </c>
      <c r="Q101" s="49"/>
      <c r="R101" s="50" t="s">
        <v>4491</v>
      </c>
      <c r="S101" s="55" t="s">
        <v>218</v>
      </c>
      <c r="T101" s="49">
        <f>IFERROR(__xludf.DUMMYFUNCTION("""COMPUTED_VALUE"""),4.0)</f>
        <v>4</v>
      </c>
      <c r="U101" s="49" t="str">
        <f>IFERROR(__xludf.DUMMYFUNCTION("""COMPUTED_VALUE"""),"fiercely")</f>
        <v>fiercely</v>
      </c>
      <c r="V101" s="49" t="str">
        <f>IFERROR(__xludf.DUMMYFUNCTION("""COMPUTED_VALUE"""),"effects")</f>
        <v>effects</v>
      </c>
      <c r="W101" s="49" t="str">
        <f>IFERROR(__xludf.DUMMYFUNCTION("""COMPUTED_VALUE"""),"fluid")</f>
        <v>fluid</v>
      </c>
      <c r="X101" s="49" t="str">
        <f t="shared" si="3"/>
        <v>production,</v>
      </c>
      <c r="Y101" s="49"/>
      <c r="Z101" s="1" t="s">
        <v>6307</v>
      </c>
      <c r="AA101" s="1" t="s">
        <v>827</v>
      </c>
      <c r="AB101" s="49" t="str">
        <f>IFERROR(__xludf.DUMMYFUNCTION("""COMPUTED_VALUE"""),"evil")</f>
        <v>evil</v>
      </c>
      <c r="AC101" s="49" t="str">
        <f>IFERROR(__xludf.DUMMYFUNCTION("""COMPUTED_VALUE"""),"misery")</f>
        <v>misery</v>
      </c>
      <c r="AD101" s="49" t="str">
        <f>IFERROR(__xludf.DUMMYFUNCTION("""COMPUTED_VALUE"""),"love")</f>
        <v>love</v>
      </c>
      <c r="AE101" s="49" t="str">
        <f>IFERROR(__xludf.DUMMYFUNCTION("""COMPUTED_VALUE"""),"compelling")</f>
        <v>compelling</v>
      </c>
      <c r="AF101" s="49" t="str">
        <f t="shared" si="4"/>
        <v>we,</v>
      </c>
      <c r="AG101" s="49"/>
      <c r="AH101" s="1" t="s">
        <v>437</v>
      </c>
      <c r="AI101" s="1" t="s">
        <v>458</v>
      </c>
      <c r="AJ101" s="6" t="str">
        <f>IFERROR(__xludf.DUMMYFUNCTION("""COMPUTED_VALUE"""),"story")</f>
        <v>story</v>
      </c>
      <c r="AK101" s="49"/>
      <c r="AL101" s="49" t="str">
        <f>IFERROR(__xludf.DUMMYFUNCTION("""COMPUTED_VALUE"""),"co")</f>
        <v>co</v>
      </c>
      <c r="AM101" s="49" t="str">
        <f>IFERROR(__xludf.DUMMYFUNCTION("""COMPUTED_VALUE"""),"spider")</f>
        <v>spider</v>
      </c>
      <c r="AN101" s="52" t="str">
        <f t="shared" si="5"/>
        <v>really,</v>
      </c>
    </row>
    <row r="102">
      <c r="A102" s="51" t="s">
        <v>834</v>
      </c>
      <c r="B102" s="50" t="s">
        <v>1089</v>
      </c>
      <c r="C102" s="50" t="s">
        <v>276</v>
      </c>
      <c r="D102" s="49" t="str">
        <f>IFERROR(__xludf.DUMMYFUNCTION("""COMPUTED_VALUE"""),"marriage")</f>
        <v>marriage</v>
      </c>
      <c r="E102" s="49"/>
      <c r="F102" s="49" t="str">
        <f>IFERROR(__xludf.DUMMYFUNCTION("""COMPUTED_VALUE"""),"jean")</f>
        <v>jean</v>
      </c>
      <c r="G102" s="49" t="str">
        <f>IFERROR(__xludf.DUMMYFUNCTION("""COMPUTED_VALUE"""),"affected")</f>
        <v>affected</v>
      </c>
      <c r="H102" s="54" t="str">
        <f t="shared" si="1"/>
        <v>sounds,</v>
      </c>
      <c r="I102" s="50"/>
      <c r="J102" s="50" t="s">
        <v>841</v>
      </c>
      <c r="K102" s="50" t="s">
        <v>839</v>
      </c>
      <c r="L102" s="49" t="str">
        <f>IFERROR(__xludf.DUMMYFUNCTION("""COMPUTED_VALUE"""),"mean")</f>
        <v>mean</v>
      </c>
      <c r="M102" s="49"/>
      <c r="N102" s="49" t="str">
        <f>IFERROR(__xludf.DUMMYFUNCTION("""COMPUTED_VALUE"""),"endless")</f>
        <v>endless</v>
      </c>
      <c r="O102" s="49" t="str">
        <f>IFERROR(__xludf.DUMMYFUNCTION("""COMPUTED_VALUE"""),"procession")</f>
        <v>procession</v>
      </c>
      <c r="P102" s="49" t="str">
        <f t="shared" si="2"/>
        <v>these,</v>
      </c>
      <c r="Q102" s="49"/>
      <c r="R102" s="50" t="s">
        <v>211</v>
      </c>
      <c r="S102" s="55" t="s">
        <v>568</v>
      </c>
      <c r="T102" s="49" t="str">
        <f>IFERROR(__xludf.DUMMYFUNCTION("""COMPUTED_VALUE"""),"something")</f>
        <v>something</v>
      </c>
      <c r="U102" s="49" t="str">
        <f>IFERROR(__xludf.DUMMYFUNCTION("""COMPUTED_VALUE"""),"humming")</f>
        <v>humming</v>
      </c>
      <c r="V102" s="49" t="str">
        <f>IFERROR(__xludf.DUMMYFUNCTION("""COMPUTED_VALUE"""),"edward")</f>
        <v>edward</v>
      </c>
      <c r="W102" s="49" t="str">
        <f>IFERROR(__xludf.DUMMYFUNCTION("""COMPUTED_VALUE"""),"ron")</f>
        <v>ron</v>
      </c>
      <c r="X102" s="49" t="str">
        <f t="shared" si="3"/>
        <v>cast,</v>
      </c>
      <c r="Y102" s="49"/>
      <c r="Z102" s="1" t="s">
        <v>528</v>
      </c>
      <c r="AA102" s="1" t="s">
        <v>776</v>
      </c>
      <c r="AB102" s="49" t="str">
        <f>IFERROR(__xludf.DUMMYFUNCTION("""COMPUTED_VALUE"""),"before")</f>
        <v>before</v>
      </c>
      <c r="AC102" s="49" t="str">
        <f>IFERROR(__xludf.DUMMYFUNCTION("""COMPUTED_VALUE"""),"pity")</f>
        <v>pity</v>
      </c>
      <c r="AD102" s="49" t="str">
        <f>IFERROR(__xludf.DUMMYFUNCTION("""COMPUTED_VALUE"""),"endless")</f>
        <v>endless</v>
      </c>
      <c r="AE102" s="49" t="str">
        <f>IFERROR(__xludf.DUMMYFUNCTION("""COMPUTED_VALUE"""),"procession")</f>
        <v>procession</v>
      </c>
      <c r="AF102" s="49" t="str">
        <f t="shared" si="4"/>
        <v>few,</v>
      </c>
      <c r="AG102" s="49"/>
      <c r="AH102" s="1" t="s">
        <v>132</v>
      </c>
      <c r="AI102" s="1" t="s">
        <v>2389</v>
      </c>
      <c r="AJ102" s="6" t="str">
        <f>IFERROR(__xludf.DUMMYFUNCTION("""COMPUTED_VALUE"""),"william")</f>
        <v>william</v>
      </c>
      <c r="AK102" s="49"/>
      <c r="AL102" s="49" t="str">
        <f>IFERROR(__xludf.DUMMYFUNCTION("""COMPUTED_VALUE"""),"metal")</f>
        <v>metal</v>
      </c>
      <c r="AM102" s="49" t="str">
        <f>IFERROR(__xludf.DUMMYFUNCTION("""COMPUTED_VALUE"""),"establishing")</f>
        <v>establishing</v>
      </c>
      <c r="AN102" s="52" t="str">
        <f t="shared" si="5"/>
        <v>story,</v>
      </c>
    </row>
    <row r="103">
      <c r="A103" s="51" t="s">
        <v>840</v>
      </c>
      <c r="B103" s="50" t="s">
        <v>6007</v>
      </c>
      <c r="C103" s="50" t="s">
        <v>683</v>
      </c>
      <c r="D103" s="49" t="str">
        <f>IFERROR(__xludf.DUMMYFUNCTION("""COMPUTED_VALUE"""),"liked")</f>
        <v>liked</v>
      </c>
      <c r="E103" s="49"/>
      <c r="F103" s="49" t="str">
        <f>IFERROR(__xludf.DUMMYFUNCTION("""COMPUTED_VALUE"""),"broke")</f>
        <v>broke</v>
      </c>
      <c r="G103" s="49" t="str">
        <f>IFERROR(__xludf.DUMMYFUNCTION("""COMPUTED_VALUE"""),"workshops")</f>
        <v>workshops</v>
      </c>
      <c r="H103" s="54" t="str">
        <f t="shared" si="1"/>
        <v>squad,</v>
      </c>
      <c r="I103" s="50"/>
      <c r="J103" s="50" t="s">
        <v>1103</v>
      </c>
      <c r="K103" s="50" t="s">
        <v>141</v>
      </c>
      <c r="L103" s="49" t="str">
        <f>IFERROR(__xludf.DUMMYFUNCTION("""COMPUTED_VALUE"""),"french")</f>
        <v>french</v>
      </c>
      <c r="M103" s="49"/>
      <c r="N103" s="49" t="str">
        <f>IFERROR(__xludf.DUMMYFUNCTION("""COMPUTED_VALUE"""),"part")</f>
        <v>part</v>
      </c>
      <c r="O103" s="49" t="str">
        <f>IFERROR(__xludf.DUMMYFUNCTION("""COMPUTED_VALUE"""),"pleasant")</f>
        <v>pleasant</v>
      </c>
      <c r="P103" s="49" t="str">
        <f t="shared" si="2"/>
        <v>does,</v>
      </c>
      <c r="Q103" s="49"/>
      <c r="R103" s="50" t="s">
        <v>207</v>
      </c>
      <c r="S103" s="55" t="s">
        <v>581</v>
      </c>
      <c r="T103" s="49" t="str">
        <f>IFERROR(__xludf.DUMMYFUNCTION("""COMPUTED_VALUE"""),"fight")</f>
        <v>fight</v>
      </c>
      <c r="U103" s="49" t="str">
        <f>IFERROR(__xludf.DUMMYFUNCTION("""COMPUTED_VALUE"""),"naive")</f>
        <v>naive</v>
      </c>
      <c r="V103" s="49" t="str">
        <f>IFERROR(__xludf.DUMMYFUNCTION("""COMPUTED_VALUE"""),"describe")</f>
        <v>describe</v>
      </c>
      <c r="W103" s="49" t="str">
        <f>IFERROR(__xludf.DUMMYFUNCTION("""COMPUTED_VALUE"""),"cam")</f>
        <v>cam</v>
      </c>
      <c r="X103" s="49" t="str">
        <f t="shared" si="3"/>
        <v>last,</v>
      </c>
      <c r="Y103" s="49"/>
      <c r="Z103" s="1" t="s">
        <v>6235</v>
      </c>
      <c r="AA103" s="1" t="s">
        <v>841</v>
      </c>
      <c r="AB103" s="49" t="str">
        <f>IFERROR(__xludf.DUMMYFUNCTION("""COMPUTED_VALUE"""),"halfway")</f>
        <v>halfway</v>
      </c>
      <c r="AC103" s="49" t="str">
        <f>IFERROR(__xludf.DUMMYFUNCTION("""COMPUTED_VALUE"""),"wears")</f>
        <v>wears</v>
      </c>
      <c r="AD103" s="49" t="str">
        <f>IFERROR(__xludf.DUMMYFUNCTION("""COMPUTED_VALUE"""),"part")</f>
        <v>part</v>
      </c>
      <c r="AE103" s="49" t="str">
        <f>IFERROR(__xludf.DUMMYFUNCTION("""COMPUTED_VALUE"""),"pleasant")</f>
        <v>pleasant</v>
      </c>
      <c r="AF103" s="49" t="str">
        <f t="shared" si="4"/>
        <v>not,</v>
      </c>
      <c r="AG103" s="49"/>
      <c r="AH103" s="1" t="s">
        <v>4267</v>
      </c>
      <c r="AI103" s="1" t="s">
        <v>179</v>
      </c>
      <c r="AJ103" s="6" t="str">
        <f>IFERROR(__xludf.DUMMYFUNCTION("""COMPUTED_VALUE"""),"brother")</f>
        <v>brother</v>
      </c>
      <c r="AK103" s="49"/>
      <c r="AL103" s="49" t="str">
        <f>IFERROR(__xludf.DUMMYFUNCTION("""COMPUTED_VALUE"""),"representing")</f>
        <v>representing</v>
      </c>
      <c r="AM103" s="49" t="str">
        <f>IFERROR(__xludf.DUMMYFUNCTION("""COMPUTED_VALUE"""),"gallery")</f>
        <v>gallery</v>
      </c>
      <c r="AN103" s="52" t="str">
        <f t="shared" si="5"/>
        <v>william,</v>
      </c>
    </row>
    <row r="104">
      <c r="A104" s="51" t="s">
        <v>846</v>
      </c>
      <c r="B104" s="50" t="s">
        <v>6296</v>
      </c>
      <c r="C104" s="50" t="s">
        <v>544</v>
      </c>
      <c r="D104" s="49" t="str">
        <f>IFERROR(__xludf.DUMMYFUNCTION("""COMPUTED_VALUE"""),"adults")</f>
        <v>adults</v>
      </c>
      <c r="E104" s="49"/>
      <c r="F104" s="49" t="str">
        <f>IFERROR(__xludf.DUMMYFUNCTION("""COMPUTED_VALUE"""),"fundamental")</f>
        <v>fundamental</v>
      </c>
      <c r="G104" s="49" t="str">
        <f>IFERROR(__xludf.DUMMYFUNCTION("""COMPUTED_VALUE"""),"objective")</f>
        <v>objective</v>
      </c>
      <c r="H104" s="54" t="str">
        <f t="shared" si="1"/>
        <v>stuff,</v>
      </c>
      <c r="I104" s="50"/>
      <c r="J104" s="50" t="s">
        <v>770</v>
      </c>
      <c r="K104" s="50" t="s">
        <v>359</v>
      </c>
      <c r="L104" s="49" t="str">
        <f>IFERROR(__xludf.DUMMYFUNCTION("""COMPUTED_VALUE"""),"well")</f>
        <v>well</v>
      </c>
      <c r="M104" s="49"/>
      <c r="N104" s="49" t="str">
        <f>IFERROR(__xludf.DUMMYFUNCTION("""COMPUTED_VALUE"""),"way")</f>
        <v>way</v>
      </c>
      <c r="O104" s="49" t="str">
        <f>IFERROR(__xludf.DUMMYFUNCTION("""COMPUTED_VALUE"""),"slightest")</f>
        <v>slightest</v>
      </c>
      <c r="P104" s="49" t="str">
        <f t="shared" si="2"/>
        <v>after,</v>
      </c>
      <c r="Q104" s="49"/>
      <c r="R104" s="50" t="s">
        <v>7085</v>
      </c>
      <c r="S104" s="55" t="s">
        <v>239</v>
      </c>
      <c r="T104" s="49" t="str">
        <f>IFERROR(__xludf.DUMMYFUNCTION("""COMPUTED_VALUE"""),"supposedly")</f>
        <v>supposedly</v>
      </c>
      <c r="U104" s="49" t="str">
        <f>IFERROR(__xludf.DUMMYFUNCTION("""COMPUTED_VALUE"""),"numb")</f>
        <v>numb</v>
      </c>
      <c r="V104" s="49" t="str">
        <f>IFERROR(__xludf.DUMMYFUNCTION("""COMPUTED_VALUE"""),"aggressively")</f>
        <v>aggressively</v>
      </c>
      <c r="W104" s="49" t="str">
        <f>IFERROR(__xludf.DUMMYFUNCTION("""COMPUTED_VALUE"""),"had")</f>
        <v>had</v>
      </c>
      <c r="X104" s="49" t="str">
        <f t="shared" si="3"/>
        <v>steal,</v>
      </c>
      <c r="Y104" s="49"/>
      <c r="Z104" s="1" t="s">
        <v>235</v>
      </c>
      <c r="AA104" s="1" t="s">
        <v>174</v>
      </c>
      <c r="AB104" s="49" t="str">
        <f>IFERROR(__xludf.DUMMYFUNCTION("""COMPUTED_VALUE"""),"brings")</f>
        <v>brings</v>
      </c>
      <c r="AC104" s="49" t="str">
        <f>IFERROR(__xludf.DUMMYFUNCTION("""COMPUTED_VALUE"""),"assurance")</f>
        <v>assurance</v>
      </c>
      <c r="AD104" s="49" t="str">
        <f>IFERROR(__xludf.DUMMYFUNCTION("""COMPUTED_VALUE"""),"way")</f>
        <v>way</v>
      </c>
      <c r="AE104" s="49" t="str">
        <f>IFERROR(__xludf.DUMMYFUNCTION("""COMPUTED_VALUE"""),"slightest")</f>
        <v>slightest</v>
      </c>
      <c r="AF104" s="49" t="str">
        <f t="shared" si="4"/>
        <v>as,</v>
      </c>
      <c r="AG104" s="49"/>
      <c r="AH104" s="1" t="s">
        <v>3953</v>
      </c>
      <c r="AI104" s="1" t="s">
        <v>451</v>
      </c>
      <c r="AJ104" s="6" t="str">
        <f>IFERROR(__xludf.DUMMYFUNCTION("""COMPUTED_VALUE"""),"start")</f>
        <v>start</v>
      </c>
      <c r="AK104" s="49"/>
      <c r="AL104" s="49" t="str">
        <f>IFERROR(__xludf.DUMMYFUNCTION("""COMPUTED_VALUE"""),"boston")</f>
        <v>boston</v>
      </c>
      <c r="AM104" s="49">
        <f>IFERROR(__xludf.DUMMYFUNCTION("""COMPUTED_VALUE"""),500.0)</f>
        <v>500</v>
      </c>
      <c r="AN104" s="52" t="str">
        <f t="shared" si="5"/>
        <v>brother,</v>
      </c>
    </row>
    <row r="105">
      <c r="A105" s="51" t="s">
        <v>850</v>
      </c>
      <c r="B105" s="50" t="s">
        <v>3529</v>
      </c>
      <c r="C105" s="50" t="s">
        <v>700</v>
      </c>
      <c r="D105" s="49" t="str">
        <f>IFERROR(__xludf.DUMMYFUNCTION("""COMPUTED_VALUE"""),"tucked")</f>
        <v>tucked</v>
      </c>
      <c r="E105" s="49"/>
      <c r="F105" s="49" t="str">
        <f>IFERROR(__xludf.DUMMYFUNCTION("""COMPUTED_VALUE"""),"founder")</f>
        <v>founder</v>
      </c>
      <c r="G105" s="49" t="str">
        <f>IFERROR(__xludf.DUMMYFUNCTION("""COMPUTED_VALUE"""),"sung")</f>
        <v>sung</v>
      </c>
      <c r="H105" s="54" t="str">
        <f t="shared" si="1"/>
        <v>movies,</v>
      </c>
      <c r="I105" s="50"/>
      <c r="J105" s="50" t="s">
        <v>1089</v>
      </c>
      <c r="K105" s="50" t="s">
        <v>105</v>
      </c>
      <c r="L105" s="49" t="str">
        <f>IFERROR(__xludf.DUMMYFUNCTION("""COMPUTED_VALUE"""),"years")</f>
        <v>years</v>
      </c>
      <c r="M105" s="49"/>
      <c r="N105" s="49" t="str">
        <f>IFERROR(__xludf.DUMMYFUNCTION("""COMPUTED_VALUE"""),"due")</f>
        <v>due</v>
      </c>
      <c r="O105" s="49" t="str">
        <f>IFERROR(__xludf.DUMMYFUNCTION("""COMPUTED_VALUE"""),"wildly")</f>
        <v>wildly</v>
      </c>
      <c r="P105" s="49" t="str">
        <f t="shared" si="2"/>
        <v>sounds,</v>
      </c>
      <c r="Q105" s="49"/>
      <c r="R105" s="50" t="s">
        <v>6299</v>
      </c>
      <c r="S105" s="55" t="s">
        <v>228</v>
      </c>
      <c r="T105" s="49" t="str">
        <f>IFERROR(__xludf.DUMMYFUNCTION("""COMPUTED_VALUE"""),"homage")</f>
        <v>homage</v>
      </c>
      <c r="U105" s="49" t="str">
        <f>IFERROR(__xludf.DUMMYFUNCTION("""COMPUTED_VALUE"""),"satisfactory")</f>
        <v>satisfactory</v>
      </c>
      <c r="V105" s="49" t="str">
        <f>IFERROR(__xludf.DUMMYFUNCTION("""COMPUTED_VALUE"""),"pen")</f>
        <v>pen</v>
      </c>
      <c r="W105" s="49" t="str">
        <f>IFERROR(__xludf.DUMMYFUNCTION("""COMPUTED_VALUE"""),"storytelling")</f>
        <v>storytelling</v>
      </c>
      <c r="X105" s="49" t="str">
        <f t="shared" si="3"/>
        <v>be,</v>
      </c>
      <c r="Y105" s="49"/>
      <c r="Z105" s="1" t="s">
        <v>400</v>
      </c>
      <c r="AA105" s="1" t="s">
        <v>151</v>
      </c>
      <c r="AB105" s="49" t="str">
        <f>IFERROR(__xludf.DUMMYFUNCTION("""COMPUTED_VALUE"""),"check")</f>
        <v>check</v>
      </c>
      <c r="AC105" s="49" t="str">
        <f>IFERROR(__xludf.DUMMYFUNCTION("""COMPUTED_VALUE"""),"impact")</f>
        <v>impact</v>
      </c>
      <c r="AD105" s="49" t="str">
        <f>IFERROR(__xludf.DUMMYFUNCTION("""COMPUTED_VALUE"""),"due")</f>
        <v>due</v>
      </c>
      <c r="AE105" s="49" t="str">
        <f>IFERROR(__xludf.DUMMYFUNCTION("""COMPUTED_VALUE"""),"wildly")</f>
        <v>wildly</v>
      </c>
      <c r="AF105" s="49" t="str">
        <f t="shared" si="4"/>
        <v>by,</v>
      </c>
      <c r="AG105" s="49"/>
      <c r="AH105" s="1" t="s">
        <v>2650</v>
      </c>
      <c r="AI105" s="1" t="s">
        <v>6281</v>
      </c>
      <c r="AJ105" s="6" t="str">
        <f>IFERROR(__xludf.DUMMYFUNCTION("""COMPUTED_VALUE"""),"russian")</f>
        <v>russian</v>
      </c>
      <c r="AK105" s="49"/>
      <c r="AL105" s="49" t="str">
        <f>IFERROR(__xludf.DUMMYFUNCTION("""COMPUTED_VALUE"""),"composer")</f>
        <v>composer</v>
      </c>
      <c r="AM105" s="49">
        <f>IFERROR(__xludf.DUMMYFUNCTION("""COMPUTED_VALUE"""),1899.0)</f>
        <v>1899</v>
      </c>
      <c r="AN105" s="52" t="str">
        <f t="shared" si="5"/>
        <v>start,</v>
      </c>
    </row>
    <row r="106">
      <c r="A106" s="51" t="s">
        <v>667</v>
      </c>
      <c r="B106" s="50" t="s">
        <v>474</v>
      </c>
      <c r="C106" s="50" t="s">
        <v>5731</v>
      </c>
      <c r="D106" s="49" t="str">
        <f>IFERROR(__xludf.DUMMYFUNCTION("""COMPUTED_VALUE"""),"storyline")</f>
        <v>storyline</v>
      </c>
      <c r="E106" s="49"/>
      <c r="F106" s="49" t="str">
        <f>IFERROR(__xludf.DUMMYFUNCTION("""COMPUTED_VALUE"""),"crossing")</f>
        <v>crossing</v>
      </c>
      <c r="G106" s="49" t="str">
        <f>IFERROR(__xludf.DUMMYFUNCTION("""COMPUTED_VALUE"""),"colored")</f>
        <v>colored</v>
      </c>
      <c r="H106" s="54" t="str">
        <f t="shared" si="1"/>
        <v>tale,</v>
      </c>
      <c r="I106" s="50"/>
      <c r="J106" s="50" t="s">
        <v>4066</v>
      </c>
      <c r="K106" s="50" t="s">
        <v>861</v>
      </c>
      <c r="L106" s="49" t="str">
        <f>IFERROR(__xludf.DUMMYFUNCTION("""COMPUTED_VALUE"""),"ways")</f>
        <v>ways</v>
      </c>
      <c r="M106" s="49"/>
      <c r="N106" s="49" t="str">
        <f>IFERROR(__xludf.DUMMYFUNCTION("""COMPUTED_VALUE"""),"off")</f>
        <v>off</v>
      </c>
      <c r="O106" s="49" t="str">
        <f>IFERROR(__xludf.DUMMYFUNCTION("""COMPUTED_VALUE"""),"preliminary")</f>
        <v>preliminary</v>
      </c>
      <c r="P106" s="49" t="str">
        <f t="shared" si="2"/>
        <v>cute,</v>
      </c>
      <c r="Q106" s="49"/>
      <c r="R106" s="50" t="s">
        <v>4419</v>
      </c>
      <c r="S106" s="55" t="s">
        <v>2650</v>
      </c>
      <c r="T106" s="49" t="str">
        <f>IFERROR(__xludf.DUMMYFUNCTION("""COMPUTED_VALUE"""),"new")</f>
        <v>new</v>
      </c>
      <c r="U106" s="49" t="str">
        <f>IFERROR(__xludf.DUMMYFUNCTION("""COMPUTED_VALUE"""),"scoring")</f>
        <v>scoring</v>
      </c>
      <c r="V106" s="49" t="str">
        <f>IFERROR(__xludf.DUMMYFUNCTION("""COMPUTED_VALUE"""),"restroom")</f>
        <v>restroom</v>
      </c>
      <c r="W106" s="49" t="str">
        <f>IFERROR(__xludf.DUMMYFUNCTION("""COMPUTED_VALUE"""),"casts")</f>
        <v>casts</v>
      </c>
      <c r="X106" s="49" t="str">
        <f t="shared" si="3"/>
        <v>quest,</v>
      </c>
      <c r="Y106" s="49"/>
      <c r="Z106" s="1" t="s">
        <v>1121</v>
      </c>
      <c r="AA106" s="1" t="s">
        <v>855</v>
      </c>
      <c r="AB106" s="49" t="str">
        <f>IFERROR(__xludf.DUMMYFUNCTION("""COMPUTED_VALUE"""),"works")</f>
        <v>works</v>
      </c>
      <c r="AC106" s="49" t="str">
        <f>IFERROR(__xludf.DUMMYFUNCTION("""COMPUTED_VALUE"""),"emerges")</f>
        <v>emerges</v>
      </c>
      <c r="AD106" s="49" t="str">
        <f>IFERROR(__xludf.DUMMYFUNCTION("""COMPUTED_VALUE"""),"off")</f>
        <v>off</v>
      </c>
      <c r="AE106" s="49" t="str">
        <f>IFERROR(__xludf.DUMMYFUNCTION("""COMPUTED_VALUE"""),"preliminary")</f>
        <v>preliminary</v>
      </c>
      <c r="AF106" s="49" t="str">
        <f t="shared" si="4"/>
        <v>music,</v>
      </c>
      <c r="AG106" s="49"/>
      <c r="AH106" s="1" t="s">
        <v>2849</v>
      </c>
      <c r="AI106" s="1" t="s">
        <v>156</v>
      </c>
      <c r="AJ106" s="6" t="str">
        <f>IFERROR(__xludf.DUMMYFUNCTION("""COMPUTED_VALUE"""),"action")</f>
        <v>action</v>
      </c>
      <c r="AK106" s="49"/>
      <c r="AL106" s="49" t="str">
        <f>IFERROR(__xludf.DUMMYFUNCTION("""COMPUTED_VALUE"""),"province")</f>
        <v>province</v>
      </c>
      <c r="AM106" s="49" t="str">
        <f>IFERROR(__xludf.DUMMYFUNCTION("""COMPUTED_VALUE"""),"conduct")</f>
        <v>conduct</v>
      </c>
      <c r="AN106" s="52" t="str">
        <f t="shared" si="5"/>
        <v>russian,</v>
      </c>
    </row>
    <row r="107">
      <c r="A107" s="51" t="s">
        <v>862</v>
      </c>
      <c r="B107" s="50" t="s">
        <v>3397</v>
      </c>
      <c r="C107" s="50" t="s">
        <v>3020</v>
      </c>
      <c r="D107" s="49" t="str">
        <f>IFERROR(__xludf.DUMMYFUNCTION("""COMPUTED_VALUE"""),"silly")</f>
        <v>silly</v>
      </c>
      <c r="E107" s="49"/>
      <c r="F107" s="49" t="str">
        <f>IFERROR(__xludf.DUMMYFUNCTION("""COMPUTED_VALUE"""),"jimmy")</f>
        <v>jimmy</v>
      </c>
      <c r="G107" s="49" t="str">
        <f>IFERROR(__xludf.DUMMYFUNCTION("""COMPUTED_VALUE"""),"workshop")</f>
        <v>workshop</v>
      </c>
      <c r="H107" s="54" t="str">
        <f t="shared" si="1"/>
        <v>cuts,</v>
      </c>
      <c r="I107" s="50"/>
      <c r="J107" s="50" t="s">
        <v>3397</v>
      </c>
      <c r="K107" s="50" t="s">
        <v>865</v>
      </c>
      <c r="L107" s="49" t="str">
        <f>IFERROR(__xludf.DUMMYFUNCTION("""COMPUTED_VALUE"""),"revenge")</f>
        <v>revenge</v>
      </c>
      <c r="M107" s="49"/>
      <c r="N107" s="49">
        <f>IFERROR(__xludf.DUMMYFUNCTION("""COMPUTED_VALUE"""),4.0)</f>
        <v>4</v>
      </c>
      <c r="O107" s="49" t="str">
        <f>IFERROR(__xludf.DUMMYFUNCTION("""COMPUTED_VALUE"""),"frustrating")</f>
        <v>frustrating</v>
      </c>
      <c r="P107" s="49" t="str">
        <f t="shared" si="2"/>
        <v>cuts,</v>
      </c>
      <c r="Q107" s="49"/>
      <c r="R107" s="50" t="s">
        <v>4150</v>
      </c>
      <c r="S107" s="55" t="s">
        <v>180</v>
      </c>
      <c r="T107" s="49" t="str">
        <f>IFERROR(__xludf.DUMMYFUNCTION("""COMPUTED_VALUE"""),"especially")</f>
        <v>especially</v>
      </c>
      <c r="U107" s="49" t="str">
        <f>IFERROR(__xludf.DUMMYFUNCTION("""COMPUTED_VALUE"""),"destructive")</f>
        <v>destructive</v>
      </c>
      <c r="V107" s="49" t="str">
        <f>IFERROR(__xludf.DUMMYFUNCTION("""COMPUTED_VALUE"""),"highs")</f>
        <v>highs</v>
      </c>
      <c r="W107" s="49" t="str">
        <f>IFERROR(__xludf.DUMMYFUNCTION("""COMPUTED_VALUE"""),"watch")</f>
        <v>watch</v>
      </c>
      <c r="X107" s="49" t="str">
        <f t="shared" si="3"/>
        <v>dead,</v>
      </c>
      <c r="Y107" s="49"/>
      <c r="Z107" s="1" t="s">
        <v>269</v>
      </c>
      <c r="AA107" s="1" t="s">
        <v>104</v>
      </c>
      <c r="AB107" s="49" t="str">
        <f>IFERROR(__xludf.DUMMYFUNCTION("""COMPUTED_VALUE"""),"brilliant")</f>
        <v>brilliant</v>
      </c>
      <c r="AC107" s="49" t="str">
        <f>IFERROR(__xludf.DUMMYFUNCTION("""COMPUTED_VALUE"""),"photographed")</f>
        <v>photographed</v>
      </c>
      <c r="AD107" s="49">
        <f>IFERROR(__xludf.DUMMYFUNCTION("""COMPUTED_VALUE"""),4.0)</f>
        <v>4</v>
      </c>
      <c r="AE107" s="49" t="str">
        <f>IFERROR(__xludf.DUMMYFUNCTION("""COMPUTED_VALUE"""),"frustrating")</f>
        <v>frustrating</v>
      </c>
      <c r="AF107" s="49" t="str">
        <f t="shared" si="4"/>
        <v>are,</v>
      </c>
      <c r="AG107" s="49"/>
      <c r="AH107" s="1" t="s">
        <v>4483</v>
      </c>
      <c r="AI107" s="1" t="s">
        <v>194</v>
      </c>
      <c r="AJ107" s="6" t="str">
        <f>IFERROR(__xludf.DUMMYFUNCTION("""COMPUTED_VALUE"""),"ship")</f>
        <v>ship</v>
      </c>
      <c r="AK107" s="49"/>
      <c r="AL107" s="49" t="str">
        <f>IFERROR(__xludf.DUMMYFUNCTION("""COMPUTED_VALUE"""),"slave")</f>
        <v>slave</v>
      </c>
      <c r="AM107" s="49" t="str">
        <f>IFERROR(__xludf.DUMMYFUNCTION("""COMPUTED_VALUE"""),"alabama")</f>
        <v>alabama</v>
      </c>
      <c r="AN107" s="52" t="str">
        <f t="shared" si="5"/>
        <v>action,</v>
      </c>
    </row>
    <row r="108">
      <c r="A108" s="51" t="s">
        <v>866</v>
      </c>
      <c r="B108" s="50" t="s">
        <v>373</v>
      </c>
      <c r="C108" s="50" t="s">
        <v>4281</v>
      </c>
      <c r="D108" s="49" t="str">
        <f>IFERROR(__xludf.DUMMYFUNCTION("""COMPUTED_VALUE"""),"heroes")</f>
        <v>heroes</v>
      </c>
      <c r="E108" s="49"/>
      <c r="F108" s="49" t="str">
        <f>IFERROR(__xludf.DUMMYFUNCTION("""COMPUTED_VALUE"""),"amateur")</f>
        <v>amateur</v>
      </c>
      <c r="G108" s="49" t="str">
        <f>IFERROR(__xludf.DUMMYFUNCTION("""COMPUTED_VALUE"""),"filling")</f>
        <v>filling</v>
      </c>
      <c r="H108" s="54" t="str">
        <f t="shared" si="1"/>
        <v>first,</v>
      </c>
      <c r="I108" s="50"/>
      <c r="J108" s="50" t="s">
        <v>554</v>
      </c>
      <c r="K108" s="50" t="s">
        <v>150</v>
      </c>
      <c r="L108" s="49" t="str">
        <f>IFERROR(__xludf.DUMMYFUNCTION("""COMPUTED_VALUE"""),"hannibal")</f>
        <v>hannibal</v>
      </c>
      <c r="M108" s="49"/>
      <c r="N108" s="49" t="str">
        <f>IFERROR(__xludf.DUMMYFUNCTION("""COMPUTED_VALUE"""),"himself")</f>
        <v>himself</v>
      </c>
      <c r="O108" s="49" t="str">
        <f>IFERROR(__xludf.DUMMYFUNCTION("""COMPUTED_VALUE"""),"unpredictable")</f>
        <v>unpredictable</v>
      </c>
      <c r="P108" s="49" t="str">
        <f t="shared" si="2"/>
        <v>seem,</v>
      </c>
      <c r="Q108" s="49"/>
      <c r="R108" s="50" t="s">
        <v>57</v>
      </c>
      <c r="S108" s="55" t="s">
        <v>244</v>
      </c>
      <c r="T108" s="49" t="str">
        <f>IFERROR(__xludf.DUMMYFUNCTION("""COMPUTED_VALUE"""),"previous")</f>
        <v>previous</v>
      </c>
      <c r="U108" s="49"/>
      <c r="V108" s="49" t="str">
        <f>IFERROR(__xludf.DUMMYFUNCTION("""COMPUTED_VALUE"""),"picture")</f>
        <v>picture</v>
      </c>
      <c r="W108" s="49" t="str">
        <f>IFERROR(__xludf.DUMMYFUNCTION("""COMPUTED_VALUE"""),"takes")</f>
        <v>takes</v>
      </c>
      <c r="X108" s="49" t="str">
        <f t="shared" si="3"/>
        <v>only,</v>
      </c>
      <c r="Y108" s="49"/>
      <c r="Z108" s="1" t="s">
        <v>4066</v>
      </c>
      <c r="AA108" s="1" t="s">
        <v>322</v>
      </c>
      <c r="AB108" s="49" t="str">
        <f>IFERROR(__xludf.DUMMYFUNCTION("""COMPUTED_VALUE"""),"thriller")</f>
        <v>thriller</v>
      </c>
      <c r="AC108" s="49" t="str">
        <f>IFERROR(__xludf.DUMMYFUNCTION("""COMPUTED_VALUE"""),"arbitrary")</f>
        <v>arbitrary</v>
      </c>
      <c r="AD108" s="49" t="str">
        <f>IFERROR(__xludf.DUMMYFUNCTION("""COMPUTED_VALUE"""),"himself")</f>
        <v>himself</v>
      </c>
      <c r="AE108" s="49" t="str">
        <f>IFERROR(__xludf.DUMMYFUNCTION("""COMPUTED_VALUE"""),"unpredictable")</f>
        <v>unpredictable</v>
      </c>
      <c r="AF108" s="49" t="str">
        <f t="shared" si="4"/>
        <v>cute,</v>
      </c>
      <c r="AG108" s="49"/>
      <c r="AH108" s="1" t="s">
        <v>4423</v>
      </c>
      <c r="AI108" s="1" t="s">
        <v>410</v>
      </c>
      <c r="AJ108" s="6" t="str">
        <f>IFERROR(__xludf.DUMMYFUNCTION("""COMPUTED_VALUE"""),"comes")</f>
        <v>comes</v>
      </c>
      <c r="AK108" s="49"/>
      <c r="AL108" s="49" t="str">
        <f>IFERROR(__xludf.DUMMYFUNCTION("""COMPUTED_VALUE"""),"stones")</f>
        <v>stones</v>
      </c>
      <c r="AM108" s="49" t="str">
        <f>IFERROR(__xludf.DUMMYFUNCTION("""COMPUTED_VALUE"""),"abroad")</f>
        <v>abroad</v>
      </c>
      <c r="AN108" s="52" t="str">
        <f t="shared" si="5"/>
        <v>ship,</v>
      </c>
    </row>
    <row r="109">
      <c r="A109" s="51" t="s">
        <v>873</v>
      </c>
      <c r="B109" s="50" t="s">
        <v>258</v>
      </c>
      <c r="C109" s="50" t="s">
        <v>6289</v>
      </c>
      <c r="D109" s="49" t="str">
        <f>IFERROR(__xludf.DUMMYFUNCTION("""COMPUTED_VALUE"""),"existence")</f>
        <v>existence</v>
      </c>
      <c r="E109" s="49"/>
      <c r="F109" s="49" t="str">
        <f>IFERROR(__xludf.DUMMYFUNCTION("""COMPUTED_VALUE"""),"mason")</f>
        <v>mason</v>
      </c>
      <c r="G109" s="49" t="str">
        <f>IFERROR(__xludf.DUMMYFUNCTION("""COMPUTED_VALUE"""),"firing")</f>
        <v>firing</v>
      </c>
      <c r="H109" s="54" t="str">
        <f t="shared" si="1"/>
        <v>year,</v>
      </c>
      <c r="I109" s="50"/>
      <c r="J109" s="50" t="s">
        <v>474</v>
      </c>
      <c r="K109" s="50" t="s">
        <v>95</v>
      </c>
      <c r="L109" s="49" t="str">
        <f>IFERROR(__xludf.DUMMYFUNCTION("""COMPUTED_VALUE"""),"thriller")</f>
        <v>thriller</v>
      </c>
      <c r="M109" s="49"/>
      <c r="N109" s="49">
        <f>IFERROR(__xludf.DUMMYFUNCTION("""COMPUTED_VALUE"""),18.0)</f>
        <v>18</v>
      </c>
      <c r="O109" s="49" t="str">
        <f>IFERROR(__xludf.DUMMYFUNCTION("""COMPUTED_VALUE"""),"ii")</f>
        <v>ii</v>
      </c>
      <c r="P109" s="49" t="str">
        <f t="shared" si="2"/>
        <v>tale,</v>
      </c>
      <c r="Q109" s="49"/>
      <c r="R109" s="50" t="s">
        <v>1551</v>
      </c>
      <c r="S109" s="55" t="s">
        <v>237</v>
      </c>
      <c r="T109" s="49" t="str">
        <f>IFERROR(__xludf.DUMMYFUNCTION("""COMPUTED_VALUE"""),"fighting")</f>
        <v>fighting</v>
      </c>
      <c r="U109" s="49"/>
      <c r="V109" s="49" t="str">
        <f>IFERROR(__xludf.DUMMYFUNCTION("""COMPUTED_VALUE"""),"leading")</f>
        <v>leading</v>
      </c>
      <c r="W109" s="49" t="str">
        <f>IFERROR(__xludf.DUMMYFUNCTION("""COMPUTED_VALUE"""),"masterpiece")</f>
        <v>masterpiece</v>
      </c>
      <c r="X109" s="49" t="str">
        <f t="shared" si="3"/>
        <v>piece,</v>
      </c>
      <c r="Y109" s="49"/>
      <c r="Z109" s="1" t="s">
        <v>2776</v>
      </c>
      <c r="AA109" s="1" t="s">
        <v>158</v>
      </c>
      <c r="AB109" s="49" t="str">
        <f>IFERROR(__xludf.DUMMYFUNCTION("""COMPUTED_VALUE"""),"kiss")</f>
        <v>kiss</v>
      </c>
      <c r="AC109" s="49" t="str">
        <f>IFERROR(__xludf.DUMMYFUNCTION("""COMPUTED_VALUE"""),"loosely")</f>
        <v>loosely</v>
      </c>
      <c r="AD109" s="49">
        <f>IFERROR(__xludf.DUMMYFUNCTION("""COMPUTED_VALUE"""),18.0)</f>
        <v>18</v>
      </c>
      <c r="AE109" s="49" t="str">
        <f>IFERROR(__xludf.DUMMYFUNCTION("""COMPUTED_VALUE"""),"ii")</f>
        <v>ii</v>
      </c>
      <c r="AF109" s="49" t="str">
        <f t="shared" si="4"/>
        <v>wrong,</v>
      </c>
      <c r="AG109" s="49"/>
      <c r="AH109" s="1" t="s">
        <v>198</v>
      </c>
      <c r="AI109" s="1" t="s">
        <v>1133</v>
      </c>
      <c r="AJ109" s="6" t="str">
        <f>IFERROR(__xludf.DUMMYFUNCTION("""COMPUTED_VALUE"""),"lee")</f>
        <v>lee</v>
      </c>
      <c r="AK109" s="49"/>
      <c r="AL109" s="49" t="str">
        <f>IFERROR(__xludf.DUMMYFUNCTION("""COMPUTED_VALUE"""),"spending")</f>
        <v>spending</v>
      </c>
      <c r="AM109" s="49" t="str">
        <f>IFERROR(__xludf.DUMMYFUNCTION("""COMPUTED_VALUE"""),"merchant")</f>
        <v>merchant</v>
      </c>
      <c r="AN109" s="52" t="str">
        <f t="shared" si="5"/>
        <v>comes,</v>
      </c>
    </row>
    <row r="110">
      <c r="A110" s="51" t="s">
        <v>880</v>
      </c>
      <c r="B110" s="50" t="s">
        <v>299</v>
      </c>
      <c r="C110" s="50" t="s">
        <v>74</v>
      </c>
      <c r="D110" s="49" t="str">
        <f>IFERROR(__xludf.DUMMYFUNCTION("""COMPUTED_VALUE"""),"every")</f>
        <v>every</v>
      </c>
      <c r="E110" s="49"/>
      <c r="F110" s="49" t="str">
        <f>IFERROR(__xludf.DUMMYFUNCTION("""COMPUTED_VALUE"""),"chester")</f>
        <v>chester</v>
      </c>
      <c r="G110" s="49" t="str">
        <f>IFERROR(__xludf.DUMMYFUNCTION("""COMPUTED_VALUE"""),"centuries")</f>
        <v>centuries</v>
      </c>
      <c r="H110" s="54" t="str">
        <f t="shared" si="1"/>
        <v>best,</v>
      </c>
      <c r="I110" s="50"/>
      <c r="J110" s="50" t="s">
        <v>4153</v>
      </c>
      <c r="K110" s="50" t="s">
        <v>888</v>
      </c>
      <c r="L110" s="49" t="str">
        <f>IFERROR(__xludf.DUMMYFUNCTION("""COMPUTED_VALUE"""),"works")</f>
        <v>works</v>
      </c>
      <c r="M110" s="49"/>
      <c r="N110" s="49" t="str">
        <f>IFERROR(__xludf.DUMMYFUNCTION("""COMPUTED_VALUE"""),"carpenter")</f>
        <v>carpenter</v>
      </c>
      <c r="O110" s="49" t="str">
        <f>IFERROR(__xludf.DUMMYFUNCTION("""COMPUTED_VALUE"""),"conclusions")</f>
        <v>conclusions</v>
      </c>
      <c r="P110" s="49" t="str">
        <f t="shared" si="2"/>
        <v>nice,</v>
      </c>
      <c r="Q110" s="49"/>
      <c r="R110" s="50" t="s">
        <v>1343</v>
      </c>
      <c r="S110" s="55" t="s">
        <v>248</v>
      </c>
      <c r="T110" s="49" t="str">
        <f>IFERROR(__xludf.DUMMYFUNCTION("""COMPUTED_VALUE"""),"himself")</f>
        <v>himself</v>
      </c>
      <c r="U110" s="49"/>
      <c r="V110" s="49" t="str">
        <f>IFERROR(__xludf.DUMMYFUNCTION("""COMPUTED_VALUE"""),"except")</f>
        <v>except</v>
      </c>
      <c r="W110" s="49" t="str">
        <f>IFERROR(__xludf.DUMMYFUNCTION("""COMPUTED_VALUE"""),"twice")</f>
        <v>twice</v>
      </c>
      <c r="X110" s="49" t="str">
        <f t="shared" si="3"/>
        <v>mother,</v>
      </c>
      <c r="Y110" s="49"/>
      <c r="Z110" s="1" t="s">
        <v>474</v>
      </c>
      <c r="AA110" s="1" t="s">
        <v>881</v>
      </c>
      <c r="AB110" s="49" t="str">
        <f>IFERROR(__xludf.DUMMYFUNCTION("""COMPUTED_VALUE"""),"role")</f>
        <v>role</v>
      </c>
      <c r="AC110" s="49" t="str">
        <f>IFERROR(__xludf.DUMMYFUNCTION("""COMPUTED_VALUE"""),"honesty")</f>
        <v>honesty</v>
      </c>
      <c r="AD110" s="49" t="str">
        <f>IFERROR(__xludf.DUMMYFUNCTION("""COMPUTED_VALUE"""),"carpenter")</f>
        <v>carpenter</v>
      </c>
      <c r="AE110" s="49" t="str">
        <f>IFERROR(__xludf.DUMMYFUNCTION("""COMPUTED_VALUE"""),"conclusions")</f>
        <v>conclusions</v>
      </c>
      <c r="AF110" s="49" t="str">
        <f t="shared" si="4"/>
        <v>tale,</v>
      </c>
      <c r="AG110" s="49"/>
      <c r="AH110" s="1" t="s">
        <v>5257</v>
      </c>
      <c r="AI110" s="1" t="s">
        <v>393</v>
      </c>
      <c r="AJ110" s="6" t="str">
        <f>IFERROR(__xludf.DUMMYFUNCTION("""COMPUTED_VALUE"""),"happy")</f>
        <v>happy</v>
      </c>
      <c r="AK110" s="49"/>
      <c r="AL110" s="49" t="str">
        <f>IFERROR(__xludf.DUMMYFUNCTION("""COMPUTED_VALUE"""),"divided")</f>
        <v>divided</v>
      </c>
      <c r="AM110" s="49" t="str">
        <f>IFERROR(__xludf.DUMMYFUNCTION("""COMPUTED_VALUE"""),"extensive")</f>
        <v>extensive</v>
      </c>
      <c r="AN110" s="52" t="str">
        <f t="shared" si="5"/>
        <v>lee,</v>
      </c>
    </row>
    <row r="111">
      <c r="A111" s="51" t="s">
        <v>889</v>
      </c>
      <c r="B111" s="50" t="s">
        <v>207</v>
      </c>
      <c r="C111" s="50" t="s">
        <v>562</v>
      </c>
      <c r="D111" s="49" t="str">
        <f>IFERROR(__xludf.DUMMYFUNCTION("""COMPUTED_VALUE"""),"point")</f>
        <v>point</v>
      </c>
      <c r="E111" s="49"/>
      <c r="F111" s="49" t="str">
        <f>IFERROR(__xludf.DUMMYFUNCTION("""COMPUTED_VALUE"""),"ha")</f>
        <v>ha</v>
      </c>
      <c r="G111" s="49" t="str">
        <f>IFERROR(__xludf.DUMMYFUNCTION("""COMPUTED_VALUE"""),"stages")</f>
        <v>stages</v>
      </c>
      <c r="H111" s="54" t="str">
        <f t="shared" si="1"/>
        <v>last,</v>
      </c>
      <c r="I111" s="50"/>
      <c r="J111" s="50" t="s">
        <v>1432</v>
      </c>
      <c r="K111" s="50" t="s">
        <v>694</v>
      </c>
      <c r="L111" s="49" t="str">
        <f>IFERROR(__xludf.DUMMYFUNCTION("""COMPUTED_VALUE"""),"bit")</f>
        <v>bit</v>
      </c>
      <c r="M111" s="49"/>
      <c r="N111" s="49" t="str">
        <f>IFERROR(__xludf.DUMMYFUNCTION("""COMPUTED_VALUE"""),"something")</f>
        <v>something</v>
      </c>
      <c r="O111" s="49" t="str">
        <f>IFERROR(__xludf.DUMMYFUNCTION("""COMPUTED_VALUE"""),"forces")</f>
        <v>forces</v>
      </c>
      <c r="P111" s="49" t="str">
        <f t="shared" si="2"/>
        <v>late,</v>
      </c>
      <c r="Q111" s="49"/>
      <c r="R111" s="50" t="s">
        <v>443</v>
      </c>
      <c r="S111" s="55" t="s">
        <v>749</v>
      </c>
      <c r="T111" s="49" t="str">
        <f>IFERROR(__xludf.DUMMYFUNCTION("""COMPUTED_VALUE"""),"lot")</f>
        <v>lot</v>
      </c>
      <c r="U111" s="49"/>
      <c r="V111" s="49" t="str">
        <f>IFERROR(__xludf.DUMMYFUNCTION("""COMPUTED_VALUE"""),"accepting")</f>
        <v>accepting</v>
      </c>
      <c r="W111" s="49" t="str">
        <f>IFERROR(__xludf.DUMMYFUNCTION("""COMPUTED_VALUE"""),"maybe")</f>
        <v>maybe</v>
      </c>
      <c r="X111" s="49" t="str">
        <f t="shared" si="3"/>
        <v>part,</v>
      </c>
      <c r="Y111" s="49"/>
      <c r="Z111" s="1" t="s">
        <v>2026</v>
      </c>
      <c r="AA111" s="1" t="s">
        <v>502</v>
      </c>
      <c r="AB111" s="49" t="str">
        <f>IFERROR(__xludf.DUMMYFUNCTION("""COMPUTED_VALUE"""),"through")</f>
        <v>through</v>
      </c>
      <c r="AC111" s="49" t="str">
        <f>IFERROR(__xludf.DUMMYFUNCTION("""COMPUTED_VALUE"""),"dreadful")</f>
        <v>dreadful</v>
      </c>
      <c r="AD111" s="49" t="str">
        <f>IFERROR(__xludf.DUMMYFUNCTION("""COMPUTED_VALUE"""),"something")</f>
        <v>something</v>
      </c>
      <c r="AE111" s="49" t="str">
        <f>IFERROR(__xludf.DUMMYFUNCTION("""COMPUTED_VALUE"""),"forces")</f>
        <v>forces</v>
      </c>
      <c r="AF111" s="49" t="str">
        <f t="shared" si="4"/>
        <v>invention,</v>
      </c>
      <c r="AG111" s="49"/>
      <c r="AH111" s="1" t="s">
        <v>4464</v>
      </c>
      <c r="AI111" s="1" t="s">
        <v>442</v>
      </c>
      <c r="AJ111" s="6" t="str">
        <f>IFERROR(__xludf.DUMMYFUNCTION("""COMPUTED_VALUE"""),"crew")</f>
        <v>crew</v>
      </c>
      <c r="AK111" s="49"/>
      <c r="AL111" s="49" t="str">
        <f>IFERROR(__xludf.DUMMYFUNCTION("""COMPUTED_VALUE"""),"annual")</f>
        <v>annual</v>
      </c>
      <c r="AM111" s="49" t="str">
        <f>IFERROR(__xludf.DUMMYFUNCTION("""COMPUTED_VALUE"""),"option")</f>
        <v>option</v>
      </c>
      <c r="AN111" s="52" t="str">
        <f t="shared" si="5"/>
        <v>happy,</v>
      </c>
    </row>
    <row r="112">
      <c r="A112" s="51" t="s">
        <v>712</v>
      </c>
      <c r="B112" s="50" t="s">
        <v>639</v>
      </c>
      <c r="C112" s="50" t="s">
        <v>122</v>
      </c>
      <c r="D112" s="49" t="str">
        <f>IFERROR(__xludf.DUMMYFUNCTION("""COMPUTED_VALUE"""),"course")</f>
        <v>course</v>
      </c>
      <c r="E112" s="49"/>
      <c r="F112" s="49" t="str">
        <f>IFERROR(__xludf.DUMMYFUNCTION("""COMPUTED_VALUE"""),"idiot")</f>
        <v>idiot</v>
      </c>
      <c r="G112" s="49" t="str">
        <f>IFERROR(__xludf.DUMMYFUNCTION("""COMPUTED_VALUE"""),"commanding")</f>
        <v>commanding</v>
      </c>
      <c r="H112" s="54" t="str">
        <f t="shared" si="1"/>
        <v>came,</v>
      </c>
      <c r="I112" s="50"/>
      <c r="J112" s="50" t="s">
        <v>1121</v>
      </c>
      <c r="K112" s="50" t="s">
        <v>125</v>
      </c>
      <c r="L112" s="49" t="str">
        <f>IFERROR(__xludf.DUMMYFUNCTION("""COMPUTED_VALUE"""),"halfway")</f>
        <v>halfway</v>
      </c>
      <c r="M112" s="49"/>
      <c r="N112" s="49" t="str">
        <f>IFERROR(__xludf.DUMMYFUNCTION("""COMPUTED_VALUE"""),"fighting")</f>
        <v>fighting</v>
      </c>
      <c r="O112" s="49" t="str">
        <f>IFERROR(__xludf.DUMMYFUNCTION("""COMPUTED_VALUE"""),"considerable")</f>
        <v>considerable</v>
      </c>
      <c r="P112" s="49" t="str">
        <f t="shared" si="2"/>
        <v>music,</v>
      </c>
      <c r="Q112" s="49"/>
      <c r="R112" s="50" t="s">
        <v>1549</v>
      </c>
      <c r="S112" s="55" t="s">
        <v>314</v>
      </c>
      <c r="T112" s="49" t="str">
        <f>IFERROR(__xludf.DUMMYFUNCTION("""COMPUTED_VALUE"""),"many")</f>
        <v>many</v>
      </c>
      <c r="U112" s="49"/>
      <c r="V112" s="49" t="str">
        <f>IFERROR(__xludf.DUMMYFUNCTION("""COMPUTED_VALUE"""),"sun")</f>
        <v>sun</v>
      </c>
      <c r="W112" s="49" t="str">
        <f>IFERROR(__xludf.DUMMYFUNCTION("""COMPUTED_VALUE"""),"old")</f>
        <v>old</v>
      </c>
      <c r="X112" s="49" t="str">
        <f t="shared" si="3"/>
        <v>due,</v>
      </c>
      <c r="Y112" s="49"/>
      <c r="Z112" s="1" t="s">
        <v>4153</v>
      </c>
      <c r="AA112" s="1" t="s">
        <v>166</v>
      </c>
      <c r="AB112" s="49" t="str">
        <f>IFERROR(__xludf.DUMMYFUNCTION("""COMPUTED_VALUE"""),"romantic")</f>
        <v>romantic</v>
      </c>
      <c r="AC112" s="49" t="str">
        <f>IFERROR(__xludf.DUMMYFUNCTION("""COMPUTED_VALUE"""),"approaches")</f>
        <v>approaches</v>
      </c>
      <c r="AD112" s="49" t="str">
        <f>IFERROR(__xludf.DUMMYFUNCTION("""COMPUTED_VALUE"""),"fighting")</f>
        <v>fighting</v>
      </c>
      <c r="AE112" s="49" t="str">
        <f>IFERROR(__xludf.DUMMYFUNCTION("""COMPUTED_VALUE"""),"considerable")</f>
        <v>considerable</v>
      </c>
      <c r="AF112" s="49" t="str">
        <f t="shared" si="4"/>
        <v>nice,</v>
      </c>
      <c r="AG112" s="49"/>
      <c r="AH112" s="1" t="s">
        <v>6756</v>
      </c>
      <c r="AI112" s="1" t="s">
        <v>1704</v>
      </c>
      <c r="AJ112" s="6" t="str">
        <f>IFERROR(__xludf.DUMMYFUNCTION("""COMPUTED_VALUE"""),"empty")</f>
        <v>empty</v>
      </c>
      <c r="AK112" s="49"/>
      <c r="AL112" s="49" t="str">
        <f>IFERROR(__xludf.DUMMYFUNCTION("""COMPUTED_VALUE"""),"drum")</f>
        <v>drum</v>
      </c>
      <c r="AM112" s="49" t="str">
        <f>IFERROR(__xludf.DUMMYFUNCTION("""COMPUTED_VALUE"""),"noise")</f>
        <v>noise</v>
      </c>
      <c r="AN112" s="52" t="str">
        <f t="shared" si="5"/>
        <v>crew,</v>
      </c>
    </row>
    <row r="113">
      <c r="A113" s="51" t="s">
        <v>898</v>
      </c>
      <c r="B113" s="50" t="s">
        <v>1513</v>
      </c>
      <c r="C113" s="50" t="s">
        <v>310</v>
      </c>
      <c r="D113" s="49" t="str">
        <f>IFERROR(__xludf.DUMMYFUNCTION("""COMPUTED_VALUE"""),"entire")</f>
        <v>entire</v>
      </c>
      <c r="E113" s="49"/>
      <c r="F113" s="49" t="str">
        <f>IFERROR(__xludf.DUMMYFUNCTION("""COMPUTED_VALUE"""),"mr")</f>
        <v>mr</v>
      </c>
      <c r="G113" s="49" t="str">
        <f>IFERROR(__xludf.DUMMYFUNCTION("""COMPUTED_VALUE"""),"plate")</f>
        <v>plate</v>
      </c>
      <c r="H113" s="54" t="str">
        <f t="shared" si="1"/>
        <v>century,</v>
      </c>
      <c r="I113" s="50"/>
      <c r="J113" s="50" t="s">
        <v>1094</v>
      </c>
      <c r="K113" s="50" t="s">
        <v>708</v>
      </c>
      <c r="L113" s="49" t="str">
        <f>IFERROR(__xludf.DUMMYFUNCTION("""COMPUTED_VALUE"""),"work")</f>
        <v>work</v>
      </c>
      <c r="M113" s="49"/>
      <c r="N113" s="49" t="str">
        <f>IFERROR(__xludf.DUMMYFUNCTION("""COMPUTED_VALUE"""),"expert")</f>
        <v>expert</v>
      </c>
      <c r="O113" s="49" t="str">
        <f>IFERROR(__xludf.DUMMYFUNCTION("""COMPUTED_VALUE"""),"backseat")</f>
        <v>backseat</v>
      </c>
      <c r="P113" s="49" t="str">
        <f t="shared" si="2"/>
        <v>name,</v>
      </c>
      <c r="Q113" s="49"/>
      <c r="R113" s="50" t="s">
        <v>219</v>
      </c>
      <c r="S113" s="55" t="s">
        <v>6288</v>
      </c>
      <c r="T113" s="49" t="str">
        <f>IFERROR(__xludf.DUMMYFUNCTION("""COMPUTED_VALUE"""),"expert")</f>
        <v>expert</v>
      </c>
      <c r="U113" s="49"/>
      <c r="V113" s="49" t="str">
        <f>IFERROR(__xludf.DUMMYFUNCTION("""COMPUTED_VALUE"""),"chicago")</f>
        <v>chicago</v>
      </c>
      <c r="W113" s="49" t="str">
        <f>IFERROR(__xludf.DUMMYFUNCTION("""COMPUTED_VALUE"""),"pure")</f>
        <v>pure</v>
      </c>
      <c r="X113" s="49" t="str">
        <f t="shared" si="3"/>
        <v>re,</v>
      </c>
      <c r="Y113" s="49"/>
      <c r="Z113" s="1" t="s">
        <v>1127</v>
      </c>
      <c r="AA113" s="1" t="s">
        <v>193</v>
      </c>
      <c r="AB113" s="49" t="str">
        <f>IFERROR(__xludf.DUMMYFUNCTION("""COMPUTED_VALUE"""),"running")</f>
        <v>running</v>
      </c>
      <c r="AC113" s="49" t="str">
        <f>IFERROR(__xludf.DUMMYFUNCTION("""COMPUTED_VALUE"""),"loser")</f>
        <v>loser</v>
      </c>
      <c r="AD113" s="49" t="str">
        <f>IFERROR(__xludf.DUMMYFUNCTION("""COMPUTED_VALUE"""),"expert")</f>
        <v>expert</v>
      </c>
      <c r="AE113" s="49" t="str">
        <f>IFERROR(__xludf.DUMMYFUNCTION("""COMPUTED_VALUE"""),"backseat")</f>
        <v>backseat</v>
      </c>
      <c r="AF113" s="49" t="str">
        <f t="shared" si="4"/>
        <v>show,</v>
      </c>
      <c r="AG113" s="49"/>
      <c r="AH113" s="1" t="s">
        <v>2882</v>
      </c>
      <c r="AI113" s="1" t="s">
        <v>434</v>
      </c>
      <c r="AJ113" s="6" t="str">
        <f>IFERROR(__xludf.DUMMYFUNCTION("""COMPUTED_VALUE"""),"quick")</f>
        <v>quick</v>
      </c>
      <c r="AK113" s="49"/>
      <c r="AL113" s="49" t="str">
        <f>IFERROR(__xludf.DUMMYFUNCTION("""COMPUTED_VALUE"""),"luke")</f>
        <v>luke</v>
      </c>
      <c r="AM113" s="49" t="str">
        <f>IFERROR(__xludf.DUMMYFUNCTION("""COMPUTED_VALUE"""),"handed")</f>
        <v>handed</v>
      </c>
      <c r="AN113" s="52" t="str">
        <f t="shared" si="5"/>
        <v>empty,</v>
      </c>
    </row>
    <row r="114">
      <c r="A114" s="51" t="s">
        <v>902</v>
      </c>
      <c r="B114" s="50" t="s">
        <v>4491</v>
      </c>
      <c r="C114" s="50" t="s">
        <v>84</v>
      </c>
      <c r="D114" s="49" t="str">
        <f>IFERROR(__xludf.DUMMYFUNCTION("""COMPUTED_VALUE"""),"sense")</f>
        <v>sense</v>
      </c>
      <c r="E114" s="49"/>
      <c r="F114" s="49" t="str">
        <f>IFERROR(__xludf.DUMMYFUNCTION("""COMPUTED_VALUE"""),"jacob")</f>
        <v>jacob</v>
      </c>
      <c r="G114" s="49" t="str">
        <f>IFERROR(__xludf.DUMMYFUNCTION("""COMPUTED_VALUE"""),"highest")</f>
        <v>highest</v>
      </c>
      <c r="H114" s="54" t="str">
        <f t="shared" si="1"/>
        <v>production,</v>
      </c>
      <c r="I114" s="50"/>
      <c r="J114" s="50" t="s">
        <v>2776</v>
      </c>
      <c r="K114" s="50" t="s">
        <v>396</v>
      </c>
      <c r="L114" s="49" t="str">
        <f>IFERROR(__xludf.DUMMYFUNCTION("""COMPUTED_VALUE"""),"performance")</f>
        <v>performance</v>
      </c>
      <c r="M114" s="49"/>
      <c r="N114" s="49" t="str">
        <f>IFERROR(__xludf.DUMMYFUNCTION("""COMPUTED_VALUE"""),"or")</f>
        <v>or</v>
      </c>
      <c r="O114" s="49" t="str">
        <f>IFERROR(__xludf.DUMMYFUNCTION("""COMPUTED_VALUE"""),"dot")</f>
        <v>dot</v>
      </c>
      <c r="P114" s="49" t="str">
        <f t="shared" si="2"/>
        <v>wrong,</v>
      </c>
      <c r="Q114" s="49"/>
      <c r="R114" s="50" t="s">
        <v>2484</v>
      </c>
      <c r="S114" s="55" t="s">
        <v>264</v>
      </c>
      <c r="T114" s="49" t="str">
        <f>IFERROR(__xludf.DUMMYFUNCTION("""COMPUTED_VALUE"""),"face")</f>
        <v>face</v>
      </c>
      <c r="U114" s="49"/>
      <c r="V114" s="49" t="str">
        <f>IFERROR(__xludf.DUMMYFUNCTION("""COMPUTED_VALUE"""),"average")</f>
        <v>average</v>
      </c>
      <c r="W114" s="49" t="str">
        <f>IFERROR(__xludf.DUMMYFUNCTION("""COMPUTED_VALUE"""),"match")</f>
        <v>match</v>
      </c>
      <c r="X114" s="49" t="str">
        <f t="shared" si="3"/>
        <v>endless,</v>
      </c>
      <c r="Y114" s="49"/>
      <c r="Z114" s="1" t="s">
        <v>884</v>
      </c>
      <c r="AA114" s="1" t="s">
        <v>903</v>
      </c>
      <c r="AB114" s="49" t="str">
        <f>IFERROR(__xludf.DUMMYFUNCTION("""COMPUTED_VALUE"""),"dogs")</f>
        <v>dogs</v>
      </c>
      <c r="AC114" s="49" t="str">
        <f>IFERROR(__xludf.DUMMYFUNCTION("""COMPUTED_VALUE"""),"weary")</f>
        <v>weary</v>
      </c>
      <c r="AD114" s="49" t="str">
        <f>IFERROR(__xludf.DUMMYFUNCTION("""COMPUTED_VALUE"""),"or")</f>
        <v>or</v>
      </c>
      <c r="AE114" s="49" t="str">
        <f>IFERROR(__xludf.DUMMYFUNCTION("""COMPUTED_VALUE"""),"dot")</f>
        <v>dot</v>
      </c>
      <c r="AF114" s="49" t="str">
        <f t="shared" si="4"/>
        <v>things,</v>
      </c>
      <c r="AG114" s="49"/>
      <c r="AH114" s="1" t="s">
        <v>6670</v>
      </c>
      <c r="AI114" s="1" t="s">
        <v>630</v>
      </c>
      <c r="AJ114" s="6" t="str">
        <f>IFERROR(__xludf.DUMMYFUNCTION("""COMPUTED_VALUE"""),"damn")</f>
        <v>damn</v>
      </c>
      <c r="AK114" s="49"/>
      <c r="AL114" s="49" t="str">
        <f>IFERROR(__xludf.DUMMYFUNCTION("""COMPUTED_VALUE"""),"stress")</f>
        <v>stress</v>
      </c>
      <c r="AM114" s="49" t="str">
        <f>IFERROR(__xludf.DUMMYFUNCTION("""COMPUTED_VALUE"""),"aircraft")</f>
        <v>aircraft</v>
      </c>
      <c r="AN114" s="52" t="str">
        <f t="shared" si="5"/>
        <v>quick,</v>
      </c>
    </row>
    <row r="115">
      <c r="A115" s="51" t="s">
        <v>906</v>
      </c>
      <c r="B115" s="50" t="s">
        <v>4150</v>
      </c>
      <c r="C115" s="50" t="s">
        <v>516</v>
      </c>
      <c r="D115" s="49" t="str">
        <f>IFERROR(__xludf.DUMMYFUNCTION("""COMPUTED_VALUE"""),"dog")</f>
        <v>dog</v>
      </c>
      <c r="E115" s="49"/>
      <c r="F115" s="49" t="str">
        <f>IFERROR(__xludf.DUMMYFUNCTION("""COMPUTED_VALUE"""),"fort")</f>
        <v>fort</v>
      </c>
      <c r="G115" s="49" t="str">
        <f>IFERROR(__xludf.DUMMYFUNCTION("""COMPUTED_VALUE"""),"studied")</f>
        <v>studied</v>
      </c>
      <c r="H115" s="54" t="str">
        <f t="shared" si="1"/>
        <v>dead,</v>
      </c>
      <c r="I115" s="50"/>
      <c r="J115" s="50" t="s">
        <v>321</v>
      </c>
      <c r="K115" s="50" t="s">
        <v>407</v>
      </c>
      <c r="L115" s="49" t="str">
        <f>IFERROR(__xludf.DUMMYFUNCTION("""COMPUTED_VALUE"""),"substantial")</f>
        <v>substantial</v>
      </c>
      <c r="M115" s="49"/>
      <c r="N115" s="49" t="str">
        <f>IFERROR(__xludf.DUMMYFUNCTION("""COMPUTED_VALUE"""),"how")</f>
        <v>how</v>
      </c>
      <c r="O115" s="49" t="str">
        <f>IFERROR(__xludf.DUMMYFUNCTION("""COMPUTED_VALUE"""),"mess")</f>
        <v>mess</v>
      </c>
      <c r="P115" s="49" t="str">
        <f t="shared" si="2"/>
        <v>course,</v>
      </c>
      <c r="Q115" s="49"/>
      <c r="R115" s="50" t="s">
        <v>463</v>
      </c>
      <c r="S115" s="55" t="s">
        <v>252</v>
      </c>
      <c r="T115" s="49" t="str">
        <f>IFERROR(__xludf.DUMMYFUNCTION("""COMPUTED_VALUE"""),"taking")</f>
        <v>taking</v>
      </c>
      <c r="U115" s="49"/>
      <c r="V115" s="49" t="str">
        <f>IFERROR(__xludf.DUMMYFUNCTION("""COMPUTED_VALUE"""),"destination")</f>
        <v>destination</v>
      </c>
      <c r="W115" s="49" t="str">
        <f>IFERROR(__xludf.DUMMYFUNCTION("""COMPUTED_VALUE"""),"dialogue")</f>
        <v>dialogue</v>
      </c>
      <c r="X115" s="49" t="str">
        <f t="shared" si="3"/>
        <v>people,</v>
      </c>
      <c r="Y115" s="49"/>
      <c r="Z115" s="1" t="s">
        <v>538</v>
      </c>
      <c r="AA115" s="1" t="s">
        <v>907</v>
      </c>
      <c r="AB115" s="49" t="str">
        <f>IFERROR(__xludf.DUMMYFUNCTION("""COMPUTED_VALUE"""),"manages")</f>
        <v>manages</v>
      </c>
      <c r="AC115" s="49" t="str">
        <f>IFERROR(__xludf.DUMMYFUNCTION("""COMPUTED_VALUE"""),"lifeless")</f>
        <v>lifeless</v>
      </c>
      <c r="AD115" s="49" t="str">
        <f>IFERROR(__xludf.DUMMYFUNCTION("""COMPUTED_VALUE"""),"how")</f>
        <v>how</v>
      </c>
      <c r="AE115" s="49" t="str">
        <f>IFERROR(__xludf.DUMMYFUNCTION("""COMPUTED_VALUE"""),"mess")</f>
        <v>mess</v>
      </c>
      <c r="AF115" s="49" t="str">
        <f t="shared" si="4"/>
        <v>so,</v>
      </c>
      <c r="AG115" s="49"/>
      <c r="AH115" s="1" t="s">
        <v>6578</v>
      </c>
      <c r="AI115" s="1" t="s">
        <v>6282</v>
      </c>
      <c r="AJ115" s="6" t="str">
        <f>IFERROR(__xludf.DUMMYFUNCTION("""COMPUTED_VALUE"""),"starring")</f>
        <v>starring</v>
      </c>
      <c r="AK115" s="49"/>
      <c r="AL115" s="49" t="str">
        <f>IFERROR(__xludf.DUMMYFUNCTION("""COMPUTED_VALUE"""),"differences")</f>
        <v>differences</v>
      </c>
      <c r="AM115" s="49" t="str">
        <f>IFERROR(__xludf.DUMMYFUNCTION("""COMPUTED_VALUE"""),"doubles")</f>
        <v>doubles</v>
      </c>
      <c r="AN115" s="52" t="str">
        <f t="shared" si="5"/>
        <v>damn,</v>
      </c>
    </row>
    <row r="116">
      <c r="A116" s="51" t="s">
        <v>914</v>
      </c>
      <c r="B116" s="50" t="s">
        <v>1636</v>
      </c>
      <c r="C116" s="50" t="s">
        <v>598</v>
      </c>
      <c r="D116" s="49" t="str">
        <f>IFERROR(__xludf.DUMMYFUNCTION("""COMPUTED_VALUE"""),"classic")</f>
        <v>classic</v>
      </c>
      <c r="E116" s="49"/>
      <c r="F116" s="49" t="str">
        <f>IFERROR(__xludf.DUMMYFUNCTION("""COMPUTED_VALUE"""),"transport")</f>
        <v>transport</v>
      </c>
      <c r="G116" s="49" t="str">
        <f>IFERROR(__xludf.DUMMYFUNCTION("""COMPUTED_VALUE"""),"dependent")</f>
        <v>dependent</v>
      </c>
      <c r="H116" s="54" t="str">
        <f t="shared" si="1"/>
        <v>reason,</v>
      </c>
      <c r="I116" s="50"/>
      <c r="J116" s="50" t="s">
        <v>3529</v>
      </c>
      <c r="K116" s="50" t="s">
        <v>133</v>
      </c>
      <c r="L116" s="49" t="str">
        <f>IFERROR(__xludf.DUMMYFUNCTION("""COMPUTED_VALUE"""),"brings")</f>
        <v>brings</v>
      </c>
      <c r="M116" s="49"/>
      <c r="N116" s="49" t="str">
        <f>IFERROR(__xludf.DUMMYFUNCTION("""COMPUTED_VALUE"""),"just")</f>
        <v>just</v>
      </c>
      <c r="O116" s="49" t="str">
        <f>IFERROR(__xludf.DUMMYFUNCTION("""COMPUTED_VALUE"""),"flashes")</f>
        <v>flashes</v>
      </c>
      <c r="P116" s="49" t="str">
        <f t="shared" si="2"/>
        <v>movies,</v>
      </c>
      <c r="Q116" s="49"/>
      <c r="R116" s="50" t="s">
        <v>7256</v>
      </c>
      <c r="S116" s="55" t="s">
        <v>1715</v>
      </c>
      <c r="T116" s="49" t="str">
        <f>IFERROR(__xludf.DUMMYFUNCTION("""COMPUTED_VALUE"""),"about")</f>
        <v>about</v>
      </c>
      <c r="U116" s="49"/>
      <c r="V116" s="49" t="str">
        <f>IFERROR(__xludf.DUMMYFUNCTION("""COMPUTED_VALUE"""),"likely")</f>
        <v>likely</v>
      </c>
      <c r="W116" s="49" t="str">
        <f>IFERROR(__xludf.DUMMYFUNCTION("""COMPUTED_VALUE"""),"clumsy")</f>
        <v>clumsy</v>
      </c>
      <c r="X116" s="49" t="str">
        <f t="shared" si="3"/>
        <v>stable,</v>
      </c>
      <c r="Y116" s="49"/>
      <c r="Z116" s="1" t="s">
        <v>554</v>
      </c>
      <c r="AA116" s="1" t="s">
        <v>915</v>
      </c>
      <c r="AB116" s="49" t="str">
        <f>IFERROR(__xludf.DUMMYFUNCTION("""COMPUTED_VALUE"""),"flat")</f>
        <v>flat</v>
      </c>
      <c r="AC116" s="49" t="str">
        <f>IFERROR(__xludf.DUMMYFUNCTION("""COMPUTED_VALUE"""),"heroic")</f>
        <v>heroic</v>
      </c>
      <c r="AD116" s="49" t="str">
        <f>IFERROR(__xludf.DUMMYFUNCTION("""COMPUTED_VALUE"""),"just")</f>
        <v>just</v>
      </c>
      <c r="AE116" s="49" t="str">
        <f>IFERROR(__xludf.DUMMYFUNCTION("""COMPUTED_VALUE"""),"flashes")</f>
        <v>flashes</v>
      </c>
      <c r="AF116" s="49" t="str">
        <f t="shared" si="4"/>
        <v>seem,</v>
      </c>
      <c r="AG116" s="49"/>
      <c r="AH116" s="1" t="s">
        <v>2444</v>
      </c>
      <c r="AI116" s="1" t="s">
        <v>6284</v>
      </c>
      <c r="AJ116" s="6" t="str">
        <f>IFERROR(__xludf.DUMMYFUNCTION("""COMPUTED_VALUE"""),"regarding")</f>
        <v>regarding</v>
      </c>
      <c r="AK116" s="49"/>
      <c r="AL116" s="49" t="str">
        <f>IFERROR(__xludf.DUMMYFUNCTION("""COMPUTED_VALUE"""),"chair")</f>
        <v>chair</v>
      </c>
      <c r="AM116" s="49" t="str">
        <f>IFERROR(__xludf.DUMMYFUNCTION("""COMPUTED_VALUE"""),"derived")</f>
        <v>derived</v>
      </c>
      <c r="AN116" s="52" t="str">
        <f t="shared" si="5"/>
        <v>starring,</v>
      </c>
    </row>
    <row r="117">
      <c r="A117" s="51" t="s">
        <v>921</v>
      </c>
      <c r="B117" s="50" t="s">
        <v>4807</v>
      </c>
      <c r="C117" s="50" t="s">
        <v>321</v>
      </c>
      <c r="D117" s="49" t="str">
        <f>IFERROR(__xludf.DUMMYFUNCTION("""COMPUTED_VALUE"""),"nowhere")</f>
        <v>nowhere</v>
      </c>
      <c r="E117" s="49"/>
      <c r="F117" s="49" t="str">
        <f>IFERROR(__xludf.DUMMYFUNCTION("""COMPUTED_VALUE"""),"chemical")</f>
        <v>chemical</v>
      </c>
      <c r="G117" s="49" t="str">
        <f>IFERROR(__xludf.DUMMYFUNCTION("""COMPUTED_VALUE"""),"publishing")</f>
        <v>publishing</v>
      </c>
      <c r="H117" s="54" t="str">
        <f t="shared" si="1"/>
        <v>empire,</v>
      </c>
      <c r="I117" s="50"/>
      <c r="J117" s="50" t="s">
        <v>480</v>
      </c>
      <c r="K117" s="50" t="s">
        <v>412</v>
      </c>
      <c r="L117" s="49" t="str">
        <f>IFERROR(__xludf.DUMMYFUNCTION("""COMPUTED_VALUE"""),"check")</f>
        <v>check</v>
      </c>
      <c r="M117" s="49"/>
      <c r="N117" s="49" t="str">
        <f>IFERROR(__xludf.DUMMYFUNCTION("""COMPUTED_VALUE"""),"can")</f>
        <v>can</v>
      </c>
      <c r="O117" s="49" t="str">
        <f>IFERROR(__xludf.DUMMYFUNCTION("""COMPUTED_VALUE"""),"reconciliation")</f>
        <v>reconciliation</v>
      </c>
      <c r="P117" s="49" t="str">
        <f t="shared" si="2"/>
        <v>viewer,</v>
      </c>
      <c r="Q117" s="49"/>
      <c r="R117" s="50" t="s">
        <v>479</v>
      </c>
      <c r="S117" s="55" t="s">
        <v>258</v>
      </c>
      <c r="T117" s="49" t="str">
        <f>IFERROR(__xludf.DUMMYFUNCTION("""COMPUTED_VALUE"""),"world")</f>
        <v>world</v>
      </c>
      <c r="U117" s="49"/>
      <c r="V117" s="49" t="str">
        <f>IFERROR(__xludf.DUMMYFUNCTION("""COMPUTED_VALUE"""),"changes")</f>
        <v>changes</v>
      </c>
      <c r="W117" s="49" t="str">
        <f>IFERROR(__xludf.DUMMYFUNCTION("""COMPUTED_VALUE"""),"bourne")</f>
        <v>bourne</v>
      </c>
      <c r="X117" s="49" t="str">
        <f t="shared" si="3"/>
        <v>love,</v>
      </c>
      <c r="Y117" s="49"/>
      <c r="Z117" s="1" t="s">
        <v>167</v>
      </c>
      <c r="AA117" s="1" t="s">
        <v>528</v>
      </c>
      <c r="AB117" s="49" t="str">
        <f>IFERROR(__xludf.DUMMYFUNCTION("""COMPUTED_VALUE"""),"satire")</f>
        <v>satire</v>
      </c>
      <c r="AC117" s="49" t="str">
        <f>IFERROR(__xludf.DUMMYFUNCTION("""COMPUTED_VALUE"""),"formed")</f>
        <v>formed</v>
      </c>
      <c r="AD117" s="49" t="str">
        <f>IFERROR(__xludf.DUMMYFUNCTION("""COMPUTED_VALUE"""),"can")</f>
        <v>can</v>
      </c>
      <c r="AE117" s="49" t="str">
        <f>IFERROR(__xludf.DUMMYFUNCTION("""COMPUTED_VALUE"""),"reconciliation")</f>
        <v>reconciliation</v>
      </c>
      <c r="AF117" s="49" t="str">
        <f t="shared" si="4"/>
        <v>same,</v>
      </c>
      <c r="AG117" s="49"/>
      <c r="AH117" s="1" t="s">
        <v>4196</v>
      </c>
      <c r="AI117" s="1" t="s">
        <v>959</v>
      </c>
      <c r="AJ117" s="6" t="str">
        <f>IFERROR(__xludf.DUMMYFUNCTION("""COMPUTED_VALUE"""),"bringing")</f>
        <v>bringing</v>
      </c>
      <c r="AK117" s="49"/>
      <c r="AL117" s="49" t="str">
        <f>IFERROR(__xludf.DUMMYFUNCTION("""COMPUTED_VALUE"""),"vertical")</f>
        <v>vertical</v>
      </c>
      <c r="AM117" s="49" t="str">
        <f>IFERROR(__xludf.DUMMYFUNCTION("""COMPUTED_VALUE"""),"tied")</f>
        <v>tied</v>
      </c>
      <c r="AN117" s="52" t="str">
        <f t="shared" si="5"/>
        <v>regarding,</v>
      </c>
    </row>
    <row r="118">
      <c r="A118" s="51" t="s">
        <v>793</v>
      </c>
      <c r="B118" s="50" t="s">
        <v>211</v>
      </c>
      <c r="C118" s="50" t="s">
        <v>305</v>
      </c>
      <c r="D118" s="49" t="str">
        <f>IFERROR(__xludf.DUMMYFUNCTION("""COMPUTED_VALUE"""),"sometimes")</f>
        <v>sometimes</v>
      </c>
      <c r="E118" s="49"/>
      <c r="F118" s="49" t="str">
        <f>IFERROR(__xludf.DUMMYFUNCTION("""COMPUTED_VALUE"""),"oil")</f>
        <v>oil</v>
      </c>
      <c r="G118" s="49" t="str">
        <f>IFERROR(__xludf.DUMMYFUNCTION("""COMPUTED_VALUE"""),"scholar")</f>
        <v>scholar</v>
      </c>
      <c r="H118" s="54" t="str">
        <f t="shared" si="1"/>
        <v>cast,</v>
      </c>
      <c r="I118" s="50"/>
      <c r="J118" s="50" t="s">
        <v>6679</v>
      </c>
      <c r="K118" s="50" t="s">
        <v>933</v>
      </c>
      <c r="L118" s="49" t="str">
        <f>IFERROR(__xludf.DUMMYFUNCTION("""COMPUTED_VALUE"""),"brilliant")</f>
        <v>brilliant</v>
      </c>
      <c r="M118" s="49"/>
      <c r="N118" s="49" t="str">
        <f>IFERROR(__xludf.DUMMYFUNCTION("""COMPUTED_VALUE"""),"who")</f>
        <v>who</v>
      </c>
      <c r="O118" s="49" t="str">
        <f>IFERROR(__xludf.DUMMYFUNCTION("""COMPUTED_VALUE"""),"sibling")</f>
        <v>sibling</v>
      </c>
      <c r="P118" s="49" t="str">
        <f t="shared" si="2"/>
        <v>tells,</v>
      </c>
      <c r="Q118" s="49"/>
      <c r="R118" s="50" t="s">
        <v>332</v>
      </c>
      <c r="S118" s="55" t="s">
        <v>64</v>
      </c>
      <c r="T118" s="49" t="str">
        <f>IFERROR(__xludf.DUMMYFUNCTION("""COMPUTED_VALUE"""),"twisted")</f>
        <v>twisted</v>
      </c>
      <c r="U118" s="49"/>
      <c r="V118" s="49" t="str">
        <f>IFERROR(__xludf.DUMMYFUNCTION("""COMPUTED_VALUE"""),"rain")</f>
        <v>rain</v>
      </c>
      <c r="W118" s="49" t="str">
        <f>IFERROR(__xludf.DUMMYFUNCTION("""COMPUTED_VALUE"""),"generosity")</f>
        <v>generosity</v>
      </c>
      <c r="X118" s="49" t="str">
        <f t="shared" si="3"/>
        <v>man,</v>
      </c>
      <c r="Y118" s="49"/>
      <c r="Z118" s="1" t="s">
        <v>290</v>
      </c>
      <c r="AA118" s="1" t="s">
        <v>926</v>
      </c>
      <c r="AB118" s="49" t="str">
        <f>IFERROR(__xludf.DUMMYFUNCTION("""COMPUTED_VALUE"""),"popular")</f>
        <v>popular</v>
      </c>
      <c r="AC118" s="49"/>
      <c r="AD118" s="49" t="str">
        <f>IFERROR(__xludf.DUMMYFUNCTION("""COMPUTED_VALUE"""),"who")</f>
        <v>who</v>
      </c>
      <c r="AE118" s="49" t="str">
        <f>IFERROR(__xludf.DUMMYFUNCTION("""COMPUTED_VALUE"""),"sibling")</f>
        <v>sibling</v>
      </c>
      <c r="AF118" s="49" t="str">
        <f t="shared" si="4"/>
        <v>much,</v>
      </c>
      <c r="AG118" s="49"/>
      <c r="AH118" s="1" t="s">
        <v>355</v>
      </c>
      <c r="AI118" s="1" t="s">
        <v>509</v>
      </c>
      <c r="AJ118" s="6" t="str">
        <f>IFERROR(__xludf.DUMMYFUNCTION("""COMPUTED_VALUE"""),"feels")</f>
        <v>feels</v>
      </c>
      <c r="AK118" s="49"/>
      <c r="AL118" s="49" t="str">
        <f>IFERROR(__xludf.DUMMYFUNCTION("""COMPUTED_VALUE"""),"victor")</f>
        <v>victor</v>
      </c>
      <c r="AM118" s="49">
        <f>IFERROR(__xludf.DUMMYFUNCTION("""COMPUTED_VALUE"""),51.0)</f>
        <v>51</v>
      </c>
      <c r="AN118" s="52" t="str">
        <f t="shared" si="5"/>
        <v>bringing,</v>
      </c>
    </row>
    <row r="119">
      <c r="A119" s="51" t="s">
        <v>934</v>
      </c>
      <c r="B119" s="50" t="s">
        <v>776</v>
      </c>
      <c r="C119" s="50" t="s">
        <v>3661</v>
      </c>
      <c r="D119" s="49" t="str">
        <f>IFERROR(__xludf.DUMMYFUNCTION("""COMPUTED_VALUE"""),"dry")</f>
        <v>dry</v>
      </c>
      <c r="E119" s="49"/>
      <c r="F119" s="49" t="str">
        <f>IFERROR(__xludf.DUMMYFUNCTION("""COMPUTED_VALUE"""),"brazil")</f>
        <v>brazil</v>
      </c>
      <c r="G119" s="49" t="str">
        <f>IFERROR(__xludf.DUMMYFUNCTION("""COMPUTED_VALUE"""),"useful")</f>
        <v>useful</v>
      </c>
      <c r="H119" s="54" t="str">
        <f t="shared" si="1"/>
        <v>pretty,</v>
      </c>
      <c r="I119" s="50"/>
      <c r="J119" s="50" t="s">
        <v>1443</v>
      </c>
      <c r="K119" s="50" t="s">
        <v>748</v>
      </c>
      <c r="L119" s="49" t="str">
        <f>IFERROR(__xludf.DUMMYFUNCTION("""COMPUTED_VALUE"""),"manages")</f>
        <v>manages</v>
      </c>
      <c r="M119" s="49"/>
      <c r="N119" s="49" t="str">
        <f>IFERROR(__xludf.DUMMYFUNCTION("""COMPUTED_VALUE"""),"those")</f>
        <v>those</v>
      </c>
      <c r="O119" s="49" t="str">
        <f>IFERROR(__xludf.DUMMYFUNCTION("""COMPUTED_VALUE"""),"warmth")</f>
        <v>warmth</v>
      </c>
      <c r="P119" s="49" t="str">
        <f t="shared" si="2"/>
        <v>gets,</v>
      </c>
      <c r="Q119" s="49"/>
      <c r="R119" s="50" t="s">
        <v>3690</v>
      </c>
      <c r="S119" s="55" t="s">
        <v>520</v>
      </c>
      <c r="T119" s="49" t="str">
        <f>IFERROR(__xludf.DUMMYFUNCTION("""COMPUTED_VALUE"""),"or")</f>
        <v>or</v>
      </c>
      <c r="U119" s="49"/>
      <c r="V119" s="49" t="str">
        <f>IFERROR(__xludf.DUMMYFUNCTION("""COMPUTED_VALUE"""),"release")</f>
        <v>release</v>
      </c>
      <c r="W119" s="49" t="str">
        <f>IFERROR(__xludf.DUMMYFUNCTION("""COMPUTED_VALUE"""),"diplomacy")</f>
        <v>diplomacy</v>
      </c>
      <c r="X119" s="49" t="str">
        <f t="shared" si="3"/>
        <v>string,</v>
      </c>
      <c r="Y119" s="49"/>
      <c r="Z119" s="1" t="s">
        <v>65</v>
      </c>
      <c r="AA119" s="1" t="s">
        <v>810</v>
      </c>
      <c r="AB119" s="49" t="str">
        <f>IFERROR(__xludf.DUMMYFUNCTION("""COMPUTED_VALUE"""),"france")</f>
        <v>france</v>
      </c>
      <c r="AC119" s="49"/>
      <c r="AD119" s="49" t="str">
        <f>IFERROR(__xludf.DUMMYFUNCTION("""COMPUTED_VALUE"""),"those")</f>
        <v>those</v>
      </c>
      <c r="AE119" s="49" t="str">
        <f>IFERROR(__xludf.DUMMYFUNCTION("""COMPUTED_VALUE"""),"warmth")</f>
        <v>warmth</v>
      </c>
      <c r="AF119" s="49" t="str">
        <f t="shared" si="4"/>
        <v>up,</v>
      </c>
      <c r="AG119" s="49"/>
      <c r="AH119" s="1" t="s">
        <v>1188</v>
      </c>
      <c r="AI119" s="1" t="s">
        <v>198</v>
      </c>
      <c r="AJ119" s="6" t="str">
        <f>IFERROR(__xludf.DUMMYFUNCTION("""COMPUTED_VALUE"""),"kick")</f>
        <v>kick</v>
      </c>
      <c r="AK119" s="49"/>
      <c r="AL119" s="49" t="str">
        <f>IFERROR(__xludf.DUMMYFUNCTION("""COMPUTED_VALUE"""),"maximum")</f>
        <v>maximum</v>
      </c>
      <c r="AM119" s="49" t="str">
        <f>IFERROR(__xludf.DUMMYFUNCTION("""COMPUTED_VALUE"""),"similarly")</f>
        <v>similarly</v>
      </c>
      <c r="AN119" s="52" t="str">
        <f t="shared" si="5"/>
        <v>feels,</v>
      </c>
    </row>
    <row r="120">
      <c r="A120" s="51" t="s">
        <v>497</v>
      </c>
      <c r="B120" s="50" t="s">
        <v>1453</v>
      </c>
      <c r="C120" s="50" t="s">
        <v>764</v>
      </c>
      <c r="D120" s="49" t="str">
        <f>IFERROR(__xludf.DUMMYFUNCTION("""COMPUTED_VALUE"""),"come")</f>
        <v>come</v>
      </c>
      <c r="E120" s="49"/>
      <c r="F120" s="49" t="str">
        <f>IFERROR(__xludf.DUMMYFUNCTION("""COMPUTED_VALUE"""),"agree")</f>
        <v>agree</v>
      </c>
      <c r="G120" s="49" t="str">
        <f>IFERROR(__xludf.DUMMYFUNCTION("""COMPUTED_VALUE"""),"diesel")</f>
        <v>diesel</v>
      </c>
      <c r="H120" s="54" t="str">
        <f t="shared" si="1"/>
        <v>recent,</v>
      </c>
      <c r="I120" s="50"/>
      <c r="J120" s="50" t="s">
        <v>884</v>
      </c>
      <c r="K120" s="50" t="s">
        <v>943</v>
      </c>
      <c r="L120" s="49" t="str">
        <f>IFERROR(__xludf.DUMMYFUNCTION("""COMPUTED_VALUE"""),"political")</f>
        <v>political</v>
      </c>
      <c r="M120" s="49"/>
      <c r="N120" s="49" t="str">
        <f>IFERROR(__xludf.DUMMYFUNCTION("""COMPUTED_VALUE"""),"itself")</f>
        <v>itself</v>
      </c>
      <c r="O120" s="49" t="str">
        <f>IFERROR(__xludf.DUMMYFUNCTION("""COMPUTED_VALUE"""),"avoids")</f>
        <v>avoids</v>
      </c>
      <c r="P120" s="49" t="str">
        <f t="shared" si="2"/>
        <v>things,</v>
      </c>
      <c r="Q120" s="49"/>
      <c r="R120" s="50" t="s">
        <v>3256</v>
      </c>
      <c r="S120" s="55" t="s">
        <v>299</v>
      </c>
      <c r="T120" s="49" t="str">
        <f>IFERROR(__xludf.DUMMYFUNCTION("""COMPUTED_VALUE"""),"beneath")</f>
        <v>beneath</v>
      </c>
      <c r="U120" s="49"/>
      <c r="V120" s="49" t="str">
        <f>IFERROR(__xludf.DUMMYFUNCTION("""COMPUTED_VALUE"""),"else")</f>
        <v>else</v>
      </c>
      <c r="W120" s="49" t="str">
        <f>IFERROR(__xludf.DUMMYFUNCTION("""COMPUTED_VALUE"""),"loss")</f>
        <v>loss</v>
      </c>
      <c r="X120" s="49" t="str">
        <f t="shared" si="3"/>
        <v>favor,</v>
      </c>
      <c r="Y120" s="49"/>
      <c r="Z120" s="1" t="s">
        <v>6679</v>
      </c>
      <c r="AA120" s="1" t="s">
        <v>537</v>
      </c>
      <c r="AB120" s="49" t="str">
        <f>IFERROR(__xludf.DUMMYFUNCTION("""COMPUTED_VALUE"""),"stunt")</f>
        <v>stunt</v>
      </c>
      <c r="AC120" s="49"/>
      <c r="AD120" s="49" t="str">
        <f>IFERROR(__xludf.DUMMYFUNCTION("""COMPUTED_VALUE"""),"itself")</f>
        <v>itself</v>
      </c>
      <c r="AE120" s="49" t="str">
        <f>IFERROR(__xludf.DUMMYFUNCTION("""COMPUTED_VALUE"""),"avoids")</f>
        <v>avoids</v>
      </c>
      <c r="AF120" s="49" t="str">
        <f t="shared" si="4"/>
        <v>tells,</v>
      </c>
      <c r="AG120" s="49"/>
      <c r="AH120" s="1" t="s">
        <v>4744</v>
      </c>
      <c r="AI120" s="1" t="s">
        <v>188</v>
      </c>
      <c r="AJ120" s="6" t="str">
        <f>IFERROR(__xludf.DUMMYFUNCTION("""COMPUTED_VALUE"""),"flash")</f>
        <v>flash</v>
      </c>
      <c r="AK120" s="49"/>
      <c r="AL120" s="49" t="str">
        <f>IFERROR(__xludf.DUMMYFUNCTION("""COMPUTED_VALUE"""),"April")</f>
        <v>April</v>
      </c>
      <c r="AM120" s="49" t="str">
        <f>IFERROR(__xludf.DUMMYFUNCTION("""COMPUTED_VALUE"""),"eighth")</f>
        <v>eighth</v>
      </c>
      <c r="AN120" s="52" t="str">
        <f t="shared" si="5"/>
        <v>kick,</v>
      </c>
    </row>
    <row r="121">
      <c r="A121" s="51" t="s">
        <v>944</v>
      </c>
      <c r="B121" s="50" t="s">
        <v>1551</v>
      </c>
      <c r="C121" s="50" t="s">
        <v>6290</v>
      </c>
      <c r="D121" s="49" t="str">
        <f>IFERROR(__xludf.DUMMYFUNCTION("""COMPUTED_VALUE"""),"times")</f>
        <v>times</v>
      </c>
      <c r="E121" s="49"/>
      <c r="F121" s="49" t="str">
        <f>IFERROR(__xludf.DUMMYFUNCTION("""COMPUTED_VALUE"""),"den")</f>
        <v>den</v>
      </c>
      <c r="G121" s="49" t="str">
        <f>IFERROR(__xludf.DUMMYFUNCTION("""COMPUTED_VALUE"""),"flows")</f>
        <v>flows</v>
      </c>
      <c r="H121" s="54" t="str">
        <f t="shared" si="1"/>
        <v>piece,</v>
      </c>
      <c r="I121" s="50"/>
      <c r="J121" s="50" t="s">
        <v>6007</v>
      </c>
      <c r="K121" s="50" t="s">
        <v>425</v>
      </c>
      <c r="L121" s="49" t="str">
        <f>IFERROR(__xludf.DUMMYFUNCTION("""COMPUTED_VALUE"""),"satire")</f>
        <v>satire</v>
      </c>
      <c r="M121" s="49"/>
      <c r="N121" s="49" t="str">
        <f>IFERROR(__xludf.DUMMYFUNCTION("""COMPUTED_VALUE"""),"about")</f>
        <v>about</v>
      </c>
      <c r="O121" s="49" t="str">
        <f>IFERROR(__xludf.DUMMYFUNCTION("""COMPUTED_VALUE"""),"script")</f>
        <v>script</v>
      </c>
      <c r="P121" s="49" t="str">
        <f t="shared" si="2"/>
        <v>squad,</v>
      </c>
      <c r="Q121" s="49"/>
      <c r="R121" s="50" t="s">
        <v>2107</v>
      </c>
      <c r="S121" s="55" t="s">
        <v>276</v>
      </c>
      <c r="T121" s="49" t="str">
        <f>IFERROR(__xludf.DUMMYFUNCTION("""COMPUTED_VALUE"""),"yourself")</f>
        <v>yourself</v>
      </c>
      <c r="U121" s="49"/>
      <c r="V121" s="49" t="str">
        <f>IFERROR(__xludf.DUMMYFUNCTION("""COMPUTED_VALUE"""),"verdict")</f>
        <v>verdict</v>
      </c>
      <c r="W121" s="49" t="str">
        <f>IFERROR(__xludf.DUMMYFUNCTION("""COMPUTED_VALUE"""),"forgive")</f>
        <v>forgive</v>
      </c>
      <c r="X121" s="49" t="str">
        <f t="shared" si="3"/>
        <v>special,</v>
      </c>
      <c r="Y121" s="49"/>
      <c r="Z121" s="1" t="s">
        <v>1103</v>
      </c>
      <c r="AA121" s="1" t="s">
        <v>111</v>
      </c>
      <c r="AB121" s="49" t="str">
        <f>IFERROR(__xludf.DUMMYFUNCTION("""COMPUTED_VALUE"""),"been")</f>
        <v>been</v>
      </c>
      <c r="AC121" s="49"/>
      <c r="AD121" s="49" t="str">
        <f>IFERROR(__xludf.DUMMYFUNCTION("""COMPUTED_VALUE"""),"about")</f>
        <v>about</v>
      </c>
      <c r="AE121" s="49" t="str">
        <f>IFERROR(__xludf.DUMMYFUNCTION("""COMPUTED_VALUE"""),"script")</f>
        <v>script</v>
      </c>
      <c r="AF121" s="49" t="str">
        <f t="shared" si="4"/>
        <v>does,</v>
      </c>
      <c r="AG121" s="49"/>
      <c r="AH121" s="1" t="s">
        <v>5093</v>
      </c>
      <c r="AI121" s="1" t="s">
        <v>211</v>
      </c>
      <c r="AJ121" s="6" t="str">
        <f>IFERROR(__xludf.DUMMYFUNCTION("""COMPUTED_VALUE"""),"as")</f>
        <v>as</v>
      </c>
      <c r="AK121" s="49"/>
      <c r="AL121" s="49" t="str">
        <f>IFERROR(__xludf.DUMMYFUNCTION("""COMPUTED_VALUE"""),"el")</f>
        <v>el</v>
      </c>
      <c r="AM121" s="49" t="str">
        <f>IFERROR(__xludf.DUMMYFUNCTION("""COMPUTED_VALUE"""),"birmingham")</f>
        <v>birmingham</v>
      </c>
      <c r="AN121" s="52" t="str">
        <f t="shared" si="5"/>
        <v>flash,</v>
      </c>
    </row>
    <row r="122">
      <c r="A122" s="51" t="s">
        <v>951</v>
      </c>
      <c r="B122" s="50" t="s">
        <v>6342</v>
      </c>
      <c r="C122" s="50" t="s">
        <v>312</v>
      </c>
      <c r="D122" s="49" t="str">
        <f>IFERROR(__xludf.DUMMYFUNCTION("""COMPUTED_VALUE"""),"already")</f>
        <v>already</v>
      </c>
      <c r="E122" s="49"/>
      <c r="F122" s="49" t="str">
        <f>IFERROR(__xludf.DUMMYFUNCTION("""COMPUTED_VALUE"""),"iron")</f>
        <v>iron</v>
      </c>
      <c r="G122" s="49" t="str">
        <f>IFERROR(__xludf.DUMMYFUNCTION("""COMPUTED_VALUE"""),"occupation")</f>
        <v>occupation</v>
      </c>
      <c r="H122" s="54" t="str">
        <f t="shared" si="1"/>
        <v>beat,</v>
      </c>
      <c r="I122" s="50"/>
      <c r="J122" s="50" t="s">
        <v>1056</v>
      </c>
      <c r="K122" s="50" t="s">
        <v>767</v>
      </c>
      <c r="L122" s="49" t="str">
        <f>IFERROR(__xludf.DUMMYFUNCTION("""COMPUTED_VALUE"""),"couple")</f>
        <v>couple</v>
      </c>
      <c r="M122" s="49"/>
      <c r="N122" s="49">
        <f>IFERROR(__xludf.DUMMYFUNCTION("""COMPUTED_VALUE"""),8.0)</f>
        <v>8</v>
      </c>
      <c r="O122" s="49" t="str">
        <f>IFERROR(__xludf.DUMMYFUNCTION("""COMPUTED_VALUE"""),"pacing")</f>
        <v>pacing</v>
      </c>
      <c r="P122" s="49" t="str">
        <f t="shared" si="2"/>
        <v>make,</v>
      </c>
      <c r="Q122" s="49"/>
      <c r="R122" s="50" t="s">
        <v>3755</v>
      </c>
      <c r="S122" s="55" t="s">
        <v>664</v>
      </c>
      <c r="T122" s="49" t="str">
        <f>IFERROR(__xludf.DUMMYFUNCTION("""COMPUTED_VALUE"""),"sick")</f>
        <v>sick</v>
      </c>
      <c r="U122" s="49"/>
      <c r="V122" s="49" t="str">
        <f>IFERROR(__xludf.DUMMYFUNCTION("""COMPUTED_VALUE"""),"quality")</f>
        <v>quality</v>
      </c>
      <c r="W122" s="49" t="str">
        <f>IFERROR(__xludf.DUMMYFUNCTION("""COMPUTED_VALUE"""),"itself")</f>
        <v>itself</v>
      </c>
      <c r="X122" s="49" t="str">
        <f t="shared" si="3"/>
        <v>seemingly,</v>
      </c>
      <c r="Y122" s="49"/>
      <c r="Z122" s="1" t="s">
        <v>836</v>
      </c>
      <c r="AA122" s="1" t="s">
        <v>952</v>
      </c>
      <c r="AB122" s="49" t="str">
        <f>IFERROR(__xludf.DUMMYFUNCTION("""COMPUTED_VALUE"""),"down")</f>
        <v>down</v>
      </c>
      <c r="AC122" s="49"/>
      <c r="AD122" s="49">
        <f>IFERROR(__xludf.DUMMYFUNCTION("""COMPUTED_VALUE"""),8.0)</f>
        <v>8</v>
      </c>
      <c r="AE122" s="49" t="str">
        <f>IFERROR(__xludf.DUMMYFUNCTION("""COMPUTED_VALUE"""),"pacing")</f>
        <v>pacing</v>
      </c>
      <c r="AF122" s="49" t="str">
        <f t="shared" si="4"/>
        <v>car,</v>
      </c>
      <c r="AG122" s="49"/>
      <c r="AH122" s="1" t="s">
        <v>235</v>
      </c>
      <c r="AI122" s="1" t="s">
        <v>679</v>
      </c>
      <c r="AJ122" s="6" t="str">
        <f>IFERROR(__xludf.DUMMYFUNCTION("""COMPUTED_VALUE"""),"by")</f>
        <v>by</v>
      </c>
      <c r="AK122" s="49"/>
      <c r="AL122" s="49" t="str">
        <f>IFERROR(__xludf.DUMMYFUNCTION("""COMPUTED_VALUE"""),"flames")</f>
        <v>flames</v>
      </c>
      <c r="AM122" s="49" t="str">
        <f>IFERROR(__xludf.DUMMYFUNCTION("""COMPUTED_VALUE"""),"israel")</f>
        <v>israel</v>
      </c>
      <c r="AN122" s="52" t="str">
        <f t="shared" si="5"/>
        <v>as,</v>
      </c>
    </row>
    <row r="123">
      <c r="A123" s="51" t="s">
        <v>242</v>
      </c>
      <c r="B123" s="50" t="s">
        <v>4053</v>
      </c>
      <c r="C123" s="50" t="s">
        <v>669</v>
      </c>
      <c r="D123" s="49" t="str">
        <f>IFERROR(__xludf.DUMMYFUNCTION("""COMPUTED_VALUE"""),"care")</f>
        <v>care</v>
      </c>
      <c r="E123" s="49"/>
      <c r="F123" s="49" t="str">
        <f>IFERROR(__xludf.DUMMYFUNCTION("""COMPUTED_VALUE"""),"tin")</f>
        <v>tin</v>
      </c>
      <c r="G123" s="49">
        <f>IFERROR(__xludf.DUMMYFUNCTION("""COMPUTED_VALUE"""),80.0)</f>
        <v>80</v>
      </c>
      <c r="H123" s="54" t="str">
        <f t="shared" si="1"/>
        <v>20th,</v>
      </c>
      <c r="I123" s="50"/>
      <c r="J123" s="50" t="s">
        <v>6296</v>
      </c>
      <c r="K123" s="50" t="s">
        <v>782</v>
      </c>
      <c r="L123" s="49" t="str">
        <f>IFERROR(__xludf.DUMMYFUNCTION("""COMPUTED_VALUE"""),"been")</f>
        <v>been</v>
      </c>
      <c r="M123" s="49"/>
      <c r="N123" s="49" t="str">
        <f>IFERROR(__xludf.DUMMYFUNCTION("""COMPUTED_VALUE"""),"ask")</f>
        <v>ask</v>
      </c>
      <c r="O123" s="49" t="str">
        <f>IFERROR(__xludf.DUMMYFUNCTION("""COMPUTED_VALUE"""),"yes")</f>
        <v>yes</v>
      </c>
      <c r="P123" s="49" t="str">
        <f t="shared" si="2"/>
        <v>stuff,</v>
      </c>
      <c r="Q123" s="49"/>
      <c r="R123" s="50" t="s">
        <v>2378</v>
      </c>
      <c r="S123" s="55" t="s">
        <v>74</v>
      </c>
      <c r="T123" s="49" t="str">
        <f>IFERROR(__xludf.DUMMYFUNCTION("""COMPUTED_VALUE"""),"sight")</f>
        <v>sight</v>
      </c>
      <c r="U123" s="49"/>
      <c r="V123" s="49" t="str">
        <f>IFERROR(__xludf.DUMMYFUNCTION("""COMPUTED_VALUE"""),"rated")</f>
        <v>rated</v>
      </c>
      <c r="W123" s="49" t="str">
        <f>IFERROR(__xludf.DUMMYFUNCTION("""COMPUTED_VALUE"""),"phones")</f>
        <v>phones</v>
      </c>
      <c r="X123" s="49" t="str">
        <f t="shared" si="3"/>
        <v>both,</v>
      </c>
      <c r="Y123" s="49"/>
      <c r="Z123" s="1" t="s">
        <v>1056</v>
      </c>
      <c r="AA123" s="1" t="s">
        <v>653</v>
      </c>
      <c r="AB123" s="49" t="str">
        <f>IFERROR(__xludf.DUMMYFUNCTION("""COMPUTED_VALUE"""),"style")</f>
        <v>style</v>
      </c>
      <c r="AC123" s="49"/>
      <c r="AD123" s="49" t="str">
        <f>IFERROR(__xludf.DUMMYFUNCTION("""COMPUTED_VALUE"""),"ask")</f>
        <v>ask</v>
      </c>
      <c r="AE123" s="49" t="str">
        <f>IFERROR(__xludf.DUMMYFUNCTION("""COMPUTED_VALUE"""),"yes")</f>
        <v>yes</v>
      </c>
      <c r="AF123" s="49" t="str">
        <f t="shared" si="4"/>
        <v>make,</v>
      </c>
      <c r="AG123" s="49"/>
      <c r="AH123" s="1" t="s">
        <v>400</v>
      </c>
      <c r="AI123" s="1" t="s">
        <v>1888</v>
      </c>
      <c r="AJ123" s="6" t="str">
        <f>IFERROR(__xludf.DUMMYFUNCTION("""COMPUTED_VALUE"""),"are")</f>
        <v>are</v>
      </c>
      <c r="AK123" s="49"/>
      <c r="AL123" s="49" t="str">
        <f>IFERROR(__xludf.DUMMYFUNCTION("""COMPUTED_VALUE"""),"roads")</f>
        <v>roads</v>
      </c>
      <c r="AM123" s="49" t="str">
        <f>IFERROR(__xludf.DUMMYFUNCTION("""COMPUTED_VALUE"""),"simultaneously")</f>
        <v>simultaneously</v>
      </c>
      <c r="AN123" s="52" t="str">
        <f t="shared" si="5"/>
        <v>by,</v>
      </c>
    </row>
    <row r="124">
      <c r="A124" s="51" t="s">
        <v>963</v>
      </c>
      <c r="B124" s="50" t="s">
        <v>5719</v>
      </c>
      <c r="C124" s="50" t="s">
        <v>6291</v>
      </c>
      <c r="D124" s="49" t="str">
        <f>IFERROR(__xludf.DUMMYFUNCTION("""COMPUTED_VALUE"""),"count")</f>
        <v>count</v>
      </c>
      <c r="E124" s="49"/>
      <c r="F124" s="49" t="str">
        <f>IFERROR(__xludf.DUMMYFUNCTION("""COMPUTED_VALUE"""),"button")</f>
        <v>button</v>
      </c>
      <c r="G124" s="49" t="str">
        <f>IFERROR(__xludf.DUMMYFUNCTION("""COMPUTED_VALUE"""),"cotton")</f>
        <v>cotton</v>
      </c>
      <c r="H124" s="54" t="str">
        <f t="shared" si="1"/>
        <v>contest,</v>
      </c>
      <c r="I124" s="50"/>
      <c r="J124" s="50" t="s">
        <v>57</v>
      </c>
      <c r="K124" s="50" t="s">
        <v>967</v>
      </c>
      <c r="L124" s="49" t="str">
        <f>IFERROR(__xludf.DUMMYFUNCTION("""COMPUTED_VALUE"""),"version")</f>
        <v>version</v>
      </c>
      <c r="M124" s="49"/>
      <c r="N124" s="49" t="str">
        <f>IFERROR(__xludf.DUMMYFUNCTION("""COMPUTED_VALUE"""),"short")</f>
        <v>short</v>
      </c>
      <c r="O124" s="49" t="str">
        <f>IFERROR(__xludf.DUMMYFUNCTION("""COMPUTED_VALUE"""),"breathless")</f>
        <v>breathless</v>
      </c>
      <c r="P124" s="49" t="str">
        <f t="shared" si="2"/>
        <v>only,</v>
      </c>
      <c r="Q124" s="49"/>
      <c r="R124" s="50" t="s">
        <v>4311</v>
      </c>
      <c r="S124" s="55" t="s">
        <v>544</v>
      </c>
      <c r="T124" s="49" t="str">
        <f>IFERROR(__xludf.DUMMYFUNCTION("""COMPUTED_VALUE"""),"stop")</f>
        <v>stop</v>
      </c>
      <c r="U124" s="49"/>
      <c r="V124" s="49" t="str">
        <f>IFERROR(__xludf.DUMMYFUNCTION("""COMPUTED_VALUE"""),"nowhere")</f>
        <v>nowhere</v>
      </c>
      <c r="W124" s="49" t="str">
        <f>IFERROR(__xludf.DUMMYFUNCTION("""COMPUTED_VALUE"""),"supposed")</f>
        <v>supposed</v>
      </c>
      <c r="X124" s="49" t="str">
        <f t="shared" si="3"/>
        <v>falls,</v>
      </c>
      <c r="Y124" s="49"/>
      <c r="Z124" s="1" t="s">
        <v>6296</v>
      </c>
      <c r="AA124" s="1" t="s">
        <v>165</v>
      </c>
      <c r="AB124" s="49" t="str">
        <f>IFERROR(__xludf.DUMMYFUNCTION("""COMPUTED_VALUE"""),"now")</f>
        <v>now</v>
      </c>
      <c r="AC124" s="49"/>
      <c r="AD124" s="49" t="str">
        <f>IFERROR(__xludf.DUMMYFUNCTION("""COMPUTED_VALUE"""),"short")</f>
        <v>short</v>
      </c>
      <c r="AE124" s="49" t="str">
        <f>IFERROR(__xludf.DUMMYFUNCTION("""COMPUTED_VALUE"""),"breathless")</f>
        <v>breathless</v>
      </c>
      <c r="AF124" s="49" t="str">
        <f t="shared" si="4"/>
        <v>stuff,</v>
      </c>
      <c r="AG124" s="49"/>
      <c r="AH124" s="1" t="s">
        <v>269</v>
      </c>
      <c r="AI124" s="1" t="s">
        <v>1222</v>
      </c>
      <c r="AJ124" s="6" t="str">
        <f>IFERROR(__xludf.DUMMYFUNCTION("""COMPUTED_VALUE"""),"not")</f>
        <v>not</v>
      </c>
      <c r="AK124" s="49"/>
      <c r="AL124" s="49" t="str">
        <f>IFERROR(__xludf.DUMMYFUNCTION("""COMPUTED_VALUE"""),"counter")</f>
        <v>counter</v>
      </c>
      <c r="AM124" s="49" t="str">
        <f>IFERROR(__xludf.DUMMYFUNCTION("""COMPUTED_VALUE"""),"profile")</f>
        <v>profile</v>
      </c>
      <c r="AN124" s="52" t="str">
        <f t="shared" si="5"/>
        <v>are,</v>
      </c>
    </row>
    <row r="125">
      <c r="A125" s="51" t="s">
        <v>968</v>
      </c>
      <c r="B125" s="50" t="s">
        <v>4249</v>
      </c>
      <c r="C125" s="50" t="s">
        <v>357</v>
      </c>
      <c r="D125" s="49" t="str">
        <f>IFERROR(__xludf.DUMMYFUNCTION("""COMPUTED_VALUE"""),"fourth")</f>
        <v>fourth</v>
      </c>
      <c r="E125" s="49"/>
      <c r="F125" s="49" t="str">
        <f>IFERROR(__xludf.DUMMYFUNCTION("""COMPUTED_VALUE"""),"non")</f>
        <v>non</v>
      </c>
      <c r="G125" s="49" t="str">
        <f>IFERROR(__xludf.DUMMYFUNCTION("""COMPUTED_VALUE"""),"rode")</f>
        <v>rode</v>
      </c>
      <c r="H125" s="54" t="str">
        <f t="shared" si="1"/>
        <v>worried,</v>
      </c>
      <c r="I125" s="50"/>
      <c r="J125" s="50" t="s">
        <v>58</v>
      </c>
      <c r="K125" s="50" t="s">
        <v>789</v>
      </c>
      <c r="L125" s="49" t="str">
        <f>IFERROR(__xludf.DUMMYFUNCTION("""COMPUTED_VALUE"""),"hong")</f>
        <v>hong</v>
      </c>
      <c r="M125" s="49"/>
      <c r="N125" s="49" t="str">
        <f>IFERROR(__xludf.DUMMYFUNCTION("""COMPUTED_VALUE"""),"eight")</f>
        <v>eight</v>
      </c>
      <c r="O125" s="49" t="str">
        <f>IFERROR(__xludf.DUMMYFUNCTION("""COMPUTED_VALUE"""),"tides")</f>
        <v>tides</v>
      </c>
      <c r="P125" s="49" t="str">
        <f t="shared" si="2"/>
        <v>from,</v>
      </c>
      <c r="Q125" s="49"/>
      <c r="R125" s="50" t="s">
        <v>4067</v>
      </c>
      <c r="S125" s="55" t="s">
        <v>3400</v>
      </c>
      <c r="T125" s="49" t="str">
        <f>IFERROR(__xludf.DUMMYFUNCTION("""COMPUTED_VALUE"""),"those")</f>
        <v>those</v>
      </c>
      <c r="U125" s="49"/>
      <c r="V125" s="49" t="str">
        <f>IFERROR(__xludf.DUMMYFUNCTION("""COMPUTED_VALUE"""),"without")</f>
        <v>without</v>
      </c>
      <c r="W125" s="49" t="str">
        <f>IFERROR(__xludf.DUMMYFUNCTION("""COMPUTED_VALUE"""),"suspense")</f>
        <v>suspense</v>
      </c>
      <c r="X125" s="49" t="str">
        <f t="shared" si="3"/>
        <v>industry,</v>
      </c>
      <c r="Y125" s="49"/>
      <c r="Z125" s="1" t="s">
        <v>321</v>
      </c>
      <c r="AA125" s="1" t="s">
        <v>545</v>
      </c>
      <c r="AB125" s="49" t="str">
        <f>IFERROR(__xludf.DUMMYFUNCTION("""COMPUTED_VALUE"""),"cinematic")</f>
        <v>cinematic</v>
      </c>
      <c r="AC125" s="49"/>
      <c r="AD125" s="49" t="str">
        <f>IFERROR(__xludf.DUMMYFUNCTION("""COMPUTED_VALUE"""),"eight")</f>
        <v>eight</v>
      </c>
      <c r="AE125" s="49" t="str">
        <f>IFERROR(__xludf.DUMMYFUNCTION("""COMPUTED_VALUE"""),"tides")</f>
        <v>tides</v>
      </c>
      <c r="AF125" s="49" t="str">
        <f t="shared" si="4"/>
        <v>course,</v>
      </c>
      <c r="AG125" s="49"/>
      <c r="AH125" s="1" t="s">
        <v>6235</v>
      </c>
      <c r="AI125" s="1" t="s">
        <v>61</v>
      </c>
      <c r="AJ125" s="6" t="str">
        <f>IFERROR(__xludf.DUMMYFUNCTION("""COMPUTED_VALUE"""),"up")</f>
        <v>up</v>
      </c>
      <c r="AK125" s="49"/>
      <c r="AL125" s="49" t="str">
        <f>IFERROR(__xludf.DUMMYFUNCTION("""COMPUTED_VALUE"""),"nancy")</f>
        <v>nancy</v>
      </c>
      <c r="AM125" s="49" t="str">
        <f>IFERROR(__xludf.DUMMYFUNCTION("""COMPUTED_VALUE"""),"solutions")</f>
        <v>solutions</v>
      </c>
      <c r="AN125" s="52" t="str">
        <f t="shared" si="5"/>
        <v>not,</v>
      </c>
    </row>
    <row r="126">
      <c r="A126" s="51" t="s">
        <v>973</v>
      </c>
      <c r="B126" s="50" t="s">
        <v>7173</v>
      </c>
      <c r="C126" s="50" t="s">
        <v>955</v>
      </c>
      <c r="D126" s="49" t="str">
        <f>IFERROR(__xludf.DUMMYFUNCTION("""COMPUTED_VALUE"""),"feature")</f>
        <v>feature</v>
      </c>
      <c r="E126" s="49"/>
      <c r="F126" s="49" t="str">
        <f>IFERROR(__xludf.DUMMYFUNCTION("""COMPUTED_VALUE"""),"advertising")</f>
        <v>advertising</v>
      </c>
      <c r="G126" s="49" t="str">
        <f>IFERROR(__xludf.DUMMYFUNCTION("""COMPUTED_VALUE"""),"allegedly")</f>
        <v>allegedly</v>
      </c>
      <c r="H126" s="54" t="str">
        <f t="shared" si="1"/>
        <v>warner,</v>
      </c>
      <c r="I126" s="50"/>
      <c r="J126" s="50" t="s">
        <v>6275</v>
      </c>
      <c r="K126" s="50" t="s">
        <v>163</v>
      </c>
      <c r="L126" s="49" t="str">
        <f>IFERROR(__xludf.DUMMYFUNCTION("""COMPUTED_VALUE"""),"asia")</f>
        <v>asia</v>
      </c>
      <c r="M126" s="49"/>
      <c r="N126" s="49" t="str">
        <f>IFERROR(__xludf.DUMMYFUNCTION("""COMPUTED_VALUE"""),"/")</f>
        <v>/</v>
      </c>
      <c r="O126" s="49" t="str">
        <f>IFERROR(__xludf.DUMMYFUNCTION("""COMPUTED_VALUE"""),"technically")</f>
        <v>technically</v>
      </c>
      <c r="P126" s="49" t="str">
        <f t="shared" si="2"/>
        <v>its,</v>
      </c>
      <c r="Q126" s="49"/>
      <c r="R126" s="50" t="s">
        <v>6295</v>
      </c>
      <c r="S126" s="55" t="s">
        <v>146</v>
      </c>
      <c r="T126" s="49" t="str">
        <f>IFERROR(__xludf.DUMMYFUNCTION("""COMPUTED_VALUE"""),"just")</f>
        <v>just</v>
      </c>
      <c r="U126" s="49"/>
      <c r="V126" s="49" t="str">
        <f>IFERROR(__xludf.DUMMYFUNCTION("""COMPUTED_VALUE"""),"paced")</f>
        <v>paced</v>
      </c>
      <c r="W126" s="49" t="str">
        <f>IFERROR(__xludf.DUMMYFUNCTION("""COMPUTED_VALUE"""),"realistic")</f>
        <v>realistic</v>
      </c>
      <c r="X126" s="49" t="str">
        <f t="shared" si="3"/>
        <v>he,</v>
      </c>
      <c r="Y126" s="49"/>
      <c r="Z126" s="1" t="s">
        <v>4682</v>
      </c>
      <c r="AA126" s="1" t="s">
        <v>558</v>
      </c>
      <c r="AB126" s="49" t="str">
        <f>IFERROR(__xludf.DUMMYFUNCTION("""COMPUTED_VALUE"""),"filmmaking")</f>
        <v>filmmaking</v>
      </c>
      <c r="AC126" s="49"/>
      <c r="AD126" s="49" t="str">
        <f>IFERROR(__xludf.DUMMYFUNCTION("""COMPUTED_VALUE"""),"/")</f>
        <v>/</v>
      </c>
      <c r="AE126" s="49" t="str">
        <f>IFERROR(__xludf.DUMMYFUNCTION("""COMPUTED_VALUE"""),"technically")</f>
        <v>technically</v>
      </c>
      <c r="AF126" s="49" t="str">
        <f t="shared" si="4"/>
        <v>television,</v>
      </c>
      <c r="AG126" s="49"/>
      <c r="AH126" s="1" t="s">
        <v>65</v>
      </c>
      <c r="AI126" s="1" t="s">
        <v>532</v>
      </c>
      <c r="AJ126" s="6" t="str">
        <f>IFERROR(__xludf.DUMMYFUNCTION("""COMPUTED_VALUE"""),"after")</f>
        <v>after</v>
      </c>
      <c r="AK126" s="49"/>
      <c r="AL126" s="49"/>
      <c r="AM126" s="49">
        <f>IFERROR(__xludf.DUMMYFUNCTION("""COMPUTED_VALUE"""),83.0)</f>
        <v>83</v>
      </c>
      <c r="AN126" s="52" t="str">
        <f t="shared" si="5"/>
        <v>up,</v>
      </c>
    </row>
    <row r="127">
      <c r="A127" s="51" t="s">
        <v>849</v>
      </c>
      <c r="B127" s="50" t="s">
        <v>2339</v>
      </c>
      <c r="C127" s="50" t="s">
        <v>330</v>
      </c>
      <c r="D127" s="49" t="str">
        <f>IFERROR(__xludf.DUMMYFUNCTION("""COMPUTED_VALUE"""),"territory")</f>
        <v>territory</v>
      </c>
      <c r="E127" s="49"/>
      <c r="F127" s="49" t="str">
        <f>IFERROR(__xludf.DUMMYFUNCTION("""COMPUTED_VALUE"""),"sc")</f>
        <v>sc</v>
      </c>
      <c r="G127" s="49" t="str">
        <f>IFERROR(__xludf.DUMMYFUNCTION("""COMPUTED_VALUE"""),"composition")</f>
        <v>composition</v>
      </c>
      <c r="H127" s="54" t="str">
        <f t="shared" si="1"/>
        <v>animation,</v>
      </c>
      <c r="I127" s="50"/>
      <c r="J127" s="50" t="s">
        <v>1477</v>
      </c>
      <c r="K127" s="50" t="s">
        <v>143</v>
      </c>
      <c r="L127" s="49" t="str">
        <f>IFERROR(__xludf.DUMMYFUNCTION("""COMPUTED_VALUE"""),"cinematic")</f>
        <v>cinematic</v>
      </c>
      <c r="M127" s="49"/>
      <c r="N127" s="49" t="str">
        <f>IFERROR(__xludf.DUMMYFUNCTION("""COMPUTED_VALUE"""),"nervous")</f>
        <v>nervous</v>
      </c>
      <c r="O127" s="49" t="str">
        <f>IFERROR(__xludf.DUMMYFUNCTION("""COMPUTED_VALUE"""),"quivering")</f>
        <v>quivering</v>
      </c>
      <c r="P127" s="49" t="str">
        <f t="shared" si="2"/>
        <v>their,</v>
      </c>
      <c r="Q127" s="49"/>
      <c r="R127" s="50">
        <v>13.0</v>
      </c>
      <c r="S127" s="55" t="s">
        <v>562</v>
      </c>
      <c r="T127" s="49">
        <f>IFERROR(__xludf.DUMMYFUNCTION("""COMPUTED_VALUE"""),8.0)</f>
        <v>8</v>
      </c>
      <c r="U127" s="49"/>
      <c r="V127" s="49" t="str">
        <f>IFERROR(__xludf.DUMMYFUNCTION("""COMPUTED_VALUE"""),"admission")</f>
        <v>admission</v>
      </c>
      <c r="W127" s="49" t="str">
        <f>IFERROR(__xludf.DUMMYFUNCTION("""COMPUTED_VALUE"""),"squeeze")</f>
        <v>squeeze</v>
      </c>
      <c r="X127" s="49" t="str">
        <f t="shared" si="3"/>
        <v>13,</v>
      </c>
      <c r="Y127" s="49"/>
      <c r="Z127" s="1" t="s">
        <v>500</v>
      </c>
      <c r="AA127" s="1" t="s">
        <v>553</v>
      </c>
      <c r="AB127" s="49" t="str">
        <f>IFERROR(__xludf.DUMMYFUNCTION("""COMPUTED_VALUE"""),"vehicle")</f>
        <v>vehicle</v>
      </c>
      <c r="AC127" s="49"/>
      <c r="AD127" s="49" t="str">
        <f>IFERROR(__xludf.DUMMYFUNCTION("""COMPUTED_VALUE"""),"nervous")</f>
        <v>nervous</v>
      </c>
      <c r="AE127" s="49" t="str">
        <f>IFERROR(__xludf.DUMMYFUNCTION("""COMPUTED_VALUE"""),"quivering")</f>
        <v>quivering</v>
      </c>
      <c r="AF127" s="49" t="str">
        <f t="shared" si="4"/>
        <v>however,</v>
      </c>
      <c r="AG127" s="49"/>
      <c r="AH127" s="1" t="s">
        <v>770</v>
      </c>
      <c r="AI127" s="1" t="s">
        <v>559</v>
      </c>
      <c r="AJ127" s="6" t="str">
        <f>IFERROR(__xludf.DUMMYFUNCTION("""COMPUTED_VALUE"""),"so")</f>
        <v>so</v>
      </c>
      <c r="AK127" s="49"/>
      <c r="AL127" s="49"/>
      <c r="AM127" s="49" t="str">
        <f>IFERROR(__xludf.DUMMYFUNCTION("""COMPUTED_VALUE"""),"margin")</f>
        <v>margin</v>
      </c>
      <c r="AN127" s="52" t="str">
        <f t="shared" si="5"/>
        <v>after,</v>
      </c>
    </row>
    <row r="128">
      <c r="A128" s="51" t="s">
        <v>982</v>
      </c>
      <c r="B128" s="50" t="s">
        <v>7257</v>
      </c>
      <c r="C128" s="50" t="s">
        <v>795</v>
      </c>
      <c r="D128" s="49" t="str">
        <f>IFERROR(__xludf.DUMMYFUNCTION("""COMPUTED_VALUE"""),"covers")</f>
        <v>covers</v>
      </c>
      <c r="E128" s="49"/>
      <c r="F128" s="49" t="str">
        <f>IFERROR(__xludf.DUMMYFUNCTION("""COMPUTED_VALUE"""),"morrison")</f>
        <v>morrison</v>
      </c>
      <c r="G128" s="49" t="str">
        <f>IFERROR(__xludf.DUMMYFUNCTION("""COMPUTED_VALUE"""),"shifting")</f>
        <v>shifting</v>
      </c>
      <c r="H128" s="54" t="str">
        <f t="shared" si="1"/>
        <v>mouse,</v>
      </c>
      <c r="I128" s="50"/>
      <c r="J128" s="50" t="s">
        <v>1133</v>
      </c>
      <c r="K128" s="50" t="s">
        <v>433</v>
      </c>
      <c r="L128" s="49" t="str">
        <f>IFERROR(__xludf.DUMMYFUNCTION("""COMPUTED_VALUE"""),"made")</f>
        <v>made</v>
      </c>
      <c r="M128" s="49"/>
      <c r="N128" s="49" t="str">
        <f>IFERROR(__xludf.DUMMYFUNCTION("""COMPUTED_VALUE"""),"thing")</f>
        <v>thing</v>
      </c>
      <c r="O128" s="49" t="str">
        <f>IFERROR(__xludf.DUMMYFUNCTION("""COMPUTED_VALUE"""),"may")</f>
        <v>may</v>
      </c>
      <c r="P128" s="49" t="str">
        <f t="shared" si="2"/>
        <v>if,</v>
      </c>
      <c r="Q128" s="49"/>
      <c r="R128" s="50" t="s">
        <v>2483</v>
      </c>
      <c r="S128" s="55" t="s">
        <v>348</v>
      </c>
      <c r="T128" s="49" t="str">
        <f>IFERROR(__xludf.DUMMYFUNCTION("""COMPUTED_VALUE"""),"long")</f>
        <v>long</v>
      </c>
      <c r="U128" s="49"/>
      <c r="V128" s="49" t="str">
        <f>IFERROR(__xludf.DUMMYFUNCTION("""COMPUTED_VALUE"""),"punk")</f>
        <v>punk</v>
      </c>
      <c r="W128" s="49" t="str">
        <f>IFERROR(__xludf.DUMMYFUNCTION("""COMPUTED_VALUE"""),"lump")</f>
        <v>lump</v>
      </c>
      <c r="X128" s="49" t="str">
        <f t="shared" si="3"/>
        <v>writer,</v>
      </c>
      <c r="Y128" s="49"/>
      <c r="Z128" s="1" t="s">
        <v>1094</v>
      </c>
      <c r="AA128" s="1" t="s">
        <v>570</v>
      </c>
      <c r="AB128" s="49" t="str">
        <f>IFERROR(__xludf.DUMMYFUNCTION("""COMPUTED_VALUE"""),"seriousness")</f>
        <v>seriousness</v>
      </c>
      <c r="AC128" s="49"/>
      <c r="AD128" s="49" t="str">
        <f>IFERROR(__xludf.DUMMYFUNCTION("""COMPUTED_VALUE"""),"thing")</f>
        <v>thing</v>
      </c>
      <c r="AE128" s="49" t="str">
        <f>IFERROR(__xludf.DUMMYFUNCTION("""COMPUTED_VALUE"""),"may")</f>
        <v>may</v>
      </c>
      <c r="AF128" s="49" t="str">
        <f t="shared" si="4"/>
        <v>name,</v>
      </c>
      <c r="AG128" s="49"/>
      <c r="AH128" s="1" t="s">
        <v>538</v>
      </c>
      <c r="AI128" s="1" t="s">
        <v>568</v>
      </c>
      <c r="AJ128" s="6" t="str">
        <f>IFERROR(__xludf.DUMMYFUNCTION("""COMPUTED_VALUE"""),"more")</f>
        <v>more</v>
      </c>
      <c r="AK128" s="49"/>
      <c r="AL128" s="49"/>
      <c r="AM128" s="49" t="str">
        <f>IFERROR(__xludf.DUMMYFUNCTION("""COMPUTED_VALUE"""),"sugar")</f>
        <v>sugar</v>
      </c>
      <c r="AN128" s="52" t="str">
        <f t="shared" si="5"/>
        <v>so,</v>
      </c>
    </row>
    <row r="129">
      <c r="A129" s="51" t="s">
        <v>986</v>
      </c>
      <c r="B129" s="50" t="s">
        <v>4419</v>
      </c>
      <c r="C129" s="50" t="s">
        <v>779</v>
      </c>
      <c r="D129" s="49" t="str">
        <f>IFERROR(__xludf.DUMMYFUNCTION("""COMPUTED_VALUE"""),"suggesting")</f>
        <v>suggesting</v>
      </c>
      <c r="E129" s="49"/>
      <c r="F129" s="49">
        <f>IFERROR(__xludf.DUMMYFUNCTION("""COMPUTED_VALUE"""),12.0)</f>
        <v>12</v>
      </c>
      <c r="G129" s="49" t="str">
        <f>IFERROR(__xludf.DUMMYFUNCTION("""COMPUTED_VALUE"""),"commerce")</f>
        <v>commerce</v>
      </c>
      <c r="H129" s="54" t="str">
        <f t="shared" si="1"/>
        <v>quest,</v>
      </c>
      <c r="I129" s="50"/>
      <c r="J129" s="50" t="s">
        <v>6299</v>
      </c>
      <c r="K129" s="50" t="s">
        <v>991</v>
      </c>
      <c r="L129" s="49" t="str">
        <f>IFERROR(__xludf.DUMMYFUNCTION("""COMPUTED_VALUE"""),"popular")</f>
        <v>popular</v>
      </c>
      <c r="M129" s="49"/>
      <c r="N129" s="49" t="str">
        <f>IFERROR(__xludf.DUMMYFUNCTION("""COMPUTED_VALUE"""),"huge")</f>
        <v>huge</v>
      </c>
      <c r="O129" s="49" t="str">
        <f>IFERROR(__xludf.DUMMYFUNCTION("""COMPUTED_VALUE"""),"term")</f>
        <v>term</v>
      </c>
      <c r="P129" s="49" t="str">
        <f t="shared" si="2"/>
        <v>be,</v>
      </c>
      <c r="Q129" s="49"/>
      <c r="R129" s="50" t="s">
        <v>1238</v>
      </c>
      <c r="S129" s="55" t="s">
        <v>66</v>
      </c>
      <c r="T129" s="49" t="str">
        <f>IFERROR(__xludf.DUMMYFUNCTION("""COMPUTED_VALUE"""),"me")</f>
        <v>me</v>
      </c>
      <c r="U129" s="49"/>
      <c r="V129" s="49" t="str">
        <f>IFERROR(__xludf.DUMMYFUNCTION("""COMPUTED_VALUE"""),"remains")</f>
        <v>remains</v>
      </c>
      <c r="W129" s="49" t="str">
        <f>IFERROR(__xludf.DUMMYFUNCTION("""COMPUTED_VALUE"""),"tries")</f>
        <v>tries</v>
      </c>
      <c r="X129" s="49" t="str">
        <f t="shared" si="3"/>
        <v>title,</v>
      </c>
      <c r="Y129" s="49"/>
      <c r="Z129" s="1" t="s">
        <v>6318</v>
      </c>
      <c r="AA129" s="1" t="s">
        <v>987</v>
      </c>
      <c r="AB129" s="49" t="str">
        <f>IFERROR(__xludf.DUMMYFUNCTION("""COMPUTED_VALUE"""),"did")</f>
        <v>did</v>
      </c>
      <c r="AC129" s="49"/>
      <c r="AD129" s="49" t="str">
        <f>IFERROR(__xludf.DUMMYFUNCTION("""COMPUTED_VALUE"""),"huge")</f>
        <v>huge</v>
      </c>
      <c r="AE129" s="49" t="str">
        <f>IFERROR(__xludf.DUMMYFUNCTION("""COMPUTED_VALUE"""),"term")</f>
        <v>term</v>
      </c>
      <c r="AF129" s="49" t="str">
        <f t="shared" si="4"/>
        <v>under,</v>
      </c>
      <c r="AG129" s="49"/>
      <c r="AH129" s="1" t="s">
        <v>129</v>
      </c>
      <c r="AI129" s="1" t="s">
        <v>218</v>
      </c>
      <c r="AJ129" s="6" t="str">
        <f>IFERROR(__xludf.DUMMYFUNCTION("""COMPUTED_VALUE"""),"three")</f>
        <v>three</v>
      </c>
      <c r="AK129" s="49"/>
      <c r="AL129" s="49"/>
      <c r="AM129" s="49" t="str">
        <f>IFERROR(__xludf.DUMMYFUNCTION("""COMPUTED_VALUE"""),"organic")</f>
        <v>organic</v>
      </c>
      <c r="AN129" s="52" t="str">
        <f t="shared" si="5"/>
        <v>more,</v>
      </c>
    </row>
    <row r="130">
      <c r="A130" s="51" t="s">
        <v>992</v>
      </c>
      <c r="B130" s="50" t="s">
        <v>7085</v>
      </c>
      <c r="C130" s="50" t="s">
        <v>638</v>
      </c>
      <c r="D130" s="49" t="str">
        <f>IFERROR(__xludf.DUMMYFUNCTION("""COMPUTED_VALUE"""),"game")</f>
        <v>game</v>
      </c>
      <c r="E130" s="49"/>
      <c r="F130" s="49" t="str">
        <f>IFERROR(__xludf.DUMMYFUNCTION("""COMPUTED_VALUE"""),"st")</f>
        <v>st</v>
      </c>
      <c r="G130" s="49" t="str">
        <f>IFERROR(__xludf.DUMMYFUNCTION("""COMPUTED_VALUE"""),"consciousness")</f>
        <v>consciousness</v>
      </c>
      <c r="H130" s="54" t="str">
        <f t="shared" si="1"/>
        <v>steal,</v>
      </c>
      <c r="I130" s="50"/>
      <c r="J130" s="50" t="s">
        <v>514</v>
      </c>
      <c r="K130" s="50" t="s">
        <v>450</v>
      </c>
      <c r="L130" s="49" t="str">
        <f>IFERROR(__xludf.DUMMYFUNCTION("""COMPUTED_VALUE"""),"classics")</f>
        <v>classics</v>
      </c>
      <c r="M130" s="49"/>
      <c r="N130" s="49" t="str">
        <f>IFERROR(__xludf.DUMMYFUNCTION("""COMPUTED_VALUE"""),"talking")</f>
        <v>talking</v>
      </c>
      <c r="O130" s="49" t="str">
        <f>IFERROR(__xludf.DUMMYFUNCTION("""COMPUTED_VALUE"""),"emotions")</f>
        <v>emotions</v>
      </c>
      <c r="P130" s="49" t="str">
        <f t="shared" si="2"/>
        <v>had,</v>
      </c>
      <c r="Q130" s="49"/>
      <c r="R130" s="50" t="s">
        <v>657</v>
      </c>
      <c r="S130" s="55" t="s">
        <v>683</v>
      </c>
      <c r="T130" s="49" t="str">
        <f>IFERROR(__xludf.DUMMYFUNCTION("""COMPUTED_VALUE"""),"/")</f>
        <v>/</v>
      </c>
      <c r="U130" s="49"/>
      <c r="V130" s="49" t="str">
        <f>IFERROR(__xludf.DUMMYFUNCTION("""COMPUTED_VALUE"""),"ends")</f>
        <v>ends</v>
      </c>
      <c r="W130" s="49" t="str">
        <f>IFERROR(__xludf.DUMMYFUNCTION("""COMPUTED_VALUE"""),"stunts")</f>
        <v>stunts</v>
      </c>
      <c r="X130" s="49" t="str">
        <f t="shared" si="3"/>
        <v>off,</v>
      </c>
      <c r="Y130" s="49"/>
      <c r="Z130" s="1" t="s">
        <v>3529</v>
      </c>
      <c r="AA130" s="1" t="s">
        <v>993</v>
      </c>
      <c r="AB130" s="49" t="str">
        <f>IFERROR(__xludf.DUMMYFUNCTION("""COMPUTED_VALUE"""),"dreams")</f>
        <v>dreams</v>
      </c>
      <c r="AC130" s="49"/>
      <c r="AD130" s="49" t="str">
        <f>IFERROR(__xludf.DUMMYFUNCTION("""COMPUTED_VALUE"""),"talking")</f>
        <v>talking</v>
      </c>
      <c r="AE130" s="49" t="str">
        <f>IFERROR(__xludf.DUMMYFUNCTION("""COMPUTED_VALUE"""),"emotions")</f>
        <v>emotions</v>
      </c>
      <c r="AF130" s="49" t="str">
        <f t="shared" si="4"/>
        <v>movies,</v>
      </c>
      <c r="AG130" s="49"/>
      <c r="AH130" s="1" t="s">
        <v>379</v>
      </c>
      <c r="AI130" s="1" t="s">
        <v>6292</v>
      </c>
      <c r="AJ130" s="6" t="str">
        <f>IFERROR(__xludf.DUMMYFUNCTION("""COMPUTED_VALUE"""),"under")</f>
        <v>under</v>
      </c>
      <c r="AK130" s="49"/>
      <c r="AL130" s="49"/>
      <c r="AM130" s="49" t="str">
        <f>IFERROR(__xludf.DUMMYFUNCTION("""COMPUTED_VALUE"""),"specialized")</f>
        <v>specialized</v>
      </c>
      <c r="AN130" s="52" t="str">
        <f t="shared" si="5"/>
        <v>three,</v>
      </c>
    </row>
    <row r="131">
      <c r="A131" s="51" t="s">
        <v>998</v>
      </c>
      <c r="B131" s="50" t="s">
        <v>3670</v>
      </c>
      <c r="C131" s="50" t="s">
        <v>803</v>
      </c>
      <c r="D131" s="49" t="str">
        <f>IFERROR(__xludf.DUMMYFUNCTION("""COMPUTED_VALUE"""),"million")</f>
        <v>million</v>
      </c>
      <c r="E131" s="49"/>
      <c r="F131" s="49" t="str">
        <f>IFERROR(__xludf.DUMMYFUNCTION("""COMPUTED_VALUE"""),"helping")</f>
        <v>helping</v>
      </c>
      <c r="G131" s="49" t="str">
        <f>IFERROR(__xludf.DUMMYFUNCTION("""COMPUTED_VALUE"""),"steady")</f>
        <v>steady</v>
      </c>
      <c r="H131" s="54" t="str">
        <f t="shared" si="1"/>
        <v>cartoon,</v>
      </c>
      <c r="I131" s="50"/>
      <c r="J131" s="50" t="s">
        <v>108</v>
      </c>
      <c r="K131" s="50" t="s">
        <v>1003</v>
      </c>
      <c r="L131" s="49" t="str">
        <f>IFERROR(__xludf.DUMMYFUNCTION("""COMPUTED_VALUE"""),"france")</f>
        <v>france</v>
      </c>
      <c r="M131" s="49"/>
      <c r="N131" s="49" t="str">
        <f>IFERROR(__xludf.DUMMYFUNCTION("""COMPUTED_VALUE"""),"long")</f>
        <v>long</v>
      </c>
      <c r="O131" s="49" t="str">
        <f>IFERROR(__xludf.DUMMYFUNCTION("""COMPUTED_VALUE"""),"confessions")</f>
        <v>confessions</v>
      </c>
      <c r="P131" s="49" t="str">
        <f t="shared" si="2"/>
        <v>other,</v>
      </c>
      <c r="Q131" s="49"/>
      <c r="R131" s="50" t="s">
        <v>1916</v>
      </c>
      <c r="S131" s="55" t="s">
        <v>122</v>
      </c>
      <c r="T131" s="49" t="str">
        <f>IFERROR(__xludf.DUMMYFUNCTION("""COMPUTED_VALUE"""),"hugh")</f>
        <v>hugh</v>
      </c>
      <c r="U131" s="49"/>
      <c r="V131" s="49" t="str">
        <f>IFERROR(__xludf.DUMMYFUNCTION("""COMPUTED_VALUE"""),"morning")</f>
        <v>morning</v>
      </c>
      <c r="W131" s="49" t="str">
        <f>IFERROR(__xludf.DUMMYFUNCTION("""COMPUTED_VALUE"""),"talents")</f>
        <v>talents</v>
      </c>
      <c r="X131" s="49" t="str">
        <f t="shared" si="3"/>
        <v>whole,</v>
      </c>
      <c r="Y131" s="49"/>
      <c r="Z131" s="1" t="s">
        <v>379</v>
      </c>
      <c r="AA131" s="1" t="s">
        <v>591</v>
      </c>
      <c r="AB131" s="49" t="str">
        <f>IFERROR(__xludf.DUMMYFUNCTION("""COMPUTED_VALUE"""),"reality")</f>
        <v>reality</v>
      </c>
      <c r="AC131" s="49"/>
      <c r="AD131" s="49" t="str">
        <f>IFERROR(__xludf.DUMMYFUNCTION("""COMPUTED_VALUE"""),"long")</f>
        <v>long</v>
      </c>
      <c r="AE131" s="49" t="str">
        <f>IFERROR(__xludf.DUMMYFUNCTION("""COMPUTED_VALUE"""),"confessions")</f>
        <v>confessions</v>
      </c>
      <c r="AF131" s="49" t="str">
        <f t="shared" si="4"/>
        <v>three,</v>
      </c>
      <c r="AG131" s="49"/>
      <c r="AH131" s="1" t="s">
        <v>6318</v>
      </c>
      <c r="AI131" s="1" t="s">
        <v>239</v>
      </c>
      <c r="AJ131" s="6" t="str">
        <f>IFERROR(__xludf.DUMMYFUNCTION("""COMPUTED_VALUE"""),"these")</f>
        <v>these</v>
      </c>
      <c r="AK131" s="49"/>
      <c r="AL131" s="49"/>
      <c r="AM131" s="49" t="str">
        <f>IFERROR(__xludf.DUMMYFUNCTION("""COMPUTED_VALUE"""),"technologies")</f>
        <v>technologies</v>
      </c>
      <c r="AN131" s="52" t="str">
        <f t="shared" si="5"/>
        <v>under,</v>
      </c>
    </row>
    <row r="132">
      <c r="A132" s="51" t="s">
        <v>693</v>
      </c>
      <c r="B132" s="50" t="s">
        <v>3254</v>
      </c>
      <c r="C132" s="50" t="s">
        <v>819</v>
      </c>
      <c r="D132" s="49" t="str">
        <f>IFERROR(__xludf.DUMMYFUNCTION("""COMPUTED_VALUE"""),"version")</f>
        <v>version</v>
      </c>
      <c r="E132" s="49"/>
      <c r="F132" s="49" t="str">
        <f>IFERROR(__xludf.DUMMYFUNCTION("""COMPUTED_VALUE"""),"morris")</f>
        <v>morris</v>
      </c>
      <c r="G132" s="49" t="str">
        <f>IFERROR(__xludf.DUMMYFUNCTION("""COMPUTED_VALUE"""),"struggled")</f>
        <v>struggled</v>
      </c>
      <c r="H132" s="54" t="str">
        <f t="shared" si="1"/>
        <v>promising,</v>
      </c>
      <c r="I132" s="50"/>
      <c r="J132" s="50" t="s">
        <v>258</v>
      </c>
      <c r="K132" s="50" t="s">
        <v>1009</v>
      </c>
      <c r="L132" s="49" t="str">
        <f>IFERROR(__xludf.DUMMYFUNCTION("""COMPUTED_VALUE"""),"american")</f>
        <v>american</v>
      </c>
      <c r="M132" s="49"/>
      <c r="N132" s="49" t="str">
        <f>IFERROR(__xludf.DUMMYFUNCTION("""COMPUTED_VALUE"""),"until")</f>
        <v>until</v>
      </c>
      <c r="O132" s="49" t="str">
        <f>IFERROR(__xludf.DUMMYFUNCTION("""COMPUTED_VALUE"""),"bio")</f>
        <v>bio</v>
      </c>
      <c r="P132" s="49" t="str">
        <f t="shared" si="2"/>
        <v>year,</v>
      </c>
      <c r="Q132" s="49"/>
      <c r="R132" s="50">
        <v>4.0</v>
      </c>
      <c r="S132" s="55" t="s">
        <v>310</v>
      </c>
      <c r="T132" s="49" t="str">
        <f>IFERROR(__xludf.DUMMYFUNCTION("""COMPUTED_VALUE"""),"eye")</f>
        <v>eye</v>
      </c>
      <c r="U132" s="49"/>
      <c r="V132" s="49" t="str">
        <f>IFERROR(__xludf.DUMMYFUNCTION("""COMPUTED_VALUE"""),"measure")</f>
        <v>measure</v>
      </c>
      <c r="W132" s="49" t="str">
        <f>IFERROR(__xludf.DUMMYFUNCTION("""COMPUTED_VALUE"""),"filmmaking")</f>
        <v>filmmaking</v>
      </c>
      <c r="X132" s="49" t="str">
        <f t="shared" si="3"/>
        <v>4,</v>
      </c>
      <c r="Y132" s="49"/>
      <c r="Z132" s="1" t="s">
        <v>1432</v>
      </c>
      <c r="AA132" s="1" t="s">
        <v>121</v>
      </c>
      <c r="AB132" s="49" t="str">
        <f>IFERROR(__xludf.DUMMYFUNCTION("""COMPUTED_VALUE"""),"question")</f>
        <v>question</v>
      </c>
      <c r="AC132" s="49"/>
      <c r="AD132" s="49" t="str">
        <f>IFERROR(__xludf.DUMMYFUNCTION("""COMPUTED_VALUE"""),"until")</f>
        <v>until</v>
      </c>
      <c r="AE132" s="49" t="str">
        <f>IFERROR(__xludf.DUMMYFUNCTION("""COMPUTED_VALUE"""),"bio")</f>
        <v>bio</v>
      </c>
      <c r="AF132" s="49" t="str">
        <f t="shared" si="4"/>
        <v>late,</v>
      </c>
      <c r="AG132" s="49"/>
      <c r="AH132" s="1" t="s">
        <v>841</v>
      </c>
      <c r="AI132" s="1" t="s">
        <v>581</v>
      </c>
      <c r="AJ132" s="6" t="str">
        <f>IFERROR(__xludf.DUMMYFUNCTION("""COMPUTED_VALUE"""),"same")</f>
        <v>same</v>
      </c>
      <c r="AK132" s="49"/>
      <c r="AL132" s="49"/>
      <c r="AM132" s="49" t="str">
        <f>IFERROR(__xludf.DUMMYFUNCTION("""COMPUTED_VALUE"""),"gently")</f>
        <v>gently</v>
      </c>
      <c r="AN132" s="52" t="str">
        <f t="shared" si="5"/>
        <v>these,</v>
      </c>
    </row>
    <row r="133">
      <c r="A133" s="51" t="s">
        <v>1010</v>
      </c>
      <c r="B133" s="50" t="s">
        <v>936</v>
      </c>
      <c r="C133" s="50" t="s">
        <v>813</v>
      </c>
      <c r="D133" s="49">
        <f>IFERROR(__xludf.DUMMYFUNCTION("""COMPUTED_VALUE"""),40.0)</f>
        <v>40</v>
      </c>
      <c r="E133" s="49"/>
      <c r="F133" s="49" t="str">
        <f>IFERROR(__xludf.DUMMYFUNCTION("""COMPUTED_VALUE"""),"clarke")</f>
        <v>clarke</v>
      </c>
      <c r="G133" s="49" t="str">
        <f>IFERROR(__xludf.DUMMYFUNCTION("""COMPUTED_VALUE"""),"rhythm")</f>
        <v>rhythm</v>
      </c>
      <c r="H133" s="54" t="str">
        <f t="shared" si="1"/>
        <v>may,</v>
      </c>
      <c r="I133" s="50"/>
      <c r="J133" s="50" t="s">
        <v>2177</v>
      </c>
      <c r="K133" s="50" t="s">
        <v>1016</v>
      </c>
      <c r="L133" s="49" t="str">
        <f>IFERROR(__xludf.DUMMYFUNCTION("""COMPUTED_VALUE"""),"*")</f>
        <v>*</v>
      </c>
      <c r="M133" s="49"/>
      <c r="N133" s="49" t="str">
        <f>IFERROR(__xludf.DUMMYFUNCTION("""COMPUTED_VALUE"""),"swedish")</f>
        <v>swedish</v>
      </c>
      <c r="O133" s="49" t="str">
        <f>IFERROR(__xludf.DUMMYFUNCTION("""COMPUTED_VALUE"""),"london")</f>
        <v>london</v>
      </c>
      <c r="P133" s="49" t="str">
        <f t="shared" si="2"/>
        <v>colorful,</v>
      </c>
      <c r="Q133" s="49"/>
      <c r="R133" s="50" t="s">
        <v>88</v>
      </c>
      <c r="S133" s="55" t="s">
        <v>84</v>
      </c>
      <c r="T133" s="49" t="str">
        <f>IFERROR(__xludf.DUMMYFUNCTION("""COMPUTED_VALUE"""),"huge")</f>
        <v>huge</v>
      </c>
      <c r="U133" s="49"/>
      <c r="V133" s="49" t="str">
        <f>IFERROR(__xludf.DUMMYFUNCTION("""COMPUTED_VALUE"""),"kevin")</f>
        <v>kevin</v>
      </c>
      <c r="W133" s="49" t="str">
        <f>IFERROR(__xludf.DUMMYFUNCTION("""COMPUTED_VALUE"""),"wait")</f>
        <v>wait</v>
      </c>
      <c r="X133" s="49" t="str">
        <f t="shared" si="3"/>
        <v>something,</v>
      </c>
      <c r="Y133" s="49"/>
      <c r="Z133" s="1" t="s">
        <v>129</v>
      </c>
      <c r="AA133" s="1" t="s">
        <v>215</v>
      </c>
      <c r="AB133" s="49" t="str">
        <f>IFERROR(__xludf.DUMMYFUNCTION("""COMPUTED_VALUE"""),"dream")</f>
        <v>dream</v>
      </c>
      <c r="AC133" s="49"/>
      <c r="AD133" s="49" t="str">
        <f>IFERROR(__xludf.DUMMYFUNCTION("""COMPUTED_VALUE"""),"swedish")</f>
        <v>swedish</v>
      </c>
      <c r="AE133" s="49" t="str">
        <f>IFERROR(__xludf.DUMMYFUNCTION("""COMPUTED_VALUE"""),"london")</f>
        <v>london</v>
      </c>
      <c r="AF133" s="49" t="str">
        <f t="shared" si="4"/>
        <v>more,</v>
      </c>
      <c r="AG133" s="49"/>
      <c r="AH133" s="1" t="s">
        <v>167</v>
      </c>
      <c r="AI133" s="1" t="s">
        <v>180</v>
      </c>
      <c r="AJ133" s="6" t="str">
        <f>IFERROR(__xludf.DUMMYFUNCTION("""COMPUTED_VALUE"""),"name")</f>
        <v>name</v>
      </c>
      <c r="AK133" s="49"/>
      <c r="AL133" s="49"/>
      <c r="AM133" s="49" t="str">
        <f>IFERROR(__xludf.DUMMYFUNCTION("""COMPUTED_VALUE"""),"injuries")</f>
        <v>injuries</v>
      </c>
      <c r="AN133" s="52" t="str">
        <f t="shared" si="5"/>
        <v>same,</v>
      </c>
    </row>
    <row r="134">
      <c r="A134" s="51" t="s">
        <v>1017</v>
      </c>
      <c r="B134" s="50" t="s">
        <v>463</v>
      </c>
      <c r="C134" s="50" t="s">
        <v>5427</v>
      </c>
      <c r="D134" s="49" t="str">
        <f>IFERROR(__xludf.DUMMYFUNCTION("""COMPUTED_VALUE"""),"gorgeous")</f>
        <v>gorgeous</v>
      </c>
      <c r="E134" s="49"/>
      <c r="F134" s="49" t="str">
        <f>IFERROR(__xludf.DUMMYFUNCTION("""COMPUTED_VALUE"""),"rogers")</f>
        <v>rogers</v>
      </c>
      <c r="G134" s="49" t="str">
        <f>IFERROR(__xludf.DUMMYFUNCTION("""COMPUTED_VALUE"""),"elder")</f>
        <v>elder</v>
      </c>
      <c r="H134" s="54" t="str">
        <f t="shared" si="1"/>
        <v>people,</v>
      </c>
      <c r="I134" s="50"/>
      <c r="J134" s="50" t="s">
        <v>4419</v>
      </c>
      <c r="K134" s="50" t="s">
        <v>174</v>
      </c>
      <c r="L134" s="49" t="str">
        <f>IFERROR(__xludf.DUMMYFUNCTION("""COMPUTED_VALUE"""),"ironic")</f>
        <v>ironic</v>
      </c>
      <c r="M134" s="49"/>
      <c r="N134" s="49" t="str">
        <f>IFERROR(__xludf.DUMMYFUNCTION("""COMPUTED_VALUE"""),"families")</f>
        <v>families</v>
      </c>
      <c r="O134" s="49" t="str">
        <f>IFERROR(__xludf.DUMMYFUNCTION("""COMPUTED_VALUE"""),"slice")</f>
        <v>slice</v>
      </c>
      <c r="P134" s="49" t="str">
        <f t="shared" si="2"/>
        <v>quest,</v>
      </c>
      <c r="Q134" s="49"/>
      <c r="R134" s="50" t="s">
        <v>4437</v>
      </c>
      <c r="S134" s="55" t="s">
        <v>321</v>
      </c>
      <c r="T134" s="49" t="str">
        <f>IFERROR(__xludf.DUMMYFUNCTION("""COMPUTED_VALUE"""),"grant")</f>
        <v>grant</v>
      </c>
      <c r="U134" s="49"/>
      <c r="V134" s="49" t="str">
        <f>IFERROR(__xludf.DUMMYFUNCTION("""COMPUTED_VALUE"""),"rating")</f>
        <v>rating</v>
      </c>
      <c r="W134" s="49" t="str">
        <f>IFERROR(__xludf.DUMMYFUNCTION("""COMPUTED_VALUE"""),"auschwitz")</f>
        <v>auschwitz</v>
      </c>
      <c r="X134" s="49" t="str">
        <f t="shared" si="3"/>
        <v>fight,</v>
      </c>
      <c r="Y134" s="49"/>
      <c r="Z134" s="1" t="s">
        <v>841</v>
      </c>
      <c r="AA134" s="1" t="s">
        <v>605</v>
      </c>
      <c r="AB134" s="49" t="str">
        <f>IFERROR(__xludf.DUMMYFUNCTION("""COMPUTED_VALUE"""),"either")</f>
        <v>either</v>
      </c>
      <c r="AC134" s="49"/>
      <c r="AD134" s="49" t="str">
        <f>IFERROR(__xludf.DUMMYFUNCTION("""COMPUTED_VALUE"""),"families")</f>
        <v>families</v>
      </c>
      <c r="AE134" s="49" t="str">
        <f>IFERROR(__xludf.DUMMYFUNCTION("""COMPUTED_VALUE"""),"slice")</f>
        <v>slice</v>
      </c>
      <c r="AF134" s="49" t="str">
        <f t="shared" si="4"/>
        <v>these,</v>
      </c>
      <c r="AG134" s="49"/>
      <c r="AH134" s="1" t="s">
        <v>1094</v>
      </c>
      <c r="AI134" s="1" t="s">
        <v>6247</v>
      </c>
      <c r="AJ134" s="6" t="str">
        <f>IFERROR(__xludf.DUMMYFUNCTION("""COMPUTED_VALUE"""),"much")</f>
        <v>much</v>
      </c>
      <c r="AK134" s="49"/>
      <c r="AL134" s="49"/>
      <c r="AM134" s="49" t="str">
        <f>IFERROR(__xludf.DUMMYFUNCTION("""COMPUTED_VALUE"""),"completion")</f>
        <v>completion</v>
      </c>
      <c r="AN134" s="52" t="str">
        <f t="shared" si="5"/>
        <v>name,</v>
      </c>
    </row>
    <row r="135">
      <c r="A135" s="51" t="s">
        <v>1026</v>
      </c>
      <c r="B135" s="50" t="s">
        <v>443</v>
      </c>
      <c r="C135" s="50" t="s">
        <v>976</v>
      </c>
      <c r="D135" s="49" t="str">
        <f>IFERROR(__xludf.DUMMYFUNCTION("""COMPUTED_VALUE"""),"cross")</f>
        <v>cross</v>
      </c>
      <c r="E135" s="49"/>
      <c r="F135" s="49" t="str">
        <f>IFERROR(__xludf.DUMMYFUNCTION("""COMPUTED_VALUE"""),"Mar")</f>
        <v>Mar</v>
      </c>
      <c r="G135" s="49" t="str">
        <f>IFERROR(__xludf.DUMMYFUNCTION("""COMPUTED_VALUE"""),"chamber")</f>
        <v>chamber</v>
      </c>
      <c r="H135" s="54" t="str">
        <f t="shared" si="1"/>
        <v>part,</v>
      </c>
      <c r="I135" s="50"/>
      <c r="J135" s="50" t="s">
        <v>1453</v>
      </c>
      <c r="K135" s="50" t="s">
        <v>465</v>
      </c>
      <c r="L135" s="49" t="str">
        <f>IFERROR(__xludf.DUMMYFUNCTION("""COMPUTED_VALUE"""),"multiple")</f>
        <v>multiple</v>
      </c>
      <c r="M135" s="49"/>
      <c r="N135" s="49" t="str">
        <f>IFERROR(__xludf.DUMMYFUNCTION("""COMPUTED_VALUE"""),"plays")</f>
        <v>plays</v>
      </c>
      <c r="O135" s="49" t="str">
        <f>IFERROR(__xludf.DUMMYFUNCTION("""COMPUTED_VALUE"""),"shallow")</f>
        <v>shallow</v>
      </c>
      <c r="P135" s="49" t="str">
        <f t="shared" si="2"/>
        <v>recent,</v>
      </c>
      <c r="Q135" s="49"/>
      <c r="R135" s="50" t="s">
        <v>5190</v>
      </c>
      <c r="S135" s="55" t="s">
        <v>6290</v>
      </c>
      <c r="T135" s="49" t="str">
        <f>IFERROR(__xludf.DUMMYFUNCTION("""COMPUTED_VALUE"""),"were")</f>
        <v>were</v>
      </c>
      <c r="U135" s="49"/>
      <c r="V135" s="49" t="str">
        <f>IFERROR(__xludf.DUMMYFUNCTION("""COMPUTED_VALUE"""),"gone")</f>
        <v>gone</v>
      </c>
      <c r="W135" s="49" t="str">
        <f>IFERROR(__xludf.DUMMYFUNCTION("""COMPUTED_VALUE"""),"theatrical")</f>
        <v>theatrical</v>
      </c>
      <c r="X135" s="49" t="str">
        <f t="shared" si="3"/>
        <v>supposedly,</v>
      </c>
      <c r="Y135" s="49"/>
      <c r="Z135" s="1" t="s">
        <v>1378</v>
      </c>
      <c r="AA135" s="1" t="s">
        <v>596</v>
      </c>
      <c r="AB135" s="49" t="str">
        <f>IFERROR(__xludf.DUMMYFUNCTION("""COMPUTED_VALUE"""),"looking")</f>
        <v>looking</v>
      </c>
      <c r="AC135" s="49"/>
      <c r="AD135" s="49" t="str">
        <f>IFERROR(__xludf.DUMMYFUNCTION("""COMPUTED_VALUE"""),"plays")</f>
        <v>plays</v>
      </c>
      <c r="AE135" s="49" t="str">
        <f>IFERROR(__xludf.DUMMYFUNCTION("""COMPUTED_VALUE"""),"shallow")</f>
        <v>shallow</v>
      </c>
      <c r="AF135" s="49" t="str">
        <f t="shared" si="4"/>
        <v>based,</v>
      </c>
      <c r="AG135" s="49"/>
      <c r="AH135" s="1" t="s">
        <v>290</v>
      </c>
      <c r="AI135" s="1" t="s">
        <v>2650</v>
      </c>
      <c r="AJ135" s="6" t="str">
        <f>IFERROR(__xludf.DUMMYFUNCTION("""COMPUTED_VALUE"""),"however")</f>
        <v>however</v>
      </c>
      <c r="AK135" s="49"/>
      <c r="AL135" s="49"/>
      <c r="AM135" s="49" t="str">
        <f>IFERROR(__xludf.DUMMYFUNCTION("""COMPUTED_VALUE"""),"sub")</f>
        <v>sub</v>
      </c>
      <c r="AN135" s="52" t="str">
        <f t="shared" si="5"/>
        <v>much,</v>
      </c>
    </row>
    <row r="136">
      <c r="A136" s="51" t="s">
        <v>1030</v>
      </c>
      <c r="B136" s="50" t="s">
        <v>540</v>
      </c>
      <c r="C136" s="50" t="s">
        <v>833</v>
      </c>
      <c r="D136" s="49" t="str">
        <f>IFERROR(__xludf.DUMMYFUNCTION("""COMPUTED_VALUE"""),"lost")</f>
        <v>lost</v>
      </c>
      <c r="E136" s="49"/>
      <c r="F136" s="49" t="str">
        <f>IFERROR(__xludf.DUMMYFUNCTION("""COMPUTED_VALUE"""),"eva")</f>
        <v>eva</v>
      </c>
      <c r="G136" s="49" t="str">
        <f>IFERROR(__xludf.DUMMYFUNCTION("""COMPUTED_VALUE"""),"shorter")</f>
        <v>shorter</v>
      </c>
      <c r="H136" s="54" t="str">
        <f t="shared" si="1"/>
        <v>way,</v>
      </c>
      <c r="I136" s="50"/>
      <c r="J136" s="50" t="s">
        <v>299</v>
      </c>
      <c r="K136" s="50" t="s">
        <v>1035</v>
      </c>
      <c r="L136" s="49" t="str">
        <f>IFERROR(__xludf.DUMMYFUNCTION("""COMPUTED_VALUE"""),"entire")</f>
        <v>entire</v>
      </c>
      <c r="M136" s="49"/>
      <c r="N136" s="49" t="str">
        <f>IFERROR(__xludf.DUMMYFUNCTION("""COMPUTED_VALUE"""),"hours")</f>
        <v>hours</v>
      </c>
      <c r="O136" s="49" t="str">
        <f>IFERROR(__xludf.DUMMYFUNCTION("""COMPUTED_VALUE"""),"reflects")</f>
        <v>reflects</v>
      </c>
      <c r="P136" s="49" t="str">
        <f t="shared" si="2"/>
        <v>best,</v>
      </c>
      <c r="Q136" s="49"/>
      <c r="R136" s="50" t="s">
        <v>907</v>
      </c>
      <c r="S136" s="55" t="s">
        <v>764</v>
      </c>
      <c r="T136" s="49" t="str">
        <f>IFERROR(__xludf.DUMMYFUNCTION("""COMPUTED_VALUE"""),"adam")</f>
        <v>adam</v>
      </c>
      <c r="U136" s="49"/>
      <c r="V136" s="49" t="str">
        <f>IFERROR(__xludf.DUMMYFUNCTION("""COMPUTED_VALUE"""),"fans")</f>
        <v>fans</v>
      </c>
      <c r="W136" s="49" t="str">
        <f>IFERROR(__xludf.DUMMYFUNCTION("""COMPUTED_VALUE"""),"death")</f>
        <v>death</v>
      </c>
      <c r="X136" s="49" t="str">
        <f t="shared" si="3"/>
        <v>homage,</v>
      </c>
      <c r="Y136" s="49"/>
      <c r="Z136" s="1" t="s">
        <v>1443</v>
      </c>
      <c r="AA136" s="1" t="s">
        <v>711</v>
      </c>
      <c r="AB136" s="49" t="str">
        <f>IFERROR(__xludf.DUMMYFUNCTION("""COMPUTED_VALUE"""),"someone")</f>
        <v>someone</v>
      </c>
      <c r="AC136" s="49"/>
      <c r="AD136" s="49" t="str">
        <f>IFERROR(__xludf.DUMMYFUNCTION("""COMPUTED_VALUE"""),"hours")</f>
        <v>hours</v>
      </c>
      <c r="AE136" s="49" t="str">
        <f>IFERROR(__xludf.DUMMYFUNCTION("""COMPUTED_VALUE"""),"reflects")</f>
        <v>reflects</v>
      </c>
      <c r="AF136" s="49" t="str">
        <f t="shared" si="4"/>
        <v>gets,</v>
      </c>
      <c r="AG136" s="49"/>
      <c r="AH136" s="1" t="s">
        <v>500</v>
      </c>
      <c r="AI136" s="1" t="s">
        <v>244</v>
      </c>
      <c r="AJ136" s="6" t="str">
        <f>IFERROR(__xludf.DUMMYFUNCTION("""COMPUTED_VALUE"""),"music")</f>
        <v>music</v>
      </c>
      <c r="AK136" s="49"/>
      <c r="AL136" s="49"/>
      <c r="AM136" s="49" t="str">
        <f>IFERROR(__xludf.DUMMYFUNCTION("""COMPUTED_VALUE"""),"formal")</f>
        <v>formal</v>
      </c>
      <c r="AN136" s="52" t="str">
        <f t="shared" si="5"/>
        <v>however,</v>
      </c>
    </row>
    <row r="137">
      <c r="A137" s="51" t="s">
        <v>1036</v>
      </c>
      <c r="B137" s="50" t="s">
        <v>112</v>
      </c>
      <c r="C137" s="50" t="s">
        <v>339</v>
      </c>
      <c r="D137" s="49" t="str">
        <f>IFERROR(__xludf.DUMMYFUNCTION("""COMPUTED_VALUE"""),"performance")</f>
        <v>performance</v>
      </c>
      <c r="E137" s="49"/>
      <c r="F137" s="49" t="str">
        <f>IFERROR(__xludf.DUMMYFUNCTION("""COMPUTED_VALUE"""),"perry")</f>
        <v>perry</v>
      </c>
      <c r="G137" s="49" t="str">
        <f>IFERROR(__xludf.DUMMYFUNCTION("""COMPUTED_VALUE"""),"pit")</f>
        <v>pit</v>
      </c>
      <c r="H137" s="54" t="str">
        <f t="shared" si="1"/>
        <v>film,</v>
      </c>
      <c r="I137" s="50"/>
      <c r="J137" s="50" t="s">
        <v>211</v>
      </c>
      <c r="K137" s="50" t="s">
        <v>1041</v>
      </c>
      <c r="L137" s="49" t="str">
        <f>IFERROR(__xludf.DUMMYFUNCTION("""COMPUTED_VALUE"""),"imagery")</f>
        <v>imagery</v>
      </c>
      <c r="M137" s="49"/>
      <c r="N137" s="49" t="str">
        <f>IFERROR(__xludf.DUMMYFUNCTION("""COMPUTED_VALUE"""),"!")</f>
        <v>!</v>
      </c>
      <c r="O137" s="49" t="str">
        <f>IFERROR(__xludf.DUMMYFUNCTION("""COMPUTED_VALUE"""),"carnage")</f>
        <v>carnage</v>
      </c>
      <c r="P137" s="49" t="str">
        <f t="shared" si="2"/>
        <v>cast,</v>
      </c>
      <c r="Q137" s="49"/>
      <c r="R137" s="50" t="s">
        <v>46</v>
      </c>
      <c r="S137" s="55" t="s">
        <v>598</v>
      </c>
      <c r="T137" s="49" t="str">
        <f>IFERROR(__xludf.DUMMYFUNCTION("""COMPUTED_VALUE"""),"reflection")</f>
        <v>reflection</v>
      </c>
      <c r="U137" s="49"/>
      <c r="V137" s="49" t="str">
        <f>IFERROR(__xludf.DUMMYFUNCTION("""COMPUTED_VALUE"""),"formed")</f>
        <v>formed</v>
      </c>
      <c r="W137" s="49" t="str">
        <f>IFERROR(__xludf.DUMMYFUNCTION("""COMPUTED_VALUE"""),"justify")</f>
        <v>justify</v>
      </c>
      <c r="X137" s="49" t="str">
        <f t="shared" si="3"/>
        <v>new,</v>
      </c>
      <c r="Y137" s="49"/>
      <c r="Z137" s="1" t="s">
        <v>2042</v>
      </c>
      <c r="AA137" s="1" t="s">
        <v>609</v>
      </c>
      <c r="AB137" s="49" t="str">
        <f>IFERROR(__xludf.DUMMYFUNCTION("""COMPUTED_VALUE"""),"escape")</f>
        <v>escape</v>
      </c>
      <c r="AC137" s="49"/>
      <c r="AD137" s="49" t="str">
        <f>IFERROR(__xludf.DUMMYFUNCTION("""COMPUTED_VALUE"""),"!")</f>
        <v>!</v>
      </c>
      <c r="AE137" s="49" t="str">
        <f>IFERROR(__xludf.DUMMYFUNCTION("""COMPUTED_VALUE"""),"carnage")</f>
        <v>carnage</v>
      </c>
      <c r="AF137" s="49" t="str">
        <f t="shared" si="4"/>
        <v>hair,</v>
      </c>
      <c r="AG137" s="49"/>
      <c r="AH137" s="1" t="s">
        <v>1121</v>
      </c>
      <c r="AI137" s="1" t="s">
        <v>237</v>
      </c>
      <c r="AJ137" s="6" t="str">
        <f>IFERROR(__xludf.DUMMYFUNCTION("""COMPUTED_VALUE"""),"make")</f>
        <v>make</v>
      </c>
      <c r="AK137" s="49"/>
      <c r="AL137" s="49"/>
      <c r="AM137" s="49" t="str">
        <f>IFERROR(__xludf.DUMMYFUNCTION("""COMPUTED_VALUE"""),"et")</f>
        <v>et</v>
      </c>
      <c r="AN137" s="52" t="str">
        <f t="shared" si="5"/>
        <v>music,</v>
      </c>
    </row>
    <row r="138">
      <c r="A138" s="51" t="s">
        <v>1042</v>
      </c>
      <c r="B138" s="50" t="s">
        <v>332</v>
      </c>
      <c r="C138" s="50">
        <v>40.0</v>
      </c>
      <c r="D138" s="49" t="str">
        <f>IFERROR(__xludf.DUMMYFUNCTION("""COMPUTED_VALUE"""),"touch")</f>
        <v>touch</v>
      </c>
      <c r="E138" s="49"/>
      <c r="F138" s="49" t="str">
        <f>IFERROR(__xludf.DUMMYFUNCTION("""COMPUTED_VALUE"""),"ex")</f>
        <v>ex</v>
      </c>
      <c r="G138" s="49" t="str">
        <f>IFERROR(__xludf.DUMMYFUNCTION("""COMPUTED_VALUE"""),"swept")</f>
        <v>swept</v>
      </c>
      <c r="H138" s="54" t="str">
        <f t="shared" si="1"/>
        <v>man,</v>
      </c>
      <c r="I138" s="50"/>
      <c r="J138" s="50" t="s">
        <v>883</v>
      </c>
      <c r="K138" s="50" t="s">
        <v>104</v>
      </c>
      <c r="L138" s="49" t="str">
        <f>IFERROR(__xludf.DUMMYFUNCTION("""COMPUTED_VALUE"""),"moment")</f>
        <v>moment</v>
      </c>
      <c r="M138" s="49"/>
      <c r="N138" s="49" t="str">
        <f>IFERROR(__xludf.DUMMYFUNCTION("""COMPUTED_VALUE"""),"should")</f>
        <v>should</v>
      </c>
      <c r="O138" s="49" t="str">
        <f>IFERROR(__xludf.DUMMYFUNCTION("""COMPUTED_VALUE"""),"handheld")</f>
        <v>handheld</v>
      </c>
      <c r="P138" s="49" t="str">
        <f t="shared" si="2"/>
        <v>lively,</v>
      </c>
      <c r="Q138" s="49"/>
      <c r="R138" s="50" t="s">
        <v>6327</v>
      </c>
      <c r="S138" s="55" t="s">
        <v>305</v>
      </c>
      <c r="T138" s="49" t="str">
        <f>IFERROR(__xludf.DUMMYFUNCTION("""COMPUTED_VALUE"""),"mundane")</f>
        <v>mundane</v>
      </c>
      <c r="U138" s="49"/>
      <c r="V138" s="49" t="str">
        <f>IFERROR(__xludf.DUMMYFUNCTION("""COMPUTED_VALUE"""),"dangerous")</f>
        <v>dangerous</v>
      </c>
      <c r="W138" s="49" t="str">
        <f>IFERROR(__xludf.DUMMYFUNCTION("""COMPUTED_VALUE"""),"descends")</f>
        <v>descends</v>
      </c>
      <c r="X138" s="49" t="str">
        <f t="shared" si="3"/>
        <v>especially,</v>
      </c>
      <c r="Y138" s="49"/>
      <c r="Z138" s="1" t="s">
        <v>1089</v>
      </c>
      <c r="AA138" s="1" t="s">
        <v>1043</v>
      </c>
      <c r="AB138" s="49" t="str">
        <f>IFERROR(__xludf.DUMMYFUNCTION("""COMPUTED_VALUE"""),"strikes")</f>
        <v>strikes</v>
      </c>
      <c r="AC138" s="49"/>
      <c r="AD138" s="49" t="str">
        <f>IFERROR(__xludf.DUMMYFUNCTION("""COMPUTED_VALUE"""),"should")</f>
        <v>should</v>
      </c>
      <c r="AE138" s="49" t="str">
        <f>IFERROR(__xludf.DUMMYFUNCTION("""COMPUTED_VALUE"""),"handheld")</f>
        <v>handheld</v>
      </c>
      <c r="AF138" s="49" t="str">
        <f t="shared" si="4"/>
        <v>sounds,</v>
      </c>
      <c r="AG138" s="49"/>
      <c r="AH138" s="1" t="s">
        <v>1056</v>
      </c>
      <c r="AI138" s="1" t="s">
        <v>4483</v>
      </c>
      <c r="AJ138" s="6" t="str">
        <f>IFERROR(__xludf.DUMMYFUNCTION("""COMPUTED_VALUE"""),"based")</f>
        <v>based</v>
      </c>
      <c r="AK138" s="49"/>
      <c r="AL138" s="49"/>
      <c r="AM138" s="49" t="str">
        <f>IFERROR(__xludf.DUMMYFUNCTION("""COMPUTED_VALUE"""),"bush")</f>
        <v>bush</v>
      </c>
      <c r="AN138" s="52" t="str">
        <f t="shared" si="5"/>
        <v>make,</v>
      </c>
    </row>
    <row r="139">
      <c r="A139" s="51" t="s">
        <v>347</v>
      </c>
      <c r="B139" s="50" t="s">
        <v>1175</v>
      </c>
      <c r="C139" s="50" t="s">
        <v>839</v>
      </c>
      <c r="D139" s="49" t="str">
        <f>IFERROR(__xludf.DUMMYFUNCTION("""COMPUTED_VALUE"""),"bringing")</f>
        <v>bringing</v>
      </c>
      <c r="E139" s="49"/>
      <c r="F139" s="49" t="str">
        <f>IFERROR(__xludf.DUMMYFUNCTION("""COMPUTED_VALUE"""),"lucy")</f>
        <v>lucy</v>
      </c>
      <c r="G139" s="49">
        <f>IFERROR(__xludf.DUMMYFUNCTION("""COMPUTED_VALUE"""),86.0)</f>
        <v>86</v>
      </c>
      <c r="H139" s="54" t="str">
        <f t="shared" si="1"/>
        <v>number,</v>
      </c>
      <c r="I139" s="50"/>
      <c r="J139" s="50" t="s">
        <v>4053</v>
      </c>
      <c r="K139" s="50" t="s">
        <v>151</v>
      </c>
      <c r="L139" s="49" t="str">
        <f>IFERROR(__xludf.DUMMYFUNCTION("""COMPUTED_VALUE"""),"question")</f>
        <v>question</v>
      </c>
      <c r="M139" s="49"/>
      <c r="N139" s="49" t="str">
        <f>IFERROR(__xludf.DUMMYFUNCTION("""COMPUTED_VALUE"""),"you")</f>
        <v>you</v>
      </c>
      <c r="O139" s="49" t="str">
        <f>IFERROR(__xludf.DUMMYFUNCTION("""COMPUTED_VALUE"""),"footage")</f>
        <v>footage</v>
      </c>
      <c r="P139" s="49" t="str">
        <f t="shared" si="2"/>
        <v>20th,</v>
      </c>
      <c r="Q139" s="49"/>
      <c r="R139" s="50" t="s">
        <v>2454</v>
      </c>
      <c r="S139" s="55" t="s">
        <v>6291</v>
      </c>
      <c r="T139" s="49" t="str">
        <f>IFERROR(__xludf.DUMMYFUNCTION("""COMPUTED_VALUE"""),"express")</f>
        <v>express</v>
      </c>
      <c r="U139" s="49"/>
      <c r="V139" s="49" t="str">
        <f>IFERROR(__xludf.DUMMYFUNCTION("""COMPUTED_VALUE"""),"academy")</f>
        <v>academy</v>
      </c>
      <c r="W139" s="49" t="str">
        <f>IFERROR(__xludf.DUMMYFUNCTION("""COMPUTED_VALUE"""),"should")</f>
        <v>should</v>
      </c>
      <c r="X139" s="49" t="str">
        <f t="shared" si="3"/>
        <v>previous,</v>
      </c>
      <c r="Y139" s="49"/>
      <c r="Z139" s="1" t="s">
        <v>480</v>
      </c>
      <c r="AA139" s="1" t="s">
        <v>613</v>
      </c>
      <c r="AB139" s="49" t="str">
        <f>IFERROR(__xludf.DUMMYFUNCTION("""COMPUTED_VALUE"""),"wonder")</f>
        <v>wonder</v>
      </c>
      <c r="AC139" s="49"/>
      <c r="AD139" s="49" t="str">
        <f>IFERROR(__xludf.DUMMYFUNCTION("""COMPUTED_VALUE"""),"you")</f>
        <v>you</v>
      </c>
      <c r="AE139" s="49" t="str">
        <f>IFERROR(__xludf.DUMMYFUNCTION("""COMPUTED_VALUE"""),"footage")</f>
        <v>footage</v>
      </c>
      <c r="AF139" s="49" t="str">
        <f t="shared" si="4"/>
        <v>viewer,</v>
      </c>
      <c r="AG139" s="49"/>
      <c r="AH139" s="1" t="s">
        <v>1378</v>
      </c>
      <c r="AI139" s="1" t="s">
        <v>1715</v>
      </c>
      <c r="AJ139" s="6" t="str">
        <f>IFERROR(__xludf.DUMMYFUNCTION("""COMPUTED_VALUE"""),"show")</f>
        <v>show</v>
      </c>
      <c r="AK139" s="49"/>
      <c r="AL139" s="49"/>
      <c r="AM139" s="49" t="str">
        <f>IFERROR(__xludf.DUMMYFUNCTION("""COMPUTED_VALUE"""),"mechanical")</f>
        <v>mechanical</v>
      </c>
      <c r="AN139" s="52" t="str">
        <f t="shared" si="5"/>
        <v>based,</v>
      </c>
    </row>
    <row r="140">
      <c r="A140" s="51" t="s">
        <v>1054</v>
      </c>
      <c r="B140" s="50" t="s">
        <v>479</v>
      </c>
      <c r="C140" s="50" t="s">
        <v>4788</v>
      </c>
      <c r="D140" s="49" t="str">
        <f>IFERROR(__xludf.DUMMYFUNCTION("""COMPUTED_VALUE"""),"us")</f>
        <v>us</v>
      </c>
      <c r="E140" s="49"/>
      <c r="F140" s="49" t="str">
        <f>IFERROR(__xludf.DUMMYFUNCTION("""COMPUTED_VALUE"""),"mail")</f>
        <v>mail</v>
      </c>
      <c r="G140" s="49" t="str">
        <f>IFERROR(__xludf.DUMMYFUNCTION("""COMPUTED_VALUE"""),"fees")</f>
        <v>fees</v>
      </c>
      <c r="H140" s="54" t="str">
        <f t="shared" si="1"/>
        <v>love,</v>
      </c>
      <c r="I140" s="50"/>
      <c r="J140" s="50" t="s">
        <v>1551</v>
      </c>
      <c r="K140" s="50" t="s">
        <v>322</v>
      </c>
      <c r="L140" s="49" t="str">
        <f>IFERROR(__xludf.DUMMYFUNCTION("""COMPUTED_VALUE"""),"either")</f>
        <v>either</v>
      </c>
      <c r="M140" s="49"/>
      <c r="N140" s="49" t="str">
        <f>IFERROR(__xludf.DUMMYFUNCTION("""COMPUTED_VALUE"""),"before")</f>
        <v>before</v>
      </c>
      <c r="O140" s="49" t="str">
        <f>IFERROR(__xludf.DUMMYFUNCTION("""COMPUTED_VALUE"""),"fiddle")</f>
        <v>fiddle</v>
      </c>
      <c r="P140" s="49" t="str">
        <f t="shared" si="2"/>
        <v>piece,</v>
      </c>
      <c r="Q140" s="49"/>
      <c r="R140" s="50" t="s">
        <v>2685</v>
      </c>
      <c r="S140" s="55" t="s">
        <v>955</v>
      </c>
      <c r="T140" s="49" t="str">
        <f>IFERROR(__xludf.DUMMYFUNCTION("""COMPUTED_VALUE"""),"significance")</f>
        <v>significance</v>
      </c>
      <c r="U140" s="49"/>
      <c r="V140" s="49" t="str">
        <f>IFERROR(__xludf.DUMMYFUNCTION("""COMPUTED_VALUE"""),"hastily")</f>
        <v>hastily</v>
      </c>
      <c r="W140" s="49" t="str">
        <f>IFERROR(__xludf.DUMMYFUNCTION("""COMPUTED_VALUE"""),"archives")</f>
        <v>archives</v>
      </c>
      <c r="X140" s="49" t="str">
        <f t="shared" si="3"/>
        <v>fighting,</v>
      </c>
      <c r="Y140" s="49"/>
      <c r="Z140" s="1" t="s">
        <v>6487</v>
      </c>
      <c r="AA140" s="1" t="s">
        <v>1055</v>
      </c>
      <c r="AB140" s="49" t="str">
        <f>IFERROR(__xludf.DUMMYFUNCTION("""COMPUTED_VALUE"""),"predictable")</f>
        <v>predictable</v>
      </c>
      <c r="AC140" s="49"/>
      <c r="AD140" s="49" t="str">
        <f>IFERROR(__xludf.DUMMYFUNCTION("""COMPUTED_VALUE"""),"before")</f>
        <v>before</v>
      </c>
      <c r="AE140" s="49" t="str">
        <f>IFERROR(__xludf.DUMMYFUNCTION("""COMPUTED_VALUE"""),"fiddle")</f>
        <v>fiddle</v>
      </c>
      <c r="AF140" s="49" t="str">
        <f t="shared" si="4"/>
        <v>police,</v>
      </c>
      <c r="AG140" s="49"/>
      <c r="AH140" s="1" t="s">
        <v>1127</v>
      </c>
      <c r="AI140" s="1" t="s">
        <v>749</v>
      </c>
      <c r="AJ140" s="6" t="str">
        <f>IFERROR(__xludf.DUMMYFUNCTION("""COMPUTED_VALUE"""),"late")</f>
        <v>late</v>
      </c>
      <c r="AK140" s="49"/>
      <c r="AL140" s="49"/>
      <c r="AM140" s="49" t="str">
        <f>IFERROR(__xludf.DUMMYFUNCTION("""COMPUTED_VALUE"""),"firmly")</f>
        <v>firmly</v>
      </c>
      <c r="AN140" s="52" t="str">
        <f t="shared" si="5"/>
        <v>show,</v>
      </c>
    </row>
    <row r="141">
      <c r="A141" s="51" t="s">
        <v>1058</v>
      </c>
      <c r="B141" s="50" t="s">
        <v>1549</v>
      </c>
      <c r="C141" s="50" t="s">
        <v>978</v>
      </c>
      <c r="D141" s="49" t="str">
        <f>IFERROR(__xludf.DUMMYFUNCTION("""COMPUTED_VALUE"""),"ever")</f>
        <v>ever</v>
      </c>
      <c r="E141" s="49"/>
      <c r="F141" s="49" t="str">
        <f>IFERROR(__xludf.DUMMYFUNCTION("""COMPUTED_VALUE"""),"arm")</f>
        <v>arm</v>
      </c>
      <c r="G141" s="49" t="str">
        <f>IFERROR(__xludf.DUMMYFUNCTION("""COMPUTED_VALUE"""),"milk")</f>
        <v>milk</v>
      </c>
      <c r="H141" s="54" t="str">
        <f t="shared" si="1"/>
        <v>due,</v>
      </c>
      <c r="I141" s="50"/>
      <c r="J141" s="50" t="s">
        <v>373</v>
      </c>
      <c r="K141" s="50" t="s">
        <v>485</v>
      </c>
      <c r="L141" s="49" t="str">
        <f>IFERROR(__xludf.DUMMYFUNCTION("""COMPUTED_VALUE"""),"together")</f>
        <v>together</v>
      </c>
      <c r="M141" s="49"/>
      <c r="N141" s="49" t="str">
        <f>IFERROR(__xludf.DUMMYFUNCTION("""COMPUTED_VALUE"""),"where")</f>
        <v>where</v>
      </c>
      <c r="O141" s="49" t="str">
        <f>IFERROR(__xludf.DUMMYFUNCTION("""COMPUTED_VALUE"""),"folly")</f>
        <v>folly</v>
      </c>
      <c r="P141" s="49" t="str">
        <f t="shared" si="2"/>
        <v>first,</v>
      </c>
      <c r="Q141" s="49"/>
      <c r="R141" s="50" t="s">
        <v>3665</v>
      </c>
      <c r="S141" s="55" t="s">
        <v>908</v>
      </c>
      <c r="T141" s="49" t="str">
        <f>IFERROR(__xludf.DUMMYFUNCTION("""COMPUTED_VALUE"""),"families")</f>
        <v>families</v>
      </c>
      <c r="U141" s="49"/>
      <c r="V141" s="49" t="str">
        <f>IFERROR(__xludf.DUMMYFUNCTION("""COMPUTED_VALUE"""),"later")</f>
        <v>later</v>
      </c>
      <c r="W141" s="49" t="str">
        <f>IFERROR(__xludf.DUMMYFUNCTION("""COMPUTED_VALUE"""),"ambitions")</f>
        <v>ambitions</v>
      </c>
      <c r="X141" s="49" t="str">
        <f t="shared" si="3"/>
        <v>himself,</v>
      </c>
      <c r="Y141" s="49"/>
      <c r="Z141" s="1" t="s">
        <v>770</v>
      </c>
      <c r="AA141" s="1" t="s">
        <v>627</v>
      </c>
      <c r="AB141" s="49" t="str">
        <f>IFERROR(__xludf.DUMMYFUNCTION("""COMPUTED_VALUE"""),"beautiful")</f>
        <v>beautiful</v>
      </c>
      <c r="AC141" s="49"/>
      <c r="AD141" s="49" t="str">
        <f>IFERROR(__xludf.DUMMYFUNCTION("""COMPUTED_VALUE"""),"where")</f>
        <v>where</v>
      </c>
      <c r="AE141" s="49" t="str">
        <f>IFERROR(__xludf.DUMMYFUNCTION("""COMPUTED_VALUE"""),"folly")</f>
        <v>folly</v>
      </c>
      <c r="AF141" s="49" t="str">
        <f t="shared" si="4"/>
        <v>after,</v>
      </c>
      <c r="AG141" s="49"/>
      <c r="AH141" s="1" t="s">
        <v>1432</v>
      </c>
      <c r="AI141" s="1" t="s">
        <v>264</v>
      </c>
      <c r="AJ141" s="6" t="str">
        <f>IFERROR(__xludf.DUMMYFUNCTION("""COMPUTED_VALUE"""),"things")</f>
        <v>things</v>
      </c>
      <c r="AK141" s="49"/>
      <c r="AL141" s="49"/>
      <c r="AM141" s="49" t="str">
        <f>IFERROR(__xludf.DUMMYFUNCTION("""COMPUTED_VALUE"""),"factors")</f>
        <v>factors</v>
      </c>
      <c r="AN141" s="52" t="str">
        <f t="shared" si="5"/>
        <v>late,</v>
      </c>
    </row>
    <row r="142">
      <c r="A142" s="51" t="s">
        <v>1066</v>
      </c>
      <c r="B142" s="50" t="s">
        <v>1343</v>
      </c>
      <c r="C142" s="50" t="s">
        <v>359</v>
      </c>
      <c r="D142" s="49" t="str">
        <f>IFERROR(__xludf.DUMMYFUNCTION("""COMPUTED_VALUE"""),"given")</f>
        <v>given</v>
      </c>
      <c r="E142" s="49"/>
      <c r="F142" s="49" t="str">
        <f>IFERROR(__xludf.DUMMYFUNCTION("""COMPUTED_VALUE"""),"opposition")</f>
        <v>opposition</v>
      </c>
      <c r="G142" s="49" t="str">
        <f>IFERROR(__xludf.DUMMYFUNCTION("""COMPUTED_VALUE"""),"clubs")</f>
        <v>clubs</v>
      </c>
      <c r="H142" s="54" t="str">
        <f t="shared" si="1"/>
        <v>mother,</v>
      </c>
      <c r="I142" s="50"/>
      <c r="J142" s="50" t="s">
        <v>4150</v>
      </c>
      <c r="K142" s="50" t="s">
        <v>488</v>
      </c>
      <c r="L142" s="49" t="str">
        <f>IFERROR(__xludf.DUMMYFUNCTION("""COMPUTED_VALUE"""),"dream")</f>
        <v>dream</v>
      </c>
      <c r="M142" s="49"/>
      <c r="N142" s="49" t="str">
        <f>IFERROR(__xludf.DUMMYFUNCTION("""COMPUTED_VALUE"""),"some")</f>
        <v>some</v>
      </c>
      <c r="O142" s="49" t="str">
        <f>IFERROR(__xludf.DUMMYFUNCTION("""COMPUTED_VALUE"""),"nomination")</f>
        <v>nomination</v>
      </c>
      <c r="P142" s="49" t="str">
        <f t="shared" si="2"/>
        <v>dead,</v>
      </c>
      <c r="Q142" s="49"/>
      <c r="R142" s="50" t="s">
        <v>1293</v>
      </c>
      <c r="S142" s="55" t="s">
        <v>96</v>
      </c>
      <c r="T142" s="49" t="str">
        <f>IFERROR(__xludf.DUMMYFUNCTION("""COMPUTED_VALUE"""),"presence")</f>
        <v>presence</v>
      </c>
      <c r="U142" s="49"/>
      <c r="V142" s="49" t="str">
        <f>IFERROR(__xludf.DUMMYFUNCTION("""COMPUTED_VALUE"""),"teach")</f>
        <v>teach</v>
      </c>
      <c r="W142" s="49" t="str">
        <f>IFERROR(__xludf.DUMMYFUNCTION("""COMPUTED_VALUE"""),"procession")</f>
        <v>procession</v>
      </c>
      <c r="X142" s="49" t="str">
        <f t="shared" si="3"/>
        <v>lot,</v>
      </c>
      <c r="Y142" s="49"/>
      <c r="Z142" s="1" t="s">
        <v>58</v>
      </c>
      <c r="AA142" s="1" t="s">
        <v>642</v>
      </c>
      <c r="AB142" s="49" t="str">
        <f>IFERROR(__xludf.DUMMYFUNCTION("""COMPUTED_VALUE"""),"adaptation")</f>
        <v>adaptation</v>
      </c>
      <c r="AC142" s="49"/>
      <c r="AD142" s="49" t="str">
        <f>IFERROR(__xludf.DUMMYFUNCTION("""COMPUTED_VALUE"""),"some")</f>
        <v>some</v>
      </c>
      <c r="AE142" s="49" t="str">
        <f>IFERROR(__xludf.DUMMYFUNCTION("""COMPUTED_VALUE"""),"nomination")</f>
        <v>nomination</v>
      </c>
      <c r="AF142" s="49" t="str">
        <f t="shared" si="4"/>
        <v>from,</v>
      </c>
      <c r="AG142" s="49"/>
      <c r="AH142" s="1" t="s">
        <v>884</v>
      </c>
      <c r="AI142" s="1" t="s">
        <v>314</v>
      </c>
      <c r="AJ142" s="6" t="str">
        <f>IFERROR(__xludf.DUMMYFUNCTION("""COMPUTED_VALUE"""),"car")</f>
        <v>car</v>
      </c>
      <c r="AK142" s="49"/>
      <c r="AL142" s="49"/>
      <c r="AM142" s="49" t="str">
        <f>IFERROR(__xludf.DUMMYFUNCTION("""COMPUTED_VALUE"""),"employment")</f>
        <v>employment</v>
      </c>
      <c r="AN142" s="52" t="str">
        <f t="shared" si="5"/>
        <v>things,</v>
      </c>
    </row>
    <row r="143">
      <c r="A143" s="51" t="s">
        <v>714</v>
      </c>
      <c r="B143" s="50" t="s">
        <v>2107</v>
      </c>
      <c r="C143" s="50" t="s">
        <v>861</v>
      </c>
      <c r="D143" s="49" t="str">
        <f>IFERROR(__xludf.DUMMYFUNCTION("""COMPUTED_VALUE"""),"beauty")</f>
        <v>beauty</v>
      </c>
      <c r="E143" s="49"/>
      <c r="F143" s="49" t="str">
        <f>IFERROR(__xludf.DUMMYFUNCTION("""COMPUTED_VALUE"""),"cap")</f>
        <v>cap</v>
      </c>
      <c r="G143" s="49" t="str">
        <f>IFERROR(__xludf.DUMMYFUNCTION("""COMPUTED_VALUE"""),"golf")</f>
        <v>golf</v>
      </c>
      <c r="H143" s="54" t="str">
        <f t="shared" si="1"/>
        <v>special,</v>
      </c>
      <c r="I143" s="50"/>
      <c r="J143" s="50" t="s">
        <v>1513</v>
      </c>
      <c r="K143" s="50" t="s">
        <v>158</v>
      </c>
      <c r="L143" s="49" t="str">
        <f>IFERROR(__xludf.DUMMYFUNCTION("""COMPUTED_VALUE"""),"image")</f>
        <v>image</v>
      </c>
      <c r="M143" s="49"/>
      <c r="N143" s="49" t="str">
        <f>IFERROR(__xludf.DUMMYFUNCTION("""COMPUTED_VALUE"""),"used")</f>
        <v>used</v>
      </c>
      <c r="O143" s="49" t="str">
        <f>IFERROR(__xludf.DUMMYFUNCTION("""COMPUTED_VALUE"""),"norwegian")</f>
        <v>norwegian</v>
      </c>
      <c r="P143" s="49" t="str">
        <f t="shared" si="2"/>
        <v>century,</v>
      </c>
      <c r="Q143" s="49"/>
      <c r="R143" s="50" t="s">
        <v>471</v>
      </c>
      <c r="S143" s="55" t="s">
        <v>779</v>
      </c>
      <c r="T143" s="49" t="str">
        <f>IFERROR(__xludf.DUMMYFUNCTION("""COMPUTED_VALUE"""),"plays")</f>
        <v>plays</v>
      </c>
      <c r="U143" s="49"/>
      <c r="V143" s="49" t="str">
        <f>IFERROR(__xludf.DUMMYFUNCTION("""COMPUTED_VALUE"""),"advice")</f>
        <v>advice</v>
      </c>
      <c r="W143" s="49" t="str">
        <f>IFERROR(__xludf.DUMMYFUNCTION("""COMPUTED_VALUE"""),"slightest")</f>
        <v>slightest</v>
      </c>
      <c r="X143" s="49" t="str">
        <f t="shared" si="3"/>
        <v>many,</v>
      </c>
      <c r="Y143" s="49"/>
      <c r="Z143" s="1" t="s">
        <v>6299</v>
      </c>
      <c r="AA143" s="1" t="s">
        <v>635</v>
      </c>
      <c r="AB143" s="49" t="str">
        <f>IFERROR(__xludf.DUMMYFUNCTION("""COMPUTED_VALUE"""),"large")</f>
        <v>large</v>
      </c>
      <c r="AC143" s="49"/>
      <c r="AD143" s="49" t="str">
        <f>IFERROR(__xludf.DUMMYFUNCTION("""COMPUTED_VALUE"""),"used")</f>
        <v>used</v>
      </c>
      <c r="AE143" s="49" t="str">
        <f>IFERROR(__xludf.DUMMYFUNCTION("""COMPUTED_VALUE"""),"norwegian")</f>
        <v>norwegian</v>
      </c>
      <c r="AF143" s="49" t="str">
        <f t="shared" si="4"/>
        <v>be,</v>
      </c>
      <c r="AG143" s="49"/>
      <c r="AH143" s="1" t="s">
        <v>836</v>
      </c>
      <c r="AI143" s="1" t="s">
        <v>252</v>
      </c>
      <c r="AJ143" s="6" t="str">
        <f>IFERROR(__xludf.DUMMYFUNCTION("""COMPUTED_VALUE"""),"does")</f>
        <v>does</v>
      </c>
      <c r="AK143" s="49"/>
      <c r="AL143" s="49"/>
      <c r="AM143" s="49" t="str">
        <f>IFERROR(__xludf.DUMMYFUNCTION("""COMPUTED_VALUE"""),"cricket")</f>
        <v>cricket</v>
      </c>
      <c r="AN143" s="52" t="str">
        <f t="shared" si="5"/>
        <v>car,</v>
      </c>
    </row>
    <row r="144">
      <c r="A144" s="51" t="s">
        <v>1076</v>
      </c>
      <c r="B144" s="50" t="s">
        <v>1385</v>
      </c>
      <c r="C144" s="50" t="s">
        <v>355</v>
      </c>
      <c r="D144" s="49" t="str">
        <f>IFERROR(__xludf.DUMMYFUNCTION("""COMPUTED_VALUE"""),"bloody")</f>
        <v>bloody</v>
      </c>
      <c r="E144" s="49"/>
      <c r="F144" s="49">
        <f>IFERROR(__xludf.DUMMYFUNCTION("""COMPUTED_VALUE"""),16.0)</f>
        <v>16</v>
      </c>
      <c r="G144" s="49" t="str">
        <f>IFERROR(__xludf.DUMMYFUNCTION("""COMPUTED_VALUE"""),"inquiry")</f>
        <v>inquiry</v>
      </c>
      <c r="H144" s="54" t="str">
        <f t="shared" si="1"/>
        <v>yet,</v>
      </c>
      <c r="I144" s="50"/>
      <c r="J144" s="50" t="s">
        <v>686</v>
      </c>
      <c r="K144" s="50" t="s">
        <v>502</v>
      </c>
      <c r="L144" s="49" t="str">
        <f>IFERROR(__xludf.DUMMYFUNCTION("""COMPUTED_VALUE"""),"biggest")</f>
        <v>biggest</v>
      </c>
      <c r="M144" s="49"/>
      <c r="N144" s="49" t="str">
        <f>IFERROR(__xludf.DUMMYFUNCTION("""COMPUTED_VALUE"""),"evil")</f>
        <v>evil</v>
      </c>
      <c r="O144" s="49" t="str">
        <f>IFERROR(__xludf.DUMMYFUNCTION("""COMPUTED_VALUE"""),"kahn")</f>
        <v>kahn</v>
      </c>
      <c r="P144" s="49" t="str">
        <f t="shared" si="2"/>
        <v>flawed,</v>
      </c>
      <c r="Q144" s="49"/>
      <c r="R144" s="50" t="s">
        <v>4273</v>
      </c>
      <c r="S144" s="55" t="s">
        <v>795</v>
      </c>
      <c r="T144" s="49" t="str">
        <f>IFERROR(__xludf.DUMMYFUNCTION("""COMPUTED_VALUE"""),"depth")</f>
        <v>depth</v>
      </c>
      <c r="U144" s="49"/>
      <c r="V144" s="49" t="str">
        <f>IFERROR(__xludf.DUMMYFUNCTION("""COMPUTED_VALUE"""),"providing")</f>
        <v>providing</v>
      </c>
      <c r="W144" s="49" t="str">
        <f>IFERROR(__xludf.DUMMYFUNCTION("""COMPUTED_VALUE"""),"acting")</f>
        <v>acting</v>
      </c>
      <c r="X144" s="49" t="str">
        <f t="shared" si="3"/>
        <v>expert,</v>
      </c>
      <c r="Y144" s="49"/>
      <c r="Z144" s="1" t="s">
        <v>1513</v>
      </c>
      <c r="AA144" s="1" t="s">
        <v>1077</v>
      </c>
      <c r="AB144" s="49" t="str">
        <f>IFERROR(__xludf.DUMMYFUNCTION("""COMPUTED_VALUE"""),"hell")</f>
        <v>hell</v>
      </c>
      <c r="AC144" s="49"/>
      <c r="AD144" s="49" t="str">
        <f>IFERROR(__xludf.DUMMYFUNCTION("""COMPUTED_VALUE"""),"evil")</f>
        <v>evil</v>
      </c>
      <c r="AE144" s="49" t="str">
        <f>IFERROR(__xludf.DUMMYFUNCTION("""COMPUTED_VALUE"""),"kahn")</f>
        <v>kahn</v>
      </c>
      <c r="AF144" s="49" t="str">
        <f t="shared" si="4"/>
        <v>century,</v>
      </c>
      <c r="AG144" s="49"/>
      <c r="AH144" s="1" t="s">
        <v>1103</v>
      </c>
      <c r="AI144" s="1" t="s">
        <v>6288</v>
      </c>
      <c r="AJ144" s="6" t="str">
        <f>IFERROR(__xludf.DUMMYFUNCTION("""COMPUTED_VALUE"""),"television")</f>
        <v>television</v>
      </c>
      <c r="AK144" s="49"/>
      <c r="AL144" s="49"/>
      <c r="AM144" s="49" t="str">
        <f>IFERROR(__xludf.DUMMYFUNCTION("""COMPUTED_VALUE"""),"investment")</f>
        <v>investment</v>
      </c>
      <c r="AN144" s="52" t="str">
        <f t="shared" si="5"/>
        <v>does,</v>
      </c>
    </row>
    <row r="145">
      <c r="A145" s="51" t="s">
        <v>1083</v>
      </c>
      <c r="B145" s="50" t="s">
        <v>1820</v>
      </c>
      <c r="C145" s="50" t="s">
        <v>593</v>
      </c>
      <c r="D145" s="49" t="str">
        <f>IFERROR(__xludf.DUMMYFUNCTION("""COMPUTED_VALUE"""),"many")</f>
        <v>many</v>
      </c>
      <c r="E145" s="49"/>
      <c r="F145" s="49" t="str">
        <f>IFERROR(__xludf.DUMMYFUNCTION("""COMPUTED_VALUE"""),"skull")</f>
        <v>skull</v>
      </c>
      <c r="G145" s="49" t="str">
        <f>IFERROR(__xludf.DUMMYFUNCTION("""COMPUTED_VALUE"""),"surrender")</f>
        <v>surrender</v>
      </c>
      <c r="H145" s="54" t="str">
        <f t="shared" si="1"/>
        <v>fact,</v>
      </c>
      <c r="I145" s="50"/>
      <c r="J145" s="50" t="s">
        <v>3670</v>
      </c>
      <c r="K145" s="50" t="s">
        <v>1089</v>
      </c>
      <c r="L145" s="49" t="str">
        <f>IFERROR(__xludf.DUMMYFUNCTION("""COMPUTED_VALUE"""),"case")</f>
        <v>case</v>
      </c>
      <c r="M145" s="49"/>
      <c r="N145" s="49" t="str">
        <f>IFERROR(__xludf.DUMMYFUNCTION("""COMPUTED_VALUE"""),"killed")</f>
        <v>killed</v>
      </c>
      <c r="O145" s="49" t="str">
        <f>IFERROR(__xludf.DUMMYFUNCTION("""COMPUTED_VALUE"""),"esther")</f>
        <v>esther</v>
      </c>
      <c r="P145" s="49" t="str">
        <f t="shared" si="2"/>
        <v>cartoon,</v>
      </c>
      <c r="Q145" s="49"/>
      <c r="R145" s="50" t="s">
        <v>184</v>
      </c>
      <c r="S145" s="55" t="s">
        <v>819</v>
      </c>
      <c r="T145" s="49" t="str">
        <f>IFERROR(__xludf.DUMMYFUNCTION("""COMPUTED_VALUE"""),"hours")</f>
        <v>hours</v>
      </c>
      <c r="U145" s="49"/>
      <c r="V145" s="49" t="str">
        <f>IFERROR(__xludf.DUMMYFUNCTION("""COMPUTED_VALUE"""),"lion")</f>
        <v>lion</v>
      </c>
      <c r="W145" s="49">
        <f>IFERROR(__xludf.DUMMYFUNCTION("""COMPUTED_VALUE"""),90.0)</f>
        <v>90</v>
      </c>
      <c r="X145" s="49" t="str">
        <f t="shared" si="3"/>
        <v>face,</v>
      </c>
      <c r="Y145" s="49"/>
      <c r="Z145" s="1" t="s">
        <v>4419</v>
      </c>
      <c r="AA145" s="1" t="s">
        <v>647</v>
      </c>
      <c r="AB145" s="49" t="str">
        <f>IFERROR(__xludf.DUMMYFUNCTION("""COMPUTED_VALUE"""),"successful")</f>
        <v>successful</v>
      </c>
      <c r="AC145" s="49"/>
      <c r="AD145" s="49" t="str">
        <f>IFERROR(__xludf.DUMMYFUNCTION("""COMPUTED_VALUE"""),"killed")</f>
        <v>killed</v>
      </c>
      <c r="AE145" s="49" t="str">
        <f>IFERROR(__xludf.DUMMYFUNCTION("""COMPUTED_VALUE"""),"esther")</f>
        <v>esther</v>
      </c>
      <c r="AF145" s="49" t="str">
        <f t="shared" si="4"/>
        <v>quest,</v>
      </c>
      <c r="AG145" s="49"/>
      <c r="AH145" s="1" t="s">
        <v>4682</v>
      </c>
      <c r="AI145" s="1" t="s">
        <v>258</v>
      </c>
      <c r="AJ145" s="6" t="str">
        <f>IFERROR(__xludf.DUMMYFUNCTION("""COMPUTED_VALUE"""),"hair")</f>
        <v>hair</v>
      </c>
      <c r="AK145" s="49"/>
      <c r="AL145" s="49"/>
      <c r="AM145" s="49" t="str">
        <f>IFERROR(__xludf.DUMMYFUNCTION("""COMPUTED_VALUE"""),"published")</f>
        <v>published</v>
      </c>
      <c r="AN145" s="52" t="str">
        <f t="shared" si="5"/>
        <v>television,</v>
      </c>
    </row>
    <row r="146">
      <c r="A146" s="51" t="s">
        <v>1090</v>
      </c>
      <c r="B146" s="50" t="s">
        <v>1830</v>
      </c>
      <c r="C146" s="50" t="s">
        <v>585</v>
      </c>
      <c r="D146" s="49" t="str">
        <f>IFERROR(__xludf.DUMMYFUNCTION("""COMPUTED_VALUE"""),"situations")</f>
        <v>situations</v>
      </c>
      <c r="E146" s="49"/>
      <c r="F146" s="49" t="str">
        <f>IFERROR(__xludf.DUMMYFUNCTION("""COMPUTED_VALUE"""),"knee")</f>
        <v>knee</v>
      </c>
      <c r="G146" s="49" t="str">
        <f>IFERROR(__xludf.DUMMYFUNCTION("""COMPUTED_VALUE"""),"forming")</f>
        <v>forming</v>
      </c>
      <c r="H146" s="54" t="str">
        <f t="shared" si="1"/>
        <v>type,</v>
      </c>
      <c r="I146" s="50"/>
      <c r="J146" s="50" t="s">
        <v>6342</v>
      </c>
      <c r="K146" s="50" t="s">
        <v>1097</v>
      </c>
      <c r="L146" s="49" t="str">
        <f>IFERROR(__xludf.DUMMYFUNCTION("""COMPUTED_VALUE"""),"went")</f>
        <v>went</v>
      </c>
      <c r="M146" s="49"/>
      <c r="N146" s="49" t="str">
        <f>IFERROR(__xludf.DUMMYFUNCTION("""COMPUTED_VALUE"""),"rest")</f>
        <v>rest</v>
      </c>
      <c r="O146" s="49" t="str">
        <f>IFERROR(__xludf.DUMMYFUNCTION("""COMPUTED_VALUE"""),"setup")</f>
        <v>setup</v>
      </c>
      <c r="P146" s="49" t="str">
        <f t="shared" si="2"/>
        <v>beat,</v>
      </c>
      <c r="Q146" s="49"/>
      <c r="R146" s="50" t="s">
        <v>6773</v>
      </c>
      <c r="S146" s="55" t="s">
        <v>813</v>
      </c>
      <c r="T146" s="49" t="str">
        <f>IFERROR(__xludf.DUMMYFUNCTION("""COMPUTED_VALUE"""),"accurate")</f>
        <v>accurate</v>
      </c>
      <c r="U146" s="49"/>
      <c r="V146" s="49" t="str">
        <f>IFERROR(__xludf.DUMMYFUNCTION("""COMPUTED_VALUE"""),"building")</f>
        <v>building</v>
      </c>
      <c r="W146" s="49" t="str">
        <f>IFERROR(__xludf.DUMMYFUNCTION("""COMPUTED_VALUE"""),"want")</f>
        <v>want</v>
      </c>
      <c r="X146" s="49" t="str">
        <f t="shared" si="3"/>
        <v>horrible,</v>
      </c>
      <c r="Y146" s="49"/>
      <c r="Z146" s="1" t="s">
        <v>2177</v>
      </c>
      <c r="AA146" s="1" t="s">
        <v>1091</v>
      </c>
      <c r="AB146" s="49" t="str">
        <f>IFERROR(__xludf.DUMMYFUNCTION("""COMPUTED_VALUE"""),"whatever")</f>
        <v>whatever</v>
      </c>
      <c r="AC146" s="49"/>
      <c r="AD146" s="49" t="str">
        <f>IFERROR(__xludf.DUMMYFUNCTION("""COMPUTED_VALUE"""),"rest")</f>
        <v>rest</v>
      </c>
      <c r="AE146" s="49" t="str">
        <f>IFERROR(__xludf.DUMMYFUNCTION("""COMPUTED_VALUE"""),"setup")</f>
        <v>setup</v>
      </c>
      <c r="AF146" s="49" t="str">
        <f t="shared" si="4"/>
        <v>colorful,</v>
      </c>
      <c r="AG146" s="49"/>
      <c r="AH146" s="1" t="s">
        <v>2042</v>
      </c>
      <c r="AI146" s="1" t="s">
        <v>261</v>
      </c>
      <c r="AJ146" s="6" t="str">
        <f>IFERROR(__xludf.DUMMYFUNCTION("""COMPUTED_VALUE"""),"course")</f>
        <v>course</v>
      </c>
      <c r="AK146" s="49"/>
      <c r="AL146" s="49"/>
      <c r="AM146" s="49" t="str">
        <f>IFERROR(__xludf.DUMMYFUNCTION("""COMPUTED_VALUE"""),"le")</f>
        <v>le</v>
      </c>
      <c r="AN146" s="52" t="str">
        <f t="shared" si="5"/>
        <v>hair,</v>
      </c>
    </row>
    <row r="147">
      <c r="A147" s="51" t="s">
        <v>1098</v>
      </c>
      <c r="B147" s="50" t="s">
        <v>2733</v>
      </c>
      <c r="C147" s="50" t="s">
        <v>6293</v>
      </c>
      <c r="D147" s="49" t="str">
        <f>IFERROR(__xludf.DUMMYFUNCTION("""COMPUTED_VALUE"""),"poor")</f>
        <v>poor</v>
      </c>
      <c r="E147" s="49"/>
      <c r="F147" s="49" t="str">
        <f>IFERROR(__xludf.DUMMYFUNCTION("""COMPUTED_VALUE"""),"principle")</f>
        <v>principle</v>
      </c>
      <c r="G147" s="49" t="str">
        <f>IFERROR(__xludf.DUMMYFUNCTION("""COMPUTED_VALUE"""),"shaped")</f>
        <v>shaped</v>
      </c>
      <c r="H147" s="54" t="str">
        <f t="shared" si="1"/>
        <v>boy,</v>
      </c>
      <c r="I147" s="50"/>
      <c r="J147" s="50" t="s">
        <v>2339</v>
      </c>
      <c r="K147" s="50" t="s">
        <v>1102</v>
      </c>
      <c r="L147" s="49" t="str">
        <f>IFERROR(__xludf.DUMMYFUNCTION("""COMPUTED_VALUE"""),"someone")</f>
        <v>someone</v>
      </c>
      <c r="M147" s="49"/>
      <c r="N147" s="49" t="str">
        <f>IFERROR(__xludf.DUMMYFUNCTION("""COMPUTED_VALUE"""),"tim")</f>
        <v>tim</v>
      </c>
      <c r="O147" s="49" t="str">
        <f>IFERROR(__xludf.DUMMYFUNCTION("""COMPUTED_VALUE"""),"rhythms")</f>
        <v>rhythms</v>
      </c>
      <c r="P147" s="49" t="str">
        <f t="shared" si="2"/>
        <v>animation,</v>
      </c>
      <c r="Q147" s="49"/>
      <c r="R147" s="50" t="s">
        <v>7258</v>
      </c>
      <c r="S147" s="55" t="s">
        <v>976</v>
      </c>
      <c r="T147" s="49" t="str">
        <f>IFERROR(__xludf.DUMMYFUNCTION("""COMPUTED_VALUE"""),"trip")</f>
        <v>trip</v>
      </c>
      <c r="U147" s="49"/>
      <c r="V147" s="49" t="str">
        <f>IFERROR(__xludf.DUMMYFUNCTION("""COMPUTED_VALUE"""),"rid")</f>
        <v>rid</v>
      </c>
      <c r="W147" s="49" t="str">
        <f>IFERROR(__xludf.DUMMYFUNCTION("""COMPUTED_VALUE"""),"videos")</f>
        <v>videos</v>
      </c>
      <c r="X147" s="49" t="str">
        <f t="shared" si="3"/>
        <v>carpenter,</v>
      </c>
      <c r="Y147" s="49"/>
      <c r="Z147" s="1" t="s">
        <v>1551</v>
      </c>
      <c r="AA147" s="1" t="s">
        <v>223</v>
      </c>
      <c r="AB147" s="49" t="str">
        <f>IFERROR(__xludf.DUMMYFUNCTION("""COMPUTED_VALUE"""),"pleasing")</f>
        <v>pleasing</v>
      </c>
      <c r="AC147" s="49"/>
      <c r="AD147" s="49" t="str">
        <f>IFERROR(__xludf.DUMMYFUNCTION("""COMPUTED_VALUE"""),"tim")</f>
        <v>tim</v>
      </c>
      <c r="AE147" s="49" t="str">
        <f>IFERROR(__xludf.DUMMYFUNCTION("""COMPUTED_VALUE"""),"rhythms")</f>
        <v>rhythms</v>
      </c>
      <c r="AF147" s="49" t="str">
        <f t="shared" si="4"/>
        <v>piece,</v>
      </c>
      <c r="AG147" s="49"/>
      <c r="AH147" s="1" t="s">
        <v>321</v>
      </c>
      <c r="AI147" s="1" t="s">
        <v>664</v>
      </c>
      <c r="AJ147" s="6" t="str">
        <f>IFERROR(__xludf.DUMMYFUNCTION("""COMPUTED_VALUE"""),"police")</f>
        <v>police</v>
      </c>
      <c r="AK147" s="49"/>
      <c r="AL147" s="49"/>
      <c r="AM147" s="49" t="str">
        <f>IFERROR(__xludf.DUMMYFUNCTION("""COMPUTED_VALUE"""),"winds")</f>
        <v>winds</v>
      </c>
      <c r="AN147" s="52" t="str">
        <f t="shared" si="5"/>
        <v>course,</v>
      </c>
    </row>
    <row r="148">
      <c r="A148" s="51" t="s">
        <v>925</v>
      </c>
      <c r="B148" s="50" t="s">
        <v>4067</v>
      </c>
      <c r="C148" s="50" t="s">
        <v>888</v>
      </c>
      <c r="D148" s="49" t="str">
        <f>IFERROR(__xludf.DUMMYFUNCTION("""COMPUTED_VALUE"""),"ben")</f>
        <v>ben</v>
      </c>
      <c r="E148" s="49"/>
      <c r="F148" s="49" t="str">
        <f>IFERROR(__xludf.DUMMYFUNCTION("""COMPUTED_VALUE"""),"mate")</f>
        <v>mate</v>
      </c>
      <c r="G148" s="49">
        <f>IFERROR(__xludf.DUMMYFUNCTION("""COMPUTED_VALUE"""),110.0)</f>
        <v>110</v>
      </c>
      <c r="H148" s="54" t="str">
        <f t="shared" si="1"/>
        <v>industry,</v>
      </c>
      <c r="I148" s="50"/>
      <c r="J148" s="50" t="s">
        <v>1636</v>
      </c>
      <c r="K148" s="50" t="s">
        <v>554</v>
      </c>
      <c r="L148" s="49" t="str">
        <f>IFERROR(__xludf.DUMMYFUNCTION("""COMPUTED_VALUE"""),"latest")</f>
        <v>latest</v>
      </c>
      <c r="M148" s="49"/>
      <c r="N148" s="49" t="str">
        <f>IFERROR(__xludf.DUMMYFUNCTION("""COMPUTED_VALUE"""),"old")</f>
        <v>old</v>
      </c>
      <c r="O148" s="49" t="str">
        <f>IFERROR(__xludf.DUMMYFUNCTION("""COMPUTED_VALUE"""),"manufactured")</f>
        <v>manufactured</v>
      </c>
      <c r="P148" s="49" t="str">
        <f t="shared" si="2"/>
        <v>reason,</v>
      </c>
      <c r="Q148" s="49"/>
      <c r="R148" s="50" t="s">
        <v>710</v>
      </c>
      <c r="S148" s="55" t="s">
        <v>339</v>
      </c>
      <c r="T148" s="49" t="str">
        <f>IFERROR(__xludf.DUMMYFUNCTION("""COMPUTED_VALUE"""),"some")</f>
        <v>some</v>
      </c>
      <c r="U148" s="49"/>
      <c r="V148" s="49" t="str">
        <f>IFERROR(__xludf.DUMMYFUNCTION("""COMPUTED_VALUE"""),"jennifer")</f>
        <v>jennifer</v>
      </c>
      <c r="W148" s="49" t="str">
        <f>IFERROR(__xludf.DUMMYFUNCTION("""COMPUTED_VALUE"""),"hit")</f>
        <v>hit</v>
      </c>
      <c r="X148" s="49" t="str">
        <f t="shared" si="3"/>
        <v>taking,</v>
      </c>
      <c r="Y148" s="49"/>
      <c r="Z148" s="1" t="s">
        <v>211</v>
      </c>
      <c r="AA148" s="1" t="s">
        <v>1103</v>
      </c>
      <c r="AB148" s="49" t="str">
        <f>IFERROR(__xludf.DUMMYFUNCTION("""COMPUTED_VALUE"""),"worth")</f>
        <v>worth</v>
      </c>
      <c r="AC148" s="49"/>
      <c r="AD148" s="49" t="str">
        <f>IFERROR(__xludf.DUMMYFUNCTION("""COMPUTED_VALUE"""),"old")</f>
        <v>old</v>
      </c>
      <c r="AE148" s="49" t="str">
        <f>IFERROR(__xludf.DUMMYFUNCTION("""COMPUTED_VALUE"""),"manufactured")</f>
        <v>manufactured</v>
      </c>
      <c r="AF148" s="49" t="str">
        <f t="shared" si="4"/>
        <v>cast,</v>
      </c>
      <c r="AG148" s="49"/>
      <c r="AH148" s="1" t="s">
        <v>6487</v>
      </c>
      <c r="AI148" s="1" t="s">
        <v>299</v>
      </c>
      <c r="AJ148" s="6" t="str">
        <f>IFERROR(__xludf.DUMMYFUNCTION("""COMPUTED_VALUE"""),"immediately")</f>
        <v>immediately</v>
      </c>
      <c r="AK148" s="49"/>
      <c r="AL148" s="49"/>
      <c r="AM148" s="49" t="str">
        <f>IFERROR(__xludf.DUMMYFUNCTION("""COMPUTED_VALUE"""),"academic")</f>
        <v>academic</v>
      </c>
      <c r="AN148" s="52" t="str">
        <f t="shared" si="5"/>
        <v>police,</v>
      </c>
    </row>
    <row r="149">
      <c r="A149" s="51" t="s">
        <v>1107</v>
      </c>
      <c r="B149" s="50" t="s">
        <v>1574</v>
      </c>
      <c r="C149" s="50" t="s">
        <v>1018</v>
      </c>
      <c r="D149" s="49" t="str">
        <f>IFERROR(__xludf.DUMMYFUNCTION("""COMPUTED_VALUE"""),"driving")</f>
        <v>driving</v>
      </c>
      <c r="E149" s="49"/>
      <c r="F149" s="49" t="str">
        <f>IFERROR(__xludf.DUMMYFUNCTION("""COMPUTED_VALUE"""),"mi")</f>
        <v>mi</v>
      </c>
      <c r="G149" s="49" t="str">
        <f>IFERROR(__xludf.DUMMYFUNCTION("""COMPUTED_VALUE"""),"travis")</f>
        <v>travis</v>
      </c>
      <c r="H149" s="54" t="str">
        <f t="shared" si="1"/>
        <v>takes,</v>
      </c>
      <c r="I149" s="50"/>
      <c r="J149" s="50" t="s">
        <v>219</v>
      </c>
      <c r="K149" s="50" t="s">
        <v>1116</v>
      </c>
      <c r="L149" s="49" t="str">
        <f>IFERROR(__xludf.DUMMYFUNCTION("""COMPUTED_VALUE"""),"most")</f>
        <v>most</v>
      </c>
      <c r="M149" s="49"/>
      <c r="N149" s="49" t="str">
        <f>IFERROR(__xludf.DUMMYFUNCTION("""COMPUTED_VALUE"""),"through")</f>
        <v>through</v>
      </c>
      <c r="O149" s="49" t="str">
        <f>IFERROR(__xludf.DUMMYFUNCTION("""COMPUTED_VALUE"""),"quintet")</f>
        <v>quintet</v>
      </c>
      <c r="P149" s="49" t="str">
        <f t="shared" si="2"/>
        <v>re,</v>
      </c>
      <c r="Q149" s="49"/>
      <c r="R149" s="50" t="s">
        <v>280</v>
      </c>
      <c r="S149" s="55" t="s">
        <v>833</v>
      </c>
      <c r="T149" s="49" t="str">
        <f>IFERROR(__xludf.DUMMYFUNCTION("""COMPUTED_VALUE"""),"years")</f>
        <v>years</v>
      </c>
      <c r="U149" s="49"/>
      <c r="V149" s="49" t="str">
        <f>IFERROR(__xludf.DUMMYFUNCTION("""COMPUTED_VALUE"""),"perfect")</f>
        <v>perfect</v>
      </c>
      <c r="W149" s="49" t="str">
        <f>IFERROR(__xludf.DUMMYFUNCTION("""COMPUTED_VALUE"""),"preliminary")</f>
        <v>preliminary</v>
      </c>
      <c r="X149" s="49" t="str">
        <f t="shared" si="3"/>
        <v>about,</v>
      </c>
      <c r="Y149" s="49"/>
      <c r="Z149" s="1" t="s">
        <v>4053</v>
      </c>
      <c r="AA149" s="1" t="s">
        <v>1108</v>
      </c>
      <c r="AB149" s="49" t="str">
        <f>IFERROR(__xludf.DUMMYFUNCTION("""COMPUTED_VALUE"""),"heard")</f>
        <v>heard</v>
      </c>
      <c r="AC149" s="49"/>
      <c r="AD149" s="49" t="str">
        <f>IFERROR(__xludf.DUMMYFUNCTION("""COMPUTED_VALUE"""),"through")</f>
        <v>through</v>
      </c>
      <c r="AE149" s="49" t="str">
        <f>IFERROR(__xludf.DUMMYFUNCTION("""COMPUTED_VALUE"""),"quintet")</f>
        <v>quintet</v>
      </c>
      <c r="AF149" s="49" t="str">
        <f t="shared" si="4"/>
        <v>20th,</v>
      </c>
      <c r="AG149" s="49"/>
      <c r="AH149" s="1" t="s">
        <v>6638</v>
      </c>
      <c r="AI149" s="1" t="s">
        <v>284</v>
      </c>
      <c r="AJ149" s="6" t="str">
        <f>IFERROR(__xludf.DUMMYFUNCTION("""COMPUTED_VALUE"""),"wrong")</f>
        <v>wrong</v>
      </c>
      <c r="AK149" s="49"/>
      <c r="AL149" s="49"/>
      <c r="AM149" s="49">
        <f>IFERROR(__xludf.DUMMYFUNCTION("""COMPUTED_VALUE"""),93.0)</f>
        <v>93</v>
      </c>
      <c r="AN149" s="52" t="str">
        <f t="shared" si="5"/>
        <v>immediately,</v>
      </c>
    </row>
    <row r="150">
      <c r="A150" s="51" t="s">
        <v>940</v>
      </c>
      <c r="B150" s="50" t="s">
        <v>3432</v>
      </c>
      <c r="C150" s="50" t="s">
        <v>471</v>
      </c>
      <c r="D150" s="49" t="str">
        <f>IFERROR(__xludf.DUMMYFUNCTION("""COMPUTED_VALUE"""),"directions")</f>
        <v>directions</v>
      </c>
      <c r="E150" s="49"/>
      <c r="F150" s="49" t="str">
        <f>IFERROR(__xludf.DUMMYFUNCTION("""COMPUTED_VALUE"""),"affect")</f>
        <v>affect</v>
      </c>
      <c r="G150" s="49" t="str">
        <f>IFERROR(__xludf.DUMMYFUNCTION("""COMPUTED_VALUE"""),"1940s")</f>
        <v>1940s</v>
      </c>
      <c r="H150" s="54" t="str">
        <f t="shared" si="1"/>
        <v>produce,</v>
      </c>
      <c r="I150" s="50"/>
      <c r="J150" s="50" t="s">
        <v>2378</v>
      </c>
      <c r="K150" s="50" t="s">
        <v>166</v>
      </c>
      <c r="L150" s="49" t="str">
        <f>IFERROR(__xludf.DUMMYFUNCTION("""COMPUTED_VALUE"""),"novel")</f>
        <v>novel</v>
      </c>
      <c r="M150" s="49"/>
      <c r="N150" s="49" t="str">
        <f>IFERROR(__xludf.DUMMYFUNCTION("""COMPUTED_VALUE"""),"dr")</f>
        <v>dr</v>
      </c>
      <c r="O150" s="49" t="str">
        <f>IFERROR(__xludf.DUMMYFUNCTION("""COMPUTED_VALUE"""),"actresses")</f>
        <v>actresses</v>
      </c>
      <c r="P150" s="49" t="str">
        <f t="shared" si="2"/>
        <v>both,</v>
      </c>
      <c r="Q150" s="49"/>
      <c r="R150" s="50" t="s">
        <v>568</v>
      </c>
      <c r="S150" s="55" t="s">
        <v>839</v>
      </c>
      <c r="T150" s="49" t="str">
        <f>IFERROR(__xludf.DUMMYFUNCTION("""COMPUTED_VALUE"""),"tim")</f>
        <v>tim</v>
      </c>
      <c r="U150" s="49"/>
      <c r="V150" s="49" t="str">
        <f>IFERROR(__xludf.DUMMYFUNCTION("""COMPUTED_VALUE"""),"swans")</f>
        <v>swans</v>
      </c>
      <c r="W150" s="49" t="str">
        <f>IFERROR(__xludf.DUMMYFUNCTION("""COMPUTED_VALUE"""),"trouble")</f>
        <v>trouble</v>
      </c>
      <c r="X150" s="49" t="str">
        <f t="shared" si="3"/>
        <v>world,</v>
      </c>
      <c r="Y150" s="49"/>
      <c r="Z150" s="1" t="s">
        <v>207</v>
      </c>
      <c r="AA150" s="1" t="s">
        <v>1117</v>
      </c>
      <c r="AB150" s="49" t="str">
        <f>IFERROR(__xludf.DUMMYFUNCTION("""COMPUTED_VALUE"""),"crowd")</f>
        <v>crowd</v>
      </c>
      <c r="AC150" s="49"/>
      <c r="AD150" s="49" t="str">
        <f>IFERROR(__xludf.DUMMYFUNCTION("""COMPUTED_VALUE"""),"dr")</f>
        <v>dr</v>
      </c>
      <c r="AE150" s="49" t="str">
        <f>IFERROR(__xludf.DUMMYFUNCTION("""COMPUTED_VALUE"""),"actresses")</f>
        <v>actresses</v>
      </c>
      <c r="AF150" s="49" t="str">
        <f t="shared" si="4"/>
        <v>last,</v>
      </c>
      <c r="AG150" s="49"/>
      <c r="AH150" s="1" t="s">
        <v>2776</v>
      </c>
      <c r="AI150" s="1" t="s">
        <v>276</v>
      </c>
      <c r="AJ150" s="6" t="str">
        <f>IFERROR(__xludf.DUMMYFUNCTION("""COMPUTED_VALUE"""),"evidence")</f>
        <v>evidence</v>
      </c>
      <c r="AK150" s="49"/>
      <c r="AL150" s="49"/>
      <c r="AM150" s="49" t="str">
        <f>IFERROR(__xludf.DUMMYFUNCTION("""COMPUTED_VALUE"""),"principles")</f>
        <v>principles</v>
      </c>
      <c r="AN150" s="52" t="str">
        <f t="shared" si="5"/>
        <v>wrong,</v>
      </c>
    </row>
    <row r="151">
      <c r="A151" s="51" t="s">
        <v>1123</v>
      </c>
      <c r="B151" s="50" t="s">
        <v>4311</v>
      </c>
      <c r="C151" s="50" t="s">
        <v>396</v>
      </c>
      <c r="D151" s="49" t="str">
        <f>IFERROR(__xludf.DUMMYFUNCTION("""COMPUTED_VALUE"""),"room")</f>
        <v>room</v>
      </c>
      <c r="E151" s="49"/>
      <c r="F151" s="49" t="str">
        <f>IFERROR(__xludf.DUMMYFUNCTION("""COMPUTED_VALUE"""),"correct")</f>
        <v>correct</v>
      </c>
      <c r="G151" s="49" t="str">
        <f>IFERROR(__xludf.DUMMYFUNCTION("""COMPUTED_VALUE"""),"vital")</f>
        <v>vital</v>
      </c>
      <c r="H151" s="54" t="str">
        <f t="shared" si="1"/>
        <v>falls,</v>
      </c>
      <c r="I151" s="50"/>
      <c r="J151" s="50" t="s">
        <v>6295</v>
      </c>
      <c r="K151" s="50" t="s">
        <v>193</v>
      </c>
      <c r="L151" s="49" t="str">
        <f>IFERROR(__xludf.DUMMYFUNCTION("""COMPUTED_VALUE"""),"adaptation")</f>
        <v>adaptation</v>
      </c>
      <c r="M151" s="49"/>
      <c r="N151" s="49" t="str">
        <f>IFERROR(__xludf.DUMMYFUNCTION("""COMPUTED_VALUE"""),"usually")</f>
        <v>usually</v>
      </c>
      <c r="O151" s="49" t="str">
        <f>IFERROR(__xludf.DUMMYFUNCTION("""COMPUTED_VALUE"""),"lau")</f>
        <v>lau</v>
      </c>
      <c r="P151" s="49" t="str">
        <f t="shared" si="2"/>
        <v>he,</v>
      </c>
      <c r="Q151" s="49"/>
      <c r="R151" s="50" t="s">
        <v>3980</v>
      </c>
      <c r="S151" s="55" t="s">
        <v>141</v>
      </c>
      <c r="T151" s="49" t="str">
        <f>IFERROR(__xludf.DUMMYFUNCTION("""COMPUTED_VALUE"""),"ways")</f>
        <v>ways</v>
      </c>
      <c r="U151" s="49"/>
      <c r="V151" s="49" t="str">
        <f>IFERROR(__xludf.DUMMYFUNCTION("""COMPUTED_VALUE"""),"read")</f>
        <v>read</v>
      </c>
      <c r="W151" s="49" t="str">
        <f>IFERROR(__xludf.DUMMYFUNCTION("""COMPUTED_VALUE"""),"frustrating")</f>
        <v>frustrating</v>
      </c>
      <c r="X151" s="49" t="str">
        <f t="shared" si="3"/>
        <v>twisted,</v>
      </c>
      <c r="Y151" s="49"/>
      <c r="Z151" s="1" t="s">
        <v>6342</v>
      </c>
      <c r="AA151" s="1" t="s">
        <v>1124</v>
      </c>
      <c r="AB151" s="49" t="str">
        <f>IFERROR(__xludf.DUMMYFUNCTION("""COMPUTED_VALUE"""),"say")</f>
        <v>say</v>
      </c>
      <c r="AC151" s="49"/>
      <c r="AD151" s="49" t="str">
        <f>IFERROR(__xludf.DUMMYFUNCTION("""COMPUTED_VALUE"""),"usually")</f>
        <v>usually</v>
      </c>
      <c r="AE151" s="49" t="str">
        <f>IFERROR(__xludf.DUMMYFUNCTION("""COMPUTED_VALUE"""),"lau")</f>
        <v>lau</v>
      </c>
      <c r="AF151" s="49" t="str">
        <f t="shared" si="4"/>
        <v>beat,</v>
      </c>
      <c r="AG151" s="49"/>
      <c r="AH151" s="1" t="s">
        <v>3645</v>
      </c>
      <c r="AI151" s="1" t="s">
        <v>348</v>
      </c>
      <c r="AJ151" s="6" t="str">
        <f>IFERROR(__xludf.DUMMYFUNCTION("""COMPUTED_VALUE"""),"nice")</f>
        <v>nice</v>
      </c>
      <c r="AK151" s="49"/>
      <c r="AL151" s="49"/>
      <c r="AM151" s="49">
        <f>IFERROR(__xludf.DUMMYFUNCTION("""COMPUTED_VALUE"""),1938.0)</f>
        <v>1938</v>
      </c>
      <c r="AN151" s="52" t="str">
        <f t="shared" si="5"/>
        <v>evidence,</v>
      </c>
    </row>
    <row r="152">
      <c r="A152" s="51" t="s">
        <v>1130</v>
      </c>
      <c r="B152" s="50" t="s">
        <v>2023</v>
      </c>
      <c r="C152" s="50" t="s">
        <v>6239</v>
      </c>
      <c r="D152" s="49" t="str">
        <f>IFERROR(__xludf.DUMMYFUNCTION("""COMPUTED_VALUE"""),"touching")</f>
        <v>touching</v>
      </c>
      <c r="E152" s="49"/>
      <c r="F152" s="49" t="str">
        <f>IFERROR(__xludf.DUMMYFUNCTION("""COMPUTED_VALUE"""),"leg")</f>
        <v>leg</v>
      </c>
      <c r="G152" s="49" t="str">
        <f>IFERROR(__xludf.DUMMYFUNCTION("""COMPUTED_VALUE"""),"capacity")</f>
        <v>capacity</v>
      </c>
      <c r="H152" s="54" t="str">
        <f t="shared" si="1"/>
        <v>pictures,</v>
      </c>
      <c r="I152" s="50"/>
      <c r="J152" s="50" t="s">
        <v>3432</v>
      </c>
      <c r="K152" s="50" t="s">
        <v>907</v>
      </c>
      <c r="L152" s="49" t="str">
        <f>IFERROR(__xludf.DUMMYFUNCTION("""COMPUTED_VALUE"""),"wonder")</f>
        <v>wonder</v>
      </c>
      <c r="M152" s="49"/>
      <c r="N152" s="49" t="str">
        <f>IFERROR(__xludf.DUMMYFUNCTION("""COMPUTED_VALUE"""),"studio")</f>
        <v>studio</v>
      </c>
      <c r="O152" s="49" t="str">
        <f>IFERROR(__xludf.DUMMYFUNCTION("""COMPUTED_VALUE"""),"quentin")</f>
        <v>quentin</v>
      </c>
      <c r="P152" s="49" t="str">
        <f t="shared" si="2"/>
        <v>produce,</v>
      </c>
      <c r="Q152" s="49"/>
      <c r="R152" s="50" t="s">
        <v>61</v>
      </c>
      <c r="S152" s="55" t="s">
        <v>600</v>
      </c>
      <c r="T152" s="49" t="str">
        <f>IFERROR(__xludf.DUMMYFUNCTION("""COMPUTED_VALUE"""),"well")</f>
        <v>well</v>
      </c>
      <c r="U152" s="49"/>
      <c r="V152" s="49" t="str">
        <f>IFERROR(__xludf.DUMMYFUNCTION("""COMPUTED_VALUE"""),"understand")</f>
        <v>understand</v>
      </c>
      <c r="W152" s="49" t="str">
        <f>IFERROR(__xludf.DUMMYFUNCTION("""COMPUTED_VALUE"""),"unpredictable")</f>
        <v>unpredictable</v>
      </c>
      <c r="X152" s="49" t="str">
        <f t="shared" si="3"/>
        <v>or,</v>
      </c>
      <c r="Y152" s="49"/>
      <c r="Z152" s="1" t="s">
        <v>1453</v>
      </c>
      <c r="AA152" s="1" t="s">
        <v>1131</v>
      </c>
      <c r="AB152" s="49" t="str">
        <f>IFERROR(__xludf.DUMMYFUNCTION("""COMPUTED_VALUE"""),"trailer")</f>
        <v>trailer</v>
      </c>
      <c r="AC152" s="49"/>
      <c r="AD152" s="49" t="str">
        <f>IFERROR(__xludf.DUMMYFUNCTION("""COMPUTED_VALUE"""),"studio")</f>
        <v>studio</v>
      </c>
      <c r="AE152" s="49" t="str">
        <f>IFERROR(__xludf.DUMMYFUNCTION("""COMPUTED_VALUE"""),"quentin")</f>
        <v>quentin</v>
      </c>
      <c r="AF152" s="49" t="str">
        <f t="shared" si="4"/>
        <v>recent,</v>
      </c>
      <c r="AG152" s="49"/>
      <c r="AH152" s="1" t="s">
        <v>4153</v>
      </c>
      <c r="AI152" s="1" t="s">
        <v>146</v>
      </c>
      <c r="AJ152" s="6" t="str">
        <f>IFERROR(__xludf.DUMMYFUNCTION("""COMPUTED_VALUE"""),"seem")</f>
        <v>seem</v>
      </c>
      <c r="AK152" s="49"/>
      <c r="AL152" s="49"/>
      <c r="AM152" s="49">
        <f>IFERROR(__xludf.DUMMYFUNCTION("""COMPUTED_VALUE"""),66.0)</f>
        <v>66</v>
      </c>
      <c r="AN152" s="52" t="str">
        <f t="shared" si="5"/>
        <v>nice,</v>
      </c>
    </row>
    <row r="153">
      <c r="A153" s="51" t="s">
        <v>1136</v>
      </c>
      <c r="B153" s="50" t="s">
        <v>3186</v>
      </c>
      <c r="C153" s="50" t="s">
        <v>1044</v>
      </c>
      <c r="D153" s="49" t="str">
        <f>IFERROR(__xludf.DUMMYFUNCTION("""COMPUTED_VALUE"""),"starts")</f>
        <v>starts</v>
      </c>
      <c r="E153" s="49"/>
      <c r="F153" s="49" t="str">
        <f>IFERROR(__xludf.DUMMYFUNCTION("""COMPUTED_VALUE"""),"co")</f>
        <v>co</v>
      </c>
      <c r="G153" s="49" t="str">
        <f>IFERROR(__xludf.DUMMYFUNCTION("""COMPUTED_VALUE"""),"mount")</f>
        <v>mount</v>
      </c>
      <c r="H153" s="54" t="str">
        <f t="shared" si="1"/>
        <v>category,</v>
      </c>
      <c r="I153" s="50"/>
      <c r="J153" s="50" t="s">
        <v>2023</v>
      </c>
      <c r="K153" s="50" t="s">
        <v>528</v>
      </c>
      <c r="L153" s="49" t="str">
        <f>IFERROR(__xludf.DUMMYFUNCTION("""COMPUTED_VALUE"""),"crush")</f>
        <v>crush</v>
      </c>
      <c r="M153" s="49"/>
      <c r="N153" s="49" t="str">
        <f>IFERROR(__xludf.DUMMYFUNCTION("""COMPUTED_VALUE"""),"occasionally")</f>
        <v>occasionally</v>
      </c>
      <c r="O153" s="49" t="str">
        <f>IFERROR(__xludf.DUMMYFUNCTION("""COMPUTED_VALUE"""),"grow")</f>
        <v>grow</v>
      </c>
      <c r="P153" s="49" t="str">
        <f t="shared" si="2"/>
        <v>pictures,</v>
      </c>
      <c r="Q153" s="49"/>
      <c r="R153" s="50" t="s">
        <v>2009</v>
      </c>
      <c r="S153" s="55" t="s">
        <v>105</v>
      </c>
      <c r="T153" s="49" t="str">
        <f>IFERROR(__xludf.DUMMYFUNCTION("""COMPUTED_VALUE"""),"eyes")</f>
        <v>eyes</v>
      </c>
      <c r="U153" s="49"/>
      <c r="V153" s="49" t="str">
        <f>IFERROR(__xludf.DUMMYFUNCTION("""COMPUTED_VALUE"""),"told")</f>
        <v>told</v>
      </c>
      <c r="W153" s="49" t="str">
        <f>IFERROR(__xludf.DUMMYFUNCTION("""COMPUTED_VALUE"""),"screaming")</f>
        <v>screaming</v>
      </c>
      <c r="X153" s="49" t="str">
        <f t="shared" si="3"/>
        <v>beneath,</v>
      </c>
      <c r="Y153" s="49"/>
      <c r="Z153" s="1" t="s">
        <v>883</v>
      </c>
      <c r="AA153" s="1" t="s">
        <v>663</v>
      </c>
      <c r="AB153" s="49" t="str">
        <f>IFERROR(__xludf.DUMMYFUNCTION("""COMPUTED_VALUE"""),"during")</f>
        <v>during</v>
      </c>
      <c r="AC153" s="49"/>
      <c r="AD153" s="49" t="str">
        <f>IFERROR(__xludf.DUMMYFUNCTION("""COMPUTED_VALUE"""),"occasionally")</f>
        <v>occasionally</v>
      </c>
      <c r="AE153" s="49" t="str">
        <f>IFERROR(__xludf.DUMMYFUNCTION("""COMPUTED_VALUE"""),"grow")</f>
        <v>grow</v>
      </c>
      <c r="AF153" s="49" t="str">
        <f t="shared" si="4"/>
        <v>lively,</v>
      </c>
      <c r="AG153" s="49"/>
      <c r="AH153" s="1" t="s">
        <v>554</v>
      </c>
      <c r="AI153" s="1" t="s">
        <v>33</v>
      </c>
      <c r="AJ153" s="6" t="str">
        <f>IFERROR(__xludf.DUMMYFUNCTION("""COMPUTED_VALUE"""),"tells")</f>
        <v>tells</v>
      </c>
      <c r="AK153" s="49"/>
      <c r="AL153" s="49"/>
      <c r="AM153" s="49" t="str">
        <f>IFERROR(__xludf.DUMMYFUNCTION("""COMPUTED_VALUE"""),"racial")</f>
        <v>racial</v>
      </c>
      <c r="AN153" s="52" t="str">
        <f t="shared" si="5"/>
        <v>seem,</v>
      </c>
    </row>
    <row r="154">
      <c r="A154" s="51" t="s">
        <v>1142</v>
      </c>
      <c r="B154" s="50" t="s">
        <v>5783</v>
      </c>
      <c r="C154" s="50" t="s">
        <v>6294</v>
      </c>
      <c r="D154" s="49" t="str">
        <f>IFERROR(__xludf.DUMMYFUNCTION("""COMPUTED_VALUE"""),"legend")</f>
        <v>legend</v>
      </c>
      <c r="E154" s="49"/>
      <c r="F154" s="49" t="str">
        <f>IFERROR(__xludf.DUMMYFUNCTION("""COMPUTED_VALUE"""),"vi")</f>
        <v>vi</v>
      </c>
      <c r="G154" s="49" t="str">
        <f>IFERROR(__xludf.DUMMYFUNCTION("""COMPUTED_VALUE"""),"discuss")</f>
        <v>discuss</v>
      </c>
      <c r="H154" s="54" t="str">
        <f t="shared" si="1"/>
        <v>gain,</v>
      </c>
      <c r="I154" s="50"/>
      <c r="J154" s="50" t="s">
        <v>112</v>
      </c>
      <c r="K154" s="50" t="s">
        <v>915</v>
      </c>
      <c r="L154" s="49" t="str">
        <f>IFERROR(__xludf.DUMMYFUNCTION("""COMPUTED_VALUE"""),"starting")</f>
        <v>starting</v>
      </c>
      <c r="M154" s="49"/>
      <c r="N154" s="49" t="str">
        <f>IFERROR(__xludf.DUMMYFUNCTION("""COMPUTED_VALUE"""),"big")</f>
        <v>big</v>
      </c>
      <c r="O154" s="49" t="str">
        <f>IFERROR(__xludf.DUMMYFUNCTION("""COMPUTED_VALUE"""),"elevated")</f>
        <v>elevated</v>
      </c>
      <c r="P154" s="49" t="str">
        <f t="shared" si="2"/>
        <v>film,</v>
      </c>
      <c r="Q154" s="49"/>
      <c r="R154" s="50" t="s">
        <v>2458</v>
      </c>
      <c r="S154" s="55" t="s">
        <v>359</v>
      </c>
      <c r="T154" s="49" t="str">
        <f>IFERROR(__xludf.DUMMYFUNCTION("""COMPUTED_VALUE"""),"french")</f>
        <v>french</v>
      </c>
      <c r="U154" s="49"/>
      <c r="V154" s="49" t="str">
        <f>IFERROR(__xludf.DUMMYFUNCTION("""COMPUTED_VALUE"""),"independent")</f>
        <v>independent</v>
      </c>
      <c r="W154" s="49" t="str">
        <f>IFERROR(__xludf.DUMMYFUNCTION("""COMPUTED_VALUE"""),"ii")</f>
        <v>ii</v>
      </c>
      <c r="X154" s="49" t="str">
        <f t="shared" si="3"/>
        <v>yourself,</v>
      </c>
      <c r="Y154" s="49"/>
      <c r="Z154" s="1" t="s">
        <v>686</v>
      </c>
      <c r="AA154" s="1" t="s">
        <v>1143</v>
      </c>
      <c r="AB154" s="49" t="str">
        <f>IFERROR(__xludf.DUMMYFUNCTION("""COMPUTED_VALUE"""),"larger")</f>
        <v>larger</v>
      </c>
      <c r="AC154" s="49"/>
      <c r="AD154" s="49" t="str">
        <f>IFERROR(__xludf.DUMMYFUNCTION("""COMPUTED_VALUE"""),"big")</f>
        <v>big</v>
      </c>
      <c r="AE154" s="49" t="str">
        <f>IFERROR(__xludf.DUMMYFUNCTION("""COMPUTED_VALUE"""),"elevated")</f>
        <v>elevated</v>
      </c>
      <c r="AF154" s="49" t="str">
        <f t="shared" si="4"/>
        <v>flawed,</v>
      </c>
      <c r="AG154" s="49"/>
      <c r="AH154" s="1" t="s">
        <v>6679</v>
      </c>
      <c r="AI154" s="1" t="s">
        <v>3400</v>
      </c>
      <c r="AJ154" s="6" t="str">
        <f>IFERROR(__xludf.DUMMYFUNCTION("""COMPUTED_VALUE"""),"gets")</f>
        <v>gets</v>
      </c>
      <c r="AK154" s="49"/>
      <c r="AL154" s="49"/>
      <c r="AM154" s="49" t="str">
        <f>IFERROR(__xludf.DUMMYFUNCTION("""COMPUTED_VALUE"""),"pants")</f>
        <v>pants</v>
      </c>
      <c r="AN154" s="52" t="str">
        <f t="shared" si="5"/>
        <v>tells,</v>
      </c>
    </row>
    <row r="155">
      <c r="A155" s="51" t="s">
        <v>1148</v>
      </c>
      <c r="B155" s="50" t="s">
        <v>3690</v>
      </c>
      <c r="C155" s="50" t="s">
        <v>3571</v>
      </c>
      <c r="D155" s="49" t="str">
        <f>IFERROR(__xludf.DUMMYFUNCTION("""COMPUTED_VALUE"""),"less")</f>
        <v>less</v>
      </c>
      <c r="E155" s="49"/>
      <c r="F155" s="49" t="str">
        <f>IFERROR(__xludf.DUMMYFUNCTION("""COMPUTED_VALUE"""),"marc")</f>
        <v>marc</v>
      </c>
      <c r="G155" s="49" t="str">
        <f>IFERROR(__xludf.DUMMYFUNCTION("""COMPUTED_VALUE"""),"flower")</f>
        <v>flower</v>
      </c>
      <c r="H155" s="54" t="str">
        <f t="shared" si="1"/>
        <v>string,</v>
      </c>
      <c r="I155" s="50"/>
      <c r="J155" s="50" t="s">
        <v>4311</v>
      </c>
      <c r="K155" s="50" t="s">
        <v>537</v>
      </c>
      <c r="L155" s="49" t="str">
        <f>IFERROR(__xludf.DUMMYFUNCTION("""COMPUTED_VALUE"""),"beautiful")</f>
        <v>beautiful</v>
      </c>
      <c r="M155" s="49"/>
      <c r="N155" s="49" t="str">
        <f>IFERROR(__xludf.DUMMYFUNCTION("""COMPUTED_VALUE"""),"michael")</f>
        <v>michael</v>
      </c>
      <c r="O155" s="49" t="str">
        <f>IFERROR(__xludf.DUMMYFUNCTION("""COMPUTED_VALUE"""),"tones")</f>
        <v>tones</v>
      </c>
      <c r="P155" s="49" t="str">
        <f t="shared" si="2"/>
        <v>falls,</v>
      </c>
      <c r="Q155" s="49"/>
      <c r="R155" s="50" t="s">
        <v>4862</v>
      </c>
      <c r="S155" s="55" t="s">
        <v>657</v>
      </c>
      <c r="T155" s="49" t="str">
        <f>IFERROR(__xludf.DUMMYFUNCTION("""COMPUTED_VALUE"""),"!")</f>
        <v>!</v>
      </c>
      <c r="U155" s="49"/>
      <c r="V155" s="49" t="str">
        <f>IFERROR(__xludf.DUMMYFUNCTION("""COMPUTED_VALUE"""),"complex")</f>
        <v>complex</v>
      </c>
      <c r="W155" s="49" t="str">
        <f>IFERROR(__xludf.DUMMYFUNCTION("""COMPUTED_VALUE"""),"conclusions")</f>
        <v>conclusions</v>
      </c>
      <c r="X155" s="49" t="str">
        <f t="shared" si="3"/>
        <v>sick,</v>
      </c>
      <c r="Y155" s="49"/>
      <c r="Z155" s="1" t="s">
        <v>4150</v>
      </c>
      <c r="AA155" s="1" t="s">
        <v>172</v>
      </c>
      <c r="AB155" s="49" t="str">
        <f>IFERROR(__xludf.DUMMYFUNCTION("""COMPUTED_VALUE"""),"any")</f>
        <v>any</v>
      </c>
      <c r="AC155" s="49"/>
      <c r="AD155" s="49" t="str">
        <f>IFERROR(__xludf.DUMMYFUNCTION("""COMPUTED_VALUE"""),"michael")</f>
        <v>michael</v>
      </c>
      <c r="AE155" s="49" t="str">
        <f>IFERROR(__xludf.DUMMYFUNCTION("""COMPUTED_VALUE"""),"tones")</f>
        <v>tones</v>
      </c>
      <c r="AF155" s="49" t="str">
        <f t="shared" si="4"/>
        <v>dead,</v>
      </c>
      <c r="AG155" s="49"/>
      <c r="AH155" s="1" t="s">
        <v>1443</v>
      </c>
      <c r="AI155" s="1" t="s">
        <v>683</v>
      </c>
      <c r="AJ155" s="6" t="str">
        <f>IFERROR(__xludf.DUMMYFUNCTION("""COMPUTED_VALUE"""),"sounds")</f>
        <v>sounds</v>
      </c>
      <c r="AK155" s="49"/>
      <c r="AL155" s="49"/>
      <c r="AM155" s="49" t="str">
        <f>IFERROR(__xludf.DUMMYFUNCTION("""COMPUTED_VALUE"""),"evans")</f>
        <v>evans</v>
      </c>
      <c r="AN155" s="52" t="str">
        <f t="shared" si="5"/>
        <v>gets,</v>
      </c>
    </row>
    <row r="156">
      <c r="A156" s="51" t="s">
        <v>956</v>
      </c>
      <c r="B156" s="50" t="s">
        <v>3256</v>
      </c>
      <c r="C156" s="50" t="s">
        <v>407</v>
      </c>
      <c r="D156" s="49" t="str">
        <f>IFERROR(__xludf.DUMMYFUNCTION("""COMPUTED_VALUE"""),"rich")</f>
        <v>rich</v>
      </c>
      <c r="E156" s="49"/>
      <c r="F156" s="49" t="str">
        <f>IFERROR(__xludf.DUMMYFUNCTION("""COMPUTED_VALUE"""),"hat")</f>
        <v>hat</v>
      </c>
      <c r="G156" s="49" t="str">
        <f>IFERROR(__xludf.DUMMYFUNCTION("""COMPUTED_VALUE"""),"flies")</f>
        <v>flies</v>
      </c>
      <c r="H156" s="54" t="str">
        <f t="shared" si="1"/>
        <v>favor,</v>
      </c>
      <c r="I156" s="50"/>
      <c r="J156" s="50" t="s">
        <v>479</v>
      </c>
      <c r="K156" s="50" t="s">
        <v>926</v>
      </c>
      <c r="L156" s="49" t="str">
        <f>IFERROR(__xludf.DUMMYFUNCTION("""COMPUTED_VALUE"""),"horrific")</f>
        <v>horrific</v>
      </c>
      <c r="M156" s="49"/>
      <c r="N156" s="49" t="str">
        <f>IFERROR(__xludf.DUMMYFUNCTION("""COMPUTED_VALUE"""),"kiss")</f>
        <v>kiss</v>
      </c>
      <c r="O156" s="49" t="str">
        <f>IFERROR(__xludf.DUMMYFUNCTION("""COMPUTED_VALUE"""),"warm")</f>
        <v>warm</v>
      </c>
      <c r="P156" s="49" t="str">
        <f t="shared" si="2"/>
        <v>love,</v>
      </c>
      <c r="Q156" s="49"/>
      <c r="R156" s="50" t="s">
        <v>4844</v>
      </c>
      <c r="S156" s="55" t="s">
        <v>6295</v>
      </c>
      <c r="T156" s="49" t="str">
        <f>IFERROR(__xludf.DUMMYFUNCTION("""COMPUTED_VALUE"""),"rest")</f>
        <v>rest</v>
      </c>
      <c r="U156" s="49"/>
      <c r="V156" s="49" t="str">
        <f>IFERROR(__xludf.DUMMYFUNCTION("""COMPUTED_VALUE"""),"wit")</f>
        <v>wit</v>
      </c>
      <c r="W156" s="49" t="str">
        <f>IFERROR(__xludf.DUMMYFUNCTION("""COMPUTED_VALUE"""),"dramas")</f>
        <v>dramas</v>
      </c>
      <c r="X156" s="49" t="str">
        <f t="shared" si="3"/>
        <v>sight,</v>
      </c>
      <c r="Y156" s="49"/>
      <c r="Z156" s="1" t="s">
        <v>5719</v>
      </c>
      <c r="AA156" s="1" t="s">
        <v>688</v>
      </c>
      <c r="AB156" s="49" t="str">
        <f>IFERROR(__xludf.DUMMYFUNCTION("""COMPUTED_VALUE"""),"sell")</f>
        <v>sell</v>
      </c>
      <c r="AC156" s="49"/>
      <c r="AD156" s="49" t="str">
        <f>IFERROR(__xludf.DUMMYFUNCTION("""COMPUTED_VALUE"""),"kiss")</f>
        <v>kiss</v>
      </c>
      <c r="AE156" s="49" t="str">
        <f>IFERROR(__xludf.DUMMYFUNCTION("""COMPUTED_VALUE"""),"warm")</f>
        <v>warm</v>
      </c>
      <c r="AF156" s="49" t="str">
        <f t="shared" si="4"/>
        <v>contest,</v>
      </c>
      <c r="AG156" s="49"/>
      <c r="AH156" s="1" t="s">
        <v>1089</v>
      </c>
      <c r="AI156" s="1" t="s">
        <v>544</v>
      </c>
      <c r="AJ156" s="6" t="str">
        <f>IFERROR(__xludf.DUMMYFUNCTION("""COMPUTED_VALUE"""),"squad")</f>
        <v>squad</v>
      </c>
      <c r="AK156" s="49"/>
      <c r="AL156" s="49"/>
      <c r="AM156" s="49" t="str">
        <f>IFERROR(__xludf.DUMMYFUNCTION("""COMPUTED_VALUE"""),"bands")</f>
        <v>bands</v>
      </c>
      <c r="AN156" s="52" t="str">
        <f t="shared" si="5"/>
        <v>sounds,</v>
      </c>
    </row>
    <row r="157">
      <c r="A157" s="51" t="s">
        <v>1159</v>
      </c>
      <c r="B157" s="50" t="s">
        <v>7256</v>
      </c>
      <c r="C157" s="50" t="s">
        <v>133</v>
      </c>
      <c r="D157" s="49" t="str">
        <f>IFERROR(__xludf.DUMMYFUNCTION("""COMPUTED_VALUE"""),"stuff")</f>
        <v>stuff</v>
      </c>
      <c r="E157" s="49"/>
      <c r="F157" s="49" t="str">
        <f>IFERROR(__xludf.DUMMYFUNCTION("""COMPUTED_VALUE"""),"um")</f>
        <v>um</v>
      </c>
      <c r="G157" s="49" t="str">
        <f>IFERROR(__xludf.DUMMYFUNCTION("""COMPUTED_VALUE"""),"bearing")</f>
        <v>bearing</v>
      </c>
      <c r="H157" s="54" t="str">
        <f t="shared" si="1"/>
        <v>stable,</v>
      </c>
      <c r="I157" s="50"/>
      <c r="J157" s="50" t="s">
        <v>3256</v>
      </c>
      <c r="K157" s="50" t="s">
        <v>810</v>
      </c>
      <c r="L157" s="49" t="str">
        <f>IFERROR(__xludf.DUMMYFUNCTION("""COMPUTED_VALUE"""),"predictable")</f>
        <v>predictable</v>
      </c>
      <c r="M157" s="49"/>
      <c r="N157" s="49" t="str">
        <f>IFERROR(__xludf.DUMMYFUNCTION("""COMPUTED_VALUE"""),"o")</f>
        <v>o</v>
      </c>
      <c r="O157" s="49" t="str">
        <f>IFERROR(__xludf.DUMMYFUNCTION("""COMPUTED_VALUE"""),"bridge")</f>
        <v>bridge</v>
      </c>
      <c r="P157" s="49" t="str">
        <f t="shared" si="2"/>
        <v>favor,</v>
      </c>
      <c r="Q157" s="49"/>
      <c r="R157" s="50" t="s">
        <v>447</v>
      </c>
      <c r="S157" s="55" t="s">
        <v>978</v>
      </c>
      <c r="T157" s="49" t="str">
        <f>IFERROR(__xludf.DUMMYFUNCTION("""COMPUTED_VALUE"""),"you")</f>
        <v>you</v>
      </c>
      <c r="U157" s="49"/>
      <c r="V157" s="49" t="str">
        <f>IFERROR(__xludf.DUMMYFUNCTION("""COMPUTED_VALUE"""),"behavior")</f>
        <v>behavior</v>
      </c>
      <c r="W157" s="49" t="str">
        <f>IFERROR(__xludf.DUMMYFUNCTION("""COMPUTED_VALUE"""),"while")</f>
        <v>while</v>
      </c>
      <c r="X157" s="49" t="str">
        <f t="shared" si="3"/>
        <v>making,</v>
      </c>
      <c r="Y157" s="49"/>
      <c r="Z157" s="1" t="s">
        <v>514</v>
      </c>
      <c r="AA157" s="1" t="s">
        <v>684</v>
      </c>
      <c r="AB157" s="49" t="str">
        <f>IFERROR(__xludf.DUMMYFUNCTION("""COMPUTED_VALUE"""),"trees")</f>
        <v>trees</v>
      </c>
      <c r="AC157" s="49"/>
      <c r="AD157" s="49" t="str">
        <f>IFERROR(__xludf.DUMMYFUNCTION("""COMPUTED_VALUE"""),"o")</f>
        <v>o</v>
      </c>
      <c r="AE157" s="49" t="str">
        <f>IFERROR(__xludf.DUMMYFUNCTION("""COMPUTED_VALUE"""),"bridge")</f>
        <v>bridge</v>
      </c>
      <c r="AF157" s="49" t="str">
        <f t="shared" si="4"/>
        <v>had,</v>
      </c>
      <c r="AG157" s="49"/>
      <c r="AH157" s="1" t="s">
        <v>6007</v>
      </c>
      <c r="AI157" s="1" t="s">
        <v>700</v>
      </c>
      <c r="AJ157" s="6" t="str">
        <f>IFERROR(__xludf.DUMMYFUNCTION("""COMPUTED_VALUE"""),"stuff")</f>
        <v>stuff</v>
      </c>
      <c r="AK157" s="49"/>
      <c r="AL157" s="49"/>
      <c r="AM157" s="49" t="str">
        <f>IFERROR(__xludf.DUMMYFUNCTION("""COMPUTED_VALUE"""),"remained")</f>
        <v>remained</v>
      </c>
      <c r="AN157" s="52" t="str">
        <f t="shared" si="5"/>
        <v>squad,</v>
      </c>
    </row>
    <row r="158">
      <c r="A158" s="51" t="s">
        <v>1165</v>
      </c>
      <c r="B158" s="50" t="s">
        <v>4451</v>
      </c>
      <c r="C158" s="50" t="s">
        <v>933</v>
      </c>
      <c r="D158" s="49" t="str">
        <f>IFERROR(__xludf.DUMMYFUNCTION("""COMPUTED_VALUE"""),"joy")</f>
        <v>joy</v>
      </c>
      <c r="E158" s="49"/>
      <c r="F158" s="49" t="str">
        <f>IFERROR(__xludf.DUMMYFUNCTION("""COMPUTED_VALUE"""),"recover")</f>
        <v>recover</v>
      </c>
      <c r="G158" s="49" t="str">
        <f>IFERROR(__xludf.DUMMYFUNCTION("""COMPUTED_VALUE"""),"operational")</f>
        <v>operational</v>
      </c>
      <c r="H158" s="54" t="str">
        <f t="shared" si="1"/>
        <v>comments,</v>
      </c>
      <c r="I158" s="50"/>
      <c r="J158" s="50" t="s">
        <v>2484</v>
      </c>
      <c r="K158" s="50" t="s">
        <v>1171</v>
      </c>
      <c r="L158" s="49" t="str">
        <f>IFERROR(__xludf.DUMMYFUNCTION("""COMPUTED_VALUE"""),"second")</f>
        <v>second</v>
      </c>
      <c r="M158" s="49"/>
      <c r="N158" s="49" t="str">
        <f>IFERROR(__xludf.DUMMYFUNCTION("""COMPUTED_VALUE"""),"good")</f>
        <v>good</v>
      </c>
      <c r="O158" s="49" t="str">
        <f>IFERROR(__xludf.DUMMYFUNCTION("""COMPUTED_VALUE"""),"metaphor")</f>
        <v>metaphor</v>
      </c>
      <c r="P158" s="49" t="str">
        <f t="shared" si="2"/>
        <v>endless,</v>
      </c>
      <c r="Q158" s="49"/>
      <c r="R158" s="50" t="s">
        <v>2238</v>
      </c>
      <c r="S158" s="55" t="s">
        <v>355</v>
      </c>
      <c r="T158" s="49" t="str">
        <f>IFERROR(__xludf.DUMMYFUNCTION("""COMPUTED_VALUE"""),"brings")</f>
        <v>brings</v>
      </c>
      <c r="U158" s="49"/>
      <c r="V158" s="49" t="str">
        <f>IFERROR(__xludf.DUMMYFUNCTION("""COMPUTED_VALUE"""),"train")</f>
        <v>train</v>
      </c>
      <c r="W158" s="49" t="str">
        <f>IFERROR(__xludf.DUMMYFUNCTION("""COMPUTED_VALUE"""),"speak")</f>
        <v>speak</v>
      </c>
      <c r="X158" s="49" t="str">
        <f t="shared" si="3"/>
        <v>stop,</v>
      </c>
      <c r="Y158" s="49"/>
      <c r="Z158" s="1" t="s">
        <v>776</v>
      </c>
      <c r="AA158" s="1" t="s">
        <v>681</v>
      </c>
      <c r="AB158" s="49" t="str">
        <f>IFERROR(__xludf.DUMMYFUNCTION("""COMPUTED_VALUE"""),"friend")</f>
        <v>friend</v>
      </c>
      <c r="AC158" s="49"/>
      <c r="AD158" s="49" t="str">
        <f>IFERROR(__xludf.DUMMYFUNCTION("""COMPUTED_VALUE"""),"good")</f>
        <v>good</v>
      </c>
      <c r="AE158" s="49" t="str">
        <f>IFERROR(__xludf.DUMMYFUNCTION("""COMPUTED_VALUE"""),"metaphor")</f>
        <v>metaphor</v>
      </c>
      <c r="AF158" s="49" t="str">
        <f t="shared" si="4"/>
        <v>pretty,</v>
      </c>
      <c r="AG158" s="49"/>
      <c r="AH158" s="1" t="s">
        <v>6296</v>
      </c>
      <c r="AI158" s="1" t="s">
        <v>5731</v>
      </c>
      <c r="AJ158" s="6" t="str">
        <f>IFERROR(__xludf.DUMMYFUNCTION("""COMPUTED_VALUE"""),"movies")</f>
        <v>movies</v>
      </c>
      <c r="AK158" s="49"/>
      <c r="AL158" s="49"/>
      <c r="AM158" s="49" t="str">
        <f>IFERROR(__xludf.DUMMYFUNCTION("""COMPUTED_VALUE"""),"iran")</f>
        <v>iran</v>
      </c>
      <c r="AN158" s="52" t="str">
        <f t="shared" si="5"/>
        <v>stuff,</v>
      </c>
    </row>
    <row r="159">
      <c r="A159" s="51" t="s">
        <v>1172</v>
      </c>
      <c r="B159" s="50" t="s">
        <v>588</v>
      </c>
      <c r="C159" s="50" t="s">
        <v>739</v>
      </c>
      <c r="D159" s="49" t="str">
        <f>IFERROR(__xludf.DUMMYFUNCTION("""COMPUTED_VALUE"""),"apparent")</f>
        <v>apparent</v>
      </c>
      <c r="E159" s="49"/>
      <c r="F159" s="49" t="str">
        <f>IFERROR(__xludf.DUMMYFUNCTION("""COMPUTED_VALUE"""),"en")</f>
        <v>en</v>
      </c>
      <c r="G159" s="49" t="str">
        <f>IFERROR(__xludf.DUMMYFUNCTION("""COMPUTED_VALUE"""),"mechanics")</f>
        <v>mechanics</v>
      </c>
      <c r="H159" s="54" t="str">
        <f t="shared" si="1"/>
        <v>kills,</v>
      </c>
      <c r="I159" s="50"/>
      <c r="J159" s="50" t="s">
        <v>443</v>
      </c>
      <c r="K159" s="50" t="s">
        <v>111</v>
      </c>
      <c r="L159" s="49" t="str">
        <f>IFERROR(__xludf.DUMMYFUNCTION("""COMPUTED_VALUE"""),"third")</f>
        <v>third</v>
      </c>
      <c r="M159" s="49"/>
      <c r="N159" s="49" t="str">
        <f>IFERROR(__xludf.DUMMYFUNCTION("""COMPUTED_VALUE"""),"romantic")</f>
        <v>romantic</v>
      </c>
      <c r="O159" s="49" t="str">
        <f>IFERROR(__xludf.DUMMYFUNCTION("""COMPUTED_VALUE"""),"viewers")</f>
        <v>viewers</v>
      </c>
      <c r="P159" s="49" t="str">
        <f t="shared" si="2"/>
        <v>part,</v>
      </c>
      <c r="Q159" s="49"/>
      <c r="R159" s="50" t="s">
        <v>825</v>
      </c>
      <c r="S159" s="55" t="s">
        <v>861</v>
      </c>
      <c r="T159" s="49" t="str">
        <f>IFERROR(__xludf.DUMMYFUNCTION("""COMPUTED_VALUE"""),"bit")</f>
        <v>bit</v>
      </c>
      <c r="U159" s="49"/>
      <c r="V159" s="49" t="str">
        <f>IFERROR(__xludf.DUMMYFUNCTION("""COMPUTED_VALUE"""),"typical")</f>
        <v>typical</v>
      </c>
      <c r="W159" s="49" t="str">
        <f>IFERROR(__xludf.DUMMYFUNCTION("""COMPUTED_VALUE"""),"forces")</f>
        <v>forces</v>
      </c>
      <c r="X159" s="49" t="str">
        <f t="shared" si="3"/>
        <v>business,</v>
      </c>
      <c r="Y159" s="49"/>
      <c r="Z159" s="1" t="s">
        <v>639</v>
      </c>
      <c r="AA159" s="1" t="s">
        <v>159</v>
      </c>
      <c r="AB159" s="49" t="str">
        <f>IFERROR(__xludf.DUMMYFUNCTION("""COMPUTED_VALUE"""),"machine")</f>
        <v>machine</v>
      </c>
      <c r="AC159" s="49"/>
      <c r="AD159" s="49" t="str">
        <f>IFERROR(__xludf.DUMMYFUNCTION("""COMPUTED_VALUE"""),"romantic")</f>
        <v>romantic</v>
      </c>
      <c r="AE159" s="49" t="str">
        <f>IFERROR(__xludf.DUMMYFUNCTION("""COMPUTED_VALUE"""),"viewers")</f>
        <v>viewers</v>
      </c>
      <c r="AF159" s="49" t="str">
        <f t="shared" si="4"/>
        <v>came,</v>
      </c>
      <c r="AG159" s="49"/>
      <c r="AH159" s="1" t="s">
        <v>3529</v>
      </c>
      <c r="AI159" s="1" t="s">
        <v>3020</v>
      </c>
      <c r="AJ159" s="6" t="str">
        <f>IFERROR(__xludf.DUMMYFUNCTION("""COMPUTED_VALUE"""),"tale")</f>
        <v>tale</v>
      </c>
      <c r="AK159" s="49"/>
      <c r="AL159" s="49"/>
      <c r="AM159" s="49" t="str">
        <f>IFERROR(__xludf.DUMMYFUNCTION("""COMPUTED_VALUE"""),"und")</f>
        <v>und</v>
      </c>
      <c r="AN159" s="52" t="str">
        <f t="shared" si="5"/>
        <v>movies,</v>
      </c>
    </row>
    <row r="160">
      <c r="A160" s="51" t="s">
        <v>1178</v>
      </c>
      <c r="B160" s="50" t="s">
        <v>872</v>
      </c>
      <c r="C160" s="50" t="s">
        <v>748</v>
      </c>
      <c r="D160" s="49" t="str">
        <f>IFERROR(__xludf.DUMMYFUNCTION("""COMPUTED_VALUE"""),"video")</f>
        <v>video</v>
      </c>
      <c r="E160" s="49"/>
      <c r="F160" s="49" t="str">
        <f>IFERROR(__xludf.DUMMYFUNCTION("""COMPUTED_VALUE"""),"dante")</f>
        <v>dante</v>
      </c>
      <c r="G160" s="49" t="str">
        <f>IFERROR(__xludf.DUMMYFUNCTION("""COMPUTED_VALUE"""),"yesterday")</f>
        <v>yesterday</v>
      </c>
      <c r="H160" s="54" t="str">
        <f t="shared" si="1"/>
        <v>theatrical,</v>
      </c>
      <c r="I160" s="50"/>
      <c r="J160" s="50" t="s">
        <v>540</v>
      </c>
      <c r="K160" s="50" t="s">
        <v>542</v>
      </c>
      <c r="L160" s="49" t="str">
        <f>IFERROR(__xludf.DUMMYFUNCTION("""COMPUTED_VALUE"""),"space")</f>
        <v>space</v>
      </c>
      <c r="M160" s="49"/>
      <c r="N160" s="49" t="str">
        <f>IFERROR(__xludf.DUMMYFUNCTION("""COMPUTED_VALUE"""),"ago")</f>
        <v>ago</v>
      </c>
      <c r="O160" s="49" t="str">
        <f>IFERROR(__xludf.DUMMYFUNCTION("""COMPUTED_VALUE"""),"handsome")</f>
        <v>handsome</v>
      </c>
      <c r="P160" s="49" t="str">
        <f t="shared" si="2"/>
        <v>way,</v>
      </c>
      <c r="Q160" s="49"/>
      <c r="R160" s="50" t="s">
        <v>2252</v>
      </c>
      <c r="S160" s="55" t="s">
        <v>370</v>
      </c>
      <c r="T160" s="49" t="str">
        <f>IFERROR(__xludf.DUMMYFUNCTION("""COMPUTED_VALUE"""),"through")</f>
        <v>through</v>
      </c>
      <c r="U160" s="49"/>
      <c r="V160" s="49" t="str">
        <f>IFERROR(__xludf.DUMMYFUNCTION("""COMPUTED_VALUE"""),"christian")</f>
        <v>christian</v>
      </c>
      <c r="W160" s="49" t="str">
        <f>IFERROR(__xludf.DUMMYFUNCTION("""COMPUTED_VALUE"""),"scattered")</f>
        <v>scattered</v>
      </c>
      <c r="X160" s="49" t="str">
        <f t="shared" si="3"/>
        <v>those,</v>
      </c>
      <c r="Y160" s="49"/>
      <c r="Z160" s="1" t="s">
        <v>373</v>
      </c>
      <c r="AA160" s="1" t="s">
        <v>1179</v>
      </c>
      <c r="AB160" s="49" t="str">
        <f>IFERROR(__xludf.DUMMYFUNCTION("""COMPUTED_VALUE"""),"violence")</f>
        <v>violence</v>
      </c>
      <c r="AC160" s="49"/>
      <c r="AD160" s="49" t="str">
        <f>IFERROR(__xludf.DUMMYFUNCTION("""COMPUTED_VALUE"""),"ago")</f>
        <v>ago</v>
      </c>
      <c r="AE160" s="49" t="str">
        <f>IFERROR(__xludf.DUMMYFUNCTION("""COMPUTED_VALUE"""),"handsome")</f>
        <v>handsome</v>
      </c>
      <c r="AF160" s="49" t="str">
        <f t="shared" si="4"/>
        <v>first,</v>
      </c>
      <c r="AG160" s="49"/>
      <c r="AH160" s="1" t="s">
        <v>474</v>
      </c>
      <c r="AI160" s="1" t="s">
        <v>4281</v>
      </c>
      <c r="AJ160" s="6" t="str">
        <f>IFERROR(__xludf.DUMMYFUNCTION("""COMPUTED_VALUE"""),"cuts")</f>
        <v>cuts</v>
      </c>
      <c r="AK160" s="49"/>
      <c r="AL160" s="49"/>
      <c r="AM160" s="49" t="str">
        <f>IFERROR(__xludf.DUMMYFUNCTION("""COMPUTED_VALUE"""),"integrated")</f>
        <v>integrated</v>
      </c>
      <c r="AN160" s="52" t="str">
        <f t="shared" si="5"/>
        <v>tale,</v>
      </c>
    </row>
    <row r="161">
      <c r="A161" s="51" t="s">
        <v>1185</v>
      </c>
      <c r="B161" s="50" t="s">
        <v>1145</v>
      </c>
      <c r="C161" s="50" t="s">
        <v>767</v>
      </c>
      <c r="D161" s="49" t="str">
        <f>IFERROR(__xludf.DUMMYFUNCTION("""COMPUTED_VALUE"""),"shot")</f>
        <v>shot</v>
      </c>
      <c r="E161" s="49"/>
      <c r="F161" s="49" t="str">
        <f>IFERROR(__xludf.DUMMYFUNCTION("""COMPUTED_VALUE"""),"han")</f>
        <v>han</v>
      </c>
      <c r="G161" s="49" t="str">
        <f>IFERROR(__xludf.DUMMYFUNCTION("""COMPUTED_VALUE"""),"brush")</f>
        <v>brush</v>
      </c>
      <c r="H161" s="54" t="str">
        <f t="shared" si="1"/>
        <v>potentially,</v>
      </c>
      <c r="I161" s="50"/>
      <c r="J161" s="50" t="s">
        <v>1549</v>
      </c>
      <c r="K161" s="50" t="s">
        <v>165</v>
      </c>
      <c r="L161" s="49" t="str">
        <f>IFERROR(__xludf.DUMMYFUNCTION("""COMPUTED_VALUE"""),"thousand")</f>
        <v>thousand</v>
      </c>
      <c r="M161" s="49"/>
      <c r="N161" s="49" t="str">
        <f>IFERROR(__xludf.DUMMYFUNCTION("""COMPUTED_VALUE"""),"also")</f>
        <v>also</v>
      </c>
      <c r="O161" s="49" t="str">
        <f>IFERROR(__xludf.DUMMYFUNCTION("""COMPUTED_VALUE"""),"passages")</f>
        <v>passages</v>
      </c>
      <c r="P161" s="49" t="str">
        <f t="shared" si="2"/>
        <v>due,</v>
      </c>
      <c r="Q161" s="49"/>
      <c r="R161" s="50" t="s">
        <v>371</v>
      </c>
      <c r="S161" s="55" t="s">
        <v>229</v>
      </c>
      <c r="T161" s="49" t="str">
        <f>IFERROR(__xludf.DUMMYFUNCTION("""COMPUTED_VALUE"""),"work")</f>
        <v>work</v>
      </c>
      <c r="U161" s="49"/>
      <c r="V161" s="49" t="str">
        <f>IFERROR(__xludf.DUMMYFUNCTION("""COMPUTED_VALUE"""),"drug")</f>
        <v>drug</v>
      </c>
      <c r="W161" s="49" t="str">
        <f>IFERROR(__xludf.DUMMYFUNCTION("""COMPUTED_VALUE"""),"standards")</f>
        <v>standards</v>
      </c>
      <c r="X161" s="49" t="str">
        <f t="shared" si="3"/>
        <v>just,</v>
      </c>
      <c r="Y161" s="49"/>
      <c r="Z161" s="1" t="s">
        <v>299</v>
      </c>
      <c r="AA161" s="1" t="s">
        <v>1186</v>
      </c>
      <c r="AB161" s="49" t="str">
        <f>IFERROR(__xludf.DUMMYFUNCTION("""COMPUTED_VALUE"""),"darkness")</f>
        <v>darkness</v>
      </c>
      <c r="AC161" s="49"/>
      <c r="AD161" s="49" t="str">
        <f>IFERROR(__xludf.DUMMYFUNCTION("""COMPUTED_VALUE"""),"also")</f>
        <v>also</v>
      </c>
      <c r="AE161" s="49" t="str">
        <f>IFERROR(__xludf.DUMMYFUNCTION("""COMPUTED_VALUE"""),"passages")</f>
        <v>passages</v>
      </c>
      <c r="AF161" s="49" t="str">
        <f t="shared" si="4"/>
        <v>best,</v>
      </c>
      <c r="AG161" s="49"/>
      <c r="AH161" s="1" t="s">
        <v>3397</v>
      </c>
      <c r="AI161" s="1" t="s">
        <v>122</v>
      </c>
      <c r="AJ161" s="6" t="str">
        <f>IFERROR(__xludf.DUMMYFUNCTION("""COMPUTED_VALUE"""),"from")</f>
        <v>from</v>
      </c>
      <c r="AK161" s="49"/>
      <c r="AL161" s="49"/>
      <c r="AM161" s="49" t="str">
        <f>IFERROR(__xludf.DUMMYFUNCTION("""COMPUTED_VALUE"""),"bronze")</f>
        <v>bronze</v>
      </c>
      <c r="AN161" s="52" t="str">
        <f t="shared" si="5"/>
        <v>cuts,</v>
      </c>
    </row>
    <row r="162">
      <c r="A162" s="51" t="s">
        <v>304</v>
      </c>
      <c r="B162" s="50" t="s">
        <v>3755</v>
      </c>
      <c r="C162" s="50" t="s">
        <v>6296</v>
      </c>
      <c r="D162" s="49" t="str">
        <f>IFERROR(__xludf.DUMMYFUNCTION("""COMPUTED_VALUE"""),"digital")</f>
        <v>digital</v>
      </c>
      <c r="E162" s="49"/>
      <c r="F162" s="49" t="str">
        <f>IFERROR(__xludf.DUMMYFUNCTION("""COMPUTED_VALUE"""),"india")</f>
        <v>india</v>
      </c>
      <c r="G162" s="49" t="str">
        <f>IFERROR(__xludf.DUMMYFUNCTION("""COMPUTED_VALUE"""),"awareness")</f>
        <v>awareness</v>
      </c>
      <c r="H162" s="54" t="str">
        <f t="shared" si="1"/>
        <v>seemingly,</v>
      </c>
      <c r="I162" s="50"/>
      <c r="J162" s="50" t="s">
        <v>1385</v>
      </c>
      <c r="K162" s="50" t="s">
        <v>545</v>
      </c>
      <c r="L162" s="49" t="str">
        <f>IFERROR(__xludf.DUMMYFUNCTION("""COMPUTED_VALUE"""),"odyssey")</f>
        <v>odyssey</v>
      </c>
      <c r="M162" s="49"/>
      <c r="N162" s="49" t="str">
        <f>IFERROR(__xludf.DUMMYFUNCTION("""COMPUTED_VALUE"""),"down")</f>
        <v>down</v>
      </c>
      <c r="O162" s="49" t="str">
        <f>IFERROR(__xludf.DUMMYFUNCTION("""COMPUTED_VALUE"""),"fore")</f>
        <v>fore</v>
      </c>
      <c r="P162" s="49" t="str">
        <f t="shared" si="2"/>
        <v>yet,</v>
      </c>
      <c r="Q162" s="49"/>
      <c r="R162" s="50" t="s">
        <v>6587</v>
      </c>
      <c r="S162" s="55" t="s">
        <v>377</v>
      </c>
      <c r="T162" s="49" t="str">
        <f>IFERROR(__xludf.DUMMYFUNCTION("""COMPUTED_VALUE"""),"performance")</f>
        <v>performance</v>
      </c>
      <c r="U162" s="49"/>
      <c r="V162" s="49" t="str">
        <f>IFERROR(__xludf.DUMMYFUNCTION("""COMPUTED_VALUE"""),"reviewers")</f>
        <v>reviewers</v>
      </c>
      <c r="W162" s="49" t="str">
        <f>IFERROR(__xludf.DUMMYFUNCTION("""COMPUTED_VALUE"""),"thing")</f>
        <v>thing</v>
      </c>
      <c r="X162" s="49" t="str">
        <f t="shared" si="3"/>
        <v>position,</v>
      </c>
      <c r="Y162" s="49"/>
      <c r="Z162" s="1" t="s">
        <v>4491</v>
      </c>
      <c r="AA162" s="1" t="s">
        <v>1192</v>
      </c>
      <c r="AB162" s="49" t="str">
        <f>IFERROR(__xludf.DUMMYFUNCTION("""COMPUTED_VALUE"""),"appears")</f>
        <v>appears</v>
      </c>
      <c r="AC162" s="49"/>
      <c r="AD162" s="49" t="str">
        <f>IFERROR(__xludf.DUMMYFUNCTION("""COMPUTED_VALUE"""),"down")</f>
        <v>down</v>
      </c>
      <c r="AE162" s="49" t="str">
        <f>IFERROR(__xludf.DUMMYFUNCTION("""COMPUTED_VALUE"""),"fore")</f>
        <v>fore</v>
      </c>
      <c r="AF162" s="49" t="str">
        <f t="shared" si="4"/>
        <v>production,</v>
      </c>
      <c r="AG162" s="49"/>
      <c r="AH162" s="1" t="s">
        <v>58</v>
      </c>
      <c r="AI162" s="1" t="s">
        <v>310</v>
      </c>
      <c r="AJ162" s="6" t="str">
        <f>IFERROR(__xludf.DUMMYFUNCTION("""COMPUTED_VALUE"""),"had")</f>
        <v>had</v>
      </c>
      <c r="AK162" s="49"/>
      <c r="AL162" s="49"/>
      <c r="AM162" s="49" t="str">
        <f>IFERROR(__xludf.DUMMYFUNCTION("""COMPUTED_VALUE"""),"sale")</f>
        <v>sale</v>
      </c>
      <c r="AN162" s="52" t="str">
        <f t="shared" si="5"/>
        <v>from,</v>
      </c>
    </row>
    <row r="163">
      <c r="A163" s="51" t="s">
        <v>1196</v>
      </c>
      <c r="B163" s="50" t="s">
        <v>46</v>
      </c>
      <c r="C163" s="50" t="s">
        <v>425</v>
      </c>
      <c r="D163" s="49" t="str">
        <f>IFERROR(__xludf.DUMMYFUNCTION("""COMPUTED_VALUE"""),"ugly")</f>
        <v>ugly</v>
      </c>
      <c r="E163" s="49"/>
      <c r="F163" s="49" t="str">
        <f>IFERROR(__xludf.DUMMYFUNCTION("""COMPUTED_VALUE"""),"emperor")</f>
        <v>emperor</v>
      </c>
      <c r="G163" s="49" t="str">
        <f>IFERROR(__xludf.DUMMYFUNCTION("""COMPUTED_VALUE"""),"seated")</f>
        <v>seated</v>
      </c>
      <c r="H163" s="54" t="str">
        <f t="shared" si="1"/>
        <v>new,</v>
      </c>
      <c r="I163" s="50"/>
      <c r="J163" s="50" t="s">
        <v>657</v>
      </c>
      <c r="K163" s="50" t="b">
        <v>1</v>
      </c>
      <c r="L163" s="49" t="str">
        <f>IFERROR(__xludf.DUMMYFUNCTION("""COMPUTED_VALUE"""),"hell")</f>
        <v>hell</v>
      </c>
      <c r="M163" s="49"/>
      <c r="N163" s="49" t="str">
        <f>IFERROR(__xludf.DUMMYFUNCTION("""COMPUTED_VALUE"""),"have")</f>
        <v>have</v>
      </c>
      <c r="O163" s="49" t="str">
        <f>IFERROR(__xludf.DUMMYFUNCTION("""COMPUTED_VALUE"""),"dates")</f>
        <v>dates</v>
      </c>
      <c r="P163" s="49" t="str">
        <f t="shared" si="2"/>
        <v>off,</v>
      </c>
      <c r="Q163" s="49"/>
      <c r="R163" s="50">
        <v>8.0</v>
      </c>
      <c r="S163" s="55" t="s">
        <v>865</v>
      </c>
      <c r="T163" s="49" t="str">
        <f>IFERROR(__xludf.DUMMYFUNCTION("""COMPUTED_VALUE"""),"works")</f>
        <v>works</v>
      </c>
      <c r="U163" s="49"/>
      <c r="V163" s="49" t="str">
        <f>IFERROR(__xludf.DUMMYFUNCTION("""COMPUTED_VALUE"""),"lacks")</f>
        <v>lacks</v>
      </c>
      <c r="W163" s="49" t="str">
        <f>IFERROR(__xludf.DUMMYFUNCTION("""COMPUTED_VALUE"""),"flashes")</f>
        <v>flashes</v>
      </c>
      <c r="X163" s="49" t="str">
        <f t="shared" si="3"/>
        <v>8,</v>
      </c>
      <c r="Y163" s="49"/>
      <c r="Z163" s="1" t="s">
        <v>1133</v>
      </c>
      <c r="AA163" s="1" t="s">
        <v>1197</v>
      </c>
      <c r="AB163" s="49" t="str">
        <f>IFERROR(__xludf.DUMMYFUNCTION("""COMPUTED_VALUE"""),"ones")</f>
        <v>ones</v>
      </c>
      <c r="AC163" s="49"/>
      <c r="AD163" s="49" t="str">
        <f>IFERROR(__xludf.DUMMYFUNCTION("""COMPUTED_VALUE"""),"have")</f>
        <v>have</v>
      </c>
      <c r="AE163" s="49" t="str">
        <f>IFERROR(__xludf.DUMMYFUNCTION("""COMPUTED_VALUE"""),"dates")</f>
        <v>dates</v>
      </c>
      <c r="AF163" s="49" t="str">
        <f t="shared" si="4"/>
        <v>if,</v>
      </c>
      <c r="AG163" s="49"/>
      <c r="AH163" s="1" t="s">
        <v>514</v>
      </c>
      <c r="AI163" s="1" t="s">
        <v>516</v>
      </c>
      <c r="AJ163" s="6" t="str">
        <f>IFERROR(__xludf.DUMMYFUNCTION("""COMPUTED_VALUE"""),"be")</f>
        <v>be</v>
      </c>
      <c r="AK163" s="49"/>
      <c r="AL163" s="49"/>
      <c r="AM163" s="49" t="str">
        <f>IFERROR(__xludf.DUMMYFUNCTION("""COMPUTED_VALUE"""),"prepare")</f>
        <v>prepare</v>
      </c>
      <c r="AN163" s="52" t="str">
        <f t="shared" si="5"/>
        <v>had,</v>
      </c>
    </row>
    <row r="164">
      <c r="A164" s="51" t="s">
        <v>1202</v>
      </c>
      <c r="B164" s="50" t="s">
        <v>471</v>
      </c>
      <c r="C164" s="50" t="s">
        <v>782</v>
      </c>
      <c r="D164" s="49" t="str">
        <f>IFERROR(__xludf.DUMMYFUNCTION("""COMPUTED_VALUE"""),"core")</f>
        <v>core</v>
      </c>
      <c r="E164" s="49"/>
      <c r="F164" s="49" t="str">
        <f>IFERROR(__xludf.DUMMYFUNCTION("""COMPUTED_VALUE"""),"drum")</f>
        <v>drum</v>
      </c>
      <c r="G164" s="49" t="str">
        <f>IFERROR(__xludf.DUMMYFUNCTION("""COMPUTED_VALUE"""),"spider")</f>
        <v>spider</v>
      </c>
      <c r="H164" s="54" t="str">
        <f t="shared" si="1"/>
        <v>many,</v>
      </c>
      <c r="I164" s="50"/>
      <c r="J164" s="50">
        <v>4.0</v>
      </c>
      <c r="K164" s="50" t="s">
        <v>558</v>
      </c>
      <c r="L164" s="49" t="str">
        <f>IFERROR(__xludf.DUMMYFUNCTION("""COMPUTED_VALUE"""),"hope")</f>
        <v>hope</v>
      </c>
      <c r="M164" s="49"/>
      <c r="N164" s="49" t="str">
        <f>IFERROR(__xludf.DUMMYFUNCTION("""COMPUTED_VALUE"""),"at")</f>
        <v>at</v>
      </c>
      <c r="O164" s="49" t="str">
        <f>IFERROR(__xludf.DUMMYFUNCTION("""COMPUTED_VALUE"""),"demands")</f>
        <v>demands</v>
      </c>
      <c r="P164" s="49" t="str">
        <f t="shared" si="2"/>
        <v>4,</v>
      </c>
      <c r="Q164" s="49"/>
      <c r="R164" s="50" t="s">
        <v>5715</v>
      </c>
      <c r="S164" s="55" t="s">
        <v>150</v>
      </c>
      <c r="T164" s="49" t="str">
        <f>IFERROR(__xludf.DUMMYFUNCTION("""COMPUTED_VALUE"""),"occasionally")</f>
        <v>occasionally</v>
      </c>
      <c r="U164" s="49"/>
      <c r="V164" s="49" t="str">
        <f>IFERROR(__xludf.DUMMYFUNCTION("""COMPUTED_VALUE"""),"surprised")</f>
        <v>surprised</v>
      </c>
      <c r="W164" s="49" t="str">
        <f>IFERROR(__xludf.DUMMYFUNCTION("""COMPUTED_VALUE"""),"reconciliation")</f>
        <v>reconciliation</v>
      </c>
      <c r="X164" s="49" t="str">
        <f t="shared" si="3"/>
        <v>desires,</v>
      </c>
      <c r="Y164" s="49"/>
      <c r="Z164" s="1" t="s">
        <v>3670</v>
      </c>
      <c r="AA164" s="1" t="s">
        <v>1203</v>
      </c>
      <c r="AB164" s="49" t="str">
        <f>IFERROR(__xludf.DUMMYFUNCTION("""COMPUTED_VALUE"""),"forces")</f>
        <v>forces</v>
      </c>
      <c r="AC164" s="49"/>
      <c r="AD164" s="49" t="str">
        <f>IFERROR(__xludf.DUMMYFUNCTION("""COMPUTED_VALUE"""),"at")</f>
        <v>at</v>
      </c>
      <c r="AE164" s="49" t="str">
        <f>IFERROR(__xludf.DUMMYFUNCTION("""COMPUTED_VALUE"""),"demands")</f>
        <v>demands</v>
      </c>
      <c r="AF164" s="49" t="str">
        <f t="shared" si="4"/>
        <v>cartoon,</v>
      </c>
      <c r="AG164" s="49"/>
      <c r="AH164" s="1" t="s">
        <v>6299</v>
      </c>
      <c r="AI164" s="1" t="s">
        <v>598</v>
      </c>
      <c r="AJ164" s="6" t="str">
        <f>IFERROR(__xludf.DUMMYFUNCTION("""COMPUTED_VALUE"""),"first")</f>
        <v>first</v>
      </c>
      <c r="AK164" s="49"/>
      <c r="AL164" s="49"/>
      <c r="AM164" s="49" t="str">
        <f>IFERROR(__xludf.DUMMYFUNCTION("""COMPUTED_VALUE"""),"paintings")</f>
        <v>paintings</v>
      </c>
      <c r="AN164" s="52" t="str">
        <f t="shared" si="5"/>
        <v>be,</v>
      </c>
    </row>
    <row r="165">
      <c r="A165" s="51" t="s">
        <v>1208</v>
      </c>
      <c r="B165" s="50" t="s">
        <v>182</v>
      </c>
      <c r="C165" s="50" t="s">
        <v>775</v>
      </c>
      <c r="D165" s="49" t="str">
        <f>IFERROR(__xludf.DUMMYFUNCTION("""COMPUTED_VALUE"""),"ending")</f>
        <v>ending</v>
      </c>
      <c r="E165" s="49"/>
      <c r="F165" s="49" t="str">
        <f>IFERROR(__xludf.DUMMYFUNCTION("""COMPUTED_VALUE"""),"tunnel")</f>
        <v>tunnel</v>
      </c>
      <c r="G165" s="49" t="str">
        <f>IFERROR(__xludf.DUMMYFUNCTION("""COMPUTED_VALUE"""),"establishing")</f>
        <v>establishing</v>
      </c>
      <c r="H165" s="54" t="str">
        <f t="shared" si="1"/>
        <v>called,</v>
      </c>
      <c r="I165" s="50"/>
      <c r="J165" s="50" t="s">
        <v>3665</v>
      </c>
      <c r="K165" s="50" t="s">
        <v>373</v>
      </c>
      <c r="L165" s="49" t="str">
        <f>IFERROR(__xludf.DUMMYFUNCTION("""COMPUTED_VALUE"""),"considering")</f>
        <v>considering</v>
      </c>
      <c r="M165" s="49"/>
      <c r="N165" s="49" t="str">
        <f>IFERROR(__xludf.DUMMYFUNCTION("""COMPUTED_VALUE"""),"now")</f>
        <v>now</v>
      </c>
      <c r="O165" s="49" t="str">
        <f>IFERROR(__xludf.DUMMYFUNCTION("""COMPUTED_VALUE"""),"delivered")</f>
        <v>delivered</v>
      </c>
      <c r="P165" s="49" t="str">
        <f t="shared" si="2"/>
        <v>himself,</v>
      </c>
      <c r="Q165" s="49"/>
      <c r="R165" s="50" t="s">
        <v>172</v>
      </c>
      <c r="S165" s="55" t="s">
        <v>95</v>
      </c>
      <c r="T165" s="49" t="str">
        <f>IFERROR(__xludf.DUMMYFUNCTION("""COMPUTED_VALUE"""),"michael")</f>
        <v>michael</v>
      </c>
      <c r="U165" s="49"/>
      <c r="V165" s="49">
        <f>IFERROR(__xludf.DUMMYFUNCTION("""COMPUTED_VALUE"""),19.0)</f>
        <v>19</v>
      </c>
      <c r="W165" s="49" t="str">
        <f>IFERROR(__xludf.DUMMYFUNCTION("""COMPUTED_VALUE"""),"sibling")</f>
        <v>sibling</v>
      </c>
      <c r="X165" s="49" t="str">
        <f t="shared" si="3"/>
        <v>long,</v>
      </c>
      <c r="Y165" s="49"/>
      <c r="Z165" s="1" t="s">
        <v>108</v>
      </c>
      <c r="AA165" s="1">
        <v>3000.0</v>
      </c>
      <c r="AB165" s="49" t="str">
        <f>IFERROR(__xludf.DUMMYFUNCTION("""COMPUTED_VALUE"""),"deaths")</f>
        <v>deaths</v>
      </c>
      <c r="AC165" s="49"/>
      <c r="AD165" s="49" t="str">
        <f>IFERROR(__xludf.DUMMYFUNCTION("""COMPUTED_VALUE"""),"now")</f>
        <v>now</v>
      </c>
      <c r="AE165" s="49" t="str">
        <f>IFERROR(__xludf.DUMMYFUNCTION("""COMPUTED_VALUE"""),"delivered")</f>
        <v>delivered</v>
      </c>
      <c r="AF165" s="49" t="str">
        <f t="shared" si="4"/>
        <v>other,</v>
      </c>
      <c r="AG165" s="49"/>
      <c r="AH165" s="1" t="s">
        <v>373</v>
      </c>
      <c r="AI165" s="1" t="s">
        <v>321</v>
      </c>
      <c r="AJ165" s="6" t="str">
        <f>IFERROR(__xludf.DUMMYFUNCTION("""COMPUTED_VALUE"""),"their")</f>
        <v>their</v>
      </c>
      <c r="AK165" s="49"/>
      <c r="AL165" s="49"/>
      <c r="AM165" s="49" t="str">
        <f>IFERROR(__xludf.DUMMYFUNCTION("""COMPUTED_VALUE"""),"competing")</f>
        <v>competing</v>
      </c>
      <c r="AN165" s="52" t="str">
        <f t="shared" si="5"/>
        <v>first,</v>
      </c>
    </row>
    <row r="166">
      <c r="A166" s="51" t="s">
        <v>1212</v>
      </c>
      <c r="B166" s="50" t="s">
        <v>1586</v>
      </c>
      <c r="C166" s="50" t="s">
        <v>797</v>
      </c>
      <c r="D166" s="49" t="str">
        <f>IFERROR(__xludf.DUMMYFUNCTION("""COMPUTED_VALUE"""),"exploration")</f>
        <v>exploration</v>
      </c>
      <c r="E166" s="49"/>
      <c r="F166" s="49" t="str">
        <f>IFERROR(__xludf.DUMMYFUNCTION("""COMPUTED_VALUE"""),"evan")</f>
        <v>evan</v>
      </c>
      <c r="G166" s="49" t="str">
        <f>IFERROR(__xludf.DUMMYFUNCTION("""COMPUTED_VALUE"""),"vietnamese")</f>
        <v>vietnamese</v>
      </c>
      <c r="H166" s="54" t="str">
        <f t="shared" si="1"/>
        <v>john,</v>
      </c>
      <c r="I166" s="50"/>
      <c r="J166" s="50">
        <v>18.0</v>
      </c>
      <c r="K166" s="50" t="s">
        <v>324</v>
      </c>
      <c r="L166" s="49" t="str">
        <f>IFERROR(__xludf.DUMMYFUNCTION("""COMPUTED_VALUE"""),"successful")</f>
        <v>successful</v>
      </c>
      <c r="M166" s="49"/>
      <c r="N166" s="49" t="str">
        <f>IFERROR(__xludf.DUMMYFUNCTION("""COMPUTED_VALUE"""),"kong")</f>
        <v>kong</v>
      </c>
      <c r="O166" s="49" t="str">
        <f>IFERROR(__xludf.DUMMYFUNCTION("""COMPUTED_VALUE"""),"scenes")</f>
        <v>scenes</v>
      </c>
      <c r="P166" s="49" t="str">
        <f t="shared" si="2"/>
        <v>18,</v>
      </c>
      <c r="Q166" s="49"/>
      <c r="R166" s="50" t="s">
        <v>170</v>
      </c>
      <c r="S166" s="55" t="s">
        <v>694</v>
      </c>
      <c r="T166" s="49" t="str">
        <f>IFERROR(__xludf.DUMMYFUNCTION("""COMPUTED_VALUE"""),"halfway")</f>
        <v>halfway</v>
      </c>
      <c r="U166" s="49"/>
      <c r="V166" s="49" t="str">
        <f>IFERROR(__xludf.DUMMYFUNCTION("""COMPUTED_VALUE"""),"occur")</f>
        <v>occur</v>
      </c>
      <c r="W166" s="49" t="str">
        <f>IFERROR(__xludf.DUMMYFUNCTION("""COMPUTED_VALUE"""),"potentially")</f>
        <v>potentially</v>
      </c>
      <c r="X166" s="49" t="str">
        <f t="shared" si="3"/>
        <v>me,</v>
      </c>
      <c r="Y166" s="49"/>
      <c r="Z166" s="1" t="s">
        <v>6275</v>
      </c>
      <c r="AA166" s="1" t="s">
        <v>1213</v>
      </c>
      <c r="AB166" s="49" t="str">
        <f>IFERROR(__xludf.DUMMYFUNCTION("""COMPUTED_VALUE"""),"tired")</f>
        <v>tired</v>
      </c>
      <c r="AC166" s="49"/>
      <c r="AD166" s="49" t="str">
        <f>IFERROR(__xludf.DUMMYFUNCTION("""COMPUTED_VALUE"""),"kong")</f>
        <v>kong</v>
      </c>
      <c r="AE166" s="49" t="str">
        <f>IFERROR(__xludf.DUMMYFUNCTION("""COMPUTED_VALUE"""),"scenes")</f>
        <v>scenes</v>
      </c>
      <c r="AF166" s="49" t="str">
        <f t="shared" si="4"/>
        <v>its,</v>
      </c>
      <c r="AG166" s="49"/>
      <c r="AH166" s="1" t="s">
        <v>1477</v>
      </c>
      <c r="AI166" s="1" t="s">
        <v>305</v>
      </c>
      <c r="AJ166" s="6" t="str">
        <f>IFERROR(__xludf.DUMMYFUNCTION("""COMPUTED_VALUE"""),"its")</f>
        <v>its</v>
      </c>
      <c r="AK166" s="49"/>
      <c r="AL166" s="49"/>
      <c r="AM166" s="49" t="str">
        <f>IFERROR(__xludf.DUMMYFUNCTION("""COMPUTED_VALUE"""),"singh")</f>
        <v>singh</v>
      </c>
      <c r="AN166" s="52" t="str">
        <f t="shared" si="5"/>
        <v>their,</v>
      </c>
    </row>
    <row r="167">
      <c r="A167" s="51" t="s">
        <v>597</v>
      </c>
      <c r="B167" s="50" t="s">
        <v>184</v>
      </c>
      <c r="C167" s="50" t="s">
        <v>967</v>
      </c>
      <c r="D167" s="49" t="str">
        <f>IFERROR(__xludf.DUMMYFUNCTION("""COMPUTED_VALUE"""),"though")</f>
        <v>though</v>
      </c>
      <c r="E167" s="49"/>
      <c r="F167" s="49" t="str">
        <f>IFERROR(__xludf.DUMMYFUNCTION("""COMPUTED_VALUE"""),"progress")</f>
        <v>progress</v>
      </c>
      <c r="G167" s="49" t="str">
        <f>IFERROR(__xludf.DUMMYFUNCTION("""COMPUTED_VALUE"""),"gallery")</f>
        <v>gallery</v>
      </c>
      <c r="H167" s="54" t="str">
        <f t="shared" si="1"/>
        <v>face,</v>
      </c>
      <c r="I167" s="50"/>
      <c r="J167" s="50" t="s">
        <v>1238</v>
      </c>
      <c r="K167" s="50" t="s">
        <v>996</v>
      </c>
      <c r="L167" s="49" t="str">
        <f>IFERROR(__xludf.DUMMYFUNCTION("""COMPUTED_VALUE"""),"left")</f>
        <v>left</v>
      </c>
      <c r="M167" s="49"/>
      <c r="N167" s="49" t="str">
        <f>IFERROR(__xludf.DUMMYFUNCTION("""COMPUTED_VALUE"""),"prior")</f>
        <v>prior</v>
      </c>
      <c r="O167" s="49" t="str">
        <f>IFERROR(__xludf.DUMMYFUNCTION("""COMPUTED_VALUE"""),"momentum")</f>
        <v>momentum</v>
      </c>
      <c r="P167" s="49" t="str">
        <f t="shared" si="2"/>
        <v>title,</v>
      </c>
      <c r="Q167" s="49"/>
      <c r="R167" s="50" t="s">
        <v>6464</v>
      </c>
      <c r="S167" s="55" t="s">
        <v>593</v>
      </c>
      <c r="T167" s="49" t="str">
        <f>IFERROR(__xludf.DUMMYFUNCTION("""COMPUTED_VALUE"""),"hidden")</f>
        <v>hidden</v>
      </c>
      <c r="U167" s="49"/>
      <c r="V167" s="49" t="str">
        <f>IFERROR(__xludf.DUMMYFUNCTION("""COMPUTED_VALUE"""),"damage")</f>
        <v>damage</v>
      </c>
      <c r="W167" s="49" t="str">
        <f>IFERROR(__xludf.DUMMYFUNCTION("""COMPUTED_VALUE"""),"script")</f>
        <v>script</v>
      </c>
      <c r="X167" s="49" t="str">
        <f t="shared" si="3"/>
        <v>jim,</v>
      </c>
      <c r="Y167" s="49"/>
      <c r="Z167" s="1" t="s">
        <v>2339</v>
      </c>
      <c r="AA167" s="1" t="s">
        <v>1220</v>
      </c>
      <c r="AB167" s="49" t="str">
        <f>IFERROR(__xludf.DUMMYFUNCTION("""COMPUTED_VALUE"""),"keep")</f>
        <v>keep</v>
      </c>
      <c r="AC167" s="49"/>
      <c r="AD167" s="49" t="str">
        <f>IFERROR(__xludf.DUMMYFUNCTION("""COMPUTED_VALUE"""),"prior")</f>
        <v>prior</v>
      </c>
      <c r="AE167" s="49" t="str">
        <f>IFERROR(__xludf.DUMMYFUNCTION("""COMPUTED_VALUE"""),"momentum")</f>
        <v>momentum</v>
      </c>
      <c r="AF167" s="49" t="str">
        <f t="shared" si="4"/>
        <v>animation,</v>
      </c>
      <c r="AG167" s="49"/>
      <c r="AH167" s="1" t="s">
        <v>6275</v>
      </c>
      <c r="AI167" s="1" t="s">
        <v>3661</v>
      </c>
      <c r="AJ167" s="6" t="str">
        <f>IFERROR(__xludf.DUMMYFUNCTION("""COMPUTED_VALUE"""),"other")</f>
        <v>other</v>
      </c>
      <c r="AK167" s="49"/>
      <c r="AL167" s="49"/>
      <c r="AM167" s="49" t="str">
        <f>IFERROR(__xludf.DUMMYFUNCTION("""COMPUTED_VALUE"""),"appointed")</f>
        <v>appointed</v>
      </c>
      <c r="AN167" s="52" t="str">
        <f t="shared" si="5"/>
        <v>its,</v>
      </c>
    </row>
    <row r="168">
      <c r="A168" s="51" t="s">
        <v>1225</v>
      </c>
      <c r="B168" s="50" t="s">
        <v>88</v>
      </c>
      <c r="C168" s="50" t="s">
        <v>5464</v>
      </c>
      <c r="D168" s="49" t="str">
        <f>IFERROR(__xludf.DUMMYFUNCTION("""COMPUTED_VALUE"""),"hold")</f>
        <v>hold</v>
      </c>
      <c r="E168" s="49"/>
      <c r="F168" s="49" t="str">
        <f>IFERROR(__xludf.DUMMYFUNCTION("""COMPUTED_VALUE"""),"trains")</f>
        <v>trains</v>
      </c>
      <c r="G168" s="49" t="str">
        <f>IFERROR(__xludf.DUMMYFUNCTION("""COMPUTED_VALUE"""),"warfare")</f>
        <v>warfare</v>
      </c>
      <c r="H168" s="54" t="str">
        <f t="shared" si="1"/>
        <v>something,</v>
      </c>
      <c r="I168" s="50"/>
      <c r="J168" s="50" t="s">
        <v>7258</v>
      </c>
      <c r="K168" s="50" t="s">
        <v>1230</v>
      </c>
      <c r="L168" s="49" t="str">
        <f>IFERROR(__xludf.DUMMYFUNCTION("""COMPUTED_VALUE"""),"ultimately")</f>
        <v>ultimately</v>
      </c>
      <c r="M168" s="49"/>
      <c r="N168" s="49" t="str">
        <f>IFERROR(__xludf.DUMMYFUNCTION("""COMPUTED_VALUE"""),"style")</f>
        <v>style</v>
      </c>
      <c r="O168" s="49" t="str">
        <f>IFERROR(__xludf.DUMMYFUNCTION("""COMPUTED_VALUE"""),"gaining")</f>
        <v>gaining</v>
      </c>
      <c r="P168" s="49" t="str">
        <f t="shared" si="2"/>
        <v>carpenter,</v>
      </c>
      <c r="Q168" s="49"/>
      <c r="R168" s="50" t="s">
        <v>1414</v>
      </c>
      <c r="S168" s="55" t="s">
        <v>888</v>
      </c>
      <c r="T168" s="49" t="str">
        <f>IFERROR(__xludf.DUMMYFUNCTION("""COMPUTED_VALUE"""),"hannibal")</f>
        <v>hannibal</v>
      </c>
      <c r="U168" s="49"/>
      <c r="V168" s="49" t="str">
        <f>IFERROR(__xludf.DUMMYFUNCTION("""COMPUTED_VALUE"""),"prevention")</f>
        <v>prevention</v>
      </c>
      <c r="W168" s="49" t="str">
        <f>IFERROR(__xludf.DUMMYFUNCTION("""COMPUTED_VALUE"""),"expect")</f>
        <v>expect</v>
      </c>
      <c r="X168" s="49" t="str">
        <f t="shared" si="3"/>
        <v>/,</v>
      </c>
      <c r="Y168" s="49"/>
      <c r="Z168" s="1" t="s">
        <v>258</v>
      </c>
      <c r="AA168" s="1" t="s">
        <v>108</v>
      </c>
      <c r="AB168" s="49" t="str">
        <f>IFERROR(__xludf.DUMMYFUNCTION("""COMPUTED_VALUE"""),"brutally")</f>
        <v>brutally</v>
      </c>
      <c r="AC168" s="49"/>
      <c r="AD168" s="49" t="str">
        <f>IFERROR(__xludf.DUMMYFUNCTION("""COMPUTED_VALUE"""),"style")</f>
        <v>style</v>
      </c>
      <c r="AE168" s="49" t="str">
        <f>IFERROR(__xludf.DUMMYFUNCTION("""COMPUTED_VALUE"""),"gaining")</f>
        <v>gaining</v>
      </c>
      <c r="AF168" s="49" t="str">
        <f t="shared" si="4"/>
        <v>year,</v>
      </c>
      <c r="AG168" s="49"/>
      <c r="AH168" s="1" t="s">
        <v>108</v>
      </c>
      <c r="AI168" s="1" t="s">
        <v>764</v>
      </c>
      <c r="AJ168" s="6" t="str">
        <f>IFERROR(__xludf.DUMMYFUNCTION("""COMPUTED_VALUE"""),"if")</f>
        <v>if</v>
      </c>
      <c r="AK168" s="49"/>
      <c r="AL168" s="49"/>
      <c r="AM168" s="49" t="str">
        <f>IFERROR(__xludf.DUMMYFUNCTION("""COMPUTED_VALUE"""),"stroke")</f>
        <v>stroke</v>
      </c>
      <c r="AN168" s="52" t="str">
        <f t="shared" si="5"/>
        <v>other,</v>
      </c>
    </row>
    <row r="169">
      <c r="A169" s="51" t="s">
        <v>1231</v>
      </c>
      <c r="B169" s="50">
        <v>13.0</v>
      </c>
      <c r="C169" s="50" t="s">
        <v>789</v>
      </c>
      <c r="D169" s="49" t="str">
        <f>IFERROR(__xludf.DUMMYFUNCTION("""COMPUTED_VALUE"""),"ford")</f>
        <v>ford</v>
      </c>
      <c r="E169" s="49"/>
      <c r="F169" s="49" t="str">
        <f>IFERROR(__xludf.DUMMYFUNCTION("""COMPUTED_VALUE"""),"luke")</f>
        <v>luke</v>
      </c>
      <c r="G169" s="49" t="str">
        <f>IFERROR(__xludf.DUMMYFUNCTION("""COMPUTED_VALUE"""),"cherry")</f>
        <v>cherry</v>
      </c>
      <c r="H169" s="54" t="str">
        <f t="shared" si="1"/>
        <v>13,</v>
      </c>
      <c r="I169" s="50"/>
      <c r="J169" s="50" t="s">
        <v>1293</v>
      </c>
      <c r="K169" s="50" t="s">
        <v>1235</v>
      </c>
      <c r="L169" s="49" t="str">
        <f>IFERROR(__xludf.DUMMYFUNCTION("""COMPUTED_VALUE"""),"mine")</f>
        <v>mine</v>
      </c>
      <c r="M169" s="49"/>
      <c r="N169" s="49" t="str">
        <f>IFERROR(__xludf.DUMMYFUNCTION("""COMPUTED_VALUE"""),"double")</f>
        <v>double</v>
      </c>
      <c r="O169" s="49" t="str">
        <f>IFERROR(__xludf.DUMMYFUNCTION("""COMPUTED_VALUE"""),"sand")</f>
        <v>sand</v>
      </c>
      <c r="P169" s="49" t="str">
        <f t="shared" si="2"/>
        <v>lot,</v>
      </c>
      <c r="Q169" s="49"/>
      <c r="R169" s="50" t="s">
        <v>6877</v>
      </c>
      <c r="S169" s="55" t="s">
        <v>1018</v>
      </c>
      <c r="T169" s="49" t="str">
        <f>IFERROR(__xludf.DUMMYFUNCTION("""COMPUTED_VALUE"""),"big")</f>
        <v>big</v>
      </c>
      <c r="U169" s="49"/>
      <c r="V169" s="49" t="str">
        <f>IFERROR(__xludf.DUMMYFUNCTION("""COMPUTED_VALUE"""),"righteous")</f>
        <v>righteous</v>
      </c>
      <c r="W169" s="49" t="str">
        <f>IFERROR(__xludf.DUMMYFUNCTION("""COMPUTED_VALUE"""),"loaded")</f>
        <v>loaded</v>
      </c>
      <c r="X169" s="49" t="str">
        <f t="shared" si="3"/>
        <v>months,</v>
      </c>
      <c r="Y169" s="49"/>
      <c r="Z169" s="1" t="s">
        <v>57</v>
      </c>
      <c r="AA169" s="1" t="s">
        <v>1232</v>
      </c>
      <c r="AB169" s="49" t="str">
        <f>IFERROR(__xludf.DUMMYFUNCTION("""COMPUTED_VALUE"""),"behind")</f>
        <v>behind</v>
      </c>
      <c r="AC169" s="49"/>
      <c r="AD169" s="49" t="str">
        <f>IFERROR(__xludf.DUMMYFUNCTION("""COMPUTED_VALUE"""),"double")</f>
        <v>double</v>
      </c>
      <c r="AE169" s="49" t="str">
        <f>IFERROR(__xludf.DUMMYFUNCTION("""COMPUTED_VALUE"""),"sand")</f>
        <v>sand</v>
      </c>
      <c r="AF169" s="49" t="str">
        <f t="shared" si="4"/>
        <v>only,</v>
      </c>
      <c r="AG169" s="49"/>
      <c r="AH169" s="1" t="s">
        <v>1133</v>
      </c>
      <c r="AI169" s="1" t="s">
        <v>6290</v>
      </c>
      <c r="AJ169" s="6" t="str">
        <f>IFERROR(__xludf.DUMMYFUNCTION("""COMPUTED_VALUE"""),"only")</f>
        <v>only</v>
      </c>
      <c r="AK169" s="49"/>
      <c r="AL169" s="49"/>
      <c r="AM169" s="49" t="str">
        <f>IFERROR(__xludf.DUMMYFUNCTION("""COMPUTED_VALUE"""),"participants")</f>
        <v>participants</v>
      </c>
      <c r="AN169" s="52" t="str">
        <f t="shared" si="5"/>
        <v>if,</v>
      </c>
    </row>
    <row r="170">
      <c r="A170" s="51" t="s">
        <v>1236</v>
      </c>
      <c r="B170" s="50" t="s">
        <v>197</v>
      </c>
      <c r="C170" s="50" t="s">
        <v>991</v>
      </c>
      <c r="D170" s="49" t="str">
        <f>IFERROR(__xludf.DUMMYFUNCTION("""COMPUTED_VALUE"""),"pretty")</f>
        <v>pretty</v>
      </c>
      <c r="E170" s="49"/>
      <c r="F170" s="49" t="str">
        <f>IFERROR(__xludf.DUMMYFUNCTION("""COMPUTED_VALUE"""),"resort")</f>
        <v>resort</v>
      </c>
      <c r="G170" s="49" t="str">
        <f>IFERROR(__xludf.DUMMYFUNCTION("""COMPUTED_VALUE"""),"classroom")</f>
        <v>classroom</v>
      </c>
      <c r="H170" s="54" t="str">
        <f t="shared" si="1"/>
        <v>director,</v>
      </c>
      <c r="I170" s="50"/>
      <c r="J170" s="50" t="s">
        <v>3804</v>
      </c>
      <c r="K170" s="50" t="s">
        <v>591</v>
      </c>
      <c r="L170" s="49" t="str">
        <f>IFERROR(__xludf.DUMMYFUNCTION("""COMPUTED_VALUE"""),"likes")</f>
        <v>likes</v>
      </c>
      <c r="M170" s="49"/>
      <c r="N170" s="49" t="str">
        <f>IFERROR(__xludf.DUMMYFUNCTION("""COMPUTED_VALUE"""),"team")</f>
        <v>team</v>
      </c>
      <c r="O170" s="49" t="str">
        <f>IFERROR(__xludf.DUMMYFUNCTION("""COMPUTED_VALUE"""),"limitations")</f>
        <v>limitations</v>
      </c>
      <c r="P170" s="49" t="str">
        <f t="shared" si="2"/>
        <v>planet,</v>
      </c>
      <c r="Q170" s="49"/>
      <c r="R170" s="50" t="s">
        <v>1327</v>
      </c>
      <c r="S170" s="55" t="s">
        <v>471</v>
      </c>
      <c r="T170" s="49" t="str">
        <f>IFERROR(__xludf.DUMMYFUNCTION("""COMPUTED_VALUE"""),"satire")</f>
        <v>satire</v>
      </c>
      <c r="U170" s="49"/>
      <c r="V170" s="49" t="str">
        <f>IFERROR(__xludf.DUMMYFUNCTION("""COMPUTED_VALUE"""),"franchise")</f>
        <v>franchise</v>
      </c>
      <c r="W170" s="49">
        <f>IFERROR(__xludf.DUMMYFUNCTION("""COMPUTED_VALUE"""),3.0)</f>
        <v>3</v>
      </c>
      <c r="X170" s="49" t="str">
        <f t="shared" si="3"/>
        <v>hugh,</v>
      </c>
      <c r="Y170" s="49"/>
      <c r="Z170" s="1" t="s">
        <v>1477</v>
      </c>
      <c r="AA170" s="1" t="s">
        <v>1237</v>
      </c>
      <c r="AB170" s="49" t="str">
        <f>IFERROR(__xludf.DUMMYFUNCTION("""COMPUTED_VALUE"""),"already")</f>
        <v>already</v>
      </c>
      <c r="AC170" s="49"/>
      <c r="AD170" s="49" t="str">
        <f>IFERROR(__xludf.DUMMYFUNCTION("""COMPUTED_VALUE"""),"team")</f>
        <v>team</v>
      </c>
      <c r="AE170" s="49" t="str">
        <f>IFERROR(__xludf.DUMMYFUNCTION("""COMPUTED_VALUE"""),"limitations")</f>
        <v>limitations</v>
      </c>
      <c r="AF170" s="49" t="str">
        <f t="shared" si="4"/>
        <v>their,</v>
      </c>
      <c r="AG170" s="49"/>
      <c r="AH170" s="1" t="s">
        <v>57</v>
      </c>
      <c r="AI170" s="1" t="s">
        <v>312</v>
      </c>
      <c r="AJ170" s="6" t="str">
        <f>IFERROR(__xludf.DUMMYFUNCTION("""COMPUTED_VALUE"""),"year")</f>
        <v>year</v>
      </c>
      <c r="AK170" s="49"/>
      <c r="AL170" s="49"/>
      <c r="AM170" s="49" t="str">
        <f>IFERROR(__xludf.DUMMYFUNCTION("""COMPUTED_VALUE"""),"franklin")</f>
        <v>franklin</v>
      </c>
      <c r="AN170" s="52" t="str">
        <f t="shared" si="5"/>
        <v>only,</v>
      </c>
    </row>
    <row r="171">
      <c r="A171" s="51" t="s">
        <v>981</v>
      </c>
      <c r="B171" s="50" t="s">
        <v>1238</v>
      </c>
      <c r="C171" s="50" t="s">
        <v>1144</v>
      </c>
      <c r="D171" s="49" t="str">
        <f>IFERROR(__xludf.DUMMYFUNCTION("""COMPUTED_VALUE"""),"damned")</f>
        <v>damned</v>
      </c>
      <c r="E171" s="49"/>
      <c r="F171" s="49" t="str">
        <f>IFERROR(__xludf.DUMMYFUNCTION("""COMPUTED_VALUE"""),"jo")</f>
        <v>jo</v>
      </c>
      <c r="G171" s="49" t="str">
        <f>IFERROR(__xludf.DUMMYFUNCTION("""COMPUTED_VALUE"""),"duck")</f>
        <v>duck</v>
      </c>
      <c r="H171" s="54" t="str">
        <f t="shared" si="1"/>
        <v>title,</v>
      </c>
      <c r="I171" s="50"/>
      <c r="J171" s="50" t="s">
        <v>88</v>
      </c>
      <c r="K171" s="50" t="s">
        <v>121</v>
      </c>
      <c r="L171" s="49" t="str">
        <f>IFERROR(__xludf.DUMMYFUNCTION("""COMPUTED_VALUE"""),"journey")</f>
        <v>journey</v>
      </c>
      <c r="M171" s="49"/>
      <c r="N171" s="49" t="str">
        <f>IFERROR(__xludf.DUMMYFUNCTION("""COMPUTED_VALUE"""),"did")</f>
        <v>did</v>
      </c>
      <c r="O171" s="49" t="str">
        <f>IFERROR(__xludf.DUMMYFUNCTION("""COMPUTED_VALUE"""),"sequels")</f>
        <v>sequels</v>
      </c>
      <c r="P171" s="49" t="str">
        <f t="shared" si="2"/>
        <v>something,</v>
      </c>
      <c r="Q171" s="49"/>
      <c r="R171" s="50" t="s">
        <v>1671</v>
      </c>
      <c r="S171" s="55" t="s">
        <v>708</v>
      </c>
      <c r="T171" s="49" t="str">
        <f>IFERROR(__xludf.DUMMYFUNCTION("""COMPUTED_VALUE"""),"fall")</f>
        <v>fall</v>
      </c>
      <c r="U171" s="49"/>
      <c r="V171" s="49" t="str">
        <f>IFERROR(__xludf.DUMMYFUNCTION("""COMPUTED_VALUE"""),"directions")</f>
        <v>directions</v>
      </c>
      <c r="W171" s="49" t="str">
        <f>IFERROR(__xludf.DUMMYFUNCTION("""COMPUTED_VALUE"""),"enjoy")</f>
        <v>enjoy</v>
      </c>
      <c r="X171" s="49" t="str">
        <f t="shared" si="3"/>
        <v>eye,</v>
      </c>
      <c r="Y171" s="49"/>
      <c r="Z171" s="1" t="s">
        <v>3254</v>
      </c>
      <c r="AA171" s="1" t="s">
        <v>186</v>
      </c>
      <c r="AB171" s="49" t="str">
        <f>IFERROR(__xludf.DUMMYFUNCTION("""COMPUTED_VALUE"""),"could")</f>
        <v>could</v>
      </c>
      <c r="AC171" s="49"/>
      <c r="AD171" s="49" t="str">
        <f>IFERROR(__xludf.DUMMYFUNCTION("""COMPUTED_VALUE"""),"did")</f>
        <v>did</v>
      </c>
      <c r="AE171" s="49" t="str">
        <f>IFERROR(__xludf.DUMMYFUNCTION("""COMPUTED_VALUE"""),"sequels")</f>
        <v>sequels</v>
      </c>
      <c r="AF171" s="49" t="str">
        <f t="shared" si="4"/>
        <v>promising,</v>
      </c>
      <c r="AG171" s="49"/>
      <c r="AH171" s="1" t="s">
        <v>258</v>
      </c>
      <c r="AI171" s="1" t="s">
        <v>669</v>
      </c>
      <c r="AJ171" s="6" t="str">
        <f>IFERROR(__xludf.DUMMYFUNCTION("""COMPUTED_VALUE"""),"best")</f>
        <v>best</v>
      </c>
      <c r="AK171" s="49"/>
      <c r="AL171" s="49"/>
      <c r="AM171" s="49" t="str">
        <f>IFERROR(__xludf.DUMMYFUNCTION("""COMPUTED_VALUE"""),"giants")</f>
        <v>giants</v>
      </c>
      <c r="AN171" s="52" t="str">
        <f t="shared" si="5"/>
        <v>year,</v>
      </c>
    </row>
    <row r="172">
      <c r="A172" s="51" t="s">
        <v>203</v>
      </c>
      <c r="B172" s="50" t="s">
        <v>710</v>
      </c>
      <c r="C172" s="50" t="s">
        <v>163</v>
      </c>
      <c r="D172" s="49" t="str">
        <f>IFERROR(__xludf.DUMMYFUNCTION("""COMPUTED_VALUE"""),"never")</f>
        <v>never</v>
      </c>
      <c r="E172" s="49"/>
      <c r="F172" s="49" t="str">
        <f>IFERROR(__xludf.DUMMYFUNCTION("""COMPUTED_VALUE"""),"stress")</f>
        <v>stress</v>
      </c>
      <c r="G172" s="49" t="str">
        <f>IFERROR(__xludf.DUMMYFUNCTION("""COMPUTED_VALUE"""),"numbered")</f>
        <v>numbered</v>
      </c>
      <c r="H172" s="54" t="str">
        <f t="shared" si="1"/>
        <v>taking,</v>
      </c>
      <c r="I172" s="50"/>
      <c r="J172" s="50" t="s">
        <v>2685</v>
      </c>
      <c r="K172" s="50" t="s">
        <v>215</v>
      </c>
      <c r="L172" s="49" t="str">
        <f>IFERROR(__xludf.DUMMYFUNCTION("""COMPUTED_VALUE"""),"pleasing")</f>
        <v>pleasing</v>
      </c>
      <c r="M172" s="49"/>
      <c r="N172" s="49" t="str">
        <f>IFERROR(__xludf.DUMMYFUNCTION("""COMPUTED_VALUE"""),"must")</f>
        <v>must</v>
      </c>
      <c r="O172" s="49" t="str">
        <f>IFERROR(__xludf.DUMMYFUNCTION("""COMPUTED_VALUE"""),"playwright")</f>
        <v>playwright</v>
      </c>
      <c r="P172" s="49" t="str">
        <f t="shared" si="2"/>
        <v>fighting,</v>
      </c>
      <c r="Q172" s="49"/>
      <c r="R172" s="50" t="s">
        <v>6559</v>
      </c>
      <c r="S172" s="55" t="s">
        <v>6239</v>
      </c>
      <c r="T172" s="49" t="str">
        <f>IFERROR(__xludf.DUMMYFUNCTION("""COMPUTED_VALUE"""),"political")</f>
        <v>political</v>
      </c>
      <c r="U172" s="49"/>
      <c r="V172" s="49" t="str">
        <f>IFERROR(__xludf.DUMMYFUNCTION("""COMPUTED_VALUE"""),"comic")</f>
        <v>comic</v>
      </c>
      <c r="W172" s="49" t="str">
        <f>IFERROR(__xludf.DUMMYFUNCTION("""COMPUTED_VALUE"""),"predecessors")</f>
        <v>predecessors</v>
      </c>
      <c r="X172" s="49" t="str">
        <f t="shared" si="3"/>
        <v>huge,</v>
      </c>
      <c r="Y172" s="49"/>
      <c r="Z172" s="1" t="s">
        <v>1636</v>
      </c>
      <c r="AA172" s="1" t="s">
        <v>514</v>
      </c>
      <c r="AB172" s="49" t="str">
        <f>IFERROR(__xludf.DUMMYFUNCTION("""COMPUTED_VALUE"""),"talents")</f>
        <v>talents</v>
      </c>
      <c r="AC172" s="49"/>
      <c r="AD172" s="49" t="str">
        <f>IFERROR(__xludf.DUMMYFUNCTION("""COMPUTED_VALUE"""),"must")</f>
        <v>must</v>
      </c>
      <c r="AE172" s="49" t="str">
        <f>IFERROR(__xludf.DUMMYFUNCTION("""COMPUTED_VALUE"""),"playwright")</f>
        <v>playwright</v>
      </c>
      <c r="AF172" s="49" t="str">
        <f t="shared" si="4"/>
        <v>reason,</v>
      </c>
      <c r="AG172" s="49"/>
      <c r="AH172" s="1" t="s">
        <v>299</v>
      </c>
      <c r="AI172" s="1" t="s">
        <v>6291</v>
      </c>
      <c r="AJ172" s="6" t="str">
        <f>IFERROR(__xludf.DUMMYFUNCTION("""COMPUTED_VALUE"""),"last")</f>
        <v>last</v>
      </c>
      <c r="AK172" s="49"/>
      <c r="AL172" s="49"/>
      <c r="AM172" s="49">
        <f>IFERROR(__xludf.DUMMYFUNCTION("""COMPUTED_VALUE"""),1952.0)</f>
        <v>1952</v>
      </c>
      <c r="AN172" s="52" t="str">
        <f t="shared" si="5"/>
        <v>best,</v>
      </c>
    </row>
    <row r="173">
      <c r="A173" s="51" t="s">
        <v>1254</v>
      </c>
      <c r="B173" s="50" t="s">
        <v>1293</v>
      </c>
      <c r="C173" s="50" t="s">
        <v>565</v>
      </c>
      <c r="D173" s="49" t="str">
        <f>IFERROR(__xludf.DUMMYFUNCTION("""COMPUTED_VALUE"""),"feel")</f>
        <v>feel</v>
      </c>
      <c r="E173" s="49"/>
      <c r="F173" s="49" t="str">
        <f>IFERROR(__xludf.DUMMYFUNCTION("""COMPUTED_VALUE"""),"global")</f>
        <v>global</v>
      </c>
      <c r="G173" s="49">
        <f>IFERROR(__xludf.DUMMYFUNCTION("""COMPUTED_VALUE"""),500.0)</f>
        <v>500</v>
      </c>
      <c r="H173" s="54" t="str">
        <f t="shared" si="1"/>
        <v>lot,</v>
      </c>
      <c r="I173" s="50"/>
      <c r="J173" s="50" t="s">
        <v>2483</v>
      </c>
      <c r="K173" s="50" t="s">
        <v>596</v>
      </c>
      <c r="L173" s="49" t="str">
        <f>IFERROR(__xludf.DUMMYFUNCTION("""COMPUTED_VALUE"""),"any")</f>
        <v>any</v>
      </c>
      <c r="M173" s="49"/>
      <c r="N173" s="49" t="str">
        <f>IFERROR(__xludf.DUMMYFUNCTION("""COMPUTED_VALUE"""),"provide")</f>
        <v>provide</v>
      </c>
      <c r="O173" s="49" t="str">
        <f>IFERROR(__xludf.DUMMYFUNCTION("""COMPUTED_VALUE"""),"bound")</f>
        <v>bound</v>
      </c>
      <c r="P173" s="49" t="str">
        <f t="shared" si="2"/>
        <v>writer,</v>
      </c>
      <c r="Q173" s="49"/>
      <c r="R173" s="50" t="s">
        <v>1322</v>
      </c>
      <c r="S173" s="55" t="s">
        <v>2146</v>
      </c>
      <c r="T173" s="49" t="str">
        <f>IFERROR(__xludf.DUMMYFUNCTION("""COMPUTED_VALUE"""),"ago")</f>
        <v>ago</v>
      </c>
      <c r="U173" s="49"/>
      <c r="V173" s="49" t="str">
        <f>IFERROR(__xludf.DUMMYFUNCTION("""COMPUTED_VALUE"""),"fear")</f>
        <v>fear</v>
      </c>
      <c r="W173" s="49" t="str">
        <f>IFERROR(__xludf.DUMMYFUNCTION("""COMPUTED_VALUE"""),"visions")</f>
        <v>visions</v>
      </c>
      <c r="X173" s="49" t="str">
        <f t="shared" si="3"/>
        <v>grant,</v>
      </c>
      <c r="Y173" s="49"/>
      <c r="Z173" s="1" t="s">
        <v>6295</v>
      </c>
      <c r="AA173" s="1" t="s">
        <v>131</v>
      </c>
      <c r="AB173" s="49" t="str">
        <f>IFERROR(__xludf.DUMMYFUNCTION("""COMPUTED_VALUE"""),"singing")</f>
        <v>singing</v>
      </c>
      <c r="AC173" s="49"/>
      <c r="AD173" s="49" t="str">
        <f>IFERROR(__xludf.DUMMYFUNCTION("""COMPUTED_VALUE"""),"provide")</f>
        <v>provide</v>
      </c>
      <c r="AE173" s="49" t="str">
        <f>IFERROR(__xludf.DUMMYFUNCTION("""COMPUTED_VALUE"""),"bound")</f>
        <v>bound</v>
      </c>
      <c r="AF173" s="49" t="str">
        <f t="shared" si="4"/>
        <v>he,</v>
      </c>
      <c r="AG173" s="49"/>
      <c r="AH173" s="1" t="s">
        <v>207</v>
      </c>
      <c r="AI173" s="1" t="s">
        <v>6297</v>
      </c>
      <c r="AJ173" s="6" t="str">
        <f>IFERROR(__xludf.DUMMYFUNCTION("""COMPUTED_VALUE"""),"came")</f>
        <v>came</v>
      </c>
      <c r="AK173" s="49"/>
      <c r="AL173" s="49"/>
      <c r="AM173" s="49" t="str">
        <f>IFERROR(__xludf.DUMMYFUNCTION("""COMPUTED_VALUE"""),"certified")</f>
        <v>certified</v>
      </c>
      <c r="AN173" s="52" t="str">
        <f t="shared" si="5"/>
        <v>last,</v>
      </c>
    </row>
    <row r="174">
      <c r="A174" s="51" t="s">
        <v>1261</v>
      </c>
      <c r="B174" s="50" t="s">
        <v>1916</v>
      </c>
      <c r="C174" s="50" t="s">
        <v>1003</v>
      </c>
      <c r="D174" s="49" t="str">
        <f>IFERROR(__xludf.DUMMYFUNCTION("""COMPUTED_VALUE"""),"one")</f>
        <v>one</v>
      </c>
      <c r="E174" s="49"/>
      <c r="F174" s="49" t="str">
        <f>IFERROR(__xludf.DUMMYFUNCTION("""COMPUTED_VALUE"""),"shall")</f>
        <v>shall</v>
      </c>
      <c r="G174" s="49">
        <f>IFERROR(__xludf.DUMMYFUNCTION("""COMPUTED_VALUE"""),1899.0)</f>
        <v>1899</v>
      </c>
      <c r="H174" s="54" t="str">
        <f t="shared" si="1"/>
        <v>whole,</v>
      </c>
      <c r="I174" s="50"/>
      <c r="J174" s="50" t="s">
        <v>2454</v>
      </c>
      <c r="K174" s="50" t="s">
        <v>605</v>
      </c>
      <c r="L174" s="49" t="str">
        <f>IFERROR(__xludf.DUMMYFUNCTION("""COMPUTED_VALUE"""),"pair")</f>
        <v>pair</v>
      </c>
      <c r="M174" s="49"/>
      <c r="N174" s="49" t="str">
        <f>IFERROR(__xludf.DUMMYFUNCTION("""COMPUTED_VALUE"""),"levels")</f>
        <v>levels</v>
      </c>
      <c r="O174" s="49" t="str">
        <f>IFERROR(__xludf.DUMMYFUNCTION("""COMPUTED_VALUE"""),"appeal")</f>
        <v>appeal</v>
      </c>
      <c r="P174" s="49" t="str">
        <f t="shared" si="2"/>
        <v>previous,</v>
      </c>
      <c r="Q174" s="49"/>
      <c r="R174" s="50" t="s">
        <v>1239</v>
      </c>
      <c r="S174" s="55" t="s">
        <v>6294</v>
      </c>
      <c r="T174" s="49" t="str">
        <f>IFERROR(__xludf.DUMMYFUNCTION("""COMPUTED_VALUE"""),"also")</f>
        <v>also</v>
      </c>
      <c r="U174" s="49"/>
      <c r="V174" s="49" t="str">
        <f>IFERROR(__xludf.DUMMYFUNCTION("""COMPUTED_VALUE"""),"award")</f>
        <v>award</v>
      </c>
      <c r="W174" s="49" t="str">
        <f>IFERROR(__xludf.DUMMYFUNCTION("""COMPUTED_VALUE"""),"add")</f>
        <v>add</v>
      </c>
      <c r="X174" s="49" t="str">
        <f t="shared" si="3"/>
        <v>were,</v>
      </c>
      <c r="Y174" s="49"/>
      <c r="Z174" s="1" t="s">
        <v>112</v>
      </c>
      <c r="AA174" s="1" t="s">
        <v>140</v>
      </c>
      <c r="AB174" s="49" t="str">
        <f>IFERROR(__xludf.DUMMYFUNCTION("""COMPUTED_VALUE"""),"set")</f>
        <v>set</v>
      </c>
      <c r="AC174" s="49"/>
      <c r="AD174" s="49" t="str">
        <f>IFERROR(__xludf.DUMMYFUNCTION("""COMPUTED_VALUE"""),"levels")</f>
        <v>levels</v>
      </c>
      <c r="AE174" s="49" t="str">
        <f>IFERROR(__xludf.DUMMYFUNCTION("""COMPUTED_VALUE"""),"appeal")</f>
        <v>appeal</v>
      </c>
      <c r="AF174" s="49" t="str">
        <f t="shared" si="4"/>
        <v>film,</v>
      </c>
      <c r="AG174" s="49"/>
      <c r="AH174" s="1" t="s">
        <v>639</v>
      </c>
      <c r="AI174" s="1" t="s">
        <v>189</v>
      </c>
      <c r="AJ174" s="6" t="str">
        <f>IFERROR(__xludf.DUMMYFUNCTION("""COMPUTED_VALUE"""),"century")</f>
        <v>century</v>
      </c>
      <c r="AK174" s="49"/>
      <c r="AL174" s="49"/>
      <c r="AM174" s="49" t="str">
        <f>IFERROR(__xludf.DUMMYFUNCTION("""COMPUTED_VALUE"""),"environmental")</f>
        <v>environmental</v>
      </c>
      <c r="AN174" s="52" t="str">
        <f t="shared" si="5"/>
        <v>came,</v>
      </c>
    </row>
    <row r="175">
      <c r="A175" s="51" t="s">
        <v>1267</v>
      </c>
      <c r="B175" s="50" t="s">
        <v>6327</v>
      </c>
      <c r="C175" s="50" t="s">
        <v>1009</v>
      </c>
      <c r="D175" s="49" t="str">
        <f>IFERROR(__xludf.DUMMYFUNCTION("""COMPUTED_VALUE"""),"current")</f>
        <v>current</v>
      </c>
      <c r="E175" s="49"/>
      <c r="F175" s="49" t="str">
        <f>IFERROR(__xludf.DUMMYFUNCTION("""COMPUTED_VALUE"""),"olive")</f>
        <v>olive</v>
      </c>
      <c r="G175" s="49" t="str">
        <f>IFERROR(__xludf.DUMMYFUNCTION("""COMPUTED_VALUE"""),"conduct")</f>
        <v>conduct</v>
      </c>
      <c r="H175" s="54" t="str">
        <f t="shared" si="1"/>
        <v>especially,</v>
      </c>
      <c r="I175" s="50"/>
      <c r="J175" s="50" t="s">
        <v>197</v>
      </c>
      <c r="K175" s="50" t="s">
        <v>609</v>
      </c>
      <c r="L175" s="49" t="str">
        <f>IFERROR(__xludf.DUMMYFUNCTION("""COMPUTED_VALUE"""),"wow")</f>
        <v>wow</v>
      </c>
      <c r="M175" s="49"/>
      <c r="N175" s="49" t="str">
        <f>IFERROR(__xludf.DUMMYFUNCTION("""COMPUTED_VALUE"""),"she")</f>
        <v>she</v>
      </c>
      <c r="O175" s="49" t="str">
        <f>IFERROR(__xludf.DUMMYFUNCTION("""COMPUTED_VALUE"""),"ambitious")</f>
        <v>ambitious</v>
      </c>
      <c r="P175" s="49" t="str">
        <f t="shared" si="2"/>
        <v>director,</v>
      </c>
      <c r="Q175" s="49"/>
      <c r="R175" s="50" t="s">
        <v>5111</v>
      </c>
      <c r="S175" s="55" t="s">
        <v>412</v>
      </c>
      <c r="T175" s="49" t="str">
        <f>IFERROR(__xludf.DUMMYFUNCTION("""COMPUTED_VALUE"""),"manages")</f>
        <v>manages</v>
      </c>
      <c r="U175" s="49"/>
      <c r="V175" s="49" t="str">
        <f>IFERROR(__xludf.DUMMYFUNCTION("""COMPUTED_VALUE"""),"cable")</f>
        <v>cable</v>
      </c>
      <c r="W175" s="49" t="str">
        <f>IFERROR(__xludf.DUMMYFUNCTION("""COMPUTED_VALUE"""),"pacing")</f>
        <v>pacing</v>
      </c>
      <c r="X175" s="49" t="str">
        <f t="shared" si="3"/>
        <v>adam,</v>
      </c>
      <c r="Y175" s="49"/>
      <c r="Z175" s="1" t="s">
        <v>479</v>
      </c>
      <c r="AA175" s="1" t="s">
        <v>769</v>
      </c>
      <c r="AB175" s="49" t="str">
        <f>IFERROR(__xludf.DUMMYFUNCTION("""COMPUTED_VALUE"""),"lewis")</f>
        <v>lewis</v>
      </c>
      <c r="AC175" s="49"/>
      <c r="AD175" s="49" t="str">
        <f>IFERROR(__xludf.DUMMYFUNCTION("""COMPUTED_VALUE"""),"she")</f>
        <v>she</v>
      </c>
      <c r="AE175" s="49" t="str">
        <f>IFERROR(__xludf.DUMMYFUNCTION("""COMPUTED_VALUE"""),"ambitious")</f>
        <v>ambitious</v>
      </c>
      <c r="AF175" s="49" t="str">
        <f t="shared" si="4"/>
        <v>love,</v>
      </c>
      <c r="AG175" s="49"/>
      <c r="AH175" s="1" t="s">
        <v>1513</v>
      </c>
      <c r="AI175" s="1" t="s">
        <v>357</v>
      </c>
      <c r="AJ175" s="6" t="str">
        <f>IFERROR(__xludf.DUMMYFUNCTION("""COMPUTED_VALUE"""),"production")</f>
        <v>production</v>
      </c>
      <c r="AK175" s="49"/>
      <c r="AL175" s="49"/>
      <c r="AM175" s="49" t="str">
        <f>IFERROR(__xludf.DUMMYFUNCTION("""COMPUTED_VALUE"""),"squeezed")</f>
        <v>squeezed</v>
      </c>
      <c r="AN175" s="52" t="str">
        <f t="shared" si="5"/>
        <v>century,</v>
      </c>
    </row>
    <row r="176">
      <c r="A176" s="51" t="s">
        <v>1273</v>
      </c>
      <c r="B176" s="50" t="s">
        <v>4437</v>
      </c>
      <c r="C176" s="50" t="s">
        <v>776</v>
      </c>
      <c r="D176" s="49" t="str">
        <f>IFERROR(__xludf.DUMMYFUNCTION("""COMPUTED_VALUE"""),"industry")</f>
        <v>industry</v>
      </c>
      <c r="E176" s="49"/>
      <c r="F176" s="49" t="str">
        <f>IFERROR(__xludf.DUMMYFUNCTION("""COMPUTED_VALUE"""),"powered")</f>
        <v>powered</v>
      </c>
      <c r="G176" s="49" t="str">
        <f>IFERROR(__xludf.DUMMYFUNCTION("""COMPUTED_VALUE"""),"statements")</f>
        <v>statements</v>
      </c>
      <c r="H176" s="54" t="str">
        <f t="shared" si="1"/>
        <v>fight,</v>
      </c>
      <c r="I176" s="50"/>
      <c r="J176" s="50" t="s">
        <v>5190</v>
      </c>
      <c r="K176" s="50" t="s">
        <v>1280</v>
      </c>
      <c r="L176" s="49" t="str">
        <f>IFERROR(__xludf.DUMMYFUNCTION("""COMPUTED_VALUE"""),"larger")</f>
        <v>larger</v>
      </c>
      <c r="M176" s="49"/>
      <c r="N176" s="49" t="str">
        <f>IFERROR(__xludf.DUMMYFUNCTION("""COMPUTED_VALUE"""),"game")</f>
        <v>game</v>
      </c>
      <c r="O176" s="49" t="str">
        <f>IFERROR(__xludf.DUMMYFUNCTION("""COMPUTED_VALUE"""),"sofia")</f>
        <v>sofia</v>
      </c>
      <c r="P176" s="49" t="str">
        <f t="shared" si="2"/>
        <v>supposedly,</v>
      </c>
      <c r="Q176" s="49"/>
      <c r="R176" s="50" t="s">
        <v>5612</v>
      </c>
      <c r="S176" s="55" t="s">
        <v>133</v>
      </c>
      <c r="T176" s="49" t="str">
        <f>IFERROR(__xludf.DUMMYFUNCTION("""COMPUTED_VALUE"""),"dogs")</f>
        <v>dogs</v>
      </c>
      <c r="U176" s="49"/>
      <c r="V176" s="49" t="str">
        <f>IFERROR(__xludf.DUMMYFUNCTION("""COMPUTED_VALUE"""),"saga")</f>
        <v>saga</v>
      </c>
      <c r="W176" s="49" t="str">
        <f>IFERROR(__xludf.DUMMYFUNCTION("""COMPUTED_VALUE"""),"give")</f>
        <v>give</v>
      </c>
      <c r="X176" s="49" t="str">
        <f t="shared" si="3"/>
        <v>swedish,</v>
      </c>
      <c r="Y176" s="49"/>
      <c r="Z176" s="1" t="s">
        <v>936</v>
      </c>
      <c r="AA176" s="1" t="s">
        <v>720</v>
      </c>
      <c r="AB176" s="49" t="str">
        <f>IFERROR(__xludf.DUMMYFUNCTION("""COMPUTED_VALUE"""),"lets")</f>
        <v>lets</v>
      </c>
      <c r="AC176" s="49"/>
      <c r="AD176" s="49" t="str">
        <f>IFERROR(__xludf.DUMMYFUNCTION("""COMPUTED_VALUE"""),"game")</f>
        <v>game</v>
      </c>
      <c r="AE176" s="49" t="str">
        <f>IFERROR(__xludf.DUMMYFUNCTION("""COMPUTED_VALUE"""),"sofia")</f>
        <v>sofia</v>
      </c>
      <c r="AF176" s="49" t="str">
        <f t="shared" si="4"/>
        <v>may,</v>
      </c>
      <c r="AG176" s="49"/>
      <c r="AH176" s="1" t="s">
        <v>4491</v>
      </c>
      <c r="AI176" s="1" t="s">
        <v>955</v>
      </c>
      <c r="AJ176" s="6" t="str">
        <f>IFERROR(__xludf.DUMMYFUNCTION("""COMPUTED_VALUE"""),"dead")</f>
        <v>dead</v>
      </c>
      <c r="AK176" s="49"/>
      <c r="AL176" s="49"/>
      <c r="AM176" s="49" t="str">
        <f>IFERROR(__xludf.DUMMYFUNCTION("""COMPUTED_VALUE"""),"fighters")</f>
        <v>fighters</v>
      </c>
      <c r="AN176" s="52" t="str">
        <f t="shared" si="5"/>
        <v>production,</v>
      </c>
    </row>
    <row r="177">
      <c r="A177" s="51" t="s">
        <v>989</v>
      </c>
      <c r="B177" s="50" t="s">
        <v>2454</v>
      </c>
      <c r="C177" s="50" t="s">
        <v>1016</v>
      </c>
      <c r="D177" s="49" t="str">
        <f>IFERROR(__xludf.DUMMYFUNCTION("""COMPUTED_VALUE"""),"recording")</f>
        <v>recording</v>
      </c>
      <c r="E177" s="49"/>
      <c r="F177" s="49" t="str">
        <f>IFERROR(__xludf.DUMMYFUNCTION("""COMPUTED_VALUE"""),"clay")</f>
        <v>clay</v>
      </c>
      <c r="G177" s="49" t="str">
        <f>IFERROR(__xludf.DUMMYFUNCTION("""COMPUTED_VALUE"""),"alabama")</f>
        <v>alabama</v>
      </c>
      <c r="H177" s="54" t="str">
        <f t="shared" si="1"/>
        <v>previous,</v>
      </c>
      <c r="I177" s="50"/>
      <c r="J177" s="50" t="s">
        <v>1171</v>
      </c>
      <c r="K177" s="50" t="s">
        <v>711</v>
      </c>
      <c r="L177" s="49" t="str">
        <f>IFERROR(__xludf.DUMMYFUNCTION("""COMPUTED_VALUE"""),"minutes")</f>
        <v>minutes</v>
      </c>
      <c r="M177" s="49"/>
      <c r="N177" s="49" t="str">
        <f>IFERROR(__xludf.DUMMYFUNCTION("""COMPUTED_VALUE"""),"stone")</f>
        <v>stone</v>
      </c>
      <c r="O177" s="49" t="str">
        <f>IFERROR(__xludf.DUMMYFUNCTION("""COMPUTED_VALUE"""),"taboo")</f>
        <v>taboo</v>
      </c>
      <c r="P177" s="49" t="str">
        <f t="shared" si="2"/>
        <v>horror,</v>
      </c>
      <c r="Q177" s="49"/>
      <c r="R177" s="50" t="s">
        <v>4288</v>
      </c>
      <c r="S177" s="55" t="s">
        <v>6299</v>
      </c>
      <c r="T177" s="49" t="str">
        <f>IFERROR(__xludf.DUMMYFUNCTION("""COMPUTED_VALUE"""),"good")</f>
        <v>good</v>
      </c>
      <c r="U177" s="49"/>
      <c r="V177" s="49" t="str">
        <f>IFERROR(__xludf.DUMMYFUNCTION("""COMPUTED_VALUE"""),"attractive")</f>
        <v>attractive</v>
      </c>
      <c r="W177" s="49" t="str">
        <f>IFERROR(__xludf.DUMMYFUNCTION("""COMPUTED_VALUE"""),"breathless")</f>
        <v>breathless</v>
      </c>
      <c r="X177" s="49" t="str">
        <f t="shared" si="3"/>
        <v>reflection,</v>
      </c>
      <c r="Y177" s="49"/>
      <c r="Z177" s="1" t="s">
        <v>3690</v>
      </c>
      <c r="AA177" s="1" t="s">
        <v>209</v>
      </c>
      <c r="AB177" s="49" t="str">
        <f>IFERROR(__xludf.DUMMYFUNCTION("""COMPUTED_VALUE"""),"passion")</f>
        <v>passion</v>
      </c>
      <c r="AC177" s="49"/>
      <c r="AD177" s="49" t="str">
        <f>IFERROR(__xludf.DUMMYFUNCTION("""COMPUTED_VALUE"""),"stone")</f>
        <v>stone</v>
      </c>
      <c r="AE177" s="49" t="str">
        <f>IFERROR(__xludf.DUMMYFUNCTION("""COMPUTED_VALUE"""),"taboo")</f>
        <v>taboo</v>
      </c>
      <c r="AF177" s="49" t="str">
        <f t="shared" si="4"/>
        <v>string,</v>
      </c>
      <c r="AG177" s="49"/>
      <c r="AH177" s="1" t="s">
        <v>4150</v>
      </c>
      <c r="AI177" s="1" t="s">
        <v>908</v>
      </c>
      <c r="AJ177" s="6" t="str">
        <f>IFERROR(__xludf.DUMMYFUNCTION("""COMPUTED_VALUE"""),"reason")</f>
        <v>reason</v>
      </c>
      <c r="AK177" s="49"/>
      <c r="AL177" s="49"/>
      <c r="AM177" s="49" t="str">
        <f>IFERROR(__xludf.DUMMYFUNCTION("""COMPUTED_VALUE"""),"produces")</f>
        <v>produces</v>
      </c>
      <c r="AN177" s="52" t="str">
        <f t="shared" si="5"/>
        <v>dead,</v>
      </c>
    </row>
    <row r="178">
      <c r="A178" s="51" t="s">
        <v>114</v>
      </c>
      <c r="B178" s="50" t="s">
        <v>2483</v>
      </c>
      <c r="C178" s="50" t="s">
        <v>201</v>
      </c>
      <c r="D178" s="49" t="str">
        <f>IFERROR(__xludf.DUMMYFUNCTION("""COMPUTED_VALUE"""),"corporate")</f>
        <v>corporate</v>
      </c>
      <c r="E178" s="49"/>
      <c r="F178" s="49" t="str">
        <f>IFERROR(__xludf.DUMMYFUNCTION("""COMPUTED_VALUE"""),"files")</f>
        <v>files</v>
      </c>
      <c r="G178" s="49" t="str">
        <f>IFERROR(__xludf.DUMMYFUNCTION("""COMPUTED_VALUE"""),"abroad")</f>
        <v>abroad</v>
      </c>
      <c r="H178" s="54" t="str">
        <f t="shared" si="1"/>
        <v>writer,</v>
      </c>
      <c r="I178" s="50"/>
      <c r="J178" s="50" t="s">
        <v>5417</v>
      </c>
      <c r="K178" s="50" t="s">
        <v>1291</v>
      </c>
      <c r="L178" s="49" t="str">
        <f>IFERROR(__xludf.DUMMYFUNCTION("""COMPUTED_VALUE"""),"grand")</f>
        <v>grand</v>
      </c>
      <c r="M178" s="49"/>
      <c r="N178" s="49" t="str">
        <f>IFERROR(__xludf.DUMMYFUNCTION("""COMPUTED_VALUE"""),"will")</f>
        <v>will</v>
      </c>
      <c r="O178" s="49" t="str">
        <f>IFERROR(__xludf.DUMMYFUNCTION("""COMPUTED_VALUE"""),"interference")</f>
        <v>interference</v>
      </c>
      <c r="P178" s="49" t="str">
        <f t="shared" si="2"/>
        <v>mistake,</v>
      </c>
      <c r="Q178" s="49"/>
      <c r="R178" s="50" t="s">
        <v>2723</v>
      </c>
      <c r="S178" s="55" t="s">
        <v>739</v>
      </c>
      <c r="T178" s="49" t="str">
        <f>IFERROR(__xludf.DUMMYFUNCTION("""COMPUTED_VALUE"""),"surprises")</f>
        <v>surprises</v>
      </c>
      <c r="U178" s="49"/>
      <c r="V178" s="49" t="str">
        <f>IFERROR(__xludf.DUMMYFUNCTION("""COMPUTED_VALUE"""),"including")</f>
        <v>including</v>
      </c>
      <c r="W178" s="49" t="str">
        <f>IFERROR(__xludf.DUMMYFUNCTION("""COMPUTED_VALUE"""),"anticipation")</f>
        <v>anticipation</v>
      </c>
      <c r="X178" s="49" t="str">
        <f t="shared" si="3"/>
        <v>call,</v>
      </c>
      <c r="Y178" s="49"/>
      <c r="Z178" s="1" t="s">
        <v>1175</v>
      </c>
      <c r="AA178" s="1" t="s">
        <v>182</v>
      </c>
      <c r="AB178" s="49" t="str">
        <f>IFERROR(__xludf.DUMMYFUNCTION("""COMPUTED_VALUE"""),"universal")</f>
        <v>universal</v>
      </c>
      <c r="AC178" s="49"/>
      <c r="AD178" s="49" t="str">
        <f>IFERROR(__xludf.DUMMYFUNCTION("""COMPUTED_VALUE"""),"will")</f>
        <v>will</v>
      </c>
      <c r="AE178" s="49" t="str">
        <f>IFERROR(__xludf.DUMMYFUNCTION("""COMPUTED_VALUE"""),"interference")</f>
        <v>interference</v>
      </c>
      <c r="AF178" s="49" t="str">
        <f t="shared" si="4"/>
        <v>number,</v>
      </c>
      <c r="AG178" s="49"/>
      <c r="AH178" s="1" t="s">
        <v>1636</v>
      </c>
      <c r="AI178" s="1" t="s">
        <v>330</v>
      </c>
      <c r="AJ178" s="6" t="str">
        <f>IFERROR(__xludf.DUMMYFUNCTION("""COMPUTED_VALUE"""),"empire")</f>
        <v>empire</v>
      </c>
      <c r="AK178" s="49"/>
      <c r="AL178" s="49"/>
      <c r="AM178" s="49" t="str">
        <f>IFERROR(__xludf.DUMMYFUNCTION("""COMPUTED_VALUE"""),"climb")</f>
        <v>climb</v>
      </c>
      <c r="AN178" s="52" t="str">
        <f t="shared" si="5"/>
        <v>reason,</v>
      </c>
    </row>
    <row r="179">
      <c r="A179" s="51" t="s">
        <v>1292</v>
      </c>
      <c r="B179" s="50" t="s">
        <v>2685</v>
      </c>
      <c r="C179" s="50" t="s">
        <v>340</v>
      </c>
      <c r="D179" s="49" t="str">
        <f>IFERROR(__xludf.DUMMYFUNCTION("""COMPUTED_VALUE"""),"together")</f>
        <v>together</v>
      </c>
      <c r="E179" s="49"/>
      <c r="F179" s="49">
        <f>IFERROR(__xludf.DUMMYFUNCTION("""COMPUTED_VALUE"""),103.0)</f>
        <v>103</v>
      </c>
      <c r="G179" s="49" t="str">
        <f>IFERROR(__xludf.DUMMYFUNCTION("""COMPUTED_VALUE"""),"encourage")</f>
        <v>encourage</v>
      </c>
      <c r="H179" s="54" t="str">
        <f t="shared" si="1"/>
        <v>fighting,</v>
      </c>
      <c r="I179" s="50"/>
      <c r="J179" s="50" t="s">
        <v>4650</v>
      </c>
      <c r="K179" s="50" t="s">
        <v>613</v>
      </c>
      <c r="L179" s="49" t="str">
        <f>IFERROR(__xludf.DUMMYFUNCTION("""COMPUTED_VALUE"""),"enough")</f>
        <v>enough</v>
      </c>
      <c r="M179" s="49"/>
      <c r="N179" s="49" t="str">
        <f>IFERROR(__xludf.DUMMYFUNCTION("""COMPUTED_VALUE"""),"l")</f>
        <v>l</v>
      </c>
      <c r="O179" s="49" t="str">
        <f>IFERROR(__xludf.DUMMYFUNCTION("""COMPUTED_VALUE"""),"overcome")</f>
        <v>overcome</v>
      </c>
      <c r="P179" s="49" t="str">
        <f t="shared" si="2"/>
        <v>assault,</v>
      </c>
      <c r="Q179" s="49"/>
      <c r="R179" s="50" t="s">
        <v>3140</v>
      </c>
      <c r="S179" s="55" t="s">
        <v>933</v>
      </c>
      <c r="T179" s="49" t="str">
        <f>IFERROR(__xludf.DUMMYFUNCTION("""COMPUTED_VALUE"""),"have")</f>
        <v>have</v>
      </c>
      <c r="U179" s="49"/>
      <c r="V179" s="49" t="str">
        <f>IFERROR(__xludf.DUMMYFUNCTION("""COMPUTED_VALUE"""),"bother")</f>
        <v>bother</v>
      </c>
      <c r="W179" s="49" t="str">
        <f>IFERROR(__xludf.DUMMYFUNCTION("""COMPUTED_VALUE"""),"tides")</f>
        <v>tides</v>
      </c>
      <c r="X179" s="49" t="str">
        <f t="shared" si="3"/>
        <v>mundane,</v>
      </c>
      <c r="Y179" s="49"/>
      <c r="Z179" s="1" t="s">
        <v>4067</v>
      </c>
      <c r="AA179" s="1" t="s">
        <v>1293</v>
      </c>
      <c r="AB179" s="49" t="str">
        <f>IFERROR(__xludf.DUMMYFUNCTION("""COMPUTED_VALUE"""),"merit")</f>
        <v>merit</v>
      </c>
      <c r="AC179" s="49"/>
      <c r="AD179" s="49" t="str">
        <f>IFERROR(__xludf.DUMMYFUNCTION("""COMPUTED_VALUE"""),"l")</f>
        <v>l</v>
      </c>
      <c r="AE179" s="49" t="str">
        <f>IFERROR(__xludf.DUMMYFUNCTION("""COMPUTED_VALUE"""),"overcome")</f>
        <v>overcome</v>
      </c>
      <c r="AF179" s="49" t="str">
        <f t="shared" si="4"/>
        <v>industry,</v>
      </c>
      <c r="AG179" s="49"/>
      <c r="AH179" s="1" t="s">
        <v>4807</v>
      </c>
      <c r="AI179" s="1" t="s">
        <v>795</v>
      </c>
      <c r="AJ179" s="6" t="str">
        <f>IFERROR(__xludf.DUMMYFUNCTION("""COMPUTED_VALUE"""),"cast")</f>
        <v>cast</v>
      </c>
      <c r="AK179" s="49"/>
      <c r="AL179" s="49"/>
      <c r="AM179" s="49" t="str">
        <f>IFERROR(__xludf.DUMMYFUNCTION("""COMPUTED_VALUE"""),"behalf")</f>
        <v>behalf</v>
      </c>
      <c r="AN179" s="52" t="str">
        <f t="shared" si="5"/>
        <v>empire,</v>
      </c>
    </row>
    <row r="180">
      <c r="A180" s="51" t="s">
        <v>1297</v>
      </c>
      <c r="B180" s="50" t="s">
        <v>6513</v>
      </c>
      <c r="C180" s="50" t="s">
        <v>35</v>
      </c>
      <c r="D180" s="49" t="str">
        <f>IFERROR(__xludf.DUMMYFUNCTION("""COMPUTED_VALUE"""),"experience")</f>
        <v>experience</v>
      </c>
      <c r="E180" s="49"/>
      <c r="F180" s="49" t="str">
        <f>IFERROR(__xludf.DUMMYFUNCTION("""COMPUTED_VALUE"""),"shed")</f>
        <v>shed</v>
      </c>
      <c r="G180" s="49" t="str">
        <f>IFERROR(__xludf.DUMMYFUNCTION("""COMPUTED_VALUE"""),"yu")</f>
        <v>yu</v>
      </c>
      <c r="H180" s="54" t="str">
        <f t="shared" si="1"/>
        <v>apparently,</v>
      </c>
      <c r="I180" s="50"/>
      <c r="J180" s="50" t="s">
        <v>907</v>
      </c>
      <c r="K180" s="50" t="s">
        <v>621</v>
      </c>
      <c r="L180" s="49" t="str">
        <f>IFERROR(__xludf.DUMMYFUNCTION("""COMPUTED_VALUE"""),"kill")</f>
        <v>kill</v>
      </c>
      <c r="M180" s="49"/>
      <c r="N180" s="49" t="str">
        <f>IFERROR(__xludf.DUMMYFUNCTION("""COMPUTED_VALUE"""),"live")</f>
        <v>live</v>
      </c>
      <c r="O180" s="49" t="str">
        <f>IFERROR(__xludf.DUMMYFUNCTION("""COMPUTED_VALUE"""),"carmen")</f>
        <v>carmen</v>
      </c>
      <c r="P180" s="49" t="str">
        <f t="shared" si="2"/>
        <v>homage,</v>
      </c>
      <c r="Q180" s="49"/>
      <c r="R180" s="50" t="s">
        <v>3317</v>
      </c>
      <c r="S180" s="55" t="s">
        <v>943</v>
      </c>
      <c r="T180" s="49" t="str">
        <f>IFERROR(__xludf.DUMMYFUNCTION("""COMPUTED_VALUE"""),"cinematic")</f>
        <v>cinematic</v>
      </c>
      <c r="U180" s="49"/>
      <c r="V180" s="49" t="str">
        <f>IFERROR(__xludf.DUMMYFUNCTION("""COMPUTED_VALUE"""),"putting")</f>
        <v>putting</v>
      </c>
      <c r="W180" s="49" t="str">
        <f>IFERROR(__xludf.DUMMYFUNCTION("""COMPUTED_VALUE"""),"change")</f>
        <v>change</v>
      </c>
      <c r="X180" s="49" t="str">
        <f t="shared" si="3"/>
        <v>express,</v>
      </c>
      <c r="Y180" s="49"/>
      <c r="Z180" s="1" t="s">
        <v>774</v>
      </c>
      <c r="AA180" s="1" t="s">
        <v>148</v>
      </c>
      <c r="AB180" s="49" t="str">
        <f>IFERROR(__xludf.DUMMYFUNCTION("""COMPUTED_VALUE"""),"revealed")</f>
        <v>revealed</v>
      </c>
      <c r="AC180" s="49"/>
      <c r="AD180" s="49" t="str">
        <f>IFERROR(__xludf.DUMMYFUNCTION("""COMPUTED_VALUE"""),"live")</f>
        <v>live</v>
      </c>
      <c r="AE180" s="49" t="str">
        <f>IFERROR(__xludf.DUMMYFUNCTION("""COMPUTED_VALUE"""),"carmen")</f>
        <v>carmen</v>
      </c>
      <c r="AF180" s="49" t="str">
        <f t="shared" si="4"/>
        <v>fatal,</v>
      </c>
      <c r="AG180" s="49"/>
      <c r="AH180" s="1" t="s">
        <v>211</v>
      </c>
      <c r="AI180" s="1" t="s">
        <v>779</v>
      </c>
      <c r="AJ180" s="6" t="str">
        <f>IFERROR(__xludf.DUMMYFUNCTION("""COMPUTED_VALUE"""),"pretty")</f>
        <v>pretty</v>
      </c>
      <c r="AK180" s="49"/>
      <c r="AL180" s="49"/>
      <c r="AM180" s="49" t="str">
        <f>IFERROR(__xludf.DUMMYFUNCTION("""COMPUTED_VALUE"""),"suspended")</f>
        <v>suspended</v>
      </c>
      <c r="AN180" s="52" t="str">
        <f t="shared" si="5"/>
        <v>cast,</v>
      </c>
    </row>
    <row r="181">
      <c r="A181" s="51" t="s">
        <v>1302</v>
      </c>
      <c r="B181" s="50" t="s">
        <v>2274</v>
      </c>
      <c r="C181" s="50" t="s">
        <v>1041</v>
      </c>
      <c r="D181" s="49" t="str">
        <f>IFERROR(__xludf.DUMMYFUNCTION("""COMPUTED_VALUE"""),"overall")</f>
        <v>overall</v>
      </c>
      <c r="E181" s="49"/>
      <c r="F181" s="49" t="str">
        <f>IFERROR(__xludf.DUMMYFUNCTION("""COMPUTED_VALUE"""),"thunder")</f>
        <v>thunder</v>
      </c>
      <c r="G181" s="49" t="str">
        <f>IFERROR(__xludf.DUMMYFUNCTION("""COMPUTED_VALUE"""),"refugees")</f>
        <v>refugees</v>
      </c>
      <c r="H181" s="54" t="str">
        <f t="shared" si="1"/>
        <v>otherwise,</v>
      </c>
      <c r="I181" s="50"/>
      <c r="J181" s="50" t="s">
        <v>4437</v>
      </c>
      <c r="K181" s="50" t="s">
        <v>1120</v>
      </c>
      <c r="L181" s="49" t="str">
        <f>IFERROR(__xludf.DUMMYFUNCTION("""COMPUTED_VALUE"""),"violence")</f>
        <v>violence</v>
      </c>
      <c r="M181" s="49"/>
      <c r="N181" s="49" t="str">
        <f>IFERROR(__xludf.DUMMYFUNCTION("""COMPUTED_VALUE"""),"always")</f>
        <v>always</v>
      </c>
      <c r="O181" s="49" t="str">
        <f>IFERROR(__xludf.DUMMYFUNCTION("""COMPUTED_VALUE"""),"low")</f>
        <v>low</v>
      </c>
      <c r="P181" s="49" t="str">
        <f t="shared" si="2"/>
        <v>fight,</v>
      </c>
      <c r="Q181" s="49"/>
      <c r="R181" s="50" t="s">
        <v>78</v>
      </c>
      <c r="S181" s="55" t="s">
        <v>425</v>
      </c>
      <c r="T181" s="49" t="str">
        <f>IFERROR(__xludf.DUMMYFUNCTION("""COMPUTED_VALUE"""),"vehicle")</f>
        <v>vehicle</v>
      </c>
      <c r="U181" s="49"/>
      <c r="V181" s="49" t="str">
        <f>IFERROR(__xludf.DUMMYFUNCTION("""COMPUTED_VALUE"""),"remake")</f>
        <v>remake</v>
      </c>
      <c r="W181" s="49" t="str">
        <f>IFERROR(__xludf.DUMMYFUNCTION("""COMPUTED_VALUE"""),"quivering")</f>
        <v>quivering</v>
      </c>
      <c r="X181" s="49" t="str">
        <f t="shared" si="3"/>
        <v>significance,</v>
      </c>
      <c r="Y181" s="49"/>
      <c r="Z181" s="1" t="s">
        <v>443</v>
      </c>
      <c r="AA181" s="1" t="s">
        <v>1303</v>
      </c>
      <c r="AB181" s="49" t="str">
        <f>IFERROR(__xludf.DUMMYFUNCTION("""COMPUTED_VALUE"""),"intelligence")</f>
        <v>intelligence</v>
      </c>
      <c r="AC181" s="49"/>
      <c r="AD181" s="49" t="str">
        <f>IFERROR(__xludf.DUMMYFUNCTION("""COMPUTED_VALUE"""),"always")</f>
        <v>always</v>
      </c>
      <c r="AE181" s="49" t="str">
        <f>IFERROR(__xludf.DUMMYFUNCTION("""COMPUTED_VALUE"""),"low")</f>
        <v>low</v>
      </c>
      <c r="AF181" s="49" t="str">
        <f t="shared" si="4"/>
        <v>part,</v>
      </c>
      <c r="AG181" s="49"/>
      <c r="AH181" s="1" t="s">
        <v>776</v>
      </c>
      <c r="AI181" s="1" t="s">
        <v>638</v>
      </c>
      <c r="AJ181" s="6" t="str">
        <f>IFERROR(__xludf.DUMMYFUNCTION("""COMPUTED_VALUE"""),"recent")</f>
        <v>recent</v>
      </c>
      <c r="AK181" s="49"/>
      <c r="AL181" s="49"/>
      <c r="AM181" s="49" t="str">
        <f>IFERROR(__xludf.DUMMYFUNCTION("""COMPUTED_VALUE"""),"swung")</f>
        <v>swung</v>
      </c>
      <c r="AN181" s="52" t="str">
        <f t="shared" si="5"/>
        <v>pretty,</v>
      </c>
    </row>
    <row r="182">
      <c r="A182" s="51" t="s">
        <v>1310</v>
      </c>
      <c r="B182" s="50" t="s">
        <v>3804</v>
      </c>
      <c r="C182" s="50" t="s">
        <v>4067</v>
      </c>
      <c r="D182" s="49" t="str">
        <f>IFERROR(__xludf.DUMMYFUNCTION("""COMPUTED_VALUE"""),"shots")</f>
        <v>shots</v>
      </c>
      <c r="E182" s="49"/>
      <c r="F182" s="49" t="str">
        <f>IFERROR(__xludf.DUMMYFUNCTION("""COMPUTED_VALUE"""),"neo")</f>
        <v>neo</v>
      </c>
      <c r="G182" s="49" t="str">
        <f>IFERROR(__xludf.DUMMYFUNCTION("""COMPUTED_VALUE"""),"merchant")</f>
        <v>merchant</v>
      </c>
      <c r="H182" s="54" t="str">
        <f t="shared" si="1"/>
        <v>planet,</v>
      </c>
      <c r="I182" s="50"/>
      <c r="J182" s="50" t="s">
        <v>4273</v>
      </c>
      <c r="K182" s="50" t="s">
        <v>1307</v>
      </c>
      <c r="L182" s="49" t="str">
        <f>IFERROR(__xludf.DUMMYFUNCTION("""COMPUTED_VALUE"""),"light")</f>
        <v>light</v>
      </c>
      <c r="M182" s="49"/>
      <c r="N182" s="49" t="str">
        <f>IFERROR(__xludf.DUMMYFUNCTION("""COMPUTED_VALUE"""),"m")</f>
        <v>m</v>
      </c>
      <c r="O182" s="49" t="str">
        <f>IFERROR(__xludf.DUMMYFUNCTION("""COMPUTED_VALUE"""),"muttering")</f>
        <v>muttering</v>
      </c>
      <c r="P182" s="49" t="str">
        <f t="shared" si="2"/>
        <v>expert,</v>
      </c>
      <c r="Q182" s="49"/>
      <c r="R182" s="50" t="s">
        <v>6565</v>
      </c>
      <c r="S182" s="55" t="s">
        <v>767</v>
      </c>
      <c r="T182" s="49" t="str">
        <f>IFERROR(__xludf.DUMMYFUNCTION("""COMPUTED_VALUE"""),"down")</f>
        <v>down</v>
      </c>
      <c r="U182" s="49"/>
      <c r="V182" s="49" t="str">
        <f>IFERROR(__xludf.DUMMYFUNCTION("""COMPUTED_VALUE"""),"dial")</f>
        <v>dial</v>
      </c>
      <c r="W182" s="49" t="str">
        <f>IFERROR(__xludf.DUMMYFUNCTION("""COMPUTED_VALUE"""),"honest")</f>
        <v>honest</v>
      </c>
      <c r="X182" s="49" t="str">
        <f t="shared" si="3"/>
        <v>families,</v>
      </c>
      <c r="Y182" s="49"/>
      <c r="Z182" s="1" t="s">
        <v>1343</v>
      </c>
      <c r="AA182" s="1" t="s">
        <v>1311</v>
      </c>
      <c r="AB182" s="49" t="str">
        <f>IFERROR(__xludf.DUMMYFUNCTION("""COMPUTED_VALUE"""),"abstract")</f>
        <v>abstract</v>
      </c>
      <c r="AC182" s="49"/>
      <c r="AD182" s="49" t="str">
        <f>IFERROR(__xludf.DUMMYFUNCTION("""COMPUTED_VALUE"""),"m")</f>
        <v>m</v>
      </c>
      <c r="AE182" s="49" t="str">
        <f>IFERROR(__xludf.DUMMYFUNCTION("""COMPUTED_VALUE"""),"muttering")</f>
        <v>muttering</v>
      </c>
      <c r="AF182" s="49" t="str">
        <f t="shared" si="4"/>
        <v>mother,</v>
      </c>
      <c r="AG182" s="49"/>
      <c r="AH182" s="1" t="s">
        <v>1453</v>
      </c>
      <c r="AI182" s="1" t="s">
        <v>803</v>
      </c>
      <c r="AJ182" s="6" t="str">
        <f>IFERROR(__xludf.DUMMYFUNCTION("""COMPUTED_VALUE"""),"piece")</f>
        <v>piece</v>
      </c>
      <c r="AK182" s="49"/>
      <c r="AL182" s="49"/>
      <c r="AM182" s="49" t="str">
        <f>IFERROR(__xludf.DUMMYFUNCTION("""COMPUTED_VALUE"""),"region")</f>
        <v>region</v>
      </c>
      <c r="AN182" s="52" t="str">
        <f t="shared" si="5"/>
        <v>recent,</v>
      </c>
    </row>
    <row r="183">
      <c r="A183" s="51" t="s">
        <v>1317</v>
      </c>
      <c r="B183" s="50" t="s">
        <v>4361</v>
      </c>
      <c r="C183" s="50" t="s">
        <v>1035</v>
      </c>
      <c r="D183" s="49" t="str">
        <f>IFERROR(__xludf.DUMMYFUNCTION("""COMPUTED_VALUE"""),"men")</f>
        <v>men</v>
      </c>
      <c r="E183" s="49"/>
      <c r="F183" s="49" t="str">
        <f>IFERROR(__xludf.DUMMYFUNCTION("""COMPUTED_VALUE"""),"orchestra")</f>
        <v>orchestra</v>
      </c>
      <c r="G183" s="49" t="str">
        <f>IFERROR(__xludf.DUMMYFUNCTION("""COMPUTED_VALUE"""),"lens")</f>
        <v>lens</v>
      </c>
      <c r="H183" s="54" t="str">
        <f t="shared" si="1"/>
        <v>ideas,</v>
      </c>
      <c r="I183" s="50"/>
      <c r="J183" s="50" t="s">
        <v>46</v>
      </c>
      <c r="K183" s="50" t="s">
        <v>627</v>
      </c>
      <c r="L183" s="49" t="str">
        <f>IFERROR(__xludf.DUMMYFUNCTION("""COMPUTED_VALUE"""),"machine")</f>
        <v>machine</v>
      </c>
      <c r="M183" s="49"/>
      <c r="N183" s="49" t="str">
        <f>IFERROR(__xludf.DUMMYFUNCTION("""COMPUTED_VALUE"""),"sure")</f>
        <v>sure</v>
      </c>
      <c r="O183" s="49" t="str">
        <f>IFERROR(__xludf.DUMMYFUNCTION("""COMPUTED_VALUE"""),"transition")</f>
        <v>transition</v>
      </c>
      <c r="P183" s="49" t="str">
        <f t="shared" si="2"/>
        <v>new,</v>
      </c>
      <c r="Q183" s="49"/>
      <c r="R183" s="50" t="s">
        <v>5364</v>
      </c>
      <c r="S183" s="55" t="s">
        <v>782</v>
      </c>
      <c r="T183" s="49" t="str">
        <f>IFERROR(__xludf.DUMMYFUNCTION("""COMPUTED_VALUE"""),"france")</f>
        <v>france</v>
      </c>
      <c r="U183" s="49"/>
      <c r="V183" s="49" t="str">
        <f>IFERROR(__xludf.DUMMYFUNCTION("""COMPUTED_VALUE"""),"psycho")</f>
        <v>psycho</v>
      </c>
      <c r="W183" s="49" t="str">
        <f>IFERROR(__xludf.DUMMYFUNCTION("""COMPUTED_VALUE"""),"confessions")</f>
        <v>confessions</v>
      </c>
      <c r="X183" s="49" t="str">
        <f t="shared" si="3"/>
        <v>presence,</v>
      </c>
      <c r="Y183" s="49"/>
      <c r="Z183" s="1" t="s">
        <v>3432</v>
      </c>
      <c r="AA183" s="1" t="s">
        <v>836</v>
      </c>
      <c r="AB183" s="49" t="str">
        <f>IFERROR(__xludf.DUMMYFUNCTION("""COMPUTED_VALUE"""),"experience")</f>
        <v>experience</v>
      </c>
      <c r="AC183" s="49"/>
      <c r="AD183" s="49" t="str">
        <f>IFERROR(__xludf.DUMMYFUNCTION("""COMPUTED_VALUE"""),"sure")</f>
        <v>sure</v>
      </c>
      <c r="AE183" s="49" t="str">
        <f>IFERROR(__xludf.DUMMYFUNCTION("""COMPUTED_VALUE"""),"transition")</f>
        <v>transition</v>
      </c>
      <c r="AF183" s="49" t="str">
        <f t="shared" si="4"/>
        <v>produce,</v>
      </c>
      <c r="AG183" s="49"/>
      <c r="AH183" s="1" t="s">
        <v>1551</v>
      </c>
      <c r="AI183" s="1" t="s">
        <v>819</v>
      </c>
      <c r="AJ183" s="6" t="str">
        <f>IFERROR(__xludf.DUMMYFUNCTION("""COMPUTED_VALUE"""),"beat")</f>
        <v>beat</v>
      </c>
      <c r="AK183" s="49"/>
      <c r="AL183" s="49"/>
      <c r="AM183" s="49">
        <f>IFERROR(__xludf.DUMMYFUNCTION("""COMPUTED_VALUE"""),120.0)</f>
        <v>120</v>
      </c>
      <c r="AN183" s="52" t="str">
        <f t="shared" si="5"/>
        <v>piece,</v>
      </c>
    </row>
    <row r="184">
      <c r="A184" s="51" t="s">
        <v>1323</v>
      </c>
      <c r="B184" s="50" t="s">
        <v>1490</v>
      </c>
      <c r="C184" s="50" t="s">
        <v>465</v>
      </c>
      <c r="D184" s="49" t="str">
        <f>IFERROR(__xludf.DUMMYFUNCTION("""COMPUTED_VALUE"""),"women")</f>
        <v>women</v>
      </c>
      <c r="E184" s="49"/>
      <c r="F184" s="49" t="str">
        <f>IFERROR(__xludf.DUMMYFUNCTION("""COMPUTED_VALUE"""),"swing")</f>
        <v>swing</v>
      </c>
      <c r="G184" s="49" t="str">
        <f>IFERROR(__xludf.DUMMYFUNCTION("""COMPUTED_VALUE"""),"exposition")</f>
        <v>exposition</v>
      </c>
      <c r="H184" s="54" t="str">
        <f t="shared" si="1"/>
        <v>scenes,</v>
      </c>
      <c r="I184" s="50"/>
      <c r="J184" s="50" t="s">
        <v>61</v>
      </c>
      <c r="K184" s="50" t="s">
        <v>635</v>
      </c>
      <c r="L184" s="49" t="str">
        <f>IFERROR(__xludf.DUMMYFUNCTION("""COMPUTED_VALUE"""),"monster")</f>
        <v>monster</v>
      </c>
      <c r="M184" s="49"/>
      <c r="N184" s="49" t="str">
        <f>IFERROR(__xludf.DUMMYFUNCTION("""COMPUTED_VALUE"""),"critic")</f>
        <v>critic</v>
      </c>
      <c r="O184" s="49" t="str">
        <f>IFERROR(__xludf.DUMMYFUNCTION("""COMPUTED_VALUE"""),"next")</f>
        <v>next</v>
      </c>
      <c r="P184" s="49" t="str">
        <f t="shared" si="2"/>
        <v>or,</v>
      </c>
      <c r="Q184" s="49"/>
      <c r="R184" s="50" t="s">
        <v>2662</v>
      </c>
      <c r="S184" s="55" t="s">
        <v>967</v>
      </c>
      <c r="T184" s="49" t="str">
        <f>IFERROR(__xludf.DUMMYFUNCTION("""COMPUTED_VALUE"""),"made")</f>
        <v>made</v>
      </c>
      <c r="U184" s="49"/>
      <c r="V184" s="49" t="str">
        <f>IFERROR(__xludf.DUMMYFUNCTION("""COMPUTED_VALUE"""),"budget")</f>
        <v>budget</v>
      </c>
      <c r="W184" s="49" t="str">
        <f>IFERROR(__xludf.DUMMYFUNCTION("""COMPUTED_VALUE"""),"slice")</f>
        <v>slice</v>
      </c>
      <c r="X184" s="49" t="str">
        <f t="shared" si="3"/>
        <v>plays,</v>
      </c>
      <c r="Y184" s="49"/>
      <c r="Z184" s="1" t="s">
        <v>872</v>
      </c>
      <c r="AA184" s="1" t="s">
        <v>161</v>
      </c>
      <c r="AB184" s="49" t="str">
        <f>IFERROR(__xludf.DUMMYFUNCTION("""COMPUTED_VALUE"""),"phone")</f>
        <v>phone</v>
      </c>
      <c r="AC184" s="49"/>
      <c r="AD184" s="49" t="str">
        <f>IFERROR(__xludf.DUMMYFUNCTION("""COMPUTED_VALUE"""),"critic")</f>
        <v>critic</v>
      </c>
      <c r="AE184" s="49" t="str">
        <f>IFERROR(__xludf.DUMMYFUNCTION("""COMPUTED_VALUE"""),"next")</f>
        <v>next</v>
      </c>
      <c r="AF184" s="49" t="str">
        <f t="shared" si="4"/>
        <v>theatrical,</v>
      </c>
      <c r="AG184" s="49"/>
      <c r="AH184" s="1" t="s">
        <v>6342</v>
      </c>
      <c r="AI184" s="1" t="s">
        <v>813</v>
      </c>
      <c r="AJ184" s="6" t="str">
        <f>IFERROR(__xludf.DUMMYFUNCTION("""COMPUTED_VALUE"""),"20th")</f>
        <v>20th</v>
      </c>
      <c r="AK184" s="49"/>
      <c r="AL184" s="49"/>
      <c r="AM184" s="49" t="str">
        <f>IFERROR(__xludf.DUMMYFUNCTION("""COMPUTED_VALUE"""),"horses")</f>
        <v>horses</v>
      </c>
      <c r="AN184" s="52" t="str">
        <f t="shared" si="5"/>
        <v>beat,</v>
      </c>
    </row>
    <row r="185">
      <c r="A185" s="51" t="s">
        <v>1328</v>
      </c>
      <c r="B185" s="50" t="s">
        <v>1171</v>
      </c>
      <c r="C185" s="50" t="s">
        <v>6301</v>
      </c>
      <c r="D185" s="49" t="str">
        <f>IFERROR(__xludf.DUMMYFUNCTION("""COMPUTED_VALUE"""),"total")</f>
        <v>total</v>
      </c>
      <c r="E185" s="49"/>
      <c r="F185" s="49" t="str">
        <f>IFERROR(__xludf.DUMMYFUNCTION("""COMPUTED_VALUE"""),"mo")</f>
        <v>mo</v>
      </c>
      <c r="G185" s="49" t="str">
        <f>IFERROR(__xludf.DUMMYFUNCTION("""COMPUTED_VALUE"""),"extensive")</f>
        <v>extensive</v>
      </c>
      <c r="H185" s="54" t="str">
        <f t="shared" si="1"/>
        <v>horror,</v>
      </c>
      <c r="I185" s="50"/>
      <c r="J185" s="50" t="s">
        <v>328</v>
      </c>
      <c r="K185" s="50" t="s">
        <v>642</v>
      </c>
      <c r="L185" s="49" t="str">
        <f>IFERROR(__xludf.DUMMYFUNCTION("""COMPUTED_VALUE"""),"darkness")</f>
        <v>darkness</v>
      </c>
      <c r="M185" s="49"/>
      <c r="N185" s="49" t="str">
        <f>IFERROR(__xludf.DUMMYFUNCTION("""COMPUTED_VALUE"""),"minor")</f>
        <v>minor</v>
      </c>
      <c r="O185" s="49" t="str">
        <f>IFERROR(__xludf.DUMMYFUNCTION("""COMPUTED_VALUE"""),"backward")</f>
        <v>backward</v>
      </c>
      <c r="P185" s="49" t="str">
        <f t="shared" si="2"/>
        <v>how,</v>
      </c>
      <c r="Q185" s="49"/>
      <c r="R185" s="50" t="s">
        <v>1045</v>
      </c>
      <c r="S185" s="55" t="s">
        <v>789</v>
      </c>
      <c r="T185" s="49" t="str">
        <f>IFERROR(__xludf.DUMMYFUNCTION("""COMPUTED_VALUE"""),"kong")</f>
        <v>kong</v>
      </c>
      <c r="U185" s="49"/>
      <c r="V185" s="49" t="str">
        <f>IFERROR(__xludf.DUMMYFUNCTION("""COMPUTED_VALUE"""),"bon")</f>
        <v>bon</v>
      </c>
      <c r="W185" s="49" t="str">
        <f>IFERROR(__xludf.DUMMYFUNCTION("""COMPUTED_VALUE"""),"delightful")</f>
        <v>delightful</v>
      </c>
      <c r="X185" s="49" t="str">
        <f t="shared" si="3"/>
        <v>depth,</v>
      </c>
      <c r="Y185" s="49"/>
      <c r="Z185" s="1" t="s">
        <v>4311</v>
      </c>
      <c r="AA185" s="1" t="s">
        <v>216</v>
      </c>
      <c r="AB185" s="49" t="str">
        <f>IFERROR(__xludf.DUMMYFUNCTION("""COMPUTED_VALUE"""),"america")</f>
        <v>america</v>
      </c>
      <c r="AC185" s="49"/>
      <c r="AD185" s="49" t="str">
        <f>IFERROR(__xludf.DUMMYFUNCTION("""COMPUTED_VALUE"""),"minor")</f>
        <v>minor</v>
      </c>
      <c r="AE185" s="49" t="str">
        <f>IFERROR(__xludf.DUMMYFUNCTION("""COMPUTED_VALUE"""),"backward")</f>
        <v>backward</v>
      </c>
      <c r="AF185" s="49" t="str">
        <f t="shared" si="4"/>
        <v>falls,</v>
      </c>
      <c r="AG185" s="49"/>
      <c r="AH185" s="1" t="s">
        <v>4053</v>
      </c>
      <c r="AI185" s="7">
        <v>20.0</v>
      </c>
      <c r="AJ185" s="7" t="str">
        <f>IFERROR(__xludf.DUMMYFUNCTION("""COMPUTED_VALUE"""),"contest")</f>
        <v>contest</v>
      </c>
      <c r="AK185" s="49"/>
      <c r="AL185" s="49"/>
      <c r="AM185" s="49" t="str">
        <f>IFERROR(__xludf.DUMMYFUNCTION("""COMPUTED_VALUE"""),"practices")</f>
        <v>practices</v>
      </c>
      <c r="AN185" s="52" t="str">
        <f t="shared" si="5"/>
        <v>20th,</v>
      </c>
    </row>
    <row r="186">
      <c r="A186" s="51" t="s">
        <v>1334</v>
      </c>
      <c r="B186" s="50" t="s">
        <v>4551</v>
      </c>
      <c r="C186" s="50" t="s">
        <v>4777</v>
      </c>
      <c r="D186" s="49" t="str">
        <f>IFERROR(__xludf.DUMMYFUNCTION("""COMPUTED_VALUE"""),"carried")</f>
        <v>carried</v>
      </c>
      <c r="E186" s="49"/>
      <c r="F186" s="49" t="str">
        <f>IFERROR(__xludf.DUMMYFUNCTION("""COMPUTED_VALUE"""),"supreme")</f>
        <v>supreme</v>
      </c>
      <c r="G186" s="49" t="str">
        <f>IFERROR(__xludf.DUMMYFUNCTION("""COMPUTED_VALUE"""),"monitor")</f>
        <v>monitor</v>
      </c>
      <c r="H186" s="54" t="str">
        <f t="shared" si="1"/>
        <v>accused,</v>
      </c>
      <c r="I186" s="50"/>
      <c r="J186" s="50" t="s">
        <v>2458</v>
      </c>
      <c r="K186" s="50" t="s">
        <v>647</v>
      </c>
      <c r="L186" s="49" t="str">
        <f>IFERROR(__xludf.DUMMYFUNCTION("""COMPUTED_VALUE"""),"holes")</f>
        <v>holes</v>
      </c>
      <c r="M186" s="49"/>
      <c r="N186" s="49" t="str">
        <f>IFERROR(__xludf.DUMMYFUNCTION("""COMPUTED_VALUE"""),"earth")</f>
        <v>earth</v>
      </c>
      <c r="O186" s="49" t="str">
        <f>IFERROR(__xludf.DUMMYFUNCTION("""COMPUTED_VALUE"""),"luminous")</f>
        <v>luminous</v>
      </c>
      <c r="P186" s="49" t="str">
        <f t="shared" si="2"/>
        <v>yourself,</v>
      </c>
      <c r="Q186" s="49"/>
      <c r="R186" s="50" t="s">
        <v>2159</v>
      </c>
      <c r="S186" s="55" t="s">
        <v>5464</v>
      </c>
      <c r="T186" s="49" t="str">
        <f>IFERROR(__xludf.DUMMYFUNCTION("""COMPUTED_VALUE"""),"team")</f>
        <v>team</v>
      </c>
      <c r="U186" s="49"/>
      <c r="V186" s="49" t="str">
        <f>IFERROR(__xludf.DUMMYFUNCTION("""COMPUTED_VALUE"""),"feeling")</f>
        <v>feeling</v>
      </c>
      <c r="W186" s="49" t="str">
        <f>IFERROR(__xludf.DUMMYFUNCTION("""COMPUTED_VALUE"""),"plain")</f>
        <v>plain</v>
      </c>
      <c r="X186" s="49" t="str">
        <f t="shared" si="3"/>
        <v>hours,</v>
      </c>
      <c r="Y186" s="49"/>
      <c r="Z186" s="1" t="s">
        <v>3755</v>
      </c>
      <c r="AA186" s="1" t="s">
        <v>1335</v>
      </c>
      <c r="AB186" s="49" t="str">
        <f>IFERROR(__xludf.DUMMYFUNCTION("""COMPUTED_VALUE"""),"our")</f>
        <v>our</v>
      </c>
      <c r="AC186" s="49"/>
      <c r="AD186" s="49" t="str">
        <f>IFERROR(__xludf.DUMMYFUNCTION("""COMPUTED_VALUE"""),"earth")</f>
        <v>earth</v>
      </c>
      <c r="AE186" s="49" t="str">
        <f>IFERROR(__xludf.DUMMYFUNCTION("""COMPUTED_VALUE"""),"luminous")</f>
        <v>luminous</v>
      </c>
      <c r="AF186" s="49" t="str">
        <f t="shared" si="4"/>
        <v>seemingly,</v>
      </c>
      <c r="AG186" s="49"/>
      <c r="AH186" s="1" t="s">
        <v>5719</v>
      </c>
      <c r="AI186" s="1" t="s">
        <v>976</v>
      </c>
      <c r="AJ186" s="6" t="str">
        <f>IFERROR(__xludf.DUMMYFUNCTION("""COMPUTED_VALUE"""),"worried")</f>
        <v>worried</v>
      </c>
      <c r="AK186" s="49"/>
      <c r="AL186" s="49"/>
      <c r="AM186" s="49" t="str">
        <f>IFERROR(__xludf.DUMMYFUNCTION("""COMPUTED_VALUE"""),"playoff")</f>
        <v>playoff</v>
      </c>
      <c r="AN186" s="52" t="str">
        <f t="shared" si="5"/>
        <v>contest,</v>
      </c>
    </row>
    <row r="187">
      <c r="A187" s="51" t="s">
        <v>1341</v>
      </c>
      <c r="B187" s="50" t="s">
        <v>4650</v>
      </c>
      <c r="C187" s="50" t="s">
        <v>485</v>
      </c>
      <c r="D187" s="49" t="str">
        <f>IFERROR(__xludf.DUMMYFUNCTION("""COMPUTED_VALUE"""),"lack")</f>
        <v>lack</v>
      </c>
      <c r="E187" s="49"/>
      <c r="F187" s="49" t="str">
        <f>IFERROR(__xludf.DUMMYFUNCTION("""COMPUTED_VALUE"""),"painter")</f>
        <v>painter</v>
      </c>
      <c r="G187" s="49" t="str">
        <f>IFERROR(__xludf.DUMMYFUNCTION("""COMPUTED_VALUE"""),"option")</f>
        <v>option</v>
      </c>
      <c r="H187" s="54" t="str">
        <f t="shared" si="1"/>
        <v>assault,</v>
      </c>
      <c r="I187" s="50"/>
      <c r="J187" s="50" t="s">
        <v>371</v>
      </c>
      <c r="K187" s="50" t="s">
        <v>1077</v>
      </c>
      <c r="L187" s="49" t="str">
        <f>IFERROR(__xludf.DUMMYFUNCTION("""COMPUTED_VALUE"""),"girls")</f>
        <v>girls</v>
      </c>
      <c r="M187" s="49"/>
      <c r="N187" s="49" t="str">
        <f>IFERROR(__xludf.DUMMYFUNCTION("""COMPUTED_VALUE"""),"green")</f>
        <v>green</v>
      </c>
      <c r="O187" s="49" t="str">
        <f>IFERROR(__xludf.DUMMYFUNCTION("""COMPUTED_VALUE"""),"trier")</f>
        <v>trier</v>
      </c>
      <c r="P187" s="49" t="str">
        <f t="shared" si="2"/>
        <v>just,</v>
      </c>
      <c r="Q187" s="49"/>
      <c r="R187" s="50" t="s">
        <v>4936</v>
      </c>
      <c r="S187" s="55" t="s">
        <v>163</v>
      </c>
      <c r="T187" s="49" t="str">
        <f>IFERROR(__xludf.DUMMYFUNCTION("""COMPUTED_VALUE"""),"version")</f>
        <v>version</v>
      </c>
      <c r="U187" s="49"/>
      <c r="V187" s="49" t="str">
        <f>IFERROR(__xludf.DUMMYFUNCTION("""COMPUTED_VALUE"""),"assassination")</f>
        <v>assassination</v>
      </c>
      <c r="W187" s="49" t="str">
        <f>IFERROR(__xludf.DUMMYFUNCTION("""COMPUTED_VALUE"""),"indian")</f>
        <v>indian</v>
      </c>
      <c r="X187" s="49" t="str">
        <f t="shared" si="3"/>
        <v>accurate,</v>
      </c>
      <c r="Y187" s="49"/>
      <c r="Z187" s="1" t="s">
        <v>2733</v>
      </c>
      <c r="AA187" s="1" t="s">
        <v>736</v>
      </c>
      <c r="AB187" s="49" t="str">
        <f>IFERROR(__xludf.DUMMYFUNCTION("""COMPUTED_VALUE"""),"control")</f>
        <v>control</v>
      </c>
      <c r="AC187" s="49"/>
      <c r="AD187" s="49" t="str">
        <f>IFERROR(__xludf.DUMMYFUNCTION("""COMPUTED_VALUE"""),"green")</f>
        <v>green</v>
      </c>
      <c r="AE187" s="49" t="str">
        <f>IFERROR(__xludf.DUMMYFUNCTION("""COMPUTED_VALUE"""),"trier")</f>
        <v>trier</v>
      </c>
      <c r="AF187" s="49" t="str">
        <f t="shared" si="4"/>
        <v>boy,</v>
      </c>
      <c r="AG187" s="49"/>
      <c r="AH187" s="1" t="s">
        <v>4249</v>
      </c>
      <c r="AI187" s="1" t="s">
        <v>833</v>
      </c>
      <c r="AJ187" s="6" t="str">
        <f>IFERROR(__xludf.DUMMYFUNCTION("""COMPUTED_VALUE"""),"animation")</f>
        <v>animation</v>
      </c>
      <c r="AK187" s="49"/>
      <c r="AL187" s="49"/>
      <c r="AM187" s="49" t="str">
        <f>IFERROR(__xludf.DUMMYFUNCTION("""COMPUTED_VALUE"""),"tested")</f>
        <v>tested</v>
      </c>
      <c r="AN187" s="52" t="str">
        <f t="shared" si="5"/>
        <v>worried,</v>
      </c>
    </row>
    <row r="188">
      <c r="A188" s="51" t="s">
        <v>1346</v>
      </c>
      <c r="B188" s="50" t="s">
        <v>5417</v>
      </c>
      <c r="C188" s="50" t="s">
        <v>322</v>
      </c>
      <c r="D188" s="49" t="str">
        <f>IFERROR(__xludf.DUMMYFUNCTION("""COMPUTED_VALUE"""),"sounds")</f>
        <v>sounds</v>
      </c>
      <c r="E188" s="49"/>
      <c r="F188" s="49" t="str">
        <f>IFERROR(__xludf.DUMMYFUNCTION("""COMPUTED_VALUE"""),"intention")</f>
        <v>intention</v>
      </c>
      <c r="G188" s="49" t="str">
        <f>IFERROR(__xludf.DUMMYFUNCTION("""COMPUTED_VALUE"""),"noise")</f>
        <v>noise</v>
      </c>
      <c r="H188" s="54" t="str">
        <f t="shared" si="1"/>
        <v>mistake,</v>
      </c>
      <c r="I188" s="50"/>
      <c r="J188" s="50" t="s">
        <v>6279</v>
      </c>
      <c r="K188" s="50" t="s">
        <v>1091</v>
      </c>
      <c r="L188" s="49" t="str">
        <f>IFERROR(__xludf.DUMMYFUNCTION("""COMPUTED_VALUE"""),"upon")</f>
        <v>upon</v>
      </c>
      <c r="M188" s="49"/>
      <c r="N188" s="49" t="str">
        <f>IFERROR(__xludf.DUMMYFUNCTION("""COMPUTED_VALUE"""),"than")</f>
        <v>than</v>
      </c>
      <c r="O188" s="49" t="str">
        <f>IFERROR(__xludf.DUMMYFUNCTION("""COMPUTED_VALUE"""),"astonishing")</f>
        <v>astonishing</v>
      </c>
      <c r="P188" s="49" t="str">
        <f t="shared" si="2"/>
        <v>can,</v>
      </c>
      <c r="Q188" s="49"/>
      <c r="R188" s="50" t="s">
        <v>1436</v>
      </c>
      <c r="S188" s="55" t="s">
        <v>433</v>
      </c>
      <c r="T188" s="49" t="str">
        <f>IFERROR(__xludf.DUMMYFUNCTION("""COMPUTED_VALUE"""),"attempts")</f>
        <v>attempts</v>
      </c>
      <c r="U188" s="49"/>
      <c r="V188" s="49" t="str">
        <f>IFERROR(__xludf.DUMMYFUNCTION("""COMPUTED_VALUE"""),"concentrate")</f>
        <v>concentrate</v>
      </c>
      <c r="W188" s="49" t="str">
        <f>IFERROR(__xludf.DUMMYFUNCTION("""COMPUTED_VALUE"""),"worth")</f>
        <v>worth</v>
      </c>
      <c r="X188" s="49" t="str">
        <f t="shared" si="3"/>
        <v>drama,</v>
      </c>
      <c r="Y188" s="49"/>
      <c r="Z188" s="1" t="s">
        <v>3256</v>
      </c>
      <c r="AA188" s="1" t="s">
        <v>224</v>
      </c>
      <c r="AB188" s="49" t="str">
        <f>IFERROR(__xludf.DUMMYFUNCTION("""COMPUTED_VALUE"""),"increasingly")</f>
        <v>increasingly</v>
      </c>
      <c r="AC188" s="49"/>
      <c r="AD188" s="49" t="str">
        <f>IFERROR(__xludf.DUMMYFUNCTION("""COMPUTED_VALUE"""),"than")</f>
        <v>than</v>
      </c>
      <c r="AE188" s="49" t="str">
        <f>IFERROR(__xludf.DUMMYFUNCTION("""COMPUTED_VALUE"""),"astonishing")</f>
        <v>astonishing</v>
      </c>
      <c r="AF188" s="49" t="str">
        <f t="shared" si="4"/>
        <v>favor,</v>
      </c>
      <c r="AG188" s="49"/>
      <c r="AH188" s="1" t="s">
        <v>2339</v>
      </c>
      <c r="AI188" s="1" t="s">
        <v>339</v>
      </c>
      <c r="AJ188" s="6" t="str">
        <f>IFERROR(__xludf.DUMMYFUNCTION("""COMPUTED_VALUE"""),"he")</f>
        <v>he</v>
      </c>
      <c r="AK188" s="49"/>
      <c r="AL188" s="49"/>
      <c r="AM188" s="49" t="str">
        <f>IFERROR(__xludf.DUMMYFUNCTION("""COMPUTED_VALUE"""),"mode")</f>
        <v>mode</v>
      </c>
      <c r="AN188" s="52" t="str">
        <f t="shared" si="5"/>
        <v>animation,</v>
      </c>
    </row>
    <row r="189">
      <c r="A189" s="51" t="s">
        <v>1352</v>
      </c>
      <c r="B189" s="50" t="s">
        <v>4273</v>
      </c>
      <c r="C189" s="50" t="s">
        <v>6302</v>
      </c>
      <c r="D189" s="49" t="str">
        <f>IFERROR(__xludf.DUMMYFUNCTION("""COMPUTED_VALUE"""),"ideas")</f>
        <v>ideas</v>
      </c>
      <c r="E189" s="49"/>
      <c r="F189" s="49" t="str">
        <f>IFERROR(__xludf.DUMMYFUNCTION("""COMPUTED_VALUE"""),"abc")</f>
        <v>abc</v>
      </c>
      <c r="G189" s="49" t="str">
        <f>IFERROR(__xludf.DUMMYFUNCTION("""COMPUTED_VALUE"""),"handed")</f>
        <v>handed</v>
      </c>
      <c r="H189" s="54" t="str">
        <f t="shared" si="1"/>
        <v>expert,</v>
      </c>
      <c r="I189" s="50"/>
      <c r="J189" s="50" t="s">
        <v>6285</v>
      </c>
      <c r="K189" s="50" t="s">
        <v>1055</v>
      </c>
      <c r="L189" s="49" t="str">
        <f>IFERROR(__xludf.DUMMYFUNCTION("""COMPUTED_VALUE"""),"neil")</f>
        <v>neil</v>
      </c>
      <c r="M189" s="49"/>
      <c r="N189" s="49" t="str">
        <f>IFERROR(__xludf.DUMMYFUNCTION("""COMPUTED_VALUE"""),"d")</f>
        <v>d</v>
      </c>
      <c r="O189" s="49" t="str">
        <f>IFERROR(__xludf.DUMMYFUNCTION("""COMPUTED_VALUE"""),"leaves")</f>
        <v>leaves</v>
      </c>
      <c r="P189" s="49" t="str">
        <f t="shared" si="2"/>
        <v>who,</v>
      </c>
      <c r="Q189" s="49"/>
      <c r="R189" s="50" t="s">
        <v>858</v>
      </c>
      <c r="S189" s="55" t="s">
        <v>143</v>
      </c>
      <c r="T189" s="49" t="str">
        <f>IFERROR(__xludf.DUMMYFUNCTION("""COMPUTED_VALUE"""),"necessary")</f>
        <v>necessary</v>
      </c>
      <c r="U189" s="49"/>
      <c r="V189" s="49" t="str">
        <f>IFERROR(__xludf.DUMMYFUNCTION("""COMPUTED_VALUE"""),"verge")</f>
        <v>verge</v>
      </c>
      <c r="W189" s="49" t="str">
        <f>IFERROR(__xludf.DUMMYFUNCTION("""COMPUTED_VALUE"""),"schumacher")</f>
        <v>schumacher</v>
      </c>
      <c r="X189" s="49" t="str">
        <f t="shared" si="3"/>
        <v>trip,</v>
      </c>
      <c r="Y189" s="49"/>
      <c r="Z189" s="1" t="s">
        <v>332</v>
      </c>
      <c r="AA189" s="1" t="s">
        <v>745</v>
      </c>
      <c r="AB189" s="49" t="str">
        <f>IFERROR(__xludf.DUMMYFUNCTION("""COMPUTED_VALUE"""),"twists")</f>
        <v>twists</v>
      </c>
      <c r="AC189" s="49"/>
      <c r="AD189" s="49" t="str">
        <f>IFERROR(__xludf.DUMMYFUNCTION("""COMPUTED_VALUE"""),"d")</f>
        <v>d</v>
      </c>
      <c r="AE189" s="49" t="str">
        <f>IFERROR(__xludf.DUMMYFUNCTION("""COMPUTED_VALUE"""),"leaves")</f>
        <v>leaves</v>
      </c>
      <c r="AF189" s="49" t="str">
        <f t="shared" si="4"/>
        <v>man,</v>
      </c>
      <c r="AG189" s="49"/>
      <c r="AH189" s="1" t="s">
        <v>6295</v>
      </c>
      <c r="AI189" s="1">
        <v>40.0</v>
      </c>
      <c r="AJ189" s="6" t="str">
        <f>IFERROR(__xludf.DUMMYFUNCTION("""COMPUTED_VALUE"""),"may")</f>
        <v>may</v>
      </c>
      <c r="AK189" s="49"/>
      <c r="AL189" s="49"/>
      <c r="AM189" s="49" t="str">
        <f>IFERROR(__xludf.DUMMYFUNCTION("""COMPUTED_VALUE"""),"mixing")</f>
        <v>mixing</v>
      </c>
      <c r="AN189" s="52" t="str">
        <f t="shared" si="5"/>
        <v>he,</v>
      </c>
    </row>
    <row r="190">
      <c r="A190" s="51" t="s">
        <v>1356</v>
      </c>
      <c r="B190" s="50" t="s">
        <v>6446</v>
      </c>
      <c r="C190" s="50" t="s">
        <v>4211</v>
      </c>
      <c r="D190" s="49" t="str">
        <f>IFERROR(__xludf.DUMMYFUNCTION("""COMPUTED_VALUE"""),"seem")</f>
        <v>seem</v>
      </c>
      <c r="E190" s="49"/>
      <c r="F190" s="49" t="str">
        <f>IFERROR(__xludf.DUMMYFUNCTION("""COMPUTED_VALUE"""),"du")</f>
        <v>du</v>
      </c>
      <c r="G190" s="49" t="str">
        <f>IFERROR(__xludf.DUMMYFUNCTION("""COMPUTED_VALUE"""),"assignment")</f>
        <v>assignment</v>
      </c>
      <c r="H190" s="54" t="str">
        <f t="shared" si="1"/>
        <v>believes,</v>
      </c>
      <c r="I190" s="50"/>
      <c r="J190" s="50" t="s">
        <v>2252</v>
      </c>
      <c r="K190" s="50" t="s">
        <v>1360</v>
      </c>
      <c r="L190" s="49" t="str">
        <f>IFERROR(__xludf.DUMMYFUNCTION("""COMPUTED_VALUE"""),"standards")</f>
        <v>standards</v>
      </c>
      <c r="M190" s="49"/>
      <c r="N190" s="49" t="str">
        <f>IFERROR(__xludf.DUMMYFUNCTION("""COMPUTED_VALUE"""),"would")</f>
        <v>would</v>
      </c>
      <c r="O190" s="49" t="str">
        <f>IFERROR(__xludf.DUMMYFUNCTION("""COMPUTED_VALUE"""),"purely")</f>
        <v>purely</v>
      </c>
      <c r="P190" s="49" t="str">
        <f t="shared" si="2"/>
        <v>those,</v>
      </c>
      <c r="Q190" s="49"/>
      <c r="R190" s="50" t="s">
        <v>716</v>
      </c>
      <c r="S190" s="55" t="s">
        <v>1093</v>
      </c>
      <c r="T190" s="49" t="str">
        <f>IFERROR(__xludf.DUMMYFUNCTION("""COMPUTED_VALUE"""),"fair")</f>
        <v>fair</v>
      </c>
      <c r="U190" s="49"/>
      <c r="V190" s="49" t="str">
        <f>IFERROR(__xludf.DUMMYFUNCTION("""COMPUTED_VALUE"""),"yellow")</f>
        <v>yellow</v>
      </c>
      <c r="W190" s="49" t="str">
        <f>IFERROR(__xludf.DUMMYFUNCTION("""COMPUTED_VALUE"""),"shallow")</f>
        <v>shallow</v>
      </c>
      <c r="X190" s="49" t="str">
        <f t="shared" si="3"/>
        <v>some,</v>
      </c>
      <c r="Y190" s="49"/>
      <c r="Z190" s="1" t="s">
        <v>2023</v>
      </c>
      <c r="AA190" s="1" t="s">
        <v>755</v>
      </c>
      <c r="AB190" s="49" t="str">
        <f>IFERROR(__xludf.DUMMYFUNCTION("""COMPUTED_VALUE"""),"dialogue")</f>
        <v>dialogue</v>
      </c>
      <c r="AC190" s="49"/>
      <c r="AD190" s="49" t="str">
        <f>IFERROR(__xludf.DUMMYFUNCTION("""COMPUTED_VALUE"""),"would")</f>
        <v>would</v>
      </c>
      <c r="AE190" s="49" t="str">
        <f>IFERROR(__xludf.DUMMYFUNCTION("""COMPUTED_VALUE"""),"purely")</f>
        <v>purely</v>
      </c>
      <c r="AF190" s="49" t="str">
        <f t="shared" si="4"/>
        <v>pictures,</v>
      </c>
      <c r="AG190" s="49"/>
      <c r="AH190" s="1" t="s">
        <v>936</v>
      </c>
      <c r="AI190" s="1" t="s">
        <v>600</v>
      </c>
      <c r="AJ190" s="6" t="str">
        <f>IFERROR(__xludf.DUMMYFUNCTION("""COMPUTED_VALUE"""),"people")</f>
        <v>people</v>
      </c>
      <c r="AK190" s="49"/>
      <c r="AL190" s="49"/>
      <c r="AM190" s="49" t="str">
        <f>IFERROR(__xludf.DUMMYFUNCTION("""COMPUTED_VALUE"""),"threw")</f>
        <v>threw</v>
      </c>
      <c r="AN190" s="52" t="str">
        <f t="shared" si="5"/>
        <v>may,</v>
      </c>
    </row>
    <row r="191">
      <c r="A191" s="51" t="s">
        <v>1361</v>
      </c>
      <c r="B191" s="50" t="s">
        <v>6773</v>
      </c>
      <c r="C191" s="50" t="s">
        <v>855</v>
      </c>
      <c r="D191" s="49" t="str">
        <f>IFERROR(__xludf.DUMMYFUNCTION("""COMPUTED_VALUE"""),"fresh")</f>
        <v>fresh</v>
      </c>
      <c r="E191" s="49"/>
      <c r="F191" s="49" t="str">
        <f>IFERROR(__xludf.DUMMYFUNCTION("""COMPUTED_VALUE"""),"gen")</f>
        <v>gen</v>
      </c>
      <c r="G191" s="49" t="str">
        <f>IFERROR(__xludf.DUMMYFUNCTION("""COMPUTED_VALUE"""),"aircraft")</f>
        <v>aircraft</v>
      </c>
      <c r="H191" s="54" t="str">
        <f t="shared" si="1"/>
        <v>horrible,</v>
      </c>
      <c r="I191" s="50"/>
      <c r="J191" s="50" t="s">
        <v>2369</v>
      </c>
      <c r="K191" s="50" t="s">
        <v>645</v>
      </c>
      <c r="L191" s="49" t="str">
        <f>IFERROR(__xludf.DUMMYFUNCTION("""COMPUTED_VALUE"""),"visual")</f>
        <v>visual</v>
      </c>
      <c r="M191" s="49"/>
      <c r="N191" s="49" t="str">
        <f>IFERROR(__xludf.DUMMYFUNCTION("""COMPUTED_VALUE"""),"results")</f>
        <v>results</v>
      </c>
      <c r="O191" s="49" t="str">
        <f>IFERROR(__xludf.DUMMYFUNCTION("""COMPUTED_VALUE"""),"open")</f>
        <v>open</v>
      </c>
      <c r="P191" s="49" t="str">
        <f t="shared" si="2"/>
        <v>itself,</v>
      </c>
      <c r="Q191" s="49"/>
      <c r="R191" s="50" t="s">
        <v>53</v>
      </c>
      <c r="S191" s="55" t="s">
        <v>1144</v>
      </c>
      <c r="T191" s="49" t="str">
        <f>IFERROR(__xludf.DUMMYFUNCTION("""COMPUTED_VALUE"""),"*")</f>
        <v>*</v>
      </c>
      <c r="U191" s="49"/>
      <c r="V191" s="49" t="str">
        <f>IFERROR(__xludf.DUMMYFUNCTION("""COMPUTED_VALUE"""),"crawl")</f>
        <v>crawl</v>
      </c>
      <c r="W191" s="49" t="str">
        <f>IFERROR(__xludf.DUMMYFUNCTION("""COMPUTED_VALUE"""),"carnage")</f>
        <v>carnage</v>
      </c>
      <c r="X191" s="49" t="str">
        <f t="shared" si="3"/>
        <v>years,</v>
      </c>
      <c r="Y191" s="49"/>
      <c r="Z191" s="1" t="s">
        <v>2484</v>
      </c>
      <c r="AA191" s="1" t="s">
        <v>763</v>
      </c>
      <c r="AB191" s="49" t="str">
        <f>IFERROR(__xludf.DUMMYFUNCTION("""COMPUTED_VALUE"""),"coherent")</f>
        <v>coherent</v>
      </c>
      <c r="AC191" s="49"/>
      <c r="AD191" s="49" t="str">
        <f>IFERROR(__xludf.DUMMYFUNCTION("""COMPUTED_VALUE"""),"results")</f>
        <v>results</v>
      </c>
      <c r="AE191" s="49" t="str">
        <f>IFERROR(__xludf.DUMMYFUNCTION("""COMPUTED_VALUE"""),"open")</f>
        <v>open</v>
      </c>
      <c r="AF191" s="49" t="str">
        <f t="shared" si="4"/>
        <v>endless,</v>
      </c>
      <c r="AG191" s="49"/>
      <c r="AH191" s="1" t="s">
        <v>463</v>
      </c>
      <c r="AI191" s="1" t="s">
        <v>4788</v>
      </c>
      <c r="AJ191" s="6" t="str">
        <f>IFERROR(__xludf.DUMMYFUNCTION("""COMPUTED_VALUE"""),"part")</f>
        <v>part</v>
      </c>
      <c r="AK191" s="49"/>
      <c r="AL191" s="49"/>
      <c r="AM191" s="49" t="str">
        <f>IFERROR(__xludf.DUMMYFUNCTION("""COMPUTED_VALUE"""),"ensure")</f>
        <v>ensure</v>
      </c>
      <c r="AN191" s="52" t="str">
        <f t="shared" si="5"/>
        <v>people,</v>
      </c>
    </row>
    <row r="192">
      <c r="A192" s="51" t="s">
        <v>1368</v>
      </c>
      <c r="B192" s="50" t="s">
        <v>568</v>
      </c>
      <c r="C192" s="50" t="s">
        <v>1255</v>
      </c>
      <c r="D192" s="49" t="str">
        <f>IFERROR(__xludf.DUMMYFUNCTION("""COMPUTED_VALUE"""),"history")</f>
        <v>history</v>
      </c>
      <c r="E192" s="49"/>
      <c r="F192" s="49" t="str">
        <f>IFERROR(__xludf.DUMMYFUNCTION("""COMPUTED_VALUE"""),"stadium")</f>
        <v>stadium</v>
      </c>
      <c r="G192" s="49" t="str">
        <f>IFERROR(__xludf.DUMMYFUNCTION("""COMPUTED_VALUE"""),"doubles")</f>
        <v>doubles</v>
      </c>
      <c r="H192" s="54" t="str">
        <f t="shared" si="1"/>
        <v>world,</v>
      </c>
      <c r="I192" s="50"/>
      <c r="J192" s="50" t="s">
        <v>280</v>
      </c>
      <c r="K192" s="50" t="s">
        <v>223</v>
      </c>
      <c r="L192" s="49" t="str">
        <f>IFERROR(__xludf.DUMMYFUNCTION("""COMPUTED_VALUE"""),"tired")</f>
        <v>tired</v>
      </c>
      <c r="M192" s="49"/>
      <c r="N192" s="49" t="str">
        <f>IFERROR(__xludf.DUMMYFUNCTION("""COMPUTED_VALUE"""),"everything")</f>
        <v>everything</v>
      </c>
      <c r="O192" s="49" t="str">
        <f>IFERROR(__xludf.DUMMYFUNCTION("""COMPUTED_VALUE"""),"failure")</f>
        <v>failure</v>
      </c>
      <c r="P192" s="49" t="str">
        <f t="shared" si="2"/>
        <v>about,</v>
      </c>
      <c r="Q192" s="49"/>
      <c r="R192" s="50" t="s">
        <v>3858</v>
      </c>
      <c r="S192" s="55" t="s">
        <v>371</v>
      </c>
      <c r="T192" s="49" t="str">
        <f>IFERROR(__xludf.DUMMYFUNCTION("""COMPUTED_VALUE"""),"game")</f>
        <v>game</v>
      </c>
      <c r="U192" s="49"/>
      <c r="V192" s="49" t="str">
        <f>IFERROR(__xludf.DUMMYFUNCTION("""COMPUTED_VALUE"""),"tank")</f>
        <v>tank</v>
      </c>
      <c r="W192" s="49" t="str">
        <f>IFERROR(__xludf.DUMMYFUNCTION("""COMPUTED_VALUE"""),"footage")</f>
        <v>footage</v>
      </c>
      <c r="X192" s="49" t="str">
        <f t="shared" si="3"/>
        <v>evil,</v>
      </c>
      <c r="Y192" s="49"/>
      <c r="Z192" s="1" t="s">
        <v>1145</v>
      </c>
      <c r="AA192" s="1" t="s">
        <v>1369</v>
      </c>
      <c r="AB192" s="49" t="str">
        <f>IFERROR(__xludf.DUMMYFUNCTION("""COMPUTED_VALUE"""),"pile")</f>
        <v>pile</v>
      </c>
      <c r="AC192" s="49"/>
      <c r="AD192" s="49" t="str">
        <f>IFERROR(__xludf.DUMMYFUNCTION("""COMPUTED_VALUE"""),"everything")</f>
        <v>everything</v>
      </c>
      <c r="AE192" s="49" t="str">
        <f>IFERROR(__xludf.DUMMYFUNCTION("""COMPUTED_VALUE"""),"failure")</f>
        <v>failure</v>
      </c>
      <c r="AF192" s="49" t="str">
        <f t="shared" si="4"/>
        <v>potentially,</v>
      </c>
      <c r="AG192" s="49"/>
      <c r="AH192" s="1" t="s">
        <v>443</v>
      </c>
      <c r="AI192" s="1" t="s">
        <v>6295</v>
      </c>
      <c r="AJ192" s="6" t="str">
        <f>IFERROR(__xludf.DUMMYFUNCTION("""COMPUTED_VALUE"""),"both")</f>
        <v>both</v>
      </c>
      <c r="AK192" s="49"/>
      <c r="AL192" s="49"/>
      <c r="AM192" s="49" t="str">
        <f>IFERROR(__xludf.DUMMYFUNCTION("""COMPUTED_VALUE"""),"aid")</f>
        <v>aid</v>
      </c>
      <c r="AN192" s="52" t="str">
        <f t="shared" si="5"/>
        <v>part,</v>
      </c>
    </row>
    <row r="193">
      <c r="A193" s="51" t="s">
        <v>1051</v>
      </c>
      <c r="B193" s="50" t="s">
        <v>246</v>
      </c>
      <c r="C193" s="50" t="s">
        <v>881</v>
      </c>
      <c r="D193" s="49" t="str">
        <f>IFERROR(__xludf.DUMMYFUNCTION("""COMPUTED_VALUE"""),"weak")</f>
        <v>weak</v>
      </c>
      <c r="E193" s="49"/>
      <c r="F193" s="49">
        <f>IFERROR(__xludf.DUMMYFUNCTION("""COMPUTED_VALUE"""),91.0)</f>
        <v>91</v>
      </c>
      <c r="G193" s="49" t="str">
        <f>IFERROR(__xludf.DUMMYFUNCTION("""COMPUTED_VALUE"""),"derived")</f>
        <v>derived</v>
      </c>
      <c r="H193" s="54" t="str">
        <f t="shared" si="1"/>
        <v>order,</v>
      </c>
      <c r="I193" s="50"/>
      <c r="J193" s="50">
        <v>8.0</v>
      </c>
      <c r="K193" s="50" t="s">
        <v>1380</v>
      </c>
      <c r="L193" s="49" t="str">
        <f>IFERROR(__xludf.DUMMYFUNCTION("""COMPUTED_VALUE"""),"genre")</f>
        <v>genre</v>
      </c>
      <c r="M193" s="49"/>
      <c r="N193" s="49" t="str">
        <f>IFERROR(__xludf.DUMMYFUNCTION("""COMPUTED_VALUE"""),"whatever")</f>
        <v>whatever</v>
      </c>
      <c r="O193" s="49" t="str">
        <f>IFERROR(__xludf.DUMMYFUNCTION("""COMPUTED_VALUE"""),"surreal")</f>
        <v>surreal</v>
      </c>
      <c r="P193" s="49" t="str">
        <f t="shared" si="2"/>
        <v>8,</v>
      </c>
      <c r="Q193" s="49"/>
      <c r="R193" s="50" t="s">
        <v>6557</v>
      </c>
      <c r="S193" s="55" t="s">
        <v>565</v>
      </c>
      <c r="T193" s="49" t="str">
        <f>IFERROR(__xludf.DUMMYFUNCTION("""COMPUTED_VALUE"""),"la")</f>
        <v>la</v>
      </c>
      <c r="U193" s="49"/>
      <c r="V193" s="49" t="str">
        <f>IFERROR(__xludf.DUMMYFUNCTION("""COMPUTED_VALUE"""),"cleaner")</f>
        <v>cleaner</v>
      </c>
      <c r="W193" s="49" t="str">
        <f>IFERROR(__xludf.DUMMYFUNCTION("""COMPUTED_VALUE"""),"blair")</f>
        <v>blair</v>
      </c>
      <c r="X193" s="49" t="str">
        <f t="shared" si="3"/>
        <v>tim,</v>
      </c>
      <c r="Y193" s="49"/>
      <c r="Z193" s="1" t="s">
        <v>1385</v>
      </c>
      <c r="AA193" s="1" t="s">
        <v>1377</v>
      </c>
      <c r="AB193" s="49" t="str">
        <f>IFERROR(__xludf.DUMMYFUNCTION("""COMPUTED_VALUE"""),"games")</f>
        <v>games</v>
      </c>
      <c r="AC193" s="49"/>
      <c r="AD193" s="49" t="str">
        <f>IFERROR(__xludf.DUMMYFUNCTION("""COMPUTED_VALUE"""),"whatever")</f>
        <v>whatever</v>
      </c>
      <c r="AE193" s="49" t="str">
        <f>IFERROR(__xludf.DUMMYFUNCTION("""COMPUTED_VALUE"""),"surreal")</f>
        <v>surreal</v>
      </c>
      <c r="AF193" s="49" t="str">
        <f t="shared" si="4"/>
        <v>yet,</v>
      </c>
      <c r="AG193" s="49"/>
      <c r="AH193" s="1" t="s">
        <v>2378</v>
      </c>
      <c r="AI193" s="1" t="s">
        <v>229</v>
      </c>
      <c r="AJ193" s="6" t="str">
        <f>IFERROR(__xludf.DUMMYFUNCTION("""COMPUTED_VALUE"""),"way")</f>
        <v>way</v>
      </c>
      <c r="AK193" s="49"/>
      <c r="AL193" s="49"/>
      <c r="AM193" s="49" t="str">
        <f>IFERROR(__xludf.DUMMYFUNCTION("""COMPUTED_VALUE"""),"occupied")</f>
        <v>occupied</v>
      </c>
      <c r="AN193" s="52" t="str">
        <f t="shared" si="5"/>
        <v>both,</v>
      </c>
    </row>
    <row r="194">
      <c r="A194" s="51" t="s">
        <v>1381</v>
      </c>
      <c r="B194" s="50" t="s">
        <v>447</v>
      </c>
      <c r="C194" s="50" t="s">
        <v>1247</v>
      </c>
      <c r="D194" s="49" t="str">
        <f>IFERROR(__xludf.DUMMYFUNCTION("""COMPUTED_VALUE"""),"people")</f>
        <v>people</v>
      </c>
      <c r="E194" s="49"/>
      <c r="F194" s="49" t="str">
        <f>IFERROR(__xludf.DUMMYFUNCTION("""COMPUTED_VALUE"""),"mcdonald")</f>
        <v>mcdonald</v>
      </c>
      <c r="G194" s="49" t="str">
        <f>IFERROR(__xludf.DUMMYFUNCTION("""COMPUTED_VALUE"""),"anchor")</f>
        <v>anchor</v>
      </c>
      <c r="H194" s="54" t="str">
        <f t="shared" si="1"/>
        <v>making,</v>
      </c>
      <c r="I194" s="50"/>
      <c r="J194" s="50" t="s">
        <v>2009</v>
      </c>
      <c r="K194" s="50" t="s">
        <v>1385</v>
      </c>
      <c r="L194" s="49" t="str">
        <f>IFERROR(__xludf.DUMMYFUNCTION("""COMPUTED_VALUE"""),"cheap")</f>
        <v>cheap</v>
      </c>
      <c r="M194" s="49"/>
      <c r="N194" s="49" t="str">
        <f>IFERROR(__xludf.DUMMYFUNCTION("""COMPUTED_VALUE"""),"times")</f>
        <v>times</v>
      </c>
      <c r="O194" s="49" t="str">
        <f>IFERROR(__xludf.DUMMYFUNCTION("""COMPUTED_VALUE"""),"chateau")</f>
        <v>chateau</v>
      </c>
      <c r="P194" s="49" t="str">
        <f t="shared" si="2"/>
        <v>beneath,</v>
      </c>
      <c r="Q194" s="49"/>
      <c r="R194" s="50" t="s">
        <v>410</v>
      </c>
      <c r="S194" s="55" t="s">
        <v>1003</v>
      </c>
      <c r="T194" s="49" t="str">
        <f>IFERROR(__xludf.DUMMYFUNCTION("""COMPUTED_VALUE"""),"reality")</f>
        <v>reality</v>
      </c>
      <c r="U194" s="49"/>
      <c r="V194" s="49" t="str">
        <f>IFERROR(__xludf.DUMMYFUNCTION("""COMPUTED_VALUE"""),"opened")</f>
        <v>opened</v>
      </c>
      <c r="W194" s="49" t="str">
        <f>IFERROR(__xludf.DUMMYFUNCTION("""COMPUTED_VALUE"""),"second")</f>
        <v>second</v>
      </c>
      <c r="X194" s="49" t="str">
        <f t="shared" si="3"/>
        <v>ways,</v>
      </c>
      <c r="Y194" s="49"/>
      <c r="Z194" s="1" t="s">
        <v>1574</v>
      </c>
      <c r="AA194" s="1" t="s">
        <v>419</v>
      </c>
      <c r="AB194" s="49" t="str">
        <f>IFERROR(__xludf.DUMMYFUNCTION("""COMPUTED_VALUE"""),"plots")</f>
        <v>plots</v>
      </c>
      <c r="AC194" s="49"/>
      <c r="AD194" s="49" t="str">
        <f>IFERROR(__xludf.DUMMYFUNCTION("""COMPUTED_VALUE"""),"times")</f>
        <v>times</v>
      </c>
      <c r="AE194" s="49" t="str">
        <f>IFERROR(__xludf.DUMMYFUNCTION("""COMPUTED_VALUE"""),"chateau")</f>
        <v>chateau</v>
      </c>
      <c r="AF194" s="49" t="str">
        <f t="shared" si="4"/>
        <v>takes,</v>
      </c>
      <c r="AG194" s="49"/>
      <c r="AH194" s="1" t="s">
        <v>540</v>
      </c>
      <c r="AI194" s="1" t="s">
        <v>657</v>
      </c>
      <c r="AJ194" s="6" t="str">
        <f>IFERROR(__xludf.DUMMYFUNCTION("""COMPUTED_VALUE"""),"re")</f>
        <v>re</v>
      </c>
      <c r="AK194" s="49"/>
      <c r="AL194" s="49"/>
      <c r="AM194" s="49">
        <f>IFERROR(__xludf.DUMMYFUNCTION("""COMPUTED_VALUE"""),72.0)</f>
        <v>72</v>
      </c>
      <c r="AN194" s="52" t="str">
        <f t="shared" si="5"/>
        <v>way,</v>
      </c>
    </row>
    <row r="195">
      <c r="A195" s="51" t="s">
        <v>1386</v>
      </c>
      <c r="B195" s="50" t="s">
        <v>825</v>
      </c>
      <c r="C195" s="50" t="s">
        <v>1102</v>
      </c>
      <c r="D195" s="49" t="str">
        <f>IFERROR(__xludf.DUMMYFUNCTION("""COMPUTED_VALUE"""),"power")</f>
        <v>power</v>
      </c>
      <c r="E195" s="49"/>
      <c r="F195" s="49" t="str">
        <f>IFERROR(__xludf.DUMMYFUNCTION("""COMPUTED_VALUE"""),"percentage")</f>
        <v>percentage</v>
      </c>
      <c r="G195" s="49" t="str">
        <f>IFERROR(__xludf.DUMMYFUNCTION("""COMPUTED_VALUE"""),"siblings")</f>
        <v>siblings</v>
      </c>
      <c r="H195" s="54" t="str">
        <f t="shared" si="1"/>
        <v>business,</v>
      </c>
      <c r="I195" s="50"/>
      <c r="J195" s="50" t="s">
        <v>1126</v>
      </c>
      <c r="K195" s="50" t="s">
        <v>175</v>
      </c>
      <c r="L195" s="49" t="str">
        <f>IFERROR(__xludf.DUMMYFUNCTION("""COMPUTED_VALUE"""),"found")</f>
        <v>found</v>
      </c>
      <c r="M195" s="49"/>
      <c r="N195" s="49" t="str">
        <f>IFERROR(__xludf.DUMMYFUNCTION("""COMPUTED_VALUE"""),"ve")</f>
        <v>ve</v>
      </c>
      <c r="O195" s="49" t="str">
        <f>IFERROR(__xludf.DUMMYFUNCTION("""COMPUTED_VALUE"""),"passion")</f>
        <v>passion</v>
      </c>
      <c r="P195" s="49" t="str">
        <f t="shared" si="2"/>
        <v>ask,</v>
      </c>
      <c r="Q195" s="49"/>
      <c r="R195" s="50" t="s">
        <v>63</v>
      </c>
      <c r="S195" s="55" t="s">
        <v>340</v>
      </c>
      <c r="T195" s="49" t="str">
        <f>IFERROR(__xludf.DUMMYFUNCTION("""COMPUTED_VALUE"""),"nightmare")</f>
        <v>nightmare</v>
      </c>
      <c r="U195" s="49"/>
      <c r="V195" s="49" t="str">
        <f>IFERROR(__xludf.DUMMYFUNCTION("""COMPUTED_VALUE"""),"rules")</f>
        <v>rules</v>
      </c>
      <c r="W195" s="49" t="str">
        <f>IFERROR(__xludf.DUMMYFUNCTION("""COMPUTED_VALUE"""),"fiddle")</f>
        <v>fiddle</v>
      </c>
      <c r="X195" s="49" t="str">
        <f t="shared" si="3"/>
        <v>well,</v>
      </c>
      <c r="Y195" s="49"/>
      <c r="Z195" s="1" t="s">
        <v>219</v>
      </c>
      <c r="AA195" s="1" t="s">
        <v>149</v>
      </c>
      <c r="AB195" s="49" t="str">
        <f>IFERROR(__xludf.DUMMYFUNCTION("""COMPUTED_VALUE"""),"each")</f>
        <v>each</v>
      </c>
      <c r="AC195" s="49"/>
      <c r="AD195" s="49" t="str">
        <f>IFERROR(__xludf.DUMMYFUNCTION("""COMPUTED_VALUE"""),"ve")</f>
        <v>ve</v>
      </c>
      <c r="AE195" s="49" t="str">
        <f>IFERROR(__xludf.DUMMYFUNCTION("""COMPUTED_VALUE"""),"passion")</f>
        <v>passion</v>
      </c>
      <c r="AF195" s="49" t="str">
        <f t="shared" si="4"/>
        <v>re,</v>
      </c>
      <c r="AG195" s="49"/>
      <c r="AH195" s="1" t="s">
        <v>219</v>
      </c>
      <c r="AI195" s="1" t="s">
        <v>377</v>
      </c>
      <c r="AJ195" s="6" t="str">
        <f>IFERROR(__xludf.DUMMYFUNCTION("""COMPUTED_VALUE"""),"film")</f>
        <v>film</v>
      </c>
      <c r="AK195" s="49"/>
      <c r="AL195" s="49"/>
      <c r="AM195" s="49" t="str">
        <f>IFERROR(__xludf.DUMMYFUNCTION("""COMPUTED_VALUE"""),"tie")</f>
        <v>tie</v>
      </c>
      <c r="AN195" s="52" t="str">
        <f t="shared" si="5"/>
        <v>re,</v>
      </c>
    </row>
    <row r="196">
      <c r="A196" s="51" t="s">
        <v>1392</v>
      </c>
      <c r="B196" s="50" t="s">
        <v>1779</v>
      </c>
      <c r="C196" s="50" t="s">
        <v>1097</v>
      </c>
      <c r="D196" s="49" t="str">
        <f>IFERROR(__xludf.DUMMYFUNCTION("""COMPUTED_VALUE"""),"help")</f>
        <v>help</v>
      </c>
      <c r="E196" s="49"/>
      <c r="F196" s="49" t="str">
        <f>IFERROR(__xludf.DUMMYFUNCTION("""COMPUTED_VALUE"""),"el")</f>
        <v>el</v>
      </c>
      <c r="G196" s="49" t="str">
        <f>IFERROR(__xludf.DUMMYFUNCTION("""COMPUTED_VALUE"""),"tied")</f>
        <v>tied</v>
      </c>
      <c r="H196" s="54" t="str">
        <f t="shared" si="1"/>
        <v>short,</v>
      </c>
      <c r="I196" s="50"/>
      <c r="J196" s="50" t="s">
        <v>3980</v>
      </c>
      <c r="K196" s="50" t="s">
        <v>663</v>
      </c>
      <c r="L196" s="49" t="str">
        <f>IFERROR(__xludf.DUMMYFUNCTION("""COMPUTED_VALUE"""),"talents")</f>
        <v>talents</v>
      </c>
      <c r="M196" s="49"/>
      <c r="N196" s="49" t="str">
        <f>IFERROR(__xludf.DUMMYFUNCTION("""COMPUTED_VALUE"""),"familiar")</f>
        <v>familiar</v>
      </c>
      <c r="O196" s="49" t="str">
        <f>IFERROR(__xludf.DUMMYFUNCTION("""COMPUTED_VALUE"""),"distance")</f>
        <v>distance</v>
      </c>
      <c r="P196" s="49" t="str">
        <f t="shared" si="2"/>
        <v>twisted,</v>
      </c>
      <c r="Q196" s="49"/>
      <c r="R196" s="50" t="s">
        <v>684</v>
      </c>
      <c r="S196" s="55" t="s">
        <v>201</v>
      </c>
      <c r="T196" s="49" t="str">
        <f>IFERROR(__xludf.DUMMYFUNCTION("""COMPUTED_VALUE"""),"question")</f>
        <v>question</v>
      </c>
      <c r="U196" s="49"/>
      <c r="V196" s="49" t="str">
        <f>IFERROR(__xludf.DUMMYFUNCTION("""COMPUTED_VALUE"""),"absolute")</f>
        <v>absolute</v>
      </c>
      <c r="W196" s="49" t="str">
        <f>IFERROR(__xludf.DUMMYFUNCTION("""COMPUTED_VALUE"""),"nomination")</f>
        <v>nomination</v>
      </c>
      <c r="X196" s="49" t="str">
        <f t="shared" si="3"/>
        <v>eyes,</v>
      </c>
      <c r="Y196" s="49"/>
      <c r="Z196" s="1" t="s">
        <v>1549</v>
      </c>
      <c r="AA196" s="1" t="s">
        <v>1393</v>
      </c>
      <c r="AB196" s="49" t="str">
        <f>IFERROR(__xludf.DUMMYFUNCTION("""COMPUTED_VALUE"""),"screenplay")</f>
        <v>screenplay</v>
      </c>
      <c r="AC196" s="49"/>
      <c r="AD196" s="49" t="str">
        <f>IFERROR(__xludf.DUMMYFUNCTION("""COMPUTED_VALUE"""),"familiar")</f>
        <v>familiar</v>
      </c>
      <c r="AE196" s="49" t="str">
        <f>IFERROR(__xludf.DUMMYFUNCTION("""COMPUTED_VALUE"""),"distance")</f>
        <v>distance</v>
      </c>
      <c r="AF196" s="49" t="str">
        <f t="shared" si="4"/>
        <v>due,</v>
      </c>
      <c r="AG196" s="49"/>
      <c r="AH196" s="1" t="s">
        <v>112</v>
      </c>
      <c r="AI196" s="1" t="s">
        <v>370</v>
      </c>
      <c r="AJ196" s="6" t="str">
        <f>IFERROR(__xludf.DUMMYFUNCTION("""COMPUTED_VALUE"""),"man")</f>
        <v>man</v>
      </c>
      <c r="AK196" s="49"/>
      <c r="AL196" s="49"/>
      <c r="AM196" s="49" t="str">
        <f>IFERROR(__xludf.DUMMYFUNCTION("""COMPUTED_VALUE"""),"reporting")</f>
        <v>reporting</v>
      </c>
      <c r="AN196" s="52" t="str">
        <f t="shared" si="5"/>
        <v>film,</v>
      </c>
    </row>
    <row r="197">
      <c r="A197" s="51" t="s">
        <v>1399</v>
      </c>
      <c r="B197" s="50" t="s">
        <v>6587</v>
      </c>
      <c r="C197" s="50" t="s">
        <v>1089</v>
      </c>
      <c r="D197" s="49" t="str">
        <f>IFERROR(__xludf.DUMMYFUNCTION("""COMPUTED_VALUE"""),"almost")</f>
        <v>almost</v>
      </c>
      <c r="E197" s="49"/>
      <c r="F197" s="49" t="str">
        <f>IFERROR(__xludf.DUMMYFUNCTION("""COMPUTED_VALUE"""),"destroying")</f>
        <v>destroying</v>
      </c>
      <c r="G197" s="49">
        <f>IFERROR(__xludf.DUMMYFUNCTION("""COMPUTED_VALUE"""),51.0)</f>
        <v>51</v>
      </c>
      <c r="H197" s="54" t="str">
        <f t="shared" si="1"/>
        <v>position,</v>
      </c>
      <c r="I197" s="50"/>
      <c r="J197" s="50" t="s">
        <v>1779</v>
      </c>
      <c r="K197" s="50" t="s">
        <v>673</v>
      </c>
      <c r="L197" s="49" t="str">
        <f>IFERROR(__xludf.DUMMYFUNCTION("""COMPUTED_VALUE"""),"becomes")</f>
        <v>becomes</v>
      </c>
      <c r="M197" s="49"/>
      <c r="N197" s="49" t="str">
        <f>IFERROR(__xludf.DUMMYFUNCTION("""COMPUTED_VALUE"""),"say")</f>
        <v>say</v>
      </c>
      <c r="O197" s="49" t="str">
        <f>IFERROR(__xludf.DUMMYFUNCTION("""COMPUTED_VALUE"""),"rendering")</f>
        <v>rendering</v>
      </c>
      <c r="P197" s="49" t="str">
        <f t="shared" si="2"/>
        <v>short,</v>
      </c>
      <c r="Q197" s="49"/>
      <c r="R197" s="50" t="s">
        <v>1289</v>
      </c>
      <c r="S197" s="55" t="s">
        <v>35</v>
      </c>
      <c r="T197" s="49" t="str">
        <f>IFERROR(__xludf.DUMMYFUNCTION("""COMPUTED_VALUE"""),"woman")</f>
        <v>woman</v>
      </c>
      <c r="U197" s="49"/>
      <c r="V197" s="49" t="str">
        <f>IFERROR(__xludf.DUMMYFUNCTION("""COMPUTED_VALUE"""),"arthur")</f>
        <v>arthur</v>
      </c>
      <c r="W197" s="49" t="str">
        <f>IFERROR(__xludf.DUMMYFUNCTION("""COMPUTED_VALUE"""),"offering")</f>
        <v>offering</v>
      </c>
      <c r="X197" s="49" t="str">
        <f t="shared" si="3"/>
        <v>french,</v>
      </c>
      <c r="Y197" s="49"/>
      <c r="Z197" s="1" t="s">
        <v>1820</v>
      </c>
      <c r="AA197" s="1" t="s">
        <v>1400</v>
      </c>
      <c r="AB197" s="49" t="str">
        <f>IFERROR(__xludf.DUMMYFUNCTION("""COMPUTED_VALUE"""),"characters")</f>
        <v>characters</v>
      </c>
      <c r="AC197" s="49"/>
      <c r="AD197" s="49" t="str">
        <f>IFERROR(__xludf.DUMMYFUNCTION("""COMPUTED_VALUE"""),"say")</f>
        <v>say</v>
      </c>
      <c r="AE197" s="49" t="str">
        <f>IFERROR(__xludf.DUMMYFUNCTION("""COMPUTED_VALUE"""),"rendering")</f>
        <v>rendering</v>
      </c>
      <c r="AF197" s="49" t="str">
        <f t="shared" si="4"/>
        <v>fact,</v>
      </c>
      <c r="AG197" s="49"/>
      <c r="AH197" s="1" t="s">
        <v>332</v>
      </c>
      <c r="AI197" s="1" t="s">
        <v>978</v>
      </c>
      <c r="AJ197" s="6" t="str">
        <f>IFERROR(__xludf.DUMMYFUNCTION("""COMPUTED_VALUE"""),"number")</f>
        <v>number</v>
      </c>
      <c r="AK197" s="49"/>
      <c r="AL197" s="49"/>
      <c r="AM197" s="49" t="str">
        <f>IFERROR(__xludf.DUMMYFUNCTION("""COMPUTED_VALUE"""),"reaches")</f>
        <v>reaches</v>
      </c>
      <c r="AN197" s="52" t="str">
        <f t="shared" si="5"/>
        <v>man,</v>
      </c>
    </row>
    <row r="198">
      <c r="A198" s="51" t="s">
        <v>1407</v>
      </c>
      <c r="B198" s="50" t="s">
        <v>2238</v>
      </c>
      <c r="C198" s="50" t="s">
        <v>4361</v>
      </c>
      <c r="D198" s="49" t="str">
        <f>IFERROR(__xludf.DUMMYFUNCTION("""COMPUTED_VALUE"""),"horror")</f>
        <v>horror</v>
      </c>
      <c r="E198" s="49"/>
      <c r="F198" s="49" t="str">
        <f>IFERROR(__xludf.DUMMYFUNCTION("""COMPUTED_VALUE"""),"5th")</f>
        <v>5th</v>
      </c>
      <c r="G198" s="49" t="str">
        <f>IFERROR(__xludf.DUMMYFUNCTION("""COMPUTED_VALUE"""),"similarly")</f>
        <v>similarly</v>
      </c>
      <c r="H198" s="54" t="str">
        <f t="shared" si="1"/>
        <v>stop,</v>
      </c>
      <c r="I198" s="50"/>
      <c r="J198" s="50" t="s">
        <v>568</v>
      </c>
      <c r="K198" s="50" t="s">
        <v>677</v>
      </c>
      <c r="L198" s="49" t="str">
        <f>IFERROR(__xludf.DUMMYFUNCTION("""COMPUTED_VALUE"""),"hardly")</f>
        <v>hardly</v>
      </c>
      <c r="M198" s="49"/>
      <c r="N198" s="49" t="str">
        <f>IFERROR(__xludf.DUMMYFUNCTION("""COMPUTED_VALUE"""),"trailer")</f>
        <v>trailer</v>
      </c>
      <c r="O198" s="49" t="str">
        <f>IFERROR(__xludf.DUMMYFUNCTION("""COMPUTED_VALUE"""),"dolls")</f>
        <v>dolls</v>
      </c>
      <c r="P198" s="49" t="str">
        <f t="shared" si="2"/>
        <v>world,</v>
      </c>
      <c r="Q198" s="49"/>
      <c r="R198" s="50" t="s">
        <v>6310</v>
      </c>
      <c r="S198" s="55" t="s">
        <v>174</v>
      </c>
      <c r="T198" s="49" t="str">
        <f>IFERROR(__xludf.DUMMYFUNCTION("""COMPUTED_VALUE"""),"either")</f>
        <v>either</v>
      </c>
      <c r="U198" s="49"/>
      <c r="V198" s="49" t="str">
        <f>IFERROR(__xludf.DUMMYFUNCTION("""COMPUTED_VALUE"""),"di")</f>
        <v>di</v>
      </c>
      <c r="W198" s="49" t="str">
        <f>IFERROR(__xludf.DUMMYFUNCTION("""COMPUTED_VALUE"""),"kahn")</f>
        <v>kahn</v>
      </c>
      <c r="X198" s="49" t="str">
        <f t="shared" si="3"/>
        <v>!,</v>
      </c>
      <c r="Y198" s="49"/>
      <c r="Z198" s="1" t="s">
        <v>1830</v>
      </c>
      <c r="AA198" s="1" t="s">
        <v>1408</v>
      </c>
      <c r="AB198" s="49" t="str">
        <f>IFERROR(__xludf.DUMMYFUNCTION("""COMPUTED_VALUE"""),"own")</f>
        <v>own</v>
      </c>
      <c r="AC198" s="49"/>
      <c r="AD198" s="49" t="str">
        <f>IFERROR(__xludf.DUMMYFUNCTION("""COMPUTED_VALUE"""),"trailer")</f>
        <v>trailer</v>
      </c>
      <c r="AE198" s="49" t="str">
        <f>IFERROR(__xludf.DUMMYFUNCTION("""COMPUTED_VALUE"""),"dolls")</f>
        <v>dolls</v>
      </c>
      <c r="AF198" s="49" t="str">
        <f t="shared" si="4"/>
        <v>type,</v>
      </c>
      <c r="AG198" s="49"/>
      <c r="AH198" s="1" t="s">
        <v>1175</v>
      </c>
      <c r="AI198" s="1" t="s">
        <v>359</v>
      </c>
      <c r="AJ198" s="6" t="str">
        <f>IFERROR(__xludf.DUMMYFUNCTION("""COMPUTED_VALUE"""),"love")</f>
        <v>love</v>
      </c>
      <c r="AK198" s="49"/>
      <c r="AL198" s="49"/>
      <c r="AM198" s="49" t="str">
        <f>IFERROR(__xludf.DUMMYFUNCTION("""COMPUTED_VALUE"""),"departments")</f>
        <v>departments</v>
      </c>
      <c r="AN198" s="52" t="str">
        <f t="shared" si="5"/>
        <v>number,</v>
      </c>
    </row>
    <row r="199">
      <c r="A199" s="51" t="s">
        <v>1412</v>
      </c>
      <c r="B199" s="50" t="s">
        <v>6516</v>
      </c>
      <c r="C199" s="50" t="s">
        <v>554</v>
      </c>
      <c r="D199" s="49" t="str">
        <f>IFERROR(__xludf.DUMMYFUNCTION("""COMPUTED_VALUE"""),"absolute")</f>
        <v>absolute</v>
      </c>
      <c r="E199" s="49"/>
      <c r="F199" s="49" t="str">
        <f>IFERROR(__xludf.DUMMYFUNCTION("""COMPUTED_VALUE"""),"fusion")</f>
        <v>fusion</v>
      </c>
      <c r="G199" s="49" t="str">
        <f>IFERROR(__xludf.DUMMYFUNCTION("""COMPUTED_VALUE"""),"hammer")</f>
        <v>hammer</v>
      </c>
      <c r="H199" s="54" t="str">
        <f t="shared" si="1"/>
        <v>eight,</v>
      </c>
      <c r="I199" s="50"/>
      <c r="J199" s="50" t="s">
        <v>447</v>
      </c>
      <c r="K199" s="50" t="s">
        <v>684</v>
      </c>
      <c r="L199" s="49" t="str">
        <f>IFERROR(__xludf.DUMMYFUNCTION("""COMPUTED_VALUE"""),"worse")</f>
        <v>worse</v>
      </c>
      <c r="M199" s="49"/>
      <c r="N199" s="49" t="str">
        <f>IFERROR(__xludf.DUMMYFUNCTION("""COMPUTED_VALUE"""),"teenage")</f>
        <v>teenage</v>
      </c>
      <c r="O199" s="49" t="str">
        <f>IFERROR(__xludf.DUMMYFUNCTION("""COMPUTED_VALUE"""),"man")</f>
        <v>man</v>
      </c>
      <c r="P199" s="49" t="str">
        <f t="shared" si="2"/>
        <v>making,</v>
      </c>
      <c r="Q199" s="49"/>
      <c r="R199" s="50" t="s">
        <v>3224</v>
      </c>
      <c r="S199" s="55" t="s">
        <v>1035</v>
      </c>
      <c r="T199" s="49" t="str">
        <f>IFERROR(__xludf.DUMMYFUNCTION("""COMPUTED_VALUE"""),"she")</f>
        <v>she</v>
      </c>
      <c r="U199" s="49"/>
      <c r="V199" s="49" t="str">
        <f>IFERROR(__xludf.DUMMYFUNCTION("""COMPUTED_VALUE"""),"international")</f>
        <v>international</v>
      </c>
      <c r="W199" s="49" t="str">
        <f>IFERROR(__xludf.DUMMYFUNCTION("""COMPUTED_VALUE"""),"esther")</f>
        <v>esther</v>
      </c>
      <c r="X199" s="49" t="str">
        <f t="shared" si="3"/>
        <v>rest,</v>
      </c>
      <c r="Y199" s="49"/>
      <c r="Z199" s="1" t="s">
        <v>463</v>
      </c>
      <c r="AA199" s="1" t="s">
        <v>787</v>
      </c>
      <c r="AB199" s="49" t="str">
        <f>IFERROR(__xludf.DUMMYFUNCTION("""COMPUTED_VALUE"""),"unlikely")</f>
        <v>unlikely</v>
      </c>
      <c r="AC199" s="49"/>
      <c r="AD199" s="49" t="str">
        <f>IFERROR(__xludf.DUMMYFUNCTION("""COMPUTED_VALUE"""),"teenage")</f>
        <v>teenage</v>
      </c>
      <c r="AE199" s="49" t="str">
        <f>IFERROR(__xludf.DUMMYFUNCTION("""COMPUTED_VALUE"""),"man")</f>
        <v>man</v>
      </c>
      <c r="AF199" s="49" t="str">
        <f t="shared" si="4"/>
        <v>people,</v>
      </c>
      <c r="AG199" s="49"/>
      <c r="AH199" s="1" t="s">
        <v>479</v>
      </c>
      <c r="AI199" s="1" t="s">
        <v>861</v>
      </c>
      <c r="AJ199" s="6" t="str">
        <f>IFERROR(__xludf.DUMMYFUNCTION("""COMPUTED_VALUE"""),"due")</f>
        <v>due</v>
      </c>
      <c r="AK199" s="49"/>
      <c r="AL199" s="49"/>
      <c r="AM199" s="49" t="str">
        <f>IFERROR(__xludf.DUMMYFUNCTION("""COMPUTED_VALUE"""),"mounted")</f>
        <v>mounted</v>
      </c>
      <c r="AN199" s="52" t="str">
        <f t="shared" si="5"/>
        <v>love,</v>
      </c>
    </row>
    <row r="200">
      <c r="A200" s="51" t="s">
        <v>1417</v>
      </c>
      <c r="B200" s="50" t="s">
        <v>1126</v>
      </c>
      <c r="C200" s="50" t="s">
        <v>6256</v>
      </c>
      <c r="D200" s="49" t="str">
        <f>IFERROR(__xludf.DUMMYFUNCTION("""COMPUTED_VALUE"""),"life")</f>
        <v>life</v>
      </c>
      <c r="E200" s="49"/>
      <c r="F200" s="49" t="str">
        <f>IFERROR(__xludf.DUMMYFUNCTION("""COMPUTED_VALUE"""),"chi")</f>
        <v>chi</v>
      </c>
      <c r="G200" s="49" t="str">
        <f>IFERROR(__xludf.DUMMYFUNCTION("""COMPUTED_VALUE"""),"equation")</f>
        <v>equation</v>
      </c>
      <c r="H200" s="54" t="str">
        <f t="shared" si="1"/>
        <v>ask,</v>
      </c>
      <c r="I200" s="50"/>
      <c r="J200" s="50" t="s">
        <v>2463</v>
      </c>
      <c r="K200" s="50" t="s">
        <v>688</v>
      </c>
      <c r="L200" s="49" t="str">
        <f>IFERROR(__xludf.DUMMYFUNCTION("""COMPUTED_VALUE"""),"cage")</f>
        <v>cage</v>
      </c>
      <c r="M200" s="49"/>
      <c r="N200" s="49" t="str">
        <f>IFERROR(__xludf.DUMMYFUNCTION("""COMPUTED_VALUE"""),"heard")</f>
        <v>heard</v>
      </c>
      <c r="O200" s="49" t="str">
        <f>IFERROR(__xludf.DUMMYFUNCTION("""COMPUTED_VALUE"""),"nonstop")</f>
        <v>nonstop</v>
      </c>
      <c r="P200" s="49" t="str">
        <f t="shared" si="2"/>
        <v>murder,</v>
      </c>
      <c r="Q200" s="49"/>
      <c r="R200" s="50" t="s">
        <v>3644</v>
      </c>
      <c r="S200" s="55" t="s">
        <v>1041</v>
      </c>
      <c r="T200" s="49" t="str">
        <f>IFERROR(__xludf.DUMMYFUNCTION("""COMPUTED_VALUE"""),"stone")</f>
        <v>stone</v>
      </c>
      <c r="U200" s="49"/>
      <c r="V200" s="49" t="str">
        <f>IFERROR(__xludf.DUMMYFUNCTION("""COMPUTED_VALUE"""),"limp")</f>
        <v>limp</v>
      </c>
      <c r="W200" s="49" t="str">
        <f>IFERROR(__xludf.DUMMYFUNCTION("""COMPUTED_VALUE"""),"irritating")</f>
        <v>irritating</v>
      </c>
      <c r="X200" s="49" t="str">
        <f t="shared" si="3"/>
        <v>dude,</v>
      </c>
      <c r="Y200" s="49"/>
      <c r="Z200" s="1" t="s">
        <v>540</v>
      </c>
      <c r="AA200" s="1" t="s">
        <v>1418</v>
      </c>
      <c r="AB200" s="49" t="str">
        <f>IFERROR(__xludf.DUMMYFUNCTION("""COMPUTED_VALUE"""),"derivative")</f>
        <v>derivative</v>
      </c>
      <c r="AC200" s="49"/>
      <c r="AD200" s="49" t="str">
        <f>IFERROR(__xludf.DUMMYFUNCTION("""COMPUTED_VALUE"""),"heard")</f>
        <v>heard</v>
      </c>
      <c r="AE200" s="49" t="str">
        <f>IFERROR(__xludf.DUMMYFUNCTION("""COMPUTED_VALUE"""),"nonstop")</f>
        <v>nonstop</v>
      </c>
      <c r="AF200" s="49" t="str">
        <f t="shared" si="4"/>
        <v>way,</v>
      </c>
      <c r="AG200" s="49"/>
      <c r="AH200" s="1" t="s">
        <v>1549</v>
      </c>
      <c r="AI200" s="1" t="s">
        <v>355</v>
      </c>
      <c r="AJ200" s="6" t="str">
        <f>IFERROR(__xludf.DUMMYFUNCTION("""COMPUTED_VALUE"""),"mother")</f>
        <v>mother</v>
      </c>
      <c r="AK200" s="49"/>
      <c r="AL200" s="49"/>
      <c r="AM200" s="49" t="str">
        <f>IFERROR(__xludf.DUMMYFUNCTION("""COMPUTED_VALUE"""),"percussion")</f>
        <v>percussion</v>
      </c>
      <c r="AN200" s="52" t="str">
        <f t="shared" si="5"/>
        <v>due,</v>
      </c>
    </row>
    <row r="201">
      <c r="A201" s="51" t="s">
        <v>1422</v>
      </c>
      <c r="B201" s="50" t="s">
        <v>2740</v>
      </c>
      <c r="C201" s="50" t="s">
        <v>1116</v>
      </c>
      <c r="D201" s="49" t="str">
        <f>IFERROR(__xludf.DUMMYFUNCTION("""COMPUTED_VALUE"""),"much")</f>
        <v>much</v>
      </c>
      <c r="E201" s="49"/>
      <c r="F201" s="49" t="str">
        <f>IFERROR(__xludf.DUMMYFUNCTION("""COMPUTED_VALUE"""),"counter")</f>
        <v>counter</v>
      </c>
      <c r="G201" s="49" t="str">
        <f>IFERROR(__xludf.DUMMYFUNCTION("""COMPUTED_VALUE"""),"eighth")</f>
        <v>eighth</v>
      </c>
      <c r="H201" s="54" t="str">
        <f t="shared" si="1"/>
        <v>surface,</v>
      </c>
      <c r="I201" s="50"/>
      <c r="J201" s="50" t="s">
        <v>2740</v>
      </c>
      <c r="K201" s="50" t="s">
        <v>1428</v>
      </c>
      <c r="L201" s="49" t="str">
        <f>IFERROR(__xludf.DUMMYFUNCTION("""COMPUTED_VALUE"""),"glow")</f>
        <v>glow</v>
      </c>
      <c r="M201" s="49"/>
      <c r="N201" s="49" t="str">
        <f>IFERROR(__xludf.DUMMYFUNCTION("""COMPUTED_VALUE"""),"worth")</f>
        <v>worth</v>
      </c>
      <c r="O201" s="49" t="str">
        <f>IFERROR(__xludf.DUMMYFUNCTION("""COMPUTED_VALUE"""),"partisans")</f>
        <v>partisans</v>
      </c>
      <c r="P201" s="49" t="str">
        <f t="shared" si="2"/>
        <v>surface,</v>
      </c>
      <c r="Q201" s="49"/>
      <c r="R201" s="50" t="s">
        <v>652</v>
      </c>
      <c r="S201" s="55" t="s">
        <v>465</v>
      </c>
      <c r="T201" s="49" t="str">
        <f>IFERROR(__xludf.DUMMYFUNCTION("""COMPUTED_VALUE"""),"live")</f>
        <v>live</v>
      </c>
      <c r="U201" s="49"/>
      <c r="V201" s="49" t="str">
        <f>IFERROR(__xludf.DUMMYFUNCTION("""COMPUTED_VALUE"""),"interested")</f>
        <v>interested</v>
      </c>
      <c r="W201" s="49" t="str">
        <f>IFERROR(__xludf.DUMMYFUNCTION("""COMPUTED_VALUE"""),"hard")</f>
        <v>hard</v>
      </c>
      <c r="X201" s="49" t="str">
        <f t="shared" si="3"/>
        <v>you,</v>
      </c>
      <c r="Y201" s="49"/>
      <c r="Z201" s="1" t="s">
        <v>3186</v>
      </c>
      <c r="AA201" s="1" t="s">
        <v>851</v>
      </c>
      <c r="AB201" s="49" t="str">
        <f>IFERROR(__xludf.DUMMYFUNCTION("""COMPUTED_VALUE"""),"entertaining")</f>
        <v>entertaining</v>
      </c>
      <c r="AC201" s="49"/>
      <c r="AD201" s="49" t="str">
        <f>IFERROR(__xludf.DUMMYFUNCTION("""COMPUTED_VALUE"""),"worth")</f>
        <v>worth</v>
      </c>
      <c r="AE201" s="49" t="str">
        <f>IFERROR(__xludf.DUMMYFUNCTION("""COMPUTED_VALUE"""),"partisans")</f>
        <v>partisans</v>
      </c>
      <c r="AF201" s="49" t="str">
        <f t="shared" si="4"/>
        <v>category,</v>
      </c>
      <c r="AG201" s="49"/>
      <c r="AH201" s="1" t="s">
        <v>1343</v>
      </c>
      <c r="AI201" s="1" t="s">
        <v>593</v>
      </c>
      <c r="AJ201" s="6" t="str">
        <f>IFERROR(__xludf.DUMMYFUNCTION("""COMPUTED_VALUE"""),"special")</f>
        <v>special</v>
      </c>
      <c r="AK201" s="49"/>
      <c r="AL201" s="49"/>
      <c r="AM201" s="49" t="str">
        <f>IFERROR(__xludf.DUMMYFUNCTION("""COMPUTED_VALUE"""),"spots")</f>
        <v>spots</v>
      </c>
      <c r="AN201" s="52" t="str">
        <f t="shared" si="5"/>
        <v>mother,</v>
      </c>
    </row>
    <row r="202">
      <c r="A202" s="51" t="s">
        <v>1429</v>
      </c>
      <c r="B202" s="50" t="s">
        <v>4502</v>
      </c>
      <c r="C202" s="50" t="s">
        <v>1304</v>
      </c>
      <c r="D202" s="49" t="str">
        <f>IFERROR(__xludf.DUMMYFUNCTION("""COMPUTED_VALUE"""),"without")</f>
        <v>without</v>
      </c>
      <c r="E202" s="49"/>
      <c r="F202" s="49"/>
      <c r="G202" s="49" t="str">
        <f>IFERROR(__xludf.DUMMYFUNCTION("""COMPUTED_VALUE"""),"lectures")</f>
        <v>lectures</v>
      </c>
      <c r="H202" s="54" t="str">
        <f t="shared" si="1"/>
        <v>becoming,</v>
      </c>
      <c r="I202" s="50"/>
      <c r="J202" s="50" t="s">
        <v>6516</v>
      </c>
      <c r="K202" s="50" t="s">
        <v>681</v>
      </c>
      <c r="L202" s="49" t="str">
        <f>IFERROR(__xludf.DUMMYFUNCTION("""COMPUTED_VALUE"""),"singing")</f>
        <v>singing</v>
      </c>
      <c r="M202" s="49"/>
      <c r="N202" s="49" t="str">
        <f>IFERROR(__xludf.DUMMYFUNCTION("""COMPUTED_VALUE"""),"maybe")</f>
        <v>maybe</v>
      </c>
      <c r="O202" s="49" t="str">
        <f>IFERROR(__xludf.DUMMYFUNCTION("""COMPUTED_VALUE"""),"argentine")</f>
        <v>argentine</v>
      </c>
      <c r="P202" s="49" t="str">
        <f t="shared" si="2"/>
        <v>eight,</v>
      </c>
      <c r="Q202" s="49"/>
      <c r="R202" s="50" t="s">
        <v>1393</v>
      </c>
      <c r="S202" s="55" t="s">
        <v>4067</v>
      </c>
      <c r="T202" s="49" t="str">
        <f>IFERROR(__xludf.DUMMYFUNCTION("""COMPUTED_VALUE"""),"looking")</f>
        <v>looking</v>
      </c>
      <c r="U202" s="49"/>
      <c r="V202" s="49" t="str">
        <f>IFERROR(__xludf.DUMMYFUNCTION("""COMPUTED_VALUE"""),"stu")</f>
        <v>stu</v>
      </c>
      <c r="W202" s="49" t="str">
        <f>IFERROR(__xludf.DUMMYFUNCTION("""COMPUTED_VALUE"""),"camera")</f>
        <v>camera</v>
      </c>
      <c r="X202" s="49" t="str">
        <f t="shared" si="3"/>
        <v>brings,</v>
      </c>
      <c r="Y202" s="49"/>
      <c r="Z202" s="1" t="s">
        <v>2378</v>
      </c>
      <c r="AA202" s="1" t="s">
        <v>1430</v>
      </c>
      <c r="AB202" s="49" t="str">
        <f>IFERROR(__xludf.DUMMYFUNCTION("""COMPUTED_VALUE"""),"certainly")</f>
        <v>certainly</v>
      </c>
      <c r="AC202" s="49"/>
      <c r="AD202" s="49" t="str">
        <f>IFERROR(__xludf.DUMMYFUNCTION("""COMPUTED_VALUE"""),"maybe")</f>
        <v>maybe</v>
      </c>
      <c r="AE202" s="49" t="str">
        <f>IFERROR(__xludf.DUMMYFUNCTION("""COMPUTED_VALUE"""),"argentine")</f>
        <v>argentine</v>
      </c>
      <c r="AF202" s="49" t="str">
        <f t="shared" si="4"/>
        <v>both,</v>
      </c>
      <c r="AG202" s="49"/>
      <c r="AH202" s="1" t="s">
        <v>2107</v>
      </c>
      <c r="AI202" s="1" t="s">
        <v>694</v>
      </c>
      <c r="AJ202" s="6" t="str">
        <f>IFERROR(__xludf.DUMMYFUNCTION("""COMPUTED_VALUE"""),"yet")</f>
        <v>yet</v>
      </c>
      <c r="AK202" s="49"/>
      <c r="AL202" s="49"/>
      <c r="AM202" s="49" t="str">
        <f>IFERROR(__xludf.DUMMYFUNCTION("""COMPUTED_VALUE"""),"clock")</f>
        <v>clock</v>
      </c>
      <c r="AN202" s="52" t="str">
        <f t="shared" si="5"/>
        <v>special,</v>
      </c>
    </row>
    <row r="203">
      <c r="A203" s="51" t="s">
        <v>1435</v>
      </c>
      <c r="B203" s="50" t="s">
        <v>6678</v>
      </c>
      <c r="C203" s="50" t="s">
        <v>463</v>
      </c>
      <c r="D203" s="49" t="str">
        <f>IFERROR(__xludf.DUMMYFUNCTION("""COMPUTED_VALUE"""),"fun")</f>
        <v>fun</v>
      </c>
      <c r="E203" s="49"/>
      <c r="F203" s="49"/>
      <c r="G203" s="49" t="str">
        <f>IFERROR(__xludf.DUMMYFUNCTION("""COMPUTED_VALUE"""),"birmingham")</f>
        <v>birmingham</v>
      </c>
      <c r="H203" s="54" t="str">
        <f t="shared" si="1"/>
        <v>influence,</v>
      </c>
      <c r="I203" s="50"/>
      <c r="J203" s="50" t="s">
        <v>1239</v>
      </c>
      <c r="K203" s="50" t="s">
        <v>1440</v>
      </c>
      <c r="L203" s="49" t="str">
        <f>IFERROR(__xludf.DUMMYFUNCTION("""COMPUTED_VALUE"""),"full")</f>
        <v>full</v>
      </c>
      <c r="M203" s="49"/>
      <c r="N203" s="49" t="str">
        <f>IFERROR(__xludf.DUMMYFUNCTION("""COMPUTED_VALUE"""),"definitely")</f>
        <v>definitely</v>
      </c>
      <c r="O203" s="49" t="str">
        <f>IFERROR(__xludf.DUMMYFUNCTION("""COMPUTED_VALUE"""),"celebrates")</f>
        <v>celebrates</v>
      </c>
      <c r="P203" s="49" t="str">
        <f t="shared" si="2"/>
        <v>were,</v>
      </c>
      <c r="Q203" s="49"/>
      <c r="R203" s="50" t="s">
        <v>2247</v>
      </c>
      <c r="S203" s="55" t="s">
        <v>104</v>
      </c>
      <c r="T203" s="49" t="str">
        <f>IFERROR(__xludf.DUMMYFUNCTION("""COMPUTED_VALUE"""),"someone")</f>
        <v>someone</v>
      </c>
      <c r="U203" s="49"/>
      <c r="V203" s="49" t="str">
        <f>IFERROR(__xludf.DUMMYFUNCTION("""COMPUTED_VALUE"""),"phenomena")</f>
        <v>phenomena</v>
      </c>
      <c r="W203" s="49" t="str">
        <f>IFERROR(__xludf.DUMMYFUNCTION("""COMPUTED_VALUE"""),"jagged")</f>
        <v>jagged</v>
      </c>
      <c r="X203" s="49" t="str">
        <f t="shared" si="3"/>
        <v>bit,</v>
      </c>
      <c r="Y203" s="49"/>
      <c r="Z203" s="1" t="s">
        <v>2107</v>
      </c>
      <c r="AA203" s="1" t="s">
        <v>875</v>
      </c>
      <c r="AB203" s="49" t="str">
        <f>IFERROR(__xludf.DUMMYFUNCTION("""COMPUTED_VALUE"""),"greatest")</f>
        <v>greatest</v>
      </c>
      <c r="AC203" s="49"/>
      <c r="AD203" s="49" t="str">
        <f>IFERROR(__xludf.DUMMYFUNCTION("""COMPUTED_VALUE"""),"definitely")</f>
        <v>definitely</v>
      </c>
      <c r="AE203" s="49" t="str">
        <f>IFERROR(__xludf.DUMMYFUNCTION("""COMPUTED_VALUE"""),"celebrates")</f>
        <v>celebrates</v>
      </c>
      <c r="AF203" s="49" t="str">
        <f t="shared" si="4"/>
        <v>special,</v>
      </c>
      <c r="AG203" s="49"/>
      <c r="AH203" s="1" t="s">
        <v>1385</v>
      </c>
      <c r="AI203" s="1" t="s">
        <v>585</v>
      </c>
      <c r="AJ203" s="6" t="str">
        <f>IFERROR(__xludf.DUMMYFUNCTION("""COMPUTED_VALUE"""),"fact")</f>
        <v>fact</v>
      </c>
      <c r="AK203" s="49"/>
      <c r="AL203" s="49"/>
      <c r="AM203" s="49" t="str">
        <f>IFERROR(__xludf.DUMMYFUNCTION("""COMPUTED_VALUE"""),"shoes")</f>
        <v>shoes</v>
      </c>
      <c r="AN203" s="52" t="str">
        <f t="shared" si="5"/>
        <v>yet,</v>
      </c>
    </row>
    <row r="204">
      <c r="A204" s="51" t="s">
        <v>1441</v>
      </c>
      <c r="B204" s="50" t="s">
        <v>2463</v>
      </c>
      <c r="C204" s="50" t="s">
        <v>537</v>
      </c>
      <c r="D204" s="49" t="str">
        <f>IFERROR(__xludf.DUMMYFUNCTION("""COMPUTED_VALUE"""),"based")</f>
        <v>based</v>
      </c>
      <c r="E204" s="49"/>
      <c r="F204" s="49"/>
      <c r="G204" s="49" t="str">
        <f>IFERROR(__xludf.DUMMYFUNCTION("""COMPUTED_VALUE"""),"israel")</f>
        <v>israel</v>
      </c>
      <c r="H204" s="54" t="str">
        <f t="shared" si="1"/>
        <v>murder,</v>
      </c>
      <c r="I204" s="50"/>
      <c r="J204" s="50" t="s">
        <v>170</v>
      </c>
      <c r="K204" s="50" t="s">
        <v>159</v>
      </c>
      <c r="L204" s="49" t="str">
        <f>IFERROR(__xludf.DUMMYFUNCTION("""COMPUTED_VALUE"""),"lewis")</f>
        <v>lewis</v>
      </c>
      <c r="M204" s="49"/>
      <c r="N204" s="49" t="str">
        <f>IFERROR(__xludf.DUMMYFUNCTION("""COMPUTED_VALUE"""),"my")</f>
        <v>my</v>
      </c>
      <c r="O204" s="49" t="str">
        <f>IFERROR(__xludf.DUMMYFUNCTION("""COMPUTED_VALUE"""),"points")</f>
        <v>points</v>
      </c>
      <c r="P204" s="49" t="str">
        <f t="shared" si="2"/>
        <v>me,</v>
      </c>
      <c r="Q204" s="49"/>
      <c r="R204" s="50" t="s">
        <v>287</v>
      </c>
      <c r="S204" s="55" t="s">
        <v>151</v>
      </c>
      <c r="T204" s="49" t="str">
        <f>IFERROR(__xludf.DUMMYFUNCTION("""COMPUTED_VALUE"""),"large")</f>
        <v>large</v>
      </c>
      <c r="U204" s="49"/>
      <c r="V204" s="49" t="str">
        <f>IFERROR(__xludf.DUMMYFUNCTION("""COMPUTED_VALUE"""),"multi")</f>
        <v>multi</v>
      </c>
      <c r="W204" s="49" t="str">
        <f>IFERROR(__xludf.DUMMYFUNCTION("""COMPUTED_VALUE"""),"rhythms")</f>
        <v>rhythms</v>
      </c>
      <c r="X204" s="49" t="str">
        <f t="shared" si="3"/>
        <v>through,</v>
      </c>
      <c r="Y204" s="49"/>
      <c r="Z204" s="1" t="s">
        <v>1293</v>
      </c>
      <c r="AA204" s="1" t="s">
        <v>1442</v>
      </c>
      <c r="AB204" s="49" t="str">
        <f>IFERROR(__xludf.DUMMYFUNCTION("""COMPUTED_VALUE"""),"addition")</f>
        <v>addition</v>
      </c>
      <c r="AC204" s="49"/>
      <c r="AD204" s="49" t="str">
        <f>IFERROR(__xludf.DUMMYFUNCTION("""COMPUTED_VALUE"""),"my")</f>
        <v>my</v>
      </c>
      <c r="AE204" s="49" t="str">
        <f>IFERROR(__xludf.DUMMYFUNCTION("""COMPUTED_VALUE"""),"points")</f>
        <v>points</v>
      </c>
      <c r="AF204" s="49" t="str">
        <f t="shared" si="4"/>
        <v>lot,</v>
      </c>
      <c r="AG204" s="49"/>
      <c r="AH204" s="1" t="s">
        <v>1820</v>
      </c>
      <c r="AI204" s="1" t="s">
        <v>6293</v>
      </c>
      <c r="AJ204" s="6" t="str">
        <f>IFERROR(__xludf.DUMMYFUNCTION("""COMPUTED_VALUE"""),"type")</f>
        <v>type</v>
      </c>
      <c r="AK204" s="49"/>
      <c r="AL204" s="49"/>
      <c r="AM204" s="49" t="str">
        <f>IFERROR(__xludf.DUMMYFUNCTION("""COMPUTED_VALUE"""),"tools")</f>
        <v>tools</v>
      </c>
      <c r="AN204" s="52" t="str">
        <f t="shared" si="5"/>
        <v>fact,</v>
      </c>
    </row>
    <row r="205">
      <c r="A205" s="51" t="s">
        <v>1447</v>
      </c>
      <c r="B205" s="50" t="s">
        <v>2009</v>
      </c>
      <c r="C205" s="50" t="s">
        <v>810</v>
      </c>
      <c r="D205" s="49" t="b">
        <f>IFERROR(__xludf.DUMMYFUNCTION("""COMPUTED_VALUE"""),TRUE)</f>
        <v>1</v>
      </c>
      <c r="E205" s="49"/>
      <c r="F205" s="49"/>
      <c r="G205" s="49" t="str">
        <f>IFERROR(__xludf.DUMMYFUNCTION("""COMPUTED_VALUE"""),"hurry")</f>
        <v>hurry</v>
      </c>
      <c r="H205" s="54" t="str">
        <f t="shared" si="1"/>
        <v>beneath,</v>
      </c>
      <c r="I205" s="50"/>
      <c r="J205" s="50" t="s">
        <v>1414</v>
      </c>
      <c r="K205" s="50" t="s">
        <v>1453</v>
      </c>
      <c r="L205" s="49" t="str">
        <f>IFERROR(__xludf.DUMMYFUNCTION("""COMPUTED_VALUE"""),"lets")</f>
        <v>lets</v>
      </c>
      <c r="M205" s="49"/>
      <c r="N205" s="49" t="str">
        <f>IFERROR(__xludf.DUMMYFUNCTION("""COMPUTED_VALUE"""),"during")</f>
        <v>during</v>
      </c>
      <c r="O205" s="49" t="str">
        <f>IFERROR(__xludf.DUMMYFUNCTION("""COMPUTED_VALUE"""),"white")</f>
        <v>white</v>
      </c>
      <c r="P205" s="49" t="str">
        <f t="shared" si="2"/>
        <v>/,</v>
      </c>
      <c r="Q205" s="49"/>
      <c r="R205" s="50" t="s">
        <v>939</v>
      </c>
      <c r="S205" s="55" t="s">
        <v>322</v>
      </c>
      <c r="T205" s="49" t="str">
        <f>IFERROR(__xludf.DUMMYFUNCTION("""COMPUTED_VALUE"""),"most")</f>
        <v>most</v>
      </c>
      <c r="U205" s="49"/>
      <c r="V205" s="49" t="str">
        <f>IFERROR(__xludf.DUMMYFUNCTION("""COMPUTED_VALUE"""),"lives")</f>
        <v>lives</v>
      </c>
      <c r="W205" s="49" t="str">
        <f>IFERROR(__xludf.DUMMYFUNCTION("""COMPUTED_VALUE"""),"distracted")</f>
        <v>distracted</v>
      </c>
      <c r="X205" s="49" t="str">
        <f t="shared" si="3"/>
        <v>work,</v>
      </c>
      <c r="Y205" s="49"/>
      <c r="Z205" s="1" t="s">
        <v>4361</v>
      </c>
      <c r="AA205" s="1" t="s">
        <v>802</v>
      </c>
      <c r="AB205" s="49" t="str">
        <f>IFERROR(__xludf.DUMMYFUNCTION("""COMPUTED_VALUE"""),"human")</f>
        <v>human</v>
      </c>
      <c r="AC205" s="49"/>
      <c r="AD205" s="49" t="str">
        <f>IFERROR(__xludf.DUMMYFUNCTION("""COMPUTED_VALUE"""),"during")</f>
        <v>during</v>
      </c>
      <c r="AE205" s="49" t="str">
        <f>IFERROR(__xludf.DUMMYFUNCTION("""COMPUTED_VALUE"""),"white")</f>
        <v>white</v>
      </c>
      <c r="AF205" s="49" t="str">
        <f t="shared" si="4"/>
        <v>ideas,</v>
      </c>
      <c r="AG205" s="49"/>
      <c r="AH205" s="1" t="s">
        <v>1830</v>
      </c>
      <c r="AI205" s="1" t="s">
        <v>888</v>
      </c>
      <c r="AJ205" s="6" t="str">
        <f>IFERROR(__xludf.DUMMYFUNCTION("""COMPUTED_VALUE"""),"boy")</f>
        <v>boy</v>
      </c>
      <c r="AK205" s="49"/>
      <c r="AL205" s="49"/>
      <c r="AM205" s="49" t="str">
        <f>IFERROR(__xludf.DUMMYFUNCTION("""COMPUTED_VALUE"""),"housing")</f>
        <v>housing</v>
      </c>
      <c r="AN205" s="52" t="str">
        <f t="shared" si="5"/>
        <v>type,</v>
      </c>
    </row>
    <row r="206">
      <c r="A206" s="51" t="s">
        <v>1454</v>
      </c>
      <c r="B206" s="50" t="s">
        <v>4844</v>
      </c>
      <c r="C206" s="50" t="s">
        <v>2986</v>
      </c>
      <c r="D206" s="49" t="str">
        <f>IFERROR(__xludf.DUMMYFUNCTION("""COMPUTED_VALUE"""),"significant")</f>
        <v>significant</v>
      </c>
      <c r="E206" s="49"/>
      <c r="F206" s="49"/>
      <c r="G206" s="49" t="str">
        <f>IFERROR(__xludf.DUMMYFUNCTION("""COMPUTED_VALUE"""),"simultaneously")</f>
        <v>simultaneously</v>
      </c>
      <c r="H206" s="54" t="str">
        <f t="shared" si="1"/>
        <v>sight,</v>
      </c>
      <c r="I206" s="50"/>
      <c r="J206" s="50" t="s">
        <v>1327</v>
      </c>
      <c r="K206" s="50" t="s">
        <v>1179</v>
      </c>
      <c r="L206" s="49" t="str">
        <f>IFERROR(__xludf.DUMMYFUNCTION("""COMPUTED_VALUE"""),"concept")</f>
        <v>concept</v>
      </c>
      <c r="M206" s="49"/>
      <c r="N206" s="49" t="str">
        <f>IFERROR(__xludf.DUMMYFUNCTION("""COMPUTED_VALUE"""),"trees")</f>
        <v>trees</v>
      </c>
      <c r="O206" s="49" t="str">
        <f>IFERROR(__xludf.DUMMYFUNCTION("""COMPUTED_VALUE"""),"watts")</f>
        <v>watts</v>
      </c>
      <c r="P206" s="49" t="str">
        <f t="shared" si="2"/>
        <v>hugh,</v>
      </c>
      <c r="Q206" s="49"/>
      <c r="R206" s="50" t="s">
        <v>359</v>
      </c>
      <c r="S206" s="55" t="s">
        <v>476</v>
      </c>
      <c r="T206" s="49" t="str">
        <f>IFERROR(__xludf.DUMMYFUNCTION("""COMPUTED_VALUE"""),"strikes")</f>
        <v>strikes</v>
      </c>
      <c r="U206" s="49"/>
      <c r="V206" s="49" t="str">
        <f>IFERROR(__xludf.DUMMYFUNCTION("""COMPUTED_VALUE"""),"taste")</f>
        <v>taste</v>
      </c>
      <c r="W206" s="49" t="str">
        <f>IFERROR(__xludf.DUMMYFUNCTION("""COMPUTED_VALUE"""),"street")</f>
        <v>street</v>
      </c>
      <c r="X206" s="49" t="str">
        <f t="shared" si="3"/>
        <v>performance,</v>
      </c>
      <c r="Y206" s="49"/>
      <c r="Z206" s="1" t="s">
        <v>3665</v>
      </c>
      <c r="AA206" s="1" t="s">
        <v>812</v>
      </c>
      <c r="AB206" s="49" t="str">
        <f>IFERROR(__xludf.DUMMYFUNCTION("""COMPUTED_VALUE"""),"documentary")</f>
        <v>documentary</v>
      </c>
      <c r="AC206" s="49"/>
      <c r="AD206" s="49" t="str">
        <f>IFERROR(__xludf.DUMMYFUNCTION("""COMPUTED_VALUE"""),"trees")</f>
        <v>trees</v>
      </c>
      <c r="AE206" s="49" t="str">
        <f>IFERROR(__xludf.DUMMYFUNCTION("""COMPUTED_VALUE"""),"watts")</f>
        <v>watts</v>
      </c>
      <c r="AF206" s="49" t="str">
        <f t="shared" si="4"/>
        <v>himself,</v>
      </c>
      <c r="AG206" s="49"/>
      <c r="AH206" s="1" t="s">
        <v>2733</v>
      </c>
      <c r="AI206" s="1" t="s">
        <v>1018</v>
      </c>
      <c r="AJ206" s="6" t="str">
        <f>IFERROR(__xludf.DUMMYFUNCTION("""COMPUTED_VALUE"""),"industry")</f>
        <v>industry</v>
      </c>
      <c r="AK206" s="49"/>
      <c r="AL206" s="49"/>
      <c r="AM206" s="49" t="str">
        <f>IFERROR(__xludf.DUMMYFUNCTION("""COMPUTED_VALUE"""),"options")</f>
        <v>options</v>
      </c>
      <c r="AN206" s="52" t="str">
        <f t="shared" si="5"/>
        <v>boy,</v>
      </c>
    </row>
    <row r="207">
      <c r="A207" s="51" t="s">
        <v>1459</v>
      </c>
      <c r="B207" s="50" t="s">
        <v>5374</v>
      </c>
      <c r="C207" s="50" t="s">
        <v>1171</v>
      </c>
      <c r="D207" s="49" t="str">
        <f>IFERROR(__xludf.DUMMYFUNCTION("""COMPUTED_VALUE"""),"tribute")</f>
        <v>tribute</v>
      </c>
      <c r="E207" s="49"/>
      <c r="F207" s="49"/>
      <c r="G207" s="49" t="str">
        <f>IFERROR(__xludf.DUMMYFUNCTION("""COMPUTED_VALUE"""),"profile")</f>
        <v>profile</v>
      </c>
      <c r="H207" s="54" t="str">
        <f t="shared" si="1"/>
        <v>values,</v>
      </c>
      <c r="I207" s="50"/>
      <c r="J207" s="50" t="s">
        <v>6643</v>
      </c>
      <c r="K207" s="50" t="s">
        <v>1192</v>
      </c>
      <c r="L207" s="49" t="str">
        <f>IFERROR(__xludf.DUMMYFUNCTION("""COMPUTED_VALUE"""),"abstract")</f>
        <v>abstract</v>
      </c>
      <c r="M207" s="49"/>
      <c r="N207" s="49" t="str">
        <f>IFERROR(__xludf.DUMMYFUNCTION("""COMPUTED_VALUE"""),"pro")</f>
        <v>pro</v>
      </c>
      <c r="O207" s="49" t="str">
        <f>IFERROR(__xludf.DUMMYFUNCTION("""COMPUTED_VALUE"""),"isolation")</f>
        <v>isolation</v>
      </c>
      <c r="P207" s="49" t="str">
        <f t="shared" si="2"/>
        <v>nervous,</v>
      </c>
      <c r="Q207" s="49"/>
      <c r="R207" s="50" t="s">
        <v>1701</v>
      </c>
      <c r="S207" s="55" t="s">
        <v>4211</v>
      </c>
      <c r="T207" s="49" t="str">
        <f>IFERROR(__xludf.DUMMYFUNCTION("""COMPUTED_VALUE"""),"adaptation")</f>
        <v>adaptation</v>
      </c>
      <c r="U207" s="49"/>
      <c r="V207" s="49" t="str">
        <f>IFERROR(__xludf.DUMMYFUNCTION("""COMPUTED_VALUE"""),"curious")</f>
        <v>curious</v>
      </c>
      <c r="W207" s="49" t="str">
        <f>IFERROR(__xludf.DUMMYFUNCTION("""COMPUTED_VALUE"""),"quintet")</f>
        <v>quintet</v>
      </c>
      <c r="X207" s="49" t="str">
        <f t="shared" si="3"/>
        <v>works,</v>
      </c>
      <c r="Y207" s="49"/>
      <c r="Z207" s="1" t="s">
        <v>4650</v>
      </c>
      <c r="AA207" s="1" t="s">
        <v>1460</v>
      </c>
      <c r="AB207" s="49" t="str">
        <f>IFERROR(__xludf.DUMMYFUNCTION("""COMPUTED_VALUE"""),"badly")</f>
        <v>badly</v>
      </c>
      <c r="AC207" s="49"/>
      <c r="AD207" s="49" t="str">
        <f>IFERROR(__xludf.DUMMYFUNCTION("""COMPUTED_VALUE"""),"pro")</f>
        <v>pro</v>
      </c>
      <c r="AE207" s="49" t="str">
        <f>IFERROR(__xludf.DUMMYFUNCTION("""COMPUTED_VALUE"""),"isolation")</f>
        <v>isolation</v>
      </c>
      <c r="AF207" s="49" t="str">
        <f t="shared" si="4"/>
        <v>assault,</v>
      </c>
      <c r="AG207" s="49"/>
      <c r="AH207" s="1" t="s">
        <v>4067</v>
      </c>
      <c r="AI207" s="1" t="s">
        <v>471</v>
      </c>
      <c r="AJ207" s="6" t="str">
        <f>IFERROR(__xludf.DUMMYFUNCTION("""COMPUTED_VALUE"""),"takes")</f>
        <v>takes</v>
      </c>
      <c r="AK207" s="49"/>
      <c r="AL207" s="49"/>
      <c r="AM207" s="49" t="str">
        <f>IFERROR(__xludf.DUMMYFUNCTION("""COMPUTED_VALUE"""),"jaw")</f>
        <v>jaw</v>
      </c>
      <c r="AN207" s="52" t="str">
        <f t="shared" si="5"/>
        <v>industry,</v>
      </c>
    </row>
    <row r="208">
      <c r="A208" s="51" t="s">
        <v>1468</v>
      </c>
      <c r="B208" s="50" t="s">
        <v>4862</v>
      </c>
      <c r="C208" s="50" t="s">
        <v>6304</v>
      </c>
      <c r="D208" s="49" t="str">
        <f>IFERROR(__xludf.DUMMYFUNCTION("""COMPUTED_VALUE"""),"first")</f>
        <v>first</v>
      </c>
      <c r="E208" s="49"/>
      <c r="F208" s="49"/>
      <c r="G208" s="49" t="str">
        <f>IFERROR(__xludf.DUMMYFUNCTION("""COMPUTED_VALUE"""),"solutions")</f>
        <v>solutions</v>
      </c>
      <c r="H208" s="54" t="str">
        <f t="shared" si="1"/>
        <v>sick,</v>
      </c>
      <c r="I208" s="50"/>
      <c r="J208" s="50" t="s">
        <v>1671</v>
      </c>
      <c r="K208" s="50" t="s">
        <v>1203</v>
      </c>
      <c r="L208" s="49" t="str">
        <f>IFERROR(__xludf.DUMMYFUNCTION("""COMPUTED_VALUE"""),"universal")</f>
        <v>universal</v>
      </c>
      <c r="M208" s="49"/>
      <c r="N208" s="49" t="str">
        <f>IFERROR(__xludf.DUMMYFUNCTION("""COMPUTED_VALUE"""),"feet")</f>
        <v>feet</v>
      </c>
      <c r="O208" s="49" t="str">
        <f>IFERROR(__xludf.DUMMYFUNCTION("""COMPUTED_VALUE"""),"plight")</f>
        <v>plight</v>
      </c>
      <c r="P208" s="49" t="str">
        <f t="shared" si="2"/>
        <v>eye,</v>
      </c>
      <c r="Q208" s="49"/>
      <c r="R208" s="50" t="s">
        <v>4856</v>
      </c>
      <c r="S208" s="55" t="s">
        <v>158</v>
      </c>
      <c r="T208" s="49" t="str">
        <f>IFERROR(__xludf.DUMMYFUNCTION("""COMPUTED_VALUE"""),"minor")</f>
        <v>minor</v>
      </c>
      <c r="U208" s="49"/>
      <c r="V208" s="49" t="str">
        <f>IFERROR(__xludf.DUMMYFUNCTION("""COMPUTED_VALUE"""),"hearts")</f>
        <v>hearts</v>
      </c>
      <c r="W208" s="49" t="str">
        <f>IFERROR(__xludf.DUMMYFUNCTION("""COMPUTED_VALUE"""),"valuable")</f>
        <v>valuable</v>
      </c>
      <c r="X208" s="49" t="str">
        <f t="shared" si="3"/>
        <v>occasionally,</v>
      </c>
      <c r="Y208" s="49"/>
      <c r="Z208" s="1" t="s">
        <v>4273</v>
      </c>
      <c r="AA208" s="1" t="s">
        <v>1469</v>
      </c>
      <c r="AB208" s="49" t="str">
        <f>IFERROR(__xludf.DUMMYFUNCTION("""COMPUTED_VALUE"""),"possible")</f>
        <v>possible</v>
      </c>
      <c r="AC208" s="49"/>
      <c r="AD208" s="49" t="str">
        <f>IFERROR(__xludf.DUMMYFUNCTION("""COMPUTED_VALUE"""),"feet")</f>
        <v>feet</v>
      </c>
      <c r="AE208" s="49" t="str">
        <f>IFERROR(__xludf.DUMMYFUNCTION("""COMPUTED_VALUE"""),"plight")</f>
        <v>plight</v>
      </c>
      <c r="AF208" s="49" t="str">
        <f t="shared" si="4"/>
        <v>expert,</v>
      </c>
      <c r="AG208" s="49"/>
      <c r="AH208" s="1" t="s">
        <v>1574</v>
      </c>
      <c r="AI208" s="1" t="s">
        <v>2146</v>
      </c>
      <c r="AJ208" s="6" t="str">
        <f>IFERROR(__xludf.DUMMYFUNCTION("""COMPUTED_VALUE"""),"produce")</f>
        <v>produce</v>
      </c>
      <c r="AK208" s="49"/>
      <c r="AL208" s="49"/>
      <c r="AM208" s="49" t="str">
        <f>IFERROR(__xludf.DUMMYFUNCTION("""COMPUTED_VALUE"""),"concrete")</f>
        <v>concrete</v>
      </c>
      <c r="AN208" s="52" t="str">
        <f t="shared" si="5"/>
        <v>takes,</v>
      </c>
    </row>
    <row r="209">
      <c r="A209" s="51" t="s">
        <v>336</v>
      </c>
      <c r="B209" s="50" t="s">
        <v>3980</v>
      </c>
      <c r="C209" s="50" t="s">
        <v>542</v>
      </c>
      <c r="D209" s="49" t="str">
        <f>IFERROR(__xludf.DUMMYFUNCTION("""COMPUTED_VALUE"""),"two")</f>
        <v>two</v>
      </c>
      <c r="E209" s="49"/>
      <c r="F209" s="49"/>
      <c r="G209" s="49">
        <f>IFERROR(__xludf.DUMMYFUNCTION("""COMPUTED_VALUE"""),83.0)</f>
        <v>83</v>
      </c>
      <c r="H209" s="54" t="str">
        <f t="shared" si="1"/>
        <v>twisted,</v>
      </c>
      <c r="I209" s="50"/>
      <c r="J209" s="50" t="s">
        <v>1322</v>
      </c>
      <c r="K209" s="50" t="s">
        <v>231</v>
      </c>
      <c r="L209" s="49" t="str">
        <f>IFERROR(__xludf.DUMMYFUNCTION("""COMPUTED_VALUE"""),"perspective")</f>
        <v>perspective</v>
      </c>
      <c r="M209" s="49"/>
      <c r="N209" s="49" t="str">
        <f>IFERROR(__xludf.DUMMYFUNCTION("""COMPUTED_VALUE"""),"turned")</f>
        <v>turned</v>
      </c>
      <c r="O209" s="49" t="str">
        <f>IFERROR(__xludf.DUMMYFUNCTION("""COMPUTED_VALUE"""),"frame")</f>
        <v>frame</v>
      </c>
      <c r="P209" s="49" t="str">
        <f t="shared" si="2"/>
        <v>grant,</v>
      </c>
      <c r="Q209" s="49"/>
      <c r="R209" s="50" t="s">
        <v>4207</v>
      </c>
      <c r="S209" s="55" t="s">
        <v>502</v>
      </c>
      <c r="T209" s="49" t="str">
        <f>IFERROR(__xludf.DUMMYFUNCTION("""COMPUTED_VALUE"""),"guy")</f>
        <v>guy</v>
      </c>
      <c r="U209" s="49"/>
      <c r="V209" s="49" t="str">
        <f>IFERROR(__xludf.DUMMYFUNCTION("""COMPUTED_VALUE"""),"season")</f>
        <v>season</v>
      </c>
      <c r="W209" s="49" t="str">
        <f>IFERROR(__xludf.DUMMYFUNCTION("""COMPUTED_VALUE"""),"lau")</f>
        <v>lau</v>
      </c>
      <c r="X209" s="49" t="str">
        <f t="shared" si="3"/>
        <v>michael,</v>
      </c>
      <c r="Y209" s="49"/>
      <c r="Z209" s="1" t="s">
        <v>182</v>
      </c>
      <c r="AA209" s="1" t="s">
        <v>1474</v>
      </c>
      <c r="AB209" s="49" t="str">
        <f>IFERROR(__xludf.DUMMYFUNCTION("""COMPUTED_VALUE"""),"white")</f>
        <v>white</v>
      </c>
      <c r="AC209" s="49"/>
      <c r="AD209" s="49" t="str">
        <f>IFERROR(__xludf.DUMMYFUNCTION("""COMPUTED_VALUE"""),"turned")</f>
        <v>turned</v>
      </c>
      <c r="AE209" s="49" t="str">
        <f>IFERROR(__xludf.DUMMYFUNCTION("""COMPUTED_VALUE"""),"frame")</f>
        <v>frame</v>
      </c>
      <c r="AF209" s="49" t="str">
        <f t="shared" si="4"/>
        <v>called,</v>
      </c>
      <c r="AG209" s="49"/>
      <c r="AH209" s="1" t="s">
        <v>3432</v>
      </c>
      <c r="AI209" s="1" t="s">
        <v>6239</v>
      </c>
      <c r="AJ209" s="6" t="str">
        <f>IFERROR(__xludf.DUMMYFUNCTION("""COMPUTED_VALUE"""),"falls")</f>
        <v>falls</v>
      </c>
      <c r="AK209" s="49"/>
      <c r="AL209" s="49"/>
      <c r="AM209" s="49" t="str">
        <f>IFERROR(__xludf.DUMMYFUNCTION("""COMPUTED_VALUE"""),"rates")</f>
        <v>rates</v>
      </c>
      <c r="AN209" s="52" t="str">
        <f t="shared" si="5"/>
        <v>produce,</v>
      </c>
    </row>
    <row r="210">
      <c r="A210" s="51" t="s">
        <v>1481</v>
      </c>
      <c r="B210" s="50" t="s">
        <v>3424</v>
      </c>
      <c r="C210" s="50" t="s">
        <v>290</v>
      </c>
      <c r="D210" s="49" t="str">
        <f>IFERROR(__xludf.DUMMYFUNCTION("""COMPUTED_VALUE"""),"enough")</f>
        <v>enough</v>
      </c>
      <c r="E210" s="49"/>
      <c r="F210" s="49"/>
      <c r="G210" s="49" t="str">
        <f>IFERROR(__xludf.DUMMYFUNCTION("""COMPUTED_VALUE"""),"margin")</f>
        <v>margin</v>
      </c>
      <c r="H210" s="54" t="str">
        <f t="shared" si="1"/>
        <v>necessarily,</v>
      </c>
      <c r="I210" s="50"/>
      <c r="J210" s="50" t="s">
        <v>1520</v>
      </c>
      <c r="K210" s="50">
        <v>3000.0</v>
      </c>
      <c r="L210" s="49" t="str">
        <f>IFERROR(__xludf.DUMMYFUNCTION("""COMPUTED_VALUE"""),"four")</f>
        <v>four</v>
      </c>
      <c r="M210" s="49"/>
      <c r="N210" s="49" t="str">
        <f>IFERROR(__xludf.DUMMYFUNCTION("""COMPUTED_VALUE"""),"ever")</f>
        <v>ever</v>
      </c>
      <c r="O210" s="49" t="str">
        <f>IFERROR(__xludf.DUMMYFUNCTION("""COMPUTED_VALUE"""),"force")</f>
        <v>force</v>
      </c>
      <c r="P210" s="49" t="str">
        <f t="shared" si="2"/>
        <v>hand,</v>
      </c>
      <c r="Q210" s="49"/>
      <c r="R210" s="50" t="s">
        <v>1253</v>
      </c>
      <c r="S210" s="55" t="s">
        <v>1102</v>
      </c>
      <c r="T210" s="49" t="str">
        <f>IFERROR(__xludf.DUMMYFUNCTION("""COMPUTED_VALUE"""),"beautiful")</f>
        <v>beautiful</v>
      </c>
      <c r="U210" s="49"/>
      <c r="V210" s="49" t="str">
        <f>IFERROR(__xludf.DUMMYFUNCTION("""COMPUTED_VALUE"""),"candidate")</f>
        <v>candidate</v>
      </c>
      <c r="W210" s="49" t="str">
        <f>IFERROR(__xludf.DUMMYFUNCTION("""COMPUTED_VALUE"""),"thanks")</f>
        <v>thanks</v>
      </c>
      <c r="X210" s="49" t="str">
        <f t="shared" si="3"/>
        <v>halfway,</v>
      </c>
      <c r="Y210" s="49"/>
      <c r="Z210" s="1" t="s">
        <v>2483</v>
      </c>
      <c r="AA210" s="1" t="s">
        <v>890</v>
      </c>
      <c r="AB210" s="49" t="str">
        <f>IFERROR(__xludf.DUMMYFUNCTION("""COMPUTED_VALUE"""),"analyze")</f>
        <v>analyze</v>
      </c>
      <c r="AC210" s="49"/>
      <c r="AD210" s="49" t="str">
        <f>IFERROR(__xludf.DUMMYFUNCTION("""COMPUTED_VALUE"""),"ever")</f>
        <v>ever</v>
      </c>
      <c r="AE210" s="49" t="str">
        <f>IFERROR(__xludf.DUMMYFUNCTION("""COMPUTED_VALUE"""),"force")</f>
        <v>force</v>
      </c>
      <c r="AF210" s="49" t="str">
        <f t="shared" si="4"/>
        <v>writer,</v>
      </c>
      <c r="AG210" s="49"/>
      <c r="AH210" s="1" t="s">
        <v>4311</v>
      </c>
      <c r="AI210" s="1" t="s">
        <v>1044</v>
      </c>
      <c r="AJ210" s="6" t="str">
        <f>IFERROR(__xludf.DUMMYFUNCTION("""COMPUTED_VALUE"""),"pictures")</f>
        <v>pictures</v>
      </c>
      <c r="AK210" s="49"/>
      <c r="AL210" s="49"/>
      <c r="AM210" s="49" t="str">
        <f>IFERROR(__xludf.DUMMYFUNCTION("""COMPUTED_VALUE"""),"contributions")</f>
        <v>contributions</v>
      </c>
      <c r="AN210" s="52" t="str">
        <f t="shared" si="5"/>
        <v>falls,</v>
      </c>
    </row>
    <row r="211">
      <c r="A211" s="51" t="s">
        <v>1488</v>
      </c>
      <c r="B211" s="50" t="s">
        <v>6867</v>
      </c>
      <c r="C211" s="50" t="s">
        <v>653</v>
      </c>
      <c r="D211" s="49" t="str">
        <f>IFERROR(__xludf.DUMMYFUNCTION("""COMPUTED_VALUE"""),"heat")</f>
        <v>heat</v>
      </c>
      <c r="E211" s="49"/>
      <c r="F211" s="49"/>
      <c r="G211" s="49" t="str">
        <f>IFERROR(__xludf.DUMMYFUNCTION("""COMPUTED_VALUE"""),"sugar")</f>
        <v>sugar</v>
      </c>
      <c r="H211" s="54" t="str">
        <f t="shared" si="1"/>
        <v>surveillance,</v>
      </c>
      <c r="I211" s="50"/>
      <c r="J211" s="50" t="s">
        <v>1658</v>
      </c>
      <c r="K211" s="50" t="s">
        <v>1220</v>
      </c>
      <c r="L211" s="49" t="str">
        <f>IFERROR(__xludf.DUMMYFUNCTION("""COMPUTED_VALUE"""),"historical")</f>
        <v>historical</v>
      </c>
      <c r="M211" s="49"/>
      <c r="N211" s="49" t="str">
        <f>IFERROR(__xludf.DUMMYFUNCTION("""COMPUTED_VALUE"""),"actually")</f>
        <v>actually</v>
      </c>
      <c r="O211" s="49" t="str">
        <f>IFERROR(__xludf.DUMMYFUNCTION("""COMPUTED_VALUE"""),"maternal")</f>
        <v>maternal</v>
      </c>
      <c r="P211" s="49" t="str">
        <f t="shared" si="2"/>
        <v>smiles,</v>
      </c>
      <c r="Q211" s="49"/>
      <c r="R211" s="50" t="s">
        <v>6668</v>
      </c>
      <c r="S211" s="55" t="s">
        <v>488</v>
      </c>
      <c r="T211" s="49" t="str">
        <f>IFERROR(__xludf.DUMMYFUNCTION("""COMPUTED_VALUE"""),"predictable")</f>
        <v>predictable</v>
      </c>
      <c r="U211" s="49"/>
      <c r="V211" s="49" t="str">
        <f>IFERROR(__xludf.DUMMYFUNCTION("""COMPUTED_VALUE"""),"thousands")</f>
        <v>thousands</v>
      </c>
      <c r="W211" s="49" t="str">
        <f>IFERROR(__xludf.DUMMYFUNCTION("""COMPUTED_VALUE"""),"quentin")</f>
        <v>quentin</v>
      </c>
      <c r="X211" s="49" t="str">
        <f t="shared" si="3"/>
        <v>hidden,</v>
      </c>
      <c r="Y211" s="49"/>
      <c r="Z211" s="1" t="s">
        <v>88</v>
      </c>
      <c r="AA211" s="1" t="s">
        <v>1489</v>
      </c>
      <c r="AB211" s="49" t="str">
        <f>IFERROR(__xludf.DUMMYFUNCTION("""COMPUTED_VALUE"""),"fails")</f>
        <v>fails</v>
      </c>
      <c r="AC211" s="49"/>
      <c r="AD211" s="49" t="str">
        <f>IFERROR(__xludf.DUMMYFUNCTION("""COMPUTED_VALUE"""),"actually")</f>
        <v>actually</v>
      </c>
      <c r="AE211" s="49" t="str">
        <f>IFERROR(__xludf.DUMMYFUNCTION("""COMPUTED_VALUE"""),"maternal")</f>
        <v>maternal</v>
      </c>
      <c r="AF211" s="49" t="str">
        <f t="shared" si="4"/>
        <v>something,</v>
      </c>
      <c r="AG211" s="49"/>
      <c r="AH211" s="1" t="s">
        <v>2023</v>
      </c>
      <c r="AI211" s="1" t="s">
        <v>6294</v>
      </c>
      <c r="AJ211" s="6" t="str">
        <f>IFERROR(__xludf.DUMMYFUNCTION("""COMPUTED_VALUE"""),"category")</f>
        <v>category</v>
      </c>
      <c r="AK211" s="49"/>
      <c r="AL211" s="49"/>
      <c r="AM211" s="49" t="str">
        <f>IFERROR(__xludf.DUMMYFUNCTION("""COMPUTED_VALUE"""),"replacing")</f>
        <v>replacing</v>
      </c>
      <c r="AN211" s="52" t="str">
        <f t="shared" si="5"/>
        <v>pictures,</v>
      </c>
    </row>
    <row r="212">
      <c r="A212" s="51" t="s">
        <v>1152</v>
      </c>
      <c r="B212" s="50" t="s">
        <v>172</v>
      </c>
      <c r="C212" s="50" t="s">
        <v>1370</v>
      </c>
      <c r="D212" s="49" t="str">
        <f>IFERROR(__xludf.DUMMYFUNCTION("""COMPUTED_VALUE"""),"appear")</f>
        <v>appear</v>
      </c>
      <c r="E212" s="49"/>
      <c r="F212" s="49"/>
      <c r="G212" s="49" t="str">
        <f>IFERROR(__xludf.DUMMYFUNCTION("""COMPUTED_VALUE"""),"organic")</f>
        <v>organic</v>
      </c>
      <c r="H212" s="54" t="str">
        <f t="shared" si="1"/>
        <v>long,</v>
      </c>
      <c r="I212" s="50"/>
      <c r="J212" s="50" t="s">
        <v>1119</v>
      </c>
      <c r="K212" s="50" t="s">
        <v>1432</v>
      </c>
      <c r="L212" s="49" t="str">
        <f>IFERROR(__xludf.DUMMYFUNCTION("""COMPUTED_VALUE"""),"experience")</f>
        <v>experience</v>
      </c>
      <c r="M212" s="49"/>
      <c r="N212" s="49" t="str">
        <f>IFERROR(__xludf.DUMMYFUNCTION("""COMPUTED_VALUE"""),"quite")</f>
        <v>quite</v>
      </c>
      <c r="O212" s="49" t="str">
        <f>IFERROR(__xludf.DUMMYFUNCTION("""COMPUTED_VALUE"""),"fury")</f>
        <v>fury</v>
      </c>
      <c r="P212" s="49" t="str">
        <f t="shared" si="2"/>
        <v>thing,</v>
      </c>
      <c r="Q212" s="49"/>
      <c r="R212" s="50" t="s">
        <v>2520</v>
      </c>
      <c r="S212" s="55" t="s">
        <v>1255</v>
      </c>
      <c r="T212" s="49" t="str">
        <f>IFERROR(__xludf.DUMMYFUNCTION("""COMPUTED_VALUE"""),"novel")</f>
        <v>novel</v>
      </c>
      <c r="U212" s="49"/>
      <c r="V212" s="49" t="str">
        <f>IFERROR(__xludf.DUMMYFUNCTION("""COMPUTED_VALUE"""),"unhappy")</f>
        <v>unhappy</v>
      </c>
      <c r="W212" s="49" t="str">
        <f>IFERROR(__xludf.DUMMYFUNCTION("""COMPUTED_VALUE"""),"grow")</f>
        <v>grow</v>
      </c>
      <c r="X212" s="49" t="str">
        <f t="shared" si="3"/>
        <v>hannibal,</v>
      </c>
      <c r="Y212" s="49"/>
      <c r="Z212" s="1" t="s">
        <v>6773</v>
      </c>
      <c r="AA212" s="1" t="s">
        <v>1492</v>
      </c>
      <c r="AB212" s="49" t="str">
        <f>IFERROR(__xludf.DUMMYFUNCTION("""COMPUTED_VALUE"""),"interesting")</f>
        <v>interesting</v>
      </c>
      <c r="AC212" s="49"/>
      <c r="AD212" s="49" t="str">
        <f>IFERROR(__xludf.DUMMYFUNCTION("""COMPUTED_VALUE"""),"quite")</f>
        <v>quite</v>
      </c>
      <c r="AE212" s="49" t="str">
        <f>IFERROR(__xludf.DUMMYFUNCTION("""COMPUTED_VALUE"""),"fury")</f>
        <v>fury</v>
      </c>
      <c r="AF212" s="49" t="str">
        <f t="shared" si="4"/>
        <v>horrible,</v>
      </c>
      <c r="AG212" s="49"/>
      <c r="AH212" s="1" t="s">
        <v>3186</v>
      </c>
      <c r="AI212" s="1" t="s">
        <v>3571</v>
      </c>
      <c r="AJ212" s="6" t="str">
        <f>IFERROR(__xludf.DUMMYFUNCTION("""COMPUTED_VALUE"""),"gain")</f>
        <v>gain</v>
      </c>
      <c r="AK212" s="49"/>
      <c r="AL212" s="49"/>
      <c r="AM212" s="49" t="str">
        <f>IFERROR(__xludf.DUMMYFUNCTION("""COMPUTED_VALUE"""),"provincial")</f>
        <v>provincial</v>
      </c>
      <c r="AN212" s="52" t="str">
        <f t="shared" si="5"/>
        <v>category,</v>
      </c>
    </row>
    <row r="213">
      <c r="A213" s="51" t="s">
        <v>1496</v>
      </c>
      <c r="B213" s="50" t="s">
        <v>1520</v>
      </c>
      <c r="C213" s="50" t="s">
        <v>1378</v>
      </c>
      <c r="D213" s="49" t="str">
        <f>IFERROR(__xludf.DUMMYFUNCTION("""COMPUTED_VALUE"""),"comedy")</f>
        <v>comedy</v>
      </c>
      <c r="E213" s="49"/>
      <c r="F213" s="49"/>
      <c r="G213" s="49" t="str">
        <f>IFERROR(__xludf.DUMMYFUNCTION("""COMPUTED_VALUE"""),"specialized")</f>
        <v>specialized</v>
      </c>
      <c r="H213" s="54" t="str">
        <f t="shared" si="1"/>
        <v>hand,</v>
      </c>
      <c r="I213" s="50"/>
      <c r="J213" s="50" t="s">
        <v>6559</v>
      </c>
      <c r="K213" s="50" t="s">
        <v>724</v>
      </c>
      <c r="L213" s="49" t="str">
        <f>IFERROR(__xludf.DUMMYFUNCTION("""COMPUTED_VALUE"""),"viewing")</f>
        <v>viewing</v>
      </c>
      <c r="M213" s="49"/>
      <c r="N213" s="49" t="str">
        <f>IFERROR(__xludf.DUMMYFUNCTION("""COMPUTED_VALUE"""),"great")</f>
        <v>great</v>
      </c>
      <c r="O213" s="49" t="str">
        <f>IFERROR(__xludf.DUMMYFUNCTION("""COMPUTED_VALUE"""),"progresses")</f>
        <v>progresses</v>
      </c>
      <c r="P213" s="49" t="str">
        <f t="shared" si="2"/>
        <v>huge,</v>
      </c>
      <c r="Q213" s="49"/>
      <c r="R213" s="50" t="s">
        <v>2227</v>
      </c>
      <c r="S213" s="55" t="s">
        <v>881</v>
      </c>
      <c r="T213" s="49" t="str">
        <f>IFERROR(__xludf.DUMMYFUNCTION("""COMPUTED_VALUE"""),"said")</f>
        <v>said</v>
      </c>
      <c r="U213" s="49"/>
      <c r="V213" s="49" t="str">
        <f>IFERROR(__xludf.DUMMYFUNCTION("""COMPUTED_VALUE"""),"effective")</f>
        <v>effective</v>
      </c>
      <c r="W213" s="49" t="str">
        <f>IFERROR(__xludf.DUMMYFUNCTION("""COMPUTED_VALUE"""),"elevated")</f>
        <v>elevated</v>
      </c>
      <c r="X213" s="49" t="str">
        <f t="shared" si="3"/>
        <v>big,</v>
      </c>
      <c r="Y213" s="49"/>
      <c r="Z213" s="1" t="s">
        <v>1490</v>
      </c>
      <c r="AA213" s="1" t="s">
        <v>818</v>
      </c>
      <c r="AB213" s="49" t="str">
        <f>IFERROR(__xludf.DUMMYFUNCTION("""COMPUTED_VALUE"""),"use")</f>
        <v>use</v>
      </c>
      <c r="AC213" s="49"/>
      <c r="AD213" s="49" t="str">
        <f>IFERROR(__xludf.DUMMYFUNCTION("""COMPUTED_VALUE"""),"great")</f>
        <v>great</v>
      </c>
      <c r="AE213" s="49" t="str">
        <f>IFERROR(__xludf.DUMMYFUNCTION("""COMPUTED_VALUE"""),"progresses")</f>
        <v>progresses</v>
      </c>
      <c r="AF213" s="49" t="str">
        <f t="shared" si="4"/>
        <v>scenes,</v>
      </c>
      <c r="AG213" s="49"/>
      <c r="AH213" s="1" t="s">
        <v>5783</v>
      </c>
      <c r="AI213" s="1" t="s">
        <v>6299</v>
      </c>
      <c r="AJ213" s="6" t="str">
        <f>IFERROR(__xludf.DUMMYFUNCTION("""COMPUTED_VALUE"""),"string")</f>
        <v>string</v>
      </c>
      <c r="AK213" s="49"/>
      <c r="AL213" s="49"/>
      <c r="AM213" s="49" t="str">
        <f>IFERROR(__xludf.DUMMYFUNCTION("""COMPUTED_VALUE"""),"ye")</f>
        <v>ye</v>
      </c>
      <c r="AN213" s="52" t="str">
        <f t="shared" si="5"/>
        <v>gain,</v>
      </c>
    </row>
    <row r="214">
      <c r="A214" s="51" t="s">
        <v>1503</v>
      </c>
      <c r="B214" s="50" t="s">
        <v>965</v>
      </c>
      <c r="C214" s="50" t="b">
        <v>1</v>
      </c>
      <c r="D214" s="49" t="str">
        <f>IFERROR(__xludf.DUMMYFUNCTION("""COMPUTED_VALUE"""),"reaction")</f>
        <v>reaction</v>
      </c>
      <c r="E214" s="49"/>
      <c r="F214" s="49"/>
      <c r="G214" s="49" t="str">
        <f>IFERROR(__xludf.DUMMYFUNCTION("""COMPUTED_VALUE"""),"mosque")</f>
        <v>mosque</v>
      </c>
      <c r="H214" s="54" t="str">
        <f t="shared" si="1"/>
        <v>felt,</v>
      </c>
      <c r="I214" s="50"/>
      <c r="J214" s="50" t="s">
        <v>6400</v>
      </c>
      <c r="K214" s="50" t="s">
        <v>939</v>
      </c>
      <c r="L214" s="49" t="str">
        <f>IFERROR(__xludf.DUMMYFUNCTION("""COMPUTED_VALUE"""),"intelligence")</f>
        <v>intelligence</v>
      </c>
      <c r="M214" s="49"/>
      <c r="N214" s="49" t="str">
        <f>IFERROR(__xludf.DUMMYFUNCTION("""COMPUTED_VALUE"""),"them")</f>
        <v>them</v>
      </c>
      <c r="O214" s="49" t="str">
        <f>IFERROR(__xludf.DUMMYFUNCTION("""COMPUTED_VALUE"""),"strongest")</f>
        <v>strongest</v>
      </c>
      <c r="P214" s="49" t="str">
        <f t="shared" si="2"/>
        <v>talking,</v>
      </c>
      <c r="Q214" s="49"/>
      <c r="R214" s="50" t="s">
        <v>1320</v>
      </c>
      <c r="S214" s="55" t="s">
        <v>1247</v>
      </c>
      <c r="T214" s="49" t="str">
        <f>IFERROR(__xludf.DUMMYFUNCTION("""COMPUTED_VALUE"""),"successful")</f>
        <v>successful</v>
      </c>
      <c r="U214" s="49"/>
      <c r="V214" s="49" t="str">
        <f>IFERROR(__xludf.DUMMYFUNCTION("""COMPUTED_VALUE"""),"finding")</f>
        <v>finding</v>
      </c>
      <c r="W214" s="49" t="str">
        <f>IFERROR(__xludf.DUMMYFUNCTION("""COMPUTED_VALUE"""),"early")</f>
        <v>early</v>
      </c>
      <c r="X214" s="49" t="str">
        <f t="shared" si="3"/>
        <v>along,</v>
      </c>
      <c r="Y214" s="49"/>
      <c r="Z214" s="1" t="s">
        <v>5417</v>
      </c>
      <c r="AA214" s="1" t="s">
        <v>1438</v>
      </c>
      <c r="AB214" s="49" t="str">
        <f>IFERROR(__xludf.DUMMYFUNCTION("""COMPUTED_VALUE"""),"creating")</f>
        <v>creating</v>
      </c>
      <c r="AC214" s="49"/>
      <c r="AD214" s="49" t="str">
        <f>IFERROR(__xludf.DUMMYFUNCTION("""COMPUTED_VALUE"""),"them")</f>
        <v>them</v>
      </c>
      <c r="AE214" s="49" t="str">
        <f>IFERROR(__xludf.DUMMYFUNCTION("""COMPUTED_VALUE"""),"strongest")</f>
        <v>strongest</v>
      </c>
      <c r="AF214" s="49" t="str">
        <f t="shared" si="4"/>
        <v>mistake,</v>
      </c>
      <c r="AG214" s="49"/>
      <c r="AH214" s="1" t="s">
        <v>3690</v>
      </c>
      <c r="AI214" s="1" t="s">
        <v>407</v>
      </c>
      <c r="AJ214" s="6" t="str">
        <f>IFERROR(__xludf.DUMMYFUNCTION("""COMPUTED_VALUE"""),"favor")</f>
        <v>favor</v>
      </c>
      <c r="AK214" s="49"/>
      <c r="AL214" s="49"/>
      <c r="AM214" s="49" t="str">
        <f>IFERROR(__xludf.DUMMYFUNCTION("""COMPUTED_VALUE"""),"fellowship")</f>
        <v>fellowship</v>
      </c>
      <c r="AN214" s="52" t="str">
        <f t="shared" si="5"/>
        <v>string,</v>
      </c>
    </row>
    <row r="215">
      <c r="A215" s="51" t="s">
        <v>1510</v>
      </c>
      <c r="B215" s="50" t="s">
        <v>1119</v>
      </c>
      <c r="C215" s="50" t="s">
        <v>545</v>
      </c>
      <c r="D215" s="49" t="str">
        <f>IFERROR(__xludf.DUMMYFUNCTION("""COMPUTED_VALUE"""),"throw")</f>
        <v>throw</v>
      </c>
      <c r="E215" s="49"/>
      <c r="F215" s="49"/>
      <c r="G215" s="49" t="str">
        <f>IFERROR(__xludf.DUMMYFUNCTION("""COMPUTED_VALUE"""),"technologies")</f>
        <v>technologies</v>
      </c>
      <c r="H215" s="54" t="str">
        <f t="shared" si="1"/>
        <v>thing,</v>
      </c>
      <c r="I215" s="50"/>
      <c r="J215" s="50" t="s">
        <v>4631</v>
      </c>
      <c r="K215" s="50" t="s">
        <v>186</v>
      </c>
      <c r="L215" s="49" t="str">
        <f>IFERROR(__xludf.DUMMYFUNCTION("""COMPUTED_VALUE"""),"physical")</f>
        <v>physical</v>
      </c>
      <c r="M215" s="49"/>
      <c r="N215" s="49" t="str">
        <f>IFERROR(__xludf.DUMMYFUNCTION("""COMPUTED_VALUE"""),"gun")</f>
        <v>gun</v>
      </c>
      <c r="O215" s="49" t="str">
        <f>IFERROR(__xludf.DUMMYFUNCTION("""COMPUTED_VALUE"""),"dover")</f>
        <v>dover</v>
      </c>
      <c r="P215" s="49" t="str">
        <f t="shared" si="2"/>
        <v>exactly,</v>
      </c>
      <c r="Q215" s="49"/>
      <c r="R215" s="50" t="s">
        <v>494</v>
      </c>
      <c r="S215" s="55" t="s">
        <v>6305</v>
      </c>
      <c r="T215" s="49" t="str">
        <f>IFERROR(__xludf.DUMMYFUNCTION("""COMPUTED_VALUE"""),"times")</f>
        <v>times</v>
      </c>
      <c r="U215" s="49"/>
      <c r="V215" s="49" t="str">
        <f>IFERROR(__xludf.DUMMYFUNCTION("""COMPUTED_VALUE"""),"cash")</f>
        <v>cash</v>
      </c>
      <c r="W215" s="49" t="str">
        <f>IFERROR(__xludf.DUMMYFUNCTION("""COMPUTED_VALUE"""),"arrive")</f>
        <v>arrive</v>
      </c>
      <c r="X215" s="49" t="str">
        <f t="shared" si="3"/>
        <v>satire,</v>
      </c>
      <c r="Y215" s="49"/>
      <c r="Z215" s="1" t="s">
        <v>1916</v>
      </c>
      <c r="AA215" s="1" t="s">
        <v>1511</v>
      </c>
      <c r="AB215" s="49">
        <f>IFERROR(__xludf.DUMMYFUNCTION("""COMPUTED_VALUE"""),15.0)</f>
        <v>15</v>
      </c>
      <c r="AC215" s="49"/>
      <c r="AD215" s="49" t="str">
        <f>IFERROR(__xludf.DUMMYFUNCTION("""COMPUTED_VALUE"""),"gun")</f>
        <v>gun</v>
      </c>
      <c r="AE215" s="49" t="str">
        <f>IFERROR(__xludf.DUMMYFUNCTION("""COMPUTED_VALUE"""),"dover")</f>
        <v>dover</v>
      </c>
      <c r="AF215" s="49" t="str">
        <f t="shared" si="4"/>
        <v>whole,</v>
      </c>
      <c r="AG215" s="49"/>
      <c r="AH215" s="1" t="s">
        <v>3256</v>
      </c>
      <c r="AI215" s="1" t="s">
        <v>133</v>
      </c>
      <c r="AJ215" s="6" t="str">
        <f>IFERROR(__xludf.DUMMYFUNCTION("""COMPUTED_VALUE"""),"comments")</f>
        <v>comments</v>
      </c>
      <c r="AK215" s="49"/>
      <c r="AL215" s="49"/>
      <c r="AM215" s="49" t="str">
        <f>IFERROR(__xludf.DUMMYFUNCTION("""COMPUTED_VALUE"""),"respond")</f>
        <v>respond</v>
      </c>
      <c r="AN215" s="52" t="str">
        <f t="shared" si="5"/>
        <v>favor,</v>
      </c>
    </row>
    <row r="216">
      <c r="A216" s="51" t="s">
        <v>1516</v>
      </c>
      <c r="B216" s="50" t="s">
        <v>6877</v>
      </c>
      <c r="C216" s="50" t="s">
        <v>165</v>
      </c>
      <c r="D216" s="49" t="str">
        <f>IFERROR(__xludf.DUMMYFUNCTION("""COMPUTED_VALUE"""),"actors")</f>
        <v>actors</v>
      </c>
      <c r="E216" s="49"/>
      <c r="F216" s="49"/>
      <c r="G216" s="49" t="str">
        <f>IFERROR(__xludf.DUMMYFUNCTION("""COMPUTED_VALUE"""),"extends")</f>
        <v>extends</v>
      </c>
      <c r="H216" s="54" t="str">
        <f t="shared" si="1"/>
        <v>months,</v>
      </c>
      <c r="I216" s="50"/>
      <c r="J216" s="50" t="s">
        <v>172</v>
      </c>
      <c r="K216" s="50" t="s">
        <v>731</v>
      </c>
      <c r="L216" s="49" t="str">
        <f>IFERROR(__xludf.DUMMYFUNCTION("""COMPUTED_VALUE"""),"culture")</f>
        <v>culture</v>
      </c>
      <c r="M216" s="49"/>
      <c r="N216" s="49" t="str">
        <f>IFERROR(__xludf.DUMMYFUNCTION("""COMPUTED_VALUE"""),"boys")</f>
        <v>boys</v>
      </c>
      <c r="O216" s="49" t="str">
        <f>IFERROR(__xludf.DUMMYFUNCTION("""COMPUTED_VALUE"""),"excitement")</f>
        <v>excitement</v>
      </c>
      <c r="P216" s="49" t="str">
        <f t="shared" si="2"/>
        <v>long,</v>
      </c>
      <c r="Q216" s="49"/>
      <c r="R216" s="50" t="s">
        <v>3914</v>
      </c>
      <c r="S216" s="55" t="s">
        <v>6256</v>
      </c>
      <c r="T216" s="49" t="str">
        <f>IFERROR(__xludf.DUMMYFUNCTION("""COMPUTED_VALUE"""),"hope")</f>
        <v>hope</v>
      </c>
      <c r="U216" s="49"/>
      <c r="V216" s="49" t="str">
        <f>IFERROR(__xludf.DUMMYFUNCTION("""COMPUTED_VALUE"""),"smith")</f>
        <v>smith</v>
      </c>
      <c r="W216" s="49" t="str">
        <f>IFERROR(__xludf.DUMMYFUNCTION("""COMPUTED_VALUE"""),"steven")</f>
        <v>steven</v>
      </c>
      <c r="X216" s="49" t="str">
        <f t="shared" si="3"/>
        <v>fall,</v>
      </c>
      <c r="Y216" s="49"/>
      <c r="Z216" s="1" t="s">
        <v>1238</v>
      </c>
      <c r="AA216" s="1" t="s">
        <v>1517</v>
      </c>
      <c r="AB216" s="49" t="str">
        <f>IFERROR(__xludf.DUMMYFUNCTION("""COMPUTED_VALUE"""),"tv")</f>
        <v>tv</v>
      </c>
      <c r="AC216" s="49"/>
      <c r="AD216" s="49" t="str">
        <f>IFERROR(__xludf.DUMMYFUNCTION("""COMPUTED_VALUE"""),"boys")</f>
        <v>boys</v>
      </c>
      <c r="AE216" s="49" t="str">
        <f>IFERROR(__xludf.DUMMYFUNCTION("""COMPUTED_VALUE"""),"excitement")</f>
        <v>excitement</v>
      </c>
      <c r="AF216" s="49" t="str">
        <f t="shared" si="4"/>
        <v>title,</v>
      </c>
      <c r="AG216" s="49"/>
      <c r="AH216" s="1" t="s">
        <v>4451</v>
      </c>
      <c r="AI216" s="1" t="s">
        <v>933</v>
      </c>
      <c r="AJ216" s="6">
        <f>IFERROR(__xludf.DUMMYFUNCTION("""COMPUTED_VALUE"""),18.0)</f>
        <v>18</v>
      </c>
      <c r="AK216" s="49"/>
      <c r="AL216" s="49"/>
      <c r="AM216" s="49" t="str">
        <f>IFERROR(__xludf.DUMMYFUNCTION("""COMPUTED_VALUE"""),"divisions")</f>
        <v>divisions</v>
      </c>
      <c r="AN216" s="52" t="str">
        <f t="shared" si="5"/>
        <v>comments,</v>
      </c>
    </row>
    <row r="217">
      <c r="A217" s="51" t="s">
        <v>1523</v>
      </c>
      <c r="B217" s="50" t="s">
        <v>7259</v>
      </c>
      <c r="C217" s="50" t="s">
        <v>558</v>
      </c>
      <c r="D217" s="49" t="str">
        <f>IFERROR(__xludf.DUMMYFUNCTION("""COMPUTED_VALUE"""),"ca")</f>
        <v>ca</v>
      </c>
      <c r="E217" s="49"/>
      <c r="F217" s="49"/>
      <c r="G217" s="49" t="str">
        <f>IFERROR(__xludf.DUMMYFUNCTION("""COMPUTED_VALUE"""),"aboriginal")</f>
        <v>aboriginal</v>
      </c>
      <c r="H217" s="54" t="str">
        <f t="shared" si="1"/>
        <v>nine,</v>
      </c>
      <c r="I217" s="50"/>
      <c r="J217" s="50" t="s">
        <v>60</v>
      </c>
      <c r="K217" s="50" t="s">
        <v>1529</v>
      </c>
      <c r="L217" s="49" t="str">
        <f>IFERROR(__xludf.DUMMYFUNCTION("""COMPUTED_VALUE"""),"cell")</f>
        <v>cell</v>
      </c>
      <c r="M217" s="49"/>
      <c r="N217" s="49" t="str">
        <f>IFERROR(__xludf.DUMMYFUNCTION("""COMPUTED_VALUE"""),"features")</f>
        <v>features</v>
      </c>
      <c r="O217" s="49" t="str">
        <f>IFERROR(__xludf.DUMMYFUNCTION("""COMPUTED_VALUE"""),"empty")</f>
        <v>empty</v>
      </c>
      <c r="P217" s="49" t="str">
        <f t="shared" si="2"/>
        <v>too,</v>
      </c>
      <c r="Q217" s="49"/>
      <c r="R217" s="50" t="s">
        <v>2584</v>
      </c>
      <c r="S217" s="55" t="s">
        <v>1116</v>
      </c>
      <c r="T217" s="49" t="str">
        <f>IFERROR(__xludf.DUMMYFUNCTION("""COMPUTED_VALUE"""),"space")</f>
        <v>space</v>
      </c>
      <c r="U217" s="49"/>
      <c r="V217" s="49" t="str">
        <f>IFERROR(__xludf.DUMMYFUNCTION("""COMPUTED_VALUE"""),"rather")</f>
        <v>rather</v>
      </c>
      <c r="W217" s="49" t="str">
        <f>IFERROR(__xludf.DUMMYFUNCTION("""COMPUTED_VALUE"""),"celebration")</f>
        <v>celebration</v>
      </c>
      <c r="X217" s="49" t="str">
        <f t="shared" si="3"/>
        <v>political,</v>
      </c>
      <c r="Y217" s="49"/>
      <c r="Z217" s="1" t="s">
        <v>907</v>
      </c>
      <c r="AA217" s="1" t="s">
        <v>1524</v>
      </c>
      <c r="AB217" s="49" t="str">
        <f>IFERROR(__xludf.DUMMYFUNCTION("""COMPUTED_VALUE"""),"done")</f>
        <v>done</v>
      </c>
      <c r="AC217" s="49"/>
      <c r="AD217" s="49" t="str">
        <f>IFERROR(__xludf.DUMMYFUNCTION("""COMPUTED_VALUE"""),"features")</f>
        <v>features</v>
      </c>
      <c r="AE217" s="49" t="str">
        <f>IFERROR(__xludf.DUMMYFUNCTION("""COMPUTED_VALUE"""),"empty")</f>
        <v>empty</v>
      </c>
      <c r="AF217" s="49" t="str">
        <f t="shared" si="4"/>
        <v>homage,</v>
      </c>
      <c r="AG217" s="49"/>
      <c r="AH217" s="9">
        <v>18.0</v>
      </c>
      <c r="AI217" s="1" t="s">
        <v>739</v>
      </c>
      <c r="AJ217" s="6">
        <f>IFERROR(__xludf.DUMMYFUNCTION("""COMPUTED_VALUE"""),4.0)</f>
        <v>4</v>
      </c>
      <c r="AK217" s="49"/>
      <c r="AL217" s="49"/>
      <c r="AM217" s="49" t="str">
        <f>IFERROR(__xludf.DUMMYFUNCTION("""COMPUTED_VALUE"""),"peaked")</f>
        <v>peaked</v>
      </c>
      <c r="AN217" s="52" t="str">
        <f t="shared" si="5"/>
        <v>18,</v>
      </c>
    </row>
    <row r="218">
      <c r="A218" s="51" t="s">
        <v>1530</v>
      </c>
      <c r="B218" s="50" t="s">
        <v>1671</v>
      </c>
      <c r="C218" s="50" t="s">
        <v>373</v>
      </c>
      <c r="D218" s="49" t="str">
        <f>IFERROR(__xludf.DUMMYFUNCTION("""COMPUTED_VALUE"""),"robert")</f>
        <v>robert</v>
      </c>
      <c r="E218" s="49"/>
      <c r="F218" s="49"/>
      <c r="G218" s="49" t="str">
        <f>IFERROR(__xludf.DUMMYFUNCTION("""COMPUTED_VALUE"""),"gently")</f>
        <v>gently</v>
      </c>
      <c r="H218" s="54" t="str">
        <f t="shared" si="1"/>
        <v>eye,</v>
      </c>
      <c r="I218" s="50"/>
      <c r="J218" s="50" t="s">
        <v>2523</v>
      </c>
      <c r="K218" s="50" t="s">
        <v>1536</v>
      </c>
      <c r="L218" s="49" t="str">
        <f>IFERROR(__xludf.DUMMYFUNCTION("""COMPUTED_VALUE"""),"beloved")</f>
        <v>beloved</v>
      </c>
      <c r="M218" s="49"/>
      <c r="N218" s="49" t="str">
        <f>IFERROR(__xludf.DUMMYFUNCTION("""COMPUTED_VALUE"""),"tailor")</f>
        <v>tailor</v>
      </c>
      <c r="O218" s="49" t="str">
        <f>IFERROR(__xludf.DUMMYFUNCTION("""COMPUTED_VALUE"""),"problems")</f>
        <v>problems</v>
      </c>
      <c r="P218" s="49" t="str">
        <f t="shared" si="2"/>
        <v>until,</v>
      </c>
      <c r="Q218" s="49"/>
      <c r="R218" s="50" t="s">
        <v>2942</v>
      </c>
      <c r="S218" s="55" t="s">
        <v>193</v>
      </c>
      <c r="T218" s="49" t="str">
        <f>IFERROR(__xludf.DUMMYFUNCTION("""COMPUTED_VALUE"""),"hell")</f>
        <v>hell</v>
      </c>
      <c r="U218" s="49"/>
      <c r="V218" s="49" t="str">
        <f>IFERROR(__xludf.DUMMYFUNCTION("""COMPUTED_VALUE"""),"dismiss")</f>
        <v>dismiss</v>
      </c>
      <c r="W218" s="49" t="str">
        <f>IFERROR(__xludf.DUMMYFUNCTION("""COMPUTED_VALUE"""),"warm")</f>
        <v>warm</v>
      </c>
      <c r="X218" s="49" t="str">
        <f t="shared" si="3"/>
        <v>ago,</v>
      </c>
      <c r="Y218" s="49"/>
      <c r="Z218" s="1" t="s">
        <v>2685</v>
      </c>
      <c r="AA218" s="1" t="s">
        <v>257</v>
      </c>
      <c r="AB218" s="49" t="str">
        <f>IFERROR(__xludf.DUMMYFUNCTION("""COMPUTED_VALUE"""),"cinema")</f>
        <v>cinema</v>
      </c>
      <c r="AC218" s="49"/>
      <c r="AD218" s="49" t="str">
        <f>IFERROR(__xludf.DUMMYFUNCTION("""COMPUTED_VALUE"""),"tailor")</f>
        <v>tailor</v>
      </c>
      <c r="AE218" s="49" t="str">
        <f>IFERROR(__xludf.DUMMYFUNCTION("""COMPUTED_VALUE"""),"problems")</f>
        <v>problems</v>
      </c>
      <c r="AF218" s="49" t="str">
        <f t="shared" si="4"/>
        <v>fighting,</v>
      </c>
      <c r="AG218" s="49"/>
      <c r="AH218" s="1">
        <v>4.0</v>
      </c>
      <c r="AI218" s="1" t="s">
        <v>748</v>
      </c>
      <c r="AJ218" s="6" t="str">
        <f>IFERROR(__xludf.DUMMYFUNCTION("""COMPUTED_VALUE"""),"new")</f>
        <v>new</v>
      </c>
      <c r="AK218" s="49"/>
      <c r="AL218" s="49"/>
      <c r="AM218" s="49" t="str">
        <f>IFERROR(__xludf.DUMMYFUNCTION("""COMPUTED_VALUE"""),"korea")</f>
        <v>korea</v>
      </c>
      <c r="AN218" s="52" t="str">
        <f t="shared" si="5"/>
        <v>4,</v>
      </c>
    </row>
    <row r="219">
      <c r="A219" s="51" t="s">
        <v>1537</v>
      </c>
      <c r="B219" s="50" t="s">
        <v>6400</v>
      </c>
      <c r="C219" s="50" t="s">
        <v>324</v>
      </c>
      <c r="D219" s="49" t="str">
        <f>IFERROR(__xludf.DUMMYFUNCTION("""COMPUTED_VALUE"""),"family")</f>
        <v>family</v>
      </c>
      <c r="E219" s="49"/>
      <c r="F219" s="49"/>
      <c r="G219" s="49" t="str">
        <f>IFERROR(__xludf.DUMMYFUNCTION("""COMPUTED_VALUE"""),"injuries")</f>
        <v>injuries</v>
      </c>
      <c r="H219" s="54" t="str">
        <f t="shared" si="1"/>
        <v>talking,</v>
      </c>
      <c r="I219" s="50"/>
      <c r="J219" s="50" t="s">
        <v>110</v>
      </c>
      <c r="K219" s="50" t="s">
        <v>131</v>
      </c>
      <c r="L219" s="49" t="str">
        <f>IFERROR(__xludf.DUMMYFUNCTION("""COMPUTED_VALUE"""),"dubbed")</f>
        <v>dubbed</v>
      </c>
      <c r="M219" s="49"/>
      <c r="N219" s="49" t="str">
        <f>IFERROR(__xludf.DUMMYFUNCTION("""COMPUTED_VALUE"""),"humor")</f>
        <v>humor</v>
      </c>
      <c r="O219" s="49" t="str">
        <f>IFERROR(__xludf.DUMMYFUNCTION("""COMPUTED_VALUE"""),"apartheid")</f>
        <v>apartheid</v>
      </c>
      <c r="P219" s="49" t="str">
        <f t="shared" si="2"/>
        <v>road,</v>
      </c>
      <c r="Q219" s="49"/>
      <c r="R219" s="50" t="s">
        <v>120</v>
      </c>
      <c r="S219" s="55" t="s">
        <v>903</v>
      </c>
      <c r="T219" s="49" t="str">
        <f>IFERROR(__xludf.DUMMYFUNCTION("""COMPUTED_VALUE"""),"third")</f>
        <v>third</v>
      </c>
      <c r="U219" s="49"/>
      <c r="V219" s="49" t="str">
        <f>IFERROR(__xludf.DUMMYFUNCTION("""COMPUTED_VALUE"""),"matt")</f>
        <v>matt</v>
      </c>
      <c r="W219" s="49" t="str">
        <f>IFERROR(__xludf.DUMMYFUNCTION("""COMPUTED_VALUE"""),"red")</f>
        <v>red</v>
      </c>
      <c r="X219" s="49" t="str">
        <f t="shared" si="3"/>
        <v>also,</v>
      </c>
      <c r="Y219" s="49"/>
      <c r="Z219" s="1" t="s">
        <v>1171</v>
      </c>
      <c r="AA219" s="1" t="s">
        <v>1538</v>
      </c>
      <c r="AB219" s="49" t="str">
        <f>IFERROR(__xludf.DUMMYFUNCTION("""COMPUTED_VALUE"""),"chan")</f>
        <v>chan</v>
      </c>
      <c r="AC219" s="49"/>
      <c r="AD219" s="49" t="str">
        <f>IFERROR(__xludf.DUMMYFUNCTION("""COMPUTED_VALUE"""),"humor")</f>
        <v>humor</v>
      </c>
      <c r="AE219" s="49" t="str">
        <f>IFERROR(__xludf.DUMMYFUNCTION("""COMPUTED_VALUE"""),"apartheid")</f>
        <v>apartheid</v>
      </c>
      <c r="AF219" s="49" t="str">
        <f t="shared" si="4"/>
        <v>horror,</v>
      </c>
      <c r="AG219" s="49"/>
      <c r="AH219" s="1" t="s">
        <v>46</v>
      </c>
      <c r="AI219" s="1" t="s">
        <v>767</v>
      </c>
      <c r="AJ219" s="6" t="str">
        <f>IFERROR(__xludf.DUMMYFUNCTION("""COMPUTED_VALUE"""),"many")</f>
        <v>many</v>
      </c>
      <c r="AK219" s="49"/>
      <c r="AL219" s="49"/>
      <c r="AM219" s="49" t="str">
        <f>IFERROR(__xludf.DUMMYFUNCTION("""COMPUTED_VALUE"""),"supply")</f>
        <v>supply</v>
      </c>
      <c r="AN219" s="52" t="str">
        <f t="shared" si="5"/>
        <v>new,</v>
      </c>
    </row>
    <row r="220">
      <c r="A220" s="51" t="s">
        <v>1544</v>
      </c>
      <c r="B220" s="50" t="s">
        <v>3830</v>
      </c>
      <c r="C220" s="50" t="s">
        <v>996</v>
      </c>
      <c r="D220" s="49" t="str">
        <f>IFERROR(__xludf.DUMMYFUNCTION("""COMPUTED_VALUE"""),"keep")</f>
        <v>keep</v>
      </c>
      <c r="E220" s="49"/>
      <c r="F220" s="49"/>
      <c r="G220" s="49" t="str">
        <f>IFERROR(__xludf.DUMMYFUNCTION("""COMPUTED_VALUE"""),"chelsea")</f>
        <v>chelsea</v>
      </c>
      <c r="H220" s="54" t="str">
        <f t="shared" si="1"/>
        <v>pass,</v>
      </c>
      <c r="I220" s="50"/>
      <c r="J220" s="50" t="s">
        <v>1045</v>
      </c>
      <c r="K220" s="50" t="s">
        <v>1551</v>
      </c>
      <c r="L220" s="49" t="str">
        <f>IFERROR(__xludf.DUMMYFUNCTION("""COMPUTED_VALUE"""),"america")</f>
        <v>america</v>
      </c>
      <c r="M220" s="49"/>
      <c r="N220" s="49" t="str">
        <f>IFERROR(__xludf.DUMMYFUNCTION("""COMPUTED_VALUE"""),"classic")</f>
        <v>classic</v>
      </c>
      <c r="O220" s="49" t="str">
        <f>IFERROR(__xludf.DUMMYFUNCTION("""COMPUTED_VALUE"""),"achieve")</f>
        <v>achieve</v>
      </c>
      <c r="P220" s="49" t="str">
        <f t="shared" si="2"/>
        <v>depth,</v>
      </c>
      <c r="Q220" s="49"/>
      <c r="R220" s="50" t="s">
        <v>2986</v>
      </c>
      <c r="S220" s="55" t="s">
        <v>907</v>
      </c>
      <c r="T220" s="49" t="str">
        <f>IFERROR(__xludf.DUMMYFUNCTION("""COMPUTED_VALUE"""),"close")</f>
        <v>close</v>
      </c>
      <c r="U220" s="49"/>
      <c r="V220" s="49" t="str">
        <f>IFERROR(__xludf.DUMMYFUNCTION("""COMPUTED_VALUE"""),"scare")</f>
        <v>scare</v>
      </c>
      <c r="W220" s="49" t="str">
        <f>IFERROR(__xludf.DUMMYFUNCTION("""COMPUTED_VALUE"""),"metaphor")</f>
        <v>metaphor</v>
      </c>
      <c r="X220" s="49" t="str">
        <f t="shared" si="3"/>
        <v>almost,</v>
      </c>
      <c r="Y220" s="49"/>
      <c r="Z220" s="1" t="s">
        <v>2454</v>
      </c>
      <c r="AA220" s="1" t="s">
        <v>1545</v>
      </c>
      <c r="AB220" s="49" t="str">
        <f>IFERROR(__xludf.DUMMYFUNCTION("""COMPUTED_VALUE"""),"spell")</f>
        <v>spell</v>
      </c>
      <c r="AC220" s="49"/>
      <c r="AD220" s="49" t="str">
        <f>IFERROR(__xludf.DUMMYFUNCTION("""COMPUTED_VALUE"""),"classic")</f>
        <v>classic</v>
      </c>
      <c r="AE220" s="49" t="str">
        <f>IFERROR(__xludf.DUMMYFUNCTION("""COMPUTED_VALUE"""),"achieve")</f>
        <v>achieve</v>
      </c>
      <c r="AF220" s="49" t="str">
        <f t="shared" si="4"/>
        <v>previous,</v>
      </c>
      <c r="AG220" s="49"/>
      <c r="AH220" s="1" t="s">
        <v>471</v>
      </c>
      <c r="AI220" s="1" t="s">
        <v>6296</v>
      </c>
      <c r="AJ220" s="6" t="str">
        <f>IFERROR(__xludf.DUMMYFUNCTION("""COMPUTED_VALUE"""),"off")</f>
        <v>off</v>
      </c>
      <c r="AK220" s="49"/>
      <c r="AL220" s="49"/>
      <c r="AM220" s="49" t="str">
        <f>IFERROR(__xludf.DUMMYFUNCTION("""COMPUTED_VALUE"""),"narrow")</f>
        <v>narrow</v>
      </c>
      <c r="AN220" s="52" t="str">
        <f t="shared" si="5"/>
        <v>many,</v>
      </c>
    </row>
    <row r="221">
      <c r="A221" s="51" t="s">
        <v>1552</v>
      </c>
      <c r="B221" s="50" t="s">
        <v>4631</v>
      </c>
      <c r="C221" s="50" t="s">
        <v>993</v>
      </c>
      <c r="D221" s="49" t="str">
        <f>IFERROR(__xludf.DUMMYFUNCTION("""COMPUTED_VALUE"""),"intensity")</f>
        <v>intensity</v>
      </c>
      <c r="E221" s="49"/>
      <c r="F221" s="49"/>
      <c r="G221" s="49" t="str">
        <f>IFERROR(__xludf.DUMMYFUNCTION("""COMPUTED_VALUE"""),"checking")</f>
        <v>checking</v>
      </c>
      <c r="H221" s="54" t="str">
        <f t="shared" si="1"/>
        <v>exactly,</v>
      </c>
      <c r="I221" s="50"/>
      <c r="J221" s="50" t="s">
        <v>2679</v>
      </c>
      <c r="K221" s="50" t="s">
        <v>140</v>
      </c>
      <c r="L221" s="49">
        <f>IFERROR(__xludf.DUMMYFUNCTION("""COMPUTED_VALUE"""),3.0)</f>
        <v>3</v>
      </c>
      <c r="M221" s="49"/>
      <c r="N221" s="49" t="str">
        <f>IFERROR(__xludf.DUMMYFUNCTION("""COMPUTED_VALUE"""),"ones")</f>
        <v>ones</v>
      </c>
      <c r="O221" s="49" t="str">
        <f>IFERROR(__xludf.DUMMYFUNCTION("""COMPUTED_VALUE"""),"auto")</f>
        <v>auto</v>
      </c>
      <c r="P221" s="49" t="str">
        <f t="shared" si="2"/>
        <v>secrets,</v>
      </c>
      <c r="Q221" s="49"/>
      <c r="R221" s="50" t="s">
        <v>605</v>
      </c>
      <c r="S221" s="55" t="s">
        <v>1304</v>
      </c>
      <c r="T221" s="49" t="str">
        <f>IFERROR(__xludf.DUMMYFUNCTION("""COMPUTED_VALUE"""),"than")</f>
        <v>than</v>
      </c>
      <c r="U221" s="49"/>
      <c r="V221" s="49" t="str">
        <f>IFERROR(__xludf.DUMMYFUNCTION("""COMPUTED_VALUE"""),"prospect")</f>
        <v>prospect</v>
      </c>
      <c r="W221" s="49" t="str">
        <f>IFERROR(__xludf.DUMMYFUNCTION("""COMPUTED_VALUE"""),"home")</f>
        <v>home</v>
      </c>
      <c r="X221" s="49" t="str">
        <f t="shared" si="3"/>
        <v>manages,</v>
      </c>
      <c r="Y221" s="49"/>
      <c r="Z221" s="1">
        <v>13.0</v>
      </c>
      <c r="AA221" s="1" t="s">
        <v>250</v>
      </c>
      <c r="AB221" s="49" t="str">
        <f>IFERROR(__xludf.DUMMYFUNCTION("""COMPUTED_VALUE"""),"british")</f>
        <v>british</v>
      </c>
      <c r="AC221" s="49"/>
      <c r="AD221" s="49" t="str">
        <f>IFERROR(__xludf.DUMMYFUNCTION("""COMPUTED_VALUE"""),"ones")</f>
        <v>ones</v>
      </c>
      <c r="AE221" s="49" t="str">
        <f>IFERROR(__xludf.DUMMYFUNCTION("""COMPUTED_VALUE"""),"auto")</f>
        <v>auto</v>
      </c>
      <c r="AF221" s="49" t="str">
        <f t="shared" si="4"/>
        <v>13,</v>
      </c>
      <c r="AG221" s="49"/>
      <c r="AH221" s="1" t="s">
        <v>657</v>
      </c>
      <c r="AI221" s="1" t="s">
        <v>782</v>
      </c>
      <c r="AJ221" s="6" t="str">
        <f>IFERROR(__xludf.DUMMYFUNCTION("""COMPUTED_VALUE"""),"called")</f>
        <v>called</v>
      </c>
      <c r="AK221" s="49"/>
      <c r="AL221" s="49"/>
      <c r="AM221" s="49" t="str">
        <f>IFERROR(__xludf.DUMMYFUNCTION("""COMPUTED_VALUE"""),"palm")</f>
        <v>palm</v>
      </c>
      <c r="AN221" s="52" t="str">
        <f t="shared" si="5"/>
        <v>off,</v>
      </c>
    </row>
    <row r="222">
      <c r="A222" s="51" t="s">
        <v>1558</v>
      </c>
      <c r="B222" s="50" t="s">
        <v>6309</v>
      </c>
      <c r="C222" s="50" t="s">
        <v>1762</v>
      </c>
      <c r="D222" s="49" t="str">
        <f>IFERROR(__xludf.DUMMYFUNCTION("""COMPUTED_VALUE"""),"manages")</f>
        <v>manages</v>
      </c>
      <c r="E222" s="49"/>
      <c r="F222" s="49"/>
      <c r="G222" s="49" t="str">
        <f>IFERROR(__xludf.DUMMYFUNCTION("""COMPUTED_VALUE"""),"tightened")</f>
        <v>tightened</v>
      </c>
      <c r="H222" s="54" t="str">
        <f t="shared" si="1"/>
        <v>acting,</v>
      </c>
      <c r="I222" s="50"/>
      <c r="J222" s="50" t="s">
        <v>1078</v>
      </c>
      <c r="K222" s="50" t="s">
        <v>759</v>
      </c>
      <c r="L222" s="49" t="str">
        <f>IFERROR(__xludf.DUMMYFUNCTION("""COMPUTED_VALUE"""),"put")</f>
        <v>put</v>
      </c>
      <c r="M222" s="49"/>
      <c r="N222" s="49" t="str">
        <f>IFERROR(__xludf.DUMMYFUNCTION("""COMPUTED_VALUE"""),"example")</f>
        <v>example</v>
      </c>
      <c r="O222" s="49" t="str">
        <f>IFERROR(__xludf.DUMMYFUNCTION("""COMPUTED_VALUE"""),"document")</f>
        <v>document</v>
      </c>
      <c r="P222" s="49" t="str">
        <f t="shared" si="2"/>
        <v>hour,</v>
      </c>
      <c r="Q222" s="49"/>
      <c r="R222" s="50" t="s">
        <v>2098</v>
      </c>
      <c r="S222" s="55" t="s">
        <v>513</v>
      </c>
      <c r="T222" s="49" t="str">
        <f>IFERROR(__xludf.DUMMYFUNCTION("""COMPUTED_VALUE"""),"would")</f>
        <v>would</v>
      </c>
      <c r="U222" s="49"/>
      <c r="V222" s="49" t="str">
        <f>IFERROR(__xludf.DUMMYFUNCTION("""COMPUTED_VALUE"""),"succeeded")</f>
        <v>succeeded</v>
      </c>
      <c r="W222" s="49" t="str">
        <f>IFERROR(__xludf.DUMMYFUNCTION("""COMPUTED_VALUE"""),"retains")</f>
        <v>retains</v>
      </c>
      <c r="X222" s="49" t="str">
        <f t="shared" si="3"/>
        <v>dogs,</v>
      </c>
      <c r="Y222" s="49"/>
      <c r="Z222" s="1" t="s">
        <v>710</v>
      </c>
      <c r="AA222" s="1" t="s">
        <v>241</v>
      </c>
      <c r="AB222" s="49" t="str">
        <f>IFERROR(__xludf.DUMMYFUNCTION("""COMPUTED_VALUE"""),"casting")</f>
        <v>casting</v>
      </c>
      <c r="AC222" s="49"/>
      <c r="AD222" s="49" t="str">
        <f>IFERROR(__xludf.DUMMYFUNCTION("""COMPUTED_VALUE"""),"example")</f>
        <v>example</v>
      </c>
      <c r="AE222" s="49" t="str">
        <f>IFERROR(__xludf.DUMMYFUNCTION("""COMPUTED_VALUE"""),"document")</f>
        <v>document</v>
      </c>
      <c r="AF222" s="49" t="str">
        <f t="shared" si="4"/>
        <v>taking,</v>
      </c>
      <c r="AG222" s="49"/>
      <c r="AH222" s="1" t="s">
        <v>182</v>
      </c>
      <c r="AI222" s="1" t="s">
        <v>775</v>
      </c>
      <c r="AJ222" s="6" t="str">
        <f>IFERROR(__xludf.DUMMYFUNCTION("""COMPUTED_VALUE"""),"john")</f>
        <v>john</v>
      </c>
      <c r="AK222" s="49"/>
      <c r="AL222" s="49"/>
      <c r="AM222" s="49" t="str">
        <f>IFERROR(__xludf.DUMMYFUNCTION("""COMPUTED_VALUE"""),"partners")</f>
        <v>partners</v>
      </c>
      <c r="AN222" s="52" t="str">
        <f t="shared" si="5"/>
        <v>called,</v>
      </c>
    </row>
    <row r="223">
      <c r="A223" s="51" t="s">
        <v>1563</v>
      </c>
      <c r="B223" s="50" t="s">
        <v>1322</v>
      </c>
      <c r="C223" s="50" t="s">
        <v>987</v>
      </c>
      <c r="D223" s="49" t="str">
        <f>IFERROR(__xludf.DUMMYFUNCTION("""COMPUTED_VALUE"""),"entertainment")</f>
        <v>entertainment</v>
      </c>
      <c r="E223" s="49"/>
      <c r="F223" s="49"/>
      <c r="G223" s="49" t="str">
        <f>IFERROR(__xludf.DUMMYFUNCTION("""COMPUTED_VALUE"""),"completion")</f>
        <v>completion</v>
      </c>
      <c r="H223" s="54" t="str">
        <f t="shared" si="1"/>
        <v>grant,</v>
      </c>
      <c r="I223" s="50"/>
      <c r="J223" s="50" t="s">
        <v>1436</v>
      </c>
      <c r="K223" s="50" t="s">
        <v>1568</v>
      </c>
      <c r="L223" s="49" t="str">
        <f>IFERROR(__xludf.DUMMYFUNCTION("""COMPUTED_VALUE"""),"pile")</f>
        <v>pile</v>
      </c>
      <c r="M223" s="49"/>
      <c r="N223" s="49" t="str">
        <f>IFERROR(__xludf.DUMMYFUNCTION("""COMPUTED_VALUE"""),"create")</f>
        <v>create</v>
      </c>
      <c r="O223" s="49" t="str">
        <f>IFERROR(__xludf.DUMMYFUNCTION("""COMPUTED_VALUE"""),"lingering")</f>
        <v>lingering</v>
      </c>
      <c r="P223" s="49" t="str">
        <f t="shared" si="2"/>
        <v>drama,</v>
      </c>
      <c r="Q223" s="49"/>
      <c r="R223" s="50" t="s">
        <v>239</v>
      </c>
      <c r="S223" s="55" t="s">
        <v>528</v>
      </c>
      <c r="T223" s="49" t="str">
        <f>IFERROR(__xludf.DUMMYFUNCTION("""COMPUTED_VALUE"""),"various")</f>
        <v>various</v>
      </c>
      <c r="U223" s="49"/>
      <c r="V223" s="49" t="str">
        <f>IFERROR(__xludf.DUMMYFUNCTION("""COMPUTED_VALUE"""),"text")</f>
        <v>text</v>
      </c>
      <c r="W223" s="49" t="str">
        <f>IFERROR(__xludf.DUMMYFUNCTION("""COMPUTED_VALUE"""),"added")</f>
        <v>added</v>
      </c>
      <c r="X223" s="49" t="str">
        <f t="shared" si="3"/>
        <v>good,</v>
      </c>
      <c r="Y223" s="49"/>
      <c r="Z223" s="1" t="s">
        <v>657</v>
      </c>
      <c r="AA223" s="1" t="s">
        <v>1564</v>
      </c>
      <c r="AB223" s="49" t="str">
        <f>IFERROR(__xludf.DUMMYFUNCTION("""COMPUTED_VALUE"""),"notion")</f>
        <v>notion</v>
      </c>
      <c r="AC223" s="49"/>
      <c r="AD223" s="49" t="str">
        <f>IFERROR(__xludf.DUMMYFUNCTION("""COMPUTED_VALUE"""),"create")</f>
        <v>create</v>
      </c>
      <c r="AE223" s="49" t="str">
        <f>IFERROR(__xludf.DUMMYFUNCTION("""COMPUTED_VALUE"""),"lingering")</f>
        <v>lingering</v>
      </c>
      <c r="AF223" s="49" t="str">
        <f t="shared" si="4"/>
        <v>off,</v>
      </c>
      <c r="AG223" s="49"/>
      <c r="AH223" s="1" t="s">
        <v>1586</v>
      </c>
      <c r="AI223" s="1" t="s">
        <v>797</v>
      </c>
      <c r="AJ223" s="6" t="str">
        <f>IFERROR(__xludf.DUMMYFUNCTION("""COMPUTED_VALUE"""),"face")</f>
        <v>face</v>
      </c>
      <c r="AK223" s="49"/>
      <c r="AL223" s="49"/>
      <c r="AM223" s="49"/>
      <c r="AN223" s="52" t="str">
        <f t="shared" si="5"/>
        <v>john,</v>
      </c>
    </row>
    <row r="224">
      <c r="A224" s="51" t="s">
        <v>251</v>
      </c>
      <c r="B224" s="50" t="s">
        <v>6464</v>
      </c>
      <c r="C224" s="50" t="s">
        <v>563</v>
      </c>
      <c r="D224" s="49" t="str">
        <f>IFERROR(__xludf.DUMMYFUNCTION("""COMPUTED_VALUE"""),"animated")</f>
        <v>animated</v>
      </c>
      <c r="E224" s="49"/>
      <c r="F224" s="49"/>
      <c r="G224" s="49" t="str">
        <f>IFERROR(__xludf.DUMMYFUNCTION("""COMPUTED_VALUE"""),"sub")</f>
        <v>sub</v>
      </c>
      <c r="H224" s="54" t="str">
        <f t="shared" si="1"/>
        <v>jim,</v>
      </c>
      <c r="I224" s="50"/>
      <c r="J224" s="50" t="s">
        <v>5612</v>
      </c>
      <c r="K224" s="50" t="s">
        <v>1574</v>
      </c>
      <c r="L224" s="49" t="str">
        <f>IFERROR(__xludf.DUMMYFUNCTION("""COMPUTED_VALUE"""),"knows")</f>
        <v>knows</v>
      </c>
      <c r="M224" s="49"/>
      <c r="N224" s="49" t="str">
        <f>IFERROR(__xludf.DUMMYFUNCTION("""COMPUTED_VALUE"""),"because")</f>
        <v>because</v>
      </c>
      <c r="O224" s="49" t="str">
        <f>IFERROR(__xludf.DUMMYFUNCTION("""COMPUTED_VALUE"""),"imagination")</f>
        <v>imagination</v>
      </c>
      <c r="P224" s="49" t="str">
        <f t="shared" si="2"/>
        <v>swedish,</v>
      </c>
      <c r="Q224" s="49"/>
      <c r="R224" s="50" t="s">
        <v>522</v>
      </c>
      <c r="S224" s="55" t="s">
        <v>522</v>
      </c>
      <c r="T224" s="49" t="str">
        <f>IFERROR(__xludf.DUMMYFUNCTION("""COMPUTED_VALUE"""),"elements")</f>
        <v>elements</v>
      </c>
      <c r="U224" s="49"/>
      <c r="V224" s="49" t="str">
        <f>IFERROR(__xludf.DUMMYFUNCTION("""COMPUTED_VALUE"""),"jones")</f>
        <v>jones</v>
      </c>
      <c r="W224" s="49" t="str">
        <f>IFERROR(__xludf.DUMMYFUNCTION("""COMPUTED_VALUE"""),"handsome")</f>
        <v>handsome</v>
      </c>
      <c r="X224" s="49" t="str">
        <f t="shared" si="3"/>
        <v>surprises,</v>
      </c>
      <c r="Y224" s="49"/>
      <c r="Z224" s="1" t="s">
        <v>2274</v>
      </c>
      <c r="AA224" s="1" t="s">
        <v>1569</v>
      </c>
      <c r="AB224" s="49" t="str">
        <f>IFERROR(__xludf.DUMMYFUNCTION("""COMPUTED_VALUE"""),"determined")</f>
        <v>determined</v>
      </c>
      <c r="AC224" s="49"/>
      <c r="AD224" s="49" t="str">
        <f>IFERROR(__xludf.DUMMYFUNCTION("""COMPUTED_VALUE"""),"because")</f>
        <v>because</v>
      </c>
      <c r="AE224" s="49" t="str">
        <f>IFERROR(__xludf.DUMMYFUNCTION("""COMPUTED_VALUE"""),"imagination")</f>
        <v>imagination</v>
      </c>
      <c r="AF224" s="49" t="str">
        <f t="shared" si="4"/>
        <v>otherwise,</v>
      </c>
      <c r="AG224" s="49"/>
      <c r="AH224" s="1" t="s">
        <v>184</v>
      </c>
      <c r="AI224" s="1" t="s">
        <v>967</v>
      </c>
      <c r="AJ224" s="6" t="str">
        <f>IFERROR(__xludf.DUMMYFUNCTION("""COMPUTED_VALUE"""),"something")</f>
        <v>something</v>
      </c>
      <c r="AK224" s="49"/>
      <c r="AL224" s="49"/>
      <c r="AM224" s="49"/>
      <c r="AN224" s="52" t="str">
        <f t="shared" si="5"/>
        <v>face,</v>
      </c>
    </row>
    <row r="225">
      <c r="A225" s="51" t="s">
        <v>675</v>
      </c>
      <c r="B225" s="50" t="s">
        <v>6559</v>
      </c>
      <c r="C225" s="50" t="s">
        <v>1230</v>
      </c>
      <c r="D225" s="49" t="str">
        <f>IFERROR(__xludf.DUMMYFUNCTION("""COMPUTED_VALUE"""),"central")</f>
        <v>central</v>
      </c>
      <c r="E225" s="49"/>
      <c r="F225" s="49"/>
      <c r="G225" s="49" t="str">
        <f>IFERROR(__xludf.DUMMYFUNCTION("""COMPUTED_VALUE"""),"formal")</f>
        <v>formal</v>
      </c>
      <c r="H225" s="54" t="str">
        <f t="shared" si="1"/>
        <v>huge,</v>
      </c>
      <c r="I225" s="50"/>
      <c r="J225" s="50" t="s">
        <v>6565</v>
      </c>
      <c r="K225" s="50" t="s">
        <v>720</v>
      </c>
      <c r="L225" s="49" t="str">
        <f>IFERROR(__xludf.DUMMYFUNCTION("""COMPUTED_VALUE"""),"scream")</f>
        <v>scream</v>
      </c>
      <c r="M225" s="49"/>
      <c r="N225" s="49" t="str">
        <f>IFERROR(__xludf.DUMMYFUNCTION("""COMPUTED_VALUE"""),"killer")</f>
        <v>killer</v>
      </c>
      <c r="O225" s="49" t="str">
        <f>IFERROR(__xludf.DUMMYFUNCTION("""COMPUTED_VALUE"""),"irrelevant")</f>
        <v>irrelevant</v>
      </c>
      <c r="P225" s="49" t="str">
        <f t="shared" si="2"/>
        <v>families,</v>
      </c>
      <c r="Q225" s="49"/>
      <c r="R225" s="50" t="s">
        <v>7260</v>
      </c>
      <c r="S225" s="55" t="s">
        <v>463</v>
      </c>
      <c r="T225" s="49" t="str">
        <f>IFERROR(__xludf.DUMMYFUNCTION("""COMPUTED_VALUE"""),"kind")</f>
        <v>kind</v>
      </c>
      <c r="U225" s="49"/>
      <c r="V225" s="49" t="str">
        <f>IFERROR(__xludf.DUMMYFUNCTION("""COMPUTED_VALUE"""),"commitment")</f>
        <v>commitment</v>
      </c>
      <c r="W225" s="49" t="str">
        <f>IFERROR(__xludf.DUMMYFUNCTION("""COMPUTED_VALUE"""),"mainly")</f>
        <v>mainly</v>
      </c>
      <c r="X225" s="49" t="str">
        <f t="shared" si="3"/>
        <v>campaign,</v>
      </c>
      <c r="Y225" s="49"/>
      <c r="Z225" s="1" t="s">
        <v>3804</v>
      </c>
      <c r="AA225" s="1" t="s">
        <v>917</v>
      </c>
      <c r="AB225" s="49" t="str">
        <f>IFERROR(__xludf.DUMMYFUNCTION("""COMPUTED_VALUE"""),"comedic")</f>
        <v>comedic</v>
      </c>
      <c r="AC225" s="49"/>
      <c r="AD225" s="49" t="str">
        <f>IFERROR(__xludf.DUMMYFUNCTION("""COMPUTED_VALUE"""),"killer")</f>
        <v>killer</v>
      </c>
      <c r="AE225" s="49" t="str">
        <f>IFERROR(__xludf.DUMMYFUNCTION("""COMPUTED_VALUE"""),"irrelevant")</f>
        <v>irrelevant</v>
      </c>
      <c r="AF225" s="49" t="str">
        <f t="shared" si="4"/>
        <v>planet,</v>
      </c>
      <c r="AG225" s="49"/>
      <c r="AH225" s="1" t="s">
        <v>88</v>
      </c>
      <c r="AI225" s="1" t="s">
        <v>5464</v>
      </c>
      <c r="AJ225" s="6" t="str">
        <f>IFERROR(__xludf.DUMMYFUNCTION("""COMPUTED_VALUE"""),"himself")</f>
        <v>himself</v>
      </c>
      <c r="AK225" s="49"/>
      <c r="AL225" s="49"/>
      <c r="AM225" s="49"/>
      <c r="AN225" s="52" t="str">
        <f t="shared" si="5"/>
        <v>something,</v>
      </c>
    </row>
    <row r="226">
      <c r="A226" s="51" t="s">
        <v>1581</v>
      </c>
      <c r="B226" s="50" t="s">
        <v>5111</v>
      </c>
      <c r="C226" s="50" t="s">
        <v>553</v>
      </c>
      <c r="D226" s="49" t="str">
        <f>IFERROR(__xludf.DUMMYFUNCTION("""COMPUTED_VALUE"""),"written")</f>
        <v>written</v>
      </c>
      <c r="E226" s="49"/>
      <c r="F226" s="49"/>
      <c r="G226" s="49" t="str">
        <f>IFERROR(__xludf.DUMMYFUNCTION("""COMPUTED_VALUE"""),"athlete")</f>
        <v>athlete</v>
      </c>
      <c r="H226" s="54" t="str">
        <f t="shared" si="1"/>
        <v>adam,</v>
      </c>
      <c r="I226" s="50"/>
      <c r="J226" s="50" t="s">
        <v>1978</v>
      </c>
      <c r="K226" s="50" t="s">
        <v>209</v>
      </c>
      <c r="L226" s="49" t="str">
        <f>IFERROR(__xludf.DUMMYFUNCTION("""COMPUTED_VALUE"""),"screenplay")</f>
        <v>screenplay</v>
      </c>
      <c r="M226" s="49"/>
      <c r="N226" s="49" t="str">
        <f>IFERROR(__xludf.DUMMYFUNCTION("""COMPUTED_VALUE"""),"might")</f>
        <v>might</v>
      </c>
      <c r="O226" s="49">
        <f>IFERROR(__xludf.DUMMYFUNCTION("""COMPUTED_VALUE"""),2002.0)</f>
        <v>2002</v>
      </c>
      <c r="P226" s="49" t="str">
        <f t="shared" si="2"/>
        <v>sentimental,</v>
      </c>
      <c r="Q226" s="49"/>
      <c r="R226" s="50" t="s">
        <v>146</v>
      </c>
      <c r="S226" s="55" t="s">
        <v>926</v>
      </c>
      <c r="T226" s="49" t="str">
        <f>IFERROR(__xludf.DUMMYFUNCTION("""COMPUTED_VALUE"""),"odyssey")</f>
        <v>odyssey</v>
      </c>
      <c r="U226" s="49"/>
      <c r="V226" s="49" t="str">
        <f>IFERROR(__xludf.DUMMYFUNCTION("""COMPUTED_VALUE"""),"featuring")</f>
        <v>featuring</v>
      </c>
      <c r="W226" s="49" t="str">
        <f>IFERROR(__xludf.DUMMYFUNCTION("""COMPUTED_VALUE"""),"seats")</f>
        <v>seats</v>
      </c>
      <c r="X226" s="49" t="str">
        <f t="shared" si="3"/>
        <v>have,</v>
      </c>
      <c r="Y226" s="49"/>
      <c r="Z226" s="1" t="s">
        <v>184</v>
      </c>
      <c r="AA226" s="1" t="s">
        <v>157</v>
      </c>
      <c r="AB226" s="49" t="str">
        <f>IFERROR(__xludf.DUMMYFUNCTION("""COMPUTED_VALUE"""),"insights")</f>
        <v>insights</v>
      </c>
      <c r="AC226" s="49"/>
      <c r="AD226" s="49" t="str">
        <f>IFERROR(__xludf.DUMMYFUNCTION("""COMPUTED_VALUE"""),"might")</f>
        <v>might</v>
      </c>
      <c r="AE226" s="49">
        <f>IFERROR(__xludf.DUMMYFUNCTION("""COMPUTED_VALUE"""),2002.0)</f>
        <v>2002</v>
      </c>
      <c r="AF226" s="49" t="str">
        <f t="shared" si="4"/>
        <v>face,</v>
      </c>
      <c r="AG226" s="49"/>
      <c r="AH226" s="1" t="s">
        <v>3665</v>
      </c>
      <c r="AI226" s="1" t="s">
        <v>6306</v>
      </c>
      <c r="AJ226" s="6">
        <f>IFERROR(__xludf.DUMMYFUNCTION("""COMPUTED_VALUE"""),13.0)</f>
        <v>13</v>
      </c>
      <c r="AK226" s="49"/>
      <c r="AL226" s="49"/>
      <c r="AM226" s="49"/>
      <c r="AN226" s="52" t="str">
        <f t="shared" si="5"/>
        <v>himself,</v>
      </c>
    </row>
    <row r="227">
      <c r="A227" s="51" t="s">
        <v>1295</v>
      </c>
      <c r="B227" s="50" t="s">
        <v>6643</v>
      </c>
      <c r="C227" s="50" t="s">
        <v>1423</v>
      </c>
      <c r="D227" s="49" t="str">
        <f>IFERROR(__xludf.DUMMYFUNCTION("""COMPUTED_VALUE"""),"believe")</f>
        <v>believe</v>
      </c>
      <c r="E227" s="49"/>
      <c r="F227" s="49"/>
      <c r="G227" s="49" t="str">
        <f>IFERROR(__xludf.DUMMYFUNCTION("""COMPUTED_VALUE"""),"faint")</f>
        <v>faint</v>
      </c>
      <c r="H227" s="54" t="str">
        <f t="shared" si="1"/>
        <v>nervous,</v>
      </c>
      <c r="I227" s="50"/>
      <c r="J227" s="50" t="s">
        <v>2666</v>
      </c>
      <c r="K227" s="50" t="s">
        <v>139</v>
      </c>
      <c r="L227" s="49" t="str">
        <f>IFERROR(__xludf.DUMMYFUNCTION("""COMPUTED_VALUE"""),"others")</f>
        <v>others</v>
      </c>
      <c r="M227" s="49"/>
      <c r="N227" s="49" t="str">
        <f>IFERROR(__xludf.DUMMYFUNCTION("""COMPUTED_VALUE"""),"lies")</f>
        <v>lies</v>
      </c>
      <c r="O227" s="49" t="str">
        <f>IFERROR(__xludf.DUMMYFUNCTION("""COMPUTED_VALUE"""),"korean")</f>
        <v>korean</v>
      </c>
      <c r="P227" s="49" t="str">
        <f t="shared" si="2"/>
        <v>screen,</v>
      </c>
      <c r="Q227" s="49"/>
      <c r="R227" s="50" t="s">
        <v>159</v>
      </c>
      <c r="S227" s="55" t="s">
        <v>111</v>
      </c>
      <c r="T227" s="49" t="str">
        <f>IFERROR(__xludf.DUMMYFUNCTION("""COMPUTED_VALUE"""),"mix")</f>
        <v>mix</v>
      </c>
      <c r="U227" s="49"/>
      <c r="V227" s="49" t="str">
        <f>IFERROR(__xludf.DUMMYFUNCTION("""COMPUTED_VALUE"""),"figure")</f>
        <v>figure</v>
      </c>
      <c r="W227" s="49" t="str">
        <f>IFERROR(__xludf.DUMMYFUNCTION("""COMPUTED_VALUE"""),"passages")</f>
        <v>passages</v>
      </c>
      <c r="X227" s="49" t="str">
        <f t="shared" si="3"/>
        <v>cinematic,</v>
      </c>
      <c r="Y227" s="49"/>
      <c r="Z227" s="1" t="s">
        <v>6327</v>
      </c>
      <c r="AA227" s="1" t="s">
        <v>275</v>
      </c>
      <c r="AB227" s="49" t="str">
        <f>IFERROR(__xludf.DUMMYFUNCTION("""COMPUTED_VALUE"""),"fascinating")</f>
        <v>fascinating</v>
      </c>
      <c r="AC227" s="49"/>
      <c r="AD227" s="49" t="str">
        <f>IFERROR(__xludf.DUMMYFUNCTION("""COMPUTED_VALUE"""),"lies")</f>
        <v>lies</v>
      </c>
      <c r="AE227" s="49" t="str">
        <f>IFERROR(__xludf.DUMMYFUNCTION("""COMPUTED_VALUE"""),"korean")</f>
        <v>korean</v>
      </c>
      <c r="AF227" s="49" t="str">
        <f t="shared" si="4"/>
        <v>especially,</v>
      </c>
      <c r="AG227" s="49"/>
      <c r="AH227" s="1">
        <v>13.0</v>
      </c>
      <c r="AI227" s="1" t="s">
        <v>1093</v>
      </c>
      <c r="AJ227" s="6" t="str">
        <f>IFERROR(__xludf.DUMMYFUNCTION("""COMPUTED_VALUE"""),"director")</f>
        <v>director</v>
      </c>
      <c r="AK227" s="49"/>
      <c r="AL227" s="49"/>
      <c r="AM227" s="49"/>
      <c r="AN227" s="52" t="str">
        <f t="shared" si="5"/>
        <v>13,</v>
      </c>
    </row>
    <row r="228">
      <c r="A228" s="51" t="s">
        <v>1589</v>
      </c>
      <c r="B228" s="50" t="s">
        <v>1327</v>
      </c>
      <c r="C228" s="50" t="s">
        <v>570</v>
      </c>
      <c r="D228" s="49" t="str">
        <f>IFERROR(__xludf.DUMMYFUNCTION("""COMPUTED_VALUE"""),"anyone")</f>
        <v>anyone</v>
      </c>
      <c r="E228" s="49"/>
      <c r="F228" s="49"/>
      <c r="G228" s="49" t="str">
        <f>IFERROR(__xludf.DUMMYFUNCTION("""COMPUTED_VALUE"""),"et")</f>
        <v>et</v>
      </c>
      <c r="H228" s="54" t="str">
        <f t="shared" si="1"/>
        <v>hugh,</v>
      </c>
      <c r="I228" s="50"/>
      <c r="J228" s="50" t="s">
        <v>1838</v>
      </c>
      <c r="K228" s="50" t="s">
        <v>1293</v>
      </c>
      <c r="L228" s="49" t="str">
        <f>IFERROR(__xludf.DUMMYFUNCTION("""COMPUTED_VALUE"""),"turns")</f>
        <v>turns</v>
      </c>
      <c r="M228" s="49"/>
      <c r="N228" s="49" t="str">
        <f>IFERROR(__xludf.DUMMYFUNCTION("""COMPUTED_VALUE"""),"behind")</f>
        <v>behind</v>
      </c>
      <c r="O228" s="49" t="str">
        <f>IFERROR(__xludf.DUMMYFUNCTION("""COMPUTED_VALUE"""),"canvas")</f>
        <v>canvas</v>
      </c>
      <c r="P228" s="49" t="str">
        <f t="shared" si="2"/>
        <v>difficult,</v>
      </c>
      <c r="Q228" s="49"/>
      <c r="R228" s="50" t="s">
        <v>4430</v>
      </c>
      <c r="S228" s="55" t="s">
        <v>542</v>
      </c>
      <c r="T228" s="49" t="str">
        <f>IFERROR(__xludf.DUMMYFUNCTION("""COMPUTED_VALUE"""),"left")</f>
        <v>left</v>
      </c>
      <c r="U228" s="49"/>
      <c r="V228" s="49" t="str">
        <f>IFERROR(__xludf.DUMMYFUNCTION("""COMPUTED_VALUE"""),"sensitive")</f>
        <v>sensitive</v>
      </c>
      <c r="W228" s="49" t="str">
        <f>IFERROR(__xludf.DUMMYFUNCTION("""COMPUTED_VALUE"""),"spot")</f>
        <v>spot</v>
      </c>
      <c r="X228" s="49" t="str">
        <f t="shared" si="3"/>
        <v>vehicle,</v>
      </c>
      <c r="Y228" s="49"/>
      <c r="Z228" s="1" t="s">
        <v>4437</v>
      </c>
      <c r="AA228" s="1" t="s">
        <v>1590</v>
      </c>
      <c r="AB228" s="49" t="str">
        <f>IFERROR(__xludf.DUMMYFUNCTION("""COMPUTED_VALUE"""),"bored")</f>
        <v>bored</v>
      </c>
      <c r="AC228" s="49"/>
      <c r="AD228" s="49" t="str">
        <f>IFERROR(__xludf.DUMMYFUNCTION("""COMPUTED_VALUE"""),"behind")</f>
        <v>behind</v>
      </c>
      <c r="AE228" s="49" t="str">
        <f>IFERROR(__xludf.DUMMYFUNCTION("""COMPUTED_VALUE"""),"canvas")</f>
        <v>canvas</v>
      </c>
      <c r="AF228" s="49" t="str">
        <f t="shared" si="4"/>
        <v>fight,</v>
      </c>
      <c r="AG228" s="49"/>
      <c r="AH228" s="1" t="s">
        <v>197</v>
      </c>
      <c r="AI228" s="1" t="s">
        <v>991</v>
      </c>
      <c r="AJ228" s="6" t="str">
        <f>IFERROR(__xludf.DUMMYFUNCTION("""COMPUTED_VALUE"""),"title")</f>
        <v>title</v>
      </c>
      <c r="AK228" s="49"/>
      <c r="AL228" s="49"/>
      <c r="AM228" s="49"/>
      <c r="AN228" s="52" t="str">
        <f t="shared" si="5"/>
        <v>director,</v>
      </c>
    </row>
    <row r="229">
      <c r="A229" s="51" t="s">
        <v>1593</v>
      </c>
      <c r="B229" s="50" t="s">
        <v>6378</v>
      </c>
      <c r="C229" s="50" t="s">
        <v>591</v>
      </c>
      <c r="D229" s="49" t="str">
        <f>IFERROR(__xludf.DUMMYFUNCTION("""COMPUTED_VALUE"""),"creation")</f>
        <v>creation</v>
      </c>
      <c r="E229" s="49"/>
      <c r="F229" s="49"/>
      <c r="G229" s="49" t="str">
        <f>IFERROR(__xludf.DUMMYFUNCTION("""COMPUTED_VALUE"""),"bush")</f>
        <v>bush</v>
      </c>
      <c r="H229" s="54" t="str">
        <f t="shared" si="1"/>
        <v>terrible,</v>
      </c>
      <c r="I229" s="50"/>
      <c r="J229" s="50" t="s">
        <v>1591</v>
      </c>
      <c r="K229" s="50" t="s">
        <v>216</v>
      </c>
      <c r="L229" s="49" t="str">
        <f>IFERROR(__xludf.DUMMYFUNCTION("""COMPUTED_VALUE"""),"increasingly")</f>
        <v>increasingly</v>
      </c>
      <c r="M229" s="49"/>
      <c r="N229" s="49" t="str">
        <f>IFERROR(__xludf.DUMMYFUNCTION("""COMPUTED_VALUE"""),"potential")</f>
        <v>potential</v>
      </c>
      <c r="O229" s="49" t="str">
        <f>IFERROR(__xludf.DUMMYFUNCTION("""COMPUTED_VALUE"""),"assured")</f>
        <v>assured</v>
      </c>
      <c r="P229" s="49" t="str">
        <f t="shared" si="2"/>
        <v>built,</v>
      </c>
      <c r="Q229" s="49"/>
      <c r="R229" s="50" t="s">
        <v>1197</v>
      </c>
      <c r="S229" s="55" t="s">
        <v>1370</v>
      </c>
      <c r="T229" s="49" t="str">
        <f>IFERROR(__xludf.DUMMYFUNCTION("""COMPUTED_VALUE"""),"ultimately")</f>
        <v>ultimately</v>
      </c>
      <c r="U229" s="49"/>
      <c r="V229" s="49" t="str">
        <f>IFERROR(__xludf.DUMMYFUNCTION("""COMPUTED_VALUE"""),"kicking")</f>
        <v>kicking</v>
      </c>
      <c r="W229" s="49" t="str">
        <f>IFERROR(__xludf.DUMMYFUNCTION("""COMPUTED_VALUE"""),"contribution")</f>
        <v>contribution</v>
      </c>
      <c r="X229" s="49" t="str">
        <f t="shared" si="3"/>
        <v>down,</v>
      </c>
      <c r="Y229" s="49"/>
      <c r="Z229" s="1" t="s">
        <v>1586</v>
      </c>
      <c r="AA229" s="1" t="s">
        <v>103</v>
      </c>
      <c r="AB229" s="49" t="str">
        <f>IFERROR(__xludf.DUMMYFUNCTION("""COMPUTED_VALUE"""),"near")</f>
        <v>near</v>
      </c>
      <c r="AC229" s="49"/>
      <c r="AD229" s="49" t="str">
        <f>IFERROR(__xludf.DUMMYFUNCTION("""COMPUTED_VALUE"""),"potential")</f>
        <v>potential</v>
      </c>
      <c r="AE229" s="49" t="str">
        <f>IFERROR(__xludf.DUMMYFUNCTION("""COMPUTED_VALUE"""),"assured")</f>
        <v>assured</v>
      </c>
      <c r="AF229" s="49" t="str">
        <f t="shared" si="4"/>
        <v>john,</v>
      </c>
      <c r="AG229" s="49"/>
      <c r="AH229" s="1" t="s">
        <v>1238</v>
      </c>
      <c r="AI229" s="1" t="s">
        <v>1144</v>
      </c>
      <c r="AJ229" s="6" t="str">
        <f>IFERROR(__xludf.DUMMYFUNCTION("""COMPUTED_VALUE"""),"taking")</f>
        <v>taking</v>
      </c>
      <c r="AK229" s="49"/>
      <c r="AL229" s="49"/>
      <c r="AM229" s="49"/>
      <c r="AN229" s="52" t="str">
        <f t="shared" si="5"/>
        <v>title,</v>
      </c>
    </row>
    <row r="230">
      <c r="A230" s="51" t="s">
        <v>1315</v>
      </c>
      <c r="B230" s="50" t="s">
        <v>1658</v>
      </c>
      <c r="C230" s="50" t="s">
        <v>711</v>
      </c>
      <c r="D230" s="49" t="str">
        <f>IFERROR(__xludf.DUMMYFUNCTION("""COMPUTED_VALUE"""),"around")</f>
        <v>around</v>
      </c>
      <c r="E230" s="49"/>
      <c r="F230" s="49"/>
      <c r="G230" s="49" t="str">
        <f>IFERROR(__xludf.DUMMYFUNCTION("""COMPUTED_VALUE"""),"mechanical")</f>
        <v>mechanical</v>
      </c>
      <c r="H230" s="54" t="str">
        <f t="shared" si="1"/>
        <v>smiles,</v>
      </c>
      <c r="I230" s="50"/>
      <c r="J230" s="50" t="s">
        <v>874</v>
      </c>
      <c r="K230" s="50" t="s">
        <v>1335</v>
      </c>
      <c r="L230" s="49" t="str">
        <f>IFERROR(__xludf.DUMMYFUNCTION("""COMPUTED_VALUE"""),"addition")</f>
        <v>addition</v>
      </c>
      <c r="M230" s="49"/>
      <c r="N230" s="49" t="str">
        <f>IFERROR(__xludf.DUMMYFUNCTION("""COMPUTED_VALUE"""),"keep")</f>
        <v>keep</v>
      </c>
      <c r="O230" s="49" t="str">
        <f>IFERROR(__xludf.DUMMYFUNCTION("""COMPUTED_VALUE"""),"thematic")</f>
        <v>thematic</v>
      </c>
      <c r="P230" s="49" t="str">
        <f t="shared" si="2"/>
        <v>actor,</v>
      </c>
      <c r="Q230" s="49"/>
      <c r="R230" s="50" t="s">
        <v>2858</v>
      </c>
      <c r="S230" s="55" t="s">
        <v>165</v>
      </c>
      <c r="T230" s="49" t="str">
        <f>IFERROR(__xludf.DUMMYFUNCTION("""COMPUTED_VALUE"""),"pleasing")</f>
        <v>pleasing</v>
      </c>
      <c r="U230" s="49"/>
      <c r="V230" s="49" t="str">
        <f>IFERROR(__xludf.DUMMYFUNCTION("""COMPUTED_VALUE"""),"happened")</f>
        <v>happened</v>
      </c>
      <c r="W230" s="49" t="str">
        <f>IFERROR(__xludf.DUMMYFUNCTION("""COMPUTED_VALUE"""),"fore")</f>
        <v>fore</v>
      </c>
      <c r="X230" s="49" t="str">
        <f t="shared" si="3"/>
        <v>france,</v>
      </c>
      <c r="Y230" s="49"/>
      <c r="Z230" s="1" t="s">
        <v>46</v>
      </c>
      <c r="AA230" s="1" t="s">
        <v>1599</v>
      </c>
      <c r="AB230" s="49" t="str">
        <f>IFERROR(__xludf.DUMMYFUNCTION("""COMPUTED_VALUE"""),"video")</f>
        <v>video</v>
      </c>
      <c r="AC230" s="49"/>
      <c r="AD230" s="49" t="str">
        <f>IFERROR(__xludf.DUMMYFUNCTION("""COMPUTED_VALUE"""),"keep")</f>
        <v>keep</v>
      </c>
      <c r="AE230" s="49" t="str">
        <f>IFERROR(__xludf.DUMMYFUNCTION("""COMPUTED_VALUE"""),"thematic")</f>
        <v>thematic</v>
      </c>
      <c r="AF230" s="49" t="str">
        <f t="shared" si="4"/>
        <v>new,</v>
      </c>
      <c r="AG230" s="49"/>
      <c r="AH230" s="1" t="s">
        <v>710</v>
      </c>
      <c r="AI230" s="1" t="s">
        <v>6235</v>
      </c>
      <c r="AJ230" s="6" t="str">
        <f>IFERROR(__xludf.DUMMYFUNCTION("""COMPUTED_VALUE"""),"lot")</f>
        <v>lot</v>
      </c>
      <c r="AK230" s="49"/>
      <c r="AL230" s="49"/>
      <c r="AM230" s="49"/>
      <c r="AN230" s="52" t="str">
        <f t="shared" si="5"/>
        <v>taking,</v>
      </c>
    </row>
    <row r="231">
      <c r="A231" s="51" t="s">
        <v>1605</v>
      </c>
      <c r="B231" s="50" t="s">
        <v>7144</v>
      </c>
      <c r="C231" s="50" t="s">
        <v>1043</v>
      </c>
      <c r="D231" s="49" t="str">
        <f>IFERROR(__xludf.DUMMYFUNCTION("""COMPUTED_VALUE"""),"questions")</f>
        <v>questions</v>
      </c>
      <c r="E231" s="49"/>
      <c r="F231" s="49"/>
      <c r="G231" s="49" t="str">
        <f>IFERROR(__xludf.DUMMYFUNCTION("""COMPUTED_VALUE"""),"firmly")</f>
        <v>firmly</v>
      </c>
      <c r="H231" s="54" t="str">
        <f t="shared" si="1"/>
        <v>August,</v>
      </c>
      <c r="I231" s="50"/>
      <c r="J231" s="50" t="s">
        <v>2662</v>
      </c>
      <c r="K231" s="50" t="s">
        <v>877</v>
      </c>
      <c r="L231" s="49" t="str">
        <f>IFERROR(__xludf.DUMMYFUNCTION("""COMPUTED_VALUE"""),"form")</f>
        <v>form</v>
      </c>
      <c r="M231" s="49"/>
      <c r="N231" s="49" t="str">
        <f>IFERROR(__xludf.DUMMYFUNCTION("""COMPUTED_VALUE"""),"think")</f>
        <v>think</v>
      </c>
      <c r="O231" s="49" t="str">
        <f>IFERROR(__xludf.DUMMYFUNCTION("""COMPUTED_VALUE"""),"politics")</f>
        <v>politics</v>
      </c>
      <c r="P231" s="49" t="str">
        <f t="shared" si="2"/>
        <v>plays,</v>
      </c>
      <c r="Q231" s="49"/>
      <c r="R231" s="50" t="s">
        <v>3429</v>
      </c>
      <c r="S231" s="55" t="b">
        <v>1</v>
      </c>
      <c r="T231" s="49" t="str">
        <f>IFERROR(__xludf.DUMMYFUNCTION("""COMPUTED_VALUE"""),"familiar")</f>
        <v>familiar</v>
      </c>
      <c r="U231" s="49"/>
      <c r="V231" s="49" t="str">
        <f>IFERROR(__xludf.DUMMYFUNCTION("""COMPUTED_VALUE"""),"gangster")</f>
        <v>gangster</v>
      </c>
      <c r="W231" s="49" t="str">
        <f>IFERROR(__xludf.DUMMYFUNCTION("""COMPUTED_VALUE"""),"dates")</f>
        <v>dates</v>
      </c>
      <c r="X231" s="49" t="str">
        <f t="shared" si="3"/>
        <v>double,</v>
      </c>
      <c r="Y231" s="49"/>
      <c r="Z231" s="1" t="s">
        <v>197</v>
      </c>
      <c r="AA231" s="1" t="s">
        <v>1606</v>
      </c>
      <c r="AB231" s="49" t="str">
        <f>IFERROR(__xludf.DUMMYFUNCTION("""COMPUTED_VALUE"""),"teenagers")</f>
        <v>teenagers</v>
      </c>
      <c r="AC231" s="49"/>
      <c r="AD231" s="49" t="str">
        <f>IFERROR(__xludf.DUMMYFUNCTION("""COMPUTED_VALUE"""),"think")</f>
        <v>think</v>
      </c>
      <c r="AE231" s="49" t="str">
        <f>IFERROR(__xludf.DUMMYFUNCTION("""COMPUTED_VALUE"""),"politics")</f>
        <v>politics</v>
      </c>
      <c r="AF231" s="49" t="str">
        <f t="shared" si="4"/>
        <v>director,</v>
      </c>
      <c r="AG231" s="49"/>
      <c r="AH231" s="1" t="s">
        <v>1293</v>
      </c>
      <c r="AI231" s="1" t="s">
        <v>371</v>
      </c>
      <c r="AJ231" s="6" t="str">
        <f>IFERROR(__xludf.DUMMYFUNCTION("""COMPUTED_VALUE"""),"whole")</f>
        <v>whole</v>
      </c>
      <c r="AK231" s="49"/>
      <c r="AL231" s="49"/>
      <c r="AM231" s="49"/>
      <c r="AN231" s="52" t="str">
        <f t="shared" si="5"/>
        <v>lot,</v>
      </c>
    </row>
    <row r="232">
      <c r="A232" s="51" t="s">
        <v>1344</v>
      </c>
      <c r="B232" s="50" t="s">
        <v>1591</v>
      </c>
      <c r="C232" s="50" t="s">
        <v>596</v>
      </c>
      <c r="D232" s="49" t="str">
        <f>IFERROR(__xludf.DUMMYFUNCTION("""COMPUTED_VALUE"""),"difference")</f>
        <v>difference</v>
      </c>
      <c r="E232" s="49"/>
      <c r="F232" s="49"/>
      <c r="G232" s="49" t="str">
        <f>IFERROR(__xludf.DUMMYFUNCTION("""COMPUTED_VALUE"""),"factors")</f>
        <v>factors</v>
      </c>
      <c r="H232" s="54" t="str">
        <f t="shared" si="1"/>
        <v>built,</v>
      </c>
      <c r="I232" s="50"/>
      <c r="J232" s="50" t="s">
        <v>2766</v>
      </c>
      <c r="K232" s="50" t="s">
        <v>1616</v>
      </c>
      <c r="L232" s="49" t="str">
        <f>IFERROR(__xludf.DUMMYFUNCTION("""COMPUTED_VALUE"""),"greatest")</f>
        <v>greatest</v>
      </c>
      <c r="M232" s="49"/>
      <c r="N232" s="49" t="str">
        <f>IFERROR(__xludf.DUMMYFUNCTION("""COMPUTED_VALUE"""),"knock")</f>
        <v>knock</v>
      </c>
      <c r="O232" s="49" t="str">
        <f>IFERROR(__xludf.DUMMYFUNCTION("""COMPUTED_VALUE"""),"smug")</f>
        <v>smug</v>
      </c>
      <c r="P232" s="49" t="str">
        <f t="shared" si="2"/>
        <v>painfully,</v>
      </c>
      <c r="Q232" s="49"/>
      <c r="R232" s="50" t="s">
        <v>831</v>
      </c>
      <c r="S232" s="55" t="s">
        <v>1762</v>
      </c>
      <c r="T232" s="49" t="str">
        <f>IFERROR(__xludf.DUMMYFUNCTION("""COMPUTED_VALUE"""),"leads")</f>
        <v>leads</v>
      </c>
      <c r="U232" s="49"/>
      <c r="V232" s="49" t="str">
        <f>IFERROR(__xludf.DUMMYFUNCTION("""COMPUTED_VALUE"""),"mouthed")</f>
        <v>mouthed</v>
      </c>
      <c r="W232" s="49" t="str">
        <f>IFERROR(__xludf.DUMMYFUNCTION("""COMPUTED_VALUE"""),"demands")</f>
        <v>demands</v>
      </c>
      <c r="X232" s="49" t="str">
        <f t="shared" si="3"/>
        <v>made,</v>
      </c>
      <c r="Y232" s="49"/>
      <c r="Z232" s="1" t="s">
        <v>471</v>
      </c>
      <c r="AA232" s="1" t="s">
        <v>162</v>
      </c>
      <c r="AB232" s="49" t="str">
        <f>IFERROR(__xludf.DUMMYFUNCTION("""COMPUTED_VALUE"""),"handful")</f>
        <v>handful</v>
      </c>
      <c r="AC232" s="49"/>
      <c r="AD232" s="49" t="str">
        <f>IFERROR(__xludf.DUMMYFUNCTION("""COMPUTED_VALUE"""),"knock")</f>
        <v>knock</v>
      </c>
      <c r="AE232" s="49" t="str">
        <f>IFERROR(__xludf.DUMMYFUNCTION("""COMPUTED_VALUE"""),"smug")</f>
        <v>smug</v>
      </c>
      <c r="AF232" s="49" t="str">
        <f t="shared" si="4"/>
        <v>many,</v>
      </c>
      <c r="AG232" s="49"/>
      <c r="AH232" s="1" t="s">
        <v>1916</v>
      </c>
      <c r="AI232" s="1" t="s">
        <v>827</v>
      </c>
      <c r="AJ232" s="6" t="str">
        <f>IFERROR(__xludf.DUMMYFUNCTION("""COMPUTED_VALUE"""),"especially")</f>
        <v>especially</v>
      </c>
      <c r="AK232" s="49"/>
      <c r="AL232" s="49"/>
      <c r="AM232" s="49"/>
      <c r="AN232" s="52" t="str">
        <f t="shared" si="5"/>
        <v>whole,</v>
      </c>
    </row>
    <row r="233">
      <c r="A233" s="51" t="s">
        <v>1187</v>
      </c>
      <c r="B233" s="50" t="s">
        <v>110</v>
      </c>
      <c r="C233" s="50" t="s">
        <v>605</v>
      </c>
      <c r="D233" s="49" t="str">
        <f>IFERROR(__xludf.DUMMYFUNCTION("""COMPUTED_VALUE"""),"comic")</f>
        <v>comic</v>
      </c>
      <c r="E233" s="49"/>
      <c r="F233" s="49"/>
      <c r="G233" s="49" t="str">
        <f>IFERROR(__xludf.DUMMYFUNCTION("""COMPUTED_VALUE"""),"employment")</f>
        <v>employment</v>
      </c>
      <c r="H233" s="54" t="str">
        <f t="shared" si="1"/>
        <v>road,</v>
      </c>
      <c r="I233" s="50"/>
      <c r="J233" s="50" t="s">
        <v>4288</v>
      </c>
      <c r="K233" s="50" t="s">
        <v>1622</v>
      </c>
      <c r="L233" s="49" t="str">
        <f>IFERROR(__xludf.DUMMYFUNCTION("""COMPUTED_VALUE"""),"disney")</f>
        <v>disney</v>
      </c>
      <c r="M233" s="49"/>
      <c r="N233" s="49" t="str">
        <f>IFERROR(__xludf.DUMMYFUNCTION("""COMPUTED_VALUE"""),"sort")</f>
        <v>sort</v>
      </c>
      <c r="O233" s="49" t="str">
        <f>IFERROR(__xludf.DUMMYFUNCTION("""COMPUTED_VALUE"""),"equations")</f>
        <v>equations</v>
      </c>
      <c r="P233" s="49" t="str">
        <f t="shared" si="2"/>
        <v>reflection,</v>
      </c>
      <c r="Q233" s="49"/>
      <c r="R233" s="50" t="s">
        <v>4474</v>
      </c>
      <c r="S233" s="55" t="s">
        <v>1235</v>
      </c>
      <c r="T233" s="49" t="str">
        <f>IFERROR(__xludf.DUMMYFUNCTION("""COMPUTED_VALUE"""),"journey")</f>
        <v>journey</v>
      </c>
      <c r="U233" s="49"/>
      <c r="V233" s="49" t="str">
        <f>IFERROR(__xludf.DUMMYFUNCTION("""COMPUTED_VALUE"""),"consistently")</f>
        <v>consistently</v>
      </c>
      <c r="W233" s="49" t="str">
        <f>IFERROR(__xludf.DUMMYFUNCTION("""COMPUTED_VALUE"""),"excellent")</f>
        <v>excellent</v>
      </c>
      <c r="X233" s="49" t="str">
        <f t="shared" si="3"/>
        <v>kong,</v>
      </c>
      <c r="Y233" s="49"/>
      <c r="Z233" s="1" t="s">
        <v>6285</v>
      </c>
      <c r="AA233" s="1" t="s">
        <v>1617</v>
      </c>
      <c r="AB233" s="49" t="str">
        <f>IFERROR(__xludf.DUMMYFUNCTION("""COMPUTED_VALUE"""),"harvard")</f>
        <v>harvard</v>
      </c>
      <c r="AC233" s="49"/>
      <c r="AD233" s="49" t="str">
        <f>IFERROR(__xludf.DUMMYFUNCTION("""COMPUTED_VALUE"""),"sort")</f>
        <v>sort</v>
      </c>
      <c r="AE233" s="49" t="str">
        <f>IFERROR(__xludf.DUMMYFUNCTION("""COMPUTED_VALUE"""),"equations")</f>
        <v>equations</v>
      </c>
      <c r="AF233" s="49" t="str">
        <f t="shared" si="4"/>
        <v>who,</v>
      </c>
      <c r="AG233" s="49"/>
      <c r="AH233" s="1" t="s">
        <v>6327</v>
      </c>
      <c r="AI233" s="1" t="s">
        <v>565</v>
      </c>
      <c r="AJ233" s="6" t="str">
        <f>IFERROR(__xludf.DUMMYFUNCTION("""COMPUTED_VALUE"""),"fight")</f>
        <v>fight</v>
      </c>
      <c r="AK233" s="49"/>
      <c r="AL233" s="49"/>
      <c r="AM233" s="49"/>
      <c r="AN233" s="52" t="str">
        <f t="shared" si="5"/>
        <v>especially,</v>
      </c>
    </row>
    <row r="234">
      <c r="A234" s="51" t="s">
        <v>1354</v>
      </c>
      <c r="B234" s="50" t="s">
        <v>5412</v>
      </c>
      <c r="C234" s="50" t="s">
        <v>1291</v>
      </c>
      <c r="D234" s="49" t="str">
        <f>IFERROR(__xludf.DUMMYFUNCTION("""COMPUTED_VALUE"""),"moments")</f>
        <v>moments</v>
      </c>
      <c r="E234" s="49"/>
      <c r="F234" s="49"/>
      <c r="G234" s="49" t="str">
        <f>IFERROR(__xludf.DUMMYFUNCTION("""COMPUTED_VALUE"""),"cricket")</f>
        <v>cricket</v>
      </c>
      <c r="H234" s="54" t="str">
        <f t="shared" si="1"/>
        <v>career,</v>
      </c>
      <c r="I234" s="50"/>
      <c r="J234" s="50" t="s">
        <v>2159</v>
      </c>
      <c r="K234" s="50" t="s">
        <v>1628</v>
      </c>
      <c r="L234" s="49" t="str">
        <f>IFERROR(__xludf.DUMMYFUNCTION("""COMPUTED_VALUE"""),"feature")</f>
        <v>feature</v>
      </c>
      <c r="M234" s="49"/>
      <c r="N234" s="49" t="str">
        <f>IFERROR(__xludf.DUMMYFUNCTION("""COMPUTED_VALUE"""),"could")</f>
        <v>could</v>
      </c>
      <c r="O234" s="49" t="str">
        <f>IFERROR(__xludf.DUMMYFUNCTION("""COMPUTED_VALUE"""),"stupid")</f>
        <v>stupid</v>
      </c>
      <c r="P234" s="49" t="str">
        <f t="shared" si="2"/>
        <v>hours,</v>
      </c>
      <c r="Q234" s="49"/>
      <c r="R234" s="50" t="s">
        <v>1157</v>
      </c>
      <c r="S234" s="55" t="s">
        <v>373</v>
      </c>
      <c r="T234" s="49" t="str">
        <f>IFERROR(__xludf.DUMMYFUNCTION("""COMPUTED_VALUE"""),"joan")</f>
        <v>joan</v>
      </c>
      <c r="U234" s="49"/>
      <c r="V234" s="49" t="str">
        <f>IFERROR(__xludf.DUMMYFUNCTION("""COMPUTED_VALUE"""),"general")</f>
        <v>general</v>
      </c>
      <c r="W234" s="49" t="str">
        <f>IFERROR(__xludf.DUMMYFUNCTION("""COMPUTED_VALUE"""),"blast")</f>
        <v>blast</v>
      </c>
      <c r="X234" s="49" t="str">
        <f t="shared" si="3"/>
        <v>team,</v>
      </c>
      <c r="Y234" s="49"/>
      <c r="Z234" s="1" t="s">
        <v>2252</v>
      </c>
      <c r="AA234" s="1" t="s">
        <v>1623</v>
      </c>
      <c r="AB234" s="49" t="str">
        <f>IFERROR(__xludf.DUMMYFUNCTION("""COMPUTED_VALUE"""),"lawrence")</f>
        <v>lawrence</v>
      </c>
      <c r="AC234" s="49"/>
      <c r="AD234" s="49" t="str">
        <f>IFERROR(__xludf.DUMMYFUNCTION("""COMPUTED_VALUE"""),"could")</f>
        <v>could</v>
      </c>
      <c r="AE234" s="49" t="str">
        <f>IFERROR(__xludf.DUMMYFUNCTION("""COMPUTED_VALUE"""),"stupid")</f>
        <v>stupid</v>
      </c>
      <c r="AF234" s="49" t="str">
        <f t="shared" si="4"/>
        <v>those,</v>
      </c>
      <c r="AG234" s="49"/>
      <c r="AH234" s="1" t="s">
        <v>4437</v>
      </c>
      <c r="AI234" s="1" t="s">
        <v>1003</v>
      </c>
      <c r="AJ234" s="6" t="str">
        <f>IFERROR(__xludf.DUMMYFUNCTION("""COMPUTED_VALUE"""),"previous")</f>
        <v>previous</v>
      </c>
      <c r="AK234" s="49"/>
      <c r="AL234" s="49"/>
      <c r="AM234" s="49"/>
      <c r="AN234" s="52" t="str">
        <f t="shared" si="5"/>
        <v>fight,</v>
      </c>
    </row>
    <row r="235">
      <c r="A235" s="51" t="s">
        <v>1629</v>
      </c>
      <c r="B235" s="50" t="s">
        <v>1264</v>
      </c>
      <c r="C235" s="50" t="s">
        <v>613</v>
      </c>
      <c r="D235" s="49" t="str">
        <f>IFERROR(__xludf.DUMMYFUNCTION("""COMPUTED_VALUE"""),"become")</f>
        <v>become</v>
      </c>
      <c r="E235" s="49"/>
      <c r="F235" s="49"/>
      <c r="G235" s="49" t="str">
        <f>IFERROR(__xludf.DUMMYFUNCTION("""COMPUTED_VALUE"""),"investment")</f>
        <v>investment</v>
      </c>
      <c r="H235" s="54" t="str">
        <f t="shared" si="1"/>
        <v>far,</v>
      </c>
      <c r="I235" s="50"/>
      <c r="J235" s="50" t="s">
        <v>4936</v>
      </c>
      <c r="K235" s="50" t="s">
        <v>736</v>
      </c>
      <c r="L235" s="49" t="str">
        <f>IFERROR(__xludf.DUMMYFUNCTION("""COMPUTED_VALUE"""),"entertaining")</f>
        <v>entertaining</v>
      </c>
      <c r="M235" s="49"/>
      <c r="N235" s="49" t="str">
        <f>IFERROR(__xludf.DUMMYFUNCTION("""COMPUTED_VALUE"""),"gives")</f>
        <v>gives</v>
      </c>
      <c r="O235" s="49" t="str">
        <f>IFERROR(__xludf.DUMMYFUNCTION("""COMPUTED_VALUE"""),"combining")</f>
        <v>combining</v>
      </c>
      <c r="P235" s="49" t="str">
        <f t="shared" si="2"/>
        <v>accurate,</v>
      </c>
      <c r="Q235" s="49"/>
      <c r="R235" s="50" t="s">
        <v>339</v>
      </c>
      <c r="S235" s="55" t="s">
        <v>324</v>
      </c>
      <c r="T235" s="49" t="str">
        <f>IFERROR(__xludf.DUMMYFUNCTION("""COMPUTED_VALUE"""),"crazy")</f>
        <v>crazy</v>
      </c>
      <c r="U235" s="49"/>
      <c r="V235" s="49" t="str">
        <f>IFERROR(__xludf.DUMMYFUNCTION("""COMPUTED_VALUE"""),"utterly")</f>
        <v>utterly</v>
      </c>
      <c r="W235" s="49" t="str">
        <f>IFERROR(__xludf.DUMMYFUNCTION("""COMPUTED_VALUE"""),"sand")</f>
        <v>sand</v>
      </c>
      <c r="X235" s="49" t="str">
        <f t="shared" si="3"/>
        <v>version,</v>
      </c>
      <c r="Y235" s="49"/>
      <c r="Z235" s="1" t="s">
        <v>2009</v>
      </c>
      <c r="AA235" s="1" t="s">
        <v>610</v>
      </c>
      <c r="AB235" s="49" t="str">
        <f>IFERROR(__xludf.DUMMYFUNCTION("""COMPUTED_VALUE"""),"black")</f>
        <v>black</v>
      </c>
      <c r="AC235" s="49"/>
      <c r="AD235" s="49" t="str">
        <f>IFERROR(__xludf.DUMMYFUNCTION("""COMPUTED_VALUE"""),"gives")</f>
        <v>gives</v>
      </c>
      <c r="AE235" s="49" t="str">
        <f>IFERROR(__xludf.DUMMYFUNCTION("""COMPUTED_VALUE"""),"combining")</f>
        <v>combining</v>
      </c>
      <c r="AF235" s="49" t="str">
        <f t="shared" si="4"/>
        <v>beneath,</v>
      </c>
      <c r="AG235" s="49"/>
      <c r="AH235" s="1" t="s">
        <v>2454</v>
      </c>
      <c r="AI235" s="1" t="s">
        <v>1009</v>
      </c>
      <c r="AJ235" s="6" t="str">
        <f>IFERROR(__xludf.DUMMYFUNCTION("""COMPUTED_VALUE"""),"writer")</f>
        <v>writer</v>
      </c>
      <c r="AK235" s="49"/>
      <c r="AL235" s="49"/>
      <c r="AM235" s="49"/>
      <c r="AN235" s="52" t="str">
        <f t="shared" si="5"/>
        <v>previous,</v>
      </c>
    </row>
    <row r="236">
      <c r="A236" s="51" t="s">
        <v>1379</v>
      </c>
      <c r="B236" s="50" t="s">
        <v>6349</v>
      </c>
      <c r="C236" s="50" t="s">
        <v>1307</v>
      </c>
      <c r="D236" s="49" t="str">
        <f>IFERROR(__xludf.DUMMYFUNCTION("""COMPUTED_VALUE"""),"standard")</f>
        <v>standard</v>
      </c>
      <c r="E236" s="49"/>
      <c r="F236" s="49"/>
      <c r="G236" s="49" t="str">
        <f>IFERROR(__xludf.DUMMYFUNCTION("""COMPUTED_VALUE"""),"published")</f>
        <v>published</v>
      </c>
      <c r="H236" s="54" t="str">
        <f t="shared" si="1"/>
        <v>european,</v>
      </c>
      <c r="I236" s="50"/>
      <c r="J236" s="50" t="s">
        <v>2474</v>
      </c>
      <c r="K236" s="50" t="s">
        <v>745</v>
      </c>
      <c r="L236" s="49" t="str">
        <f>IFERROR(__xludf.DUMMYFUNCTION("""COMPUTED_VALUE"""),"documentary")</f>
        <v>documentary</v>
      </c>
      <c r="M236" s="49"/>
      <c r="N236" s="49" t="str">
        <f>IFERROR(__xludf.DUMMYFUNCTION("""COMPUTED_VALUE"""),"group")</f>
        <v>group</v>
      </c>
      <c r="O236" s="49" t="str">
        <f>IFERROR(__xludf.DUMMYFUNCTION("""COMPUTED_VALUE"""),"elements")</f>
        <v>elements</v>
      </c>
      <c r="P236" s="49" t="str">
        <f t="shared" si="2"/>
        <v>nearly,</v>
      </c>
      <c r="Q236" s="49"/>
      <c r="R236" s="50" t="s">
        <v>2554</v>
      </c>
      <c r="S236" s="55" t="s">
        <v>1230</v>
      </c>
      <c r="T236" s="49" t="str">
        <f>IFERROR(__xludf.DUMMYFUNCTION("""COMPUTED_VALUE"""),"shows")</f>
        <v>shows</v>
      </c>
      <c r="U236" s="49"/>
      <c r="V236" s="49" t="str">
        <f>IFERROR(__xludf.DUMMYFUNCTION("""COMPUTED_VALUE"""),"miserable")</f>
        <v>miserable</v>
      </c>
      <c r="W236" s="49" t="str">
        <f>IFERROR(__xludf.DUMMYFUNCTION("""COMPUTED_VALUE"""),"limitations")</f>
        <v>limitations</v>
      </c>
      <c r="X236" s="49" t="str">
        <f t="shared" si="3"/>
        <v>attempts,</v>
      </c>
      <c r="Y236" s="49"/>
      <c r="Z236" s="1" t="s">
        <v>2684</v>
      </c>
      <c r="AA236" s="1" t="s">
        <v>292</v>
      </c>
      <c r="AB236" s="49" t="str">
        <f>IFERROR(__xludf.DUMMYFUNCTION("""COMPUTED_VALUE"""),"logic")</f>
        <v>logic</v>
      </c>
      <c r="AC236" s="49"/>
      <c r="AD236" s="49" t="str">
        <f>IFERROR(__xludf.DUMMYFUNCTION("""COMPUTED_VALUE"""),"group")</f>
        <v>group</v>
      </c>
      <c r="AE236" s="49" t="str">
        <f>IFERROR(__xludf.DUMMYFUNCTION("""COMPUTED_VALUE"""),"elements")</f>
        <v>elements</v>
      </c>
      <c r="AF236" s="49" t="str">
        <f t="shared" si="4"/>
        <v>loses,</v>
      </c>
      <c r="AG236" s="49"/>
      <c r="AH236" s="1" t="s">
        <v>2483</v>
      </c>
      <c r="AI236" s="1" t="s">
        <v>776</v>
      </c>
      <c r="AJ236" s="6" t="str">
        <f>IFERROR(__xludf.DUMMYFUNCTION("""COMPUTED_VALUE"""),"fighting")</f>
        <v>fighting</v>
      </c>
      <c r="AK236" s="49"/>
      <c r="AL236" s="49"/>
      <c r="AM236" s="49"/>
      <c r="AN236" s="52" t="str">
        <f t="shared" si="5"/>
        <v>writer,</v>
      </c>
    </row>
    <row r="237">
      <c r="A237" s="51" t="s">
        <v>1641</v>
      </c>
      <c r="B237" s="50" t="s">
        <v>2723</v>
      </c>
      <c r="C237" s="50" t="s">
        <v>1525</v>
      </c>
      <c r="D237" s="49" t="str">
        <f>IFERROR(__xludf.DUMMYFUNCTION("""COMPUTED_VALUE"""),"follow")</f>
        <v>follow</v>
      </c>
      <c r="E237" s="49"/>
      <c r="F237" s="49"/>
      <c r="G237" s="49" t="str">
        <f>IFERROR(__xludf.DUMMYFUNCTION("""COMPUTED_VALUE"""),"le")</f>
        <v>le</v>
      </c>
      <c r="H237" s="54" t="str">
        <f t="shared" si="1"/>
        <v>call,</v>
      </c>
      <c r="I237" s="50"/>
      <c r="J237" s="50" t="s">
        <v>6310</v>
      </c>
      <c r="K237" s="50" t="s">
        <v>224</v>
      </c>
      <c r="L237" s="49" t="str">
        <f>IFERROR(__xludf.DUMMYFUNCTION("""COMPUTED_VALUE"""),"badly")</f>
        <v>badly</v>
      </c>
      <c r="M237" s="49"/>
      <c r="N237" s="49" t="str">
        <f>IFERROR(__xludf.DUMMYFUNCTION("""COMPUTED_VALUE"""),"chicken")</f>
        <v>chicken</v>
      </c>
      <c r="O237" s="49" t="str">
        <f>IFERROR(__xludf.DUMMYFUNCTION("""COMPUTED_VALUE"""),"mood")</f>
        <v>mood</v>
      </c>
      <c r="P237" s="49" t="str">
        <f t="shared" si="2"/>
        <v>!,</v>
      </c>
      <c r="Q237" s="49"/>
      <c r="R237" s="50" t="s">
        <v>5154</v>
      </c>
      <c r="S237" s="55" t="s">
        <v>553</v>
      </c>
      <c r="T237" s="49" t="str">
        <f>IFERROR(__xludf.DUMMYFUNCTION("""COMPUTED_VALUE"""),"heard")</f>
        <v>heard</v>
      </c>
      <c r="U237" s="49"/>
      <c r="V237" s="49" t="str">
        <f>IFERROR(__xludf.DUMMYFUNCTION("""COMPUTED_VALUE"""),"western")</f>
        <v>western</v>
      </c>
      <c r="W237" s="49" t="str">
        <f>IFERROR(__xludf.DUMMYFUNCTION("""COMPUTED_VALUE"""),"mira")</f>
        <v>mira</v>
      </c>
      <c r="X237" s="49" t="str">
        <f t="shared" si="3"/>
        <v>necessary,</v>
      </c>
      <c r="Y237" s="49"/>
      <c r="Z237" s="1" t="s">
        <v>4502</v>
      </c>
      <c r="AA237" s="1" t="s">
        <v>879</v>
      </c>
      <c r="AB237" s="49" t="str">
        <f>IFERROR(__xludf.DUMMYFUNCTION("""COMPUTED_VALUE"""),"amusing")</f>
        <v>amusing</v>
      </c>
      <c r="AC237" s="49"/>
      <c r="AD237" s="49" t="str">
        <f>IFERROR(__xludf.DUMMYFUNCTION("""COMPUTED_VALUE"""),"chicken")</f>
        <v>chicken</v>
      </c>
      <c r="AE237" s="49" t="str">
        <f>IFERROR(__xludf.DUMMYFUNCTION("""COMPUTED_VALUE"""),"mood")</f>
        <v>mood</v>
      </c>
      <c r="AF237" s="49" t="str">
        <f t="shared" si="4"/>
        <v>becoming,</v>
      </c>
      <c r="AG237" s="49"/>
      <c r="AH237" s="1" t="s">
        <v>2685</v>
      </c>
      <c r="AI237" s="1" t="s">
        <v>6307</v>
      </c>
      <c r="AJ237" s="6" t="str">
        <f>IFERROR(__xludf.DUMMYFUNCTION("""COMPUTED_VALUE"""),"apparently")</f>
        <v>apparently</v>
      </c>
      <c r="AK237" s="49"/>
      <c r="AL237" s="49"/>
      <c r="AM237" s="49"/>
      <c r="AN237" s="52" t="str">
        <f t="shared" si="5"/>
        <v>fighting,</v>
      </c>
    </row>
    <row r="238">
      <c r="A238" s="51" t="s">
        <v>1647</v>
      </c>
      <c r="B238" s="50" t="s">
        <v>2159</v>
      </c>
      <c r="C238" s="50" t="s">
        <v>621</v>
      </c>
      <c r="D238" s="49" t="str">
        <f>IFERROR(__xludf.DUMMYFUNCTION("""COMPUTED_VALUE"""),"criminal")</f>
        <v>criminal</v>
      </c>
      <c r="E238" s="49"/>
      <c r="F238" s="49"/>
      <c r="G238" s="49" t="str">
        <f>IFERROR(__xludf.DUMMYFUNCTION("""COMPUTED_VALUE"""),"canon")</f>
        <v>canon</v>
      </c>
      <c r="H238" s="54" t="str">
        <f t="shared" si="1"/>
        <v>hours,</v>
      </c>
      <c r="I238" s="50"/>
      <c r="J238" s="50" t="s">
        <v>6253</v>
      </c>
      <c r="K238" s="50" t="s">
        <v>1653</v>
      </c>
      <c r="L238" s="49" t="str">
        <f>IFERROR(__xludf.DUMMYFUNCTION("""COMPUTED_VALUE"""),"chaos")</f>
        <v>chaos</v>
      </c>
      <c r="M238" s="49"/>
      <c r="N238" s="49" t="str">
        <f>IFERROR(__xludf.DUMMYFUNCTION("""COMPUTED_VALUE"""),"targets")</f>
        <v>targets</v>
      </c>
      <c r="O238" s="49" t="str">
        <f>IFERROR(__xludf.DUMMYFUNCTION("""COMPUTED_VALUE"""),"indictment")</f>
        <v>indictment</v>
      </c>
      <c r="P238" s="49" t="str">
        <f t="shared" si="2"/>
        <v>should,</v>
      </c>
      <c r="Q238" s="49"/>
      <c r="R238" s="50" t="s">
        <v>6714</v>
      </c>
      <c r="S238" s="55" t="s">
        <v>563</v>
      </c>
      <c r="T238" s="49" t="str">
        <f>IFERROR(__xludf.DUMMYFUNCTION("""COMPUTED_VALUE"""),"trailer")</f>
        <v>trailer</v>
      </c>
      <c r="U238" s="49"/>
      <c r="V238" s="49" t="str">
        <f>IFERROR(__xludf.DUMMYFUNCTION("""COMPUTED_VALUE"""),"suitable")</f>
        <v>suitable</v>
      </c>
      <c r="W238" s="49" t="str">
        <f>IFERROR(__xludf.DUMMYFUNCTION("""COMPUTED_VALUE"""),"moving")</f>
        <v>moving</v>
      </c>
      <c r="X238" s="49" t="str">
        <f t="shared" si="3"/>
        <v>fair,</v>
      </c>
      <c r="Y238" s="49"/>
      <c r="Z238" s="1" t="s">
        <v>427</v>
      </c>
      <c r="AA238" s="1" t="s">
        <v>872</v>
      </c>
      <c r="AB238" s="49" t="str">
        <f>IFERROR(__xludf.DUMMYFUNCTION("""COMPUTED_VALUE"""),"none")</f>
        <v>none</v>
      </c>
      <c r="AC238" s="49"/>
      <c r="AD238" s="49" t="str">
        <f>IFERROR(__xludf.DUMMYFUNCTION("""COMPUTED_VALUE"""),"targets")</f>
        <v>targets</v>
      </c>
      <c r="AE238" s="49" t="str">
        <f>IFERROR(__xludf.DUMMYFUNCTION("""COMPUTED_VALUE"""),"indictment")</f>
        <v>indictment</v>
      </c>
      <c r="AF238" s="49" t="str">
        <f t="shared" si="4"/>
        <v>wo,</v>
      </c>
      <c r="AG238" s="49"/>
      <c r="AH238" s="1" t="s">
        <v>6513</v>
      </c>
      <c r="AI238" s="1" t="s">
        <v>841</v>
      </c>
      <c r="AJ238" s="6" t="str">
        <f>IFERROR(__xludf.DUMMYFUNCTION("""COMPUTED_VALUE"""),"otherwise")</f>
        <v>otherwise</v>
      </c>
      <c r="AK238" s="49"/>
      <c r="AL238" s="49"/>
      <c r="AM238" s="49"/>
      <c r="AN238" s="52" t="str">
        <f t="shared" si="5"/>
        <v>apparently,</v>
      </c>
    </row>
    <row r="239">
      <c r="A239" s="51" t="s">
        <v>1654</v>
      </c>
      <c r="B239" s="50" t="s">
        <v>6565</v>
      </c>
      <c r="C239" s="50" t="s">
        <v>1120</v>
      </c>
      <c r="D239" s="49" t="str">
        <f>IFERROR(__xludf.DUMMYFUNCTION("""COMPUTED_VALUE"""),"explore")</f>
        <v>explore</v>
      </c>
      <c r="E239" s="49"/>
      <c r="F239" s="49"/>
      <c r="G239" s="49" t="str">
        <f>IFERROR(__xludf.DUMMYFUNCTION("""COMPUTED_VALUE"""),"winds")</f>
        <v>winds</v>
      </c>
      <c r="H239" s="54" t="str">
        <f t="shared" si="1"/>
        <v>families,</v>
      </c>
      <c r="I239" s="50"/>
      <c r="J239" s="50" t="s">
        <v>652</v>
      </c>
      <c r="K239" s="50" t="s">
        <v>755</v>
      </c>
      <c r="L239" s="49" t="str">
        <f>IFERROR(__xludf.DUMMYFUNCTION("""COMPUTED_VALUE"""),"bone")</f>
        <v>bone</v>
      </c>
      <c r="M239" s="49"/>
      <c r="N239" s="49" t="str">
        <f>IFERROR(__xludf.DUMMYFUNCTION("""COMPUTED_VALUE"""),"around")</f>
        <v>around</v>
      </c>
      <c r="O239" s="49" t="str">
        <f>IFERROR(__xludf.DUMMYFUNCTION("""COMPUTED_VALUE"""),"engage")</f>
        <v>engage</v>
      </c>
      <c r="P239" s="49" t="str">
        <f t="shared" si="2"/>
        <v>you,</v>
      </c>
      <c r="Q239" s="49"/>
      <c r="R239" s="50" t="s">
        <v>2782</v>
      </c>
      <c r="S239" s="55" t="s">
        <v>538</v>
      </c>
      <c r="T239" s="49" t="str">
        <f>IFERROR(__xludf.DUMMYFUNCTION("""COMPUTED_VALUE"""),"actually")</f>
        <v>actually</v>
      </c>
      <c r="U239" s="49"/>
      <c r="V239" s="49" t="str">
        <f>IFERROR(__xludf.DUMMYFUNCTION("""COMPUTED_VALUE"""),"complete")</f>
        <v>complete</v>
      </c>
      <c r="W239" s="49" t="str">
        <f>IFERROR(__xludf.DUMMYFUNCTION("""COMPUTED_VALUE"""),"sequels")</f>
        <v>sequels</v>
      </c>
      <c r="X239" s="49" t="str">
        <f t="shared" si="3"/>
        <v>*,</v>
      </c>
      <c r="Y239" s="49"/>
      <c r="Z239" s="1" t="s">
        <v>2369</v>
      </c>
      <c r="AA239" s="1" t="s">
        <v>1655</v>
      </c>
      <c r="AB239" s="49" t="str">
        <f>IFERROR(__xludf.DUMMYFUNCTION("""COMPUTED_VALUE"""),"blair")</f>
        <v>blair</v>
      </c>
      <c r="AC239" s="49"/>
      <c r="AD239" s="49" t="str">
        <f>IFERROR(__xludf.DUMMYFUNCTION("""COMPUTED_VALUE"""),"around")</f>
        <v>around</v>
      </c>
      <c r="AE239" s="49" t="str">
        <f>IFERROR(__xludf.DUMMYFUNCTION("""COMPUTED_VALUE"""),"engage")</f>
        <v>engage</v>
      </c>
      <c r="AF239" s="49" t="str">
        <f t="shared" si="4"/>
        <v>itself,</v>
      </c>
      <c r="AG239" s="49"/>
      <c r="AH239" s="1" t="s">
        <v>2274</v>
      </c>
      <c r="AI239" s="1" t="s">
        <v>201</v>
      </c>
      <c r="AJ239" s="6" t="str">
        <f>IFERROR(__xludf.DUMMYFUNCTION("""COMPUTED_VALUE"""),"planet")</f>
        <v>planet</v>
      </c>
      <c r="AK239" s="49"/>
      <c r="AL239" s="49"/>
      <c r="AM239" s="49"/>
      <c r="AN239" s="52" t="str">
        <f t="shared" si="5"/>
        <v>otherwise,</v>
      </c>
    </row>
    <row r="240">
      <c r="A240" s="51" t="s">
        <v>1662</v>
      </c>
      <c r="B240" s="50" t="s">
        <v>2474</v>
      </c>
      <c r="C240" s="50" t="s">
        <v>624</v>
      </c>
      <c r="D240" s="49" t="str">
        <f>IFERROR(__xludf.DUMMYFUNCTION("""COMPUTED_VALUE"""),"yet")</f>
        <v>yet</v>
      </c>
      <c r="E240" s="49"/>
      <c r="F240" s="49"/>
      <c r="G240" s="49" t="str">
        <f>IFERROR(__xludf.DUMMYFUNCTION("""COMPUTED_VALUE"""),"pissed")</f>
        <v>pissed</v>
      </c>
      <c r="H240" s="54" t="str">
        <f t="shared" si="1"/>
        <v>nearly,</v>
      </c>
      <c r="I240" s="50"/>
      <c r="J240" s="50" t="s">
        <v>1198</v>
      </c>
      <c r="K240" s="50" t="s">
        <v>829</v>
      </c>
      <c r="L240" s="49" t="str">
        <f>IFERROR(__xludf.DUMMYFUNCTION("""COMPUTED_VALUE"""),"sports")</f>
        <v>sports</v>
      </c>
      <c r="M240" s="49"/>
      <c r="N240" s="49" t="str">
        <f>IFERROR(__xludf.DUMMYFUNCTION("""COMPUTED_VALUE"""),"clothes")</f>
        <v>clothes</v>
      </c>
      <c r="O240" s="49" t="str">
        <f>IFERROR(__xludf.DUMMYFUNCTION("""COMPUTED_VALUE"""),"emotionally")</f>
        <v>emotionally</v>
      </c>
      <c r="P240" s="49" t="str">
        <f t="shared" si="2"/>
        <v>before,</v>
      </c>
      <c r="Q240" s="49"/>
      <c r="R240" s="50" t="s">
        <v>2101</v>
      </c>
      <c r="S240" s="55" t="s">
        <v>121</v>
      </c>
      <c r="T240" s="49" t="str">
        <f>IFERROR(__xludf.DUMMYFUNCTION("""COMPUTED_VALUE"""),"during")</f>
        <v>during</v>
      </c>
      <c r="U240" s="49"/>
      <c r="V240" s="49" t="str">
        <f>IFERROR(__xludf.DUMMYFUNCTION("""COMPUTED_VALUE"""),"hearted")</f>
        <v>hearted</v>
      </c>
      <c r="W240" s="49" t="str">
        <f>IFERROR(__xludf.DUMMYFUNCTION("""COMPUTED_VALUE"""),"playwright")</f>
        <v>playwright</v>
      </c>
      <c r="X240" s="49" t="str">
        <f t="shared" si="3"/>
        <v>did,</v>
      </c>
      <c r="Y240" s="49"/>
      <c r="Z240" s="1" t="s">
        <v>4862</v>
      </c>
      <c r="AA240" s="1" t="s">
        <v>1663</v>
      </c>
      <c r="AB240" s="49" t="str">
        <f>IFERROR(__xludf.DUMMYFUNCTION("""COMPUTED_VALUE"""),"directed")</f>
        <v>directed</v>
      </c>
      <c r="AC240" s="49"/>
      <c r="AD240" s="49" t="str">
        <f>IFERROR(__xludf.DUMMYFUNCTION("""COMPUTED_VALUE"""),"clothes")</f>
        <v>clothes</v>
      </c>
      <c r="AE240" s="49" t="str">
        <f>IFERROR(__xludf.DUMMYFUNCTION("""COMPUTED_VALUE"""),"emotionally")</f>
        <v>emotionally</v>
      </c>
      <c r="AF240" s="49" t="str">
        <f t="shared" si="4"/>
        <v>sick,</v>
      </c>
      <c r="AG240" s="49"/>
      <c r="AH240" s="1" t="s">
        <v>3804</v>
      </c>
      <c r="AI240" s="1" t="s">
        <v>340</v>
      </c>
      <c r="AJ240" s="6" t="str">
        <f>IFERROR(__xludf.DUMMYFUNCTION("""COMPUTED_VALUE"""),"ideas")</f>
        <v>ideas</v>
      </c>
      <c r="AK240" s="49"/>
      <c r="AL240" s="49"/>
      <c r="AM240" s="49"/>
      <c r="AN240" s="52" t="str">
        <f t="shared" si="5"/>
        <v>planet,</v>
      </c>
    </row>
    <row r="241">
      <c r="A241" s="51" t="s">
        <v>1668</v>
      </c>
      <c r="B241" s="50" t="s">
        <v>1078</v>
      </c>
      <c r="C241" s="50" t="s">
        <v>386</v>
      </c>
      <c r="D241" s="49" t="str">
        <f>IFERROR(__xludf.DUMMYFUNCTION("""COMPUTED_VALUE"""),"sudden")</f>
        <v>sudden</v>
      </c>
      <c r="E241" s="49"/>
      <c r="F241" s="49"/>
      <c r="G241" s="49" t="str">
        <f>IFERROR(__xludf.DUMMYFUNCTION("""COMPUTED_VALUE"""),"academic")</f>
        <v>academic</v>
      </c>
      <c r="H241" s="54" t="str">
        <f t="shared" si="1"/>
        <v>hour,</v>
      </c>
      <c r="I241" s="50"/>
      <c r="J241" s="50" t="s">
        <v>319</v>
      </c>
      <c r="K241" s="50" t="s">
        <v>763</v>
      </c>
      <c r="L241" s="49" t="str">
        <f>IFERROR(__xludf.DUMMYFUNCTION("""COMPUTED_VALUE"""),"races")</f>
        <v>races</v>
      </c>
      <c r="M241" s="49"/>
      <c r="N241" s="49" t="str">
        <f>IFERROR(__xludf.DUMMYFUNCTION("""COMPUTED_VALUE"""),"us")</f>
        <v>us</v>
      </c>
      <c r="O241" s="49" t="str">
        <f>IFERROR(__xludf.DUMMYFUNCTION("""COMPUTED_VALUE"""),"illumination")</f>
        <v>illumination</v>
      </c>
      <c r="P241" s="49" t="str">
        <f t="shared" si="2"/>
        <v>where,</v>
      </c>
      <c r="Q241" s="49"/>
      <c r="R241" s="50" t="s">
        <v>2985</v>
      </c>
      <c r="S241" s="55" t="s">
        <v>215</v>
      </c>
      <c r="T241" s="49" t="str">
        <f>IFERROR(__xludf.DUMMYFUNCTION("""COMPUTED_VALUE"""),"scene")</f>
        <v>scene</v>
      </c>
      <c r="U241" s="49"/>
      <c r="V241" s="49" t="str">
        <f>IFERROR(__xludf.DUMMYFUNCTION("""COMPUTED_VALUE"""),"bob")</f>
        <v>bob</v>
      </c>
      <c r="W241" s="49" t="str">
        <f>IFERROR(__xludf.DUMMYFUNCTION("""COMPUTED_VALUE"""),"grade")</f>
        <v>grade</v>
      </c>
      <c r="X241" s="49" t="str">
        <f t="shared" si="3"/>
        <v>moment,</v>
      </c>
      <c r="Y241" s="49"/>
      <c r="Z241" s="1" t="s">
        <v>568</v>
      </c>
      <c r="AA241" s="1" t="s">
        <v>1669</v>
      </c>
      <c r="AB241" s="49" t="str">
        <f>IFERROR(__xludf.DUMMYFUNCTION("""COMPUTED_VALUE"""),"robert")</f>
        <v>robert</v>
      </c>
      <c r="AC241" s="49"/>
      <c r="AD241" s="49" t="str">
        <f>IFERROR(__xludf.DUMMYFUNCTION("""COMPUTED_VALUE"""),"us")</f>
        <v>us</v>
      </c>
      <c r="AE241" s="49" t="str">
        <f>IFERROR(__xludf.DUMMYFUNCTION("""COMPUTED_VALUE"""),"illumination")</f>
        <v>illumination</v>
      </c>
      <c r="AF241" s="49" t="str">
        <f t="shared" si="4"/>
        <v>world,</v>
      </c>
      <c r="AG241" s="49"/>
      <c r="AH241" s="1" t="s">
        <v>4361</v>
      </c>
      <c r="AI241" s="1" t="s">
        <v>35</v>
      </c>
      <c r="AJ241" s="6" t="str">
        <f>IFERROR(__xludf.DUMMYFUNCTION("""COMPUTED_VALUE"""),"scenes")</f>
        <v>scenes</v>
      </c>
      <c r="AK241" s="49"/>
      <c r="AL241" s="49"/>
      <c r="AM241" s="49"/>
      <c r="AN241" s="52" t="str">
        <f t="shared" si="5"/>
        <v>ideas,</v>
      </c>
    </row>
    <row r="242">
      <c r="A242" s="51" t="s">
        <v>1675</v>
      </c>
      <c r="B242" s="50" t="s">
        <v>2662</v>
      </c>
      <c r="C242" s="50" t="s">
        <v>1360</v>
      </c>
      <c r="D242" s="49" t="str">
        <f>IFERROR(__xludf.DUMMYFUNCTION("""COMPUTED_VALUE"""),"wisdom")</f>
        <v>wisdom</v>
      </c>
      <c r="E242" s="49"/>
      <c r="F242" s="49"/>
      <c r="G242" s="49" t="str">
        <f>IFERROR(__xludf.DUMMYFUNCTION("""COMPUTED_VALUE"""),"dimensions")</f>
        <v>dimensions</v>
      </c>
      <c r="H242" s="54" t="str">
        <f t="shared" si="1"/>
        <v>plays,</v>
      </c>
      <c r="I242" s="50"/>
      <c r="J242" s="50" t="s">
        <v>716</v>
      </c>
      <c r="K242" s="50" t="s">
        <v>149</v>
      </c>
      <c r="L242" s="49" t="str">
        <f>IFERROR(__xludf.DUMMYFUNCTION("""COMPUTED_VALUE"""),"ron")</f>
        <v>ron</v>
      </c>
      <c r="M242" s="49"/>
      <c r="N242" s="49" t="str">
        <f>IFERROR(__xludf.DUMMYFUNCTION("""COMPUTED_VALUE"""),"possibly")</f>
        <v>possibly</v>
      </c>
      <c r="O242" s="49" t="str">
        <f>IFERROR(__xludf.DUMMYFUNCTION("""COMPUTED_VALUE"""),"darker")</f>
        <v>darker</v>
      </c>
      <c r="P242" s="49" t="str">
        <f t="shared" si="2"/>
        <v>some,</v>
      </c>
      <c r="Q242" s="49"/>
      <c r="R242" s="50" t="s">
        <v>784</v>
      </c>
      <c r="S242" s="55" t="s">
        <v>605</v>
      </c>
      <c r="T242" s="49" t="str">
        <f>IFERROR(__xludf.DUMMYFUNCTION("""COMPUTED_VALUE"""),"grand")</f>
        <v>grand</v>
      </c>
      <c r="U242" s="49"/>
      <c r="V242" s="49" t="str">
        <f>IFERROR(__xludf.DUMMYFUNCTION("""COMPUTED_VALUE"""),"ended")</f>
        <v>ended</v>
      </c>
      <c r="W242" s="49" t="str">
        <f>IFERROR(__xludf.DUMMYFUNCTION("""COMPUTED_VALUE"""),"trash")</f>
        <v>trash</v>
      </c>
      <c r="X242" s="49" t="str">
        <f t="shared" si="3"/>
        <v>provide,</v>
      </c>
      <c r="Y242" s="49"/>
      <c r="Z242" s="1" t="s">
        <v>371</v>
      </c>
      <c r="AA242" s="1" t="s">
        <v>894</v>
      </c>
      <c r="AB242" s="49" t="str">
        <f>IFERROR(__xludf.DUMMYFUNCTION("""COMPUTED_VALUE"""),"rich")</f>
        <v>rich</v>
      </c>
      <c r="AC242" s="49"/>
      <c r="AD242" s="49" t="str">
        <f>IFERROR(__xludf.DUMMYFUNCTION("""COMPUTED_VALUE"""),"possibly")</f>
        <v>possibly</v>
      </c>
      <c r="AE242" s="49" t="str">
        <f>IFERROR(__xludf.DUMMYFUNCTION("""COMPUTED_VALUE"""),"darker")</f>
        <v>darker</v>
      </c>
      <c r="AF242" s="49" t="str">
        <f t="shared" si="4"/>
        <v>just,</v>
      </c>
      <c r="AG242" s="49"/>
      <c r="AH242" s="1" t="s">
        <v>1490</v>
      </c>
      <c r="AI242" s="1" t="s">
        <v>1041</v>
      </c>
      <c r="AJ242" s="6" t="str">
        <f>IFERROR(__xludf.DUMMYFUNCTION("""COMPUTED_VALUE"""),"horror")</f>
        <v>horror</v>
      </c>
      <c r="AK242" s="49"/>
      <c r="AL242" s="49"/>
      <c r="AM242" s="49"/>
      <c r="AN242" s="52" t="str">
        <f t="shared" si="5"/>
        <v>scenes,</v>
      </c>
    </row>
    <row r="243">
      <c r="A243" s="51" t="s">
        <v>1680</v>
      </c>
      <c r="B243" s="50" t="s">
        <v>874</v>
      </c>
      <c r="C243" s="50" t="s">
        <v>1091</v>
      </c>
      <c r="D243" s="49" t="str">
        <f>IFERROR(__xludf.DUMMYFUNCTION("""COMPUTED_VALUE"""),"career")</f>
        <v>career</v>
      </c>
      <c r="E243" s="49"/>
      <c r="F243" s="49"/>
      <c r="G243" s="49">
        <f>IFERROR(__xludf.DUMMYFUNCTION("""COMPUTED_VALUE"""),93.0)</f>
        <v>93</v>
      </c>
      <c r="H243" s="54" t="str">
        <f t="shared" si="1"/>
        <v>actor,</v>
      </c>
      <c r="I243" s="50"/>
      <c r="J243" s="50" t="s">
        <v>3426</v>
      </c>
      <c r="K243" s="50" t="s">
        <v>419</v>
      </c>
      <c r="L243" s="49" t="str">
        <f>IFERROR(__xludf.DUMMYFUNCTION("""COMPUTED_VALUE"""),"right")</f>
        <v>right</v>
      </c>
      <c r="M243" s="49"/>
      <c r="N243" s="49" t="str">
        <f>IFERROR(__xludf.DUMMYFUNCTION("""COMPUTED_VALUE"""),"member")</f>
        <v>member</v>
      </c>
      <c r="O243" s="49" t="str">
        <f>IFERROR(__xludf.DUMMYFUNCTION("""COMPUTED_VALUE"""),"created")</f>
        <v>created</v>
      </c>
      <c r="P243" s="49" t="str">
        <f t="shared" si="2"/>
        <v>mean,</v>
      </c>
      <c r="Q243" s="49"/>
      <c r="R243" s="50" t="s">
        <v>976</v>
      </c>
      <c r="S243" s="55" t="s">
        <v>596</v>
      </c>
      <c r="T243" s="49" t="str">
        <f>IFERROR(__xludf.DUMMYFUNCTION("""COMPUTED_VALUE"""),"pair")</f>
        <v>pair</v>
      </c>
      <c r="U243" s="49"/>
      <c r="V243" s="49" t="str">
        <f>IFERROR(__xludf.DUMMYFUNCTION("""COMPUTED_VALUE"""),"imply")</f>
        <v>imply</v>
      </c>
      <c r="W243" s="49" t="str">
        <f>IFERROR(__xludf.DUMMYFUNCTION("""COMPUTED_VALUE"""),"end")</f>
        <v>end</v>
      </c>
      <c r="X243" s="49" t="str">
        <f t="shared" si="3"/>
        <v>game,</v>
      </c>
      <c r="Y243" s="49"/>
      <c r="Z243" s="1" t="s">
        <v>61</v>
      </c>
      <c r="AA243" s="1" t="s">
        <v>173</v>
      </c>
      <c r="AB243" s="49" t="str">
        <f>IFERROR(__xludf.DUMMYFUNCTION("""COMPUTED_VALUE"""),"powerful")</f>
        <v>powerful</v>
      </c>
      <c r="AC243" s="49"/>
      <c r="AD243" s="49" t="str">
        <f>IFERROR(__xludf.DUMMYFUNCTION("""COMPUTED_VALUE"""),"member")</f>
        <v>member</v>
      </c>
      <c r="AE243" s="49" t="str">
        <f>IFERROR(__xludf.DUMMYFUNCTION("""COMPUTED_VALUE"""),"created")</f>
        <v>created</v>
      </c>
      <c r="AF243" s="49" t="str">
        <f t="shared" si="4"/>
        <v>or,</v>
      </c>
      <c r="AG243" s="49"/>
      <c r="AH243" s="1" t="s">
        <v>1171</v>
      </c>
      <c r="AI243" s="1" t="s">
        <v>4067</v>
      </c>
      <c r="AJ243" s="6" t="str">
        <f>IFERROR(__xludf.DUMMYFUNCTION("""COMPUTED_VALUE"""),"accused")</f>
        <v>accused</v>
      </c>
      <c r="AK243" s="49"/>
      <c r="AL243" s="49"/>
      <c r="AM243" s="49"/>
      <c r="AN243" s="52" t="str">
        <f t="shared" si="5"/>
        <v>horror,</v>
      </c>
    </row>
    <row r="244">
      <c r="A244" s="51" t="s">
        <v>1687</v>
      </c>
      <c r="B244" s="50" t="s">
        <v>1436</v>
      </c>
      <c r="C244" s="50" t="s">
        <v>1077</v>
      </c>
      <c r="D244" s="49" t="str">
        <f>IFERROR(__xludf.DUMMYFUNCTION("""COMPUTED_VALUE"""),"directed")</f>
        <v>directed</v>
      </c>
      <c r="E244" s="49"/>
      <c r="F244" s="49"/>
      <c r="G244" s="49" t="str">
        <f>IFERROR(__xludf.DUMMYFUNCTION("""COMPUTED_VALUE"""),"principles")</f>
        <v>principles</v>
      </c>
      <c r="H244" s="54" t="str">
        <f t="shared" si="1"/>
        <v>drama,</v>
      </c>
      <c r="I244" s="50"/>
      <c r="J244" s="50" t="s">
        <v>455</v>
      </c>
      <c r="K244" s="50" t="s">
        <v>1694</v>
      </c>
      <c r="L244" s="49" t="str">
        <f>IFERROR(__xludf.DUMMYFUNCTION("""COMPUTED_VALUE"""),"oddly")</f>
        <v>oddly</v>
      </c>
      <c r="M244" s="49"/>
      <c r="N244" s="49" t="str">
        <f>IFERROR(__xludf.DUMMYFUNCTION("""COMPUTED_VALUE"""),"expect")</f>
        <v>expect</v>
      </c>
      <c r="O244" s="49" t="str">
        <f>IFERROR(__xludf.DUMMYFUNCTION("""COMPUTED_VALUE"""),"chilling")</f>
        <v>chilling</v>
      </c>
      <c r="P244" s="49" t="str">
        <f t="shared" si="2"/>
        <v>used,</v>
      </c>
      <c r="Q244" s="49"/>
      <c r="R244" s="50" t="s">
        <v>6528</v>
      </c>
      <c r="S244" s="55" t="s">
        <v>609</v>
      </c>
      <c r="T244" s="49" t="str">
        <f>IFERROR(__xludf.DUMMYFUNCTION("""COMPUTED_VALUE"""),"any")</f>
        <v>any</v>
      </c>
      <c r="U244" s="49"/>
      <c r="V244" s="49" t="str">
        <f>IFERROR(__xludf.DUMMYFUNCTION("""COMPUTED_VALUE"""),"extremely")</f>
        <v>extremely</v>
      </c>
      <c r="W244" s="49" t="str">
        <f>IFERROR(__xludf.DUMMYFUNCTION("""COMPUTED_VALUE"""),"sofia")</f>
        <v>sofia</v>
      </c>
      <c r="X244" s="49" t="str">
        <f t="shared" si="3"/>
        <v>la,</v>
      </c>
      <c r="Y244" s="49"/>
      <c r="Z244" s="1" t="s">
        <v>1779</v>
      </c>
      <c r="AA244" s="1" t="s">
        <v>1688</v>
      </c>
      <c r="AB244" s="49" t="str">
        <f>IFERROR(__xludf.DUMMYFUNCTION("""COMPUTED_VALUE"""),"protagonist")</f>
        <v>protagonist</v>
      </c>
      <c r="AC244" s="49"/>
      <c r="AD244" s="49" t="str">
        <f>IFERROR(__xludf.DUMMYFUNCTION("""COMPUTED_VALUE"""),"expect")</f>
        <v>expect</v>
      </c>
      <c r="AE244" s="49" t="str">
        <f>IFERROR(__xludf.DUMMYFUNCTION("""COMPUTED_VALUE"""),"chilling")</f>
        <v>chilling</v>
      </c>
      <c r="AF244" s="49" t="str">
        <f t="shared" si="4"/>
        <v>short,</v>
      </c>
      <c r="AG244" s="49"/>
      <c r="AH244" s="1" t="s">
        <v>4551</v>
      </c>
      <c r="AI244" s="1" t="s">
        <v>1035</v>
      </c>
      <c r="AJ244" s="6" t="str">
        <f>IFERROR(__xludf.DUMMYFUNCTION("""COMPUTED_VALUE"""),"assault")</f>
        <v>assault</v>
      </c>
      <c r="AK244" s="49"/>
      <c r="AL244" s="49"/>
      <c r="AM244" s="49"/>
      <c r="AN244" s="52" t="str">
        <f t="shared" si="5"/>
        <v>accused,</v>
      </c>
    </row>
    <row r="245">
      <c r="A245" s="51" t="s">
        <v>1695</v>
      </c>
      <c r="B245" s="50" t="s">
        <v>1838</v>
      </c>
      <c r="C245" s="50" t="s">
        <v>645</v>
      </c>
      <c r="D245" s="49" t="str">
        <f>IFERROR(__xludf.DUMMYFUNCTION("""COMPUTED_VALUE"""),"washington")</f>
        <v>washington</v>
      </c>
      <c r="E245" s="49"/>
      <c r="F245" s="49"/>
      <c r="G245" s="49">
        <f>IFERROR(__xludf.DUMMYFUNCTION("""COMPUTED_VALUE"""),1938.0)</f>
        <v>1938</v>
      </c>
      <c r="H245" s="54" t="str">
        <f t="shared" si="1"/>
        <v>difficult,</v>
      </c>
      <c r="I245" s="50"/>
      <c r="J245" s="50" t="s">
        <v>3858</v>
      </c>
      <c r="K245" s="50" t="s">
        <v>1408</v>
      </c>
      <c r="L245" s="49" t="b">
        <f>IFERROR(__xludf.DUMMYFUNCTION("""COMPUTED_VALUE"""),TRUE)</f>
        <v>1</v>
      </c>
      <c r="M245" s="49"/>
      <c r="N245" s="49" t="str">
        <f>IFERROR(__xludf.DUMMYFUNCTION("""COMPUTED_VALUE"""),"wave")</f>
        <v>wave</v>
      </c>
      <c r="O245" s="49" t="str">
        <f>IFERROR(__xludf.DUMMYFUNCTION("""COMPUTED_VALUE"""),"reefs")</f>
        <v>reefs</v>
      </c>
      <c r="P245" s="49" t="str">
        <f t="shared" si="2"/>
        <v>evil,</v>
      </c>
      <c r="Q245" s="49"/>
      <c r="R245" s="50" t="s">
        <v>1944</v>
      </c>
      <c r="S245" s="55" t="s">
        <v>1280</v>
      </c>
      <c r="T245" s="49" t="str">
        <f>IFERROR(__xludf.DUMMYFUNCTION("""COMPUTED_VALUE"""),"wow")</f>
        <v>wow</v>
      </c>
      <c r="U245" s="49"/>
      <c r="V245" s="49" t="str">
        <f>IFERROR(__xludf.DUMMYFUNCTION("""COMPUTED_VALUE"""),"jonathan")</f>
        <v>jonathan</v>
      </c>
      <c r="W245" s="49" t="str">
        <f>IFERROR(__xludf.DUMMYFUNCTION("""COMPUTED_VALUE"""),"interference")</f>
        <v>interference</v>
      </c>
      <c r="X245" s="49" t="str">
        <f t="shared" si="3"/>
        <v>reality,</v>
      </c>
      <c r="Y245" s="49"/>
      <c r="Z245" s="1" t="s">
        <v>1126</v>
      </c>
      <c r="AA245" s="1" t="s">
        <v>309</v>
      </c>
      <c r="AB245" s="49" t="str">
        <f>IFERROR(__xludf.DUMMYFUNCTION("""COMPUTED_VALUE"""),"erotic")</f>
        <v>erotic</v>
      </c>
      <c r="AC245" s="49"/>
      <c r="AD245" s="49" t="str">
        <f>IFERROR(__xludf.DUMMYFUNCTION("""COMPUTED_VALUE"""),"wave")</f>
        <v>wave</v>
      </c>
      <c r="AE245" s="49" t="str">
        <f>IFERROR(__xludf.DUMMYFUNCTION("""COMPUTED_VALUE"""),"reefs")</f>
        <v>reefs</v>
      </c>
      <c r="AF245" s="49" t="str">
        <f t="shared" si="4"/>
        <v>ask,</v>
      </c>
      <c r="AG245" s="49"/>
      <c r="AH245" s="1" t="s">
        <v>4650</v>
      </c>
      <c r="AI245" s="1" t="s">
        <v>465</v>
      </c>
      <c r="AJ245" s="6" t="str">
        <f>IFERROR(__xludf.DUMMYFUNCTION("""COMPUTED_VALUE"""),"mistake")</f>
        <v>mistake</v>
      </c>
      <c r="AK245" s="49"/>
      <c r="AL245" s="49"/>
      <c r="AM245" s="49"/>
      <c r="AN245" s="52" t="str">
        <f t="shared" si="5"/>
        <v>assault,</v>
      </c>
    </row>
    <row r="246">
      <c r="A246" s="51" t="s">
        <v>1445</v>
      </c>
      <c r="B246" s="50" t="s">
        <v>5364</v>
      </c>
      <c r="C246" s="50" t="s">
        <v>668</v>
      </c>
      <c r="D246" s="49" t="str">
        <f>IFERROR(__xludf.DUMMYFUNCTION("""COMPUTED_VALUE"""),"clear")</f>
        <v>clear</v>
      </c>
      <c r="E246" s="49"/>
      <c r="F246" s="49"/>
      <c r="G246" s="49" t="str">
        <f>IFERROR(__xludf.DUMMYFUNCTION("""COMPUTED_VALUE"""),"tenor")</f>
        <v>tenor</v>
      </c>
      <c r="H246" s="54" t="str">
        <f t="shared" si="1"/>
        <v>presence,</v>
      </c>
      <c r="I246" s="50"/>
      <c r="J246" s="50" t="s">
        <v>1289</v>
      </c>
      <c r="K246" s="50" t="s">
        <v>1393</v>
      </c>
      <c r="L246" s="49" t="str">
        <f>IFERROR(__xludf.DUMMYFUNCTION("""COMPUTED_VALUE"""),"british")</f>
        <v>british</v>
      </c>
      <c r="M246" s="49"/>
      <c r="N246" s="49" t="str">
        <f>IFERROR(__xludf.DUMMYFUNCTION("""COMPUTED_VALUE"""),"our")</f>
        <v>our</v>
      </c>
      <c r="O246" s="49" t="str">
        <f>IFERROR(__xludf.DUMMYFUNCTION("""COMPUTED_VALUE"""),"fewer")</f>
        <v>fewer</v>
      </c>
      <c r="P246" s="49" t="str">
        <f t="shared" si="2"/>
        <v>french,</v>
      </c>
      <c r="Q246" s="49"/>
      <c r="R246" s="50" t="s">
        <v>5639</v>
      </c>
      <c r="S246" s="55" t="s">
        <v>711</v>
      </c>
      <c r="T246" s="49" t="str">
        <f>IFERROR(__xludf.DUMMYFUNCTION("""COMPUTED_VALUE"""),"minutes")</f>
        <v>minutes</v>
      </c>
      <c r="U246" s="49"/>
      <c r="V246" s="49" t="str">
        <f>IFERROR(__xludf.DUMMYFUNCTION("""COMPUTED_VALUE"""),"don")</f>
        <v>don</v>
      </c>
      <c r="W246" s="49" t="str">
        <f>IFERROR(__xludf.DUMMYFUNCTION("""COMPUTED_VALUE"""),"sitting")</f>
        <v>sitting</v>
      </c>
      <c r="X246" s="49" t="str">
        <f t="shared" si="3"/>
        <v>nightmare,</v>
      </c>
      <c r="Y246" s="49"/>
      <c r="Z246" s="1" t="s">
        <v>4844</v>
      </c>
      <c r="AA246" s="1" t="s">
        <v>1701</v>
      </c>
      <c r="AB246" s="49" t="str">
        <f>IFERROR(__xludf.DUMMYFUNCTION("""COMPUTED_VALUE"""),"less")</f>
        <v>less</v>
      </c>
      <c r="AC246" s="49"/>
      <c r="AD246" s="49" t="str">
        <f>IFERROR(__xludf.DUMMYFUNCTION("""COMPUTED_VALUE"""),"our")</f>
        <v>our</v>
      </c>
      <c r="AE246" s="49" t="str">
        <f>IFERROR(__xludf.DUMMYFUNCTION("""COMPUTED_VALUE"""),"fewer")</f>
        <v>fewer</v>
      </c>
      <c r="AF246" s="49" t="str">
        <f t="shared" si="4"/>
        <v>sight,</v>
      </c>
      <c r="AG246" s="49"/>
      <c r="AH246" s="1" t="s">
        <v>5417</v>
      </c>
      <c r="AI246" s="1" t="s">
        <v>6301</v>
      </c>
      <c r="AJ246" s="6" t="str">
        <f>IFERROR(__xludf.DUMMYFUNCTION("""COMPUTED_VALUE"""),"expert")</f>
        <v>expert</v>
      </c>
      <c r="AK246" s="49"/>
      <c r="AL246" s="49"/>
      <c r="AM246" s="49"/>
      <c r="AN246" s="52" t="str">
        <f t="shared" si="5"/>
        <v>mistake,</v>
      </c>
    </row>
    <row r="247">
      <c r="A247" s="51" t="s">
        <v>1707</v>
      </c>
      <c r="B247" s="50" t="s">
        <v>6657</v>
      </c>
      <c r="C247" s="50" t="s">
        <v>651</v>
      </c>
      <c r="D247" s="49" t="str">
        <f>IFERROR(__xludf.DUMMYFUNCTION("""COMPUTED_VALUE"""),"ahead")</f>
        <v>ahead</v>
      </c>
      <c r="E247" s="49"/>
      <c r="F247" s="49"/>
      <c r="G247" s="49">
        <f>IFERROR(__xludf.DUMMYFUNCTION("""COMPUTED_VALUE"""),66.0)</f>
        <v>66</v>
      </c>
      <c r="H247" s="54" t="str">
        <f t="shared" si="1"/>
        <v>walking,</v>
      </c>
      <c r="I247" s="50"/>
      <c r="J247" s="50" t="s">
        <v>6664</v>
      </c>
      <c r="K247" s="50" t="s">
        <v>787</v>
      </c>
      <c r="L247" s="49" t="str">
        <f>IFERROR(__xludf.DUMMYFUNCTION("""COMPUTED_VALUE"""),"visually")</f>
        <v>visually</v>
      </c>
      <c r="M247" s="49"/>
      <c r="N247" s="49" t="str">
        <f>IFERROR(__xludf.DUMMYFUNCTION("""COMPUTED_VALUE"""),"appropriately")</f>
        <v>appropriately</v>
      </c>
      <c r="O247" s="49" t="str">
        <f>IFERROR(__xludf.DUMMYFUNCTION("""COMPUTED_VALUE"""),"supernatural")</f>
        <v>supernatural</v>
      </c>
      <c r="P247" s="49" t="str">
        <f t="shared" si="2"/>
        <v>killed,</v>
      </c>
      <c r="Q247" s="49"/>
      <c r="R247" s="50" t="s">
        <v>2382</v>
      </c>
      <c r="S247" s="55" t="s">
        <v>1291</v>
      </c>
      <c r="T247" s="49" t="str">
        <f>IFERROR(__xludf.DUMMYFUNCTION("""COMPUTED_VALUE"""),"tailor")</f>
        <v>tailor</v>
      </c>
      <c r="U247" s="49"/>
      <c r="V247" s="49" t="str">
        <f>IFERROR(__xludf.DUMMYFUNCTION("""COMPUTED_VALUE"""),"emotional")</f>
        <v>emotional</v>
      </c>
      <c r="W247" s="49" t="str">
        <f>IFERROR(__xludf.DUMMYFUNCTION("""COMPUTED_VALUE"""),"ellen")</f>
        <v>ellen</v>
      </c>
      <c r="X247" s="49" t="str">
        <f t="shared" si="3"/>
        <v>question,</v>
      </c>
      <c r="Y247" s="49"/>
      <c r="Z247" s="1" t="s">
        <v>2238</v>
      </c>
      <c r="AA247" s="1" t="s">
        <v>1708</v>
      </c>
      <c r="AB247" s="49" t="str">
        <f>IFERROR(__xludf.DUMMYFUNCTION("""COMPUTED_VALUE"""),"funny")</f>
        <v>funny</v>
      </c>
      <c r="AC247" s="49"/>
      <c r="AD247" s="49" t="str">
        <f>IFERROR(__xludf.DUMMYFUNCTION("""COMPUTED_VALUE"""),"appropriately")</f>
        <v>appropriately</v>
      </c>
      <c r="AE247" s="49" t="str">
        <f>IFERROR(__xludf.DUMMYFUNCTION("""COMPUTED_VALUE"""),"supernatural")</f>
        <v>supernatural</v>
      </c>
      <c r="AF247" s="49" t="str">
        <f t="shared" si="4"/>
        <v>stop,</v>
      </c>
      <c r="AG247" s="49"/>
      <c r="AH247" s="1" t="s">
        <v>4273</v>
      </c>
      <c r="AI247" s="1" t="s">
        <v>485</v>
      </c>
      <c r="AJ247" s="6" t="str">
        <f>IFERROR(__xludf.DUMMYFUNCTION("""COMPUTED_VALUE"""),"believes")</f>
        <v>believes</v>
      </c>
      <c r="AK247" s="49"/>
      <c r="AL247" s="49"/>
      <c r="AM247" s="49"/>
      <c r="AN247" s="52" t="str">
        <f t="shared" si="5"/>
        <v>expert,</v>
      </c>
    </row>
    <row r="248">
      <c r="A248" s="51" t="s">
        <v>1713</v>
      </c>
      <c r="B248" s="50" t="s">
        <v>2666</v>
      </c>
      <c r="C248" s="50" t="s">
        <v>659</v>
      </c>
      <c r="D248" s="49" t="str">
        <f>IFERROR(__xludf.DUMMYFUNCTION("""COMPUTED_VALUE"""),"certainly")</f>
        <v>certainly</v>
      </c>
      <c r="E248" s="49"/>
      <c r="F248" s="49"/>
      <c r="G248" s="49" t="str">
        <f>IFERROR(__xludf.DUMMYFUNCTION("""COMPUTED_VALUE"""),"racial")</f>
        <v>racial</v>
      </c>
      <c r="H248" s="54" t="str">
        <f t="shared" si="1"/>
        <v>screen,</v>
      </c>
      <c r="I248" s="50"/>
      <c r="J248" s="50" t="s">
        <v>3224</v>
      </c>
      <c r="K248" s="50" t="s">
        <v>794</v>
      </c>
      <c r="L248" s="49" t="str">
        <f>IFERROR(__xludf.DUMMYFUNCTION("""COMPUTED_VALUE"""),"cinema")</f>
        <v>cinema</v>
      </c>
      <c r="M248" s="49"/>
      <c r="N248" s="49" t="str">
        <f>IFERROR(__xludf.DUMMYFUNCTION("""COMPUTED_VALUE"""),"town")</f>
        <v>town</v>
      </c>
      <c r="O248" s="49" t="str">
        <f>IFERROR(__xludf.DUMMYFUNCTION("""COMPUTED_VALUE"""),"submarine")</f>
        <v>submarine</v>
      </c>
      <c r="P248" s="49" t="str">
        <f t="shared" si="2"/>
        <v>rest,</v>
      </c>
      <c r="Q248" s="49"/>
      <c r="R248" s="50" t="s">
        <v>1987</v>
      </c>
      <c r="S248" s="55" t="s">
        <v>613</v>
      </c>
      <c r="T248" s="49" t="str">
        <f>IFERROR(__xludf.DUMMYFUNCTION("""COMPUTED_VALUE"""),"monster")</f>
        <v>monster</v>
      </c>
      <c r="U248" s="49"/>
      <c r="V248" s="49" t="str">
        <f>IFERROR(__xludf.DUMMYFUNCTION("""COMPUTED_VALUE"""),"tag")</f>
        <v>tag</v>
      </c>
      <c r="W248" s="49" t="str">
        <f>IFERROR(__xludf.DUMMYFUNCTION("""COMPUTED_VALUE"""),"backward")</f>
        <v>backward</v>
      </c>
      <c r="X248" s="49" t="str">
        <f t="shared" si="3"/>
        <v>woman,</v>
      </c>
      <c r="Y248" s="49"/>
      <c r="Z248" s="1" t="s">
        <v>246</v>
      </c>
      <c r="AA248" s="1" t="s">
        <v>316</v>
      </c>
      <c r="AB248" s="49" t="str">
        <f>IFERROR(__xludf.DUMMYFUNCTION("""COMPUTED_VALUE"""),"house")</f>
        <v>house</v>
      </c>
      <c r="AC248" s="49"/>
      <c r="AD248" s="49" t="str">
        <f>IFERROR(__xludf.DUMMYFUNCTION("""COMPUTED_VALUE"""),"town")</f>
        <v>town</v>
      </c>
      <c r="AE248" s="49" t="str">
        <f>IFERROR(__xludf.DUMMYFUNCTION("""COMPUTED_VALUE"""),"submarine")</f>
        <v>submarine</v>
      </c>
      <c r="AF248" s="49" t="str">
        <f t="shared" si="4"/>
        <v>order,</v>
      </c>
      <c r="AG248" s="49"/>
      <c r="AH248" s="1" t="s">
        <v>6446</v>
      </c>
      <c r="AI248" s="1" t="s">
        <v>322</v>
      </c>
      <c r="AJ248" s="6">
        <f>IFERROR(__xludf.DUMMYFUNCTION("""COMPUTED_VALUE"""),8.0)</f>
        <v>8</v>
      </c>
      <c r="AK248" s="49"/>
      <c r="AL248" s="49"/>
      <c r="AM248" s="49"/>
      <c r="AN248" s="52" t="str">
        <f t="shared" si="5"/>
        <v>believes,</v>
      </c>
    </row>
    <row r="249">
      <c r="A249" s="51" t="s">
        <v>1717</v>
      </c>
      <c r="B249" s="50" t="s">
        <v>6914</v>
      </c>
      <c r="C249" s="50" t="s">
        <v>1124</v>
      </c>
      <c r="D249" s="49" t="str">
        <f>IFERROR(__xludf.DUMMYFUNCTION("""COMPUTED_VALUE"""),"memory")</f>
        <v>memory</v>
      </c>
      <c r="E249" s="49"/>
      <c r="F249" s="49"/>
      <c r="G249" s="49" t="str">
        <f>IFERROR(__xludf.DUMMYFUNCTION("""COMPUTED_VALUE"""),"pants")</f>
        <v>pants</v>
      </c>
      <c r="H249" s="54" t="str">
        <f t="shared" si="1"/>
        <v>unable,</v>
      </c>
      <c r="I249" s="50"/>
      <c r="J249" s="50" t="s">
        <v>6557</v>
      </c>
      <c r="K249" s="50" t="s">
        <v>1418</v>
      </c>
      <c r="L249" s="49" t="str">
        <f>IFERROR(__xludf.DUMMYFUNCTION("""COMPUTED_VALUE"""),"corrupt")</f>
        <v>corrupt</v>
      </c>
      <c r="M249" s="49"/>
      <c r="N249" s="49" t="str">
        <f>IFERROR(__xludf.DUMMYFUNCTION("""COMPUTED_VALUE"""),"accent")</f>
        <v>accent</v>
      </c>
      <c r="O249" s="49" t="str">
        <f>IFERROR(__xludf.DUMMYFUNCTION("""COMPUTED_VALUE"""),"simulate")</f>
        <v>simulate</v>
      </c>
      <c r="P249" s="49" t="str">
        <f t="shared" si="2"/>
        <v>tim,</v>
      </c>
      <c r="Q249" s="49"/>
      <c r="R249" s="50" t="s">
        <v>1972</v>
      </c>
      <c r="S249" s="55" t="s">
        <v>1120</v>
      </c>
      <c r="T249" s="49" t="str">
        <f>IFERROR(__xludf.DUMMYFUNCTION("""COMPUTED_VALUE"""),"darkness")</f>
        <v>darkness</v>
      </c>
      <c r="U249" s="49"/>
      <c r="V249" s="49" t="str">
        <f>IFERROR(__xludf.DUMMYFUNCTION("""COMPUTED_VALUE"""),"execution")</f>
        <v>execution</v>
      </c>
      <c r="W249" s="49" t="str">
        <f>IFERROR(__xludf.DUMMYFUNCTION("""COMPUTED_VALUE"""),"luminous")</f>
        <v>luminous</v>
      </c>
      <c r="X249" s="49" t="str">
        <f t="shared" si="3"/>
        <v>either,</v>
      </c>
      <c r="Y249" s="49"/>
      <c r="Z249" s="1" t="s">
        <v>447</v>
      </c>
      <c r="AA249" s="1" t="s">
        <v>183</v>
      </c>
      <c r="AB249" s="49" t="str">
        <f>IFERROR(__xludf.DUMMYFUNCTION("""COMPUTED_VALUE"""),"comedy")</f>
        <v>comedy</v>
      </c>
      <c r="AC249" s="49"/>
      <c r="AD249" s="49" t="str">
        <f>IFERROR(__xludf.DUMMYFUNCTION("""COMPUTED_VALUE"""),"accent")</f>
        <v>accent</v>
      </c>
      <c r="AE249" s="49" t="str">
        <f>IFERROR(__xludf.DUMMYFUNCTION("""COMPUTED_VALUE"""),"simulate")</f>
        <v>simulate</v>
      </c>
      <c r="AF249" s="49" t="str">
        <f t="shared" si="4"/>
        <v>making,</v>
      </c>
      <c r="AG249" s="49"/>
      <c r="AH249" s="1">
        <v>8.0</v>
      </c>
      <c r="AI249" s="1" t="s">
        <v>6302</v>
      </c>
      <c r="AJ249" s="6" t="str">
        <f>IFERROR(__xludf.DUMMYFUNCTION("""COMPUTED_VALUE"""),"or")</f>
        <v>or</v>
      </c>
      <c r="AK249" s="49"/>
      <c r="AL249" s="49"/>
      <c r="AM249" s="49"/>
      <c r="AN249" s="52" t="str">
        <f t="shared" si="5"/>
        <v>8,</v>
      </c>
    </row>
    <row r="250">
      <c r="A250" s="51" t="s">
        <v>1723</v>
      </c>
      <c r="B250" s="50" t="s">
        <v>858</v>
      </c>
      <c r="C250" s="50" t="s">
        <v>1117</v>
      </c>
      <c r="D250" s="49" t="str">
        <f>IFERROR(__xludf.DUMMYFUNCTION("""COMPUTED_VALUE"""),"long")</f>
        <v>long</v>
      </c>
      <c r="E250" s="49"/>
      <c r="F250" s="49"/>
      <c r="G250" s="49" t="str">
        <f>IFERROR(__xludf.DUMMYFUNCTION("""COMPUTED_VALUE"""),"evans")</f>
        <v>evans</v>
      </c>
      <c r="H250" s="54" t="str">
        <f t="shared" si="1"/>
        <v>trip,</v>
      </c>
      <c r="I250" s="50"/>
      <c r="J250" s="50" t="s">
        <v>63</v>
      </c>
      <c r="K250" s="50" t="s">
        <v>53</v>
      </c>
      <c r="L250" s="49" t="str">
        <f>IFERROR(__xludf.DUMMYFUNCTION("""COMPUTED_VALUE"""),"spell")</f>
        <v>spell</v>
      </c>
      <c r="M250" s="49"/>
      <c r="N250" s="49" t="str">
        <f>IFERROR(__xludf.DUMMYFUNCTION("""COMPUTED_VALUE"""),"own")</f>
        <v>own</v>
      </c>
      <c r="O250" s="49" t="str">
        <f>IFERROR(__xludf.DUMMYFUNCTION("""COMPUTED_VALUE"""),"shovel")</f>
        <v>shovel</v>
      </c>
      <c r="P250" s="49" t="str">
        <f t="shared" si="2"/>
        <v>well,</v>
      </c>
      <c r="Q250" s="49"/>
      <c r="R250" s="50" t="s">
        <v>6566</v>
      </c>
      <c r="S250" s="55" t="s">
        <v>652</v>
      </c>
      <c r="T250" s="49" t="str">
        <f>IFERROR(__xludf.DUMMYFUNCTION("""COMPUTED_VALUE"""),"gun")</f>
        <v>gun</v>
      </c>
      <c r="U250" s="49"/>
      <c r="V250" s="49" t="str">
        <f>IFERROR(__xludf.DUMMYFUNCTION("""COMPUTED_VALUE"""),"christ")</f>
        <v>christ</v>
      </c>
      <c r="W250" s="49" t="str">
        <f>IFERROR(__xludf.DUMMYFUNCTION("""COMPUTED_VALUE"""),"three")</f>
        <v>three</v>
      </c>
      <c r="X250" s="49" t="str">
        <f t="shared" si="3"/>
        <v>she,</v>
      </c>
      <c r="Y250" s="49"/>
      <c r="Z250" s="1" t="s">
        <v>3980</v>
      </c>
      <c r="AA250" s="1" t="s">
        <v>932</v>
      </c>
      <c r="AB250" s="49" t="str">
        <f>IFERROR(__xludf.DUMMYFUNCTION("""COMPUTED_VALUE"""),"alternately")</f>
        <v>alternately</v>
      </c>
      <c r="AC250" s="49"/>
      <c r="AD250" s="49" t="str">
        <f>IFERROR(__xludf.DUMMYFUNCTION("""COMPUTED_VALUE"""),"own")</f>
        <v>own</v>
      </c>
      <c r="AE250" s="49" t="str">
        <f>IFERROR(__xludf.DUMMYFUNCTION("""COMPUTED_VALUE"""),"shovel")</f>
        <v>shovel</v>
      </c>
      <c r="AF250" s="49" t="str">
        <f t="shared" si="4"/>
        <v>twisted,</v>
      </c>
      <c r="AG250" s="49"/>
      <c r="AH250" s="1" t="s">
        <v>61</v>
      </c>
      <c r="AI250" s="1" t="s">
        <v>4211</v>
      </c>
      <c r="AJ250" s="6" t="str">
        <f>IFERROR(__xludf.DUMMYFUNCTION("""COMPUTED_VALUE"""),"who")</f>
        <v>who</v>
      </c>
      <c r="AK250" s="49"/>
      <c r="AL250" s="49"/>
      <c r="AM250" s="49"/>
      <c r="AN250" s="52" t="str">
        <f t="shared" si="5"/>
        <v>or,</v>
      </c>
    </row>
    <row r="251">
      <c r="A251" s="51" t="s">
        <v>1729</v>
      </c>
      <c r="B251" s="50" t="s">
        <v>5612</v>
      </c>
      <c r="C251" s="50" t="s">
        <v>1385</v>
      </c>
      <c r="D251" s="49" t="str">
        <f>IFERROR(__xludf.DUMMYFUNCTION("""COMPUTED_VALUE"""),"eyes")</f>
        <v>eyes</v>
      </c>
      <c r="E251" s="49"/>
      <c r="F251" s="49"/>
      <c r="G251" s="49" t="str">
        <f>IFERROR(__xludf.DUMMYFUNCTION("""COMPUTED_VALUE"""),"introduce")</f>
        <v>introduce</v>
      </c>
      <c r="H251" s="54" t="str">
        <f t="shared" si="1"/>
        <v>swedish,</v>
      </c>
      <c r="I251" s="50"/>
      <c r="J251" s="50" t="s">
        <v>53</v>
      </c>
      <c r="K251" s="50" t="s">
        <v>1734</v>
      </c>
      <c r="L251" s="49" t="str">
        <f>IFERROR(__xludf.DUMMYFUNCTION("""COMPUTED_VALUE"""),"productions")</f>
        <v>productions</v>
      </c>
      <c r="M251" s="49"/>
      <c r="N251" s="49">
        <f>IFERROR(__xludf.DUMMYFUNCTION("""COMPUTED_VALUE"""),1.0)</f>
        <v>1</v>
      </c>
      <c r="O251" s="49" t="str">
        <f>IFERROR(__xludf.DUMMYFUNCTION("""COMPUTED_VALUE"""),"idiots")</f>
        <v>idiots</v>
      </c>
      <c r="P251" s="49" t="str">
        <f t="shared" si="2"/>
        <v>years,</v>
      </c>
      <c r="Q251" s="49"/>
      <c r="R251" s="50" t="s">
        <v>2901</v>
      </c>
      <c r="S251" s="55" t="s">
        <v>1525</v>
      </c>
      <c r="T251" s="49" t="str">
        <f>IFERROR(__xludf.DUMMYFUNCTION("""COMPUTED_VALUE"""),"them")</f>
        <v>them</v>
      </c>
      <c r="U251" s="49"/>
      <c r="V251" s="49" t="str">
        <f>IFERROR(__xludf.DUMMYFUNCTION("""COMPUTED_VALUE"""),"trust")</f>
        <v>trust</v>
      </c>
      <c r="W251" s="49" t="str">
        <f>IFERROR(__xludf.DUMMYFUNCTION("""COMPUTED_VALUE"""),"trier")</f>
        <v>trier</v>
      </c>
      <c r="X251" s="49" t="str">
        <f t="shared" si="3"/>
        <v>dream,</v>
      </c>
      <c r="Y251" s="49"/>
      <c r="Z251" s="1" t="s">
        <v>328</v>
      </c>
      <c r="AA251" s="1" t="s">
        <v>1730</v>
      </c>
      <c r="AB251" s="49" t="str">
        <f>IFERROR(__xludf.DUMMYFUNCTION("""COMPUTED_VALUE"""),"storytelling")</f>
        <v>storytelling</v>
      </c>
      <c r="AC251" s="49"/>
      <c r="AD251" s="49">
        <f>IFERROR(__xludf.DUMMYFUNCTION("""COMPUTED_VALUE"""),1.0)</f>
        <v>1</v>
      </c>
      <c r="AE251" s="49" t="str">
        <f>IFERROR(__xludf.DUMMYFUNCTION("""COMPUTED_VALUE"""),"idiots")</f>
        <v>idiots</v>
      </c>
      <c r="AF251" s="49" t="str">
        <f t="shared" si="4"/>
        <v>how,</v>
      </c>
      <c r="AG251" s="49"/>
      <c r="AH251" s="1" t="s">
        <v>6285</v>
      </c>
      <c r="AI251" s="1" t="s">
        <v>1255</v>
      </c>
      <c r="AJ251" s="6" t="str">
        <f>IFERROR(__xludf.DUMMYFUNCTION("""COMPUTED_VALUE"""),"about")</f>
        <v>about</v>
      </c>
      <c r="AK251" s="49"/>
      <c r="AL251" s="49"/>
      <c r="AM251" s="49"/>
      <c r="AN251" s="52" t="str">
        <f t="shared" si="5"/>
        <v>who,</v>
      </c>
    </row>
    <row r="252">
      <c r="A252" s="51" t="s">
        <v>1735</v>
      </c>
      <c r="B252" s="50" t="s">
        <v>3317</v>
      </c>
      <c r="C252" s="50" t="s">
        <v>5108</v>
      </c>
      <c r="D252" s="49" t="str">
        <f>IFERROR(__xludf.DUMMYFUNCTION("""COMPUTED_VALUE"""),"away")</f>
        <v>away</v>
      </c>
      <c r="E252" s="49"/>
      <c r="F252" s="49"/>
      <c r="G252" s="49" t="str">
        <f>IFERROR(__xludf.DUMMYFUNCTION("""COMPUTED_VALUE"""),"bands")</f>
        <v>bands</v>
      </c>
      <c r="H252" s="54" t="str">
        <f t="shared" si="1"/>
        <v>express,</v>
      </c>
      <c r="I252" s="50"/>
      <c r="J252" s="50" t="s">
        <v>410</v>
      </c>
      <c r="K252" s="50" t="s">
        <v>857</v>
      </c>
      <c r="L252" s="49" t="str">
        <f>IFERROR(__xludf.DUMMYFUNCTION("""COMPUTED_VALUE"""),"king")</f>
        <v>king</v>
      </c>
      <c r="M252" s="49"/>
      <c r="N252" s="49" t="str">
        <f>IFERROR(__xludf.DUMMYFUNCTION("""COMPUTED_VALUE"""),"each")</f>
        <v>each</v>
      </c>
      <c r="O252" s="49" t="str">
        <f>IFERROR(__xludf.DUMMYFUNCTION("""COMPUTED_VALUE"""),"perception")</f>
        <v>perception</v>
      </c>
      <c r="P252" s="49" t="str">
        <f t="shared" si="2"/>
        <v>ways,</v>
      </c>
      <c r="Q252" s="49"/>
      <c r="R252" s="50" t="s">
        <v>3705</v>
      </c>
      <c r="S252" s="55" t="s">
        <v>1307</v>
      </c>
      <c r="T252" s="49" t="str">
        <f>IFERROR(__xludf.DUMMYFUNCTION("""COMPUTED_VALUE"""),"violence")</f>
        <v>violence</v>
      </c>
      <c r="U252" s="49"/>
      <c r="V252" s="49" t="str">
        <f>IFERROR(__xludf.DUMMYFUNCTION("""COMPUTED_VALUE"""),"copies")</f>
        <v>copies</v>
      </c>
      <c r="W252" s="49" t="str">
        <f>IFERROR(__xludf.DUMMYFUNCTION("""COMPUTED_VALUE"""),"lynch")</f>
        <v>lynch</v>
      </c>
      <c r="X252" s="49" t="str">
        <f t="shared" si="3"/>
        <v>stone,</v>
      </c>
      <c r="Y252" s="49"/>
      <c r="Z252" s="1" t="s">
        <v>5374</v>
      </c>
      <c r="AA252" s="1" t="s">
        <v>1736</v>
      </c>
      <c r="AB252" s="49" t="str">
        <f>IFERROR(__xludf.DUMMYFUNCTION("""COMPUTED_VALUE"""),"stupid")</f>
        <v>stupid</v>
      </c>
      <c r="AC252" s="49"/>
      <c r="AD252" s="49" t="str">
        <f>IFERROR(__xludf.DUMMYFUNCTION("""COMPUTED_VALUE"""),"each")</f>
        <v>each</v>
      </c>
      <c r="AE252" s="49" t="str">
        <f>IFERROR(__xludf.DUMMYFUNCTION("""COMPUTED_VALUE"""),"perception")</f>
        <v>perception</v>
      </c>
      <c r="AF252" s="49" t="str">
        <f t="shared" si="4"/>
        <v>values,</v>
      </c>
      <c r="AG252" s="49"/>
      <c r="AH252" s="1" t="s">
        <v>280</v>
      </c>
      <c r="AI252" s="1" t="s">
        <v>881</v>
      </c>
      <c r="AJ252" s="6" t="str">
        <f>IFERROR(__xludf.DUMMYFUNCTION("""COMPUTED_VALUE"""),"can")</f>
        <v>can</v>
      </c>
      <c r="AK252" s="49"/>
      <c r="AL252" s="49"/>
      <c r="AM252" s="49"/>
      <c r="AN252" s="52" t="str">
        <f t="shared" si="5"/>
        <v>about,</v>
      </c>
    </row>
    <row r="253">
      <c r="A253" s="51" t="s">
        <v>1743</v>
      </c>
      <c r="B253" s="50" t="s">
        <v>891</v>
      </c>
      <c r="C253" s="50" t="s">
        <v>175</v>
      </c>
      <c r="D253" s="49" t="str">
        <f>IFERROR(__xludf.DUMMYFUNCTION("""COMPUTED_VALUE"""),"read")</f>
        <v>read</v>
      </c>
      <c r="E253" s="49"/>
      <c r="F253" s="49"/>
      <c r="G253" s="49" t="str">
        <f>IFERROR(__xludf.DUMMYFUNCTION("""COMPUTED_VALUE"""),"torpedo")</f>
        <v>torpedo</v>
      </c>
      <c r="H253" s="54" t="str">
        <f t="shared" si="1"/>
        <v>spend,</v>
      </c>
      <c r="I253" s="50"/>
      <c r="J253" s="50" t="s">
        <v>1112</v>
      </c>
      <c r="K253" s="50" t="s">
        <v>875</v>
      </c>
      <c r="L253" s="49" t="str">
        <f>IFERROR(__xludf.DUMMYFUNCTION("""COMPUTED_VALUE"""),"brothers")</f>
        <v>brothers</v>
      </c>
      <c r="M253" s="49"/>
      <c r="N253" s="49" t="str">
        <f>IFERROR(__xludf.DUMMYFUNCTION("""COMPUTED_VALUE"""),"actual")</f>
        <v>actual</v>
      </c>
      <c r="O253" s="49" t="str">
        <f>IFERROR(__xludf.DUMMYFUNCTION("""COMPUTED_VALUE"""),"claude")</f>
        <v>claude</v>
      </c>
      <c r="P253" s="49" t="str">
        <f t="shared" si="2"/>
        <v>old,</v>
      </c>
      <c r="Q253" s="49"/>
      <c r="R253" s="50" t="s">
        <v>2438</v>
      </c>
      <c r="S253" s="55" t="s">
        <v>1055</v>
      </c>
      <c r="T253" s="49" t="str">
        <f>IFERROR(__xludf.DUMMYFUNCTION("""COMPUTED_VALUE"""),"machine")</f>
        <v>machine</v>
      </c>
      <c r="U253" s="49"/>
      <c r="V253" s="49" t="str">
        <f>IFERROR(__xludf.DUMMYFUNCTION("""COMPUTED_VALUE"""),"harry")</f>
        <v>harry</v>
      </c>
      <c r="W253" s="49" t="str">
        <f>IFERROR(__xludf.DUMMYFUNCTION("""COMPUTED_VALUE"""),"thrill")</f>
        <v>thrill</v>
      </c>
      <c r="X253" s="49" t="str">
        <f t="shared" si="3"/>
        <v>live,</v>
      </c>
      <c r="Y253" s="49"/>
      <c r="Z253" s="1" t="s">
        <v>2458</v>
      </c>
      <c r="AA253" s="1" t="s">
        <v>942</v>
      </c>
      <c r="AB253" s="49" t="str">
        <f>IFERROR(__xludf.DUMMYFUNCTION("""COMPUTED_VALUE"""),"anything")</f>
        <v>anything</v>
      </c>
      <c r="AC253" s="49"/>
      <c r="AD253" s="49" t="str">
        <f>IFERROR(__xludf.DUMMYFUNCTION("""COMPUTED_VALUE"""),"actual")</f>
        <v>actual</v>
      </c>
      <c r="AE253" s="49" t="str">
        <f>IFERROR(__xludf.DUMMYFUNCTION("""COMPUTED_VALUE"""),"claude")</f>
        <v>claude</v>
      </c>
      <c r="AF253" s="49" t="str">
        <f t="shared" si="4"/>
        <v>yourself,</v>
      </c>
      <c r="AG253" s="49"/>
      <c r="AH253" s="1" t="s">
        <v>6279</v>
      </c>
      <c r="AI253" s="1" t="s">
        <v>1247</v>
      </c>
      <c r="AJ253" s="6" t="str">
        <f>IFERROR(__xludf.DUMMYFUNCTION("""COMPUTED_VALUE"""),"just")</f>
        <v>just</v>
      </c>
      <c r="AK253" s="49"/>
      <c r="AL253" s="49"/>
      <c r="AM253" s="49"/>
      <c r="AN253" s="52" t="str">
        <f t="shared" si="5"/>
        <v>can,</v>
      </c>
    </row>
    <row r="254">
      <c r="A254" s="51" t="s">
        <v>1747</v>
      </c>
      <c r="B254" s="50" t="s">
        <v>1045</v>
      </c>
      <c r="C254" s="50" t="s">
        <v>5412</v>
      </c>
      <c r="D254" s="49" t="str">
        <f>IFERROR(__xludf.DUMMYFUNCTION("""COMPUTED_VALUE"""),"images")</f>
        <v>images</v>
      </c>
      <c r="E254" s="49"/>
      <c r="F254" s="49"/>
      <c r="G254" s="49" t="str">
        <f>IFERROR(__xludf.DUMMYFUNCTION("""COMPUTED_VALUE"""),"remained")</f>
        <v>remained</v>
      </c>
      <c r="H254" s="54" t="str">
        <f t="shared" si="1"/>
        <v>depth,</v>
      </c>
      <c r="I254" s="50"/>
      <c r="J254" s="50" t="s">
        <v>362</v>
      </c>
      <c r="K254" s="50" t="s">
        <v>802</v>
      </c>
      <c r="L254" s="49" t="str">
        <f>IFERROR(__xludf.DUMMYFUNCTION("""COMPUTED_VALUE"""),"angle")</f>
        <v>angle</v>
      </c>
      <c r="M254" s="49"/>
      <c r="N254" s="49" t="str">
        <f>IFERROR(__xludf.DUMMYFUNCTION("""COMPUTED_VALUE"""),"never")</f>
        <v>never</v>
      </c>
      <c r="O254" s="49" t="str">
        <f>IFERROR(__xludf.DUMMYFUNCTION("""COMPUTED_VALUE"""),"inuit")</f>
        <v>inuit</v>
      </c>
      <c r="P254" s="49" t="str">
        <f t="shared" si="2"/>
        <v>revenge,</v>
      </c>
      <c r="Q254" s="49"/>
      <c r="R254" s="50" t="s">
        <v>923</v>
      </c>
      <c r="S254" s="55" t="s">
        <v>627</v>
      </c>
      <c r="T254" s="49" t="str">
        <f>IFERROR(__xludf.DUMMYFUNCTION("""COMPUTED_VALUE"""),"chick")</f>
        <v>chick</v>
      </c>
      <c r="U254" s="49"/>
      <c r="V254" s="49" t="str">
        <f>IFERROR(__xludf.DUMMYFUNCTION("""COMPUTED_VALUE"""),"surprising")</f>
        <v>surprising</v>
      </c>
      <c r="W254" s="49" t="str">
        <f>IFERROR(__xludf.DUMMYFUNCTION("""COMPUTED_VALUE"""),"greatly")</f>
        <v>greatly</v>
      </c>
      <c r="X254" s="49" t="str">
        <f t="shared" si="3"/>
        <v>looking,</v>
      </c>
      <c r="Y254" s="49"/>
      <c r="Z254" s="1" t="s">
        <v>280</v>
      </c>
      <c r="AA254" s="1" t="s">
        <v>530</v>
      </c>
      <c r="AB254" s="49" t="str">
        <f>IFERROR(__xludf.DUMMYFUNCTION("""COMPUTED_VALUE"""),"violent")</f>
        <v>violent</v>
      </c>
      <c r="AC254" s="49"/>
      <c r="AD254" s="49" t="str">
        <f>IFERROR(__xludf.DUMMYFUNCTION("""COMPUTED_VALUE"""),"never")</f>
        <v>never</v>
      </c>
      <c r="AE254" s="49" t="str">
        <f>IFERROR(__xludf.DUMMYFUNCTION("""COMPUTED_VALUE"""),"inuit")</f>
        <v>inuit</v>
      </c>
      <c r="AF254" s="49" t="str">
        <f t="shared" si="4"/>
        <v>about,</v>
      </c>
      <c r="AG254" s="49"/>
      <c r="AH254" s="1" t="s">
        <v>371</v>
      </c>
      <c r="AI254" s="1" t="s">
        <v>1102</v>
      </c>
      <c r="AJ254" s="6" t="str">
        <f>IFERROR(__xludf.DUMMYFUNCTION("""COMPUTED_VALUE"""),"world")</f>
        <v>world</v>
      </c>
      <c r="AK254" s="49"/>
      <c r="AL254" s="49"/>
      <c r="AM254" s="49"/>
      <c r="AN254" s="52" t="str">
        <f t="shared" si="5"/>
        <v>just,</v>
      </c>
    </row>
    <row r="255">
      <c r="A255" s="51" t="s">
        <v>1751</v>
      </c>
      <c r="B255" s="50" t="s">
        <v>3716</v>
      </c>
      <c r="C255" s="50" t="s">
        <v>1131</v>
      </c>
      <c r="D255" s="49" t="str">
        <f>IFERROR(__xludf.DUMMYFUNCTION("""COMPUTED_VALUE"""),"hate")</f>
        <v>hate</v>
      </c>
      <c r="E255" s="49"/>
      <c r="F255" s="49"/>
      <c r="G255" s="49" t="str">
        <f>IFERROR(__xludf.DUMMYFUNCTION("""COMPUTED_VALUE"""),"iran")</f>
        <v>iran</v>
      </c>
      <c r="H255" s="54" t="str">
        <f t="shared" si="1"/>
        <v>relationships,</v>
      </c>
      <c r="I255" s="50"/>
      <c r="J255" s="50" t="s">
        <v>287</v>
      </c>
      <c r="K255" s="50" t="s">
        <v>807</v>
      </c>
      <c r="L255" s="49" t="str">
        <f>IFERROR(__xludf.DUMMYFUNCTION("""COMPUTED_VALUE"""),"bet")</f>
        <v>bet</v>
      </c>
      <c r="M255" s="49"/>
      <c r="N255" s="49" t="str">
        <f>IFERROR(__xludf.DUMMYFUNCTION("""COMPUTED_VALUE"""),"numerous")</f>
        <v>numerous</v>
      </c>
      <c r="O255" s="49" t="str">
        <f>IFERROR(__xludf.DUMMYFUNCTION("""COMPUTED_VALUE"""),"testament")</f>
        <v>testament</v>
      </c>
      <c r="P255" s="49" t="str">
        <f t="shared" si="2"/>
        <v>through,</v>
      </c>
      <c r="Q255" s="49"/>
      <c r="R255" s="50" t="s">
        <v>4893</v>
      </c>
      <c r="S255" s="55" t="s">
        <v>647</v>
      </c>
      <c r="T255" s="49" t="str">
        <f>IFERROR(__xludf.DUMMYFUNCTION("""COMPUTED_VALUE"""),"showing")</f>
        <v>showing</v>
      </c>
      <c r="U255" s="49"/>
      <c r="V255" s="49" t="str">
        <f>IFERROR(__xludf.DUMMYFUNCTION("""COMPUTED_VALUE"""),"hits")</f>
        <v>hits</v>
      </c>
      <c r="W255" s="49" t="str">
        <f>IFERROR(__xludf.DUMMYFUNCTION("""COMPUTED_VALUE"""),"free")</f>
        <v>free</v>
      </c>
      <c r="X255" s="49" t="str">
        <f t="shared" si="3"/>
        <v>science,</v>
      </c>
      <c r="Y255" s="49"/>
      <c r="Z255" s="1" t="s">
        <v>2740</v>
      </c>
      <c r="AA255" s="1" t="s">
        <v>87</v>
      </c>
      <c r="AB255" s="49" t="str">
        <f>IFERROR(__xludf.DUMMYFUNCTION("""COMPUTED_VALUE"""),"souls")</f>
        <v>souls</v>
      </c>
      <c r="AC255" s="49"/>
      <c r="AD255" s="49" t="str">
        <f>IFERROR(__xludf.DUMMYFUNCTION("""COMPUTED_VALUE"""),"numerous")</f>
        <v>numerous</v>
      </c>
      <c r="AE255" s="49" t="str">
        <f>IFERROR(__xludf.DUMMYFUNCTION("""COMPUTED_VALUE"""),"testament")</f>
        <v>testament</v>
      </c>
      <c r="AF255" s="49" t="str">
        <f t="shared" si="4"/>
        <v>surface,</v>
      </c>
      <c r="AG255" s="49"/>
      <c r="AH255" s="1" t="s">
        <v>568</v>
      </c>
      <c r="AI255" s="1" t="s">
        <v>1097</v>
      </c>
      <c r="AJ255" s="6" t="str">
        <f>IFERROR(__xludf.DUMMYFUNCTION("""COMPUTED_VALUE"""),"how")</f>
        <v>how</v>
      </c>
      <c r="AK255" s="49"/>
      <c r="AL255" s="49"/>
      <c r="AM255" s="49"/>
      <c r="AN255" s="52" t="str">
        <f t="shared" si="5"/>
        <v>world,</v>
      </c>
    </row>
    <row r="256">
      <c r="A256" s="51" t="s">
        <v>1753</v>
      </c>
      <c r="B256" s="50" t="s">
        <v>78</v>
      </c>
      <c r="C256" s="50" t="s">
        <v>663</v>
      </c>
      <c r="D256" s="49" t="str">
        <f>IFERROR(__xludf.DUMMYFUNCTION("""COMPUTED_VALUE"""),"tear")</f>
        <v>tear</v>
      </c>
      <c r="E256" s="49"/>
      <c r="F256" s="49"/>
      <c r="G256" s="49" t="str">
        <f>IFERROR(__xludf.DUMMYFUNCTION("""COMPUTED_VALUE"""),"napoleon")</f>
        <v>napoleon</v>
      </c>
      <c r="H256" s="54" t="str">
        <f t="shared" si="1"/>
        <v>significance,</v>
      </c>
      <c r="I256" s="50"/>
      <c r="J256" s="50" t="s">
        <v>2520</v>
      </c>
      <c r="K256" s="50" t="s">
        <v>812</v>
      </c>
      <c r="L256" s="49" t="str">
        <f>IFERROR(__xludf.DUMMYFUNCTION("""COMPUTED_VALUE"""),"pitch")</f>
        <v>pitch</v>
      </c>
      <c r="M256" s="49"/>
      <c r="N256" s="49" t="str">
        <f>IFERROR(__xludf.DUMMYFUNCTION("""COMPUTED_VALUE"""),"ca")</f>
        <v>ca</v>
      </c>
      <c r="O256" s="49" t="str">
        <f>IFERROR(__xludf.DUMMYFUNCTION("""COMPUTED_VALUE"""),"lacks")</f>
        <v>lacks</v>
      </c>
      <c r="P256" s="49" t="str">
        <f t="shared" si="2"/>
        <v>hannibal,</v>
      </c>
      <c r="Q256" s="49"/>
      <c r="R256" s="50" t="s">
        <v>2140</v>
      </c>
      <c r="S256" s="55" t="s">
        <v>1360</v>
      </c>
      <c r="T256" s="49" t="str">
        <f>IFERROR(__xludf.DUMMYFUNCTION("""COMPUTED_VALUE"""),"men")</f>
        <v>men</v>
      </c>
      <c r="U256" s="49"/>
      <c r="V256" s="49" t="str">
        <f>IFERROR(__xludf.DUMMYFUNCTION("""COMPUTED_VALUE"""),"slight")</f>
        <v>slight</v>
      </c>
      <c r="W256" s="49" t="str">
        <f>IFERROR(__xludf.DUMMYFUNCTION("""COMPUTED_VALUE"""),"species")</f>
        <v>species</v>
      </c>
      <c r="X256" s="49" t="str">
        <f t="shared" si="3"/>
        <v>someone,</v>
      </c>
      <c r="Y256" s="49"/>
      <c r="Z256" s="1" t="s">
        <v>825</v>
      </c>
      <c r="AA256" s="1" t="s">
        <v>1754</v>
      </c>
      <c r="AB256" s="49" t="str">
        <f>IFERROR(__xludf.DUMMYFUNCTION("""COMPUTED_VALUE"""),"effects")</f>
        <v>effects</v>
      </c>
      <c r="AC256" s="49"/>
      <c r="AD256" s="49" t="str">
        <f>IFERROR(__xludf.DUMMYFUNCTION("""COMPUTED_VALUE"""),"ca")</f>
        <v>ca</v>
      </c>
      <c r="AE256" s="49" t="str">
        <f>IFERROR(__xludf.DUMMYFUNCTION("""COMPUTED_VALUE"""),"lacks")</f>
        <v>lacks</v>
      </c>
      <c r="AF256" s="49" t="str">
        <f t="shared" si="4"/>
        <v>business,</v>
      </c>
      <c r="AG256" s="49"/>
      <c r="AH256" s="1" t="s">
        <v>328</v>
      </c>
      <c r="AI256" s="1" t="s">
        <v>1089</v>
      </c>
      <c r="AJ256" s="6" t="str">
        <f>IFERROR(__xludf.DUMMYFUNCTION("""COMPUTED_VALUE"""),"those")</f>
        <v>those</v>
      </c>
      <c r="AK256" s="49"/>
      <c r="AL256" s="49"/>
      <c r="AM256" s="49"/>
      <c r="AN256" s="52" t="str">
        <f t="shared" si="5"/>
        <v>how,</v>
      </c>
    </row>
    <row r="257">
      <c r="A257" s="51" t="s">
        <v>1760</v>
      </c>
      <c r="B257" s="50" t="s">
        <v>2679</v>
      </c>
      <c r="C257" s="50" t="s">
        <v>2307</v>
      </c>
      <c r="D257" s="49" t="str">
        <f>IFERROR(__xludf.DUMMYFUNCTION("""COMPUTED_VALUE"""),"addition")</f>
        <v>addition</v>
      </c>
      <c r="E257" s="49"/>
      <c r="F257" s="49"/>
      <c r="G257" s="49" t="str">
        <f>IFERROR(__xludf.DUMMYFUNCTION("""COMPUTED_VALUE"""),"chronicle")</f>
        <v>chronicle</v>
      </c>
      <c r="H257" s="54" t="str">
        <f t="shared" si="1"/>
        <v>secrets,</v>
      </c>
      <c r="I257" s="50"/>
      <c r="J257" s="50" t="s">
        <v>56</v>
      </c>
      <c r="K257" s="50" t="s">
        <v>1469</v>
      </c>
      <c r="L257" s="49" t="str">
        <f>IFERROR(__xludf.DUMMYFUNCTION("""COMPUTED_VALUE"""),"comedic")</f>
        <v>comedic</v>
      </c>
      <c r="M257" s="49"/>
      <c r="N257" s="49" t="str">
        <f>IFERROR(__xludf.DUMMYFUNCTION("""COMPUTED_VALUE"""),"twists")</f>
        <v>twists</v>
      </c>
      <c r="O257" s="49" t="str">
        <f>IFERROR(__xludf.DUMMYFUNCTION("""COMPUTED_VALUE"""),"report")</f>
        <v>report</v>
      </c>
      <c r="P257" s="49" t="str">
        <f t="shared" si="2"/>
        <v>thriller,</v>
      </c>
      <c r="Q257" s="49"/>
      <c r="R257" s="50" t="s">
        <v>525</v>
      </c>
      <c r="S257" s="55" t="s">
        <v>1091</v>
      </c>
      <c r="T257" s="49" t="str">
        <f>IFERROR(__xludf.DUMMYFUNCTION("""COMPUTED_VALUE"""),"behind")</f>
        <v>behind</v>
      </c>
      <c r="U257" s="49"/>
      <c r="V257" s="49" t="str">
        <f>IFERROR(__xludf.DUMMYFUNCTION("""COMPUTED_VALUE"""),"sneak")</f>
        <v>sneak</v>
      </c>
      <c r="W257" s="49" t="str">
        <f>IFERROR(__xludf.DUMMYFUNCTION("""COMPUTED_VALUE"""),"suffering")</f>
        <v>suffering</v>
      </c>
      <c r="X257" s="49" t="str">
        <f t="shared" si="3"/>
        <v>large,</v>
      </c>
      <c r="Y257" s="49"/>
      <c r="Z257" s="1" t="s">
        <v>2463</v>
      </c>
      <c r="AA257" s="1">
        <v>84.0</v>
      </c>
      <c r="AB257" s="49" t="str">
        <f>IFERROR(__xludf.DUMMYFUNCTION("""COMPUTED_VALUE"""),"alien")</f>
        <v>alien</v>
      </c>
      <c r="AC257" s="49"/>
      <c r="AD257" s="49" t="str">
        <f>IFERROR(__xludf.DUMMYFUNCTION("""COMPUTED_VALUE"""),"twists")</f>
        <v>twists</v>
      </c>
      <c r="AE257" s="49" t="str">
        <f>IFERROR(__xludf.DUMMYFUNCTION("""COMPUTED_VALUE"""),"report")</f>
        <v>report</v>
      </c>
      <c r="AF257" s="49" t="str">
        <f t="shared" si="4"/>
        <v>murder,</v>
      </c>
      <c r="AG257" s="49"/>
      <c r="AH257" s="1" t="s">
        <v>2252</v>
      </c>
      <c r="AI257" s="1" t="s">
        <v>4361</v>
      </c>
      <c r="AJ257" s="6" t="str">
        <f>IFERROR(__xludf.DUMMYFUNCTION("""COMPUTED_VALUE"""),"order")</f>
        <v>order</v>
      </c>
      <c r="AK257" s="49"/>
      <c r="AL257" s="49"/>
      <c r="AM257" s="49"/>
      <c r="AN257" s="52" t="str">
        <f t="shared" si="5"/>
        <v>those,</v>
      </c>
    </row>
    <row r="258">
      <c r="A258" s="51" t="s">
        <v>1764</v>
      </c>
      <c r="B258" s="50" t="s">
        <v>4936</v>
      </c>
      <c r="C258" s="50" t="s">
        <v>1642</v>
      </c>
      <c r="D258" s="49" t="str">
        <f>IFERROR(__xludf.DUMMYFUNCTION("""COMPUTED_VALUE"""),"recent")</f>
        <v>recent</v>
      </c>
      <c r="E258" s="49"/>
      <c r="F258" s="49"/>
      <c r="G258" s="49" t="str">
        <f>IFERROR(__xludf.DUMMYFUNCTION("""COMPUTED_VALUE"""),"lecture")</f>
        <v>lecture</v>
      </c>
      <c r="H258" s="54" t="str">
        <f t="shared" si="1"/>
        <v>accurate,</v>
      </c>
      <c r="I258" s="50"/>
      <c r="J258" s="50" t="s">
        <v>6857</v>
      </c>
      <c r="K258" s="50" t="s">
        <v>1769</v>
      </c>
      <c r="L258" s="49" t="str">
        <f>IFERROR(__xludf.DUMMYFUNCTION("""COMPUTED_VALUE"""),"suit")</f>
        <v>suit</v>
      </c>
      <c r="M258" s="49"/>
      <c r="N258" s="49" t="str">
        <f>IFERROR(__xludf.DUMMYFUNCTION("""COMPUTED_VALUE"""),"solar")</f>
        <v>solar</v>
      </c>
      <c r="O258" s="49" t="str">
        <f>IFERROR(__xludf.DUMMYFUNCTION("""COMPUTED_VALUE"""),"palestinian")</f>
        <v>palestinian</v>
      </c>
      <c r="P258" s="49" t="str">
        <f t="shared" si="2"/>
        <v>dr,</v>
      </c>
      <c r="Q258" s="49"/>
      <c r="R258" s="50" t="s">
        <v>2386</v>
      </c>
      <c r="S258" s="55" t="s">
        <v>645</v>
      </c>
      <c r="T258" s="49" t="str">
        <f>IFERROR(__xludf.DUMMYFUNCTION("""COMPUTED_VALUE"""),"tired")</f>
        <v>tired</v>
      </c>
      <c r="U258" s="49"/>
      <c r="V258" s="49" t="str">
        <f>IFERROR(__xludf.DUMMYFUNCTION("""COMPUTED_VALUE"""),"rate")</f>
        <v>rate</v>
      </c>
      <c r="W258" s="49" t="str">
        <f>IFERROR(__xludf.DUMMYFUNCTION("""COMPUTED_VALUE"""),"failure")</f>
        <v>failure</v>
      </c>
      <c r="X258" s="49" t="str">
        <f t="shared" si="3"/>
        <v>green,</v>
      </c>
      <c r="Y258" s="49"/>
      <c r="Z258" s="1" t="s">
        <v>6279</v>
      </c>
      <c r="AA258" s="1" t="s">
        <v>333</v>
      </c>
      <c r="AB258" s="49" t="str">
        <f>IFERROR(__xludf.DUMMYFUNCTION("""COMPUTED_VALUE"""),"victim")</f>
        <v>victim</v>
      </c>
      <c r="AC258" s="49"/>
      <c r="AD258" s="49" t="str">
        <f>IFERROR(__xludf.DUMMYFUNCTION("""COMPUTED_VALUE"""),"solar")</f>
        <v>solar</v>
      </c>
      <c r="AE258" s="49" t="str">
        <f>IFERROR(__xludf.DUMMYFUNCTION("""COMPUTED_VALUE"""),"palestinian")</f>
        <v>palestinian</v>
      </c>
      <c r="AF258" s="49" t="str">
        <f t="shared" si="4"/>
        <v>can,</v>
      </c>
      <c r="AG258" s="49"/>
      <c r="AH258" s="1" t="s">
        <v>246</v>
      </c>
      <c r="AI258" s="1" t="s">
        <v>554</v>
      </c>
      <c r="AJ258" s="6" t="str">
        <f>IFERROR(__xludf.DUMMYFUNCTION("""COMPUTED_VALUE"""),"making")</f>
        <v>making</v>
      </c>
      <c r="AK258" s="49"/>
      <c r="AL258" s="49"/>
      <c r="AM258" s="49"/>
      <c r="AN258" s="52" t="str">
        <f t="shared" si="5"/>
        <v>order,</v>
      </c>
    </row>
    <row r="259">
      <c r="A259" s="51" t="s">
        <v>519</v>
      </c>
      <c r="B259" s="50" t="s">
        <v>4288</v>
      </c>
      <c r="C259" s="50" t="s">
        <v>1143</v>
      </c>
      <c r="D259" s="49" t="str">
        <f>IFERROR(__xludf.DUMMYFUNCTION("""COMPUTED_VALUE"""),"titles")</f>
        <v>titles</v>
      </c>
      <c r="E259" s="49"/>
      <c r="F259" s="49"/>
      <c r="G259" s="49" t="str">
        <f>IFERROR(__xludf.DUMMYFUNCTION("""COMPUTED_VALUE"""),"und")</f>
        <v>und</v>
      </c>
      <c r="H259" s="54" t="str">
        <f t="shared" si="1"/>
        <v>reflection,</v>
      </c>
      <c r="I259" s="50"/>
      <c r="J259" s="50" t="s">
        <v>1701</v>
      </c>
      <c r="K259" s="50" t="s">
        <v>1774</v>
      </c>
      <c r="L259" s="49" t="str">
        <f>IFERROR(__xludf.DUMMYFUNCTION("""COMPUTED_VALUE"""),"throw")</f>
        <v>throw</v>
      </c>
      <c r="M259" s="49"/>
      <c r="N259" s="49" t="str">
        <f>IFERROR(__xludf.DUMMYFUNCTION("""COMPUTED_VALUE"""),"race")</f>
        <v>race</v>
      </c>
      <c r="O259" s="49" t="str">
        <f>IFERROR(__xludf.DUMMYFUNCTION("""COMPUTED_VALUE"""),"israeli")</f>
        <v>israeli</v>
      </c>
      <c r="P259" s="49" t="str">
        <f t="shared" si="2"/>
        <v>works,</v>
      </c>
      <c r="Q259" s="49"/>
      <c r="R259" s="50" t="s">
        <v>107</v>
      </c>
      <c r="S259" s="55" t="s">
        <v>223</v>
      </c>
      <c r="T259" s="49" t="str">
        <f>IFERROR(__xludf.DUMMYFUNCTION("""COMPUTED_VALUE"""),"brutally")</f>
        <v>brutally</v>
      </c>
      <c r="U259" s="49"/>
      <c r="V259" s="49" t="str">
        <f>IFERROR(__xludf.DUMMYFUNCTION("""COMPUTED_VALUE"""),"amazing")</f>
        <v>amazing</v>
      </c>
      <c r="W259" s="49" t="str">
        <f>IFERROR(__xludf.DUMMYFUNCTION("""COMPUTED_VALUE"""),"clinic")</f>
        <v>clinic</v>
      </c>
      <c r="X259" s="49" t="str">
        <f t="shared" si="3"/>
        <v>most,</v>
      </c>
      <c r="Y259" s="49"/>
      <c r="Z259" s="1" t="s">
        <v>1327</v>
      </c>
      <c r="AA259" s="1" t="s">
        <v>1770</v>
      </c>
      <c r="AB259" s="49" t="str">
        <f>IFERROR(__xludf.DUMMYFUNCTION("""COMPUTED_VALUE"""),"english")</f>
        <v>english</v>
      </c>
      <c r="AC259" s="49"/>
      <c r="AD259" s="49" t="str">
        <f>IFERROR(__xludf.DUMMYFUNCTION("""COMPUTED_VALUE"""),"race")</f>
        <v>race</v>
      </c>
      <c r="AE259" s="49" t="str">
        <f>IFERROR(__xludf.DUMMYFUNCTION("""COMPUTED_VALUE"""),"israeli")</f>
        <v>israeli</v>
      </c>
      <c r="AF259" s="49" t="str">
        <f t="shared" si="4"/>
        <v>hugh,</v>
      </c>
      <c r="AG259" s="49"/>
      <c r="AH259" s="1" t="s">
        <v>447</v>
      </c>
      <c r="AI259" s="1" t="s">
        <v>6256</v>
      </c>
      <c r="AJ259" s="6" t="str">
        <f>IFERROR(__xludf.DUMMYFUNCTION("""COMPUTED_VALUE"""),"business")</f>
        <v>business</v>
      </c>
      <c r="AK259" s="49"/>
      <c r="AL259" s="49"/>
      <c r="AM259" s="49"/>
      <c r="AN259" s="52" t="str">
        <f t="shared" si="5"/>
        <v>making,</v>
      </c>
    </row>
    <row r="260">
      <c r="A260" s="51" t="s">
        <v>329</v>
      </c>
      <c r="B260" s="50" t="s">
        <v>4946</v>
      </c>
      <c r="C260" s="50" t="s">
        <v>4571</v>
      </c>
      <c r="D260" s="49" t="str">
        <f>IFERROR(__xludf.DUMMYFUNCTION("""COMPUTED_VALUE"""),"sporting")</f>
        <v>sporting</v>
      </c>
      <c r="E260" s="49"/>
      <c r="F260" s="49"/>
      <c r="G260" s="49" t="str">
        <f>IFERROR(__xludf.DUMMYFUNCTION("""COMPUTED_VALUE"""),"integrated")</f>
        <v>integrated</v>
      </c>
      <c r="H260" s="54" t="str">
        <f t="shared" si="1"/>
        <v>adds,</v>
      </c>
      <c r="I260" s="50"/>
      <c r="J260" s="50" t="s">
        <v>2247</v>
      </c>
      <c r="K260" s="50" t="s">
        <v>890</v>
      </c>
      <c r="L260" s="49" t="str">
        <f>IFERROR(__xludf.DUMMYFUNCTION("""COMPUTED_VALUE"""),"determined")</f>
        <v>determined</v>
      </c>
      <c r="M260" s="49"/>
      <c r="N260" s="49" t="str">
        <f>IFERROR(__xludf.DUMMYFUNCTION("""COMPUTED_VALUE"""),"dated")</f>
        <v>dated</v>
      </c>
      <c r="O260" s="49" t="str">
        <f>IFERROR(__xludf.DUMMYFUNCTION("""COMPUTED_VALUE"""),"suffers")</f>
        <v>suffers</v>
      </c>
      <c r="P260" s="49" t="str">
        <f t="shared" si="2"/>
        <v>bit,</v>
      </c>
      <c r="Q260" s="49"/>
      <c r="R260" s="50" t="s">
        <v>4806</v>
      </c>
      <c r="S260" s="55" t="s">
        <v>668</v>
      </c>
      <c r="T260" s="49" t="str">
        <f>IFERROR(__xludf.DUMMYFUNCTION("""COMPUTED_VALUE"""),"lies")</f>
        <v>lies</v>
      </c>
      <c r="U260" s="49"/>
      <c r="V260" s="49" t="str">
        <f>IFERROR(__xludf.DUMMYFUNCTION("""COMPUTED_VALUE"""),"advised")</f>
        <v>advised</v>
      </c>
      <c r="W260" s="49" t="str">
        <f>IFERROR(__xludf.DUMMYFUNCTION("""COMPUTED_VALUE"""),"cinematography")</f>
        <v>cinematography</v>
      </c>
      <c r="X260" s="49" t="str">
        <f t="shared" si="3"/>
        <v>strikes,</v>
      </c>
      <c r="Y260" s="49"/>
      <c r="Z260" s="1" t="s">
        <v>1658</v>
      </c>
      <c r="AA260" s="1" t="s">
        <v>1775</v>
      </c>
      <c r="AB260" s="49" t="str">
        <f>IFERROR(__xludf.DUMMYFUNCTION("""COMPUTED_VALUE"""),"gripping")</f>
        <v>gripping</v>
      </c>
      <c r="AC260" s="49"/>
      <c r="AD260" s="49" t="str">
        <f>IFERROR(__xludf.DUMMYFUNCTION("""COMPUTED_VALUE"""),"dated")</f>
        <v>dated</v>
      </c>
      <c r="AE260" s="49" t="str">
        <f>IFERROR(__xludf.DUMMYFUNCTION("""COMPUTED_VALUE"""),"suffers")</f>
        <v>suffers</v>
      </c>
      <c r="AF260" s="49" t="str">
        <f t="shared" si="4"/>
        <v>smiles,</v>
      </c>
      <c r="AG260" s="49"/>
      <c r="AH260" s="1" t="s">
        <v>825</v>
      </c>
      <c r="AI260" s="1" t="s">
        <v>1116</v>
      </c>
      <c r="AJ260" s="6" t="str">
        <f>IFERROR(__xludf.DUMMYFUNCTION("""COMPUTED_VALUE"""),"short")</f>
        <v>short</v>
      </c>
      <c r="AK260" s="49"/>
      <c r="AL260" s="49"/>
      <c r="AM260" s="49"/>
      <c r="AN260" s="52" t="str">
        <f t="shared" si="5"/>
        <v>business,</v>
      </c>
    </row>
    <row r="261">
      <c r="A261" s="51" t="s">
        <v>1778</v>
      </c>
      <c r="B261" s="50" t="s">
        <v>53</v>
      </c>
      <c r="C261" s="50" t="s">
        <v>172</v>
      </c>
      <c r="D261" s="49" t="str">
        <f>IFERROR(__xludf.DUMMYFUNCTION("""COMPUTED_VALUE"""),"generally")</f>
        <v>generally</v>
      </c>
      <c r="E261" s="49"/>
      <c r="F261" s="49"/>
      <c r="G261" s="49" t="str">
        <f>IFERROR(__xludf.DUMMYFUNCTION("""COMPUTED_VALUE"""),"bronze")</f>
        <v>bronze</v>
      </c>
      <c r="H261" s="54" t="str">
        <f t="shared" si="1"/>
        <v>years,</v>
      </c>
      <c r="I261" s="50"/>
      <c r="J261" s="50" t="s">
        <v>4764</v>
      </c>
      <c r="K261" s="50" t="s">
        <v>1489</v>
      </c>
      <c r="L261" s="49" t="str">
        <f>IFERROR(__xludf.DUMMYFUNCTION("""COMPUTED_VALUE"""),"dark")</f>
        <v>dark</v>
      </c>
      <c r="M261" s="49"/>
      <c r="N261" s="49" t="str">
        <f>IFERROR(__xludf.DUMMYFUNCTION("""COMPUTED_VALUE"""),"events")</f>
        <v>events</v>
      </c>
      <c r="O261" s="49" t="str">
        <f>IFERROR(__xludf.DUMMYFUNCTION("""COMPUTED_VALUE"""),"strong")</f>
        <v>strong</v>
      </c>
      <c r="P261" s="49" t="str">
        <f t="shared" si="2"/>
        <v>usually,</v>
      </c>
      <c r="Q261" s="49"/>
      <c r="R261" s="50" t="s">
        <v>173</v>
      </c>
      <c r="S261" s="55" t="s">
        <v>1117</v>
      </c>
      <c r="T261" s="49" t="str">
        <f>IFERROR(__xludf.DUMMYFUNCTION("""COMPUTED_VALUE"""),"killer")</f>
        <v>killer</v>
      </c>
      <c r="U261" s="49"/>
      <c r="V261" s="49" t="str">
        <f>IFERROR(__xludf.DUMMYFUNCTION("""COMPUTED_VALUE"""),"penn")</f>
        <v>penn</v>
      </c>
      <c r="W261" s="49" t="str">
        <f>IFERROR(__xludf.DUMMYFUNCTION("""COMPUTED_VALUE"""),"wonderful")</f>
        <v>wonderful</v>
      </c>
      <c r="X261" s="49" t="str">
        <f t="shared" si="3"/>
        <v>adaptation,</v>
      </c>
      <c r="Y261" s="49"/>
      <c r="Z261" s="1" t="s">
        <v>1239</v>
      </c>
      <c r="AA261" s="1" t="s">
        <v>1779</v>
      </c>
      <c r="AB261" s="49" t="str">
        <f>IFERROR(__xludf.DUMMYFUNCTION("""COMPUTED_VALUE"""),"dull")</f>
        <v>dull</v>
      </c>
      <c r="AC261" s="49"/>
      <c r="AD261" s="49" t="str">
        <f>IFERROR(__xludf.DUMMYFUNCTION("""COMPUTED_VALUE"""),"events")</f>
        <v>events</v>
      </c>
      <c r="AE261" s="49" t="str">
        <f>IFERROR(__xludf.DUMMYFUNCTION("""COMPUTED_VALUE"""),"strong")</f>
        <v>strong</v>
      </c>
      <c r="AF261" s="49" t="str">
        <f t="shared" si="4"/>
        <v>were,</v>
      </c>
      <c r="AG261" s="49"/>
      <c r="AH261" s="1" t="s">
        <v>1779</v>
      </c>
      <c r="AI261" s="1" t="s">
        <v>1304</v>
      </c>
      <c r="AJ261" s="6" t="str">
        <f>IFERROR(__xludf.DUMMYFUNCTION("""COMPUTED_VALUE"""),"position")</f>
        <v>position</v>
      </c>
      <c r="AK261" s="49"/>
      <c r="AL261" s="49"/>
      <c r="AM261" s="49"/>
      <c r="AN261" s="52" t="str">
        <f t="shared" si="5"/>
        <v>short,</v>
      </c>
    </row>
    <row r="262">
      <c r="A262" s="51" t="s">
        <v>1785</v>
      </c>
      <c r="B262" s="50" t="s">
        <v>63</v>
      </c>
      <c r="C262" s="50" t="s">
        <v>684</v>
      </c>
      <c r="D262" s="49" t="str">
        <f>IFERROR(__xludf.DUMMYFUNCTION("""COMPUTED_VALUE"""),"quite")</f>
        <v>quite</v>
      </c>
      <c r="E262" s="49"/>
      <c r="F262" s="49"/>
      <c r="G262" s="49" t="str">
        <f>IFERROR(__xludf.DUMMYFUNCTION("""COMPUTED_VALUE"""),"sale")</f>
        <v>sale</v>
      </c>
      <c r="H262" s="54" t="str">
        <f t="shared" si="1"/>
        <v>well,</v>
      </c>
      <c r="I262" s="50"/>
      <c r="J262" s="50" t="s">
        <v>1253</v>
      </c>
      <c r="K262" s="50" t="s">
        <v>1791</v>
      </c>
      <c r="L262" s="49" t="str">
        <f>IFERROR(__xludf.DUMMYFUNCTION("""COMPUTED_VALUE"""),"wish")</f>
        <v>wish</v>
      </c>
      <c r="M262" s="49"/>
      <c r="N262" s="49" t="str">
        <f>IFERROR(__xludf.DUMMYFUNCTION("""COMPUTED_VALUE"""),"cause")</f>
        <v>cause</v>
      </c>
      <c r="O262" s="49" t="str">
        <f>IFERROR(__xludf.DUMMYFUNCTION("""COMPUTED_VALUE"""),"flickering")</f>
        <v>flickering</v>
      </c>
      <c r="P262" s="49" t="str">
        <f t="shared" si="2"/>
        <v>halfway,</v>
      </c>
      <c r="Q262" s="49"/>
      <c r="R262" s="50" t="s">
        <v>618</v>
      </c>
      <c r="S262" s="55" t="s">
        <v>651</v>
      </c>
      <c r="T262" s="49" t="str">
        <f>IFERROR(__xludf.DUMMYFUNCTION("""COMPUTED_VALUE"""),"source")</f>
        <v>source</v>
      </c>
      <c r="U262" s="49"/>
      <c r="V262" s="49" t="str">
        <f>IFERROR(__xludf.DUMMYFUNCTION("""COMPUTED_VALUE"""),"conceived")</f>
        <v>conceived</v>
      </c>
      <c r="W262" s="49" t="str">
        <f>IFERROR(__xludf.DUMMYFUNCTION("""COMPUTED_VALUE"""),"level")</f>
        <v>level</v>
      </c>
      <c r="X262" s="49" t="str">
        <f t="shared" si="3"/>
        <v>minor,</v>
      </c>
      <c r="Y262" s="49"/>
      <c r="Z262" s="1" t="s">
        <v>6400</v>
      </c>
      <c r="AA262" s="1" t="s">
        <v>1786</v>
      </c>
      <c r="AB262" s="49" t="str">
        <f>IFERROR(__xludf.DUMMYFUNCTION("""COMPUTED_VALUE"""),"cinematography")</f>
        <v>cinematography</v>
      </c>
      <c r="AC262" s="49"/>
      <c r="AD262" s="49" t="str">
        <f>IFERROR(__xludf.DUMMYFUNCTION("""COMPUTED_VALUE"""),"cause")</f>
        <v>cause</v>
      </c>
      <c r="AE262" s="49" t="str">
        <f>IFERROR(__xludf.DUMMYFUNCTION("""COMPUTED_VALUE"""),"flickering")</f>
        <v>flickering</v>
      </c>
      <c r="AF262" s="49" t="str">
        <f t="shared" si="4"/>
        <v>talking,</v>
      </c>
      <c r="AG262" s="49"/>
      <c r="AH262" s="1" t="s">
        <v>6587</v>
      </c>
      <c r="AI262" s="1" t="s">
        <v>528</v>
      </c>
      <c r="AJ262" s="6" t="str">
        <f>IFERROR(__xludf.DUMMYFUNCTION("""COMPUTED_VALUE"""),"stop")</f>
        <v>stop</v>
      </c>
      <c r="AK262" s="49"/>
      <c r="AL262" s="49"/>
      <c r="AM262" s="49"/>
      <c r="AN262" s="52" t="str">
        <f t="shared" si="5"/>
        <v>position,</v>
      </c>
    </row>
    <row r="263">
      <c r="A263" s="51" t="s">
        <v>1792</v>
      </c>
      <c r="B263" s="50" t="s">
        <v>455</v>
      </c>
      <c r="C263" s="50" t="s">
        <v>726</v>
      </c>
      <c r="D263" s="49" t="str">
        <f>IFERROR(__xludf.DUMMYFUNCTION("""COMPUTED_VALUE"""),"go")</f>
        <v>go</v>
      </c>
      <c r="E263" s="49"/>
      <c r="F263" s="49"/>
      <c r="G263" s="49" t="str">
        <f>IFERROR(__xludf.DUMMYFUNCTION("""COMPUTED_VALUE"""),"prepare")</f>
        <v>prepare</v>
      </c>
      <c r="H263" s="54" t="str">
        <f t="shared" si="1"/>
        <v>used,</v>
      </c>
      <c r="I263" s="50"/>
      <c r="J263" s="50" t="s">
        <v>6338</v>
      </c>
      <c r="K263" s="50" t="s">
        <v>818</v>
      </c>
      <c r="L263" s="49" t="str">
        <f>IFERROR(__xludf.DUMMYFUNCTION("""COMPUTED_VALUE"""),"fascinating")</f>
        <v>fascinating</v>
      </c>
      <c r="M263" s="49"/>
      <c r="N263" s="49" t="str">
        <f>IFERROR(__xludf.DUMMYFUNCTION("""COMPUTED_VALUE"""),"possible")</f>
        <v>possible</v>
      </c>
      <c r="O263" s="49" t="str">
        <f>IFERROR(__xludf.DUMMYFUNCTION("""COMPUTED_VALUE"""),"dragon")</f>
        <v>dragon</v>
      </c>
      <c r="P263" s="49" t="str">
        <f t="shared" si="2"/>
        <v>studio,</v>
      </c>
      <c r="Q263" s="49"/>
      <c r="R263" s="50" t="s">
        <v>5670</v>
      </c>
      <c r="S263" s="55" t="s">
        <v>1380</v>
      </c>
      <c r="T263" s="49" t="str">
        <f>IFERROR(__xludf.DUMMYFUNCTION("""COMPUTED_VALUE"""),"upon")</f>
        <v>upon</v>
      </c>
      <c r="U263" s="49"/>
      <c r="V263" s="49" t="str">
        <f>IFERROR(__xludf.DUMMYFUNCTION("""COMPUTED_VALUE"""),"easy")</f>
        <v>easy</v>
      </c>
      <c r="W263" s="49" t="str">
        <f>IFERROR(__xludf.DUMMYFUNCTION("""COMPUTED_VALUE"""),"partisans")</f>
        <v>partisans</v>
      </c>
      <c r="X263" s="49" t="str">
        <f t="shared" si="3"/>
        <v>guy,</v>
      </c>
      <c r="Y263" s="49"/>
      <c r="Z263" s="1" t="s">
        <v>1322</v>
      </c>
      <c r="AA263" s="1" t="s">
        <v>1793</v>
      </c>
      <c r="AB263" s="49" t="str">
        <f>IFERROR(__xludf.DUMMYFUNCTION("""COMPUTED_VALUE"""),"brown")</f>
        <v>brown</v>
      </c>
      <c r="AC263" s="49"/>
      <c r="AD263" s="49" t="str">
        <f>IFERROR(__xludf.DUMMYFUNCTION("""COMPUTED_VALUE"""),"possible")</f>
        <v>possible</v>
      </c>
      <c r="AE263" s="49" t="str">
        <f>IFERROR(__xludf.DUMMYFUNCTION("""COMPUTED_VALUE"""),"dragon")</f>
        <v>dragon</v>
      </c>
      <c r="AF263" s="49" t="str">
        <f t="shared" si="4"/>
        <v>grant,</v>
      </c>
      <c r="AG263" s="49"/>
      <c r="AH263" s="1" t="s">
        <v>2238</v>
      </c>
      <c r="AI263" s="1" t="s">
        <v>463</v>
      </c>
      <c r="AJ263" s="6" t="str">
        <f>IFERROR(__xludf.DUMMYFUNCTION("""COMPUTED_VALUE"""),"eight")</f>
        <v>eight</v>
      </c>
      <c r="AK263" s="49"/>
      <c r="AL263" s="49"/>
      <c r="AM263" s="49"/>
      <c r="AN263" s="52" t="str">
        <f t="shared" si="5"/>
        <v>stop,</v>
      </c>
    </row>
    <row r="264">
      <c r="A264" s="51" t="s">
        <v>1800</v>
      </c>
      <c r="B264" s="50" t="s">
        <v>684</v>
      </c>
      <c r="C264" s="50" t="s">
        <v>1428</v>
      </c>
      <c r="D264" s="49" t="str">
        <f>IFERROR(__xludf.DUMMYFUNCTION("""COMPUTED_VALUE"""),"going")</f>
        <v>going</v>
      </c>
      <c r="E264" s="49"/>
      <c r="F264" s="49"/>
      <c r="G264" s="49" t="str">
        <f>IFERROR(__xludf.DUMMYFUNCTION("""COMPUTED_VALUE"""),"paintings")</f>
        <v>paintings</v>
      </c>
      <c r="H264" s="54" t="str">
        <f t="shared" si="1"/>
        <v>eyes,</v>
      </c>
      <c r="I264" s="50"/>
      <c r="J264" s="50" t="s">
        <v>939</v>
      </c>
      <c r="K264" s="50" t="s">
        <v>825</v>
      </c>
      <c r="L264" s="49">
        <f>IFERROR(__xludf.DUMMYFUNCTION("""COMPUTED_VALUE"""),1993.0)</f>
        <v>1993</v>
      </c>
      <c r="M264" s="49"/>
      <c r="N264" s="49" t="str">
        <f>IFERROR(__xludf.DUMMYFUNCTION("""COMPUTED_VALUE"""),"human")</f>
        <v>human</v>
      </c>
      <c r="O264" s="49" t="str">
        <f>IFERROR(__xludf.DUMMYFUNCTION("""COMPUTED_VALUE"""),"rodriguez")</f>
        <v>rodriguez</v>
      </c>
      <c r="P264" s="49" t="str">
        <f t="shared" si="2"/>
        <v>work,</v>
      </c>
      <c r="Q264" s="49"/>
      <c r="R264" s="50" t="s">
        <v>98</v>
      </c>
      <c r="S264" s="55" t="s">
        <v>6310</v>
      </c>
      <c r="T264" s="49" t="str">
        <f>IFERROR(__xludf.DUMMYFUNCTION("""COMPUTED_VALUE"""),"potential")</f>
        <v>potential</v>
      </c>
      <c r="U264" s="49"/>
      <c r="V264" s="49" t="str">
        <f>IFERROR(__xludf.DUMMYFUNCTION("""COMPUTED_VALUE"""),"recycling")</f>
        <v>recycling</v>
      </c>
      <c r="W264" s="49" t="str">
        <f>IFERROR(__xludf.DUMMYFUNCTION("""COMPUTED_VALUE"""),"argentine")</f>
        <v>argentine</v>
      </c>
      <c r="X264" s="49" t="str">
        <f t="shared" si="3"/>
        <v>beautiful,</v>
      </c>
      <c r="Y264" s="49"/>
      <c r="Z264" s="1" t="s">
        <v>1520</v>
      </c>
      <c r="AA264" s="1" t="s">
        <v>972</v>
      </c>
      <c r="AB264" s="49" t="str">
        <f>IFERROR(__xludf.DUMMYFUNCTION("""COMPUTED_VALUE"""),"steven")</f>
        <v>steven</v>
      </c>
      <c r="AC264" s="49"/>
      <c r="AD264" s="49" t="str">
        <f>IFERROR(__xludf.DUMMYFUNCTION("""COMPUTED_VALUE"""),"human")</f>
        <v>human</v>
      </c>
      <c r="AE264" s="49" t="str">
        <f>IFERROR(__xludf.DUMMYFUNCTION("""COMPUTED_VALUE"""),"rodriguez")</f>
        <v>rodriguez</v>
      </c>
      <c r="AF264" s="49" t="str">
        <f t="shared" si="4"/>
        <v>hand,</v>
      </c>
      <c r="AG264" s="49"/>
      <c r="AH264" s="1" t="s">
        <v>6516</v>
      </c>
      <c r="AI264" s="1" t="s">
        <v>537</v>
      </c>
      <c r="AJ264" s="6" t="str">
        <f>IFERROR(__xludf.DUMMYFUNCTION("""COMPUTED_VALUE"""),"itself")</f>
        <v>itself</v>
      </c>
      <c r="AK264" s="49"/>
      <c r="AL264" s="49"/>
      <c r="AM264" s="49"/>
      <c r="AN264" s="52" t="str">
        <f t="shared" si="5"/>
        <v>eight,</v>
      </c>
    </row>
    <row r="265">
      <c r="A265" s="51" t="s">
        <v>1805</v>
      </c>
      <c r="B265" s="50" t="s">
        <v>1112</v>
      </c>
      <c r="C265" s="50" t="s">
        <v>688</v>
      </c>
      <c r="D265" s="49" t="str">
        <f>IFERROR(__xludf.DUMMYFUNCTION("""COMPUTED_VALUE"""),"show")</f>
        <v>show</v>
      </c>
      <c r="E265" s="49"/>
      <c r="F265" s="49"/>
      <c r="G265" s="49" t="str">
        <f>IFERROR(__xludf.DUMMYFUNCTION("""COMPUTED_VALUE"""),"luther")</f>
        <v>luther</v>
      </c>
      <c r="H265" s="54" t="str">
        <f t="shared" si="1"/>
        <v>old,</v>
      </c>
      <c r="I265" s="50"/>
      <c r="J265" s="50" t="s">
        <v>359</v>
      </c>
      <c r="K265" s="50" t="s">
        <v>1517</v>
      </c>
      <c r="L265" s="49" t="str">
        <f>IFERROR(__xludf.DUMMYFUNCTION("""COMPUTED_VALUE"""),"near")</f>
        <v>near</v>
      </c>
      <c r="M265" s="49"/>
      <c r="N265" s="49" t="str">
        <f>IFERROR(__xludf.DUMMYFUNCTION("""COMPUTED_VALUE"""),"tell")</f>
        <v>tell</v>
      </c>
      <c r="O265" s="49" t="str">
        <f>IFERROR(__xludf.DUMMYFUNCTION("""COMPUTED_VALUE"""),"fare")</f>
        <v>fare</v>
      </c>
      <c r="P265" s="49" t="str">
        <f t="shared" si="2"/>
        <v>performance,</v>
      </c>
      <c r="Q265" s="49"/>
      <c r="R265" s="50" t="s">
        <v>5392</v>
      </c>
      <c r="S265" s="55" t="s">
        <v>5108</v>
      </c>
      <c r="T265" s="49" t="str">
        <f>IFERROR(__xludf.DUMMYFUNCTION("""COMPUTED_VALUE"""),"sort")</f>
        <v>sort</v>
      </c>
      <c r="U265" s="49"/>
      <c r="V265" s="49" t="str">
        <f>IFERROR(__xludf.DUMMYFUNCTION("""COMPUTED_VALUE"""),"trail")</f>
        <v>trail</v>
      </c>
      <c r="W265" s="49" t="str">
        <f>IFERROR(__xludf.DUMMYFUNCTION("""COMPUTED_VALUE"""),"son")</f>
        <v>son</v>
      </c>
      <c r="X265" s="49" t="str">
        <f t="shared" si="3"/>
        <v>choosing,</v>
      </c>
      <c r="Y265" s="49"/>
      <c r="Z265" s="1" t="s">
        <v>6378</v>
      </c>
      <c r="AA265" s="1" t="s">
        <v>1806</v>
      </c>
      <c r="AB265" s="49" t="str">
        <f>IFERROR(__xludf.DUMMYFUNCTION("""COMPUTED_VALUE"""),"performances")</f>
        <v>performances</v>
      </c>
      <c r="AC265" s="49"/>
      <c r="AD265" s="49" t="str">
        <f>IFERROR(__xludf.DUMMYFUNCTION("""COMPUTED_VALUE"""),"tell")</f>
        <v>tell</v>
      </c>
      <c r="AE265" s="49" t="str">
        <f>IFERROR(__xludf.DUMMYFUNCTION("""COMPUTED_VALUE"""),"fare")</f>
        <v>fare</v>
      </c>
      <c r="AF265" s="49" t="str">
        <f t="shared" si="4"/>
        <v>terrible,</v>
      </c>
      <c r="AG265" s="49"/>
      <c r="AH265" s="1" t="s">
        <v>2369</v>
      </c>
      <c r="AI265" s="1" t="s">
        <v>810</v>
      </c>
      <c r="AJ265" s="6" t="str">
        <f>IFERROR(__xludf.DUMMYFUNCTION("""COMPUTED_VALUE"""),"ask")</f>
        <v>ask</v>
      </c>
      <c r="AK265" s="49"/>
      <c r="AL265" s="49"/>
      <c r="AM265" s="49"/>
      <c r="AN265" s="52" t="str">
        <f t="shared" si="5"/>
        <v>itself,</v>
      </c>
    </row>
    <row r="266">
      <c r="A266" s="51" t="s">
        <v>1702</v>
      </c>
      <c r="B266" s="50" t="s">
        <v>466</v>
      </c>
      <c r="C266" s="50" t="s">
        <v>1440</v>
      </c>
      <c r="D266" s="49" t="str">
        <f>IFERROR(__xludf.DUMMYFUNCTION("""COMPUTED_VALUE"""),"late")</f>
        <v>late</v>
      </c>
      <c r="E266" s="49"/>
      <c r="F266" s="49"/>
      <c r="G266" s="49" t="str">
        <f>IFERROR(__xludf.DUMMYFUNCTION("""COMPUTED_VALUE"""),"doctorate")</f>
        <v>doctorate</v>
      </c>
      <c r="H266" s="54" t="str">
        <f t="shared" si="1"/>
        <v>young,</v>
      </c>
      <c r="I266" s="50"/>
      <c r="J266" s="50" t="s">
        <v>4856</v>
      </c>
      <c r="K266" s="50" t="s">
        <v>1816</v>
      </c>
      <c r="L266" s="49" t="str">
        <f>IFERROR(__xludf.DUMMYFUNCTION("""COMPUTED_VALUE"""),"insights")</f>
        <v>insights</v>
      </c>
      <c r="M266" s="49"/>
      <c r="N266" s="49" t="str">
        <f>IFERROR(__xludf.DUMMYFUNCTION("""COMPUTED_VALUE"""),"interesting")</f>
        <v>interesting</v>
      </c>
      <c r="O266" s="49" t="str">
        <f>IFERROR(__xludf.DUMMYFUNCTION("""COMPUTED_VALUE"""),"mitchell")</f>
        <v>mitchell</v>
      </c>
      <c r="P266" s="49" t="str">
        <f t="shared" si="2"/>
        <v>occasionally,</v>
      </c>
      <c r="Q266" s="49"/>
      <c r="R266" s="50" t="s">
        <v>1540</v>
      </c>
      <c r="S266" s="55" t="s">
        <v>175</v>
      </c>
      <c r="T266" s="49" t="str">
        <f>IFERROR(__xludf.DUMMYFUNCTION("""COMPUTED_VALUE"""),"cheap")</f>
        <v>cheap</v>
      </c>
      <c r="U266" s="49"/>
      <c r="V266" s="49">
        <f>IFERROR(__xludf.DUMMYFUNCTION("""COMPUTED_VALUE"""),24.0)</f>
        <v>24</v>
      </c>
      <c r="W266" s="49" t="str">
        <f>IFERROR(__xludf.DUMMYFUNCTION("""COMPUTED_VALUE"""),"celebrates")</f>
        <v>celebrates</v>
      </c>
      <c r="X266" s="49" t="str">
        <f t="shared" si="3"/>
        <v>m,</v>
      </c>
      <c r="Y266" s="49"/>
      <c r="Z266" s="1" t="s">
        <v>170</v>
      </c>
      <c r="AA266" s="1" t="s">
        <v>1121</v>
      </c>
      <c r="AB266" s="49" t="str">
        <f>IFERROR(__xludf.DUMMYFUNCTION("""COMPUTED_VALUE"""),"roles")</f>
        <v>roles</v>
      </c>
      <c r="AC266" s="49"/>
      <c r="AD266" s="49" t="str">
        <f>IFERROR(__xludf.DUMMYFUNCTION("""COMPUTED_VALUE"""),"interesting")</f>
        <v>interesting</v>
      </c>
      <c r="AE266" s="49" t="str">
        <f>IFERROR(__xludf.DUMMYFUNCTION("""COMPUTED_VALUE"""),"mitchell")</f>
        <v>mitchell</v>
      </c>
      <c r="AF266" s="49" t="str">
        <f t="shared" si="4"/>
        <v>me,</v>
      </c>
      <c r="AG266" s="49"/>
      <c r="AH266" s="1" t="s">
        <v>1126</v>
      </c>
      <c r="AI266" s="1" t="s">
        <v>2986</v>
      </c>
      <c r="AJ266" s="6" t="str">
        <f>IFERROR(__xludf.DUMMYFUNCTION("""COMPUTED_VALUE"""),"surface")</f>
        <v>surface</v>
      </c>
      <c r="AK266" s="49"/>
      <c r="AL266" s="49"/>
      <c r="AM266" s="49"/>
      <c r="AN266" s="52" t="str">
        <f t="shared" si="5"/>
        <v>ask,</v>
      </c>
    </row>
    <row r="267">
      <c r="A267" s="51" t="s">
        <v>1817</v>
      </c>
      <c r="B267" s="50" t="s">
        <v>1289</v>
      </c>
      <c r="C267" s="50" t="s">
        <v>681</v>
      </c>
      <c r="D267" s="49" t="str">
        <f>IFERROR(__xludf.DUMMYFUNCTION("""COMPUTED_VALUE"""),"put")</f>
        <v>put</v>
      </c>
      <c r="E267" s="49"/>
      <c r="F267" s="49"/>
      <c r="G267" s="49" t="str">
        <f>IFERROR(__xludf.DUMMYFUNCTION("""COMPUTED_VALUE"""),"competing")</f>
        <v>competing</v>
      </c>
      <c r="H267" s="54" t="str">
        <f t="shared" si="1"/>
        <v>french,</v>
      </c>
      <c r="I267" s="50"/>
      <c r="J267" s="50" t="s">
        <v>2227</v>
      </c>
      <c r="K267" s="50" t="s">
        <v>1823</v>
      </c>
      <c r="L267" s="49" t="str">
        <f>IFERROR(__xludf.DUMMYFUNCTION("""COMPUTED_VALUE"""),"kids")</f>
        <v>kids</v>
      </c>
      <c r="M267" s="49"/>
      <c r="N267" s="49" t="str">
        <f>IFERROR(__xludf.DUMMYFUNCTION("""COMPUTED_VALUE"""),"collection")</f>
        <v>collection</v>
      </c>
      <c r="O267" s="49" t="str">
        <f>IFERROR(__xludf.DUMMYFUNCTION("""COMPUTED_VALUE"""),"purpose")</f>
        <v>purpose</v>
      </c>
      <c r="P267" s="49" t="str">
        <f t="shared" si="2"/>
        <v>big,</v>
      </c>
      <c r="Q267" s="49"/>
      <c r="R267" s="50" t="s">
        <v>4606</v>
      </c>
      <c r="S267" s="55" t="s">
        <v>1642</v>
      </c>
      <c r="T267" s="49" t="str">
        <f>IFERROR(__xludf.DUMMYFUNCTION("""COMPUTED_VALUE"""),"found")</f>
        <v>found</v>
      </c>
      <c r="U267" s="49"/>
      <c r="V267" s="49" t="str">
        <f>IFERROR(__xludf.DUMMYFUNCTION("""COMPUTED_VALUE"""),"inner")</f>
        <v>inner</v>
      </c>
      <c r="W267" s="49" t="str">
        <f>IFERROR(__xludf.DUMMYFUNCTION("""COMPUTED_VALUE"""),"vulnerable")</f>
        <v>vulnerable</v>
      </c>
      <c r="X267" s="49" t="str">
        <f t="shared" si="3"/>
        <v>crush,</v>
      </c>
      <c r="Y267" s="49"/>
      <c r="Z267" s="1" t="s">
        <v>4594</v>
      </c>
      <c r="AA267" s="1" t="s">
        <v>1818</v>
      </c>
      <c r="AB267" s="49" t="str">
        <f>IFERROR(__xludf.DUMMYFUNCTION("""COMPUTED_VALUE"""),"protagonists")</f>
        <v>protagonists</v>
      </c>
      <c r="AC267" s="49"/>
      <c r="AD267" s="49" t="str">
        <f>IFERROR(__xludf.DUMMYFUNCTION("""COMPUTED_VALUE"""),"collection")</f>
        <v>collection</v>
      </c>
      <c r="AE267" s="49" t="str">
        <f>IFERROR(__xludf.DUMMYFUNCTION("""COMPUTED_VALUE"""),"purpose")</f>
        <v>purpose</v>
      </c>
      <c r="AF267" s="49" t="str">
        <f t="shared" si="4"/>
        <v>annoying,</v>
      </c>
      <c r="AG267" s="49"/>
      <c r="AH267" s="1" t="s">
        <v>2740</v>
      </c>
      <c r="AI267" s="1" t="s">
        <v>1171</v>
      </c>
      <c r="AJ267" s="6" t="str">
        <f>IFERROR(__xludf.DUMMYFUNCTION("""COMPUTED_VALUE"""),"becoming")</f>
        <v>becoming</v>
      </c>
      <c r="AK267" s="49"/>
      <c r="AL267" s="49"/>
      <c r="AM267" s="49"/>
      <c r="AN267" s="52" t="str">
        <f t="shared" si="5"/>
        <v>surface,</v>
      </c>
    </row>
    <row r="268">
      <c r="A268" s="51" t="s">
        <v>1824</v>
      </c>
      <c r="B268" s="50" t="s">
        <v>3224</v>
      </c>
      <c r="C268" s="50" t="s">
        <v>1179</v>
      </c>
      <c r="D268" s="49" t="str">
        <f>IFERROR(__xludf.DUMMYFUNCTION("""COMPUTED_VALUE"""),"science")</f>
        <v>science</v>
      </c>
      <c r="E268" s="49"/>
      <c r="F268" s="49"/>
      <c r="G268" s="49" t="str">
        <f>IFERROR(__xludf.DUMMYFUNCTION("""COMPUTED_VALUE"""),"neutral")</f>
        <v>neutral</v>
      </c>
      <c r="H268" s="54" t="str">
        <f t="shared" si="1"/>
        <v>rest,</v>
      </c>
      <c r="I268" s="50"/>
      <c r="J268" s="50" t="s">
        <v>3316</v>
      </c>
      <c r="K268" s="50" t="s">
        <v>1524</v>
      </c>
      <c r="L268" s="49" t="str">
        <f>IFERROR(__xludf.DUMMYFUNCTION("""COMPUTED_VALUE"""),"sex")</f>
        <v>sex</v>
      </c>
      <c r="M268" s="49"/>
      <c r="N268" s="49" t="str">
        <f>IFERROR(__xludf.DUMMYFUNCTION("""COMPUTED_VALUE"""),"considered")</f>
        <v>considered</v>
      </c>
      <c r="O268" s="49" t="str">
        <f>IFERROR(__xludf.DUMMYFUNCTION("""COMPUTED_VALUE"""),"triumphant")</f>
        <v>triumphant</v>
      </c>
      <c r="P268" s="49" t="str">
        <f t="shared" si="2"/>
        <v>substantial,</v>
      </c>
      <c r="Q268" s="49"/>
      <c r="R268" s="50" t="s">
        <v>6421</v>
      </c>
      <c r="S268" s="55" t="s">
        <v>4571</v>
      </c>
      <c r="T268" s="49" t="str">
        <f>IFERROR(__xludf.DUMMYFUNCTION("""COMPUTED_VALUE"""),"worst")</f>
        <v>worst</v>
      </c>
      <c r="U268" s="49"/>
      <c r="V268" s="49" t="str">
        <f>IFERROR(__xludf.DUMMYFUNCTION("""COMPUTED_VALUE"""),"deserved")</f>
        <v>deserved</v>
      </c>
      <c r="W268" s="49" t="str">
        <f>IFERROR(__xludf.DUMMYFUNCTION("""COMPUTED_VALUE"""),"watts")</f>
        <v>watts</v>
      </c>
      <c r="X268" s="49" t="str">
        <f t="shared" si="3"/>
        <v>earth,</v>
      </c>
      <c r="Y268" s="49"/>
      <c r="Z268" s="1" t="s">
        <v>915</v>
      </c>
      <c r="AA268" s="1" t="s">
        <v>344</v>
      </c>
      <c r="AB268" s="49" t="str">
        <f>IFERROR(__xludf.DUMMYFUNCTION("""COMPUTED_VALUE"""),"script")</f>
        <v>script</v>
      </c>
      <c r="AC268" s="49"/>
      <c r="AD268" s="49" t="str">
        <f>IFERROR(__xludf.DUMMYFUNCTION("""COMPUTED_VALUE"""),"considered")</f>
        <v>considered</v>
      </c>
      <c r="AE268" s="49" t="str">
        <f>IFERROR(__xludf.DUMMYFUNCTION("""COMPUTED_VALUE"""),"triumphant")</f>
        <v>triumphant</v>
      </c>
      <c r="AF268" s="49" t="str">
        <f t="shared" si="4"/>
        <v>laughs,</v>
      </c>
      <c r="AG268" s="49"/>
      <c r="AH268" s="1" t="s">
        <v>4502</v>
      </c>
      <c r="AI268" s="1" t="s">
        <v>6304</v>
      </c>
      <c r="AJ268" s="6" t="str">
        <f>IFERROR(__xludf.DUMMYFUNCTION("""COMPUTED_VALUE"""),"influence")</f>
        <v>influence</v>
      </c>
      <c r="AK268" s="49"/>
      <c r="AL268" s="49"/>
      <c r="AM268" s="49"/>
      <c r="AN268" s="52" t="str">
        <f t="shared" si="5"/>
        <v>becoming,</v>
      </c>
    </row>
    <row r="269">
      <c r="A269" s="51" t="s">
        <v>1500</v>
      </c>
      <c r="B269" s="50" t="s">
        <v>6664</v>
      </c>
      <c r="C269" s="50" t="s">
        <v>1453</v>
      </c>
      <c r="D269" s="49" t="str">
        <f>IFERROR(__xludf.DUMMYFUNCTION("""COMPUTED_VALUE"""),"theatre")</f>
        <v>theatre</v>
      </c>
      <c r="E269" s="49"/>
      <c r="F269" s="49"/>
      <c r="G269" s="49" t="str">
        <f>IFERROR(__xludf.DUMMYFUNCTION("""COMPUTED_VALUE"""),"singh")</f>
        <v>singh</v>
      </c>
      <c r="H269" s="54" t="str">
        <f t="shared" si="1"/>
        <v>killed,</v>
      </c>
      <c r="I269" s="50"/>
      <c r="J269" s="50" t="s">
        <v>1393</v>
      </c>
      <c r="K269" s="50" t="s">
        <v>257</v>
      </c>
      <c r="L269" s="49" t="str">
        <f>IFERROR(__xludf.DUMMYFUNCTION("""COMPUTED_VALUE"""),"lawrence")</f>
        <v>lawrence</v>
      </c>
      <c r="M269" s="49"/>
      <c r="N269" s="49" t="str">
        <f>IFERROR(__xludf.DUMMYFUNCTION("""COMPUTED_VALUE"""),"tv")</f>
        <v>tv</v>
      </c>
      <c r="O269" s="49" t="str">
        <f>IFERROR(__xludf.DUMMYFUNCTION("""COMPUTED_VALUE"""),"wry")</f>
        <v>wry</v>
      </c>
      <c r="P269" s="49" t="str">
        <f t="shared" si="2"/>
        <v>brings,</v>
      </c>
      <c r="Q269" s="49"/>
      <c r="R269" s="50" t="s">
        <v>1204</v>
      </c>
      <c r="S269" s="55" t="s">
        <v>677</v>
      </c>
      <c r="T269" s="49" t="str">
        <f>IFERROR(__xludf.DUMMYFUNCTION("""COMPUTED_VALUE"""),"disappointing")</f>
        <v>disappointing</v>
      </c>
      <c r="U269" s="49"/>
      <c r="V269" s="49" t="str">
        <f>IFERROR(__xludf.DUMMYFUNCTION("""COMPUTED_VALUE"""),"cross")</f>
        <v>cross</v>
      </c>
      <c r="W269" s="49" t="str">
        <f>IFERROR(__xludf.DUMMYFUNCTION("""COMPUTED_VALUE"""),"force")</f>
        <v>force</v>
      </c>
      <c r="X269" s="49" t="str">
        <f t="shared" si="3"/>
        <v>predictable,</v>
      </c>
      <c r="Y269" s="49"/>
      <c r="Z269" s="1" t="s">
        <v>6309</v>
      </c>
      <c r="AA269" s="1" t="s">
        <v>1827</v>
      </c>
      <c r="AB269" s="49" t="str">
        <f>IFERROR(__xludf.DUMMYFUNCTION("""COMPUTED_VALUE"""),"comedies")</f>
        <v>comedies</v>
      </c>
      <c r="AC269" s="49"/>
      <c r="AD269" s="49" t="str">
        <f>IFERROR(__xludf.DUMMYFUNCTION("""COMPUTED_VALUE"""),"tv")</f>
        <v>tv</v>
      </c>
      <c r="AE269" s="49" t="str">
        <f>IFERROR(__xludf.DUMMYFUNCTION("""COMPUTED_VALUE"""),"wry")</f>
        <v>wry</v>
      </c>
      <c r="AF269" s="49" t="str">
        <f t="shared" si="4"/>
        <v>acting,</v>
      </c>
      <c r="AG269" s="49"/>
      <c r="AH269" s="1" t="s">
        <v>6678</v>
      </c>
      <c r="AI269" s="1" t="s">
        <v>542</v>
      </c>
      <c r="AJ269" s="6" t="str">
        <f>IFERROR(__xludf.DUMMYFUNCTION("""COMPUTED_VALUE"""),"murder")</f>
        <v>murder</v>
      </c>
      <c r="AK269" s="49"/>
      <c r="AL269" s="49"/>
      <c r="AM269" s="49"/>
      <c r="AN269" s="52" t="str">
        <f t="shared" si="5"/>
        <v>influence,</v>
      </c>
    </row>
    <row r="270">
      <c r="A270" s="51" t="s">
        <v>1832</v>
      </c>
      <c r="B270" s="50" t="s">
        <v>3426</v>
      </c>
      <c r="C270" s="50" t="s">
        <v>1186</v>
      </c>
      <c r="D270" s="49" t="str">
        <f>IFERROR(__xludf.DUMMYFUNCTION("""COMPUTED_VALUE"""),"build")</f>
        <v>build</v>
      </c>
      <c r="E270" s="49"/>
      <c r="F270" s="49"/>
      <c r="G270" s="49" t="str">
        <f>IFERROR(__xludf.DUMMYFUNCTION("""COMPUTED_VALUE"""),"mud")</f>
        <v>mud</v>
      </c>
      <c r="H270" s="54" t="str">
        <f t="shared" si="1"/>
        <v>mean,</v>
      </c>
      <c r="I270" s="50"/>
      <c r="J270" s="50" t="s">
        <v>2514</v>
      </c>
      <c r="K270" s="50" t="s">
        <v>1836</v>
      </c>
      <c r="L270" s="49" t="str">
        <f>IFERROR(__xludf.DUMMYFUNCTION("""COMPUTED_VALUE"""),"logic")</f>
        <v>logic</v>
      </c>
      <c r="M270" s="49"/>
      <c r="N270" s="49" t="str">
        <f>IFERROR(__xludf.DUMMYFUNCTION("""COMPUTED_VALUE"""),"liked")</f>
        <v>liked</v>
      </c>
      <c r="O270" s="49" t="str">
        <f>IFERROR(__xludf.DUMMYFUNCTION("""COMPUTED_VALUE"""),"plots")</f>
        <v>plots</v>
      </c>
      <c r="P270" s="49" t="str">
        <f t="shared" si="2"/>
        <v>check,</v>
      </c>
      <c r="Q270" s="49"/>
      <c r="R270" s="50" t="s">
        <v>4305</v>
      </c>
      <c r="S270" s="55" t="s">
        <v>681</v>
      </c>
      <c r="T270" s="49" t="str">
        <f>IFERROR(__xludf.DUMMYFUNCTION("""COMPUTED_VALUE"""),"could")</f>
        <v>could</v>
      </c>
      <c r="U270" s="49"/>
      <c r="V270" s="49" t="str">
        <f>IFERROR(__xludf.DUMMYFUNCTION("""COMPUTED_VALUE"""),"advertisement")</f>
        <v>advertisement</v>
      </c>
      <c r="W270" s="49" t="str">
        <f>IFERROR(__xludf.DUMMYFUNCTION("""COMPUTED_VALUE"""),"thriller")</f>
        <v>thriller</v>
      </c>
      <c r="X270" s="49" t="str">
        <f t="shared" si="3"/>
        <v>novel,</v>
      </c>
      <c r="Y270" s="49"/>
      <c r="Z270" s="1" t="s">
        <v>172</v>
      </c>
      <c r="AA270" s="1" t="s">
        <v>599</v>
      </c>
      <c r="AB270" s="49" t="str">
        <f>IFERROR(__xludf.DUMMYFUNCTION("""COMPUTED_VALUE"""),"camp")</f>
        <v>camp</v>
      </c>
      <c r="AC270" s="49"/>
      <c r="AD270" s="49" t="str">
        <f>IFERROR(__xludf.DUMMYFUNCTION("""COMPUTED_VALUE"""),"liked")</f>
        <v>liked</v>
      </c>
      <c r="AE270" s="49" t="str">
        <f>IFERROR(__xludf.DUMMYFUNCTION("""COMPUTED_VALUE"""),"plots")</f>
        <v>plots</v>
      </c>
      <c r="AF270" s="49" t="str">
        <f t="shared" si="4"/>
        <v>long,</v>
      </c>
      <c r="AG270" s="49"/>
      <c r="AH270" s="1" t="s">
        <v>2463</v>
      </c>
      <c r="AI270" s="1" t="s">
        <v>290</v>
      </c>
      <c r="AJ270" s="6" t="str">
        <f>IFERROR(__xludf.DUMMYFUNCTION("""COMPUTED_VALUE"""),"beneath")</f>
        <v>beneath</v>
      </c>
      <c r="AK270" s="49"/>
      <c r="AL270" s="49"/>
      <c r="AM270" s="49"/>
      <c r="AN270" s="52" t="str">
        <f t="shared" si="5"/>
        <v>murder,</v>
      </c>
    </row>
    <row r="271">
      <c r="A271" s="51" t="s">
        <v>1837</v>
      </c>
      <c r="B271" s="50" t="s">
        <v>3481</v>
      </c>
      <c r="C271" s="50" t="s">
        <v>709</v>
      </c>
      <c r="D271" s="49" t="str">
        <f>IFERROR(__xludf.DUMMYFUNCTION("""COMPUTED_VALUE"""),"website")</f>
        <v>website</v>
      </c>
      <c r="E271" s="49"/>
      <c r="F271" s="49"/>
      <c r="G271" s="49" t="str">
        <f>IFERROR(__xludf.DUMMYFUNCTION("""COMPUTED_VALUE"""),"requiring")</f>
        <v>requiring</v>
      </c>
      <c r="H271" s="54" t="str">
        <f t="shared" si="1"/>
        <v>parents,</v>
      </c>
      <c r="I271" s="50"/>
      <c r="J271" s="50" t="s">
        <v>1209</v>
      </c>
      <c r="K271" s="50" t="s">
        <v>1545</v>
      </c>
      <c r="L271" s="49" t="str">
        <f>IFERROR(__xludf.DUMMYFUNCTION("""COMPUTED_VALUE"""),"tone")</f>
        <v>tone</v>
      </c>
      <c r="M271" s="49"/>
      <c r="N271" s="49" t="str">
        <f>IFERROR(__xludf.DUMMYFUNCTION("""COMPUTED_VALUE"""),"reluctant")</f>
        <v>reluctant</v>
      </c>
      <c r="O271" s="49" t="str">
        <f>IFERROR(__xludf.DUMMYFUNCTION("""COMPUTED_VALUE"""),"colors")</f>
        <v>colors</v>
      </c>
      <c r="P271" s="49" t="str">
        <f t="shared" si="2"/>
        <v>brilliant,</v>
      </c>
      <c r="Q271" s="49"/>
      <c r="R271" s="50" t="s">
        <v>900</v>
      </c>
      <c r="S271" s="55" t="s">
        <v>172</v>
      </c>
      <c r="T271" s="49" t="str">
        <f>IFERROR(__xludf.DUMMYFUNCTION("""COMPUTED_VALUE"""),"worse")</f>
        <v>worse</v>
      </c>
      <c r="U271" s="49"/>
      <c r="V271" s="49" t="str">
        <f>IFERROR(__xludf.DUMMYFUNCTION("""COMPUTED_VALUE"""),"deserves")</f>
        <v>deserves</v>
      </c>
      <c r="W271" s="49" t="str">
        <f>IFERROR(__xludf.DUMMYFUNCTION("""COMPUTED_VALUE"""),"maternal")</f>
        <v>maternal</v>
      </c>
      <c r="X271" s="49" t="str">
        <f t="shared" si="3"/>
        <v>said,</v>
      </c>
      <c r="Y271" s="49"/>
      <c r="Z271" s="1" t="s">
        <v>1119</v>
      </c>
      <c r="AA271" s="1" t="s">
        <v>1838</v>
      </c>
      <c r="AB271" s="49" t="str">
        <f>IFERROR(__xludf.DUMMYFUNCTION("""COMPUTED_VALUE"""),"happens")</f>
        <v>happens</v>
      </c>
      <c r="AC271" s="49"/>
      <c r="AD271" s="49" t="str">
        <f>IFERROR(__xludf.DUMMYFUNCTION("""COMPUTED_VALUE"""),"reluctant")</f>
        <v>reluctant</v>
      </c>
      <c r="AE271" s="49" t="str">
        <f>IFERROR(__xludf.DUMMYFUNCTION("""COMPUTED_VALUE"""),"colors")</f>
        <v>colors</v>
      </c>
      <c r="AF271" s="49" t="str">
        <f t="shared" si="4"/>
        <v>thing,</v>
      </c>
      <c r="AG271" s="49"/>
      <c r="AH271" s="1" t="s">
        <v>2009</v>
      </c>
      <c r="AI271" s="1" t="s">
        <v>653</v>
      </c>
      <c r="AJ271" s="6" t="str">
        <f>IFERROR(__xludf.DUMMYFUNCTION("""COMPUTED_VALUE"""),"sight")</f>
        <v>sight</v>
      </c>
      <c r="AK271" s="49"/>
      <c r="AL271" s="49"/>
      <c r="AM271" s="49"/>
      <c r="AN271" s="52" t="str">
        <f t="shared" si="5"/>
        <v>beneath,</v>
      </c>
    </row>
    <row r="272">
      <c r="A272" s="51" t="s">
        <v>1842</v>
      </c>
      <c r="B272" s="50" t="s">
        <v>6405</v>
      </c>
      <c r="C272" s="50" t="s">
        <v>1192</v>
      </c>
      <c r="D272" s="49" t="str">
        <f>IFERROR(__xludf.DUMMYFUNCTION("""COMPUTED_VALUE"""),"theater")</f>
        <v>theater</v>
      </c>
      <c r="E272" s="49"/>
      <c r="F272" s="49"/>
      <c r="G272" s="49" t="str">
        <f>IFERROR(__xludf.DUMMYFUNCTION("""COMPUTED_VALUE"""),"appointed")</f>
        <v>appointed</v>
      </c>
      <c r="H272" s="54" t="str">
        <f t="shared" si="1"/>
        <v>okay,</v>
      </c>
      <c r="I272" s="50"/>
      <c r="J272" s="50" t="s">
        <v>4207</v>
      </c>
      <c r="K272" s="50" t="s">
        <v>250</v>
      </c>
      <c r="L272" s="49" t="str">
        <f>IFERROR(__xludf.DUMMYFUNCTION("""COMPUTED_VALUE"""),"death")</f>
        <v>death</v>
      </c>
      <c r="M272" s="49"/>
      <c r="N272" s="49" t="str">
        <f>IFERROR(__xludf.DUMMYFUNCTION("""COMPUTED_VALUE"""),"program")</f>
        <v>program</v>
      </c>
      <c r="O272" s="49" t="str">
        <f>IFERROR(__xludf.DUMMYFUNCTION("""COMPUTED_VALUE"""),"drown")</f>
        <v>drown</v>
      </c>
      <c r="P272" s="49" t="str">
        <f t="shared" si="2"/>
        <v>michael,</v>
      </c>
      <c r="Q272" s="49"/>
      <c r="R272" s="50" t="s">
        <v>1497</v>
      </c>
      <c r="S272" s="55" t="s">
        <v>684</v>
      </c>
      <c r="T272" s="49" t="str">
        <f>IFERROR(__xludf.DUMMYFUNCTION("""COMPUTED_VALUE"""),"hardly")</f>
        <v>hardly</v>
      </c>
      <c r="U272" s="49"/>
      <c r="V272" s="49" t="str">
        <f>IFERROR(__xludf.DUMMYFUNCTION("""COMPUTED_VALUE"""),"room")</f>
        <v>room</v>
      </c>
      <c r="W272" s="49" t="str">
        <f>IFERROR(__xludf.DUMMYFUNCTION("""COMPUTED_VALUE"""),"atop")</f>
        <v>atop</v>
      </c>
      <c r="X272" s="49" t="str">
        <f t="shared" si="3"/>
        <v>successful,</v>
      </c>
      <c r="Y272" s="49"/>
      <c r="Z272" s="1" t="s">
        <v>4631</v>
      </c>
      <c r="AA272" s="1" t="s">
        <v>192</v>
      </c>
      <c r="AB272" s="49" t="str">
        <f>IFERROR(__xludf.DUMMYFUNCTION("""COMPUTED_VALUE"""),"copy")</f>
        <v>copy</v>
      </c>
      <c r="AC272" s="49"/>
      <c r="AD272" s="49" t="str">
        <f>IFERROR(__xludf.DUMMYFUNCTION("""COMPUTED_VALUE"""),"program")</f>
        <v>program</v>
      </c>
      <c r="AE272" s="49" t="str">
        <f>IFERROR(__xludf.DUMMYFUNCTION("""COMPUTED_VALUE"""),"drown")</f>
        <v>drown</v>
      </c>
      <c r="AF272" s="49" t="str">
        <f t="shared" si="4"/>
        <v>exactly,</v>
      </c>
      <c r="AG272" s="49"/>
      <c r="AH272" s="1" t="s">
        <v>4844</v>
      </c>
      <c r="AI272" s="1" t="s">
        <v>1370</v>
      </c>
      <c r="AJ272" s="6" t="str">
        <f>IFERROR(__xludf.DUMMYFUNCTION("""COMPUTED_VALUE"""),"yourself")</f>
        <v>yourself</v>
      </c>
      <c r="AK272" s="49"/>
      <c r="AL272" s="49"/>
      <c r="AM272" s="49"/>
      <c r="AN272" s="52" t="str">
        <f t="shared" si="5"/>
        <v>sight,</v>
      </c>
    </row>
    <row r="273">
      <c r="A273" s="51" t="s">
        <v>1844</v>
      </c>
      <c r="B273" s="50" t="s">
        <v>410</v>
      </c>
      <c r="C273" s="50" t="s">
        <v>1555</v>
      </c>
      <c r="D273" s="49" t="str">
        <f>IFERROR(__xludf.DUMMYFUNCTION("""COMPUTED_VALUE"""),"mystery")</f>
        <v>mystery</v>
      </c>
      <c r="E273" s="49"/>
      <c r="F273" s="49"/>
      <c r="G273" s="49" t="str">
        <f>IFERROR(__xludf.DUMMYFUNCTION("""COMPUTED_VALUE"""),"roster")</f>
        <v>roster</v>
      </c>
      <c r="H273" s="54" t="str">
        <f t="shared" si="1"/>
        <v>ways,</v>
      </c>
      <c r="I273" s="50"/>
      <c r="J273" s="50" t="s">
        <v>4836</v>
      </c>
      <c r="K273" s="50" t="s">
        <v>241</v>
      </c>
      <c r="L273" s="49" t="str">
        <f>IFERROR(__xludf.DUMMYFUNCTION("""COMPUTED_VALUE"""),"protagonist")</f>
        <v>protagonist</v>
      </c>
      <c r="M273" s="49"/>
      <c r="N273" s="49" t="str">
        <f>IFERROR(__xludf.DUMMYFUNCTION("""COMPUTED_VALUE"""),"daughter")</f>
        <v>daughter</v>
      </c>
      <c r="O273" s="49" t="str">
        <f>IFERROR(__xludf.DUMMYFUNCTION("""COMPUTED_VALUE"""),"bombs")</f>
        <v>bombs</v>
      </c>
      <c r="P273" s="49" t="str">
        <f t="shared" si="2"/>
        <v>kiss,</v>
      </c>
      <c r="Q273" s="49"/>
      <c r="R273" s="50" t="s">
        <v>955</v>
      </c>
      <c r="S273" s="55" t="s">
        <v>688</v>
      </c>
      <c r="T273" s="49" t="str">
        <f>IFERROR(__xludf.DUMMYFUNCTION("""COMPUTED_VALUE"""),"glow")</f>
        <v>glow</v>
      </c>
      <c r="U273" s="49"/>
      <c r="V273" s="49" t="str">
        <f>IFERROR(__xludf.DUMMYFUNCTION("""COMPUTED_VALUE"""),"stories")</f>
        <v>stories</v>
      </c>
      <c r="W273" s="49" t="str">
        <f>IFERROR(__xludf.DUMMYFUNCTION("""COMPUTED_VALUE"""),"risks")</f>
        <v>risks</v>
      </c>
      <c r="X273" s="49" t="str">
        <f t="shared" si="3"/>
        <v>times,</v>
      </c>
      <c r="Y273" s="49"/>
      <c r="Z273" s="1" t="s">
        <v>3830</v>
      </c>
      <c r="AA273" s="1" t="s">
        <v>1845</v>
      </c>
      <c r="AB273" s="49" t="str">
        <f>IFERROR(__xludf.DUMMYFUNCTION("""COMPUTED_VALUE"""),"critics")</f>
        <v>critics</v>
      </c>
      <c r="AC273" s="49"/>
      <c r="AD273" s="49" t="str">
        <f>IFERROR(__xludf.DUMMYFUNCTION("""COMPUTED_VALUE"""),"daughter")</f>
        <v>daughter</v>
      </c>
      <c r="AE273" s="49" t="str">
        <f>IFERROR(__xludf.DUMMYFUNCTION("""COMPUTED_VALUE"""),"bombs")</f>
        <v>bombs</v>
      </c>
      <c r="AF273" s="49" t="str">
        <f t="shared" si="4"/>
        <v>pass,</v>
      </c>
      <c r="AG273" s="49"/>
      <c r="AH273" s="1" t="s">
        <v>2458</v>
      </c>
      <c r="AI273" s="1" t="s">
        <v>1378</v>
      </c>
      <c r="AJ273" s="6" t="str">
        <f>IFERROR(__xludf.DUMMYFUNCTION("""COMPUTED_VALUE"""),"values")</f>
        <v>values</v>
      </c>
      <c r="AK273" s="49"/>
      <c r="AL273" s="49"/>
      <c r="AM273" s="49"/>
      <c r="AN273" s="52" t="str">
        <f t="shared" si="5"/>
        <v>yourself,</v>
      </c>
    </row>
    <row r="274">
      <c r="A274" s="51" t="s">
        <v>1849</v>
      </c>
      <c r="B274" s="50" t="s">
        <v>3455</v>
      </c>
      <c r="C274" s="50" t="s">
        <v>724</v>
      </c>
      <c r="D274" s="49" t="str">
        <f>IFERROR(__xludf.DUMMYFUNCTION("""COMPUTED_VALUE"""),"em")</f>
        <v>em</v>
      </c>
      <c r="E274" s="49"/>
      <c r="F274" s="49"/>
      <c r="G274" s="49" t="str">
        <f>IFERROR(__xludf.DUMMYFUNCTION("""COMPUTED_VALUE"""),"afford")</f>
        <v>afford</v>
      </c>
      <c r="H274" s="54" t="str">
        <f t="shared" si="1"/>
        <v>anyway,</v>
      </c>
      <c r="I274" s="50"/>
      <c r="J274" s="50" t="s">
        <v>3646</v>
      </c>
      <c r="K274" s="50" t="s">
        <v>909</v>
      </c>
      <c r="L274" s="49" t="str">
        <f>IFERROR(__xludf.DUMMYFUNCTION("""COMPUTED_VALUE"""),"rich")</f>
        <v>rich</v>
      </c>
      <c r="M274" s="49"/>
      <c r="N274" s="49" t="str">
        <f>IFERROR(__xludf.DUMMYFUNCTION("""COMPUTED_VALUE"""),"favorite")</f>
        <v>favorite</v>
      </c>
      <c r="O274" s="49" t="str">
        <f>IFERROR(__xludf.DUMMYFUNCTION("""COMPUTED_VALUE"""),"stories")</f>
        <v>stories</v>
      </c>
      <c r="P274" s="49" t="str">
        <f t="shared" si="2"/>
        <v>o,</v>
      </c>
      <c r="Q274" s="49"/>
      <c r="R274" s="50" t="s">
        <v>3668</v>
      </c>
      <c r="S274" s="55" t="s">
        <v>1440</v>
      </c>
      <c r="T274" s="49" t="str">
        <f>IFERROR(__xludf.DUMMYFUNCTION("""COMPUTED_VALUE"""),"day")</f>
        <v>day</v>
      </c>
      <c r="U274" s="49"/>
      <c r="V274" s="49" t="str">
        <f>IFERROR(__xludf.DUMMYFUNCTION("""COMPUTED_VALUE"""),"campus")</f>
        <v>campus</v>
      </c>
      <c r="W274" s="49" t="str">
        <f>IFERROR(__xludf.DUMMYFUNCTION("""COMPUTED_VALUE"""),"progresses")</f>
        <v>progresses</v>
      </c>
      <c r="X274" s="49" t="str">
        <f t="shared" si="3"/>
        <v>hope,</v>
      </c>
      <c r="Y274" s="49"/>
      <c r="Z274" s="1" t="s">
        <v>6464</v>
      </c>
      <c r="AA274" s="1" t="s">
        <v>997</v>
      </c>
      <c r="AB274" s="49" t="str">
        <f>IFERROR(__xludf.DUMMYFUNCTION("""COMPUTED_VALUE"""),"bore")</f>
        <v>bore</v>
      </c>
      <c r="AC274" s="49"/>
      <c r="AD274" s="49" t="str">
        <f>IFERROR(__xludf.DUMMYFUNCTION("""COMPUTED_VALUE"""),"favorite")</f>
        <v>favorite</v>
      </c>
      <c r="AE274" s="49" t="str">
        <f>IFERROR(__xludf.DUMMYFUNCTION("""COMPUTED_VALUE"""),"stories")</f>
        <v>stories</v>
      </c>
      <c r="AF274" s="49" t="str">
        <f t="shared" si="4"/>
        <v>jim,</v>
      </c>
      <c r="AG274" s="49"/>
      <c r="AH274" s="1" t="s">
        <v>5374</v>
      </c>
      <c r="AI274" s="1" t="b">
        <v>1</v>
      </c>
      <c r="AJ274" s="6" t="str">
        <f>IFERROR(__xludf.DUMMYFUNCTION("""COMPUTED_VALUE"""),"sick")</f>
        <v>sick</v>
      </c>
      <c r="AK274" s="49"/>
      <c r="AL274" s="49"/>
      <c r="AM274" s="49"/>
      <c r="AN274" s="52" t="str">
        <f t="shared" si="5"/>
        <v>values,</v>
      </c>
    </row>
    <row r="275">
      <c r="A275" s="51" t="s">
        <v>1854</v>
      </c>
      <c r="B275" s="50" t="s">
        <v>3858</v>
      </c>
      <c r="C275" s="50" t="s">
        <v>191</v>
      </c>
      <c r="D275" s="49" t="str">
        <f>IFERROR(__xludf.DUMMYFUNCTION("""COMPUTED_VALUE"""),"work")</f>
        <v>work</v>
      </c>
      <c r="E275" s="49"/>
      <c r="F275" s="49"/>
      <c r="G275" s="49" t="str">
        <f>IFERROR(__xludf.DUMMYFUNCTION("""COMPUTED_VALUE"""),"stroke")</f>
        <v>stroke</v>
      </c>
      <c r="H275" s="54" t="str">
        <f t="shared" si="1"/>
        <v>evil,</v>
      </c>
      <c r="I275" s="50"/>
      <c r="J275" s="50" t="s">
        <v>605</v>
      </c>
      <c r="K275" s="50" t="s">
        <v>1564</v>
      </c>
      <c r="L275" s="49" t="str">
        <f>IFERROR(__xludf.DUMMYFUNCTION("""COMPUTED_VALUE"""),"star")</f>
        <v>star</v>
      </c>
      <c r="M275" s="49"/>
      <c r="N275" s="49" t="str">
        <f>IFERROR(__xludf.DUMMYFUNCTION("""COMPUTED_VALUE"""),"mostly")</f>
        <v>mostly</v>
      </c>
      <c r="O275" s="49" t="str">
        <f>IFERROR(__xludf.DUMMYFUNCTION("""COMPUTED_VALUE"""),"stupidity")</f>
        <v>stupidity</v>
      </c>
      <c r="P275" s="49" t="str">
        <f t="shared" si="2"/>
        <v>manages,</v>
      </c>
      <c r="Q275" s="49"/>
      <c r="R275" s="50" t="s">
        <v>2797</v>
      </c>
      <c r="S275" s="55" t="s">
        <v>159</v>
      </c>
      <c r="T275" s="49" t="str">
        <f>IFERROR(__xludf.DUMMYFUNCTION("""COMPUTED_VALUE"""),"set")</f>
        <v>set</v>
      </c>
      <c r="U275" s="49"/>
      <c r="V275" s="49" t="str">
        <f>IFERROR(__xludf.DUMMYFUNCTION("""COMPUTED_VALUE"""),"met")</f>
        <v>met</v>
      </c>
      <c r="W275" s="49" t="str">
        <f>IFERROR(__xludf.DUMMYFUNCTION("""COMPUTED_VALUE"""),"manner")</f>
        <v>manner</v>
      </c>
      <c r="X275" s="49" t="str">
        <f t="shared" si="3"/>
        <v>space,</v>
      </c>
      <c r="Y275" s="49"/>
      <c r="Z275" s="1" t="s">
        <v>965</v>
      </c>
      <c r="AA275" s="1" t="s">
        <v>202</v>
      </c>
      <c r="AB275" s="49" t="str">
        <f>IFERROR(__xludf.DUMMYFUNCTION("""COMPUTED_VALUE"""),"date")</f>
        <v>date</v>
      </c>
      <c r="AC275" s="49"/>
      <c r="AD275" s="49" t="str">
        <f>IFERROR(__xludf.DUMMYFUNCTION("""COMPUTED_VALUE"""),"mostly")</f>
        <v>mostly</v>
      </c>
      <c r="AE275" s="49" t="str">
        <f>IFERROR(__xludf.DUMMYFUNCTION("""COMPUTED_VALUE"""),"stupidity")</f>
        <v>stupidity</v>
      </c>
      <c r="AF275" s="49" t="str">
        <f t="shared" si="4"/>
        <v>felt,</v>
      </c>
      <c r="AG275" s="49"/>
      <c r="AH275" s="1" t="s">
        <v>4862</v>
      </c>
      <c r="AI275" s="1" t="s">
        <v>545</v>
      </c>
      <c r="AJ275" s="6" t="str">
        <f>IFERROR(__xludf.DUMMYFUNCTION("""COMPUTED_VALUE"""),"twisted")</f>
        <v>twisted</v>
      </c>
      <c r="AK275" s="49"/>
      <c r="AL275" s="49"/>
      <c r="AM275" s="49"/>
      <c r="AN275" s="52" t="str">
        <f t="shared" si="5"/>
        <v>sick,</v>
      </c>
    </row>
    <row r="276">
      <c r="A276" s="51" t="s">
        <v>1858</v>
      </c>
      <c r="B276" s="50" t="s">
        <v>6557</v>
      </c>
      <c r="C276" s="50" t="s">
        <v>1127</v>
      </c>
      <c r="D276" s="49" t="str">
        <f>IFERROR(__xludf.DUMMYFUNCTION("""COMPUTED_VALUE"""),"concert")</f>
        <v>concert</v>
      </c>
      <c r="E276" s="49"/>
      <c r="F276" s="49"/>
      <c r="G276" s="49" t="str">
        <f>IFERROR(__xludf.DUMMYFUNCTION("""COMPUTED_VALUE"""),"followers")</f>
        <v>followers</v>
      </c>
      <c r="H276" s="54" t="str">
        <f t="shared" si="1"/>
        <v>tim,</v>
      </c>
      <c r="I276" s="50"/>
      <c r="J276" s="50" t="s">
        <v>2584</v>
      </c>
      <c r="K276" s="50" t="s">
        <v>1862</v>
      </c>
      <c r="L276" s="49" t="str">
        <f>IFERROR(__xludf.DUMMYFUNCTION("""COMPUTED_VALUE"""),"impression")</f>
        <v>impression</v>
      </c>
      <c r="M276" s="49"/>
      <c r="N276" s="49" t="str">
        <f>IFERROR(__xludf.DUMMYFUNCTION("""COMPUTED_VALUE"""),"done")</f>
        <v>done</v>
      </c>
      <c r="O276" s="49" t="str">
        <f>IFERROR(__xludf.DUMMYFUNCTION("""COMPUTED_VALUE"""),"depths")</f>
        <v>depths</v>
      </c>
      <c r="P276" s="49" t="str">
        <f t="shared" si="2"/>
        <v>political,</v>
      </c>
      <c r="Q276" s="49"/>
      <c r="R276" s="50" t="s">
        <v>3128</v>
      </c>
      <c r="S276" s="55" t="s">
        <v>1179</v>
      </c>
      <c r="T276" s="49" t="str">
        <f>IFERROR(__xludf.DUMMYFUNCTION("""COMPUTED_VALUE"""),"middle")</f>
        <v>middle</v>
      </c>
      <c r="U276" s="49"/>
      <c r="V276" s="49" t="str">
        <f>IFERROR(__xludf.DUMMYFUNCTION("""COMPUTED_VALUE"""),"amount")</f>
        <v>amount</v>
      </c>
      <c r="W276" s="49" t="str">
        <f>IFERROR(__xludf.DUMMYFUNCTION("""COMPUTED_VALUE"""),"dover")</f>
        <v>dover</v>
      </c>
      <c r="X276" s="49" t="str">
        <f t="shared" si="3"/>
        <v>hell,</v>
      </c>
      <c r="Y276" s="49"/>
      <c r="Z276" s="1" t="s">
        <v>6559</v>
      </c>
      <c r="AA276" s="1" t="s">
        <v>1008</v>
      </c>
      <c r="AB276" s="49" t="str">
        <f>IFERROR(__xludf.DUMMYFUNCTION("""COMPUTED_VALUE"""),"help")</f>
        <v>help</v>
      </c>
      <c r="AC276" s="49"/>
      <c r="AD276" s="49" t="str">
        <f>IFERROR(__xludf.DUMMYFUNCTION("""COMPUTED_VALUE"""),"done")</f>
        <v>done</v>
      </c>
      <c r="AE276" s="49" t="str">
        <f>IFERROR(__xludf.DUMMYFUNCTION("""COMPUTED_VALUE"""),"depths")</f>
        <v>depths</v>
      </c>
      <c r="AF276" s="49" t="str">
        <f t="shared" si="4"/>
        <v>huge,</v>
      </c>
      <c r="AG276" s="49"/>
      <c r="AH276" s="1" t="s">
        <v>3980</v>
      </c>
      <c r="AI276" s="1" t="s">
        <v>165</v>
      </c>
      <c r="AJ276" s="6" t="str">
        <f>IFERROR(__xludf.DUMMYFUNCTION("""COMPUTED_VALUE"""),"/")</f>
        <v>/</v>
      </c>
      <c r="AK276" s="49"/>
      <c r="AL276" s="49"/>
      <c r="AM276" s="49"/>
      <c r="AN276" s="52" t="str">
        <f t="shared" si="5"/>
        <v>twisted,</v>
      </c>
    </row>
    <row r="277">
      <c r="A277" s="51" t="s">
        <v>1863</v>
      </c>
      <c r="B277" s="50" t="s">
        <v>6345</v>
      </c>
      <c r="C277" s="50" t="s">
        <v>1432</v>
      </c>
      <c r="D277" s="49" t="str">
        <f>IFERROR(__xludf.DUMMYFUNCTION("""COMPUTED_VALUE"""),"deal")</f>
        <v>deal</v>
      </c>
      <c r="E277" s="49"/>
      <c r="F277" s="49"/>
      <c r="G277" s="49" t="str">
        <f>IFERROR(__xludf.DUMMYFUNCTION("""COMPUTED_VALUE"""),"speaks")</f>
        <v>speaks</v>
      </c>
      <c r="H277" s="54" t="str">
        <f t="shared" si="1"/>
        <v>plain,</v>
      </c>
      <c r="I277" s="50"/>
      <c r="J277" s="50" t="s">
        <v>494</v>
      </c>
      <c r="K277" s="50" t="s">
        <v>917</v>
      </c>
      <c r="L277" s="49" t="str">
        <f>IFERROR(__xludf.DUMMYFUNCTION("""COMPUTED_VALUE"""),"robert")</f>
        <v>robert</v>
      </c>
      <c r="M277" s="49"/>
      <c r="N277" s="49" t="str">
        <f>IFERROR(__xludf.DUMMYFUNCTION("""COMPUTED_VALUE"""),"&amp;")</f>
        <v>&amp;</v>
      </c>
      <c r="O277" s="49" t="str">
        <f>IFERROR(__xludf.DUMMYFUNCTION("""COMPUTED_VALUE"""),"decent")</f>
        <v>decent</v>
      </c>
      <c r="P277" s="49" t="str">
        <f t="shared" si="2"/>
        <v>satire,</v>
      </c>
      <c r="Q277" s="49"/>
      <c r="R277" s="50" t="s">
        <v>1389</v>
      </c>
      <c r="S277" s="55" t="s">
        <v>1453</v>
      </c>
      <c r="T277" s="49" t="str">
        <f>IFERROR(__xludf.DUMMYFUNCTION("""COMPUTED_VALUE"""),"historical")</f>
        <v>historical</v>
      </c>
      <c r="U277" s="49"/>
      <c r="V277" s="49" t="str">
        <f>IFERROR(__xludf.DUMMYFUNCTION("""COMPUTED_VALUE"""),"lumber")</f>
        <v>lumber</v>
      </c>
      <c r="W277" s="49" t="str">
        <f>IFERROR(__xludf.DUMMYFUNCTION("""COMPUTED_VALUE"""),"apartheid")</f>
        <v>apartheid</v>
      </c>
      <c r="X277" s="49" t="str">
        <f t="shared" si="3"/>
        <v>third,</v>
      </c>
      <c r="Y277" s="49"/>
      <c r="Z277" s="1" t="s">
        <v>5111</v>
      </c>
      <c r="AA277" s="1" t="s">
        <v>1864</v>
      </c>
      <c r="AB277" s="49" t="str">
        <f>IFERROR(__xludf.DUMMYFUNCTION("""COMPUTED_VALUE"""),"beyond")</f>
        <v>beyond</v>
      </c>
      <c r="AC277" s="49"/>
      <c r="AD277" s="49" t="str">
        <f>IFERROR(__xludf.DUMMYFUNCTION("""COMPUTED_VALUE"""),"&amp;")</f>
        <v>&amp;</v>
      </c>
      <c r="AE277" s="49" t="str">
        <f>IFERROR(__xludf.DUMMYFUNCTION("""COMPUTED_VALUE"""),"decent")</f>
        <v>decent</v>
      </c>
      <c r="AF277" s="49" t="str">
        <f t="shared" si="4"/>
        <v>adam,</v>
      </c>
      <c r="AG277" s="49"/>
      <c r="AH277" s="1" t="s">
        <v>1414</v>
      </c>
      <c r="AI277" s="1" t="s">
        <v>558</v>
      </c>
      <c r="AJ277" s="6" t="str">
        <f>IFERROR(__xludf.DUMMYFUNCTION("""COMPUTED_VALUE"""),"were")</f>
        <v>were</v>
      </c>
      <c r="AK277" s="49"/>
      <c r="AL277" s="49"/>
      <c r="AM277" s="49"/>
      <c r="AN277" s="52" t="str">
        <f t="shared" si="5"/>
        <v>/,</v>
      </c>
    </row>
    <row r="278">
      <c r="A278" s="51" t="s">
        <v>1869</v>
      </c>
      <c r="B278" s="50" t="s">
        <v>3365</v>
      </c>
      <c r="C278" s="50" t="s">
        <v>231</v>
      </c>
      <c r="D278" s="49" t="str">
        <f>IFERROR(__xludf.DUMMYFUNCTION("""COMPUTED_VALUE"""),"direction")</f>
        <v>direction</v>
      </c>
      <c r="E278" s="49"/>
      <c r="F278" s="49"/>
      <c r="G278" s="49" t="str">
        <f>IFERROR(__xludf.DUMMYFUNCTION("""COMPUTED_VALUE"""),"participants")</f>
        <v>participants</v>
      </c>
      <c r="H278" s="54" t="str">
        <f t="shared" si="1"/>
        <v>sees,</v>
      </c>
      <c r="I278" s="50"/>
      <c r="J278" s="50" t="s">
        <v>2489</v>
      </c>
      <c r="K278" s="50" t="s">
        <v>157</v>
      </c>
      <c r="L278" s="49" t="str">
        <f>IFERROR(__xludf.DUMMYFUNCTION("""COMPUTED_VALUE"""),"played")</f>
        <v>played</v>
      </c>
      <c r="M278" s="49"/>
      <c r="N278" s="49" t="str">
        <f>IFERROR(__xludf.DUMMYFUNCTION("""COMPUTED_VALUE"""),"u")</f>
        <v>u</v>
      </c>
      <c r="O278" s="49" t="str">
        <f>IFERROR(__xludf.DUMMYFUNCTION("""COMPUTED_VALUE"""),"complexity")</f>
        <v>complexity</v>
      </c>
      <c r="P278" s="49" t="str">
        <f t="shared" si="2"/>
        <v>couple,</v>
      </c>
      <c r="Q278" s="49"/>
      <c r="R278" s="50" t="s">
        <v>2323</v>
      </c>
      <c r="S278" s="55" t="s">
        <v>1186</v>
      </c>
      <c r="T278" s="49" t="str">
        <f>IFERROR(__xludf.DUMMYFUNCTION("""COMPUTED_VALUE"""),"highly")</f>
        <v>highly</v>
      </c>
      <c r="U278" s="49"/>
      <c r="V278" s="49" t="str">
        <f>IFERROR(__xludf.DUMMYFUNCTION("""COMPUTED_VALUE"""),"producer")</f>
        <v>producer</v>
      </c>
      <c r="W278" s="49" t="str">
        <f>IFERROR(__xludf.DUMMYFUNCTION("""COMPUTED_VALUE"""),"greek")</f>
        <v>greek</v>
      </c>
      <c r="X278" s="49" t="str">
        <f t="shared" si="3"/>
        <v>close,</v>
      </c>
      <c r="Y278" s="49"/>
      <c r="Z278" s="1" t="s">
        <v>1671</v>
      </c>
      <c r="AA278" s="1" t="s">
        <v>1085</v>
      </c>
      <c r="AB278" s="49" t="str">
        <f>IFERROR(__xludf.DUMMYFUNCTION("""COMPUTED_VALUE"""),"touching")</f>
        <v>touching</v>
      </c>
      <c r="AC278" s="49"/>
      <c r="AD278" s="49" t="str">
        <f>IFERROR(__xludf.DUMMYFUNCTION("""COMPUTED_VALUE"""),"u")</f>
        <v>u</v>
      </c>
      <c r="AE278" s="49" t="str">
        <f>IFERROR(__xludf.DUMMYFUNCTION("""COMPUTED_VALUE"""),"complexity")</f>
        <v>complexity</v>
      </c>
      <c r="AF278" s="49" t="str">
        <f t="shared" si="4"/>
        <v>eye,</v>
      </c>
      <c r="AG278" s="49"/>
      <c r="AH278" s="1" t="s">
        <v>1239</v>
      </c>
      <c r="AI278" s="1" t="s">
        <v>373</v>
      </c>
      <c r="AJ278" s="6" t="str">
        <f>IFERROR(__xludf.DUMMYFUNCTION("""COMPUTED_VALUE"""),"me")</f>
        <v>me</v>
      </c>
      <c r="AK278" s="49"/>
      <c r="AL278" s="49"/>
      <c r="AM278" s="49"/>
      <c r="AN278" s="52" t="str">
        <f t="shared" si="5"/>
        <v>were,</v>
      </c>
    </row>
    <row r="279">
      <c r="A279" s="51" t="s">
        <v>1873</v>
      </c>
      <c r="B279" s="50" t="s">
        <v>362</v>
      </c>
      <c r="C279" s="50" t="s">
        <v>4893</v>
      </c>
      <c r="D279" s="49" t="str">
        <f>IFERROR(__xludf.DUMMYFUNCTION("""COMPUTED_VALUE"""),"authority")</f>
        <v>authority</v>
      </c>
      <c r="E279" s="49"/>
      <c r="F279" s="49"/>
      <c r="G279" s="49" t="str">
        <f>IFERROR(__xludf.DUMMYFUNCTION("""COMPUTED_VALUE"""),"franklin")</f>
        <v>franklin</v>
      </c>
      <c r="H279" s="54" t="str">
        <f t="shared" si="1"/>
        <v>revenge,</v>
      </c>
      <c r="I279" s="50"/>
      <c r="J279" s="50" t="s">
        <v>239</v>
      </c>
      <c r="K279" s="50" t="s">
        <v>275</v>
      </c>
      <c r="L279" s="49" t="str">
        <f>IFERROR(__xludf.DUMMYFUNCTION("""COMPUTED_VALUE"""),"powerful")</f>
        <v>powerful</v>
      </c>
      <c r="M279" s="49"/>
      <c r="N279" s="49" t="str">
        <f>IFERROR(__xludf.DUMMYFUNCTION("""COMPUTED_VALUE"""),"qualities")</f>
        <v>qualities</v>
      </c>
      <c r="O279" s="49" t="str">
        <f>IFERROR(__xludf.DUMMYFUNCTION("""COMPUTED_VALUE"""),"orthodox")</f>
        <v>orthodox</v>
      </c>
      <c r="P279" s="49" t="str">
        <f t="shared" si="2"/>
        <v>good,</v>
      </c>
      <c r="Q279" s="49"/>
      <c r="R279" s="50" t="s">
        <v>805</v>
      </c>
      <c r="S279" s="55" t="s">
        <v>191</v>
      </c>
      <c r="T279" s="49" t="str">
        <f>IFERROR(__xludf.DUMMYFUNCTION("""COMPUTED_VALUE"""),"experience")</f>
        <v>experience</v>
      </c>
      <c r="U279" s="49"/>
      <c r="V279" s="49" t="str">
        <f>IFERROR(__xludf.DUMMYFUNCTION("""COMPUTED_VALUE"""),"information")</f>
        <v>information</v>
      </c>
      <c r="W279" s="49" t="str">
        <f>IFERROR(__xludf.DUMMYFUNCTION("""COMPUTED_VALUE"""),"auto")</f>
        <v>auto</v>
      </c>
      <c r="X279" s="49" t="str">
        <f t="shared" si="3"/>
        <v>than,</v>
      </c>
      <c r="Y279" s="49"/>
      <c r="Z279" s="1" t="s">
        <v>1264</v>
      </c>
      <c r="AA279" s="1" t="s">
        <v>1025</v>
      </c>
      <c r="AB279" s="49" t="str">
        <f>IFERROR(__xludf.DUMMYFUNCTION("""COMPUTED_VALUE"""),"today")</f>
        <v>today</v>
      </c>
      <c r="AC279" s="49"/>
      <c r="AD279" s="49" t="str">
        <f>IFERROR(__xludf.DUMMYFUNCTION("""COMPUTED_VALUE"""),"qualities")</f>
        <v>qualities</v>
      </c>
      <c r="AE279" s="49" t="str">
        <f>IFERROR(__xludf.DUMMYFUNCTION("""COMPUTED_VALUE"""),"orthodox")</f>
        <v>orthodox</v>
      </c>
      <c r="AF279" s="49" t="str">
        <f t="shared" si="4"/>
        <v>far,</v>
      </c>
      <c r="AG279" s="49"/>
      <c r="AH279" s="1" t="s">
        <v>170</v>
      </c>
      <c r="AI279" s="1" t="s">
        <v>809</v>
      </c>
      <c r="AJ279" s="6" t="str">
        <f>IFERROR(__xludf.DUMMYFUNCTION("""COMPUTED_VALUE"""),"long")</f>
        <v>long</v>
      </c>
      <c r="AK279" s="49"/>
      <c r="AL279" s="49"/>
      <c r="AM279" s="49"/>
      <c r="AN279" s="52" t="str">
        <f t="shared" si="5"/>
        <v>me,</v>
      </c>
    </row>
    <row r="280">
      <c r="A280" s="51" t="s">
        <v>1878</v>
      </c>
      <c r="B280" s="50" t="s">
        <v>7261</v>
      </c>
      <c r="C280" s="50" t="s">
        <v>6311</v>
      </c>
      <c r="D280" s="49" t="str">
        <f>IFERROR(__xludf.DUMMYFUNCTION("""COMPUTED_VALUE"""),"harris")</f>
        <v>harris</v>
      </c>
      <c r="E280" s="49"/>
      <c r="F280" s="49"/>
      <c r="G280" s="49" t="str">
        <f>IFERROR(__xludf.DUMMYFUNCTION("""COMPUTED_VALUE"""),"giants")</f>
        <v>giants</v>
      </c>
      <c r="H280" s="54" t="str">
        <f t="shared" si="1"/>
        <v>fourteen,</v>
      </c>
      <c r="I280" s="50"/>
      <c r="J280" s="50" t="s">
        <v>2784</v>
      </c>
      <c r="K280" s="50" t="s">
        <v>1883</v>
      </c>
      <c r="L280" s="49" t="str">
        <f>IFERROR(__xludf.DUMMYFUNCTION("""COMPUTED_VALUE"""),"less")</f>
        <v>less</v>
      </c>
      <c r="M280" s="49"/>
      <c r="N280" s="49" t="str">
        <f>IFERROR(__xludf.DUMMYFUNCTION("""COMPUTED_VALUE"""),"ll")</f>
        <v>ll</v>
      </c>
      <c r="O280" s="49" t="str">
        <f>IFERROR(__xludf.DUMMYFUNCTION("""COMPUTED_VALUE"""),"dramatic")</f>
        <v>dramatic</v>
      </c>
      <c r="P280" s="49" t="str">
        <f t="shared" si="2"/>
        <v>romantic,</v>
      </c>
      <c r="Q280" s="49"/>
      <c r="R280" s="50" t="s">
        <v>670</v>
      </c>
      <c r="S280" s="55" t="s">
        <v>1220</v>
      </c>
      <c r="T280" s="49" t="str">
        <f>IFERROR(__xludf.DUMMYFUNCTION("""COMPUTED_VALUE"""),"perspective")</f>
        <v>perspective</v>
      </c>
      <c r="U280" s="49"/>
      <c r="V280" s="49" t="str">
        <f>IFERROR(__xludf.DUMMYFUNCTION("""COMPUTED_VALUE"""),"downtown")</f>
        <v>downtown</v>
      </c>
      <c r="W280" s="49" t="str">
        <f>IFERROR(__xludf.DUMMYFUNCTION("""COMPUTED_VALUE"""),"appealing")</f>
        <v>appealing</v>
      </c>
      <c r="X280" s="49" t="str">
        <f t="shared" si="3"/>
        <v>would,</v>
      </c>
      <c r="Y280" s="49"/>
      <c r="Z280" s="1" t="s">
        <v>60</v>
      </c>
      <c r="AA280" s="1" t="s">
        <v>1879</v>
      </c>
      <c r="AB280" s="49" t="str">
        <f>IFERROR(__xludf.DUMMYFUNCTION("""COMPUTED_VALUE"""),"enthusiasm")</f>
        <v>enthusiasm</v>
      </c>
      <c r="AC280" s="49"/>
      <c r="AD280" s="49" t="str">
        <f>IFERROR(__xludf.DUMMYFUNCTION("""COMPUTED_VALUE"""),"ll")</f>
        <v>ll</v>
      </c>
      <c r="AE280" s="49" t="str">
        <f>IFERROR(__xludf.DUMMYFUNCTION("""COMPUTED_VALUE"""),"dramatic")</f>
        <v>dramatic</v>
      </c>
      <c r="AF280" s="49" t="str">
        <f t="shared" si="4"/>
        <v>too,</v>
      </c>
      <c r="AG280" s="49"/>
      <c r="AH280" s="1" t="s">
        <v>172</v>
      </c>
      <c r="AI280" s="1" t="s">
        <v>324</v>
      </c>
      <c r="AJ280" s="6" t="str">
        <f>IFERROR(__xludf.DUMMYFUNCTION("""COMPUTED_VALUE"""),"hand")</f>
        <v>hand</v>
      </c>
      <c r="AK280" s="49"/>
      <c r="AL280" s="49"/>
      <c r="AM280" s="49"/>
      <c r="AN280" s="52" t="str">
        <f t="shared" si="5"/>
        <v>long,</v>
      </c>
    </row>
    <row r="281">
      <c r="A281" s="51" t="s">
        <v>1884</v>
      </c>
      <c r="B281" s="50" t="s">
        <v>939</v>
      </c>
      <c r="C281" s="50" t="s">
        <v>5366</v>
      </c>
      <c r="D281" s="49" t="str">
        <f>IFERROR(__xludf.DUMMYFUNCTION("""COMPUTED_VALUE"""),"ron")</f>
        <v>ron</v>
      </c>
      <c r="E281" s="49"/>
      <c r="F281" s="49"/>
      <c r="G281" s="49" t="str">
        <f>IFERROR(__xludf.DUMMYFUNCTION("""COMPUTED_VALUE"""),"alert")</f>
        <v>alert</v>
      </c>
      <c r="H281" s="54" t="str">
        <f t="shared" si="1"/>
        <v>work,</v>
      </c>
      <c r="I281" s="50"/>
      <c r="J281" s="50" t="s">
        <v>2942</v>
      </c>
      <c r="K281" s="50" t="s">
        <v>1606</v>
      </c>
      <c r="L281" s="49" t="str">
        <f>IFERROR(__xludf.DUMMYFUNCTION("""COMPUTED_VALUE"""),"funny")</f>
        <v>funny</v>
      </c>
      <c r="M281" s="49"/>
      <c r="N281" s="49" t="str">
        <f>IFERROR(__xludf.DUMMYFUNCTION("""COMPUTED_VALUE"""),"hit")</f>
        <v>hit</v>
      </c>
      <c r="O281" s="49" t="str">
        <f>IFERROR(__xludf.DUMMYFUNCTION("""COMPUTED_VALUE"""),"insults")</f>
        <v>insults</v>
      </c>
      <c r="P281" s="49" t="str">
        <f t="shared" si="2"/>
        <v>ago,</v>
      </c>
      <c r="Q281" s="49"/>
      <c r="R281" s="50" t="s">
        <v>6396</v>
      </c>
      <c r="S281" s="55" t="s">
        <v>1203</v>
      </c>
      <c r="T281" s="49" t="str">
        <f>IFERROR(__xludf.DUMMYFUNCTION("""COMPUTED_VALUE"""),"intelligence")</f>
        <v>intelligence</v>
      </c>
      <c r="U281" s="49"/>
      <c r="V281" s="49" t="str">
        <f>IFERROR(__xludf.DUMMYFUNCTION("""COMPUTED_VALUE"""),"explains")</f>
        <v>explains</v>
      </c>
      <c r="W281" s="49" t="str">
        <f>IFERROR(__xludf.DUMMYFUNCTION("""COMPUTED_VALUE"""),"irrelevant")</f>
        <v>irrelevant</v>
      </c>
      <c r="X281" s="49" t="str">
        <f t="shared" si="3"/>
        <v>various,</v>
      </c>
      <c r="Y281" s="49"/>
      <c r="Z281" s="1" t="s">
        <v>4936</v>
      </c>
      <c r="AA281" s="1" t="s">
        <v>1885</v>
      </c>
      <c r="AB281" s="49" t="str">
        <f>IFERROR(__xludf.DUMMYFUNCTION("""COMPUTED_VALUE"""),"followed")</f>
        <v>followed</v>
      </c>
      <c r="AC281" s="49"/>
      <c r="AD281" s="49" t="str">
        <f>IFERROR(__xludf.DUMMYFUNCTION("""COMPUTED_VALUE"""),"hit")</f>
        <v>hit</v>
      </c>
      <c r="AE281" s="49" t="str">
        <f>IFERROR(__xludf.DUMMYFUNCTION("""COMPUTED_VALUE"""),"insults")</f>
        <v>insults</v>
      </c>
      <c r="AF281" s="49" t="str">
        <f t="shared" si="4"/>
        <v>accurate,</v>
      </c>
      <c r="AG281" s="49"/>
      <c r="AH281" s="1" t="s">
        <v>1520</v>
      </c>
      <c r="AI281" s="1" t="s">
        <v>996</v>
      </c>
      <c r="AJ281" s="6" t="str">
        <f>IFERROR(__xludf.DUMMYFUNCTION("""COMPUTED_VALUE"""),"felt")</f>
        <v>felt</v>
      </c>
      <c r="AK281" s="49"/>
      <c r="AL281" s="49"/>
      <c r="AM281" s="49"/>
      <c r="AN281" s="52" t="str">
        <f t="shared" si="5"/>
        <v>hand,</v>
      </c>
    </row>
    <row r="282">
      <c r="A282" s="51" t="s">
        <v>1890</v>
      </c>
      <c r="B282" s="50" t="s">
        <v>556</v>
      </c>
      <c r="C282" s="50" t="s">
        <v>6312</v>
      </c>
      <c r="D282" s="49" t="str">
        <f>IFERROR(__xludf.DUMMYFUNCTION("""COMPUTED_VALUE"""),"would")</f>
        <v>would</v>
      </c>
      <c r="E282" s="49"/>
      <c r="F282" s="49"/>
      <c r="G282" s="49" t="str">
        <f>IFERROR(__xludf.DUMMYFUNCTION("""COMPUTED_VALUE"""),"determination")</f>
        <v>determination</v>
      </c>
      <c r="H282" s="54" t="str">
        <f t="shared" si="1"/>
        <v>want,</v>
      </c>
      <c r="I282" s="50"/>
      <c r="J282" s="50" t="s">
        <v>120</v>
      </c>
      <c r="K282" s="50" t="s">
        <v>1894</v>
      </c>
      <c r="L282" s="49" t="str">
        <f>IFERROR(__xludf.DUMMYFUNCTION("""COMPUTED_VALUE"""),"body")</f>
        <v>body</v>
      </c>
      <c r="M282" s="49"/>
      <c r="N282" s="49" t="str">
        <f>IFERROR(__xludf.DUMMYFUNCTION("""COMPUTED_VALUE"""),"football")</f>
        <v>football</v>
      </c>
      <c r="O282" s="49" t="str">
        <f>IFERROR(__xludf.DUMMYFUNCTION("""COMPUTED_VALUE"""),"waste")</f>
        <v>waste</v>
      </c>
      <c r="P282" s="49" t="str">
        <f t="shared" si="2"/>
        <v>also,</v>
      </c>
      <c r="Q282" s="49"/>
      <c r="R282" s="50" t="s">
        <v>2991</v>
      </c>
      <c r="S282" s="55" t="s">
        <v>108</v>
      </c>
      <c r="T282" s="49" t="str">
        <f>IFERROR(__xludf.DUMMYFUNCTION("""COMPUTED_VALUE"""),"wave")</f>
        <v>wave</v>
      </c>
      <c r="U282" s="49"/>
      <c r="V282" s="49" t="str">
        <f>IFERROR(__xludf.DUMMYFUNCTION("""COMPUTED_VALUE"""),"reach")</f>
        <v>reach</v>
      </c>
      <c r="W282" s="49">
        <f>IFERROR(__xludf.DUMMYFUNCTION("""COMPUTED_VALUE"""),2002.0)</f>
        <v>2002</v>
      </c>
      <c r="X282" s="49" t="str">
        <f t="shared" si="3"/>
        <v>elements,</v>
      </c>
      <c r="Y282" s="49"/>
      <c r="Z282" s="1" t="s">
        <v>874</v>
      </c>
      <c r="AA282" s="1" t="s">
        <v>301</v>
      </c>
      <c r="AB282" s="49" t="str">
        <f>IFERROR(__xludf.DUMMYFUNCTION("""COMPUTED_VALUE"""),"important")</f>
        <v>important</v>
      </c>
      <c r="AC282" s="49"/>
      <c r="AD282" s="49" t="str">
        <f>IFERROR(__xludf.DUMMYFUNCTION("""COMPUTED_VALUE"""),"football")</f>
        <v>football</v>
      </c>
      <c r="AE282" s="49" t="str">
        <f>IFERROR(__xludf.DUMMYFUNCTION("""COMPUTED_VALUE"""),"waste")</f>
        <v>waste</v>
      </c>
      <c r="AF282" s="49" t="str">
        <f t="shared" si="4"/>
        <v>actor,</v>
      </c>
      <c r="AG282" s="49"/>
      <c r="AH282" s="1" t="s">
        <v>965</v>
      </c>
      <c r="AI282" s="1" t="s">
        <v>993</v>
      </c>
      <c r="AJ282" s="6" t="str">
        <f>IFERROR(__xludf.DUMMYFUNCTION("""COMPUTED_VALUE"""),"thing")</f>
        <v>thing</v>
      </c>
      <c r="AK282" s="49"/>
      <c r="AL282" s="49"/>
      <c r="AM282" s="49"/>
      <c r="AN282" s="52" t="str">
        <f t="shared" si="5"/>
        <v>felt,</v>
      </c>
    </row>
    <row r="283">
      <c r="A283" s="51" t="s">
        <v>1895</v>
      </c>
      <c r="B283" s="50" t="s">
        <v>516</v>
      </c>
      <c r="C283" s="50" t="s">
        <v>3534</v>
      </c>
      <c r="D283" s="49" t="str">
        <f>IFERROR(__xludf.DUMMYFUNCTION("""COMPUTED_VALUE"""),"gone")</f>
        <v>gone</v>
      </c>
      <c r="E283" s="49"/>
      <c r="F283" s="49"/>
      <c r="G283" s="49">
        <f>IFERROR(__xludf.DUMMYFUNCTION("""COMPUTED_VALUE"""),1952.0)</f>
        <v>1952</v>
      </c>
      <c r="H283" s="54" t="str">
        <f t="shared" si="1"/>
        <v>every,</v>
      </c>
      <c r="I283" s="50"/>
      <c r="J283" s="50" t="s">
        <v>189</v>
      </c>
      <c r="K283" s="50" t="s">
        <v>162</v>
      </c>
      <c r="L283" s="49" t="str">
        <f>IFERROR(__xludf.DUMMYFUNCTION("""COMPUTED_VALUE"""),"am")</f>
        <v>am</v>
      </c>
      <c r="M283" s="49"/>
      <c r="N283" s="49" t="str">
        <f>IFERROR(__xludf.DUMMYFUNCTION("""COMPUTED_VALUE"""),"mis")</f>
        <v>mis</v>
      </c>
      <c r="O283" s="49" t="str">
        <f>IFERROR(__xludf.DUMMYFUNCTION("""COMPUTED_VALUE"""),"comedies")</f>
        <v>comedies</v>
      </c>
      <c r="P283" s="49" t="str">
        <f t="shared" si="2"/>
        <v>been,</v>
      </c>
      <c r="Q283" s="49"/>
      <c r="R283" s="50" t="s">
        <v>6362</v>
      </c>
      <c r="S283" s="55" t="s">
        <v>1432</v>
      </c>
      <c r="T283" s="49" t="str">
        <f>IFERROR(__xludf.DUMMYFUNCTION("""COMPUTED_VALUE"""),"passion")</f>
        <v>passion</v>
      </c>
      <c r="U283" s="49"/>
      <c r="V283" s="49" t="str">
        <f>IFERROR(__xludf.DUMMYFUNCTION("""COMPUTED_VALUE"""),"windows")</f>
        <v>windows</v>
      </c>
      <c r="W283" s="49" t="str">
        <f>IFERROR(__xludf.DUMMYFUNCTION("""COMPUTED_VALUE"""),"canvas")</f>
        <v>canvas</v>
      </c>
      <c r="X283" s="49" t="str">
        <f t="shared" si="3"/>
        <v>everything,</v>
      </c>
      <c r="Y283" s="49"/>
      <c r="Z283" s="1" t="s">
        <v>858</v>
      </c>
      <c r="AA283" s="1" t="s">
        <v>293</v>
      </c>
      <c r="AB283" s="49" t="str">
        <f>IFERROR(__xludf.DUMMYFUNCTION("""COMPUTED_VALUE"""),"belongs")</f>
        <v>belongs</v>
      </c>
      <c r="AC283" s="49"/>
      <c r="AD283" s="49" t="str">
        <f>IFERROR(__xludf.DUMMYFUNCTION("""COMPUTED_VALUE"""),"mis")</f>
        <v>mis</v>
      </c>
      <c r="AE283" s="49" t="str">
        <f>IFERROR(__xludf.DUMMYFUNCTION("""COMPUTED_VALUE"""),"comedies")</f>
        <v>comedies</v>
      </c>
      <c r="AF283" s="49" t="str">
        <f t="shared" si="4"/>
        <v>trip,</v>
      </c>
      <c r="AG283" s="49"/>
      <c r="AH283" s="1" t="s">
        <v>1119</v>
      </c>
      <c r="AI283" s="1" t="s">
        <v>1762</v>
      </c>
      <c r="AJ283" s="6" t="str">
        <f>IFERROR(__xludf.DUMMYFUNCTION("""COMPUTED_VALUE"""),"months")</f>
        <v>months</v>
      </c>
      <c r="AK283" s="49"/>
      <c r="AL283" s="49"/>
      <c r="AM283" s="49"/>
      <c r="AN283" s="52" t="str">
        <f t="shared" si="5"/>
        <v>thing,</v>
      </c>
    </row>
    <row r="284">
      <c r="A284" s="51" t="s">
        <v>1900</v>
      </c>
      <c r="B284" s="50" t="s">
        <v>6293</v>
      </c>
      <c r="C284" s="50" t="s">
        <v>1203</v>
      </c>
      <c r="D284" s="49" t="str">
        <f>IFERROR(__xludf.DUMMYFUNCTION("""COMPUTED_VALUE"""),"step")</f>
        <v>step</v>
      </c>
      <c r="E284" s="49"/>
      <c r="F284" s="49"/>
      <c r="G284" s="49" t="str">
        <f>IFERROR(__xludf.DUMMYFUNCTION("""COMPUTED_VALUE"""),"sheets")</f>
        <v>sheets</v>
      </c>
      <c r="H284" s="54" t="str">
        <f t="shared" si="1"/>
        <v>given,</v>
      </c>
      <c r="I284" s="50"/>
      <c r="J284" s="50" t="s">
        <v>1197</v>
      </c>
      <c r="K284" s="50" t="s">
        <v>1617</v>
      </c>
      <c r="L284" s="49" t="str">
        <f>IFERROR(__xludf.DUMMYFUNCTION("""COMPUTED_VALUE"""),"storytelling")</f>
        <v>storytelling</v>
      </c>
      <c r="M284" s="49"/>
      <c r="N284" s="49" t="str">
        <f>IFERROR(__xludf.DUMMYFUNCTION("""COMPUTED_VALUE"""),"having")</f>
        <v>having</v>
      </c>
      <c r="O284" s="49" t="str">
        <f>IFERROR(__xludf.DUMMYFUNCTION("""COMPUTED_VALUE"""),"subjects")</f>
        <v>subjects</v>
      </c>
      <c r="P284" s="49" t="str">
        <f t="shared" si="2"/>
        <v>down,</v>
      </c>
      <c r="Q284" s="49"/>
      <c r="R284" s="50" t="s">
        <v>847</v>
      </c>
      <c r="S284" s="55" t="s">
        <v>1197</v>
      </c>
      <c r="T284" s="49" t="str">
        <f>IFERROR(__xludf.DUMMYFUNCTION("""COMPUTED_VALUE"""),"phone")</f>
        <v>phone</v>
      </c>
      <c r="U284" s="49"/>
      <c r="V284" s="49" t="str">
        <f>IFERROR(__xludf.DUMMYFUNCTION("""COMPUTED_VALUE"""),"arrogance")</f>
        <v>arrogance</v>
      </c>
      <c r="W284" s="49" t="str">
        <f>IFERROR(__xludf.DUMMYFUNCTION("""COMPUTED_VALUE"""),"modern")</f>
        <v>modern</v>
      </c>
      <c r="X284" s="49" t="str">
        <f t="shared" si="3"/>
        <v>kind,</v>
      </c>
      <c r="Y284" s="49"/>
      <c r="Z284" s="1" t="s">
        <v>1838</v>
      </c>
      <c r="AA284" s="1" t="s">
        <v>525</v>
      </c>
      <c r="AB284" s="49" t="str">
        <f>IFERROR(__xludf.DUMMYFUNCTION("""COMPUTED_VALUE"""),"quality")</f>
        <v>quality</v>
      </c>
      <c r="AC284" s="49"/>
      <c r="AD284" s="49" t="str">
        <f>IFERROR(__xludf.DUMMYFUNCTION("""COMPUTED_VALUE"""),"having")</f>
        <v>having</v>
      </c>
      <c r="AE284" s="49" t="str">
        <f>IFERROR(__xludf.DUMMYFUNCTION("""COMPUTED_VALUE"""),"subjects")</f>
        <v>subjects</v>
      </c>
      <c r="AF284" s="49" t="str">
        <f t="shared" si="4"/>
        <v>difficult,</v>
      </c>
      <c r="AG284" s="49"/>
      <c r="AH284" s="1" t="s">
        <v>6877</v>
      </c>
      <c r="AI284" s="1" t="s">
        <v>987</v>
      </c>
      <c r="AJ284" s="6" t="str">
        <f>IFERROR(__xludf.DUMMYFUNCTION("""COMPUTED_VALUE"""),"eye")</f>
        <v>eye</v>
      </c>
      <c r="AK284" s="49"/>
      <c r="AL284" s="49"/>
      <c r="AM284" s="49"/>
      <c r="AN284" s="52" t="str">
        <f t="shared" si="5"/>
        <v>months,</v>
      </c>
    </row>
    <row r="285">
      <c r="A285" s="51" t="s">
        <v>1904</v>
      </c>
      <c r="B285" s="50" t="s">
        <v>2227</v>
      </c>
      <c r="C285" s="50" t="s">
        <v>1220</v>
      </c>
      <c r="D285" s="49" t="str">
        <f>IFERROR(__xludf.DUMMYFUNCTION("""COMPUTED_VALUE"""),"piece")</f>
        <v>piece</v>
      </c>
      <c r="E285" s="49"/>
      <c r="F285" s="49"/>
      <c r="G285" s="49" t="str">
        <f>IFERROR(__xludf.DUMMYFUNCTION("""COMPUTED_VALUE"""),"exhibit")</f>
        <v>exhibit</v>
      </c>
      <c r="H285" s="54" t="str">
        <f t="shared" si="1"/>
        <v>big,</v>
      </c>
      <c r="I285" s="50"/>
      <c r="J285" s="50" t="s">
        <v>146</v>
      </c>
      <c r="K285" s="50" t="s">
        <v>610</v>
      </c>
      <c r="L285" s="49" t="str">
        <f>IFERROR(__xludf.DUMMYFUNCTION("""COMPUTED_VALUE"""),"demanding")</f>
        <v>demanding</v>
      </c>
      <c r="M285" s="49"/>
      <c r="N285" s="49" t="str">
        <f>IFERROR(__xludf.DUMMYFUNCTION("""COMPUTED_VALUE"""),"doing")</f>
        <v>doing</v>
      </c>
      <c r="O285" s="49" t="str">
        <f>IFERROR(__xludf.DUMMYFUNCTION("""COMPUTED_VALUE"""),"flick")</f>
        <v>flick</v>
      </c>
      <c r="P285" s="49" t="str">
        <f t="shared" si="2"/>
        <v>have,</v>
      </c>
      <c r="Q285" s="49"/>
      <c r="R285" s="50" t="s">
        <v>6775</v>
      </c>
      <c r="S285" s="55" t="s">
        <v>724</v>
      </c>
      <c r="T285" s="49" t="str">
        <f>IFERROR(__xludf.DUMMYFUNCTION("""COMPUTED_VALUE"""),"taken")</f>
        <v>taken</v>
      </c>
      <c r="U285" s="49"/>
      <c r="V285" s="49" t="str">
        <f>IFERROR(__xludf.DUMMYFUNCTION("""COMPUTED_VALUE"""),"save")</f>
        <v>save</v>
      </c>
      <c r="W285" s="49" t="str">
        <f>IFERROR(__xludf.DUMMYFUNCTION("""COMPUTED_VALUE"""),"equations")</f>
        <v>equations</v>
      </c>
      <c r="X285" s="49" t="str">
        <f t="shared" si="3"/>
        <v>sent,</v>
      </c>
      <c r="Y285" s="49"/>
      <c r="Z285" s="1" t="s">
        <v>3716</v>
      </c>
      <c r="AA285" s="1" t="s">
        <v>1110</v>
      </c>
      <c r="AB285" s="49" t="str">
        <f>IFERROR(__xludf.DUMMYFUNCTION("""COMPUTED_VALUE"""),"born")</f>
        <v>born</v>
      </c>
      <c r="AC285" s="49"/>
      <c r="AD285" s="49" t="str">
        <f>IFERROR(__xludf.DUMMYFUNCTION("""COMPUTED_VALUE"""),"doing")</f>
        <v>doing</v>
      </c>
      <c r="AE285" s="49" t="str">
        <f>IFERROR(__xludf.DUMMYFUNCTION("""COMPUTED_VALUE"""),"flick")</f>
        <v>flick</v>
      </c>
      <c r="AF285" s="49" t="str">
        <f t="shared" si="4"/>
        <v>relationships,</v>
      </c>
      <c r="AG285" s="49"/>
      <c r="AH285" s="1" t="s">
        <v>1671</v>
      </c>
      <c r="AI285" s="1" t="s">
        <v>563</v>
      </c>
      <c r="AJ285" s="6" t="str">
        <f>IFERROR(__xludf.DUMMYFUNCTION("""COMPUTED_VALUE"""),"talking")</f>
        <v>talking</v>
      </c>
      <c r="AK285" s="49"/>
      <c r="AL285" s="49"/>
      <c r="AM285" s="49"/>
      <c r="AN285" s="52" t="str">
        <f t="shared" si="5"/>
        <v>eye,</v>
      </c>
    </row>
    <row r="286">
      <c r="A286" s="51" t="s">
        <v>1907</v>
      </c>
      <c r="B286" s="50" t="s">
        <v>1408</v>
      </c>
      <c r="C286" s="50" t="s">
        <v>939</v>
      </c>
      <c r="D286" s="49" t="str">
        <f>IFERROR(__xludf.DUMMYFUNCTION("""COMPUTED_VALUE"""),"harsh")</f>
        <v>harsh</v>
      </c>
      <c r="E286" s="49"/>
      <c r="F286" s="49"/>
      <c r="G286" s="49" t="str">
        <f>IFERROR(__xludf.DUMMYFUNCTION("""COMPUTED_VALUE"""),"certified")</f>
        <v>certified</v>
      </c>
      <c r="H286" s="54" t="str">
        <f t="shared" si="1"/>
        <v>role,</v>
      </c>
      <c r="I286" s="50"/>
      <c r="J286" s="50" t="s">
        <v>1093</v>
      </c>
      <c r="K286" s="50" t="s">
        <v>292</v>
      </c>
      <c r="L286" s="49" t="str">
        <f>IFERROR(__xludf.DUMMYFUNCTION("""COMPUTED_VALUE"""),"souls")</f>
        <v>souls</v>
      </c>
      <c r="M286" s="49"/>
      <c r="N286" s="49" t="str">
        <f>IFERROR(__xludf.DUMMYFUNCTION("""COMPUTED_VALUE"""),"watching")</f>
        <v>watching</v>
      </c>
      <c r="O286" s="49" t="str">
        <f>IFERROR(__xludf.DUMMYFUNCTION("""COMPUTED_VALUE"""),"purposes")</f>
        <v>purposes</v>
      </c>
      <c r="P286" s="49" t="str">
        <f t="shared" si="2"/>
        <v>at,</v>
      </c>
      <c r="Q286" s="49"/>
      <c r="R286" s="50" t="s">
        <v>2874</v>
      </c>
      <c r="S286" s="55" t="s">
        <v>1232</v>
      </c>
      <c r="T286" s="49" t="str">
        <f>IFERROR(__xludf.DUMMYFUNCTION("""COMPUTED_VALUE"""),"america")</f>
        <v>america</v>
      </c>
      <c r="U286" s="49"/>
      <c r="V286" s="49" t="str">
        <f>IFERROR(__xludf.DUMMYFUNCTION("""COMPUTED_VALUE"""),"poster")</f>
        <v>poster</v>
      </c>
      <c r="W286" s="49" t="str">
        <f>IFERROR(__xludf.DUMMYFUNCTION("""COMPUTED_VALUE"""),"stupid")</f>
        <v>stupid</v>
      </c>
      <c r="X286" s="49" t="str">
        <f t="shared" si="3"/>
        <v>odyssey,</v>
      </c>
      <c r="Y286" s="49"/>
      <c r="Z286" s="1" t="s">
        <v>2679</v>
      </c>
      <c r="AA286" s="1" t="s">
        <v>1908</v>
      </c>
      <c r="AB286" s="49" t="str">
        <f>IFERROR(__xludf.DUMMYFUNCTION("""COMPUTED_VALUE"""),"absurd")</f>
        <v>absurd</v>
      </c>
      <c r="AC286" s="49"/>
      <c r="AD286" s="49" t="str">
        <f>IFERROR(__xludf.DUMMYFUNCTION("""COMPUTED_VALUE"""),"watching")</f>
        <v>watching</v>
      </c>
      <c r="AE286" s="49" t="str">
        <f>IFERROR(__xludf.DUMMYFUNCTION("""COMPUTED_VALUE"""),"purposes")</f>
        <v>purposes</v>
      </c>
      <c r="AF286" s="49" t="str">
        <f t="shared" si="4"/>
        <v>secrets,</v>
      </c>
      <c r="AG286" s="49"/>
      <c r="AH286" s="1" t="s">
        <v>6400</v>
      </c>
      <c r="AI286" s="1" t="s">
        <v>1230</v>
      </c>
      <c r="AJ286" s="6" t="str">
        <f>IFERROR(__xludf.DUMMYFUNCTION("""COMPUTED_VALUE"""),"pass")</f>
        <v>pass</v>
      </c>
      <c r="AK286" s="49"/>
      <c r="AL286" s="49"/>
      <c r="AM286" s="49"/>
      <c r="AN286" s="52" t="str">
        <f t="shared" si="5"/>
        <v>talking,</v>
      </c>
    </row>
    <row r="287">
      <c r="A287" s="51" t="s">
        <v>1913</v>
      </c>
      <c r="B287" s="50" t="s">
        <v>1701</v>
      </c>
      <c r="C287" s="50" t="s">
        <v>1232</v>
      </c>
      <c r="D287" s="49" t="str">
        <f>IFERROR(__xludf.DUMMYFUNCTION("""COMPUTED_VALUE"""),"shirt")</f>
        <v>shirt</v>
      </c>
      <c r="E287" s="49"/>
      <c r="F287" s="49"/>
      <c r="G287" s="49" t="str">
        <f>IFERROR(__xludf.DUMMYFUNCTION("""COMPUTED_VALUE"""),"environmental")</f>
        <v>environmental</v>
      </c>
      <c r="H287" s="54" t="str">
        <f t="shared" si="1"/>
        <v>works,</v>
      </c>
      <c r="I287" s="50"/>
      <c r="J287" s="50" t="s">
        <v>2512</v>
      </c>
      <c r="K287" s="50" t="s">
        <v>872</v>
      </c>
      <c r="L287" s="49" t="str">
        <f>IFERROR(__xludf.DUMMYFUNCTION("""COMPUTED_VALUE"""),"etc")</f>
        <v>etc</v>
      </c>
      <c r="M287" s="49"/>
      <c r="N287" s="49" t="str">
        <f>IFERROR(__xludf.DUMMYFUNCTION("""COMPUTED_VALUE"""),"cold")</f>
        <v>cold</v>
      </c>
      <c r="O287" s="49" t="str">
        <f>IFERROR(__xludf.DUMMYFUNCTION("""COMPUTED_VALUE"""),"construct")</f>
        <v>construct</v>
      </c>
      <c r="P287" s="49" t="str">
        <f t="shared" si="2"/>
        <v>now,</v>
      </c>
      <c r="Q287" s="49"/>
      <c r="R287" s="50" t="s">
        <v>3200</v>
      </c>
      <c r="S287" s="55" t="s">
        <v>939</v>
      </c>
      <c r="T287" s="49" t="str">
        <f>IFERROR(__xludf.DUMMYFUNCTION("""COMPUTED_VALUE"""),"tough")</f>
        <v>tough</v>
      </c>
      <c r="U287" s="49"/>
      <c r="V287" s="49" t="str">
        <f>IFERROR(__xludf.DUMMYFUNCTION("""COMPUTED_VALUE"""),"largest")</f>
        <v>largest</v>
      </c>
      <c r="W287" s="49" t="str">
        <f>IFERROR(__xludf.DUMMYFUNCTION("""COMPUTED_VALUE"""),"sexuality")</f>
        <v>sexuality</v>
      </c>
      <c r="X287" s="49" t="str">
        <f t="shared" si="3"/>
        <v>mix,</v>
      </c>
      <c r="Y287" s="49"/>
      <c r="Z287" s="1" t="s">
        <v>1591</v>
      </c>
      <c r="AA287" s="1" t="s">
        <v>1914</v>
      </c>
      <c r="AB287" s="49" t="str">
        <f>IFERROR(__xludf.DUMMYFUNCTION("""COMPUTED_VALUE"""),"nowhere")</f>
        <v>nowhere</v>
      </c>
      <c r="AC287" s="49"/>
      <c r="AD287" s="49" t="str">
        <f>IFERROR(__xludf.DUMMYFUNCTION("""COMPUTED_VALUE"""),"cold")</f>
        <v>cold</v>
      </c>
      <c r="AE287" s="49" t="str">
        <f>IFERROR(__xludf.DUMMYFUNCTION("""COMPUTED_VALUE"""),"construct")</f>
        <v>construct</v>
      </c>
      <c r="AF287" s="49" t="str">
        <f t="shared" si="4"/>
        <v>built,</v>
      </c>
      <c r="AG287" s="49"/>
      <c r="AH287" s="1" t="s">
        <v>3830</v>
      </c>
      <c r="AI287" s="1" t="s">
        <v>553</v>
      </c>
      <c r="AJ287" s="6" t="str">
        <f>IFERROR(__xludf.DUMMYFUNCTION("""COMPUTED_VALUE"""),"exactly")</f>
        <v>exactly</v>
      </c>
      <c r="AK287" s="49"/>
      <c r="AL287" s="49"/>
      <c r="AM287" s="49"/>
      <c r="AN287" s="52" t="str">
        <f t="shared" si="5"/>
        <v>pass,</v>
      </c>
    </row>
    <row r="288">
      <c r="A288" s="51" t="s">
        <v>1915</v>
      </c>
      <c r="B288" s="50" t="s">
        <v>1910</v>
      </c>
      <c r="C288" s="50" t="s">
        <v>1529</v>
      </c>
      <c r="D288" s="49" t="str">
        <f>IFERROR(__xludf.DUMMYFUNCTION("""COMPUTED_VALUE"""),"takes")</f>
        <v>takes</v>
      </c>
      <c r="E288" s="49"/>
      <c r="F288" s="49"/>
      <c r="G288" s="49" t="str">
        <f>IFERROR(__xludf.DUMMYFUNCTION("""COMPUTED_VALUE"""),"cook")</f>
        <v>cook</v>
      </c>
      <c r="H288" s="54" t="str">
        <f t="shared" si="1"/>
        <v>playing,</v>
      </c>
      <c r="I288" s="50"/>
      <c r="J288" s="50" t="s">
        <v>339</v>
      </c>
      <c r="K288" s="50" t="s">
        <v>879</v>
      </c>
      <c r="L288" s="49" t="str">
        <f>IFERROR(__xludf.DUMMYFUNCTION("""COMPUTED_VALUE"""),"effects")</f>
        <v>effects</v>
      </c>
      <c r="M288" s="49"/>
      <c r="N288" s="49" t="str">
        <f>IFERROR(__xludf.DUMMYFUNCTION("""COMPUTED_VALUE"""),"drugs")</f>
        <v>drugs</v>
      </c>
      <c r="O288" s="49" t="str">
        <f>IFERROR(__xludf.DUMMYFUNCTION("""COMPUTED_VALUE"""),"vanity")</f>
        <v>vanity</v>
      </c>
      <c r="P288" s="49" t="str">
        <f t="shared" si="2"/>
        <v>version,</v>
      </c>
      <c r="Q288" s="49"/>
      <c r="R288" s="50" t="s">
        <v>632</v>
      </c>
      <c r="S288" s="55" t="s">
        <v>186</v>
      </c>
      <c r="T288" s="49" t="str">
        <f>IFERROR(__xludf.DUMMYFUNCTION("""COMPUTED_VALUE"""),"town")</f>
        <v>town</v>
      </c>
      <c r="U288" s="49"/>
      <c r="V288" s="49" t="str">
        <f>IFERROR(__xludf.DUMMYFUNCTION("""COMPUTED_VALUE"""),"rage")</f>
        <v>rage</v>
      </c>
      <c r="W288" s="49" t="str">
        <f>IFERROR(__xludf.DUMMYFUNCTION("""COMPUTED_VALUE"""),"mood")</f>
        <v>mood</v>
      </c>
      <c r="X288" s="49" t="str">
        <f t="shared" si="3"/>
        <v>left,</v>
      </c>
      <c r="Y288" s="49"/>
      <c r="Z288" s="1" t="s">
        <v>2474</v>
      </c>
      <c r="AA288" s="1" t="s">
        <v>1916</v>
      </c>
      <c r="AB288" s="49" t="str">
        <f>IFERROR(__xludf.DUMMYFUNCTION("""COMPUTED_VALUE"""),"thought")</f>
        <v>thought</v>
      </c>
      <c r="AC288" s="49"/>
      <c r="AD288" s="49" t="str">
        <f>IFERROR(__xludf.DUMMYFUNCTION("""COMPUTED_VALUE"""),"drugs")</f>
        <v>drugs</v>
      </c>
      <c r="AE288" s="49" t="str">
        <f>IFERROR(__xludf.DUMMYFUNCTION("""COMPUTED_VALUE"""),"vanity")</f>
        <v>vanity</v>
      </c>
      <c r="AF288" s="49" t="str">
        <f t="shared" si="4"/>
        <v>nearly,</v>
      </c>
      <c r="AG288" s="49"/>
      <c r="AH288" s="1" t="s">
        <v>4631</v>
      </c>
      <c r="AI288" s="1" t="s">
        <v>1423</v>
      </c>
      <c r="AJ288" s="6" t="str">
        <f>IFERROR(__xludf.DUMMYFUNCTION("""COMPUTED_VALUE"""),"acting")</f>
        <v>acting</v>
      </c>
      <c r="AK288" s="49"/>
      <c r="AL288" s="49"/>
      <c r="AM288" s="49"/>
      <c r="AN288" s="52" t="str">
        <f t="shared" si="5"/>
        <v>exactly,</v>
      </c>
    </row>
    <row r="289">
      <c r="A289" s="51" t="s">
        <v>1919</v>
      </c>
      <c r="B289" s="50" t="s">
        <v>4207</v>
      </c>
      <c r="C289" s="50" t="s">
        <v>731</v>
      </c>
      <c r="D289" s="49" t="str">
        <f>IFERROR(__xludf.DUMMYFUNCTION("""COMPUTED_VALUE"""),"watch")</f>
        <v>watch</v>
      </c>
      <c r="E289" s="49"/>
      <c r="F289" s="49"/>
      <c r="G289" s="49" t="str">
        <f>IFERROR(__xludf.DUMMYFUNCTION("""COMPUTED_VALUE"""),"squeezed")</f>
        <v>squeezed</v>
      </c>
      <c r="H289" s="54" t="str">
        <f t="shared" si="1"/>
        <v>michael,</v>
      </c>
      <c r="I289" s="50"/>
      <c r="J289" s="50" t="s">
        <v>4474</v>
      </c>
      <c r="K289" s="50" t="s">
        <v>1331</v>
      </c>
      <c r="L289" s="49" t="str">
        <f>IFERROR(__xludf.DUMMYFUNCTION("""COMPUTED_VALUE"""),"douglas")</f>
        <v>douglas</v>
      </c>
      <c r="M289" s="49"/>
      <c r="N289" s="49" t="str">
        <f>IFERROR(__xludf.DUMMYFUNCTION("""COMPUTED_VALUE"""),"bored")</f>
        <v>bored</v>
      </c>
      <c r="O289" s="49" t="str">
        <f>IFERROR(__xludf.DUMMYFUNCTION("""COMPUTED_VALUE"""),"lizard")</f>
        <v>lizard</v>
      </c>
      <c r="P289" s="49" t="str">
        <f t="shared" si="2"/>
        <v>kong,</v>
      </c>
      <c r="Q289" s="49"/>
      <c r="R289" s="50" t="s">
        <v>6247</v>
      </c>
      <c r="S289" s="55" t="s">
        <v>1536</v>
      </c>
      <c r="T289" s="49" t="str">
        <f>IFERROR(__xludf.DUMMYFUNCTION("""COMPUTED_VALUE"""),"invented")</f>
        <v>invented</v>
      </c>
      <c r="U289" s="49"/>
      <c r="V289" s="49" t="str">
        <f>IFERROR(__xludf.DUMMYFUNCTION("""COMPUTED_VALUE"""),"gang")</f>
        <v>gang</v>
      </c>
      <c r="W289" s="49" t="str">
        <f>IFERROR(__xludf.DUMMYFUNCTION("""COMPUTED_VALUE"""),"combining")</f>
        <v>combining</v>
      </c>
      <c r="X289" s="49" t="str">
        <f t="shared" si="3"/>
        <v>nothing,</v>
      </c>
      <c r="Y289" s="49"/>
      <c r="Z289" s="1" t="s">
        <v>4288</v>
      </c>
      <c r="AA289" s="1" t="s">
        <v>208</v>
      </c>
      <c r="AB289" s="49" t="str">
        <f>IFERROR(__xludf.DUMMYFUNCTION("""COMPUTED_VALUE"""),"neither")</f>
        <v>neither</v>
      </c>
      <c r="AC289" s="49"/>
      <c r="AD289" s="49" t="str">
        <f>IFERROR(__xludf.DUMMYFUNCTION("""COMPUTED_VALUE"""),"bored")</f>
        <v>bored</v>
      </c>
      <c r="AE289" s="49" t="str">
        <f>IFERROR(__xludf.DUMMYFUNCTION("""COMPUTED_VALUE"""),"lizard")</f>
        <v>lizard</v>
      </c>
      <c r="AF289" s="49" t="str">
        <f t="shared" si="4"/>
        <v>reflection,</v>
      </c>
      <c r="AG289" s="49"/>
      <c r="AH289" s="1" t="s">
        <v>6309</v>
      </c>
      <c r="AI289" s="1" t="s">
        <v>538</v>
      </c>
      <c r="AJ289" s="6" t="str">
        <f>IFERROR(__xludf.DUMMYFUNCTION("""COMPUTED_VALUE"""),"grant")</f>
        <v>grant</v>
      </c>
      <c r="AK289" s="49"/>
      <c r="AL289" s="49"/>
      <c r="AM289" s="49"/>
      <c r="AN289" s="52" t="str">
        <f t="shared" si="5"/>
        <v>acting,</v>
      </c>
    </row>
    <row r="290">
      <c r="A290" s="51" t="s">
        <v>1925</v>
      </c>
      <c r="B290" s="50" t="s">
        <v>4764</v>
      </c>
      <c r="C290" s="50" t="s">
        <v>1237</v>
      </c>
      <c r="D290" s="49" t="str">
        <f>IFERROR(__xludf.DUMMYFUNCTION("""COMPUTED_VALUE"""),"create")</f>
        <v>create</v>
      </c>
      <c r="E290" s="49"/>
      <c r="F290" s="49"/>
      <c r="G290" s="49" t="str">
        <f>IFERROR(__xludf.DUMMYFUNCTION("""COMPUTED_VALUE"""),"fighters")</f>
        <v>fighters</v>
      </c>
      <c r="H290" s="54" t="str">
        <f t="shared" si="1"/>
        <v>usually,</v>
      </c>
      <c r="I290" s="50"/>
      <c r="J290" s="50" t="s">
        <v>3774</v>
      </c>
      <c r="K290" s="50" t="s">
        <v>887</v>
      </c>
      <c r="L290" s="49" t="str">
        <f>IFERROR(__xludf.DUMMYFUNCTION("""COMPUTED_VALUE"""),"alien")</f>
        <v>alien</v>
      </c>
      <c r="M290" s="49"/>
      <c r="N290" s="49" t="str">
        <f>IFERROR(__xludf.DUMMYFUNCTION("""COMPUTED_VALUE"""),"girl")</f>
        <v>girl</v>
      </c>
      <c r="O290" s="49" t="str">
        <f>IFERROR(__xludf.DUMMYFUNCTION("""COMPUTED_VALUE"""),"adhere")</f>
        <v>adhere</v>
      </c>
      <c r="P290" s="49" t="str">
        <f t="shared" si="2"/>
        <v>hong,</v>
      </c>
      <c r="Q290" s="49"/>
      <c r="R290" s="50" t="s">
        <v>2490</v>
      </c>
      <c r="S290" s="55" t="s">
        <v>731</v>
      </c>
      <c r="T290" s="49" t="str">
        <f>IFERROR(__xludf.DUMMYFUNCTION("""COMPUTED_VALUE"""),"coherent")</f>
        <v>coherent</v>
      </c>
      <c r="U290" s="49"/>
      <c r="V290" s="49" t="str">
        <f>IFERROR(__xludf.DUMMYFUNCTION("""COMPUTED_VALUE"""),"sensation")</f>
        <v>sensation</v>
      </c>
      <c r="W290" s="49" t="str">
        <f>IFERROR(__xludf.DUMMYFUNCTION("""COMPUTED_VALUE"""),"indictment")</f>
        <v>indictment</v>
      </c>
      <c r="X290" s="49" t="str">
        <f t="shared" si="3"/>
        <v>ultimately,</v>
      </c>
      <c r="Y290" s="49"/>
      <c r="Z290" s="1" t="s">
        <v>3317</v>
      </c>
      <c r="AA290" s="1" t="s">
        <v>1053</v>
      </c>
      <c r="AB290" s="49" t="str">
        <f>IFERROR(__xludf.DUMMYFUNCTION("""COMPUTED_VALUE"""),"tries")</f>
        <v>tries</v>
      </c>
      <c r="AC290" s="49"/>
      <c r="AD290" s="49" t="str">
        <f>IFERROR(__xludf.DUMMYFUNCTION("""COMPUTED_VALUE"""),"girl")</f>
        <v>girl</v>
      </c>
      <c r="AE290" s="49" t="str">
        <f>IFERROR(__xludf.DUMMYFUNCTION("""COMPUTED_VALUE"""),"adhere")</f>
        <v>adhere</v>
      </c>
      <c r="AF290" s="49" t="str">
        <f t="shared" si="4"/>
        <v>express,</v>
      </c>
      <c r="AG290" s="49"/>
      <c r="AH290" s="1" t="s">
        <v>1322</v>
      </c>
      <c r="AI290" s="1" t="s">
        <v>591</v>
      </c>
      <c r="AJ290" s="6" t="str">
        <f>IFERROR(__xludf.DUMMYFUNCTION("""COMPUTED_VALUE"""),"jim")</f>
        <v>jim</v>
      </c>
      <c r="AK290" s="49"/>
      <c r="AL290" s="49"/>
      <c r="AM290" s="49"/>
      <c r="AN290" s="52" t="str">
        <f t="shared" si="5"/>
        <v>grant,</v>
      </c>
    </row>
    <row r="291">
      <c r="A291" s="51" t="s">
        <v>1932</v>
      </c>
      <c r="B291" s="50" t="s">
        <v>359</v>
      </c>
      <c r="C291" s="50" t="s">
        <v>3514</v>
      </c>
      <c r="D291" s="49" t="str">
        <f>IFERROR(__xludf.DUMMYFUNCTION("""COMPUTED_VALUE"""),"uses")</f>
        <v>uses</v>
      </c>
      <c r="E291" s="49"/>
      <c r="F291" s="49"/>
      <c r="G291" s="49" t="str">
        <f>IFERROR(__xludf.DUMMYFUNCTION("""COMPUTED_VALUE"""),"produces")</f>
        <v>produces</v>
      </c>
      <c r="H291" s="54" t="str">
        <f t="shared" si="1"/>
        <v>performance,</v>
      </c>
      <c r="I291" s="50"/>
      <c r="J291" s="50" t="s">
        <v>4238</v>
      </c>
      <c r="K291" s="50" t="s">
        <v>1663</v>
      </c>
      <c r="L291" s="49" t="str">
        <f>IFERROR(__xludf.DUMMYFUNCTION("""COMPUTED_VALUE"""),"count")</f>
        <v>count</v>
      </c>
      <c r="M291" s="49"/>
      <c r="N291" s="49" t="str">
        <f>IFERROR(__xludf.DUMMYFUNCTION("""COMPUTED_VALUE"""),"black")</f>
        <v>black</v>
      </c>
      <c r="O291" s="49" t="str">
        <f>IFERROR(__xludf.DUMMYFUNCTION("""COMPUTED_VALUE"""),"laws")</f>
        <v>laws</v>
      </c>
      <c r="P291" s="49" t="str">
        <f t="shared" si="2"/>
        <v>prior,</v>
      </c>
      <c r="Q291" s="49"/>
      <c r="R291" s="50" t="s">
        <v>2699</v>
      </c>
      <c r="S291" s="55" t="s">
        <v>6298</v>
      </c>
      <c r="T291" s="49" t="str">
        <f>IFERROR(__xludf.DUMMYFUNCTION("""COMPUTED_VALUE"""),"never")</f>
        <v>never</v>
      </c>
      <c r="U291" s="49"/>
      <c r="V291" s="49" t="str">
        <f>IFERROR(__xludf.DUMMYFUNCTION("""COMPUTED_VALUE"""),"columbia")</f>
        <v>columbia</v>
      </c>
      <c r="W291" s="49" t="str">
        <f>IFERROR(__xludf.DUMMYFUNCTION("""COMPUTED_VALUE"""),"across")</f>
        <v>across</v>
      </c>
      <c r="X291" s="49" t="str">
        <f t="shared" si="3"/>
        <v>pleasing,</v>
      </c>
      <c r="Y291" s="49"/>
      <c r="Z291" s="1" t="s">
        <v>891</v>
      </c>
      <c r="AA291" s="1" t="s">
        <v>375</v>
      </c>
      <c r="AB291" s="49" t="str">
        <f>IFERROR(__xludf.DUMMYFUNCTION("""COMPUTED_VALUE"""),"admission")</f>
        <v>admission</v>
      </c>
      <c r="AC291" s="49"/>
      <c r="AD291" s="49" t="str">
        <f>IFERROR(__xludf.DUMMYFUNCTION("""COMPUTED_VALUE"""),"black")</f>
        <v>black</v>
      </c>
      <c r="AE291" s="49" t="str">
        <f>IFERROR(__xludf.DUMMYFUNCTION("""COMPUTED_VALUE"""),"laws")</f>
        <v>laws</v>
      </c>
      <c r="AF291" s="49" t="str">
        <f t="shared" si="4"/>
        <v>spend,</v>
      </c>
      <c r="AG291" s="49"/>
      <c r="AH291" s="1" t="s">
        <v>6464</v>
      </c>
      <c r="AI291" s="1" t="s">
        <v>711</v>
      </c>
      <c r="AJ291" s="6" t="str">
        <f>IFERROR(__xludf.DUMMYFUNCTION("""COMPUTED_VALUE"""),"huge")</f>
        <v>huge</v>
      </c>
      <c r="AK291" s="49"/>
      <c r="AL291" s="49"/>
      <c r="AM291" s="49"/>
      <c r="AN291" s="52" t="str">
        <f t="shared" si="5"/>
        <v>jim,</v>
      </c>
    </row>
    <row r="292">
      <c r="A292" s="51" t="s">
        <v>1937</v>
      </c>
      <c r="B292" s="50" t="s">
        <v>6313</v>
      </c>
      <c r="C292" s="50" t="s">
        <v>1536</v>
      </c>
      <c r="D292" s="49" t="str">
        <f>IFERROR(__xludf.DUMMYFUNCTION("""COMPUTED_VALUE"""),"landscape")</f>
        <v>landscape</v>
      </c>
      <c r="E292" s="49"/>
      <c r="F292" s="49"/>
      <c r="G292" s="49" t="str">
        <f>IFERROR(__xludf.DUMMYFUNCTION("""COMPUTED_VALUE"""),"copenhagen")</f>
        <v>copenhagen</v>
      </c>
      <c r="H292" s="54" t="str">
        <f t="shared" si="1"/>
        <v>character,</v>
      </c>
      <c r="I292" s="50"/>
      <c r="J292" s="50" t="s">
        <v>5213</v>
      </c>
      <c r="K292" s="50" t="s">
        <v>894</v>
      </c>
      <c r="L292" s="49" t="str">
        <f>IFERROR(__xludf.DUMMYFUNCTION("""COMPUTED_VALUE"""),"burns")</f>
        <v>burns</v>
      </c>
      <c r="M292" s="49"/>
      <c r="N292" s="49" t="str">
        <f>IFERROR(__xludf.DUMMYFUNCTION("""COMPUTED_VALUE"""),"early")</f>
        <v>early</v>
      </c>
      <c r="O292" s="49" t="str">
        <f>IFERROR(__xludf.DUMMYFUNCTION("""COMPUTED_VALUE"""),"philosophical")</f>
        <v>philosophical</v>
      </c>
      <c r="P292" s="49" t="str">
        <f t="shared" si="2"/>
        <v>asia,</v>
      </c>
      <c r="Q292" s="49"/>
      <c r="R292" s="50" t="s">
        <v>3630</v>
      </c>
      <c r="S292" s="55" t="s">
        <v>1780</v>
      </c>
      <c r="T292" s="49">
        <f>IFERROR(__xludf.DUMMYFUNCTION("""COMPUTED_VALUE"""),1.0)</f>
        <v>1</v>
      </c>
      <c r="U292" s="49"/>
      <c r="V292" s="49" t="str">
        <f>IFERROR(__xludf.DUMMYFUNCTION("""COMPUTED_VALUE"""),"crystal")</f>
        <v>crystal</v>
      </c>
      <c r="W292" s="49" t="str">
        <f>IFERROR(__xludf.DUMMYFUNCTION("""COMPUTED_VALUE"""),"offensive")</f>
        <v>offensive</v>
      </c>
      <c r="X292" s="49" t="str">
        <f t="shared" si="3"/>
        <v>mine,</v>
      </c>
      <c r="Y292" s="49"/>
      <c r="Z292" s="1" t="s">
        <v>5364</v>
      </c>
      <c r="AA292" s="1" t="s">
        <v>1938</v>
      </c>
      <c r="AB292" s="49" t="str">
        <f>IFERROR(__xludf.DUMMYFUNCTION("""COMPUTED_VALUE"""),"without")</f>
        <v>without</v>
      </c>
      <c r="AC292" s="49"/>
      <c r="AD292" s="49" t="str">
        <f>IFERROR(__xludf.DUMMYFUNCTION("""COMPUTED_VALUE"""),"early")</f>
        <v>early</v>
      </c>
      <c r="AE292" s="49" t="str">
        <f>IFERROR(__xludf.DUMMYFUNCTION("""COMPUTED_VALUE"""),"philosophical")</f>
        <v>philosophical</v>
      </c>
      <c r="AF292" s="49" t="str">
        <f t="shared" si="4"/>
        <v>presence,</v>
      </c>
      <c r="AG292" s="49"/>
      <c r="AH292" s="1" t="s">
        <v>6559</v>
      </c>
      <c r="AI292" s="1" t="s">
        <v>1043</v>
      </c>
      <c r="AJ292" s="6" t="str">
        <f>IFERROR(__xludf.DUMMYFUNCTION("""COMPUTED_VALUE"""),"adam")</f>
        <v>adam</v>
      </c>
      <c r="AK292" s="49"/>
      <c r="AL292" s="49"/>
      <c r="AM292" s="49"/>
      <c r="AN292" s="52" t="str">
        <f t="shared" si="5"/>
        <v>huge,</v>
      </c>
    </row>
    <row r="293">
      <c r="A293" s="51" t="s">
        <v>1942</v>
      </c>
      <c r="B293" s="50" t="s">
        <v>6857</v>
      </c>
      <c r="C293" s="50" t="s">
        <v>195</v>
      </c>
      <c r="D293" s="49" t="str">
        <f>IFERROR(__xludf.DUMMYFUNCTION("""COMPUTED_VALUE"""),"attractive")</f>
        <v>attractive</v>
      </c>
      <c r="E293" s="49"/>
      <c r="F293" s="49"/>
      <c r="G293" s="49" t="str">
        <f>IFERROR(__xludf.DUMMYFUNCTION("""COMPUTED_VALUE"""),"climb")</f>
        <v>climb</v>
      </c>
      <c r="H293" s="54" t="str">
        <f t="shared" si="1"/>
        <v>dr,</v>
      </c>
      <c r="I293" s="50"/>
      <c r="J293" s="50" t="s">
        <v>1827</v>
      </c>
      <c r="K293" s="50" t="s">
        <v>1669</v>
      </c>
      <c r="L293" s="49" t="str">
        <f>IFERROR(__xludf.DUMMYFUNCTION("""COMPUTED_VALUE"""),"cinematography")</f>
        <v>cinematography</v>
      </c>
      <c r="M293" s="49"/>
      <c r="N293" s="49" t="str">
        <f>IFERROR(__xludf.DUMMYFUNCTION("""COMPUTED_VALUE"""),"bo")</f>
        <v>bo</v>
      </c>
      <c r="O293" s="49" t="str">
        <f>IFERROR(__xludf.DUMMYFUNCTION("""COMPUTED_VALUE"""),"invention")</f>
        <v>invention</v>
      </c>
      <c r="P293" s="49" t="str">
        <f t="shared" si="2"/>
        <v>style,</v>
      </c>
      <c r="Q293" s="49"/>
      <c r="R293" s="50" t="s">
        <v>6401</v>
      </c>
      <c r="S293" s="55" t="s">
        <v>670</v>
      </c>
      <c r="T293" s="49" t="str">
        <f>IFERROR(__xludf.DUMMYFUNCTION("""COMPUTED_VALUE"""),"numerous")</f>
        <v>numerous</v>
      </c>
      <c r="U293" s="49"/>
      <c r="V293" s="49" t="str">
        <f>IFERROR(__xludf.DUMMYFUNCTION("""COMPUTED_VALUE"""),"pipe")</f>
        <v>pipe</v>
      </c>
      <c r="W293" s="49" t="str">
        <f>IFERROR(__xludf.DUMMYFUNCTION("""COMPUTED_VALUE"""),"finally")</f>
        <v>finally</v>
      </c>
      <c r="X293" s="49" t="str">
        <f t="shared" si="3"/>
        <v>familiar,</v>
      </c>
      <c r="Y293" s="49"/>
      <c r="Z293" s="1" t="s">
        <v>2766</v>
      </c>
      <c r="AA293" s="1" t="s">
        <v>381</v>
      </c>
      <c r="AB293" s="49" t="str">
        <f>IFERROR(__xludf.DUMMYFUNCTION("""COMPUTED_VALUE"""),"filmmakers")</f>
        <v>filmmakers</v>
      </c>
      <c r="AC293" s="49"/>
      <c r="AD293" s="49" t="str">
        <f>IFERROR(__xludf.DUMMYFUNCTION("""COMPUTED_VALUE"""),"bo")</f>
        <v>bo</v>
      </c>
      <c r="AE293" s="49" t="str">
        <f>IFERROR(__xludf.DUMMYFUNCTION("""COMPUTED_VALUE"""),"invention")</f>
        <v>invention</v>
      </c>
      <c r="AF293" s="49" t="str">
        <f t="shared" si="4"/>
        <v>painfully,</v>
      </c>
      <c r="AG293" s="49"/>
      <c r="AH293" s="1" t="s">
        <v>5111</v>
      </c>
      <c r="AI293" s="1" t="s">
        <v>1291</v>
      </c>
      <c r="AJ293" s="6" t="str">
        <f>IFERROR(__xludf.DUMMYFUNCTION("""COMPUTED_VALUE"""),"nervous")</f>
        <v>nervous</v>
      </c>
      <c r="AK293" s="49"/>
      <c r="AL293" s="49"/>
      <c r="AM293" s="49"/>
      <c r="AN293" s="52" t="str">
        <f t="shared" si="5"/>
        <v>adam,</v>
      </c>
    </row>
    <row r="294">
      <c r="A294" s="51" t="s">
        <v>1946</v>
      </c>
      <c r="B294" s="50" t="s">
        <v>2247</v>
      </c>
      <c r="C294" s="50" t="s">
        <v>186</v>
      </c>
      <c r="D294" s="49" t="str">
        <f>IFERROR(__xludf.DUMMYFUNCTION("""COMPUTED_VALUE"""),"provide")</f>
        <v>provide</v>
      </c>
      <c r="E294" s="49"/>
      <c r="F294" s="49"/>
      <c r="G294" s="49" t="str">
        <f>IFERROR(__xludf.DUMMYFUNCTION("""COMPUTED_VALUE"""),"behalf")</f>
        <v>behalf</v>
      </c>
      <c r="H294" s="54" t="str">
        <f t="shared" si="1"/>
        <v>bit,</v>
      </c>
      <c r="I294" s="50"/>
      <c r="J294" s="50" t="s">
        <v>159</v>
      </c>
      <c r="K294" s="50" t="s">
        <v>173</v>
      </c>
      <c r="L294" s="49" t="str">
        <f>IFERROR(__xludf.DUMMYFUNCTION("""COMPUTED_VALUE"""),"words")</f>
        <v>words</v>
      </c>
      <c r="M294" s="49"/>
      <c r="N294" s="49" t="str">
        <f>IFERROR(__xludf.DUMMYFUNCTION("""COMPUTED_VALUE"""),"directed")</f>
        <v>directed</v>
      </c>
      <c r="O294" s="49" t="str">
        <f>IFERROR(__xludf.DUMMYFUNCTION("""COMPUTED_VALUE"""),"juvenile")</f>
        <v>juvenile</v>
      </c>
      <c r="P294" s="49" t="str">
        <f t="shared" si="2"/>
        <v>cinematic,</v>
      </c>
      <c r="Q294" s="49"/>
      <c r="R294" s="50" t="s">
        <v>2680</v>
      </c>
      <c r="S294" s="55" t="s">
        <v>514</v>
      </c>
      <c r="T294" s="49" t="str">
        <f>IFERROR(__xludf.DUMMYFUNCTION("""COMPUTED_VALUE"""),"derivative")</f>
        <v>derivative</v>
      </c>
      <c r="U294" s="49"/>
      <c r="V294" s="49" t="str">
        <f>IFERROR(__xludf.DUMMYFUNCTION("""COMPUTED_VALUE"""),"scary")</f>
        <v>scary</v>
      </c>
      <c r="W294" s="49" t="str">
        <f>IFERROR(__xludf.DUMMYFUNCTION("""COMPUTED_VALUE"""),"engage")</f>
        <v>engage</v>
      </c>
      <c r="X294" s="49" t="str">
        <f t="shared" si="3"/>
        <v>leads,</v>
      </c>
      <c r="Y294" s="49"/>
      <c r="Z294" s="1" t="s">
        <v>6349</v>
      </c>
      <c r="AA294" s="1" t="s">
        <v>369</v>
      </c>
      <c r="AB294" s="49" t="str">
        <f>IFERROR(__xludf.DUMMYFUNCTION("""COMPUTED_VALUE"""),"animated")</f>
        <v>animated</v>
      </c>
      <c r="AC294" s="49"/>
      <c r="AD294" s="49" t="str">
        <f>IFERROR(__xludf.DUMMYFUNCTION("""COMPUTED_VALUE"""),"directed")</f>
        <v>directed</v>
      </c>
      <c r="AE294" s="49" t="str">
        <f>IFERROR(__xludf.DUMMYFUNCTION("""COMPUTED_VALUE"""),"juvenile")</f>
        <v>juvenile</v>
      </c>
      <c r="AF294" s="49" t="str">
        <f t="shared" si="4"/>
        <v>european,</v>
      </c>
      <c r="AG294" s="49"/>
      <c r="AH294" s="1" t="s">
        <v>6643</v>
      </c>
      <c r="AI294" s="1" t="s">
        <v>613</v>
      </c>
      <c r="AJ294" s="6" t="str">
        <f>IFERROR(__xludf.DUMMYFUNCTION("""COMPUTED_VALUE"""),"hugh")</f>
        <v>hugh</v>
      </c>
      <c r="AK294" s="49"/>
      <c r="AL294" s="49"/>
      <c r="AM294" s="49"/>
      <c r="AN294" s="52" t="str">
        <f t="shared" si="5"/>
        <v>nervous,</v>
      </c>
    </row>
    <row r="295">
      <c r="A295" s="51" t="s">
        <v>1626</v>
      </c>
      <c r="B295" s="50" t="s">
        <v>6338</v>
      </c>
      <c r="C295" s="50" t="s">
        <v>670</v>
      </c>
      <c r="D295" s="49" t="str">
        <f>IFERROR(__xludf.DUMMYFUNCTION("""COMPUTED_VALUE"""),"called")</f>
        <v>called</v>
      </c>
      <c r="E295" s="49"/>
      <c r="F295" s="49"/>
      <c r="G295" s="49" t="str">
        <f>IFERROR(__xludf.DUMMYFUNCTION("""COMPUTED_VALUE"""),"suspended")</f>
        <v>suspended</v>
      </c>
      <c r="H295" s="54" t="str">
        <f t="shared" si="1"/>
        <v>studio,</v>
      </c>
      <c r="I295" s="50"/>
      <c r="J295" s="50" t="s">
        <v>831</v>
      </c>
      <c r="K295" s="50" t="s">
        <v>309</v>
      </c>
      <c r="L295" s="49" t="str">
        <f>IFERROR(__xludf.DUMMYFUNCTION("""COMPUTED_VALUE"""),"describe")</f>
        <v>describe</v>
      </c>
      <c r="M295" s="49"/>
      <c r="N295" s="49" t="str">
        <f>IFERROR(__xludf.DUMMYFUNCTION("""COMPUTED_VALUE"""),"among")</f>
        <v>among</v>
      </c>
      <c r="O295" s="49" t="str">
        <f>IFERROR(__xludf.DUMMYFUNCTION("""COMPUTED_VALUE"""),"dull")</f>
        <v>dull</v>
      </c>
      <c r="P295" s="49" t="str">
        <f t="shared" si="2"/>
        <v>made,</v>
      </c>
      <c r="Q295" s="49"/>
      <c r="R295" s="50" t="s">
        <v>2295</v>
      </c>
      <c r="S295" s="55" t="s">
        <v>131</v>
      </c>
      <c r="T295" s="49" t="str">
        <f>IFERROR(__xludf.DUMMYFUNCTION("""COMPUTED_VALUE"""),"twists")</f>
        <v>twists</v>
      </c>
      <c r="U295" s="49"/>
      <c r="V295" s="49" t="str">
        <f>IFERROR(__xludf.DUMMYFUNCTION("""COMPUTED_VALUE"""),"dropping")</f>
        <v>dropping</v>
      </c>
      <c r="W295" s="49" t="str">
        <f>IFERROR(__xludf.DUMMYFUNCTION("""COMPUTED_VALUE"""),"clause")</f>
        <v>clause</v>
      </c>
      <c r="X295" s="49" t="str">
        <f t="shared" si="3"/>
        <v>journey,</v>
      </c>
      <c r="Y295" s="49"/>
      <c r="Z295" s="1" t="s">
        <v>1045</v>
      </c>
      <c r="AA295" s="1" t="s">
        <v>1161</v>
      </c>
      <c r="AB295" s="49" t="str">
        <f>IFERROR(__xludf.DUMMYFUNCTION("""COMPUTED_VALUE"""),"morning")</f>
        <v>morning</v>
      </c>
      <c r="AC295" s="49"/>
      <c r="AD295" s="49" t="str">
        <f>IFERROR(__xludf.DUMMYFUNCTION("""COMPUTED_VALUE"""),"among")</f>
        <v>among</v>
      </c>
      <c r="AE295" s="49" t="str">
        <f>IFERROR(__xludf.DUMMYFUNCTION("""COMPUTED_VALUE"""),"dull")</f>
        <v>dull</v>
      </c>
      <c r="AF295" s="49" t="str">
        <f t="shared" si="4"/>
        <v>depth,</v>
      </c>
      <c r="AG295" s="49"/>
      <c r="AH295" s="1" t="s">
        <v>1327</v>
      </c>
      <c r="AI295" s="1" t="s">
        <v>652</v>
      </c>
      <c r="AJ295" s="6" t="str">
        <f>IFERROR(__xludf.DUMMYFUNCTION("""COMPUTED_VALUE"""),"terrible")</f>
        <v>terrible</v>
      </c>
      <c r="AK295" s="49"/>
      <c r="AL295" s="49"/>
      <c r="AM295" s="49"/>
      <c r="AN295" s="52" t="str">
        <f t="shared" si="5"/>
        <v>hugh,</v>
      </c>
    </row>
    <row r="296">
      <c r="A296" s="51" t="s">
        <v>1954</v>
      </c>
      <c r="B296" s="50" t="s">
        <v>4836</v>
      </c>
      <c r="C296" s="50" t="s">
        <v>6314</v>
      </c>
      <c r="D296" s="49" t="str">
        <f>IFERROR(__xludf.DUMMYFUNCTION("""COMPUTED_VALUE"""),"kind")</f>
        <v>kind</v>
      </c>
      <c r="E296" s="49"/>
      <c r="F296" s="49"/>
      <c r="G296" s="49" t="str">
        <f>IFERROR(__xludf.DUMMYFUNCTION("""COMPUTED_VALUE"""),"pub")</f>
        <v>pub</v>
      </c>
      <c r="H296" s="54" t="str">
        <f t="shared" si="1"/>
        <v>kiss,</v>
      </c>
      <c r="I296" s="50"/>
      <c r="J296" s="50" t="s">
        <v>2340</v>
      </c>
      <c r="K296" s="50" t="s">
        <v>905</v>
      </c>
      <c r="L296" s="49" t="str">
        <f>IFERROR(__xludf.DUMMYFUNCTION("""COMPUTED_VALUE"""),"patient")</f>
        <v>patient</v>
      </c>
      <c r="M296" s="49"/>
      <c r="N296" s="49" t="str">
        <f>IFERROR(__xludf.DUMMYFUNCTION("""COMPUTED_VALUE"""),"marks")</f>
        <v>marks</v>
      </c>
      <c r="O296" s="49" t="str">
        <f>IFERROR(__xludf.DUMMYFUNCTION("""COMPUTED_VALUE"""),"primal")</f>
        <v>primal</v>
      </c>
      <c r="P296" s="49" t="str">
        <f t="shared" si="2"/>
        <v>popular,</v>
      </c>
      <c r="Q296" s="49"/>
      <c r="R296" s="50" t="s">
        <v>5790</v>
      </c>
      <c r="S296" s="55" t="s">
        <v>1551</v>
      </c>
      <c r="T296" s="49" t="str">
        <f>IFERROR(__xludf.DUMMYFUNCTION("""COMPUTED_VALUE"""),"turns")</f>
        <v>turns</v>
      </c>
      <c r="U296" s="49"/>
      <c r="V296" s="49" t="str">
        <f>IFERROR(__xludf.DUMMYFUNCTION("""COMPUTED_VALUE"""),"adults")</f>
        <v>adults</v>
      </c>
      <c r="W296" s="49" t="str">
        <f>IFERROR(__xludf.DUMMYFUNCTION("""COMPUTED_VALUE"""),"children")</f>
        <v>children</v>
      </c>
      <c r="X296" s="49" t="str">
        <f t="shared" si="3"/>
        <v>joan,</v>
      </c>
      <c r="Y296" s="49"/>
      <c r="Z296" s="1" t="s">
        <v>1436</v>
      </c>
      <c r="AA296" s="1" t="s">
        <v>1955</v>
      </c>
      <c r="AB296" s="49" t="str">
        <f>IFERROR(__xludf.DUMMYFUNCTION("""COMPUTED_VALUE"""),"debut")</f>
        <v>debut</v>
      </c>
      <c r="AC296" s="49"/>
      <c r="AD296" s="49" t="str">
        <f>IFERROR(__xludf.DUMMYFUNCTION("""COMPUTED_VALUE"""),"marks")</f>
        <v>marks</v>
      </c>
      <c r="AE296" s="49" t="str">
        <f>IFERROR(__xludf.DUMMYFUNCTION("""COMPUTED_VALUE"""),"primal")</f>
        <v>primal</v>
      </c>
      <c r="AF296" s="49" t="str">
        <f t="shared" si="4"/>
        <v>drama,</v>
      </c>
      <c r="AG296" s="49"/>
      <c r="AH296" s="1" t="s">
        <v>6378</v>
      </c>
      <c r="AI296" s="1" t="s">
        <v>1307</v>
      </c>
      <c r="AJ296" s="6" t="str">
        <f>IFERROR(__xludf.DUMMYFUNCTION("""COMPUTED_VALUE"""),"until")</f>
        <v>until</v>
      </c>
      <c r="AK296" s="49"/>
      <c r="AL296" s="49"/>
      <c r="AM296" s="49"/>
      <c r="AN296" s="52" t="str">
        <f t="shared" si="5"/>
        <v>terrible,</v>
      </c>
    </row>
    <row r="297">
      <c r="A297" s="51" t="s">
        <v>1960</v>
      </c>
      <c r="B297" s="50" t="s">
        <v>3241</v>
      </c>
      <c r="C297" s="50" t="s">
        <v>741</v>
      </c>
      <c r="D297" s="49" t="str">
        <f>IFERROR(__xludf.DUMMYFUNCTION("""COMPUTED_VALUE"""),"slight")</f>
        <v>slight</v>
      </c>
      <c r="E297" s="49"/>
      <c r="F297" s="49"/>
      <c r="G297" s="49" t="str">
        <f>IFERROR(__xludf.DUMMYFUNCTION("""COMPUTED_VALUE"""),"swung")</f>
        <v>swung</v>
      </c>
      <c r="H297" s="54" t="str">
        <f t="shared" si="1"/>
        <v>scottish,</v>
      </c>
      <c r="I297" s="50"/>
      <c r="J297" s="50" t="s">
        <v>3851</v>
      </c>
      <c r="K297" s="50" t="s">
        <v>913</v>
      </c>
      <c r="L297" s="49" t="str">
        <f>IFERROR(__xludf.DUMMYFUNCTION("""COMPUTED_VALUE"""),"gripping")</f>
        <v>gripping</v>
      </c>
      <c r="M297" s="49"/>
      <c r="N297" s="49" t="str">
        <f>IFERROR(__xludf.DUMMYFUNCTION("""COMPUTED_VALUE"""),"house")</f>
        <v>house</v>
      </c>
      <c r="O297" s="49" t="str">
        <f>IFERROR(__xludf.DUMMYFUNCTION("""COMPUTED_VALUE"""),"cope")</f>
        <v>cope</v>
      </c>
      <c r="P297" s="49" t="str">
        <f t="shared" si="2"/>
        <v>classics,</v>
      </c>
      <c r="Q297" s="49"/>
      <c r="R297" s="50" t="s">
        <v>6451</v>
      </c>
      <c r="S297" s="55" t="s">
        <v>140</v>
      </c>
      <c r="T297" s="49" t="str">
        <f>IFERROR(__xludf.DUMMYFUNCTION("""COMPUTED_VALUE"""),"increasingly")</f>
        <v>increasingly</v>
      </c>
      <c r="U297" s="49"/>
      <c r="V297" s="49" t="str">
        <f>IFERROR(__xludf.DUMMYFUNCTION("""COMPUTED_VALUE"""),"youth")</f>
        <v>youth</v>
      </c>
      <c r="W297" s="49" t="str">
        <f>IFERROR(__xludf.DUMMYFUNCTION("""COMPUTED_VALUE"""),"prove")</f>
        <v>prove</v>
      </c>
      <c r="X297" s="49" t="str">
        <f t="shared" si="3"/>
        <v>crazy,</v>
      </c>
      <c r="Y297" s="49"/>
      <c r="Z297" s="1" t="s">
        <v>2662</v>
      </c>
      <c r="AA297" s="1" t="s">
        <v>1961</v>
      </c>
      <c r="AB297" s="49" t="str">
        <f>IFERROR(__xludf.DUMMYFUNCTION("""COMPUTED_VALUE"""),"rare")</f>
        <v>rare</v>
      </c>
      <c r="AC297" s="49"/>
      <c r="AD297" s="49" t="str">
        <f>IFERROR(__xludf.DUMMYFUNCTION("""COMPUTED_VALUE"""),"house")</f>
        <v>house</v>
      </c>
      <c r="AE297" s="49" t="str">
        <f>IFERROR(__xludf.DUMMYFUNCTION("""COMPUTED_VALUE"""),"cope")</f>
        <v>cope</v>
      </c>
      <c r="AF297" s="49" t="str">
        <f t="shared" si="4"/>
        <v>plays,</v>
      </c>
      <c r="AG297" s="49"/>
      <c r="AH297" s="1" t="s">
        <v>2523</v>
      </c>
      <c r="AI297" s="1" t="s">
        <v>1525</v>
      </c>
      <c r="AJ297" s="6" t="str">
        <f>IFERROR(__xludf.DUMMYFUNCTION("""COMPUTED_VALUE"""),"too")</f>
        <v>too</v>
      </c>
      <c r="AK297" s="49"/>
      <c r="AL297" s="49"/>
      <c r="AM297" s="49"/>
      <c r="AN297" s="52" t="str">
        <f t="shared" si="5"/>
        <v>until,</v>
      </c>
    </row>
    <row r="298">
      <c r="A298" s="51" t="s">
        <v>1965</v>
      </c>
      <c r="B298" s="50" t="s">
        <v>6585</v>
      </c>
      <c r="C298" s="50" t="s">
        <v>1551</v>
      </c>
      <c r="D298" s="49" t="str">
        <f>IFERROR(__xludf.DUMMYFUNCTION("""COMPUTED_VALUE"""),"time")</f>
        <v>time</v>
      </c>
      <c r="E298" s="49"/>
      <c r="F298" s="49"/>
      <c r="G298" s="49" t="str">
        <f>IFERROR(__xludf.DUMMYFUNCTION("""COMPUTED_VALUE"""),"region")</f>
        <v>region</v>
      </c>
      <c r="H298" s="54" t="str">
        <f t="shared" si="1"/>
        <v>brian,</v>
      </c>
      <c r="I298" s="50"/>
      <c r="J298" s="50" t="s">
        <v>3429</v>
      </c>
      <c r="K298" s="50" t="s">
        <v>1701</v>
      </c>
      <c r="L298" s="49" t="str">
        <f>IFERROR(__xludf.DUMMYFUNCTION("""COMPUTED_VALUE"""),"victim")</f>
        <v>victim</v>
      </c>
      <c r="M298" s="49"/>
      <c r="N298" s="49" t="str">
        <f>IFERROR(__xludf.DUMMYFUNCTION("""COMPUTED_VALUE"""),"comedy")</f>
        <v>comedy</v>
      </c>
      <c r="O298" s="49" t="str">
        <f>IFERROR(__xludf.DUMMYFUNCTION("""COMPUTED_VALUE"""),"midnight")</f>
        <v>midnight</v>
      </c>
      <c r="P298" s="49" t="str">
        <f t="shared" si="2"/>
        <v>double,</v>
      </c>
      <c r="Q298" s="49"/>
      <c r="R298" s="50" t="s">
        <v>6308</v>
      </c>
      <c r="S298" s="55" t="s">
        <v>759</v>
      </c>
      <c r="T298" s="49" t="str">
        <f>IFERROR(__xludf.DUMMYFUNCTION("""COMPUTED_VALUE"""),"pile")</f>
        <v>pile</v>
      </c>
      <c r="U298" s="49"/>
      <c r="V298" s="49" t="str">
        <f>IFERROR(__xludf.DUMMYFUNCTION("""COMPUTED_VALUE"""),"notes")</f>
        <v>notes</v>
      </c>
      <c r="W298" s="49" t="str">
        <f>IFERROR(__xludf.DUMMYFUNCTION("""COMPUTED_VALUE"""),"done")</f>
        <v>done</v>
      </c>
      <c r="X298" s="49" t="str">
        <f t="shared" si="3"/>
        <v>shows,</v>
      </c>
      <c r="Y298" s="49"/>
      <c r="Z298" s="1" t="s">
        <v>1516</v>
      </c>
      <c r="AA298" s="1" t="s">
        <v>214</v>
      </c>
      <c r="AB298" s="49" t="str">
        <f>IFERROR(__xludf.DUMMYFUNCTION("""COMPUTED_VALUE"""),"summer")</f>
        <v>summer</v>
      </c>
      <c r="AC298" s="49"/>
      <c r="AD298" s="49" t="str">
        <f>IFERROR(__xludf.DUMMYFUNCTION("""COMPUTED_VALUE"""),"comedy")</f>
        <v>comedy</v>
      </c>
      <c r="AE298" s="49" t="str">
        <f>IFERROR(__xludf.DUMMYFUNCTION("""COMPUTED_VALUE"""),"midnight")</f>
        <v>midnight</v>
      </c>
      <c r="AF298" s="49" t="str">
        <f t="shared" si="4"/>
        <v>loser,</v>
      </c>
      <c r="AG298" s="49"/>
      <c r="AH298" s="1" t="s">
        <v>60</v>
      </c>
      <c r="AI298" s="1" t="s">
        <v>621</v>
      </c>
      <c r="AJ298" s="6" t="str">
        <f>IFERROR(__xludf.DUMMYFUNCTION("""COMPUTED_VALUE"""),"built")</f>
        <v>built</v>
      </c>
      <c r="AK298" s="49"/>
      <c r="AL298" s="49"/>
      <c r="AM298" s="49"/>
      <c r="AN298" s="52" t="str">
        <f t="shared" si="5"/>
        <v>too,</v>
      </c>
    </row>
    <row r="299">
      <c r="A299" s="51" t="s">
        <v>1968</v>
      </c>
      <c r="B299" s="50" t="s">
        <v>6798</v>
      </c>
      <c r="C299" s="50" t="s">
        <v>1794</v>
      </c>
      <c r="D299" s="49" t="str">
        <f>IFERROR(__xludf.DUMMYFUNCTION("""COMPUTED_VALUE"""),"back")</f>
        <v>back</v>
      </c>
      <c r="E299" s="49"/>
      <c r="F299" s="49"/>
      <c r="G299" s="49" t="str">
        <f>IFERROR(__xludf.DUMMYFUNCTION("""COMPUTED_VALUE"""),"architecture")</f>
        <v>architecture</v>
      </c>
      <c r="H299" s="54" t="str">
        <f t="shared" si="1"/>
        <v>opposite,</v>
      </c>
      <c r="I299" s="50"/>
      <c r="J299" s="50" t="s">
        <v>2858</v>
      </c>
      <c r="K299" s="50" t="s">
        <v>1349</v>
      </c>
      <c r="L299" s="49" t="str">
        <f>IFERROR(__xludf.DUMMYFUNCTION("""COMPUTED_VALUE"""),"juliette")</f>
        <v>juliette</v>
      </c>
      <c r="M299" s="49"/>
      <c r="N299" s="49" t="str">
        <f>IFERROR(__xludf.DUMMYFUNCTION("""COMPUTED_VALUE"""),"series")</f>
        <v>series</v>
      </c>
      <c r="O299" s="49" t="str">
        <f>IFERROR(__xludf.DUMMYFUNCTION("""COMPUTED_VALUE"""),"mind")</f>
        <v>mind</v>
      </c>
      <c r="P299" s="49" t="str">
        <f t="shared" si="2"/>
        <v>france,</v>
      </c>
      <c r="Q299" s="49"/>
      <c r="R299" s="50" t="s">
        <v>1720</v>
      </c>
      <c r="S299" s="55" t="s">
        <v>2606</v>
      </c>
      <c r="T299" s="49" t="str">
        <f>IFERROR(__xludf.DUMMYFUNCTION("""COMPUTED_VALUE"""),"games")</f>
        <v>games</v>
      </c>
      <c r="U299" s="49"/>
      <c r="V299" s="49" t="str">
        <f>IFERROR(__xludf.DUMMYFUNCTION("""COMPUTED_VALUE"""),"funky")</f>
        <v>funky</v>
      </c>
      <c r="W299" s="49" t="str">
        <f>IFERROR(__xludf.DUMMYFUNCTION("""COMPUTED_VALUE"""),"illumination")</f>
        <v>illumination</v>
      </c>
      <c r="X299" s="49" t="str">
        <f t="shared" si="3"/>
        <v>law,</v>
      </c>
      <c r="Y299" s="49"/>
      <c r="Z299" s="1" t="s">
        <v>2159</v>
      </c>
      <c r="AA299" s="1" t="s">
        <v>1969</v>
      </c>
      <c r="AB299" s="49" t="str">
        <f>IFERROR(__xludf.DUMMYFUNCTION("""COMPUTED_VALUE"""),"kevin")</f>
        <v>kevin</v>
      </c>
      <c r="AC299" s="49"/>
      <c r="AD299" s="49" t="str">
        <f>IFERROR(__xludf.DUMMYFUNCTION("""COMPUTED_VALUE"""),"series")</f>
        <v>series</v>
      </c>
      <c r="AE299" s="49" t="str">
        <f>IFERROR(__xludf.DUMMYFUNCTION("""COMPUTED_VALUE"""),"mind")</f>
        <v>mind</v>
      </c>
      <c r="AF299" s="49" t="str">
        <f t="shared" si="4"/>
        <v>hours,</v>
      </c>
      <c r="AG299" s="49"/>
      <c r="AH299" s="1" t="s">
        <v>1591</v>
      </c>
      <c r="AI299" s="1" t="s">
        <v>1120</v>
      </c>
      <c r="AJ299" s="6" t="str">
        <f>IFERROR(__xludf.DUMMYFUNCTION("""COMPUTED_VALUE"""),"road")</f>
        <v>road</v>
      </c>
      <c r="AK299" s="49"/>
      <c r="AL299" s="49"/>
      <c r="AM299" s="49"/>
      <c r="AN299" s="52" t="str">
        <f t="shared" si="5"/>
        <v>built,</v>
      </c>
    </row>
    <row r="300">
      <c r="A300" s="51" t="s">
        <v>1974</v>
      </c>
      <c r="B300" s="50" t="s">
        <v>6078</v>
      </c>
      <c r="C300" s="50" t="s">
        <v>1807</v>
      </c>
      <c r="D300" s="49" t="str">
        <f>IFERROR(__xludf.DUMMYFUNCTION("""COMPUTED_VALUE"""),"get")</f>
        <v>get</v>
      </c>
      <c r="E300" s="49"/>
      <c r="F300" s="49"/>
      <c r="G300" s="49" t="str">
        <f>IFERROR(__xludf.DUMMYFUNCTION("""COMPUTED_VALUE"""),"cultures")</f>
        <v>cultures</v>
      </c>
      <c r="H300" s="54" t="str">
        <f t="shared" si="1"/>
        <v>remembered,</v>
      </c>
      <c r="I300" s="50"/>
      <c r="J300" s="50" t="s">
        <v>1157</v>
      </c>
      <c r="K300" s="50" t="s">
        <v>316</v>
      </c>
      <c r="L300" s="49" t="str">
        <f>IFERROR(__xludf.DUMMYFUNCTION("""COMPUTED_VALUE"""),"fashion")</f>
        <v>fashion</v>
      </c>
      <c r="M300" s="49"/>
      <c r="N300" s="49" t="str">
        <f>IFERROR(__xludf.DUMMYFUNCTION("""COMPUTED_VALUE"""),"fun")</f>
        <v>fun</v>
      </c>
      <c r="O300" s="49" t="str">
        <f>IFERROR(__xludf.DUMMYFUNCTION("""COMPUTED_VALUE"""),"fails")</f>
        <v>fails</v>
      </c>
      <c r="P300" s="49" t="str">
        <f t="shared" si="2"/>
        <v>team,</v>
      </c>
      <c r="Q300" s="49"/>
      <c r="R300" s="50" t="s">
        <v>2442</v>
      </c>
      <c r="S300" s="55" t="s">
        <v>6300</v>
      </c>
      <c r="T300" s="49" t="str">
        <f>IFERROR(__xludf.DUMMYFUNCTION("""COMPUTED_VALUE"""),"screenplay")</f>
        <v>screenplay</v>
      </c>
      <c r="U300" s="49"/>
      <c r="V300" s="49" t="str">
        <f>IFERROR(__xludf.DUMMYFUNCTION("""COMPUTED_VALUE"""),"dumped")</f>
        <v>dumped</v>
      </c>
      <c r="W300" s="49" t="str">
        <f>IFERROR(__xludf.DUMMYFUNCTION("""COMPUTED_VALUE"""),"chilling")</f>
        <v>chilling</v>
      </c>
      <c r="X300" s="49" t="str">
        <f t="shared" si="3"/>
        <v>heard,</v>
      </c>
      <c r="Y300" s="49"/>
      <c r="Z300" s="1" t="s">
        <v>2666</v>
      </c>
      <c r="AA300" s="1" t="s">
        <v>1975</v>
      </c>
      <c r="AB300" s="49" t="str">
        <f>IFERROR(__xludf.DUMMYFUNCTION("""COMPUTED_VALUE"""),"roll")</f>
        <v>roll</v>
      </c>
      <c r="AC300" s="49"/>
      <c r="AD300" s="49" t="str">
        <f>IFERROR(__xludf.DUMMYFUNCTION("""COMPUTED_VALUE"""),"fun")</f>
        <v>fun</v>
      </c>
      <c r="AE300" s="49" t="str">
        <f>IFERROR(__xludf.DUMMYFUNCTION("""COMPUTED_VALUE"""),"fails")</f>
        <v>fails</v>
      </c>
      <c r="AF300" s="49" t="str">
        <f t="shared" si="4"/>
        <v>screen,</v>
      </c>
      <c r="AG300" s="49"/>
      <c r="AH300" s="1" t="s">
        <v>110</v>
      </c>
      <c r="AI300" s="1" t="s">
        <v>624</v>
      </c>
      <c r="AJ300" s="6" t="str">
        <f>IFERROR(__xludf.DUMMYFUNCTION("""COMPUTED_VALUE"""),"career")</f>
        <v>career</v>
      </c>
      <c r="AK300" s="49"/>
      <c r="AL300" s="49"/>
      <c r="AM300" s="49"/>
      <c r="AN300" s="52" t="str">
        <f t="shared" si="5"/>
        <v>road,</v>
      </c>
    </row>
    <row r="301">
      <c r="A301" s="51" t="s">
        <v>1979</v>
      </c>
      <c r="B301" s="50" t="s">
        <v>2514</v>
      </c>
      <c r="C301" s="50" t="s">
        <v>1574</v>
      </c>
      <c r="D301" s="49" t="str">
        <f>IFERROR(__xludf.DUMMYFUNCTION("""COMPUTED_VALUE"""),"car")</f>
        <v>car</v>
      </c>
      <c r="E301" s="49"/>
      <c r="F301" s="49"/>
      <c r="G301" s="49">
        <f>IFERROR(__xludf.DUMMYFUNCTION("""COMPUTED_VALUE"""),120.0)</f>
        <v>120</v>
      </c>
      <c r="H301" s="54" t="str">
        <f t="shared" si="1"/>
        <v>check,</v>
      </c>
      <c r="I301" s="50"/>
      <c r="J301" s="50" t="s">
        <v>863</v>
      </c>
      <c r="K301" s="50" t="s">
        <v>183</v>
      </c>
      <c r="L301" s="49" t="str">
        <f>IFERROR(__xludf.DUMMYFUNCTION("""COMPUTED_VALUE"""),"li")</f>
        <v>li</v>
      </c>
      <c r="M301" s="49"/>
      <c r="N301" s="49" t="str">
        <f>IFERROR(__xludf.DUMMYFUNCTION("""COMPUTED_VALUE"""),"anything")</f>
        <v>anything</v>
      </c>
      <c r="O301" s="49" t="str">
        <f>IFERROR(__xludf.DUMMYFUNCTION("""COMPUTED_VALUE"""),"sleeper")</f>
        <v>sleeper</v>
      </c>
      <c r="P301" s="49" t="str">
        <f t="shared" si="2"/>
        <v>american,</v>
      </c>
      <c r="Q301" s="49"/>
      <c r="R301" s="50" t="s">
        <v>4490</v>
      </c>
      <c r="S301" s="55" t="s">
        <v>1574</v>
      </c>
      <c r="T301" s="49" t="str">
        <f>IFERROR(__xludf.DUMMYFUNCTION("""COMPUTED_VALUE"""),"entertaining")</f>
        <v>entertaining</v>
      </c>
      <c r="U301" s="49"/>
      <c r="V301" s="49" t="str">
        <f>IFERROR(__xludf.DUMMYFUNCTION("""COMPUTED_VALUE"""),"damned")</f>
        <v>damned</v>
      </c>
      <c r="W301" s="49" t="str">
        <f>IFERROR(__xludf.DUMMYFUNCTION("""COMPUTED_VALUE"""),"reefs")</f>
        <v>reefs</v>
      </c>
      <c r="X301" s="49" t="str">
        <f t="shared" si="3"/>
        <v>trailer,</v>
      </c>
      <c r="Y301" s="49"/>
      <c r="Z301" s="1" t="s">
        <v>1978</v>
      </c>
      <c r="AA301" s="1" t="s">
        <v>1075</v>
      </c>
      <c r="AB301" s="49" t="str">
        <f>IFERROR(__xludf.DUMMYFUNCTION("""COMPUTED_VALUE"""),"enjoy")</f>
        <v>enjoy</v>
      </c>
      <c r="AC301" s="49"/>
      <c r="AD301" s="49" t="str">
        <f>IFERROR(__xludf.DUMMYFUNCTION("""COMPUTED_VALUE"""),"anything")</f>
        <v>anything</v>
      </c>
      <c r="AE301" s="49" t="str">
        <f>IFERROR(__xludf.DUMMYFUNCTION("""COMPUTED_VALUE"""),"sleeper")</f>
        <v>sleeper</v>
      </c>
      <c r="AF301" s="49" t="str">
        <f t="shared" si="4"/>
        <v>sentimental,</v>
      </c>
      <c r="AG301" s="49"/>
      <c r="AH301" s="1" t="s">
        <v>5412</v>
      </c>
      <c r="AI301" s="1" t="s">
        <v>386</v>
      </c>
      <c r="AJ301" s="6" t="str">
        <f>IFERROR(__xludf.DUMMYFUNCTION("""COMPUTED_VALUE"""),"far")</f>
        <v>far</v>
      </c>
      <c r="AK301" s="49"/>
      <c r="AL301" s="49"/>
      <c r="AM301" s="49"/>
      <c r="AN301" s="52" t="str">
        <f t="shared" si="5"/>
        <v>career,</v>
      </c>
    </row>
    <row r="302">
      <c r="A302" s="51"/>
      <c r="B302" s="50" t="s">
        <v>6668</v>
      </c>
      <c r="C302" s="50" t="s">
        <v>2606</v>
      </c>
      <c r="D302" s="49" t="str">
        <f>IFERROR(__xludf.DUMMYFUNCTION("""COMPUTED_VALUE"""),"maybe")</f>
        <v>maybe</v>
      </c>
      <c r="E302" s="49"/>
      <c r="F302" s="49"/>
      <c r="G302" s="49" t="str">
        <f>IFERROR(__xludf.DUMMYFUNCTION("""COMPUTED_VALUE"""),"disabled")</f>
        <v>disabled</v>
      </c>
      <c r="H302" s="54" t="str">
        <f t="shared" si="1"/>
        <v>hidden,</v>
      </c>
      <c r="I302" s="50"/>
      <c r="J302" s="50" t="s">
        <v>2101</v>
      </c>
      <c r="K302" s="50" t="s">
        <v>932</v>
      </c>
      <c r="L302" s="49" t="str">
        <f>IFERROR(__xludf.DUMMYFUNCTION("""COMPUTED_VALUE"""),"wilson")</f>
        <v>wilson</v>
      </c>
      <c r="M302" s="49"/>
      <c r="N302" s="49" t="str">
        <f>IFERROR(__xludf.DUMMYFUNCTION("""COMPUTED_VALUE"""),"calling")</f>
        <v>calling</v>
      </c>
      <c r="O302" s="49" t="str">
        <f>IFERROR(__xludf.DUMMYFUNCTION("""COMPUTED_VALUE"""),"imitation")</f>
        <v>imitation</v>
      </c>
      <c r="P302" s="49" t="str">
        <f t="shared" si="2"/>
        <v>did,</v>
      </c>
      <c r="Q302" s="49"/>
      <c r="R302" s="50" t="s">
        <v>1181</v>
      </c>
      <c r="S302" s="55" t="s">
        <v>769</v>
      </c>
      <c r="T302" s="49" t="str">
        <f>IFERROR(__xludf.DUMMYFUNCTION("""COMPUTED_VALUE"""),"greatest")</f>
        <v>greatest</v>
      </c>
      <c r="U302" s="49"/>
      <c r="V302" s="49" t="str">
        <f>IFERROR(__xludf.DUMMYFUNCTION("""COMPUTED_VALUE"""),"voting")</f>
        <v>voting</v>
      </c>
      <c r="W302" s="49" t="str">
        <f>IFERROR(__xludf.DUMMYFUNCTION("""COMPUTED_VALUE"""),"existent")</f>
        <v>existent</v>
      </c>
      <c r="X302" s="49" t="str">
        <f t="shared" si="3"/>
        <v>actually,</v>
      </c>
      <c r="Y302" s="49"/>
      <c r="Z302" s="1" t="s">
        <v>110</v>
      </c>
      <c r="AA302" s="1" t="s">
        <v>1088</v>
      </c>
      <c r="AB302" s="49" t="str">
        <f>IFERROR(__xludf.DUMMYFUNCTION("""COMPUTED_VALUE"""),"hastily")</f>
        <v>hastily</v>
      </c>
      <c r="AC302" s="49"/>
      <c r="AD302" s="49" t="str">
        <f>IFERROR(__xludf.DUMMYFUNCTION("""COMPUTED_VALUE"""),"calling")</f>
        <v>calling</v>
      </c>
      <c r="AE302" s="49" t="str">
        <f>IFERROR(__xludf.DUMMYFUNCTION("""COMPUTED_VALUE"""),"imitation")</f>
        <v>imitation</v>
      </c>
      <c r="AF302" s="49" t="str">
        <f t="shared" si="4"/>
        <v>road,</v>
      </c>
      <c r="AG302" s="49"/>
      <c r="AH302" s="1" t="s">
        <v>1264</v>
      </c>
      <c r="AI302" s="1" t="s">
        <v>1360</v>
      </c>
      <c r="AJ302" s="6" t="str">
        <f>IFERROR(__xludf.DUMMYFUNCTION("""COMPUTED_VALUE"""),"european")</f>
        <v>european</v>
      </c>
      <c r="AK302" s="49"/>
      <c r="AL302" s="49"/>
      <c r="AM302" s="49"/>
      <c r="AN302" s="52" t="str">
        <f t="shared" si="5"/>
        <v>far,</v>
      </c>
    </row>
    <row r="303">
      <c r="A303" s="51"/>
      <c r="B303" s="50" t="s">
        <v>4856</v>
      </c>
      <c r="C303" s="50" t="s">
        <v>4582</v>
      </c>
      <c r="D303" s="49" t="str">
        <f>IFERROR(__xludf.DUMMYFUNCTION("""COMPUTED_VALUE"""),"lot")</f>
        <v>lot</v>
      </c>
      <c r="E303" s="49"/>
      <c r="F303" s="49"/>
      <c r="G303" s="49" t="str">
        <f>IFERROR(__xludf.DUMMYFUNCTION("""COMPUTED_VALUE"""),"horses")</f>
        <v>horses</v>
      </c>
      <c r="H303" s="54" t="str">
        <f t="shared" si="1"/>
        <v>occasionally,</v>
      </c>
      <c r="I303" s="50"/>
      <c r="J303" s="50" t="s">
        <v>2782</v>
      </c>
      <c r="K303" s="50" t="s">
        <v>937</v>
      </c>
      <c r="L303" s="49" t="str">
        <f>IFERROR(__xludf.DUMMYFUNCTION("""COMPUTED_VALUE"""),"brown")</f>
        <v>brown</v>
      </c>
      <c r="M303" s="49"/>
      <c r="N303" s="49" t="str">
        <f>IFERROR(__xludf.DUMMYFUNCTION("""COMPUTED_VALUE"""),"g")</f>
        <v>g</v>
      </c>
      <c r="O303" s="49" t="str">
        <f>IFERROR(__xludf.DUMMYFUNCTION("""COMPUTED_VALUE"""),"stiff")</f>
        <v>stiff</v>
      </c>
      <c r="P303" s="49" t="str">
        <f t="shared" si="2"/>
        <v>*,</v>
      </c>
      <c r="Q303" s="49"/>
      <c r="R303" s="50" t="s">
        <v>2027</v>
      </c>
      <c r="S303" s="55" t="s">
        <v>720</v>
      </c>
      <c r="T303" s="49" t="str">
        <f>IFERROR(__xludf.DUMMYFUNCTION("""COMPUTED_VALUE"""),"outrageous")</f>
        <v>outrageous</v>
      </c>
      <c r="U303" s="49"/>
      <c r="V303" s="49" t="str">
        <f>IFERROR(__xludf.DUMMYFUNCTION("""COMPUTED_VALUE"""),"thinks")</f>
        <v>thinks</v>
      </c>
      <c r="W303" s="49" t="str">
        <f>IFERROR(__xludf.DUMMYFUNCTION("""COMPUTED_VALUE"""),"supernatural")</f>
        <v>supernatural</v>
      </c>
      <c r="X303" s="49" t="str">
        <f t="shared" si="3"/>
        <v>during,</v>
      </c>
      <c r="Y303" s="49"/>
      <c r="Z303" s="1" t="s">
        <v>4946</v>
      </c>
      <c r="AA303" s="1" t="s">
        <v>1198</v>
      </c>
      <c r="AB303" s="49" t="str">
        <f>IFERROR(__xludf.DUMMYFUNCTION("""COMPUTED_VALUE"""),"minds")</f>
        <v>minds</v>
      </c>
      <c r="AC303" s="49"/>
      <c r="AD303" s="49" t="str">
        <f>IFERROR(__xludf.DUMMYFUNCTION("""COMPUTED_VALUE"""),"g")</f>
        <v>g</v>
      </c>
      <c r="AE303" s="49" t="str">
        <f>IFERROR(__xludf.DUMMYFUNCTION("""COMPUTED_VALUE"""),"stiff")</f>
        <v>stiff</v>
      </c>
      <c r="AF303" s="49" t="str">
        <f t="shared" si="4"/>
        <v>adds,</v>
      </c>
      <c r="AG303" s="49"/>
      <c r="AH303" s="1" t="s">
        <v>6349</v>
      </c>
      <c r="AI303" s="1" t="s">
        <v>1091</v>
      </c>
      <c r="AJ303" s="6" t="str">
        <f>IFERROR(__xludf.DUMMYFUNCTION("""COMPUTED_VALUE"""),"call")</f>
        <v>call</v>
      </c>
      <c r="AK303" s="49"/>
      <c r="AL303" s="49"/>
      <c r="AM303" s="49"/>
      <c r="AN303" s="52" t="str">
        <f t="shared" si="5"/>
        <v>european,</v>
      </c>
    </row>
    <row r="304">
      <c r="A304" s="51"/>
      <c r="B304" s="50" t="s">
        <v>3316</v>
      </c>
      <c r="C304" s="50" t="s">
        <v>769</v>
      </c>
      <c r="D304" s="49" t="str">
        <f>IFERROR(__xludf.DUMMYFUNCTION("""COMPUTED_VALUE"""),"completely")</f>
        <v>completely</v>
      </c>
      <c r="E304" s="49"/>
      <c r="F304" s="49"/>
      <c r="G304" s="49" t="str">
        <f>IFERROR(__xludf.DUMMYFUNCTION("""COMPUTED_VALUE"""),"practices")</f>
        <v>practices</v>
      </c>
      <c r="H304" s="54" t="str">
        <f t="shared" si="1"/>
        <v>substantial,</v>
      </c>
      <c r="I304" s="50"/>
      <c r="J304" s="50" t="s">
        <v>4107</v>
      </c>
      <c r="K304" s="50" t="s">
        <v>1730</v>
      </c>
      <c r="L304" s="49" t="str">
        <f>IFERROR(__xludf.DUMMYFUNCTION("""COMPUTED_VALUE"""),"deliver")</f>
        <v>deliver</v>
      </c>
      <c r="M304" s="49"/>
      <c r="N304" s="49" t="str">
        <f>IFERROR(__xludf.DUMMYFUNCTION("""COMPUTED_VALUE"""),"h")</f>
        <v>h</v>
      </c>
      <c r="O304" s="49" t="str">
        <f>IFERROR(__xludf.DUMMYFUNCTION("""COMPUTED_VALUE"""),"lives")</f>
        <v>lives</v>
      </c>
      <c r="P304" s="49" t="str">
        <f t="shared" si="2"/>
        <v>ironic,</v>
      </c>
      <c r="Q304" s="49"/>
      <c r="R304" s="50" t="s">
        <v>4239</v>
      </c>
      <c r="S304" s="55" t="s">
        <v>847</v>
      </c>
      <c r="T304" s="49" t="str">
        <f>IFERROR(__xludf.DUMMYFUNCTION("""COMPUTED_VALUE"""),"studios")</f>
        <v>studios</v>
      </c>
      <c r="U304" s="49"/>
      <c r="V304" s="49" t="str">
        <f>IFERROR(__xludf.DUMMYFUNCTION("""COMPUTED_VALUE"""),"rewards")</f>
        <v>rewards</v>
      </c>
      <c r="W304" s="49" t="str">
        <f>IFERROR(__xludf.DUMMYFUNCTION("""COMPUTED_VALUE"""),"audience")</f>
        <v>audience</v>
      </c>
      <c r="X304" s="49" t="str">
        <f t="shared" si="3"/>
        <v>scene,</v>
      </c>
      <c r="Y304" s="49"/>
      <c r="Z304" s="1" t="s">
        <v>2523</v>
      </c>
      <c r="AA304" s="1" t="s">
        <v>884</v>
      </c>
      <c r="AB304" s="49" t="str">
        <f>IFERROR(__xludf.DUMMYFUNCTION("""COMPUTED_VALUE"""),"strong")</f>
        <v>strong</v>
      </c>
      <c r="AC304" s="49"/>
      <c r="AD304" s="49" t="str">
        <f>IFERROR(__xludf.DUMMYFUNCTION("""COMPUTED_VALUE"""),"h")</f>
        <v>h</v>
      </c>
      <c r="AE304" s="49" t="str">
        <f>IFERROR(__xludf.DUMMYFUNCTION("""COMPUTED_VALUE"""),"lives")</f>
        <v>lives</v>
      </c>
      <c r="AF304" s="49" t="str">
        <f t="shared" si="4"/>
        <v>until,</v>
      </c>
      <c r="AG304" s="49"/>
      <c r="AH304" s="1" t="s">
        <v>2723</v>
      </c>
      <c r="AI304" s="1" t="s">
        <v>1077</v>
      </c>
      <c r="AJ304" s="6" t="str">
        <f>IFERROR(__xludf.DUMMYFUNCTION("""COMPUTED_VALUE"""),"hours")</f>
        <v>hours</v>
      </c>
      <c r="AK304" s="49"/>
      <c r="AL304" s="49"/>
      <c r="AM304" s="49"/>
      <c r="AN304" s="52" t="str">
        <f t="shared" si="5"/>
        <v>call,</v>
      </c>
    </row>
    <row r="305">
      <c r="A305" s="51"/>
      <c r="B305" s="50" t="s">
        <v>1393</v>
      </c>
      <c r="C305" s="50" t="s">
        <v>759</v>
      </c>
      <c r="D305" s="49" t="str">
        <f>IFERROR(__xludf.DUMMYFUNCTION("""COMPUTED_VALUE"""),"twice")</f>
        <v>twice</v>
      </c>
      <c r="E305" s="49"/>
      <c r="F305" s="49"/>
      <c r="G305" s="49" t="str">
        <f>IFERROR(__xludf.DUMMYFUNCTION("""COMPUTED_VALUE"""),"playoff")</f>
        <v>playoff</v>
      </c>
      <c r="H305" s="54" t="str">
        <f t="shared" si="1"/>
        <v>brings,</v>
      </c>
      <c r="I305" s="50"/>
      <c r="J305" s="50" t="s">
        <v>6444</v>
      </c>
      <c r="K305" s="50" t="s">
        <v>1992</v>
      </c>
      <c r="L305" s="49" t="str">
        <f>IFERROR(__xludf.DUMMYFUNCTION("""COMPUTED_VALUE"""),"roles")</f>
        <v>roles</v>
      </c>
      <c r="M305" s="49"/>
      <c r="N305" s="49">
        <f>IFERROR(__xludf.DUMMYFUNCTION("""COMPUTED_VALUE"""),2.0)</f>
        <v>2</v>
      </c>
      <c r="O305" s="49" t="str">
        <f>IFERROR(__xludf.DUMMYFUNCTION("""COMPUTED_VALUE"""),"stimulus")</f>
        <v>stimulus</v>
      </c>
      <c r="P305" s="49" t="str">
        <f t="shared" si="2"/>
        <v>must,</v>
      </c>
      <c r="Q305" s="49"/>
      <c r="R305" s="50" t="s">
        <v>1847</v>
      </c>
      <c r="S305" s="55" t="s">
        <v>209</v>
      </c>
      <c r="T305" s="49" t="str">
        <f>IFERROR(__xludf.DUMMYFUNCTION("""COMPUTED_VALUE"""),"disney")</f>
        <v>disney</v>
      </c>
      <c r="U305" s="49"/>
      <c r="V305" s="49" t="str">
        <f>IFERROR(__xludf.DUMMYFUNCTION("""COMPUTED_VALUE"""),"denied")</f>
        <v>denied</v>
      </c>
      <c r="W305" s="49" t="str">
        <f>IFERROR(__xludf.DUMMYFUNCTION("""COMPUTED_VALUE"""),"simulate")</f>
        <v>simulate</v>
      </c>
      <c r="X305" s="49" t="str">
        <f t="shared" si="3"/>
        <v>grand,</v>
      </c>
      <c r="Y305" s="49"/>
      <c r="Z305" s="1" t="s">
        <v>1078</v>
      </c>
      <c r="AA305" s="1" t="s">
        <v>395</v>
      </c>
      <c r="AB305" s="49" t="str">
        <f>IFERROR(__xludf.DUMMYFUNCTION("""COMPUTED_VALUE"""),"formed")</f>
        <v>formed</v>
      </c>
      <c r="AC305" s="49"/>
      <c r="AD305" s="49">
        <f>IFERROR(__xludf.DUMMYFUNCTION("""COMPUTED_VALUE"""),2.0)</f>
        <v>2</v>
      </c>
      <c r="AE305" s="49" t="str">
        <f>IFERROR(__xludf.DUMMYFUNCTION("""COMPUTED_VALUE"""),"stimulus")</f>
        <v>stimulus</v>
      </c>
      <c r="AF305" s="49" t="str">
        <f t="shared" si="4"/>
        <v>hour,</v>
      </c>
      <c r="AG305" s="49"/>
      <c r="AH305" s="1" t="s">
        <v>2159</v>
      </c>
      <c r="AI305" s="1" t="s">
        <v>645</v>
      </c>
      <c r="AJ305" s="6" t="str">
        <f>IFERROR(__xludf.DUMMYFUNCTION("""COMPUTED_VALUE"""),"families")</f>
        <v>families</v>
      </c>
      <c r="AK305" s="49"/>
      <c r="AL305" s="49"/>
      <c r="AM305" s="49"/>
      <c r="AN305" s="52" t="str">
        <f t="shared" si="5"/>
        <v>hours,</v>
      </c>
    </row>
    <row r="306">
      <c r="A306" s="51"/>
      <c r="B306" s="50" t="s">
        <v>1209</v>
      </c>
      <c r="C306" s="50" t="s">
        <v>1568</v>
      </c>
      <c r="D306" s="49" t="str">
        <f>IFERROR(__xludf.DUMMYFUNCTION("""COMPUTED_VALUE"""),"laugh")</f>
        <v>laugh</v>
      </c>
      <c r="E306" s="49"/>
      <c r="F306" s="49"/>
      <c r="G306" s="49" t="str">
        <f>IFERROR(__xludf.DUMMYFUNCTION("""COMPUTED_VALUE"""),"tested")</f>
        <v>tested</v>
      </c>
      <c r="H306" s="54" t="str">
        <f t="shared" si="1"/>
        <v>brilliant,</v>
      </c>
      <c r="I306" s="50"/>
      <c r="J306" s="50" t="s">
        <v>784</v>
      </c>
      <c r="K306" s="50" t="s">
        <v>942</v>
      </c>
      <c r="L306" s="49" t="str">
        <f>IFERROR(__xludf.DUMMYFUNCTION("""COMPUTED_VALUE"""),"picture")</f>
        <v>picture</v>
      </c>
      <c r="M306" s="49"/>
      <c r="N306" s="49" t="str">
        <f>IFERROR(__xludf.DUMMYFUNCTION("""COMPUTED_VALUE"""),"stellar")</f>
        <v>stellar</v>
      </c>
      <c r="O306" s="49" t="str">
        <f>IFERROR(__xludf.DUMMYFUNCTION("""COMPUTED_VALUE"""),"miracles")</f>
        <v>miracles</v>
      </c>
      <c r="P306" s="49" t="str">
        <f t="shared" si="2"/>
        <v>provide,</v>
      </c>
      <c r="Q306" s="49"/>
      <c r="R306" s="50" t="s">
        <v>4272</v>
      </c>
      <c r="S306" s="55" t="s">
        <v>836</v>
      </c>
      <c r="T306" s="49" t="str">
        <f>IFERROR(__xludf.DUMMYFUNCTION("""COMPUTED_VALUE"""),"addition")</f>
        <v>addition</v>
      </c>
      <c r="U306" s="49"/>
      <c r="V306" s="49" t="str">
        <f>IFERROR(__xludf.DUMMYFUNCTION("""COMPUTED_VALUE"""),"cult")</f>
        <v>cult</v>
      </c>
      <c r="W306" s="49" t="str">
        <f>IFERROR(__xludf.DUMMYFUNCTION("""COMPUTED_VALUE"""),"shovel")</f>
        <v>shovel</v>
      </c>
      <c r="X306" s="49" t="str">
        <f t="shared" si="3"/>
        <v>pair,</v>
      </c>
      <c r="Y306" s="49"/>
      <c r="Z306" s="1" t="s">
        <v>5412</v>
      </c>
      <c r="AA306" s="1" t="s">
        <v>1993</v>
      </c>
      <c r="AB306" s="49" t="str">
        <f>IFERROR(__xludf.DUMMYFUNCTION("""COMPUTED_VALUE"""),"teacher")</f>
        <v>teacher</v>
      </c>
      <c r="AC306" s="49"/>
      <c r="AD306" s="49" t="str">
        <f>IFERROR(__xludf.DUMMYFUNCTION("""COMPUTED_VALUE"""),"stellar")</f>
        <v>stellar</v>
      </c>
      <c r="AE306" s="49" t="str">
        <f>IFERROR(__xludf.DUMMYFUNCTION("""COMPUTED_VALUE"""),"miracles")</f>
        <v>miracles</v>
      </c>
      <c r="AF306" s="49" t="str">
        <f t="shared" si="4"/>
        <v>career,</v>
      </c>
      <c r="AG306" s="49"/>
      <c r="AH306" s="1" t="s">
        <v>6565</v>
      </c>
      <c r="AI306" s="1" t="s">
        <v>668</v>
      </c>
      <c r="AJ306" s="6" t="str">
        <f>IFERROR(__xludf.DUMMYFUNCTION("""COMPUTED_VALUE"""),"nearly")</f>
        <v>nearly</v>
      </c>
      <c r="AK306" s="49"/>
      <c r="AL306" s="49"/>
      <c r="AM306" s="49"/>
      <c r="AN306" s="52" t="str">
        <f t="shared" si="5"/>
        <v>families,</v>
      </c>
    </row>
    <row r="307">
      <c r="A307" s="51"/>
      <c r="B307" s="50" t="s">
        <v>1253</v>
      </c>
      <c r="C307" s="50" t="s">
        <v>784</v>
      </c>
      <c r="D307" s="49" t="str">
        <f>IFERROR(__xludf.DUMMYFUNCTION("""COMPUTED_VALUE"""),"parking")</f>
        <v>parking</v>
      </c>
      <c r="E307" s="49"/>
      <c r="F307" s="49"/>
      <c r="G307" s="49" t="str">
        <f>IFERROR(__xludf.DUMMYFUNCTION("""COMPUTED_VALUE"""),"prey")</f>
        <v>prey</v>
      </c>
      <c r="H307" s="54" t="str">
        <f t="shared" si="1"/>
        <v>halfway,</v>
      </c>
      <c r="I307" s="50"/>
      <c r="J307" s="50" t="s">
        <v>5940</v>
      </c>
      <c r="K307" s="50" t="s">
        <v>950</v>
      </c>
      <c r="L307" s="49" t="str">
        <f>IFERROR(__xludf.DUMMYFUNCTION("""COMPUTED_VALUE"""),"care")</f>
        <v>care</v>
      </c>
      <c r="M307" s="49"/>
      <c r="N307" s="49" t="str">
        <f>IFERROR(__xludf.DUMMYFUNCTION("""COMPUTED_VALUE"""),"island")</f>
        <v>island</v>
      </c>
      <c r="O307" s="49" t="str">
        <f>IFERROR(__xludf.DUMMYFUNCTION("""COMPUTED_VALUE"""),"remembering")</f>
        <v>remembering</v>
      </c>
      <c r="P307" s="49" t="str">
        <f t="shared" si="2"/>
        <v>multiple,</v>
      </c>
      <c r="Q307" s="49"/>
      <c r="R307" s="50" t="s">
        <v>694</v>
      </c>
      <c r="S307" s="55" t="s">
        <v>1303</v>
      </c>
      <c r="T307" s="49" t="str">
        <f>IFERROR(__xludf.DUMMYFUNCTION("""COMPUTED_VALUE"""),"possible")</f>
        <v>possible</v>
      </c>
      <c r="U307" s="49"/>
      <c r="V307" s="49" t="str">
        <f>IFERROR(__xludf.DUMMYFUNCTION("""COMPUTED_VALUE"""),"surgeon")</f>
        <v>surgeon</v>
      </c>
      <c r="W307" s="49" t="str">
        <f>IFERROR(__xludf.DUMMYFUNCTION("""COMPUTED_VALUE"""),"claude")</f>
        <v>claude</v>
      </c>
      <c r="X307" s="49" t="str">
        <f t="shared" si="3"/>
        <v>any,</v>
      </c>
      <c r="Y307" s="49"/>
      <c r="Z307" s="1" t="s">
        <v>2723</v>
      </c>
      <c r="AA307" s="1" t="s">
        <v>406</v>
      </c>
      <c r="AB307" s="49" t="str">
        <f>IFERROR(__xludf.DUMMYFUNCTION("""COMPUTED_VALUE"""),"african")</f>
        <v>african</v>
      </c>
      <c r="AC307" s="49"/>
      <c r="AD307" s="49" t="str">
        <f>IFERROR(__xludf.DUMMYFUNCTION("""COMPUTED_VALUE"""),"island")</f>
        <v>island</v>
      </c>
      <c r="AE307" s="49" t="str">
        <f>IFERROR(__xludf.DUMMYFUNCTION("""COMPUTED_VALUE"""),"remembering")</f>
        <v>remembering</v>
      </c>
      <c r="AF307" s="49" t="str">
        <f t="shared" si="4"/>
        <v>call,</v>
      </c>
      <c r="AG307" s="49"/>
      <c r="AH307" s="1" t="s">
        <v>2474</v>
      </c>
      <c r="AI307" s="1" t="s">
        <v>1103</v>
      </c>
      <c r="AJ307" s="6" t="str">
        <f>IFERROR(__xludf.DUMMYFUNCTION("""COMPUTED_VALUE"""),"hour")</f>
        <v>hour</v>
      </c>
      <c r="AK307" s="49"/>
      <c r="AL307" s="49"/>
      <c r="AM307" s="49"/>
      <c r="AN307" s="52" t="str">
        <f t="shared" si="5"/>
        <v>nearly,</v>
      </c>
    </row>
    <row r="308">
      <c r="A308" s="51"/>
      <c r="B308" s="50" t="s">
        <v>6760</v>
      </c>
      <c r="C308" s="50" t="s">
        <v>182</v>
      </c>
      <c r="D308" s="49" t="str">
        <f>IFERROR(__xludf.DUMMYFUNCTION("""COMPUTED_VALUE"""),"forgotten")</f>
        <v>forgotten</v>
      </c>
      <c r="E308" s="49"/>
      <c r="F308" s="49"/>
      <c r="G308" s="49" t="str">
        <f>IFERROR(__xludf.DUMMYFUNCTION("""COMPUTED_VALUE"""),"launch")</f>
        <v>launch</v>
      </c>
      <c r="H308" s="54" t="str">
        <f t="shared" si="1"/>
        <v>cox,</v>
      </c>
      <c r="I308" s="50"/>
      <c r="J308" s="50" t="s">
        <v>305</v>
      </c>
      <c r="K308" s="50" t="s">
        <v>87</v>
      </c>
      <c r="L308" s="49" t="str">
        <f>IFERROR(__xludf.DUMMYFUNCTION("""COMPUTED_VALUE"""),"protagonists")</f>
        <v>protagonists</v>
      </c>
      <c r="M308" s="49"/>
      <c r="N308" s="49" t="str">
        <f>IFERROR(__xludf.DUMMYFUNCTION("""COMPUTED_VALUE"""),"ruined")</f>
        <v>ruined</v>
      </c>
      <c r="O308" s="49" t="str">
        <f>IFERROR(__xludf.DUMMYFUNCTION("""COMPUTED_VALUE"""),"davies")</f>
        <v>davies</v>
      </c>
      <c r="P308" s="49" t="str">
        <f t="shared" si="2"/>
        <v>entire,</v>
      </c>
      <c r="Q308" s="49"/>
      <c r="R308" s="50" t="s">
        <v>5705</v>
      </c>
      <c r="S308" s="55" t="s">
        <v>1293</v>
      </c>
      <c r="T308" s="49" t="str">
        <f>IFERROR(__xludf.DUMMYFUNCTION("""COMPUTED_VALUE"""),"future")</f>
        <v>future</v>
      </c>
      <c r="U308" s="49"/>
      <c r="V308" s="49" t="str">
        <f>IFERROR(__xludf.DUMMYFUNCTION("""COMPUTED_VALUE"""),"legacy")</f>
        <v>legacy</v>
      </c>
      <c r="W308" s="49" t="str">
        <f>IFERROR(__xludf.DUMMYFUNCTION("""COMPUTED_VALUE"""),"inuit")</f>
        <v>inuit</v>
      </c>
      <c r="X308" s="49" t="str">
        <f t="shared" si="3"/>
        <v>wow,</v>
      </c>
      <c r="Y308" s="49"/>
      <c r="Z308" s="1" t="s">
        <v>410</v>
      </c>
      <c r="AA308" s="1" t="s">
        <v>1204</v>
      </c>
      <c r="AB308" s="49" t="str">
        <f>IFERROR(__xludf.DUMMYFUNCTION("""COMPUTED_VALUE"""),"promise")</f>
        <v>promise</v>
      </c>
      <c r="AC308" s="49"/>
      <c r="AD308" s="49" t="str">
        <f>IFERROR(__xludf.DUMMYFUNCTION("""COMPUTED_VALUE"""),"ruined")</f>
        <v>ruined</v>
      </c>
      <c r="AE308" s="49" t="str">
        <f>IFERROR(__xludf.DUMMYFUNCTION("""COMPUTED_VALUE"""),"davies")</f>
        <v>davies</v>
      </c>
      <c r="AF308" s="49" t="str">
        <f t="shared" si="4"/>
        <v>ways,</v>
      </c>
      <c r="AG308" s="49"/>
      <c r="AH308" s="1" t="s">
        <v>1078</v>
      </c>
      <c r="AI308" s="1" t="s">
        <v>651</v>
      </c>
      <c r="AJ308" s="6" t="str">
        <f>IFERROR(__xludf.DUMMYFUNCTION("""COMPUTED_VALUE"""),"plays")</f>
        <v>plays</v>
      </c>
      <c r="AK308" s="49"/>
      <c r="AL308" s="49"/>
      <c r="AM308" s="49"/>
      <c r="AN308" s="52" t="str">
        <f t="shared" si="5"/>
        <v>hour,</v>
      </c>
    </row>
    <row r="309">
      <c r="A309" s="51"/>
      <c r="B309" s="50" t="s">
        <v>120</v>
      </c>
      <c r="C309" s="50" t="s">
        <v>847</v>
      </c>
      <c r="D309" s="49" t="str">
        <f>IFERROR(__xludf.DUMMYFUNCTION("""COMPUTED_VALUE"""),"old")</f>
        <v>old</v>
      </c>
      <c r="E309" s="49"/>
      <c r="F309" s="49"/>
      <c r="G309" s="49" t="str">
        <f>IFERROR(__xludf.DUMMYFUNCTION("""COMPUTED_VALUE"""),"mode")</f>
        <v>mode</v>
      </c>
      <c r="H309" s="54" t="str">
        <f t="shared" si="1"/>
        <v>also,</v>
      </c>
      <c r="I309" s="50"/>
      <c r="J309" s="50" t="s">
        <v>781</v>
      </c>
      <c r="K309" s="50" t="s">
        <v>962</v>
      </c>
      <c r="L309" s="49" t="str">
        <f>IFERROR(__xludf.DUMMYFUNCTION("""COMPUTED_VALUE"""),"happens")</f>
        <v>happens</v>
      </c>
      <c r="M309" s="49"/>
      <c r="N309" s="49" t="str">
        <f>IFERROR(__xludf.DUMMYFUNCTION("""COMPUTED_VALUE"""),"marking")</f>
        <v>marking</v>
      </c>
      <c r="O309" s="49" t="str">
        <f>IFERROR(__xludf.DUMMYFUNCTION("""COMPUTED_VALUE"""),"bullets")</f>
        <v>bullets</v>
      </c>
      <c r="P309" s="49" t="str">
        <f t="shared" si="2"/>
        <v>imagery,</v>
      </c>
      <c r="Q309" s="49"/>
      <c r="R309" s="50" t="s">
        <v>4505</v>
      </c>
      <c r="S309" s="55" t="s">
        <v>1880</v>
      </c>
      <c r="T309" s="49" t="str">
        <f>IFERROR(__xludf.DUMMYFUNCTION("""COMPUTED_VALUE"""),"race")</f>
        <v>race</v>
      </c>
      <c r="U309" s="49"/>
      <c r="V309" s="49" t="str">
        <f>IFERROR(__xludf.DUMMYFUNCTION("""COMPUTED_VALUE"""),"inter")</f>
        <v>inter</v>
      </c>
      <c r="W309" s="49" t="str">
        <f>IFERROR(__xludf.DUMMYFUNCTION("""COMPUTED_VALUE"""),"sitcom")</f>
        <v>sitcom</v>
      </c>
      <c r="X309" s="49" t="str">
        <f t="shared" si="3"/>
        <v>sell,</v>
      </c>
      <c r="Y309" s="49"/>
      <c r="Z309" s="1" t="s">
        <v>3644</v>
      </c>
      <c r="AA309" s="1" t="s">
        <v>2001</v>
      </c>
      <c r="AB309" s="49" t="str">
        <f>IFERROR(__xludf.DUMMYFUNCTION("""COMPUTED_VALUE"""),"hilarious")</f>
        <v>hilarious</v>
      </c>
      <c r="AC309" s="49"/>
      <c r="AD309" s="49" t="str">
        <f>IFERROR(__xludf.DUMMYFUNCTION("""COMPUTED_VALUE"""),"marking")</f>
        <v>marking</v>
      </c>
      <c r="AE309" s="49" t="str">
        <f>IFERROR(__xludf.DUMMYFUNCTION("""COMPUTED_VALUE"""),"bullets")</f>
        <v>bullets</v>
      </c>
      <c r="AF309" s="49" t="str">
        <f t="shared" si="4"/>
        <v>dude,</v>
      </c>
      <c r="AG309" s="49"/>
      <c r="AH309" s="1" t="s">
        <v>2662</v>
      </c>
      <c r="AI309" s="1" t="s">
        <v>659</v>
      </c>
      <c r="AJ309" s="6" t="str">
        <f>IFERROR(__xludf.DUMMYFUNCTION("""COMPUTED_VALUE"""),"actor")</f>
        <v>actor</v>
      </c>
      <c r="AK309" s="49"/>
      <c r="AL309" s="49"/>
      <c r="AM309" s="49"/>
      <c r="AN309" s="52" t="str">
        <f t="shared" si="5"/>
        <v>plays,</v>
      </c>
    </row>
    <row r="310">
      <c r="A310" s="51"/>
      <c r="B310" s="50" t="s">
        <v>239</v>
      </c>
      <c r="C310" s="50" t="s">
        <v>798</v>
      </c>
      <c r="D310" s="49" t="str">
        <f>IFERROR(__xludf.DUMMYFUNCTION("""COMPUTED_VALUE"""),"college")</f>
        <v>college</v>
      </c>
      <c r="E310" s="49"/>
      <c r="F310" s="49"/>
      <c r="G310" s="49" t="str">
        <f>IFERROR(__xludf.DUMMYFUNCTION("""COMPUTED_VALUE"""),"county")</f>
        <v>county</v>
      </c>
      <c r="H310" s="54" t="str">
        <f t="shared" si="1"/>
        <v>good,</v>
      </c>
      <c r="I310" s="50"/>
      <c r="J310" s="50" t="s">
        <v>1505</v>
      </c>
      <c r="K310" s="50" t="s">
        <v>1257</v>
      </c>
      <c r="L310" s="49" t="str">
        <f>IFERROR(__xludf.DUMMYFUNCTION("""COMPUTED_VALUE"""),"climax")</f>
        <v>climax</v>
      </c>
      <c r="M310" s="49"/>
      <c r="N310" s="49" t="str">
        <f>IFERROR(__xludf.DUMMYFUNCTION("""COMPUTED_VALUE"""),"war")</f>
        <v>war</v>
      </c>
      <c r="O310" s="49" t="str">
        <f>IFERROR(__xludf.DUMMYFUNCTION("""COMPUTED_VALUE"""),"none")</f>
        <v>none</v>
      </c>
      <c r="P310" s="49" t="str">
        <f t="shared" si="2"/>
        <v>levels,</v>
      </c>
      <c r="Q310" s="49"/>
      <c r="R310" s="50" t="s">
        <v>1257</v>
      </c>
      <c r="S310" s="55" t="s">
        <v>2309</v>
      </c>
      <c r="T310" s="49" t="str">
        <f>IFERROR(__xludf.DUMMYFUNCTION("""COMPUTED_VALUE"""),"gloom")</f>
        <v>gloom</v>
      </c>
      <c r="U310" s="49"/>
      <c r="V310" s="49" t="str">
        <f>IFERROR(__xludf.DUMMYFUNCTION("""COMPUTED_VALUE"""),"arrives")</f>
        <v>arrives</v>
      </c>
      <c r="W310" s="49" t="str">
        <f>IFERROR(__xludf.DUMMYFUNCTION("""COMPUTED_VALUE"""),"report")</f>
        <v>report</v>
      </c>
      <c r="X310" s="49" t="str">
        <f t="shared" si="3"/>
        <v>minutes,</v>
      </c>
      <c r="Y310" s="49"/>
      <c r="Z310" s="1" t="s">
        <v>1289</v>
      </c>
      <c r="AA310" s="1" t="s">
        <v>1209</v>
      </c>
      <c r="AB310" s="49" t="str">
        <f>IFERROR(__xludf.DUMMYFUNCTION("""COMPUTED_VALUE"""),"mystery")</f>
        <v>mystery</v>
      </c>
      <c r="AC310" s="49"/>
      <c r="AD310" s="49" t="str">
        <f>IFERROR(__xludf.DUMMYFUNCTION("""COMPUTED_VALUE"""),"war")</f>
        <v>war</v>
      </c>
      <c r="AE310" s="49" t="str">
        <f>IFERROR(__xludf.DUMMYFUNCTION("""COMPUTED_VALUE"""),"none")</f>
        <v>none</v>
      </c>
      <c r="AF310" s="49" t="str">
        <f t="shared" si="4"/>
        <v>french,</v>
      </c>
      <c r="AG310" s="49"/>
      <c r="AH310" s="1" t="s">
        <v>874</v>
      </c>
      <c r="AI310" s="1" t="s">
        <v>1124</v>
      </c>
      <c r="AJ310" s="6" t="str">
        <f>IFERROR(__xludf.DUMMYFUNCTION("""COMPUTED_VALUE"""),"drama")</f>
        <v>drama</v>
      </c>
      <c r="AK310" s="49"/>
      <c r="AL310" s="49"/>
      <c r="AM310" s="49"/>
      <c r="AN310" s="52" t="str">
        <f t="shared" si="5"/>
        <v>actor,</v>
      </c>
    </row>
    <row r="311">
      <c r="A311" s="51"/>
      <c r="B311" s="50" t="s">
        <v>1320</v>
      </c>
      <c r="C311" s="50" t="s">
        <v>139</v>
      </c>
      <c r="D311" s="49" t="str">
        <f>IFERROR(__xludf.DUMMYFUNCTION("""COMPUTED_VALUE"""),"match")</f>
        <v>match</v>
      </c>
      <c r="E311" s="49"/>
      <c r="F311" s="49"/>
      <c r="G311" s="49" t="str">
        <f>IFERROR(__xludf.DUMMYFUNCTION("""COMPUTED_VALUE"""),"mixing")</f>
        <v>mixing</v>
      </c>
      <c r="H311" s="54" t="str">
        <f t="shared" si="1"/>
        <v>along,</v>
      </c>
      <c r="I311" s="50"/>
      <c r="J311" s="50" t="s">
        <v>2985</v>
      </c>
      <c r="K311" s="50" t="s">
        <v>918</v>
      </c>
      <c r="L311" s="49" t="str">
        <f>IFERROR(__xludf.DUMMYFUNCTION("""COMPUTED_VALUE"""),"job")</f>
        <v>job</v>
      </c>
      <c r="M311" s="49"/>
      <c r="N311" s="49" t="str">
        <f>IFERROR(__xludf.DUMMYFUNCTION("""COMPUTED_VALUE"""),"days")</f>
        <v>days</v>
      </c>
      <c r="O311" s="49" t="str">
        <f>IFERROR(__xludf.DUMMYFUNCTION("""COMPUTED_VALUE"""),"convincing")</f>
        <v>convincing</v>
      </c>
      <c r="P311" s="49" t="str">
        <f t="shared" si="2"/>
        <v>moment,</v>
      </c>
      <c r="Q311" s="49"/>
      <c r="R311" s="50" t="s">
        <v>5764</v>
      </c>
      <c r="S311" s="55" t="s">
        <v>216</v>
      </c>
      <c r="T311" s="49" t="str">
        <f>IFERROR(__xludf.DUMMYFUNCTION("""COMPUTED_VALUE"""),"cause")</f>
        <v>cause</v>
      </c>
      <c r="U311" s="49"/>
      <c r="V311" s="49" t="str">
        <f>IFERROR(__xludf.DUMMYFUNCTION("""COMPUTED_VALUE"""),"fat")</f>
        <v>fat</v>
      </c>
      <c r="W311" s="49" t="str">
        <f>IFERROR(__xludf.DUMMYFUNCTION("""COMPUTED_VALUE"""),"fake")</f>
        <v>fake</v>
      </c>
      <c r="X311" s="49" t="str">
        <f t="shared" si="3"/>
        <v>tailor,</v>
      </c>
      <c r="Y311" s="49"/>
      <c r="Z311" s="1" t="s">
        <v>6664</v>
      </c>
      <c r="AA311" s="1" t="s">
        <v>222</v>
      </c>
      <c r="AB311" s="49" t="str">
        <f>IFERROR(__xludf.DUMMYFUNCTION("""COMPUTED_VALUE"""),"purpose")</f>
        <v>purpose</v>
      </c>
      <c r="AC311" s="49"/>
      <c r="AD311" s="49" t="str">
        <f>IFERROR(__xludf.DUMMYFUNCTION("""COMPUTED_VALUE"""),"days")</f>
        <v>days</v>
      </c>
      <c r="AE311" s="49" t="str">
        <f>IFERROR(__xludf.DUMMYFUNCTION("""COMPUTED_VALUE"""),"convincing")</f>
        <v>convincing</v>
      </c>
      <c r="AF311" s="49" t="str">
        <f t="shared" si="4"/>
        <v>killed,</v>
      </c>
      <c r="AG311" s="49"/>
      <c r="AH311" s="1" t="s">
        <v>1436</v>
      </c>
      <c r="AI311" s="1" t="s">
        <v>1385</v>
      </c>
      <c r="AJ311" s="6" t="str">
        <f>IFERROR(__xludf.DUMMYFUNCTION("""COMPUTED_VALUE"""),"difficult")</f>
        <v>difficult</v>
      </c>
      <c r="AK311" s="49"/>
      <c r="AL311" s="49"/>
      <c r="AM311" s="49"/>
      <c r="AN311" s="52" t="str">
        <f t="shared" si="5"/>
        <v>drama,</v>
      </c>
    </row>
    <row r="312">
      <c r="A312" s="51"/>
      <c r="B312" s="50" t="s">
        <v>2986</v>
      </c>
      <c r="C312" s="50" t="s">
        <v>148</v>
      </c>
      <c r="D312" s="49" t="str">
        <f>IFERROR(__xludf.DUMMYFUNCTION("""COMPUTED_VALUE"""),"try")</f>
        <v>try</v>
      </c>
      <c r="E312" s="49"/>
      <c r="F312" s="49"/>
      <c r="G312" s="49" t="str">
        <f>IFERROR(__xludf.DUMMYFUNCTION("""COMPUTED_VALUE"""),"threw")</f>
        <v>threw</v>
      </c>
      <c r="H312" s="54" t="str">
        <f t="shared" si="1"/>
        <v>almost,</v>
      </c>
      <c r="I312" s="50"/>
      <c r="J312" s="50" t="s">
        <v>6566</v>
      </c>
      <c r="K312" s="50" t="s">
        <v>333</v>
      </c>
      <c r="L312" s="49" t="str">
        <f>IFERROR(__xludf.DUMMYFUNCTION("""COMPUTED_VALUE"""),"myself")</f>
        <v>myself</v>
      </c>
      <c r="M312" s="49"/>
      <c r="N312" s="49" t="str">
        <f>IFERROR(__xludf.DUMMYFUNCTION("""COMPUTED_VALUE"""),"pen")</f>
        <v>pen</v>
      </c>
      <c r="O312" s="49" t="str">
        <f>IFERROR(__xludf.DUMMYFUNCTION("""COMPUTED_VALUE"""),"tattoo")</f>
        <v>tattoo</v>
      </c>
      <c r="P312" s="49" t="str">
        <f t="shared" si="2"/>
        <v>she,</v>
      </c>
      <c r="Q312" s="49"/>
      <c r="R312" s="50" t="s">
        <v>6560</v>
      </c>
      <c r="S312" s="55" t="s">
        <v>1335</v>
      </c>
      <c r="T312" s="49" t="str">
        <f>IFERROR(__xludf.DUMMYFUNCTION("""COMPUTED_VALUE"""),"bone")</f>
        <v>bone</v>
      </c>
      <c r="U312" s="49"/>
      <c r="V312" s="49" t="str">
        <f>IFERROR(__xludf.DUMMYFUNCTION("""COMPUTED_VALUE"""),"debt")</f>
        <v>debt</v>
      </c>
      <c r="W312" s="49" t="str">
        <f>IFERROR(__xludf.DUMMYFUNCTION("""COMPUTED_VALUE"""),"palestinian")</f>
        <v>palestinian</v>
      </c>
      <c r="X312" s="49" t="str">
        <f t="shared" si="3"/>
        <v>features,</v>
      </c>
      <c r="Y312" s="49"/>
      <c r="Z312" s="1" t="s">
        <v>3481</v>
      </c>
      <c r="AA312" s="1" t="s">
        <v>2008</v>
      </c>
      <c r="AB312" s="49" t="str">
        <f>IFERROR(__xludf.DUMMYFUNCTION("""COMPUTED_VALUE"""),"trapped")</f>
        <v>trapped</v>
      </c>
      <c r="AC312" s="49"/>
      <c r="AD312" s="49" t="str">
        <f>IFERROR(__xludf.DUMMYFUNCTION("""COMPUTED_VALUE"""),"pen")</f>
        <v>pen</v>
      </c>
      <c r="AE312" s="49" t="str">
        <f>IFERROR(__xludf.DUMMYFUNCTION("""COMPUTED_VALUE"""),"tattoo")</f>
        <v>tattoo</v>
      </c>
      <c r="AF312" s="49" t="str">
        <f t="shared" si="4"/>
        <v>parents,</v>
      </c>
      <c r="AG312" s="49"/>
      <c r="AH312" s="1" t="s">
        <v>1838</v>
      </c>
      <c r="AI312" s="1" t="s">
        <v>6310</v>
      </c>
      <c r="AJ312" s="6" t="str">
        <f>IFERROR(__xludf.DUMMYFUNCTION("""COMPUTED_VALUE"""),"presence")</f>
        <v>presence</v>
      </c>
      <c r="AK312" s="49"/>
      <c r="AL312" s="49"/>
      <c r="AM312" s="49"/>
      <c r="AN312" s="52" t="str">
        <f t="shared" si="5"/>
        <v>difficult,</v>
      </c>
    </row>
    <row r="313">
      <c r="A313" s="51"/>
      <c r="B313" s="50" t="s">
        <v>2584</v>
      </c>
      <c r="C313" s="50" t="s">
        <v>161</v>
      </c>
      <c r="D313" s="49" t="str">
        <f>IFERROR(__xludf.DUMMYFUNCTION("""COMPUTED_VALUE"""),"giving")</f>
        <v>giving</v>
      </c>
      <c r="E313" s="49"/>
      <c r="F313" s="49"/>
      <c r="G313" s="49" t="str">
        <f>IFERROR(__xludf.DUMMYFUNCTION("""COMPUTED_VALUE"""),"households")</f>
        <v>households</v>
      </c>
      <c r="H313" s="54" t="str">
        <f t="shared" si="1"/>
        <v>political,</v>
      </c>
      <c r="I313" s="50"/>
      <c r="J313" s="50" t="s">
        <v>2382</v>
      </c>
      <c r="K313" s="50" t="s">
        <v>2014</v>
      </c>
      <c r="L313" s="49" t="str">
        <f>IFERROR(__xludf.DUMMYFUNCTION("""COMPUTED_VALUE"""),"wasting")</f>
        <v>wasting</v>
      </c>
      <c r="M313" s="49"/>
      <c r="N313" s="49" t="str">
        <f>IFERROR(__xludf.DUMMYFUNCTION("""COMPUTED_VALUE"""),"aggressively")</f>
        <v>aggressively</v>
      </c>
      <c r="O313" s="49" t="str">
        <f>IFERROR(__xludf.DUMMYFUNCTION("""COMPUTED_VALUE"""),"pathology")</f>
        <v>pathology</v>
      </c>
      <c r="P313" s="49" t="str">
        <f t="shared" si="2"/>
        <v>question,</v>
      </c>
      <c r="Q313" s="49"/>
      <c r="R313" s="50" t="s">
        <v>2594</v>
      </c>
      <c r="S313" s="55" t="s">
        <v>4510</v>
      </c>
      <c r="T313" s="49" t="str">
        <f>IFERROR(__xludf.DUMMYFUNCTION("""COMPUTED_VALUE"""),"structure")</f>
        <v>structure</v>
      </c>
      <c r="U313" s="49"/>
      <c r="V313" s="49" t="str">
        <f>IFERROR(__xludf.DUMMYFUNCTION("""COMPUTED_VALUE"""),"benjamin")</f>
        <v>benjamin</v>
      </c>
      <c r="W313" s="49" t="str">
        <f>IFERROR(__xludf.DUMMYFUNCTION("""COMPUTED_VALUE"""),"israeli")</f>
        <v>israeli</v>
      </c>
      <c r="X313" s="49" t="str">
        <f t="shared" si="3"/>
        <v>monster,</v>
      </c>
      <c r="Y313" s="49"/>
      <c r="Z313" s="1" t="s">
        <v>1112</v>
      </c>
      <c r="AA313" s="1" t="s">
        <v>317</v>
      </c>
      <c r="AB313" s="49" t="str">
        <f>IFERROR(__xludf.DUMMYFUNCTION("""COMPUTED_VALUE"""),"prove")</f>
        <v>prove</v>
      </c>
      <c r="AC313" s="49"/>
      <c r="AD313" s="49" t="str">
        <f>IFERROR(__xludf.DUMMYFUNCTION("""COMPUTED_VALUE"""),"aggressively")</f>
        <v>aggressively</v>
      </c>
      <c r="AE313" s="49" t="str">
        <f>IFERROR(__xludf.DUMMYFUNCTION("""COMPUTED_VALUE"""),"pathology")</f>
        <v>pathology</v>
      </c>
      <c r="AF313" s="49" t="str">
        <f t="shared" si="4"/>
        <v>old,</v>
      </c>
      <c r="AG313" s="49"/>
      <c r="AH313" s="1" t="s">
        <v>5364</v>
      </c>
      <c r="AI313" s="1" t="s">
        <v>5108</v>
      </c>
      <c r="AJ313" s="6" t="str">
        <f>IFERROR(__xludf.DUMMYFUNCTION("""COMPUTED_VALUE"""),"walking")</f>
        <v>walking</v>
      </c>
      <c r="AK313" s="49"/>
      <c r="AL313" s="49"/>
      <c r="AM313" s="49"/>
      <c r="AN313" s="52" t="str">
        <f t="shared" si="5"/>
        <v>presence,</v>
      </c>
    </row>
    <row r="314">
      <c r="A314" s="51"/>
      <c r="B314" s="50" t="s">
        <v>1845</v>
      </c>
      <c r="C314" s="50" t="s">
        <v>836</v>
      </c>
      <c r="D314" s="49" t="str">
        <f>IFERROR(__xludf.DUMMYFUNCTION("""COMPUTED_VALUE"""),"pure")</f>
        <v>pure</v>
      </c>
      <c r="E314" s="49"/>
      <c r="F314" s="49"/>
      <c r="G314" s="49" t="str">
        <f>IFERROR(__xludf.DUMMYFUNCTION("""COMPUTED_VALUE"""),"stevens")</f>
        <v>stevens</v>
      </c>
      <c r="H314" s="54" t="str">
        <f t="shared" si="1"/>
        <v>running,</v>
      </c>
      <c r="I314" s="50"/>
      <c r="J314" s="50" t="s">
        <v>1972</v>
      </c>
      <c r="K314" s="50" t="s">
        <v>1770</v>
      </c>
      <c r="L314" s="49" t="str">
        <f>IFERROR(__xludf.DUMMYFUNCTION("""COMPUTED_VALUE"""),"negative")</f>
        <v>negative</v>
      </c>
      <c r="M314" s="49"/>
      <c r="N314" s="49" t="str">
        <f>IFERROR(__xludf.DUMMYFUNCTION("""COMPUTED_VALUE"""),"realize")</f>
        <v>realize</v>
      </c>
      <c r="O314" s="49" t="str">
        <f>IFERROR(__xludf.DUMMYFUNCTION("""COMPUTED_VALUE"""),"subjected")</f>
        <v>subjected</v>
      </c>
      <c r="P314" s="49" t="str">
        <f t="shared" si="2"/>
        <v>either,</v>
      </c>
      <c r="Q314" s="49"/>
      <c r="R314" s="50" t="s">
        <v>2765</v>
      </c>
      <c r="S314" s="55" t="s">
        <v>877</v>
      </c>
      <c r="T314" s="49" t="str">
        <f>IFERROR(__xludf.DUMMYFUNCTION("""COMPUTED_VALUE"""),"collection")</f>
        <v>collection</v>
      </c>
      <c r="U314" s="49"/>
      <c r="V314" s="49" t="str">
        <f>IFERROR(__xludf.DUMMYFUNCTION("""COMPUTED_VALUE"""),"usher")</f>
        <v>usher</v>
      </c>
      <c r="W314" s="49" t="str">
        <f>IFERROR(__xludf.DUMMYFUNCTION("""COMPUTED_VALUE"""),"touches")</f>
        <v>touches</v>
      </c>
      <c r="X314" s="49" t="str">
        <f t="shared" si="3"/>
        <v>darkness,</v>
      </c>
      <c r="Y314" s="49"/>
      <c r="Z314" s="1" t="s">
        <v>53</v>
      </c>
      <c r="AA314" s="1" t="s">
        <v>2015</v>
      </c>
      <c r="AB314" s="49" t="str">
        <f>IFERROR(__xludf.DUMMYFUNCTION("""COMPUTED_VALUE"""),"problem")</f>
        <v>problem</v>
      </c>
      <c r="AC314" s="49"/>
      <c r="AD314" s="49" t="str">
        <f>IFERROR(__xludf.DUMMYFUNCTION("""COMPUTED_VALUE"""),"realize")</f>
        <v>realize</v>
      </c>
      <c r="AE314" s="49" t="str">
        <f>IFERROR(__xludf.DUMMYFUNCTION("""COMPUTED_VALUE"""),"subjected")</f>
        <v>subjected</v>
      </c>
      <c r="AF314" s="49" t="str">
        <f t="shared" si="4"/>
        <v>years,</v>
      </c>
      <c r="AG314" s="49"/>
      <c r="AH314" s="1" t="s">
        <v>6657</v>
      </c>
      <c r="AI314" s="1" t="s">
        <v>5412</v>
      </c>
      <c r="AJ314" s="6" t="str">
        <f>IFERROR(__xludf.DUMMYFUNCTION("""COMPUTED_VALUE"""),"screen")</f>
        <v>screen</v>
      </c>
      <c r="AK314" s="49"/>
      <c r="AL314" s="49"/>
      <c r="AM314" s="49"/>
      <c r="AN314" s="52" t="str">
        <f t="shared" si="5"/>
        <v>walking,</v>
      </c>
    </row>
    <row r="315">
      <c r="A315" s="51"/>
      <c r="B315" s="50" t="s">
        <v>3914</v>
      </c>
      <c r="C315" s="50" t="s">
        <v>2309</v>
      </c>
      <c r="D315" s="49" t="str">
        <f>IFERROR(__xludf.DUMMYFUNCTION("""COMPUTED_VALUE"""),"answers")</f>
        <v>answers</v>
      </c>
      <c r="E315" s="49"/>
      <c r="F315" s="49"/>
      <c r="G315" s="49" t="str">
        <f>IFERROR(__xludf.DUMMYFUNCTION("""COMPUTED_VALUE"""),"playstation")</f>
        <v>playstation</v>
      </c>
      <c r="H315" s="54" t="str">
        <f t="shared" si="1"/>
        <v>fall,</v>
      </c>
      <c r="I315" s="50"/>
      <c r="J315" s="50" t="s">
        <v>976</v>
      </c>
      <c r="K315" s="50" t="s">
        <v>2023</v>
      </c>
      <c r="L315" s="49" t="str">
        <f>IFERROR(__xludf.DUMMYFUNCTION("""COMPUTED_VALUE"""),"entertainment")</f>
        <v>entertainment</v>
      </c>
      <c r="M315" s="49"/>
      <c r="N315" s="49" t="str">
        <f>IFERROR(__xludf.DUMMYFUNCTION("""COMPUTED_VALUE"""),"restroom")</f>
        <v>restroom</v>
      </c>
      <c r="O315" s="49" t="str">
        <f>IFERROR(__xludf.DUMMYFUNCTION("""COMPUTED_VALUE"""),"overrun")</f>
        <v>overrun</v>
      </c>
      <c r="P315" s="49" t="str">
        <f t="shared" si="2"/>
        <v>game,</v>
      </c>
      <c r="Q315" s="49"/>
      <c r="R315" s="50" t="s">
        <v>4344</v>
      </c>
      <c r="S315" s="55" t="s">
        <v>1991</v>
      </c>
      <c r="T315" s="49" t="str">
        <f>IFERROR(__xludf.DUMMYFUNCTION("""COMPUTED_VALUE"""),"examination")</f>
        <v>examination</v>
      </c>
      <c r="U315" s="49"/>
      <c r="V315" s="49" t="str">
        <f>IFERROR(__xludf.DUMMYFUNCTION("""COMPUTED_VALUE"""),"grew")</f>
        <v>grew</v>
      </c>
      <c r="W315" s="49" t="str">
        <f>IFERROR(__xludf.DUMMYFUNCTION("""COMPUTED_VALUE"""),"flickering")</f>
        <v>flickering</v>
      </c>
      <c r="X315" s="49" t="str">
        <f t="shared" si="3"/>
        <v>gun,</v>
      </c>
      <c r="Y315" s="49"/>
      <c r="Z315" s="1" t="s">
        <v>6345</v>
      </c>
      <c r="AA315" s="1" t="s">
        <v>424</v>
      </c>
      <c r="AB315" s="49" t="str">
        <f>IFERROR(__xludf.DUMMYFUNCTION("""COMPUTED_VALUE"""),"hunter")</f>
        <v>hunter</v>
      </c>
      <c r="AC315" s="49"/>
      <c r="AD315" s="49" t="str">
        <f>IFERROR(__xludf.DUMMYFUNCTION("""COMPUTED_VALUE"""),"restroom")</f>
        <v>restroom</v>
      </c>
      <c r="AE315" s="49" t="str">
        <f>IFERROR(__xludf.DUMMYFUNCTION("""COMPUTED_VALUE"""),"overrun")</f>
        <v>overrun</v>
      </c>
      <c r="AF315" s="49" t="str">
        <f t="shared" si="4"/>
        <v>plain,</v>
      </c>
      <c r="AG315" s="49"/>
      <c r="AH315" s="1" t="s">
        <v>2666</v>
      </c>
      <c r="AI315" s="1" t="s">
        <v>1131</v>
      </c>
      <c r="AJ315" s="6" t="str">
        <f>IFERROR(__xludf.DUMMYFUNCTION("""COMPUTED_VALUE"""),"unable")</f>
        <v>unable</v>
      </c>
      <c r="AK315" s="49"/>
      <c r="AL315" s="49"/>
      <c r="AM315" s="49"/>
      <c r="AN315" s="52" t="str">
        <f t="shared" si="5"/>
        <v>screen,</v>
      </c>
    </row>
    <row r="316">
      <c r="A316" s="51"/>
      <c r="B316" s="50" t="s">
        <v>7260</v>
      </c>
      <c r="C316" s="50" t="s">
        <v>1293</v>
      </c>
      <c r="D316" s="49" t="str">
        <f>IFERROR(__xludf.DUMMYFUNCTION("""COMPUTED_VALUE"""),"dialogue")</f>
        <v>dialogue</v>
      </c>
      <c r="E316" s="49"/>
      <c r="F316" s="49"/>
      <c r="G316" s="49" t="str">
        <f>IFERROR(__xludf.DUMMYFUNCTION("""COMPUTED_VALUE"""),"rounded")</f>
        <v>rounded</v>
      </c>
      <c r="H316" s="54" t="str">
        <f t="shared" si="1"/>
        <v>campaign,</v>
      </c>
      <c r="I316" s="50"/>
      <c r="J316" s="50" t="s">
        <v>485</v>
      </c>
      <c r="K316" s="50" t="s">
        <v>822</v>
      </c>
      <c r="L316" s="49" t="str">
        <f>IFERROR(__xludf.DUMMYFUNCTION("""COMPUTED_VALUE"""),"rank")</f>
        <v>rank</v>
      </c>
      <c r="M316" s="49"/>
      <c r="N316" s="49" t="str">
        <f>IFERROR(__xludf.DUMMYFUNCTION("""COMPUTED_VALUE"""),"induced")</f>
        <v>induced</v>
      </c>
      <c r="O316" s="49" t="str">
        <f>IFERROR(__xludf.DUMMYFUNCTION("""COMPUTED_VALUE"""),"racism")</f>
        <v>racism</v>
      </c>
      <c r="P316" s="49" t="str">
        <f t="shared" si="2"/>
        <v>together,</v>
      </c>
      <c r="Q316" s="49"/>
      <c r="R316" s="50" t="s">
        <v>600</v>
      </c>
      <c r="S316" s="55" t="s">
        <v>1112</v>
      </c>
      <c r="T316" s="49" t="str">
        <f>IFERROR(__xludf.DUMMYFUNCTION("""COMPUTED_VALUE"""),"races")</f>
        <v>races</v>
      </c>
      <c r="U316" s="49"/>
      <c r="V316" s="49" t="str">
        <f>IFERROR(__xludf.DUMMYFUNCTION("""COMPUTED_VALUE"""),"pie")</f>
        <v>pie</v>
      </c>
      <c r="W316" s="49" t="str">
        <f>IFERROR(__xludf.DUMMYFUNCTION("""COMPUTED_VALUE"""),"loses")</f>
        <v>loses</v>
      </c>
      <c r="X316" s="49" t="str">
        <f t="shared" si="3"/>
        <v>them,</v>
      </c>
      <c r="Y316" s="49"/>
      <c r="Z316" s="1" t="s">
        <v>63</v>
      </c>
      <c r="AA316" s="1" t="s">
        <v>1129</v>
      </c>
      <c r="AB316" s="49" t="str">
        <f>IFERROR(__xludf.DUMMYFUNCTION("""COMPUTED_VALUE"""),"thin")</f>
        <v>thin</v>
      </c>
      <c r="AC316" s="49"/>
      <c r="AD316" s="49" t="str">
        <f>IFERROR(__xludf.DUMMYFUNCTION("""COMPUTED_VALUE"""),"induced")</f>
        <v>induced</v>
      </c>
      <c r="AE316" s="49" t="str">
        <f>IFERROR(__xludf.DUMMYFUNCTION("""COMPUTED_VALUE"""),"racism")</f>
        <v>racism</v>
      </c>
      <c r="AF316" s="49" t="str">
        <f t="shared" si="4"/>
        <v>well,</v>
      </c>
      <c r="AG316" s="49"/>
      <c r="AH316" s="1" t="s">
        <v>6914</v>
      </c>
      <c r="AI316" s="1" t="s">
        <v>663</v>
      </c>
      <c r="AJ316" s="6" t="str">
        <f>IFERROR(__xludf.DUMMYFUNCTION("""COMPUTED_VALUE"""),"trip")</f>
        <v>trip</v>
      </c>
      <c r="AK316" s="49"/>
      <c r="AL316" s="49"/>
      <c r="AM316" s="49"/>
      <c r="AN316" s="52" t="str">
        <f t="shared" si="5"/>
        <v>unable,</v>
      </c>
    </row>
    <row r="317">
      <c r="A317" s="51"/>
      <c r="B317" s="50" t="s">
        <v>2489</v>
      </c>
      <c r="C317" s="50" t="s">
        <v>6315</v>
      </c>
      <c r="D317" s="49" t="str">
        <f>IFERROR(__xludf.DUMMYFUNCTION("""COMPUTED_VALUE"""),"love")</f>
        <v>love</v>
      </c>
      <c r="E317" s="49"/>
      <c r="F317" s="49"/>
      <c r="G317" s="49" t="str">
        <f>IFERROR(__xludf.DUMMYFUNCTION("""COMPUTED_VALUE"""),"ensure")</f>
        <v>ensure</v>
      </c>
      <c r="H317" s="54" t="str">
        <f t="shared" si="1"/>
        <v>couple,</v>
      </c>
      <c r="I317" s="50"/>
      <c r="J317" s="50" t="s">
        <v>2901</v>
      </c>
      <c r="K317" s="50" t="s">
        <v>1020</v>
      </c>
      <c r="L317" s="49" t="str">
        <f>IFERROR(__xludf.DUMMYFUNCTION("""COMPUTED_VALUE"""),"bard")</f>
        <v>bard</v>
      </c>
      <c r="M317" s="49"/>
      <c r="N317" s="49" t="str">
        <f>IFERROR(__xludf.DUMMYFUNCTION("""COMPUTED_VALUE"""),"art")</f>
        <v>art</v>
      </c>
      <c r="O317" s="49" t="str">
        <f>IFERROR(__xludf.DUMMYFUNCTION("""COMPUTED_VALUE"""),"debuts")</f>
        <v>debuts</v>
      </c>
      <c r="P317" s="49" t="str">
        <f t="shared" si="2"/>
        <v>dream,</v>
      </c>
      <c r="Q317" s="49"/>
      <c r="R317" s="50" t="s">
        <v>6542</v>
      </c>
      <c r="S317" s="55" t="s">
        <v>1616</v>
      </c>
      <c r="T317" s="49" t="str">
        <f>IFERROR(__xludf.DUMMYFUNCTION("""COMPUTED_VALUE"""),"different")</f>
        <v>different</v>
      </c>
      <c r="U317" s="49"/>
      <c r="V317" s="49" t="str">
        <f>IFERROR(__xludf.DUMMYFUNCTION("""COMPUTED_VALUE"""),"thumb")</f>
        <v>thumb</v>
      </c>
      <c r="W317" s="49" t="str">
        <f>IFERROR(__xludf.DUMMYFUNCTION("""COMPUTED_VALUE"""),"rodriguez")</f>
        <v>rodriguez</v>
      </c>
      <c r="X317" s="49" t="str">
        <f t="shared" si="3"/>
        <v>lots,</v>
      </c>
      <c r="Y317" s="49"/>
      <c r="Z317" s="1" t="s">
        <v>716</v>
      </c>
      <c r="AA317" s="1" t="s">
        <v>936</v>
      </c>
      <c r="AB317" s="49" t="str">
        <f>IFERROR(__xludf.DUMMYFUNCTION("""COMPUTED_VALUE"""),"side")</f>
        <v>side</v>
      </c>
      <c r="AC317" s="49"/>
      <c r="AD317" s="49" t="str">
        <f>IFERROR(__xludf.DUMMYFUNCTION("""COMPUTED_VALUE"""),"art")</f>
        <v>art</v>
      </c>
      <c r="AE317" s="49" t="str">
        <f>IFERROR(__xludf.DUMMYFUNCTION("""COMPUTED_VALUE"""),"debuts")</f>
        <v>debuts</v>
      </c>
      <c r="AF317" s="49" t="str">
        <f t="shared" si="4"/>
        <v>some,</v>
      </c>
      <c r="AG317" s="49"/>
      <c r="AH317" s="1" t="s">
        <v>858</v>
      </c>
      <c r="AI317" s="1" t="s">
        <v>2307</v>
      </c>
      <c r="AJ317" s="6" t="str">
        <f>IFERROR(__xludf.DUMMYFUNCTION("""COMPUTED_VALUE"""),"swedish")</f>
        <v>swedish</v>
      </c>
      <c r="AK317" s="49"/>
      <c r="AL317" s="49"/>
      <c r="AM317" s="49"/>
      <c r="AN317" s="52" t="str">
        <f t="shared" si="5"/>
        <v>trip,</v>
      </c>
    </row>
    <row r="318">
      <c r="A318" s="51"/>
      <c r="B318" s="50" t="s">
        <v>2942</v>
      </c>
      <c r="C318" s="50" t="s">
        <v>1880</v>
      </c>
      <c r="D318" s="49" t="str">
        <f>IFERROR(__xludf.DUMMYFUNCTION("""COMPUTED_VALUE"""),"unfortunately")</f>
        <v>unfortunately</v>
      </c>
      <c r="E318" s="49"/>
      <c r="F318" s="49"/>
      <c r="G318" s="49" t="str">
        <f>IFERROR(__xludf.DUMMYFUNCTION("""COMPUTED_VALUE"""),"retreat")</f>
        <v>retreat</v>
      </c>
      <c r="H318" s="54" t="str">
        <f t="shared" si="1"/>
        <v>ago,</v>
      </c>
      <c r="I318" s="50"/>
      <c r="J318" s="50" t="s">
        <v>5405</v>
      </c>
      <c r="K318" s="50" t="s">
        <v>1775</v>
      </c>
      <c r="L318" s="49" t="str">
        <f>IFERROR(__xludf.DUMMYFUNCTION("""COMPUTED_VALUE"""),"initial")</f>
        <v>initial</v>
      </c>
      <c r="M318" s="49"/>
      <c r="N318" s="49" t="str">
        <f>IFERROR(__xludf.DUMMYFUNCTION("""COMPUTED_VALUE"""),"camp")</f>
        <v>camp</v>
      </c>
      <c r="O318" s="49" t="str">
        <f>IFERROR(__xludf.DUMMYFUNCTION("""COMPUTED_VALUE"""),"teddy")</f>
        <v>teddy</v>
      </c>
      <c r="P318" s="49" t="str">
        <f t="shared" si="2"/>
        <v>image,</v>
      </c>
      <c r="Q318" s="49"/>
      <c r="R318" s="50" t="s">
        <v>48</v>
      </c>
      <c r="S318" s="55" t="s">
        <v>1622</v>
      </c>
      <c r="T318" s="49" t="str">
        <f>IFERROR(__xludf.DUMMYFUNCTION("""COMPUTED_VALUE"""),"white")</f>
        <v>white</v>
      </c>
      <c r="U318" s="49"/>
      <c r="V318" s="49" t="str">
        <f>IFERROR(__xludf.DUMMYFUNCTION("""COMPUTED_VALUE"""),"pushed")</f>
        <v>pushed</v>
      </c>
      <c r="W318" s="49" t="str">
        <f>IFERROR(__xludf.DUMMYFUNCTION("""COMPUTED_VALUE"""),"move")</f>
        <v>move</v>
      </c>
      <c r="X318" s="49" t="str">
        <f t="shared" si="3"/>
        <v>violence,</v>
      </c>
      <c r="Y318" s="49"/>
      <c r="Z318" s="1" t="s">
        <v>652</v>
      </c>
      <c r="AA318" s="1" t="s">
        <v>1498</v>
      </c>
      <c r="AB318" s="49" t="str">
        <f>IFERROR(__xludf.DUMMYFUNCTION("""COMPUTED_VALUE"""),"soundtrack")</f>
        <v>soundtrack</v>
      </c>
      <c r="AC318" s="49"/>
      <c r="AD318" s="49" t="str">
        <f>IFERROR(__xludf.DUMMYFUNCTION("""COMPUTED_VALUE"""),"camp")</f>
        <v>camp</v>
      </c>
      <c r="AE318" s="49" t="str">
        <f>IFERROR(__xludf.DUMMYFUNCTION("""COMPUTED_VALUE"""),"teddy")</f>
        <v>teddy</v>
      </c>
      <c r="AF318" s="49" t="str">
        <f t="shared" si="4"/>
        <v>you,</v>
      </c>
      <c r="AG318" s="49"/>
      <c r="AH318" s="1" t="s">
        <v>5612</v>
      </c>
      <c r="AI318" s="1" t="s">
        <v>1642</v>
      </c>
      <c r="AJ318" s="6" t="str">
        <f>IFERROR(__xludf.DUMMYFUNCTION("""COMPUTED_VALUE"""),"express")</f>
        <v>express</v>
      </c>
      <c r="AK318" s="49"/>
      <c r="AL318" s="49"/>
      <c r="AM318" s="49"/>
      <c r="AN318" s="52" t="str">
        <f t="shared" si="5"/>
        <v>swedish,</v>
      </c>
    </row>
    <row r="319">
      <c r="A319" s="51"/>
      <c r="B319" s="50" t="s">
        <v>2604</v>
      </c>
      <c r="C319" s="50" t="s">
        <v>1311</v>
      </c>
      <c r="D319" s="49" t="str">
        <f>IFERROR(__xludf.DUMMYFUNCTION("""COMPUTED_VALUE"""),"lovely")</f>
        <v>lovely</v>
      </c>
      <c r="E319" s="49"/>
      <c r="F319" s="49"/>
      <c r="G319" s="49" t="str">
        <f>IFERROR(__xludf.DUMMYFUNCTION("""COMPUTED_VALUE"""),"aid")</f>
        <v>aid</v>
      </c>
      <c r="H319" s="54" t="str">
        <f t="shared" si="1"/>
        <v>truth,</v>
      </c>
      <c r="I319" s="50"/>
      <c r="J319" s="50" t="s">
        <v>4108</v>
      </c>
      <c r="K319" s="50" t="s">
        <v>1786</v>
      </c>
      <c r="L319" s="49" t="str">
        <f>IFERROR(__xludf.DUMMYFUNCTION("""COMPUTED_VALUE"""),"date")</f>
        <v>date</v>
      </c>
      <c r="M319" s="49"/>
      <c r="N319" s="49" t="str">
        <f>IFERROR(__xludf.DUMMYFUNCTION("""COMPUTED_VALUE"""),"except")</f>
        <v>except</v>
      </c>
      <c r="O319" s="49" t="str">
        <f>IFERROR(__xludf.DUMMYFUNCTION("""COMPUTED_VALUE"""),"courage")</f>
        <v>courage</v>
      </c>
      <c r="P319" s="49" t="str">
        <f t="shared" si="2"/>
        <v>biggest,</v>
      </c>
      <c r="Q319" s="49"/>
      <c r="R319" s="50" t="s">
        <v>1989</v>
      </c>
      <c r="S319" s="55" t="s">
        <v>6303</v>
      </c>
      <c r="T319" s="49" t="str">
        <f>IFERROR(__xludf.DUMMYFUNCTION("""COMPUTED_VALUE"""),"past")</f>
        <v>past</v>
      </c>
      <c r="U319" s="49"/>
      <c r="V319" s="49" t="str">
        <f>IFERROR(__xludf.DUMMYFUNCTION("""COMPUTED_VALUE"""),"whatsoever")</f>
        <v>whatsoever</v>
      </c>
      <c r="W319" s="49" t="str">
        <f>IFERROR(__xludf.DUMMYFUNCTION("""COMPUTED_VALUE"""),"triumphant")</f>
        <v>triumphant</v>
      </c>
      <c r="X319" s="49" t="str">
        <f t="shared" si="3"/>
        <v>machine,</v>
      </c>
      <c r="Y319" s="49"/>
      <c r="Z319" s="1" t="s">
        <v>684</v>
      </c>
      <c r="AA319" s="1" t="s">
        <v>1141</v>
      </c>
      <c r="AB319" s="49" t="str">
        <f>IFERROR(__xludf.DUMMYFUNCTION("""COMPUTED_VALUE"""),"let")</f>
        <v>let</v>
      </c>
      <c r="AC319" s="49"/>
      <c r="AD319" s="49" t="str">
        <f>IFERROR(__xludf.DUMMYFUNCTION("""COMPUTED_VALUE"""),"except")</f>
        <v>except</v>
      </c>
      <c r="AE319" s="49" t="str">
        <f>IFERROR(__xludf.DUMMYFUNCTION("""COMPUTED_VALUE"""),"courage")</f>
        <v>courage</v>
      </c>
      <c r="AF319" s="49" t="str">
        <f t="shared" si="4"/>
        <v>eyes,</v>
      </c>
      <c r="AG319" s="49"/>
      <c r="AH319" s="1" t="s">
        <v>3317</v>
      </c>
      <c r="AI319" s="1" t="s">
        <v>1143</v>
      </c>
      <c r="AJ319" s="6" t="str">
        <f>IFERROR(__xludf.DUMMYFUNCTION("""COMPUTED_VALUE"""),"spend")</f>
        <v>spend</v>
      </c>
      <c r="AK319" s="49"/>
      <c r="AL319" s="49"/>
      <c r="AM319" s="49"/>
      <c r="AN319" s="52" t="str">
        <f t="shared" si="5"/>
        <v>express,</v>
      </c>
    </row>
    <row r="320">
      <c r="A320" s="51"/>
      <c r="B320" s="50" t="s">
        <v>1110</v>
      </c>
      <c r="C320" s="50" t="s">
        <v>1874</v>
      </c>
      <c r="D320" s="49" t="str">
        <f>IFERROR(__xludf.DUMMYFUNCTION("""COMPUTED_VALUE"""),"bring")</f>
        <v>bring</v>
      </c>
      <c r="E320" s="49"/>
      <c r="F320" s="49"/>
      <c r="G320" s="49" t="str">
        <f>IFERROR(__xludf.DUMMYFUNCTION("""COMPUTED_VALUE"""),"occupied")</f>
        <v>occupied</v>
      </c>
      <c r="H320" s="54" t="str">
        <f t="shared" si="1"/>
        <v>flat,</v>
      </c>
      <c r="I320" s="50"/>
      <c r="J320" s="50" t="s">
        <v>3705</v>
      </c>
      <c r="K320" s="50" t="s">
        <v>1793</v>
      </c>
      <c r="L320" s="49" t="str">
        <f>IFERROR(__xludf.DUMMYFUNCTION("""COMPUTED_VALUE"""),"changes")</f>
        <v>changes</v>
      </c>
      <c r="M320" s="49"/>
      <c r="N320" s="49" t="str">
        <f>IFERROR(__xludf.DUMMYFUNCTION("""COMPUTED_VALUE"""),"sun")</f>
        <v>sun</v>
      </c>
      <c r="O320" s="49" t="str">
        <f>IFERROR(__xludf.DUMMYFUNCTION("""COMPUTED_VALUE"""),"intellectual")</f>
        <v>intellectual</v>
      </c>
      <c r="P320" s="49" t="str">
        <f t="shared" si="2"/>
        <v>stone,</v>
      </c>
      <c r="Q320" s="49"/>
      <c r="R320" s="50" t="s">
        <v>5002</v>
      </c>
      <c r="S320" s="55" t="s">
        <v>745</v>
      </c>
      <c r="T320" s="49" t="str">
        <f>IFERROR(__xludf.DUMMYFUNCTION("""COMPUTED_VALUE"""),"sports")</f>
        <v>sports</v>
      </c>
      <c r="U320" s="49"/>
      <c r="V320" s="49" t="str">
        <f>IFERROR(__xludf.DUMMYFUNCTION("""COMPUTED_VALUE"""),"sticks")</f>
        <v>sticks</v>
      </c>
      <c r="W320" s="49" t="str">
        <f>IFERROR(__xludf.DUMMYFUNCTION("""COMPUTED_VALUE"""),"plots")</f>
        <v>plots</v>
      </c>
      <c r="X320" s="49" t="str">
        <f t="shared" si="3"/>
        <v>chick,</v>
      </c>
      <c r="Y320" s="49"/>
      <c r="Z320" s="1" t="s">
        <v>3224</v>
      </c>
      <c r="AA320" s="1" t="s">
        <v>116</v>
      </c>
      <c r="AB320" s="49" t="str">
        <f>IFERROR(__xludf.DUMMYFUNCTION("""COMPUTED_VALUE"""),"wants")</f>
        <v>wants</v>
      </c>
      <c r="AC320" s="49"/>
      <c r="AD320" s="49" t="str">
        <f>IFERROR(__xludf.DUMMYFUNCTION("""COMPUTED_VALUE"""),"sun")</f>
        <v>sun</v>
      </c>
      <c r="AE320" s="49" t="str">
        <f>IFERROR(__xludf.DUMMYFUNCTION("""COMPUTED_VALUE"""),"intellectual")</f>
        <v>intellectual</v>
      </c>
      <c r="AF320" s="49" t="str">
        <f t="shared" si="4"/>
        <v>rest,</v>
      </c>
      <c r="AG320" s="49"/>
      <c r="AH320" s="1" t="s">
        <v>891</v>
      </c>
      <c r="AI320" s="1" t="s">
        <v>4571</v>
      </c>
      <c r="AJ320" s="6" t="str">
        <f>IFERROR(__xludf.DUMMYFUNCTION("""COMPUTED_VALUE"""),"depth")</f>
        <v>depth</v>
      </c>
      <c r="AK320" s="49"/>
      <c r="AL320" s="49"/>
      <c r="AM320" s="49"/>
      <c r="AN320" s="52" t="str">
        <f t="shared" si="5"/>
        <v>spend,</v>
      </c>
    </row>
    <row r="321">
      <c r="A321" s="51"/>
      <c r="B321" s="50" t="s">
        <v>2098</v>
      </c>
      <c r="C321" s="50" t="s">
        <v>1303</v>
      </c>
      <c r="D321" s="49" t="str">
        <f>IFERROR(__xludf.DUMMYFUNCTION("""COMPUTED_VALUE"""),"budget")</f>
        <v>budget</v>
      </c>
      <c r="E321" s="49"/>
      <c r="F321" s="49"/>
      <c r="G321" s="49">
        <f>IFERROR(__xludf.DUMMYFUNCTION("""COMPUTED_VALUE"""),72.0)</f>
        <v>72</v>
      </c>
      <c r="H321" s="54" t="str">
        <f t="shared" si="1"/>
        <v>dogs,</v>
      </c>
      <c r="I321" s="50"/>
      <c r="J321" s="50" t="s">
        <v>1715</v>
      </c>
      <c r="K321" s="50" t="s">
        <v>2037</v>
      </c>
      <c r="L321" s="49" t="str">
        <f>IFERROR(__xludf.DUMMYFUNCTION("""COMPUTED_VALUE"""),"whom")</f>
        <v>whom</v>
      </c>
      <c r="M321" s="49"/>
      <c r="N321" s="49" t="str">
        <f>IFERROR(__xludf.DUMMYFUNCTION("""COMPUTED_VALUE"""),"singer")</f>
        <v>singer</v>
      </c>
      <c r="O321" s="49" t="str">
        <f>IFERROR(__xludf.DUMMYFUNCTION("""COMPUTED_VALUE"""),"admire")</f>
        <v>admire</v>
      </c>
      <c r="P321" s="49" t="str">
        <f t="shared" si="2"/>
        <v>will,</v>
      </c>
      <c r="Q321" s="49"/>
      <c r="R321" s="50" t="s">
        <v>2030</v>
      </c>
      <c r="S321" s="55" t="s">
        <v>736</v>
      </c>
      <c r="T321" s="49" t="str">
        <f>IFERROR(__xludf.DUMMYFUNCTION("""COMPUTED_VALUE"""),"using")</f>
        <v>using</v>
      </c>
      <c r="U321" s="49"/>
      <c r="V321" s="49" t="str">
        <f>IFERROR(__xludf.DUMMYFUNCTION("""COMPUTED_VALUE"""),"tricks")</f>
        <v>tricks</v>
      </c>
      <c r="W321" s="49" t="str">
        <f>IFERROR(__xludf.DUMMYFUNCTION("""COMPUTED_VALUE"""),"whatever")</f>
        <v>whatever</v>
      </c>
      <c r="X321" s="49" t="str">
        <f t="shared" si="3"/>
        <v>showing,</v>
      </c>
      <c r="Y321" s="49"/>
      <c r="Z321" s="1" t="s">
        <v>362</v>
      </c>
      <c r="AA321" s="1" t="s">
        <v>431</v>
      </c>
      <c r="AB321" s="49" t="str">
        <f>IFERROR(__xludf.DUMMYFUNCTION("""COMPUTED_VALUE"""),"laughed")</f>
        <v>laughed</v>
      </c>
      <c r="AC321" s="49"/>
      <c r="AD321" s="49" t="str">
        <f>IFERROR(__xludf.DUMMYFUNCTION("""COMPUTED_VALUE"""),"singer")</f>
        <v>singer</v>
      </c>
      <c r="AE321" s="49" t="str">
        <f>IFERROR(__xludf.DUMMYFUNCTION("""COMPUTED_VALUE"""),"admire")</f>
        <v>admire</v>
      </c>
      <c r="AF321" s="49" t="str">
        <f t="shared" si="4"/>
        <v>revenge,</v>
      </c>
      <c r="AG321" s="49"/>
      <c r="AH321" s="1" t="s">
        <v>1045</v>
      </c>
      <c r="AI321" s="1" t="s">
        <v>172</v>
      </c>
      <c r="AJ321" s="6" t="str">
        <f>IFERROR(__xludf.DUMMYFUNCTION("""COMPUTED_VALUE"""),"relationships")</f>
        <v>relationships</v>
      </c>
      <c r="AK321" s="49"/>
      <c r="AL321" s="49"/>
      <c r="AM321" s="49"/>
      <c r="AN321" s="52" t="str">
        <f t="shared" si="5"/>
        <v>depth,</v>
      </c>
    </row>
    <row r="322">
      <c r="A322" s="51"/>
      <c r="B322" s="50" t="s">
        <v>3664</v>
      </c>
      <c r="C322" s="50" t="s">
        <v>1112</v>
      </c>
      <c r="D322" s="49" t="str">
        <f>IFERROR(__xludf.DUMMYFUNCTION("""COMPUTED_VALUE"""),"makeup")</f>
        <v>makeup</v>
      </c>
      <c r="E322" s="49"/>
      <c r="F322" s="49"/>
      <c r="G322" s="49" t="str">
        <f>IFERROR(__xludf.DUMMYFUNCTION("""COMPUTED_VALUE"""),"tie")</f>
        <v>tie</v>
      </c>
      <c r="H322" s="54" t="str">
        <f t="shared" si="1"/>
        <v>jay,</v>
      </c>
      <c r="I322" s="50"/>
      <c r="J322" s="50" t="s">
        <v>6458</v>
      </c>
      <c r="K322" s="50" t="s">
        <v>2041</v>
      </c>
      <c r="L322" s="49" t="str">
        <f>IFERROR(__xludf.DUMMYFUNCTION("""COMPUTED_VALUE"""),"touching")</f>
        <v>touching</v>
      </c>
      <c r="M322" s="49"/>
      <c r="N322" s="49" t="str">
        <f>IFERROR(__xludf.DUMMYFUNCTION("""COMPUTED_VALUE"""),"aw")</f>
        <v>aw</v>
      </c>
      <c r="O322" s="49" t="str">
        <f>IFERROR(__xludf.DUMMYFUNCTION("""COMPUTED_VALUE"""),"meditation")</f>
        <v>meditation</v>
      </c>
      <c r="P322" s="49" t="str">
        <f t="shared" si="2"/>
        <v>l,</v>
      </c>
      <c r="Q322" s="49"/>
      <c r="R322" s="50" t="s">
        <v>1255</v>
      </c>
      <c r="S322" s="55" t="s">
        <v>224</v>
      </c>
      <c r="T322" s="49" t="str">
        <f>IFERROR(__xludf.DUMMYFUNCTION("""COMPUTED_VALUE"""),"tv")</f>
        <v>tv</v>
      </c>
      <c r="U322" s="49"/>
      <c r="V322" s="49" t="str">
        <f>IFERROR(__xludf.DUMMYFUNCTION("""COMPUTED_VALUE"""),"imagination")</f>
        <v>imagination</v>
      </c>
      <c r="W322" s="49" t="str">
        <f>IFERROR(__xludf.DUMMYFUNCTION("""COMPUTED_VALUE"""),"sentimental")</f>
        <v>sentimental</v>
      </c>
      <c r="X322" s="49" t="str">
        <f t="shared" si="3"/>
        <v>men,</v>
      </c>
      <c r="Y322" s="49"/>
      <c r="Z322" s="1" t="s">
        <v>3426</v>
      </c>
      <c r="AA322" s="1" t="s">
        <v>2038</v>
      </c>
      <c r="AB322" s="49" t="str">
        <f>IFERROR(__xludf.DUMMYFUNCTION("""COMPUTED_VALUE"""),"carol")</f>
        <v>carol</v>
      </c>
      <c r="AC322" s="49"/>
      <c r="AD322" s="49" t="str">
        <f>IFERROR(__xludf.DUMMYFUNCTION("""COMPUTED_VALUE"""),"aw")</f>
        <v>aw</v>
      </c>
      <c r="AE322" s="49" t="str">
        <f>IFERROR(__xludf.DUMMYFUNCTION("""COMPUTED_VALUE"""),"meditation")</f>
        <v>meditation</v>
      </c>
      <c r="AF322" s="49" t="str">
        <f t="shared" si="4"/>
        <v>mean,</v>
      </c>
      <c r="AG322" s="49"/>
      <c r="AH322" s="1" t="s">
        <v>3716</v>
      </c>
      <c r="AI322" s="1" t="s">
        <v>684</v>
      </c>
      <c r="AJ322" s="6" t="str">
        <f>IFERROR(__xludf.DUMMYFUNCTION("""COMPUTED_VALUE"""),"significance")</f>
        <v>significance</v>
      </c>
      <c r="AK322" s="49"/>
      <c r="AL322" s="49"/>
      <c r="AM322" s="49"/>
      <c r="AN322" s="52" t="str">
        <f t="shared" si="5"/>
        <v>relationships,</v>
      </c>
    </row>
    <row r="323">
      <c r="A323" s="51"/>
      <c r="B323" s="50" t="s">
        <v>2784</v>
      </c>
      <c r="C323" s="50" t="s">
        <v>877</v>
      </c>
      <c r="D323" s="49" t="str">
        <f>IFERROR(__xludf.DUMMYFUNCTION("""COMPUTED_VALUE"""),"role")</f>
        <v>role</v>
      </c>
      <c r="E323" s="49"/>
      <c r="F323" s="49"/>
      <c r="G323" s="49" t="str">
        <f>IFERROR(__xludf.DUMMYFUNCTION("""COMPUTED_VALUE"""),"register")</f>
        <v>register</v>
      </c>
      <c r="H323" s="54" t="str">
        <f t="shared" si="1"/>
        <v>romantic,</v>
      </c>
      <c r="I323" s="50"/>
      <c r="J323" s="50" t="s">
        <v>1988</v>
      </c>
      <c r="K323" s="50" t="s">
        <v>972</v>
      </c>
      <c r="L323" s="49" t="str">
        <f>IFERROR(__xludf.DUMMYFUNCTION("""COMPUTED_VALUE"""),"else")</f>
        <v>else</v>
      </c>
      <c r="M323" s="49"/>
      <c r="N323" s="49" t="str">
        <f>IFERROR(__xludf.DUMMYFUNCTION("""COMPUTED_VALUE"""),"project")</f>
        <v>project</v>
      </c>
      <c r="O323" s="49" t="str">
        <f>IFERROR(__xludf.DUMMYFUNCTION("""COMPUTED_VALUE"""),"stereotypes")</f>
        <v>stereotypes</v>
      </c>
      <c r="P323" s="49" t="str">
        <f t="shared" si="2"/>
        <v>case,</v>
      </c>
      <c r="Q323" s="49"/>
      <c r="R323" s="50" t="s">
        <v>960</v>
      </c>
      <c r="S323" s="55" t="s">
        <v>1653</v>
      </c>
      <c r="T323" s="49" t="str">
        <f>IFERROR(__xludf.DUMMYFUNCTION("""COMPUTED_VALUE"""),"oddly")</f>
        <v>oddly</v>
      </c>
      <c r="U323" s="49"/>
      <c r="V323" s="49" t="str">
        <f>IFERROR(__xludf.DUMMYFUNCTION("""COMPUTED_VALUE"""),"steals")</f>
        <v>steals</v>
      </c>
      <c r="W323" s="49" t="str">
        <f>IFERROR(__xludf.DUMMYFUNCTION("""COMPUTED_VALUE"""),"max")</f>
        <v>max</v>
      </c>
      <c r="X323" s="49" t="str">
        <f t="shared" si="3"/>
        <v>behind,</v>
      </c>
      <c r="Y323" s="49"/>
      <c r="Z323" s="1" t="s">
        <v>319</v>
      </c>
      <c r="AA323" s="1" t="s">
        <v>1238</v>
      </c>
      <c r="AB323" s="49" t="str">
        <f>IFERROR(__xludf.DUMMYFUNCTION("""COMPUTED_VALUE"""),"woo")</f>
        <v>woo</v>
      </c>
      <c r="AC323" s="49"/>
      <c r="AD323" s="49" t="str">
        <f>IFERROR(__xludf.DUMMYFUNCTION("""COMPUTED_VALUE"""),"project")</f>
        <v>project</v>
      </c>
      <c r="AE323" s="49" t="str">
        <f>IFERROR(__xludf.DUMMYFUNCTION("""COMPUTED_VALUE"""),"stereotypes")</f>
        <v>stereotypes</v>
      </c>
      <c r="AF323" s="49" t="str">
        <f t="shared" si="4"/>
        <v>where,</v>
      </c>
      <c r="AG323" s="49"/>
      <c r="AH323" s="1" t="s">
        <v>78</v>
      </c>
      <c r="AI323" s="1" t="s">
        <v>726</v>
      </c>
      <c r="AJ323" s="6" t="str">
        <f>IFERROR(__xludf.DUMMYFUNCTION("""COMPUTED_VALUE"""),"secrets")</f>
        <v>secrets</v>
      </c>
      <c r="AK323" s="49"/>
      <c r="AL323" s="49"/>
      <c r="AM323" s="49"/>
      <c r="AN323" s="52" t="str">
        <f t="shared" si="5"/>
        <v>significance,</v>
      </c>
    </row>
    <row r="324">
      <c r="A324" s="51"/>
      <c r="B324" s="50" t="s">
        <v>7262</v>
      </c>
      <c r="C324" s="50" t="s">
        <v>1622</v>
      </c>
      <c r="D324" s="49" t="str">
        <f>IFERROR(__xludf.DUMMYFUNCTION("""COMPUTED_VALUE"""),"jason")</f>
        <v>jason</v>
      </c>
      <c r="E324" s="49"/>
      <c r="F324" s="49"/>
      <c r="G324" s="49" t="str">
        <f>IFERROR(__xludf.DUMMYFUNCTION("""COMPUTED_VALUE"""),"reporting")</f>
        <v>reporting</v>
      </c>
      <c r="H324" s="54" t="str">
        <f t="shared" si="1"/>
        <v>cats,</v>
      </c>
      <c r="I324" s="50"/>
      <c r="J324" s="50" t="s">
        <v>2438</v>
      </c>
      <c r="K324" s="50" t="s">
        <v>267</v>
      </c>
      <c r="L324" s="49" t="str">
        <f>IFERROR(__xludf.DUMMYFUNCTION("""COMPUTED_VALUE"""),"inspired")</f>
        <v>inspired</v>
      </c>
      <c r="M324" s="49"/>
      <c r="N324" s="49" t="str">
        <f>IFERROR(__xludf.DUMMYFUNCTION("""COMPUTED_VALUE"""),"copy")</f>
        <v>copy</v>
      </c>
      <c r="O324" s="49" t="str">
        <f>IFERROR(__xludf.DUMMYFUNCTION("""COMPUTED_VALUE"""),"outsiders")</f>
        <v>outsiders</v>
      </c>
      <c r="P324" s="49" t="str">
        <f t="shared" si="2"/>
        <v>live,</v>
      </c>
      <c r="Q324" s="49"/>
      <c r="R324" s="50" t="s">
        <v>2312</v>
      </c>
      <c r="S324" s="55" t="s">
        <v>479</v>
      </c>
      <c r="T324" s="49" t="str">
        <f>IFERROR(__xludf.DUMMYFUNCTION("""COMPUTED_VALUE"""),"skip")</f>
        <v>skip</v>
      </c>
      <c r="U324" s="49"/>
      <c r="V324" s="49" t="str">
        <f>IFERROR(__xludf.DUMMYFUNCTION("""COMPUTED_VALUE"""),"iconic")</f>
        <v>iconic</v>
      </c>
      <c r="W324" s="49" t="str">
        <f>IFERROR(__xludf.DUMMYFUNCTION("""COMPUTED_VALUE"""),"plotted")</f>
        <v>plotted</v>
      </c>
      <c r="X324" s="49" t="str">
        <f t="shared" si="3"/>
        <v>tired,</v>
      </c>
      <c r="Y324" s="49"/>
      <c r="Z324" s="1" t="s">
        <v>3858</v>
      </c>
      <c r="AA324" s="1" t="s">
        <v>2044</v>
      </c>
      <c r="AB324" s="49" t="str">
        <f>IFERROR(__xludf.DUMMYFUNCTION("""COMPUTED_VALUE"""),"class")</f>
        <v>class</v>
      </c>
      <c r="AC324" s="49"/>
      <c r="AD324" s="49" t="str">
        <f>IFERROR(__xludf.DUMMYFUNCTION("""COMPUTED_VALUE"""),"copy")</f>
        <v>copy</v>
      </c>
      <c r="AE324" s="49" t="str">
        <f>IFERROR(__xludf.DUMMYFUNCTION("""COMPUTED_VALUE"""),"outsiders")</f>
        <v>outsiders</v>
      </c>
      <c r="AF324" s="49" t="str">
        <f t="shared" si="4"/>
        <v>evil,</v>
      </c>
      <c r="AG324" s="49"/>
      <c r="AH324" s="1" t="s">
        <v>2679</v>
      </c>
      <c r="AI324" s="1" t="s">
        <v>1428</v>
      </c>
      <c r="AJ324" s="6" t="str">
        <f>IFERROR(__xludf.DUMMYFUNCTION("""COMPUTED_VALUE"""),"!")</f>
        <v>!</v>
      </c>
      <c r="AK324" s="49"/>
      <c r="AL324" s="49"/>
      <c r="AM324" s="49"/>
      <c r="AN324" s="52" t="str">
        <f t="shared" si="5"/>
        <v>secrets,</v>
      </c>
    </row>
    <row r="325">
      <c r="A325" s="51"/>
      <c r="B325" s="50" t="s">
        <v>605</v>
      </c>
      <c r="C325" s="50" t="s">
        <v>1991</v>
      </c>
      <c r="D325" s="49" t="str">
        <f>IFERROR(__xludf.DUMMYFUNCTION("""COMPUTED_VALUE"""),"proper")</f>
        <v>proper</v>
      </c>
      <c r="E325" s="49"/>
      <c r="F325" s="49"/>
      <c r="G325" s="49" t="str">
        <f>IFERROR(__xludf.DUMMYFUNCTION("""COMPUTED_VALUE"""),"reaches")</f>
        <v>reaches</v>
      </c>
      <c r="H325" s="54" t="str">
        <f t="shared" si="1"/>
        <v>manages,</v>
      </c>
      <c r="I325" s="50"/>
      <c r="J325" s="50" t="s">
        <v>6374</v>
      </c>
      <c r="K325" s="50" t="s">
        <v>1121</v>
      </c>
      <c r="L325" s="49" t="str">
        <f>IFERROR(__xludf.DUMMYFUNCTION("""COMPUTED_VALUE"""),"lady")</f>
        <v>lady</v>
      </c>
      <c r="M325" s="49"/>
      <c r="N325" s="49" t="str">
        <f>IFERROR(__xludf.DUMMYFUNCTION("""COMPUTED_VALUE"""),"forget")</f>
        <v>forget</v>
      </c>
      <c r="O325" s="49" t="str">
        <f>IFERROR(__xludf.DUMMYFUNCTION("""COMPUTED_VALUE"""),"bore")</f>
        <v>bore</v>
      </c>
      <c r="P325" s="49" t="str">
        <f t="shared" si="2"/>
        <v>always,</v>
      </c>
      <c r="Q325" s="49"/>
      <c r="R325" s="50" t="s">
        <v>3839</v>
      </c>
      <c r="S325" s="55" t="s">
        <v>763</v>
      </c>
      <c r="T325" s="49" t="str">
        <f>IFERROR(__xludf.DUMMYFUNCTION("""COMPUTED_VALUE"""),"wanted")</f>
        <v>wanted</v>
      </c>
      <c r="U325" s="49"/>
      <c r="V325" s="49" t="str">
        <f>IFERROR(__xludf.DUMMYFUNCTION("""COMPUTED_VALUE"""),"machines")</f>
        <v>machines</v>
      </c>
      <c r="W325" s="49" t="str">
        <f>IFERROR(__xludf.DUMMYFUNCTION("""COMPUTED_VALUE"""),"bombs")</f>
        <v>bombs</v>
      </c>
      <c r="X325" s="49" t="str">
        <f t="shared" si="3"/>
        <v>creepy,</v>
      </c>
      <c r="Y325" s="49"/>
      <c r="Z325" s="1" t="s">
        <v>6261</v>
      </c>
      <c r="AA325" s="1" t="s">
        <v>439</v>
      </c>
      <c r="AB325" s="49" t="str">
        <f>IFERROR(__xludf.DUMMYFUNCTION("""COMPUTED_VALUE"""),"son")</f>
        <v>son</v>
      </c>
      <c r="AC325" s="49"/>
      <c r="AD325" s="49" t="str">
        <f>IFERROR(__xludf.DUMMYFUNCTION("""COMPUTED_VALUE"""),"forget")</f>
        <v>forget</v>
      </c>
      <c r="AE325" s="49" t="str">
        <f>IFERROR(__xludf.DUMMYFUNCTION("""COMPUTED_VALUE"""),"bore")</f>
        <v>bore</v>
      </c>
      <c r="AF325" s="49" t="str">
        <f t="shared" si="4"/>
        <v>boring,</v>
      </c>
      <c r="AG325" s="49"/>
      <c r="AH325" s="1" t="s">
        <v>6310</v>
      </c>
      <c r="AI325" s="1" t="s">
        <v>688</v>
      </c>
      <c r="AJ325" s="6" t="str">
        <f>IFERROR(__xludf.DUMMYFUNCTION("""COMPUTED_VALUE"""),"you")</f>
        <v>you</v>
      </c>
      <c r="AK325" s="49"/>
      <c r="AL325" s="49"/>
      <c r="AM325" s="49"/>
      <c r="AN325" s="52" t="str">
        <f t="shared" si="5"/>
        <v>!,</v>
      </c>
    </row>
    <row r="326">
      <c r="A326" s="51"/>
      <c r="B326" s="50" t="s">
        <v>831</v>
      </c>
      <c r="C326" s="50" t="s">
        <v>4510</v>
      </c>
      <c r="D326" s="49" t="str">
        <f>IFERROR(__xludf.DUMMYFUNCTION("""COMPUTED_VALUE"""),"brings")</f>
        <v>brings</v>
      </c>
      <c r="E326" s="49"/>
      <c r="F326" s="49"/>
      <c r="G326" s="49" t="str">
        <f>IFERROR(__xludf.DUMMYFUNCTION("""COMPUTED_VALUE"""),"mama")</f>
        <v>mama</v>
      </c>
      <c r="H326" s="54" t="str">
        <f t="shared" si="1"/>
        <v>made,</v>
      </c>
      <c r="I326" s="50"/>
      <c r="J326" s="50" t="s">
        <v>213</v>
      </c>
      <c r="K326" s="50" t="s">
        <v>1818</v>
      </c>
      <c r="L326" s="49" t="str">
        <f>IFERROR(__xludf.DUMMYFUNCTION("""COMPUTED_VALUE"""),"belongs")</f>
        <v>belongs</v>
      </c>
      <c r="M326" s="49"/>
      <c r="N326" s="49" t="str">
        <f>IFERROR(__xludf.DUMMYFUNCTION("""COMPUTED_VALUE"""),"while")</f>
        <v>while</v>
      </c>
      <c r="O326" s="49" t="str">
        <f>IFERROR(__xludf.DUMMYFUNCTION("""COMPUTED_VALUE"""),"involving")</f>
        <v>involving</v>
      </c>
      <c r="P326" s="49" t="str">
        <f t="shared" si="2"/>
        <v>went,</v>
      </c>
      <c r="Q326" s="49"/>
      <c r="R326" s="50" t="s">
        <v>738</v>
      </c>
      <c r="S326" s="55" t="s">
        <v>1369</v>
      </c>
      <c r="T326" s="49" t="str">
        <f>IFERROR(__xludf.DUMMYFUNCTION("""COMPUTED_VALUE"""),"right")</f>
        <v>right</v>
      </c>
      <c r="U326" s="49"/>
      <c r="V326" s="49" t="str">
        <f>IFERROR(__xludf.DUMMYFUNCTION("""COMPUTED_VALUE"""),"naked")</f>
        <v>naked</v>
      </c>
      <c r="W326" s="49" t="str">
        <f>IFERROR(__xludf.DUMMYFUNCTION("""COMPUTED_VALUE"""),"surface")</f>
        <v>surface</v>
      </c>
      <c r="X326" s="49" t="str">
        <f t="shared" si="3"/>
        <v>brutally,</v>
      </c>
      <c r="Y326" s="49"/>
      <c r="Z326" s="1" t="s">
        <v>1198</v>
      </c>
      <c r="AA326" s="1" t="s">
        <v>945</v>
      </c>
      <c r="AB326" s="49" t="str">
        <f>IFERROR(__xludf.DUMMYFUNCTION("""COMPUTED_VALUE"""),"tensions")</f>
        <v>tensions</v>
      </c>
      <c r="AC326" s="49"/>
      <c r="AD326" s="49" t="str">
        <f>IFERROR(__xludf.DUMMYFUNCTION("""COMPUTED_VALUE"""),"while")</f>
        <v>while</v>
      </c>
      <c r="AE326" s="49" t="str">
        <f>IFERROR(__xludf.DUMMYFUNCTION("""COMPUTED_VALUE"""),"involving")</f>
        <v>involving</v>
      </c>
      <c r="AF326" s="49" t="str">
        <f t="shared" si="4"/>
        <v>before,</v>
      </c>
      <c r="AG326" s="49"/>
      <c r="AH326" s="1" t="s">
        <v>652</v>
      </c>
      <c r="AI326" s="1" t="s">
        <v>1440</v>
      </c>
      <c r="AJ326" s="6" t="str">
        <f>IFERROR(__xludf.DUMMYFUNCTION("""COMPUTED_VALUE"""),"some")</f>
        <v>some</v>
      </c>
      <c r="AK326" s="49"/>
      <c r="AL326" s="49"/>
      <c r="AM326" s="49"/>
      <c r="AN326" s="52" t="str">
        <f t="shared" si="5"/>
        <v>you,</v>
      </c>
    </row>
    <row r="327">
      <c r="A327" s="51"/>
      <c r="B327" s="50" t="s">
        <v>1157</v>
      </c>
      <c r="C327" s="50" t="s">
        <v>1616</v>
      </c>
      <c r="D327" s="49" t="str">
        <f>IFERROR(__xludf.DUMMYFUNCTION("""COMPUTED_VALUE"""),"great")</f>
        <v>great</v>
      </c>
      <c r="E327" s="49"/>
      <c r="F327" s="49"/>
      <c r="G327" s="49" t="str">
        <f>IFERROR(__xludf.DUMMYFUNCTION("""COMPUTED_VALUE"""),"servants")</f>
        <v>servants</v>
      </c>
      <c r="H327" s="54" t="str">
        <f t="shared" si="1"/>
        <v>team,</v>
      </c>
      <c r="I327" s="50"/>
      <c r="J327" s="50" t="s">
        <v>2140</v>
      </c>
      <c r="K327" s="50" t="s">
        <v>1045</v>
      </c>
      <c r="L327" s="49" t="str">
        <f>IFERROR(__xludf.DUMMYFUNCTION("""COMPUTED_VALUE"""),"heroine")</f>
        <v>heroine</v>
      </c>
      <c r="M327" s="49"/>
      <c r="N327" s="49" t="str">
        <f>IFERROR(__xludf.DUMMYFUNCTION("""COMPUTED_VALUE"""),";")</f>
        <v>;</v>
      </c>
      <c r="O327" s="49" t="str">
        <f>IFERROR(__xludf.DUMMYFUNCTION("""COMPUTED_VALUE"""),"edited")</f>
        <v>edited</v>
      </c>
      <c r="P327" s="49" t="str">
        <f t="shared" si="2"/>
        <v>someone,</v>
      </c>
      <c r="Q327" s="49"/>
      <c r="R327" s="50" t="s">
        <v>3771</v>
      </c>
      <c r="S327" s="55" t="s">
        <v>149</v>
      </c>
      <c r="T327" s="49" t="b">
        <f>IFERROR(__xludf.DUMMYFUNCTION("""COMPUTED_VALUE"""),TRUE)</f>
        <v>1</v>
      </c>
      <c r="U327" s="49"/>
      <c r="V327" s="49" t="str">
        <f>IFERROR(__xludf.DUMMYFUNCTION("""COMPUTED_VALUE"""),"laugh")</f>
        <v>laugh</v>
      </c>
      <c r="W327" s="49" t="str">
        <f>IFERROR(__xludf.DUMMYFUNCTION("""COMPUTED_VALUE"""),"stupidity")</f>
        <v>stupidity</v>
      </c>
      <c r="X327" s="49" t="str">
        <f t="shared" si="3"/>
        <v>lies,</v>
      </c>
      <c r="Y327" s="49"/>
      <c r="Z327" s="1" t="s">
        <v>466</v>
      </c>
      <c r="AA327" s="1" t="s">
        <v>2049</v>
      </c>
      <c r="AB327" s="49" t="str">
        <f>IFERROR(__xludf.DUMMYFUNCTION("""COMPUTED_VALUE"""),"painful")</f>
        <v>painful</v>
      </c>
      <c r="AC327" s="49"/>
      <c r="AD327" s="49" t="str">
        <f>IFERROR(__xludf.DUMMYFUNCTION("""COMPUTED_VALUE"""),";")</f>
        <v>;</v>
      </c>
      <c r="AE327" s="49" t="str">
        <f>IFERROR(__xludf.DUMMYFUNCTION("""COMPUTED_VALUE"""),"edited")</f>
        <v>edited</v>
      </c>
      <c r="AF327" s="49" t="str">
        <f t="shared" si="4"/>
        <v>young,</v>
      </c>
      <c r="AG327" s="49"/>
      <c r="AH327" s="1" t="s">
        <v>716</v>
      </c>
      <c r="AI327" s="1" t="s">
        <v>681</v>
      </c>
      <c r="AJ327" s="6" t="str">
        <f>IFERROR(__xludf.DUMMYFUNCTION("""COMPUTED_VALUE"""),"where")</f>
        <v>where</v>
      </c>
      <c r="AK327" s="49"/>
      <c r="AL327" s="49"/>
      <c r="AM327" s="49"/>
      <c r="AN327" s="52" t="str">
        <f t="shared" si="5"/>
        <v>some,</v>
      </c>
    </row>
    <row r="328">
      <c r="A328" s="51"/>
      <c r="B328" s="50" t="s">
        <v>863</v>
      </c>
      <c r="C328" s="50" t="s">
        <v>6303</v>
      </c>
      <c r="D328" s="49" t="str">
        <f>IFERROR(__xludf.DUMMYFUNCTION("""COMPUTED_VALUE"""),"woman")</f>
        <v>woman</v>
      </c>
      <c r="E328" s="49"/>
      <c r="F328" s="49"/>
      <c r="G328" s="49" t="str">
        <f>IFERROR(__xludf.DUMMYFUNCTION("""COMPUTED_VALUE"""),"sustained")</f>
        <v>sustained</v>
      </c>
      <c r="H328" s="54" t="str">
        <f t="shared" si="1"/>
        <v>american,</v>
      </c>
      <c r="I328" s="50"/>
      <c r="J328" s="50" t="s">
        <v>4685</v>
      </c>
      <c r="K328" s="50" t="s">
        <v>2054</v>
      </c>
      <c r="L328" s="49" t="str">
        <f>IFERROR(__xludf.DUMMYFUNCTION("""COMPUTED_VALUE"""),"enthusiasm")</f>
        <v>enthusiasm</v>
      </c>
      <c r="M328" s="49"/>
      <c r="N328" s="49" t="str">
        <f>IFERROR(__xludf.DUMMYFUNCTION("""COMPUTED_VALUE"""),"sitting")</f>
        <v>sitting</v>
      </c>
      <c r="O328" s="49" t="str">
        <f>IFERROR(__xludf.DUMMYFUNCTION("""COMPUTED_VALUE"""),"wholly")</f>
        <v>wholly</v>
      </c>
      <c r="P328" s="49" t="str">
        <f t="shared" si="2"/>
        <v>latest,</v>
      </c>
      <c r="Q328" s="49"/>
      <c r="R328" s="50" t="s">
        <v>6588</v>
      </c>
      <c r="S328" s="55" t="s">
        <v>419</v>
      </c>
      <c r="T328" s="49" t="str">
        <f>IFERROR(__xludf.DUMMYFUNCTION("""COMPUTED_VALUE"""),"daughter")</f>
        <v>daughter</v>
      </c>
      <c r="U328" s="49"/>
      <c r="V328" s="49" t="str">
        <f>IFERROR(__xludf.DUMMYFUNCTION("""COMPUTED_VALUE"""),"unique")</f>
        <v>unique</v>
      </c>
      <c r="W328" s="49" t="str">
        <f>IFERROR(__xludf.DUMMYFUNCTION("""COMPUTED_VALUE"""),"complexity")</f>
        <v>complexity</v>
      </c>
      <c r="X328" s="49" t="str">
        <f t="shared" si="3"/>
        <v>killer,</v>
      </c>
      <c r="Y328" s="49"/>
      <c r="Z328" s="1" t="s">
        <v>455</v>
      </c>
      <c r="AA328" s="1" t="s">
        <v>1195</v>
      </c>
      <c r="AB328" s="49" t="str">
        <f>IFERROR(__xludf.DUMMYFUNCTION("""COMPUTED_VALUE"""),"unconventional")</f>
        <v>unconventional</v>
      </c>
      <c r="AC328" s="49"/>
      <c r="AD328" s="49" t="str">
        <f>IFERROR(__xludf.DUMMYFUNCTION("""COMPUTED_VALUE"""),"sitting")</f>
        <v>sitting</v>
      </c>
      <c r="AE328" s="49" t="str">
        <f>IFERROR(__xludf.DUMMYFUNCTION("""COMPUTED_VALUE"""),"wholly")</f>
        <v>wholly</v>
      </c>
      <c r="AF328" s="49" t="str">
        <f t="shared" si="4"/>
        <v>used,</v>
      </c>
      <c r="AG328" s="49"/>
      <c r="AH328" s="1" t="s">
        <v>319</v>
      </c>
      <c r="AI328" s="1" t="s">
        <v>1179</v>
      </c>
      <c r="AJ328" s="6" t="str">
        <f>IFERROR(__xludf.DUMMYFUNCTION("""COMPUTED_VALUE"""),"before")</f>
        <v>before</v>
      </c>
      <c r="AK328" s="49"/>
      <c r="AL328" s="49"/>
      <c r="AM328" s="49"/>
      <c r="AN328" s="52" t="str">
        <f t="shared" si="5"/>
        <v>where,</v>
      </c>
    </row>
    <row r="329">
      <c r="A329" s="51"/>
      <c r="B329" s="50" t="s">
        <v>339</v>
      </c>
      <c r="C329" s="50" t="s">
        <v>736</v>
      </c>
      <c r="D329" s="49" t="str">
        <f>IFERROR(__xludf.DUMMYFUNCTION("""COMPUTED_VALUE"""),"years")</f>
        <v>years</v>
      </c>
      <c r="E329" s="49"/>
      <c r="F329" s="49"/>
      <c r="G329" s="49" t="str">
        <f>IFERROR(__xludf.DUMMYFUNCTION("""COMPUTED_VALUE"""),"electoral")</f>
        <v>electoral</v>
      </c>
      <c r="H329" s="54" t="str">
        <f t="shared" si="1"/>
        <v>version,</v>
      </c>
      <c r="I329" s="50"/>
      <c r="J329" s="50" t="s">
        <v>107</v>
      </c>
      <c r="K329" s="50" t="s">
        <v>219</v>
      </c>
      <c r="L329" s="49" t="str">
        <f>IFERROR(__xludf.DUMMYFUNCTION("""COMPUTED_VALUE"""),"decades")</f>
        <v>decades</v>
      </c>
      <c r="M329" s="49"/>
      <c r="N329" s="49" t="str">
        <f>IFERROR(__xludf.DUMMYFUNCTION("""COMPUTED_VALUE"""),"final")</f>
        <v>final</v>
      </c>
      <c r="O329" s="49" t="str">
        <f>IFERROR(__xludf.DUMMYFUNCTION("""COMPUTED_VALUE"""),"awkwardly")</f>
        <v>awkwardly</v>
      </c>
      <c r="P329" s="49" t="str">
        <f t="shared" si="2"/>
        <v>most,</v>
      </c>
      <c r="Q329" s="49"/>
      <c r="R329" s="50" t="s">
        <v>2813</v>
      </c>
      <c r="S329" s="55" t="s">
        <v>1393</v>
      </c>
      <c r="T329" s="49" t="str">
        <f>IFERROR(__xludf.DUMMYFUNCTION("""COMPUTED_VALUE"""),"weeks")</f>
        <v>weeks</v>
      </c>
      <c r="U329" s="49"/>
      <c r="V329" s="49" t="str">
        <f>IFERROR(__xludf.DUMMYFUNCTION("""COMPUTED_VALUE"""),"food")</f>
        <v>food</v>
      </c>
      <c r="W329" s="49" t="str">
        <f>IFERROR(__xludf.DUMMYFUNCTION("""COMPUTED_VALUE"""),"among")</f>
        <v>among</v>
      </c>
      <c r="X329" s="49" t="str">
        <f t="shared" si="3"/>
        <v>source,</v>
      </c>
      <c r="Y329" s="49"/>
      <c r="Z329" s="1" t="s">
        <v>3365</v>
      </c>
      <c r="AA329" s="1" t="s">
        <v>1248</v>
      </c>
      <c r="AB329" s="49" t="str">
        <f>IFERROR(__xludf.DUMMYFUNCTION("""COMPUTED_VALUE"""),"reel")</f>
        <v>reel</v>
      </c>
      <c r="AC329" s="49"/>
      <c r="AD329" s="49" t="str">
        <f>IFERROR(__xludf.DUMMYFUNCTION("""COMPUTED_VALUE"""),"final")</f>
        <v>final</v>
      </c>
      <c r="AE329" s="49" t="str">
        <f>IFERROR(__xludf.DUMMYFUNCTION("""COMPUTED_VALUE"""),"awkwardly")</f>
        <v>awkwardly</v>
      </c>
      <c r="AF329" s="49" t="str">
        <f t="shared" si="4"/>
        <v>sees,</v>
      </c>
      <c r="AG329" s="49"/>
      <c r="AH329" s="1" t="s">
        <v>1198</v>
      </c>
      <c r="AI329" s="1" t="s">
        <v>1453</v>
      </c>
      <c r="AJ329" s="6" t="str">
        <f>IFERROR(__xludf.DUMMYFUNCTION("""COMPUTED_VALUE"""),"years")</f>
        <v>years</v>
      </c>
      <c r="AK329" s="49"/>
      <c r="AL329" s="49"/>
      <c r="AM329" s="49"/>
      <c r="AN329" s="52" t="str">
        <f t="shared" si="5"/>
        <v>before,</v>
      </c>
    </row>
    <row r="330">
      <c r="A330" s="51"/>
      <c r="B330" s="50" t="s">
        <v>2858</v>
      </c>
      <c r="C330" s="50" t="s">
        <v>479</v>
      </c>
      <c r="D330" s="49" t="str">
        <f>IFERROR(__xludf.DUMMYFUNCTION("""COMPUTED_VALUE"""),"art")</f>
        <v>art</v>
      </c>
      <c r="E330" s="49"/>
      <c r="F330" s="49"/>
      <c r="G330" s="49" t="str">
        <f>IFERROR(__xludf.DUMMYFUNCTION("""COMPUTED_VALUE"""),"grain")</f>
        <v>grain</v>
      </c>
      <c r="H330" s="54" t="str">
        <f t="shared" si="1"/>
        <v>france,</v>
      </c>
      <c r="I330" s="50"/>
      <c r="J330" s="50" t="s">
        <v>1540</v>
      </c>
      <c r="K330" s="50" t="s">
        <v>344</v>
      </c>
      <c r="L330" s="49" t="str">
        <f>IFERROR(__xludf.DUMMYFUNCTION("""COMPUTED_VALUE"""),"r")</f>
        <v>r</v>
      </c>
      <c r="M330" s="49"/>
      <c r="N330" s="49" t="str">
        <f>IFERROR(__xludf.DUMMYFUNCTION("""COMPUTED_VALUE"""),"destination")</f>
        <v>destination</v>
      </c>
      <c r="O330" s="49" t="str">
        <f>IFERROR(__xludf.DUMMYFUNCTION("""COMPUTED_VALUE"""),"simone")</f>
        <v>simone</v>
      </c>
      <c r="P330" s="49" t="str">
        <f t="shared" si="2"/>
        <v>m,</v>
      </c>
      <c r="Q330" s="49"/>
      <c r="R330" s="50" t="s">
        <v>3583</v>
      </c>
      <c r="S330" s="55" t="s">
        <v>1418</v>
      </c>
      <c r="T330" s="49" t="str">
        <f>IFERROR(__xludf.DUMMYFUNCTION("""COMPUTED_VALUE"""),"program")</f>
        <v>program</v>
      </c>
      <c r="U330" s="49"/>
      <c r="V330" s="49" t="str">
        <f>IFERROR(__xludf.DUMMYFUNCTION("""COMPUTED_VALUE"""),"frustration")</f>
        <v>frustration</v>
      </c>
      <c r="W330" s="49" t="str">
        <f>IFERROR(__xludf.DUMMYFUNCTION("""COMPUTED_VALUE"""),"loud")</f>
        <v>loud</v>
      </c>
      <c r="X330" s="49" t="str">
        <f t="shared" si="3"/>
        <v>upon,</v>
      </c>
      <c r="Y330" s="49"/>
      <c r="Z330" s="1" t="s">
        <v>6253</v>
      </c>
      <c r="AA330" s="1" t="s">
        <v>2058</v>
      </c>
      <c r="AB330" s="49" t="str">
        <f>IFERROR(__xludf.DUMMYFUNCTION("""COMPUTED_VALUE"""),"critical")</f>
        <v>critical</v>
      </c>
      <c r="AC330" s="49"/>
      <c r="AD330" s="49" t="str">
        <f>IFERROR(__xludf.DUMMYFUNCTION("""COMPUTED_VALUE"""),"destination")</f>
        <v>destination</v>
      </c>
      <c r="AE330" s="49" t="str">
        <f>IFERROR(__xludf.DUMMYFUNCTION("""COMPUTED_VALUE"""),"simone")</f>
        <v>simone</v>
      </c>
      <c r="AF330" s="49" t="str">
        <f t="shared" si="4"/>
        <v>should,</v>
      </c>
      <c r="AG330" s="49"/>
      <c r="AH330" s="1" t="s">
        <v>53</v>
      </c>
      <c r="AI330" s="1" t="s">
        <v>1186</v>
      </c>
      <c r="AJ330" s="6" t="str">
        <f>IFERROR(__xludf.DUMMYFUNCTION("""COMPUTED_VALUE"""),"well")</f>
        <v>well</v>
      </c>
      <c r="AK330" s="49"/>
      <c r="AL330" s="49"/>
      <c r="AM330" s="49"/>
      <c r="AN330" s="52" t="str">
        <f t="shared" si="5"/>
        <v>years,</v>
      </c>
    </row>
    <row r="331">
      <c r="A331" s="51"/>
      <c r="B331" s="50" t="s">
        <v>2340</v>
      </c>
      <c r="C331" s="50" t="s">
        <v>1653</v>
      </c>
      <c r="D331" s="49" t="str">
        <f>IFERROR(__xludf.DUMMYFUNCTION("""COMPUTED_VALUE"""),"taking")</f>
        <v>taking</v>
      </c>
      <c r="E331" s="49"/>
      <c r="F331" s="49"/>
      <c r="G331" s="49" t="str">
        <f>IFERROR(__xludf.DUMMYFUNCTION("""COMPUTED_VALUE"""),"departments")</f>
        <v>departments</v>
      </c>
      <c r="H331" s="54" t="str">
        <f t="shared" si="1"/>
        <v>popular,</v>
      </c>
      <c r="I331" s="50"/>
      <c r="J331" s="50" t="s">
        <v>4305</v>
      </c>
      <c r="K331" s="50" t="s">
        <v>599</v>
      </c>
      <c r="L331" s="49" t="str">
        <f>IFERROR(__xludf.DUMMYFUNCTION("""COMPUTED_VALUE"""),"born")</f>
        <v>born</v>
      </c>
      <c r="M331" s="49"/>
      <c r="N331" s="49" t="str">
        <f>IFERROR(__xludf.DUMMYFUNCTION("""COMPUTED_VALUE"""),"theater")</f>
        <v>theater</v>
      </c>
      <c r="O331" s="49" t="str">
        <f>IFERROR(__xludf.DUMMYFUNCTION("""COMPUTED_VALUE"""),"pantheon")</f>
        <v>pantheon</v>
      </c>
      <c r="P331" s="49" t="str">
        <f t="shared" si="2"/>
        <v>novel,</v>
      </c>
      <c r="Q331" s="49"/>
      <c r="R331" s="50" t="s">
        <v>2504</v>
      </c>
      <c r="S331" s="55" t="s">
        <v>787</v>
      </c>
      <c r="T331" s="49" t="str">
        <f>IFERROR(__xludf.DUMMYFUNCTION("""COMPUTED_VALUE"""),"favorite")</f>
        <v>favorite</v>
      </c>
      <c r="U331" s="49"/>
      <c r="V331" s="49" t="str">
        <f>IFERROR(__xludf.DUMMYFUNCTION("""COMPUTED_VALUE"""),"ghetto")</f>
        <v>ghetto</v>
      </c>
      <c r="W331" s="49" t="str">
        <f>IFERROR(__xludf.DUMMYFUNCTION("""COMPUTED_VALUE"""),"provides")</f>
        <v>provides</v>
      </c>
      <c r="X331" s="49" t="str">
        <f t="shared" si="3"/>
        <v>girls,</v>
      </c>
      <c r="Y331" s="49"/>
      <c r="Z331" s="1" t="s">
        <v>1253</v>
      </c>
      <c r="AA331" s="1" t="s">
        <v>2062</v>
      </c>
      <c r="AB331" s="49" t="str">
        <f>IFERROR(__xludf.DUMMYFUNCTION("""COMPUTED_VALUE"""),"needs")</f>
        <v>needs</v>
      </c>
      <c r="AC331" s="49"/>
      <c r="AD331" s="49" t="str">
        <f>IFERROR(__xludf.DUMMYFUNCTION("""COMPUTED_VALUE"""),"theater")</f>
        <v>theater</v>
      </c>
      <c r="AE331" s="49" t="str">
        <f>IFERROR(__xludf.DUMMYFUNCTION("""COMPUTED_VALUE"""),"pantheon")</f>
        <v>pantheon</v>
      </c>
      <c r="AF331" s="49" t="str">
        <f t="shared" si="4"/>
        <v>halfway,</v>
      </c>
      <c r="AG331" s="49"/>
      <c r="AH331" s="1" t="s">
        <v>63</v>
      </c>
      <c r="AI331" s="1" t="s">
        <v>709</v>
      </c>
      <c r="AJ331" s="6" t="str">
        <f>IFERROR(__xludf.DUMMYFUNCTION("""COMPUTED_VALUE"""),"used")</f>
        <v>used</v>
      </c>
      <c r="AK331" s="49"/>
      <c r="AL331" s="49"/>
      <c r="AM331" s="49"/>
      <c r="AN331" s="52" t="str">
        <f t="shared" si="5"/>
        <v>well,</v>
      </c>
    </row>
    <row r="332">
      <c r="A332" s="51"/>
      <c r="B332" s="50" t="s">
        <v>1827</v>
      </c>
      <c r="C332" s="50" t="s">
        <v>1926</v>
      </c>
      <c r="D332" s="49" t="str">
        <f>IFERROR(__xludf.DUMMYFUNCTION("""COMPUTED_VALUE"""),"artist")</f>
        <v>artist</v>
      </c>
      <c r="E332" s="49"/>
      <c r="F332" s="49"/>
      <c r="G332" s="49" t="str">
        <f>IFERROR(__xludf.DUMMYFUNCTION("""COMPUTED_VALUE"""),"mounted")</f>
        <v>mounted</v>
      </c>
      <c r="H332" s="54" t="str">
        <f t="shared" si="1"/>
        <v>style,</v>
      </c>
      <c r="I332" s="50"/>
      <c r="J332" s="50" t="s">
        <v>173</v>
      </c>
      <c r="K332" s="50" t="s">
        <v>1838</v>
      </c>
      <c r="L332" s="49" t="str">
        <f>IFERROR(__xludf.DUMMYFUNCTION("""COMPUTED_VALUE"""),"garbage")</f>
        <v>garbage</v>
      </c>
      <c r="M332" s="49"/>
      <c r="N332" s="49" t="str">
        <f>IFERROR(__xludf.DUMMYFUNCTION("""COMPUTED_VALUE"""),"average")</f>
        <v>average</v>
      </c>
      <c r="O332" s="49" t="str">
        <f>IFERROR(__xludf.DUMMYFUNCTION("""COMPUTED_VALUE"""),"symbolism")</f>
        <v>symbolism</v>
      </c>
      <c r="P332" s="49" t="str">
        <f t="shared" si="2"/>
        <v>adaptation,</v>
      </c>
      <c r="Q332" s="49"/>
      <c r="R332" s="50" t="s">
        <v>2615</v>
      </c>
      <c r="S332" s="55" t="s">
        <v>1987</v>
      </c>
      <c r="T332" s="49" t="str">
        <f>IFERROR(__xludf.DUMMYFUNCTION("""COMPUTED_VALUE"""),"visually")</f>
        <v>visually</v>
      </c>
      <c r="U332" s="49"/>
      <c r="V332" s="49" t="str">
        <f>IFERROR(__xludf.DUMMYFUNCTION("""COMPUTED_VALUE"""),"jewish")</f>
        <v>jewish</v>
      </c>
      <c r="W332" s="49" t="str">
        <f>IFERROR(__xludf.DUMMYFUNCTION("""COMPUTED_VALUE"""),"sets")</f>
        <v>sets</v>
      </c>
      <c r="X332" s="49" t="str">
        <f t="shared" si="3"/>
        <v>potential,</v>
      </c>
      <c r="Y332" s="49"/>
      <c r="Z332" s="1" t="s">
        <v>2738</v>
      </c>
      <c r="AA332" s="1" t="s">
        <v>2064</v>
      </c>
      <c r="AB332" s="49" t="str">
        <f>IFERROR(__xludf.DUMMYFUNCTION("""COMPUTED_VALUE"""),"friday")</f>
        <v>friday</v>
      </c>
      <c r="AC332" s="49"/>
      <c r="AD332" s="49" t="str">
        <f>IFERROR(__xludf.DUMMYFUNCTION("""COMPUTED_VALUE"""),"average")</f>
        <v>average</v>
      </c>
      <c r="AE332" s="49" t="str">
        <f>IFERROR(__xludf.DUMMYFUNCTION("""COMPUTED_VALUE"""),"symbolism")</f>
        <v>symbolism</v>
      </c>
      <c r="AF332" s="49" t="str">
        <f t="shared" si="4"/>
        <v>indie,</v>
      </c>
      <c r="AG332" s="49"/>
      <c r="AH332" s="1" t="s">
        <v>455</v>
      </c>
      <c r="AI332" s="1" t="s">
        <v>1192</v>
      </c>
      <c r="AJ332" s="6" t="str">
        <f>IFERROR(__xludf.DUMMYFUNCTION("""COMPUTED_VALUE"""),"eyes")</f>
        <v>eyes</v>
      </c>
      <c r="AK332" s="49"/>
      <c r="AL332" s="49"/>
      <c r="AM332" s="49"/>
      <c r="AN332" s="52" t="str">
        <f t="shared" si="5"/>
        <v>used,</v>
      </c>
    </row>
    <row r="333">
      <c r="A333" s="51"/>
      <c r="B333" s="50" t="s">
        <v>6791</v>
      </c>
      <c r="C333" s="50" t="s">
        <v>829</v>
      </c>
      <c r="D333" s="49" t="str">
        <f>IFERROR(__xludf.DUMMYFUNCTION("""COMPUTED_VALUE"""),"loss")</f>
        <v>loss</v>
      </c>
      <c r="E333" s="49"/>
      <c r="F333" s="49"/>
      <c r="G333" s="49" t="str">
        <f>IFERROR(__xludf.DUMMYFUNCTION("""COMPUTED_VALUE"""),"byzantine")</f>
        <v>byzantine</v>
      </c>
      <c r="H333" s="54" t="str">
        <f t="shared" si="1"/>
        <v>van,</v>
      </c>
      <c r="I333" s="50"/>
      <c r="J333" s="50" t="s">
        <v>3669</v>
      </c>
      <c r="K333" s="50" t="s">
        <v>2069</v>
      </c>
      <c r="L333" s="49" t="str">
        <f>IFERROR(__xludf.DUMMYFUNCTION("""COMPUTED_VALUE"""),"liner")</f>
        <v>liner</v>
      </c>
      <c r="M333" s="49"/>
      <c r="N333" s="49" t="str">
        <f>IFERROR(__xludf.DUMMYFUNCTION("""COMPUTED_VALUE"""),"enjoying")</f>
        <v>enjoying</v>
      </c>
      <c r="O333" s="49" t="str">
        <f>IFERROR(__xludf.DUMMYFUNCTION("""COMPUTED_VALUE"""),"psychology")</f>
        <v>psychology</v>
      </c>
      <c r="P333" s="49" t="str">
        <f t="shared" si="2"/>
        <v>wonder,</v>
      </c>
      <c r="Q333" s="49"/>
      <c r="R333" s="50" t="s">
        <v>6431</v>
      </c>
      <c r="S333" s="55" t="s">
        <v>53</v>
      </c>
      <c r="T333" s="49" t="str">
        <f>IFERROR(__xludf.DUMMYFUNCTION("""COMPUTED_VALUE"""),"corrupt")</f>
        <v>corrupt</v>
      </c>
      <c r="U333" s="49"/>
      <c r="V333" s="49" t="str">
        <f>IFERROR(__xludf.DUMMYFUNCTION("""COMPUTED_VALUE"""),"jazz")</f>
        <v>jazz</v>
      </c>
      <c r="W333" s="49" t="str">
        <f>IFERROR(__xludf.DUMMYFUNCTION("""COMPUTED_VALUE"""),"flick")</f>
        <v>flick</v>
      </c>
      <c r="X333" s="49" t="str">
        <f t="shared" si="3"/>
        <v>sort,</v>
      </c>
      <c r="Y333" s="49"/>
      <c r="Z333" s="1" t="s">
        <v>1393</v>
      </c>
      <c r="AA333" s="1" t="s">
        <v>449</v>
      </c>
      <c r="AB333" s="49" t="str">
        <f>IFERROR(__xludf.DUMMYFUNCTION("""COMPUTED_VALUE"""),"ambitious")</f>
        <v>ambitious</v>
      </c>
      <c r="AC333" s="49"/>
      <c r="AD333" s="49" t="str">
        <f>IFERROR(__xludf.DUMMYFUNCTION("""COMPUTED_VALUE"""),"enjoying")</f>
        <v>enjoying</v>
      </c>
      <c r="AE333" s="49" t="str">
        <f>IFERROR(__xludf.DUMMYFUNCTION("""COMPUTED_VALUE"""),"psychology")</f>
        <v>psychology</v>
      </c>
      <c r="AF333" s="49" t="str">
        <f t="shared" si="4"/>
        <v>brings,</v>
      </c>
      <c r="AG333" s="49"/>
      <c r="AH333" s="1" t="s">
        <v>684</v>
      </c>
      <c r="AI333" s="1" t="s">
        <v>1555</v>
      </c>
      <c r="AJ333" s="6" t="str">
        <f>IFERROR(__xludf.DUMMYFUNCTION("""COMPUTED_VALUE"""),"old")</f>
        <v>old</v>
      </c>
      <c r="AK333" s="49"/>
      <c r="AL333" s="49"/>
      <c r="AM333" s="49"/>
      <c r="AN333" s="52" t="str">
        <f t="shared" si="5"/>
        <v>eyes,</v>
      </c>
    </row>
    <row r="334">
      <c r="A334" s="51"/>
      <c r="B334" s="50" t="s">
        <v>4238</v>
      </c>
      <c r="C334" s="50" t="s">
        <v>4036</v>
      </c>
      <c r="D334" s="49" t="str">
        <f>IFERROR(__xludf.DUMMYFUNCTION("""COMPUTED_VALUE"""),"share")</f>
        <v>share</v>
      </c>
      <c r="E334" s="49"/>
      <c r="F334" s="49"/>
      <c r="G334" s="49" t="str">
        <f>IFERROR(__xludf.DUMMYFUNCTION("""COMPUTED_VALUE"""),"pc")</f>
        <v>pc</v>
      </c>
      <c r="H334" s="54" t="str">
        <f t="shared" si="1"/>
        <v>prior,</v>
      </c>
      <c r="I334" s="50"/>
      <c r="J334" s="50" t="s">
        <v>6328</v>
      </c>
      <c r="K334" s="50" t="s">
        <v>2073</v>
      </c>
      <c r="L334" s="49" t="str">
        <f>IFERROR(__xludf.DUMMYFUNCTION("""COMPUTED_VALUE"""),"absurd")</f>
        <v>absurd</v>
      </c>
      <c r="M334" s="49"/>
      <c r="N334" s="49" t="str">
        <f>IFERROR(__xludf.DUMMYFUNCTION("""COMPUTED_VALUE"""),"peak")</f>
        <v>peak</v>
      </c>
      <c r="O334" s="49" t="str">
        <f>IFERROR(__xludf.DUMMYFUNCTION("""COMPUTED_VALUE"""),"stalker")</f>
        <v>stalker</v>
      </c>
      <c r="P334" s="49" t="str">
        <f t="shared" si="2"/>
        <v>sure,</v>
      </c>
      <c r="Q334" s="49"/>
      <c r="R334" s="50" t="s">
        <v>3743</v>
      </c>
      <c r="S334" s="55" t="s">
        <v>1734</v>
      </c>
      <c r="T334" s="49" t="str">
        <f>IFERROR(__xludf.DUMMYFUNCTION("""COMPUTED_VALUE"""),"effect")</f>
        <v>effect</v>
      </c>
      <c r="U334" s="49"/>
      <c r="V334" s="49" t="str">
        <f>IFERROR(__xludf.DUMMYFUNCTION("""COMPUTED_VALUE"""),"blue")</f>
        <v>blue</v>
      </c>
      <c r="W334" s="49" t="str">
        <f>IFERROR(__xludf.DUMMYFUNCTION("""COMPUTED_VALUE"""),"asks")</f>
        <v>asks</v>
      </c>
      <c r="X334" s="49" t="str">
        <f t="shared" si="3"/>
        <v>executive,</v>
      </c>
      <c r="Y334" s="49"/>
      <c r="Z334" s="1" t="s">
        <v>1910</v>
      </c>
      <c r="AA334" s="1" t="s">
        <v>1207</v>
      </c>
      <c r="AB334" s="49" t="str">
        <f>IFERROR(__xludf.DUMMYFUNCTION("""COMPUTED_VALUE"""),"ability")</f>
        <v>ability</v>
      </c>
      <c r="AC334" s="49"/>
      <c r="AD334" s="49" t="str">
        <f>IFERROR(__xludf.DUMMYFUNCTION("""COMPUTED_VALUE"""),"peak")</f>
        <v>peak</v>
      </c>
      <c r="AE334" s="49" t="str">
        <f>IFERROR(__xludf.DUMMYFUNCTION("""COMPUTED_VALUE"""),"stalker")</f>
        <v>stalker</v>
      </c>
      <c r="AF334" s="49" t="str">
        <f t="shared" si="4"/>
        <v>playing,</v>
      </c>
      <c r="AG334" s="49"/>
      <c r="AH334" s="1" t="s">
        <v>1112</v>
      </c>
      <c r="AI334" s="1" t="s">
        <v>108</v>
      </c>
      <c r="AJ334" s="6" t="str">
        <f>IFERROR(__xludf.DUMMYFUNCTION("""COMPUTED_VALUE"""),"should")</f>
        <v>should</v>
      </c>
      <c r="AK334" s="49"/>
      <c r="AL334" s="49"/>
      <c r="AM334" s="49"/>
      <c r="AN334" s="52" t="str">
        <f t="shared" si="5"/>
        <v>old,</v>
      </c>
    </row>
    <row r="335">
      <c r="A335" s="51"/>
      <c r="B335" s="50" t="s">
        <v>3429</v>
      </c>
      <c r="C335" s="50" t="s">
        <v>1377</v>
      </c>
      <c r="D335" s="49" t="str">
        <f>IFERROR(__xludf.DUMMYFUNCTION("""COMPUTED_VALUE"""),"effort")</f>
        <v>effort</v>
      </c>
      <c r="E335" s="49"/>
      <c r="F335" s="49"/>
      <c r="G335" s="49" t="str">
        <f>IFERROR(__xludf.DUMMYFUNCTION("""COMPUTED_VALUE"""),"stability")</f>
        <v>stability</v>
      </c>
      <c r="H335" s="54" t="str">
        <f t="shared" si="1"/>
        <v>double,</v>
      </c>
      <c r="I335" s="50"/>
      <c r="J335" s="50" t="s">
        <v>7088</v>
      </c>
      <c r="K335" s="50" t="s">
        <v>1060</v>
      </c>
      <c r="L335" s="49" t="str">
        <f>IFERROR(__xludf.DUMMYFUNCTION("""COMPUTED_VALUE"""),"filmmakers")</f>
        <v>filmmakers</v>
      </c>
      <c r="M335" s="49"/>
      <c r="N335" s="49" t="str">
        <f>IFERROR(__xludf.DUMMYFUNCTION("""COMPUTED_VALUE"""),"disaster")</f>
        <v>disaster</v>
      </c>
      <c r="O335" s="49" t="str">
        <f>IFERROR(__xludf.DUMMYFUNCTION("""COMPUTED_VALUE"""),"americans")</f>
        <v>americans</v>
      </c>
      <c r="P335" s="49" t="str">
        <f t="shared" si="2"/>
        <v>critic,</v>
      </c>
      <c r="Q335" s="49"/>
      <c r="R335" s="50" t="s">
        <v>330</v>
      </c>
      <c r="S335" s="55" t="s">
        <v>2002</v>
      </c>
      <c r="T335" s="49" t="str">
        <f>IFERROR(__xludf.DUMMYFUNCTION("""COMPUTED_VALUE"""),"current")</f>
        <v>current</v>
      </c>
      <c r="U335" s="49"/>
      <c r="V335" s="49" t="str">
        <f>IFERROR(__xludf.DUMMYFUNCTION("""COMPUTED_VALUE"""),"neighborhood")</f>
        <v>neighborhood</v>
      </c>
      <c r="W335" s="49" t="str">
        <f>IFERROR(__xludf.DUMMYFUNCTION("""COMPUTED_VALUE"""),"purposes")</f>
        <v>purposes</v>
      </c>
      <c r="X335" s="49" t="str">
        <f t="shared" si="3"/>
        <v>already,</v>
      </c>
      <c r="Y335" s="49"/>
      <c r="Z335" s="1" t="s">
        <v>2247</v>
      </c>
      <c r="AA335" s="1" t="s">
        <v>2074</v>
      </c>
      <c r="AB335" s="49" t="str">
        <f>IFERROR(__xludf.DUMMYFUNCTION("""COMPUTED_VALUE"""),"wit")</f>
        <v>wit</v>
      </c>
      <c r="AC335" s="49"/>
      <c r="AD335" s="49" t="str">
        <f>IFERROR(__xludf.DUMMYFUNCTION("""COMPUTED_VALUE"""),"disaster")</f>
        <v>disaster</v>
      </c>
      <c r="AE335" s="49" t="str">
        <f>IFERROR(__xludf.DUMMYFUNCTION("""COMPUTED_VALUE"""),"americans")</f>
        <v>americans</v>
      </c>
      <c r="AF335" s="49" t="str">
        <f t="shared" si="4"/>
        <v>bit,</v>
      </c>
      <c r="AG335" s="49"/>
      <c r="AH335" s="1" t="s">
        <v>6253</v>
      </c>
      <c r="AI335" s="1" t="s">
        <v>1197</v>
      </c>
      <c r="AJ335" s="6" t="str">
        <f>IFERROR(__xludf.DUMMYFUNCTION("""COMPUTED_VALUE"""),"young")</f>
        <v>young</v>
      </c>
      <c r="AK335" s="49"/>
      <c r="AL335" s="49"/>
      <c r="AM335" s="49"/>
      <c r="AN335" s="52" t="str">
        <f t="shared" si="5"/>
        <v>should,</v>
      </c>
    </row>
    <row r="336">
      <c r="A336" s="51"/>
      <c r="B336" s="50" t="s">
        <v>136</v>
      </c>
      <c r="C336" s="50" t="s">
        <v>1408</v>
      </c>
      <c r="D336" s="49" t="str">
        <f>IFERROR(__xludf.DUMMYFUNCTION("""COMPUTED_VALUE"""),"similar")</f>
        <v>similar</v>
      </c>
      <c r="E336" s="49"/>
      <c r="F336" s="49"/>
      <c r="G336" s="49" t="str">
        <f>IFERROR(__xludf.DUMMYFUNCTION("""COMPUTED_VALUE"""),"percussion")</f>
        <v>percussion</v>
      </c>
      <c r="H336" s="54" t="str">
        <f t="shared" si="1"/>
        <v>goes,</v>
      </c>
      <c r="I336" s="50"/>
      <c r="J336" s="50" t="s">
        <v>4606</v>
      </c>
      <c r="K336" s="50" t="s">
        <v>192</v>
      </c>
      <c r="L336" s="49" t="str">
        <f>IFERROR(__xludf.DUMMYFUNCTION("""COMPUTED_VALUE"""),"admission")</f>
        <v>admission</v>
      </c>
      <c r="M336" s="49"/>
      <c r="N336" s="49" t="str">
        <f>IFERROR(__xludf.DUMMYFUNCTION("""COMPUTED_VALUE"""),"rain")</f>
        <v>rain</v>
      </c>
      <c r="O336" s="49" t="str">
        <f>IFERROR(__xludf.DUMMYFUNCTION("""COMPUTED_VALUE"""),"winners")</f>
        <v>winners</v>
      </c>
      <c r="P336" s="49" t="str">
        <f t="shared" si="2"/>
        <v>crush,</v>
      </c>
      <c r="Q336" s="49"/>
      <c r="R336" s="50" t="s">
        <v>2572</v>
      </c>
      <c r="S336" s="55" t="s">
        <v>710</v>
      </c>
      <c r="T336" s="49" t="str">
        <f>IFERROR(__xludf.DUMMYFUNCTION("""COMPUTED_VALUE"""),"&amp;")</f>
        <v>&amp;</v>
      </c>
      <c r="U336" s="49"/>
      <c r="V336" s="49" t="str">
        <f>IFERROR(__xludf.DUMMYFUNCTION("""COMPUTED_VALUE"""),"mimic")</f>
        <v>mimic</v>
      </c>
      <c r="W336" s="49" t="str">
        <f>IFERROR(__xludf.DUMMYFUNCTION("""COMPUTED_VALUE"""),"construct")</f>
        <v>construct</v>
      </c>
      <c r="X336" s="49" t="str">
        <f t="shared" si="3"/>
        <v>cheap,</v>
      </c>
      <c r="Y336" s="49"/>
      <c r="Z336" s="1" t="s">
        <v>3316</v>
      </c>
      <c r="AA336" s="1" t="s">
        <v>2079</v>
      </c>
      <c r="AB336" s="49" t="str">
        <f>IFERROR(__xludf.DUMMYFUNCTION("""COMPUTED_VALUE"""),"actors")</f>
        <v>actors</v>
      </c>
      <c r="AC336" s="49"/>
      <c r="AD336" s="49" t="str">
        <f>IFERROR(__xludf.DUMMYFUNCTION("""COMPUTED_VALUE"""),"rain")</f>
        <v>rain</v>
      </c>
      <c r="AE336" s="49" t="str">
        <f>IFERROR(__xludf.DUMMYFUNCTION("""COMPUTED_VALUE"""),"winners")</f>
        <v>winners</v>
      </c>
      <c r="AF336" s="49" t="str">
        <f t="shared" si="4"/>
        <v>substantial,</v>
      </c>
      <c r="AG336" s="49"/>
      <c r="AH336" s="1" t="s">
        <v>466</v>
      </c>
      <c r="AI336" s="1" t="s">
        <v>724</v>
      </c>
      <c r="AJ336" s="6" t="str">
        <f>IFERROR(__xludf.DUMMYFUNCTION("""COMPUTED_VALUE"""),"french")</f>
        <v>french</v>
      </c>
      <c r="AK336" s="49"/>
      <c r="AL336" s="49"/>
      <c r="AM336" s="49"/>
      <c r="AN336" s="52" t="str">
        <f t="shared" si="5"/>
        <v>young,</v>
      </c>
    </row>
    <row r="337">
      <c r="A337" s="51"/>
      <c r="B337" s="50" t="s">
        <v>1565</v>
      </c>
      <c r="C337" s="50" t="s">
        <v>1694</v>
      </c>
      <c r="D337" s="49" t="str">
        <f>IFERROR(__xludf.DUMMYFUNCTION("""COMPUTED_VALUE"""),"examination")</f>
        <v>examination</v>
      </c>
      <c r="E337" s="49"/>
      <c r="F337" s="49"/>
      <c r="G337" s="49" t="str">
        <f>IFERROR(__xludf.DUMMYFUNCTION("""COMPUTED_VALUE"""),"brass")</f>
        <v>brass</v>
      </c>
      <c r="H337" s="54" t="str">
        <f t="shared" si="1"/>
        <v>asian,</v>
      </c>
      <c r="I337" s="50"/>
      <c r="J337" s="50" t="s">
        <v>2500</v>
      </c>
      <c r="K337" s="50" t="s">
        <v>990</v>
      </c>
      <c r="L337" s="49" t="str">
        <f>IFERROR(__xludf.DUMMYFUNCTION("""COMPUTED_VALUE"""),"giant")</f>
        <v>giant</v>
      </c>
      <c r="M337" s="49"/>
      <c r="N337" s="49" t="str">
        <f>IFERROR(__xludf.DUMMYFUNCTION("""COMPUTED_VALUE"""),"being")</f>
        <v>being</v>
      </c>
      <c r="O337" s="49" t="str">
        <f>IFERROR(__xludf.DUMMYFUNCTION("""COMPUTED_VALUE"""),"rarely")</f>
        <v>rarely</v>
      </c>
      <c r="P337" s="49" t="str">
        <f t="shared" si="2"/>
        <v>starting,</v>
      </c>
      <c r="Q337" s="49"/>
      <c r="R337" s="50" t="s">
        <v>342</v>
      </c>
      <c r="S337" s="55" t="s">
        <v>1139</v>
      </c>
      <c r="T337" s="49" t="str">
        <f>IFERROR(__xludf.DUMMYFUNCTION("""COMPUTED_VALUE"""),"crossed")</f>
        <v>crossed</v>
      </c>
      <c r="U337" s="49"/>
      <c r="V337" s="49" t="str">
        <f>IFERROR(__xludf.DUMMYFUNCTION("""COMPUTED_VALUE"""),"crossroads")</f>
        <v>crossroads</v>
      </c>
      <c r="W337" s="49" t="str">
        <f>IFERROR(__xludf.DUMMYFUNCTION("""COMPUTED_VALUE"""),"knows")</f>
        <v>knows</v>
      </c>
      <c r="X337" s="49" t="str">
        <f t="shared" si="3"/>
        <v>found,</v>
      </c>
      <c r="Y337" s="49"/>
      <c r="Z337" s="1" t="s">
        <v>2514</v>
      </c>
      <c r="AA337" s="1" t="s">
        <v>1211</v>
      </c>
      <c r="AB337" s="49" t="str">
        <f>IFERROR(__xludf.DUMMYFUNCTION("""COMPUTED_VALUE"""),"ensemble")</f>
        <v>ensemble</v>
      </c>
      <c r="AC337" s="49"/>
      <c r="AD337" s="49" t="str">
        <f>IFERROR(__xludf.DUMMYFUNCTION("""COMPUTED_VALUE"""),"being")</f>
        <v>being</v>
      </c>
      <c r="AE337" s="49" t="str">
        <f>IFERROR(__xludf.DUMMYFUNCTION("""COMPUTED_VALUE"""),"rarely")</f>
        <v>rarely</v>
      </c>
      <c r="AF337" s="49" t="str">
        <f t="shared" si="4"/>
        <v>check,</v>
      </c>
      <c r="AG337" s="49"/>
      <c r="AH337" s="1" t="s">
        <v>1289</v>
      </c>
      <c r="AI337" s="1" t="s">
        <v>191</v>
      </c>
      <c r="AJ337" s="6" t="str">
        <f>IFERROR(__xludf.DUMMYFUNCTION("""COMPUTED_VALUE"""),"rest")</f>
        <v>rest</v>
      </c>
      <c r="AK337" s="49"/>
      <c r="AL337" s="49"/>
      <c r="AM337" s="49"/>
      <c r="AN337" s="52" t="str">
        <f t="shared" si="5"/>
        <v>french,</v>
      </c>
    </row>
    <row r="338">
      <c r="A338" s="51"/>
      <c r="B338" s="50" t="s">
        <v>5213</v>
      </c>
      <c r="C338" s="50" t="s">
        <v>1400</v>
      </c>
      <c r="D338" s="49" t="str">
        <f>IFERROR(__xludf.DUMMYFUNCTION("""COMPUTED_VALUE"""),"collapse")</f>
        <v>collapse</v>
      </c>
      <c r="E338" s="49"/>
      <c r="F338" s="49"/>
      <c r="G338" s="49" t="str">
        <f>IFERROR(__xludf.DUMMYFUNCTION("""COMPUTED_VALUE"""),"spots")</f>
        <v>spots</v>
      </c>
      <c r="H338" s="54" t="str">
        <f t="shared" si="1"/>
        <v>asia,</v>
      </c>
      <c r="I338" s="50"/>
      <c r="J338" s="50" t="s">
        <v>618</v>
      </c>
      <c r="K338" s="50" t="s">
        <v>997</v>
      </c>
      <c r="L338" s="49" t="str">
        <f>IFERROR(__xludf.DUMMYFUNCTION("""COMPUTED_VALUE"""),"throwing")</f>
        <v>throwing</v>
      </c>
      <c r="M338" s="49"/>
      <c r="N338" s="49" t="str">
        <f>IFERROR(__xludf.DUMMYFUNCTION("""COMPUTED_VALUE"""),"somebody")</f>
        <v>somebody</v>
      </c>
      <c r="O338" s="49" t="str">
        <f>IFERROR(__xludf.DUMMYFUNCTION("""COMPUTED_VALUE"""),"photographic")</f>
        <v>photographic</v>
      </c>
      <c r="P338" s="49" t="str">
        <f t="shared" si="2"/>
        <v>minor,</v>
      </c>
      <c r="Q338" s="49"/>
      <c r="R338" s="50" t="s">
        <v>164</v>
      </c>
      <c r="S338" s="55" t="s">
        <v>875</v>
      </c>
      <c r="T338" s="49" t="str">
        <f>IFERROR(__xludf.DUMMYFUNCTION("""COMPUTED_VALUE"""),"productions")</f>
        <v>productions</v>
      </c>
      <c r="U338" s="49"/>
      <c r="V338" s="49" t="str">
        <f>IFERROR(__xludf.DUMMYFUNCTION("""COMPUTED_VALUE"""),"rude")</f>
        <v>rude</v>
      </c>
      <c r="W338" s="49" t="str">
        <f>IFERROR(__xludf.DUMMYFUNCTION("""COMPUTED_VALUE"""),"vanity")</f>
        <v>vanity</v>
      </c>
      <c r="X338" s="49" t="str">
        <f t="shared" si="3"/>
        <v>worst,</v>
      </c>
      <c r="Y338" s="49"/>
      <c r="Z338" s="1" t="s">
        <v>2227</v>
      </c>
      <c r="AA338" s="1" t="s">
        <v>196</v>
      </c>
      <c r="AB338" s="49" t="str">
        <f>IFERROR(__xludf.DUMMYFUNCTION("""COMPUTED_VALUE"""),"real")</f>
        <v>real</v>
      </c>
      <c r="AC338" s="49"/>
      <c r="AD338" s="49" t="str">
        <f>IFERROR(__xludf.DUMMYFUNCTION("""COMPUTED_VALUE"""),"somebody")</f>
        <v>somebody</v>
      </c>
      <c r="AE338" s="49" t="str">
        <f>IFERROR(__xludf.DUMMYFUNCTION("""COMPUTED_VALUE"""),"photographic")</f>
        <v>photographic</v>
      </c>
      <c r="AF338" s="49" t="str">
        <f t="shared" si="4"/>
        <v>big,</v>
      </c>
      <c r="AG338" s="49"/>
      <c r="AH338" s="1" t="s">
        <v>3224</v>
      </c>
      <c r="AI338" s="1" t="s">
        <v>1213</v>
      </c>
      <c r="AJ338" s="6" t="str">
        <f>IFERROR(__xludf.DUMMYFUNCTION("""COMPUTED_VALUE"""),"killed")</f>
        <v>killed</v>
      </c>
      <c r="AK338" s="49"/>
      <c r="AL338" s="49"/>
      <c r="AM338" s="49"/>
      <c r="AN338" s="52" t="str">
        <f t="shared" si="5"/>
        <v>rest,</v>
      </c>
    </row>
    <row r="339">
      <c r="A339" s="51"/>
      <c r="B339" s="50" t="s">
        <v>4474</v>
      </c>
      <c r="C339" s="50" t="s">
        <v>1393</v>
      </c>
      <c r="D339" s="49" t="str">
        <f>IFERROR(__xludf.DUMMYFUNCTION("""COMPUTED_VALUE"""),"challenges")</f>
        <v>challenges</v>
      </c>
      <c r="E339" s="49"/>
      <c r="F339" s="49"/>
      <c r="G339" s="49" t="str">
        <f>IFERROR(__xludf.DUMMYFUNCTION("""COMPUTED_VALUE"""),"clock")</f>
        <v>clock</v>
      </c>
      <c r="H339" s="54" t="str">
        <f t="shared" si="1"/>
        <v>kong,</v>
      </c>
      <c r="I339" s="50"/>
      <c r="J339" s="50" t="s">
        <v>98</v>
      </c>
      <c r="K339" s="50" t="s">
        <v>285</v>
      </c>
      <c r="L339" s="49" t="str">
        <f>IFERROR(__xludf.DUMMYFUNCTION("""COMPUTED_VALUE"""),"throughout")</f>
        <v>throughout</v>
      </c>
      <c r="M339" s="49"/>
      <c r="N339" s="49" t="str">
        <f>IFERROR(__xludf.DUMMYFUNCTION("""COMPUTED_VALUE"""),"gross")</f>
        <v>gross</v>
      </c>
      <c r="O339" s="49" t="str">
        <f>IFERROR(__xludf.DUMMYFUNCTION("""COMPUTED_VALUE"""),"fantasy")</f>
        <v>fantasy</v>
      </c>
      <c r="P339" s="49" t="str">
        <f t="shared" si="2"/>
        <v>beautiful,</v>
      </c>
      <c r="Q339" s="49"/>
      <c r="R339" s="50" t="s">
        <v>6561</v>
      </c>
      <c r="S339" s="55" t="s">
        <v>868</v>
      </c>
      <c r="T339" s="49" t="str">
        <f>IFERROR(__xludf.DUMMYFUNCTION("""COMPUTED_VALUE"""),"king")</f>
        <v>king</v>
      </c>
      <c r="U339" s="49"/>
      <c r="V339" s="49" t="str">
        <f>IFERROR(__xludf.DUMMYFUNCTION("""COMPUTED_VALUE"""),"greasy")</f>
        <v>greasy</v>
      </c>
      <c r="W339" s="49" t="str">
        <f>IFERROR(__xludf.DUMMYFUNCTION("""COMPUTED_VALUE"""),"lizard")</f>
        <v>lizard</v>
      </c>
      <c r="X339" s="49" t="str">
        <f t="shared" si="3"/>
        <v>disappointing,</v>
      </c>
      <c r="Y339" s="49"/>
      <c r="Z339" s="1" t="s">
        <v>4764</v>
      </c>
      <c r="AA339" s="1" t="s">
        <v>1219</v>
      </c>
      <c r="AB339" s="49" t="str">
        <f>IFERROR(__xludf.DUMMYFUNCTION("""COMPUTED_VALUE"""),"ugly")</f>
        <v>ugly</v>
      </c>
      <c r="AC339" s="49"/>
      <c r="AD339" s="49" t="str">
        <f>IFERROR(__xludf.DUMMYFUNCTION("""COMPUTED_VALUE"""),"gross")</f>
        <v>gross</v>
      </c>
      <c r="AE339" s="49" t="str">
        <f>IFERROR(__xludf.DUMMYFUNCTION("""COMPUTED_VALUE"""),"fantasy")</f>
        <v>fantasy</v>
      </c>
      <c r="AF339" s="49" t="str">
        <f t="shared" si="4"/>
        <v>usually,</v>
      </c>
      <c r="AG339" s="49"/>
      <c r="AH339" s="1" t="s">
        <v>6664</v>
      </c>
      <c r="AI339" s="1" t="s">
        <v>1127</v>
      </c>
      <c r="AJ339" s="6" t="str">
        <f>IFERROR(__xludf.DUMMYFUNCTION("""COMPUTED_VALUE"""),"mean")</f>
        <v>mean</v>
      </c>
      <c r="AK339" s="49"/>
      <c r="AL339" s="49"/>
      <c r="AM339" s="49"/>
      <c r="AN339" s="52" t="str">
        <f t="shared" si="5"/>
        <v>killed,</v>
      </c>
    </row>
    <row r="340">
      <c r="A340" s="51"/>
      <c r="B340" s="50" t="s">
        <v>3774</v>
      </c>
      <c r="C340" s="50" t="s">
        <v>422</v>
      </c>
      <c r="D340" s="49" t="str">
        <f>IFERROR(__xludf.DUMMYFUNCTION("""COMPUTED_VALUE"""),"forgive")</f>
        <v>forgive</v>
      </c>
      <c r="E340" s="49"/>
      <c r="F340" s="49"/>
      <c r="G340" s="49" t="str">
        <f>IFERROR(__xludf.DUMMYFUNCTION("""COMPUTED_VALUE"""),"shoes")</f>
        <v>shoes</v>
      </c>
      <c r="H340" s="54" t="str">
        <f t="shared" si="1"/>
        <v>hong,</v>
      </c>
      <c r="I340" s="50"/>
      <c r="J340" s="50" t="s">
        <v>3393</v>
      </c>
      <c r="K340" s="50" t="s">
        <v>2093</v>
      </c>
      <c r="L340" s="49" t="str">
        <f>IFERROR(__xludf.DUMMYFUNCTION("""COMPUTED_VALUE"""),"neither")</f>
        <v>neither</v>
      </c>
      <c r="M340" s="49"/>
      <c r="N340" s="49" t="str">
        <f>IFERROR(__xludf.DUMMYFUNCTION("""COMPUTED_VALUE"""),"undoubtedly")</f>
        <v>undoubtedly</v>
      </c>
      <c r="O340" s="49" t="str">
        <f>IFERROR(__xludf.DUMMYFUNCTION("""COMPUTED_VALUE"""),"ally")</f>
        <v>ally</v>
      </c>
      <c r="P340" s="49" t="str">
        <f t="shared" si="2"/>
        <v>horrific,</v>
      </c>
      <c r="Q340" s="49"/>
      <c r="R340" s="50" t="s">
        <v>4040</v>
      </c>
      <c r="S340" s="55" t="s">
        <v>802</v>
      </c>
      <c r="T340" s="49" t="str">
        <f>IFERROR(__xludf.DUMMYFUNCTION("""COMPUTED_VALUE"""),"qualities")</f>
        <v>qualities</v>
      </c>
      <c r="U340" s="49"/>
      <c r="V340" s="49" t="str">
        <f>IFERROR(__xludf.DUMMYFUNCTION("""COMPUTED_VALUE"""),"cradle")</f>
        <v>cradle</v>
      </c>
      <c r="W340" s="49" t="str">
        <f>IFERROR(__xludf.DUMMYFUNCTION("""COMPUTED_VALUE"""),"philosophical")</f>
        <v>philosophical</v>
      </c>
      <c r="X340" s="49" t="str">
        <f t="shared" si="3"/>
        <v>gives,</v>
      </c>
      <c r="Y340" s="49"/>
      <c r="Z340" s="1" t="s">
        <v>1701</v>
      </c>
      <c r="AA340" s="1" t="s">
        <v>2091</v>
      </c>
      <c r="AB340" s="49" t="str">
        <f>IFERROR(__xludf.DUMMYFUNCTION("""COMPUTED_VALUE"""),"golden")</f>
        <v>golden</v>
      </c>
      <c r="AC340" s="49"/>
      <c r="AD340" s="49" t="str">
        <f>IFERROR(__xludf.DUMMYFUNCTION("""COMPUTED_VALUE"""),"undoubtedly")</f>
        <v>undoubtedly</v>
      </c>
      <c r="AE340" s="49" t="str">
        <f>IFERROR(__xludf.DUMMYFUNCTION("""COMPUTED_VALUE"""),"ally")</f>
        <v>ally</v>
      </c>
      <c r="AF340" s="49" t="str">
        <f t="shared" si="4"/>
        <v>works,</v>
      </c>
      <c r="AG340" s="49"/>
      <c r="AH340" s="1" t="s">
        <v>3426</v>
      </c>
      <c r="AI340" s="1" t="s">
        <v>1432</v>
      </c>
      <c r="AJ340" s="6" t="str">
        <f>IFERROR(__xludf.DUMMYFUNCTION("""COMPUTED_VALUE"""),"parents")</f>
        <v>parents</v>
      </c>
      <c r="AK340" s="49"/>
      <c r="AL340" s="49"/>
      <c r="AM340" s="49"/>
      <c r="AN340" s="52" t="str">
        <f t="shared" si="5"/>
        <v>mean,</v>
      </c>
    </row>
    <row r="341">
      <c r="A341" s="51"/>
      <c r="B341" s="50" t="s">
        <v>4430</v>
      </c>
      <c r="C341" s="50" t="s">
        <v>1987</v>
      </c>
      <c r="D341" s="49" t="str">
        <f>IFERROR(__xludf.DUMMYFUNCTION("""COMPUTED_VALUE"""),"learning")</f>
        <v>learning</v>
      </c>
      <c r="E341" s="49"/>
      <c r="F341" s="49"/>
      <c r="G341" s="49" t="str">
        <f>IFERROR(__xludf.DUMMYFUNCTION("""COMPUTED_VALUE"""),"tools")</f>
        <v>tools</v>
      </c>
      <c r="H341" s="54" t="str">
        <f t="shared" si="1"/>
        <v>vehicle,</v>
      </c>
      <c r="I341" s="50"/>
      <c r="J341" s="50" t="s">
        <v>1204</v>
      </c>
      <c r="K341" s="50" t="s">
        <v>2095</v>
      </c>
      <c r="L341" s="49" t="str">
        <f>IFERROR(__xludf.DUMMYFUNCTION("""COMPUTED_VALUE"""),"toward")</f>
        <v>toward</v>
      </c>
      <c r="M341" s="49"/>
      <c r="N341" s="49" t="str">
        <f>IFERROR(__xludf.DUMMYFUNCTION("""COMPUTED_VALUE"""),"quality")</f>
        <v>quality</v>
      </c>
      <c r="O341" s="49" t="str">
        <f>IFERROR(__xludf.DUMMYFUNCTION("""COMPUTED_VALUE"""),"illustrates")</f>
        <v>illustrates</v>
      </c>
      <c r="P341" s="49" t="str">
        <f t="shared" si="2"/>
        <v>predictable,</v>
      </c>
      <c r="Q341" s="49"/>
      <c r="R341" s="50" t="s">
        <v>152</v>
      </c>
      <c r="S341" s="55" t="s">
        <v>807</v>
      </c>
      <c r="T341" s="49" t="str">
        <f>IFERROR(__xludf.DUMMYFUNCTION("""COMPUTED_VALUE"""),"dark")</f>
        <v>dark</v>
      </c>
      <c r="U341" s="49"/>
      <c r="V341" s="49" t="str">
        <f>IFERROR(__xludf.DUMMYFUNCTION("""COMPUTED_VALUE"""),"delicious")</f>
        <v>delicious</v>
      </c>
      <c r="W341" s="49" t="str">
        <f>IFERROR(__xludf.DUMMYFUNCTION("""COMPUTED_VALUE"""),"drag")</f>
        <v>drag</v>
      </c>
      <c r="X341" s="49" t="str">
        <f t="shared" si="3"/>
        <v>could,</v>
      </c>
      <c r="Y341" s="49"/>
      <c r="Z341" s="1" t="s">
        <v>556</v>
      </c>
      <c r="AA341" s="1" t="s">
        <v>457</v>
      </c>
      <c r="AB341" s="49" t="str">
        <f>IFERROR(__xludf.DUMMYFUNCTION("""COMPUTED_VALUE"""),"blade")</f>
        <v>blade</v>
      </c>
      <c r="AC341" s="49"/>
      <c r="AD341" s="49" t="str">
        <f>IFERROR(__xludf.DUMMYFUNCTION("""COMPUTED_VALUE"""),"quality")</f>
        <v>quality</v>
      </c>
      <c r="AE341" s="49" t="str">
        <f>IFERROR(__xludf.DUMMYFUNCTION("""COMPUTED_VALUE"""),"illustrates")</f>
        <v>illustrates</v>
      </c>
      <c r="AF341" s="49" t="str">
        <f t="shared" si="4"/>
        <v>want,</v>
      </c>
      <c r="AG341" s="49"/>
      <c r="AH341" s="1" t="s">
        <v>3481</v>
      </c>
      <c r="AI341" s="1" t="s">
        <v>231</v>
      </c>
      <c r="AJ341" s="6" t="str">
        <f>IFERROR(__xludf.DUMMYFUNCTION("""COMPUTED_VALUE"""),"okay")</f>
        <v>okay</v>
      </c>
      <c r="AK341" s="49"/>
      <c r="AL341" s="49"/>
      <c r="AM341" s="49"/>
      <c r="AN341" s="52" t="str">
        <f t="shared" si="5"/>
        <v>parents,</v>
      </c>
    </row>
    <row r="342">
      <c r="A342" s="51"/>
      <c r="B342" s="50" t="s">
        <v>2554</v>
      </c>
      <c r="C342" s="50" t="s">
        <v>53</v>
      </c>
      <c r="D342" s="49" t="str">
        <f>IFERROR(__xludf.DUMMYFUNCTION("""COMPUTED_VALUE"""),"serves")</f>
        <v>serves</v>
      </c>
      <c r="E342" s="49"/>
      <c r="F342" s="49"/>
      <c r="G342" s="49" t="str">
        <f>IFERROR(__xludf.DUMMYFUNCTION("""COMPUTED_VALUE"""),"reflected")</f>
        <v>reflected</v>
      </c>
      <c r="H342" s="54" t="str">
        <f t="shared" si="1"/>
        <v>attempts,</v>
      </c>
      <c r="I342" s="50"/>
      <c r="J342" s="50" t="s">
        <v>6421</v>
      </c>
      <c r="K342" s="50" t="s">
        <v>1072</v>
      </c>
      <c r="L342" s="49" t="str">
        <f>IFERROR(__xludf.DUMMYFUNCTION("""COMPUTED_VALUE"""),"morning")</f>
        <v>morning</v>
      </c>
      <c r="M342" s="49"/>
      <c r="N342" s="49" t="str">
        <f>IFERROR(__xludf.DUMMYFUNCTION("""COMPUTED_VALUE"""),"twelve")</f>
        <v>twelve</v>
      </c>
      <c r="O342" s="49" t="str">
        <f>IFERROR(__xludf.DUMMYFUNCTION("""COMPUTED_VALUE"""),"collegiate")</f>
        <v>collegiate</v>
      </c>
      <c r="P342" s="49" t="str">
        <f t="shared" si="2"/>
        <v>earth,</v>
      </c>
      <c r="Q342" s="49"/>
      <c r="R342" s="50" t="s">
        <v>1476</v>
      </c>
      <c r="S342" s="55" t="s">
        <v>2369</v>
      </c>
      <c r="T342" s="49" t="str">
        <f>IFERROR(__xludf.DUMMYFUNCTION("""COMPUTED_VALUE"""),"suit")</f>
        <v>suit</v>
      </c>
      <c r="U342" s="49"/>
      <c r="V342" s="49" t="str">
        <f>IFERROR(__xludf.DUMMYFUNCTION("""COMPUTED_VALUE"""),"ted")</f>
        <v>ted</v>
      </c>
      <c r="W342" s="49" t="str">
        <f>IFERROR(__xludf.DUMMYFUNCTION("""COMPUTED_VALUE"""),"hop")</f>
        <v>hop</v>
      </c>
      <c r="X342" s="49" t="str">
        <f t="shared" si="3"/>
        <v>becomes,</v>
      </c>
      <c r="Y342" s="49"/>
      <c r="Z342" s="1" t="s">
        <v>1209</v>
      </c>
      <c r="AA342" s="1" t="s">
        <v>1229</v>
      </c>
      <c r="AB342" s="49" t="str">
        <f>IFERROR(__xludf.DUMMYFUNCTION("""COMPUTED_VALUE"""),"sexuality")</f>
        <v>sexuality</v>
      </c>
      <c r="AC342" s="49"/>
      <c r="AD342" s="49" t="str">
        <f>IFERROR(__xludf.DUMMYFUNCTION("""COMPUTED_VALUE"""),"twelve")</f>
        <v>twelve</v>
      </c>
      <c r="AE342" s="49" t="str">
        <f>IFERROR(__xludf.DUMMYFUNCTION("""COMPUTED_VALUE"""),"collegiate")</f>
        <v>collegiate</v>
      </c>
      <c r="AF342" s="49" t="str">
        <f t="shared" si="4"/>
        <v>brilliant,</v>
      </c>
      <c r="AG342" s="49"/>
      <c r="AH342" s="1" t="s">
        <v>6405</v>
      </c>
      <c r="AI342" s="1" t="s">
        <v>4893</v>
      </c>
      <c r="AJ342" s="6" t="str">
        <f>IFERROR(__xludf.DUMMYFUNCTION("""COMPUTED_VALUE"""),"ways")</f>
        <v>ways</v>
      </c>
      <c r="AK342" s="49"/>
      <c r="AL342" s="49"/>
      <c r="AM342" s="49"/>
      <c r="AN342" s="52" t="str">
        <f t="shared" si="5"/>
        <v>okay,</v>
      </c>
    </row>
    <row r="343">
      <c r="A343" s="51"/>
      <c r="B343" s="50" t="s">
        <v>6392</v>
      </c>
      <c r="C343" s="50" t="s">
        <v>1139</v>
      </c>
      <c r="D343" s="49" t="str">
        <f>IFERROR(__xludf.DUMMYFUNCTION("""COMPUTED_VALUE"""),"tool")</f>
        <v>tool</v>
      </c>
      <c r="E343" s="49"/>
      <c r="F343" s="49"/>
      <c r="G343" s="49" t="str">
        <f>IFERROR(__xludf.DUMMYFUNCTION("""COMPUTED_VALUE"""),"founders")</f>
        <v>founders</v>
      </c>
      <c r="H343" s="54" t="str">
        <f t="shared" si="1"/>
        <v>joke,</v>
      </c>
      <c r="I343" s="50"/>
      <c r="J343" s="50" t="s">
        <v>2386</v>
      </c>
      <c r="K343" s="50" t="s">
        <v>202</v>
      </c>
      <c r="L343" s="49" t="str">
        <f>IFERROR(__xludf.DUMMYFUNCTION("""COMPUTED_VALUE"""),"saturday")</f>
        <v>saturday</v>
      </c>
      <c r="M343" s="49"/>
      <c r="N343" s="49" t="str">
        <f>IFERROR(__xludf.DUMMYFUNCTION("""COMPUTED_VALUE"""),"ocean")</f>
        <v>ocean</v>
      </c>
      <c r="O343" s="49" t="str">
        <f>IFERROR(__xludf.DUMMYFUNCTION("""COMPUTED_VALUE"""),"national")</f>
        <v>national</v>
      </c>
      <c r="P343" s="49" t="str">
        <f t="shared" si="2"/>
        <v>green,</v>
      </c>
      <c r="Q343" s="49"/>
      <c r="R343" s="50" t="s">
        <v>559</v>
      </c>
      <c r="S343" s="55" t="s">
        <v>1469</v>
      </c>
      <c r="T343" s="49" t="str">
        <f>IFERROR(__xludf.DUMMYFUNCTION("""COMPUTED_VALUE"""),"wish")</f>
        <v>wish</v>
      </c>
      <c r="U343" s="49"/>
      <c r="V343" s="49" t="str">
        <f>IFERROR(__xludf.DUMMYFUNCTION("""COMPUTED_VALUE"""),"sweat")</f>
        <v>sweat</v>
      </c>
      <c r="W343" s="49" t="str">
        <f>IFERROR(__xludf.DUMMYFUNCTION("""COMPUTED_VALUE"""),"remote")</f>
        <v>remote</v>
      </c>
      <c r="X343" s="49" t="str">
        <f t="shared" si="3"/>
        <v>worse,</v>
      </c>
      <c r="Y343" s="49"/>
      <c r="Z343" s="1" t="s">
        <v>4207</v>
      </c>
      <c r="AA343" s="1" t="s">
        <v>232</v>
      </c>
      <c r="AB343" s="49" t="str">
        <f>IFERROR(__xludf.DUMMYFUNCTION("""COMPUTED_VALUE"""),"point")</f>
        <v>point</v>
      </c>
      <c r="AC343" s="49"/>
      <c r="AD343" s="49" t="str">
        <f>IFERROR(__xludf.DUMMYFUNCTION("""COMPUTED_VALUE"""),"ocean")</f>
        <v>ocean</v>
      </c>
      <c r="AE343" s="49" t="str">
        <f>IFERROR(__xludf.DUMMYFUNCTION("""COMPUTED_VALUE"""),"national")</f>
        <v>national</v>
      </c>
      <c r="AF343" s="49" t="str">
        <f t="shared" si="4"/>
        <v>michael,</v>
      </c>
      <c r="AG343" s="49"/>
      <c r="AH343" s="1" t="s">
        <v>410</v>
      </c>
      <c r="AI343" s="1" t="s">
        <v>6311</v>
      </c>
      <c r="AJ343" s="6" t="str">
        <f>IFERROR(__xludf.DUMMYFUNCTION("""COMPUTED_VALUE"""),"anyway")</f>
        <v>anyway</v>
      </c>
      <c r="AK343" s="49"/>
      <c r="AL343" s="49"/>
      <c r="AM343" s="49"/>
      <c r="AN343" s="52" t="str">
        <f t="shared" si="5"/>
        <v>ways,</v>
      </c>
    </row>
    <row r="344">
      <c r="A344" s="51"/>
      <c r="B344" s="50" t="s">
        <v>3851</v>
      </c>
      <c r="C344" s="50" t="s">
        <v>710</v>
      </c>
      <c r="D344" s="49" t="str">
        <f>IFERROR(__xludf.DUMMYFUNCTION("""COMPUTED_VALUE"""),"way")</f>
        <v>way</v>
      </c>
      <c r="E344" s="49"/>
      <c r="F344" s="49"/>
      <c r="G344" s="49" t="str">
        <f>IFERROR(__xludf.DUMMYFUNCTION("""COMPUTED_VALUE"""),"housing")</f>
        <v>housing</v>
      </c>
      <c r="H344" s="54" t="str">
        <f t="shared" si="1"/>
        <v>classics,</v>
      </c>
      <c r="I344" s="50"/>
      <c r="J344" s="50" t="s">
        <v>1162</v>
      </c>
      <c r="K344" s="50" t="s">
        <v>1008</v>
      </c>
      <c r="L344" s="49" t="str">
        <f>IFERROR(__xludf.DUMMYFUNCTION("""COMPUTED_VALUE"""),"band")</f>
        <v>band</v>
      </c>
      <c r="M344" s="49"/>
      <c r="N344" s="49" t="str">
        <f>IFERROR(__xludf.DUMMYFUNCTION("""COMPUTED_VALUE"""),"taylor")</f>
        <v>taylor</v>
      </c>
      <c r="O344" s="49" t="str">
        <f>IFERROR(__xludf.DUMMYFUNCTION("""COMPUTED_VALUE"""),"restoring")</f>
        <v>restoring</v>
      </c>
      <c r="P344" s="49" t="str">
        <f t="shared" si="2"/>
        <v>second,</v>
      </c>
      <c r="Q344" s="49"/>
      <c r="R344" s="50" t="s">
        <v>2095</v>
      </c>
      <c r="S344" s="55" t="s">
        <v>4239</v>
      </c>
      <c r="T344" s="49" t="str">
        <f>IFERROR(__xludf.DUMMYFUNCTION("""COMPUTED_VALUE"""),"brothers")</f>
        <v>brothers</v>
      </c>
      <c r="U344" s="49"/>
      <c r="V344" s="49" t="str">
        <f>IFERROR(__xludf.DUMMYFUNCTION("""COMPUTED_VALUE"""),"pain")</f>
        <v>pain</v>
      </c>
      <c r="W344" s="49" t="str">
        <f>IFERROR(__xludf.DUMMYFUNCTION("""COMPUTED_VALUE"""),"dull")</f>
        <v>dull</v>
      </c>
      <c r="X344" s="49" t="str">
        <f t="shared" si="3"/>
        <v>hardly,</v>
      </c>
      <c r="Y344" s="49"/>
      <c r="Z344" s="1" t="s">
        <v>4856</v>
      </c>
      <c r="AA344" s="1" t="s">
        <v>1275</v>
      </c>
      <c r="AB344" s="49" t="str">
        <f>IFERROR(__xludf.DUMMYFUNCTION("""COMPUTED_VALUE"""),"typical")</f>
        <v>typical</v>
      </c>
      <c r="AC344" s="49"/>
      <c r="AD344" s="49" t="str">
        <f>IFERROR(__xludf.DUMMYFUNCTION("""COMPUTED_VALUE"""),"taylor")</f>
        <v>taylor</v>
      </c>
      <c r="AE344" s="49" t="str">
        <f>IFERROR(__xludf.DUMMYFUNCTION("""COMPUTED_VALUE"""),"restoring")</f>
        <v>restoring</v>
      </c>
      <c r="AF344" s="49" t="str">
        <f t="shared" si="4"/>
        <v>occasionally,</v>
      </c>
      <c r="AG344" s="49"/>
      <c r="AH344" s="1" t="s">
        <v>3455</v>
      </c>
      <c r="AI344" s="1" t="s">
        <v>5366</v>
      </c>
      <c r="AJ344" s="6" t="str">
        <f>IFERROR(__xludf.DUMMYFUNCTION("""COMPUTED_VALUE"""),"evil")</f>
        <v>evil</v>
      </c>
      <c r="AK344" s="49"/>
      <c r="AL344" s="49"/>
      <c r="AM344" s="49"/>
      <c r="AN344" s="52" t="str">
        <f t="shared" si="5"/>
        <v>anyway,</v>
      </c>
    </row>
    <row r="345">
      <c r="A345" s="51"/>
      <c r="B345" s="50" t="s">
        <v>6444</v>
      </c>
      <c r="C345" s="50" t="s">
        <v>1430</v>
      </c>
      <c r="D345" s="49" t="str">
        <f>IFERROR(__xludf.DUMMYFUNCTION("""COMPUTED_VALUE"""),"play")</f>
        <v>play</v>
      </c>
      <c r="E345" s="49"/>
      <c r="F345" s="49"/>
      <c r="G345" s="49" t="str">
        <f>IFERROR(__xludf.DUMMYFUNCTION("""COMPUTED_VALUE"""),"options")</f>
        <v>options</v>
      </c>
      <c r="H345" s="54" t="str">
        <f t="shared" si="1"/>
        <v>must,</v>
      </c>
      <c r="I345" s="50"/>
      <c r="J345" s="50" t="s">
        <v>805</v>
      </c>
      <c r="K345" s="50" t="s">
        <v>1015</v>
      </c>
      <c r="L345" s="49" t="str">
        <f>IFERROR(__xludf.DUMMYFUNCTION("""COMPUTED_VALUE"""),"debut")</f>
        <v>debut</v>
      </c>
      <c r="M345" s="49"/>
      <c r="N345" s="49" t="str">
        <f>IFERROR(__xludf.DUMMYFUNCTION("""COMPUTED_VALUE"""),"bill")</f>
        <v>bill</v>
      </c>
      <c r="O345" s="49" t="str">
        <f>IFERROR(__xludf.DUMMYFUNCTION("""COMPUTED_VALUE"""),"emerging")</f>
        <v>emerging</v>
      </c>
      <c r="P345" s="49" t="str">
        <f t="shared" si="2"/>
        <v>than,</v>
      </c>
      <c r="Q345" s="49"/>
      <c r="R345" s="50" t="s">
        <v>5203</v>
      </c>
      <c r="S345" s="55" t="s">
        <v>2227</v>
      </c>
      <c r="T345" s="49" t="str">
        <f>IFERROR(__xludf.DUMMYFUNCTION("""COMPUTED_VALUE"""),"comedic")</f>
        <v>comedic</v>
      </c>
      <c r="U345" s="49"/>
      <c r="V345" s="49" t="str">
        <f>IFERROR(__xludf.DUMMYFUNCTION("""COMPUTED_VALUE"""),"eats")</f>
        <v>eats</v>
      </c>
      <c r="W345" s="49" t="str">
        <f>IFERROR(__xludf.DUMMYFUNCTION("""COMPUTED_VALUE"""),"witty")</f>
        <v>witty</v>
      </c>
      <c r="X345" s="49" t="str">
        <f t="shared" si="3"/>
        <v>glow,</v>
      </c>
      <c r="Y345" s="49"/>
      <c r="Z345" s="1" t="s">
        <v>359</v>
      </c>
      <c r="AA345" s="1" t="s">
        <v>2102</v>
      </c>
      <c r="AB345" s="49" t="str">
        <f>IFERROR(__xludf.DUMMYFUNCTION("""COMPUTED_VALUE"""),"christian")</f>
        <v>christian</v>
      </c>
      <c r="AC345" s="49"/>
      <c r="AD345" s="49" t="str">
        <f>IFERROR(__xludf.DUMMYFUNCTION("""COMPUTED_VALUE"""),"bill")</f>
        <v>bill</v>
      </c>
      <c r="AE345" s="49" t="str">
        <f>IFERROR(__xludf.DUMMYFUNCTION("""COMPUTED_VALUE"""),"emerging")</f>
        <v>emerging</v>
      </c>
      <c r="AF345" s="49" t="str">
        <f t="shared" si="4"/>
        <v>performance,</v>
      </c>
      <c r="AG345" s="49"/>
      <c r="AH345" s="1" t="s">
        <v>3858</v>
      </c>
      <c r="AI345" s="1" t="s">
        <v>6312</v>
      </c>
      <c r="AJ345" s="6" t="str">
        <f>IFERROR(__xludf.DUMMYFUNCTION("""COMPUTED_VALUE"""),"tim")</f>
        <v>tim</v>
      </c>
      <c r="AK345" s="49"/>
      <c r="AL345" s="49"/>
      <c r="AM345" s="49"/>
      <c r="AN345" s="52" t="str">
        <f t="shared" si="5"/>
        <v>evil,</v>
      </c>
    </row>
    <row r="346">
      <c r="A346" s="51"/>
      <c r="B346" s="50" t="s">
        <v>2985</v>
      </c>
      <c r="C346" s="50" t="s">
        <v>2002</v>
      </c>
      <c r="D346" s="49" t="str">
        <f>IFERROR(__xludf.DUMMYFUNCTION("""COMPUTED_VALUE"""),"big")</f>
        <v>big</v>
      </c>
      <c r="E346" s="49"/>
      <c r="F346" s="49"/>
      <c r="G346" s="49" t="str">
        <f>IFERROR(__xludf.DUMMYFUNCTION("""COMPUTED_VALUE"""),"vacant")</f>
        <v>vacant</v>
      </c>
      <c r="H346" s="54" t="str">
        <f t="shared" si="1"/>
        <v>moment,</v>
      </c>
      <c r="I346" s="50"/>
      <c r="J346" s="50" t="s">
        <v>6297</v>
      </c>
      <c r="K346" s="50" t="s">
        <v>1025</v>
      </c>
      <c r="L346" s="49" t="str">
        <f>IFERROR(__xludf.DUMMYFUNCTION("""COMPUTED_VALUE"""),"simply")</f>
        <v>simply</v>
      </c>
      <c r="M346" s="49"/>
      <c r="N346" s="49" t="str">
        <f>IFERROR(__xludf.DUMMYFUNCTION("""COMPUTED_VALUE"""),"fast")</f>
        <v>fast</v>
      </c>
      <c r="O346" s="49" t="str">
        <f>IFERROR(__xludf.DUMMYFUNCTION("""COMPUTED_VALUE"""),"audiences")</f>
        <v>audiences</v>
      </c>
      <c r="P346" s="49" t="str">
        <f t="shared" si="2"/>
        <v>d,</v>
      </c>
      <c r="Q346" s="49"/>
      <c r="R346" s="50" t="s">
        <v>5923</v>
      </c>
      <c r="S346" s="55" t="s">
        <v>3326</v>
      </c>
      <c r="T346" s="49" t="str">
        <f>IFERROR(__xludf.DUMMYFUNCTION("""COMPUTED_VALUE"""),"notion")</f>
        <v>notion</v>
      </c>
      <c r="U346" s="49"/>
      <c r="V346" s="49" t="str">
        <f>IFERROR(__xludf.DUMMYFUNCTION("""COMPUTED_VALUE"""),"trained")</f>
        <v>trained</v>
      </c>
      <c r="W346" s="49" t="str">
        <f>IFERROR(__xludf.DUMMYFUNCTION("""COMPUTED_VALUE"""),"primal")</f>
        <v>primal</v>
      </c>
      <c r="X346" s="49" t="str">
        <f t="shared" si="3"/>
        <v>targets,</v>
      </c>
      <c r="Y346" s="49"/>
      <c r="Z346" s="1" t="s">
        <v>56</v>
      </c>
      <c r="AA346" s="1" t="s">
        <v>1246</v>
      </c>
      <c r="AB346" s="49" t="str">
        <f>IFERROR(__xludf.DUMMYFUNCTION("""COMPUTED_VALUE"""),"weaknesses")</f>
        <v>weaknesses</v>
      </c>
      <c r="AC346" s="49"/>
      <c r="AD346" s="49" t="str">
        <f>IFERROR(__xludf.DUMMYFUNCTION("""COMPUTED_VALUE"""),"fast")</f>
        <v>fast</v>
      </c>
      <c r="AE346" s="49" t="str">
        <f>IFERROR(__xludf.DUMMYFUNCTION("""COMPUTED_VALUE"""),"audiences")</f>
        <v>audiences</v>
      </c>
      <c r="AF346" s="49" t="str">
        <f t="shared" si="4"/>
        <v>thriller,</v>
      </c>
      <c r="AG346" s="49"/>
      <c r="AH346" s="1" t="s">
        <v>6557</v>
      </c>
      <c r="AI346" s="1" t="s">
        <v>3534</v>
      </c>
      <c r="AJ346" s="6" t="str">
        <f>IFERROR(__xludf.DUMMYFUNCTION("""COMPUTED_VALUE"""),"plain")</f>
        <v>plain</v>
      </c>
      <c r="AK346" s="49"/>
      <c r="AL346" s="49"/>
      <c r="AM346" s="49"/>
      <c r="AN346" s="52" t="str">
        <f t="shared" si="5"/>
        <v>tim,</v>
      </c>
    </row>
    <row r="347">
      <c r="A347" s="51"/>
      <c r="B347" s="50" t="s">
        <v>305</v>
      </c>
      <c r="C347" s="50" t="s">
        <v>1734</v>
      </c>
      <c r="D347" s="49" t="str">
        <f>IFERROR(__xludf.DUMMYFUNCTION("""COMPUTED_VALUE"""),"scene")</f>
        <v>scene</v>
      </c>
      <c r="E347" s="49"/>
      <c r="F347" s="49"/>
      <c r="G347" s="49" t="str">
        <f>IFERROR(__xludf.DUMMYFUNCTION("""COMPUTED_VALUE"""),"editorial")</f>
        <v>editorial</v>
      </c>
      <c r="H347" s="54" t="str">
        <f t="shared" si="1"/>
        <v>entire,</v>
      </c>
      <c r="I347" s="50"/>
      <c r="J347" s="50" t="s">
        <v>1389</v>
      </c>
      <c r="K347" s="50" t="s">
        <v>1879</v>
      </c>
      <c r="L347" s="49" t="str">
        <f>IFERROR(__xludf.DUMMYFUNCTION("""COMPUTED_VALUE"""),"ends")</f>
        <v>ends</v>
      </c>
      <c r="M347" s="49"/>
      <c r="N347" s="49" t="str">
        <f>IFERROR(__xludf.DUMMYFUNCTION("""COMPUTED_VALUE"""),"price")</f>
        <v>price</v>
      </c>
      <c r="O347" s="49" t="str">
        <f>IFERROR(__xludf.DUMMYFUNCTION("""COMPUTED_VALUE"""),"moonlight")</f>
        <v>moonlight</v>
      </c>
      <c r="P347" s="49" t="str">
        <f t="shared" si="2"/>
        <v>third,</v>
      </c>
      <c r="Q347" s="49"/>
      <c r="R347" s="50" t="s">
        <v>869</v>
      </c>
      <c r="S347" s="55" t="s">
        <v>1489</v>
      </c>
      <c r="T347" s="49" t="str">
        <f>IFERROR(__xludf.DUMMYFUNCTION("""COMPUTED_VALUE"""),"doing")</f>
        <v>doing</v>
      </c>
      <c r="U347" s="49"/>
      <c r="V347" s="49" t="str">
        <f>IFERROR(__xludf.DUMMYFUNCTION("""COMPUTED_VALUE"""),"bathroom")</f>
        <v>bathroom</v>
      </c>
      <c r="W347" s="49" t="str">
        <f>IFERROR(__xludf.DUMMYFUNCTION("""COMPUTED_VALUE"""),"root")</f>
        <v>root</v>
      </c>
      <c r="X347" s="49" t="str">
        <f t="shared" si="3"/>
        <v>day,</v>
      </c>
      <c r="Y347" s="49"/>
      <c r="Z347" s="1" t="s">
        <v>6338</v>
      </c>
      <c r="AA347" s="1" t="s">
        <v>1294</v>
      </c>
      <c r="AB347" s="49" t="str">
        <f>IFERROR(__xludf.DUMMYFUNCTION("""COMPUTED_VALUE"""),"difference")</f>
        <v>difference</v>
      </c>
      <c r="AC347" s="49"/>
      <c r="AD347" s="49" t="str">
        <f>IFERROR(__xludf.DUMMYFUNCTION("""COMPUTED_VALUE"""),"price")</f>
        <v>price</v>
      </c>
      <c r="AE347" s="49" t="str">
        <f>IFERROR(__xludf.DUMMYFUNCTION("""COMPUTED_VALUE"""),"moonlight")</f>
        <v>moonlight</v>
      </c>
      <c r="AF347" s="49" t="str">
        <f t="shared" si="4"/>
        <v>studio,</v>
      </c>
      <c r="AG347" s="49"/>
      <c r="AH347" s="1" t="s">
        <v>6345</v>
      </c>
      <c r="AI347" s="1" t="s">
        <v>1203</v>
      </c>
      <c r="AJ347" s="6" t="str">
        <f>IFERROR(__xludf.DUMMYFUNCTION("""COMPUTED_VALUE"""),"sees")</f>
        <v>sees</v>
      </c>
      <c r="AK347" s="49"/>
      <c r="AL347" s="49"/>
      <c r="AM347" s="49"/>
      <c r="AN347" s="52" t="str">
        <f t="shared" si="5"/>
        <v>plain,</v>
      </c>
    </row>
    <row r="348">
      <c r="A348" s="51"/>
      <c r="B348" s="50" t="s">
        <v>784</v>
      </c>
      <c r="C348" s="50" t="s">
        <v>857</v>
      </c>
      <c r="D348" s="49" t="str">
        <f>IFERROR(__xludf.DUMMYFUNCTION("""COMPUTED_VALUE"""),"excuse")</f>
        <v>excuse</v>
      </c>
      <c r="E348" s="49"/>
      <c r="F348" s="49"/>
      <c r="G348" s="49" t="str">
        <f>IFERROR(__xludf.DUMMYFUNCTION("""COMPUTED_VALUE"""),"jaw")</f>
        <v>jaw</v>
      </c>
      <c r="H348" s="54" t="str">
        <f t="shared" si="1"/>
        <v>provide,</v>
      </c>
      <c r="I348" s="50"/>
      <c r="J348" s="50" t="s">
        <v>2797</v>
      </c>
      <c r="K348" s="50" t="s">
        <v>301</v>
      </c>
      <c r="L348" s="49" t="str">
        <f>IFERROR(__xludf.DUMMYFUNCTION("""COMPUTED_VALUE"""),"animated")</f>
        <v>animated</v>
      </c>
      <c r="M348" s="49"/>
      <c r="N348" s="49" t="str">
        <f>IFERROR(__xludf.DUMMYFUNCTION("""COMPUTED_VALUE"""),"cost")</f>
        <v>cost</v>
      </c>
      <c r="O348" s="49" t="str">
        <f>IFERROR(__xludf.DUMMYFUNCTION("""COMPUTED_VALUE"""),"pianist")</f>
        <v>pianist</v>
      </c>
      <c r="P348" s="49" t="str">
        <f t="shared" si="2"/>
        <v>space,</v>
      </c>
      <c r="Q348" s="49"/>
      <c r="R348" s="50" t="s">
        <v>1438</v>
      </c>
      <c r="S348" s="55" t="s">
        <v>1438</v>
      </c>
      <c r="T348" s="49" t="str">
        <f>IFERROR(__xludf.DUMMYFUNCTION("""COMPUTED_VALUE"""),"near")</f>
        <v>near</v>
      </c>
      <c r="U348" s="49"/>
      <c r="V348" s="49" t="str">
        <f>IFERROR(__xludf.DUMMYFUNCTION("""COMPUTED_VALUE"""),"dropped")</f>
        <v>dropped</v>
      </c>
      <c r="W348" s="49" t="str">
        <f>IFERROR(__xludf.DUMMYFUNCTION("""COMPUTED_VALUE"""),"midnight")</f>
        <v>midnight</v>
      </c>
      <c r="X348" s="49" t="str">
        <f t="shared" si="3"/>
        <v>set,</v>
      </c>
      <c r="Y348" s="49"/>
      <c r="Z348" s="1" t="s">
        <v>4836</v>
      </c>
      <c r="AA348" s="1" t="s">
        <v>1253</v>
      </c>
      <c r="AB348" s="49" t="str">
        <f>IFERROR(__xludf.DUMMYFUNCTION("""COMPUTED_VALUE"""),"famous")</f>
        <v>famous</v>
      </c>
      <c r="AC348" s="49"/>
      <c r="AD348" s="49" t="str">
        <f>IFERROR(__xludf.DUMMYFUNCTION("""COMPUTED_VALUE"""),"cost")</f>
        <v>cost</v>
      </c>
      <c r="AE348" s="49" t="str">
        <f>IFERROR(__xludf.DUMMYFUNCTION("""COMPUTED_VALUE"""),"pianist")</f>
        <v>pianist</v>
      </c>
      <c r="AF348" s="49" t="str">
        <f t="shared" si="4"/>
        <v>kiss,</v>
      </c>
      <c r="AG348" s="49"/>
      <c r="AH348" s="1" t="s">
        <v>3365</v>
      </c>
      <c r="AI348" s="1" t="s">
        <v>1220</v>
      </c>
      <c r="AJ348" s="6" t="str">
        <f>IFERROR(__xludf.DUMMYFUNCTION("""COMPUTED_VALUE"""),"revenge")</f>
        <v>revenge</v>
      </c>
      <c r="AK348" s="49"/>
      <c r="AL348" s="49"/>
      <c r="AM348" s="49"/>
      <c r="AN348" s="52" t="str">
        <f t="shared" si="5"/>
        <v>sees,</v>
      </c>
    </row>
    <row r="349">
      <c r="A349" s="51"/>
      <c r="B349" s="50" t="s">
        <v>5940</v>
      </c>
      <c r="C349" s="50" t="s">
        <v>1442</v>
      </c>
      <c r="D349" s="49" t="str">
        <f>IFERROR(__xludf.DUMMYFUNCTION("""COMPUTED_VALUE"""),"effective")</f>
        <v>effective</v>
      </c>
      <c r="E349" s="49"/>
      <c r="F349" s="49"/>
      <c r="G349" s="49" t="str">
        <f>IFERROR(__xludf.DUMMYFUNCTION("""COMPUTED_VALUE"""),"seeds")</f>
        <v>seeds</v>
      </c>
      <c r="H349" s="54" t="str">
        <f t="shared" si="1"/>
        <v>multiple,</v>
      </c>
      <c r="I349" s="50"/>
      <c r="J349" s="50" t="s">
        <v>670</v>
      </c>
      <c r="K349" s="50" t="s">
        <v>293</v>
      </c>
      <c r="L349" s="49" t="str">
        <f>IFERROR(__xludf.DUMMYFUNCTION("""COMPUTED_VALUE"""),"merely")</f>
        <v>merely</v>
      </c>
      <c r="M349" s="49"/>
      <c r="N349" s="49" t="str">
        <f>IFERROR(__xludf.DUMMYFUNCTION("""COMPUTED_VALUE"""),"sad")</f>
        <v>sad</v>
      </c>
      <c r="O349" s="49" t="str">
        <f>IFERROR(__xludf.DUMMYFUNCTION("""COMPUTED_VALUE"""),"martha")</f>
        <v>martha</v>
      </c>
      <c r="P349" s="49" t="str">
        <f t="shared" si="2"/>
        <v>would,</v>
      </c>
      <c r="Q349" s="49"/>
      <c r="R349" s="50" t="s">
        <v>1046</v>
      </c>
      <c r="S349" s="55" t="s">
        <v>1517</v>
      </c>
      <c r="T349" s="49" t="str">
        <f>IFERROR(__xludf.DUMMYFUNCTION("""COMPUTED_VALUE"""),"event")</f>
        <v>event</v>
      </c>
      <c r="U349" s="49"/>
      <c r="V349" s="49" t="str">
        <f>IFERROR(__xludf.DUMMYFUNCTION("""COMPUTED_VALUE"""),"device")</f>
        <v>device</v>
      </c>
      <c r="W349" s="49" t="str">
        <f>IFERROR(__xludf.DUMMYFUNCTION("""COMPUTED_VALUE"""),"sleeper")</f>
        <v>sleeper</v>
      </c>
      <c r="X349" s="49" t="str">
        <f t="shared" si="3"/>
        <v>group,</v>
      </c>
      <c r="Y349" s="49"/>
      <c r="Z349" s="1" t="s">
        <v>1408</v>
      </c>
      <c r="AA349" s="1" t="s">
        <v>240</v>
      </c>
      <c r="AB349" s="49" t="str">
        <f>IFERROR(__xludf.DUMMYFUNCTION("""COMPUTED_VALUE"""),"crude")</f>
        <v>crude</v>
      </c>
      <c r="AC349" s="49"/>
      <c r="AD349" s="49" t="str">
        <f>IFERROR(__xludf.DUMMYFUNCTION("""COMPUTED_VALUE"""),"sad")</f>
        <v>sad</v>
      </c>
      <c r="AE349" s="49" t="str">
        <f>IFERROR(__xludf.DUMMYFUNCTION("""COMPUTED_VALUE"""),"martha")</f>
        <v>martha</v>
      </c>
      <c r="AF349" s="49" t="str">
        <f t="shared" si="4"/>
        <v>role,</v>
      </c>
      <c r="AG349" s="49"/>
      <c r="AH349" s="1" t="s">
        <v>362</v>
      </c>
      <c r="AI349" s="1" t="s">
        <v>939</v>
      </c>
      <c r="AJ349" s="6" t="str">
        <f>IFERROR(__xludf.DUMMYFUNCTION("""COMPUTED_VALUE"""),"through")</f>
        <v>through</v>
      </c>
      <c r="AK349" s="49"/>
      <c r="AL349" s="49"/>
      <c r="AM349" s="49"/>
      <c r="AN349" s="52" t="str">
        <f t="shared" si="5"/>
        <v>revenge,</v>
      </c>
    </row>
    <row r="350">
      <c r="A350" s="51"/>
      <c r="B350" s="50" t="s">
        <v>1505</v>
      </c>
      <c r="C350" s="50" t="s">
        <v>868</v>
      </c>
      <c r="D350" s="49" t="str">
        <f>IFERROR(__xludf.DUMMYFUNCTION("""COMPUTED_VALUE"""),"stick")</f>
        <v>stick</v>
      </c>
      <c r="E350" s="49"/>
      <c r="F350" s="49"/>
      <c r="G350" s="49" t="str">
        <f>IFERROR(__xludf.DUMMYFUNCTION("""COMPUTED_VALUE"""),"apartments")</f>
        <v>apartments</v>
      </c>
      <c r="H350" s="54" t="str">
        <f t="shared" si="1"/>
        <v>levels,</v>
      </c>
      <c r="I350" s="50"/>
      <c r="J350" s="50" t="s">
        <v>2082</v>
      </c>
      <c r="K350" s="50" t="s">
        <v>2119</v>
      </c>
      <c r="L350" s="49" t="str">
        <f>IFERROR(__xludf.DUMMYFUNCTION("""COMPUTED_VALUE"""),"summer")</f>
        <v>summer</v>
      </c>
      <c r="M350" s="49"/>
      <c r="N350" s="49" t="str">
        <f>IFERROR(__xludf.DUMMYFUNCTION("""COMPUTED_VALUE"""),"punk")</f>
        <v>punk</v>
      </c>
      <c r="O350" s="49" t="str">
        <f>IFERROR(__xludf.DUMMYFUNCTION("""COMPUTED_VALUE"""),"rapid")</f>
        <v>rapid</v>
      </c>
      <c r="P350" s="49" t="str">
        <f t="shared" si="2"/>
        <v>results,</v>
      </c>
      <c r="Q350" s="49"/>
      <c r="R350" s="50" t="s">
        <v>2035</v>
      </c>
      <c r="S350" s="55" t="s">
        <v>3006</v>
      </c>
      <c r="T350" s="49" t="str">
        <f>IFERROR(__xludf.DUMMYFUNCTION("""COMPUTED_VALUE"""),"insights")</f>
        <v>insights</v>
      </c>
      <c r="U350" s="49"/>
      <c r="V350" s="49" t="str">
        <f>IFERROR(__xludf.DUMMYFUNCTION("""COMPUTED_VALUE"""),"thumping")</f>
        <v>thumping</v>
      </c>
      <c r="W350" s="49" t="str">
        <f>IFERROR(__xludf.DUMMYFUNCTION("""COMPUTED_VALUE"""),"imitation")</f>
        <v>imitation</v>
      </c>
      <c r="X350" s="49" t="str">
        <f t="shared" si="3"/>
        <v>attention,</v>
      </c>
      <c r="Y350" s="49"/>
      <c r="Z350" s="1" t="s">
        <v>1999</v>
      </c>
      <c r="AA350" s="1" t="s">
        <v>354</v>
      </c>
      <c r="AB350" s="49" t="str">
        <f>IFERROR(__xludf.DUMMYFUNCTION("""COMPUTED_VALUE"""),"torture")</f>
        <v>torture</v>
      </c>
      <c r="AC350" s="49"/>
      <c r="AD350" s="49" t="str">
        <f>IFERROR(__xludf.DUMMYFUNCTION("""COMPUTED_VALUE"""),"punk")</f>
        <v>punk</v>
      </c>
      <c r="AE350" s="49" t="str">
        <f>IFERROR(__xludf.DUMMYFUNCTION("""COMPUTED_VALUE"""),"rapid")</f>
        <v>rapid</v>
      </c>
      <c r="AF350" s="49" t="str">
        <f t="shared" si="4"/>
        <v>flick,</v>
      </c>
      <c r="AG350" s="49"/>
      <c r="AH350" s="1" t="s">
        <v>287</v>
      </c>
      <c r="AI350" s="1" t="s">
        <v>1232</v>
      </c>
      <c r="AJ350" s="6" t="str">
        <f>IFERROR(__xludf.DUMMYFUNCTION("""COMPUTED_VALUE"""),"work")</f>
        <v>work</v>
      </c>
      <c r="AK350" s="49"/>
      <c r="AL350" s="49"/>
      <c r="AM350" s="49"/>
      <c r="AN350" s="52" t="str">
        <f t="shared" si="5"/>
        <v>through,</v>
      </c>
    </row>
    <row r="351">
      <c r="A351" s="51"/>
      <c r="B351" s="50" t="s">
        <v>5154</v>
      </c>
      <c r="C351" s="50" t="s">
        <v>802</v>
      </c>
      <c r="D351" s="49" t="str">
        <f>IFERROR(__xludf.DUMMYFUNCTION("""COMPUTED_VALUE"""),"community")</f>
        <v>community</v>
      </c>
      <c r="E351" s="49"/>
      <c r="F351" s="49"/>
      <c r="G351" s="49" t="str">
        <f>IFERROR(__xludf.DUMMYFUNCTION("""COMPUTED_VALUE"""),"jam")</f>
        <v>jam</v>
      </c>
      <c r="H351" s="54" t="str">
        <f t="shared" si="1"/>
        <v>necessary,</v>
      </c>
      <c r="I351" s="50"/>
      <c r="J351" s="50" t="s">
        <v>4725</v>
      </c>
      <c r="K351" s="50" t="s">
        <v>2122</v>
      </c>
      <c r="L351" s="49" t="str">
        <f>IFERROR(__xludf.DUMMYFUNCTION("""COMPUTED_VALUE"""),"ryan")</f>
        <v>ryan</v>
      </c>
      <c r="M351" s="49"/>
      <c r="N351" s="49" t="str">
        <f>IFERROR(__xludf.DUMMYFUNCTION("""COMPUTED_VALUE"""),"thought")</f>
        <v>thought</v>
      </c>
      <c r="O351" s="49" t="str">
        <f>IFERROR(__xludf.DUMMYFUNCTION("""COMPUTED_VALUE"""),"virtually")</f>
        <v>virtually</v>
      </c>
      <c r="P351" s="49" t="str">
        <f t="shared" si="2"/>
        <v>thousand,</v>
      </c>
      <c r="Q351" s="49"/>
      <c r="R351" s="50" t="s">
        <v>2710</v>
      </c>
      <c r="S351" s="55" t="s">
        <v>1511</v>
      </c>
      <c r="T351" s="49">
        <f>IFERROR(__xludf.DUMMYFUNCTION("""COMPUTED_VALUE"""),1993.0)</f>
        <v>1993</v>
      </c>
      <c r="U351" s="49"/>
      <c r="V351" s="49" t="str">
        <f>IFERROR(__xludf.DUMMYFUNCTION("""COMPUTED_VALUE"""),"disco")</f>
        <v>disco</v>
      </c>
      <c r="W351" s="49" t="str">
        <f>IFERROR(__xludf.DUMMYFUNCTION("""COMPUTED_VALUE"""),"hispanic")</f>
        <v>hispanic</v>
      </c>
      <c r="X351" s="49" t="str">
        <f t="shared" si="3"/>
        <v>middle,</v>
      </c>
      <c r="Y351" s="49"/>
      <c r="Z351" s="1" t="s">
        <v>939</v>
      </c>
      <c r="AA351" s="1" t="s">
        <v>1272</v>
      </c>
      <c r="AB351" s="49" t="str">
        <f>IFERROR(__xludf.DUMMYFUNCTION("""COMPUTED_VALUE"""),"edge")</f>
        <v>edge</v>
      </c>
      <c r="AC351" s="49"/>
      <c r="AD351" s="49" t="str">
        <f>IFERROR(__xludf.DUMMYFUNCTION("""COMPUTED_VALUE"""),"thought")</f>
        <v>thought</v>
      </c>
      <c r="AE351" s="49" t="str">
        <f>IFERROR(__xludf.DUMMYFUNCTION("""COMPUTED_VALUE"""),"virtually")</f>
        <v>virtually</v>
      </c>
      <c r="AF351" s="49" t="str">
        <f t="shared" si="4"/>
        <v>work,</v>
      </c>
      <c r="AG351" s="49"/>
      <c r="AH351" s="1" t="s">
        <v>939</v>
      </c>
      <c r="AI351" s="1" t="s">
        <v>1529</v>
      </c>
      <c r="AJ351" s="6" t="str">
        <f>IFERROR(__xludf.DUMMYFUNCTION("""COMPUTED_VALUE"""),"want")</f>
        <v>want</v>
      </c>
      <c r="AK351" s="49"/>
      <c r="AL351" s="49"/>
      <c r="AM351" s="49"/>
      <c r="AN351" s="52" t="str">
        <f t="shared" si="5"/>
        <v>work,</v>
      </c>
    </row>
    <row r="352">
      <c r="A352" s="51"/>
      <c r="B352" s="50" t="s">
        <v>6714</v>
      </c>
      <c r="C352" s="50" t="s">
        <v>4830</v>
      </c>
      <c r="D352" s="49" t="str">
        <f>IFERROR(__xludf.DUMMYFUNCTION("""COMPUTED_VALUE"""),"tradition")</f>
        <v>tradition</v>
      </c>
      <c r="E352" s="49"/>
      <c r="F352" s="49"/>
      <c r="G352" s="49" t="str">
        <f>IFERROR(__xludf.DUMMYFUNCTION("""COMPUTED_VALUE"""),"concrete")</f>
        <v>concrete</v>
      </c>
      <c r="H352" s="54" t="str">
        <f t="shared" si="1"/>
        <v>fair,</v>
      </c>
      <c r="I352" s="50"/>
      <c r="J352" s="50" t="s">
        <v>2874</v>
      </c>
      <c r="K352" s="50" t="s">
        <v>1908</v>
      </c>
      <c r="L352" s="49" t="str">
        <f>IFERROR(__xludf.DUMMYFUNCTION("""COMPUTED_VALUE"""),"usual")</f>
        <v>usual</v>
      </c>
      <c r="M352" s="49"/>
      <c r="N352" s="49" t="str">
        <f>IFERROR(__xludf.DUMMYFUNCTION("""COMPUTED_VALUE"""),"without")</f>
        <v>without</v>
      </c>
      <c r="O352" s="49" t="str">
        <f>IFERROR(__xludf.DUMMYFUNCTION("""COMPUTED_VALUE"""),"plunging")</f>
        <v>plunging</v>
      </c>
      <c r="P352" s="49" t="str">
        <f t="shared" si="2"/>
        <v>odyssey,</v>
      </c>
      <c r="Q352" s="49"/>
      <c r="R352" s="50" t="s">
        <v>4909</v>
      </c>
      <c r="S352" s="55" t="s">
        <v>2055</v>
      </c>
      <c r="T352" s="49" t="str">
        <f>IFERROR(__xludf.DUMMYFUNCTION("""COMPUTED_VALUE"""),"school")</f>
        <v>school</v>
      </c>
      <c r="U352" s="49"/>
      <c r="V352" s="49" t="str">
        <f>IFERROR(__xludf.DUMMYFUNCTION("""COMPUTED_VALUE"""),"guts")</f>
        <v>guts</v>
      </c>
      <c r="W352" s="49" t="str">
        <f>IFERROR(__xludf.DUMMYFUNCTION("""COMPUTED_VALUE"""),"stiff")</f>
        <v>stiff</v>
      </c>
      <c r="X352" s="49" t="str">
        <f t="shared" si="3"/>
        <v>daniel,</v>
      </c>
      <c r="Y352" s="49"/>
      <c r="Z352" s="1" t="s">
        <v>516</v>
      </c>
      <c r="AA352" s="1" t="s">
        <v>327</v>
      </c>
      <c r="AB352" s="49" t="str">
        <f>IFERROR(__xludf.DUMMYFUNCTION("""COMPUTED_VALUE"""),"deals")</f>
        <v>deals</v>
      </c>
      <c r="AC352" s="49"/>
      <c r="AD352" s="49" t="str">
        <f>IFERROR(__xludf.DUMMYFUNCTION("""COMPUTED_VALUE"""),"without")</f>
        <v>without</v>
      </c>
      <c r="AE352" s="49" t="str">
        <f>IFERROR(__xludf.DUMMYFUNCTION("""COMPUTED_VALUE"""),"plunging")</f>
        <v>plunging</v>
      </c>
      <c r="AF352" s="49" t="str">
        <f t="shared" si="4"/>
        <v>every,</v>
      </c>
      <c r="AG352" s="49"/>
      <c r="AH352" s="1" t="s">
        <v>556</v>
      </c>
      <c r="AI352" s="1" t="s">
        <v>731</v>
      </c>
      <c r="AJ352" s="6" t="str">
        <f>IFERROR(__xludf.DUMMYFUNCTION("""COMPUTED_VALUE"""),"every")</f>
        <v>every</v>
      </c>
      <c r="AK352" s="49"/>
      <c r="AL352" s="49"/>
      <c r="AM352" s="49"/>
      <c r="AN352" s="52" t="str">
        <f t="shared" si="5"/>
        <v>want,</v>
      </c>
    </row>
    <row r="353">
      <c r="A353" s="51"/>
      <c r="B353" s="50" t="s">
        <v>6389</v>
      </c>
      <c r="C353" s="50" t="s">
        <v>807</v>
      </c>
      <c r="D353" s="49" t="str">
        <f>IFERROR(__xludf.DUMMYFUNCTION("""COMPUTED_VALUE"""),"importance")</f>
        <v>importance</v>
      </c>
      <c r="E353" s="49"/>
      <c r="F353" s="49"/>
      <c r="G353" s="49" t="str">
        <f>IFERROR(__xludf.DUMMYFUNCTION("""COMPUTED_VALUE"""),"rates")</f>
        <v>rates</v>
      </c>
      <c r="H353" s="54" t="str">
        <f t="shared" si="1"/>
        <v>clearly,</v>
      </c>
      <c r="I353" s="50"/>
      <c r="J353" s="50" t="s">
        <v>3128</v>
      </c>
      <c r="K353" s="50" t="s">
        <v>2128</v>
      </c>
      <c r="L353" s="49" t="str">
        <f>IFERROR(__xludf.DUMMYFUNCTION("""COMPUTED_VALUE"""),"original")</f>
        <v>original</v>
      </c>
      <c r="M353" s="49"/>
      <c r="N353" s="49" t="str">
        <f>IFERROR(__xludf.DUMMYFUNCTION("""COMPUTED_VALUE"""),"book")</f>
        <v>book</v>
      </c>
      <c r="O353" s="49" t="str">
        <f>IFERROR(__xludf.DUMMYFUNCTION("""COMPUTED_VALUE"""),"getting")</f>
        <v>getting</v>
      </c>
      <c r="P353" s="49" t="str">
        <f t="shared" si="2"/>
        <v>hell,</v>
      </c>
      <c r="Q353" s="49"/>
      <c r="R353" s="50" t="s">
        <v>386</v>
      </c>
      <c r="S353" s="55" t="s">
        <v>4122</v>
      </c>
      <c r="T353" s="49" t="str">
        <f>IFERROR(__xludf.DUMMYFUNCTION("""COMPUTED_VALUE"""),"fascinating")</f>
        <v>fascinating</v>
      </c>
      <c r="U353" s="49"/>
      <c r="V353" s="49" t="str">
        <f>IFERROR(__xludf.DUMMYFUNCTION("""COMPUTED_VALUE"""),"turner")</f>
        <v>turner</v>
      </c>
      <c r="W353" s="49" t="str">
        <f>IFERROR(__xludf.DUMMYFUNCTION("""COMPUTED_VALUE"""),"stimulus")</f>
        <v>stimulus</v>
      </c>
      <c r="X353" s="49" t="str">
        <f t="shared" si="3"/>
        <v>around,</v>
      </c>
      <c r="Y353" s="49"/>
      <c r="Z353" s="1" t="s">
        <v>6313</v>
      </c>
      <c r="AA353" s="1" t="s">
        <v>2125</v>
      </c>
      <c r="AB353" s="49" t="str">
        <f>IFERROR(__xludf.DUMMYFUNCTION("""COMPUTED_VALUE"""),"note")</f>
        <v>note</v>
      </c>
      <c r="AC353" s="49"/>
      <c r="AD353" s="49" t="str">
        <f>IFERROR(__xludf.DUMMYFUNCTION("""COMPUTED_VALUE"""),"book")</f>
        <v>book</v>
      </c>
      <c r="AE353" s="49" t="str">
        <f>IFERROR(__xludf.DUMMYFUNCTION("""COMPUTED_VALUE"""),"getting")</f>
        <v>getting</v>
      </c>
      <c r="AF353" s="49" t="str">
        <f t="shared" si="4"/>
        <v>character,</v>
      </c>
      <c r="AG353" s="49"/>
      <c r="AH353" s="1" t="s">
        <v>516</v>
      </c>
      <c r="AI353" s="1" t="s">
        <v>1237</v>
      </c>
      <c r="AJ353" s="6" t="str">
        <f>IFERROR(__xludf.DUMMYFUNCTION("""COMPUTED_VALUE"""),"given")</f>
        <v>given</v>
      </c>
      <c r="AK353" s="49"/>
      <c r="AL353" s="49"/>
      <c r="AM353" s="49"/>
      <c r="AN353" s="52" t="str">
        <f t="shared" si="5"/>
        <v>every,</v>
      </c>
    </row>
    <row r="354">
      <c r="A354" s="51"/>
      <c r="B354" s="50" t="s">
        <v>4698</v>
      </c>
      <c r="C354" s="50" t="s">
        <v>1774</v>
      </c>
      <c r="D354" s="49" t="str">
        <f>IFERROR(__xludf.DUMMYFUNCTION("""COMPUTED_VALUE"""),"set")</f>
        <v>set</v>
      </c>
      <c r="E354" s="49"/>
      <c r="F354" s="49"/>
      <c r="G354" s="49" t="str">
        <f>IFERROR(__xludf.DUMMYFUNCTION("""COMPUTED_VALUE"""),"protecting")</f>
        <v>protecting</v>
      </c>
      <c r="H354" s="54" t="str">
        <f t="shared" si="1"/>
        <v>mortal,</v>
      </c>
      <c r="I354" s="50"/>
      <c r="J354" s="50" t="s">
        <v>3668</v>
      </c>
      <c r="K354" s="50" t="s">
        <v>1914</v>
      </c>
      <c r="L354" s="49" t="str">
        <f>IFERROR(__xludf.DUMMYFUNCTION("""COMPUTED_VALUE"""),"rare")</f>
        <v>rare</v>
      </c>
      <c r="M354" s="49"/>
      <c r="N354" s="49" t="str">
        <f>IFERROR(__xludf.DUMMYFUNCTION("""COMPUTED_VALUE"""),"rocks")</f>
        <v>rocks</v>
      </c>
      <c r="O354" s="49" t="str">
        <f>IFERROR(__xludf.DUMMYFUNCTION("""COMPUTED_VALUE"""),"underneath")</f>
        <v>underneath</v>
      </c>
      <c r="P354" s="49" t="str">
        <f t="shared" si="2"/>
        <v>hope,</v>
      </c>
      <c r="Q354" s="49"/>
      <c r="R354" s="50" t="s">
        <v>4178</v>
      </c>
      <c r="S354" s="55" t="s">
        <v>1524</v>
      </c>
      <c r="T354" s="49" t="str">
        <f>IFERROR(__xludf.DUMMYFUNCTION("""COMPUTED_VALUE"""),"bored")</f>
        <v>bored</v>
      </c>
      <c r="U354" s="49"/>
      <c r="V354" s="49" t="str">
        <f>IFERROR(__xludf.DUMMYFUNCTION("""COMPUTED_VALUE"""),"intelligent")</f>
        <v>intelligent</v>
      </c>
      <c r="W354" s="49" t="str">
        <f>IFERROR(__xludf.DUMMYFUNCTION("""COMPUTED_VALUE"""),"winning")</f>
        <v>winning</v>
      </c>
      <c r="X354" s="49" t="str">
        <f t="shared" si="3"/>
        <v>dancing,</v>
      </c>
      <c r="Y354" s="49"/>
      <c r="Z354" s="1" t="s">
        <v>6293</v>
      </c>
      <c r="AA354" s="1" t="s">
        <v>247</v>
      </c>
      <c r="AB354" s="49" t="str">
        <f>IFERROR(__xludf.DUMMYFUNCTION("""COMPUTED_VALUE"""),"em")</f>
        <v>em</v>
      </c>
      <c r="AC354" s="49"/>
      <c r="AD354" s="49" t="str">
        <f>IFERROR(__xludf.DUMMYFUNCTION("""COMPUTED_VALUE"""),"rocks")</f>
        <v>rocks</v>
      </c>
      <c r="AE354" s="49" t="str">
        <f>IFERROR(__xludf.DUMMYFUNCTION("""COMPUTED_VALUE"""),"underneath")</f>
        <v>underneath</v>
      </c>
      <c r="AF354" s="49" t="str">
        <f t="shared" si="4"/>
        <v>given,</v>
      </c>
      <c r="AG354" s="49"/>
      <c r="AH354" s="1" t="s">
        <v>6293</v>
      </c>
      <c r="AI354" s="1" t="s">
        <v>3514</v>
      </c>
      <c r="AJ354" s="6" t="str">
        <f>IFERROR(__xludf.DUMMYFUNCTION("""COMPUTED_VALUE"""),"big")</f>
        <v>big</v>
      </c>
      <c r="AK354" s="49"/>
      <c r="AL354" s="49"/>
      <c r="AM354" s="49"/>
      <c r="AN354" s="52" t="str">
        <f t="shared" si="5"/>
        <v>given,</v>
      </c>
    </row>
    <row r="355">
      <c r="A355" s="51"/>
      <c r="B355" s="50" t="s">
        <v>976</v>
      </c>
      <c r="C355" s="50" t="s">
        <v>1769</v>
      </c>
      <c r="D355" s="49" t="str">
        <f>IFERROR(__xludf.DUMMYFUNCTION("""COMPUTED_VALUE"""),"look")</f>
        <v>look</v>
      </c>
      <c r="E355" s="49"/>
      <c r="F355" s="49"/>
      <c r="G355" s="49" t="str">
        <f>IFERROR(__xludf.DUMMYFUNCTION("""COMPUTED_VALUE"""),"seventeen")</f>
        <v>seventeen</v>
      </c>
      <c r="H355" s="54" t="str">
        <f t="shared" si="1"/>
        <v>game,</v>
      </c>
      <c r="I355" s="50"/>
      <c r="J355" s="50" t="s">
        <v>6362</v>
      </c>
      <c r="K355" s="50" t="s">
        <v>2134</v>
      </c>
      <c r="L355" s="49" t="str">
        <f>IFERROR(__xludf.DUMMYFUNCTION("""COMPUTED_VALUE"""),"sets")</f>
        <v>sets</v>
      </c>
      <c r="M355" s="49"/>
      <c r="N355" s="49" t="str">
        <f>IFERROR(__xludf.DUMMYFUNCTION("""COMPUTED_VALUE"""),"themselves")</f>
        <v>themselves</v>
      </c>
      <c r="O355" s="49" t="str">
        <f>IFERROR(__xludf.DUMMYFUNCTION("""COMPUTED_VALUE"""),"intense")</f>
        <v>intense</v>
      </c>
      <c r="P355" s="49" t="str">
        <f t="shared" si="2"/>
        <v>everything,</v>
      </c>
      <c r="Q355" s="49"/>
      <c r="R355" s="50" t="s">
        <v>1038</v>
      </c>
      <c r="S355" s="55" t="s">
        <v>1068</v>
      </c>
      <c r="T355" s="49" t="str">
        <f>IFERROR(__xludf.DUMMYFUNCTION("""COMPUTED_VALUE"""),"high")</f>
        <v>high</v>
      </c>
      <c r="U355" s="49"/>
      <c r="V355" s="49" t="str">
        <f>IFERROR(__xludf.DUMMYFUNCTION("""COMPUTED_VALUE"""),"loved")</f>
        <v>loved</v>
      </c>
      <c r="W355" s="49" t="str">
        <f>IFERROR(__xludf.DUMMYFUNCTION("""COMPUTED_VALUE"""),"barrel")</f>
        <v>barrel</v>
      </c>
      <c r="X355" s="49" t="str">
        <f t="shared" si="3"/>
        <v>full,</v>
      </c>
      <c r="Y355" s="49"/>
      <c r="Z355" s="1" t="s">
        <v>287</v>
      </c>
      <c r="AA355" s="1" t="s">
        <v>2131</v>
      </c>
      <c r="AB355" s="49" t="str">
        <f>IFERROR(__xludf.DUMMYFUNCTION("""COMPUTED_VALUE"""),"scripts")</f>
        <v>scripts</v>
      </c>
      <c r="AC355" s="49"/>
      <c r="AD355" s="49" t="str">
        <f>IFERROR(__xludf.DUMMYFUNCTION("""COMPUTED_VALUE"""),"themselves")</f>
        <v>themselves</v>
      </c>
      <c r="AE355" s="49" t="str">
        <f>IFERROR(__xludf.DUMMYFUNCTION("""COMPUTED_VALUE"""),"intense")</f>
        <v>intense</v>
      </c>
      <c r="AF355" s="49" t="str">
        <f t="shared" si="4"/>
        <v>through,</v>
      </c>
      <c r="AG355" s="49"/>
      <c r="AH355" s="1" t="s">
        <v>2227</v>
      </c>
      <c r="AI355" s="1" t="s">
        <v>1536</v>
      </c>
      <c r="AJ355" s="6" t="str">
        <f>IFERROR(__xludf.DUMMYFUNCTION("""COMPUTED_VALUE"""),"role")</f>
        <v>role</v>
      </c>
      <c r="AK355" s="49"/>
      <c r="AL355" s="49"/>
      <c r="AM355" s="49"/>
      <c r="AN355" s="52" t="str">
        <f t="shared" si="5"/>
        <v>big,</v>
      </c>
    </row>
    <row r="356">
      <c r="A356" s="51"/>
      <c r="B356" s="50" t="s">
        <v>485</v>
      </c>
      <c r="C356" s="50" t="s">
        <v>1469</v>
      </c>
      <c r="D356" s="49" t="str">
        <f>IFERROR(__xludf.DUMMYFUNCTION("""COMPUTED_VALUE"""),"business")</f>
        <v>business</v>
      </c>
      <c r="E356" s="49"/>
      <c r="F356" s="49"/>
      <c r="G356" s="49" t="str">
        <f>IFERROR(__xludf.DUMMYFUNCTION("""COMPUTED_VALUE"""),"valid")</f>
        <v>valid</v>
      </c>
      <c r="H356" s="54" t="str">
        <f t="shared" si="1"/>
        <v>together,</v>
      </c>
      <c r="I356" s="50"/>
      <c r="J356" s="50" t="s">
        <v>2725</v>
      </c>
      <c r="K356" s="50" t="s">
        <v>1034</v>
      </c>
      <c r="L356" s="49" t="str">
        <f>IFERROR(__xludf.DUMMYFUNCTION("""COMPUTED_VALUE"""),"roll")</f>
        <v>roll</v>
      </c>
      <c r="M356" s="49"/>
      <c r="N356" s="49" t="str">
        <f>IFERROR(__xludf.DUMMYFUNCTION("""COMPUTED_VALUE"""),"pop")</f>
        <v>pop</v>
      </c>
      <c r="O356" s="49" t="str">
        <f>IFERROR(__xludf.DUMMYFUNCTION("""COMPUTED_VALUE"""),"tackles")</f>
        <v>tackles</v>
      </c>
      <c r="P356" s="49" t="str">
        <f t="shared" si="2"/>
        <v>whatever,</v>
      </c>
      <c r="Q356" s="49"/>
      <c r="R356" s="50" t="s">
        <v>2940</v>
      </c>
      <c r="S356" s="55" t="s">
        <v>257</v>
      </c>
      <c r="T356" s="49" t="str">
        <f>IFERROR(__xludf.DUMMYFUNCTION("""COMPUTED_VALUE"""),"teenagers")</f>
        <v>teenagers</v>
      </c>
      <c r="U356" s="49"/>
      <c r="V356" s="49" t="str">
        <f>IFERROR(__xludf.DUMMYFUNCTION("""COMPUTED_VALUE"""),"reached")</f>
        <v>reached</v>
      </c>
      <c r="W356" s="49" t="str">
        <f>IFERROR(__xludf.DUMMYFUNCTION("""COMPUTED_VALUE"""),"miracles")</f>
        <v>miracles</v>
      </c>
      <c r="X356" s="49" t="str">
        <f t="shared" si="3"/>
        <v>historical,</v>
      </c>
      <c r="Y356" s="49"/>
      <c r="Z356" s="1" t="s">
        <v>6078</v>
      </c>
      <c r="AA356" s="1" t="s">
        <v>1290</v>
      </c>
      <c r="AB356" s="49" t="str">
        <f>IFERROR(__xludf.DUMMYFUNCTION("""COMPUTED_VALUE"""),"success")</f>
        <v>success</v>
      </c>
      <c r="AC356" s="49"/>
      <c r="AD356" s="49" t="str">
        <f>IFERROR(__xludf.DUMMYFUNCTION("""COMPUTED_VALUE"""),"pop")</f>
        <v>pop</v>
      </c>
      <c r="AE356" s="49" t="str">
        <f>IFERROR(__xludf.DUMMYFUNCTION("""COMPUTED_VALUE"""),"tackles")</f>
        <v>tackles</v>
      </c>
      <c r="AF356" s="49" t="str">
        <f t="shared" si="4"/>
        <v>remembered,</v>
      </c>
      <c r="AG356" s="49"/>
      <c r="AH356" s="1" t="s">
        <v>1408</v>
      </c>
      <c r="AI356" s="1" t="s">
        <v>195</v>
      </c>
      <c r="AJ356" s="6" t="str">
        <f>IFERROR(__xludf.DUMMYFUNCTION("""COMPUTED_VALUE"""),"works")</f>
        <v>works</v>
      </c>
      <c r="AK356" s="49"/>
      <c r="AL356" s="49"/>
      <c r="AM356" s="49"/>
      <c r="AN356" s="52" t="str">
        <f t="shared" si="5"/>
        <v>role,</v>
      </c>
    </row>
    <row r="357">
      <c r="A357" s="51"/>
      <c r="B357" s="50" t="s">
        <v>1987</v>
      </c>
      <c r="C357" s="50" t="s">
        <v>540</v>
      </c>
      <c r="D357" s="49" t="str">
        <f>IFERROR(__xludf.DUMMYFUNCTION("""COMPUTED_VALUE"""),"plans")</f>
        <v>plans</v>
      </c>
      <c r="E357" s="49"/>
      <c r="F357" s="49"/>
      <c r="G357" s="49" t="str">
        <f>IFERROR(__xludf.DUMMYFUNCTION("""COMPUTED_VALUE"""),"contributions")</f>
        <v>contributions</v>
      </c>
      <c r="H357" s="54" t="str">
        <f t="shared" si="1"/>
        <v>woman,</v>
      </c>
      <c r="I357" s="50"/>
      <c r="J357" s="50" t="s">
        <v>5407</v>
      </c>
      <c r="K357" s="50" t="s">
        <v>2138</v>
      </c>
      <c r="L357" s="49" t="str">
        <f>IFERROR(__xludf.DUMMYFUNCTION("""COMPUTED_VALUE"""),"fans")</f>
        <v>fans</v>
      </c>
      <c r="M357" s="49"/>
      <c r="N357" s="49" t="str">
        <f>IFERROR(__xludf.DUMMYFUNCTION("""COMPUTED_VALUE"""),"spice")</f>
        <v>spice</v>
      </c>
      <c r="O357" s="49" t="str">
        <f>IFERROR(__xludf.DUMMYFUNCTION("""COMPUTED_VALUE"""),"grotesque")</f>
        <v>grotesque</v>
      </c>
      <c r="P357" s="49" t="str">
        <f t="shared" si="2"/>
        <v>considering,</v>
      </c>
      <c r="Q357" s="49"/>
      <c r="R357" s="50" t="s">
        <v>6408</v>
      </c>
      <c r="S357" s="55" t="s">
        <v>1545</v>
      </c>
      <c r="T357" s="49" t="str">
        <f>IFERROR(__xludf.DUMMYFUNCTION("""COMPUTED_VALUE"""),"killing")</f>
        <v>killing</v>
      </c>
      <c r="U357" s="49"/>
      <c r="V357" s="49" t="str">
        <f>IFERROR(__xludf.DUMMYFUNCTION("""COMPUTED_VALUE"""),"variation")</f>
        <v>variation</v>
      </c>
      <c r="W357" s="49" t="str">
        <f>IFERROR(__xludf.DUMMYFUNCTION("""COMPUTED_VALUE"""),"lewis")</f>
        <v>lewis</v>
      </c>
      <c r="X357" s="49" t="str">
        <f t="shared" si="3"/>
        <v>highly,</v>
      </c>
      <c r="Y357" s="49"/>
      <c r="Z357" s="1" t="s">
        <v>2784</v>
      </c>
      <c r="AA357" s="1" t="s">
        <v>335</v>
      </c>
      <c r="AB357" s="49" t="str">
        <f>IFERROR(__xludf.DUMMYFUNCTION("""COMPUTED_VALUE"""),"sweet")</f>
        <v>sweet</v>
      </c>
      <c r="AC357" s="49"/>
      <c r="AD357" s="49" t="str">
        <f>IFERROR(__xludf.DUMMYFUNCTION("""COMPUTED_VALUE"""),"spice")</f>
        <v>spice</v>
      </c>
      <c r="AE357" s="49" t="str">
        <f>IFERROR(__xludf.DUMMYFUNCTION("""COMPUTED_VALUE"""),"grotesque")</f>
        <v>grotesque</v>
      </c>
      <c r="AF357" s="49" t="str">
        <f t="shared" si="4"/>
        <v>romantic,</v>
      </c>
      <c r="AG357" s="49"/>
      <c r="AH357" s="1" t="s">
        <v>1701</v>
      </c>
      <c r="AI357" s="1" t="s">
        <v>514</v>
      </c>
      <c r="AJ357" s="6" t="str">
        <f>IFERROR(__xludf.DUMMYFUNCTION("""COMPUTED_VALUE"""),"playing")</f>
        <v>playing</v>
      </c>
      <c r="AK357" s="49"/>
      <c r="AL357" s="49"/>
      <c r="AM357" s="49"/>
      <c r="AN357" s="52" t="str">
        <f t="shared" si="5"/>
        <v>works,</v>
      </c>
    </row>
    <row r="358">
      <c r="A358" s="51"/>
      <c r="B358" s="50" t="s">
        <v>6528</v>
      </c>
      <c r="C358" s="50" t="s">
        <v>365</v>
      </c>
      <c r="D358" s="49" t="str">
        <f>IFERROR(__xludf.DUMMYFUNCTION("""COMPUTED_VALUE"""),"cell")</f>
        <v>cell</v>
      </c>
      <c r="E358" s="49"/>
      <c r="F358" s="49"/>
      <c r="G358" s="49" t="str">
        <f>IFERROR(__xludf.DUMMYFUNCTION("""COMPUTED_VALUE"""),"replacing")</f>
        <v>replacing</v>
      </c>
      <c r="H358" s="54" t="str">
        <f t="shared" si="1"/>
        <v>la,</v>
      </c>
      <c r="I358" s="50"/>
      <c r="J358" s="50" t="s">
        <v>1497</v>
      </c>
      <c r="K358" s="50" t="s">
        <v>208</v>
      </c>
      <c r="L358" s="49" t="str">
        <f>IFERROR(__xludf.DUMMYFUNCTION("""COMPUTED_VALUE"""),"dumb")</f>
        <v>dumb</v>
      </c>
      <c r="M358" s="49"/>
      <c r="N358" s="49" t="str">
        <f>IFERROR(__xludf.DUMMYFUNCTION("""COMPUTED_VALUE"""),"needed")</f>
        <v>needed</v>
      </c>
      <c r="O358" s="49" t="str">
        <f>IFERROR(__xludf.DUMMYFUNCTION("""COMPUTED_VALUE"""),"kwan")</f>
        <v>kwan</v>
      </c>
      <c r="P358" s="49" t="str">
        <f t="shared" si="2"/>
        <v>successful,</v>
      </c>
      <c r="Q358" s="49"/>
      <c r="R358" s="50" t="s">
        <v>322</v>
      </c>
      <c r="S358" s="55" t="s">
        <v>1836</v>
      </c>
      <c r="T358" s="49" t="str">
        <f>IFERROR(__xludf.DUMMYFUNCTION("""COMPUTED_VALUE"""),"watching")</f>
        <v>watching</v>
      </c>
      <c r="U358" s="49"/>
      <c r="V358" s="49" t="str">
        <f>IFERROR(__xludf.DUMMYFUNCTION("""COMPUTED_VALUE"""),"sober")</f>
        <v>sober</v>
      </c>
      <c r="W358" s="49" t="str">
        <f>IFERROR(__xludf.DUMMYFUNCTION("""COMPUTED_VALUE"""),"davies")</f>
        <v>davies</v>
      </c>
      <c r="X358" s="49" t="str">
        <f t="shared" si="3"/>
        <v>experience,</v>
      </c>
      <c r="Y358" s="49"/>
      <c r="Z358" s="1" t="s">
        <v>2986</v>
      </c>
      <c r="AA358" s="1" t="s">
        <v>2139</v>
      </c>
      <c r="AB358" s="49" t="str">
        <f>IFERROR(__xludf.DUMMYFUNCTION("""COMPUTED_VALUE"""),"bottom")</f>
        <v>bottom</v>
      </c>
      <c r="AC358" s="49"/>
      <c r="AD358" s="49" t="str">
        <f>IFERROR(__xludf.DUMMYFUNCTION("""COMPUTED_VALUE"""),"needed")</f>
        <v>needed</v>
      </c>
      <c r="AE358" s="49" t="str">
        <f>IFERROR(__xludf.DUMMYFUNCTION("""COMPUTED_VALUE"""),"kwan")</f>
        <v>kwan</v>
      </c>
      <c r="AF358" s="49" t="str">
        <f t="shared" si="4"/>
        <v>almost,</v>
      </c>
      <c r="AG358" s="49"/>
      <c r="AH358" s="1" t="s">
        <v>1910</v>
      </c>
      <c r="AI358" s="1" t="s">
        <v>670</v>
      </c>
      <c r="AJ358" s="6" t="str">
        <f>IFERROR(__xludf.DUMMYFUNCTION("""COMPUTED_VALUE"""),"michael")</f>
        <v>michael</v>
      </c>
      <c r="AK358" s="49"/>
      <c r="AL358" s="49"/>
      <c r="AM358" s="49"/>
      <c r="AN358" s="52" t="str">
        <f t="shared" si="5"/>
        <v>playing,</v>
      </c>
    </row>
    <row r="359">
      <c r="A359" s="51"/>
      <c r="B359" s="50" t="s">
        <v>1957</v>
      </c>
      <c r="C359" s="50" t="s">
        <v>2227</v>
      </c>
      <c r="D359" s="49" t="str">
        <f>IFERROR(__xludf.DUMMYFUNCTION("""COMPUTED_VALUE"""),"wild")</f>
        <v>wild</v>
      </c>
      <c r="E359" s="49"/>
      <c r="F359" s="49"/>
      <c r="G359" s="49" t="str">
        <f>IFERROR(__xludf.DUMMYFUNCTION("""COMPUTED_VALUE"""),"tracking")</f>
        <v>tracking</v>
      </c>
      <c r="H359" s="54" t="str">
        <f t="shared" si="1"/>
        <v>living,</v>
      </c>
      <c r="I359" s="50"/>
      <c r="J359" s="50" t="s">
        <v>632</v>
      </c>
      <c r="K359" s="50" t="s">
        <v>375</v>
      </c>
      <c r="L359" s="49" t="str">
        <f>IFERROR(__xludf.DUMMYFUNCTION("""COMPUTED_VALUE"""),"hastily")</f>
        <v>hastily</v>
      </c>
      <c r="M359" s="49"/>
      <c r="N359" s="49" t="str">
        <f>IFERROR(__xludf.DUMMYFUNCTION("""COMPUTED_VALUE"""),"city")</f>
        <v>city</v>
      </c>
      <c r="O359" s="49" t="str">
        <f>IFERROR(__xludf.DUMMYFUNCTION("""COMPUTED_VALUE"""),"versatile")</f>
        <v>versatile</v>
      </c>
      <c r="P359" s="49" t="str">
        <f t="shared" si="2"/>
        <v>left,</v>
      </c>
      <c r="Q359" s="49"/>
      <c r="R359" s="50" t="s">
        <v>2087</v>
      </c>
      <c r="S359" s="55" t="s">
        <v>241</v>
      </c>
      <c r="T359" s="49" t="str">
        <f>IFERROR(__xludf.DUMMYFUNCTION("""COMPUTED_VALUE"""),"bump")</f>
        <v>bump</v>
      </c>
      <c r="U359" s="49"/>
      <c r="V359" s="49" t="str">
        <f>IFERROR(__xludf.DUMMYFUNCTION("""COMPUTED_VALUE"""),"dose")</f>
        <v>dose</v>
      </c>
      <c r="W359" s="49" t="str">
        <f>IFERROR(__xludf.DUMMYFUNCTION("""COMPUTED_VALUE"""),"bleak")</f>
        <v>bleak</v>
      </c>
      <c r="X359" s="49" t="str">
        <f t="shared" si="3"/>
        <v>perspective,</v>
      </c>
      <c r="Y359" s="49"/>
      <c r="Z359" s="1" t="s">
        <v>239</v>
      </c>
      <c r="AA359" s="1" t="s">
        <v>1309</v>
      </c>
      <c r="AB359" s="49" t="str">
        <f>IFERROR(__xludf.DUMMYFUNCTION("""COMPUTED_VALUE"""),"self")</f>
        <v>self</v>
      </c>
      <c r="AC359" s="49"/>
      <c r="AD359" s="49" t="str">
        <f>IFERROR(__xludf.DUMMYFUNCTION("""COMPUTED_VALUE"""),"city")</f>
        <v>city</v>
      </c>
      <c r="AE359" s="49" t="str">
        <f>IFERROR(__xludf.DUMMYFUNCTION("""COMPUTED_VALUE"""),"versatile")</f>
        <v>versatile</v>
      </c>
      <c r="AF359" s="49" t="str">
        <f t="shared" si="4"/>
        <v>good,</v>
      </c>
      <c r="AG359" s="49"/>
      <c r="AH359" s="1" t="s">
        <v>4207</v>
      </c>
      <c r="AI359" s="1" t="s">
        <v>1780</v>
      </c>
      <c r="AJ359" s="6" t="str">
        <f>IFERROR(__xludf.DUMMYFUNCTION("""COMPUTED_VALUE"""),"usually")</f>
        <v>usually</v>
      </c>
      <c r="AK359" s="49"/>
      <c r="AL359" s="49"/>
      <c r="AM359" s="49"/>
      <c r="AN359" s="52" t="str">
        <f t="shared" si="5"/>
        <v>michael,</v>
      </c>
    </row>
    <row r="360">
      <c r="A360" s="51"/>
      <c r="B360" s="50" t="s">
        <v>1972</v>
      </c>
      <c r="C360" s="50" t="s">
        <v>4239</v>
      </c>
      <c r="D360" s="49" t="str">
        <f>IFERROR(__xludf.DUMMYFUNCTION("""COMPUTED_VALUE"""),"online")</f>
        <v>online</v>
      </c>
      <c r="E360" s="49"/>
      <c r="F360" s="49"/>
      <c r="G360" s="49" t="str">
        <f>IFERROR(__xludf.DUMMYFUNCTION("""COMPUTED_VALUE"""),"beliefs")</f>
        <v>beliefs</v>
      </c>
      <c r="H360" s="54" t="str">
        <f t="shared" si="1"/>
        <v>either,</v>
      </c>
      <c r="I360" s="50"/>
      <c r="J360" s="50" t="s">
        <v>955</v>
      </c>
      <c r="K360" s="50" t="s">
        <v>1053</v>
      </c>
      <c r="L360" s="49" t="str">
        <f>IFERROR(__xludf.DUMMYFUNCTION("""COMPUTED_VALUE"""),"minds")</f>
        <v>minds</v>
      </c>
      <c r="M360" s="49"/>
      <c r="N360" s="49" t="str">
        <f>IFERROR(__xludf.DUMMYFUNCTION("""COMPUTED_VALUE"""),"rock")</f>
        <v>rock</v>
      </c>
      <c r="O360" s="49" t="str">
        <f>IFERROR(__xludf.DUMMYFUNCTION("""COMPUTED_VALUE"""),"clive")</f>
        <v>clive</v>
      </c>
      <c r="P360" s="49" t="str">
        <f t="shared" si="2"/>
        <v>times,</v>
      </c>
      <c r="Q360" s="49"/>
      <c r="R360" s="50" t="s">
        <v>145</v>
      </c>
      <c r="S360" s="55" t="s">
        <v>250</v>
      </c>
      <c r="T360" s="49" t="str">
        <f>IFERROR(__xludf.DUMMYFUNCTION("""COMPUTED_VALUE"""),"heads")</f>
        <v>heads</v>
      </c>
      <c r="U360" s="49"/>
      <c r="V360" s="49" t="str">
        <f>IFERROR(__xludf.DUMMYFUNCTION("""COMPUTED_VALUE"""),"credit")</f>
        <v>credit</v>
      </c>
      <c r="W360" s="49" t="str">
        <f>IFERROR(__xludf.DUMMYFUNCTION("""COMPUTED_VALUE"""),"each")</f>
        <v>each</v>
      </c>
      <c r="X360" s="49" t="str">
        <f t="shared" si="3"/>
        <v>intelligence,</v>
      </c>
      <c r="Y360" s="49"/>
      <c r="Z360" s="1" t="s">
        <v>1845</v>
      </c>
      <c r="AA360" s="1" t="s">
        <v>2144</v>
      </c>
      <c r="AB360" s="49" t="str">
        <f>IFERROR(__xludf.DUMMYFUNCTION("""COMPUTED_VALUE"""),"directors")</f>
        <v>directors</v>
      </c>
      <c r="AC360" s="49"/>
      <c r="AD360" s="49" t="str">
        <f>IFERROR(__xludf.DUMMYFUNCTION("""COMPUTED_VALUE"""),"rock")</f>
        <v>rock</v>
      </c>
      <c r="AE360" s="49" t="str">
        <f>IFERROR(__xludf.DUMMYFUNCTION("""COMPUTED_VALUE"""),"clive")</f>
        <v>clive</v>
      </c>
      <c r="AF360" s="49" t="str">
        <f t="shared" si="4"/>
        <v>running,</v>
      </c>
      <c r="AG360" s="49"/>
      <c r="AH360" s="1" t="s">
        <v>4764</v>
      </c>
      <c r="AI360" s="1" t="s">
        <v>6314</v>
      </c>
      <c r="AJ360" s="6" t="str">
        <f>IFERROR(__xludf.DUMMYFUNCTION("""COMPUTED_VALUE"""),"performance")</f>
        <v>performance</v>
      </c>
      <c r="AK360" s="49"/>
      <c r="AL360" s="49"/>
      <c r="AM360" s="49"/>
      <c r="AN360" s="52" t="str">
        <f t="shared" si="5"/>
        <v>usually,</v>
      </c>
    </row>
    <row r="361">
      <c r="A361" s="51"/>
      <c r="B361" s="50" t="s">
        <v>3705</v>
      </c>
      <c r="C361" s="50" t="s">
        <v>1474</v>
      </c>
      <c r="D361" s="49" t="str">
        <f>IFERROR(__xludf.DUMMYFUNCTION("""COMPUTED_VALUE"""),"watching")</f>
        <v>watching</v>
      </c>
      <c r="E361" s="49"/>
      <c r="F361" s="49"/>
      <c r="G361" s="49" t="str">
        <f>IFERROR(__xludf.DUMMYFUNCTION("""COMPUTED_VALUE"""),"freight")</f>
        <v>freight</v>
      </c>
      <c r="H361" s="54" t="str">
        <f t="shared" si="1"/>
        <v>stone,</v>
      </c>
      <c r="I361" s="50"/>
      <c r="J361" s="50" t="s">
        <v>2490</v>
      </c>
      <c r="K361" s="50" t="s">
        <v>1938</v>
      </c>
      <c r="L361" s="49" t="str">
        <f>IFERROR(__xludf.DUMMYFUNCTION("""COMPUTED_VALUE"""),"formula")</f>
        <v>formula</v>
      </c>
      <c r="M361" s="49"/>
      <c r="N361" s="49" t="str">
        <f>IFERROR(__xludf.DUMMYFUNCTION("""COMPUTED_VALUE"""),"enjoy")</f>
        <v>enjoy</v>
      </c>
      <c r="O361" s="49" t="str">
        <f>IFERROR(__xludf.DUMMYFUNCTION("""COMPUTED_VALUE"""),"barker")</f>
        <v>barker</v>
      </c>
      <c r="P361" s="49" t="str">
        <f t="shared" si="2"/>
        <v>ultimately,</v>
      </c>
      <c r="Q361" s="49"/>
      <c r="R361" s="50" t="s">
        <v>1404</v>
      </c>
      <c r="S361" s="55" t="s">
        <v>909</v>
      </c>
      <c r="T361" s="49" t="str">
        <f>IFERROR(__xludf.DUMMYFUNCTION("""COMPUTED_VALUE"""),"tone")</f>
        <v>tone</v>
      </c>
      <c r="U361" s="49"/>
      <c r="V361" s="49" t="str">
        <f>IFERROR(__xludf.DUMMYFUNCTION("""COMPUTED_VALUE"""),"mike")</f>
        <v>mike</v>
      </c>
      <c r="W361" s="49" t="str">
        <f>IFERROR(__xludf.DUMMYFUNCTION("""COMPUTED_VALUE"""),"bullets")</f>
        <v>bullets</v>
      </c>
      <c r="X361" s="49" t="str">
        <f t="shared" si="3"/>
        <v>member,</v>
      </c>
      <c r="Y361" s="49"/>
      <c r="Z361" s="1" t="s">
        <v>1320</v>
      </c>
      <c r="AA361" s="1" t="s">
        <v>2148</v>
      </c>
      <c r="AB361" s="49" t="str">
        <f>IFERROR(__xludf.DUMMYFUNCTION("""COMPUTED_VALUE"""),"damage")</f>
        <v>damage</v>
      </c>
      <c r="AC361" s="49"/>
      <c r="AD361" s="49" t="str">
        <f>IFERROR(__xludf.DUMMYFUNCTION("""COMPUTED_VALUE"""),"enjoy")</f>
        <v>enjoy</v>
      </c>
      <c r="AE361" s="49" t="str">
        <f>IFERROR(__xludf.DUMMYFUNCTION("""COMPUTED_VALUE"""),"barker")</f>
        <v>barker</v>
      </c>
      <c r="AF361" s="49" t="str">
        <f t="shared" si="4"/>
        <v>along,</v>
      </c>
      <c r="AG361" s="49"/>
      <c r="AH361" s="1" t="s">
        <v>359</v>
      </c>
      <c r="AI361" s="1" t="s">
        <v>741</v>
      </c>
      <c r="AJ361" s="6" t="str">
        <f>IFERROR(__xludf.DUMMYFUNCTION("""COMPUTED_VALUE"""),"character")</f>
        <v>character</v>
      </c>
      <c r="AK361" s="49"/>
      <c r="AL361" s="49"/>
      <c r="AM361" s="49"/>
      <c r="AN361" s="52" t="str">
        <f t="shared" si="5"/>
        <v>performance,</v>
      </c>
    </row>
    <row r="362">
      <c r="A362" s="51"/>
      <c r="B362" s="50" t="s">
        <v>2382</v>
      </c>
      <c r="C362" s="50" t="s">
        <v>890</v>
      </c>
      <c r="D362" s="49" t="str">
        <f>IFERROR(__xludf.DUMMYFUNCTION("""COMPUTED_VALUE"""),"supposed")</f>
        <v>supposed</v>
      </c>
      <c r="E362" s="49"/>
      <c r="F362" s="49"/>
      <c r="G362" s="49" t="str">
        <f>IFERROR(__xludf.DUMMYFUNCTION("""COMPUTED_VALUE"""),"provincial")</f>
        <v>provincial</v>
      </c>
      <c r="H362" s="54" t="str">
        <f t="shared" si="1"/>
        <v>question,</v>
      </c>
      <c r="I362" s="50"/>
      <c r="J362" s="50" t="s">
        <v>1437</v>
      </c>
      <c r="K362" s="50" t="s">
        <v>2153</v>
      </c>
      <c r="L362" s="49" t="str">
        <f>IFERROR(__xludf.DUMMYFUNCTION("""COMPUTED_VALUE"""),"bears")</f>
        <v>bears</v>
      </c>
      <c r="M362" s="49"/>
      <c r="N362" s="49" t="str">
        <f>IFERROR(__xludf.DUMMYFUNCTION("""COMPUTED_VALUE"""),"rating")</f>
        <v>rating</v>
      </c>
      <c r="O362" s="49" t="str">
        <f>IFERROR(__xludf.DUMMYFUNCTION("""COMPUTED_VALUE"""),"recognizable")</f>
        <v>recognizable</v>
      </c>
      <c r="P362" s="49" t="str">
        <f t="shared" si="2"/>
        <v>ve,</v>
      </c>
      <c r="Q362" s="49"/>
      <c r="R362" s="50" t="s">
        <v>3815</v>
      </c>
      <c r="S362" s="55" t="s">
        <v>5053</v>
      </c>
      <c r="T362" s="49" t="str">
        <f>IFERROR(__xludf.DUMMYFUNCTION("""COMPUTED_VALUE"""),"girl")</f>
        <v>girl</v>
      </c>
      <c r="U362" s="49"/>
      <c r="V362" s="49" t="str">
        <f>IFERROR(__xludf.DUMMYFUNCTION("""COMPUTED_VALUE"""),"overcome")</f>
        <v>overcome</v>
      </c>
      <c r="W362" s="49" t="str">
        <f>IFERROR(__xludf.DUMMYFUNCTION("""COMPUTED_VALUE"""),"extended")</f>
        <v>extended</v>
      </c>
      <c r="X362" s="49" t="str">
        <f t="shared" si="3"/>
        <v>wave,</v>
      </c>
      <c r="Y362" s="49"/>
      <c r="Z362" s="1" t="s">
        <v>2942</v>
      </c>
      <c r="AA362" s="1" t="s">
        <v>2056</v>
      </c>
      <c r="AB362" s="49" t="str">
        <f>IFERROR(__xludf.DUMMYFUNCTION("""COMPUTED_VALUE"""),"several")</f>
        <v>several</v>
      </c>
      <c r="AC362" s="49"/>
      <c r="AD362" s="49" t="str">
        <f>IFERROR(__xludf.DUMMYFUNCTION("""COMPUTED_VALUE"""),"rating")</f>
        <v>rating</v>
      </c>
      <c r="AE362" s="49" t="str">
        <f>IFERROR(__xludf.DUMMYFUNCTION("""COMPUTED_VALUE"""),"recognizable")</f>
        <v>recognizable</v>
      </c>
      <c r="AF362" s="49" t="str">
        <f t="shared" si="4"/>
        <v>ago,</v>
      </c>
      <c r="AG362" s="49"/>
      <c r="AH362" s="1" t="s">
        <v>6313</v>
      </c>
      <c r="AI362" s="1" t="s">
        <v>1551</v>
      </c>
      <c r="AJ362" s="6" t="str">
        <f>IFERROR(__xludf.DUMMYFUNCTION("""COMPUTED_VALUE"""),"dr")</f>
        <v>dr</v>
      </c>
      <c r="AK362" s="49"/>
      <c r="AL362" s="49"/>
      <c r="AM362" s="49"/>
      <c r="AN362" s="52" t="str">
        <f t="shared" si="5"/>
        <v>character,</v>
      </c>
    </row>
    <row r="363">
      <c r="A363" s="51"/>
      <c r="B363" s="50" t="s">
        <v>5405</v>
      </c>
      <c r="C363" s="50" t="s">
        <v>3326</v>
      </c>
      <c r="D363" s="49" t="str">
        <f>IFERROR(__xludf.DUMMYFUNCTION("""COMPUTED_VALUE"""),"absolutely")</f>
        <v>absolutely</v>
      </c>
      <c r="E363" s="49"/>
      <c r="F363" s="49"/>
      <c r="G363" s="49">
        <f>IFERROR(__xludf.DUMMYFUNCTION("""COMPUTED_VALUE"""),71.0)</f>
        <v>71</v>
      </c>
      <c r="H363" s="54" t="str">
        <f t="shared" si="1"/>
        <v>image,</v>
      </c>
      <c r="I363" s="50"/>
      <c r="J363" s="50" t="s">
        <v>3630</v>
      </c>
      <c r="K363" s="50" t="s">
        <v>381</v>
      </c>
      <c r="L363" s="49" t="str">
        <f>IFERROR(__xludf.DUMMYFUNCTION("""COMPUTED_VALUE"""),"remember")</f>
        <v>remember</v>
      </c>
      <c r="M363" s="49"/>
      <c r="N363" s="49" t="str">
        <f>IFERROR(__xludf.DUMMYFUNCTION("""COMPUTED_VALUE"""),"wondering")</f>
        <v>wondering</v>
      </c>
      <c r="O363" s="49" t="str">
        <f>IFERROR(__xludf.DUMMYFUNCTION("""COMPUTED_VALUE"""),"propelled")</f>
        <v>propelled</v>
      </c>
      <c r="P363" s="49" t="str">
        <f t="shared" si="2"/>
        <v>mine,</v>
      </c>
      <c r="Q363" s="49"/>
      <c r="R363" s="50" t="s">
        <v>1634</v>
      </c>
      <c r="S363" s="55" t="s">
        <v>1862</v>
      </c>
      <c r="T363" s="49" t="str">
        <f>IFERROR(__xludf.DUMMYFUNCTION("""COMPUTED_VALUE"""),"black")</f>
        <v>black</v>
      </c>
      <c r="U363" s="49"/>
      <c r="V363" s="49" t="str">
        <f>IFERROR(__xludf.DUMMYFUNCTION("""COMPUTED_VALUE"""),"jealous")</f>
        <v>jealous</v>
      </c>
      <c r="W363" s="49" t="str">
        <f>IFERROR(__xludf.DUMMYFUNCTION("""COMPUTED_VALUE"""),"convincing")</f>
        <v>convincing</v>
      </c>
      <c r="X363" s="49" t="str">
        <f t="shared" si="3"/>
        <v>passion,</v>
      </c>
      <c r="Y363" s="49"/>
      <c r="Z363" s="1" t="s">
        <v>2098</v>
      </c>
      <c r="AA363" s="1" t="s">
        <v>1327</v>
      </c>
      <c r="AB363" s="49" t="str">
        <f>IFERROR(__xludf.DUMMYFUNCTION("""COMPUTED_VALUE"""),"impact")</f>
        <v>impact</v>
      </c>
      <c r="AC363" s="49"/>
      <c r="AD363" s="49" t="str">
        <f>IFERROR(__xludf.DUMMYFUNCTION("""COMPUTED_VALUE"""),"wondering")</f>
        <v>wondering</v>
      </c>
      <c r="AE363" s="49" t="str">
        <f>IFERROR(__xludf.DUMMYFUNCTION("""COMPUTED_VALUE"""),"propelled")</f>
        <v>propelled</v>
      </c>
      <c r="AF363" s="49" t="str">
        <f t="shared" si="4"/>
        <v>dogs,</v>
      </c>
      <c r="AG363" s="49"/>
      <c r="AH363" s="1" t="s">
        <v>6857</v>
      </c>
      <c r="AI363" s="1" t="s">
        <v>1807</v>
      </c>
      <c r="AJ363" s="6" t="str">
        <f>IFERROR(__xludf.DUMMYFUNCTION("""COMPUTED_VALUE"""),"bit")</f>
        <v>bit</v>
      </c>
      <c r="AK363" s="49"/>
      <c r="AL363" s="49"/>
      <c r="AM363" s="49"/>
      <c r="AN363" s="52" t="str">
        <f t="shared" si="5"/>
        <v>dr,</v>
      </c>
    </row>
    <row r="364">
      <c r="A364" s="51"/>
      <c r="B364" s="50" t="s">
        <v>2901</v>
      </c>
      <c r="C364" s="50" t="s">
        <v>1489</v>
      </c>
      <c r="D364" s="49" t="str">
        <f>IFERROR(__xludf.DUMMYFUNCTION("""COMPUTED_VALUE"""),"ridiculous")</f>
        <v>ridiculous</v>
      </c>
      <c r="E364" s="49"/>
      <c r="F364" s="49"/>
      <c r="G364" s="49" t="str">
        <f>IFERROR(__xludf.DUMMYFUNCTION("""COMPUTED_VALUE"""),"ye")</f>
        <v>ye</v>
      </c>
      <c r="H364" s="54" t="str">
        <f t="shared" si="1"/>
        <v>dream,</v>
      </c>
      <c r="I364" s="50"/>
      <c r="J364" s="50" t="s">
        <v>6401</v>
      </c>
      <c r="K364" s="50" t="s">
        <v>1065</v>
      </c>
      <c r="L364" s="49" t="str">
        <f>IFERROR(__xludf.DUMMYFUNCTION("""COMPUTED_VALUE"""),"showdown")</f>
        <v>showdown</v>
      </c>
      <c r="M364" s="49"/>
      <c r="N364" s="49" t="str">
        <f>IFERROR(__xludf.DUMMYFUNCTION("""COMPUTED_VALUE"""),"gone")</f>
        <v>gone</v>
      </c>
      <c r="O364" s="49" t="str">
        <f>IFERROR(__xludf.DUMMYFUNCTION("""COMPUTED_VALUE"""),"revelations")</f>
        <v>revelations</v>
      </c>
      <c r="P364" s="49" t="str">
        <f t="shared" si="2"/>
        <v>familiar,</v>
      </c>
      <c r="Q364" s="49"/>
      <c r="R364" s="50" t="s">
        <v>2108</v>
      </c>
      <c r="S364" s="55" t="s">
        <v>1569</v>
      </c>
      <c r="T364" s="49" t="str">
        <f>IFERROR(__xludf.DUMMYFUNCTION("""COMPUTED_VALUE"""),"harvard")</f>
        <v>harvard</v>
      </c>
      <c r="U364" s="49"/>
      <c r="V364" s="49" t="str">
        <f>IFERROR(__xludf.DUMMYFUNCTION("""COMPUTED_VALUE"""),"design")</f>
        <v>design</v>
      </c>
      <c r="W364" s="49" t="str">
        <f>IFERROR(__xludf.DUMMYFUNCTION("""COMPUTED_VALUE"""),"viewer")</f>
        <v>viewer</v>
      </c>
      <c r="X364" s="49" t="str">
        <f t="shared" si="3"/>
        <v>phone,</v>
      </c>
      <c r="Y364" s="49"/>
      <c r="Z364" s="1" t="s">
        <v>2604</v>
      </c>
      <c r="AA364" s="1" t="s">
        <v>1322</v>
      </c>
      <c r="AB364" s="49" t="str">
        <f>IFERROR(__xludf.DUMMYFUNCTION("""COMPUTED_VALUE"""),"freeman")</f>
        <v>freeman</v>
      </c>
      <c r="AC364" s="49"/>
      <c r="AD364" s="49" t="str">
        <f>IFERROR(__xludf.DUMMYFUNCTION("""COMPUTED_VALUE"""),"gone")</f>
        <v>gone</v>
      </c>
      <c r="AE364" s="49" t="str">
        <f>IFERROR(__xludf.DUMMYFUNCTION("""COMPUTED_VALUE"""),"revelations")</f>
        <v>revelations</v>
      </c>
      <c r="AF364" s="49" t="str">
        <f t="shared" si="4"/>
        <v>truth,</v>
      </c>
      <c r="AG364" s="49"/>
      <c r="AH364" s="1" t="s">
        <v>2247</v>
      </c>
      <c r="AI364" s="1" t="s">
        <v>1574</v>
      </c>
      <c r="AJ364" s="6" t="str">
        <f>IFERROR(__xludf.DUMMYFUNCTION("""COMPUTED_VALUE"""),"studio")</f>
        <v>studio</v>
      </c>
      <c r="AK364" s="49"/>
      <c r="AL364" s="49"/>
      <c r="AM364" s="49"/>
      <c r="AN364" s="52" t="str">
        <f t="shared" si="5"/>
        <v>bit,</v>
      </c>
    </row>
    <row r="365">
      <c r="A365" s="51"/>
      <c r="B365" s="50" t="s">
        <v>1944</v>
      </c>
      <c r="C365" s="50" t="s">
        <v>1492</v>
      </c>
      <c r="D365" s="49" t="str">
        <f>IFERROR(__xludf.DUMMYFUNCTION("""COMPUTED_VALUE"""),"rock")</f>
        <v>rock</v>
      </c>
      <c r="E365" s="49"/>
      <c r="F365" s="49"/>
      <c r="G365" s="49" t="str">
        <f>IFERROR(__xludf.DUMMYFUNCTION("""COMPUTED_VALUE"""),"portraits")</f>
        <v>portraits</v>
      </c>
      <c r="H365" s="54" t="str">
        <f t="shared" si="1"/>
        <v>reality,</v>
      </c>
      <c r="I365" s="50"/>
      <c r="J365" s="50" t="s">
        <v>3554</v>
      </c>
      <c r="K365" s="50" t="s">
        <v>369</v>
      </c>
      <c r="L365" s="49" t="str">
        <f>IFERROR(__xludf.DUMMYFUNCTION("""COMPUTED_VALUE"""),"hilarious")</f>
        <v>hilarious</v>
      </c>
      <c r="M365" s="49"/>
      <c r="N365" s="49" t="str">
        <f>IFERROR(__xludf.DUMMYFUNCTION("""COMPUTED_VALUE"""),"probably")</f>
        <v>probably</v>
      </c>
      <c r="O365" s="49" t="str">
        <f>IFERROR(__xludf.DUMMYFUNCTION("""COMPUTED_VALUE"""),"mug")</f>
        <v>mug</v>
      </c>
      <c r="P365" s="49" t="str">
        <f t="shared" si="2"/>
        <v>likes,</v>
      </c>
      <c r="Q365" s="49"/>
      <c r="R365" s="50" t="s">
        <v>137</v>
      </c>
      <c r="S365" s="55" t="s">
        <v>1564</v>
      </c>
      <c r="T365" s="49" t="str">
        <f>IFERROR(__xludf.DUMMYFUNCTION("""COMPUTED_VALUE"""),"played")</f>
        <v>played</v>
      </c>
      <c r="U365" s="49"/>
      <c r="V365" s="49" t="str">
        <f>IFERROR(__xludf.DUMMYFUNCTION("""COMPUTED_VALUE"""),"claws")</f>
        <v>claws</v>
      </c>
      <c r="W365" s="49" t="str">
        <f>IFERROR(__xludf.DUMMYFUNCTION("""COMPUTED_VALUE"""),"useless")</f>
        <v>useless</v>
      </c>
      <c r="X365" s="49" t="str">
        <f t="shared" si="3"/>
        <v>taken,</v>
      </c>
      <c r="Y365" s="49"/>
      <c r="Z365" s="1" t="s">
        <v>605</v>
      </c>
      <c r="AA365" s="1" t="s">
        <v>1011</v>
      </c>
      <c r="AB365" s="49" t="str">
        <f>IFERROR(__xludf.DUMMYFUNCTION("""COMPUTED_VALUE"""),"accurately")</f>
        <v>accurately</v>
      </c>
      <c r="AC365" s="49"/>
      <c r="AD365" s="49" t="str">
        <f>IFERROR(__xludf.DUMMYFUNCTION("""COMPUTED_VALUE"""),"probably")</f>
        <v>probably</v>
      </c>
      <c r="AE365" s="49" t="str">
        <f>IFERROR(__xludf.DUMMYFUNCTION("""COMPUTED_VALUE"""),"mug")</f>
        <v>mug</v>
      </c>
      <c r="AF365" s="49" t="str">
        <f t="shared" si="4"/>
        <v>manages,</v>
      </c>
      <c r="AG365" s="49"/>
      <c r="AH365" s="1" t="s">
        <v>6338</v>
      </c>
      <c r="AI365" s="1" t="s">
        <v>2606</v>
      </c>
      <c r="AJ365" s="6" t="str">
        <f>IFERROR(__xludf.DUMMYFUNCTION("""COMPUTED_VALUE"""),"kiss")</f>
        <v>kiss</v>
      </c>
      <c r="AK365" s="49"/>
      <c r="AL365" s="49"/>
      <c r="AM365" s="49"/>
      <c r="AN365" s="52" t="str">
        <f t="shared" si="5"/>
        <v>studio,</v>
      </c>
    </row>
    <row r="366">
      <c r="A366" s="51"/>
      <c r="B366" s="50" t="s">
        <v>5103</v>
      </c>
      <c r="C366" s="50" t="s">
        <v>1791</v>
      </c>
      <c r="D366" s="49" t="str">
        <f>IFERROR(__xludf.DUMMYFUNCTION("""COMPUTED_VALUE"""),"roll")</f>
        <v>roll</v>
      </c>
      <c r="E366" s="49"/>
      <c r="F366" s="49"/>
      <c r="G366" s="49" t="str">
        <f>IFERROR(__xludf.DUMMYFUNCTION("""COMPUTED_VALUE"""),"newcastle")</f>
        <v>newcastle</v>
      </c>
      <c r="H366" s="54" t="str">
        <f t="shared" si="1"/>
        <v>anne,</v>
      </c>
      <c r="I366" s="50"/>
      <c r="J366" s="50" t="s">
        <v>816</v>
      </c>
      <c r="K366" s="50" t="s">
        <v>2162</v>
      </c>
      <c r="L366" s="49" t="str">
        <f>IFERROR(__xludf.DUMMYFUNCTION("""COMPUTED_VALUE"""),"promise")</f>
        <v>promise</v>
      </c>
      <c r="M366" s="49"/>
      <c r="N366" s="49" t="str">
        <f>IFERROR(__xludf.DUMMYFUNCTION("""COMPUTED_VALUE"""),"oh")</f>
        <v>oh</v>
      </c>
      <c r="O366" s="49" t="str">
        <f>IFERROR(__xludf.DUMMYFUNCTION("""COMPUTED_VALUE"""),"convey")</f>
        <v>convey</v>
      </c>
      <c r="P366" s="49" t="str">
        <f t="shared" si="2"/>
        <v>say,</v>
      </c>
      <c r="Q366" s="49"/>
      <c r="R366" s="50" t="s">
        <v>4209</v>
      </c>
      <c r="S366" s="55" t="s">
        <v>917</v>
      </c>
      <c r="T366" s="49" t="str">
        <f>IFERROR(__xludf.DUMMYFUNCTION("""COMPUTED_VALUE"""),"relationship")</f>
        <v>relationship</v>
      </c>
      <c r="U366" s="49"/>
      <c r="V366" s="49" t="str">
        <f>IFERROR(__xludf.DUMMYFUNCTION("""COMPUTED_VALUE"""),"educate")</f>
        <v>educate</v>
      </c>
      <c r="W366" s="49" t="str">
        <f>IFERROR(__xludf.DUMMYFUNCTION("""COMPUTED_VALUE"""),"morton")</f>
        <v>morton</v>
      </c>
      <c r="X366" s="49" t="str">
        <f t="shared" si="3"/>
        <v>america,</v>
      </c>
      <c r="Y366" s="49"/>
      <c r="Z366" s="1" t="s">
        <v>2489</v>
      </c>
      <c r="AA366" s="1" t="s">
        <v>2159</v>
      </c>
      <c r="AB366" s="49" t="str">
        <f>IFERROR(__xludf.DUMMYFUNCTION("""COMPUTED_VALUE"""),"disguise")</f>
        <v>disguise</v>
      </c>
      <c r="AC366" s="49"/>
      <c r="AD366" s="49" t="str">
        <f>IFERROR(__xludf.DUMMYFUNCTION("""COMPUTED_VALUE"""),"oh")</f>
        <v>oh</v>
      </c>
      <c r="AE366" s="49" t="str">
        <f>IFERROR(__xludf.DUMMYFUNCTION("""COMPUTED_VALUE"""),"convey")</f>
        <v>convey</v>
      </c>
      <c r="AF366" s="49" t="str">
        <f t="shared" si="4"/>
        <v>couple,</v>
      </c>
      <c r="AG366" s="49"/>
      <c r="AH366" s="1" t="s">
        <v>4836</v>
      </c>
      <c r="AI366" s="1" t="s">
        <v>4582</v>
      </c>
      <c r="AJ366" s="6" t="str">
        <f>IFERROR(__xludf.DUMMYFUNCTION("""COMPUTED_VALUE"""),"scottish")</f>
        <v>scottish</v>
      </c>
      <c r="AK366" s="49"/>
      <c r="AL366" s="49"/>
      <c r="AM366" s="49"/>
      <c r="AN366" s="52" t="str">
        <f t="shared" si="5"/>
        <v>kiss,</v>
      </c>
    </row>
    <row r="367">
      <c r="A367" s="51"/>
      <c r="B367" s="50" t="s">
        <v>4108</v>
      </c>
      <c r="C367" s="50" t="s">
        <v>1438</v>
      </c>
      <c r="D367" s="49" t="str">
        <f>IFERROR(__xludf.DUMMYFUNCTION("""COMPUTED_VALUE"""),"surprise")</f>
        <v>surprise</v>
      </c>
      <c r="E367" s="49"/>
      <c r="F367" s="49"/>
      <c r="G367" s="49" t="str">
        <f>IFERROR(__xludf.DUMMYFUNCTION("""COMPUTED_VALUE"""),"fellowship")</f>
        <v>fellowship</v>
      </c>
      <c r="H367" s="54" t="str">
        <f t="shared" si="1"/>
        <v>biggest,</v>
      </c>
      <c r="I367" s="50"/>
      <c r="J367" s="50" t="s">
        <v>4490</v>
      </c>
      <c r="K367" s="50" t="s">
        <v>2166</v>
      </c>
      <c r="L367" s="49" t="str">
        <f>IFERROR(__xludf.DUMMYFUNCTION("""COMPUTED_VALUE"""),"nature")</f>
        <v>nature</v>
      </c>
      <c r="M367" s="49"/>
      <c r="N367" s="49" t="str">
        <f>IFERROR(__xludf.DUMMYFUNCTION("""COMPUTED_VALUE"""),"feel")</f>
        <v>feel</v>
      </c>
      <c r="O367" s="49" t="str">
        <f>IFERROR(__xludf.DUMMYFUNCTION("""COMPUTED_VALUE"""),"tick")</f>
        <v>tick</v>
      </c>
      <c r="P367" s="49" t="str">
        <f t="shared" si="2"/>
        <v>trailer,</v>
      </c>
      <c r="Q367" s="49"/>
      <c r="R367" s="50" t="s">
        <v>1823</v>
      </c>
      <c r="S367" s="55" t="s">
        <v>157</v>
      </c>
      <c r="T367" s="49" t="str">
        <f>IFERROR(__xludf.DUMMYFUNCTION("""COMPUTED_VALUE"""),"rich")</f>
        <v>rich</v>
      </c>
      <c r="U367" s="49"/>
      <c r="V367" s="49" t="str">
        <f>IFERROR(__xludf.DUMMYFUNCTION("""COMPUTED_VALUE"""),"es")</f>
        <v>es</v>
      </c>
      <c r="W367" s="49" t="str">
        <f>IFERROR(__xludf.DUMMYFUNCTION("""COMPUTED_VALUE"""),"efficiency")</f>
        <v>efficiency</v>
      </c>
      <c r="X367" s="49" t="str">
        <f t="shared" si="3"/>
        <v>cell,</v>
      </c>
      <c r="Y367" s="49"/>
      <c r="Z367" s="1" t="s">
        <v>2584</v>
      </c>
      <c r="AA367" s="1" t="s">
        <v>2163</v>
      </c>
      <c r="AB367" s="49" t="str">
        <f>IFERROR(__xludf.DUMMYFUNCTION("""COMPUTED_VALUE"""),"country")</f>
        <v>country</v>
      </c>
      <c r="AC367" s="49"/>
      <c r="AD367" s="49" t="str">
        <f>IFERROR(__xludf.DUMMYFUNCTION("""COMPUTED_VALUE"""),"feel")</f>
        <v>feel</v>
      </c>
      <c r="AE367" s="49" t="str">
        <f>IFERROR(__xludf.DUMMYFUNCTION("""COMPUTED_VALUE"""),"tick")</f>
        <v>tick</v>
      </c>
      <c r="AF367" s="49" t="str">
        <f t="shared" si="4"/>
        <v>political,</v>
      </c>
      <c r="AG367" s="49"/>
      <c r="AH367" s="1" t="s">
        <v>3241</v>
      </c>
      <c r="AI367" s="1" t="s">
        <v>769</v>
      </c>
      <c r="AJ367" s="6" t="str">
        <f>IFERROR(__xludf.DUMMYFUNCTION("""COMPUTED_VALUE"""),"brian")</f>
        <v>brian</v>
      </c>
      <c r="AK367" s="49"/>
      <c r="AL367" s="49"/>
      <c r="AM367" s="49"/>
      <c r="AN367" s="52" t="str">
        <f t="shared" si="5"/>
        <v>scottish,</v>
      </c>
    </row>
    <row r="368">
      <c r="A368" s="51"/>
      <c r="B368" s="50" t="s">
        <v>3460</v>
      </c>
      <c r="C368" s="50" t="s">
        <v>646</v>
      </c>
      <c r="D368" s="49" t="str">
        <f>IFERROR(__xludf.DUMMYFUNCTION("""COMPUTED_VALUE"""),"trying")</f>
        <v>trying</v>
      </c>
      <c r="E368" s="49"/>
      <c r="F368" s="49"/>
      <c r="G368" s="49" t="str">
        <f>IFERROR(__xludf.DUMMYFUNCTION("""COMPUTED_VALUE"""),"mediterranean")</f>
        <v>mediterranean</v>
      </c>
      <c r="H368" s="54" t="str">
        <f t="shared" si="1"/>
        <v>dreams,</v>
      </c>
      <c r="I368" s="50"/>
      <c r="J368" s="50" t="s">
        <v>5309</v>
      </c>
      <c r="K368" s="50" t="s">
        <v>214</v>
      </c>
      <c r="L368" s="49" t="str">
        <f>IFERROR(__xludf.DUMMYFUNCTION("""COMPUTED_VALUE"""),"hero")</f>
        <v>hero</v>
      </c>
      <c r="M368" s="49"/>
      <c r="N368" s="49" t="str">
        <f>IFERROR(__xludf.DUMMYFUNCTION("""COMPUTED_VALUE"""),"obviously")</f>
        <v>obviously</v>
      </c>
      <c r="O368" s="49" t="str">
        <f>IFERROR(__xludf.DUMMYFUNCTION("""COMPUTED_VALUE"""),"marina")</f>
        <v>marina</v>
      </c>
      <c r="P368" s="49" t="str">
        <f t="shared" si="2"/>
        <v>teenage,</v>
      </c>
      <c r="Q368" s="49"/>
      <c r="R368" s="50" t="s">
        <v>6781</v>
      </c>
      <c r="S368" s="55" t="s">
        <v>1590</v>
      </c>
      <c r="T368" s="49" t="str">
        <f>IFERROR(__xludf.DUMMYFUNCTION("""COMPUTED_VALUE"""),"erotic")</f>
        <v>erotic</v>
      </c>
      <c r="U368" s="49"/>
      <c r="V368" s="49" t="str">
        <f>IFERROR(__xludf.DUMMYFUNCTION("""COMPUTED_VALUE"""),"fail")</f>
        <v>fail</v>
      </c>
      <c r="W368" s="49" t="str">
        <f>IFERROR(__xludf.DUMMYFUNCTION("""COMPUTED_VALUE"""),"pathology")</f>
        <v>pathology</v>
      </c>
      <c r="X368" s="49" t="str">
        <f t="shared" si="3"/>
        <v>tough,</v>
      </c>
      <c r="Y368" s="49"/>
      <c r="Z368" s="1" t="s">
        <v>1110</v>
      </c>
      <c r="AA368" s="1" t="s">
        <v>2167</v>
      </c>
      <c r="AB368" s="49" t="str">
        <f>IFERROR(__xludf.DUMMYFUNCTION("""COMPUTED_VALUE"""),"artist")</f>
        <v>artist</v>
      </c>
      <c r="AC368" s="49"/>
      <c r="AD368" s="49" t="str">
        <f>IFERROR(__xludf.DUMMYFUNCTION("""COMPUTED_VALUE"""),"obviously")</f>
        <v>obviously</v>
      </c>
      <c r="AE368" s="49" t="str">
        <f>IFERROR(__xludf.DUMMYFUNCTION("""COMPUTED_VALUE"""),"marina")</f>
        <v>marina</v>
      </c>
      <c r="AF368" s="49" t="str">
        <f t="shared" si="4"/>
        <v>flat,</v>
      </c>
      <c r="AG368" s="49"/>
      <c r="AH368" s="1" t="s">
        <v>6585</v>
      </c>
      <c r="AI368" s="1" t="s">
        <v>759</v>
      </c>
      <c r="AJ368" s="6" t="str">
        <f>IFERROR(__xludf.DUMMYFUNCTION("""COMPUTED_VALUE"""),"opposite")</f>
        <v>opposite</v>
      </c>
      <c r="AK368" s="49"/>
      <c r="AL368" s="49"/>
      <c r="AM368" s="49"/>
      <c r="AN368" s="52" t="str">
        <f t="shared" si="5"/>
        <v>brian,</v>
      </c>
    </row>
    <row r="369">
      <c r="A369" s="51"/>
      <c r="B369" s="50" t="s">
        <v>213</v>
      </c>
      <c r="C369" s="50" t="s">
        <v>825</v>
      </c>
      <c r="D369" s="49" t="str">
        <f>IFERROR(__xludf.DUMMYFUNCTION("""COMPUTED_VALUE"""),"tries")</f>
        <v>tries</v>
      </c>
      <c r="E369" s="49"/>
      <c r="F369" s="49"/>
      <c r="G369" s="49" t="str">
        <f>IFERROR(__xludf.DUMMYFUNCTION("""COMPUTED_VALUE"""),"wheels")</f>
        <v>wheels</v>
      </c>
      <c r="H369" s="54" t="str">
        <f t="shared" si="1"/>
        <v>went,</v>
      </c>
      <c r="I369" s="50"/>
      <c r="J369" s="50" t="s">
        <v>2295</v>
      </c>
      <c r="K369" s="50" t="s">
        <v>2175</v>
      </c>
      <c r="L369" s="49" t="str">
        <f>IFERROR(__xludf.DUMMYFUNCTION("""COMPUTED_VALUE"""),"top")</f>
        <v>top</v>
      </c>
      <c r="M369" s="49"/>
      <c r="N369" s="49" t="str">
        <f>IFERROR(__xludf.DUMMYFUNCTION("""COMPUTED_VALUE"""),"teach")</f>
        <v>teach</v>
      </c>
      <c r="O369" s="49" t="str">
        <f>IFERROR(__xludf.DUMMYFUNCTION("""COMPUTED_VALUE"""),"emerge")</f>
        <v>emerge</v>
      </c>
      <c r="P369" s="49" t="str">
        <f t="shared" si="2"/>
        <v>journey,</v>
      </c>
      <c r="Q369" s="49"/>
      <c r="R369" s="50" t="s">
        <v>1265</v>
      </c>
      <c r="S369" s="55" t="s">
        <v>275</v>
      </c>
      <c r="T369" s="49" t="str">
        <f>IFERROR(__xludf.DUMMYFUNCTION("""COMPUTED_VALUE"""),"star")</f>
        <v>star</v>
      </c>
      <c r="U369" s="49"/>
      <c r="V369" s="49" t="str">
        <f>IFERROR(__xludf.DUMMYFUNCTION("""COMPUTED_VALUE"""),"transformed")</f>
        <v>transformed</v>
      </c>
      <c r="W369" s="49" t="str">
        <f>IFERROR(__xludf.DUMMYFUNCTION("""COMPUTED_VALUE"""),"tell")</f>
        <v>tell</v>
      </c>
      <c r="X369" s="49" t="str">
        <f t="shared" si="3"/>
        <v>town,</v>
      </c>
      <c r="Y369" s="49"/>
      <c r="Z369" s="1" t="s">
        <v>120</v>
      </c>
      <c r="AA369" s="1" t="s">
        <v>2171</v>
      </c>
      <c r="AB369" s="49" t="str">
        <f>IFERROR(__xludf.DUMMYFUNCTION("""COMPUTED_VALUE"""),"soul")</f>
        <v>soul</v>
      </c>
      <c r="AC369" s="49"/>
      <c r="AD369" s="49" t="str">
        <f>IFERROR(__xludf.DUMMYFUNCTION("""COMPUTED_VALUE"""),"teach")</f>
        <v>teach</v>
      </c>
      <c r="AE369" s="49" t="str">
        <f>IFERROR(__xludf.DUMMYFUNCTION("""COMPUTED_VALUE"""),"emerge")</f>
        <v>emerge</v>
      </c>
      <c r="AF369" s="49" t="str">
        <f t="shared" si="4"/>
        <v>also,</v>
      </c>
      <c r="AG369" s="49"/>
      <c r="AH369" s="1" t="s">
        <v>6798</v>
      </c>
      <c r="AI369" s="1" t="s">
        <v>784</v>
      </c>
      <c r="AJ369" s="6" t="str">
        <f>IFERROR(__xludf.DUMMYFUNCTION("""COMPUTED_VALUE"""),"remembered")</f>
        <v>remembered</v>
      </c>
      <c r="AK369" s="49"/>
      <c r="AL369" s="49"/>
      <c r="AM369" s="49"/>
      <c r="AN369" s="52" t="str">
        <f t="shared" si="5"/>
        <v>opposite,</v>
      </c>
    </row>
    <row r="370">
      <c r="A370" s="51"/>
      <c r="B370" s="50" t="s">
        <v>1632</v>
      </c>
      <c r="C370" s="50" t="s">
        <v>1816</v>
      </c>
      <c r="D370" s="49" t="str">
        <f>IFERROR(__xludf.DUMMYFUNCTION("""COMPUTED_VALUE"""),"harder")</f>
        <v>harder</v>
      </c>
      <c r="E370" s="49"/>
      <c r="F370" s="49"/>
      <c r="G370" s="49" t="str">
        <f>IFERROR(__xludf.DUMMYFUNCTION("""COMPUTED_VALUE"""),"collar")</f>
        <v>collar</v>
      </c>
      <c r="H370" s="54" t="str">
        <f t="shared" si="1"/>
        <v>york,</v>
      </c>
      <c r="I370" s="50"/>
      <c r="J370" s="50" t="s">
        <v>2442</v>
      </c>
      <c r="K370" s="50" t="s">
        <v>2178</v>
      </c>
      <c r="L370" s="49" t="str">
        <f>IFERROR(__xludf.DUMMYFUNCTION("""COMPUTED_VALUE"""),"pronounced")</f>
        <v>pronounced</v>
      </c>
      <c r="M370" s="49"/>
      <c r="N370" s="49" t="str">
        <f>IFERROR(__xludf.DUMMYFUNCTION("""COMPUTED_VALUE"""),"between")</f>
        <v>between</v>
      </c>
      <c r="O370" s="49" t="str">
        <f>IFERROR(__xludf.DUMMYFUNCTION("""COMPUTED_VALUE"""),"adolescents")</f>
        <v>adolescents</v>
      </c>
      <c r="P370" s="49" t="str">
        <f t="shared" si="2"/>
        <v>heard,</v>
      </c>
      <c r="Q370" s="49"/>
      <c r="R370" s="50" t="s">
        <v>7076</v>
      </c>
      <c r="S370" s="55" t="s">
        <v>103</v>
      </c>
      <c r="T370" s="49" t="str">
        <f>IFERROR(__xludf.DUMMYFUNCTION("""COMPUTED_VALUE"""),"impression")</f>
        <v>impression</v>
      </c>
      <c r="U370" s="49"/>
      <c r="V370" s="49" t="str">
        <f>IFERROR(__xludf.DUMMYFUNCTION("""COMPUTED_VALUE"""),"mildly")</f>
        <v>mildly</v>
      </c>
      <c r="W370" s="49" t="str">
        <f>IFERROR(__xludf.DUMMYFUNCTION("""COMPUTED_VALUE"""),"immediate")</f>
        <v>immediate</v>
      </c>
      <c r="X370" s="49" t="str">
        <f t="shared" si="3"/>
        <v>invented,</v>
      </c>
      <c r="Y370" s="49"/>
      <c r="Z370" s="1" t="s">
        <v>3914</v>
      </c>
      <c r="AA370" s="1" t="s">
        <v>2176</v>
      </c>
      <c r="AB370" s="49" t="str">
        <f>IFERROR(__xludf.DUMMYFUNCTION("""COMPUTED_VALUE"""),"comic")</f>
        <v>comic</v>
      </c>
      <c r="AC370" s="49"/>
      <c r="AD370" s="49" t="str">
        <f>IFERROR(__xludf.DUMMYFUNCTION("""COMPUTED_VALUE"""),"between")</f>
        <v>between</v>
      </c>
      <c r="AE370" s="49" t="str">
        <f>IFERROR(__xludf.DUMMYFUNCTION("""COMPUTED_VALUE"""),"adolescents")</f>
        <v>adolescents</v>
      </c>
      <c r="AF370" s="49" t="str">
        <f t="shared" si="4"/>
        <v>fall,</v>
      </c>
      <c r="AG370" s="49"/>
      <c r="AH370" s="1" t="s">
        <v>6078</v>
      </c>
      <c r="AI370" s="1" t="s">
        <v>182</v>
      </c>
      <c r="AJ370" s="6" t="str">
        <f>IFERROR(__xludf.DUMMYFUNCTION("""COMPUTED_VALUE"""),"check")</f>
        <v>check</v>
      </c>
      <c r="AK370" s="49"/>
      <c r="AL370" s="49"/>
      <c r="AM370" s="49"/>
      <c r="AN370" s="52" t="str">
        <f t="shared" si="5"/>
        <v>remembered,</v>
      </c>
    </row>
    <row r="371">
      <c r="A371" s="51"/>
      <c r="B371" s="50" t="s">
        <v>2438</v>
      </c>
      <c r="C371" s="50" t="s">
        <v>1823</v>
      </c>
      <c r="D371" s="49" t="str">
        <f>IFERROR(__xludf.DUMMYFUNCTION("""COMPUTED_VALUE"""),"grab")</f>
        <v>grab</v>
      </c>
      <c r="E371" s="49"/>
      <c r="F371" s="49"/>
      <c r="G371" s="49" t="str">
        <f>IFERROR(__xludf.DUMMYFUNCTION("""COMPUTED_VALUE"""),"ceo")</f>
        <v>ceo</v>
      </c>
      <c r="H371" s="54" t="str">
        <f t="shared" si="1"/>
        <v>live,</v>
      </c>
      <c r="I371" s="50"/>
      <c r="J371" s="50" t="s">
        <v>2699</v>
      </c>
      <c r="K371" s="50" t="s">
        <v>1075</v>
      </c>
      <c r="L371" s="49" t="str">
        <f>IFERROR(__xludf.DUMMYFUNCTION("""COMPUTED_VALUE"""),"unfortunately")</f>
        <v>unfortunately</v>
      </c>
      <c r="M371" s="49"/>
      <c r="N371" s="49" t="str">
        <f>IFERROR(__xludf.DUMMYFUNCTION("""COMPUTED_VALUE"""),"build")</f>
        <v>build</v>
      </c>
      <c r="O371" s="49" t="str">
        <f>IFERROR(__xludf.DUMMYFUNCTION("""COMPUTED_VALUE"""),"greater")</f>
        <v>greater</v>
      </c>
      <c r="P371" s="49" t="str">
        <f t="shared" si="2"/>
        <v>pleasing,</v>
      </c>
      <c r="Q371" s="49"/>
      <c r="R371" s="50" t="s">
        <v>938</v>
      </c>
      <c r="S371" s="55" t="s">
        <v>2107</v>
      </c>
      <c r="T371" s="49" t="str">
        <f>IFERROR(__xludf.DUMMYFUNCTION("""COMPUTED_VALUE"""),"powerful")</f>
        <v>powerful</v>
      </c>
      <c r="U371" s="49"/>
      <c r="V371" s="49" t="str">
        <f>IFERROR(__xludf.DUMMYFUNCTION("""COMPUTED_VALUE"""),"disease")</f>
        <v>disease</v>
      </c>
      <c r="W371" s="49" t="str">
        <f>IFERROR(__xludf.DUMMYFUNCTION("""COMPUTED_VALUE"""),"racism")</f>
        <v>racism</v>
      </c>
      <c r="X371" s="49" t="str">
        <f t="shared" si="3"/>
        <v>easily,</v>
      </c>
      <c r="Y371" s="49"/>
      <c r="Z371" s="1" t="s">
        <v>494</v>
      </c>
      <c r="AA371" s="1" t="s">
        <v>2179</v>
      </c>
      <c r="AB371" s="49" t="str">
        <f>IFERROR(__xludf.DUMMYFUNCTION("""COMPUTED_VALUE"""),"sequel")</f>
        <v>sequel</v>
      </c>
      <c r="AC371" s="49"/>
      <c r="AD371" s="49" t="str">
        <f>IFERROR(__xludf.DUMMYFUNCTION("""COMPUTED_VALUE"""),"build")</f>
        <v>build</v>
      </c>
      <c r="AE371" s="49" t="str">
        <f>IFERROR(__xludf.DUMMYFUNCTION("""COMPUTED_VALUE"""),"greater")</f>
        <v>greater</v>
      </c>
      <c r="AF371" s="49" t="str">
        <f t="shared" si="4"/>
        <v>satire,</v>
      </c>
      <c r="AG371" s="49"/>
      <c r="AH371" s="1" t="s">
        <v>2514</v>
      </c>
      <c r="AI371" s="1" t="s">
        <v>847</v>
      </c>
      <c r="AJ371" s="6" t="str">
        <f>IFERROR(__xludf.DUMMYFUNCTION("""COMPUTED_VALUE"""),"hidden")</f>
        <v>hidden</v>
      </c>
      <c r="AK371" s="49"/>
      <c r="AL371" s="49"/>
      <c r="AM371" s="49"/>
      <c r="AN371" s="52" t="str">
        <f t="shared" si="5"/>
        <v>check,</v>
      </c>
    </row>
    <row r="372">
      <c r="A372" s="51"/>
      <c r="B372" s="50" t="s">
        <v>6374</v>
      </c>
      <c r="C372" s="50" t="s">
        <v>3006</v>
      </c>
      <c r="D372" s="49" t="str">
        <f>IFERROR(__xludf.DUMMYFUNCTION("""COMPUTED_VALUE"""),"service")</f>
        <v>service</v>
      </c>
      <c r="E372" s="49"/>
      <c r="F372" s="49"/>
      <c r="G372" s="49" t="str">
        <f>IFERROR(__xludf.DUMMYFUNCTION("""COMPUTED_VALUE"""),"respond")</f>
        <v>respond</v>
      </c>
      <c r="H372" s="54" t="str">
        <f t="shared" si="1"/>
        <v>always,</v>
      </c>
      <c r="I372" s="50"/>
      <c r="J372" s="50" t="s">
        <v>2062</v>
      </c>
      <c r="K372" s="50" t="s">
        <v>1174</v>
      </c>
      <c r="L372" s="49" t="str">
        <f>IFERROR(__xludf.DUMMYFUNCTION("""COMPUTED_VALUE"""),"against")</f>
        <v>against</v>
      </c>
      <c r="M372" s="49"/>
      <c r="N372" s="49" t="str">
        <f>IFERROR(__xludf.DUMMYFUNCTION("""COMPUTED_VALUE"""),"correctly")</f>
        <v>correctly</v>
      </c>
      <c r="O372" s="49" t="str">
        <f>IFERROR(__xludf.DUMMYFUNCTION("""COMPUTED_VALUE"""),"scrutiny")</f>
        <v>scrutiny</v>
      </c>
      <c r="P372" s="49" t="str">
        <f t="shared" si="2"/>
        <v>worth,</v>
      </c>
      <c r="Q372" s="49"/>
      <c r="R372" s="50" t="s">
        <v>1153</v>
      </c>
      <c r="S372" s="55" t="s">
        <v>162</v>
      </c>
      <c r="T372" s="49" t="str">
        <f>IFERROR(__xludf.DUMMYFUNCTION("""COMPUTED_VALUE"""),"released")</f>
        <v>released</v>
      </c>
      <c r="U372" s="49"/>
      <c r="V372" s="49" t="str">
        <f>IFERROR(__xludf.DUMMYFUNCTION("""COMPUTED_VALUE"""),"uno")</f>
        <v>uno</v>
      </c>
      <c r="W372" s="49" t="str">
        <f>IFERROR(__xludf.DUMMYFUNCTION("""COMPUTED_VALUE"""),"debuts")</f>
        <v>debuts</v>
      </c>
      <c r="X372" s="49" t="str">
        <f t="shared" si="3"/>
        <v>coherent,</v>
      </c>
      <c r="Y372" s="49"/>
      <c r="Z372" s="1" t="s">
        <v>522</v>
      </c>
      <c r="AA372" s="1" t="s">
        <v>1345</v>
      </c>
      <c r="AB372" s="49" t="str">
        <f>IFERROR(__xludf.DUMMYFUNCTION("""COMPUTED_VALUE"""),"shallow")</f>
        <v>shallow</v>
      </c>
      <c r="AC372" s="49"/>
      <c r="AD372" s="49" t="str">
        <f>IFERROR(__xludf.DUMMYFUNCTION("""COMPUTED_VALUE"""),"correctly")</f>
        <v>correctly</v>
      </c>
      <c r="AE372" s="49" t="str">
        <f>IFERROR(__xludf.DUMMYFUNCTION("""COMPUTED_VALUE"""),"scrutiny")</f>
        <v>scrutiny</v>
      </c>
      <c r="AF372" s="49" t="str">
        <f t="shared" si="4"/>
        <v>surprises,</v>
      </c>
      <c r="AG372" s="49"/>
      <c r="AH372" s="1" t="s">
        <v>6668</v>
      </c>
      <c r="AI372" s="1" t="s">
        <v>798</v>
      </c>
      <c r="AJ372" s="6" t="str">
        <f>IFERROR(__xludf.DUMMYFUNCTION("""COMPUTED_VALUE"""),"occasionally")</f>
        <v>occasionally</v>
      </c>
      <c r="AK372" s="49"/>
      <c r="AL372" s="49"/>
      <c r="AM372" s="49"/>
      <c r="AN372" s="52" t="str">
        <f t="shared" si="5"/>
        <v>hidden,</v>
      </c>
    </row>
    <row r="373">
      <c r="A373" s="51"/>
      <c r="B373" s="50" t="s">
        <v>1988</v>
      </c>
      <c r="C373" s="50" t="s">
        <v>6317</v>
      </c>
      <c r="D373" s="49" t="str">
        <f>IFERROR(__xludf.DUMMYFUNCTION("""COMPUTED_VALUE"""),"others")</f>
        <v>others</v>
      </c>
      <c r="E373" s="49"/>
      <c r="F373" s="49"/>
      <c r="G373" s="49" t="str">
        <f>IFERROR(__xludf.DUMMYFUNCTION("""COMPUTED_VALUE"""),"divisions")</f>
        <v>divisions</v>
      </c>
      <c r="H373" s="54" t="str">
        <f t="shared" si="1"/>
        <v>case,</v>
      </c>
      <c r="I373" s="50"/>
      <c r="J373" s="50" t="s">
        <v>2309</v>
      </c>
      <c r="K373" s="50" t="s">
        <v>1082</v>
      </c>
      <c r="L373" s="49" t="str">
        <f>IFERROR(__xludf.DUMMYFUNCTION("""COMPUTED_VALUE"""),"soundtrack")</f>
        <v>soundtrack</v>
      </c>
      <c r="M373" s="49"/>
      <c r="N373" s="49" t="str">
        <f>IFERROR(__xludf.DUMMYFUNCTION("""COMPUTED_VALUE"""),"defeated")</f>
        <v>defeated</v>
      </c>
      <c r="O373" s="49" t="str">
        <f>IFERROR(__xludf.DUMMYFUNCTION("""COMPUTED_VALUE"""),"mark")</f>
        <v>mark</v>
      </c>
      <c r="P373" s="49" t="str">
        <f t="shared" si="2"/>
        <v>maybe,</v>
      </c>
      <c r="Q373" s="49"/>
      <c r="R373" s="50" t="s">
        <v>201</v>
      </c>
      <c r="S373" s="55" t="s">
        <v>1617</v>
      </c>
      <c r="T373" s="49" t="str">
        <f>IFERROR(__xludf.DUMMYFUNCTION("""COMPUTED_VALUE"""),"funny")</f>
        <v>funny</v>
      </c>
      <c r="U373" s="49"/>
      <c r="V373" s="49" t="str">
        <f>IFERROR(__xludf.DUMMYFUNCTION("""COMPUTED_VALUE"""),"daily")</f>
        <v>daily</v>
      </c>
      <c r="W373" s="49" t="str">
        <f>IFERROR(__xludf.DUMMYFUNCTION("""COMPUTED_VALUE"""),"courage")</f>
        <v>courage</v>
      </c>
      <c r="X373" s="49" t="str">
        <f t="shared" si="3"/>
        <v>never,</v>
      </c>
      <c r="Y373" s="49"/>
      <c r="Z373" s="1" t="s">
        <v>1093</v>
      </c>
      <c r="AA373" s="1" t="s">
        <v>495</v>
      </c>
      <c r="AB373" s="49" t="str">
        <f>IFERROR(__xludf.DUMMYFUNCTION("""COMPUTED_VALUE"""),"artificial")</f>
        <v>artificial</v>
      </c>
      <c r="AC373" s="49"/>
      <c r="AD373" s="49" t="str">
        <f>IFERROR(__xludf.DUMMYFUNCTION("""COMPUTED_VALUE"""),"defeated")</f>
        <v>defeated</v>
      </c>
      <c r="AE373" s="49" t="str">
        <f>IFERROR(__xludf.DUMMYFUNCTION("""COMPUTED_VALUE"""),"mark")</f>
        <v>mark</v>
      </c>
      <c r="AF373" s="49" t="str">
        <f t="shared" si="4"/>
        <v>at,</v>
      </c>
      <c r="AG373" s="49"/>
      <c r="AH373" s="1" t="s">
        <v>4856</v>
      </c>
      <c r="AI373" s="1" t="s">
        <v>815</v>
      </c>
      <c r="AJ373" s="6" t="str">
        <f>IFERROR(__xludf.DUMMYFUNCTION("""COMPUTED_VALUE"""),"substantial")</f>
        <v>substantial</v>
      </c>
      <c r="AK373" s="49"/>
      <c r="AL373" s="49"/>
      <c r="AM373" s="49"/>
      <c r="AN373" s="52" t="str">
        <f t="shared" si="5"/>
        <v>occasionally,</v>
      </c>
    </row>
    <row r="374">
      <c r="A374" s="51"/>
      <c r="B374" s="50" t="s">
        <v>923</v>
      </c>
      <c r="C374" s="50" t="s">
        <v>4122</v>
      </c>
      <c r="D374" s="49" t="str">
        <f>IFERROR(__xludf.DUMMYFUNCTION("""COMPUTED_VALUE"""),"special")</f>
        <v>special</v>
      </c>
      <c r="E374" s="49"/>
      <c r="F374" s="49"/>
      <c r="G374" s="49" t="str">
        <f>IFERROR(__xludf.DUMMYFUNCTION("""COMPUTED_VALUE"""),"graves")</f>
        <v>graves</v>
      </c>
      <c r="H374" s="54" t="str">
        <f t="shared" si="1"/>
        <v>looking,</v>
      </c>
      <c r="I374" s="50"/>
      <c r="J374" s="50" t="s">
        <v>6526</v>
      </c>
      <c r="K374" s="50" t="s">
        <v>2191</v>
      </c>
      <c r="L374" s="49" t="str">
        <f>IFERROR(__xludf.DUMMYFUNCTION("""COMPUTED_VALUE"""),"battle")</f>
        <v>battle</v>
      </c>
      <c r="M374" s="49"/>
      <c r="N374" s="49" t="str">
        <f>IFERROR(__xludf.DUMMYFUNCTION("""COMPUTED_VALUE"""),"ghost")</f>
        <v>ghost</v>
      </c>
      <c r="O374" s="49" t="str">
        <f>IFERROR(__xludf.DUMMYFUNCTION("""COMPUTED_VALUE"""),"skin")</f>
        <v>skin</v>
      </c>
      <c r="P374" s="49" t="str">
        <f t="shared" si="2"/>
        <v>definitely,</v>
      </c>
      <c r="Q374" s="49"/>
      <c r="R374" s="50">
        <v>1.0</v>
      </c>
      <c r="S374" s="55" t="s">
        <v>610</v>
      </c>
      <c r="T374" s="49" t="str">
        <f>IFERROR(__xludf.DUMMYFUNCTION("""COMPUTED_VALUE"""),"body")</f>
        <v>body</v>
      </c>
      <c r="U374" s="49"/>
      <c r="V374" s="49" t="str">
        <f>IFERROR(__xludf.DUMMYFUNCTION("""COMPUTED_VALUE"""),"clue")</f>
        <v>clue</v>
      </c>
      <c r="W374" s="49" t="str">
        <f>IFERROR(__xludf.DUMMYFUNCTION("""COMPUTED_VALUE"""),"meditation")</f>
        <v>meditation</v>
      </c>
      <c r="X374" s="49" t="str">
        <f t="shared" si="3"/>
        <v>1,</v>
      </c>
      <c r="Y374" s="49"/>
      <c r="Z374" s="1" t="s">
        <v>146</v>
      </c>
      <c r="AA374" s="1" t="s">
        <v>1061</v>
      </c>
      <c r="AB374" s="49" t="str">
        <f>IFERROR(__xludf.DUMMYFUNCTION("""COMPUTED_VALUE"""),"fallen")</f>
        <v>fallen</v>
      </c>
      <c r="AC374" s="49"/>
      <c r="AD374" s="49" t="str">
        <f>IFERROR(__xludf.DUMMYFUNCTION("""COMPUTED_VALUE"""),"ghost")</f>
        <v>ghost</v>
      </c>
      <c r="AE374" s="49" t="str">
        <f>IFERROR(__xludf.DUMMYFUNCTION("""COMPUTED_VALUE"""),"skin")</f>
        <v>skin</v>
      </c>
      <c r="AF374" s="49" t="str">
        <f t="shared" si="4"/>
        <v>have,</v>
      </c>
      <c r="AG374" s="49"/>
      <c r="AH374" s="1" t="s">
        <v>3316</v>
      </c>
      <c r="AI374" s="1" t="s">
        <v>6319</v>
      </c>
      <c r="AJ374" s="6" t="str">
        <f>IFERROR(__xludf.DUMMYFUNCTION("""COMPUTED_VALUE"""),"brings")</f>
        <v>brings</v>
      </c>
      <c r="AK374" s="49"/>
      <c r="AL374" s="49"/>
      <c r="AM374" s="49"/>
      <c r="AN374" s="52" t="str">
        <f t="shared" si="5"/>
        <v>substantial,</v>
      </c>
    </row>
    <row r="375">
      <c r="A375" s="51"/>
      <c r="B375" s="50" t="s">
        <v>2140</v>
      </c>
      <c r="C375" s="50" t="s">
        <v>2055</v>
      </c>
      <c r="D375" s="49" t="str">
        <f>IFERROR(__xludf.DUMMYFUNCTION("""COMPUTED_VALUE"""),"important")</f>
        <v>important</v>
      </c>
      <c r="E375" s="49"/>
      <c r="F375" s="49"/>
      <c r="G375" s="49" t="str">
        <f>IFERROR(__xludf.DUMMYFUNCTION("""COMPUTED_VALUE"""),"peaked")</f>
        <v>peaked</v>
      </c>
      <c r="H375" s="54" t="str">
        <f t="shared" si="1"/>
        <v>someone,</v>
      </c>
      <c r="I375" s="50"/>
      <c r="J375" s="50" t="s">
        <v>694</v>
      </c>
      <c r="K375" s="50" t="s">
        <v>1088</v>
      </c>
      <c r="L375" s="49" t="str">
        <f>IFERROR(__xludf.DUMMYFUNCTION("""COMPUTED_VALUE"""),"hunter")</f>
        <v>hunter</v>
      </c>
      <c r="M375" s="49"/>
      <c r="N375" s="49" t="str">
        <f>IFERROR(__xludf.DUMMYFUNCTION("""COMPUTED_VALUE"""),"problem")</f>
        <v>problem</v>
      </c>
      <c r="O375" s="49" t="str">
        <f>IFERROR(__xludf.DUMMYFUNCTION("""COMPUTED_VALUE"""),"radiant")</f>
        <v>radiant</v>
      </c>
      <c r="P375" s="49" t="str">
        <f t="shared" si="2"/>
        <v>any,</v>
      </c>
      <c r="Q375" s="49"/>
      <c r="R375" s="50" t="s">
        <v>3976</v>
      </c>
      <c r="S375" s="55" t="s">
        <v>292</v>
      </c>
      <c r="T375" s="49" t="str">
        <f>IFERROR(__xludf.DUMMYFUNCTION("""COMPUTED_VALUE"""),"bitten")</f>
        <v>bitten</v>
      </c>
      <c r="U375" s="49"/>
      <c r="V375" s="49" t="str">
        <f>IFERROR(__xludf.DUMMYFUNCTION("""COMPUTED_VALUE"""),"traveler")</f>
        <v>traveler</v>
      </c>
      <c r="W375" s="49" t="str">
        <f>IFERROR(__xludf.DUMMYFUNCTION("""COMPUTED_VALUE"""),"outsiders")</f>
        <v>outsiders</v>
      </c>
      <c r="X375" s="49" t="str">
        <f t="shared" si="3"/>
        <v>numerous,</v>
      </c>
      <c r="Y375" s="49"/>
      <c r="Z375" s="1" t="s">
        <v>2340</v>
      </c>
      <c r="AA375" s="1" t="s">
        <v>256</v>
      </c>
      <c r="AB375" s="49" t="str">
        <f>IFERROR(__xludf.DUMMYFUNCTION("""COMPUTED_VALUE"""),"irony")</f>
        <v>irony</v>
      </c>
      <c r="AC375" s="49"/>
      <c r="AD375" s="49" t="str">
        <f>IFERROR(__xludf.DUMMYFUNCTION("""COMPUTED_VALUE"""),"problem")</f>
        <v>problem</v>
      </c>
      <c r="AE375" s="49" t="str">
        <f>IFERROR(__xludf.DUMMYFUNCTION("""COMPUTED_VALUE"""),"radiant")</f>
        <v>radiant</v>
      </c>
      <c r="AF375" s="49" t="str">
        <f t="shared" si="4"/>
        <v>popular,</v>
      </c>
      <c r="AG375" s="49"/>
      <c r="AH375" s="1" t="s">
        <v>1393</v>
      </c>
      <c r="AI375" s="1" t="s">
        <v>770</v>
      </c>
      <c r="AJ375" s="6" t="str">
        <f>IFERROR(__xludf.DUMMYFUNCTION("""COMPUTED_VALUE"""),"o")</f>
        <v>o</v>
      </c>
      <c r="AK375" s="49"/>
      <c r="AL375" s="49"/>
      <c r="AM375" s="49"/>
      <c r="AN375" s="52" t="str">
        <f t="shared" si="5"/>
        <v>brings,</v>
      </c>
    </row>
    <row r="376">
      <c r="A376" s="51"/>
      <c r="B376" s="50" t="s">
        <v>4893</v>
      </c>
      <c r="C376" s="50" t="s">
        <v>2059</v>
      </c>
      <c r="D376" s="49" t="str">
        <f>IFERROR(__xludf.DUMMYFUNCTION("""COMPUTED_VALUE"""),"reveals")</f>
        <v>reveals</v>
      </c>
      <c r="E376" s="49"/>
      <c r="F376" s="49"/>
      <c r="G376" s="49" t="str">
        <f>IFERROR(__xludf.DUMMYFUNCTION("""COMPUTED_VALUE"""),"korea")</f>
        <v>korea</v>
      </c>
      <c r="H376" s="54" t="str">
        <f t="shared" si="1"/>
        <v>science,</v>
      </c>
      <c r="I376" s="50"/>
      <c r="J376" s="50" t="s">
        <v>6363</v>
      </c>
      <c r="K376" s="50" t="s">
        <v>395</v>
      </c>
      <c r="L376" s="49" t="str">
        <f>IFERROR(__xludf.DUMMYFUNCTION("""COMPUTED_VALUE"""),"deep")</f>
        <v>deep</v>
      </c>
      <c r="M376" s="49"/>
      <c r="N376" s="49" t="str">
        <f>IFERROR(__xludf.DUMMYFUNCTION("""COMPUTED_VALUE"""),"rid")</f>
        <v>rid</v>
      </c>
      <c r="O376" s="49" t="str">
        <f>IFERROR(__xludf.DUMMYFUNCTION("""COMPUTED_VALUE"""),"escaped")</f>
        <v>escaped</v>
      </c>
      <c r="P376" s="49" t="str">
        <f t="shared" si="2"/>
        <v>my,</v>
      </c>
      <c r="Q376" s="49"/>
      <c r="R376" s="50" t="s">
        <v>316</v>
      </c>
      <c r="S376" s="55" t="s">
        <v>872</v>
      </c>
      <c r="T376" s="49" t="str">
        <f>IFERROR(__xludf.DUMMYFUNCTION("""COMPUTED_VALUE"""),"alternately")</f>
        <v>alternately</v>
      </c>
      <c r="U376" s="49"/>
      <c r="V376" s="49" t="str">
        <f>IFERROR(__xludf.DUMMYFUNCTION("""COMPUTED_VALUE"""),"comical")</f>
        <v>comical</v>
      </c>
      <c r="W376" s="49" t="str">
        <f>IFERROR(__xludf.DUMMYFUNCTION("""COMPUTED_VALUE"""),"mentally")</f>
        <v>mentally</v>
      </c>
      <c r="X376" s="49" t="str">
        <f t="shared" si="3"/>
        <v>derivative,</v>
      </c>
      <c r="Y376" s="49"/>
      <c r="Z376" s="1" t="s">
        <v>2858</v>
      </c>
      <c r="AA376" s="1" t="s">
        <v>265</v>
      </c>
      <c r="AB376" s="49" t="str">
        <f>IFERROR(__xludf.DUMMYFUNCTION("""COMPUTED_VALUE"""),"testament")</f>
        <v>testament</v>
      </c>
      <c r="AC376" s="49"/>
      <c r="AD376" s="49" t="str">
        <f>IFERROR(__xludf.DUMMYFUNCTION("""COMPUTED_VALUE"""),"rid")</f>
        <v>rid</v>
      </c>
      <c r="AE376" s="49" t="str">
        <f>IFERROR(__xludf.DUMMYFUNCTION("""COMPUTED_VALUE"""),"escaped")</f>
        <v>escaped</v>
      </c>
      <c r="AF376" s="49" t="str">
        <f t="shared" si="4"/>
        <v>france,</v>
      </c>
      <c r="AG376" s="49"/>
      <c r="AH376" s="1" t="s">
        <v>3646</v>
      </c>
      <c r="AI376" s="1" t="s">
        <v>139</v>
      </c>
      <c r="AJ376" s="6" t="str">
        <f>IFERROR(__xludf.DUMMYFUNCTION("""COMPUTED_VALUE"""),"also")</f>
        <v>also</v>
      </c>
      <c r="AK376" s="49"/>
      <c r="AL376" s="49"/>
      <c r="AM376" s="49"/>
      <c r="AN376" s="52" t="str">
        <f t="shared" si="5"/>
        <v>o,</v>
      </c>
    </row>
    <row r="377">
      <c r="A377" s="51"/>
      <c r="B377" s="50" t="s">
        <v>6372</v>
      </c>
      <c r="C377" s="50" t="s">
        <v>6320</v>
      </c>
      <c r="D377" s="49" t="str">
        <f>IFERROR(__xludf.DUMMYFUNCTION("""COMPUTED_VALUE"""),"relief")</f>
        <v>relief</v>
      </c>
      <c r="E377" s="49"/>
      <c r="F377" s="49"/>
      <c r="G377" s="49" t="str">
        <f>IFERROR(__xludf.DUMMYFUNCTION("""COMPUTED_VALUE"""),"theological")</f>
        <v>theological</v>
      </c>
      <c r="H377" s="54" t="str">
        <f t="shared" si="1"/>
        <v>looks,</v>
      </c>
      <c r="I377" s="50"/>
      <c r="J377" s="50" t="s">
        <v>2027</v>
      </c>
      <c r="K377" s="50" t="s">
        <v>406</v>
      </c>
      <c r="L377" s="49" t="str">
        <f>IFERROR(__xludf.DUMMYFUNCTION("""COMPUTED_VALUE"""),"smart")</f>
        <v>smart</v>
      </c>
      <c r="M377" s="49"/>
      <c r="N377" s="49" t="str">
        <f>IFERROR(__xludf.DUMMYFUNCTION("""COMPUTED_VALUE"""),"wonderful")</f>
        <v>wonderful</v>
      </c>
      <c r="O377" s="49" t="str">
        <f>IFERROR(__xludf.DUMMYFUNCTION("""COMPUTED_VALUE"""),"kennedy")</f>
        <v>kennedy</v>
      </c>
      <c r="P377" s="49" t="str">
        <f t="shared" si="2"/>
        <v>during,</v>
      </c>
      <c r="Q377" s="49"/>
      <c r="R377" s="50" t="s">
        <v>1362</v>
      </c>
      <c r="S377" s="55" t="s">
        <v>1331</v>
      </c>
      <c r="T377" s="49" t="str">
        <f>IFERROR(__xludf.DUMMYFUNCTION("""COMPUTED_VALUE"""),"am")</f>
        <v>am</v>
      </c>
      <c r="U377" s="49"/>
      <c r="V377" s="49" t="str">
        <f>IFERROR(__xludf.DUMMYFUNCTION("""COMPUTED_VALUE"""),"pistol")</f>
        <v>pistol</v>
      </c>
      <c r="W377" s="49" t="str">
        <f>IFERROR(__xludf.DUMMYFUNCTION("""COMPUTED_VALUE"""),"mostly")</f>
        <v>mostly</v>
      </c>
      <c r="X377" s="49" t="str">
        <f t="shared" si="3"/>
        <v>twists,</v>
      </c>
      <c r="Y377" s="49"/>
      <c r="Z377" s="1" t="s">
        <v>2998</v>
      </c>
      <c r="AA377" s="1" t="s">
        <v>225</v>
      </c>
      <c r="AB377" s="49" t="str">
        <f>IFERROR(__xludf.DUMMYFUNCTION("""COMPUTED_VALUE"""),"female")</f>
        <v>female</v>
      </c>
      <c r="AC377" s="49"/>
      <c r="AD377" s="49" t="str">
        <f>IFERROR(__xludf.DUMMYFUNCTION("""COMPUTED_VALUE"""),"wonderful")</f>
        <v>wonderful</v>
      </c>
      <c r="AE377" s="49" t="str">
        <f>IFERROR(__xludf.DUMMYFUNCTION("""COMPUTED_VALUE"""),"kennedy")</f>
        <v>kennedy</v>
      </c>
      <c r="AF377" s="49" t="str">
        <f t="shared" si="4"/>
        <v>stunt,</v>
      </c>
      <c r="AG377" s="49"/>
      <c r="AH377" s="1" t="s">
        <v>120</v>
      </c>
      <c r="AI377" s="1" t="s">
        <v>148</v>
      </c>
      <c r="AJ377" s="6" t="str">
        <f>IFERROR(__xludf.DUMMYFUNCTION("""COMPUTED_VALUE"""),"good")</f>
        <v>good</v>
      </c>
      <c r="AK377" s="49"/>
      <c r="AL377" s="49"/>
      <c r="AM377" s="49"/>
      <c r="AN377" s="52" t="str">
        <f t="shared" si="5"/>
        <v>also,</v>
      </c>
    </row>
    <row r="378">
      <c r="A378" s="51"/>
      <c r="B378" s="50" t="s">
        <v>3336</v>
      </c>
      <c r="C378" s="50" t="s">
        <v>1068</v>
      </c>
      <c r="D378" s="49" t="str">
        <f>IFERROR(__xludf.DUMMYFUNCTION("""COMPUTED_VALUE"""),"welcome")</f>
        <v>welcome</v>
      </c>
      <c r="E378" s="49"/>
      <c r="F378" s="49"/>
      <c r="G378" s="49" t="str">
        <f>IFERROR(__xludf.DUMMYFUNCTION("""COMPUTED_VALUE"""),"communications")</f>
        <v>communications</v>
      </c>
      <c r="H378" s="54" t="str">
        <f t="shared" si="1"/>
        <v>escape,</v>
      </c>
      <c r="I378" s="50"/>
      <c r="J378" s="50" t="s">
        <v>3869</v>
      </c>
      <c r="K378" s="50" t="s">
        <v>1204</v>
      </c>
      <c r="L378" s="49" t="str">
        <f>IFERROR(__xludf.DUMMYFUNCTION("""COMPUTED_VALUE"""),"let")</f>
        <v>let</v>
      </c>
      <c r="M378" s="49"/>
      <c r="N378" s="49" t="str">
        <f>IFERROR(__xludf.DUMMYFUNCTION("""COMPUTED_VALUE"""),"perfect")</f>
        <v>perfect</v>
      </c>
      <c r="O378" s="49" t="str">
        <f>IFERROR(__xludf.DUMMYFUNCTION("""COMPUTED_VALUE"""),"assassination")</f>
        <v>assassination</v>
      </c>
      <c r="P378" s="49" t="str">
        <f t="shared" si="2"/>
        <v>trees,</v>
      </c>
      <c r="Q378" s="49"/>
      <c r="R378" s="50" t="s">
        <v>1748</v>
      </c>
      <c r="S378" s="55" t="s">
        <v>6321</v>
      </c>
      <c r="T378" s="49" t="str">
        <f>IFERROR(__xludf.DUMMYFUNCTION("""COMPUTED_VALUE"""),"fun")</f>
        <v>fun</v>
      </c>
      <c r="U378" s="49"/>
      <c r="V378" s="49" t="str">
        <f>IFERROR(__xludf.DUMMYFUNCTION("""COMPUTED_VALUE"""),"variant")</f>
        <v>variant</v>
      </c>
      <c r="W378" s="49" t="str">
        <f>IFERROR(__xludf.DUMMYFUNCTION("""COMPUTED_VALUE"""),"titular")</f>
        <v>titular</v>
      </c>
      <c r="X378" s="49" t="str">
        <f t="shared" si="3"/>
        <v>turns,</v>
      </c>
      <c r="Y378" s="49"/>
      <c r="Z378" s="1" t="s">
        <v>3429</v>
      </c>
      <c r="AA378" s="1" t="s">
        <v>1431</v>
      </c>
      <c r="AB378" s="49" t="str">
        <f>IFERROR(__xludf.DUMMYFUNCTION("""COMPUTED_VALUE"""),"apparent")</f>
        <v>apparent</v>
      </c>
      <c r="AC378" s="49"/>
      <c r="AD378" s="49" t="str">
        <f>IFERROR(__xludf.DUMMYFUNCTION("""COMPUTED_VALUE"""),"perfect")</f>
        <v>perfect</v>
      </c>
      <c r="AE378" s="49" t="str">
        <f>IFERROR(__xludf.DUMMYFUNCTION("""COMPUTED_VALUE"""),"assassination")</f>
        <v>assassination</v>
      </c>
      <c r="AF378" s="49" t="str">
        <f t="shared" si="4"/>
        <v>double,</v>
      </c>
      <c r="AG378" s="49"/>
      <c r="AH378" s="1" t="s">
        <v>239</v>
      </c>
      <c r="AI378" s="1" t="s">
        <v>161</v>
      </c>
      <c r="AJ378" s="6" t="str">
        <f>IFERROR(__xludf.DUMMYFUNCTION("""COMPUTED_VALUE"""),"along")</f>
        <v>along</v>
      </c>
      <c r="AK378" s="49"/>
      <c r="AL378" s="49"/>
      <c r="AM378" s="49"/>
      <c r="AN378" s="52" t="str">
        <f t="shared" si="5"/>
        <v>good,</v>
      </c>
    </row>
    <row r="379">
      <c r="A379" s="51"/>
      <c r="B379" s="50" t="s">
        <v>5963</v>
      </c>
      <c r="C379" s="50" t="s">
        <v>1524</v>
      </c>
      <c r="D379" s="49" t="str">
        <f>IFERROR(__xludf.DUMMYFUNCTION("""COMPUTED_VALUE"""),"promise")</f>
        <v>promise</v>
      </c>
      <c r="E379" s="49"/>
      <c r="F379" s="49"/>
      <c r="G379" s="49" t="str">
        <f>IFERROR(__xludf.DUMMYFUNCTION("""COMPUTED_VALUE"""),"commune")</f>
        <v>commune</v>
      </c>
      <c r="H379" s="54" t="str">
        <f t="shared" si="1"/>
        <v>fiction,</v>
      </c>
      <c r="I379" s="50"/>
      <c r="J379" s="50" t="s">
        <v>6597</v>
      </c>
      <c r="K379" s="50" t="s">
        <v>1209</v>
      </c>
      <c r="L379" s="49" t="str">
        <f>IFERROR(__xludf.DUMMYFUNCTION("""COMPUTED_VALUE"""),"wants")</f>
        <v>wants</v>
      </c>
      <c r="M379" s="49"/>
      <c r="N379" s="49" t="str">
        <f>IFERROR(__xludf.DUMMYFUNCTION("""COMPUTED_VALUE"""),"jennifer")</f>
        <v>jennifer</v>
      </c>
      <c r="O379" s="49" t="str">
        <f>IFERROR(__xludf.DUMMYFUNCTION("""COMPUTED_VALUE"""),"attempt")</f>
        <v>attempt</v>
      </c>
      <c r="P379" s="49" t="str">
        <f t="shared" si="2"/>
        <v>pro,</v>
      </c>
      <c r="Q379" s="49"/>
      <c r="R379" s="50" t="s">
        <v>4088</v>
      </c>
      <c r="S379" s="55" t="s">
        <v>1663</v>
      </c>
      <c r="T379" s="49" t="str">
        <f>IFERROR(__xludf.DUMMYFUNCTION("""COMPUTED_VALUE"""),"doubt")</f>
        <v>doubt</v>
      </c>
      <c r="U379" s="49"/>
      <c r="V379" s="49" t="str">
        <f>IFERROR(__xludf.DUMMYFUNCTION("""COMPUTED_VALUE"""),"extent")</f>
        <v>extent</v>
      </c>
      <c r="W379" s="49" t="str">
        <f>IFERROR(__xludf.DUMMYFUNCTION("""COMPUTED_VALUE"""),"exterior")</f>
        <v>exterior</v>
      </c>
      <c r="X379" s="49" t="str">
        <f t="shared" si="3"/>
        <v>increasingly,</v>
      </c>
      <c r="Y379" s="49"/>
      <c r="Z379" s="1" t="s">
        <v>6237</v>
      </c>
      <c r="AA379" s="1" t="s">
        <v>2203</v>
      </c>
      <c r="AB379" s="49" t="str">
        <f>IFERROR(__xludf.DUMMYFUNCTION("""COMPUTED_VALUE"""),"view")</f>
        <v>view</v>
      </c>
      <c r="AC379" s="49"/>
      <c r="AD379" s="49" t="str">
        <f>IFERROR(__xludf.DUMMYFUNCTION("""COMPUTED_VALUE"""),"jennifer")</f>
        <v>jennifer</v>
      </c>
      <c r="AE379" s="49" t="str">
        <f>IFERROR(__xludf.DUMMYFUNCTION("""COMPUTED_VALUE"""),"attempt")</f>
        <v>attempt</v>
      </c>
      <c r="AF379" s="49" t="str">
        <f t="shared" si="4"/>
        <v>bland,</v>
      </c>
      <c r="AG379" s="49"/>
      <c r="AH379" s="1" t="s">
        <v>1320</v>
      </c>
      <c r="AI379" s="1" t="s">
        <v>836</v>
      </c>
      <c r="AJ379" s="6" t="str">
        <f>IFERROR(__xludf.DUMMYFUNCTION("""COMPUTED_VALUE"""),"almost")</f>
        <v>almost</v>
      </c>
      <c r="AK379" s="49"/>
      <c r="AL379" s="49"/>
      <c r="AM379" s="49"/>
      <c r="AN379" s="52" t="str">
        <f t="shared" si="5"/>
        <v>along,</v>
      </c>
    </row>
    <row r="380">
      <c r="A380" s="51"/>
      <c r="B380" s="50" t="s">
        <v>5893</v>
      </c>
      <c r="C380" s="50" t="s">
        <v>1836</v>
      </c>
      <c r="D380" s="49" t="str">
        <f>IFERROR(__xludf.DUMMYFUNCTION("""COMPUTED_VALUE"""),"per")</f>
        <v>per</v>
      </c>
      <c r="E380" s="49"/>
      <c r="F380" s="49"/>
      <c r="G380" s="49" t="str">
        <f>IFERROR(__xludf.DUMMYFUNCTION("""COMPUTED_VALUE"""),"supply")</f>
        <v>supply</v>
      </c>
      <c r="H380" s="54" t="str">
        <f t="shared" si="1"/>
        <v>vampires,</v>
      </c>
      <c r="I380" s="50"/>
      <c r="J380" s="50" t="s">
        <v>4272</v>
      </c>
      <c r="K380" s="50" t="s">
        <v>2001</v>
      </c>
      <c r="L380" s="49" t="str">
        <f>IFERROR(__xludf.DUMMYFUNCTION("""COMPUTED_VALUE"""),"laughed")</f>
        <v>laughed</v>
      </c>
      <c r="M380" s="49"/>
      <c r="N380" s="49" t="str">
        <f>IFERROR(__xludf.DUMMYFUNCTION("""COMPUTED_VALUE"""),"give")</f>
        <v>give</v>
      </c>
      <c r="O380" s="49" t="str">
        <f>IFERROR(__xludf.DUMMYFUNCTION("""COMPUTED_VALUE"""),"chords")</f>
        <v>chords</v>
      </c>
      <c r="P380" s="49" t="str">
        <f t="shared" si="2"/>
        <v>pair,</v>
      </c>
      <c r="Q380" s="49"/>
      <c r="R380" s="50" t="s">
        <v>2982</v>
      </c>
      <c r="S380" s="55" t="s">
        <v>887</v>
      </c>
      <c r="T380" s="49" t="str">
        <f>IFERROR(__xludf.DUMMYFUNCTION("""COMPUTED_VALUE"""),"alien")</f>
        <v>alien</v>
      </c>
      <c r="U380" s="49"/>
      <c r="V380" s="49" t="str">
        <f>IFERROR(__xludf.DUMMYFUNCTION("""COMPUTED_VALUE"""),"hospital")</f>
        <v>hospital</v>
      </c>
      <c r="W380" s="49" t="str">
        <f>IFERROR(__xludf.DUMMYFUNCTION("""COMPUTED_VALUE"""),"sequence")</f>
        <v>sequence</v>
      </c>
      <c r="X380" s="49" t="str">
        <f t="shared" si="3"/>
        <v>pile,</v>
      </c>
      <c r="Y380" s="49"/>
      <c r="Z380" s="1" t="s">
        <v>189</v>
      </c>
      <c r="AA380" s="1" t="s">
        <v>1436</v>
      </c>
      <c r="AB380" s="49" t="str">
        <f>IFERROR(__xludf.DUMMYFUNCTION("""COMPUTED_VALUE"""),"award")</f>
        <v>award</v>
      </c>
      <c r="AC380" s="49"/>
      <c r="AD380" s="49" t="str">
        <f>IFERROR(__xludf.DUMMYFUNCTION("""COMPUTED_VALUE"""),"give")</f>
        <v>give</v>
      </c>
      <c r="AE380" s="49" t="str">
        <f>IFERROR(__xludf.DUMMYFUNCTION("""COMPUTED_VALUE"""),"chords")</f>
        <v>chords</v>
      </c>
      <c r="AF380" s="49" t="str">
        <f t="shared" si="4"/>
        <v>been,</v>
      </c>
      <c r="AG380" s="49"/>
      <c r="AH380" s="1" t="s">
        <v>2986</v>
      </c>
      <c r="AI380" s="1" t="s">
        <v>2309</v>
      </c>
      <c r="AJ380" s="6" t="str">
        <f>IFERROR(__xludf.DUMMYFUNCTION("""COMPUTED_VALUE"""),"political")</f>
        <v>political</v>
      </c>
      <c r="AK380" s="49"/>
      <c r="AL380" s="49"/>
      <c r="AM380" s="49"/>
      <c r="AN380" s="52" t="str">
        <f t="shared" si="5"/>
        <v>almost,</v>
      </c>
    </row>
    <row r="381">
      <c r="A381" s="51"/>
      <c r="B381" s="50" t="s">
        <v>7263</v>
      </c>
      <c r="C381" s="50" t="s">
        <v>1538</v>
      </c>
      <c r="D381" s="49" t="str">
        <f>IFERROR(__xludf.DUMMYFUNCTION("""COMPUTED_VALUE"""),"view")</f>
        <v>view</v>
      </c>
      <c r="E381" s="49"/>
      <c r="F381" s="49"/>
      <c r="G381" s="49" t="str">
        <f>IFERROR(__xludf.DUMMYFUNCTION("""COMPUTED_VALUE"""),"prayer")</f>
        <v>prayer</v>
      </c>
      <c r="H381" s="54" t="str">
        <f t="shared" si="1"/>
        <v>bent,</v>
      </c>
      <c r="I381" s="50"/>
      <c r="J381" s="50" t="s">
        <v>2869</v>
      </c>
      <c r="K381" s="50" t="s">
        <v>222</v>
      </c>
      <c r="L381" s="49" t="str">
        <f>IFERROR(__xludf.DUMMYFUNCTION("""COMPUTED_VALUE"""),"read")</f>
        <v>read</v>
      </c>
      <c r="M381" s="49"/>
      <c r="N381" s="49" t="str">
        <f>IFERROR(__xludf.DUMMYFUNCTION("""COMPUTED_VALUE"""),"b")</f>
        <v>b</v>
      </c>
      <c r="O381" s="49" t="str">
        <f>IFERROR(__xludf.DUMMYFUNCTION("""COMPUTED_VALUE"""),"striking")</f>
        <v>striking</v>
      </c>
      <c r="P381" s="49" t="str">
        <f t="shared" si="2"/>
        <v>feet,</v>
      </c>
      <c r="Q381" s="49"/>
      <c r="R381" s="50" t="s">
        <v>226</v>
      </c>
      <c r="S381" s="55" t="s">
        <v>894</v>
      </c>
      <c r="T381" s="49" t="str">
        <f>IFERROR(__xludf.DUMMYFUNCTION("""COMPUTED_VALUE"""),"souls")</f>
        <v>souls</v>
      </c>
      <c r="U381" s="49"/>
      <c r="V381" s="49" t="str">
        <f>IFERROR(__xludf.DUMMYFUNCTION("""COMPUTED_VALUE"""),"comics")</f>
        <v>comics</v>
      </c>
      <c r="W381" s="49" t="str">
        <f>IFERROR(__xludf.DUMMYFUNCTION("""COMPUTED_VALUE"""),"awkwardly")</f>
        <v>awkwardly</v>
      </c>
      <c r="X381" s="49" t="str">
        <f t="shared" si="3"/>
        <v>games,</v>
      </c>
      <c r="Y381" s="49"/>
      <c r="Z381" s="1" t="s">
        <v>1197</v>
      </c>
      <c r="AA381" s="1" t="s">
        <v>1972</v>
      </c>
      <c r="AB381" s="49" t="str">
        <f>IFERROR(__xludf.DUMMYFUNCTION("""COMPUTED_VALUE"""),"trying")</f>
        <v>trying</v>
      </c>
      <c r="AC381" s="49"/>
      <c r="AD381" s="49" t="str">
        <f>IFERROR(__xludf.DUMMYFUNCTION("""COMPUTED_VALUE"""),"b")</f>
        <v>b</v>
      </c>
      <c r="AE381" s="49" t="str">
        <f>IFERROR(__xludf.DUMMYFUNCTION("""COMPUTED_VALUE"""),"striking")</f>
        <v>striking</v>
      </c>
      <c r="AF381" s="49" t="str">
        <f t="shared" si="4"/>
        <v>down,</v>
      </c>
      <c r="AG381" s="49"/>
      <c r="AH381" s="1" t="s">
        <v>2584</v>
      </c>
      <c r="AI381" s="1" t="s">
        <v>1293</v>
      </c>
      <c r="AJ381" s="6" t="str">
        <f>IFERROR(__xludf.DUMMYFUNCTION("""COMPUTED_VALUE"""),"running")</f>
        <v>running</v>
      </c>
      <c r="AK381" s="49"/>
      <c r="AL381" s="49"/>
      <c r="AM381" s="49"/>
      <c r="AN381" s="52" t="str">
        <f t="shared" si="5"/>
        <v>political,</v>
      </c>
    </row>
    <row r="382">
      <c r="A382" s="51"/>
      <c r="B382" s="50" t="s">
        <v>4685</v>
      </c>
      <c r="C382" s="50" t="s">
        <v>1564</v>
      </c>
      <c r="D382" s="49" t="str">
        <f>IFERROR(__xludf.DUMMYFUNCTION("""COMPUTED_VALUE"""),"pay")</f>
        <v>pay</v>
      </c>
      <c r="E382" s="49"/>
      <c r="F382" s="49"/>
      <c r="G382" s="49" t="str">
        <f>IFERROR(__xludf.DUMMYFUNCTION("""COMPUTED_VALUE"""),"essay")</f>
        <v>essay</v>
      </c>
      <c r="H382" s="54" t="str">
        <f t="shared" si="1"/>
        <v>latest,</v>
      </c>
      <c r="I382" s="50"/>
      <c r="J382" s="50" t="s">
        <v>5705</v>
      </c>
      <c r="K382" s="50" t="s">
        <v>2211</v>
      </c>
      <c r="L382" s="49" t="str">
        <f>IFERROR(__xludf.DUMMYFUNCTION("""COMPUTED_VALUE"""),"ethnic")</f>
        <v>ethnic</v>
      </c>
      <c r="M382" s="49"/>
      <c r="N382" s="49" t="str">
        <f>IFERROR(__xludf.DUMMYFUNCTION("""COMPUTED_VALUE"""),"again")</f>
        <v>again</v>
      </c>
      <c r="O382" s="49" t="str">
        <f>IFERROR(__xludf.DUMMYFUNCTION("""COMPUTED_VALUE"""),"impressive")</f>
        <v>impressive</v>
      </c>
      <c r="P382" s="49" t="str">
        <f t="shared" si="2"/>
        <v>wow,</v>
      </c>
      <c r="Q382" s="49"/>
      <c r="R382" s="50" t="s">
        <v>394</v>
      </c>
      <c r="S382" s="55" t="s">
        <v>1669</v>
      </c>
      <c r="T382" s="49" t="str">
        <f>IFERROR(__xludf.DUMMYFUNCTION("""COMPUTED_VALUE"""),"marking")</f>
        <v>marking</v>
      </c>
      <c r="U382" s="49"/>
      <c r="V382" s="49" t="str">
        <f>IFERROR(__xludf.DUMMYFUNCTION("""COMPUTED_VALUE"""),"cape")</f>
        <v>cape</v>
      </c>
      <c r="W382" s="49" t="str">
        <f>IFERROR(__xludf.DUMMYFUNCTION("""COMPUTED_VALUE"""),"unnecessary")</f>
        <v>unnecessary</v>
      </c>
      <c r="X382" s="49" t="str">
        <f t="shared" si="3"/>
        <v>screenplay,</v>
      </c>
      <c r="Y382" s="49"/>
      <c r="Z382" s="1" t="s">
        <v>339</v>
      </c>
      <c r="AA382" s="1" t="s">
        <v>352</v>
      </c>
      <c r="AB382" s="49" t="str">
        <f>IFERROR(__xludf.DUMMYFUNCTION("""COMPUTED_VALUE"""),"strangely")</f>
        <v>strangely</v>
      </c>
      <c r="AC382" s="49"/>
      <c r="AD382" s="49" t="str">
        <f>IFERROR(__xludf.DUMMYFUNCTION("""COMPUTED_VALUE"""),"again")</f>
        <v>again</v>
      </c>
      <c r="AE382" s="49" t="str">
        <f>IFERROR(__xludf.DUMMYFUNCTION("""COMPUTED_VALUE"""),"impressive")</f>
        <v>impressive</v>
      </c>
      <c r="AF382" s="49" t="str">
        <f t="shared" si="4"/>
        <v>version,</v>
      </c>
      <c r="AG382" s="49"/>
      <c r="AH382" s="1" t="s">
        <v>1845</v>
      </c>
      <c r="AI382" s="1" t="s">
        <v>6315</v>
      </c>
      <c r="AJ382" s="6" t="str">
        <f>IFERROR(__xludf.DUMMYFUNCTION("""COMPUTED_VALUE"""),"fall")</f>
        <v>fall</v>
      </c>
      <c r="AK382" s="49"/>
      <c r="AL382" s="49"/>
      <c r="AM382" s="49"/>
      <c r="AN382" s="52" t="str">
        <f t="shared" si="5"/>
        <v>running,</v>
      </c>
    </row>
    <row r="383">
      <c r="A383" s="51"/>
      <c r="B383" s="50" t="s">
        <v>6896</v>
      </c>
      <c r="C383" s="50" t="s">
        <v>1569</v>
      </c>
      <c r="D383" s="49" t="str">
        <f>IFERROR(__xludf.DUMMYFUNCTION("""COMPUTED_VALUE"""),"wait")</f>
        <v>wait</v>
      </c>
      <c r="E383" s="49"/>
      <c r="F383" s="49"/>
      <c r="G383" s="49" t="str">
        <f>IFERROR(__xludf.DUMMYFUNCTION("""COMPUTED_VALUE"""),"expansion")</f>
        <v>expansion</v>
      </c>
      <c r="H383" s="54" t="str">
        <f t="shared" si="1"/>
        <v>suppose,</v>
      </c>
      <c r="I383" s="50"/>
      <c r="J383" s="50" t="s">
        <v>4473</v>
      </c>
      <c r="K383" s="50" t="s">
        <v>2215</v>
      </c>
      <c r="L383" s="49" t="str">
        <f>IFERROR(__xludf.DUMMYFUNCTION("""COMPUTED_VALUE"""),"reel")</f>
        <v>reel</v>
      </c>
      <c r="M383" s="49"/>
      <c r="N383" s="49" t="str">
        <f>IFERROR(__xludf.DUMMYFUNCTION("""COMPUTED_VALUE"""),"once")</f>
        <v>once</v>
      </c>
      <c r="O383" s="49" t="str">
        <f>IFERROR(__xludf.DUMMYFUNCTION("""COMPUTED_VALUE"""),"lola")</f>
        <v>lola</v>
      </c>
      <c r="P383" s="49" t="str">
        <f t="shared" si="2"/>
        <v>larger,</v>
      </c>
      <c r="Q383" s="49"/>
      <c r="R383" s="50" t="s">
        <v>2001</v>
      </c>
      <c r="S383" s="55" t="s">
        <v>173</v>
      </c>
      <c r="T383" s="49" t="str">
        <f>IFERROR(__xludf.DUMMYFUNCTION("""COMPUTED_VALUE"""),"stellar")</f>
        <v>stellar</v>
      </c>
      <c r="U383" s="49"/>
      <c r="V383" s="49" t="str">
        <f>IFERROR(__xludf.DUMMYFUNCTION("""COMPUTED_VALUE"""),"violated")</f>
        <v>violated</v>
      </c>
      <c r="W383" s="49" t="str">
        <f>IFERROR(__xludf.DUMMYFUNCTION("""COMPUTED_VALUE"""),"simone")</f>
        <v>simone</v>
      </c>
      <c r="X383" s="49" t="str">
        <f t="shared" si="3"/>
        <v>entertaining,</v>
      </c>
      <c r="Y383" s="49"/>
      <c r="Z383" s="1" t="s">
        <v>4474</v>
      </c>
      <c r="AA383" s="1" t="s">
        <v>527</v>
      </c>
      <c r="AB383" s="49" t="str">
        <f>IFERROR(__xludf.DUMMYFUNCTION("""COMPUTED_VALUE"""),"rising")</f>
        <v>rising</v>
      </c>
      <c r="AC383" s="49"/>
      <c r="AD383" s="49" t="str">
        <f>IFERROR(__xludf.DUMMYFUNCTION("""COMPUTED_VALUE"""),"once")</f>
        <v>once</v>
      </c>
      <c r="AE383" s="49" t="str">
        <f>IFERROR(__xludf.DUMMYFUNCTION("""COMPUTED_VALUE"""),"lola")</f>
        <v>lola</v>
      </c>
      <c r="AF383" s="49" t="str">
        <f t="shared" si="4"/>
        <v>kong,</v>
      </c>
      <c r="AG383" s="49"/>
      <c r="AH383" s="1" t="s">
        <v>3914</v>
      </c>
      <c r="AI383" s="1" t="s">
        <v>1880</v>
      </c>
      <c r="AJ383" s="6" t="str">
        <f>IFERROR(__xludf.DUMMYFUNCTION("""COMPUTED_VALUE"""),"couple")</f>
        <v>couple</v>
      </c>
      <c r="AK383" s="49"/>
      <c r="AL383" s="49"/>
      <c r="AM383" s="49"/>
      <c r="AN383" s="52" t="str">
        <f t="shared" si="5"/>
        <v>fall,</v>
      </c>
    </row>
    <row r="384">
      <c r="A384" s="51"/>
      <c r="B384" s="50" t="s">
        <v>1162</v>
      </c>
      <c r="C384" s="50" t="s">
        <v>2088</v>
      </c>
      <c r="D384" s="49" t="str">
        <f>IFERROR(__xludf.DUMMYFUNCTION("""COMPUTED_VALUE"""),"easily")</f>
        <v>easily</v>
      </c>
      <c r="E384" s="49"/>
      <c r="F384" s="49"/>
      <c r="G384" s="49" t="str">
        <f>IFERROR(__xludf.DUMMYFUNCTION("""COMPUTED_VALUE"""),"diversity")</f>
        <v>diversity</v>
      </c>
      <c r="H384" s="54" t="str">
        <f t="shared" si="1"/>
        <v>second,</v>
      </c>
      <c r="I384" s="50"/>
      <c r="J384" s="50" t="s">
        <v>1257</v>
      </c>
      <c r="K384" s="50" t="s">
        <v>2217</v>
      </c>
      <c r="L384" s="49" t="str">
        <f>IFERROR(__xludf.DUMMYFUNCTION("""COMPUTED_VALUE"""),"essentially")</f>
        <v>essentially</v>
      </c>
      <c r="M384" s="49"/>
      <c r="N384" s="49" t="str">
        <f>IFERROR(__xludf.DUMMYFUNCTION("""COMPUTED_VALUE"""),"e")</f>
        <v>e</v>
      </c>
      <c r="O384" s="49" t="str">
        <f>IFERROR(__xludf.DUMMYFUNCTION("""COMPUTED_VALUE"""),"reminiscent")</f>
        <v>reminiscent</v>
      </c>
      <c r="P384" s="49" t="str">
        <f t="shared" si="2"/>
        <v>minutes,</v>
      </c>
      <c r="Q384" s="49"/>
      <c r="R384" s="50" t="s">
        <v>142</v>
      </c>
      <c r="S384" s="55" t="s">
        <v>309</v>
      </c>
      <c r="T384" s="49" t="str">
        <f>IFERROR(__xludf.DUMMYFUNCTION("""COMPUTED_VALUE"""),"h")</f>
        <v>h</v>
      </c>
      <c r="U384" s="49"/>
      <c r="V384" s="49" t="str">
        <f>IFERROR(__xludf.DUMMYFUNCTION("""COMPUTED_VALUE"""),"fairly")</f>
        <v>fairly</v>
      </c>
      <c r="W384" s="49" t="str">
        <f>IFERROR(__xludf.DUMMYFUNCTION("""COMPUTED_VALUE"""),"pantheon")</f>
        <v>pantheon</v>
      </c>
      <c r="X384" s="49" t="str">
        <f t="shared" si="3"/>
        <v>greatest,</v>
      </c>
      <c r="Y384" s="49"/>
      <c r="Z384" s="1" t="s">
        <v>6392</v>
      </c>
      <c r="AA384" s="1" t="s">
        <v>960</v>
      </c>
      <c r="AB384" s="49" t="str">
        <f>IFERROR(__xludf.DUMMYFUNCTION("""COMPUTED_VALUE"""),"storyline")</f>
        <v>storyline</v>
      </c>
      <c r="AC384" s="49"/>
      <c r="AD384" s="49" t="str">
        <f>IFERROR(__xludf.DUMMYFUNCTION("""COMPUTED_VALUE"""),"e")</f>
        <v>e</v>
      </c>
      <c r="AE384" s="49" t="str">
        <f>IFERROR(__xludf.DUMMYFUNCTION("""COMPUTED_VALUE"""),"reminiscent")</f>
        <v>reminiscent</v>
      </c>
      <c r="AF384" s="49" t="str">
        <f t="shared" si="4"/>
        <v>joke,</v>
      </c>
      <c r="AG384" s="49"/>
      <c r="AH384" s="1" t="s">
        <v>2489</v>
      </c>
      <c r="AI384" s="1" t="s">
        <v>1311</v>
      </c>
      <c r="AJ384" s="6" t="str">
        <f>IFERROR(__xludf.DUMMYFUNCTION("""COMPUTED_VALUE"""),"ago")</f>
        <v>ago</v>
      </c>
      <c r="AK384" s="49"/>
      <c r="AL384" s="49"/>
      <c r="AM384" s="49"/>
      <c r="AN384" s="52" t="str">
        <f t="shared" si="5"/>
        <v>couple,</v>
      </c>
    </row>
    <row r="385">
      <c r="A385" s="51"/>
      <c r="B385" s="50" t="s">
        <v>525</v>
      </c>
      <c r="C385" s="50" t="s">
        <v>909</v>
      </c>
      <c r="D385" s="49" t="str">
        <f>IFERROR(__xludf.DUMMYFUNCTION("""COMPUTED_VALUE"""),"dollar")</f>
        <v>dollar</v>
      </c>
      <c r="E385" s="49"/>
      <c r="F385" s="49"/>
      <c r="G385" s="49" t="str">
        <f>IFERROR(__xludf.DUMMYFUNCTION("""COMPUTED_VALUE"""),"lifting")</f>
        <v>lifting</v>
      </c>
      <c r="H385" s="54" t="str">
        <f t="shared" si="1"/>
        <v>large,</v>
      </c>
      <c r="I385" s="50"/>
      <c r="J385" s="50" t="s">
        <v>892</v>
      </c>
      <c r="K385" s="50" t="s">
        <v>760</v>
      </c>
      <c r="L385" s="49" t="str">
        <f>IFERROR(__xludf.DUMMYFUNCTION("""COMPUTED_VALUE"""),"unconventional")</f>
        <v>unconventional</v>
      </c>
      <c r="M385" s="49"/>
      <c r="N385" s="49" t="str">
        <f>IFERROR(__xludf.DUMMYFUNCTION("""COMPUTED_VALUE"""),"returns")</f>
        <v>returns</v>
      </c>
      <c r="O385" s="49" t="str">
        <f>IFERROR(__xludf.DUMMYFUNCTION("""COMPUTED_VALUE"""),"middle")</f>
        <v>middle</v>
      </c>
      <c r="P385" s="49" t="str">
        <f t="shared" si="2"/>
        <v>turned,</v>
      </c>
      <c r="Q385" s="49"/>
      <c r="R385" s="50" t="s">
        <v>6323</v>
      </c>
      <c r="S385" s="55" t="s">
        <v>905</v>
      </c>
      <c r="T385" s="49" t="str">
        <f>IFERROR(__xludf.DUMMYFUNCTION("""COMPUTED_VALUE"""),"begins")</f>
        <v>begins</v>
      </c>
      <c r="U385" s="49"/>
      <c r="V385" s="49" t="str">
        <f>IFERROR(__xludf.DUMMYFUNCTION("""COMPUTED_VALUE"""),"fruit")</f>
        <v>fruit</v>
      </c>
      <c r="W385" s="49" t="str">
        <f>IFERROR(__xludf.DUMMYFUNCTION("""COMPUTED_VALUE"""),"aware")</f>
        <v>aware</v>
      </c>
      <c r="X385" s="49" t="str">
        <f t="shared" si="3"/>
        <v>outrageous,</v>
      </c>
      <c r="Y385" s="49"/>
      <c r="Z385" s="1" t="s">
        <v>2554</v>
      </c>
      <c r="AA385" s="1" t="s">
        <v>1215</v>
      </c>
      <c r="AB385" s="49" t="str">
        <f>IFERROR(__xludf.DUMMYFUNCTION("""COMPUTED_VALUE"""),"exploitation")</f>
        <v>exploitation</v>
      </c>
      <c r="AC385" s="49"/>
      <c r="AD385" s="49" t="str">
        <f>IFERROR(__xludf.DUMMYFUNCTION("""COMPUTED_VALUE"""),"returns")</f>
        <v>returns</v>
      </c>
      <c r="AE385" s="49" t="str">
        <f>IFERROR(__xludf.DUMMYFUNCTION("""COMPUTED_VALUE"""),"middle")</f>
        <v>middle</v>
      </c>
      <c r="AF385" s="49" t="str">
        <f t="shared" si="4"/>
        <v>attempts,</v>
      </c>
      <c r="AG385" s="49"/>
      <c r="AH385" s="1" t="s">
        <v>2942</v>
      </c>
      <c r="AI385" s="1" t="s">
        <v>1874</v>
      </c>
      <c r="AJ385" s="6" t="str">
        <f>IFERROR(__xludf.DUMMYFUNCTION("""COMPUTED_VALUE"""),"truth")</f>
        <v>truth</v>
      </c>
      <c r="AK385" s="49"/>
      <c r="AL385" s="49"/>
      <c r="AM385" s="49"/>
      <c r="AN385" s="52" t="str">
        <f t="shared" si="5"/>
        <v>ago,</v>
      </c>
    </row>
    <row r="386">
      <c r="A386" s="51"/>
      <c r="B386" s="50" t="s">
        <v>6328</v>
      </c>
      <c r="C386" s="50" t="s">
        <v>103</v>
      </c>
      <c r="D386" s="49" t="str">
        <f>IFERROR(__xludf.DUMMYFUNCTION("""COMPUTED_VALUE"""),"death")</f>
        <v>death</v>
      </c>
      <c r="E386" s="49"/>
      <c r="F386" s="49"/>
      <c r="G386" s="49" t="str">
        <f>IFERROR(__xludf.DUMMYFUNCTION("""COMPUTED_VALUE"""),"trading")</f>
        <v>trading</v>
      </c>
      <c r="H386" s="54" t="str">
        <f t="shared" si="1"/>
        <v>sure,</v>
      </c>
      <c r="I386" s="50"/>
      <c r="J386" s="50" t="s">
        <v>1847</v>
      </c>
      <c r="K386" s="50" t="s">
        <v>1115</v>
      </c>
      <c r="L386" s="49" t="str">
        <f>IFERROR(__xludf.DUMMYFUNCTION("""COMPUTED_VALUE"""),"expectation")</f>
        <v>expectation</v>
      </c>
      <c r="M386" s="49"/>
      <c r="N386" s="49" t="str">
        <f>IFERROR(__xludf.DUMMYFUNCTION("""COMPUTED_VALUE"""),"son")</f>
        <v>son</v>
      </c>
      <c r="O386" s="49" t="str">
        <f>IFERROR(__xludf.DUMMYFUNCTION("""COMPUTED_VALUE"""),"biography")</f>
        <v>biography</v>
      </c>
      <c r="P386" s="49" t="str">
        <f t="shared" si="2"/>
        <v>grand,</v>
      </c>
      <c r="Q386" s="49"/>
      <c r="R386" s="50" t="s">
        <v>3293</v>
      </c>
      <c r="S386" s="55" t="s">
        <v>6253</v>
      </c>
      <c r="T386" s="49" t="str">
        <f>IFERROR(__xludf.DUMMYFUNCTION("""COMPUTED_VALUE"""),"count")</f>
        <v>count</v>
      </c>
      <c r="U386" s="49"/>
      <c r="V386" s="49" t="str">
        <f>IFERROR(__xludf.DUMMYFUNCTION("""COMPUTED_VALUE"""),"eat")</f>
        <v>eat</v>
      </c>
      <c r="W386" s="49" t="str">
        <f>IFERROR(__xludf.DUMMYFUNCTION("""COMPUTED_VALUE"""),"pull")</f>
        <v>pull</v>
      </c>
      <c r="X386" s="49" t="str">
        <f t="shared" si="3"/>
        <v>studios,</v>
      </c>
      <c r="Y386" s="49"/>
      <c r="Z386" s="1" t="s">
        <v>1827</v>
      </c>
      <c r="AA386" s="1" t="s">
        <v>1398</v>
      </c>
      <c r="AB386" s="49" t="str">
        <f>IFERROR(__xludf.DUMMYFUNCTION("""COMPUTED_VALUE"""),"suffer")</f>
        <v>suffer</v>
      </c>
      <c r="AC386" s="49"/>
      <c r="AD386" s="49" t="str">
        <f>IFERROR(__xludf.DUMMYFUNCTION("""COMPUTED_VALUE"""),"son")</f>
        <v>son</v>
      </c>
      <c r="AE386" s="49" t="str">
        <f>IFERROR(__xludf.DUMMYFUNCTION("""COMPUTED_VALUE"""),"biography")</f>
        <v>biography</v>
      </c>
      <c r="AF386" s="49" t="str">
        <f t="shared" si="4"/>
        <v>style,</v>
      </c>
      <c r="AG386" s="49"/>
      <c r="AH386" s="1" t="s">
        <v>2604</v>
      </c>
      <c r="AI386" s="1" t="s">
        <v>1303</v>
      </c>
      <c r="AJ386" s="6" t="str">
        <f>IFERROR(__xludf.DUMMYFUNCTION("""COMPUTED_VALUE"""),"flat")</f>
        <v>flat</v>
      </c>
      <c r="AK386" s="49"/>
      <c r="AL386" s="49"/>
      <c r="AM386" s="49"/>
      <c r="AN386" s="52" t="str">
        <f t="shared" si="5"/>
        <v>truth,</v>
      </c>
    </row>
    <row r="387">
      <c r="A387" s="51"/>
      <c r="B387" s="50" t="s">
        <v>2386</v>
      </c>
      <c r="C387" s="50" t="s">
        <v>1883</v>
      </c>
      <c r="D387" s="49" t="str">
        <f>IFERROR(__xludf.DUMMYFUNCTION("""COMPUTED_VALUE"""),"camp")</f>
        <v>camp</v>
      </c>
      <c r="E387" s="49"/>
      <c r="F387" s="49"/>
      <c r="G387" s="49" t="str">
        <f>IFERROR(__xludf.DUMMYFUNCTION("""COMPUTED_VALUE"""),"echo")</f>
        <v>echo</v>
      </c>
      <c r="H387" s="54" t="str">
        <f t="shared" si="1"/>
        <v>green,</v>
      </c>
      <c r="I387" s="50"/>
      <c r="J387" s="50" t="s">
        <v>585</v>
      </c>
      <c r="K387" s="50" t="s">
        <v>2225</v>
      </c>
      <c r="L387" s="49" t="str">
        <f>IFERROR(__xludf.DUMMYFUNCTION("""COMPUTED_VALUE"""),"tensions")</f>
        <v>tensions</v>
      </c>
      <c r="M387" s="49"/>
      <c r="N387" s="49" t="str">
        <f>IFERROR(__xludf.DUMMYFUNCTION("""COMPUTED_VALUE"""),"swans")</f>
        <v>swans</v>
      </c>
      <c r="O387" s="49" t="str">
        <f>IFERROR(__xludf.DUMMYFUNCTION("""COMPUTED_VALUE"""),"hugely")</f>
        <v>hugely</v>
      </c>
      <c r="P387" s="49" t="str">
        <f t="shared" si="2"/>
        <v>ever,</v>
      </c>
      <c r="Q387" s="49"/>
      <c r="R387" s="50" t="s">
        <v>937</v>
      </c>
      <c r="S387" s="55" t="s">
        <v>913</v>
      </c>
      <c r="T387" s="49" t="str">
        <f>IFERROR(__xludf.DUMMYFUNCTION("""COMPUTED_VALUE"""),"confusing")</f>
        <v>confusing</v>
      </c>
      <c r="U387" s="49"/>
      <c r="V387" s="49" t="str">
        <f>IFERROR(__xludf.DUMMYFUNCTION("""COMPUTED_VALUE"""),"junior")</f>
        <v>junior</v>
      </c>
      <c r="W387" s="49" t="str">
        <f>IFERROR(__xludf.DUMMYFUNCTION("""COMPUTED_VALUE"""),"american")</f>
        <v>american</v>
      </c>
      <c r="X387" s="49" t="str">
        <f t="shared" si="3"/>
        <v>disney,</v>
      </c>
      <c r="Y387" s="49"/>
      <c r="Z387" s="1" t="s">
        <v>3774</v>
      </c>
      <c r="AA387" s="1" t="s">
        <v>2222</v>
      </c>
      <c r="AB387" s="49" t="str">
        <f>IFERROR(__xludf.DUMMYFUNCTION("""COMPUTED_VALUE"""),"remake")</f>
        <v>remake</v>
      </c>
      <c r="AC387" s="49"/>
      <c r="AD387" s="49" t="str">
        <f>IFERROR(__xludf.DUMMYFUNCTION("""COMPUTED_VALUE"""),"swans")</f>
        <v>swans</v>
      </c>
      <c r="AE387" s="49" t="str">
        <f>IFERROR(__xludf.DUMMYFUNCTION("""COMPUTED_VALUE"""),"hugely")</f>
        <v>hugely</v>
      </c>
      <c r="AF387" s="49" t="str">
        <f t="shared" si="4"/>
        <v>hong,</v>
      </c>
      <c r="AG387" s="49"/>
      <c r="AH387" s="1" t="s">
        <v>1110</v>
      </c>
      <c r="AI387" s="1" t="s">
        <v>1477</v>
      </c>
      <c r="AJ387" s="6" t="str">
        <f>IFERROR(__xludf.DUMMYFUNCTION("""COMPUTED_VALUE"""),"dogs")</f>
        <v>dogs</v>
      </c>
      <c r="AK387" s="49"/>
      <c r="AL387" s="49"/>
      <c r="AM387" s="49"/>
      <c r="AN387" s="52" t="str">
        <f t="shared" si="5"/>
        <v>flat,</v>
      </c>
    </row>
    <row r="388">
      <c r="A388" s="51"/>
      <c r="B388" s="50" t="s">
        <v>6421</v>
      </c>
      <c r="C388" s="50" t="s">
        <v>2107</v>
      </c>
      <c r="D388" s="49" t="str">
        <f>IFERROR(__xludf.DUMMYFUNCTION("""COMPUTED_VALUE"""),"theatrical")</f>
        <v>theatrical</v>
      </c>
      <c r="E388" s="49"/>
      <c r="F388" s="49"/>
      <c r="G388" s="49" t="str">
        <f>IFERROR(__xludf.DUMMYFUNCTION("""COMPUTED_VALUE"""),"compositions")</f>
        <v>compositions</v>
      </c>
      <c r="H388" s="54" t="str">
        <f t="shared" si="1"/>
        <v>earth,</v>
      </c>
      <c r="I388" s="50"/>
      <c r="J388" s="50" t="s">
        <v>1181</v>
      </c>
      <c r="K388" s="50" t="s">
        <v>424</v>
      </c>
      <c r="L388" s="49" t="str">
        <f>IFERROR(__xludf.DUMMYFUNCTION("""COMPUTED_VALUE"""),"anyone")</f>
        <v>anyone</v>
      </c>
      <c r="M388" s="49"/>
      <c r="N388" s="49" t="str">
        <f>IFERROR(__xludf.DUMMYFUNCTION("""COMPUTED_VALUE"""),"told")</f>
        <v>told</v>
      </c>
      <c r="O388" s="49" t="str">
        <f>IFERROR(__xludf.DUMMYFUNCTION("""COMPUTED_VALUE"""),"fall")</f>
        <v>fall</v>
      </c>
      <c r="P388" s="49" t="str">
        <f t="shared" si="2"/>
        <v>actually,</v>
      </c>
      <c r="Q388" s="49"/>
      <c r="R388" s="50" t="s">
        <v>1179</v>
      </c>
      <c r="S388" s="55" t="s">
        <v>6322</v>
      </c>
      <c r="T388" s="49" t="str">
        <f>IFERROR(__xludf.DUMMYFUNCTION("""COMPUTED_VALUE"""),"burns")</f>
        <v>burns</v>
      </c>
      <c r="U388" s="49"/>
      <c r="V388" s="49">
        <f>IFERROR(__xludf.DUMMYFUNCTION("""COMPUTED_VALUE"""),22.0)</f>
        <v>22</v>
      </c>
      <c r="W388" s="49" t="str">
        <f>IFERROR(__xludf.DUMMYFUNCTION("""COMPUTED_VALUE"""),"symbolism")</f>
        <v>symbolism</v>
      </c>
      <c r="X388" s="49" t="str">
        <f t="shared" si="3"/>
        <v>addition,</v>
      </c>
      <c r="Y388" s="49"/>
      <c r="Z388" s="1" t="s">
        <v>4238</v>
      </c>
      <c r="AA388" s="1" t="s">
        <v>1411</v>
      </c>
      <c r="AB388" s="49" t="str">
        <f>IFERROR(__xludf.DUMMYFUNCTION("""COMPUTED_VALUE"""),"affair")</f>
        <v>affair</v>
      </c>
      <c r="AC388" s="49"/>
      <c r="AD388" s="49" t="str">
        <f>IFERROR(__xludf.DUMMYFUNCTION("""COMPUTED_VALUE"""),"told")</f>
        <v>told</v>
      </c>
      <c r="AE388" s="49" t="str">
        <f>IFERROR(__xludf.DUMMYFUNCTION("""COMPUTED_VALUE"""),"fall")</f>
        <v>fall</v>
      </c>
      <c r="AF388" s="49" t="str">
        <f t="shared" si="4"/>
        <v>prior,</v>
      </c>
      <c r="AG388" s="49"/>
      <c r="AH388" s="1" t="s">
        <v>2098</v>
      </c>
      <c r="AI388" s="1" t="s">
        <v>1112</v>
      </c>
      <c r="AJ388" s="6" t="str">
        <f>IFERROR(__xludf.DUMMYFUNCTION("""COMPUTED_VALUE"""),"jay")</f>
        <v>jay</v>
      </c>
      <c r="AK388" s="49"/>
      <c r="AL388" s="49"/>
      <c r="AM388" s="49"/>
      <c r="AN388" s="52" t="str">
        <f t="shared" si="5"/>
        <v>dogs,</v>
      </c>
    </row>
    <row r="389">
      <c r="A389" s="51"/>
      <c r="B389" s="50" t="s">
        <v>6479</v>
      </c>
      <c r="C389" s="50" t="s">
        <v>1590</v>
      </c>
      <c r="D389" s="49" t="str">
        <f>IFERROR(__xludf.DUMMYFUNCTION("""COMPUTED_VALUE"""),"faith")</f>
        <v>faith</v>
      </c>
      <c r="E389" s="49"/>
      <c r="F389" s="49"/>
      <c r="G389" s="49" t="str">
        <f>IFERROR(__xludf.DUMMYFUNCTION("""COMPUTED_VALUE"""),"imposed")</f>
        <v>imposed</v>
      </c>
      <c r="H389" s="54" t="str">
        <f t="shared" si="1"/>
        <v>saying,</v>
      </c>
      <c r="I389" s="50"/>
      <c r="J389" s="50" t="s">
        <v>996</v>
      </c>
      <c r="K389" s="50" t="s">
        <v>1129</v>
      </c>
      <c r="L389" s="49" t="str">
        <f>IFERROR(__xludf.DUMMYFUNCTION("""COMPUTED_VALUE"""),"complex")</f>
        <v>complex</v>
      </c>
      <c r="M389" s="49"/>
      <c r="N389" s="49" t="str">
        <f>IFERROR(__xludf.DUMMYFUNCTION("""COMPUTED_VALUE"""),"vacation")</f>
        <v>vacation</v>
      </c>
      <c r="O389" s="49" t="str">
        <f>IFERROR(__xludf.DUMMYFUNCTION("""COMPUTED_VALUE"""),"dime")</f>
        <v>dime</v>
      </c>
      <c r="P389" s="49" t="str">
        <f t="shared" si="2"/>
        <v>enough,</v>
      </c>
      <c r="Q389" s="49"/>
      <c r="R389" s="50" t="s">
        <v>2112</v>
      </c>
      <c r="S389" s="55" t="s">
        <v>1708</v>
      </c>
      <c r="T389" s="49" t="str">
        <f>IFERROR(__xludf.DUMMYFUNCTION("""COMPUTED_VALUE"""),"strange")</f>
        <v>strange</v>
      </c>
      <c r="U389" s="49"/>
      <c r="V389" s="49" t="str">
        <f>IFERROR(__xludf.DUMMYFUNCTION("""COMPUTED_VALUE"""),"brooklyn")</f>
        <v>brooklyn</v>
      </c>
      <c r="W389" s="49" t="str">
        <f>IFERROR(__xludf.DUMMYFUNCTION("""COMPUTED_VALUE"""),"stalker")</f>
        <v>stalker</v>
      </c>
      <c r="X389" s="49" t="str">
        <f t="shared" si="3"/>
        <v>possible,</v>
      </c>
      <c r="Y389" s="49"/>
      <c r="Z389" s="1" t="s">
        <v>831</v>
      </c>
      <c r="AA389" s="1" t="s">
        <v>2229</v>
      </c>
      <c r="AB389" s="49" t="str">
        <f>IFERROR(__xludf.DUMMYFUNCTION("""COMPUTED_VALUE"""),"low")</f>
        <v>low</v>
      </c>
      <c r="AC389" s="49"/>
      <c r="AD389" s="49" t="str">
        <f>IFERROR(__xludf.DUMMYFUNCTION("""COMPUTED_VALUE"""),"vacation")</f>
        <v>vacation</v>
      </c>
      <c r="AE389" s="49" t="str">
        <f>IFERROR(__xludf.DUMMYFUNCTION("""COMPUTED_VALUE"""),"dime")</f>
        <v>dime</v>
      </c>
      <c r="AF389" s="49" t="str">
        <f t="shared" si="4"/>
        <v>made,</v>
      </c>
      <c r="AG389" s="49"/>
      <c r="AH389" s="1" t="s">
        <v>3664</v>
      </c>
      <c r="AI389" s="1" t="s">
        <v>877</v>
      </c>
      <c r="AJ389" s="6" t="str">
        <f>IFERROR(__xludf.DUMMYFUNCTION("""COMPUTED_VALUE"""),"romantic")</f>
        <v>romantic</v>
      </c>
      <c r="AK389" s="49"/>
      <c r="AL389" s="49"/>
      <c r="AM389" s="49"/>
      <c r="AN389" s="52" t="str">
        <f t="shared" si="5"/>
        <v>jay,</v>
      </c>
    </row>
    <row r="390">
      <c r="A390" s="51"/>
      <c r="B390" s="50" t="s">
        <v>4305</v>
      </c>
      <c r="C390" s="50" t="s">
        <v>157</v>
      </c>
      <c r="D390" s="49" t="str">
        <f>IFERROR(__xludf.DUMMYFUNCTION("""COMPUTED_VALUE"""),"extraordinary")</f>
        <v>extraordinary</v>
      </c>
      <c r="E390" s="49"/>
      <c r="F390" s="49"/>
      <c r="G390" s="49" t="str">
        <f>IFERROR(__xludf.DUMMYFUNCTION("""COMPUTED_VALUE"""),"narrow")</f>
        <v>narrow</v>
      </c>
      <c r="H390" s="54" t="str">
        <f t="shared" si="1"/>
        <v>novel,</v>
      </c>
      <c r="I390" s="50"/>
      <c r="J390" s="50" t="s">
        <v>4029</v>
      </c>
      <c r="K390" s="50" t="s">
        <v>1135</v>
      </c>
      <c r="L390" s="49" t="str">
        <f>IFERROR(__xludf.DUMMYFUNCTION("""COMPUTED_VALUE"""),"painful")</f>
        <v>painful</v>
      </c>
      <c r="M390" s="49"/>
      <c r="N390" s="49" t="str">
        <f>IFERROR(__xludf.DUMMYFUNCTION("""COMPUTED_VALUE"""),"known")</f>
        <v>known</v>
      </c>
      <c r="O390" s="49" t="str">
        <f>IFERROR(__xludf.DUMMYFUNCTION("""COMPUTED_VALUE"""),"stops")</f>
        <v>stops</v>
      </c>
      <c r="P390" s="49" t="str">
        <f t="shared" si="2"/>
        <v>kill,</v>
      </c>
      <c r="Q390" s="49"/>
      <c r="R390" s="50" t="s">
        <v>6398</v>
      </c>
      <c r="S390" s="55" t="s">
        <v>1701</v>
      </c>
      <c r="T390" s="49" t="str">
        <f>IFERROR(__xludf.DUMMYFUNCTION("""COMPUTED_VALUE"""),"patient")</f>
        <v>patient</v>
      </c>
      <c r="U390" s="49"/>
      <c r="V390" s="49" t="str">
        <f>IFERROR(__xludf.DUMMYFUNCTION("""COMPUTED_VALUE"""),"weird")</f>
        <v>weird</v>
      </c>
      <c r="W390" s="49" t="str">
        <f>IFERROR(__xludf.DUMMYFUNCTION("""COMPUTED_VALUE"""),"renowned")</f>
        <v>renowned</v>
      </c>
      <c r="X390" s="49" t="str">
        <f t="shared" si="3"/>
        <v>future,</v>
      </c>
      <c r="Y390" s="49"/>
      <c r="Z390" s="1" t="s">
        <v>1157</v>
      </c>
      <c r="AA390" s="1" t="s">
        <v>2233</v>
      </c>
      <c r="AB390" s="49" t="str">
        <f>IFERROR(__xludf.DUMMYFUNCTION("""COMPUTED_VALUE"""),"sequels")</f>
        <v>sequels</v>
      </c>
      <c r="AC390" s="49"/>
      <c r="AD390" s="49" t="str">
        <f>IFERROR(__xludf.DUMMYFUNCTION("""COMPUTED_VALUE"""),"known")</f>
        <v>known</v>
      </c>
      <c r="AE390" s="49" t="str">
        <f>IFERROR(__xludf.DUMMYFUNCTION("""COMPUTED_VALUE"""),"stops")</f>
        <v>stops</v>
      </c>
      <c r="AF390" s="49" t="str">
        <f t="shared" si="4"/>
        <v>team,</v>
      </c>
      <c r="AG390" s="49"/>
      <c r="AH390" s="1" t="s">
        <v>2784</v>
      </c>
      <c r="AI390" s="1" t="s">
        <v>1622</v>
      </c>
      <c r="AJ390" s="6" t="str">
        <f>IFERROR(__xludf.DUMMYFUNCTION("""COMPUTED_VALUE"""),"at")</f>
        <v>at</v>
      </c>
      <c r="AK390" s="49"/>
      <c r="AL390" s="49"/>
      <c r="AM390" s="49"/>
      <c r="AN390" s="52" t="str">
        <f t="shared" si="5"/>
        <v>romantic,</v>
      </c>
    </row>
    <row r="391">
      <c r="A391" s="51"/>
      <c r="B391" s="50" t="s">
        <v>5670</v>
      </c>
      <c r="C391" s="50" t="s">
        <v>1599</v>
      </c>
      <c r="D391" s="49" t="str">
        <f>IFERROR(__xludf.DUMMYFUNCTION("""COMPUTED_VALUE"""),"seen")</f>
        <v>seen</v>
      </c>
      <c r="E391" s="49"/>
      <c r="F391" s="49"/>
      <c r="G391" s="49" t="str">
        <f>IFERROR(__xludf.DUMMYFUNCTION("""COMPUTED_VALUE"""),"palm")</f>
        <v>palm</v>
      </c>
      <c r="H391" s="54" t="str">
        <f t="shared" si="1"/>
        <v>guy,</v>
      </c>
      <c r="I391" s="50"/>
      <c r="J391" s="50" t="s">
        <v>1555</v>
      </c>
      <c r="K391" s="50" t="s">
        <v>936</v>
      </c>
      <c r="L391" s="49" t="str">
        <f>IFERROR(__xludf.DUMMYFUNCTION("""COMPUTED_VALUE"""),"critical")</f>
        <v>critical</v>
      </c>
      <c r="M391" s="49"/>
      <c r="N391" s="49" t="str">
        <f>IFERROR(__xludf.DUMMYFUNCTION("""COMPUTED_VALUE"""),"everybody")</f>
        <v>everybody</v>
      </c>
      <c r="O391" s="49" t="str">
        <f>IFERROR(__xludf.DUMMYFUNCTION("""COMPUTED_VALUE"""),"sharp")</f>
        <v>sharp</v>
      </c>
      <c r="P391" s="49" t="str">
        <f t="shared" si="2"/>
        <v>quite,</v>
      </c>
      <c r="Q391" s="49"/>
      <c r="R391" s="50" t="s">
        <v>4912</v>
      </c>
      <c r="S391" s="55" t="s">
        <v>316</v>
      </c>
      <c r="T391" s="49" t="str">
        <f>IFERROR(__xludf.DUMMYFUNCTION("""COMPUTED_VALUE"""),"days")</f>
        <v>days</v>
      </c>
      <c r="U391" s="49"/>
      <c r="V391" s="49" t="str">
        <f>IFERROR(__xludf.DUMMYFUNCTION("""COMPUTED_VALUE"""),"folk")</f>
        <v>folk</v>
      </c>
      <c r="W391" s="49" t="str">
        <f>IFERROR(__xludf.DUMMYFUNCTION("""COMPUTED_VALUE"""),"allows")</f>
        <v>allows</v>
      </c>
      <c r="X391" s="49" t="str">
        <f t="shared" si="3"/>
        <v>race,</v>
      </c>
      <c r="Y391" s="49"/>
      <c r="Z391" s="1" t="s">
        <v>2512</v>
      </c>
      <c r="AA391" s="1" t="s">
        <v>2236</v>
      </c>
      <c r="AB391" s="49" t="str">
        <f>IFERROR(__xludf.DUMMYFUNCTION("""COMPUTED_VALUE"""),"connection")</f>
        <v>connection</v>
      </c>
      <c r="AC391" s="49"/>
      <c r="AD391" s="49" t="str">
        <f>IFERROR(__xludf.DUMMYFUNCTION("""COMPUTED_VALUE"""),"everybody")</f>
        <v>everybody</v>
      </c>
      <c r="AE391" s="49" t="str">
        <f>IFERROR(__xludf.DUMMYFUNCTION("""COMPUTED_VALUE"""),"sharp")</f>
        <v>sharp</v>
      </c>
      <c r="AF391" s="49" t="str">
        <f t="shared" si="4"/>
        <v>now,</v>
      </c>
      <c r="AG391" s="49"/>
      <c r="AH391" s="1" t="s">
        <v>1093</v>
      </c>
      <c r="AI391" s="1" t="s">
        <v>1991</v>
      </c>
      <c r="AJ391" s="6" t="str">
        <f>IFERROR(__xludf.DUMMYFUNCTION("""COMPUTED_VALUE"""),"have")</f>
        <v>have</v>
      </c>
      <c r="AK391" s="49"/>
      <c r="AL391" s="49"/>
      <c r="AM391" s="49"/>
      <c r="AN391" s="52" t="str">
        <f t="shared" si="5"/>
        <v>at,</v>
      </c>
    </row>
    <row r="392">
      <c r="A392" s="51"/>
      <c r="B392" s="50" t="s">
        <v>2500</v>
      </c>
      <c r="C392" s="50" t="s">
        <v>1606</v>
      </c>
      <c r="D392" s="49" t="str">
        <f>IFERROR(__xludf.DUMMYFUNCTION("""COMPUTED_VALUE"""),"heart")</f>
        <v>heart</v>
      </c>
      <c r="E392" s="49"/>
      <c r="F392" s="49"/>
      <c r="G392" s="49" t="str">
        <f>IFERROR(__xludf.DUMMYFUNCTION("""COMPUTED_VALUE"""),"triple")</f>
        <v>triple</v>
      </c>
      <c r="H392" s="54" t="str">
        <f t="shared" si="1"/>
        <v>starting,</v>
      </c>
      <c r="I392" s="50"/>
      <c r="J392" s="50" t="s">
        <v>422</v>
      </c>
      <c r="K392" s="50" t="s">
        <v>1141</v>
      </c>
      <c r="L392" s="49" t="str">
        <f>IFERROR(__xludf.DUMMYFUNCTION("""COMPUTED_VALUE"""),"ai")</f>
        <v>ai</v>
      </c>
      <c r="M392" s="49"/>
      <c r="N392" s="49" t="str">
        <f>IFERROR(__xludf.DUMMYFUNCTION("""COMPUTED_VALUE"""),"slow")</f>
        <v>slow</v>
      </c>
      <c r="O392" s="49" t="str">
        <f>IFERROR(__xludf.DUMMYFUNCTION("""COMPUTED_VALUE"""),"distinctive")</f>
        <v>distinctive</v>
      </c>
      <c r="P392" s="49" t="str">
        <f t="shared" si="2"/>
        <v>great,</v>
      </c>
      <c r="Q392" s="49"/>
      <c r="R392" s="50" t="s">
        <v>4396</v>
      </c>
      <c r="S392" s="55" t="s">
        <v>6323</v>
      </c>
      <c r="T392" s="49" t="str">
        <f>IFERROR(__xludf.DUMMYFUNCTION("""COMPUTED_VALUE"""),"wilson")</f>
        <v>wilson</v>
      </c>
      <c r="U392" s="49"/>
      <c r="V392" s="49" t="str">
        <f>IFERROR(__xludf.DUMMYFUNCTION("""COMPUTED_VALUE"""),"populated")</f>
        <v>populated</v>
      </c>
      <c r="W392" s="49" t="str">
        <f>IFERROR(__xludf.DUMMYFUNCTION("""COMPUTED_VALUE"""),"receive")</f>
        <v>receive</v>
      </c>
      <c r="X392" s="49" t="str">
        <f t="shared" si="3"/>
        <v>gloom,</v>
      </c>
      <c r="Y392" s="49"/>
      <c r="Z392" s="1" t="s">
        <v>159</v>
      </c>
      <c r="AA392" s="1" t="s">
        <v>2240</v>
      </c>
      <c r="AB392" s="49" t="str">
        <f>IFERROR(__xludf.DUMMYFUNCTION("""COMPUTED_VALUE"""),"post")</f>
        <v>post</v>
      </c>
      <c r="AC392" s="49"/>
      <c r="AD392" s="49" t="str">
        <f>IFERROR(__xludf.DUMMYFUNCTION("""COMPUTED_VALUE"""),"slow")</f>
        <v>slow</v>
      </c>
      <c r="AE392" s="49" t="str">
        <f>IFERROR(__xludf.DUMMYFUNCTION("""COMPUTED_VALUE"""),"distinctive")</f>
        <v>distinctive</v>
      </c>
      <c r="AF392" s="49" t="str">
        <f t="shared" si="4"/>
        <v>cinematic,</v>
      </c>
      <c r="AG392" s="49"/>
      <c r="AH392" s="1" t="s">
        <v>146</v>
      </c>
      <c r="AI392" s="1" t="s">
        <v>4510</v>
      </c>
      <c r="AJ392" s="6" t="str">
        <f>IFERROR(__xludf.DUMMYFUNCTION("""COMPUTED_VALUE"""),"been")</f>
        <v>been</v>
      </c>
      <c r="AK392" s="49"/>
      <c r="AL392" s="49"/>
      <c r="AM392" s="49"/>
      <c r="AN392" s="52" t="str">
        <f t="shared" si="5"/>
        <v>have,</v>
      </c>
    </row>
    <row r="393">
      <c r="A393" s="51"/>
      <c r="B393" s="50" t="s">
        <v>1576</v>
      </c>
      <c r="C393" s="50" t="s">
        <v>1894</v>
      </c>
      <c r="D393" s="49" t="str">
        <f>IFERROR(__xludf.DUMMYFUNCTION("""COMPUTED_VALUE"""),"champion")</f>
        <v>champion</v>
      </c>
      <c r="E393" s="49"/>
      <c r="F393" s="49"/>
      <c r="G393" s="49">
        <f>IFERROR(__xludf.DUMMYFUNCTION("""COMPUTED_VALUE"""),78.0)</f>
        <v>78</v>
      </c>
      <c r="H393" s="54" t="str">
        <f t="shared" si="1"/>
        <v>stars,</v>
      </c>
      <c r="I393" s="50"/>
      <c r="J393" s="50" t="s">
        <v>600</v>
      </c>
      <c r="K393" s="50" t="s">
        <v>116</v>
      </c>
      <c r="L393" s="49" t="str">
        <f>IFERROR(__xludf.DUMMYFUNCTION("""COMPUTED_VALUE"""),"stretch")</f>
        <v>stretch</v>
      </c>
      <c r="M393" s="49"/>
      <c r="N393" s="49" t="str">
        <f>IFERROR(__xludf.DUMMYFUNCTION("""COMPUTED_VALUE"""),"tricky")</f>
        <v>tricky</v>
      </c>
      <c r="O393" s="49" t="str">
        <f>IFERROR(__xludf.DUMMYFUNCTION("""COMPUTED_VALUE"""),"demonstrate")</f>
        <v>demonstrate</v>
      </c>
      <c r="P393" s="49" t="str">
        <f t="shared" si="2"/>
        <v>them,</v>
      </c>
      <c r="Q393" s="49"/>
      <c r="R393" s="50" t="s">
        <v>1676</v>
      </c>
      <c r="S393" s="55" t="s">
        <v>183</v>
      </c>
      <c r="T393" s="49" t="str">
        <f>IFERROR(__xludf.DUMMYFUNCTION("""COMPUTED_VALUE"""),"fashion")</f>
        <v>fashion</v>
      </c>
      <c r="U393" s="49"/>
      <c r="V393" s="49" t="str">
        <f>IFERROR(__xludf.DUMMYFUNCTION("""COMPUTED_VALUE"""),"bolt")</f>
        <v>bolt</v>
      </c>
      <c r="W393" s="49" t="str">
        <f>IFERROR(__xludf.DUMMYFUNCTION("""COMPUTED_VALUE"""),"introduction")</f>
        <v>introduction</v>
      </c>
      <c r="X393" s="49" t="str">
        <f t="shared" si="3"/>
        <v>cause,</v>
      </c>
      <c r="Y393" s="49"/>
      <c r="Z393" s="1" t="s">
        <v>863</v>
      </c>
      <c r="AA393" s="1" t="s">
        <v>274</v>
      </c>
      <c r="AB393" s="49" t="str">
        <f>IFERROR(__xludf.DUMMYFUNCTION("""COMPUTED_VALUE"""),"tackles")</f>
        <v>tackles</v>
      </c>
      <c r="AC393" s="49"/>
      <c r="AD393" s="49" t="str">
        <f>IFERROR(__xludf.DUMMYFUNCTION("""COMPUTED_VALUE"""),"tricky")</f>
        <v>tricky</v>
      </c>
      <c r="AE393" s="49" t="str">
        <f>IFERROR(__xludf.DUMMYFUNCTION("""COMPUTED_VALUE"""),"demonstrate")</f>
        <v>demonstrate</v>
      </c>
      <c r="AF393" s="49" t="str">
        <f t="shared" si="4"/>
        <v>american,</v>
      </c>
      <c r="AG393" s="49"/>
      <c r="AH393" s="1" t="s">
        <v>189</v>
      </c>
      <c r="AI393" s="1" t="s">
        <v>1616</v>
      </c>
      <c r="AJ393" s="6" t="str">
        <f>IFERROR(__xludf.DUMMYFUNCTION("""COMPUTED_VALUE"""),"made")</f>
        <v>made</v>
      </c>
      <c r="AK393" s="49"/>
      <c r="AL393" s="49"/>
      <c r="AM393" s="49"/>
      <c r="AN393" s="52" t="str">
        <f t="shared" si="5"/>
        <v>been,</v>
      </c>
    </row>
    <row r="394">
      <c r="A394" s="51"/>
      <c r="B394" s="50" t="s">
        <v>98</v>
      </c>
      <c r="C394" s="50" t="s">
        <v>1617</v>
      </c>
      <c r="D394" s="49" t="str">
        <f>IFERROR(__xludf.DUMMYFUNCTION("""COMPUTED_VALUE"""),"willing")</f>
        <v>willing</v>
      </c>
      <c r="E394" s="49"/>
      <c r="F394" s="49"/>
      <c r="G394" s="49" t="str">
        <f>IFERROR(__xludf.DUMMYFUNCTION("""COMPUTED_VALUE"""),"laser")</f>
        <v>laser</v>
      </c>
      <c r="H394" s="54" t="str">
        <f t="shared" si="1"/>
        <v>beautiful,</v>
      </c>
      <c r="I394" s="50"/>
      <c r="J394" s="50" t="s">
        <v>4344</v>
      </c>
      <c r="K394" s="50" t="s">
        <v>2246</v>
      </c>
      <c r="L394" s="49" t="str">
        <f>IFERROR(__xludf.DUMMYFUNCTION("""COMPUTED_VALUE"""),"hey")</f>
        <v>hey</v>
      </c>
      <c r="M394" s="49"/>
      <c r="N394" s="49" t="str">
        <f>IFERROR(__xludf.DUMMYFUNCTION("""COMPUTED_VALUE"""),"behavior")</f>
        <v>behavior</v>
      </c>
      <c r="O394" s="49" t="str">
        <f>IFERROR(__xludf.DUMMYFUNCTION("""COMPUTED_VALUE"""),"samuel")</f>
        <v>samuel</v>
      </c>
      <c r="P394" s="49" t="str">
        <f t="shared" si="2"/>
        <v>gun,</v>
      </c>
      <c r="Q394" s="49"/>
      <c r="R394" s="50" t="s">
        <v>7264</v>
      </c>
      <c r="S394" s="55" t="s">
        <v>937</v>
      </c>
      <c r="T394" s="49" t="str">
        <f>IFERROR(__xludf.DUMMYFUNCTION("""COMPUTED_VALUE"""),"realize")</f>
        <v>realize</v>
      </c>
      <c r="U394" s="49"/>
      <c r="V394" s="49" t="str">
        <f>IFERROR(__xludf.DUMMYFUNCTION("""COMPUTED_VALUE"""),"ho")</f>
        <v>ho</v>
      </c>
      <c r="W394" s="49" t="str">
        <f>IFERROR(__xludf.DUMMYFUNCTION("""COMPUTED_VALUE"""),"photographic")</f>
        <v>photographic</v>
      </c>
      <c r="X394" s="49" t="str">
        <f t="shared" si="3"/>
        <v>solar,</v>
      </c>
      <c r="Y394" s="49"/>
      <c r="Z394" s="1" t="s">
        <v>162</v>
      </c>
      <c r="AA394" s="1" t="s">
        <v>283</v>
      </c>
      <c r="AB394" s="49" t="str">
        <f>IFERROR(__xludf.DUMMYFUNCTION("""COMPUTED_VALUE"""),"holly")</f>
        <v>holly</v>
      </c>
      <c r="AC394" s="49"/>
      <c r="AD394" s="49" t="str">
        <f>IFERROR(__xludf.DUMMYFUNCTION("""COMPUTED_VALUE"""),"behavior")</f>
        <v>behavior</v>
      </c>
      <c r="AE394" s="49" t="str">
        <f>IFERROR(__xludf.DUMMYFUNCTION("""COMPUTED_VALUE"""),"samuel")</f>
        <v>samuel</v>
      </c>
      <c r="AF394" s="49" t="str">
        <f t="shared" si="4"/>
        <v>filmmaking,</v>
      </c>
      <c r="AG394" s="49"/>
      <c r="AH394" s="1" t="s">
        <v>831</v>
      </c>
      <c r="AI394" s="1" t="s">
        <v>6303</v>
      </c>
      <c r="AJ394" s="6" t="str">
        <f>IFERROR(__xludf.DUMMYFUNCTION("""COMPUTED_VALUE"""),"now")</f>
        <v>now</v>
      </c>
      <c r="AK394" s="49"/>
      <c r="AL394" s="49"/>
      <c r="AM394" s="49"/>
      <c r="AN394" s="52" t="str">
        <f t="shared" si="5"/>
        <v>made,</v>
      </c>
    </row>
    <row r="395">
      <c r="A395" s="51"/>
      <c r="B395" s="50" t="s">
        <v>618</v>
      </c>
      <c r="C395" s="50" t="s">
        <v>6324</v>
      </c>
      <c r="D395" s="49" t="str">
        <f>IFERROR(__xludf.DUMMYFUNCTION("""COMPUTED_VALUE"""),"adaptation")</f>
        <v>adaptation</v>
      </c>
      <c r="E395" s="49"/>
      <c r="F395" s="49"/>
      <c r="G395" s="49" t="str">
        <f>IFERROR(__xludf.DUMMYFUNCTION("""COMPUTED_VALUE"""),"relaxed")</f>
        <v>relaxed</v>
      </c>
      <c r="H395" s="54" t="str">
        <f t="shared" si="1"/>
        <v>minor,</v>
      </c>
      <c r="I395" s="50"/>
      <c r="J395" s="50" t="s">
        <v>48</v>
      </c>
      <c r="K395" s="50" t="s">
        <v>1154</v>
      </c>
      <c r="L395" s="49" t="str">
        <f>IFERROR(__xludf.DUMMYFUNCTION("""COMPUTED_VALUE"""),"needs")</f>
        <v>needs</v>
      </c>
      <c r="M395" s="49"/>
      <c r="N395" s="49" t="str">
        <f>IFERROR(__xludf.DUMMYFUNCTION("""COMPUTED_VALUE"""),"avoid")</f>
        <v>avoid</v>
      </c>
      <c r="O395" s="49" t="str">
        <f>IFERROR(__xludf.DUMMYFUNCTION("""COMPUTED_VALUE"""),"sounding")</f>
        <v>sounding</v>
      </c>
      <c r="P395" s="49" t="str">
        <f t="shared" si="2"/>
        <v>violence,</v>
      </c>
      <c r="Q395" s="49"/>
      <c r="R395" s="50" t="s">
        <v>3442</v>
      </c>
      <c r="S395" s="55" t="s">
        <v>932</v>
      </c>
      <c r="T395" s="49" t="str">
        <f>IFERROR(__xludf.DUMMYFUNCTION("""COMPUTED_VALUE"""),"brown")</f>
        <v>brown</v>
      </c>
      <c r="U395" s="49"/>
      <c r="V395" s="49" t="str">
        <f>IFERROR(__xludf.DUMMYFUNCTION("""COMPUTED_VALUE"""),"proper")</f>
        <v>proper</v>
      </c>
      <c r="W395" s="49" t="str">
        <f>IFERROR(__xludf.DUMMYFUNCTION("""COMPUTED_VALUE"""),"pulls")</f>
        <v>pulls</v>
      </c>
      <c r="X395" s="49" t="str">
        <f t="shared" si="3"/>
        <v>bone,</v>
      </c>
      <c r="Y395" s="49"/>
      <c r="Z395" s="1" t="s">
        <v>136</v>
      </c>
      <c r="AA395" s="1" t="s">
        <v>1452</v>
      </c>
      <c r="AB395" s="49" t="str">
        <f>IFERROR(__xludf.DUMMYFUNCTION("""COMPUTED_VALUE"""),"persona")</f>
        <v>persona</v>
      </c>
      <c r="AC395" s="49"/>
      <c r="AD395" s="49" t="str">
        <f>IFERROR(__xludf.DUMMYFUNCTION("""COMPUTED_VALUE"""),"avoid")</f>
        <v>avoid</v>
      </c>
      <c r="AE395" s="49" t="str">
        <f>IFERROR(__xludf.DUMMYFUNCTION("""COMPUTED_VALUE"""),"sounding")</f>
        <v>sounding</v>
      </c>
      <c r="AF395" s="49" t="str">
        <f t="shared" si="4"/>
        <v>goes,</v>
      </c>
      <c r="AG395" s="49"/>
      <c r="AH395" s="1" t="s">
        <v>2512</v>
      </c>
      <c r="AI395" s="1" t="s">
        <v>479</v>
      </c>
      <c r="AJ395" s="6" t="str">
        <f>IFERROR(__xludf.DUMMYFUNCTION("""COMPUTED_VALUE"""),"down")</f>
        <v>down</v>
      </c>
      <c r="AK395" s="49"/>
      <c r="AL395" s="49"/>
      <c r="AM395" s="49"/>
      <c r="AN395" s="52" t="str">
        <f t="shared" si="5"/>
        <v>now,</v>
      </c>
    </row>
    <row r="396">
      <c r="A396" s="51"/>
      <c r="B396" s="50" t="s">
        <v>3669</v>
      </c>
      <c r="C396" s="50" t="s">
        <v>1623</v>
      </c>
      <c r="D396" s="49" t="str">
        <f>IFERROR(__xludf.DUMMYFUNCTION("""COMPUTED_VALUE"""),"interesting")</f>
        <v>interesting</v>
      </c>
      <c r="E396" s="49"/>
      <c r="F396" s="49"/>
      <c r="G396" s="49" t="str">
        <f>IFERROR(__xludf.DUMMYFUNCTION("""COMPUTED_VALUE"""),"banking")</f>
        <v>banking</v>
      </c>
      <c r="H396" s="54" t="str">
        <f t="shared" si="1"/>
        <v>wonder,</v>
      </c>
      <c r="I396" s="50"/>
      <c r="J396" s="50" t="s">
        <v>823</v>
      </c>
      <c r="K396" s="50" t="s">
        <v>431</v>
      </c>
      <c r="L396" s="49" t="str">
        <f>IFERROR(__xludf.DUMMYFUNCTION("""COMPUTED_VALUE"""),"monday")</f>
        <v>monday</v>
      </c>
      <c r="M396" s="49"/>
      <c r="N396" s="49" t="str">
        <f>IFERROR(__xludf.DUMMYFUNCTION("""COMPUTED_VALUE"""),"wreck")</f>
        <v>wreck</v>
      </c>
      <c r="O396" s="49" t="str">
        <f>IFERROR(__xludf.DUMMYFUNCTION("""COMPUTED_VALUE"""),"close")</f>
        <v>close</v>
      </c>
      <c r="P396" s="49" t="str">
        <f t="shared" si="2"/>
        <v>light,</v>
      </c>
      <c r="Q396" s="49"/>
      <c r="R396" s="50" t="s">
        <v>2770</v>
      </c>
      <c r="S396" s="55" t="s">
        <v>1750</v>
      </c>
      <c r="T396" s="49" t="str">
        <f>IFERROR(__xludf.DUMMYFUNCTION("""COMPUTED_VALUE"""),"though")</f>
        <v>though</v>
      </c>
      <c r="U396" s="49"/>
      <c r="V396" s="49" t="str">
        <f>IFERROR(__xludf.DUMMYFUNCTION("""COMPUTED_VALUE"""),"boundary")</f>
        <v>boundary</v>
      </c>
      <c r="W396" s="49" t="str">
        <f>IFERROR(__xludf.DUMMYFUNCTION("""COMPUTED_VALUE"""),"result")</f>
        <v>result</v>
      </c>
      <c r="X396" s="49" t="str">
        <f t="shared" si="3"/>
        <v>structure,</v>
      </c>
      <c r="Y396" s="49"/>
      <c r="Z396" s="1" t="s">
        <v>4430</v>
      </c>
      <c r="AA396" s="1" t="s">
        <v>361</v>
      </c>
      <c r="AB396" s="49" t="str">
        <f>IFERROR(__xludf.DUMMYFUNCTION("""COMPUTED_VALUE"""),"eddie")</f>
        <v>eddie</v>
      </c>
      <c r="AC396" s="49"/>
      <c r="AD396" s="49" t="str">
        <f>IFERROR(__xludf.DUMMYFUNCTION("""COMPUTED_VALUE"""),"wreck")</f>
        <v>wreck</v>
      </c>
      <c r="AE396" s="49" t="str">
        <f>IFERROR(__xludf.DUMMYFUNCTION("""COMPUTED_VALUE"""),"close")</f>
        <v>close</v>
      </c>
      <c r="AF396" s="49" t="str">
        <f t="shared" si="4"/>
        <v>vehicle,</v>
      </c>
      <c r="AG396" s="49"/>
      <c r="AH396" s="1" t="s">
        <v>1197</v>
      </c>
      <c r="AI396" s="1" t="s">
        <v>1653</v>
      </c>
      <c r="AJ396" s="6" t="str">
        <f>IFERROR(__xludf.DUMMYFUNCTION("""COMPUTED_VALUE"""),"team")</f>
        <v>team</v>
      </c>
      <c r="AK396" s="49"/>
      <c r="AL396" s="49"/>
      <c r="AM396" s="49"/>
      <c r="AN396" s="52" t="str">
        <f t="shared" si="5"/>
        <v>down,</v>
      </c>
    </row>
    <row r="397">
      <c r="A397" s="51"/>
      <c r="B397" s="50" t="s">
        <v>3277</v>
      </c>
      <c r="C397" s="50" t="s">
        <v>2936</v>
      </c>
      <c r="D397" s="49" t="str">
        <f>IFERROR(__xludf.DUMMYFUNCTION("""COMPUTED_VALUE"""),"sure")</f>
        <v>sure</v>
      </c>
      <c r="E397" s="49"/>
      <c r="F397" s="49"/>
      <c r="G397" s="49" t="str">
        <f>IFERROR(__xludf.DUMMYFUNCTION("""COMPUTED_VALUE"""),"partners")</f>
        <v>partners</v>
      </c>
      <c r="H397" s="54" t="str">
        <f t="shared" si="1"/>
        <v>waste,</v>
      </c>
      <c r="I397" s="50"/>
      <c r="J397" s="50" t="s">
        <v>6602</v>
      </c>
      <c r="K397" s="50" t="s">
        <v>2254</v>
      </c>
      <c r="L397" s="49" t="str">
        <f>IFERROR(__xludf.DUMMYFUNCTION("""COMPUTED_VALUE"""),"novels")</f>
        <v>novels</v>
      </c>
      <c r="M397" s="49"/>
      <c r="N397" s="49" t="str">
        <f>IFERROR(__xludf.DUMMYFUNCTION("""COMPUTED_VALUE"""),"below")</f>
        <v>below</v>
      </c>
      <c r="O397" s="49" t="str">
        <f>IFERROR(__xludf.DUMMYFUNCTION("""COMPUTED_VALUE"""),"monty")</f>
        <v>monty</v>
      </c>
      <c r="P397" s="49" t="str">
        <f t="shared" si="2"/>
        <v>boys,</v>
      </c>
      <c r="Q397" s="49"/>
      <c r="R397" s="50" t="s">
        <v>2856</v>
      </c>
      <c r="S397" s="55" t="s">
        <v>6325</v>
      </c>
      <c r="T397" s="49" t="str">
        <f>IFERROR(__xludf.DUMMYFUNCTION("""COMPUTED_VALUE"""),"pulp")</f>
        <v>pulp</v>
      </c>
      <c r="U397" s="49"/>
      <c r="V397" s="49" t="str">
        <f>IFERROR(__xludf.DUMMYFUNCTION("""COMPUTED_VALUE"""),"faster")</f>
        <v>faster</v>
      </c>
      <c r="W397" s="49" t="str">
        <f>IFERROR(__xludf.DUMMYFUNCTION("""COMPUTED_VALUE"""),"sum")</f>
        <v>sum</v>
      </c>
      <c r="X397" s="49" t="str">
        <f t="shared" si="3"/>
        <v>collection,</v>
      </c>
      <c r="Y397" s="49"/>
      <c r="Z397" s="1" t="s">
        <v>784</v>
      </c>
      <c r="AA397" s="1" t="s">
        <v>2251</v>
      </c>
      <c r="AB397" s="49" t="str">
        <f>IFERROR(__xludf.DUMMYFUNCTION("""COMPUTED_VALUE"""),"hack")</f>
        <v>hack</v>
      </c>
      <c r="AC397" s="49"/>
      <c r="AD397" s="49" t="str">
        <f>IFERROR(__xludf.DUMMYFUNCTION("""COMPUTED_VALUE"""),"below")</f>
        <v>below</v>
      </c>
      <c r="AE397" s="49" t="str">
        <f>IFERROR(__xludf.DUMMYFUNCTION("""COMPUTED_VALUE"""),"monty")</f>
        <v>monty</v>
      </c>
      <c r="AF397" s="49" t="str">
        <f t="shared" si="4"/>
        <v>provide,</v>
      </c>
      <c r="AG397" s="49"/>
      <c r="AH397" s="1" t="s">
        <v>1157</v>
      </c>
      <c r="AI397" s="1" t="s">
        <v>829</v>
      </c>
      <c r="AJ397" s="6" t="str">
        <f>IFERROR(__xludf.DUMMYFUNCTION("""COMPUTED_VALUE"""),"american")</f>
        <v>american</v>
      </c>
      <c r="AK397" s="49"/>
      <c r="AL397" s="49"/>
      <c r="AM397" s="49"/>
      <c r="AN397" s="52" t="str">
        <f t="shared" si="5"/>
        <v>team,</v>
      </c>
    </row>
    <row r="398">
      <c r="A398" s="51"/>
      <c r="B398" s="50" t="s">
        <v>7088</v>
      </c>
      <c r="C398" s="50" t="s">
        <v>610</v>
      </c>
      <c r="D398" s="49" t="str">
        <f>IFERROR(__xludf.DUMMYFUNCTION("""COMPUTED_VALUE"""),"works")</f>
        <v>works</v>
      </c>
      <c r="E398" s="49"/>
      <c r="F398" s="49"/>
      <c r="G398" s="49"/>
      <c r="H398" s="54" t="str">
        <f t="shared" si="1"/>
        <v>critic,</v>
      </c>
      <c r="I398" s="50"/>
      <c r="J398" s="50" t="s">
        <v>1989</v>
      </c>
      <c r="K398" s="50" t="s">
        <v>1164</v>
      </c>
      <c r="L398" s="49" t="str">
        <f>IFERROR(__xludf.DUMMYFUNCTION("""COMPUTED_VALUE"""),"ability")</f>
        <v>ability</v>
      </c>
      <c r="M398" s="49"/>
      <c r="N398" s="49">
        <f>IFERROR(__xludf.DUMMYFUNCTION("""COMPUTED_VALUE"""),10.0)</f>
        <v>10</v>
      </c>
      <c r="O398" s="49" t="str">
        <f>IFERROR(__xludf.DUMMYFUNCTION("""COMPUTED_VALUE"""),"assaults")</f>
        <v>assaults</v>
      </c>
      <c r="P398" s="49" t="str">
        <f t="shared" si="2"/>
        <v>machine,</v>
      </c>
      <c r="Q398" s="49"/>
      <c r="R398" s="50" t="s">
        <v>868</v>
      </c>
      <c r="S398" s="55" t="s">
        <v>1730</v>
      </c>
      <c r="T398" s="49" t="str">
        <f>IFERROR(__xludf.DUMMYFUNCTION("""COMPUTED_VALUE"""),"care")</f>
        <v>care</v>
      </c>
      <c r="U398" s="49"/>
      <c r="V398" s="49" t="str">
        <f>IFERROR(__xludf.DUMMYFUNCTION("""COMPUTED_VALUE"""),"observation")</f>
        <v>observation</v>
      </c>
      <c r="W398" s="49" t="str">
        <f>IFERROR(__xludf.DUMMYFUNCTION("""COMPUTED_VALUE"""),"collegiate")</f>
        <v>collegiate</v>
      </c>
      <c r="X398" s="49" t="str">
        <f t="shared" si="3"/>
        <v>examination,</v>
      </c>
      <c r="Y398" s="49"/>
      <c r="Z398" s="1" t="s">
        <v>1505</v>
      </c>
      <c r="AA398" s="1" t="s">
        <v>31</v>
      </c>
      <c r="AB398" s="49" t="str">
        <f>IFERROR(__xludf.DUMMYFUNCTION("""COMPUTED_VALUE"""),"uses")</f>
        <v>uses</v>
      </c>
      <c r="AC398" s="49"/>
      <c r="AD398" s="49">
        <f>IFERROR(__xludf.DUMMYFUNCTION("""COMPUTED_VALUE"""),10.0)</f>
        <v>10</v>
      </c>
      <c r="AE398" s="49" t="str">
        <f>IFERROR(__xludf.DUMMYFUNCTION("""COMPUTED_VALUE"""),"assaults")</f>
        <v>assaults</v>
      </c>
      <c r="AF398" s="49" t="str">
        <f t="shared" si="4"/>
        <v>levels,</v>
      </c>
      <c r="AG398" s="49"/>
      <c r="AH398" s="1" t="s">
        <v>863</v>
      </c>
      <c r="AI398" s="1" t="s">
        <v>4036</v>
      </c>
      <c r="AJ398" s="6" t="str">
        <f>IFERROR(__xludf.DUMMYFUNCTION("""COMPUTED_VALUE"""),"version")</f>
        <v>version</v>
      </c>
      <c r="AK398" s="49"/>
      <c r="AL398" s="49"/>
      <c r="AM398" s="49"/>
      <c r="AN398" s="52" t="str">
        <f t="shared" si="5"/>
        <v>american,</v>
      </c>
    </row>
    <row r="399">
      <c r="A399" s="51"/>
      <c r="B399" s="50" t="s">
        <v>173</v>
      </c>
      <c r="C399" s="50" t="s">
        <v>938</v>
      </c>
      <c r="D399" s="49" t="str">
        <f>IFERROR(__xludf.DUMMYFUNCTION("""COMPUTED_VALUE"""),"sea")</f>
        <v>sea</v>
      </c>
      <c r="E399" s="49"/>
      <c r="F399" s="49"/>
      <c r="G399" s="49"/>
      <c r="H399" s="54" t="str">
        <f t="shared" si="1"/>
        <v>adaptation,</v>
      </c>
      <c r="I399" s="50"/>
      <c r="J399" s="50" t="s">
        <v>6560</v>
      </c>
      <c r="K399" s="50" t="s">
        <v>1170</v>
      </c>
      <c r="L399" s="49" t="str">
        <f>IFERROR(__xludf.DUMMYFUNCTION("""COMPUTED_VALUE"""),"ensemble")</f>
        <v>ensemble</v>
      </c>
      <c r="M399" s="49"/>
      <c r="N399" s="49" t="str">
        <f>IFERROR(__xludf.DUMMYFUNCTION("""COMPUTED_VALUE"""),"slightly")</f>
        <v>slightly</v>
      </c>
      <c r="O399" s="49" t="str">
        <f>IFERROR(__xludf.DUMMYFUNCTION("""COMPUTED_VALUE"""),"par")</f>
        <v>par</v>
      </c>
      <c r="P399" s="49" t="str">
        <f t="shared" si="2"/>
        <v>features,</v>
      </c>
      <c r="Q399" s="49"/>
      <c r="R399" s="50" t="s">
        <v>4471</v>
      </c>
      <c r="S399" s="55" t="s">
        <v>1992</v>
      </c>
      <c r="T399" s="49" t="str">
        <f>IFERROR(__xludf.DUMMYFUNCTION("""COMPUTED_VALUE"""),"art")</f>
        <v>art</v>
      </c>
      <c r="U399" s="49"/>
      <c r="V399" s="49" t="str">
        <f>IFERROR(__xludf.DUMMYFUNCTION("""COMPUTED_VALUE"""),"england")</f>
        <v>england</v>
      </c>
      <c r="W399" s="49" t="str">
        <f>IFERROR(__xludf.DUMMYFUNCTION("""COMPUTED_VALUE"""),"reduced")</f>
        <v>reduced</v>
      </c>
      <c r="X399" s="49" t="str">
        <f t="shared" si="3"/>
        <v>races,</v>
      </c>
      <c r="Y399" s="49"/>
      <c r="Z399" s="1" t="s">
        <v>305</v>
      </c>
      <c r="AA399" s="1" t="s">
        <v>1467</v>
      </c>
      <c r="AB399" s="49" t="str">
        <f>IFERROR(__xludf.DUMMYFUNCTION("""COMPUTED_VALUE"""),"conspiracy")</f>
        <v>conspiracy</v>
      </c>
      <c r="AC399" s="49"/>
      <c r="AD399" s="49" t="str">
        <f>IFERROR(__xludf.DUMMYFUNCTION("""COMPUTED_VALUE"""),"slightly")</f>
        <v>slightly</v>
      </c>
      <c r="AE399" s="49" t="str">
        <f>IFERROR(__xludf.DUMMYFUNCTION("""COMPUTED_VALUE"""),"par")</f>
        <v>par</v>
      </c>
      <c r="AF399" s="49" t="str">
        <f t="shared" si="4"/>
        <v>entire,</v>
      </c>
      <c r="AG399" s="49"/>
      <c r="AH399" s="1" t="s">
        <v>339</v>
      </c>
      <c r="AI399" s="1" t="s">
        <v>1377</v>
      </c>
      <c r="AJ399" s="6" t="str">
        <f>IFERROR(__xludf.DUMMYFUNCTION("""COMPUTED_VALUE"""),"france")</f>
        <v>france</v>
      </c>
      <c r="AK399" s="49"/>
      <c r="AL399" s="49"/>
      <c r="AM399" s="49"/>
      <c r="AN399" s="52" t="str">
        <f t="shared" si="5"/>
        <v>version,</v>
      </c>
    </row>
    <row r="400">
      <c r="A400" s="51"/>
      <c r="B400" s="50" t="s">
        <v>3890</v>
      </c>
      <c r="C400" s="50" t="s">
        <v>2529</v>
      </c>
      <c r="D400" s="49" t="str">
        <f>IFERROR(__xludf.DUMMYFUNCTION("""COMPUTED_VALUE"""),"makes")</f>
        <v>makes</v>
      </c>
      <c r="E400" s="49"/>
      <c r="F400" s="49"/>
      <c r="G400" s="49"/>
      <c r="H400" s="54" t="str">
        <f t="shared" si="1"/>
        <v>creatures,</v>
      </c>
      <c r="I400" s="50"/>
      <c r="J400" s="50" t="s">
        <v>2594</v>
      </c>
      <c r="K400" s="50" t="s">
        <v>1238</v>
      </c>
      <c r="L400" s="49" t="str">
        <f>IFERROR(__xludf.DUMMYFUNCTION("""COMPUTED_VALUE"""),"battlefield")</f>
        <v>battlefield</v>
      </c>
      <c r="M400" s="49"/>
      <c r="N400" s="49" t="str">
        <f>IFERROR(__xludf.DUMMYFUNCTION("""COMPUTED_VALUE"""),"reviewers")</f>
        <v>reviewers</v>
      </c>
      <c r="O400" s="49" t="str">
        <f>IFERROR(__xludf.DUMMYFUNCTION("""COMPUTED_VALUE"""),"novak")</f>
        <v>novak</v>
      </c>
      <c r="P400" s="49" t="str">
        <f t="shared" si="2"/>
        <v>monster,</v>
      </c>
      <c r="Q400" s="49"/>
      <c r="R400" s="50" t="s">
        <v>752</v>
      </c>
      <c r="S400" s="55" t="s">
        <v>3931</v>
      </c>
      <c r="T400" s="49" t="str">
        <f>IFERROR(__xludf.DUMMYFUNCTION("""COMPUTED_VALUE"""),"direction")</f>
        <v>direction</v>
      </c>
      <c r="U400" s="49"/>
      <c r="V400" s="49" t="str">
        <f>IFERROR(__xludf.DUMMYFUNCTION("""COMPUTED_VALUE"""),"scratch")</f>
        <v>scratch</v>
      </c>
      <c r="W400" s="49" t="str">
        <f>IFERROR(__xludf.DUMMYFUNCTION("""COMPUTED_VALUE"""),"u")</f>
        <v>u</v>
      </c>
      <c r="X400" s="49" t="str">
        <f t="shared" si="3"/>
        <v>different,</v>
      </c>
      <c r="Y400" s="49"/>
      <c r="Z400" s="1" t="s">
        <v>3574</v>
      </c>
      <c r="AA400" s="1" t="s">
        <v>1473</v>
      </c>
      <c r="AB400" s="49" t="str">
        <f>IFERROR(__xludf.DUMMYFUNCTION("""COMPUTED_VALUE"""),"place")</f>
        <v>place</v>
      </c>
      <c r="AC400" s="49"/>
      <c r="AD400" s="49" t="str">
        <f>IFERROR(__xludf.DUMMYFUNCTION("""COMPUTED_VALUE"""),"reviewers")</f>
        <v>reviewers</v>
      </c>
      <c r="AE400" s="49" t="str">
        <f>IFERROR(__xludf.DUMMYFUNCTION("""COMPUTED_VALUE"""),"novak")</f>
        <v>novak</v>
      </c>
      <c r="AF400" s="49" t="str">
        <f t="shared" si="4"/>
        <v>seriousness,</v>
      </c>
      <c r="AG400" s="49"/>
      <c r="AH400" s="1" t="s">
        <v>2858</v>
      </c>
      <c r="AI400" s="1" t="s">
        <v>1408</v>
      </c>
      <c r="AJ400" s="6" t="str">
        <f>IFERROR(__xludf.DUMMYFUNCTION("""COMPUTED_VALUE"""),"popular")</f>
        <v>popular</v>
      </c>
      <c r="AK400" s="49"/>
      <c r="AL400" s="49"/>
      <c r="AM400" s="49"/>
      <c r="AN400" s="52" t="str">
        <f t="shared" si="5"/>
        <v>france,</v>
      </c>
    </row>
    <row r="401">
      <c r="A401" s="51"/>
      <c r="B401" s="50" t="s">
        <v>4806</v>
      </c>
      <c r="C401" s="50" t="s">
        <v>1331</v>
      </c>
      <c r="D401" s="49" t="str">
        <f>IFERROR(__xludf.DUMMYFUNCTION("""COMPUTED_VALUE"""),"keeping")</f>
        <v>keeping</v>
      </c>
      <c r="E401" s="49"/>
      <c r="F401" s="49"/>
      <c r="G401" s="49"/>
      <c r="H401" s="54" t="str">
        <f t="shared" si="1"/>
        <v>strikes,</v>
      </c>
      <c r="I401" s="50"/>
      <c r="J401" s="50" t="s">
        <v>5764</v>
      </c>
      <c r="K401" s="50" t="s">
        <v>2263</v>
      </c>
      <c r="L401" s="49" t="str">
        <f>IFERROR(__xludf.DUMMYFUNCTION("""COMPUTED_VALUE"""),"wit")</f>
        <v>wit</v>
      </c>
      <c r="M401" s="49"/>
      <c r="N401" s="49" t="str">
        <f>IFERROR(__xludf.DUMMYFUNCTION("""COMPUTED_VALUE"""),"able")</f>
        <v>able</v>
      </c>
      <c r="O401" s="49" t="str">
        <f>IFERROR(__xludf.DUMMYFUNCTION("""COMPUTED_VALUE"""),"grounded")</f>
        <v>grounded</v>
      </c>
      <c r="P401" s="49" t="str">
        <f t="shared" si="2"/>
        <v>tailor,</v>
      </c>
      <c r="Q401" s="49"/>
      <c r="R401" s="50" t="s">
        <v>1022</v>
      </c>
      <c r="S401" s="55" t="s">
        <v>942</v>
      </c>
      <c r="T401" s="49" t="str">
        <f>IFERROR(__xludf.DUMMYFUNCTION("""COMPUTED_VALUE"""),"comedies")</f>
        <v>comedies</v>
      </c>
      <c r="U401" s="49"/>
      <c r="V401" s="49" t="str">
        <f>IFERROR(__xludf.DUMMYFUNCTION("""COMPUTED_VALUE"""),"continue")</f>
        <v>continue</v>
      </c>
      <c r="W401" s="49" t="str">
        <f>IFERROR(__xludf.DUMMYFUNCTION("""COMPUTED_VALUE"""),"entity")</f>
        <v>entity</v>
      </c>
      <c r="X401" s="49" t="str">
        <f t="shared" si="3"/>
        <v>white,</v>
      </c>
      <c r="Y401" s="49"/>
      <c r="Z401" s="1" t="s">
        <v>6389</v>
      </c>
      <c r="AA401" s="1" t="s">
        <v>1480</v>
      </c>
      <c r="AB401" s="49" t="str">
        <f>IFERROR(__xludf.DUMMYFUNCTION("""COMPUTED_VALUE"""),"responsible")</f>
        <v>responsible</v>
      </c>
      <c r="AC401" s="49"/>
      <c r="AD401" s="49" t="str">
        <f>IFERROR(__xludf.DUMMYFUNCTION("""COMPUTED_VALUE"""),"able")</f>
        <v>able</v>
      </c>
      <c r="AE401" s="49" t="str">
        <f>IFERROR(__xludf.DUMMYFUNCTION("""COMPUTED_VALUE"""),"grounded")</f>
        <v>grounded</v>
      </c>
      <c r="AF401" s="49" t="str">
        <f t="shared" si="4"/>
        <v>clearly,</v>
      </c>
      <c r="AG401" s="49"/>
      <c r="AH401" s="1" t="s">
        <v>2340</v>
      </c>
      <c r="AI401" s="1" t="s">
        <v>1694</v>
      </c>
      <c r="AJ401" s="6" t="str">
        <f>IFERROR(__xludf.DUMMYFUNCTION("""COMPUTED_VALUE"""),"style")</f>
        <v>style</v>
      </c>
      <c r="AK401" s="49"/>
      <c r="AL401" s="49"/>
      <c r="AM401" s="49"/>
      <c r="AN401" s="52" t="str">
        <f t="shared" si="5"/>
        <v>popular,</v>
      </c>
    </row>
    <row r="402">
      <c r="A402" s="51"/>
      <c r="B402" s="50" t="s">
        <v>670</v>
      </c>
      <c r="C402" s="50" t="s">
        <v>1655</v>
      </c>
      <c r="D402" s="49" t="str">
        <f>IFERROR(__xludf.DUMMYFUNCTION("""COMPUTED_VALUE"""),"tight")</f>
        <v>tight</v>
      </c>
      <c r="E402" s="49"/>
      <c r="F402" s="49"/>
      <c r="G402" s="49"/>
      <c r="H402" s="54" t="str">
        <f t="shared" si="1"/>
        <v>would,</v>
      </c>
      <c r="I402" s="50"/>
      <c r="J402" s="50" t="s">
        <v>2354</v>
      </c>
      <c r="K402" s="50" t="s">
        <v>439</v>
      </c>
      <c r="L402" s="49" t="str">
        <f>IFERROR(__xludf.DUMMYFUNCTION("""COMPUTED_VALUE"""),"tight")</f>
        <v>tight</v>
      </c>
      <c r="M402" s="49"/>
      <c r="N402" s="49" t="str">
        <f>IFERROR(__xludf.DUMMYFUNCTION("""COMPUTED_VALUE"""),"truly")</f>
        <v>truly</v>
      </c>
      <c r="O402" s="49" t="str">
        <f>IFERROR(__xludf.DUMMYFUNCTION("""COMPUTED_VALUE"""),"accuracy")</f>
        <v>accuracy</v>
      </c>
      <c r="P402" s="49" t="str">
        <f t="shared" si="2"/>
        <v>humor,</v>
      </c>
      <c r="Q402" s="49"/>
      <c r="R402" s="50" t="s">
        <v>81</v>
      </c>
      <c r="S402" s="55" t="s">
        <v>87</v>
      </c>
      <c r="T402" s="49" t="str">
        <f>IFERROR(__xludf.DUMMYFUNCTION("""COMPUTED_VALUE"""),"blonde")</f>
        <v>blonde</v>
      </c>
      <c r="U402" s="49"/>
      <c r="V402" s="49" t="str">
        <f>IFERROR(__xludf.DUMMYFUNCTION("""COMPUTED_VALUE"""),"defining")</f>
        <v>defining</v>
      </c>
      <c r="W402" s="49" t="str">
        <f>IFERROR(__xludf.DUMMYFUNCTION("""COMPUTED_VALUE"""),"sign")</f>
        <v>sign</v>
      </c>
      <c r="X402" s="49" t="str">
        <f t="shared" si="3"/>
        <v>past,</v>
      </c>
      <c r="Y402" s="49"/>
      <c r="Z402" s="1" t="s">
        <v>2985</v>
      </c>
      <c r="AA402" s="1" t="s">
        <v>1497</v>
      </c>
      <c r="AB402" s="49" t="str">
        <f>IFERROR(__xludf.DUMMYFUNCTION("""COMPUTED_VALUE"""),"spectacle")</f>
        <v>spectacle</v>
      </c>
      <c r="AC402" s="49"/>
      <c r="AD402" s="49" t="str">
        <f>IFERROR(__xludf.DUMMYFUNCTION("""COMPUTED_VALUE"""),"truly")</f>
        <v>truly</v>
      </c>
      <c r="AE402" s="49" t="str">
        <f>IFERROR(__xludf.DUMMYFUNCTION("""COMPUTED_VALUE"""),"accuracy")</f>
        <v>accuracy</v>
      </c>
      <c r="AF402" s="49" t="str">
        <f t="shared" si="4"/>
        <v>moment,</v>
      </c>
      <c r="AG402" s="49"/>
      <c r="AH402" s="1" t="s">
        <v>1827</v>
      </c>
      <c r="AI402" s="1" t="s">
        <v>1400</v>
      </c>
      <c r="AJ402" s="6" t="str">
        <f>IFERROR(__xludf.DUMMYFUNCTION("""COMPUTED_VALUE"""),"van")</f>
        <v>van</v>
      </c>
      <c r="AK402" s="49"/>
      <c r="AL402" s="49"/>
      <c r="AM402" s="49"/>
      <c r="AN402" s="52" t="str">
        <f t="shared" si="5"/>
        <v>style,</v>
      </c>
    </row>
    <row r="403">
      <c r="A403" s="51"/>
      <c r="B403" s="50" t="s">
        <v>900</v>
      </c>
      <c r="C403" s="50" t="s">
        <v>872</v>
      </c>
      <c r="D403" s="49" t="str">
        <f>IFERROR(__xludf.DUMMYFUNCTION("""COMPUTED_VALUE"""),"disney")</f>
        <v>disney</v>
      </c>
      <c r="E403" s="49"/>
      <c r="F403" s="49"/>
      <c r="G403" s="49"/>
      <c r="H403" s="54" t="str">
        <f t="shared" si="1"/>
        <v>said,</v>
      </c>
      <c r="I403" s="50"/>
      <c r="J403" s="50" t="s">
        <v>6290</v>
      </c>
      <c r="K403" s="50" t="s">
        <v>1184</v>
      </c>
      <c r="L403" s="49" t="str">
        <f>IFERROR(__xludf.DUMMYFUNCTION("""COMPUTED_VALUE"""),"letting")</f>
        <v>letting</v>
      </c>
      <c r="M403" s="49"/>
      <c r="N403" s="49" t="str">
        <f>IFERROR(__xludf.DUMMYFUNCTION("""COMPUTED_VALUE"""),"efforts")</f>
        <v>efforts</v>
      </c>
      <c r="O403" s="49" t="str">
        <f>IFERROR(__xludf.DUMMYFUNCTION("""COMPUTED_VALUE"""),"democracy")</f>
        <v>democracy</v>
      </c>
      <c r="P403" s="49" t="str">
        <f t="shared" si="2"/>
        <v>classic,</v>
      </c>
      <c r="Q403" s="49"/>
      <c r="R403" s="50" t="s">
        <v>7095</v>
      </c>
      <c r="S403" s="55">
        <v>84.0</v>
      </c>
      <c r="T403" s="49" t="str">
        <f>IFERROR(__xludf.DUMMYFUNCTION("""COMPUTED_VALUE"""),"main")</f>
        <v>main</v>
      </c>
      <c r="U403" s="49"/>
      <c r="V403" s="49" t="str">
        <f>IFERROR(__xludf.DUMMYFUNCTION("""COMPUTED_VALUE"""),"orchestrated")</f>
        <v>orchestrated</v>
      </c>
      <c r="W403" s="49" t="str">
        <f>IFERROR(__xludf.DUMMYFUNCTION("""COMPUTED_VALUE"""),"mile")</f>
        <v>mile</v>
      </c>
      <c r="X403" s="49" t="str">
        <f t="shared" si="3"/>
        <v>method,</v>
      </c>
      <c r="Y403" s="49"/>
      <c r="Z403" s="1" t="s">
        <v>2101</v>
      </c>
      <c r="AA403" s="1" t="s">
        <v>2267</v>
      </c>
      <c r="AB403" s="49" t="str">
        <f>IFERROR(__xludf.DUMMYFUNCTION("""COMPUTED_VALUE"""),"trade")</f>
        <v>trade</v>
      </c>
      <c r="AC403" s="49"/>
      <c r="AD403" s="49" t="str">
        <f>IFERROR(__xludf.DUMMYFUNCTION("""COMPUTED_VALUE"""),"efforts")</f>
        <v>efforts</v>
      </c>
      <c r="AE403" s="49" t="str">
        <f>IFERROR(__xludf.DUMMYFUNCTION("""COMPUTED_VALUE"""),"democracy")</f>
        <v>democracy</v>
      </c>
      <c r="AF403" s="49" t="str">
        <f t="shared" si="4"/>
        <v>did,</v>
      </c>
      <c r="AG403" s="49"/>
      <c r="AH403" s="1" t="s">
        <v>6791</v>
      </c>
      <c r="AI403" s="1" t="s">
        <v>1393</v>
      </c>
      <c r="AJ403" s="6" t="str">
        <f>IFERROR(__xludf.DUMMYFUNCTION("""COMPUTED_VALUE"""),"prior")</f>
        <v>prior</v>
      </c>
      <c r="AK403" s="49"/>
      <c r="AL403" s="49"/>
      <c r="AM403" s="49"/>
      <c r="AN403" s="52" t="str">
        <f t="shared" si="5"/>
        <v>van,</v>
      </c>
    </row>
    <row r="404">
      <c r="A404" s="51"/>
      <c r="B404" s="50" t="s">
        <v>632</v>
      </c>
      <c r="C404" s="50" t="s">
        <v>887</v>
      </c>
      <c r="D404" s="49" t="str">
        <f>IFERROR(__xludf.DUMMYFUNCTION("""COMPUTED_VALUE"""),"sequel")</f>
        <v>sequel</v>
      </c>
      <c r="E404" s="49"/>
      <c r="F404" s="49"/>
      <c r="G404" s="49"/>
      <c r="H404" s="54" t="str">
        <f t="shared" si="1"/>
        <v>left,</v>
      </c>
      <c r="I404" s="50"/>
      <c r="J404" s="50" t="s">
        <v>4155</v>
      </c>
      <c r="K404" s="50" t="s">
        <v>945</v>
      </c>
      <c r="L404" s="49" t="str">
        <f>IFERROR(__xludf.DUMMYFUNCTION("""COMPUTED_VALUE"""),"real")</f>
        <v>real</v>
      </c>
      <c r="M404" s="49"/>
      <c r="N404" s="49" t="str">
        <f>IFERROR(__xludf.DUMMYFUNCTION("""COMPUTED_VALUE"""),"noteworthy")</f>
        <v>noteworthy</v>
      </c>
      <c r="O404" s="49" t="str">
        <f>IFERROR(__xludf.DUMMYFUNCTION("""COMPUTED_VALUE"""),"plea")</f>
        <v>plea</v>
      </c>
      <c r="P404" s="49" t="str">
        <f t="shared" si="2"/>
        <v>ones,</v>
      </c>
      <c r="Q404" s="49"/>
      <c r="R404" s="50" t="s">
        <v>2213</v>
      </c>
      <c r="S404" s="55" t="s">
        <v>1257</v>
      </c>
      <c r="T404" s="49" t="str">
        <f>IFERROR(__xludf.DUMMYFUNCTION("""COMPUTED_VALUE"""),"happens")</f>
        <v>happens</v>
      </c>
      <c r="U404" s="49"/>
      <c r="V404" s="49" t="str">
        <f>IFERROR(__xludf.DUMMYFUNCTION("""COMPUTED_VALUE"""),"rust")</f>
        <v>rust</v>
      </c>
      <c r="W404" s="49" t="str">
        <f>IFERROR(__xludf.DUMMYFUNCTION("""COMPUTED_VALUE"""),"detached")</f>
        <v>detached</v>
      </c>
      <c r="X404" s="49" t="str">
        <f t="shared" si="3"/>
        <v>sports,</v>
      </c>
      <c r="Y404" s="49"/>
      <c r="Z404" s="1" t="s">
        <v>5154</v>
      </c>
      <c r="AA404" s="1" t="s">
        <v>1487</v>
      </c>
      <c r="AB404" s="49" t="str">
        <f>IFERROR(__xludf.DUMMYFUNCTION("""COMPUTED_VALUE"""),"wise")</f>
        <v>wise</v>
      </c>
      <c r="AC404" s="49"/>
      <c r="AD404" s="49" t="str">
        <f>IFERROR(__xludf.DUMMYFUNCTION("""COMPUTED_VALUE"""),"noteworthy")</f>
        <v>noteworthy</v>
      </c>
      <c r="AE404" s="49" t="str">
        <f>IFERROR(__xludf.DUMMYFUNCTION("""COMPUTED_VALUE"""),"plea")</f>
        <v>plea</v>
      </c>
      <c r="AF404" s="49" t="str">
        <f t="shared" si="4"/>
        <v>necessary,</v>
      </c>
      <c r="AG404" s="49"/>
      <c r="AH404" s="1" t="s">
        <v>4238</v>
      </c>
      <c r="AI404" s="1" t="s">
        <v>422</v>
      </c>
      <c r="AJ404" s="6" t="str">
        <f>IFERROR(__xludf.DUMMYFUNCTION("""COMPUTED_VALUE"""),"goes")</f>
        <v>goes</v>
      </c>
      <c r="AK404" s="49"/>
      <c r="AL404" s="49"/>
      <c r="AM404" s="49"/>
      <c r="AN404" s="52" t="str">
        <f t="shared" si="5"/>
        <v>prior,</v>
      </c>
    </row>
    <row r="405">
      <c r="A405" s="51"/>
      <c r="B405" s="50" t="s">
        <v>955</v>
      </c>
      <c r="C405" s="50" t="s">
        <v>1663</v>
      </c>
      <c r="D405" s="49" t="str">
        <f>IFERROR(__xludf.DUMMYFUNCTION("""COMPUTED_VALUE"""),"final")</f>
        <v>final</v>
      </c>
      <c r="E405" s="49"/>
      <c r="F405" s="49"/>
      <c r="G405" s="49"/>
      <c r="H405" s="54" t="str">
        <f t="shared" si="1"/>
        <v>times,</v>
      </c>
      <c r="I405" s="50"/>
      <c r="J405" s="50" t="s">
        <v>2765</v>
      </c>
      <c r="K405" s="50" t="s">
        <v>1195</v>
      </c>
      <c r="L405" s="49" t="str">
        <f>IFERROR(__xludf.DUMMYFUNCTION("""COMPUTED_VALUE"""),"sister")</f>
        <v>sister</v>
      </c>
      <c r="M405" s="49"/>
      <c r="N405" s="49" t="str">
        <f>IFERROR(__xludf.DUMMYFUNCTION("""COMPUTED_VALUE"""),"surprised")</f>
        <v>surprised</v>
      </c>
      <c r="O405" s="49" t="str">
        <f>IFERROR(__xludf.DUMMYFUNCTION("""COMPUTED_VALUE"""),"civic")</f>
        <v>civic</v>
      </c>
      <c r="P405" s="49" t="str">
        <f t="shared" si="2"/>
        <v>darkness,</v>
      </c>
      <c r="Q405" s="49"/>
      <c r="R405" s="50" t="s">
        <v>2396</v>
      </c>
      <c r="S405" s="55" t="s">
        <v>1754</v>
      </c>
      <c r="T405" s="49" t="str">
        <f>IFERROR(__xludf.DUMMYFUNCTION("""COMPUTED_VALUE"""),"climax")</f>
        <v>climax</v>
      </c>
      <c r="U405" s="49"/>
      <c r="V405" s="49" t="str">
        <f>IFERROR(__xludf.DUMMYFUNCTION("""COMPUTED_VALUE"""),"integrate")</f>
        <v>integrate</v>
      </c>
      <c r="W405" s="49" t="str">
        <f>IFERROR(__xludf.DUMMYFUNCTION("""COMPUTED_VALUE"""),"ship")</f>
        <v>ship</v>
      </c>
      <c r="X405" s="49" t="str">
        <f t="shared" si="3"/>
        <v>using,</v>
      </c>
      <c r="Y405" s="49"/>
      <c r="Z405" s="1" t="s">
        <v>6714</v>
      </c>
      <c r="AA405" s="1" t="s">
        <v>376</v>
      </c>
      <c r="AB405" s="49" t="str">
        <f>IFERROR(__xludf.DUMMYFUNCTION("""COMPUTED_VALUE"""),"wan")</f>
        <v>wan</v>
      </c>
      <c r="AC405" s="49"/>
      <c r="AD405" s="49" t="str">
        <f>IFERROR(__xludf.DUMMYFUNCTION("""COMPUTED_VALUE"""),"surprised")</f>
        <v>surprised</v>
      </c>
      <c r="AE405" s="49" t="str">
        <f>IFERROR(__xludf.DUMMYFUNCTION("""COMPUTED_VALUE"""),"civic")</f>
        <v>civic</v>
      </c>
      <c r="AF405" s="49" t="str">
        <f t="shared" si="4"/>
        <v>fair,</v>
      </c>
      <c r="AG405" s="49"/>
      <c r="AH405" s="1" t="s">
        <v>136</v>
      </c>
      <c r="AI405" s="1" t="s">
        <v>1987</v>
      </c>
      <c r="AJ405" s="6" t="str">
        <f>IFERROR(__xludf.DUMMYFUNCTION("""COMPUTED_VALUE"""),"asian")</f>
        <v>asian</v>
      </c>
      <c r="AK405" s="49"/>
      <c r="AL405" s="49"/>
      <c r="AM405" s="49"/>
      <c r="AN405" s="52" t="str">
        <f t="shared" si="5"/>
        <v>goes,</v>
      </c>
    </row>
    <row r="406">
      <c r="A406" s="51"/>
      <c r="B406" s="50" t="s">
        <v>1389</v>
      </c>
      <c r="C406" s="50" t="s">
        <v>1997</v>
      </c>
      <c r="D406" s="49" t="str">
        <f>IFERROR(__xludf.DUMMYFUNCTION("""COMPUTED_VALUE"""),"despite")</f>
        <v>despite</v>
      </c>
      <c r="E406" s="49"/>
      <c r="F406" s="49"/>
      <c r="G406" s="49"/>
      <c r="H406" s="54" t="str">
        <f t="shared" si="1"/>
        <v>third,</v>
      </c>
      <c r="I406" s="50"/>
      <c r="J406" s="50" t="s">
        <v>3507</v>
      </c>
      <c r="K406" s="50" t="s">
        <v>1248</v>
      </c>
      <c r="L406" s="49" t="str">
        <f>IFERROR(__xludf.DUMMYFUNCTION("""COMPUTED_VALUE"""),"ugly")</f>
        <v>ugly</v>
      </c>
      <c r="M406" s="49"/>
      <c r="N406" s="49" t="str">
        <f>IFERROR(__xludf.DUMMYFUNCTION("""COMPUTED_VALUE"""),"wearing")</f>
        <v>wearing</v>
      </c>
      <c r="O406" s="49" t="str">
        <f>IFERROR(__xludf.DUMMYFUNCTION("""COMPUTED_VALUE"""),"maturity")</f>
        <v>maturity</v>
      </c>
      <c r="P406" s="49" t="str">
        <f t="shared" si="2"/>
        <v>example,</v>
      </c>
      <c r="Q406" s="49"/>
      <c r="R406" s="50" t="s">
        <v>1688</v>
      </c>
      <c r="S406" s="55" t="s">
        <v>962</v>
      </c>
      <c r="T406" s="49" t="str">
        <f>IFERROR(__xludf.DUMMYFUNCTION("""COMPUTED_VALUE"""),"copy")</f>
        <v>copy</v>
      </c>
      <c r="U406" s="49"/>
      <c r="V406" s="49" t="str">
        <f>IFERROR(__xludf.DUMMYFUNCTION("""COMPUTED_VALUE"""),"caliber")</f>
        <v>caliber</v>
      </c>
      <c r="W406" s="49" t="str">
        <f>IFERROR(__xludf.DUMMYFUNCTION("""COMPUTED_VALUE"""),"chase")</f>
        <v>chase</v>
      </c>
      <c r="X406" s="49" t="str">
        <f t="shared" si="3"/>
        <v>interesting,</v>
      </c>
      <c r="Y406" s="49"/>
      <c r="Z406" s="1" t="s">
        <v>6444</v>
      </c>
      <c r="AA406" s="1" t="s">
        <v>2276</v>
      </c>
      <c r="AB406" s="49" t="str">
        <f>IFERROR(__xludf.DUMMYFUNCTION("""COMPUTED_VALUE"""),"episode")</f>
        <v>episode</v>
      </c>
      <c r="AC406" s="49"/>
      <c r="AD406" s="49" t="str">
        <f>IFERROR(__xludf.DUMMYFUNCTION("""COMPUTED_VALUE"""),"wearing")</f>
        <v>wearing</v>
      </c>
      <c r="AE406" s="49" t="str">
        <f>IFERROR(__xludf.DUMMYFUNCTION("""COMPUTED_VALUE"""),"maturity")</f>
        <v>maturity</v>
      </c>
      <c r="AF406" s="49" t="str">
        <f t="shared" si="4"/>
        <v>must,</v>
      </c>
      <c r="AG406" s="49"/>
      <c r="AH406" s="1" t="s">
        <v>1565</v>
      </c>
      <c r="AI406" s="1" t="s">
        <v>53</v>
      </c>
      <c r="AJ406" s="6" t="str">
        <f>IFERROR(__xludf.DUMMYFUNCTION("""COMPUTED_VALUE"""),"asia")</f>
        <v>asia</v>
      </c>
      <c r="AK406" s="49"/>
      <c r="AL406" s="49"/>
      <c r="AM406" s="49"/>
      <c r="AN406" s="52" t="str">
        <f t="shared" si="5"/>
        <v>asian,</v>
      </c>
    </row>
    <row r="407">
      <c r="A407" s="51"/>
      <c r="B407" s="50" t="s">
        <v>2323</v>
      </c>
      <c r="C407" s="50" t="s">
        <v>1669</v>
      </c>
      <c r="D407" s="49" t="str">
        <f>IFERROR(__xludf.DUMMYFUNCTION("""COMPUTED_VALUE"""),"argues")</f>
        <v>argues</v>
      </c>
      <c r="E407" s="49"/>
      <c r="F407" s="49"/>
      <c r="G407" s="49"/>
      <c r="H407" s="54" t="str">
        <f t="shared" si="1"/>
        <v>close,</v>
      </c>
      <c r="I407" s="50"/>
      <c r="J407" s="50" t="s">
        <v>4582</v>
      </c>
      <c r="K407" s="50" t="s">
        <v>2281</v>
      </c>
      <c r="L407" s="49" t="str">
        <f>IFERROR(__xludf.DUMMYFUNCTION("""COMPUTED_VALUE"""),"typical")</f>
        <v>typical</v>
      </c>
      <c r="M407" s="49"/>
      <c r="N407" s="49" t="str">
        <f>IFERROR(__xludf.DUMMYFUNCTION("""COMPUTED_VALUE"""),"self")</f>
        <v>self</v>
      </c>
      <c r="O407" s="49" t="str">
        <f>IFERROR(__xludf.DUMMYFUNCTION("""COMPUTED_VALUE"""),"adult")</f>
        <v>adult</v>
      </c>
      <c r="P407" s="49" t="str">
        <f t="shared" si="2"/>
        <v>create,</v>
      </c>
      <c r="Q407" s="49"/>
      <c r="R407" s="50" t="s">
        <v>2368</v>
      </c>
      <c r="S407" s="55" t="s">
        <v>333</v>
      </c>
      <c r="T407" s="49" t="str">
        <f>IFERROR(__xludf.DUMMYFUNCTION("""COMPUTED_VALUE"""),"job")</f>
        <v>job</v>
      </c>
      <c r="U407" s="49"/>
      <c r="V407" s="49" t="str">
        <f>IFERROR(__xludf.DUMMYFUNCTION("""COMPUTED_VALUE"""),"signals")</f>
        <v>signals</v>
      </c>
      <c r="W407" s="49" t="str">
        <f>IFERROR(__xludf.DUMMYFUNCTION("""COMPUTED_VALUE"""),"martha")</f>
        <v>martha</v>
      </c>
      <c r="X407" s="49" t="str">
        <f t="shared" si="3"/>
        <v>tv,</v>
      </c>
      <c r="Y407" s="49"/>
      <c r="Z407" s="1" t="s">
        <v>1987</v>
      </c>
      <c r="AA407" s="1" t="s">
        <v>550</v>
      </c>
      <c r="AB407" s="49" t="str">
        <f>IFERROR(__xludf.DUMMYFUNCTION("""COMPUTED_VALUE"""),"spirit")</f>
        <v>spirit</v>
      </c>
      <c r="AC407" s="49"/>
      <c r="AD407" s="49" t="str">
        <f>IFERROR(__xludf.DUMMYFUNCTION("""COMPUTED_VALUE"""),"self")</f>
        <v>self</v>
      </c>
      <c r="AE407" s="49" t="str">
        <f>IFERROR(__xludf.DUMMYFUNCTION("""COMPUTED_VALUE"""),"adult")</f>
        <v>adult</v>
      </c>
      <c r="AF407" s="49" t="str">
        <f t="shared" si="4"/>
        <v>woman,</v>
      </c>
      <c r="AG407" s="49"/>
      <c r="AH407" s="1" t="s">
        <v>5213</v>
      </c>
      <c r="AI407" s="1" t="s">
        <v>1139</v>
      </c>
      <c r="AJ407" s="6" t="str">
        <f>IFERROR(__xludf.DUMMYFUNCTION("""COMPUTED_VALUE"""),"kong")</f>
        <v>kong</v>
      </c>
      <c r="AK407" s="49"/>
      <c r="AL407" s="49"/>
      <c r="AM407" s="49"/>
      <c r="AN407" s="52" t="str">
        <f t="shared" si="5"/>
        <v>asia,</v>
      </c>
    </row>
    <row r="408">
      <c r="A408" s="51"/>
      <c r="B408" s="50" t="s">
        <v>6331</v>
      </c>
      <c r="C408" s="50" t="s">
        <v>894</v>
      </c>
      <c r="D408" s="49" t="str">
        <f>IFERROR(__xludf.DUMMYFUNCTION("""COMPUTED_VALUE"""),"fights")</f>
        <v>fights</v>
      </c>
      <c r="E408" s="49"/>
      <c r="F408" s="49"/>
      <c r="G408" s="49"/>
      <c r="H408" s="54" t="str">
        <f t="shared" si="1"/>
        <v>better,</v>
      </c>
      <c r="I408" s="50"/>
      <c r="J408" s="50" t="s">
        <v>1859</v>
      </c>
      <c r="K408" s="50" t="s">
        <v>2285</v>
      </c>
      <c r="L408" s="49" t="str">
        <f>IFERROR(__xludf.DUMMYFUNCTION("""COMPUTED_VALUE"""),"point")</f>
        <v>point</v>
      </c>
      <c r="M408" s="49"/>
      <c r="N408" s="49" t="str">
        <f>IFERROR(__xludf.DUMMYFUNCTION("""COMPUTED_VALUE"""),"bottom")</f>
        <v>bottom</v>
      </c>
      <c r="O408" s="49" t="str">
        <f>IFERROR(__xludf.DUMMYFUNCTION("""COMPUTED_VALUE"""),"elegance")</f>
        <v>elegance</v>
      </c>
      <c r="P408" s="49" t="str">
        <f t="shared" si="2"/>
        <v>holes,</v>
      </c>
      <c r="Q408" s="49"/>
      <c r="R408" s="50" t="s">
        <v>2003</v>
      </c>
      <c r="S408" s="55" t="s">
        <v>2014</v>
      </c>
      <c r="T408" s="49" t="str">
        <f>IFERROR(__xludf.DUMMYFUNCTION("""COMPUTED_VALUE"""),"wedding")</f>
        <v>wedding</v>
      </c>
      <c r="U408" s="49"/>
      <c r="V408" s="49" t="str">
        <f>IFERROR(__xludf.DUMMYFUNCTION("""COMPUTED_VALUE"""),"def")</f>
        <v>def</v>
      </c>
      <c r="W408" s="49" t="str">
        <f>IFERROR(__xludf.DUMMYFUNCTION("""COMPUTED_VALUE"""),"rapid")</f>
        <v>rapid</v>
      </c>
      <c r="X408" s="49" t="str">
        <f t="shared" si="3"/>
        <v>oddly,</v>
      </c>
      <c r="Y408" s="49"/>
      <c r="Z408" s="1" t="s">
        <v>5639</v>
      </c>
      <c r="AA408" s="1" t="s">
        <v>2282</v>
      </c>
      <c r="AB408" s="49" t="str">
        <f>IFERROR(__xludf.DUMMYFUNCTION("""COMPUTED_VALUE"""),"sorority")</f>
        <v>sorority</v>
      </c>
      <c r="AC408" s="49"/>
      <c r="AD408" s="49" t="str">
        <f>IFERROR(__xludf.DUMMYFUNCTION("""COMPUTED_VALUE"""),"bottom")</f>
        <v>bottom</v>
      </c>
      <c r="AE408" s="49" t="str">
        <f>IFERROR(__xludf.DUMMYFUNCTION("""COMPUTED_VALUE"""),"elegance")</f>
        <v>elegance</v>
      </c>
      <c r="AF408" s="49" t="str">
        <f t="shared" si="4"/>
        <v>nightmare,</v>
      </c>
      <c r="AG408" s="49"/>
      <c r="AH408" s="1" t="s">
        <v>4474</v>
      </c>
      <c r="AI408" s="1" t="s">
        <v>710</v>
      </c>
      <c r="AJ408" s="6" t="str">
        <f>IFERROR(__xludf.DUMMYFUNCTION("""COMPUTED_VALUE"""),"hong")</f>
        <v>hong</v>
      </c>
      <c r="AK408" s="49"/>
      <c r="AL408" s="49"/>
      <c r="AM408" s="49"/>
      <c r="AN408" s="52" t="str">
        <f t="shared" si="5"/>
        <v>kong,</v>
      </c>
    </row>
    <row r="409">
      <c r="A409" s="51"/>
      <c r="B409" s="50" t="s">
        <v>6247</v>
      </c>
      <c r="C409" s="50" t="s">
        <v>6326</v>
      </c>
      <c r="D409" s="49" t="str">
        <f>IFERROR(__xludf.DUMMYFUNCTION("""COMPUTED_VALUE"""),"whether")</f>
        <v>whether</v>
      </c>
      <c r="E409" s="49"/>
      <c r="F409" s="49"/>
      <c r="G409" s="49"/>
      <c r="H409" s="54" t="str">
        <f t="shared" si="1"/>
        <v>nothing,</v>
      </c>
      <c r="I409" s="50"/>
      <c r="J409" s="50" t="s">
        <v>199</v>
      </c>
      <c r="K409" s="50" t="s">
        <v>2064</v>
      </c>
      <c r="L409" s="49" t="str">
        <f>IFERROR(__xludf.DUMMYFUNCTION("""COMPUTED_VALUE"""),"language")</f>
        <v>language</v>
      </c>
      <c r="M409" s="49"/>
      <c r="N409" s="49" t="str">
        <f>IFERROR(__xludf.DUMMYFUNCTION("""COMPUTED_VALUE"""),"come")</f>
        <v>come</v>
      </c>
      <c r="O409" s="49" t="str">
        <f>IFERROR(__xludf.DUMMYFUNCTION("""COMPUTED_VALUE"""),"devotees")</f>
        <v>devotees</v>
      </c>
      <c r="P409" s="49" t="str">
        <f t="shared" si="2"/>
        <v>because,</v>
      </c>
      <c r="Q409" s="49"/>
      <c r="R409" s="50" t="s">
        <v>513</v>
      </c>
      <c r="S409" s="55" t="s">
        <v>1770</v>
      </c>
      <c r="T409" s="49" t="str">
        <f>IFERROR(__xludf.DUMMYFUNCTION("""COMPUTED_VALUE"""),"stick")</f>
        <v>stick</v>
      </c>
      <c r="U409" s="49"/>
      <c r="V409" s="49" t="str">
        <f>IFERROR(__xludf.DUMMYFUNCTION("""COMPUTED_VALUE"""),"divert")</f>
        <v>divert</v>
      </c>
      <c r="W409" s="49" t="str">
        <f>IFERROR(__xludf.DUMMYFUNCTION("""COMPUTED_VALUE"""),"plunging")</f>
        <v>plunging</v>
      </c>
      <c r="X409" s="49" t="str">
        <f t="shared" si="3"/>
        <v>skip,</v>
      </c>
      <c r="Y409" s="49"/>
      <c r="Z409" s="1" t="s">
        <v>5405</v>
      </c>
      <c r="AA409" s="1" t="s">
        <v>1502</v>
      </c>
      <c r="AB409" s="49" t="str">
        <f>IFERROR(__xludf.DUMMYFUNCTION("""COMPUTED_VALUE"""),"actresses")</f>
        <v>actresses</v>
      </c>
      <c r="AC409" s="49"/>
      <c r="AD409" s="49" t="str">
        <f>IFERROR(__xludf.DUMMYFUNCTION("""COMPUTED_VALUE"""),"come")</f>
        <v>come</v>
      </c>
      <c r="AE409" s="49" t="str">
        <f>IFERROR(__xludf.DUMMYFUNCTION("""COMPUTED_VALUE"""),"devotees")</f>
        <v>devotees</v>
      </c>
      <c r="AF409" s="49" t="str">
        <f t="shared" si="4"/>
        <v>image,</v>
      </c>
      <c r="AG409" s="49"/>
      <c r="AH409" s="1" t="s">
        <v>3774</v>
      </c>
      <c r="AI409" s="1" t="s">
        <v>1430</v>
      </c>
      <c r="AJ409" s="6" t="str">
        <f>IFERROR(__xludf.DUMMYFUNCTION("""COMPUTED_VALUE"""),"vehicle")</f>
        <v>vehicle</v>
      </c>
      <c r="AK409" s="49"/>
      <c r="AL409" s="49"/>
      <c r="AM409" s="49"/>
      <c r="AN409" s="52" t="str">
        <f t="shared" si="5"/>
        <v>hong,</v>
      </c>
    </row>
    <row r="410">
      <c r="A410" s="51"/>
      <c r="B410" s="50" t="s">
        <v>6396</v>
      </c>
      <c r="C410" s="50" t="s">
        <v>173</v>
      </c>
      <c r="D410" s="49" t="str">
        <f>IFERROR(__xludf.DUMMYFUNCTION("""COMPUTED_VALUE"""),"problem")</f>
        <v>problem</v>
      </c>
      <c r="E410" s="49"/>
      <c r="F410" s="49"/>
      <c r="G410" s="49"/>
      <c r="H410" s="54" t="str">
        <f t="shared" si="1"/>
        <v>various,</v>
      </c>
      <c r="I410" s="50"/>
      <c r="J410" s="50" t="s">
        <v>2504</v>
      </c>
      <c r="K410" s="50" t="s">
        <v>449</v>
      </c>
      <c r="L410" s="49" t="str">
        <f>IFERROR(__xludf.DUMMYFUNCTION("""COMPUTED_VALUE"""),"sexuality")</f>
        <v>sexuality</v>
      </c>
      <c r="M410" s="49"/>
      <c r="N410" s="49" t="str">
        <f>IFERROR(__xludf.DUMMYFUNCTION("""COMPUTED_VALUE"""),"burger")</f>
        <v>burger</v>
      </c>
      <c r="O410" s="49" t="str">
        <f>IFERROR(__xludf.DUMMYFUNCTION("""COMPUTED_VALUE"""),"episodes")</f>
        <v>episodes</v>
      </c>
      <c r="P410" s="49" t="str">
        <f t="shared" si="2"/>
        <v>girls,</v>
      </c>
      <c r="Q410" s="49"/>
      <c r="R410" s="50" t="s">
        <v>848</v>
      </c>
      <c r="S410" s="55" t="s">
        <v>1020</v>
      </c>
      <c r="T410" s="49" t="str">
        <f>IFERROR(__xludf.DUMMYFUNCTION("""COMPUTED_VALUE"""),"singer")</f>
        <v>singer</v>
      </c>
      <c r="U410" s="49"/>
      <c r="V410" s="49" t="str">
        <f>IFERROR(__xludf.DUMMYFUNCTION("""COMPUTED_VALUE"""),"heat")</f>
        <v>heat</v>
      </c>
      <c r="W410" s="49" t="str">
        <f>IFERROR(__xludf.DUMMYFUNCTION("""COMPUTED_VALUE"""),"getting")</f>
        <v>getting</v>
      </c>
      <c r="X410" s="49" t="str">
        <f t="shared" si="3"/>
        <v>wanted,</v>
      </c>
      <c r="Y410" s="49"/>
      <c r="Z410" s="1" t="s">
        <v>3460</v>
      </c>
      <c r="AA410" s="1" t="s">
        <v>923</v>
      </c>
      <c r="AB410" s="49" t="str">
        <f>IFERROR(__xludf.DUMMYFUNCTION("""COMPUTED_VALUE"""),"coming")</f>
        <v>coming</v>
      </c>
      <c r="AC410" s="49"/>
      <c r="AD410" s="49" t="str">
        <f>IFERROR(__xludf.DUMMYFUNCTION("""COMPUTED_VALUE"""),"burger")</f>
        <v>burger</v>
      </c>
      <c r="AE410" s="49" t="str">
        <f>IFERROR(__xludf.DUMMYFUNCTION("""COMPUTED_VALUE"""),"episodes")</f>
        <v>episodes</v>
      </c>
      <c r="AF410" s="49" t="str">
        <f t="shared" si="4"/>
        <v>dreams,</v>
      </c>
      <c r="AG410" s="49"/>
      <c r="AH410" s="1" t="s">
        <v>4430</v>
      </c>
      <c r="AI410" s="1" t="s">
        <v>2002</v>
      </c>
      <c r="AJ410" s="6" t="str">
        <f>IFERROR(__xludf.DUMMYFUNCTION("""COMPUTED_VALUE"""),"attempts")</f>
        <v>attempts</v>
      </c>
      <c r="AK410" s="49"/>
      <c r="AL410" s="49"/>
      <c r="AM410" s="49"/>
      <c r="AN410" s="52" t="str">
        <f t="shared" si="5"/>
        <v>vehicle,</v>
      </c>
    </row>
    <row r="411">
      <c r="A411" s="51"/>
      <c r="B411" s="50">
        <v>2001.0</v>
      </c>
      <c r="C411" s="50" t="s">
        <v>1688</v>
      </c>
      <c r="D411" s="49" t="str">
        <f>IFERROR(__xludf.DUMMYFUNCTION("""COMPUTED_VALUE"""),"minutes")</f>
        <v>minutes</v>
      </c>
      <c r="E411" s="49"/>
      <c r="F411" s="49"/>
      <c r="G411" s="49"/>
      <c r="H411" s="54" t="str">
        <f t="shared" si="1"/>
        <v>2001,</v>
      </c>
      <c r="I411" s="50"/>
      <c r="J411" s="50" t="s">
        <v>3583</v>
      </c>
      <c r="K411" s="50" t="s">
        <v>1207</v>
      </c>
      <c r="L411" s="49" t="str">
        <f>IFERROR(__xludf.DUMMYFUNCTION("""COMPUTED_VALUE"""),"christian")</f>
        <v>christian</v>
      </c>
      <c r="M411" s="49"/>
      <c r="N411" s="49" t="str">
        <f>IFERROR(__xludf.DUMMYFUNCTION("""COMPUTED_VALUE"""),"success")</f>
        <v>success</v>
      </c>
      <c r="O411" s="49" t="str">
        <f>IFERROR(__xludf.DUMMYFUNCTION("""COMPUTED_VALUE"""),"bile")</f>
        <v>bile</v>
      </c>
      <c r="P411" s="49" t="str">
        <f t="shared" si="2"/>
        <v>upon,</v>
      </c>
      <c r="Q411" s="49"/>
      <c r="R411" s="50" t="s">
        <v>697</v>
      </c>
      <c r="S411" s="55" t="s">
        <v>1786</v>
      </c>
      <c r="T411" s="49" t="str">
        <f>IFERROR(__xludf.DUMMYFUNCTION("""COMPUTED_VALUE"""),"wasting")</f>
        <v>wasting</v>
      </c>
      <c r="U411" s="49"/>
      <c r="V411" s="49" t="str">
        <f>IFERROR(__xludf.DUMMYFUNCTION("""COMPUTED_VALUE"""),"send")</f>
        <v>send</v>
      </c>
      <c r="W411" s="49" t="str">
        <f>IFERROR(__xludf.DUMMYFUNCTION("""COMPUTED_VALUE"""),"constantly")</f>
        <v>constantly</v>
      </c>
      <c r="X411" s="49" t="str">
        <f t="shared" si="3"/>
        <v>right,</v>
      </c>
      <c r="Y411" s="49"/>
      <c r="Z411" s="1" t="s">
        <v>976</v>
      </c>
      <c r="AA411" s="1" t="s">
        <v>1329</v>
      </c>
      <c r="AB411" s="49" t="str">
        <f>IFERROR(__xludf.DUMMYFUNCTION("""COMPUTED_VALUE"""),"clever")</f>
        <v>clever</v>
      </c>
      <c r="AC411" s="49"/>
      <c r="AD411" s="49" t="str">
        <f>IFERROR(__xludf.DUMMYFUNCTION("""COMPUTED_VALUE"""),"success")</f>
        <v>success</v>
      </c>
      <c r="AE411" s="49" t="str">
        <f>IFERROR(__xludf.DUMMYFUNCTION("""COMPUTED_VALUE"""),"bile")</f>
        <v>bile</v>
      </c>
      <c r="AF411" s="49" t="str">
        <f t="shared" si="4"/>
        <v>game,</v>
      </c>
      <c r="AG411" s="49"/>
      <c r="AH411" s="1" t="s">
        <v>2554</v>
      </c>
      <c r="AI411" s="1" t="s">
        <v>1734</v>
      </c>
      <c r="AJ411" s="6" t="str">
        <f>IFERROR(__xludf.DUMMYFUNCTION("""COMPUTED_VALUE"""),"*")</f>
        <v>*</v>
      </c>
      <c r="AK411" s="49"/>
      <c r="AL411" s="49"/>
      <c r="AM411" s="49"/>
      <c r="AN411" s="52" t="str">
        <f t="shared" si="5"/>
        <v>attempts,</v>
      </c>
    </row>
    <row r="412">
      <c r="A412" s="51"/>
      <c r="B412" s="50" t="s">
        <v>6362</v>
      </c>
      <c r="C412" s="50" t="s">
        <v>6328</v>
      </c>
      <c r="D412" s="49" t="str">
        <f>IFERROR(__xludf.DUMMYFUNCTION("""COMPUTED_VALUE"""),"runs")</f>
        <v>runs</v>
      </c>
      <c r="E412" s="49"/>
      <c r="F412" s="49"/>
      <c r="G412" s="49"/>
      <c r="H412" s="54" t="str">
        <f t="shared" si="1"/>
        <v>everything,</v>
      </c>
      <c r="I412" s="50"/>
      <c r="J412" s="50" t="s">
        <v>3319</v>
      </c>
      <c r="K412" s="50" t="s">
        <v>2079</v>
      </c>
      <c r="L412" s="49" t="str">
        <f>IFERROR(__xludf.DUMMYFUNCTION("""COMPUTED_VALUE"""),"college")</f>
        <v>college</v>
      </c>
      <c r="M412" s="49"/>
      <c r="N412" s="49" t="str">
        <f>IFERROR(__xludf.DUMMYFUNCTION("""COMPUTED_VALUE"""),"talented")</f>
        <v>talented</v>
      </c>
      <c r="O412" s="49" t="str">
        <f>IFERROR(__xludf.DUMMYFUNCTION("""COMPUTED_VALUE"""),"faulty")</f>
        <v>faulty</v>
      </c>
      <c r="P412" s="49" t="str">
        <f t="shared" si="2"/>
        <v>neil,</v>
      </c>
      <c r="Q412" s="49"/>
      <c r="R412" s="50" t="b">
        <v>1</v>
      </c>
      <c r="S412" s="55" t="s">
        <v>1793</v>
      </c>
      <c r="T412" s="49" t="str">
        <f>IFERROR(__xludf.DUMMYFUNCTION("""COMPUTED_VALUE"""),"final")</f>
        <v>final</v>
      </c>
      <c r="U412" s="49"/>
      <c r="V412" s="49" t="str">
        <f>IFERROR(__xludf.DUMMYFUNCTION("""COMPUTED_VALUE"""),"whip")</f>
        <v>whip</v>
      </c>
      <c r="W412" s="49" t="str">
        <f>IFERROR(__xludf.DUMMYFUNCTION("""COMPUTED_VALUE"""),"underneath")</f>
        <v>underneath</v>
      </c>
      <c r="X412" s="49" t="str">
        <f t="shared" si="3"/>
        <v>TRUE,</v>
      </c>
      <c r="Y412" s="49"/>
      <c r="Z412" s="1" t="s">
        <v>1944</v>
      </c>
      <c r="AA412" s="1" t="s">
        <v>546</v>
      </c>
      <c r="AB412" s="49" t="str">
        <f>IFERROR(__xludf.DUMMYFUNCTION("""COMPUTED_VALUE"""),"humorous")</f>
        <v>humorous</v>
      </c>
      <c r="AC412" s="49"/>
      <c r="AD412" s="49" t="str">
        <f>IFERROR(__xludf.DUMMYFUNCTION("""COMPUTED_VALUE"""),"talented")</f>
        <v>talented</v>
      </c>
      <c r="AE412" s="49" t="str">
        <f>IFERROR(__xludf.DUMMYFUNCTION("""COMPUTED_VALUE"""),"faulty")</f>
        <v>faulty</v>
      </c>
      <c r="AF412" s="49" t="str">
        <f t="shared" si="4"/>
        <v>reality,</v>
      </c>
      <c r="AG412" s="49"/>
      <c r="AH412" s="1" t="s">
        <v>2782</v>
      </c>
      <c r="AI412" s="1" t="s">
        <v>857</v>
      </c>
      <c r="AJ412" s="6" t="str">
        <f>IFERROR(__xludf.DUMMYFUNCTION("""COMPUTED_VALUE"""),"did")</f>
        <v>did</v>
      </c>
      <c r="AK412" s="49"/>
      <c r="AL412" s="49"/>
      <c r="AM412" s="49"/>
      <c r="AN412" s="52" t="str">
        <f t="shared" si="5"/>
        <v>*,</v>
      </c>
    </row>
    <row r="413">
      <c r="A413" s="51"/>
      <c r="B413" s="50" t="s">
        <v>2797</v>
      </c>
      <c r="C413" s="50" t="s">
        <v>1701</v>
      </c>
      <c r="D413" s="49" t="str">
        <f>IFERROR(__xludf.DUMMYFUNCTION("""COMPUTED_VALUE"""),"picture")</f>
        <v>picture</v>
      </c>
      <c r="E413" s="49"/>
      <c r="F413" s="49"/>
      <c r="G413" s="49"/>
      <c r="H413" s="54" t="str">
        <f t="shared" si="1"/>
        <v>space,</v>
      </c>
      <c r="I413" s="50"/>
      <c r="J413" s="50" t="s">
        <v>6588</v>
      </c>
      <c r="K413" s="50" t="s">
        <v>2299</v>
      </c>
      <c r="L413" s="49" t="str">
        <f>IFERROR(__xludf.DUMMYFUNCTION("""COMPUTED_VALUE"""),"need")</f>
        <v>need</v>
      </c>
      <c r="M413" s="49"/>
      <c r="N413" s="49" t="str">
        <f>IFERROR(__xludf.DUMMYFUNCTION("""COMPUTED_VALUE"""),"directors")</f>
        <v>directors</v>
      </c>
      <c r="O413" s="49" t="str">
        <f>IFERROR(__xludf.DUMMYFUNCTION("""COMPUTED_VALUE"""),"constructed")</f>
        <v>constructed</v>
      </c>
      <c r="P413" s="49" t="str">
        <f t="shared" si="2"/>
        <v>killer,</v>
      </c>
      <c r="Q413" s="49"/>
      <c r="R413" s="50" t="s">
        <v>3378</v>
      </c>
      <c r="S413" s="55" t="s">
        <v>2037</v>
      </c>
      <c r="T413" s="49" t="str">
        <f>IFERROR(__xludf.DUMMYFUNCTION("""COMPUTED_VALUE"""),"critics")</f>
        <v>critics</v>
      </c>
      <c r="U413" s="49"/>
      <c r="V413" s="49" t="str">
        <f>IFERROR(__xludf.DUMMYFUNCTION("""COMPUTED_VALUE"""),"coma")</f>
        <v>coma</v>
      </c>
      <c r="W413" s="49" t="str">
        <f>IFERROR(__xludf.DUMMYFUNCTION("""COMPUTED_VALUE"""),"exaggerated")</f>
        <v>exaggerated</v>
      </c>
      <c r="X413" s="49" t="str">
        <f t="shared" si="3"/>
        <v>daughter,</v>
      </c>
      <c r="Y413" s="49"/>
      <c r="Z413" s="1" t="s">
        <v>1957</v>
      </c>
      <c r="AA413" s="1" t="s">
        <v>38</v>
      </c>
      <c r="AB413" s="49" t="str">
        <f>IFERROR(__xludf.DUMMYFUNCTION("""COMPUTED_VALUE"""),"enduring")</f>
        <v>enduring</v>
      </c>
      <c r="AC413" s="49"/>
      <c r="AD413" s="49" t="str">
        <f>IFERROR(__xludf.DUMMYFUNCTION("""COMPUTED_VALUE"""),"directors")</f>
        <v>directors</v>
      </c>
      <c r="AE413" s="49" t="str">
        <f>IFERROR(__xludf.DUMMYFUNCTION("""COMPUTED_VALUE"""),"constructed")</f>
        <v>constructed</v>
      </c>
      <c r="AF413" s="49" t="str">
        <f t="shared" si="4"/>
        <v>living,</v>
      </c>
      <c r="AG413" s="49"/>
      <c r="AH413" s="1" t="s">
        <v>2101</v>
      </c>
      <c r="AI413" s="1" t="s">
        <v>1442</v>
      </c>
      <c r="AJ413" s="6" t="str">
        <f>IFERROR(__xludf.DUMMYFUNCTION("""COMPUTED_VALUE"""),"must")</f>
        <v>must</v>
      </c>
      <c r="AK413" s="49"/>
      <c r="AL413" s="49"/>
      <c r="AM413" s="49"/>
      <c r="AN413" s="52" t="str">
        <f t="shared" si="5"/>
        <v>did,</v>
      </c>
    </row>
    <row r="414">
      <c r="A414" s="51"/>
      <c r="B414" s="50" t="s">
        <v>6775</v>
      </c>
      <c r="C414" s="50" t="s">
        <v>6322</v>
      </c>
      <c r="D414" s="49" t="str">
        <f>IFERROR(__xludf.DUMMYFUNCTION("""COMPUTED_VALUE"""),"glance")</f>
        <v>glance</v>
      </c>
      <c r="E414" s="49"/>
      <c r="F414" s="49"/>
      <c r="G414" s="49"/>
      <c r="H414" s="54" t="str">
        <f t="shared" si="1"/>
        <v>sent,</v>
      </c>
      <c r="I414" s="50"/>
      <c r="J414" s="50" t="s">
        <v>2128</v>
      </c>
      <c r="K414" s="50" t="s">
        <v>1211</v>
      </c>
      <c r="L414" s="49" t="str">
        <f>IFERROR(__xludf.DUMMYFUNCTION("""COMPUTED_VALUE"""),"weaknesses")</f>
        <v>weaknesses</v>
      </c>
      <c r="M414" s="49"/>
      <c r="N414" s="49" t="str">
        <f>IFERROR(__xludf.DUMMYFUNCTION("""COMPUTED_VALUE"""),"wild")</f>
        <v>wild</v>
      </c>
      <c r="O414" s="49" t="str">
        <f>IFERROR(__xludf.DUMMYFUNCTION("""COMPUTED_VALUE"""),"vampire")</f>
        <v>vampire</v>
      </c>
      <c r="P414" s="49" t="str">
        <f t="shared" si="2"/>
        <v>standards,</v>
      </c>
      <c r="Q414" s="49"/>
      <c r="R414" s="50" t="s">
        <v>3763</v>
      </c>
      <c r="S414" s="55" t="s">
        <v>6309</v>
      </c>
      <c r="T414" s="49" t="str">
        <f>IFERROR(__xludf.DUMMYFUNCTION("""COMPUTED_VALUE"""),"myself")</f>
        <v>myself</v>
      </c>
      <c r="U414" s="49"/>
      <c r="V414" s="49" t="str">
        <f>IFERROR(__xludf.DUMMYFUNCTION("""COMPUTED_VALUE"""),"marker")</f>
        <v>marker</v>
      </c>
      <c r="W414" s="49" t="str">
        <f>IFERROR(__xludf.DUMMYFUNCTION("""COMPUTED_VALUE"""),"innocence")</f>
        <v>innocence</v>
      </c>
      <c r="X414" s="49" t="str">
        <f t="shared" si="3"/>
        <v>weeks,</v>
      </c>
      <c r="Y414" s="49"/>
      <c r="Z414" s="1" t="s">
        <v>4108</v>
      </c>
      <c r="AA414" s="1" t="s">
        <v>567</v>
      </c>
      <c r="AB414" s="49">
        <f>IFERROR(__xludf.DUMMYFUNCTION("""COMPUTED_VALUE"""),20.0)</f>
        <v>20</v>
      </c>
      <c r="AC414" s="49"/>
      <c r="AD414" s="49" t="str">
        <f>IFERROR(__xludf.DUMMYFUNCTION("""COMPUTED_VALUE"""),"wild")</f>
        <v>wild</v>
      </c>
      <c r="AE414" s="49" t="str">
        <f>IFERROR(__xludf.DUMMYFUNCTION("""COMPUTED_VALUE"""),"vampire")</f>
        <v>vampire</v>
      </c>
      <c r="AF414" s="49" t="str">
        <f t="shared" si="4"/>
        <v>biggest,</v>
      </c>
      <c r="AG414" s="49"/>
      <c r="AH414" s="1" t="s">
        <v>6444</v>
      </c>
      <c r="AI414" s="1" t="s">
        <v>868</v>
      </c>
      <c r="AJ414" s="6" t="str">
        <f>IFERROR(__xludf.DUMMYFUNCTION("""COMPUTED_VALUE"""),"moment")</f>
        <v>moment</v>
      </c>
      <c r="AK414" s="49"/>
      <c r="AL414" s="49"/>
      <c r="AM414" s="49"/>
      <c r="AN414" s="52" t="str">
        <f t="shared" si="5"/>
        <v>must,</v>
      </c>
    </row>
    <row r="415">
      <c r="A415" s="51"/>
      <c r="B415" s="50" t="s">
        <v>847</v>
      </c>
      <c r="C415" s="50" t="s">
        <v>2172</v>
      </c>
      <c r="D415" s="49">
        <f>IFERROR(__xludf.DUMMYFUNCTION("""COMPUTED_VALUE"""),84.0)</f>
        <v>84</v>
      </c>
      <c r="E415" s="49"/>
      <c r="F415" s="49"/>
      <c r="G415" s="49"/>
      <c r="H415" s="54" t="str">
        <f t="shared" si="1"/>
        <v>kind,</v>
      </c>
      <c r="I415" s="50"/>
      <c r="J415" s="50" t="s">
        <v>2083</v>
      </c>
      <c r="K415" s="50" t="s">
        <v>1219</v>
      </c>
      <c r="L415" s="49" t="str">
        <f>IFERROR(__xludf.DUMMYFUNCTION("""COMPUTED_VALUE"""),"difference")</f>
        <v>difference</v>
      </c>
      <c r="M415" s="49"/>
      <c r="N415" s="49" t="str">
        <f>IFERROR(__xludf.DUMMYFUNCTION("""COMPUTED_VALUE"""),"damage")</f>
        <v>damage</v>
      </c>
      <c r="O415" s="49" t="str">
        <f>IFERROR(__xludf.DUMMYFUNCTION("""COMPUTED_VALUE"""),"duplicate")</f>
        <v>duplicate</v>
      </c>
      <c r="P415" s="49" t="str">
        <f t="shared" si="2"/>
        <v>might,</v>
      </c>
      <c r="Q415" s="49"/>
      <c r="R415" s="50" t="s">
        <v>6436</v>
      </c>
      <c r="S415" s="55" t="s">
        <v>2041</v>
      </c>
      <c r="T415" s="49" t="str">
        <f>IFERROR(__xludf.DUMMYFUNCTION("""COMPUTED_VALUE"""),"entertainment")</f>
        <v>entertainment</v>
      </c>
      <c r="U415" s="49"/>
      <c r="V415" s="49" t="str">
        <f>IFERROR(__xludf.DUMMYFUNCTION("""COMPUTED_VALUE"""),"unpleasant")</f>
        <v>unpleasant</v>
      </c>
      <c r="W415" s="49" t="str">
        <f>IFERROR(__xludf.DUMMYFUNCTION("""COMPUTED_VALUE"""),"questionable")</f>
        <v>questionable</v>
      </c>
      <c r="X415" s="49" t="str">
        <f t="shared" si="3"/>
        <v>program,</v>
      </c>
      <c r="Y415" s="49"/>
      <c r="Z415" s="1" t="s">
        <v>2382</v>
      </c>
      <c r="AA415" s="1" t="s">
        <v>2303</v>
      </c>
      <c r="AB415" s="49" t="str">
        <f>IFERROR(__xludf.DUMMYFUNCTION("""COMPUTED_VALUE"""),"medium")</f>
        <v>medium</v>
      </c>
      <c r="AC415" s="49"/>
      <c r="AD415" s="49" t="str">
        <f>IFERROR(__xludf.DUMMYFUNCTION("""COMPUTED_VALUE"""),"damage")</f>
        <v>damage</v>
      </c>
      <c r="AE415" s="49" t="str">
        <f>IFERROR(__xludf.DUMMYFUNCTION("""COMPUTED_VALUE"""),"duplicate")</f>
        <v>duplicate</v>
      </c>
      <c r="AF415" s="49" t="str">
        <f t="shared" si="4"/>
        <v>question,</v>
      </c>
      <c r="AG415" s="49"/>
      <c r="AH415" s="1" t="s">
        <v>2985</v>
      </c>
      <c r="AI415" s="1" t="s">
        <v>802</v>
      </c>
      <c r="AJ415" s="6" t="str">
        <f>IFERROR(__xludf.DUMMYFUNCTION("""COMPUTED_VALUE"""),"entire")</f>
        <v>entire</v>
      </c>
      <c r="AK415" s="49"/>
      <c r="AL415" s="49"/>
      <c r="AM415" s="49"/>
      <c r="AN415" s="52" t="str">
        <f t="shared" si="5"/>
        <v>moment,</v>
      </c>
    </row>
    <row r="416">
      <c r="A416" s="51"/>
      <c r="B416" s="50" t="s">
        <v>3128</v>
      </c>
      <c r="C416" s="50" t="s">
        <v>1708</v>
      </c>
      <c r="D416" s="49" t="str">
        <f>IFERROR(__xludf.DUMMYFUNCTION("""COMPUTED_VALUE"""),"mere")</f>
        <v>mere</v>
      </c>
      <c r="E416" s="49"/>
      <c r="F416" s="49"/>
      <c r="G416" s="49"/>
      <c r="H416" s="54" t="str">
        <f t="shared" si="1"/>
        <v>hell,</v>
      </c>
      <c r="I416" s="50"/>
      <c r="J416" s="50" t="s">
        <v>2366</v>
      </c>
      <c r="K416" s="50" t="s">
        <v>2091</v>
      </c>
      <c r="L416" s="49" t="str">
        <f>IFERROR(__xludf.DUMMYFUNCTION("""COMPUTED_VALUE"""),"glaring")</f>
        <v>glaring</v>
      </c>
      <c r="M416" s="49"/>
      <c r="N416" s="49" t="str">
        <f>IFERROR(__xludf.DUMMYFUNCTION("""COMPUTED_VALUE"""),"move")</f>
        <v>move</v>
      </c>
      <c r="O416" s="49" t="str">
        <f>IFERROR(__xludf.DUMMYFUNCTION("""COMPUTED_VALUE"""),"fierce")</f>
        <v>fierce</v>
      </c>
      <c r="P416" s="49" t="str">
        <f t="shared" si="2"/>
        <v>visual,</v>
      </c>
      <c r="Q416" s="49"/>
      <c r="R416" s="50" t="s">
        <v>6663</v>
      </c>
      <c r="S416" s="55" t="s">
        <v>6308</v>
      </c>
      <c r="T416" s="49" t="str">
        <f>IFERROR(__xludf.DUMMYFUNCTION("""COMPUTED_VALUE"""),"comfortable")</f>
        <v>comfortable</v>
      </c>
      <c r="U416" s="49"/>
      <c r="V416" s="49">
        <f>IFERROR(__xludf.DUMMYFUNCTION("""COMPUTED_VALUE"""),89.0)</f>
        <v>89</v>
      </c>
      <c r="W416" s="49" t="str">
        <f>IFERROR(__xludf.DUMMYFUNCTION("""COMPUTED_VALUE"""),"fiction")</f>
        <v>fiction</v>
      </c>
      <c r="X416" s="49" t="str">
        <f t="shared" si="3"/>
        <v>favorite,</v>
      </c>
      <c r="Y416" s="49"/>
      <c r="Z416" s="1" t="s">
        <v>2901</v>
      </c>
      <c r="AA416" s="1" t="s">
        <v>1543</v>
      </c>
      <c r="AB416" s="49" t="str">
        <f>IFERROR(__xludf.DUMMYFUNCTION("""COMPUTED_VALUE"""),"weaving")</f>
        <v>weaving</v>
      </c>
      <c r="AC416" s="49"/>
      <c r="AD416" s="49" t="str">
        <f>IFERROR(__xludf.DUMMYFUNCTION("""COMPUTED_VALUE"""),"move")</f>
        <v>move</v>
      </c>
      <c r="AE416" s="49" t="str">
        <f>IFERROR(__xludf.DUMMYFUNCTION("""COMPUTED_VALUE"""),"fierce")</f>
        <v>fierce</v>
      </c>
      <c r="AF416" s="49" t="str">
        <f t="shared" si="4"/>
        <v>dream,</v>
      </c>
      <c r="AG416" s="49"/>
      <c r="AH416" s="1" t="s">
        <v>305</v>
      </c>
      <c r="AI416" s="1" t="s">
        <v>2369</v>
      </c>
      <c r="AJ416" s="6" t="str">
        <f>IFERROR(__xludf.DUMMYFUNCTION("""COMPUTED_VALUE"""),"provide")</f>
        <v>provide</v>
      </c>
      <c r="AK416" s="49"/>
      <c r="AL416" s="49"/>
      <c r="AM416" s="49"/>
      <c r="AN416" s="52" t="str">
        <f t="shared" si="5"/>
        <v>entire,</v>
      </c>
    </row>
    <row r="417">
      <c r="A417" s="51"/>
      <c r="B417" s="50" t="s">
        <v>1497</v>
      </c>
      <c r="C417" s="50" t="s">
        <v>913</v>
      </c>
      <c r="D417" s="49" t="str">
        <f>IFERROR(__xludf.DUMMYFUNCTION("""COMPUTED_VALUE"""),"pictures")</f>
        <v>pictures</v>
      </c>
      <c r="E417" s="49"/>
      <c r="F417" s="49"/>
      <c r="G417" s="49"/>
      <c r="H417" s="54" t="str">
        <f t="shared" si="1"/>
        <v>successful,</v>
      </c>
      <c r="I417" s="50"/>
      <c r="J417" s="50" t="s">
        <v>2312</v>
      </c>
      <c r="K417" s="50" t="s">
        <v>457</v>
      </c>
      <c r="L417" s="49" t="str">
        <f>IFERROR(__xludf.DUMMYFUNCTION("""COMPUTED_VALUE"""),"over")</f>
        <v>over</v>
      </c>
      <c r="M417" s="49"/>
      <c r="N417" s="49" t="str">
        <f>IFERROR(__xludf.DUMMYFUNCTION("""COMPUTED_VALUE"""),"directions")</f>
        <v>directions</v>
      </c>
      <c r="O417" s="49" t="str">
        <f>IFERROR(__xludf.DUMMYFUNCTION("""COMPUTED_VALUE"""),"dance")</f>
        <v>dance</v>
      </c>
      <c r="P417" s="49" t="str">
        <f t="shared" si="2"/>
        <v>tired,</v>
      </c>
      <c r="Q417" s="49"/>
      <c r="R417" s="50" t="s">
        <v>2796</v>
      </c>
      <c r="S417" s="55" t="s">
        <v>267</v>
      </c>
      <c r="T417" s="49" t="str">
        <f>IFERROR(__xludf.DUMMYFUNCTION("""COMPUTED_VALUE"""),"rank")</f>
        <v>rank</v>
      </c>
      <c r="U417" s="49"/>
      <c r="V417" s="49" t="str">
        <f>IFERROR(__xludf.DUMMYFUNCTION("""COMPUTED_VALUE"""),"impressions")</f>
        <v>impressions</v>
      </c>
      <c r="W417" s="49" t="str">
        <f>IFERROR(__xludf.DUMMYFUNCTION("""COMPUTED_VALUE"""),"today")</f>
        <v>today</v>
      </c>
      <c r="X417" s="49" t="str">
        <f t="shared" si="3"/>
        <v>visually,</v>
      </c>
      <c r="Y417" s="49"/>
      <c r="Z417" s="1" t="s">
        <v>1972</v>
      </c>
      <c r="AA417" s="1" t="s">
        <v>580</v>
      </c>
      <c r="AB417" s="49" t="str">
        <f>IFERROR(__xludf.DUMMYFUNCTION("""COMPUTED_VALUE"""),"wait")</f>
        <v>wait</v>
      </c>
      <c r="AC417" s="49"/>
      <c r="AD417" s="49" t="str">
        <f>IFERROR(__xludf.DUMMYFUNCTION("""COMPUTED_VALUE"""),"directions")</f>
        <v>directions</v>
      </c>
      <c r="AE417" s="49" t="str">
        <f>IFERROR(__xludf.DUMMYFUNCTION("""COMPUTED_VALUE"""),"dance")</f>
        <v>dance</v>
      </c>
      <c r="AF417" s="49" t="str">
        <f t="shared" si="4"/>
        <v>either,</v>
      </c>
      <c r="AG417" s="49"/>
      <c r="AH417" s="1" t="s">
        <v>784</v>
      </c>
      <c r="AI417" s="1" t="s">
        <v>4830</v>
      </c>
      <c r="AJ417" s="6" t="str">
        <f>IFERROR(__xludf.DUMMYFUNCTION("""COMPUTED_VALUE"""),"multiple")</f>
        <v>multiple</v>
      </c>
      <c r="AK417" s="49"/>
      <c r="AL417" s="49"/>
      <c r="AM417" s="49"/>
      <c r="AN417" s="52" t="str">
        <f t="shared" si="5"/>
        <v>provide,</v>
      </c>
    </row>
    <row r="418">
      <c r="A418" s="51"/>
      <c r="B418" s="50" t="s">
        <v>3668</v>
      </c>
      <c r="C418" s="50" t="s">
        <v>937</v>
      </c>
      <c r="D418" s="49" t="str">
        <f>IFERROR(__xludf.DUMMYFUNCTION("""COMPUTED_VALUE"""),"genre")</f>
        <v>genre</v>
      </c>
      <c r="E418" s="49"/>
      <c r="F418" s="49"/>
      <c r="G418" s="49"/>
      <c r="H418" s="54" t="str">
        <f t="shared" si="1"/>
        <v>hope,</v>
      </c>
      <c r="I418" s="50"/>
      <c r="J418" s="50" t="s">
        <v>3771</v>
      </c>
      <c r="K418" s="50" t="s">
        <v>1162</v>
      </c>
      <c r="L418" s="49" t="str">
        <f>IFERROR(__xludf.DUMMYFUNCTION("""COMPUTED_VALUE"""),"torture")</f>
        <v>torture</v>
      </c>
      <c r="M418" s="49"/>
      <c r="N418" s="49" t="str">
        <f>IFERROR(__xludf.DUMMYFUNCTION("""COMPUTED_VALUE"""),"step")</f>
        <v>step</v>
      </c>
      <c r="O418" s="49" t="str">
        <f>IFERROR(__xludf.DUMMYFUNCTION("""COMPUTED_VALUE"""),"crippled")</f>
        <v>crippled</v>
      </c>
      <c r="P418" s="49" t="str">
        <f t="shared" si="2"/>
        <v>lies,</v>
      </c>
      <c r="Q418" s="49"/>
      <c r="R418" s="50" t="s">
        <v>3459</v>
      </c>
      <c r="S418" s="55" t="s">
        <v>972</v>
      </c>
      <c r="T418" s="49" t="str">
        <f>IFERROR(__xludf.DUMMYFUNCTION("""COMPUTED_VALUE"""),"appropriate")</f>
        <v>appropriate</v>
      </c>
      <c r="U418" s="49"/>
      <c r="V418" s="49" t="str">
        <f>IFERROR(__xludf.DUMMYFUNCTION("""COMPUTED_VALUE"""),"grows")</f>
        <v>grows</v>
      </c>
      <c r="W418" s="49" t="str">
        <f>IFERROR(__xludf.DUMMYFUNCTION("""COMPUTED_VALUE"""),"tackles")</f>
        <v>tackles</v>
      </c>
      <c r="X418" s="49" t="str">
        <f t="shared" si="3"/>
        <v>corrupt,</v>
      </c>
      <c r="Y418" s="49"/>
      <c r="Z418" s="1" t="s">
        <v>485</v>
      </c>
      <c r="AA418" s="1" t="s">
        <v>291</v>
      </c>
      <c r="AB418" s="49" t="str">
        <f>IFERROR(__xludf.DUMMYFUNCTION("""COMPUTED_VALUE"""),"lifetime")</f>
        <v>lifetime</v>
      </c>
      <c r="AC418" s="49"/>
      <c r="AD418" s="49" t="str">
        <f>IFERROR(__xludf.DUMMYFUNCTION("""COMPUTED_VALUE"""),"step")</f>
        <v>step</v>
      </c>
      <c r="AE418" s="49" t="str">
        <f>IFERROR(__xludf.DUMMYFUNCTION("""COMPUTED_VALUE"""),"crippled")</f>
        <v>crippled</v>
      </c>
      <c r="AF418" s="49" t="str">
        <f t="shared" si="4"/>
        <v>together,</v>
      </c>
      <c r="AG418" s="49"/>
      <c r="AH418" s="1" t="s">
        <v>5940</v>
      </c>
      <c r="AI418" s="1" t="s">
        <v>1774</v>
      </c>
      <c r="AJ418" s="6" t="str">
        <f>IFERROR(__xludf.DUMMYFUNCTION("""COMPUTED_VALUE"""),"levels")</f>
        <v>levels</v>
      </c>
      <c r="AK418" s="49"/>
      <c r="AL418" s="49"/>
      <c r="AM418" s="49"/>
      <c r="AN418" s="52" t="str">
        <f t="shared" si="5"/>
        <v>multiple,</v>
      </c>
    </row>
    <row r="419">
      <c r="A419" s="51"/>
      <c r="B419" s="50" t="s">
        <v>2082</v>
      </c>
      <c r="C419" s="50" t="s">
        <v>932</v>
      </c>
      <c r="D419" s="49" t="str">
        <f>IFERROR(__xludf.DUMMYFUNCTION("""COMPUTED_VALUE"""),"romance")</f>
        <v>romance</v>
      </c>
      <c r="E419" s="49"/>
      <c r="F419" s="49"/>
      <c r="G419" s="49"/>
      <c r="H419" s="54" t="str">
        <f t="shared" si="1"/>
        <v>results,</v>
      </c>
      <c r="I419" s="50"/>
      <c r="J419" s="50" t="s">
        <v>960</v>
      </c>
      <c r="K419" s="50" t="s">
        <v>1229</v>
      </c>
      <c r="L419" s="49" t="str">
        <f>IFERROR(__xludf.DUMMYFUNCTION("""COMPUTED_VALUE"""),"walk")</f>
        <v>walk</v>
      </c>
      <c r="M419" s="49"/>
      <c r="N419" s="49" t="str">
        <f>IFERROR(__xludf.DUMMYFUNCTION("""COMPUTED_VALUE"""),"fear")</f>
        <v>fear</v>
      </c>
      <c r="O419" s="49" t="str">
        <f>IFERROR(__xludf.DUMMYFUNCTION("""COMPUTED_VALUE"""),"duke")</f>
        <v>duke</v>
      </c>
      <c r="P419" s="49" t="str">
        <f t="shared" si="2"/>
        <v>behind,</v>
      </c>
      <c r="Q419" s="49"/>
      <c r="R419" s="50" t="s">
        <v>3065</v>
      </c>
      <c r="S419" s="55" t="s">
        <v>2974</v>
      </c>
      <c r="T419" s="49" t="str">
        <f>IFERROR(__xludf.DUMMYFUNCTION("""COMPUTED_VALUE"""),"bard")</f>
        <v>bard</v>
      </c>
      <c r="U419" s="49"/>
      <c r="V419" s="49" t="str">
        <f>IFERROR(__xludf.DUMMYFUNCTION("""COMPUTED_VALUE"""),"promises")</f>
        <v>promises</v>
      </c>
      <c r="W419" s="49" t="str">
        <f>IFERROR(__xludf.DUMMYFUNCTION("""COMPUTED_VALUE"""),"stanley")</f>
        <v>stanley</v>
      </c>
      <c r="X419" s="49" t="str">
        <f t="shared" si="3"/>
        <v>effect,</v>
      </c>
      <c r="Y419" s="49"/>
      <c r="Z419" s="1" t="s">
        <v>6566</v>
      </c>
      <c r="AA419" s="1" t="s">
        <v>1562</v>
      </c>
      <c r="AB419" s="49" t="str">
        <f>IFERROR(__xludf.DUMMYFUNCTION("""COMPUTED_VALUE"""),"remarkably")</f>
        <v>remarkably</v>
      </c>
      <c r="AC419" s="49"/>
      <c r="AD419" s="49" t="str">
        <f>IFERROR(__xludf.DUMMYFUNCTION("""COMPUTED_VALUE"""),"fear")</f>
        <v>fear</v>
      </c>
      <c r="AE419" s="49" t="str">
        <f>IFERROR(__xludf.DUMMYFUNCTION("""COMPUTED_VALUE"""),"duke")</f>
        <v>duke</v>
      </c>
      <c r="AF419" s="49" t="str">
        <f t="shared" si="4"/>
        <v>she,</v>
      </c>
      <c r="AG419" s="49"/>
      <c r="AH419" s="1" t="s">
        <v>1505</v>
      </c>
      <c r="AI419" s="1" t="s">
        <v>1769</v>
      </c>
      <c r="AJ419" s="6" t="str">
        <f>IFERROR(__xludf.DUMMYFUNCTION("""COMPUTED_VALUE"""),"necessary")</f>
        <v>necessary</v>
      </c>
      <c r="AK419" s="49"/>
      <c r="AL419" s="49"/>
      <c r="AM419" s="49"/>
      <c r="AN419" s="52" t="str">
        <f t="shared" si="5"/>
        <v>levels,</v>
      </c>
    </row>
    <row r="420">
      <c r="A420" s="51"/>
      <c r="B420" s="50" t="s">
        <v>2725</v>
      </c>
      <c r="C420" s="50" t="s">
        <v>183</v>
      </c>
      <c r="D420" s="49" t="str">
        <f>IFERROR(__xludf.DUMMYFUNCTION("""COMPUTED_VALUE"""),"remarkable")</f>
        <v>remarkable</v>
      </c>
      <c r="E420" s="49"/>
      <c r="F420" s="49"/>
      <c r="G420" s="49"/>
      <c r="H420" s="54" t="str">
        <f t="shared" si="1"/>
        <v>whatever,</v>
      </c>
      <c r="I420" s="50"/>
      <c r="J420" s="50" t="s">
        <v>2615</v>
      </c>
      <c r="K420" s="50" t="s">
        <v>232</v>
      </c>
      <c r="L420" s="49" t="str">
        <f>IFERROR(__xludf.DUMMYFUNCTION("""COMPUTED_VALUE"""),"crude")</f>
        <v>crude</v>
      </c>
      <c r="M420" s="49"/>
      <c r="N420" s="49" t="str">
        <f>IFERROR(__xludf.DUMMYFUNCTION("""COMPUTED_VALUE"""),"change")</f>
        <v>change</v>
      </c>
      <c r="O420" s="49" t="str">
        <f>IFERROR(__xludf.DUMMYFUNCTION("""COMPUTED_VALUE"""),"repetitive")</f>
        <v>repetitive</v>
      </c>
      <c r="P420" s="49" t="str">
        <f t="shared" si="2"/>
        <v>potential,</v>
      </c>
      <c r="Q420" s="49"/>
      <c r="R420" s="50" t="s">
        <v>1041</v>
      </c>
      <c r="S420" s="55">
        <v>90.0</v>
      </c>
      <c r="T420" s="49" t="str">
        <f>IFERROR(__xludf.DUMMYFUNCTION("""COMPUTED_VALUE"""),"shifted")</f>
        <v>shifted</v>
      </c>
      <c r="U420" s="49"/>
      <c r="V420" s="49" t="str">
        <f>IFERROR(__xludf.DUMMYFUNCTION("""COMPUTED_VALUE"""),"refused")</f>
        <v>refused</v>
      </c>
      <c r="W420" s="49" t="str">
        <f>IFERROR(__xludf.DUMMYFUNCTION("""COMPUTED_VALUE"""),"kwan")</f>
        <v>kwan</v>
      </c>
      <c r="X420" s="49" t="str">
        <f t="shared" si="3"/>
        <v>current,</v>
      </c>
      <c r="Y420" s="49"/>
      <c r="Z420" s="1" t="s">
        <v>1632</v>
      </c>
      <c r="AA420" s="1" t="s">
        <v>1584</v>
      </c>
      <c r="AB420" s="49" t="str">
        <f>IFERROR(__xludf.DUMMYFUNCTION("""COMPUTED_VALUE"""),"engaging")</f>
        <v>engaging</v>
      </c>
      <c r="AC420" s="49"/>
      <c r="AD420" s="49" t="str">
        <f>IFERROR(__xludf.DUMMYFUNCTION("""COMPUTED_VALUE"""),"change")</f>
        <v>change</v>
      </c>
      <c r="AE420" s="49" t="str">
        <f>IFERROR(__xludf.DUMMYFUNCTION("""COMPUTED_VALUE"""),"repetitive")</f>
        <v>repetitive</v>
      </c>
      <c r="AF420" s="49" t="str">
        <f t="shared" si="4"/>
        <v>york,</v>
      </c>
      <c r="AG420" s="49"/>
      <c r="AH420" s="1" t="s">
        <v>5154</v>
      </c>
      <c r="AI420" s="1" t="s">
        <v>1469</v>
      </c>
      <c r="AJ420" s="6" t="str">
        <f>IFERROR(__xludf.DUMMYFUNCTION("""COMPUTED_VALUE"""),"fair")</f>
        <v>fair</v>
      </c>
      <c r="AK420" s="49"/>
      <c r="AL420" s="49"/>
      <c r="AM420" s="49"/>
      <c r="AN420" s="52" t="str">
        <f t="shared" si="5"/>
        <v>necessary,</v>
      </c>
    </row>
    <row r="421">
      <c r="A421" s="51"/>
      <c r="B421" s="50" t="s">
        <v>2991</v>
      </c>
      <c r="C421" s="50" t="s">
        <v>1750</v>
      </c>
      <c r="D421" s="49" t="str">
        <f>IFERROR(__xludf.DUMMYFUNCTION("""COMPUTED_VALUE"""),"better")</f>
        <v>better</v>
      </c>
      <c r="E421" s="49"/>
      <c r="F421" s="49"/>
      <c r="G421" s="49"/>
      <c r="H421" s="54" t="str">
        <f t="shared" si="1"/>
        <v>elements,</v>
      </c>
      <c r="I421" s="50"/>
      <c r="J421" s="50" t="s">
        <v>822</v>
      </c>
      <c r="K421" s="50" t="s">
        <v>2102</v>
      </c>
      <c r="L421" s="49" t="str">
        <f>IFERROR(__xludf.DUMMYFUNCTION("""COMPUTED_VALUE"""),"pure")</f>
        <v>pure</v>
      </c>
      <c r="M421" s="49"/>
      <c r="N421" s="49" t="str">
        <f>IFERROR(__xludf.DUMMYFUNCTION("""COMPUTED_VALUE"""),"dirty")</f>
        <v>dirty</v>
      </c>
      <c r="O421" s="49" t="str">
        <f>IFERROR(__xludf.DUMMYFUNCTION("""COMPUTED_VALUE"""),"adventures")</f>
        <v>adventures</v>
      </c>
      <c r="P421" s="49" t="str">
        <f t="shared" si="2"/>
        <v>genre,</v>
      </c>
      <c r="Q421" s="49"/>
      <c r="R421" s="50" t="s">
        <v>6626</v>
      </c>
      <c r="S421" s="55" t="s">
        <v>1121</v>
      </c>
      <c r="T421" s="49" t="str">
        <f>IFERROR(__xludf.DUMMYFUNCTION("""COMPUTED_VALUE"""),"bore")</f>
        <v>bore</v>
      </c>
      <c r="U421" s="49"/>
      <c r="V421" s="49" t="str">
        <f>IFERROR(__xludf.DUMMYFUNCTION("""COMPUTED_VALUE"""),"pleasantly")</f>
        <v>pleasantly</v>
      </c>
      <c r="W421" s="49" t="str">
        <f>IFERROR(__xludf.DUMMYFUNCTION("""COMPUTED_VALUE"""),"versatile")</f>
        <v>versatile</v>
      </c>
      <c r="X421" s="49" t="str">
        <f t="shared" si="3"/>
        <v>&amp;,</v>
      </c>
      <c r="Y421" s="49"/>
      <c r="Z421" s="1" t="s">
        <v>1988</v>
      </c>
      <c r="AA421" s="1" t="s">
        <v>2318</v>
      </c>
      <c r="AB421" s="49" t="str">
        <f>IFERROR(__xludf.DUMMYFUNCTION("""COMPUTED_VALUE"""),"suspense")</f>
        <v>suspense</v>
      </c>
      <c r="AC421" s="49"/>
      <c r="AD421" s="49" t="str">
        <f>IFERROR(__xludf.DUMMYFUNCTION("""COMPUTED_VALUE"""),"dirty")</f>
        <v>dirty</v>
      </c>
      <c r="AE421" s="49" t="str">
        <f>IFERROR(__xludf.DUMMYFUNCTION("""COMPUTED_VALUE"""),"adventures")</f>
        <v>adventures</v>
      </c>
      <c r="AF421" s="49" t="str">
        <f t="shared" si="4"/>
        <v>case,</v>
      </c>
      <c r="AG421" s="49"/>
      <c r="AH421" s="1" t="s">
        <v>6714</v>
      </c>
      <c r="AI421" s="1" t="s">
        <v>540</v>
      </c>
      <c r="AJ421" s="6" t="str">
        <f>IFERROR(__xludf.DUMMYFUNCTION("""COMPUTED_VALUE"""),"clearly")</f>
        <v>clearly</v>
      </c>
      <c r="AK421" s="49"/>
      <c r="AL421" s="49"/>
      <c r="AM421" s="49"/>
      <c r="AN421" s="52" t="str">
        <f t="shared" si="5"/>
        <v>fair,</v>
      </c>
    </row>
    <row r="422">
      <c r="A422" s="51"/>
      <c r="B422" s="50" t="s">
        <v>6997</v>
      </c>
      <c r="C422" s="50" t="s">
        <v>1730</v>
      </c>
      <c r="D422" s="49" t="str">
        <f>IFERROR(__xludf.DUMMYFUNCTION("""COMPUTED_VALUE"""),"date")</f>
        <v>date</v>
      </c>
      <c r="E422" s="49"/>
      <c r="F422" s="49"/>
      <c r="G422" s="49"/>
      <c r="H422" s="54" t="str">
        <f t="shared" si="1"/>
        <v>contact,</v>
      </c>
      <c r="I422" s="50"/>
      <c r="J422" s="50" t="s">
        <v>1043</v>
      </c>
      <c r="K422" s="50" t="s">
        <v>1275</v>
      </c>
      <c r="L422" s="49" t="str">
        <f>IFERROR(__xludf.DUMMYFUNCTION("""COMPUTED_VALUE"""),"edge")</f>
        <v>edge</v>
      </c>
      <c r="M422" s="49"/>
      <c r="N422" s="49" t="str">
        <f>IFERROR(__xludf.DUMMYFUNCTION("""COMPUTED_VALUE"""),"anticipation")</f>
        <v>anticipation</v>
      </c>
      <c r="O422" s="49" t="str">
        <f>IFERROR(__xludf.DUMMYFUNCTION("""COMPUTED_VALUE"""),"melancholy")</f>
        <v>melancholy</v>
      </c>
      <c r="P422" s="49" t="str">
        <f t="shared" si="2"/>
        <v>keep,</v>
      </c>
      <c r="Q422" s="49"/>
      <c r="R422" s="50" t="s">
        <v>6893</v>
      </c>
      <c r="S422" s="55" t="s">
        <v>556</v>
      </c>
      <c r="T422" s="49" t="str">
        <f>IFERROR(__xludf.DUMMYFUNCTION("""COMPUTED_VALUE"""),"touching")</f>
        <v>touching</v>
      </c>
      <c r="U422" s="49"/>
      <c r="V422" s="49" t="str">
        <f>IFERROR(__xludf.DUMMYFUNCTION("""COMPUTED_VALUE"""),"arc")</f>
        <v>arc</v>
      </c>
      <c r="W422" s="49" t="str">
        <f>IFERROR(__xludf.DUMMYFUNCTION("""COMPUTED_VALUE"""),"hong")</f>
        <v>hong</v>
      </c>
      <c r="X422" s="49" t="str">
        <f t="shared" si="3"/>
        <v>crossed,</v>
      </c>
      <c r="Y422" s="49"/>
      <c r="Z422" s="1" t="s">
        <v>4893</v>
      </c>
      <c r="AA422" s="1" t="s">
        <v>2322</v>
      </c>
      <c r="AB422" s="49" t="str">
        <f>IFERROR(__xludf.DUMMYFUNCTION("""COMPUTED_VALUE"""),"cheese")</f>
        <v>cheese</v>
      </c>
      <c r="AC422" s="49"/>
      <c r="AD422" s="49" t="str">
        <f>IFERROR(__xludf.DUMMYFUNCTION("""COMPUTED_VALUE"""),"anticipation")</f>
        <v>anticipation</v>
      </c>
      <c r="AE422" s="49" t="str">
        <f>IFERROR(__xludf.DUMMYFUNCTION("""COMPUTED_VALUE"""),"melancholy")</f>
        <v>melancholy</v>
      </c>
      <c r="AF422" s="49" t="str">
        <f t="shared" si="4"/>
        <v>science,</v>
      </c>
      <c r="AG422" s="49"/>
      <c r="AH422" s="1" t="s">
        <v>6389</v>
      </c>
      <c r="AI422" s="1" t="s">
        <v>365</v>
      </c>
      <c r="AJ422" s="6" t="str">
        <f>IFERROR(__xludf.DUMMYFUNCTION("""COMPUTED_VALUE"""),"she")</f>
        <v>she</v>
      </c>
      <c r="AK422" s="49"/>
      <c r="AL422" s="49"/>
      <c r="AM422" s="49"/>
      <c r="AN422" s="52" t="str">
        <f t="shared" si="5"/>
        <v>clearly,</v>
      </c>
    </row>
    <row r="423">
      <c r="A423" s="51"/>
      <c r="B423" s="50" t="s">
        <v>4725</v>
      </c>
      <c r="C423" s="50" t="s">
        <v>1736</v>
      </c>
      <c r="D423" s="49" t="str">
        <f>IFERROR(__xludf.DUMMYFUNCTION("""COMPUTED_VALUE"""),"short")</f>
        <v>short</v>
      </c>
      <c r="E423" s="49"/>
      <c r="F423" s="49"/>
      <c r="G423" s="49"/>
      <c r="H423" s="54" t="str">
        <f t="shared" si="1"/>
        <v>thousand,</v>
      </c>
      <c r="I423" s="50"/>
      <c r="J423" s="50" t="s">
        <v>2572</v>
      </c>
      <c r="K423" s="50" t="s">
        <v>2325</v>
      </c>
      <c r="L423" s="49" t="str">
        <f>IFERROR(__xludf.DUMMYFUNCTION("""COMPUTED_VALUE"""),"ten")</f>
        <v>ten</v>
      </c>
      <c r="M423" s="49"/>
      <c r="N423" s="49" t="str">
        <f>IFERROR(__xludf.DUMMYFUNCTION("""COMPUTED_VALUE"""),"view")</f>
        <v>view</v>
      </c>
      <c r="O423" s="49" t="str">
        <f>IFERROR(__xludf.DUMMYFUNCTION("""COMPUTED_VALUE"""),"fallen")</f>
        <v>fallen</v>
      </c>
      <c r="P423" s="49" t="str">
        <f t="shared" si="2"/>
        <v>cheap,</v>
      </c>
      <c r="Q423" s="49"/>
      <c r="R423" s="50" t="s">
        <v>3443</v>
      </c>
      <c r="S423" s="55" t="s">
        <v>1806</v>
      </c>
      <c r="T423" s="49" t="str">
        <f>IFERROR(__xludf.DUMMYFUNCTION("""COMPUTED_VALUE"""),"being")</f>
        <v>being</v>
      </c>
      <c r="U423" s="49"/>
      <c r="V423" s="49" t="str">
        <f>IFERROR(__xludf.DUMMYFUNCTION("""COMPUTED_VALUE"""),"records")</f>
        <v>records</v>
      </c>
      <c r="W423" s="49" t="str">
        <f>IFERROR(__xludf.DUMMYFUNCTION("""COMPUTED_VALUE"""),"barker")</f>
        <v>barker</v>
      </c>
      <c r="X423" s="49" t="str">
        <f t="shared" si="3"/>
        <v>productions,</v>
      </c>
      <c r="Y423" s="49"/>
      <c r="Z423" s="1" t="s">
        <v>4685</v>
      </c>
      <c r="AA423" s="1" t="s">
        <v>1567</v>
      </c>
      <c r="AB423" s="49" t="str">
        <f>IFERROR(__xludf.DUMMYFUNCTION("""COMPUTED_VALUE"""),"directs")</f>
        <v>directs</v>
      </c>
      <c r="AC423" s="49"/>
      <c r="AD423" s="49" t="str">
        <f>IFERROR(__xludf.DUMMYFUNCTION("""COMPUTED_VALUE"""),"view")</f>
        <v>view</v>
      </c>
      <c r="AE423" s="49" t="str">
        <f>IFERROR(__xludf.DUMMYFUNCTION("""COMPUTED_VALUE"""),"fallen")</f>
        <v>fallen</v>
      </c>
      <c r="AF423" s="49" t="str">
        <f t="shared" si="4"/>
        <v>latest,</v>
      </c>
      <c r="AG423" s="49"/>
      <c r="AH423" s="1" t="s">
        <v>6566</v>
      </c>
      <c r="AI423" s="1" t="s">
        <v>2227</v>
      </c>
      <c r="AJ423" s="6" t="str">
        <f>IFERROR(__xludf.DUMMYFUNCTION("""COMPUTED_VALUE"""),"game")</f>
        <v>game</v>
      </c>
      <c r="AK423" s="49"/>
      <c r="AL423" s="49"/>
      <c r="AM423" s="49"/>
      <c r="AN423" s="52" t="str">
        <f t="shared" si="5"/>
        <v>she,</v>
      </c>
    </row>
    <row r="424">
      <c r="A424" s="51"/>
      <c r="B424" s="50" t="s">
        <v>3200</v>
      </c>
      <c r="C424" s="50" t="s">
        <v>1992</v>
      </c>
      <c r="D424" s="49" t="str">
        <f>IFERROR(__xludf.DUMMYFUNCTION("""COMPUTED_VALUE"""),"pleasant")</f>
        <v>pleasant</v>
      </c>
      <c r="E424" s="49"/>
      <c r="F424" s="49"/>
      <c r="G424" s="49"/>
      <c r="H424" s="54" t="str">
        <f t="shared" si="1"/>
        <v>mix,</v>
      </c>
      <c r="I424" s="50"/>
      <c r="J424" s="50" t="s">
        <v>683</v>
      </c>
      <c r="K424" s="50" t="s">
        <v>473</v>
      </c>
      <c r="L424" s="49" t="str">
        <f>IFERROR(__xludf.DUMMYFUNCTION("""COMPUTED_VALUE"""),"sweet")</f>
        <v>sweet</v>
      </c>
      <c r="M424" s="49"/>
      <c r="N424" s="49" t="str">
        <f>IFERROR(__xludf.DUMMYFUNCTION("""COMPUTED_VALUE"""),"lonely")</f>
        <v>lonely</v>
      </c>
      <c r="O424" s="49" t="str">
        <f>IFERROR(__xludf.DUMMYFUNCTION("""COMPUTED_VALUE"""),"brutally")</f>
        <v>brutally</v>
      </c>
      <c r="P424" s="49" t="str">
        <f t="shared" si="2"/>
        <v>think,</v>
      </c>
      <c r="Q424" s="49"/>
      <c r="R424" s="50" t="s">
        <v>1659</v>
      </c>
      <c r="S424" s="55" t="s">
        <v>1818</v>
      </c>
      <c r="T424" s="49" t="str">
        <f>IFERROR(__xludf.DUMMYFUNCTION("""COMPUTED_VALUE"""),"important")</f>
        <v>important</v>
      </c>
      <c r="U424" s="49"/>
      <c r="V424" s="49" t="str">
        <f>IFERROR(__xludf.DUMMYFUNCTION("""COMPUTED_VALUE"""),"lived")</f>
        <v>lived</v>
      </c>
      <c r="W424" s="49" t="str">
        <f>IFERROR(__xludf.DUMMYFUNCTION("""COMPUTED_VALUE"""),"clive")</f>
        <v>clive</v>
      </c>
      <c r="X424" s="49" t="str">
        <f t="shared" si="3"/>
        <v>king,</v>
      </c>
      <c r="Y424" s="49"/>
      <c r="Z424" s="1" t="s">
        <v>923</v>
      </c>
      <c r="AA424" s="1" t="s">
        <v>2326</v>
      </c>
      <c r="AB424" s="49" t="str">
        <f>IFERROR(__xludf.DUMMYFUNCTION("""COMPUTED_VALUE"""),"modern")</f>
        <v>modern</v>
      </c>
      <c r="AC424" s="49"/>
      <c r="AD424" s="49" t="str">
        <f>IFERROR(__xludf.DUMMYFUNCTION("""COMPUTED_VALUE"""),"lonely")</f>
        <v>lonely</v>
      </c>
      <c r="AE424" s="49" t="str">
        <f>IFERROR(__xludf.DUMMYFUNCTION("""COMPUTED_VALUE"""),"brutally")</f>
        <v>brutally</v>
      </c>
      <c r="AF424" s="49" t="str">
        <f t="shared" si="4"/>
        <v>looking,</v>
      </c>
      <c r="AG424" s="49"/>
      <c r="AH424" s="1" t="s">
        <v>976</v>
      </c>
      <c r="AI424" s="1" t="s">
        <v>4239</v>
      </c>
      <c r="AJ424" s="6" t="str">
        <f>IFERROR(__xludf.DUMMYFUNCTION("""COMPUTED_VALUE"""),"together")</f>
        <v>together</v>
      </c>
      <c r="AK424" s="49"/>
      <c r="AL424" s="49"/>
      <c r="AM424" s="49"/>
      <c r="AN424" s="52" t="str">
        <f t="shared" si="5"/>
        <v>game,</v>
      </c>
    </row>
    <row r="425">
      <c r="A425" s="51"/>
      <c r="B425" s="50" t="s">
        <v>2490</v>
      </c>
      <c r="C425" s="50" t="s">
        <v>950</v>
      </c>
      <c r="D425" s="49" t="str">
        <f>IFERROR(__xludf.DUMMYFUNCTION("""COMPUTED_VALUE"""),"involved")</f>
        <v>involved</v>
      </c>
      <c r="E425" s="49"/>
      <c r="F425" s="49"/>
      <c r="G425" s="49"/>
      <c r="H425" s="54" t="str">
        <f t="shared" si="1"/>
        <v>ultimately,</v>
      </c>
      <c r="I425" s="50"/>
      <c r="J425" s="50" t="s">
        <v>342</v>
      </c>
      <c r="K425" s="50" t="s">
        <v>1246</v>
      </c>
      <c r="L425" s="49" t="str">
        <f>IFERROR(__xludf.DUMMYFUNCTION("""COMPUTED_VALUE"""),"small")</f>
        <v>small</v>
      </c>
      <c r="M425" s="49"/>
      <c r="N425" s="49" t="str">
        <f>IFERROR(__xludf.DUMMYFUNCTION("""COMPUTED_VALUE"""),"suffered")</f>
        <v>suffered</v>
      </c>
      <c r="O425" s="49" t="str">
        <f>IFERROR(__xludf.DUMMYFUNCTION("""COMPUTED_VALUE"""),"historic")</f>
        <v>historic</v>
      </c>
      <c r="P425" s="49" t="str">
        <f t="shared" si="2"/>
        <v>found,</v>
      </c>
      <c r="Q425" s="49"/>
      <c r="R425" s="50" t="s">
        <v>796</v>
      </c>
      <c r="S425" s="55" t="s">
        <v>1045</v>
      </c>
      <c r="T425" s="49" t="str">
        <f>IFERROR(__xludf.DUMMYFUNCTION("""COMPUTED_VALUE"""),"decades")</f>
        <v>decades</v>
      </c>
      <c r="U425" s="49"/>
      <c r="V425" s="49" t="str">
        <f>IFERROR(__xludf.DUMMYFUNCTION("""COMPUTED_VALUE"""),"wishing")</f>
        <v>wishing</v>
      </c>
      <c r="W425" s="49" t="str">
        <f>IFERROR(__xludf.DUMMYFUNCTION("""COMPUTED_VALUE"""),"propelled")</f>
        <v>propelled</v>
      </c>
      <c r="X425" s="49" t="str">
        <f t="shared" si="3"/>
        <v>qualities,</v>
      </c>
      <c r="Y425" s="49"/>
      <c r="Z425" s="1" t="s">
        <v>2140</v>
      </c>
      <c r="AA425" s="1" t="s">
        <v>2328</v>
      </c>
      <c r="AB425" s="49" t="str">
        <f>IFERROR(__xludf.DUMMYFUNCTION("""COMPUTED_VALUE"""),"thick")</f>
        <v>thick</v>
      </c>
      <c r="AC425" s="49"/>
      <c r="AD425" s="49" t="str">
        <f>IFERROR(__xludf.DUMMYFUNCTION("""COMPUTED_VALUE"""),"suffered")</f>
        <v>suffered</v>
      </c>
      <c r="AE425" s="49" t="str">
        <f>IFERROR(__xludf.DUMMYFUNCTION("""COMPUTED_VALUE"""),"historic")</f>
        <v>historic</v>
      </c>
      <c r="AF425" s="49" t="str">
        <f t="shared" si="4"/>
        <v>someone,</v>
      </c>
      <c r="AG425" s="49"/>
      <c r="AH425" s="1" t="s">
        <v>485</v>
      </c>
      <c r="AI425" s="1" t="s">
        <v>890</v>
      </c>
      <c r="AJ425" s="6" t="str">
        <f>IFERROR(__xludf.DUMMYFUNCTION("""COMPUTED_VALUE"""),"woman")</f>
        <v>woman</v>
      </c>
      <c r="AK425" s="49"/>
      <c r="AL425" s="49"/>
      <c r="AM425" s="49"/>
      <c r="AN425" s="52" t="str">
        <f t="shared" si="5"/>
        <v>together,</v>
      </c>
    </row>
    <row r="426">
      <c r="A426" s="51"/>
      <c r="B426" s="50" t="s">
        <v>5726</v>
      </c>
      <c r="C426" s="50" t="s">
        <v>530</v>
      </c>
      <c r="D426" s="49" t="str">
        <f>IFERROR(__xludf.DUMMYFUNCTION("""COMPUTED_VALUE"""),"shows")</f>
        <v>shows</v>
      </c>
      <c r="E426" s="49"/>
      <c r="F426" s="49"/>
      <c r="G426" s="49"/>
      <c r="H426" s="54" t="str">
        <f t="shared" si="1"/>
        <v>rescue,</v>
      </c>
      <c r="I426" s="50"/>
      <c r="J426" s="50" t="s">
        <v>3402</v>
      </c>
      <c r="K426" s="50" t="s">
        <v>1287</v>
      </c>
      <c r="L426" s="49" t="str">
        <f>IFERROR(__xludf.DUMMYFUNCTION("""COMPUTED_VALUE"""),"dim")</f>
        <v>dim</v>
      </c>
      <c r="M426" s="49"/>
      <c r="N426" s="49" t="str">
        <f>IFERROR(__xludf.DUMMYFUNCTION("""COMPUTED_VALUE"""),"breakdown")</f>
        <v>breakdown</v>
      </c>
      <c r="O426" s="49" t="str">
        <f>IFERROR(__xludf.DUMMYFUNCTION("""COMPUTED_VALUE"""),"baroque")</f>
        <v>baroque</v>
      </c>
      <c r="P426" s="49" t="str">
        <f t="shared" si="2"/>
        <v>knock,</v>
      </c>
      <c r="Q426" s="49"/>
      <c r="R426" s="50" t="s">
        <v>2175</v>
      </c>
      <c r="S426" s="55" t="s">
        <v>6329</v>
      </c>
      <c r="T426" s="49" t="str">
        <f>IFERROR(__xludf.DUMMYFUNCTION("""COMPUTED_VALUE"""),"twelve")</f>
        <v>twelve</v>
      </c>
      <c r="U426" s="49"/>
      <c r="V426" s="49" t="str">
        <f>IFERROR(__xludf.DUMMYFUNCTION("""COMPUTED_VALUE"""),"doses")</f>
        <v>doses</v>
      </c>
      <c r="W426" s="49" t="str">
        <f>IFERROR(__xludf.DUMMYFUNCTION("""COMPUTED_VALUE"""),"presents")</f>
        <v>presents</v>
      </c>
      <c r="X426" s="49" t="str">
        <f t="shared" si="3"/>
        <v>dark,</v>
      </c>
      <c r="Y426" s="49"/>
      <c r="Z426" s="1" t="s">
        <v>213</v>
      </c>
      <c r="AA426" s="1" t="s">
        <v>2331</v>
      </c>
      <c r="AB426" s="49" t="str">
        <f>IFERROR(__xludf.DUMMYFUNCTION("""COMPUTED_VALUE"""),"strength")</f>
        <v>strength</v>
      </c>
      <c r="AC426" s="49"/>
      <c r="AD426" s="49" t="str">
        <f>IFERROR(__xludf.DUMMYFUNCTION("""COMPUTED_VALUE"""),"breakdown")</f>
        <v>breakdown</v>
      </c>
      <c r="AE426" s="49" t="str">
        <f>IFERROR(__xludf.DUMMYFUNCTION("""COMPUTED_VALUE"""),"baroque")</f>
        <v>baroque</v>
      </c>
      <c r="AF426" s="49" t="str">
        <f t="shared" si="4"/>
        <v>went,</v>
      </c>
      <c r="AG426" s="49"/>
      <c r="AH426" s="1" t="s">
        <v>1987</v>
      </c>
      <c r="AI426" s="1" t="s">
        <v>3326</v>
      </c>
      <c r="AJ426" s="6" t="str">
        <f>IFERROR(__xludf.DUMMYFUNCTION("""COMPUTED_VALUE"""),"la")</f>
        <v>la</v>
      </c>
      <c r="AK426" s="49"/>
      <c r="AL426" s="49"/>
      <c r="AM426" s="49"/>
      <c r="AN426" s="52" t="str">
        <f t="shared" si="5"/>
        <v>woman,</v>
      </c>
    </row>
    <row r="427">
      <c r="A427" s="51"/>
      <c r="B427" s="50" t="s">
        <v>5407</v>
      </c>
      <c r="C427" s="50" t="s">
        <v>1257</v>
      </c>
      <c r="D427" s="49" t="str">
        <f>IFERROR(__xludf.DUMMYFUNCTION("""COMPUTED_VALUE"""),"acting")</f>
        <v>acting</v>
      </c>
      <c r="E427" s="49"/>
      <c r="F427" s="49"/>
      <c r="G427" s="49"/>
      <c r="H427" s="54" t="str">
        <f t="shared" si="1"/>
        <v>considering,</v>
      </c>
      <c r="I427" s="50"/>
      <c r="J427" s="50" t="s">
        <v>6431</v>
      </c>
      <c r="K427" s="50" t="s">
        <v>1294</v>
      </c>
      <c r="L427" s="49" t="str">
        <f>IFERROR(__xludf.DUMMYFUNCTION("""COMPUTED_VALUE"""),"noir")</f>
        <v>noir</v>
      </c>
      <c r="M427" s="49"/>
      <c r="N427" s="49" t="str">
        <f>IFERROR(__xludf.DUMMYFUNCTION("""COMPUTED_VALUE"""),"piano")</f>
        <v>piano</v>
      </c>
      <c r="O427" s="49" t="str">
        <f>IFERROR(__xludf.DUMMYFUNCTION("""COMPUTED_VALUE"""),"breadth")</f>
        <v>breadth</v>
      </c>
      <c r="P427" s="49" t="str">
        <f t="shared" si="2"/>
        <v>sort,</v>
      </c>
      <c r="Q427" s="49"/>
      <c r="R427" s="50" t="s">
        <v>4278</v>
      </c>
      <c r="S427" s="55" t="s">
        <v>219</v>
      </c>
      <c r="T427" s="49" t="str">
        <f>IFERROR(__xludf.DUMMYFUNCTION("""COMPUTED_VALUE"""),"liner")</f>
        <v>liner</v>
      </c>
      <c r="U427" s="49"/>
      <c r="V427" s="49" t="str">
        <f>IFERROR(__xludf.DUMMYFUNCTION("""COMPUTED_VALUE"""),"maintained")</f>
        <v>maintained</v>
      </c>
      <c r="W427" s="49" t="str">
        <f>IFERROR(__xludf.DUMMYFUNCTION("""COMPUTED_VALUE"""),"spielberg")</f>
        <v>spielberg</v>
      </c>
      <c r="X427" s="49" t="str">
        <f t="shared" si="3"/>
        <v>suit,</v>
      </c>
      <c r="Y427" s="49"/>
      <c r="Z427" s="1" t="s">
        <v>6374</v>
      </c>
      <c r="AA427" s="1" t="s">
        <v>382</v>
      </c>
      <c r="AB427" s="49" t="str">
        <f>IFERROR(__xludf.DUMMYFUNCTION("""COMPUTED_VALUE"""),"emerge")</f>
        <v>emerge</v>
      </c>
      <c r="AC427" s="49"/>
      <c r="AD427" s="49" t="str">
        <f>IFERROR(__xludf.DUMMYFUNCTION("""COMPUTED_VALUE"""),"piano")</f>
        <v>piano</v>
      </c>
      <c r="AE427" s="49" t="str">
        <f>IFERROR(__xludf.DUMMYFUNCTION("""COMPUTED_VALUE"""),"breadth")</f>
        <v>breadth</v>
      </c>
      <c r="AF427" s="49" t="str">
        <f t="shared" si="4"/>
        <v>always,</v>
      </c>
      <c r="AG427" s="49"/>
      <c r="AH427" s="1" t="s">
        <v>6528</v>
      </c>
      <c r="AI427" s="1" t="s">
        <v>1489</v>
      </c>
      <c r="AJ427" s="6" t="str">
        <f>IFERROR(__xludf.DUMMYFUNCTION("""COMPUTED_VALUE"""),"living")</f>
        <v>living</v>
      </c>
      <c r="AK427" s="49"/>
      <c r="AL427" s="49"/>
      <c r="AM427" s="49"/>
      <c r="AN427" s="52" t="str">
        <f t="shared" si="5"/>
        <v>la,</v>
      </c>
    </row>
    <row r="428">
      <c r="A428" s="51"/>
      <c r="B428" s="50" t="s">
        <v>5141</v>
      </c>
      <c r="C428" s="50" t="s">
        <v>962</v>
      </c>
      <c r="D428" s="49" t="str">
        <f>IFERROR(__xludf.DUMMYFUNCTION("""COMPUTED_VALUE"""),"save")</f>
        <v>save</v>
      </c>
      <c r="E428" s="49"/>
      <c r="F428" s="49"/>
      <c r="G428" s="49"/>
      <c r="H428" s="54" t="str">
        <f t="shared" si="1"/>
        <v>apollo,</v>
      </c>
      <c r="I428" s="50"/>
      <c r="J428" s="50" t="s">
        <v>275</v>
      </c>
      <c r="K428" s="50" t="s">
        <v>1253</v>
      </c>
      <c r="L428" s="49" t="str">
        <f>IFERROR(__xludf.DUMMYFUNCTION("""COMPUTED_VALUE"""),"particular")</f>
        <v>particular</v>
      </c>
      <c r="M428" s="49"/>
      <c r="N428" s="49" t="str">
        <f>IFERROR(__xludf.DUMMYFUNCTION("""COMPUTED_VALUE"""),"`")</f>
        <v>`</v>
      </c>
      <c r="O428" s="49" t="str">
        <f>IFERROR(__xludf.DUMMYFUNCTION("""COMPUTED_VALUE"""),"hardship")</f>
        <v>hardship</v>
      </c>
      <c r="P428" s="49" t="str">
        <f t="shared" si="2"/>
        <v>talents,</v>
      </c>
      <c r="Q428" s="49"/>
      <c r="R428" s="50" t="s">
        <v>4420</v>
      </c>
      <c r="S428" s="55" t="s">
        <v>2054</v>
      </c>
      <c r="T428" s="49" t="str">
        <f>IFERROR(__xludf.DUMMYFUNCTION("""COMPUTED_VALUE"""),"r")</f>
        <v>r</v>
      </c>
      <c r="U428" s="49"/>
      <c r="V428" s="49" t="str">
        <f>IFERROR(__xludf.DUMMYFUNCTION("""COMPUTED_VALUE"""),"notch")</f>
        <v>notch</v>
      </c>
      <c r="W428" s="49" t="str">
        <f>IFERROR(__xludf.DUMMYFUNCTION("""COMPUTED_VALUE"""),"score")</f>
        <v>score</v>
      </c>
      <c r="X428" s="49" t="str">
        <f t="shared" si="3"/>
        <v>pitch,</v>
      </c>
      <c r="Y428" s="49"/>
      <c r="Z428" s="1" t="s">
        <v>2438</v>
      </c>
      <c r="AA428" s="1" t="s">
        <v>2336</v>
      </c>
      <c r="AB428" s="49" t="str">
        <f>IFERROR(__xludf.DUMMYFUNCTION("""COMPUTED_VALUE"""),"songs")</f>
        <v>songs</v>
      </c>
      <c r="AC428" s="49"/>
      <c r="AD428" s="49" t="str">
        <f>IFERROR(__xludf.DUMMYFUNCTION("""COMPUTED_VALUE"""),"`")</f>
        <v>`</v>
      </c>
      <c r="AE428" s="49" t="str">
        <f>IFERROR(__xludf.DUMMYFUNCTION("""COMPUTED_VALUE"""),"hardship")</f>
        <v>hardship</v>
      </c>
      <c r="AF428" s="49" t="str">
        <f t="shared" si="4"/>
        <v>live,</v>
      </c>
      <c r="AG428" s="49"/>
      <c r="AH428" s="1" t="s">
        <v>1957</v>
      </c>
      <c r="AI428" s="1" t="s">
        <v>1492</v>
      </c>
      <c r="AJ428" s="6" t="str">
        <f>IFERROR(__xludf.DUMMYFUNCTION("""COMPUTED_VALUE"""),"either")</f>
        <v>either</v>
      </c>
      <c r="AK428" s="49"/>
      <c r="AL428" s="49"/>
      <c r="AM428" s="49"/>
      <c r="AN428" s="52" t="str">
        <f t="shared" si="5"/>
        <v>living,</v>
      </c>
    </row>
    <row r="429">
      <c r="A429" s="51"/>
      <c r="B429" s="50" t="s">
        <v>1027</v>
      </c>
      <c r="C429" s="50" t="s">
        <v>918</v>
      </c>
      <c r="D429" s="49" t="str">
        <f>IFERROR(__xludf.DUMMYFUNCTION("""COMPUTED_VALUE"""),"license")</f>
        <v>license</v>
      </c>
      <c r="E429" s="49"/>
      <c r="F429" s="49"/>
      <c r="G429" s="49"/>
      <c r="H429" s="54" t="str">
        <f t="shared" si="1"/>
        <v>states,</v>
      </c>
      <c r="I429" s="50"/>
      <c r="J429" s="50" t="s">
        <v>1476</v>
      </c>
      <c r="K429" s="50" t="s">
        <v>2343</v>
      </c>
      <c r="L429" s="49" t="str">
        <f>IFERROR(__xludf.DUMMYFUNCTION("""COMPUTED_VALUE"""),"instead")</f>
        <v>instead</v>
      </c>
      <c r="M429" s="49"/>
      <c r="N429" s="49" t="str">
        <f>IFERROR(__xludf.DUMMYFUNCTION("""COMPUTED_VALUE"""),"folks")</f>
        <v>folks</v>
      </c>
      <c r="O429" s="49" t="str">
        <f>IFERROR(__xludf.DUMMYFUNCTION("""COMPUTED_VALUE"""),"remarkably")</f>
        <v>remarkably</v>
      </c>
      <c r="P429" s="49" t="str">
        <f t="shared" si="2"/>
        <v>becomes,</v>
      </c>
      <c r="Q429" s="49"/>
      <c r="R429" s="50" t="s">
        <v>1887</v>
      </c>
      <c r="S429" s="55" t="s">
        <v>751</v>
      </c>
      <c r="T429" s="49" t="str">
        <f>IFERROR(__xludf.DUMMYFUNCTION("""COMPUTED_VALUE"""),"named")</f>
        <v>named</v>
      </c>
      <c r="U429" s="49"/>
      <c r="V429" s="49" t="str">
        <f>IFERROR(__xludf.DUMMYFUNCTION("""COMPUTED_VALUE"""),"lunch")</f>
        <v>lunch</v>
      </c>
      <c r="W429" s="49" t="str">
        <f>IFERROR(__xludf.DUMMYFUNCTION("""COMPUTED_VALUE"""),"capable")</f>
        <v>capable</v>
      </c>
      <c r="X429" s="49" t="str">
        <f t="shared" si="3"/>
        <v>wish,</v>
      </c>
      <c r="Y429" s="49"/>
      <c r="Z429" s="1" t="s">
        <v>3336</v>
      </c>
      <c r="AA429" s="1" t="s">
        <v>587</v>
      </c>
      <c r="AB429" s="49" t="str">
        <f>IFERROR(__xludf.DUMMYFUNCTION("""COMPUTED_VALUE"""),"directorial")</f>
        <v>directorial</v>
      </c>
      <c r="AC429" s="49"/>
      <c r="AD429" s="49" t="str">
        <f>IFERROR(__xludf.DUMMYFUNCTION("""COMPUTED_VALUE"""),"folks")</f>
        <v>folks</v>
      </c>
      <c r="AE429" s="49" t="str">
        <f>IFERROR(__xludf.DUMMYFUNCTION("""COMPUTED_VALUE"""),"remarkably")</f>
        <v>remarkably</v>
      </c>
      <c r="AF429" s="49" t="str">
        <f t="shared" si="4"/>
        <v>escape,</v>
      </c>
      <c r="AG429" s="49"/>
      <c r="AH429" s="1" t="s">
        <v>1972</v>
      </c>
      <c r="AI429" s="1" t="s">
        <v>1791</v>
      </c>
      <c r="AJ429" s="6" t="str">
        <f>IFERROR(__xludf.DUMMYFUNCTION("""COMPUTED_VALUE"""),"stone")</f>
        <v>stone</v>
      </c>
      <c r="AK429" s="49"/>
      <c r="AL429" s="49"/>
      <c r="AM429" s="49"/>
      <c r="AN429" s="52" t="str">
        <f t="shared" si="5"/>
        <v>either,</v>
      </c>
    </row>
    <row r="430">
      <c r="A430" s="51"/>
      <c r="B430" s="50" t="s">
        <v>582</v>
      </c>
      <c r="C430" s="50" t="s">
        <v>6330</v>
      </c>
      <c r="D430" s="49" t="str">
        <f>IFERROR(__xludf.DUMMYFUNCTION("""COMPUTED_VALUE"""),"music")</f>
        <v>music</v>
      </c>
      <c r="E430" s="49"/>
      <c r="F430" s="49"/>
      <c r="G430" s="49"/>
      <c r="H430" s="54" t="str">
        <f t="shared" si="1"/>
        <v>end,</v>
      </c>
      <c r="I430" s="50"/>
      <c r="J430" s="50" t="s">
        <v>2095</v>
      </c>
      <c r="K430" s="50" t="s">
        <v>2347</v>
      </c>
      <c r="L430" s="49" t="str">
        <f>IFERROR(__xludf.DUMMYFUNCTION("""COMPUTED_VALUE"""),"willis")</f>
        <v>willis</v>
      </c>
      <c r="M430" s="49"/>
      <c r="N430" s="49" t="str">
        <f>IFERROR(__xludf.DUMMYFUNCTION("""COMPUTED_VALUE"""),"rising")</f>
        <v>rising</v>
      </c>
      <c r="O430" s="49" t="str">
        <f>IFERROR(__xludf.DUMMYFUNCTION("""COMPUTED_VALUE"""),"insistent")</f>
        <v>insistent</v>
      </c>
      <c r="P430" s="49" t="str">
        <f t="shared" si="2"/>
        <v>hardly,</v>
      </c>
      <c r="Q430" s="49"/>
      <c r="R430" s="50" t="s">
        <v>6320</v>
      </c>
      <c r="S430" s="55" t="s">
        <v>306</v>
      </c>
      <c r="T430" s="49" t="str">
        <f>IFERROR(__xludf.DUMMYFUNCTION("""COMPUTED_VALUE"""),"taylor")</f>
        <v>taylor</v>
      </c>
      <c r="U430" s="49"/>
      <c r="V430" s="49" t="str">
        <f>IFERROR(__xludf.DUMMYFUNCTION("""COMPUTED_VALUE"""),"ab")</f>
        <v>ab</v>
      </c>
      <c r="W430" s="49" t="str">
        <f>IFERROR(__xludf.DUMMYFUNCTION("""COMPUTED_VALUE"""),"revelations")</f>
        <v>revelations</v>
      </c>
      <c r="X430" s="49" t="str">
        <f t="shared" si="3"/>
        <v>ridiculous,</v>
      </c>
      <c r="Y430" s="49"/>
      <c r="Z430" s="1" t="s">
        <v>1715</v>
      </c>
      <c r="AA430" s="1" t="s">
        <v>1580</v>
      </c>
      <c r="AB430" s="49" t="str">
        <f>IFERROR(__xludf.DUMMYFUNCTION("""COMPUTED_VALUE"""),"oscar")</f>
        <v>oscar</v>
      </c>
      <c r="AC430" s="49"/>
      <c r="AD430" s="49" t="str">
        <f>IFERROR(__xludf.DUMMYFUNCTION("""COMPUTED_VALUE"""),"rising")</f>
        <v>rising</v>
      </c>
      <c r="AE430" s="49" t="str">
        <f>IFERROR(__xludf.DUMMYFUNCTION("""COMPUTED_VALUE"""),"insistent")</f>
        <v>insistent</v>
      </c>
      <c r="AF430" s="49" t="str">
        <f t="shared" si="4"/>
        <v>will,</v>
      </c>
      <c r="AG430" s="49"/>
      <c r="AH430" s="1" t="s">
        <v>3705</v>
      </c>
      <c r="AI430" s="1" t="s">
        <v>1438</v>
      </c>
      <c r="AJ430" s="6" t="str">
        <f>IFERROR(__xludf.DUMMYFUNCTION("""COMPUTED_VALUE"""),"question")</f>
        <v>question</v>
      </c>
      <c r="AK430" s="49"/>
      <c r="AL430" s="49"/>
      <c r="AM430" s="49"/>
      <c r="AN430" s="52" t="str">
        <f t="shared" si="5"/>
        <v>stone,</v>
      </c>
    </row>
    <row r="431">
      <c r="A431" s="51"/>
      <c r="B431" s="50" t="s">
        <v>816</v>
      </c>
      <c r="C431" s="50">
        <v>84.0</v>
      </c>
      <c r="D431" s="49" t="str">
        <f>IFERROR(__xludf.DUMMYFUNCTION("""COMPUTED_VALUE"""),"want")</f>
        <v>want</v>
      </c>
      <c r="E431" s="49"/>
      <c r="F431" s="49"/>
      <c r="G431" s="49"/>
      <c r="H431" s="54" t="str">
        <f t="shared" si="1"/>
        <v>say,</v>
      </c>
      <c r="I431" s="50"/>
      <c r="J431" s="50" t="s">
        <v>152</v>
      </c>
      <c r="K431" s="50" t="s">
        <v>240</v>
      </c>
      <c r="L431" s="49" t="str">
        <f>IFERROR(__xludf.DUMMYFUNCTION("""COMPUTED_VALUE"""),"air")</f>
        <v>air</v>
      </c>
      <c r="M431" s="49"/>
      <c r="N431" s="49" t="str">
        <f>IFERROR(__xludf.DUMMYFUNCTION("""COMPUTED_VALUE"""),"bother")</f>
        <v>bother</v>
      </c>
      <c r="O431" s="49" t="str">
        <f>IFERROR(__xludf.DUMMYFUNCTION("""COMPUTED_VALUE"""),"nausea")</f>
        <v>nausea</v>
      </c>
      <c r="P431" s="49" t="str">
        <f t="shared" si="2"/>
        <v>could,</v>
      </c>
      <c r="Q431" s="49"/>
      <c r="R431" s="50" t="s">
        <v>2864</v>
      </c>
      <c r="S431" s="55" t="s">
        <v>344</v>
      </c>
      <c r="T431" s="49" t="str">
        <f>IFERROR(__xludf.DUMMYFUNCTION("""COMPUTED_VALUE"""),"fast")</f>
        <v>fast</v>
      </c>
      <c r="U431" s="49"/>
      <c r="V431" s="49" t="str">
        <f>IFERROR(__xludf.DUMMYFUNCTION("""COMPUTED_VALUE"""),"flaw")</f>
        <v>flaw</v>
      </c>
      <c r="W431" s="49" t="str">
        <f>IFERROR(__xludf.DUMMYFUNCTION("""COMPUTED_VALUE"""),"planet")</f>
        <v>planet</v>
      </c>
      <c r="X431" s="49" t="str">
        <f t="shared" si="3"/>
        <v>brothers,</v>
      </c>
      <c r="Y431" s="49"/>
      <c r="Z431" s="1" t="s">
        <v>6372</v>
      </c>
      <c r="AA431" s="1" t="s">
        <v>604</v>
      </c>
      <c r="AB431" s="49" t="str">
        <f>IFERROR(__xludf.DUMMYFUNCTION("""COMPUTED_VALUE"""),"guilty")</f>
        <v>guilty</v>
      </c>
      <c r="AC431" s="49"/>
      <c r="AD431" s="49" t="str">
        <f>IFERROR(__xludf.DUMMYFUNCTION("""COMPUTED_VALUE"""),"bother")</f>
        <v>bother</v>
      </c>
      <c r="AE431" s="49" t="str">
        <f>IFERROR(__xludf.DUMMYFUNCTION("""COMPUTED_VALUE"""),"nausea")</f>
        <v>nausea</v>
      </c>
      <c r="AF431" s="49" t="str">
        <f t="shared" si="4"/>
        <v>looks,</v>
      </c>
      <c r="AG431" s="49"/>
      <c r="AH431" s="1" t="s">
        <v>2382</v>
      </c>
      <c r="AI431" s="1" t="s">
        <v>646</v>
      </c>
      <c r="AJ431" s="6" t="str">
        <f>IFERROR(__xludf.DUMMYFUNCTION("""COMPUTED_VALUE"""),"image")</f>
        <v>image</v>
      </c>
      <c r="AK431" s="49"/>
      <c r="AL431" s="49"/>
      <c r="AM431" s="49"/>
      <c r="AN431" s="52" t="str">
        <f t="shared" si="5"/>
        <v>question,</v>
      </c>
    </row>
    <row r="432">
      <c r="A432" s="51"/>
      <c r="B432" s="50" t="s">
        <v>1720</v>
      </c>
      <c r="C432" s="50" t="s">
        <v>1754</v>
      </c>
      <c r="D432" s="49" t="str">
        <f>IFERROR(__xludf.DUMMYFUNCTION("""COMPUTED_VALUE"""),"least")</f>
        <v>least</v>
      </c>
      <c r="E432" s="49"/>
      <c r="F432" s="49"/>
      <c r="G432" s="49"/>
      <c r="H432" s="54" t="str">
        <f t="shared" si="1"/>
        <v>law,</v>
      </c>
      <c r="I432" s="50"/>
      <c r="J432" s="50" t="s">
        <v>4040</v>
      </c>
      <c r="K432" s="50" t="s">
        <v>354</v>
      </c>
      <c r="L432" s="49" t="str">
        <f>IFERROR(__xludf.DUMMYFUNCTION("""COMPUTED_VALUE"""),"element")</f>
        <v>element</v>
      </c>
      <c r="M432" s="49"/>
      <c r="N432" s="49" t="str">
        <f>IFERROR(__xludf.DUMMYFUNCTION("""COMPUTED_VALUE"""),"six")</f>
        <v>six</v>
      </c>
      <c r="O432" s="49" t="str">
        <f>IFERROR(__xludf.DUMMYFUNCTION("""COMPUTED_VALUE"""),"psychological")</f>
        <v>psychological</v>
      </c>
      <c r="P432" s="49" t="str">
        <f t="shared" si="2"/>
        <v>gives,</v>
      </c>
      <c r="Q432" s="49"/>
      <c r="R432" s="50" t="s">
        <v>490</v>
      </c>
      <c r="S432" s="55" t="s">
        <v>599</v>
      </c>
      <c r="T432" s="49" t="str">
        <f>IFERROR(__xludf.DUMMYFUNCTION("""COMPUTED_VALUE"""),"giant")</f>
        <v>giant</v>
      </c>
      <c r="U432" s="49"/>
      <c r="V432" s="49" t="str">
        <f>IFERROR(__xludf.DUMMYFUNCTION("""COMPUTED_VALUE"""),"technology")</f>
        <v>technology</v>
      </c>
      <c r="W432" s="49" t="str">
        <f>IFERROR(__xludf.DUMMYFUNCTION("""COMPUTED_VALUE"""),"mug")</f>
        <v>mug</v>
      </c>
      <c r="X432" s="49" t="str">
        <f t="shared" si="3"/>
        <v>comedic,</v>
      </c>
      <c r="Y432" s="49"/>
      <c r="Z432" s="1" t="s">
        <v>5963</v>
      </c>
      <c r="AA432" s="1" t="s">
        <v>595</v>
      </c>
      <c r="AB432" s="49" t="str">
        <f>IFERROR(__xludf.DUMMYFUNCTION("""COMPUTED_VALUE"""),"crimes")</f>
        <v>crimes</v>
      </c>
      <c r="AC432" s="49"/>
      <c r="AD432" s="49" t="str">
        <f>IFERROR(__xludf.DUMMYFUNCTION("""COMPUTED_VALUE"""),"six")</f>
        <v>six</v>
      </c>
      <c r="AE432" s="49" t="str">
        <f>IFERROR(__xludf.DUMMYFUNCTION("""COMPUTED_VALUE"""),"psychological")</f>
        <v>psychological</v>
      </c>
      <c r="AF432" s="49" t="str">
        <f t="shared" si="4"/>
        <v>fiction,</v>
      </c>
      <c r="AG432" s="49"/>
      <c r="AH432" s="1" t="s">
        <v>5405</v>
      </c>
      <c r="AI432" s="1" t="s">
        <v>825</v>
      </c>
      <c r="AJ432" s="6" t="str">
        <f>IFERROR(__xludf.DUMMYFUNCTION("""COMPUTED_VALUE"""),"dream")</f>
        <v>dream</v>
      </c>
      <c r="AK432" s="49"/>
      <c r="AL432" s="49"/>
      <c r="AM432" s="49"/>
      <c r="AN432" s="52" t="str">
        <f t="shared" si="5"/>
        <v>image,</v>
      </c>
    </row>
    <row r="433">
      <c r="A433" s="51"/>
      <c r="B433" s="50" t="s">
        <v>1997</v>
      </c>
      <c r="C433" s="50" t="s">
        <v>2023</v>
      </c>
      <c r="D433" s="49">
        <f>IFERROR(__xludf.DUMMYFUNCTION("""COMPUTED_VALUE"""),90.0)</f>
        <v>90</v>
      </c>
      <c r="E433" s="49"/>
      <c r="F433" s="49"/>
      <c r="G433" s="49"/>
      <c r="H433" s="54" t="str">
        <f t="shared" si="1"/>
        <v>seen,</v>
      </c>
      <c r="I433" s="50"/>
      <c r="J433" s="50" t="s">
        <v>559</v>
      </c>
      <c r="K433" s="50" t="s">
        <v>1272</v>
      </c>
      <c r="L433" s="49" t="str">
        <f>IFERROR(__xludf.DUMMYFUNCTION("""COMPUTED_VALUE"""),"motion")</f>
        <v>motion</v>
      </c>
      <c r="M433" s="49"/>
      <c r="N433" s="49" t="str">
        <f>IFERROR(__xludf.DUMMYFUNCTION("""COMPUTED_VALUE"""),"japanese")</f>
        <v>japanese</v>
      </c>
      <c r="O433" s="49" t="str">
        <f>IFERROR(__xludf.DUMMYFUNCTION("""COMPUTED_VALUE"""),"coherent")</f>
        <v>coherent</v>
      </c>
      <c r="P433" s="49" t="str">
        <f t="shared" si="2"/>
        <v>worse,</v>
      </c>
      <c r="Q433" s="49"/>
      <c r="R433" s="50" t="s">
        <v>6246</v>
      </c>
      <c r="S433" s="55" t="s">
        <v>869</v>
      </c>
      <c r="T433" s="49" t="str">
        <f>IFERROR(__xludf.DUMMYFUNCTION("""COMPUTED_VALUE"""),"neither")</f>
        <v>neither</v>
      </c>
      <c r="U433" s="49"/>
      <c r="V433" s="49" t="str">
        <f>IFERROR(__xludf.DUMMYFUNCTION("""COMPUTED_VALUE"""),"conceal")</f>
        <v>conceal</v>
      </c>
      <c r="W433" s="49" t="str">
        <f>IFERROR(__xludf.DUMMYFUNCTION("""COMPUTED_VALUE"""),"tick")</f>
        <v>tick</v>
      </c>
      <c r="X433" s="49" t="str">
        <f t="shared" si="3"/>
        <v>mis,</v>
      </c>
      <c r="Y433" s="49"/>
      <c r="Z433" s="1" t="s">
        <v>4806</v>
      </c>
      <c r="AA433" s="1" t="s">
        <v>1601</v>
      </c>
      <c r="AB433" s="49" t="str">
        <f>IFERROR(__xludf.DUMMYFUNCTION("""COMPUTED_VALUE"""),"intensity")</f>
        <v>intensity</v>
      </c>
      <c r="AC433" s="49"/>
      <c r="AD433" s="49" t="str">
        <f>IFERROR(__xludf.DUMMYFUNCTION("""COMPUTED_VALUE"""),"japanese")</f>
        <v>japanese</v>
      </c>
      <c r="AE433" s="49" t="str">
        <f>IFERROR(__xludf.DUMMYFUNCTION("""COMPUTED_VALUE"""),"coherent")</f>
        <v>coherent</v>
      </c>
      <c r="AF433" s="49" t="str">
        <f t="shared" si="4"/>
        <v>strikes,</v>
      </c>
      <c r="AG433" s="49"/>
      <c r="AH433" s="1" t="s">
        <v>2901</v>
      </c>
      <c r="AI433" s="1" t="s">
        <v>1816</v>
      </c>
      <c r="AJ433" s="6" t="str">
        <f>IFERROR(__xludf.DUMMYFUNCTION("""COMPUTED_VALUE"""),"reality")</f>
        <v>reality</v>
      </c>
      <c r="AK433" s="49"/>
      <c r="AL433" s="49"/>
      <c r="AM433" s="49"/>
      <c r="AN433" s="52" t="str">
        <f t="shared" si="5"/>
        <v>dream,</v>
      </c>
    </row>
    <row r="434">
      <c r="A434" s="51"/>
      <c r="B434" s="50" t="s">
        <v>2442</v>
      </c>
      <c r="C434" s="50" t="s">
        <v>822</v>
      </c>
      <c r="D434" s="49" t="str">
        <f>IFERROR(__xludf.DUMMYFUNCTION("""COMPUTED_VALUE"""),"videos")</f>
        <v>videos</v>
      </c>
      <c r="E434" s="49"/>
      <c r="F434" s="49"/>
      <c r="G434" s="49"/>
      <c r="H434" s="54" t="str">
        <f t="shared" si="1"/>
        <v>heard,</v>
      </c>
      <c r="I434" s="50"/>
      <c r="J434" s="50" t="s">
        <v>5290</v>
      </c>
      <c r="K434" s="50" t="s">
        <v>1279</v>
      </c>
      <c r="L434" s="49" t="str">
        <f>IFERROR(__xludf.DUMMYFUNCTION("""COMPUTED_VALUE"""),"bruce")</f>
        <v>bruce</v>
      </c>
      <c r="M434" s="49"/>
      <c r="N434" s="49" t="str">
        <f>IFERROR(__xludf.DUMMYFUNCTION("""COMPUTED_VALUE"""),"thirty")</f>
        <v>thirty</v>
      </c>
      <c r="O434" s="49" t="str">
        <f>IFERROR(__xludf.DUMMYFUNCTION("""COMPUTED_VALUE"""),"victories")</f>
        <v>victories</v>
      </c>
      <c r="P434" s="49" t="str">
        <f t="shared" si="2"/>
        <v>cage,</v>
      </c>
      <c r="Q434" s="49"/>
      <c r="R434" s="50" t="s">
        <v>3104</v>
      </c>
      <c r="S434" s="55" t="s">
        <v>1060</v>
      </c>
      <c r="T434" s="49" t="str">
        <f>IFERROR(__xludf.DUMMYFUNCTION("""COMPUTED_VALUE"""),"toward")</f>
        <v>toward</v>
      </c>
      <c r="U434" s="49"/>
      <c r="V434" s="49" t="str">
        <f>IFERROR(__xludf.DUMMYFUNCTION("""COMPUTED_VALUE"""),"barbed")</f>
        <v>barbed</v>
      </c>
      <c r="W434" s="49" t="str">
        <f>IFERROR(__xludf.DUMMYFUNCTION("""COMPUTED_VALUE"""),"marina")</f>
        <v>marina</v>
      </c>
      <c r="X434" s="49" t="str">
        <f t="shared" si="3"/>
        <v>notion,</v>
      </c>
      <c r="Y434" s="49"/>
      <c r="Z434" s="1" t="s">
        <v>2386</v>
      </c>
      <c r="AA434" s="1" t="s">
        <v>1598</v>
      </c>
      <c r="AB434" s="49" t="str">
        <f>IFERROR(__xludf.DUMMYFUNCTION("""COMPUTED_VALUE"""),"effective")</f>
        <v>effective</v>
      </c>
      <c r="AC434" s="49"/>
      <c r="AD434" s="49" t="str">
        <f>IFERROR(__xludf.DUMMYFUNCTION("""COMPUTED_VALUE"""),"thirty")</f>
        <v>thirty</v>
      </c>
      <c r="AE434" s="49" t="str">
        <f>IFERROR(__xludf.DUMMYFUNCTION("""COMPUTED_VALUE"""),"victories")</f>
        <v>victories</v>
      </c>
      <c r="AF434" s="49" t="str">
        <f t="shared" si="4"/>
        <v>green,</v>
      </c>
      <c r="AG434" s="49"/>
      <c r="AH434" s="1" t="s">
        <v>1944</v>
      </c>
      <c r="AI434" s="1" t="s">
        <v>1823</v>
      </c>
      <c r="AJ434" s="6" t="str">
        <f>IFERROR(__xludf.DUMMYFUNCTION("""COMPUTED_VALUE"""),"anne")</f>
        <v>anne</v>
      </c>
      <c r="AK434" s="49"/>
      <c r="AL434" s="49"/>
      <c r="AM434" s="49"/>
      <c r="AN434" s="52" t="str">
        <f t="shared" si="5"/>
        <v>reality,</v>
      </c>
    </row>
    <row r="435">
      <c r="A435" s="51"/>
      <c r="B435" s="50" t="s">
        <v>2309</v>
      </c>
      <c r="C435" s="50" t="s">
        <v>1020</v>
      </c>
      <c r="D435" s="49" t="str">
        <f>IFERROR(__xludf.DUMMYFUNCTION("""COMPUTED_VALUE"""),"color")</f>
        <v>color</v>
      </c>
      <c r="E435" s="49"/>
      <c r="F435" s="49"/>
      <c r="G435" s="49"/>
      <c r="H435" s="54" t="str">
        <f t="shared" si="1"/>
        <v>maybe,</v>
      </c>
      <c r="I435" s="50"/>
      <c r="J435" s="50" t="s">
        <v>5203</v>
      </c>
      <c r="K435" s="50" t="s">
        <v>2358</v>
      </c>
      <c r="L435" s="49" t="str">
        <f>IFERROR(__xludf.DUMMYFUNCTION("""COMPUTED_VALUE"""),"keeps")</f>
        <v>keeps</v>
      </c>
      <c r="M435" s="49"/>
      <c r="N435" s="49" t="str">
        <f>IFERROR(__xludf.DUMMYFUNCTION("""COMPUTED_VALUE"""),"flight")</f>
        <v>flight</v>
      </c>
      <c r="O435" s="49" t="str">
        <f>IFERROR(__xludf.DUMMYFUNCTION("""COMPUTED_VALUE"""),"bizarre")</f>
        <v>bizarre</v>
      </c>
      <c r="P435" s="49" t="str">
        <f t="shared" si="2"/>
        <v>glow,</v>
      </c>
      <c r="Q435" s="49"/>
      <c r="R435" s="50" t="s">
        <v>297</v>
      </c>
      <c r="S435" s="55" t="s">
        <v>2073</v>
      </c>
      <c r="T435" s="49" t="str">
        <f>IFERROR(__xludf.DUMMYFUNCTION("""COMPUTED_VALUE"""),"sad")</f>
        <v>sad</v>
      </c>
      <c r="U435" s="49"/>
      <c r="V435" s="49" t="str">
        <f>IFERROR(__xludf.DUMMYFUNCTION("""COMPUTED_VALUE"""),"hawaiian")</f>
        <v>hawaiian</v>
      </c>
      <c r="W435" s="49" t="str">
        <f>IFERROR(__xludf.DUMMYFUNCTION("""COMPUTED_VALUE"""),"holly")</f>
        <v>holly</v>
      </c>
      <c r="X435" s="49" t="str">
        <f t="shared" si="3"/>
        <v>doing,</v>
      </c>
      <c r="Y435" s="49"/>
      <c r="Z435" s="1" t="s">
        <v>3669</v>
      </c>
      <c r="AA435" s="1" t="s">
        <v>389</v>
      </c>
      <c r="AB435" s="49" t="str">
        <f>IFERROR(__xludf.DUMMYFUNCTION("""COMPUTED_VALUE"""),"emotions")</f>
        <v>emotions</v>
      </c>
      <c r="AC435" s="49"/>
      <c r="AD435" s="49" t="str">
        <f>IFERROR(__xludf.DUMMYFUNCTION("""COMPUTED_VALUE"""),"flight")</f>
        <v>flight</v>
      </c>
      <c r="AE435" s="49" t="str">
        <f>IFERROR(__xludf.DUMMYFUNCTION("""COMPUTED_VALUE"""),"bizarre")</f>
        <v>bizarre</v>
      </c>
      <c r="AF435" s="49" t="str">
        <f t="shared" si="4"/>
        <v>wonder,</v>
      </c>
      <c r="AG435" s="49"/>
      <c r="AH435" s="1" t="s">
        <v>5103</v>
      </c>
      <c r="AI435" s="1" t="s">
        <v>3006</v>
      </c>
      <c r="AJ435" s="6" t="str">
        <f>IFERROR(__xludf.DUMMYFUNCTION("""COMPUTED_VALUE"""),"biggest")</f>
        <v>biggest</v>
      </c>
      <c r="AK435" s="49"/>
      <c r="AL435" s="49"/>
      <c r="AM435" s="49"/>
      <c r="AN435" s="52" t="str">
        <f t="shared" si="5"/>
        <v>anne,</v>
      </c>
    </row>
    <row r="436">
      <c r="A436" s="51"/>
      <c r="B436" s="50" t="s">
        <v>6308</v>
      </c>
      <c r="C436" s="50" t="s">
        <v>1770</v>
      </c>
      <c r="D436" s="49" t="str">
        <f>IFERROR(__xludf.DUMMYFUNCTION("""COMPUTED_VALUE"""),"depth")</f>
        <v>depth</v>
      </c>
      <c r="E436" s="49"/>
      <c r="F436" s="49"/>
      <c r="G436" s="49"/>
      <c r="H436" s="54" t="str">
        <f t="shared" si="1"/>
        <v>shows,</v>
      </c>
      <c r="I436" s="50"/>
      <c r="J436" s="50" t="s">
        <v>5197</v>
      </c>
      <c r="K436" s="50" t="s">
        <v>2362</v>
      </c>
      <c r="L436" s="49" t="str">
        <f>IFERROR(__xludf.DUMMYFUNCTION("""COMPUTED_VALUE"""),"accurately")</f>
        <v>accurately</v>
      </c>
      <c r="M436" s="49"/>
      <c r="N436" s="49" t="str">
        <f>IFERROR(__xludf.DUMMYFUNCTION("""COMPUTED_VALUE"""),"suffer")</f>
        <v>suffer</v>
      </c>
      <c r="O436" s="49" t="str">
        <f>IFERROR(__xludf.DUMMYFUNCTION("""COMPUTED_VALUE"""),"dynamics")</f>
        <v>dynamics</v>
      </c>
      <c r="P436" s="49" t="str">
        <f t="shared" si="2"/>
        <v>singing,</v>
      </c>
      <c r="Q436" s="49"/>
      <c r="R436" s="50" t="s">
        <v>983</v>
      </c>
      <c r="S436" s="55" t="s">
        <v>2069</v>
      </c>
      <c r="T436" s="49" t="str">
        <f>IFERROR(__xludf.DUMMYFUNCTION("""COMPUTED_VALUE"""),"cost")</f>
        <v>cost</v>
      </c>
      <c r="U436" s="49"/>
      <c r="V436" s="49" t="str">
        <f>IFERROR(__xludf.DUMMYFUNCTION("""COMPUTED_VALUE"""),"sons")</f>
        <v>sons</v>
      </c>
      <c r="W436" s="49" t="str">
        <f>IFERROR(__xludf.DUMMYFUNCTION("""COMPUTED_VALUE"""),"evolution")</f>
        <v>evolution</v>
      </c>
      <c r="X436" s="49" t="str">
        <f t="shared" si="3"/>
        <v>near,</v>
      </c>
      <c r="Y436" s="49"/>
      <c r="Z436" s="1" t="s">
        <v>4606</v>
      </c>
      <c r="AA436" s="1" t="s">
        <v>1613</v>
      </c>
      <c r="AB436" s="49" t="str">
        <f>IFERROR(__xludf.DUMMYFUNCTION("""COMPUTED_VALUE"""),"frequently")</f>
        <v>frequently</v>
      </c>
      <c r="AC436" s="49"/>
      <c r="AD436" s="49" t="str">
        <f>IFERROR(__xludf.DUMMYFUNCTION("""COMPUTED_VALUE"""),"suffer")</f>
        <v>suffer</v>
      </c>
      <c r="AE436" s="49" t="str">
        <f>IFERROR(__xludf.DUMMYFUNCTION("""COMPUTED_VALUE"""),"dynamics")</f>
        <v>dynamics</v>
      </c>
      <c r="AF436" s="49" t="str">
        <f t="shared" si="4"/>
        <v>crush,</v>
      </c>
      <c r="AG436" s="49"/>
      <c r="AH436" s="1" t="s">
        <v>4108</v>
      </c>
      <c r="AI436" s="1" t="s">
        <v>6317</v>
      </c>
      <c r="AJ436" s="6" t="str">
        <f>IFERROR(__xludf.DUMMYFUNCTION("""COMPUTED_VALUE"""),"dreams")</f>
        <v>dreams</v>
      </c>
      <c r="AK436" s="49"/>
      <c r="AL436" s="49"/>
      <c r="AM436" s="49"/>
      <c r="AN436" s="52" t="str">
        <f t="shared" si="5"/>
        <v>biggest,</v>
      </c>
    </row>
    <row r="437">
      <c r="A437" s="51"/>
      <c r="B437" s="50" t="s">
        <v>3630</v>
      </c>
      <c r="C437" s="50" t="s">
        <v>6331</v>
      </c>
      <c r="D437" s="49">
        <f>IFERROR(__xludf.DUMMYFUNCTION("""COMPUTED_VALUE"""),100.0)</f>
        <v>100</v>
      </c>
      <c r="E437" s="49"/>
      <c r="F437" s="49"/>
      <c r="G437" s="49"/>
      <c r="H437" s="54" t="str">
        <f t="shared" si="1"/>
        <v>mine,</v>
      </c>
      <c r="I437" s="50"/>
      <c r="J437" s="50" t="s">
        <v>1046</v>
      </c>
      <c r="K437" s="50" t="s">
        <v>2364</v>
      </c>
      <c r="L437" s="49" t="str">
        <f>IFERROR(__xludf.DUMMYFUNCTION("""COMPUTED_VALUE"""),"tidal")</f>
        <v>tidal</v>
      </c>
      <c r="M437" s="49"/>
      <c r="N437" s="49" t="str">
        <f>IFERROR(__xludf.DUMMYFUNCTION("""COMPUTED_VALUE"""),"dial")</f>
        <v>dial</v>
      </c>
      <c r="O437" s="49" t="str">
        <f>IFERROR(__xludf.DUMMYFUNCTION("""COMPUTED_VALUE"""),"class")</f>
        <v>class</v>
      </c>
      <c r="P437" s="49" t="str">
        <f t="shared" si="2"/>
        <v>group,</v>
      </c>
      <c r="Q437" s="49"/>
      <c r="R437" s="50" t="s">
        <v>4114</v>
      </c>
      <c r="S437" s="55" t="s">
        <v>192</v>
      </c>
      <c r="T437" s="49" t="str">
        <f>IFERROR(__xludf.DUMMYFUNCTION("""COMPUTED_VALUE"""),"dramatic")</f>
        <v>dramatic</v>
      </c>
      <c r="U437" s="49"/>
      <c r="V437" s="49" t="str">
        <f>IFERROR(__xludf.DUMMYFUNCTION("""COMPUTED_VALUE"""),"rushed")</f>
        <v>rushed</v>
      </c>
      <c r="W437" s="49" t="str">
        <f>IFERROR(__xludf.DUMMYFUNCTION("""COMPUTED_VALUE"""),"greater")</f>
        <v>greater</v>
      </c>
      <c r="X437" s="49" t="str">
        <f t="shared" si="3"/>
        <v>event,</v>
      </c>
      <c r="Y437" s="49"/>
      <c r="Z437" s="1" t="s">
        <v>1204</v>
      </c>
      <c r="AA437" s="1" t="s">
        <v>300</v>
      </c>
      <c r="AB437" s="49" t="str">
        <f>IFERROR(__xludf.DUMMYFUNCTION("""COMPUTED_VALUE"""),"situation")</f>
        <v>situation</v>
      </c>
      <c r="AC437" s="49"/>
      <c r="AD437" s="49" t="str">
        <f>IFERROR(__xludf.DUMMYFUNCTION("""COMPUTED_VALUE"""),"dial")</f>
        <v>dial</v>
      </c>
      <c r="AE437" s="49" t="str">
        <f>IFERROR(__xludf.DUMMYFUNCTION("""COMPUTED_VALUE"""),"class")</f>
        <v>class</v>
      </c>
      <c r="AF437" s="49" t="str">
        <f t="shared" si="4"/>
        <v>predictable,</v>
      </c>
      <c r="AG437" s="49"/>
      <c r="AH437" s="1" t="s">
        <v>3460</v>
      </c>
      <c r="AI437" s="1" t="s">
        <v>4122</v>
      </c>
      <c r="AJ437" s="6" t="str">
        <f>IFERROR(__xludf.DUMMYFUNCTION("""COMPUTED_VALUE"""),"l")</f>
        <v>l</v>
      </c>
      <c r="AK437" s="49"/>
      <c r="AL437" s="49"/>
      <c r="AM437" s="49"/>
      <c r="AN437" s="52" t="str">
        <f t="shared" si="5"/>
        <v>dreams,</v>
      </c>
    </row>
    <row r="438">
      <c r="A438" s="51"/>
      <c r="B438" s="50" t="s">
        <v>6691</v>
      </c>
      <c r="C438" s="50" t="s">
        <v>1775</v>
      </c>
      <c r="D438" s="49" t="str">
        <f>IFERROR(__xludf.DUMMYFUNCTION("""COMPUTED_VALUE"""),"able")</f>
        <v>able</v>
      </c>
      <c r="E438" s="49"/>
      <c r="F438" s="49"/>
      <c r="G438" s="49"/>
      <c r="H438" s="54" t="str">
        <f t="shared" si="1"/>
        <v>regular,</v>
      </c>
      <c r="I438" s="50"/>
      <c r="J438" s="50" t="s">
        <v>1038</v>
      </c>
      <c r="K438" s="50" t="s">
        <v>247</v>
      </c>
      <c r="L438" s="49" t="str">
        <f>IFERROR(__xludf.DUMMYFUNCTION("""COMPUTED_VALUE"""),"basic")</f>
        <v>basic</v>
      </c>
      <c r="M438" s="49"/>
      <c r="N438" s="49" t="str">
        <f>IFERROR(__xludf.DUMMYFUNCTION("""COMPUTED_VALUE"""),"ground")</f>
        <v>ground</v>
      </c>
      <c r="O438" s="49" t="str">
        <f>IFERROR(__xludf.DUMMYFUNCTION("""COMPUTED_VALUE"""),"nonetheless")</f>
        <v>nonetheless</v>
      </c>
      <c r="P438" s="49" t="str">
        <f t="shared" si="2"/>
        <v>full,</v>
      </c>
      <c r="Q438" s="49"/>
      <c r="R438" s="50" t="s">
        <v>286</v>
      </c>
      <c r="S438" s="55" t="s">
        <v>6332</v>
      </c>
      <c r="T438" s="49" t="str">
        <f>IFERROR(__xludf.DUMMYFUNCTION("""COMPUTED_VALUE"""),"talk")</f>
        <v>talk</v>
      </c>
      <c r="U438" s="49"/>
      <c r="V438" s="49" t="str">
        <f>IFERROR(__xludf.DUMMYFUNCTION("""COMPUTED_VALUE"""),"ruthless")</f>
        <v>ruthless</v>
      </c>
      <c r="W438" s="49" t="str">
        <f>IFERROR(__xludf.DUMMYFUNCTION("""COMPUTED_VALUE"""),"scrutiny")</f>
        <v>scrutiny</v>
      </c>
      <c r="X438" s="49" t="str">
        <f t="shared" si="3"/>
        <v>insights,</v>
      </c>
      <c r="Y438" s="49"/>
      <c r="Z438" s="1" t="s">
        <v>98</v>
      </c>
      <c r="AA438" s="1" t="s">
        <v>1825</v>
      </c>
      <c r="AB438" s="49" t="str">
        <f>IFERROR(__xludf.DUMMYFUNCTION("""COMPUTED_VALUE"""),"speak")</f>
        <v>speak</v>
      </c>
      <c r="AC438" s="49"/>
      <c r="AD438" s="49" t="str">
        <f>IFERROR(__xludf.DUMMYFUNCTION("""COMPUTED_VALUE"""),"ground")</f>
        <v>ground</v>
      </c>
      <c r="AE438" s="49" t="str">
        <f>IFERROR(__xludf.DUMMYFUNCTION("""COMPUTED_VALUE"""),"nonetheless")</f>
        <v>nonetheless</v>
      </c>
      <c r="AF438" s="49" t="str">
        <f t="shared" si="4"/>
        <v>beautiful,</v>
      </c>
      <c r="AG438" s="49"/>
      <c r="AH438" s="1" t="s">
        <v>6458</v>
      </c>
      <c r="AI438" s="1" t="s">
        <v>2055</v>
      </c>
      <c r="AJ438" s="6" t="str">
        <f>IFERROR(__xludf.DUMMYFUNCTION("""COMPUTED_VALUE"""),"will")</f>
        <v>will</v>
      </c>
      <c r="AK438" s="49"/>
      <c r="AL438" s="49"/>
      <c r="AM438" s="49"/>
      <c r="AN438" s="52" t="str">
        <f t="shared" si="5"/>
        <v>l,</v>
      </c>
    </row>
    <row r="439">
      <c r="A439" s="51"/>
      <c r="B439" s="50" t="s">
        <v>2062</v>
      </c>
      <c r="C439" s="50" t="s">
        <v>1779</v>
      </c>
      <c r="D439" s="49" t="str">
        <f>IFERROR(__xludf.DUMMYFUNCTION("""COMPUTED_VALUE"""),"hit")</f>
        <v>hit</v>
      </c>
      <c r="E439" s="49"/>
      <c r="F439" s="49"/>
      <c r="G439" s="49"/>
      <c r="H439" s="54" t="str">
        <f t="shared" si="1"/>
        <v>worth,</v>
      </c>
      <c r="I439" s="50"/>
      <c r="J439" s="50" t="s">
        <v>2081</v>
      </c>
      <c r="K439" s="50" t="s">
        <v>2131</v>
      </c>
      <c r="L439" s="49" t="str">
        <f>IFERROR(__xludf.DUMMYFUNCTION("""COMPUTED_VALUE"""),"comic")</f>
        <v>comic</v>
      </c>
      <c r="M439" s="49"/>
      <c r="N439" s="49" t="str">
        <f>IFERROR(__xludf.DUMMYFUNCTION("""COMPUTED_VALUE"""),"persona")</f>
        <v>persona</v>
      </c>
      <c r="O439" s="49" t="str">
        <f>IFERROR(__xludf.DUMMYFUNCTION("""COMPUTED_VALUE"""),"playful")</f>
        <v>playful</v>
      </c>
      <c r="P439" s="49" t="str">
        <f t="shared" si="2"/>
        <v>lewis,</v>
      </c>
      <c r="Q439" s="49"/>
      <c r="R439" s="50">
        <v>1993.0</v>
      </c>
      <c r="S439" s="55" t="s">
        <v>285</v>
      </c>
      <c r="T439" s="49" t="str">
        <f>IFERROR(__xludf.DUMMYFUNCTION("""COMPUTED_VALUE"""),"trick")</f>
        <v>trick</v>
      </c>
      <c r="U439" s="49"/>
      <c r="V439" s="49" t="str">
        <f>IFERROR(__xludf.DUMMYFUNCTION("""COMPUTED_VALUE"""),"amateur")</f>
        <v>amateur</v>
      </c>
      <c r="W439" s="49" t="str">
        <f>IFERROR(__xludf.DUMMYFUNCTION("""COMPUTED_VALUE"""),"perhaps")</f>
        <v>perhaps</v>
      </c>
      <c r="X439" s="49" t="str">
        <f t="shared" si="3"/>
        <v>1993,</v>
      </c>
      <c r="Y439" s="49"/>
      <c r="Z439" s="1" t="s">
        <v>173</v>
      </c>
      <c r="AA439" s="1" t="s">
        <v>308</v>
      </c>
      <c r="AB439" s="49" t="str">
        <f>IFERROR(__xludf.DUMMYFUNCTION("""COMPUTED_VALUE"""),"vivid")</f>
        <v>vivid</v>
      </c>
      <c r="AC439" s="49"/>
      <c r="AD439" s="49" t="str">
        <f>IFERROR(__xludf.DUMMYFUNCTION("""COMPUTED_VALUE"""),"persona")</f>
        <v>persona</v>
      </c>
      <c r="AE439" s="49" t="str">
        <f>IFERROR(__xludf.DUMMYFUNCTION("""COMPUTED_VALUE"""),"playful")</f>
        <v>playful</v>
      </c>
      <c r="AF439" s="49" t="str">
        <f t="shared" si="4"/>
        <v>adaptation,</v>
      </c>
      <c r="AG439" s="49"/>
      <c r="AH439" s="1" t="s">
        <v>1715</v>
      </c>
      <c r="AI439" s="1" t="s">
        <v>2059</v>
      </c>
      <c r="AJ439" s="6" t="str">
        <f>IFERROR(__xludf.DUMMYFUNCTION("""COMPUTED_VALUE"""),"went")</f>
        <v>went</v>
      </c>
      <c r="AK439" s="49"/>
      <c r="AL439" s="49"/>
      <c r="AM439" s="49"/>
      <c r="AN439" s="52" t="str">
        <f t="shared" si="5"/>
        <v>will,</v>
      </c>
    </row>
    <row r="440">
      <c r="A440" s="51"/>
      <c r="B440" s="50" t="s">
        <v>928</v>
      </c>
      <c r="C440" s="50" t="s">
        <v>1786</v>
      </c>
      <c r="D440" s="49" t="str">
        <f>IFERROR(__xludf.DUMMYFUNCTION("""COMPUTED_VALUE"""),"day")</f>
        <v>day</v>
      </c>
      <c r="E440" s="49"/>
      <c r="F440" s="49"/>
      <c r="G440" s="49"/>
      <c r="H440" s="54" t="str">
        <f t="shared" si="1"/>
        <v>crowd,</v>
      </c>
      <c r="I440" s="50"/>
      <c r="J440" s="50" t="s">
        <v>1519</v>
      </c>
      <c r="K440" s="50" t="s">
        <v>1290</v>
      </c>
      <c r="L440" s="49" t="str">
        <f>IFERROR(__xludf.DUMMYFUNCTION("""COMPUTED_VALUE"""),"soul")</f>
        <v>soul</v>
      </c>
      <c r="M440" s="49"/>
      <c r="N440" s="49" t="str">
        <f>IFERROR(__xludf.DUMMYFUNCTION("""COMPUTED_VALUE"""),"mission")</f>
        <v>mission</v>
      </c>
      <c r="O440" s="49" t="str">
        <f>IFERROR(__xludf.DUMMYFUNCTION("""COMPUTED_VALUE"""),"finds")</f>
        <v>finds</v>
      </c>
      <c r="P440" s="49" t="str">
        <f t="shared" si="2"/>
        <v>chicken,</v>
      </c>
      <c r="Q440" s="49"/>
      <c r="R440" s="50" t="s">
        <v>853</v>
      </c>
      <c r="S440" s="55" t="s">
        <v>997</v>
      </c>
      <c r="T440" s="49" t="str">
        <f>IFERROR(__xludf.DUMMYFUNCTION("""COMPUTED_VALUE"""),"themselves")</f>
        <v>themselves</v>
      </c>
      <c r="U440" s="49"/>
      <c r="V440" s="49" t="str">
        <f>IFERROR(__xludf.DUMMYFUNCTION("""COMPUTED_VALUE"""),"nation")</f>
        <v>nation</v>
      </c>
      <c r="W440" s="49" t="str">
        <f>IFERROR(__xludf.DUMMYFUNCTION("""COMPUTED_VALUE"""),"radiant")</f>
        <v>radiant</v>
      </c>
      <c r="X440" s="49" t="str">
        <f t="shared" si="3"/>
        <v>school,</v>
      </c>
      <c r="Y440" s="49"/>
      <c r="Z440" s="1" t="s">
        <v>6421</v>
      </c>
      <c r="AA440" s="1" t="s">
        <v>2368</v>
      </c>
      <c r="AB440" s="49" t="str">
        <f>IFERROR(__xludf.DUMMYFUNCTION("""COMPUTED_VALUE"""),"honesty")</f>
        <v>honesty</v>
      </c>
      <c r="AC440" s="49"/>
      <c r="AD440" s="49" t="str">
        <f>IFERROR(__xludf.DUMMYFUNCTION("""COMPUTED_VALUE"""),"mission")</f>
        <v>mission</v>
      </c>
      <c r="AE440" s="49" t="str">
        <f>IFERROR(__xludf.DUMMYFUNCTION("""COMPUTED_VALUE"""),"finds")</f>
        <v>finds</v>
      </c>
      <c r="AF440" s="49" t="str">
        <f t="shared" si="4"/>
        <v>earth,</v>
      </c>
      <c r="AG440" s="49"/>
      <c r="AH440" s="1" t="s">
        <v>213</v>
      </c>
      <c r="AI440" s="1" t="s">
        <v>1068</v>
      </c>
      <c r="AJ440" s="6" t="str">
        <f>IFERROR(__xludf.DUMMYFUNCTION("""COMPUTED_VALUE"""),"york")</f>
        <v>york</v>
      </c>
      <c r="AK440" s="49"/>
      <c r="AL440" s="49"/>
      <c r="AM440" s="49"/>
      <c r="AN440" s="52" t="str">
        <f t="shared" si="5"/>
        <v>went,</v>
      </c>
    </row>
    <row r="441">
      <c r="A441" s="51"/>
      <c r="B441" s="50" t="s">
        <v>1144</v>
      </c>
      <c r="C441" s="50" t="s">
        <v>2041</v>
      </c>
      <c r="D441" s="49" t="str">
        <f>IFERROR(__xludf.DUMMYFUNCTION("""COMPUTED_VALUE"""),"style")</f>
        <v>style</v>
      </c>
      <c r="E441" s="49"/>
      <c r="F441" s="49"/>
      <c r="G441" s="49"/>
      <c r="H441" s="54" t="str">
        <f t="shared" si="1"/>
        <v>ending,</v>
      </c>
      <c r="I441" s="50"/>
      <c r="J441" s="50" t="s">
        <v>5923</v>
      </c>
      <c r="K441" s="50" t="s">
        <v>2139</v>
      </c>
      <c r="L441" s="49" t="str">
        <f>IFERROR(__xludf.DUMMYFUNCTION("""COMPUTED_VALUE"""),"fake")</f>
        <v>fake</v>
      </c>
      <c r="M441" s="49"/>
      <c r="N441" s="49" t="str">
        <f>IFERROR(__xludf.DUMMYFUNCTION("""COMPUTED_VALUE"""),"palma")</f>
        <v>palma</v>
      </c>
      <c r="O441" s="49" t="str">
        <f>IFERROR(__xludf.DUMMYFUNCTION("""COMPUTED_VALUE"""),"measured")</f>
        <v>measured</v>
      </c>
      <c r="P441" s="49" t="str">
        <f t="shared" si="2"/>
        <v>targets,</v>
      </c>
      <c r="Q441" s="49"/>
      <c r="R441" s="50" t="s">
        <v>354</v>
      </c>
      <c r="S441" s="55" t="s">
        <v>2093</v>
      </c>
      <c r="T441" s="49" t="str">
        <f>IFERROR(__xludf.DUMMYFUNCTION("""COMPUTED_VALUE"""),"debut")</f>
        <v>debut</v>
      </c>
      <c r="U441" s="49"/>
      <c r="V441" s="49" t="str">
        <f>IFERROR(__xludf.DUMMYFUNCTION("""COMPUTED_VALUE"""),"wind")</f>
        <v>wind</v>
      </c>
      <c r="W441" s="49" t="str">
        <f>IFERROR(__xludf.DUMMYFUNCTION("""COMPUTED_VALUE"""),"treats")</f>
        <v>treats</v>
      </c>
      <c r="X441" s="49" t="str">
        <f t="shared" si="3"/>
        <v>fascinating,</v>
      </c>
      <c r="Y441" s="49"/>
      <c r="Z441" s="1" t="s">
        <v>3277</v>
      </c>
      <c r="AA441" s="1" t="s">
        <v>2372</v>
      </c>
      <c r="AB441" s="49" t="str">
        <f>IFERROR(__xludf.DUMMYFUNCTION("""COMPUTED_VALUE"""),"unnecessary")</f>
        <v>unnecessary</v>
      </c>
      <c r="AC441" s="49"/>
      <c r="AD441" s="49" t="str">
        <f>IFERROR(__xludf.DUMMYFUNCTION("""COMPUTED_VALUE"""),"palma")</f>
        <v>palma</v>
      </c>
      <c r="AE441" s="49" t="str">
        <f>IFERROR(__xludf.DUMMYFUNCTION("""COMPUTED_VALUE"""),"measured")</f>
        <v>measured</v>
      </c>
      <c r="AF441" s="49" t="str">
        <f t="shared" si="4"/>
        <v>waste,</v>
      </c>
      <c r="AG441" s="49"/>
      <c r="AH441" s="1" t="s">
        <v>1632</v>
      </c>
      <c r="AI441" s="1" t="s">
        <v>1524</v>
      </c>
      <c r="AJ441" s="6" t="str">
        <f>IFERROR(__xludf.DUMMYFUNCTION("""COMPUTED_VALUE"""),"live")</f>
        <v>live</v>
      </c>
      <c r="AK441" s="49"/>
      <c r="AL441" s="49"/>
      <c r="AM441" s="49"/>
      <c r="AN441" s="52" t="str">
        <f t="shared" si="5"/>
        <v>york,</v>
      </c>
    </row>
    <row r="442">
      <c r="A442" s="51"/>
      <c r="B442" s="50" t="s">
        <v>6451</v>
      </c>
      <c r="C442" s="50" t="s">
        <v>6308</v>
      </c>
      <c r="D442" s="49" t="str">
        <f>IFERROR(__xludf.DUMMYFUNCTION("""COMPUTED_VALUE"""),"difficult")</f>
        <v>difficult</v>
      </c>
      <c r="E442" s="49"/>
      <c r="F442" s="49"/>
      <c r="G442" s="49"/>
      <c r="H442" s="54" t="str">
        <f t="shared" si="1"/>
        <v>crazy,</v>
      </c>
      <c r="I442" s="50"/>
      <c r="J442" s="50" t="s">
        <v>3219</v>
      </c>
      <c r="K442" s="50" t="s">
        <v>1296</v>
      </c>
      <c r="L442" s="49" t="str">
        <f>IFERROR(__xludf.DUMMYFUNCTION("""COMPUTED_VALUE"""),"irony")</f>
        <v>irony</v>
      </c>
      <c r="M442" s="49"/>
      <c r="N442" s="49" t="str">
        <f>IFERROR(__xludf.DUMMYFUNCTION("""COMPUTED_VALUE"""),"uses")</f>
        <v>uses</v>
      </c>
      <c r="O442" s="49" t="str">
        <f>IFERROR(__xludf.DUMMYFUNCTION("""COMPUTED_VALUE"""),"depictions")</f>
        <v>depictions</v>
      </c>
      <c r="P442" s="49" t="str">
        <f t="shared" si="2"/>
        <v>lets,</v>
      </c>
      <c r="Q442" s="49"/>
      <c r="R442" s="50" t="s">
        <v>2528</v>
      </c>
      <c r="S442" s="55" t="s">
        <v>2095</v>
      </c>
      <c r="T442" s="49" t="str">
        <f>IFERROR(__xludf.DUMMYFUNCTION("""COMPUTED_VALUE"""),"merely")</f>
        <v>merely</v>
      </c>
      <c r="U442" s="49"/>
      <c r="V442" s="49" t="str">
        <f>IFERROR(__xludf.DUMMYFUNCTION("""COMPUTED_VALUE"""),"scoop")</f>
        <v>scoop</v>
      </c>
      <c r="W442" s="49" t="str">
        <f>IFERROR(__xludf.DUMMYFUNCTION("""COMPUTED_VALUE"""),"kennedy")</f>
        <v>kennedy</v>
      </c>
      <c r="X442" s="49" t="str">
        <f t="shared" si="3"/>
        <v>sex,</v>
      </c>
      <c r="Y442" s="49"/>
      <c r="Z442" s="1" t="s">
        <v>4305</v>
      </c>
      <c r="AA442" s="1" t="s">
        <v>2376</v>
      </c>
      <c r="AB442" s="49" t="str">
        <f>IFERROR(__xludf.DUMMYFUNCTION("""COMPUTED_VALUE"""),"allows")</f>
        <v>allows</v>
      </c>
      <c r="AC442" s="49"/>
      <c r="AD442" s="49" t="str">
        <f>IFERROR(__xludf.DUMMYFUNCTION("""COMPUTED_VALUE"""),"uses")</f>
        <v>uses</v>
      </c>
      <c r="AE442" s="49" t="str">
        <f>IFERROR(__xludf.DUMMYFUNCTION("""COMPUTED_VALUE"""),"depictions")</f>
        <v>depictions</v>
      </c>
      <c r="AF442" s="49" t="str">
        <f t="shared" si="4"/>
        <v>novel,</v>
      </c>
      <c r="AG442" s="49"/>
      <c r="AH442" s="1" t="s">
        <v>2438</v>
      </c>
      <c r="AI442" s="1" t="s">
        <v>1836</v>
      </c>
      <c r="AJ442" s="6" t="str">
        <f>IFERROR(__xludf.DUMMYFUNCTION("""COMPUTED_VALUE"""),"always")</f>
        <v>always</v>
      </c>
      <c r="AK442" s="49"/>
      <c r="AL442" s="49"/>
      <c r="AM442" s="49"/>
      <c r="AN442" s="52" t="str">
        <f t="shared" si="5"/>
        <v>live,</v>
      </c>
    </row>
    <row r="443">
      <c r="A443" s="51"/>
      <c r="B443" s="50" t="s">
        <v>2295</v>
      </c>
      <c r="C443" s="50" t="s">
        <v>6309</v>
      </c>
      <c r="D443" s="49" t="str">
        <f>IFERROR(__xludf.DUMMYFUNCTION("""COMPUTED_VALUE"""),"notes")</f>
        <v>notes</v>
      </c>
      <c r="E443" s="49"/>
      <c r="F443" s="49"/>
      <c r="G443" s="49"/>
      <c r="H443" s="54" t="str">
        <f t="shared" si="1"/>
        <v>journey,</v>
      </c>
      <c r="I443" s="50"/>
      <c r="J443" s="50" t="s">
        <v>386</v>
      </c>
      <c r="K443" s="50" t="s">
        <v>1301</v>
      </c>
      <c r="L443" s="49" t="str">
        <f>IFERROR(__xludf.DUMMYFUNCTION("""COMPUTED_VALUE"""),"walked")</f>
        <v>walked</v>
      </c>
      <c r="M443" s="49"/>
      <c r="N443" s="49" t="str">
        <f>IFERROR(__xludf.DUMMYFUNCTION("""COMPUTED_VALUE"""),"trade")</f>
        <v>trade</v>
      </c>
      <c r="O443" s="49" t="str">
        <f>IFERROR(__xludf.DUMMYFUNCTION("""COMPUTED_VALUE"""),"permits")</f>
        <v>permits</v>
      </c>
      <c r="P443" s="49" t="str">
        <f t="shared" si="2"/>
        <v>around,</v>
      </c>
      <c r="Q443" s="49"/>
      <c r="R443" s="50" t="s">
        <v>1881</v>
      </c>
      <c r="S443" s="55" t="s">
        <v>202</v>
      </c>
      <c r="T443" s="49" t="str">
        <f>IFERROR(__xludf.DUMMYFUNCTION("""COMPUTED_VALUE"""),"band")</f>
        <v>band</v>
      </c>
      <c r="U443" s="49"/>
      <c r="V443" s="49" t="str">
        <f>IFERROR(__xludf.DUMMYFUNCTION("""COMPUTED_VALUE"""),"hiatus")</f>
        <v>hiatus</v>
      </c>
      <c r="W443" s="49" t="str">
        <f>IFERROR(__xludf.DUMMYFUNCTION("""COMPUTED_VALUE"""),"soundtrack")</f>
        <v>soundtrack</v>
      </c>
      <c r="X443" s="49" t="str">
        <f t="shared" si="3"/>
        <v>bored,</v>
      </c>
      <c r="Y443" s="49"/>
      <c r="Z443" s="1" t="s">
        <v>5670</v>
      </c>
      <c r="AA443" s="1" t="s">
        <v>2380</v>
      </c>
      <c r="AB443" s="49" t="str">
        <f>IFERROR(__xludf.DUMMYFUNCTION("""COMPUTED_VALUE"""),"faithful")</f>
        <v>faithful</v>
      </c>
      <c r="AC443" s="49"/>
      <c r="AD443" s="49" t="str">
        <f>IFERROR(__xludf.DUMMYFUNCTION("""COMPUTED_VALUE"""),"trade")</f>
        <v>trade</v>
      </c>
      <c r="AE443" s="49" t="str">
        <f>IFERROR(__xludf.DUMMYFUNCTION("""COMPUTED_VALUE"""),"permits")</f>
        <v>permits</v>
      </c>
      <c r="AF443" s="49" t="str">
        <f t="shared" si="4"/>
        <v>guy,</v>
      </c>
      <c r="AG443" s="49"/>
      <c r="AH443" s="1" t="s">
        <v>6374</v>
      </c>
      <c r="AI443" s="1" t="s">
        <v>1564</v>
      </c>
      <c r="AJ443" s="6" t="str">
        <f>IFERROR(__xludf.DUMMYFUNCTION("""COMPUTED_VALUE"""),"case")</f>
        <v>case</v>
      </c>
      <c r="AK443" s="49"/>
      <c r="AL443" s="49"/>
      <c r="AM443" s="49"/>
      <c r="AN443" s="52" t="str">
        <f t="shared" si="5"/>
        <v>always,</v>
      </c>
    </row>
    <row r="444">
      <c r="A444" s="51"/>
      <c r="B444" s="50" t="s">
        <v>6401</v>
      </c>
      <c r="C444" s="50" t="s">
        <v>6333</v>
      </c>
      <c r="D444" s="49" t="str">
        <f>IFERROR(__xludf.DUMMYFUNCTION("""COMPUTED_VALUE"""),"trouble")</f>
        <v>trouble</v>
      </c>
      <c r="E444" s="49"/>
      <c r="F444" s="49"/>
      <c r="G444" s="49"/>
      <c r="H444" s="54" t="str">
        <f t="shared" si="1"/>
        <v>familiar,</v>
      </c>
      <c r="I444" s="50"/>
      <c r="J444" s="50" t="s">
        <v>852</v>
      </c>
      <c r="K444" s="50" t="s">
        <v>1309</v>
      </c>
      <c r="L444" s="49" t="str">
        <f>IFERROR(__xludf.DUMMYFUNCTION("""COMPUTED_VALUE"""),"filled")</f>
        <v>filled</v>
      </c>
      <c r="M444" s="49"/>
      <c r="N444" s="49" t="str">
        <f>IFERROR(__xludf.DUMMYFUNCTION("""COMPUTED_VALUE"""),"box")</f>
        <v>box</v>
      </c>
      <c r="O444" s="49" t="str">
        <f>IFERROR(__xludf.DUMMYFUNCTION("""COMPUTED_VALUE"""),"acute")</f>
        <v>acute</v>
      </c>
      <c r="P444" s="49" t="str">
        <f t="shared" si="2"/>
        <v>clothes,</v>
      </c>
      <c r="Q444" s="49"/>
      <c r="R444" s="50" t="s">
        <v>1227</v>
      </c>
      <c r="S444" s="55" t="s">
        <v>1008</v>
      </c>
      <c r="T444" s="49" t="str">
        <f>IFERROR(__xludf.DUMMYFUNCTION("""COMPUTED_VALUE"""),"spice")</f>
        <v>spice</v>
      </c>
      <c r="U444" s="49"/>
      <c r="V444" s="49" t="str">
        <f>IFERROR(__xludf.DUMMYFUNCTION("""COMPUTED_VALUE"""),"immersed")</f>
        <v>immersed</v>
      </c>
      <c r="W444" s="49" t="str">
        <f>IFERROR(__xludf.DUMMYFUNCTION("""COMPUTED_VALUE"""),"chords")</f>
        <v>chords</v>
      </c>
      <c r="X444" s="49" t="str">
        <f t="shared" si="3"/>
        <v>high,</v>
      </c>
      <c r="Y444" s="49"/>
      <c r="Z444" s="1" t="s">
        <v>6328</v>
      </c>
      <c r="AA444" s="1" t="s">
        <v>2382</v>
      </c>
      <c r="AB444" s="49" t="str">
        <f>IFERROR(__xludf.DUMMYFUNCTION("""COMPUTED_VALUE"""),"bullock")</f>
        <v>bullock</v>
      </c>
      <c r="AC444" s="49"/>
      <c r="AD444" s="49" t="str">
        <f>IFERROR(__xludf.DUMMYFUNCTION("""COMPUTED_VALUE"""),"box")</f>
        <v>box</v>
      </c>
      <c r="AE444" s="49" t="str">
        <f>IFERROR(__xludf.DUMMYFUNCTION("""COMPUTED_VALUE"""),"acute")</f>
        <v>acute</v>
      </c>
      <c r="AF444" s="49" t="str">
        <f t="shared" si="4"/>
        <v>sure,</v>
      </c>
      <c r="AG444" s="49"/>
      <c r="AH444" s="1" t="s">
        <v>1988</v>
      </c>
      <c r="AI444" s="1" t="s">
        <v>1569</v>
      </c>
      <c r="AJ444" s="6" t="str">
        <f>IFERROR(__xludf.DUMMYFUNCTION("""COMPUTED_VALUE"""),"looking")</f>
        <v>looking</v>
      </c>
      <c r="AK444" s="49"/>
      <c r="AL444" s="49"/>
      <c r="AM444" s="49"/>
      <c r="AN444" s="52" t="str">
        <f t="shared" si="5"/>
        <v>case,</v>
      </c>
    </row>
    <row r="445">
      <c r="A445" s="51"/>
      <c r="B445" s="50" t="s">
        <v>2680</v>
      </c>
      <c r="C445" s="50" t="s">
        <v>2974</v>
      </c>
      <c r="D445" s="49" t="str">
        <f>IFERROR(__xludf.DUMMYFUNCTION("""COMPUTED_VALUE"""),"narrative")</f>
        <v>narrative</v>
      </c>
      <c r="E445" s="49"/>
      <c r="F445" s="49"/>
      <c r="G445" s="49"/>
      <c r="H445" s="54" t="str">
        <f t="shared" si="1"/>
        <v>leads,</v>
      </c>
      <c r="I445" s="50"/>
      <c r="J445" s="50" t="s">
        <v>417</v>
      </c>
      <c r="K445" s="50" t="s">
        <v>350</v>
      </c>
      <c r="L445" s="49" t="str">
        <f>IFERROR(__xludf.DUMMYFUNCTION("""COMPUTED_VALUE"""),"field")</f>
        <v>field</v>
      </c>
      <c r="M445" s="49"/>
      <c r="N445" s="49" t="str">
        <f>IFERROR(__xludf.DUMMYFUNCTION("""COMPUTED_VALUE"""),"closed")</f>
        <v>closed</v>
      </c>
      <c r="O445" s="49" t="str">
        <f>IFERROR(__xludf.DUMMYFUNCTION("""COMPUTED_VALUE"""),"treatise")</f>
        <v>treatise</v>
      </c>
      <c r="P445" s="49" t="str">
        <f t="shared" si="2"/>
        <v>concept,</v>
      </c>
      <c r="Q445" s="49"/>
      <c r="R445" s="50" t="s">
        <v>3887</v>
      </c>
      <c r="S445" s="55" t="s">
        <v>946</v>
      </c>
      <c r="T445" s="49" t="str">
        <f>IFERROR(__xludf.DUMMYFUNCTION("""COMPUTED_VALUE"""),"pop")</f>
        <v>pop</v>
      </c>
      <c r="U445" s="49"/>
      <c r="V445" s="49" t="str">
        <f>IFERROR(__xludf.DUMMYFUNCTION("""COMPUTED_VALUE"""),"esteem")</f>
        <v>esteem</v>
      </c>
      <c r="W445" s="49" t="str">
        <f>IFERROR(__xludf.DUMMYFUNCTION("""COMPUTED_VALUE"""),"beats")</f>
        <v>beats</v>
      </c>
      <c r="X445" s="49" t="str">
        <f t="shared" si="3"/>
        <v>teenagers,</v>
      </c>
      <c r="Y445" s="49"/>
      <c r="Z445" s="1" t="s">
        <v>1162</v>
      </c>
      <c r="AA445" s="1" t="s">
        <v>2384</v>
      </c>
      <c r="AB445" s="49" t="str">
        <f>IFERROR(__xludf.DUMMYFUNCTION("""COMPUTED_VALUE"""),"magic")</f>
        <v>magic</v>
      </c>
      <c r="AC445" s="49"/>
      <c r="AD445" s="49" t="str">
        <f>IFERROR(__xludf.DUMMYFUNCTION("""COMPUTED_VALUE"""),"closed")</f>
        <v>closed</v>
      </c>
      <c r="AE445" s="49" t="str">
        <f>IFERROR(__xludf.DUMMYFUNCTION("""COMPUTED_VALUE"""),"treatise")</f>
        <v>treatise</v>
      </c>
      <c r="AF445" s="49" t="str">
        <f t="shared" si="4"/>
        <v>second,</v>
      </c>
      <c r="AG445" s="49"/>
      <c r="AH445" s="1" t="s">
        <v>923</v>
      </c>
      <c r="AI445" s="1" t="s">
        <v>2088</v>
      </c>
      <c r="AJ445" s="6" t="str">
        <f>IFERROR(__xludf.DUMMYFUNCTION("""COMPUTED_VALUE"""),"someone")</f>
        <v>someone</v>
      </c>
      <c r="AK445" s="49"/>
      <c r="AL445" s="49"/>
      <c r="AM445" s="49"/>
      <c r="AN445" s="52" t="str">
        <f t="shared" si="5"/>
        <v>looking,</v>
      </c>
    </row>
    <row r="446">
      <c r="A446" s="51"/>
      <c r="B446" s="50" t="s">
        <v>6526</v>
      </c>
      <c r="C446" s="50" t="s">
        <v>1121</v>
      </c>
      <c r="D446" s="49" t="str">
        <f>IFERROR(__xludf.DUMMYFUNCTION("""COMPUTED_VALUE"""),"amounts")</f>
        <v>amounts</v>
      </c>
      <c r="E446" s="49"/>
      <c r="F446" s="49"/>
      <c r="G446" s="49"/>
      <c r="H446" s="54" t="str">
        <f t="shared" si="1"/>
        <v>definitely,</v>
      </c>
      <c r="I446" s="50"/>
      <c r="J446" s="50" t="s">
        <v>593</v>
      </c>
      <c r="K446" s="50" t="s">
        <v>2144</v>
      </c>
      <c r="L446" s="49" t="str">
        <f>IFERROR(__xludf.DUMMYFUNCTION("""COMPUTED_VALUE"""),"sign")</f>
        <v>sign</v>
      </c>
      <c r="M446" s="49"/>
      <c r="N446" s="49" t="str">
        <f>IFERROR(__xludf.DUMMYFUNCTION("""COMPUTED_VALUE"""),"coming")</f>
        <v>coming</v>
      </c>
      <c r="O446" s="49" t="str">
        <f>IFERROR(__xludf.DUMMYFUNCTION("""COMPUTED_VALUE"""),"liberation")</f>
        <v>liberation</v>
      </c>
      <c r="P446" s="49" t="str">
        <f t="shared" si="2"/>
        <v>us,</v>
      </c>
      <c r="Q446" s="49"/>
      <c r="R446" s="50" t="s">
        <v>6038</v>
      </c>
      <c r="S446" s="55" t="s">
        <v>1025</v>
      </c>
      <c r="T446" s="49" t="str">
        <f>IFERROR(__xludf.DUMMYFUNCTION("""COMPUTED_VALUE"""),"personality")</f>
        <v>personality</v>
      </c>
      <c r="U446" s="49"/>
      <c r="V446" s="49" t="str">
        <f>IFERROR(__xludf.DUMMYFUNCTION("""COMPUTED_VALUE"""),"ha")</f>
        <v>ha</v>
      </c>
      <c r="W446" s="49" t="str">
        <f>IFERROR(__xludf.DUMMYFUNCTION("""COMPUTED_VALUE"""),"lola")</f>
        <v>lola</v>
      </c>
      <c r="X446" s="49" t="str">
        <f t="shared" si="3"/>
        <v>killing,</v>
      </c>
      <c r="Y446" s="49"/>
      <c r="Z446" s="1" t="s">
        <v>618</v>
      </c>
      <c r="AA446" s="1" t="s">
        <v>1618</v>
      </c>
      <c r="AB446" s="49" t="str">
        <f>IFERROR(__xludf.DUMMYFUNCTION("""COMPUTED_VALUE"""),"family")</f>
        <v>family</v>
      </c>
      <c r="AC446" s="49"/>
      <c r="AD446" s="49" t="str">
        <f>IFERROR(__xludf.DUMMYFUNCTION("""COMPUTED_VALUE"""),"coming")</f>
        <v>coming</v>
      </c>
      <c r="AE446" s="49" t="str">
        <f>IFERROR(__xludf.DUMMYFUNCTION("""COMPUTED_VALUE"""),"liberation")</f>
        <v>liberation</v>
      </c>
      <c r="AF446" s="49" t="str">
        <f t="shared" si="4"/>
        <v>minor,</v>
      </c>
      <c r="AG446" s="49"/>
      <c r="AH446" s="1" t="s">
        <v>2140</v>
      </c>
      <c r="AI446" s="1" t="s">
        <v>909</v>
      </c>
      <c r="AJ446" s="6" t="str">
        <f>IFERROR(__xludf.DUMMYFUNCTION("""COMPUTED_VALUE"""),"science")</f>
        <v>science</v>
      </c>
      <c r="AK446" s="49"/>
      <c r="AL446" s="49"/>
      <c r="AM446" s="49"/>
      <c r="AN446" s="52" t="str">
        <f t="shared" si="5"/>
        <v>someone,</v>
      </c>
    </row>
    <row r="447">
      <c r="A447" s="51"/>
      <c r="B447" s="50" t="s">
        <v>5458</v>
      </c>
      <c r="C447" s="50" t="s">
        <v>556</v>
      </c>
      <c r="D447" s="49" t="str">
        <f>IFERROR(__xludf.DUMMYFUNCTION("""COMPUTED_VALUE"""),"running")</f>
        <v>running</v>
      </c>
      <c r="E447" s="49"/>
      <c r="F447" s="49"/>
      <c r="G447" s="49"/>
      <c r="H447" s="54" t="str">
        <f t="shared" si="1"/>
        <v>witch,</v>
      </c>
      <c r="I447" s="50"/>
      <c r="J447" s="50" t="s">
        <v>762</v>
      </c>
      <c r="K447" s="50" t="s">
        <v>1348</v>
      </c>
      <c r="L447" s="49" t="str">
        <f>IFERROR(__xludf.DUMMYFUNCTION("""COMPUTED_VALUE"""),"money")</f>
        <v>money</v>
      </c>
      <c r="M447" s="49"/>
      <c r="N447" s="49" t="str">
        <f>IFERROR(__xludf.DUMMYFUNCTION("""COMPUTED_VALUE"""),"tank")</f>
        <v>tank</v>
      </c>
      <c r="O447" s="49" t="str">
        <f>IFERROR(__xludf.DUMMYFUNCTION("""COMPUTED_VALUE"""),"childhood")</f>
        <v>childhood</v>
      </c>
      <c r="P447" s="49" t="str">
        <f t="shared" si="2"/>
        <v>abstract,</v>
      </c>
      <c r="Q447" s="49"/>
      <c r="R447" s="50" t="s">
        <v>4122</v>
      </c>
      <c r="S447" s="55" t="s">
        <v>1885</v>
      </c>
      <c r="T447" s="49" t="str">
        <f>IFERROR(__xludf.DUMMYFUNCTION("""COMPUTED_VALUE"""),"original")</f>
        <v>original</v>
      </c>
      <c r="U447" s="49"/>
      <c r="V447" s="49" t="str">
        <f>IFERROR(__xludf.DUMMYFUNCTION("""COMPUTED_VALUE"""),"z")</f>
        <v>z</v>
      </c>
      <c r="W447" s="49" t="str">
        <f>IFERROR(__xludf.DUMMYFUNCTION("""COMPUTED_VALUE"""),"biography")</f>
        <v>biography</v>
      </c>
      <c r="X447" s="49" t="str">
        <f t="shared" si="3"/>
        <v>watching,</v>
      </c>
      <c r="Y447" s="49"/>
      <c r="Z447" s="1" t="s">
        <v>1576</v>
      </c>
      <c r="AA447" s="1" t="s">
        <v>2392</v>
      </c>
      <c r="AB447" s="49" t="str">
        <f>IFERROR(__xludf.DUMMYFUNCTION("""COMPUTED_VALUE"""),"hollow")</f>
        <v>hollow</v>
      </c>
      <c r="AC447" s="49"/>
      <c r="AD447" s="49" t="str">
        <f>IFERROR(__xludf.DUMMYFUNCTION("""COMPUTED_VALUE"""),"tank")</f>
        <v>tank</v>
      </c>
      <c r="AE447" s="49" t="str">
        <f>IFERROR(__xludf.DUMMYFUNCTION("""COMPUTED_VALUE"""),"childhood")</f>
        <v>childhood</v>
      </c>
      <c r="AF447" s="49" t="str">
        <f t="shared" si="4"/>
        <v>stars,</v>
      </c>
      <c r="AG447" s="49"/>
      <c r="AH447" s="1" t="s">
        <v>4893</v>
      </c>
      <c r="AI447" s="1" t="s">
        <v>103</v>
      </c>
      <c r="AJ447" s="6" t="str">
        <f>IFERROR(__xludf.DUMMYFUNCTION("""COMPUTED_VALUE"""),"looks")</f>
        <v>looks</v>
      </c>
      <c r="AK447" s="49"/>
      <c r="AL447" s="49"/>
      <c r="AM447" s="49"/>
      <c r="AN447" s="52" t="str">
        <f t="shared" si="5"/>
        <v>science,</v>
      </c>
    </row>
    <row r="448">
      <c r="A448" s="51"/>
      <c r="B448" s="50" t="s">
        <v>5790</v>
      </c>
      <c r="C448" s="50" t="s">
        <v>2103</v>
      </c>
      <c r="D448" s="49" t="str">
        <f>IFERROR(__xludf.DUMMYFUNCTION("""COMPUTED_VALUE"""),"screaming")</f>
        <v>screaming</v>
      </c>
      <c r="E448" s="49"/>
      <c r="F448" s="49"/>
      <c r="G448" s="49"/>
      <c r="H448" s="54" t="str">
        <f t="shared" si="1"/>
        <v>joan,</v>
      </c>
      <c r="I448" s="50"/>
      <c r="J448" s="50" t="s">
        <v>615</v>
      </c>
      <c r="K448" s="50" t="s">
        <v>2398</v>
      </c>
      <c r="L448" s="49" t="str">
        <f>IFERROR(__xludf.DUMMYFUNCTION("""COMPUTED_VALUE"""),"gorgeous")</f>
        <v>gorgeous</v>
      </c>
      <c r="M448" s="49"/>
      <c r="N448" s="49" t="str">
        <f>IFERROR(__xludf.DUMMYFUNCTION("""COMPUTED_VALUE"""),"cleaner")</f>
        <v>cleaner</v>
      </c>
      <c r="O448" s="49" t="str">
        <f>IFERROR(__xludf.DUMMYFUNCTION("""COMPUTED_VALUE"""),"punching")</f>
        <v>punching</v>
      </c>
      <c r="P448" s="49" t="str">
        <f t="shared" si="2"/>
        <v>universal,</v>
      </c>
      <c r="Q448" s="49"/>
      <c r="R448" s="50" t="s">
        <v>5359</v>
      </c>
      <c r="S448" s="55" t="s">
        <v>1879</v>
      </c>
      <c r="T448" s="49" t="str">
        <f>IFERROR(__xludf.DUMMYFUNCTION("""COMPUTED_VALUE"""),"summer")</f>
        <v>summer</v>
      </c>
      <c r="U448" s="49"/>
      <c r="V448" s="49" t="str">
        <f>IFERROR(__xludf.DUMMYFUNCTION("""COMPUTED_VALUE"""),"wrapping")</f>
        <v>wrapping</v>
      </c>
      <c r="W448" s="49" t="str">
        <f>IFERROR(__xludf.DUMMYFUNCTION("""COMPUTED_VALUE"""),"narrator")</f>
        <v>narrator</v>
      </c>
      <c r="X448" s="49" t="str">
        <f t="shared" si="3"/>
        <v>bump,</v>
      </c>
      <c r="Y448" s="49"/>
      <c r="Z448" s="1" t="s">
        <v>525</v>
      </c>
      <c r="AA448" s="1" t="s">
        <v>398</v>
      </c>
      <c r="AB448" s="49" t="str">
        <f>IFERROR(__xludf.DUMMYFUNCTION("""COMPUTED_VALUE"""),"testimony")</f>
        <v>testimony</v>
      </c>
      <c r="AC448" s="49"/>
      <c r="AD448" s="49" t="str">
        <f>IFERROR(__xludf.DUMMYFUNCTION("""COMPUTED_VALUE"""),"cleaner")</f>
        <v>cleaner</v>
      </c>
      <c r="AE448" s="49" t="str">
        <f>IFERROR(__xludf.DUMMYFUNCTION("""COMPUTED_VALUE"""),"punching")</f>
        <v>punching</v>
      </c>
      <c r="AF448" s="49" t="str">
        <f t="shared" si="4"/>
        <v>large,</v>
      </c>
      <c r="AG448" s="49"/>
      <c r="AH448" s="1" t="s">
        <v>6372</v>
      </c>
      <c r="AI448" s="1" t="s">
        <v>1883</v>
      </c>
      <c r="AJ448" s="6" t="str">
        <f>IFERROR(__xludf.DUMMYFUNCTION("""COMPUTED_VALUE"""),"escape")</f>
        <v>escape</v>
      </c>
      <c r="AK448" s="49"/>
      <c r="AL448" s="49"/>
      <c r="AM448" s="49"/>
      <c r="AN448" s="52" t="str">
        <f t="shared" si="5"/>
        <v>looks,</v>
      </c>
    </row>
    <row r="449">
      <c r="A449" s="51"/>
      <c r="B449" s="50" t="s">
        <v>7265</v>
      </c>
      <c r="C449" s="50">
        <v>90.0</v>
      </c>
      <c r="D449" s="49" t="str">
        <f>IFERROR(__xludf.DUMMYFUNCTION("""COMPUTED_VALUE"""),"ii")</f>
        <v>ii</v>
      </c>
      <c r="E449" s="49"/>
      <c r="F449" s="49"/>
      <c r="G449" s="49"/>
      <c r="H449" s="54" t="str">
        <f t="shared" si="1"/>
        <v>hart,</v>
      </c>
      <c r="I449" s="50"/>
      <c r="J449" s="50" t="s">
        <v>2087</v>
      </c>
      <c r="K449" s="50" t="s">
        <v>2148</v>
      </c>
      <c r="L449" s="49" t="str">
        <f>IFERROR(__xludf.DUMMYFUNCTION("""COMPUTED_VALUE"""),"sat")</f>
        <v>sat</v>
      </c>
      <c r="M449" s="49"/>
      <c r="N449" s="49" t="str">
        <f>IFERROR(__xludf.DUMMYFUNCTION("""COMPUTED_VALUE"""),"raise")</f>
        <v>raise</v>
      </c>
      <c r="O449" s="49" t="str">
        <f>IFERROR(__xludf.DUMMYFUNCTION("""COMPUTED_VALUE"""),"sweetheart")</f>
        <v>sweetheart</v>
      </c>
      <c r="P449" s="49" t="str">
        <f t="shared" si="2"/>
        <v>perspective,</v>
      </c>
      <c r="Q449" s="49"/>
      <c r="R449" s="50" t="s">
        <v>4406</v>
      </c>
      <c r="S449" s="55" t="s">
        <v>293</v>
      </c>
      <c r="T449" s="49" t="str">
        <f>IFERROR(__xludf.DUMMYFUNCTION("""COMPUTED_VALUE"""),"rare")</f>
        <v>rare</v>
      </c>
      <c r="U449" s="49"/>
      <c r="V449" s="49" t="str">
        <f>IFERROR(__xludf.DUMMYFUNCTION("""COMPUTED_VALUE"""),"base")</f>
        <v>base</v>
      </c>
      <c r="W449" s="49" t="str">
        <f>IFERROR(__xludf.DUMMYFUNCTION("""COMPUTED_VALUE"""),"heroine")</f>
        <v>heroine</v>
      </c>
      <c r="X449" s="49" t="str">
        <f t="shared" si="3"/>
        <v>heads,</v>
      </c>
      <c r="Y449" s="49"/>
      <c r="Z449" s="1" t="s">
        <v>107</v>
      </c>
      <c r="AA449" s="1" t="s">
        <v>315</v>
      </c>
      <c r="AB449" s="49" t="str">
        <f>IFERROR(__xludf.DUMMYFUNCTION("""COMPUTED_VALUE"""),"conservative")</f>
        <v>conservative</v>
      </c>
      <c r="AC449" s="49"/>
      <c r="AD449" s="49" t="str">
        <f>IFERROR(__xludf.DUMMYFUNCTION("""COMPUTED_VALUE"""),"raise")</f>
        <v>raise</v>
      </c>
      <c r="AE449" s="49" t="str">
        <f>IFERROR(__xludf.DUMMYFUNCTION("""COMPUTED_VALUE"""),"sweetheart")</f>
        <v>sweetheart</v>
      </c>
      <c r="AF449" s="49" t="str">
        <f t="shared" si="4"/>
        <v>most,</v>
      </c>
      <c r="AG449" s="49"/>
      <c r="AH449" s="1" t="s">
        <v>3336</v>
      </c>
      <c r="AI449" s="1" t="s">
        <v>2107</v>
      </c>
      <c r="AJ449" s="6" t="str">
        <f>IFERROR(__xludf.DUMMYFUNCTION("""COMPUTED_VALUE"""),"fiction")</f>
        <v>fiction</v>
      </c>
      <c r="AK449" s="49"/>
      <c r="AL449" s="49"/>
      <c r="AM449" s="49"/>
      <c r="AN449" s="52" t="str">
        <f t="shared" si="5"/>
        <v>escape,</v>
      </c>
    </row>
    <row r="450">
      <c r="A450" s="51"/>
      <c r="B450" s="50" t="s">
        <v>3554</v>
      </c>
      <c r="C450" s="50" t="s">
        <v>1806</v>
      </c>
      <c r="D450" s="49" t="str">
        <f>IFERROR(__xludf.DUMMYFUNCTION("""COMPUTED_VALUE"""),"ultimate")</f>
        <v>ultimate</v>
      </c>
      <c r="E450" s="49"/>
      <c r="F450" s="49"/>
      <c r="G450" s="49"/>
      <c r="H450" s="54" t="str">
        <f t="shared" si="1"/>
        <v>likes,</v>
      </c>
      <c r="I450" s="50"/>
      <c r="J450" s="50" t="s">
        <v>1205</v>
      </c>
      <c r="K450" s="50" t="s">
        <v>2056</v>
      </c>
      <c r="L450" s="49" t="str">
        <f>IFERROR(__xludf.DUMMYFUNCTION("""COMPUTED_VALUE"""),"winning")</f>
        <v>winning</v>
      </c>
      <c r="M450" s="49"/>
      <c r="N450" s="49" t="str">
        <f>IFERROR(__xludf.DUMMYFUNCTION("""COMPUTED_VALUE"""),"produced")</f>
        <v>produced</v>
      </c>
      <c r="O450" s="49" t="str">
        <f>IFERROR(__xludf.DUMMYFUNCTION("""COMPUTED_VALUE"""),"paced")</f>
        <v>paced</v>
      </c>
      <c r="P450" s="49" t="str">
        <f t="shared" si="2"/>
        <v>four,</v>
      </c>
      <c r="Q450" s="49"/>
      <c r="R450" s="50" t="s">
        <v>850</v>
      </c>
      <c r="S450" s="55" t="s">
        <v>525</v>
      </c>
      <c r="T450" s="49" t="str">
        <f>IFERROR(__xludf.DUMMYFUNCTION("""COMPUTED_VALUE"""),"catch")</f>
        <v>catch</v>
      </c>
      <c r="U450" s="49"/>
      <c r="V450" s="49" t="str">
        <f>IFERROR(__xludf.DUMMYFUNCTION("""COMPUTED_VALUE"""),"chemical")</f>
        <v>chemical</v>
      </c>
      <c r="W450" s="49" t="str">
        <f>IFERROR(__xludf.DUMMYFUNCTION("""COMPUTED_VALUE"""),"stops")</f>
        <v>stops</v>
      </c>
      <c r="X450" s="49" t="str">
        <f t="shared" si="3"/>
        <v>amusing,</v>
      </c>
      <c r="Y450" s="49"/>
      <c r="Z450" s="1" t="s">
        <v>3128</v>
      </c>
      <c r="AA450" s="1" t="s">
        <v>447</v>
      </c>
      <c r="AB450" s="49" t="str">
        <f>IFERROR(__xludf.DUMMYFUNCTION("""COMPUTED_VALUE"""),"species")</f>
        <v>species</v>
      </c>
      <c r="AC450" s="49"/>
      <c r="AD450" s="49" t="str">
        <f>IFERROR(__xludf.DUMMYFUNCTION("""COMPUTED_VALUE"""),"produced")</f>
        <v>produced</v>
      </c>
      <c r="AE450" s="49" t="str">
        <f>IFERROR(__xludf.DUMMYFUNCTION("""COMPUTED_VALUE"""),"paced")</f>
        <v>paced</v>
      </c>
      <c r="AF450" s="49" t="str">
        <f t="shared" si="4"/>
        <v>hell,</v>
      </c>
      <c r="AG450" s="49"/>
      <c r="AH450" s="1" t="s">
        <v>5963</v>
      </c>
      <c r="AI450" s="1" t="s">
        <v>1590</v>
      </c>
      <c r="AJ450" s="6" t="str">
        <f>IFERROR(__xludf.DUMMYFUNCTION("""COMPUTED_VALUE"""),"vampires")</f>
        <v>vampires</v>
      </c>
      <c r="AK450" s="49"/>
      <c r="AL450" s="49"/>
      <c r="AM450" s="49"/>
      <c r="AN450" s="52" t="str">
        <f t="shared" si="5"/>
        <v>fiction,</v>
      </c>
    </row>
    <row r="451">
      <c r="A451" s="51"/>
      <c r="B451" s="50" t="s">
        <v>7266</v>
      </c>
      <c r="C451" s="50" t="s">
        <v>1818</v>
      </c>
      <c r="D451" s="49" t="str">
        <f>IFERROR(__xludf.DUMMYFUNCTION("""COMPUTED_VALUE"""),"epic")</f>
        <v>epic</v>
      </c>
      <c r="E451" s="49"/>
      <c r="F451" s="49"/>
      <c r="G451" s="49"/>
      <c r="H451" s="54" t="str">
        <f t="shared" si="1"/>
        <v>reader,</v>
      </c>
      <c r="I451" s="50"/>
      <c r="J451" s="50" t="s">
        <v>2940</v>
      </c>
      <c r="K451" s="50" t="s">
        <v>2406</v>
      </c>
      <c r="L451" s="49" t="str">
        <f>IFERROR(__xludf.DUMMYFUNCTION("""COMPUTED_VALUE"""),"score")</f>
        <v>score</v>
      </c>
      <c r="M451" s="49"/>
      <c r="N451" s="49" t="str">
        <f>IFERROR(__xludf.DUMMYFUNCTION("""COMPUTED_VALUE"""),"creative")</f>
        <v>creative</v>
      </c>
      <c r="O451" s="49" t="str">
        <f>IFERROR(__xludf.DUMMYFUNCTION("""COMPUTED_VALUE"""),"changing")</f>
        <v>changing</v>
      </c>
      <c r="P451" s="49" t="str">
        <f t="shared" si="2"/>
        <v>historical,</v>
      </c>
      <c r="Q451" s="49"/>
      <c r="R451" s="50" t="s">
        <v>2215</v>
      </c>
      <c r="S451" s="55" t="s">
        <v>2378</v>
      </c>
      <c r="T451" s="49" t="str">
        <f>IFERROR(__xludf.DUMMYFUNCTION("""COMPUTED_VALUE"""),"needed")</f>
        <v>needed</v>
      </c>
      <c r="U451" s="49"/>
      <c r="V451" s="49" t="str">
        <f>IFERROR(__xludf.DUMMYFUNCTION("""COMPUTED_VALUE"""),"collision")</f>
        <v>collision</v>
      </c>
      <c r="W451" s="49" t="str">
        <f>IFERROR(__xludf.DUMMYFUNCTION("""COMPUTED_VALUE"""),"demonstrate")</f>
        <v>demonstrate</v>
      </c>
      <c r="X451" s="49" t="str">
        <f t="shared" si="3"/>
        <v>tone,</v>
      </c>
      <c r="Y451" s="49"/>
      <c r="Z451" s="1" t="s">
        <v>2323</v>
      </c>
      <c r="AA451" s="1" t="s">
        <v>2404</v>
      </c>
      <c r="AB451" s="49" t="str">
        <f>IFERROR(__xludf.DUMMYFUNCTION("""COMPUTED_VALUE"""),"intriguing")</f>
        <v>intriguing</v>
      </c>
      <c r="AC451" s="49"/>
      <c r="AD451" s="49" t="str">
        <f>IFERROR(__xludf.DUMMYFUNCTION("""COMPUTED_VALUE"""),"creative")</f>
        <v>creative</v>
      </c>
      <c r="AE451" s="49" t="str">
        <f>IFERROR(__xludf.DUMMYFUNCTION("""COMPUTED_VALUE"""),"changing")</f>
        <v>changing</v>
      </c>
      <c r="AF451" s="49" t="str">
        <f t="shared" si="4"/>
        <v>close,</v>
      </c>
      <c r="AG451" s="49"/>
      <c r="AH451" s="1" t="s">
        <v>5893</v>
      </c>
      <c r="AI451" s="1" t="s">
        <v>157</v>
      </c>
      <c r="AJ451" s="6" t="str">
        <f>IFERROR(__xludf.DUMMYFUNCTION("""COMPUTED_VALUE"""),"latest")</f>
        <v>latest</v>
      </c>
      <c r="AK451" s="49"/>
      <c r="AL451" s="49"/>
      <c r="AM451" s="49"/>
      <c r="AN451" s="52" t="str">
        <f t="shared" si="5"/>
        <v>vampires,</v>
      </c>
    </row>
    <row r="452">
      <c r="A452" s="51"/>
      <c r="B452" s="50" t="s">
        <v>4490</v>
      </c>
      <c r="C452" s="50" t="s">
        <v>1045</v>
      </c>
      <c r="D452" s="49" t="str">
        <f>IFERROR(__xludf.DUMMYFUNCTION("""COMPUTED_VALUE"""),"ask")</f>
        <v>ask</v>
      </c>
      <c r="E452" s="49"/>
      <c r="F452" s="49"/>
      <c r="G452" s="49"/>
      <c r="H452" s="54" t="str">
        <f t="shared" si="1"/>
        <v>trailer,</v>
      </c>
      <c r="I452" s="50"/>
      <c r="J452" s="50" t="s">
        <v>322</v>
      </c>
      <c r="K452" s="50" t="s">
        <v>345</v>
      </c>
      <c r="L452" s="49" t="str">
        <f>IFERROR(__xludf.DUMMYFUNCTION("""COMPUTED_VALUE"""),"saga")</f>
        <v>saga</v>
      </c>
      <c r="M452" s="49"/>
      <c r="N452" s="49" t="str">
        <f>IFERROR(__xludf.DUMMYFUNCTION("""COMPUTED_VALUE"""),"person")</f>
        <v>person</v>
      </c>
      <c r="O452" s="49" t="str">
        <f>IFERROR(__xludf.DUMMYFUNCTION("""COMPUTED_VALUE"""),"chasing")</f>
        <v>chasing</v>
      </c>
      <c r="P452" s="49" t="str">
        <f t="shared" si="2"/>
        <v>experience,</v>
      </c>
      <c r="Q452" s="49"/>
      <c r="R452" s="50" t="s">
        <v>6337</v>
      </c>
      <c r="S452" s="55" t="s">
        <v>1104</v>
      </c>
      <c r="T452" s="49" t="str">
        <f>IFERROR(__xludf.DUMMYFUNCTION("""COMPUTED_VALUE"""),"freddie")</f>
        <v>freddie</v>
      </c>
      <c r="U452" s="49"/>
      <c r="V452" s="49" t="str">
        <f>IFERROR(__xludf.DUMMYFUNCTION("""COMPUTED_VALUE"""),"brazil")</f>
        <v>brazil</v>
      </c>
      <c r="W452" s="49" t="str">
        <f>IFERROR(__xludf.DUMMYFUNCTION("""COMPUTED_VALUE"""),"l")</f>
        <v>l</v>
      </c>
      <c r="X452" s="49" t="str">
        <f t="shared" si="3"/>
        <v>girl,</v>
      </c>
      <c r="Y452" s="49"/>
      <c r="Z452" s="1" t="s">
        <v>4725</v>
      </c>
      <c r="AA452" s="1" t="s">
        <v>2407</v>
      </c>
      <c r="AB452" s="49" t="str">
        <f>IFERROR(__xludf.DUMMYFUNCTION("""COMPUTED_VALUE"""),"splendid")</f>
        <v>splendid</v>
      </c>
      <c r="AC452" s="49"/>
      <c r="AD452" s="49" t="str">
        <f>IFERROR(__xludf.DUMMYFUNCTION("""COMPUTED_VALUE"""),"person")</f>
        <v>person</v>
      </c>
      <c r="AE452" s="49" t="str">
        <f>IFERROR(__xludf.DUMMYFUNCTION("""COMPUTED_VALUE"""),"chasing")</f>
        <v>chasing</v>
      </c>
      <c r="AF452" s="49" t="str">
        <f t="shared" si="4"/>
        <v>thousand,</v>
      </c>
      <c r="AG452" s="49"/>
      <c r="AH452" s="1" t="s">
        <v>4685</v>
      </c>
      <c r="AI452" s="1" t="s">
        <v>1599</v>
      </c>
      <c r="AJ452" s="6" t="str">
        <f>IFERROR(__xludf.DUMMYFUNCTION("""COMPUTED_VALUE"""),"suppose")</f>
        <v>suppose</v>
      </c>
      <c r="AK452" s="49"/>
      <c r="AL452" s="49"/>
      <c r="AM452" s="49"/>
      <c r="AN452" s="52" t="str">
        <f t="shared" si="5"/>
        <v>latest,</v>
      </c>
    </row>
    <row r="453">
      <c r="A453" s="51"/>
      <c r="B453" s="50" t="s">
        <v>5309</v>
      </c>
      <c r="C453" s="50">
        <v>100.0</v>
      </c>
      <c r="D453" s="49" t="str">
        <f>IFERROR(__xludf.DUMMYFUNCTION("""COMPUTED_VALUE"""),"fans")</f>
        <v>fans</v>
      </c>
      <c r="E453" s="49"/>
      <c r="F453" s="49"/>
      <c r="G453" s="49"/>
      <c r="H453" s="54" t="str">
        <f t="shared" si="1"/>
        <v>teenage,</v>
      </c>
      <c r="I453" s="50"/>
      <c r="J453" s="50" t="s">
        <v>3170</v>
      </c>
      <c r="K453" s="50" t="s">
        <v>63</v>
      </c>
      <c r="L453" s="49" t="str">
        <f>IFERROR(__xludf.DUMMYFUNCTION("""COMPUTED_VALUE"""),"elusive")</f>
        <v>elusive</v>
      </c>
      <c r="M453" s="49"/>
      <c r="N453" s="49">
        <f>IFERROR(__xludf.DUMMYFUNCTION("""COMPUTED_VALUE"""),20.0)</f>
        <v>20</v>
      </c>
      <c r="O453" s="49" t="str">
        <f>IFERROR(__xludf.DUMMYFUNCTION("""COMPUTED_VALUE"""),"precious")</f>
        <v>precious</v>
      </c>
      <c r="P453" s="49" t="str">
        <f t="shared" si="2"/>
        <v>possibly,</v>
      </c>
      <c r="Q453" s="49"/>
      <c r="R453" s="50" t="s">
        <v>442</v>
      </c>
      <c r="S453" s="55" t="s">
        <v>2119</v>
      </c>
      <c r="T453" s="49" t="str">
        <f>IFERROR(__xludf.DUMMYFUNCTION("""COMPUTED_VALUE"""),"usual")</f>
        <v>usual</v>
      </c>
      <c r="U453" s="49"/>
      <c r="V453" s="49" t="str">
        <f>IFERROR(__xludf.DUMMYFUNCTION("""COMPUTED_VALUE"""),"artwork")</f>
        <v>artwork</v>
      </c>
      <c r="W453" s="49" t="str">
        <f>IFERROR(__xludf.DUMMYFUNCTION("""COMPUTED_VALUE"""),"visual")</f>
        <v>visual</v>
      </c>
      <c r="X453" s="49" t="str">
        <f t="shared" si="3"/>
        <v>black,</v>
      </c>
      <c r="Y453" s="49"/>
      <c r="Z453" s="1" t="s">
        <v>632</v>
      </c>
      <c r="AA453" s="1" t="s">
        <v>1084</v>
      </c>
      <c r="AB453" s="49" t="str">
        <f>IFERROR(__xludf.DUMMYFUNCTION("""COMPUTED_VALUE"""),"despite")</f>
        <v>despite</v>
      </c>
      <c r="AC453" s="49"/>
      <c r="AD453" s="49">
        <f>IFERROR(__xludf.DUMMYFUNCTION("""COMPUTED_VALUE"""),20.0)</f>
        <v>20</v>
      </c>
      <c r="AE453" s="49" t="str">
        <f>IFERROR(__xludf.DUMMYFUNCTION("""COMPUTED_VALUE"""),"precious")</f>
        <v>precious</v>
      </c>
      <c r="AF453" s="49" t="str">
        <f t="shared" si="4"/>
        <v>left,</v>
      </c>
      <c r="AG453" s="49"/>
      <c r="AH453" s="1" t="s">
        <v>6896</v>
      </c>
      <c r="AI453" s="1" t="s">
        <v>1606</v>
      </c>
      <c r="AJ453" s="6" t="str">
        <f>IFERROR(__xludf.DUMMYFUNCTION("""COMPUTED_VALUE"""),"m")</f>
        <v>m</v>
      </c>
      <c r="AK453" s="49"/>
      <c r="AL453" s="49"/>
      <c r="AM453" s="49"/>
      <c r="AN453" s="52" t="str">
        <f t="shared" si="5"/>
        <v>suppose,</v>
      </c>
    </row>
    <row r="454">
      <c r="A454" s="51"/>
      <c r="B454" s="50" t="s">
        <v>422</v>
      </c>
      <c r="C454" s="50" t="s">
        <v>6329</v>
      </c>
      <c r="D454" s="49" t="str">
        <f>IFERROR(__xludf.DUMMYFUNCTION("""COMPUTED_VALUE"""),"hardly")</f>
        <v>hardly</v>
      </c>
      <c r="E454" s="49"/>
      <c r="F454" s="49"/>
      <c r="G454" s="49"/>
      <c r="H454" s="54" t="str">
        <f t="shared" si="1"/>
        <v>great,</v>
      </c>
      <c r="I454" s="50"/>
      <c r="J454" s="50" t="s">
        <v>228</v>
      </c>
      <c r="K454" s="50" t="s">
        <v>2417</v>
      </c>
      <c r="L454" s="49" t="str">
        <f>IFERROR(__xludf.DUMMYFUNCTION("""COMPUTED_VALUE"""),"starts")</f>
        <v>starts</v>
      </c>
      <c r="M454" s="49"/>
      <c r="N454" s="49" t="str">
        <f>IFERROR(__xludf.DUMMYFUNCTION("""COMPUTED_VALUE"""),"evident")</f>
        <v>evident</v>
      </c>
      <c r="O454" s="49" t="str">
        <f>IFERROR(__xludf.DUMMYFUNCTION("""COMPUTED_VALUE"""),"tunisian")</f>
        <v>tunisian</v>
      </c>
      <c r="P454" s="49" t="str">
        <f t="shared" si="2"/>
        <v>viewing,</v>
      </c>
      <c r="Q454" s="49"/>
      <c r="R454" s="50" t="s">
        <v>390</v>
      </c>
      <c r="S454" s="55" t="s">
        <v>2122</v>
      </c>
      <c r="T454" s="49" t="str">
        <f>IFERROR(__xludf.DUMMYFUNCTION("""COMPUTED_VALUE"""),"oh")</f>
        <v>oh</v>
      </c>
      <c r="U454" s="49"/>
      <c r="V454" s="49" t="str">
        <f>IFERROR(__xludf.DUMMYFUNCTION("""COMPUTED_VALUE"""),"kinds")</f>
        <v>kinds</v>
      </c>
      <c r="W454" s="49" t="str">
        <f>IFERROR(__xludf.DUMMYFUNCTION("""COMPUTED_VALUE"""),"assaults")</f>
        <v>assaults</v>
      </c>
      <c r="X454" s="49" t="str">
        <f t="shared" si="3"/>
        <v>harvard,</v>
      </c>
      <c r="Y454" s="49"/>
      <c r="Z454" s="1" t="s">
        <v>2490</v>
      </c>
      <c r="AA454" s="1" t="s">
        <v>1634</v>
      </c>
      <c r="AB454" s="49" t="str">
        <f>IFERROR(__xludf.DUMMYFUNCTION("""COMPUTED_VALUE"""),"fears")</f>
        <v>fears</v>
      </c>
      <c r="AC454" s="49"/>
      <c r="AD454" s="49" t="str">
        <f>IFERROR(__xludf.DUMMYFUNCTION("""COMPUTED_VALUE"""),"evident")</f>
        <v>evident</v>
      </c>
      <c r="AE454" s="49" t="str">
        <f>IFERROR(__xludf.DUMMYFUNCTION("""COMPUTED_VALUE"""),"tunisian")</f>
        <v>tunisian</v>
      </c>
      <c r="AF454" s="49" t="str">
        <f t="shared" si="4"/>
        <v>ultimately,</v>
      </c>
      <c r="AG454" s="49"/>
      <c r="AH454" s="1" t="s">
        <v>1540</v>
      </c>
      <c r="AI454" s="1" t="s">
        <v>1894</v>
      </c>
      <c r="AJ454" s="6" t="str">
        <f>IFERROR(__xludf.DUMMYFUNCTION("""COMPUTED_VALUE"""),"most")</f>
        <v>most</v>
      </c>
      <c r="AK454" s="49"/>
      <c r="AL454" s="49"/>
      <c r="AM454" s="49"/>
      <c r="AN454" s="52" t="str">
        <f t="shared" si="5"/>
        <v>m,</v>
      </c>
    </row>
    <row r="455">
      <c r="A455" s="51"/>
      <c r="B455" s="50" t="s">
        <v>892</v>
      </c>
      <c r="C455" s="50" t="s">
        <v>751</v>
      </c>
      <c r="D455" s="49" t="str">
        <f>IFERROR(__xludf.DUMMYFUNCTION("""COMPUTED_VALUE"""),"character")</f>
        <v>character</v>
      </c>
      <c r="E455" s="49"/>
      <c r="F455" s="49"/>
      <c r="G455" s="49"/>
      <c r="H455" s="54" t="str">
        <f t="shared" si="1"/>
        <v>turned,</v>
      </c>
      <c r="I455" s="50"/>
      <c r="J455" s="50" t="s">
        <v>1404</v>
      </c>
      <c r="K455" s="50" t="s">
        <v>1322</v>
      </c>
      <c r="L455" s="49" t="str">
        <f>IFERROR(__xludf.DUMMYFUNCTION("""COMPUTED_VALUE"""),"moves")</f>
        <v>moves</v>
      </c>
      <c r="M455" s="49"/>
      <c r="N455" s="49" t="str">
        <f>IFERROR(__xludf.DUMMYFUNCTION("""COMPUTED_VALUE"""),"di")</f>
        <v>di</v>
      </c>
      <c r="O455" s="49" t="str">
        <f>IFERROR(__xludf.DUMMYFUNCTION("""COMPUTED_VALUE"""),"startling")</f>
        <v>startling</v>
      </c>
      <c r="P455" s="49" t="str">
        <f t="shared" si="2"/>
        <v>member,</v>
      </c>
      <c r="Q455" s="49"/>
      <c r="R455" s="50" t="s">
        <v>1650</v>
      </c>
      <c r="S455" s="55" t="s">
        <v>6334</v>
      </c>
      <c r="T455" s="49" t="str">
        <f>IFERROR(__xludf.DUMMYFUNCTION("""COMPUTED_VALUE"""),"roll")</f>
        <v>roll</v>
      </c>
      <c r="U455" s="49"/>
      <c r="V455" s="49" t="str">
        <f>IFERROR(__xludf.DUMMYFUNCTION("""COMPUTED_VALUE"""),"hallmark")</f>
        <v>hallmark</v>
      </c>
      <c r="W455" s="49" t="str">
        <f>IFERROR(__xludf.DUMMYFUNCTION("""COMPUTED_VALUE"""),"realism")</f>
        <v>realism</v>
      </c>
      <c r="X455" s="49" t="str">
        <f t="shared" si="3"/>
        <v>played,</v>
      </c>
      <c r="Y455" s="49"/>
      <c r="Z455" s="1" t="s">
        <v>1497</v>
      </c>
      <c r="AA455" s="1" t="s">
        <v>2418</v>
      </c>
      <c r="AB455" s="49" t="str">
        <f>IFERROR(__xludf.DUMMYFUNCTION("""COMPUTED_VALUE"""),"innocent")</f>
        <v>innocent</v>
      </c>
      <c r="AC455" s="49"/>
      <c r="AD455" s="49" t="str">
        <f>IFERROR(__xludf.DUMMYFUNCTION("""COMPUTED_VALUE"""),"di")</f>
        <v>di</v>
      </c>
      <c r="AE455" s="49" t="str">
        <f>IFERROR(__xludf.DUMMYFUNCTION("""COMPUTED_VALUE"""),"startling")</f>
        <v>startling</v>
      </c>
      <c r="AF455" s="49" t="str">
        <f t="shared" si="4"/>
        <v>successful,</v>
      </c>
      <c r="AG455" s="49"/>
      <c r="AH455" s="1" t="s">
        <v>107</v>
      </c>
      <c r="AI455" s="1" t="s">
        <v>1617</v>
      </c>
      <c r="AJ455" s="6" t="str">
        <f>IFERROR(__xludf.DUMMYFUNCTION("""COMPUTED_VALUE"""),"second")</f>
        <v>second</v>
      </c>
      <c r="AK455" s="49"/>
      <c r="AL455" s="49"/>
      <c r="AM455" s="49"/>
      <c r="AN455" s="52" t="str">
        <f t="shared" si="5"/>
        <v>most,</v>
      </c>
    </row>
    <row r="456">
      <c r="A456" s="51"/>
      <c r="B456" s="50" t="s">
        <v>761</v>
      </c>
      <c r="C456" s="50" t="s">
        <v>869</v>
      </c>
      <c r="D456" s="49" t="str">
        <f>IFERROR(__xludf.DUMMYFUNCTION("""COMPUTED_VALUE"""),"reach")</f>
        <v>reach</v>
      </c>
      <c r="E456" s="49"/>
      <c r="F456" s="49"/>
      <c r="G456" s="49"/>
      <c r="H456" s="54" t="str">
        <f t="shared" si="1"/>
        <v>hands,</v>
      </c>
      <c r="I456" s="50"/>
      <c r="J456" s="50" t="s">
        <v>145</v>
      </c>
      <c r="K456" s="50" t="s">
        <v>1327</v>
      </c>
      <c r="L456" s="49" t="str">
        <f>IFERROR(__xludf.DUMMYFUNCTION("""COMPUTED_VALUE"""),"engages")</f>
        <v>engages</v>
      </c>
      <c r="M456" s="49"/>
      <c r="N456" s="49" t="str">
        <f>IFERROR(__xludf.DUMMYFUNCTION("""COMPUTED_VALUE"""),"rules")</f>
        <v>rules</v>
      </c>
      <c r="O456" s="49" t="str">
        <f>IFERROR(__xludf.DUMMYFUNCTION("""COMPUTED_VALUE"""),"transformation")</f>
        <v>transformation</v>
      </c>
      <c r="P456" s="49" t="str">
        <f t="shared" si="2"/>
        <v>intelligence,</v>
      </c>
      <c r="Q456" s="49"/>
      <c r="R456" s="50" t="s">
        <v>5088</v>
      </c>
      <c r="S456" s="55" t="s">
        <v>2128</v>
      </c>
      <c r="T456" s="49" t="str">
        <f>IFERROR(__xludf.DUMMYFUNCTION("""COMPUTED_VALUE"""),"rock")</f>
        <v>rock</v>
      </c>
      <c r="U456" s="49"/>
      <c r="V456" s="49" t="str">
        <f>IFERROR(__xludf.DUMMYFUNCTION("""COMPUTED_VALUE"""),"mommy")</f>
        <v>mommy</v>
      </c>
      <c r="W456" s="49" t="str">
        <f>IFERROR(__xludf.DUMMYFUNCTION("""COMPUTED_VALUE"""),"novak")</f>
        <v>novak</v>
      </c>
      <c r="X456" s="49" t="str">
        <f t="shared" si="3"/>
        <v>relationship,</v>
      </c>
      <c r="Y456" s="49"/>
      <c r="Z456" s="1" t="s">
        <v>2082</v>
      </c>
      <c r="AA456" s="1" t="s">
        <v>332</v>
      </c>
      <c r="AB456" s="49" t="str">
        <f>IFERROR(__xludf.DUMMYFUNCTION("""COMPUTED_VALUE"""),"sympathetic")</f>
        <v>sympathetic</v>
      </c>
      <c r="AC456" s="49"/>
      <c r="AD456" s="49" t="str">
        <f>IFERROR(__xludf.DUMMYFUNCTION("""COMPUTED_VALUE"""),"rules")</f>
        <v>rules</v>
      </c>
      <c r="AE456" s="49" t="str">
        <f>IFERROR(__xludf.DUMMYFUNCTION("""COMPUTED_VALUE"""),"transformation")</f>
        <v>transformation</v>
      </c>
      <c r="AF456" s="49" t="str">
        <f t="shared" si="4"/>
        <v>results,</v>
      </c>
      <c r="AG456" s="49"/>
      <c r="AH456" s="1" t="s">
        <v>1162</v>
      </c>
      <c r="AI456" s="1" t="s">
        <v>6324</v>
      </c>
      <c r="AJ456" s="6" t="str">
        <f>IFERROR(__xludf.DUMMYFUNCTION("""COMPUTED_VALUE"""),"large")</f>
        <v>large</v>
      </c>
      <c r="AK456" s="49"/>
      <c r="AL456" s="49"/>
      <c r="AM456" s="49"/>
      <c r="AN456" s="52" t="str">
        <f t="shared" si="5"/>
        <v>second,</v>
      </c>
    </row>
    <row r="457">
      <c r="A457" s="51"/>
      <c r="B457" s="50" t="s">
        <v>585</v>
      </c>
      <c r="C457" s="50" t="s">
        <v>1827</v>
      </c>
      <c r="D457" s="49" t="str">
        <f>IFERROR(__xludf.DUMMYFUNCTION("""COMPUTED_VALUE"""),"translation")</f>
        <v>translation</v>
      </c>
      <c r="E457" s="49"/>
      <c r="F457" s="49"/>
      <c r="G457" s="49"/>
      <c r="H457" s="54" t="str">
        <f t="shared" si="1"/>
        <v>ever,</v>
      </c>
      <c r="I457" s="50"/>
      <c r="J457" s="50" t="s">
        <v>5140</v>
      </c>
      <c r="K457" s="50" t="s">
        <v>1363</v>
      </c>
      <c r="L457" s="49" t="str">
        <f>IFERROR(__xludf.DUMMYFUNCTION("""COMPUTED_VALUE"""),"pitted")</f>
        <v>pitted</v>
      </c>
      <c r="M457" s="49"/>
      <c r="N457" s="49" t="str">
        <f>IFERROR(__xludf.DUMMYFUNCTION("""COMPUTED_VALUE"""),"learned")</f>
        <v>learned</v>
      </c>
      <c r="O457" s="49" t="str">
        <f>IFERROR(__xludf.DUMMYFUNCTION("""COMPUTED_VALUE"""),"drawn")</f>
        <v>drawn</v>
      </c>
      <c r="P457" s="49" t="str">
        <f t="shared" si="2"/>
        <v>physical,</v>
      </c>
      <c r="Q457" s="49"/>
      <c r="R457" s="50" t="s">
        <v>767</v>
      </c>
      <c r="S457" s="55" t="s">
        <v>2134</v>
      </c>
      <c r="T457" s="49" t="str">
        <f>IFERROR(__xludf.DUMMYFUNCTION("""COMPUTED_VALUE"""),"city")</f>
        <v>city</v>
      </c>
      <c r="U457" s="49"/>
      <c r="V457" s="49" t="str">
        <f>IFERROR(__xludf.DUMMYFUNCTION("""COMPUTED_VALUE"""),"anime")</f>
        <v>anime</v>
      </c>
      <c r="W457" s="49" t="str">
        <f>IFERROR(__xludf.DUMMYFUNCTION("""COMPUTED_VALUE"""),"accuracy")</f>
        <v>accuracy</v>
      </c>
      <c r="X457" s="49" t="str">
        <f t="shared" si="3"/>
        <v>rich,</v>
      </c>
      <c r="Y457" s="49"/>
      <c r="Z457" s="1" t="s">
        <v>6396</v>
      </c>
      <c r="AA457" s="1" t="s">
        <v>2424</v>
      </c>
      <c r="AB457" s="49" t="str">
        <f>IFERROR(__xludf.DUMMYFUNCTION("""COMPUTED_VALUE"""),"sexy")</f>
        <v>sexy</v>
      </c>
      <c r="AC457" s="49"/>
      <c r="AD457" s="49" t="str">
        <f>IFERROR(__xludf.DUMMYFUNCTION("""COMPUTED_VALUE"""),"learned")</f>
        <v>learned</v>
      </c>
      <c r="AE457" s="49" t="str">
        <f>IFERROR(__xludf.DUMMYFUNCTION("""COMPUTED_VALUE"""),"drawn")</f>
        <v>drawn</v>
      </c>
      <c r="AF457" s="49" t="str">
        <f t="shared" si="4"/>
        <v>various,</v>
      </c>
      <c r="AG457" s="49"/>
      <c r="AH457" s="1" t="s">
        <v>525</v>
      </c>
      <c r="AI457" s="1" t="s">
        <v>1623</v>
      </c>
      <c r="AJ457" s="6" t="str">
        <f>IFERROR(__xludf.DUMMYFUNCTION("""COMPUTED_VALUE"""),"sure")</f>
        <v>sure</v>
      </c>
      <c r="AK457" s="49"/>
      <c r="AL457" s="49"/>
      <c r="AM457" s="49"/>
      <c r="AN457" s="52" t="str">
        <f t="shared" si="5"/>
        <v>large,</v>
      </c>
    </row>
    <row r="458">
      <c r="A458" s="51"/>
      <c r="B458" s="50" t="s">
        <v>996</v>
      </c>
      <c r="C458" s="50" t="s">
        <v>1838</v>
      </c>
      <c r="D458" s="49" t="str">
        <f>IFERROR(__xludf.DUMMYFUNCTION("""COMPUTED_VALUE"""),"forces")</f>
        <v>forces</v>
      </c>
      <c r="E458" s="49"/>
      <c r="F458" s="49"/>
      <c r="G458" s="49"/>
      <c r="H458" s="54" t="str">
        <f t="shared" si="1"/>
        <v>enough,</v>
      </c>
      <c r="I458" s="50"/>
      <c r="J458" s="50" t="s">
        <v>1149</v>
      </c>
      <c r="K458" s="50" t="s">
        <v>1333</v>
      </c>
      <c r="L458" s="49" t="str">
        <f>IFERROR(__xludf.DUMMYFUNCTION("""COMPUTED_VALUE"""),"hate")</f>
        <v>hate</v>
      </c>
      <c r="M458" s="49"/>
      <c r="N458" s="49" t="str">
        <f>IFERROR(__xludf.DUMMYFUNCTION("""COMPUTED_VALUE"""),"tension")</f>
        <v>tension</v>
      </c>
      <c r="O458" s="49" t="str">
        <f>IFERROR(__xludf.DUMMYFUNCTION("""COMPUTED_VALUE"""),"soccer")</f>
        <v>soccer</v>
      </c>
      <c r="P458" s="49" t="str">
        <f t="shared" si="2"/>
        <v>expect,</v>
      </c>
      <c r="Q458" s="49"/>
      <c r="R458" s="50" t="s">
        <v>3222</v>
      </c>
      <c r="S458" s="55" t="s">
        <v>1181</v>
      </c>
      <c r="T458" s="49" t="str">
        <f>IFERROR(__xludf.DUMMYFUNCTION("""COMPUTED_VALUE"""),"wondering")</f>
        <v>wondering</v>
      </c>
      <c r="U458" s="49"/>
      <c r="V458" s="49" t="str">
        <f>IFERROR(__xludf.DUMMYFUNCTION("""COMPUTED_VALUE"""),"errors")</f>
        <v>errors</v>
      </c>
      <c r="W458" s="49" t="str">
        <f>IFERROR(__xludf.DUMMYFUNCTION("""COMPUTED_VALUE"""),"democracy")</f>
        <v>democracy</v>
      </c>
      <c r="X458" s="49" t="str">
        <f t="shared" si="3"/>
        <v>erotic,</v>
      </c>
      <c r="Y458" s="49"/>
      <c r="Z458" s="1" t="s">
        <v>670</v>
      </c>
      <c r="AA458" s="1" t="s">
        <v>1646</v>
      </c>
      <c r="AB458" s="49" t="str">
        <f>IFERROR(__xludf.DUMMYFUNCTION("""COMPUTED_VALUE"""),"mild")</f>
        <v>mild</v>
      </c>
      <c r="AC458" s="49"/>
      <c r="AD458" s="49" t="str">
        <f>IFERROR(__xludf.DUMMYFUNCTION("""COMPUTED_VALUE"""),"tension")</f>
        <v>tension</v>
      </c>
      <c r="AE458" s="49" t="str">
        <f>IFERROR(__xludf.DUMMYFUNCTION("""COMPUTED_VALUE"""),"soccer")</f>
        <v>soccer</v>
      </c>
      <c r="AF458" s="49" t="str">
        <f t="shared" si="4"/>
        <v>would,</v>
      </c>
      <c r="AG458" s="49"/>
      <c r="AH458" s="1" t="s">
        <v>6328</v>
      </c>
      <c r="AI458" s="1" t="s">
        <v>2936</v>
      </c>
      <c r="AJ458" s="6" t="str">
        <f>IFERROR(__xludf.DUMMYFUNCTION("""COMPUTED_VALUE"""),"green")</f>
        <v>green</v>
      </c>
      <c r="AK458" s="49"/>
      <c r="AL458" s="49"/>
      <c r="AM458" s="49"/>
      <c r="AN458" s="52" t="str">
        <f t="shared" si="5"/>
        <v>sure,</v>
      </c>
    </row>
    <row r="459">
      <c r="A459" s="51"/>
      <c r="B459" s="50" t="s">
        <v>3729</v>
      </c>
      <c r="C459" s="50" t="s">
        <v>4663</v>
      </c>
      <c r="D459" s="49" t="str">
        <f>IFERROR(__xludf.DUMMYFUNCTION("""COMPUTED_VALUE"""),"speak")</f>
        <v>speak</v>
      </c>
      <c r="E459" s="49"/>
      <c r="F459" s="49"/>
      <c r="G459" s="49"/>
      <c r="H459" s="54" t="str">
        <f t="shared" si="1"/>
        <v>player,</v>
      </c>
      <c r="I459" s="50"/>
      <c r="J459" s="50" t="s">
        <v>3815</v>
      </c>
      <c r="K459" s="50" t="s">
        <v>1011</v>
      </c>
      <c r="L459" s="49" t="str">
        <f>IFERROR(__xludf.DUMMYFUNCTION("""COMPUTED_VALUE"""),"romance")</f>
        <v>romance</v>
      </c>
      <c r="M459" s="49"/>
      <c r="N459" s="56">
        <f>IFERROR(__xludf.DUMMYFUNCTION("""COMPUTED_VALUE"""),35.0)</f>
        <v>35</v>
      </c>
      <c r="O459" s="49" t="str">
        <f>IFERROR(__xludf.DUMMYFUNCTION("""COMPUTED_VALUE"""),"stab")</f>
        <v>stab</v>
      </c>
      <c r="P459" s="49" t="str">
        <f t="shared" si="2"/>
        <v>wave,</v>
      </c>
      <c r="Q459" s="49"/>
      <c r="R459" s="50" t="s">
        <v>1131</v>
      </c>
      <c r="S459" s="55" t="s">
        <v>1119</v>
      </c>
      <c r="T459" s="49" t="str">
        <f>IFERROR(__xludf.DUMMYFUNCTION("""COMPUTED_VALUE"""),"minds")</f>
        <v>minds</v>
      </c>
      <c r="U459" s="49"/>
      <c r="V459" s="49" t="str">
        <f>IFERROR(__xludf.DUMMYFUNCTION("""COMPUTED_VALUE"""),"alive")</f>
        <v>alive</v>
      </c>
      <c r="W459" s="49" t="str">
        <f>IFERROR(__xludf.DUMMYFUNCTION("""COMPUTED_VALUE"""),"episodes")</f>
        <v>episodes</v>
      </c>
      <c r="X459" s="49" t="str">
        <f t="shared" si="3"/>
        <v>directed,</v>
      </c>
      <c r="Y459" s="49"/>
      <c r="Z459" s="1" t="s">
        <v>2725</v>
      </c>
      <c r="AA459" s="1" t="s">
        <v>634</v>
      </c>
      <c r="AB459" s="49" t="str">
        <f>IFERROR(__xludf.DUMMYFUNCTION("""COMPUTED_VALUE"""),"gangster")</f>
        <v>gangster</v>
      </c>
      <c r="AC459" s="49"/>
      <c r="AD459" s="56">
        <f>IFERROR(__xludf.DUMMYFUNCTION("""COMPUTED_VALUE"""),35.0)</f>
        <v>35</v>
      </c>
      <c r="AE459" s="49" t="str">
        <f>IFERROR(__xludf.DUMMYFUNCTION("""COMPUTED_VALUE"""),"stab")</f>
        <v>stab</v>
      </c>
      <c r="AF459" s="49" t="str">
        <f t="shared" si="4"/>
        <v>whatever,</v>
      </c>
      <c r="AG459" s="49"/>
      <c r="AH459" s="1" t="s">
        <v>2386</v>
      </c>
      <c r="AI459" s="1" t="s">
        <v>610</v>
      </c>
      <c r="AJ459" s="6" t="str">
        <f>IFERROR(__xludf.DUMMYFUNCTION("""COMPUTED_VALUE"""),"earth")</f>
        <v>earth</v>
      </c>
      <c r="AK459" s="49"/>
      <c r="AL459" s="49"/>
      <c r="AM459" s="49"/>
      <c r="AN459" s="52" t="str">
        <f t="shared" si="5"/>
        <v>green,</v>
      </c>
    </row>
    <row r="460">
      <c r="A460" s="51"/>
      <c r="B460" s="50" t="s">
        <v>2869</v>
      </c>
      <c r="C460" s="50" t="s">
        <v>2073</v>
      </c>
      <c r="D460" s="49" t="str">
        <f>IFERROR(__xludf.DUMMYFUNCTION("""COMPUTED_VALUE"""),"large")</f>
        <v>large</v>
      </c>
      <c r="E460" s="49"/>
      <c r="F460" s="49"/>
      <c r="G460" s="49"/>
      <c r="H460" s="54" t="str">
        <f t="shared" si="1"/>
        <v>feet,</v>
      </c>
      <c r="I460" s="50"/>
      <c r="J460" s="50" t="s">
        <v>827</v>
      </c>
      <c r="K460" s="50" t="s">
        <v>2434</v>
      </c>
      <c r="L460" s="49" t="str">
        <f>IFERROR(__xludf.DUMMYFUNCTION("""COMPUTED_VALUE"""),"trying")</f>
        <v>trying</v>
      </c>
      <c r="M460" s="49"/>
      <c r="N460" s="49">
        <f>IFERROR(__xludf.DUMMYFUNCTION("""COMPUTED_VALUE"""),5.0)</f>
        <v>5</v>
      </c>
      <c r="O460" s="49" t="str">
        <f>IFERROR(__xludf.DUMMYFUNCTION("""COMPUTED_VALUE"""),"festival")</f>
        <v>festival</v>
      </c>
      <c r="P460" s="49" t="str">
        <f t="shared" si="2"/>
        <v>our,</v>
      </c>
      <c r="Q460" s="49"/>
      <c r="R460" s="50" t="s">
        <v>3066</v>
      </c>
      <c r="S460" s="55" t="s">
        <v>2138</v>
      </c>
      <c r="T460" s="49" t="str">
        <f>IFERROR(__xludf.DUMMYFUNCTION("""COMPUTED_VALUE"""),"formula")</f>
        <v>formula</v>
      </c>
      <c r="U460" s="49"/>
      <c r="V460" s="49" t="str">
        <f>IFERROR(__xludf.DUMMYFUNCTION("""COMPUTED_VALUE"""),"study")</f>
        <v>study</v>
      </c>
      <c r="W460" s="49" t="str">
        <f>IFERROR(__xludf.DUMMYFUNCTION("""COMPUTED_VALUE"""),"trek")</f>
        <v>trek</v>
      </c>
      <c r="X460" s="49" t="str">
        <f t="shared" si="3"/>
        <v>star,</v>
      </c>
      <c r="Y460" s="49"/>
      <c r="Z460" s="1" t="s">
        <v>1389</v>
      </c>
      <c r="AA460" s="1" t="s">
        <v>2431</v>
      </c>
      <c r="AB460" s="49" t="str">
        <f>IFERROR(__xludf.DUMMYFUNCTION("""COMPUTED_VALUE"""),"hopkins")</f>
        <v>hopkins</v>
      </c>
      <c r="AC460" s="49"/>
      <c r="AD460" s="49">
        <f>IFERROR(__xludf.DUMMYFUNCTION("""COMPUTED_VALUE"""),5.0)</f>
        <v>5</v>
      </c>
      <c r="AE460" s="49" t="str">
        <f>IFERROR(__xludf.DUMMYFUNCTION("""COMPUTED_VALUE"""),"festival")</f>
        <v>festival</v>
      </c>
      <c r="AF460" s="49" t="str">
        <f t="shared" si="4"/>
        <v>third,</v>
      </c>
      <c r="AG460" s="49"/>
      <c r="AH460" s="1" t="s">
        <v>6421</v>
      </c>
      <c r="AI460" s="1" t="s">
        <v>938</v>
      </c>
      <c r="AJ460" s="6" t="str">
        <f>IFERROR(__xludf.DUMMYFUNCTION("""COMPUTED_VALUE"""),"saying")</f>
        <v>saying</v>
      </c>
      <c r="AK460" s="49"/>
      <c r="AL460" s="49"/>
      <c r="AM460" s="49"/>
      <c r="AN460" s="52" t="str">
        <f t="shared" si="5"/>
        <v>earth,</v>
      </c>
    </row>
    <row r="461">
      <c r="A461" s="51"/>
      <c r="B461" s="50" t="s">
        <v>2089</v>
      </c>
      <c r="C461" s="50" t="s">
        <v>599</v>
      </c>
      <c r="D461" s="49" t="str">
        <f>IFERROR(__xludf.DUMMYFUNCTION("""COMPUTED_VALUE"""),"considerable")</f>
        <v>considerable</v>
      </c>
      <c r="E461" s="49"/>
      <c r="F461" s="49"/>
      <c r="G461" s="49"/>
      <c r="H461" s="54" t="str">
        <f t="shared" si="1"/>
        <v>friend,</v>
      </c>
      <c r="I461" s="50"/>
      <c r="J461" s="50" t="s">
        <v>3674</v>
      </c>
      <c r="K461" s="50" t="s">
        <v>2436</v>
      </c>
      <c r="L461" s="49" t="str">
        <f>IFERROR(__xludf.DUMMYFUNCTION("""COMPUTED_VALUE"""),"attractive")</f>
        <v>attractive</v>
      </c>
      <c r="M461" s="49"/>
      <c r="N461" s="49" t="str">
        <f>IFERROR(__xludf.DUMMYFUNCTION("""COMPUTED_VALUE"""),"stu")</f>
        <v>stu</v>
      </c>
      <c r="O461" s="49" t="str">
        <f>IFERROR(__xludf.DUMMYFUNCTION("""COMPUTED_VALUE"""),"consumed")</f>
        <v>consumed</v>
      </c>
      <c r="P461" s="49" t="str">
        <f t="shared" si="2"/>
        <v>appropriately,</v>
      </c>
      <c r="Q461" s="49"/>
      <c r="R461" s="50" t="s">
        <v>2561</v>
      </c>
      <c r="S461" s="55" t="s">
        <v>1916</v>
      </c>
      <c r="T461" s="49" t="str">
        <f>IFERROR(__xludf.DUMMYFUNCTION("""COMPUTED_VALUE"""),"strong")</f>
        <v>strong</v>
      </c>
      <c r="U461" s="49"/>
      <c r="V461" s="49" t="str">
        <f>IFERROR(__xludf.DUMMYFUNCTION("""COMPUTED_VALUE"""),"conscious")</f>
        <v>conscious</v>
      </c>
      <c r="W461" s="49" t="str">
        <f>IFERROR(__xludf.DUMMYFUNCTION("""COMPUTED_VALUE"""),"devotees")</f>
        <v>devotees</v>
      </c>
      <c r="X461" s="49" t="str">
        <f t="shared" si="3"/>
        <v>impression,</v>
      </c>
      <c r="Y461" s="49"/>
      <c r="Z461" s="1" t="s">
        <v>847</v>
      </c>
      <c r="AA461" s="1" t="s">
        <v>408</v>
      </c>
      <c r="AB461" s="49" t="str">
        <f>IFERROR(__xludf.DUMMYFUNCTION("""COMPUTED_VALUE"""),"foul")</f>
        <v>foul</v>
      </c>
      <c r="AC461" s="49"/>
      <c r="AD461" s="49" t="str">
        <f>IFERROR(__xludf.DUMMYFUNCTION("""COMPUTED_VALUE"""),"stu")</f>
        <v>stu</v>
      </c>
      <c r="AE461" s="49" t="str">
        <f>IFERROR(__xludf.DUMMYFUNCTION("""COMPUTED_VALUE"""),"consumed")</f>
        <v>consumed</v>
      </c>
      <c r="AF461" s="49" t="str">
        <f t="shared" si="4"/>
        <v>kind,</v>
      </c>
      <c r="AG461" s="49"/>
      <c r="AH461" s="1" t="s">
        <v>6479</v>
      </c>
      <c r="AI461" s="1" t="s">
        <v>2529</v>
      </c>
      <c r="AJ461" s="6" t="str">
        <f>IFERROR(__xludf.DUMMYFUNCTION("""COMPUTED_VALUE"""),"novel")</f>
        <v>novel</v>
      </c>
      <c r="AK461" s="49"/>
      <c r="AL461" s="49"/>
      <c r="AM461" s="49"/>
      <c r="AN461" s="52" t="str">
        <f t="shared" si="5"/>
        <v>saying,</v>
      </c>
    </row>
    <row r="462">
      <c r="A462" s="51"/>
      <c r="B462" s="50" t="s">
        <v>1257</v>
      </c>
      <c r="C462" s="50" t="s">
        <v>1060</v>
      </c>
      <c r="D462" s="49" t="str">
        <f>IFERROR(__xludf.DUMMYFUNCTION("""COMPUTED_VALUE"""),"spaces")</f>
        <v>spaces</v>
      </c>
      <c r="E462" s="49"/>
      <c r="F462" s="49"/>
      <c r="G462" s="49"/>
      <c r="H462" s="54" t="str">
        <f t="shared" si="1"/>
        <v>minutes,</v>
      </c>
      <c r="I462" s="50"/>
      <c r="J462" s="50" t="s">
        <v>1434</v>
      </c>
      <c r="K462" s="50" t="s">
        <v>2167</v>
      </c>
      <c r="L462" s="49" t="str">
        <f>IFERROR(__xludf.DUMMYFUNCTION("""COMPUTED_VALUE"""),"comparison")</f>
        <v>comparison</v>
      </c>
      <c r="M462" s="49"/>
      <c r="N462" s="49" t="str">
        <f>IFERROR(__xludf.DUMMYFUNCTION("""COMPUTED_VALUE"""),"talent")</f>
        <v>talent</v>
      </c>
      <c r="O462" s="49" t="str">
        <f>IFERROR(__xludf.DUMMYFUNCTION("""COMPUTED_VALUE"""),"george")</f>
        <v>george</v>
      </c>
      <c r="P462" s="49" t="str">
        <f t="shared" si="2"/>
        <v>culture,</v>
      </c>
      <c r="Q462" s="49"/>
      <c r="R462" s="50" t="s">
        <v>591</v>
      </c>
      <c r="S462" s="55" t="s">
        <v>208</v>
      </c>
      <c r="T462" s="49" t="str">
        <f>IFERROR(__xludf.DUMMYFUNCTION("""COMPUTED_VALUE"""),"bears")</f>
        <v>bears</v>
      </c>
      <c r="U462" s="49"/>
      <c r="V462" s="49" t="str">
        <f>IFERROR(__xludf.DUMMYFUNCTION("""COMPUTED_VALUE"""),"updates")</f>
        <v>updates</v>
      </c>
      <c r="W462" s="49" t="str">
        <f>IFERROR(__xludf.DUMMYFUNCTION("""COMPUTED_VALUE"""),"bile")</f>
        <v>bile</v>
      </c>
      <c r="X462" s="49" t="str">
        <f t="shared" si="3"/>
        <v>robert,</v>
      </c>
      <c r="Y462" s="49"/>
      <c r="Z462" s="1" t="s">
        <v>5407</v>
      </c>
      <c r="AA462" s="1" t="s">
        <v>641</v>
      </c>
      <c r="AB462" s="49" t="str">
        <f>IFERROR(__xludf.DUMMYFUNCTION("""COMPUTED_VALUE"""),"overly")</f>
        <v>overly</v>
      </c>
      <c r="AC462" s="49"/>
      <c r="AD462" s="49" t="str">
        <f>IFERROR(__xludf.DUMMYFUNCTION("""COMPUTED_VALUE"""),"talent")</f>
        <v>talent</v>
      </c>
      <c r="AE462" s="49" t="str">
        <f>IFERROR(__xludf.DUMMYFUNCTION("""COMPUTED_VALUE"""),"george")</f>
        <v>george</v>
      </c>
      <c r="AF462" s="49" t="str">
        <f t="shared" si="4"/>
        <v>considering,</v>
      </c>
      <c r="AG462" s="49"/>
      <c r="AH462" s="1" t="s">
        <v>4305</v>
      </c>
      <c r="AI462" s="1" t="s">
        <v>1331</v>
      </c>
      <c r="AJ462" s="6" t="str">
        <f>IFERROR(__xludf.DUMMYFUNCTION("""COMPUTED_VALUE"""),"guy")</f>
        <v>guy</v>
      </c>
      <c r="AK462" s="49"/>
      <c r="AL462" s="49"/>
      <c r="AM462" s="49"/>
      <c r="AN462" s="52" t="str">
        <f t="shared" si="5"/>
        <v>novel,</v>
      </c>
    </row>
    <row r="463">
      <c r="A463" s="51"/>
      <c r="B463" s="50" t="s">
        <v>1847</v>
      </c>
      <c r="C463" s="50" t="s">
        <v>344</v>
      </c>
      <c r="D463" s="49" t="str">
        <f>IFERROR(__xludf.DUMMYFUNCTION("""COMPUTED_VALUE"""),"flat")</f>
        <v>flat</v>
      </c>
      <c r="E463" s="49"/>
      <c r="F463" s="49"/>
      <c r="G463" s="49"/>
      <c r="H463" s="54" t="str">
        <f t="shared" si="1"/>
        <v>grand,</v>
      </c>
      <c r="I463" s="50"/>
      <c r="J463" s="50" t="s">
        <v>1823</v>
      </c>
      <c r="K463" s="50" t="s">
        <v>2441</v>
      </c>
      <c r="L463" s="49" t="str">
        <f>IFERROR(__xludf.DUMMYFUNCTION("""COMPUTED_VALUE"""),"strangely")</f>
        <v>strangely</v>
      </c>
      <c r="M463" s="49"/>
      <c r="N463" s="49" t="str">
        <f>IFERROR(__xludf.DUMMYFUNCTION("""COMPUTED_VALUE"""),"christmas")</f>
        <v>christmas</v>
      </c>
      <c r="O463" s="49" t="str">
        <f>IFERROR(__xludf.DUMMYFUNCTION("""COMPUTED_VALUE"""),"goodness")</f>
        <v>goodness</v>
      </c>
      <c r="P463" s="49" t="str">
        <f t="shared" si="2"/>
        <v>cell,</v>
      </c>
      <c r="Q463" s="49"/>
      <c r="R463" s="50" t="s">
        <v>398</v>
      </c>
      <c r="S463" s="55" t="s">
        <v>375</v>
      </c>
      <c r="T463" s="49" t="str">
        <f>IFERROR(__xludf.DUMMYFUNCTION("""COMPUTED_VALUE"""),"steve")</f>
        <v>steve</v>
      </c>
      <c r="U463" s="49"/>
      <c r="V463" s="49" t="str">
        <f>IFERROR(__xludf.DUMMYFUNCTION("""COMPUTED_VALUE"""),"lesson")</f>
        <v>lesson</v>
      </c>
      <c r="W463" s="49" t="str">
        <f>IFERROR(__xludf.DUMMYFUNCTION("""COMPUTED_VALUE"""),"faulty")</f>
        <v>faulty</v>
      </c>
      <c r="X463" s="49" t="str">
        <f t="shared" si="3"/>
        <v>powerful,</v>
      </c>
      <c r="Y463" s="49"/>
      <c r="Z463" s="1" t="s">
        <v>900</v>
      </c>
      <c r="AA463" s="1" t="s">
        <v>1614</v>
      </c>
      <c r="AB463" s="49" t="str">
        <f>IFERROR(__xludf.DUMMYFUNCTION("""COMPUTED_VALUE"""),"innovation")</f>
        <v>innovation</v>
      </c>
      <c r="AC463" s="49"/>
      <c r="AD463" s="49" t="str">
        <f>IFERROR(__xludf.DUMMYFUNCTION("""COMPUTED_VALUE"""),"christmas")</f>
        <v>christmas</v>
      </c>
      <c r="AE463" s="49" t="str">
        <f>IFERROR(__xludf.DUMMYFUNCTION("""COMPUTED_VALUE"""),"goodness")</f>
        <v>goodness</v>
      </c>
      <c r="AF463" s="49" t="str">
        <f t="shared" si="4"/>
        <v>said,</v>
      </c>
      <c r="AG463" s="49"/>
      <c r="AH463" s="1" t="s">
        <v>5670</v>
      </c>
      <c r="AI463" s="1" t="s">
        <v>1655</v>
      </c>
      <c r="AJ463" s="6" t="str">
        <f>IFERROR(__xludf.DUMMYFUNCTION("""COMPUTED_VALUE"""),"starting")</f>
        <v>starting</v>
      </c>
      <c r="AK463" s="49"/>
      <c r="AL463" s="49"/>
      <c r="AM463" s="49"/>
      <c r="AN463" s="52" t="str">
        <f t="shared" si="5"/>
        <v>guy,</v>
      </c>
    </row>
    <row r="464">
      <c r="A464" s="51"/>
      <c r="B464" s="50" t="s">
        <v>1181</v>
      </c>
      <c r="C464" s="50" t="s">
        <v>1845</v>
      </c>
      <c r="D464" s="49" t="str">
        <f>IFERROR(__xludf.DUMMYFUNCTION("""COMPUTED_VALUE"""),"largely")</f>
        <v>largely</v>
      </c>
      <c r="E464" s="49"/>
      <c r="F464" s="49"/>
      <c r="G464" s="49"/>
      <c r="H464" s="54" t="str">
        <f t="shared" si="1"/>
        <v>actually,</v>
      </c>
      <c r="I464" s="50"/>
      <c r="J464" s="50" t="s">
        <v>3874</v>
      </c>
      <c r="K464" s="50" t="s">
        <v>1038</v>
      </c>
      <c r="L464" s="49" t="str">
        <f>IFERROR(__xludf.DUMMYFUNCTION("""COMPUTED_VALUE"""),"land")</f>
        <v>land</v>
      </c>
      <c r="M464" s="49"/>
      <c r="N464" s="49" t="str">
        <f>IFERROR(__xludf.DUMMYFUNCTION("""COMPUTED_VALUE"""),"phenomena")</f>
        <v>phenomena</v>
      </c>
      <c r="O464" s="49" t="str">
        <f>IFERROR(__xludf.DUMMYFUNCTION("""COMPUTED_VALUE"""),"devoid")</f>
        <v>devoid</v>
      </c>
      <c r="P464" s="49" t="str">
        <f t="shared" si="2"/>
        <v>beloved,</v>
      </c>
      <c r="Q464" s="49"/>
      <c r="R464" s="50" t="s">
        <v>4307</v>
      </c>
      <c r="S464" s="55" t="s">
        <v>2153</v>
      </c>
      <c r="T464" s="49" t="str">
        <f>IFERROR(__xludf.DUMMYFUNCTION("""COMPUTED_VALUE"""),"soccer")</f>
        <v>soccer</v>
      </c>
      <c r="U464" s="49"/>
      <c r="V464" s="49" t="str">
        <f>IFERROR(__xludf.DUMMYFUNCTION("""COMPUTED_VALUE"""),"concern")</f>
        <v>concern</v>
      </c>
      <c r="W464" s="49" t="str">
        <f>IFERROR(__xludf.DUMMYFUNCTION("""COMPUTED_VALUE"""),"skill")</f>
        <v>skill</v>
      </c>
      <c r="X464" s="49" t="str">
        <f t="shared" si="3"/>
        <v>jack,</v>
      </c>
      <c r="Y464" s="49"/>
      <c r="Z464" s="1" t="s">
        <v>6247</v>
      </c>
      <c r="AA464" s="1" t="s">
        <v>418</v>
      </c>
      <c r="AB464" s="49" t="str">
        <f>IFERROR(__xludf.DUMMYFUNCTION("""COMPUTED_VALUE"""),"consistently")</f>
        <v>consistently</v>
      </c>
      <c r="AC464" s="49"/>
      <c r="AD464" s="49" t="str">
        <f>IFERROR(__xludf.DUMMYFUNCTION("""COMPUTED_VALUE"""),"phenomena")</f>
        <v>phenomena</v>
      </c>
      <c r="AE464" s="49" t="str">
        <f>IFERROR(__xludf.DUMMYFUNCTION("""COMPUTED_VALUE"""),"devoid")</f>
        <v>devoid</v>
      </c>
      <c r="AF464" s="49" t="str">
        <f t="shared" si="4"/>
        <v>nothing,</v>
      </c>
      <c r="AG464" s="49"/>
      <c r="AH464" s="1" t="s">
        <v>2500</v>
      </c>
      <c r="AI464" s="1" t="s">
        <v>887</v>
      </c>
      <c r="AJ464" s="6" t="str">
        <f>IFERROR(__xludf.DUMMYFUNCTION("""COMPUTED_VALUE"""),"stars")</f>
        <v>stars</v>
      </c>
      <c r="AK464" s="49"/>
      <c r="AL464" s="49"/>
      <c r="AM464" s="49"/>
      <c r="AN464" s="52" t="str">
        <f t="shared" si="5"/>
        <v>starting,</v>
      </c>
    </row>
    <row r="465">
      <c r="A465" s="51"/>
      <c r="B465" s="50" t="s">
        <v>4029</v>
      </c>
      <c r="C465" s="50" t="s">
        <v>6332</v>
      </c>
      <c r="D465" s="49" t="str">
        <f>IFERROR(__xludf.DUMMYFUNCTION("""COMPUTED_VALUE"""),"awful")</f>
        <v>awful</v>
      </c>
      <c r="E465" s="49"/>
      <c r="F465" s="49"/>
      <c r="G465" s="49"/>
      <c r="H465" s="54" t="str">
        <f t="shared" si="1"/>
        <v>kill,</v>
      </c>
      <c r="I465" s="50"/>
      <c r="J465" s="50" t="s">
        <v>859</v>
      </c>
      <c r="K465" s="50" t="s">
        <v>1345</v>
      </c>
      <c r="L465" s="49" t="str">
        <f>IFERROR(__xludf.DUMMYFUNCTION("""COMPUTED_VALUE"""),"psycho")</f>
        <v>psycho</v>
      </c>
      <c r="M465" s="49"/>
      <c r="N465" s="49" t="str">
        <f>IFERROR(__xludf.DUMMYFUNCTION("""COMPUTED_VALUE"""),"strip")</f>
        <v>strip</v>
      </c>
      <c r="O465" s="49" t="str">
        <f>IFERROR(__xludf.DUMMYFUNCTION("""COMPUTED_VALUE"""),"fatal")</f>
        <v>fatal</v>
      </c>
      <c r="P465" s="49" t="str">
        <f t="shared" si="2"/>
        <v>dubbed,</v>
      </c>
      <c r="Q465" s="49"/>
      <c r="R465" s="50" t="s">
        <v>4713</v>
      </c>
      <c r="S465" s="55" t="s">
        <v>1053</v>
      </c>
      <c r="T465" s="49" t="str">
        <f>IFERROR(__xludf.DUMMYFUNCTION("""COMPUTED_VALUE"""),"respect")</f>
        <v>respect</v>
      </c>
      <c r="U465" s="49"/>
      <c r="V465" s="49" t="str">
        <f>IFERROR(__xludf.DUMMYFUNCTION("""COMPUTED_VALUE"""),"ta")</f>
        <v>ta</v>
      </c>
      <c r="W465" s="49" t="str">
        <f>IFERROR(__xludf.DUMMYFUNCTION("""COMPUTED_VALUE"""),"vampire")</f>
        <v>vampire</v>
      </c>
      <c r="X465" s="49" t="str">
        <f t="shared" si="3"/>
        <v>decade,</v>
      </c>
      <c r="Y465" s="49"/>
      <c r="Z465" s="1" t="s">
        <v>3200</v>
      </c>
      <c r="AA465" s="1" t="s">
        <v>1022</v>
      </c>
      <c r="AB465" s="49" t="str">
        <f>IFERROR(__xludf.DUMMYFUNCTION("""COMPUTED_VALUE"""),"surprisingly")</f>
        <v>surprisingly</v>
      </c>
      <c r="AC465" s="49"/>
      <c r="AD465" s="49" t="str">
        <f>IFERROR(__xludf.DUMMYFUNCTION("""COMPUTED_VALUE"""),"strip")</f>
        <v>strip</v>
      </c>
      <c r="AE465" s="49" t="str">
        <f>IFERROR(__xludf.DUMMYFUNCTION("""COMPUTED_VALUE"""),"fatal")</f>
        <v>fatal</v>
      </c>
      <c r="AF465" s="49" t="str">
        <f t="shared" si="4"/>
        <v>mix,</v>
      </c>
      <c r="AG465" s="49"/>
      <c r="AH465" s="1" t="s">
        <v>1576</v>
      </c>
      <c r="AI465" s="1" t="s">
        <v>1997</v>
      </c>
      <c r="AJ465" s="6" t="str">
        <f>IFERROR(__xludf.DUMMYFUNCTION("""COMPUTED_VALUE"""),"beautiful")</f>
        <v>beautiful</v>
      </c>
      <c r="AK465" s="49"/>
      <c r="AL465" s="49"/>
      <c r="AM465" s="49"/>
      <c r="AN465" s="52" t="str">
        <f t="shared" si="5"/>
        <v>stars,</v>
      </c>
    </row>
    <row r="466">
      <c r="A466" s="51"/>
      <c r="B466" s="50" t="s">
        <v>5358</v>
      </c>
      <c r="C466" s="50" t="s">
        <v>2093</v>
      </c>
      <c r="D466" s="49" t="str">
        <f>IFERROR(__xludf.DUMMYFUNCTION("""COMPUTED_VALUE"""),"told")</f>
        <v>told</v>
      </c>
      <c r="E466" s="49"/>
      <c r="F466" s="49"/>
      <c r="G466" s="49"/>
      <c r="H466" s="54" t="str">
        <f t="shared" si="1"/>
        <v>twenty,</v>
      </c>
      <c r="I466" s="50"/>
      <c r="J466" s="50" t="s">
        <v>1265</v>
      </c>
      <c r="K466" s="50" t="s">
        <v>1395</v>
      </c>
      <c r="L466" s="49" t="str">
        <f>IFERROR(__xludf.DUMMYFUNCTION("""COMPUTED_VALUE"""),"amounts")</f>
        <v>amounts</v>
      </c>
      <c r="M466" s="49"/>
      <c r="N466" s="49" t="str">
        <f>IFERROR(__xludf.DUMMYFUNCTION("""COMPUTED_VALUE"""),"standard")</f>
        <v>standard</v>
      </c>
      <c r="O466" s="49" t="str">
        <f>IFERROR(__xludf.DUMMYFUNCTION("""COMPUTED_VALUE"""),"desperation")</f>
        <v>desperation</v>
      </c>
      <c r="P466" s="49" t="str">
        <f t="shared" si="2"/>
        <v>town,</v>
      </c>
      <c r="Q466" s="49"/>
      <c r="R466" s="50" t="s">
        <v>1763</v>
      </c>
      <c r="S466" s="55" t="s">
        <v>6335</v>
      </c>
      <c r="T466" s="49" t="str">
        <f>IFERROR(__xludf.DUMMYFUNCTION("""COMPUTED_VALUE"""),"showdown")</f>
        <v>showdown</v>
      </c>
      <c r="U466" s="49"/>
      <c r="V466" s="49" t="str">
        <f>IFERROR(__xludf.DUMMYFUNCTION("""COMPUTED_VALUE"""),"corners")</f>
        <v>corners</v>
      </c>
      <c r="W466" s="49" t="str">
        <f>IFERROR(__xludf.DUMMYFUNCTION("""COMPUTED_VALUE"""),"bela")</f>
        <v>bela</v>
      </c>
      <c r="X466" s="49" t="str">
        <f t="shared" si="3"/>
        <v>released,</v>
      </c>
      <c r="Y466" s="49"/>
      <c r="Z466" s="1" t="s">
        <v>3668</v>
      </c>
      <c r="AA466" s="1" t="s">
        <v>325</v>
      </c>
      <c r="AB466" s="49" t="str">
        <f>IFERROR(__xludf.DUMMYFUNCTION("""COMPUTED_VALUE"""),"particularly")</f>
        <v>particularly</v>
      </c>
      <c r="AC466" s="49"/>
      <c r="AD466" s="49" t="str">
        <f>IFERROR(__xludf.DUMMYFUNCTION("""COMPUTED_VALUE"""),"standard")</f>
        <v>standard</v>
      </c>
      <c r="AE466" s="49" t="str">
        <f>IFERROR(__xludf.DUMMYFUNCTION("""COMPUTED_VALUE"""),"desperation")</f>
        <v>desperation</v>
      </c>
      <c r="AF466" s="49" t="str">
        <f t="shared" si="4"/>
        <v>hope,</v>
      </c>
      <c r="AG466" s="49"/>
      <c r="AH466" s="1" t="s">
        <v>98</v>
      </c>
      <c r="AI466" s="1" t="s">
        <v>1669</v>
      </c>
      <c r="AJ466" s="6" t="str">
        <f>IFERROR(__xludf.DUMMYFUNCTION("""COMPUTED_VALUE"""),"minor")</f>
        <v>minor</v>
      </c>
      <c r="AK466" s="49"/>
      <c r="AL466" s="49"/>
      <c r="AM466" s="49"/>
      <c r="AN466" s="52" t="str">
        <f t="shared" si="5"/>
        <v>beautiful,</v>
      </c>
    </row>
    <row r="467">
      <c r="A467" s="51"/>
      <c r="B467" s="50" t="s">
        <v>1555</v>
      </c>
      <c r="C467" s="50" t="s">
        <v>990</v>
      </c>
      <c r="D467" s="49" t="str">
        <f>IFERROR(__xludf.DUMMYFUNCTION("""COMPUTED_VALUE"""),"fashion")</f>
        <v>fashion</v>
      </c>
      <c r="E467" s="49"/>
      <c r="F467" s="49"/>
      <c r="G467" s="49"/>
      <c r="H467" s="54" t="str">
        <f t="shared" si="1"/>
        <v>quite,</v>
      </c>
      <c r="I467" s="50"/>
      <c r="J467" s="50" t="s">
        <v>4171</v>
      </c>
      <c r="K467" s="50" t="s">
        <v>1388</v>
      </c>
      <c r="L467" s="49" t="str">
        <f>IFERROR(__xludf.DUMMYFUNCTION("""COMPUTED_VALUE"""),"loud")</f>
        <v>loud</v>
      </c>
      <c r="M467" s="49"/>
      <c r="N467" s="49" t="str">
        <f>IFERROR(__xludf.DUMMYFUNCTION("""COMPUTED_VALUE"""),"mixed")</f>
        <v>mixed</v>
      </c>
      <c r="O467" s="49" t="str">
        <f>IFERROR(__xludf.DUMMYFUNCTION("""COMPUTED_VALUE"""),"glossy")</f>
        <v>glossy</v>
      </c>
      <c r="P467" s="49" t="str">
        <f t="shared" si="2"/>
        <v>accent,</v>
      </c>
      <c r="Q467" s="49"/>
      <c r="R467" s="50" t="s">
        <v>4680</v>
      </c>
      <c r="S467" s="55" t="s">
        <v>1145</v>
      </c>
      <c r="T467" s="49" t="str">
        <f>IFERROR(__xludf.DUMMYFUNCTION("""COMPUTED_VALUE"""),"remember")</f>
        <v>remember</v>
      </c>
      <c r="U467" s="49"/>
      <c r="V467" s="49" t="str">
        <f>IFERROR(__xludf.DUMMYFUNCTION("""COMPUTED_VALUE"""),"prevents")</f>
        <v>prevents</v>
      </c>
      <c r="W467" s="49" t="str">
        <f>IFERROR(__xludf.DUMMYFUNCTION("""COMPUTED_VALUE"""),"determined")</f>
        <v>determined</v>
      </c>
      <c r="X467" s="49" t="str">
        <f t="shared" si="3"/>
        <v>marks,</v>
      </c>
      <c r="Y467" s="49"/>
      <c r="Z467" s="1" t="s">
        <v>2991</v>
      </c>
      <c r="AA467" s="1" t="s">
        <v>672</v>
      </c>
      <c r="AB467" s="49" t="str">
        <f>IFERROR(__xludf.DUMMYFUNCTION("""COMPUTED_VALUE"""),"straightforward")</f>
        <v>straightforward</v>
      </c>
      <c r="AC467" s="49"/>
      <c r="AD467" s="49" t="str">
        <f>IFERROR(__xludf.DUMMYFUNCTION("""COMPUTED_VALUE"""),"mixed")</f>
        <v>mixed</v>
      </c>
      <c r="AE467" s="49" t="str">
        <f>IFERROR(__xludf.DUMMYFUNCTION("""COMPUTED_VALUE"""),"glossy")</f>
        <v>glossy</v>
      </c>
      <c r="AF467" s="49" t="str">
        <f t="shared" si="4"/>
        <v>elements,</v>
      </c>
      <c r="AG467" s="49"/>
      <c r="AH467" s="1" t="s">
        <v>618</v>
      </c>
      <c r="AI467" s="1" t="s">
        <v>894</v>
      </c>
      <c r="AJ467" s="6" t="str">
        <f>IFERROR(__xludf.DUMMYFUNCTION("""COMPUTED_VALUE"""),"wonder")</f>
        <v>wonder</v>
      </c>
      <c r="AK467" s="49"/>
      <c r="AL467" s="49"/>
      <c r="AM467" s="49"/>
      <c r="AN467" s="52" t="str">
        <f t="shared" si="5"/>
        <v>minor,</v>
      </c>
    </row>
    <row r="468">
      <c r="A468" s="51"/>
      <c r="B468" s="50" t="s">
        <v>4824</v>
      </c>
      <c r="C468" s="50" t="s">
        <v>285</v>
      </c>
      <c r="D468" s="49" t="str">
        <f>IFERROR(__xludf.DUMMYFUNCTION("""COMPUTED_VALUE"""),"scattered")</f>
        <v>scattered</v>
      </c>
      <c r="E468" s="49"/>
      <c r="F468" s="49"/>
      <c r="G468" s="49"/>
      <c r="H468" s="54" t="str">
        <f t="shared" si="1"/>
        <v>basketball,</v>
      </c>
      <c r="I468" s="50"/>
      <c r="J468" s="50" t="s">
        <v>4209</v>
      </c>
      <c r="K468" s="50" t="s">
        <v>495</v>
      </c>
      <c r="L468" s="49" t="str">
        <f>IFERROR(__xludf.DUMMYFUNCTION("""COMPUTED_VALUE"""),"affair")</f>
        <v>affair</v>
      </c>
      <c r="M468" s="49"/>
      <c r="N468" s="49" t="str">
        <f>IFERROR(__xludf.DUMMYFUNCTION("""COMPUTED_VALUE"""),"multi")</f>
        <v>multi</v>
      </c>
      <c r="O468" s="49" t="str">
        <f>IFERROR(__xludf.DUMMYFUNCTION("""COMPUTED_VALUE"""),"developed")</f>
        <v>developed</v>
      </c>
      <c r="P468" s="49" t="str">
        <f t="shared" si="2"/>
        <v>america,</v>
      </c>
      <c r="Q468" s="49"/>
      <c r="R468" s="50" t="s">
        <v>6676</v>
      </c>
      <c r="S468" s="55" t="s">
        <v>369</v>
      </c>
      <c r="T468" s="49" t="str">
        <f>IFERROR(__xludf.DUMMYFUNCTION("""COMPUTED_VALUE"""),"between")</f>
        <v>between</v>
      </c>
      <c r="U468" s="49"/>
      <c r="V468" s="49" t="str">
        <f>IFERROR(__xludf.DUMMYFUNCTION("""COMPUTED_VALUE"""),"cameo")</f>
        <v>cameo</v>
      </c>
      <c r="W468" s="49" t="str">
        <f>IFERROR(__xludf.DUMMYFUNCTION("""COMPUTED_VALUE"""),"fierce")</f>
        <v>fierce</v>
      </c>
      <c r="X468" s="49" t="str">
        <f t="shared" si="3"/>
        <v>scott,</v>
      </c>
      <c r="Y468" s="49"/>
      <c r="Z468" s="1" t="s">
        <v>805</v>
      </c>
      <c r="AA468" s="1" t="s">
        <v>2452</v>
      </c>
      <c r="AB468" s="49" t="str">
        <f>IFERROR(__xludf.DUMMYFUNCTION("""COMPUTED_VALUE"""),"general")</f>
        <v>general</v>
      </c>
      <c r="AC468" s="49"/>
      <c r="AD468" s="49" t="str">
        <f>IFERROR(__xludf.DUMMYFUNCTION("""COMPUTED_VALUE"""),"multi")</f>
        <v>multi</v>
      </c>
      <c r="AE468" s="49" t="str">
        <f>IFERROR(__xludf.DUMMYFUNCTION("""COMPUTED_VALUE"""),"developed")</f>
        <v>developed</v>
      </c>
      <c r="AF468" s="49" t="str">
        <f t="shared" si="4"/>
        <v>than,</v>
      </c>
      <c r="AG468" s="49"/>
      <c r="AH468" s="1" t="s">
        <v>3669</v>
      </c>
      <c r="AI468" s="1" t="s">
        <v>6326</v>
      </c>
      <c r="AJ468" s="6" t="str">
        <f>IFERROR(__xludf.DUMMYFUNCTION("""COMPUTED_VALUE"""),"waste")</f>
        <v>waste</v>
      </c>
      <c r="AK468" s="49"/>
      <c r="AL468" s="49"/>
      <c r="AM468" s="49"/>
      <c r="AN468" s="52" t="str">
        <f t="shared" si="5"/>
        <v>wonder,</v>
      </c>
    </row>
    <row r="469">
      <c r="A469" s="51"/>
      <c r="B469" s="50" t="s">
        <v>4473</v>
      </c>
      <c r="C469" s="50" t="s">
        <v>1126</v>
      </c>
      <c r="D469" s="49" t="str">
        <f>IFERROR(__xludf.DUMMYFUNCTION("""COMPUTED_VALUE"""),"studio")</f>
        <v>studio</v>
      </c>
      <c r="E469" s="49"/>
      <c r="F469" s="49"/>
      <c r="G469" s="49"/>
      <c r="H469" s="54" t="str">
        <f t="shared" si="1"/>
        <v>larger,</v>
      </c>
      <c r="I469" s="50"/>
      <c r="J469" s="50" t="s">
        <v>1213</v>
      </c>
      <c r="K469" s="50" t="s">
        <v>1061</v>
      </c>
      <c r="L469" s="49" t="str">
        <f>IFERROR(__xludf.DUMMYFUNCTION("""COMPUTED_VALUE"""),"relentless")</f>
        <v>relentless</v>
      </c>
      <c r="M469" s="49"/>
      <c r="N469" s="49" t="str">
        <f>IFERROR(__xludf.DUMMYFUNCTION("""COMPUTED_VALUE"""),"twin")</f>
        <v>twin</v>
      </c>
      <c r="O469" s="49" t="str">
        <f>IFERROR(__xludf.DUMMYFUNCTION("""COMPUTED_VALUE"""),"fully")</f>
        <v>fully</v>
      </c>
      <c r="P469" s="49" t="str">
        <f t="shared" si="2"/>
        <v>own,</v>
      </c>
      <c r="Q469" s="49"/>
      <c r="R469" s="50" t="s">
        <v>276</v>
      </c>
      <c r="S469" s="55" t="s">
        <v>1149</v>
      </c>
      <c r="T469" s="49" t="str">
        <f>IFERROR(__xludf.DUMMYFUNCTION("""COMPUTED_VALUE"""),"defeated")</f>
        <v>defeated</v>
      </c>
      <c r="U469" s="49"/>
      <c r="V469" s="49" t="str">
        <f>IFERROR(__xludf.DUMMYFUNCTION("""COMPUTED_VALUE"""),"tin")</f>
        <v>tin</v>
      </c>
      <c r="W469" s="49" t="str">
        <f>IFERROR(__xludf.DUMMYFUNCTION("""COMPUTED_VALUE"""),"lady")</f>
        <v>lady</v>
      </c>
      <c r="X469" s="49" t="str">
        <f t="shared" si="3"/>
        <v>funny,</v>
      </c>
      <c r="Y469" s="49"/>
      <c r="Z469" s="1" t="s">
        <v>2797</v>
      </c>
      <c r="AA469" s="1" t="s">
        <v>662</v>
      </c>
      <c r="AB469" s="49" t="str">
        <f>IFERROR(__xludf.DUMMYFUNCTION("""COMPUTED_VALUE"""),"succeeds")</f>
        <v>succeeds</v>
      </c>
      <c r="AC469" s="49"/>
      <c r="AD469" s="49" t="str">
        <f>IFERROR(__xludf.DUMMYFUNCTION("""COMPUTED_VALUE"""),"twin")</f>
        <v>twin</v>
      </c>
      <c r="AE469" s="49" t="str">
        <f>IFERROR(__xludf.DUMMYFUNCTION("""COMPUTED_VALUE"""),"fully")</f>
        <v>fully</v>
      </c>
      <c r="AF469" s="49" t="str">
        <f t="shared" si="4"/>
        <v>space,</v>
      </c>
      <c r="AG469" s="49"/>
      <c r="AH469" s="1" t="s">
        <v>3277</v>
      </c>
      <c r="AI469" s="1" t="s">
        <v>173</v>
      </c>
      <c r="AJ469" s="6" t="str">
        <f>IFERROR(__xludf.DUMMYFUNCTION("""COMPUTED_VALUE"""),"adaptation")</f>
        <v>adaptation</v>
      </c>
      <c r="AK469" s="49"/>
      <c r="AL469" s="49"/>
      <c r="AM469" s="49"/>
      <c r="AN469" s="52" t="str">
        <f t="shared" si="5"/>
        <v>waste,</v>
      </c>
    </row>
    <row r="470">
      <c r="A470" s="51"/>
      <c r="B470" s="50" t="s">
        <v>4239</v>
      </c>
      <c r="C470" s="50" t="s">
        <v>1072</v>
      </c>
      <c r="D470" s="49" t="str">
        <f>IFERROR(__xludf.DUMMYFUNCTION("""COMPUTED_VALUE"""),"standards")</f>
        <v>standards</v>
      </c>
      <c r="E470" s="49"/>
      <c r="F470" s="49"/>
      <c r="G470" s="49"/>
      <c r="H470" s="54" t="str">
        <f t="shared" si="1"/>
        <v>scene,</v>
      </c>
      <c r="I470" s="50"/>
      <c r="J470" s="50">
        <v>1.0</v>
      </c>
      <c r="K470" s="50" t="s">
        <v>256</v>
      </c>
      <c r="L470" s="49" t="str">
        <f>IFERROR(__xludf.DUMMYFUNCTION("""COMPUTED_VALUE"""),"jon")</f>
        <v>jon</v>
      </c>
      <c r="M470" s="49"/>
      <c r="N470" s="49" t="str">
        <f>IFERROR(__xludf.DUMMYFUNCTION("""COMPUTED_VALUE"""),"street")</f>
        <v>street</v>
      </c>
      <c r="O470" s="49" t="str">
        <f>IFERROR(__xludf.DUMMYFUNCTION("""COMPUTED_VALUE"""),"vincent")</f>
        <v>vincent</v>
      </c>
      <c r="P470" s="49" t="str">
        <f t="shared" si="2"/>
        <v>1,</v>
      </c>
      <c r="Q470" s="49"/>
      <c r="R470" s="50" t="s">
        <v>1250</v>
      </c>
      <c r="S470" s="55" t="s">
        <v>6336</v>
      </c>
      <c r="T470" s="49" t="str">
        <f>IFERROR(__xludf.DUMMYFUNCTION("""COMPUTED_VALUE"""),"promise")</f>
        <v>promise</v>
      </c>
      <c r="U470" s="49"/>
      <c r="V470" s="49" t="str">
        <f>IFERROR(__xludf.DUMMYFUNCTION("""COMPUTED_VALUE"""),"bra")</f>
        <v>bra</v>
      </c>
      <c r="W470" s="49" t="str">
        <f>IFERROR(__xludf.DUMMYFUNCTION("""COMPUTED_VALUE"""),"ah")</f>
        <v>ah</v>
      </c>
      <c r="X470" s="49" t="str">
        <f t="shared" si="3"/>
        <v>body,</v>
      </c>
      <c r="Y470" s="49"/>
      <c r="Z470" s="1" t="s">
        <v>6362</v>
      </c>
      <c r="AA470" s="1" t="s">
        <v>2456</v>
      </c>
      <c r="AB470" s="49" t="str">
        <f>IFERROR(__xludf.DUMMYFUNCTION("""COMPUTED_VALUE"""),"subject")</f>
        <v>subject</v>
      </c>
      <c r="AC470" s="49"/>
      <c r="AD470" s="49" t="str">
        <f>IFERROR(__xludf.DUMMYFUNCTION("""COMPUTED_VALUE"""),"street")</f>
        <v>street</v>
      </c>
      <c r="AE470" s="49" t="str">
        <f>IFERROR(__xludf.DUMMYFUNCTION("""COMPUTED_VALUE"""),"vincent")</f>
        <v>vincent</v>
      </c>
      <c r="AF470" s="49" t="str">
        <f t="shared" si="4"/>
        <v>everything,</v>
      </c>
      <c r="AG470" s="49"/>
      <c r="AH470" s="1" t="s">
        <v>173</v>
      </c>
      <c r="AI470" s="1" t="s">
        <v>1688</v>
      </c>
      <c r="AJ470" s="6" t="str">
        <f>IFERROR(__xludf.DUMMYFUNCTION("""COMPUTED_VALUE"""),"creatures")</f>
        <v>creatures</v>
      </c>
      <c r="AK470" s="49"/>
      <c r="AL470" s="49"/>
      <c r="AM470" s="49"/>
      <c r="AN470" s="52" t="str">
        <f t="shared" si="5"/>
        <v>adaptation,</v>
      </c>
    </row>
    <row r="471">
      <c r="A471" s="51"/>
      <c r="B471" s="50" t="s">
        <v>6731</v>
      </c>
      <c r="C471" s="50" t="s">
        <v>2095</v>
      </c>
      <c r="D471" s="49" t="str">
        <f>IFERROR(__xludf.DUMMYFUNCTION("""COMPUTED_VALUE"""),"bold")</f>
        <v>bold</v>
      </c>
      <c r="E471" s="49"/>
      <c r="F471" s="49"/>
      <c r="G471" s="49"/>
      <c r="H471" s="54" t="str">
        <f t="shared" si="1"/>
        <v>joe,</v>
      </c>
      <c r="I471" s="50"/>
      <c r="J471" s="50" t="s">
        <v>2198</v>
      </c>
      <c r="K471" s="50" t="s">
        <v>265</v>
      </c>
      <c r="L471" s="49" t="str">
        <f>IFERROR(__xludf.DUMMYFUNCTION("""COMPUTED_VALUE"""),"unlike")</f>
        <v>unlike</v>
      </c>
      <c r="M471" s="49"/>
      <c r="N471" s="49" t="str">
        <f>IFERROR(__xludf.DUMMYFUNCTION("""COMPUTED_VALUE"""),"cheese")</f>
        <v>cheese</v>
      </c>
      <c r="O471" s="49" t="str">
        <f>IFERROR(__xludf.DUMMYFUNCTION("""COMPUTED_VALUE"""),"bollywood")</f>
        <v>bollywood</v>
      </c>
      <c r="P471" s="49" t="str">
        <f t="shared" si="2"/>
        <v>each,</v>
      </c>
      <c r="Q471" s="49"/>
      <c r="R471" s="50" t="s">
        <v>1662</v>
      </c>
      <c r="S471" s="55" t="s">
        <v>6337</v>
      </c>
      <c r="T471" s="49" t="str">
        <f>IFERROR(__xludf.DUMMYFUNCTION("""COMPUTED_VALUE"""),"hero")</f>
        <v>hero</v>
      </c>
      <c r="U471" s="49"/>
      <c r="V471" s="49" t="str">
        <f>IFERROR(__xludf.DUMMYFUNCTION("""COMPUTED_VALUE"""),"frail")</f>
        <v>frail</v>
      </c>
      <c r="W471" s="49" t="str">
        <f>IFERROR(__xludf.DUMMYFUNCTION("""COMPUTED_VALUE"""),"york")</f>
        <v>york</v>
      </c>
      <c r="X471" s="49" t="str">
        <f t="shared" si="3"/>
        <v>bitten,</v>
      </c>
      <c r="Y471" s="49"/>
      <c r="Z471" s="1" t="s">
        <v>6331</v>
      </c>
      <c r="AA471" s="1" t="s">
        <v>2460</v>
      </c>
      <c r="AB471" s="49" t="str">
        <f>IFERROR(__xludf.DUMMYFUNCTION("""COMPUTED_VALUE"""),"failing")</f>
        <v>failing</v>
      </c>
      <c r="AC471" s="49"/>
      <c r="AD471" s="49" t="str">
        <f>IFERROR(__xludf.DUMMYFUNCTION("""COMPUTED_VALUE"""),"cheese")</f>
        <v>cheese</v>
      </c>
      <c r="AE471" s="49" t="str">
        <f>IFERROR(__xludf.DUMMYFUNCTION("""COMPUTED_VALUE"""),"bollywood")</f>
        <v>bollywood</v>
      </c>
      <c r="AF471" s="49" t="str">
        <f t="shared" si="4"/>
        <v>better,</v>
      </c>
      <c r="AG471" s="49"/>
      <c r="AH471" s="1" t="s">
        <v>3890</v>
      </c>
      <c r="AI471" s="1" t="s">
        <v>1349</v>
      </c>
      <c r="AJ471" s="6" t="str">
        <f>IFERROR(__xludf.DUMMYFUNCTION("""COMPUTED_VALUE"""),"d")</f>
        <v>d</v>
      </c>
      <c r="AK471" s="49"/>
      <c r="AL471" s="49"/>
      <c r="AM471" s="49"/>
      <c r="AN471" s="52" t="str">
        <f t="shared" si="5"/>
        <v>creatures,</v>
      </c>
    </row>
    <row r="472">
      <c r="A472" s="51"/>
      <c r="B472" s="50" t="s">
        <v>3869</v>
      </c>
      <c r="C472" s="50" t="s">
        <v>6313</v>
      </c>
      <c r="D472" s="49" t="str">
        <f>IFERROR(__xludf.DUMMYFUNCTION("""COMPUTED_VALUE"""),"chances")</f>
        <v>chances</v>
      </c>
      <c r="E472" s="49"/>
      <c r="F472" s="49"/>
      <c r="G472" s="49"/>
      <c r="H472" s="54" t="str">
        <f t="shared" si="1"/>
        <v>trees,</v>
      </c>
      <c r="I472" s="50"/>
      <c r="J472" s="50">
        <v>3.0</v>
      </c>
      <c r="K472" s="50" t="s">
        <v>225</v>
      </c>
      <c r="L472" s="49" t="str">
        <f>IFERROR(__xludf.DUMMYFUNCTION("""COMPUTED_VALUE"""),"holly")</f>
        <v>holly</v>
      </c>
      <c r="M472" s="49"/>
      <c r="N472" s="49" t="str">
        <f>IFERROR(__xludf.DUMMYFUNCTION("""COMPUTED_VALUE"""),"basement")</f>
        <v>basement</v>
      </c>
      <c r="O472" s="49" t="str">
        <f>IFERROR(__xludf.DUMMYFUNCTION("""COMPUTED_VALUE"""),"monsoon")</f>
        <v>monsoon</v>
      </c>
      <c r="P472" s="49" t="str">
        <f t="shared" si="2"/>
        <v>3,</v>
      </c>
      <c r="Q472" s="49"/>
      <c r="R472" s="50" t="s">
        <v>4185</v>
      </c>
      <c r="S472" s="55" t="s">
        <v>1156</v>
      </c>
      <c r="T472" s="49" t="str">
        <f>IFERROR(__xludf.DUMMYFUNCTION("""COMPUTED_VALUE"""),"purpose")</f>
        <v>purpose</v>
      </c>
      <c r="U472" s="49"/>
      <c r="V472" s="49" t="str">
        <f>IFERROR(__xludf.DUMMYFUNCTION("""COMPUTED_VALUE"""),"nostalgia")</f>
        <v>nostalgia</v>
      </c>
      <c r="W472" s="49" t="str">
        <f>IFERROR(__xludf.DUMMYFUNCTION("""COMPUTED_VALUE"""),"melancholy")</f>
        <v>melancholy</v>
      </c>
      <c r="X472" s="49" t="str">
        <f t="shared" si="3"/>
        <v>alternately,</v>
      </c>
      <c r="Y472" s="49"/>
      <c r="Z472" s="1" t="s">
        <v>955</v>
      </c>
      <c r="AA472" s="1" t="s">
        <v>2464</v>
      </c>
      <c r="AB472" s="49" t="str">
        <f>IFERROR(__xludf.DUMMYFUNCTION("""COMPUTED_VALUE"""),"woody")</f>
        <v>woody</v>
      </c>
      <c r="AC472" s="49"/>
      <c r="AD472" s="49" t="str">
        <f>IFERROR(__xludf.DUMMYFUNCTION("""COMPUTED_VALUE"""),"basement")</f>
        <v>basement</v>
      </c>
      <c r="AE472" s="49" t="str">
        <f>IFERROR(__xludf.DUMMYFUNCTION("""COMPUTED_VALUE"""),"monsoon")</f>
        <v>monsoon</v>
      </c>
      <c r="AF472" s="49" t="str">
        <f t="shared" si="4"/>
        <v>times,</v>
      </c>
      <c r="AG472" s="49"/>
      <c r="AH472" s="1" t="s">
        <v>6297</v>
      </c>
      <c r="AI472" s="1" t="s">
        <v>6253</v>
      </c>
      <c r="AJ472" s="6" t="str">
        <f>IFERROR(__xludf.DUMMYFUNCTION("""COMPUTED_VALUE"""),"would")</f>
        <v>would</v>
      </c>
      <c r="AK472" s="49"/>
      <c r="AL472" s="49"/>
      <c r="AM472" s="49"/>
      <c r="AN472" s="52" t="str">
        <f t="shared" si="5"/>
        <v>d,</v>
      </c>
    </row>
    <row r="473">
      <c r="A473" s="51"/>
      <c r="B473" s="50" t="s">
        <v>4272</v>
      </c>
      <c r="C473" s="50" t="s">
        <v>1864</v>
      </c>
      <c r="D473" s="49" t="str">
        <f>IFERROR(__xludf.DUMMYFUNCTION("""COMPUTED_VALUE"""),"actually")</f>
        <v>actually</v>
      </c>
      <c r="E473" s="49"/>
      <c r="F473" s="49"/>
      <c r="G473" s="49"/>
      <c r="H473" s="54" t="str">
        <f t="shared" si="1"/>
        <v>pair,</v>
      </c>
      <c r="I473" s="50"/>
      <c r="J473" s="50" t="s">
        <v>3704</v>
      </c>
      <c r="K473" s="50" t="s">
        <v>1376</v>
      </c>
      <c r="L473" s="49" t="str">
        <f>IFERROR(__xludf.DUMMYFUNCTION("""COMPUTED_VALUE"""),"spark")</f>
        <v>spark</v>
      </c>
      <c r="M473" s="49"/>
      <c r="N473" s="49" t="str">
        <f>IFERROR(__xludf.DUMMYFUNCTION("""COMPUTED_VALUE"""),"rip")</f>
        <v>rip</v>
      </c>
      <c r="O473" s="49" t="str">
        <f>IFERROR(__xludf.DUMMYFUNCTION("""COMPUTED_VALUE"""),"devastating")</f>
        <v>devastating</v>
      </c>
      <c r="P473" s="49" t="str">
        <f t="shared" si="2"/>
        <v>actual,</v>
      </c>
      <c r="Q473" s="49"/>
      <c r="R473" s="50" t="s">
        <v>363</v>
      </c>
      <c r="S473" s="55" t="s">
        <v>1955</v>
      </c>
      <c r="T473" s="49" t="str">
        <f>IFERROR(__xludf.DUMMYFUNCTION("""COMPUTED_VALUE"""),"pronounced")</f>
        <v>pronounced</v>
      </c>
      <c r="U473" s="49"/>
      <c r="V473" s="49" t="str">
        <f>IFERROR(__xludf.DUMMYFUNCTION("""COMPUTED_VALUE"""),"sketch")</f>
        <v>sketch</v>
      </c>
      <c r="W473" s="49" t="str">
        <f>IFERROR(__xludf.DUMMYFUNCTION("""COMPUTED_VALUE"""),"spell")</f>
        <v>spell</v>
      </c>
      <c r="X473" s="49" t="str">
        <f t="shared" si="3"/>
        <v>am,</v>
      </c>
      <c r="Y473" s="49"/>
      <c r="Z473" s="1" t="s">
        <v>2699</v>
      </c>
      <c r="AA473" s="1" t="s">
        <v>1693</v>
      </c>
      <c r="AB473" s="49" t="str">
        <f>IFERROR(__xludf.DUMMYFUNCTION("""COMPUTED_VALUE"""),"utterly")</f>
        <v>utterly</v>
      </c>
      <c r="AC473" s="49"/>
      <c r="AD473" s="49" t="str">
        <f>IFERROR(__xludf.DUMMYFUNCTION("""COMPUTED_VALUE"""),"rip")</f>
        <v>rip</v>
      </c>
      <c r="AE473" s="49" t="str">
        <f>IFERROR(__xludf.DUMMYFUNCTION("""COMPUTED_VALUE"""),"devastating")</f>
        <v>devastating</v>
      </c>
      <c r="AF473" s="49" t="str">
        <f t="shared" si="4"/>
        <v>pleasing,</v>
      </c>
      <c r="AG473" s="49"/>
      <c r="AH473" s="1" t="s">
        <v>670</v>
      </c>
      <c r="AI473" s="1" t="s">
        <v>6328</v>
      </c>
      <c r="AJ473" s="6" t="str">
        <f>IFERROR(__xludf.DUMMYFUNCTION("""COMPUTED_VALUE"""),"said")</f>
        <v>said</v>
      </c>
      <c r="AK473" s="49"/>
      <c r="AL473" s="49"/>
      <c r="AM473" s="49"/>
      <c r="AN473" s="52" t="str">
        <f t="shared" si="5"/>
        <v>would,</v>
      </c>
    </row>
    <row r="474">
      <c r="A474" s="51"/>
      <c r="B474" s="50" t="s">
        <v>6597</v>
      </c>
      <c r="C474" s="50" t="s">
        <v>1015</v>
      </c>
      <c r="D474" s="49" t="str">
        <f>IFERROR(__xludf.DUMMYFUNCTION("""COMPUTED_VALUE"""),"effects")</f>
        <v>effects</v>
      </c>
      <c r="E474" s="49"/>
      <c r="F474" s="49"/>
      <c r="G474" s="49"/>
      <c r="H474" s="54" t="str">
        <f t="shared" si="1"/>
        <v>pro,</v>
      </c>
      <c r="I474" s="50"/>
      <c r="J474" s="50" t="s">
        <v>231</v>
      </c>
      <c r="K474" s="50" t="s">
        <v>1431</v>
      </c>
      <c r="L474" s="49" t="str">
        <f>IFERROR(__xludf.DUMMYFUNCTION("""COMPUTED_VALUE"""),"personal")</f>
        <v>personal</v>
      </c>
      <c r="M474" s="49"/>
      <c r="N474" s="49" t="str">
        <f>IFERROR(__xludf.DUMMYFUNCTION("""COMPUTED_VALUE"""),"sandwich")</f>
        <v>sandwich</v>
      </c>
      <c r="O474" s="49" t="str">
        <f>IFERROR(__xludf.DUMMYFUNCTION("""COMPUTED_VALUE"""),"profoundly")</f>
        <v>profoundly</v>
      </c>
      <c r="P474" s="49" t="str">
        <f t="shared" si="2"/>
        <v>put,</v>
      </c>
      <c r="Q474" s="49"/>
      <c r="R474" s="50" t="s">
        <v>1370</v>
      </c>
      <c r="S474" s="55">
        <v>3.0</v>
      </c>
      <c r="T474" s="49" t="str">
        <f>IFERROR(__xludf.DUMMYFUNCTION("""COMPUTED_VALUE"""),"top")</f>
        <v>top</v>
      </c>
      <c r="U474" s="49"/>
      <c r="V474" s="49" t="str">
        <f>IFERROR(__xludf.DUMMYFUNCTION("""COMPUTED_VALUE"""),"atmosphere")</f>
        <v>atmosphere</v>
      </c>
      <c r="W474" s="49" t="str">
        <f>IFERROR(__xludf.DUMMYFUNCTION("""COMPUTED_VALUE"""),"drain")</f>
        <v>drain</v>
      </c>
      <c r="X474" s="49" t="str">
        <f t="shared" si="3"/>
        <v>fun,</v>
      </c>
      <c r="Y474" s="49"/>
      <c r="Z474" s="1" t="s">
        <v>1144</v>
      </c>
      <c r="AA474" s="1" t="s">
        <v>48</v>
      </c>
      <c r="AB474" s="49" t="str">
        <f>IFERROR(__xludf.DUMMYFUNCTION("""COMPUTED_VALUE"""),"unexpected")</f>
        <v>unexpected</v>
      </c>
      <c r="AC474" s="49"/>
      <c r="AD474" s="49" t="str">
        <f>IFERROR(__xludf.DUMMYFUNCTION("""COMPUTED_VALUE"""),"sandwich")</f>
        <v>sandwich</v>
      </c>
      <c r="AE474" s="49" t="str">
        <f>IFERROR(__xludf.DUMMYFUNCTION("""COMPUTED_VALUE"""),"profoundly")</f>
        <v>profoundly</v>
      </c>
      <c r="AF474" s="49" t="str">
        <f t="shared" si="4"/>
        <v>ending,</v>
      </c>
      <c r="AG474" s="49"/>
      <c r="AH474" s="1" t="s">
        <v>900</v>
      </c>
      <c r="AI474" s="1" t="s">
        <v>1701</v>
      </c>
      <c r="AJ474" s="6" t="str">
        <f>IFERROR(__xludf.DUMMYFUNCTION("""COMPUTED_VALUE"""),"than")</f>
        <v>than</v>
      </c>
      <c r="AK474" s="49"/>
      <c r="AL474" s="49"/>
      <c r="AM474" s="49"/>
      <c r="AN474" s="52" t="str">
        <f t="shared" si="5"/>
        <v>said,</v>
      </c>
    </row>
    <row r="475">
      <c r="A475" s="51"/>
      <c r="B475" s="50" t="s">
        <v>7267</v>
      </c>
      <c r="C475" s="50" t="s">
        <v>1879</v>
      </c>
      <c r="D475" s="49" t="str">
        <f>IFERROR(__xludf.DUMMYFUNCTION("""COMPUTED_VALUE"""),"thing")</f>
        <v>thing</v>
      </c>
      <c r="E475" s="49"/>
      <c r="F475" s="49"/>
      <c r="G475" s="49"/>
      <c r="H475" s="54" t="str">
        <f t="shared" si="1"/>
        <v>entrance,</v>
      </c>
      <c r="I475" s="50"/>
      <c r="J475" s="50" t="s">
        <v>2982</v>
      </c>
      <c r="K475" s="50" t="s">
        <v>2203</v>
      </c>
      <c r="L475" s="49" t="str">
        <f>IFERROR(__xludf.DUMMYFUNCTION("""COMPUTED_VALUE"""),"murphy")</f>
        <v>murphy</v>
      </c>
      <c r="M475" s="49"/>
      <c r="N475" s="49" t="str">
        <f>IFERROR(__xludf.DUMMYFUNCTION("""COMPUTED_VALUE"""),"hear")</f>
        <v>hear</v>
      </c>
      <c r="O475" s="49" t="str">
        <f>IFERROR(__xludf.DUMMYFUNCTION("""COMPUTED_VALUE"""),"homosexuality")</f>
        <v>homosexuality</v>
      </c>
      <c r="P475" s="49" t="str">
        <f t="shared" si="2"/>
        <v>pile,</v>
      </c>
      <c r="Q475" s="49"/>
      <c r="R475" s="50" t="s">
        <v>1420</v>
      </c>
      <c r="S475" s="55" t="s">
        <v>2166</v>
      </c>
      <c r="T475" s="49" t="str">
        <f>IFERROR(__xludf.DUMMYFUNCTION("""COMPUTED_VALUE"""),"unfortunately")</f>
        <v>unfortunately</v>
      </c>
      <c r="U475" s="49"/>
      <c r="V475" s="49" t="str">
        <f>IFERROR(__xludf.DUMMYFUNCTION("""COMPUTED_VALUE"""),"genres")</f>
        <v>genres</v>
      </c>
      <c r="W475" s="49" t="str">
        <f>IFERROR(__xludf.DUMMYFUNCTION("""COMPUTED_VALUE"""),"tolerate")</f>
        <v>tolerate</v>
      </c>
      <c r="X475" s="49" t="str">
        <f t="shared" si="3"/>
        <v>members,</v>
      </c>
      <c r="Y475" s="49"/>
      <c r="Z475" s="1" t="s">
        <v>6451</v>
      </c>
      <c r="AA475" s="1" t="s">
        <v>1396</v>
      </c>
      <c r="AB475" s="49" t="str">
        <f>IFERROR(__xludf.DUMMYFUNCTION("""COMPUTED_VALUE"""),"survival")</f>
        <v>survival</v>
      </c>
      <c r="AC475" s="49"/>
      <c r="AD475" s="49" t="str">
        <f>IFERROR(__xludf.DUMMYFUNCTION("""COMPUTED_VALUE"""),"hear")</f>
        <v>hear</v>
      </c>
      <c r="AE475" s="49" t="str">
        <f>IFERROR(__xludf.DUMMYFUNCTION("""COMPUTED_VALUE"""),"homosexuality")</f>
        <v>homosexuality</v>
      </c>
      <c r="AF475" s="49" t="str">
        <f t="shared" si="4"/>
        <v>crazy,</v>
      </c>
      <c r="AG475" s="49"/>
      <c r="AH475" s="1" t="s">
        <v>805</v>
      </c>
      <c r="AI475" s="1" t="s">
        <v>6322</v>
      </c>
      <c r="AJ475" s="6" t="str">
        <f>IFERROR(__xludf.DUMMYFUNCTION("""COMPUTED_VALUE"""),"left")</f>
        <v>left</v>
      </c>
      <c r="AK475" s="49"/>
      <c r="AL475" s="49"/>
      <c r="AM475" s="49"/>
      <c r="AN475" s="52" t="str">
        <f t="shared" si="5"/>
        <v>than,</v>
      </c>
    </row>
    <row r="476">
      <c r="A476" s="51"/>
      <c r="B476" s="50" t="s">
        <v>6700</v>
      </c>
      <c r="C476" s="50" t="s">
        <v>1885</v>
      </c>
      <c r="D476" s="49" t="str">
        <f>IFERROR(__xludf.DUMMYFUNCTION("""COMPUTED_VALUE"""),"fear")</f>
        <v>fear</v>
      </c>
      <c r="E476" s="49"/>
      <c r="F476" s="49"/>
      <c r="G476" s="49"/>
      <c r="H476" s="54" t="str">
        <f t="shared" si="1"/>
        <v>angry,</v>
      </c>
      <c r="I476" s="50"/>
      <c r="J476" s="50" t="s">
        <v>201</v>
      </c>
      <c r="K476" s="50" t="s">
        <v>1436</v>
      </c>
      <c r="L476" s="49" t="str">
        <f>IFERROR(__xludf.DUMMYFUNCTION("""COMPUTED_VALUE"""),"shame")</f>
        <v>shame</v>
      </c>
      <c r="M476" s="49"/>
      <c r="N476" s="49" t="str">
        <f>IFERROR(__xludf.DUMMYFUNCTION("""COMPUTED_VALUE"""),"load")</f>
        <v>load</v>
      </c>
      <c r="O476" s="49" t="str">
        <f>IFERROR(__xludf.DUMMYFUNCTION("""COMPUTED_VALUE"""),"sandra")</f>
        <v>sandra</v>
      </c>
      <c r="P476" s="49" t="str">
        <f t="shared" si="2"/>
        <v>never,</v>
      </c>
      <c r="Q476" s="49"/>
      <c r="R476" s="50" t="s">
        <v>5543</v>
      </c>
      <c r="S476" s="55" t="s">
        <v>1961</v>
      </c>
      <c r="T476" s="49" t="str">
        <f>IFERROR(__xludf.DUMMYFUNCTION("""COMPUTED_VALUE"""),"deep")</f>
        <v>deep</v>
      </c>
      <c r="U476" s="49"/>
      <c r="V476" s="49" t="str">
        <f>IFERROR(__xludf.DUMMYFUNCTION("""COMPUTED_VALUE"""),"gulp")</f>
        <v>gulp</v>
      </c>
      <c r="W476" s="49" t="str">
        <f>IFERROR(__xludf.DUMMYFUNCTION("""COMPUTED_VALUE"""),"baroque")</f>
        <v>baroque</v>
      </c>
      <c r="X476" s="49" t="str">
        <f t="shared" si="3"/>
        <v>douglas,</v>
      </c>
      <c r="Y476" s="49"/>
      <c r="Z476" s="1" t="s">
        <v>2295</v>
      </c>
      <c r="AA476" s="1" t="s">
        <v>1682</v>
      </c>
      <c r="AB476" s="49" t="str">
        <f>IFERROR(__xludf.DUMMYFUNCTION("""COMPUTED_VALUE"""),"state")</f>
        <v>state</v>
      </c>
      <c r="AC476" s="49"/>
      <c r="AD476" s="49" t="str">
        <f>IFERROR(__xludf.DUMMYFUNCTION("""COMPUTED_VALUE"""),"load")</f>
        <v>load</v>
      </c>
      <c r="AE476" s="49" t="str">
        <f>IFERROR(__xludf.DUMMYFUNCTION("""COMPUTED_VALUE"""),"sandra")</f>
        <v>sandra</v>
      </c>
      <c r="AF476" s="49" t="str">
        <f t="shared" si="4"/>
        <v>journey,</v>
      </c>
      <c r="AG476" s="49"/>
      <c r="AH476" s="1" t="s">
        <v>632</v>
      </c>
      <c r="AI476" s="1" t="s">
        <v>2172</v>
      </c>
      <c r="AJ476" s="6" t="str">
        <f>IFERROR(__xludf.DUMMYFUNCTION("""COMPUTED_VALUE"""),"times")</f>
        <v>times</v>
      </c>
      <c r="AK476" s="49"/>
      <c r="AL476" s="49"/>
      <c r="AM476" s="49"/>
      <c r="AN476" s="52" t="str">
        <f t="shared" si="5"/>
        <v>left,</v>
      </c>
    </row>
    <row r="477">
      <c r="A477" s="51"/>
      <c r="B477" s="50" t="s">
        <v>4505</v>
      </c>
      <c r="C477" s="50" t="s">
        <v>525</v>
      </c>
      <c r="D477" s="49" t="str">
        <f>IFERROR(__xludf.DUMMYFUNCTION("""COMPUTED_VALUE"""),"whole")</f>
        <v>whole</v>
      </c>
      <c r="E477" s="49"/>
      <c r="F477" s="49"/>
      <c r="G477" s="49"/>
      <c r="H477" s="54" t="str">
        <f t="shared" si="1"/>
        <v>sell,</v>
      </c>
      <c r="I477" s="50"/>
      <c r="J477" s="50" t="s">
        <v>3346</v>
      </c>
      <c r="K477" s="50" t="s">
        <v>1972</v>
      </c>
      <c r="L477" s="49" t="str">
        <f>IFERROR(__xludf.DUMMYFUNCTION("""COMPUTED_VALUE"""),"shoulders")</f>
        <v>shoulders</v>
      </c>
      <c r="M477" s="49"/>
      <c r="N477" s="49" t="str">
        <f>IFERROR(__xludf.DUMMYFUNCTION("""COMPUTED_VALUE"""),"sense")</f>
        <v>sense</v>
      </c>
      <c r="O477" s="49" t="str">
        <f>IFERROR(__xludf.DUMMYFUNCTION("""COMPUTED_VALUE"""),"poetic")</f>
        <v>poetic</v>
      </c>
      <c r="P477" s="49" t="str">
        <f t="shared" si="2"/>
        <v>knows,</v>
      </c>
      <c r="Q477" s="49"/>
      <c r="R477" s="50" t="s">
        <v>6403</v>
      </c>
      <c r="S477" s="55" t="s">
        <v>214</v>
      </c>
      <c r="T477" s="49" t="str">
        <f>IFERROR(__xludf.DUMMYFUNCTION("""COMPUTED_VALUE"""),"side")</f>
        <v>side</v>
      </c>
      <c r="U477" s="49"/>
      <c r="V477" s="49" t="str">
        <f>IFERROR(__xludf.DUMMYFUNCTION("""COMPUTED_VALUE"""),"non")</f>
        <v>non</v>
      </c>
      <c r="W477" s="49" t="str">
        <f>IFERROR(__xludf.DUMMYFUNCTION("""COMPUTED_VALUE"""),"x")</f>
        <v>x</v>
      </c>
      <c r="X477" s="49" t="str">
        <f t="shared" si="3"/>
        <v>doubt,</v>
      </c>
      <c r="Y477" s="49"/>
      <c r="Z477" s="1" t="s">
        <v>2062</v>
      </c>
      <c r="AA477" s="1" t="s">
        <v>2476</v>
      </c>
      <c r="AB477" s="49" t="str">
        <f>IFERROR(__xludf.DUMMYFUNCTION("""COMPUTED_VALUE"""),"proceedings")</f>
        <v>proceedings</v>
      </c>
      <c r="AC477" s="49"/>
      <c r="AD477" s="49" t="str">
        <f>IFERROR(__xludf.DUMMYFUNCTION("""COMPUTED_VALUE"""),"sense")</f>
        <v>sense</v>
      </c>
      <c r="AE477" s="49" t="str">
        <f>IFERROR(__xludf.DUMMYFUNCTION("""COMPUTED_VALUE"""),"poetic")</f>
        <v>poetic</v>
      </c>
      <c r="AF477" s="49" t="str">
        <f t="shared" si="4"/>
        <v>worth,</v>
      </c>
      <c r="AG477" s="49"/>
      <c r="AH477" s="1" t="s">
        <v>955</v>
      </c>
      <c r="AI477" s="1" t="s">
        <v>1708</v>
      </c>
      <c r="AJ477" s="6" t="str">
        <f>IFERROR(__xludf.DUMMYFUNCTION("""COMPUTED_VALUE"""),"third")</f>
        <v>third</v>
      </c>
      <c r="AK477" s="49"/>
      <c r="AL477" s="49"/>
      <c r="AM477" s="49"/>
      <c r="AN477" s="52" t="str">
        <f t="shared" si="5"/>
        <v>times,</v>
      </c>
    </row>
    <row r="478">
      <c r="A478" s="51"/>
      <c r="B478" s="50" t="s">
        <v>4049</v>
      </c>
      <c r="C478" s="50" t="s">
        <v>293</v>
      </c>
      <c r="D478" s="49" t="str">
        <f>IFERROR(__xludf.DUMMYFUNCTION("""COMPUTED_VALUE"""),"mess")</f>
        <v>mess</v>
      </c>
      <c r="E478" s="49"/>
      <c r="F478" s="49"/>
      <c r="G478" s="49"/>
      <c r="H478" s="54" t="str">
        <f t="shared" si="1"/>
        <v>dollars,</v>
      </c>
      <c r="I478" s="50"/>
      <c r="J478" s="50" t="s">
        <v>3976</v>
      </c>
      <c r="K478" s="50" t="s">
        <v>2094</v>
      </c>
      <c r="L478" s="49" t="str">
        <f>IFERROR(__xludf.DUMMYFUNCTION("""COMPUTED_VALUE"""),"hack")</f>
        <v>hack</v>
      </c>
      <c r="M478" s="49"/>
      <c r="N478" s="49" t="str">
        <f>IFERROR(__xludf.DUMMYFUNCTION("""COMPUTED_VALUE"""),"modern")</f>
        <v>modern</v>
      </c>
      <c r="O478" s="49" t="str">
        <f>IFERROR(__xludf.DUMMYFUNCTION("""COMPUTED_VALUE"""),"sloppy")</f>
        <v>sloppy</v>
      </c>
      <c r="P478" s="49" t="str">
        <f t="shared" si="2"/>
        <v>numerous,</v>
      </c>
      <c r="Q478" s="49"/>
      <c r="R478" s="50" t="s">
        <v>4879</v>
      </c>
      <c r="S478" s="55" t="s">
        <v>1969</v>
      </c>
      <c r="T478" s="49" t="str">
        <f>IFERROR(__xludf.DUMMYFUNCTION("""COMPUTED_VALUE"""),"battle")</f>
        <v>battle</v>
      </c>
      <c r="U478" s="49"/>
      <c r="V478" s="49" t="str">
        <f>IFERROR(__xludf.DUMMYFUNCTION("""COMPUTED_VALUE"""),"sword")</f>
        <v>sword</v>
      </c>
      <c r="W478" s="49" t="str">
        <f>IFERROR(__xludf.DUMMYFUNCTION("""COMPUTED_VALUE"""),"breadth")</f>
        <v>breadth</v>
      </c>
      <c r="X478" s="49" t="str">
        <f t="shared" si="3"/>
        <v>alien,</v>
      </c>
      <c r="Y478" s="49"/>
      <c r="Z478" s="1" t="s">
        <v>3554</v>
      </c>
      <c r="AA478" s="1" t="s">
        <v>2478</v>
      </c>
      <c r="AB478" s="49" t="str">
        <f>IFERROR(__xludf.DUMMYFUNCTION("""COMPUTED_VALUE"""),"sustain")</f>
        <v>sustain</v>
      </c>
      <c r="AC478" s="49"/>
      <c r="AD478" s="49" t="str">
        <f>IFERROR(__xludf.DUMMYFUNCTION("""COMPUTED_VALUE"""),"modern")</f>
        <v>modern</v>
      </c>
      <c r="AE478" s="49" t="str">
        <f>IFERROR(__xludf.DUMMYFUNCTION("""COMPUTED_VALUE"""),"sloppy")</f>
        <v>sloppy</v>
      </c>
      <c r="AF478" s="49" t="str">
        <f t="shared" si="4"/>
        <v>likes,</v>
      </c>
      <c r="AG478" s="49"/>
      <c r="AH478" s="1" t="s">
        <v>1389</v>
      </c>
      <c r="AI478" s="1" t="s">
        <v>913</v>
      </c>
      <c r="AJ478" s="6" t="str">
        <f>IFERROR(__xludf.DUMMYFUNCTION("""COMPUTED_VALUE"""),"close")</f>
        <v>close</v>
      </c>
      <c r="AK478" s="49"/>
      <c r="AL478" s="49"/>
      <c r="AM478" s="49"/>
      <c r="AN478" s="52" t="str">
        <f t="shared" si="5"/>
        <v>third,</v>
      </c>
    </row>
    <row r="479">
      <c r="A479" s="51"/>
      <c r="B479" s="50" t="s">
        <v>709</v>
      </c>
      <c r="C479" s="50" t="s">
        <v>4765</v>
      </c>
      <c r="D479" s="49" t="str">
        <f>IFERROR(__xludf.DUMMYFUNCTION("""COMPUTED_VALUE"""),"path")</f>
        <v>path</v>
      </c>
      <c r="E479" s="49"/>
      <c r="F479" s="49"/>
      <c r="G479" s="49"/>
      <c r="H479" s="54" t="str">
        <f t="shared" si="1"/>
        <v>sporting,</v>
      </c>
      <c r="I479" s="50"/>
      <c r="J479" s="50" t="s">
        <v>3835</v>
      </c>
      <c r="K479" s="50" t="s">
        <v>527</v>
      </c>
      <c r="L479" s="49" t="str">
        <f>IFERROR(__xludf.DUMMYFUNCTION("""COMPUTED_VALUE"""),"performing")</f>
        <v>performing</v>
      </c>
      <c r="M479" s="49"/>
      <c r="N479" s="49" t="str">
        <f>IFERROR(__xludf.DUMMYFUNCTION("""COMPUTED_VALUE"""),"plenty")</f>
        <v>plenty</v>
      </c>
      <c r="O479" s="49" t="str">
        <f>IFERROR(__xludf.DUMMYFUNCTION("""COMPUTED_VALUE"""),"lopez")</f>
        <v>lopez</v>
      </c>
      <c r="P479" s="49" t="str">
        <f t="shared" si="2"/>
        <v>scream,</v>
      </c>
      <c r="Q479" s="49"/>
      <c r="R479" s="50" t="s">
        <v>4140</v>
      </c>
      <c r="S479" s="55" t="s">
        <v>2175</v>
      </c>
      <c r="T479" s="49" t="str">
        <f>IFERROR(__xludf.DUMMYFUNCTION("""COMPUTED_VALUE"""),"thin")</f>
        <v>thin</v>
      </c>
      <c r="U479" s="49"/>
      <c r="V479" s="49" t="str">
        <f>IFERROR(__xludf.DUMMYFUNCTION("""COMPUTED_VALUE"""),"lyric")</f>
        <v>lyric</v>
      </c>
      <c r="W479" s="49" t="str">
        <f>IFERROR(__xludf.DUMMYFUNCTION("""COMPUTED_VALUE"""),"vision")</f>
        <v>vision</v>
      </c>
      <c r="X479" s="49" t="str">
        <f t="shared" si="3"/>
        <v>island,</v>
      </c>
      <c r="Y479" s="49"/>
      <c r="Z479" s="1" t="s">
        <v>582</v>
      </c>
      <c r="AA479" s="1" t="s">
        <v>56</v>
      </c>
      <c r="AB479" s="49" t="str">
        <f>IFERROR(__xludf.DUMMYFUNCTION("""COMPUTED_VALUE"""),"bite")</f>
        <v>bite</v>
      </c>
      <c r="AC479" s="49"/>
      <c r="AD479" s="49" t="str">
        <f>IFERROR(__xludf.DUMMYFUNCTION("""COMPUTED_VALUE"""),"plenty")</f>
        <v>plenty</v>
      </c>
      <c r="AE479" s="49" t="str">
        <f>IFERROR(__xludf.DUMMYFUNCTION("""COMPUTED_VALUE"""),"lopez")</f>
        <v>lopez</v>
      </c>
      <c r="AF479" s="49" t="str">
        <f t="shared" si="4"/>
        <v>end,</v>
      </c>
      <c r="AG479" s="49"/>
      <c r="AH479" s="1" t="s">
        <v>2323</v>
      </c>
      <c r="AI479" s="1" t="s">
        <v>937</v>
      </c>
      <c r="AJ479" s="6" t="str">
        <f>IFERROR(__xludf.DUMMYFUNCTION("""COMPUTED_VALUE"""),"better")</f>
        <v>better</v>
      </c>
      <c r="AK479" s="49"/>
      <c r="AL479" s="49"/>
      <c r="AM479" s="49"/>
      <c r="AN479" s="52" t="str">
        <f t="shared" si="5"/>
        <v>close,</v>
      </c>
    </row>
    <row r="480">
      <c r="A480" s="51"/>
      <c r="B480" s="50" t="s">
        <v>3309</v>
      </c>
      <c r="C480" s="50" t="s">
        <v>1110</v>
      </c>
      <c r="D480" s="49" t="str">
        <f>IFERROR(__xludf.DUMMYFUNCTION("""COMPUTED_VALUE"""),"rocky")</f>
        <v>rocky</v>
      </c>
      <c r="E480" s="49"/>
      <c r="F480" s="49"/>
      <c r="G480" s="49"/>
      <c r="H480" s="54" t="str">
        <f t="shared" si="1"/>
        <v>millions,</v>
      </c>
      <c r="I480" s="50"/>
      <c r="J480" s="50" t="s">
        <v>1423</v>
      </c>
      <c r="K480" s="50" t="s">
        <v>352</v>
      </c>
      <c r="L480" s="49" t="str">
        <f>IFERROR(__xludf.DUMMYFUNCTION("""COMPUTED_VALUE"""),"de")</f>
        <v>de</v>
      </c>
      <c r="M480" s="49"/>
      <c r="N480" s="49" t="str">
        <f>IFERROR(__xludf.DUMMYFUNCTION("""COMPUTED_VALUE"""),"pot")</f>
        <v>pot</v>
      </c>
      <c r="O480" s="49" t="str">
        <f>IFERROR(__xludf.DUMMYFUNCTION("""COMPUTED_VALUE"""),"relationships")</f>
        <v>relationships</v>
      </c>
      <c r="P480" s="49" t="str">
        <f t="shared" si="2"/>
        <v>ca,</v>
      </c>
      <c r="Q480" s="49"/>
      <c r="R480" s="50" t="s">
        <v>2106</v>
      </c>
      <c r="S480" s="55" t="s">
        <v>2178</v>
      </c>
      <c r="T480" s="49" t="str">
        <f>IFERROR(__xludf.DUMMYFUNCTION("""COMPUTED_VALUE"""),"against")</f>
        <v>against</v>
      </c>
      <c r="U480" s="49"/>
      <c r="V480" s="49" t="str">
        <f>IFERROR(__xludf.DUMMYFUNCTION("""COMPUTED_VALUE"""),"prof")</f>
        <v>prof</v>
      </c>
      <c r="W480" s="49" t="str">
        <f>IFERROR(__xludf.DUMMYFUNCTION("""COMPUTED_VALUE"""),"hardship")</f>
        <v>hardship</v>
      </c>
      <c r="X480" s="49" t="str">
        <f t="shared" si="3"/>
        <v>souls,</v>
      </c>
      <c r="Y480" s="49"/>
      <c r="Z480" s="1" t="s">
        <v>2442</v>
      </c>
      <c r="AA480" s="1" t="s">
        <v>343</v>
      </c>
      <c r="AB480" s="49" t="str">
        <f>IFERROR(__xludf.DUMMYFUNCTION("""COMPUTED_VALUE"""),"chemistry")</f>
        <v>chemistry</v>
      </c>
      <c r="AC480" s="49"/>
      <c r="AD480" s="49" t="str">
        <f>IFERROR(__xludf.DUMMYFUNCTION("""COMPUTED_VALUE"""),"pot")</f>
        <v>pot</v>
      </c>
      <c r="AE480" s="49" t="str">
        <f>IFERROR(__xludf.DUMMYFUNCTION("""COMPUTED_VALUE"""),"relationships")</f>
        <v>relationships</v>
      </c>
      <c r="AF480" s="49" t="str">
        <f t="shared" si="4"/>
        <v>heard,</v>
      </c>
      <c r="AG480" s="49"/>
      <c r="AH480" s="1" t="s">
        <v>6331</v>
      </c>
      <c r="AI480" s="1" t="s">
        <v>1750</v>
      </c>
      <c r="AJ480" s="6" t="str">
        <f>IFERROR(__xludf.DUMMYFUNCTION("""COMPUTED_VALUE"""),"nothing")</f>
        <v>nothing</v>
      </c>
      <c r="AK480" s="49"/>
      <c r="AL480" s="49"/>
      <c r="AM480" s="49"/>
      <c r="AN480" s="52" t="str">
        <f t="shared" si="5"/>
        <v>better,</v>
      </c>
    </row>
    <row r="481">
      <c r="A481" s="51"/>
      <c r="B481" s="50" t="s">
        <v>1255</v>
      </c>
      <c r="C481" s="50" t="s">
        <v>1104</v>
      </c>
      <c r="D481" s="49" t="str">
        <f>IFERROR(__xludf.DUMMYFUNCTION("""COMPUTED_VALUE"""),"gentle")</f>
        <v>gentle</v>
      </c>
      <c r="E481" s="49"/>
      <c r="F481" s="49"/>
      <c r="G481" s="49"/>
      <c r="H481" s="54" t="str">
        <f t="shared" si="1"/>
        <v>men,</v>
      </c>
      <c r="I481" s="50"/>
      <c r="J481" s="50" t="s">
        <v>394</v>
      </c>
      <c r="K481" s="50" t="s">
        <v>1391</v>
      </c>
      <c r="L481" s="49" t="str">
        <f>IFERROR(__xludf.DUMMYFUNCTION("""COMPUTED_VALUE"""),"match")</f>
        <v>match</v>
      </c>
      <c r="M481" s="49"/>
      <c r="N481" s="49" t="str">
        <f>IFERROR(__xludf.DUMMYFUNCTION("""COMPUTED_VALUE"""),"nobody")</f>
        <v>nobody</v>
      </c>
      <c r="O481" s="49" t="str">
        <f>IFERROR(__xludf.DUMMYFUNCTION("""COMPUTED_VALUE"""),"rae")</f>
        <v>rae</v>
      </c>
      <c r="P481" s="49" t="str">
        <f t="shared" si="2"/>
        <v>screenplay,</v>
      </c>
      <c r="Q481" s="49"/>
      <c r="R481" s="50" t="s">
        <v>6109</v>
      </c>
      <c r="S481" s="55" t="s">
        <v>1075</v>
      </c>
      <c r="T481" s="49" t="str">
        <f>IFERROR(__xludf.DUMMYFUNCTION("""COMPUTED_VALUE"""),"professional")</f>
        <v>professional</v>
      </c>
      <c r="U481" s="49"/>
      <c r="V481" s="49" t="str">
        <f>IFERROR(__xludf.DUMMYFUNCTION("""COMPUTED_VALUE"""),"ma")</f>
        <v>ma</v>
      </c>
      <c r="W481" s="49" t="str">
        <f>IFERROR(__xludf.DUMMYFUNCTION("""COMPUTED_VALUE"""),"poverty")</f>
        <v>poverty</v>
      </c>
      <c r="X481" s="49" t="str">
        <f t="shared" si="3"/>
        <v>marking,</v>
      </c>
      <c r="Y481" s="49"/>
      <c r="Z481" s="1" t="s">
        <v>5309</v>
      </c>
      <c r="AA481" s="1" t="s">
        <v>1722</v>
      </c>
      <c r="AB481" s="49" t="str">
        <f>IFERROR(__xludf.DUMMYFUNCTION("""COMPUTED_VALUE"""),"gifted")</f>
        <v>gifted</v>
      </c>
      <c r="AC481" s="49"/>
      <c r="AD481" s="49" t="str">
        <f>IFERROR(__xludf.DUMMYFUNCTION("""COMPUTED_VALUE"""),"nobody")</f>
        <v>nobody</v>
      </c>
      <c r="AE481" s="49" t="str">
        <f>IFERROR(__xludf.DUMMYFUNCTION("""COMPUTED_VALUE"""),"rae")</f>
        <v>rae</v>
      </c>
      <c r="AF481" s="49" t="str">
        <f t="shared" si="4"/>
        <v>teenage,</v>
      </c>
      <c r="AG481" s="49"/>
      <c r="AH481" s="1" t="s">
        <v>6247</v>
      </c>
      <c r="AI481" s="1" t="s">
        <v>1730</v>
      </c>
      <c r="AJ481" s="6" t="str">
        <f>IFERROR(__xludf.DUMMYFUNCTION("""COMPUTED_VALUE"""),"various")</f>
        <v>various</v>
      </c>
      <c r="AK481" s="49"/>
      <c r="AL481" s="49"/>
      <c r="AM481" s="49"/>
      <c r="AN481" s="52" t="str">
        <f t="shared" si="5"/>
        <v>nothing,</v>
      </c>
    </row>
    <row r="482">
      <c r="A482" s="51"/>
      <c r="B482" s="50" t="s">
        <v>823</v>
      </c>
      <c r="C482" s="50" t="s">
        <v>6238</v>
      </c>
      <c r="D482" s="49" t="str">
        <f>IFERROR(__xludf.DUMMYFUNCTION("""COMPUTED_VALUE"""),"humor")</f>
        <v>humor</v>
      </c>
      <c r="E482" s="49"/>
      <c r="F482" s="49"/>
      <c r="G482" s="49"/>
      <c r="H482" s="54" t="str">
        <f t="shared" si="1"/>
        <v>light,</v>
      </c>
      <c r="I482" s="50"/>
      <c r="J482" s="50" t="s">
        <v>1883</v>
      </c>
      <c r="K482" s="50" t="s">
        <v>1215</v>
      </c>
      <c r="L482" s="49" t="str">
        <f>IFERROR(__xludf.DUMMYFUNCTION("""COMPUTED_VALUE"""),"bring")</f>
        <v>bring</v>
      </c>
      <c r="M482" s="49"/>
      <c r="N482" s="49" t="str">
        <f>IFERROR(__xludf.DUMMYFUNCTION("""COMPUTED_VALUE"""),"nose")</f>
        <v>nose</v>
      </c>
      <c r="O482" s="49" t="str">
        <f>IFERROR(__xludf.DUMMYFUNCTION("""COMPUTED_VALUE"""),"norma")</f>
        <v>norma</v>
      </c>
      <c r="P482" s="49" t="str">
        <f t="shared" si="2"/>
        <v>others,</v>
      </c>
      <c r="Q482" s="49"/>
      <c r="R482" s="50" t="s">
        <v>1914</v>
      </c>
      <c r="S482" s="55" t="s">
        <v>1082</v>
      </c>
      <c r="T482" s="49" t="str">
        <f>IFERROR(__xludf.DUMMYFUNCTION("""COMPUTED_VALUE"""),"let")</f>
        <v>let</v>
      </c>
      <c r="U482" s="49"/>
      <c r="V482" s="49" t="str">
        <f>IFERROR(__xludf.DUMMYFUNCTION("""COMPUTED_VALUE"""),"desired")</f>
        <v>desired</v>
      </c>
      <c r="W482" s="49" t="str">
        <f>IFERROR(__xludf.DUMMYFUNCTION("""COMPUTED_VALUE"""),"clearly")</f>
        <v>clearly</v>
      </c>
      <c r="X482" s="49" t="str">
        <f t="shared" si="3"/>
        <v>effects,</v>
      </c>
      <c r="Y482" s="49"/>
      <c r="Z482" s="1" t="s">
        <v>928</v>
      </c>
      <c r="AA482" s="1" t="s">
        <v>2487</v>
      </c>
      <c r="AB482" s="49" t="str">
        <f>IFERROR(__xludf.DUMMYFUNCTION("""COMPUTED_VALUE"""),"abandon")</f>
        <v>abandon</v>
      </c>
      <c r="AC482" s="49"/>
      <c r="AD482" s="49" t="str">
        <f>IFERROR(__xludf.DUMMYFUNCTION("""COMPUTED_VALUE"""),"nose")</f>
        <v>nose</v>
      </c>
      <c r="AE482" s="49" t="str">
        <f>IFERROR(__xludf.DUMMYFUNCTION("""COMPUTED_VALUE"""),"norma")</f>
        <v>norma</v>
      </c>
      <c r="AF482" s="49" t="str">
        <f t="shared" si="4"/>
        <v>crowd,</v>
      </c>
      <c r="AG482" s="49"/>
      <c r="AH482" s="1" t="s">
        <v>6396</v>
      </c>
      <c r="AI482" s="1" t="s">
        <v>3931</v>
      </c>
      <c r="AJ482" s="6">
        <f>IFERROR(__xludf.DUMMYFUNCTION("""COMPUTED_VALUE"""),2001.0)</f>
        <v>2001</v>
      </c>
      <c r="AK482" s="49"/>
      <c r="AL482" s="49"/>
      <c r="AM482" s="49"/>
      <c r="AN482" s="52" t="str">
        <f t="shared" si="5"/>
        <v>various,</v>
      </c>
    </row>
    <row r="483">
      <c r="A483" s="51"/>
      <c r="B483" s="50" t="s">
        <v>3507</v>
      </c>
      <c r="C483" s="50" t="s">
        <v>625</v>
      </c>
      <c r="D483" s="49" t="str">
        <f>IFERROR(__xludf.DUMMYFUNCTION("""COMPUTED_VALUE"""),"working")</f>
        <v>working</v>
      </c>
      <c r="E483" s="49"/>
      <c r="F483" s="49"/>
      <c r="G483" s="49"/>
      <c r="H483" s="54" t="str">
        <f t="shared" si="1"/>
        <v>example,</v>
      </c>
      <c r="I483" s="50"/>
      <c r="J483" s="50" t="s">
        <v>1748</v>
      </c>
      <c r="K483" s="50" t="s">
        <v>2492</v>
      </c>
      <c r="L483" s="49" t="str">
        <f>IFERROR(__xludf.DUMMYFUNCTION("""COMPUTED_VALUE"""),"place")</f>
        <v>place</v>
      </c>
      <c r="M483" s="49"/>
      <c r="N483" s="49" t="str">
        <f>IFERROR(__xludf.DUMMYFUNCTION("""COMPUTED_VALUE"""),"tens")</f>
        <v>tens</v>
      </c>
      <c r="O483" s="49" t="str">
        <f>IFERROR(__xludf.DUMMYFUNCTION("""COMPUTED_VALUE"""),"cannes")</f>
        <v>cannes</v>
      </c>
      <c r="P483" s="49" t="str">
        <f t="shared" si="2"/>
        <v>turns,</v>
      </c>
      <c r="Q483" s="49"/>
      <c r="R483" s="50" t="s">
        <v>6800</v>
      </c>
      <c r="S483" s="55" t="s">
        <v>2191</v>
      </c>
      <c r="T483" s="49" t="str">
        <f>IFERROR(__xludf.DUMMYFUNCTION("""COMPUTED_VALUE"""),"friends")</f>
        <v>friends</v>
      </c>
      <c r="U483" s="49"/>
      <c r="V483" s="49" t="str">
        <f>IFERROR(__xludf.DUMMYFUNCTION("""COMPUTED_VALUE"""),"grateful")</f>
        <v>grateful</v>
      </c>
      <c r="W483" s="49" t="str">
        <f>IFERROR(__xludf.DUMMYFUNCTION("""COMPUTED_VALUE"""),"protagonists")</f>
        <v>protagonists</v>
      </c>
      <c r="X483" s="49" t="str">
        <f t="shared" si="3"/>
        <v>stellar,</v>
      </c>
      <c r="Y483" s="49"/>
      <c r="Z483" s="1" t="s">
        <v>816</v>
      </c>
      <c r="AA483" s="1" t="s">
        <v>1742</v>
      </c>
      <c r="AB483" s="49" t="str">
        <f>IFERROR(__xludf.DUMMYFUNCTION("""COMPUTED_VALUE"""),"range")</f>
        <v>range</v>
      </c>
      <c r="AC483" s="49"/>
      <c r="AD483" s="49" t="str">
        <f>IFERROR(__xludf.DUMMYFUNCTION("""COMPUTED_VALUE"""),"tens")</f>
        <v>tens</v>
      </c>
      <c r="AE483" s="49" t="str">
        <f>IFERROR(__xludf.DUMMYFUNCTION("""COMPUTED_VALUE"""),"cannes")</f>
        <v>cannes</v>
      </c>
      <c r="AF483" s="49" t="str">
        <f t="shared" si="4"/>
        <v>say,</v>
      </c>
      <c r="AG483" s="49"/>
      <c r="AH483" s="1">
        <v>2001.0</v>
      </c>
      <c r="AI483" s="1" t="s">
        <v>950</v>
      </c>
      <c r="AJ483" s="6" t="str">
        <f>IFERROR(__xludf.DUMMYFUNCTION("""COMPUTED_VALUE"""),"everything")</f>
        <v>everything</v>
      </c>
      <c r="AK483" s="49"/>
      <c r="AL483" s="49"/>
      <c r="AM483" s="49"/>
      <c r="AN483" s="52" t="str">
        <f t="shared" si="5"/>
        <v>2001,</v>
      </c>
    </row>
    <row r="484">
      <c r="A484" s="51"/>
      <c r="B484" s="50" t="s">
        <v>1879</v>
      </c>
      <c r="C484" s="50" t="s">
        <v>2122</v>
      </c>
      <c r="D484" s="49" t="str">
        <f>IFERROR(__xludf.DUMMYFUNCTION("""COMPUTED_VALUE"""),"script")</f>
        <v>script</v>
      </c>
      <c r="E484" s="49"/>
      <c r="F484" s="49"/>
      <c r="G484" s="49"/>
      <c r="H484" s="54" t="str">
        <f t="shared" si="1"/>
        <v>forces,</v>
      </c>
      <c r="I484" s="50"/>
      <c r="J484" s="50" t="s">
        <v>1362</v>
      </c>
      <c r="K484" s="50" t="s">
        <v>2496</v>
      </c>
      <c r="L484" s="49" t="str">
        <f>IFERROR(__xludf.DUMMYFUNCTION("""COMPUTED_VALUE"""),"impossible")</f>
        <v>impossible</v>
      </c>
      <c r="M484" s="49"/>
      <c r="N484" s="49" t="str">
        <f>IFERROR(__xludf.DUMMYFUNCTION("""COMPUTED_VALUE"""),"elsewhere")</f>
        <v>elsewhere</v>
      </c>
      <c r="O484" s="49" t="str">
        <f>IFERROR(__xludf.DUMMYFUNCTION("""COMPUTED_VALUE"""),"raphael")</f>
        <v>raphael</v>
      </c>
      <c r="P484" s="49" t="str">
        <f t="shared" si="2"/>
        <v>twists,</v>
      </c>
      <c r="Q484" s="49"/>
      <c r="R484" s="50" t="s">
        <v>6959</v>
      </c>
      <c r="S484" s="55" t="s">
        <v>1283</v>
      </c>
      <c r="T484" s="49" t="str">
        <f>IFERROR(__xludf.DUMMYFUNCTION("""COMPUTED_VALUE"""),"b")</f>
        <v>b</v>
      </c>
      <c r="U484" s="49"/>
      <c r="V484" s="49" t="str">
        <f>IFERROR(__xludf.DUMMYFUNCTION("""COMPUTED_VALUE"""),"sealed")</f>
        <v>sealed</v>
      </c>
      <c r="W484" s="49" t="str">
        <f>IFERROR(__xludf.DUMMYFUNCTION("""COMPUTED_VALUE"""),"following")</f>
        <v>following</v>
      </c>
      <c r="X484" s="49" t="str">
        <f t="shared" si="3"/>
        <v>h,</v>
      </c>
      <c r="Y484" s="49"/>
      <c r="Z484" s="1" t="s">
        <v>2680</v>
      </c>
      <c r="AA484" s="1" t="s">
        <v>1733</v>
      </c>
      <c r="AB484" s="49" t="str">
        <f>IFERROR(__xludf.DUMMYFUNCTION("""COMPUTED_VALUE"""),"sensual")</f>
        <v>sensual</v>
      </c>
      <c r="AC484" s="49"/>
      <c r="AD484" s="49" t="str">
        <f>IFERROR(__xludf.DUMMYFUNCTION("""COMPUTED_VALUE"""),"elsewhere")</f>
        <v>elsewhere</v>
      </c>
      <c r="AE484" s="49" t="str">
        <f>IFERROR(__xludf.DUMMYFUNCTION("""COMPUTED_VALUE"""),"raphael")</f>
        <v>raphael</v>
      </c>
      <c r="AF484" s="49" t="str">
        <f t="shared" si="4"/>
        <v>leads,</v>
      </c>
      <c r="AG484" s="49"/>
      <c r="AH484" s="1" t="s">
        <v>6362</v>
      </c>
      <c r="AI484" s="1" t="s">
        <v>530</v>
      </c>
      <c r="AJ484" s="6" t="str">
        <f>IFERROR(__xludf.DUMMYFUNCTION("""COMPUTED_VALUE"""),"space")</f>
        <v>space</v>
      </c>
      <c r="AK484" s="49"/>
      <c r="AL484" s="49"/>
      <c r="AM484" s="49"/>
      <c r="AN484" s="52" t="str">
        <f t="shared" si="5"/>
        <v>everything,</v>
      </c>
    </row>
    <row r="485">
      <c r="A485" s="51"/>
      <c r="B485" s="50" t="s">
        <v>6560</v>
      </c>
      <c r="C485" s="50" t="s">
        <v>2119</v>
      </c>
      <c r="D485" s="49" t="str">
        <f>IFERROR(__xludf.DUMMYFUNCTION("""COMPUTED_VALUE"""),"expect")</f>
        <v>expect</v>
      </c>
      <c r="E485" s="49"/>
      <c r="F485" s="49"/>
      <c r="G485" s="49"/>
      <c r="H485" s="54" t="str">
        <f t="shared" si="1"/>
        <v>features,</v>
      </c>
      <c r="I485" s="50"/>
      <c r="J485" s="50" t="s">
        <v>4088</v>
      </c>
      <c r="K485" s="50" t="s">
        <v>1840</v>
      </c>
      <c r="L485" s="49" t="str">
        <f>IFERROR(__xludf.DUMMYFUNCTION("""COMPUTED_VALUE"""),"technical")</f>
        <v>technical</v>
      </c>
      <c r="M485" s="49"/>
      <c r="N485" s="49" t="str">
        <f>IFERROR(__xludf.DUMMYFUNCTION("""COMPUTED_VALUE"""),"gotten")</f>
        <v>gotten</v>
      </c>
      <c r="O485" s="49" t="str">
        <f>IFERROR(__xludf.DUMMYFUNCTION("""COMPUTED_VALUE"""),"relegated")</f>
        <v>relegated</v>
      </c>
      <c r="P485" s="49" t="str">
        <f t="shared" si="2"/>
        <v>increasingly,</v>
      </c>
      <c r="Q485" s="49"/>
      <c r="R485" s="50" t="s">
        <v>3828</v>
      </c>
      <c r="S485" s="55" t="s">
        <v>884</v>
      </c>
      <c r="T485" s="49" t="str">
        <f>IFERROR(__xludf.DUMMYFUNCTION("""COMPUTED_VALUE"""),"matters")</f>
        <v>matters</v>
      </c>
      <c r="U485" s="49"/>
      <c r="V485" s="49">
        <f>IFERROR(__xludf.DUMMYFUNCTION("""COMPUTED_VALUE"""),99.0)</f>
        <v>99</v>
      </c>
      <c r="W485" s="49" t="str">
        <f>IFERROR(__xludf.DUMMYFUNCTION("""COMPUTED_VALUE"""),"chosen")</f>
        <v>chosen</v>
      </c>
      <c r="X485" s="49" t="str">
        <f t="shared" si="3"/>
        <v>edward,</v>
      </c>
      <c r="Y485" s="49"/>
      <c r="Z485" s="1" t="s">
        <v>6526</v>
      </c>
      <c r="AA485" s="1" t="s">
        <v>1697</v>
      </c>
      <c r="AB485" s="49" t="str">
        <f>IFERROR(__xludf.DUMMYFUNCTION("""COMPUTED_VALUE"""),"suitable")</f>
        <v>suitable</v>
      </c>
      <c r="AC485" s="49"/>
      <c r="AD485" s="49" t="str">
        <f>IFERROR(__xludf.DUMMYFUNCTION("""COMPUTED_VALUE"""),"gotten")</f>
        <v>gotten</v>
      </c>
      <c r="AE485" s="49" t="str">
        <f>IFERROR(__xludf.DUMMYFUNCTION("""COMPUTED_VALUE"""),"relegated")</f>
        <v>relegated</v>
      </c>
      <c r="AF485" s="49" t="str">
        <f t="shared" si="4"/>
        <v>definitely,</v>
      </c>
      <c r="AG485" s="49"/>
      <c r="AH485" s="1" t="s">
        <v>2797</v>
      </c>
      <c r="AI485" s="1" t="s">
        <v>1257</v>
      </c>
      <c r="AJ485" s="6" t="str">
        <f>IFERROR(__xludf.DUMMYFUNCTION("""COMPUTED_VALUE"""),"sent")</f>
        <v>sent</v>
      </c>
      <c r="AK485" s="49"/>
      <c r="AL485" s="49"/>
      <c r="AM485" s="49"/>
      <c r="AN485" s="52" t="str">
        <f t="shared" si="5"/>
        <v>space,</v>
      </c>
    </row>
    <row r="486">
      <c r="A486" s="51"/>
      <c r="B486" s="50" t="s">
        <v>4344</v>
      </c>
      <c r="C486" s="50" t="s">
        <v>6338</v>
      </c>
      <c r="D486" s="49" t="str">
        <f>IFERROR(__xludf.DUMMYFUNCTION("""COMPUTED_VALUE"""),"sensitive")</f>
        <v>sensitive</v>
      </c>
      <c r="E486" s="49"/>
      <c r="F486" s="49"/>
      <c r="G486" s="49"/>
      <c r="H486" s="54" t="str">
        <f t="shared" si="1"/>
        <v>gun,</v>
      </c>
      <c r="I486" s="50"/>
      <c r="J486" s="50" t="s">
        <v>1179</v>
      </c>
      <c r="K486" s="50" t="s">
        <v>1398</v>
      </c>
      <c r="L486" s="49" t="str">
        <f>IFERROR(__xludf.DUMMYFUNCTION("""COMPUTED_VALUE"""),"involved")</f>
        <v>involved</v>
      </c>
      <c r="M486" s="49"/>
      <c r="N486" s="49" t="str">
        <f>IFERROR(__xludf.DUMMYFUNCTION("""COMPUTED_VALUE"""),"frequent")</f>
        <v>frequent</v>
      </c>
      <c r="O486" s="49" t="str">
        <f>IFERROR(__xludf.DUMMYFUNCTION("""COMPUTED_VALUE"""),"zealand")</f>
        <v>zealand</v>
      </c>
      <c r="P486" s="49" t="str">
        <f t="shared" si="2"/>
        <v>addition,</v>
      </c>
      <c r="Q486" s="49"/>
      <c r="R486" s="50" t="s">
        <v>2449</v>
      </c>
      <c r="S486" s="55" t="s">
        <v>395</v>
      </c>
      <c r="T486" s="49" t="str">
        <f>IFERROR(__xludf.DUMMYFUNCTION("""COMPUTED_VALUE"""),"class")</f>
        <v>class</v>
      </c>
      <c r="U486" s="49"/>
      <c r="V486" s="49" t="str">
        <f>IFERROR(__xludf.DUMMYFUNCTION("""COMPUTED_VALUE"""),"sorry")</f>
        <v>sorry</v>
      </c>
      <c r="W486" s="49" t="str">
        <f>IFERROR(__xludf.DUMMYFUNCTION("""COMPUTED_VALUE"""),"insistent")</f>
        <v>insistent</v>
      </c>
      <c r="X486" s="49" t="str">
        <f t="shared" si="3"/>
        <v>begins,</v>
      </c>
      <c r="Y486" s="49"/>
      <c r="Z486" s="1" t="s">
        <v>1437</v>
      </c>
      <c r="AA486" s="1" t="s">
        <v>426</v>
      </c>
      <c r="AB486" s="49" t="str">
        <f>IFERROR(__xludf.DUMMYFUNCTION("""COMPUTED_VALUE"""),"involving")</f>
        <v>involving</v>
      </c>
      <c r="AC486" s="49"/>
      <c r="AD486" s="49" t="str">
        <f>IFERROR(__xludf.DUMMYFUNCTION("""COMPUTED_VALUE"""),"frequent")</f>
        <v>frequent</v>
      </c>
      <c r="AE486" s="49" t="str">
        <f>IFERROR(__xludf.DUMMYFUNCTION("""COMPUTED_VALUE"""),"zealand")</f>
        <v>zealand</v>
      </c>
      <c r="AF486" s="49" t="str">
        <f t="shared" si="4"/>
        <v>ve,</v>
      </c>
      <c r="AG486" s="49"/>
      <c r="AH486" s="1" t="s">
        <v>6775</v>
      </c>
      <c r="AI486" s="1" t="s">
        <v>962</v>
      </c>
      <c r="AJ486" s="6" t="str">
        <f>IFERROR(__xludf.DUMMYFUNCTION("""COMPUTED_VALUE"""),"kind")</f>
        <v>kind</v>
      </c>
      <c r="AK486" s="49"/>
      <c r="AL486" s="49"/>
      <c r="AM486" s="49"/>
      <c r="AN486" s="52" t="str">
        <f t="shared" si="5"/>
        <v>sent,</v>
      </c>
    </row>
    <row r="487">
      <c r="A487" s="51"/>
      <c r="B487" s="50" t="s">
        <v>6602</v>
      </c>
      <c r="C487" s="50" t="s">
        <v>2128</v>
      </c>
      <c r="D487" s="49" t="str">
        <f>IFERROR(__xludf.DUMMYFUNCTION("""COMPUTED_VALUE"""),"potentially")</f>
        <v>potentially</v>
      </c>
      <c r="E487" s="49"/>
      <c r="F487" s="49"/>
      <c r="G487" s="49"/>
      <c r="H487" s="54" t="str">
        <f t="shared" si="1"/>
        <v>boys,</v>
      </c>
      <c r="I487" s="50"/>
      <c r="J487" s="50" t="s">
        <v>1757</v>
      </c>
      <c r="K487" s="50" t="s">
        <v>1406</v>
      </c>
      <c r="L487" s="49" t="str">
        <f>IFERROR(__xludf.DUMMYFUNCTION("""COMPUTED_VALUE"""),"dressed")</f>
        <v>dressed</v>
      </c>
      <c r="M487" s="49"/>
      <c r="N487" s="49" t="str">
        <f>IFERROR(__xludf.DUMMYFUNCTION("""COMPUTED_VALUE"""),"situation")</f>
        <v>situation</v>
      </c>
      <c r="O487" s="49" t="str">
        <f>IFERROR(__xludf.DUMMYFUNCTION("""COMPUTED_VALUE"""),"strange")</f>
        <v>strange</v>
      </c>
      <c r="P487" s="49" t="str">
        <f t="shared" si="2"/>
        <v>form,</v>
      </c>
      <c r="Q487" s="49"/>
      <c r="R487" s="50" t="s">
        <v>779</v>
      </c>
      <c r="S487" s="55" t="s">
        <v>2426</v>
      </c>
      <c r="T487" s="49" t="str">
        <f>IFERROR(__xludf.DUMMYFUNCTION("""COMPUTED_VALUE"""),"e")</f>
        <v>e</v>
      </c>
      <c r="U487" s="49"/>
      <c r="V487" s="49" t="str">
        <f>IFERROR(__xludf.DUMMYFUNCTION("""COMPUTED_VALUE"""),"st")</f>
        <v>st</v>
      </c>
      <c r="W487" s="49" t="str">
        <f>IFERROR(__xludf.DUMMYFUNCTION("""COMPUTED_VALUE"""),"survival")</f>
        <v>survival</v>
      </c>
      <c r="X487" s="49" t="str">
        <f t="shared" si="3"/>
        <v>count,</v>
      </c>
      <c r="Y487" s="49"/>
      <c r="Z487" s="1" t="s">
        <v>5458</v>
      </c>
      <c r="AA487" s="1" t="s">
        <v>691</v>
      </c>
      <c r="AB487" s="49" t="str">
        <f>IFERROR(__xludf.DUMMYFUNCTION("""COMPUTED_VALUE"""),"humans")</f>
        <v>humans</v>
      </c>
      <c r="AC487" s="49"/>
      <c r="AD487" s="49" t="str">
        <f>IFERROR(__xludf.DUMMYFUNCTION("""COMPUTED_VALUE"""),"situation")</f>
        <v>situation</v>
      </c>
      <c r="AE487" s="49" t="str">
        <f>IFERROR(__xludf.DUMMYFUNCTION("""COMPUTED_VALUE"""),"strange")</f>
        <v>strange</v>
      </c>
      <c r="AF487" s="49" t="str">
        <f t="shared" si="4"/>
        <v>witch,</v>
      </c>
      <c r="AG487" s="49"/>
      <c r="AH487" s="1" t="s">
        <v>847</v>
      </c>
      <c r="AI487" s="1" t="s">
        <v>918</v>
      </c>
      <c r="AJ487" s="6" t="str">
        <f>IFERROR(__xludf.DUMMYFUNCTION("""COMPUTED_VALUE"""),"hell")</f>
        <v>hell</v>
      </c>
      <c r="AK487" s="49"/>
      <c r="AL487" s="49"/>
      <c r="AM487" s="49"/>
      <c r="AN487" s="52" t="str">
        <f t="shared" si="5"/>
        <v>kind,</v>
      </c>
    </row>
    <row r="488">
      <c r="A488" s="51"/>
      <c r="B488" s="50" t="s">
        <v>4582</v>
      </c>
      <c r="C488" s="50" t="s">
        <v>1908</v>
      </c>
      <c r="D488" s="49" t="str">
        <f>IFERROR(__xludf.DUMMYFUNCTION("""COMPUTED_VALUE"""),"girl")</f>
        <v>girl</v>
      </c>
      <c r="E488" s="49"/>
      <c r="F488" s="49"/>
      <c r="G488" s="49"/>
      <c r="H488" s="54" t="str">
        <f t="shared" si="1"/>
        <v>create,</v>
      </c>
      <c r="I488" s="50"/>
      <c r="J488" s="50" t="s">
        <v>142</v>
      </c>
      <c r="K488" s="50" t="s">
        <v>2504</v>
      </c>
      <c r="L488" s="49" t="str">
        <f>IFERROR(__xludf.DUMMYFUNCTION("""COMPUTED_VALUE"""),"seems")</f>
        <v>seems</v>
      </c>
      <c r="M488" s="49"/>
      <c r="N488" s="49" t="str">
        <f>IFERROR(__xludf.DUMMYFUNCTION("""COMPUTED_VALUE"""),"unhappy")</f>
        <v>unhappy</v>
      </c>
      <c r="O488" s="49" t="str">
        <f>IFERROR(__xludf.DUMMYFUNCTION("""COMPUTED_VALUE"""),"understands")</f>
        <v>understands</v>
      </c>
      <c r="P488" s="49" t="str">
        <f t="shared" si="2"/>
        <v>greatest,</v>
      </c>
      <c r="Q488" s="49"/>
      <c r="R488" s="50" t="s">
        <v>3030</v>
      </c>
      <c r="S488" s="55" t="s">
        <v>1993</v>
      </c>
      <c r="T488" s="49" t="str">
        <f>IFERROR(__xludf.DUMMYFUNCTION("""COMPUTED_VALUE"""),"returns")</f>
        <v>returns</v>
      </c>
      <c r="U488" s="49"/>
      <c r="V488" s="49" t="str">
        <f>IFERROR(__xludf.DUMMYFUNCTION("""COMPUTED_VALUE"""),"display")</f>
        <v>display</v>
      </c>
      <c r="W488" s="49" t="str">
        <f>IFERROR(__xludf.DUMMYFUNCTION("""COMPUTED_VALUE"""),"bland")</f>
        <v>bland</v>
      </c>
      <c r="X488" s="49" t="str">
        <f t="shared" si="3"/>
        <v>confusing,</v>
      </c>
      <c r="Y488" s="49"/>
      <c r="Z488" s="1" t="s">
        <v>4490</v>
      </c>
      <c r="AA488" s="1" t="s">
        <v>1710</v>
      </c>
      <c r="AB488" s="49" t="str">
        <f>IFERROR(__xludf.DUMMYFUNCTION("""COMPUTED_VALUE"""),"wildly")</f>
        <v>wildly</v>
      </c>
      <c r="AC488" s="49"/>
      <c r="AD488" s="49" t="str">
        <f>IFERROR(__xludf.DUMMYFUNCTION("""COMPUTED_VALUE"""),"unhappy")</f>
        <v>unhappy</v>
      </c>
      <c r="AE488" s="49" t="str">
        <f>IFERROR(__xludf.DUMMYFUNCTION("""COMPUTED_VALUE"""),"understands")</f>
        <v>understands</v>
      </c>
      <c r="AF488" s="49" t="str">
        <f t="shared" si="4"/>
        <v>trailer,</v>
      </c>
      <c r="AG488" s="49"/>
      <c r="AH488" s="1" t="s">
        <v>3128</v>
      </c>
      <c r="AI488" s="1" t="s">
        <v>6330</v>
      </c>
      <c r="AJ488" s="6" t="str">
        <f>IFERROR(__xludf.DUMMYFUNCTION("""COMPUTED_VALUE"""),"successful")</f>
        <v>successful</v>
      </c>
      <c r="AK488" s="49"/>
      <c r="AL488" s="49"/>
      <c r="AM488" s="49"/>
      <c r="AN488" s="52" t="str">
        <f t="shared" si="5"/>
        <v>hell,</v>
      </c>
    </row>
    <row r="489">
      <c r="A489" s="51"/>
      <c r="B489" s="50" t="s">
        <v>2276</v>
      </c>
      <c r="C489" s="50" t="s">
        <v>6334</v>
      </c>
      <c r="D489" s="49" t="str">
        <f>IFERROR(__xludf.DUMMYFUNCTION("""COMPUTED_VALUE"""),"bar")</f>
        <v>bar</v>
      </c>
      <c r="E489" s="49"/>
      <c r="F489" s="49"/>
      <c r="G489" s="49"/>
      <c r="H489" s="54" t="str">
        <f t="shared" si="1"/>
        <v>appears,</v>
      </c>
      <c r="I489" s="50"/>
      <c r="J489" s="50" t="s">
        <v>937</v>
      </c>
      <c r="K489" s="50" t="s">
        <v>1411</v>
      </c>
      <c r="L489" s="49" t="str">
        <f>IFERROR(__xludf.DUMMYFUNCTION("""COMPUTED_VALUE"""),"sleep")</f>
        <v>sleep</v>
      </c>
      <c r="M489" s="49"/>
      <c r="N489" s="49" t="str">
        <f>IFERROR(__xludf.DUMMYFUNCTION("""COMPUTED_VALUE"""),"frequently")</f>
        <v>frequently</v>
      </c>
      <c r="O489" s="49" t="str">
        <f>IFERROR(__xludf.DUMMYFUNCTION("""COMPUTED_VALUE"""),"harry")</f>
        <v>harry</v>
      </c>
      <c r="P489" s="49" t="str">
        <f t="shared" si="2"/>
        <v>disney,</v>
      </c>
      <c r="Q489" s="49"/>
      <c r="R489" s="50" t="s">
        <v>3806</v>
      </c>
      <c r="S489" s="55" t="s">
        <v>406</v>
      </c>
      <c r="T489" s="49" t="str">
        <f>IFERROR(__xludf.DUMMYFUNCTION("""COMPUTED_VALUE"""),"laughed")</f>
        <v>laughed</v>
      </c>
      <c r="U489" s="49"/>
      <c r="V489" s="49" t="str">
        <f>IFERROR(__xludf.DUMMYFUNCTION("""COMPUTED_VALUE"""),"trap")</f>
        <v>trap</v>
      </c>
      <c r="W489" s="49" t="str">
        <f>IFERROR(__xludf.DUMMYFUNCTION("""COMPUTED_VALUE"""),"bare")</f>
        <v>bare</v>
      </c>
      <c r="X489" s="49" t="str">
        <f t="shared" si="3"/>
        <v>burns,</v>
      </c>
      <c r="Y489" s="49"/>
      <c r="Z489" s="1" t="s">
        <v>6308</v>
      </c>
      <c r="AA489" s="1" t="s">
        <v>1759</v>
      </c>
      <c r="AB489" s="49" t="str">
        <f>IFERROR(__xludf.DUMMYFUNCTION("""COMPUTED_VALUE"""),"complete")</f>
        <v>complete</v>
      </c>
      <c r="AC489" s="49"/>
      <c r="AD489" s="49" t="str">
        <f>IFERROR(__xludf.DUMMYFUNCTION("""COMPUTED_VALUE"""),"frequently")</f>
        <v>frequently</v>
      </c>
      <c r="AE489" s="49" t="str">
        <f>IFERROR(__xludf.DUMMYFUNCTION("""COMPUTED_VALUE"""),"harry")</f>
        <v>harry</v>
      </c>
      <c r="AF489" s="49" t="str">
        <f t="shared" si="4"/>
        <v>shows,</v>
      </c>
      <c r="AG489" s="49"/>
      <c r="AH489" s="1" t="s">
        <v>1497</v>
      </c>
      <c r="AI489" s="1">
        <v>84.0</v>
      </c>
      <c r="AJ489" s="6" t="str">
        <f>IFERROR(__xludf.DUMMYFUNCTION("""COMPUTED_VALUE"""),"hope")</f>
        <v>hope</v>
      </c>
      <c r="AK489" s="49"/>
      <c r="AL489" s="49"/>
      <c r="AM489" s="49"/>
      <c r="AN489" s="52" t="str">
        <f t="shared" si="5"/>
        <v>successful,</v>
      </c>
    </row>
    <row r="490">
      <c r="A490" s="51"/>
      <c r="B490" s="50" t="s">
        <v>1989</v>
      </c>
      <c r="C490" s="50" t="s">
        <v>1181</v>
      </c>
      <c r="D490" s="49" t="str">
        <f>IFERROR(__xludf.DUMMYFUNCTION("""COMPUTED_VALUE"""),"credits")</f>
        <v>credits</v>
      </c>
      <c r="E490" s="49"/>
      <c r="F490" s="49"/>
      <c r="G490" s="49"/>
      <c r="H490" s="54" t="str">
        <f t="shared" si="1"/>
        <v>machine,</v>
      </c>
      <c r="I490" s="50"/>
      <c r="J490" s="50" t="s">
        <v>803</v>
      </c>
      <c r="K490" s="50" t="s">
        <v>2509</v>
      </c>
      <c r="L490" s="49" t="str">
        <f>IFERROR(__xludf.DUMMYFUNCTION("""COMPUTED_VALUE"""),"wan")</f>
        <v>wan</v>
      </c>
      <c r="M490" s="49"/>
      <c r="N490" s="49" t="str">
        <f>IFERROR(__xludf.DUMMYFUNCTION("""COMPUTED_VALUE"""),"although")</f>
        <v>although</v>
      </c>
      <c r="O490" s="49" t="str">
        <f>IFERROR(__xludf.DUMMYFUNCTION("""COMPUTED_VALUE"""),"justice")</f>
        <v>justice</v>
      </c>
      <c r="P490" s="49" t="str">
        <f t="shared" si="2"/>
        <v>feature,</v>
      </c>
      <c r="Q490" s="49"/>
      <c r="R490" s="50" t="s">
        <v>4224</v>
      </c>
      <c r="S490" s="55" t="s">
        <v>1204</v>
      </c>
      <c r="T490" s="49" t="str">
        <f>IFERROR(__xludf.DUMMYFUNCTION("""COMPUTED_VALUE"""),"again")</f>
        <v>again</v>
      </c>
      <c r="U490" s="49"/>
      <c r="V490" s="49" t="str">
        <f>IFERROR(__xludf.DUMMYFUNCTION("""COMPUTED_VALUE"""),"battered")</f>
        <v>battered</v>
      </c>
      <c r="W490" s="49" t="str">
        <f>IFERROR(__xludf.DUMMYFUNCTION("""COMPUTED_VALUE"""),"victories")</f>
        <v>victories</v>
      </c>
      <c r="X490" s="49" t="str">
        <f t="shared" si="3"/>
        <v>strange,</v>
      </c>
      <c r="Y490" s="49"/>
      <c r="Z490" s="1" t="s">
        <v>1997</v>
      </c>
      <c r="AA490" s="1" t="s">
        <v>1718</v>
      </c>
      <c r="AB490" s="49" t="str">
        <f>IFERROR(__xludf.DUMMYFUNCTION("""COMPUTED_VALUE"""),"cruel")</f>
        <v>cruel</v>
      </c>
      <c r="AC490" s="49"/>
      <c r="AD490" s="49" t="str">
        <f>IFERROR(__xludf.DUMMYFUNCTION("""COMPUTED_VALUE"""),"although")</f>
        <v>although</v>
      </c>
      <c r="AE490" s="49" t="str">
        <f>IFERROR(__xludf.DUMMYFUNCTION("""COMPUTED_VALUE"""),"justice")</f>
        <v>justice</v>
      </c>
      <c r="AF490" s="49" t="str">
        <f t="shared" si="4"/>
        <v>seen,</v>
      </c>
      <c r="AG490" s="49"/>
      <c r="AH490" s="1" t="s">
        <v>3668</v>
      </c>
      <c r="AI490" s="1" t="s">
        <v>2023</v>
      </c>
      <c r="AJ490" s="6" t="str">
        <f>IFERROR(__xludf.DUMMYFUNCTION("""COMPUTED_VALUE"""),"results")</f>
        <v>results</v>
      </c>
      <c r="AK490" s="49"/>
      <c r="AL490" s="49"/>
      <c r="AM490" s="49"/>
      <c r="AN490" s="52" t="str">
        <f t="shared" si="5"/>
        <v>hope,</v>
      </c>
    </row>
    <row r="491">
      <c r="A491" s="51"/>
      <c r="B491" s="50" t="s">
        <v>4155</v>
      </c>
      <c r="C491" s="50" t="s">
        <v>1914</v>
      </c>
      <c r="D491" s="49" t="str">
        <f>IFERROR(__xludf.DUMMYFUNCTION("""COMPUTED_VALUE"""),"loaded")</f>
        <v>loaded</v>
      </c>
      <c r="E491" s="49"/>
      <c r="F491" s="49"/>
      <c r="G491" s="49"/>
      <c r="H491" s="54" t="str">
        <f t="shared" si="1"/>
        <v>ones,</v>
      </c>
      <c r="I491" s="50"/>
      <c r="J491" s="50" t="s">
        <v>2001</v>
      </c>
      <c r="K491" s="50" t="s">
        <v>2229</v>
      </c>
      <c r="L491" s="49" t="str">
        <f>IFERROR(__xludf.DUMMYFUNCTION("""COMPUTED_VALUE"""),"crawl")</f>
        <v>crawl</v>
      </c>
      <c r="M491" s="49"/>
      <c r="N491" s="49">
        <f>IFERROR(__xludf.DUMMYFUNCTION("""COMPUTED_VALUE"""),7.0)</f>
        <v>7</v>
      </c>
      <c r="O491" s="49" t="str">
        <f>IFERROR(__xludf.DUMMYFUNCTION("""COMPUTED_VALUE"""),"dawson")</f>
        <v>dawson</v>
      </c>
      <c r="P491" s="49" t="str">
        <f t="shared" si="2"/>
        <v>entertaining,</v>
      </c>
      <c r="Q491" s="49"/>
      <c r="R491" s="50" t="s">
        <v>1799</v>
      </c>
      <c r="S491" s="55" t="s">
        <v>2001</v>
      </c>
      <c r="T491" s="49" t="str">
        <f>IFERROR(__xludf.DUMMYFUNCTION("""COMPUTED_VALUE"""),"message")</f>
        <v>message</v>
      </c>
      <c r="U491" s="49"/>
      <c r="V491" s="49" t="str">
        <f>IFERROR(__xludf.DUMMYFUNCTION("""COMPUTED_VALUE"""),"craig")</f>
        <v>craig</v>
      </c>
      <c r="W491" s="49" t="str">
        <f>IFERROR(__xludf.DUMMYFUNCTION("""COMPUTED_VALUE"""),"bizarre")</f>
        <v>bizarre</v>
      </c>
      <c r="X491" s="49" t="str">
        <f t="shared" si="3"/>
        <v>describe,</v>
      </c>
      <c r="Y491" s="49"/>
      <c r="Z491" s="1" t="s">
        <v>2309</v>
      </c>
      <c r="AA491" s="1" t="s">
        <v>699</v>
      </c>
      <c r="AB491" s="49" t="str">
        <f>IFERROR(__xludf.DUMMYFUNCTION("""COMPUTED_VALUE"""),"crime")</f>
        <v>crime</v>
      </c>
      <c r="AC491" s="49"/>
      <c r="AD491" s="49">
        <f>IFERROR(__xludf.DUMMYFUNCTION("""COMPUTED_VALUE"""),7.0)</f>
        <v>7</v>
      </c>
      <c r="AE491" s="49" t="str">
        <f>IFERROR(__xludf.DUMMYFUNCTION("""COMPUTED_VALUE"""),"dawson")</f>
        <v>dawson</v>
      </c>
      <c r="AF491" s="49" t="str">
        <f t="shared" si="4"/>
        <v>maybe,</v>
      </c>
      <c r="AG491" s="49"/>
      <c r="AH491" s="1" t="s">
        <v>2082</v>
      </c>
      <c r="AI491" s="1" t="s">
        <v>822</v>
      </c>
      <c r="AJ491" s="6" t="str">
        <f>IFERROR(__xludf.DUMMYFUNCTION("""COMPUTED_VALUE"""),"whatever")</f>
        <v>whatever</v>
      </c>
      <c r="AK491" s="49"/>
      <c r="AL491" s="49"/>
      <c r="AM491" s="49"/>
      <c r="AN491" s="52" t="str">
        <f t="shared" si="5"/>
        <v>results,</v>
      </c>
    </row>
    <row r="492">
      <c r="A492" s="51"/>
      <c r="B492" s="50" t="s">
        <v>6579</v>
      </c>
      <c r="C492" s="50" t="s">
        <v>1119</v>
      </c>
      <c r="D492" s="49" t="str">
        <f>IFERROR(__xludf.DUMMYFUNCTION("""COMPUTED_VALUE"""),"ride")</f>
        <v>ride</v>
      </c>
      <c r="E492" s="49"/>
      <c r="F492" s="49"/>
      <c r="G492" s="49"/>
      <c r="H492" s="54" t="str">
        <f t="shared" si="1"/>
        <v>telling,</v>
      </c>
      <c r="I492" s="50"/>
      <c r="J492" s="50" t="s">
        <v>7264</v>
      </c>
      <c r="K492" s="50" t="s">
        <v>2222</v>
      </c>
      <c r="L492" s="49" t="str">
        <f>IFERROR(__xludf.DUMMYFUNCTION("""COMPUTED_VALUE"""),"computer")</f>
        <v>computer</v>
      </c>
      <c r="M492" s="49"/>
      <c r="N492" s="49">
        <f>IFERROR(__xludf.DUMMYFUNCTION("""COMPUTED_VALUE"""),6.0)</f>
        <v>6</v>
      </c>
      <c r="O492" s="49" t="str">
        <f>IFERROR(__xludf.DUMMYFUNCTION("""COMPUTED_VALUE"""),"portray")</f>
        <v>portray</v>
      </c>
      <c r="P492" s="49" t="str">
        <f t="shared" si="2"/>
        <v>solar,</v>
      </c>
      <c r="Q492" s="49"/>
      <c r="R492" s="50" t="s">
        <v>3509</v>
      </c>
      <c r="S492" s="55" t="s">
        <v>6339</v>
      </c>
      <c r="T492" s="49" t="str">
        <f>IFERROR(__xludf.DUMMYFUNCTION("""COMPUTED_VALUE"""),"voice")</f>
        <v>voice</v>
      </c>
      <c r="U492" s="49"/>
      <c r="V492" s="49" t="str">
        <f>IFERROR(__xludf.DUMMYFUNCTION("""COMPUTED_VALUE"""),"simulation")</f>
        <v>simulation</v>
      </c>
      <c r="W492" s="49" t="str">
        <f>IFERROR(__xludf.DUMMYFUNCTION("""COMPUTED_VALUE"""),"dynamics")</f>
        <v>dynamics</v>
      </c>
      <c r="X492" s="49" t="str">
        <f t="shared" si="3"/>
        <v>patient,</v>
      </c>
      <c r="Y492" s="49"/>
      <c r="Z492" s="1" t="s">
        <v>6401</v>
      </c>
      <c r="AA492" s="1" t="s">
        <v>2512</v>
      </c>
      <c r="AB492" s="49" t="str">
        <f>IFERROR(__xludf.DUMMYFUNCTION("""COMPUTED_VALUE"""),"washington")</f>
        <v>washington</v>
      </c>
      <c r="AC492" s="49"/>
      <c r="AD492" s="49">
        <f>IFERROR(__xludf.DUMMYFUNCTION("""COMPUTED_VALUE"""),6.0)</f>
        <v>6</v>
      </c>
      <c r="AE492" s="49" t="str">
        <f>IFERROR(__xludf.DUMMYFUNCTION("""COMPUTED_VALUE"""),"portray")</f>
        <v>portray</v>
      </c>
      <c r="AF492" s="49" t="str">
        <f t="shared" si="4"/>
        <v>familiar,</v>
      </c>
      <c r="AG492" s="49"/>
      <c r="AH492" s="1" t="s">
        <v>2725</v>
      </c>
      <c r="AI492" s="1" t="s">
        <v>1020</v>
      </c>
      <c r="AJ492" s="6" t="str">
        <f>IFERROR(__xludf.DUMMYFUNCTION("""COMPUTED_VALUE"""),"elements")</f>
        <v>elements</v>
      </c>
      <c r="AK492" s="49"/>
      <c r="AL492" s="49"/>
      <c r="AM492" s="49"/>
      <c r="AN492" s="52" t="str">
        <f t="shared" si="5"/>
        <v>whatever,</v>
      </c>
    </row>
    <row r="493">
      <c r="A493" s="51"/>
      <c r="B493" s="50" t="s">
        <v>6290</v>
      </c>
      <c r="C493" s="50" t="s">
        <v>5064</v>
      </c>
      <c r="D493" s="49" t="str">
        <f>IFERROR(__xludf.DUMMYFUNCTION("""COMPUTED_VALUE"""),"enjoy")</f>
        <v>enjoy</v>
      </c>
      <c r="E493" s="49"/>
      <c r="F493" s="49"/>
      <c r="G493" s="49"/>
      <c r="H493" s="54" t="str">
        <f t="shared" si="1"/>
        <v>classic,</v>
      </c>
      <c r="I493" s="50"/>
      <c r="J493" s="50" t="s">
        <v>2100</v>
      </c>
      <c r="K493" s="50" t="s">
        <v>831</v>
      </c>
      <c r="L493" s="49" t="str">
        <f>IFERROR(__xludf.DUMMYFUNCTION("""COMPUTED_VALUE"""),"spectacle")</f>
        <v>spectacle</v>
      </c>
      <c r="M493" s="49"/>
      <c r="N493" s="49" t="str">
        <f>IFERROR(__xludf.DUMMYFUNCTION("""COMPUTED_VALUE"""),"rod")</f>
        <v>rod</v>
      </c>
      <c r="O493" s="49" t="str">
        <f>IFERROR(__xludf.DUMMYFUNCTION("""COMPUTED_VALUE"""),"monumental")</f>
        <v>monumental</v>
      </c>
      <c r="P493" s="49" t="str">
        <f t="shared" si="2"/>
        <v>documentary,</v>
      </c>
      <c r="Q493" s="49"/>
      <c r="R493" s="50" t="s">
        <v>689</v>
      </c>
      <c r="S493" s="55" t="s">
        <v>6340</v>
      </c>
      <c r="T493" s="49" t="str">
        <f>IFERROR(__xludf.DUMMYFUNCTION("""COMPUTED_VALUE"""),"once")</f>
        <v>once</v>
      </c>
      <c r="U493" s="49"/>
      <c r="V493" s="49" t="str">
        <f>IFERROR(__xludf.DUMMYFUNCTION("""COMPUTED_VALUE"""),"overrun")</f>
        <v>overrun</v>
      </c>
      <c r="W493" s="49" t="str">
        <f>IFERROR(__xludf.DUMMYFUNCTION("""COMPUTED_VALUE"""),"struggles")</f>
        <v>struggles</v>
      </c>
      <c r="X493" s="49" t="str">
        <f t="shared" si="3"/>
        <v>days,</v>
      </c>
      <c r="Y493" s="49"/>
      <c r="Z493" s="1" t="s">
        <v>761</v>
      </c>
      <c r="AA493" s="1" t="s">
        <v>2517</v>
      </c>
      <c r="AB493" s="49" t="str">
        <f>IFERROR(__xludf.DUMMYFUNCTION("""COMPUTED_VALUE"""),"finally")</f>
        <v>finally</v>
      </c>
      <c r="AC493" s="49"/>
      <c r="AD493" s="49" t="str">
        <f>IFERROR(__xludf.DUMMYFUNCTION("""COMPUTED_VALUE"""),"rod")</f>
        <v>rod</v>
      </c>
      <c r="AE493" s="49" t="str">
        <f>IFERROR(__xludf.DUMMYFUNCTION("""COMPUTED_VALUE"""),"monumental")</f>
        <v>monumental</v>
      </c>
      <c r="AF493" s="49" t="str">
        <f t="shared" si="4"/>
        <v>hands,</v>
      </c>
      <c r="AG493" s="49"/>
      <c r="AH493" s="1" t="s">
        <v>2991</v>
      </c>
      <c r="AI493" s="1" t="s">
        <v>6331</v>
      </c>
      <c r="AJ493" s="6" t="str">
        <f>IFERROR(__xludf.DUMMYFUNCTION("""COMPUTED_VALUE"""),"contact")</f>
        <v>contact</v>
      </c>
      <c r="AK493" s="49"/>
      <c r="AL493" s="49"/>
      <c r="AM493" s="49"/>
      <c r="AN493" s="52" t="str">
        <f t="shared" si="5"/>
        <v>elements,</v>
      </c>
    </row>
    <row r="494">
      <c r="A494" s="51"/>
      <c r="B494" s="50" t="s">
        <v>2030</v>
      </c>
      <c r="C494" s="50" t="s">
        <v>1916</v>
      </c>
      <c r="D494" s="49" t="str">
        <f>IFERROR(__xludf.DUMMYFUNCTION("""COMPUTED_VALUE"""),"dark")</f>
        <v>dark</v>
      </c>
      <c r="E494" s="49"/>
      <c r="F494" s="49"/>
      <c r="G494" s="49"/>
      <c r="H494" s="54" t="str">
        <f t="shared" si="1"/>
        <v>showing,</v>
      </c>
      <c r="I494" s="50"/>
      <c r="J494" s="50" t="s">
        <v>4912</v>
      </c>
      <c r="K494" s="50" t="s">
        <v>2525</v>
      </c>
      <c r="L494" s="49" t="str">
        <f>IFERROR(__xludf.DUMMYFUNCTION("""COMPUTED_VALUE"""),"wise")</f>
        <v>wise</v>
      </c>
      <c r="M494" s="49"/>
      <c r="N494" s="49" t="str">
        <f>IFERROR(__xludf.DUMMYFUNCTION("""COMPUTED_VALUE"""),"pay")</f>
        <v>pay</v>
      </c>
      <c r="O494" s="49" t="str">
        <f>IFERROR(__xludf.DUMMYFUNCTION("""COMPUTED_VALUE"""),"judd")</f>
        <v>judd</v>
      </c>
      <c r="P494" s="49" t="str">
        <f t="shared" si="2"/>
        <v>race,</v>
      </c>
      <c r="Q494" s="49"/>
      <c r="R494" s="50" t="s">
        <v>4518</v>
      </c>
      <c r="S494" s="55" t="s">
        <v>222</v>
      </c>
      <c r="T494" s="49" t="str">
        <f>IFERROR(__xludf.DUMMYFUNCTION("""COMPUTED_VALUE"""),"father")</f>
        <v>father</v>
      </c>
      <c r="U494" s="49"/>
      <c r="V494" s="49" t="str">
        <f>IFERROR(__xludf.DUMMYFUNCTION("""COMPUTED_VALUE"""),"sooner")</f>
        <v>sooner</v>
      </c>
      <c r="W494" s="49" t="str">
        <f>IFERROR(__xludf.DUMMYFUNCTION("""COMPUTED_VALUE"""),"saturday")</f>
        <v>saturday</v>
      </c>
      <c r="X494" s="49" t="str">
        <f t="shared" si="3"/>
        <v>aggressively,</v>
      </c>
      <c r="Y494" s="49"/>
      <c r="Z494" s="1" t="s">
        <v>4239</v>
      </c>
      <c r="AA494" s="1" t="s">
        <v>1811</v>
      </c>
      <c r="AB494" s="49" t="str">
        <f>IFERROR(__xludf.DUMMYFUNCTION("""COMPUTED_VALUE"""),"remarkable")</f>
        <v>remarkable</v>
      </c>
      <c r="AC494" s="49"/>
      <c r="AD494" s="49" t="str">
        <f>IFERROR(__xludf.DUMMYFUNCTION("""COMPUTED_VALUE"""),"pay")</f>
        <v>pay</v>
      </c>
      <c r="AE494" s="49" t="str">
        <f>IFERROR(__xludf.DUMMYFUNCTION("""COMPUTED_VALUE"""),"judd")</f>
        <v>judd</v>
      </c>
      <c r="AF494" s="49" t="str">
        <f t="shared" si="4"/>
        <v>scene,</v>
      </c>
      <c r="AG494" s="49"/>
      <c r="AH494" s="1" t="s">
        <v>6997</v>
      </c>
      <c r="AI494" s="1" t="s">
        <v>1775</v>
      </c>
      <c r="AJ494" s="6" t="str">
        <f>IFERROR(__xludf.DUMMYFUNCTION("""COMPUTED_VALUE"""),"thousand")</f>
        <v>thousand</v>
      </c>
      <c r="AK494" s="49"/>
      <c r="AL494" s="49"/>
      <c r="AM494" s="49"/>
      <c r="AN494" s="52" t="str">
        <f t="shared" si="5"/>
        <v>contact,</v>
      </c>
    </row>
    <row r="495">
      <c r="A495" s="51"/>
      <c r="B495" s="50" t="s">
        <v>2765</v>
      </c>
      <c r="C495" s="50" t="s">
        <v>2138</v>
      </c>
      <c r="D495" s="49" t="str">
        <f>IFERROR(__xludf.DUMMYFUNCTION("""COMPUTED_VALUE"""),"beyond")</f>
        <v>beyond</v>
      </c>
      <c r="E495" s="49"/>
      <c r="F495" s="49"/>
      <c r="G495" s="49"/>
      <c r="H495" s="54" t="str">
        <f t="shared" si="1"/>
        <v>darkness,</v>
      </c>
      <c r="I495" s="50"/>
      <c r="J495" s="50" t="s">
        <v>6477</v>
      </c>
      <c r="K495" s="50" t="s">
        <v>2528</v>
      </c>
      <c r="L495" s="49" t="str">
        <f>IFERROR(__xludf.DUMMYFUNCTION("""COMPUTED_VALUE"""),"episode")</f>
        <v>episode</v>
      </c>
      <c r="M495" s="49"/>
      <c r="N495" s="49" t="str">
        <f>IFERROR(__xludf.DUMMYFUNCTION("""COMPUTED_VALUE"""),"refuses")</f>
        <v>refuses</v>
      </c>
      <c r="O495" s="49" t="str">
        <f>IFERROR(__xludf.DUMMYFUNCTION("""COMPUTED_VALUE"""),"freeman")</f>
        <v>freeman</v>
      </c>
      <c r="P495" s="49" t="str">
        <f t="shared" si="2"/>
        <v>dated,</v>
      </c>
      <c r="Q495" s="49"/>
      <c r="R495" s="50" t="s">
        <v>3868</v>
      </c>
      <c r="S495" s="55" t="s">
        <v>2211</v>
      </c>
      <c r="T495" s="49" t="str">
        <f>IFERROR(__xludf.DUMMYFUNCTION("""COMPUTED_VALUE"""),"ethnic")</f>
        <v>ethnic</v>
      </c>
      <c r="U495" s="49"/>
      <c r="V495" s="49" t="str">
        <f>IFERROR(__xludf.DUMMYFUNCTION("""COMPUTED_VALUE"""),"daughters")</f>
        <v>daughters</v>
      </c>
      <c r="W495" s="49">
        <f>IFERROR(__xludf.DUMMYFUNCTION("""COMPUTED_VALUE"""),140.0)</f>
        <v>140</v>
      </c>
      <c r="X495" s="49" t="str">
        <f t="shared" si="3"/>
        <v>wilson,</v>
      </c>
      <c r="Y495" s="49"/>
      <c r="Z495" s="1" t="s">
        <v>2027</v>
      </c>
      <c r="AA495" s="1" t="s">
        <v>440</v>
      </c>
      <c r="AB495" s="49" t="str">
        <f>IFERROR(__xludf.DUMMYFUNCTION("""COMPUTED_VALUE"""),"screenwriter")</f>
        <v>screenwriter</v>
      </c>
      <c r="AC495" s="49"/>
      <c r="AD495" s="49" t="str">
        <f>IFERROR(__xludf.DUMMYFUNCTION("""COMPUTED_VALUE"""),"refuses")</f>
        <v>refuses</v>
      </c>
      <c r="AE495" s="49" t="str">
        <f>IFERROR(__xludf.DUMMYFUNCTION("""COMPUTED_VALUE"""),"freeman")</f>
        <v>freeman</v>
      </c>
      <c r="AF495" s="49" t="str">
        <f t="shared" si="4"/>
        <v>during,</v>
      </c>
      <c r="AG495" s="49"/>
      <c r="AH495" s="1" t="s">
        <v>4725</v>
      </c>
      <c r="AI495" s="1" t="s">
        <v>1779</v>
      </c>
      <c r="AJ495" s="6" t="str">
        <f>IFERROR(__xludf.DUMMYFUNCTION("""COMPUTED_VALUE"""),"mix")</f>
        <v>mix</v>
      </c>
      <c r="AK495" s="49"/>
      <c r="AL495" s="49"/>
      <c r="AM495" s="49"/>
      <c r="AN495" s="52" t="str">
        <f t="shared" si="5"/>
        <v>thousand,</v>
      </c>
    </row>
    <row r="496">
      <c r="A496" s="51"/>
      <c r="B496" s="50" t="s">
        <v>48</v>
      </c>
      <c r="C496" s="50" t="s">
        <v>6335</v>
      </c>
      <c r="D496" s="49" t="str">
        <f>IFERROR(__xludf.DUMMYFUNCTION("""COMPUTED_VALUE"""),"add")</f>
        <v>add</v>
      </c>
      <c r="E496" s="49"/>
      <c r="F496" s="49"/>
      <c r="G496" s="49"/>
      <c r="H496" s="54" t="str">
        <f t="shared" si="1"/>
        <v>violence,</v>
      </c>
      <c r="I496" s="50"/>
      <c r="J496" s="50" t="s">
        <v>3084</v>
      </c>
      <c r="K496" s="50" t="s">
        <v>1476</v>
      </c>
      <c r="L496" s="49" t="str">
        <f>IFERROR(__xludf.DUMMYFUNCTION("""COMPUTED_VALUE"""),"surprise")</f>
        <v>surprise</v>
      </c>
      <c r="M496" s="49"/>
      <c r="N496" s="49" t="str">
        <f>IFERROR(__xludf.DUMMYFUNCTION("""COMPUTED_VALUE"""),"duty")</f>
        <v>duty</v>
      </c>
      <c r="O496" s="49" t="str">
        <f>IFERROR(__xludf.DUMMYFUNCTION("""COMPUTED_VALUE"""),"morgan")</f>
        <v>morgan</v>
      </c>
      <c r="P496" s="49" t="str">
        <f t="shared" si="2"/>
        <v>badly,</v>
      </c>
      <c r="Q496" s="49"/>
      <c r="R496" s="50" t="s">
        <v>2122</v>
      </c>
      <c r="S496" s="55" t="s">
        <v>2215</v>
      </c>
      <c r="T496" s="49" t="str">
        <f>IFERROR(__xludf.DUMMYFUNCTION("""COMPUTED_VALUE"""),"next")</f>
        <v>next</v>
      </c>
      <c r="U496" s="49"/>
      <c r="V496" s="49" t="str">
        <f>IFERROR(__xludf.DUMMYFUNCTION("""COMPUTED_VALUE"""),"permission")</f>
        <v>permission</v>
      </c>
      <c r="W496" s="49" t="str">
        <f>IFERROR(__xludf.DUMMYFUNCTION("""COMPUTED_VALUE"""),"nicholas")</f>
        <v>nicholas</v>
      </c>
      <c r="X496" s="49" t="str">
        <f t="shared" si="3"/>
        <v>fashion,</v>
      </c>
      <c r="Y496" s="49"/>
      <c r="Z496" s="1" t="s">
        <v>4029</v>
      </c>
      <c r="AA496" s="1" t="s">
        <v>1815</v>
      </c>
      <c r="AB496" s="49" t="str">
        <f>IFERROR(__xludf.DUMMYFUNCTION("""COMPUTED_VALUE"""),"lifeless")</f>
        <v>lifeless</v>
      </c>
      <c r="AC496" s="49"/>
      <c r="AD496" s="49" t="str">
        <f>IFERROR(__xludf.DUMMYFUNCTION("""COMPUTED_VALUE"""),"duty")</f>
        <v>duty</v>
      </c>
      <c r="AE496" s="49" t="str">
        <f>IFERROR(__xludf.DUMMYFUNCTION("""COMPUTED_VALUE"""),"morgan")</f>
        <v>morgan</v>
      </c>
      <c r="AF496" s="49" t="str">
        <f t="shared" si="4"/>
        <v>kill,</v>
      </c>
      <c r="AG496" s="49"/>
      <c r="AH496" s="1" t="s">
        <v>3200</v>
      </c>
      <c r="AI496" s="1" t="s">
        <v>2041</v>
      </c>
      <c r="AJ496" s="6" t="str">
        <f>IFERROR(__xludf.DUMMYFUNCTION("""COMPUTED_VALUE"""),"ultimately")</f>
        <v>ultimately</v>
      </c>
      <c r="AK496" s="49"/>
      <c r="AL496" s="49"/>
      <c r="AM496" s="49"/>
      <c r="AN496" s="52" t="str">
        <f t="shared" si="5"/>
        <v>mix,</v>
      </c>
    </row>
    <row r="497">
      <c r="A497" s="51"/>
      <c r="B497" s="50" t="s">
        <v>2594</v>
      </c>
      <c r="C497" s="50" t="s">
        <v>6341</v>
      </c>
      <c r="D497" s="49" t="str">
        <f>IFERROR(__xludf.DUMMYFUNCTION("""COMPUTED_VALUE"""),"yes")</f>
        <v>yes</v>
      </c>
      <c r="E497" s="49"/>
      <c r="F497" s="49"/>
      <c r="G497" s="49"/>
      <c r="H497" s="54" t="str">
        <f t="shared" si="1"/>
        <v>monster,</v>
      </c>
      <c r="I497" s="50"/>
      <c r="J497" s="50" t="s">
        <v>3305</v>
      </c>
      <c r="K497" s="50" t="s">
        <v>1416</v>
      </c>
      <c r="L497" s="49" t="str">
        <f>IFERROR(__xludf.DUMMYFUNCTION("""COMPUTED_VALUE"""),"spirit")</f>
        <v>spirit</v>
      </c>
      <c r="M497" s="49"/>
      <c r="N497" s="49" t="str">
        <f>IFERROR(__xludf.DUMMYFUNCTION("""COMPUTED_VALUE"""),"richard")</f>
        <v>richard</v>
      </c>
      <c r="O497" s="49" t="str">
        <f>IFERROR(__xludf.DUMMYFUNCTION("""COMPUTED_VALUE"""),"attempts")</f>
        <v>attempts</v>
      </c>
      <c r="P497" s="49" t="str">
        <f t="shared" si="2"/>
        <v>events,</v>
      </c>
      <c r="Q497" s="49"/>
      <c r="R497" s="50" t="s">
        <v>2767</v>
      </c>
      <c r="S497" s="55" t="s">
        <v>1214</v>
      </c>
      <c r="T497" s="49" t="str">
        <f>IFERROR(__xludf.DUMMYFUNCTION("""COMPUTED_VALUE"""),"ran")</f>
        <v>ran</v>
      </c>
      <c r="U497" s="49"/>
      <c r="V497" s="49" t="str">
        <f>IFERROR(__xludf.DUMMYFUNCTION("""COMPUTED_VALUE"""),"clarke")</f>
        <v>clarke</v>
      </c>
      <c r="W497" s="49" t="str">
        <f>IFERROR(__xludf.DUMMYFUNCTION("""COMPUTED_VALUE"""),"couple")</f>
        <v>couple</v>
      </c>
      <c r="X497" s="49" t="str">
        <f t="shared" si="3"/>
        <v>realize,</v>
      </c>
      <c r="Y497" s="49"/>
      <c r="Z497" s="1" t="s">
        <v>5705</v>
      </c>
      <c r="AA497" s="1" t="s">
        <v>1756</v>
      </c>
      <c r="AB497" s="49" t="str">
        <f>IFERROR(__xludf.DUMMYFUNCTION("""COMPUTED_VALUE"""),"routine")</f>
        <v>routine</v>
      </c>
      <c r="AC497" s="49"/>
      <c r="AD497" s="49" t="str">
        <f>IFERROR(__xludf.DUMMYFUNCTION("""COMPUTED_VALUE"""),"richard")</f>
        <v>richard</v>
      </c>
      <c r="AE497" s="49" t="str">
        <f>IFERROR(__xludf.DUMMYFUNCTION("""COMPUTED_VALUE"""),"attempts")</f>
        <v>attempts</v>
      </c>
      <c r="AF497" s="49" t="str">
        <f t="shared" si="4"/>
        <v>wow,</v>
      </c>
      <c r="AG497" s="49"/>
      <c r="AH497" s="1" t="s">
        <v>2490</v>
      </c>
      <c r="AI497" s="1" t="s">
        <v>6308</v>
      </c>
      <c r="AJ497" s="6" t="str">
        <f>IFERROR(__xludf.DUMMYFUNCTION("""COMPUTED_VALUE"""),"rescue")</f>
        <v>rescue</v>
      </c>
      <c r="AK497" s="49"/>
      <c r="AL497" s="49"/>
      <c r="AM497" s="49"/>
      <c r="AN497" s="52" t="str">
        <f t="shared" si="5"/>
        <v>ultimately,</v>
      </c>
    </row>
    <row r="498">
      <c r="A498" s="51"/>
      <c r="B498" s="50" t="s">
        <v>1018</v>
      </c>
      <c r="C498" s="50" t="s">
        <v>2153</v>
      </c>
      <c r="D498" s="49" t="str">
        <f>IFERROR(__xludf.DUMMYFUNCTION("""COMPUTED_VALUE"""),"extremely")</f>
        <v>extremely</v>
      </c>
      <c r="E498" s="49"/>
      <c r="F498" s="49"/>
      <c r="G498" s="49"/>
      <c r="H498" s="54" t="str">
        <f t="shared" si="1"/>
        <v>bloody,</v>
      </c>
      <c r="I498" s="50"/>
      <c r="J498" s="50" t="s">
        <v>1676</v>
      </c>
      <c r="K498" s="50" t="s">
        <v>274</v>
      </c>
      <c r="L498" s="49" t="str">
        <f>IFERROR(__xludf.DUMMYFUNCTION("""COMPUTED_VALUE"""),"sorority")</f>
        <v>sorority</v>
      </c>
      <c r="M498" s="49"/>
      <c r="N498" s="49" t="str">
        <f>IFERROR(__xludf.DUMMYFUNCTION("""COMPUTED_VALUE"""),"dismiss")</f>
        <v>dismiss</v>
      </c>
      <c r="O498" s="49" t="str">
        <f>IFERROR(__xludf.DUMMYFUNCTION("""COMPUTED_VALUE"""),"grey")</f>
        <v>grey</v>
      </c>
      <c r="P498" s="49" t="str">
        <f t="shared" si="2"/>
        <v>cause,</v>
      </c>
      <c r="Q498" s="49"/>
      <c r="R498" s="50" t="s">
        <v>2167</v>
      </c>
      <c r="S498" s="55" t="s">
        <v>6342</v>
      </c>
      <c r="T498" s="49" t="str">
        <f>IFERROR(__xludf.DUMMYFUNCTION("""COMPUTED_VALUE"""),"anyone")</f>
        <v>anyone</v>
      </c>
      <c r="U498" s="49"/>
      <c r="V498" s="49" t="str">
        <f>IFERROR(__xludf.DUMMYFUNCTION("""COMPUTED_VALUE"""),"clocks")</f>
        <v>clocks</v>
      </c>
      <c r="W498" s="49" t="str">
        <f>IFERROR(__xludf.DUMMYFUNCTION("""COMPUTED_VALUE"""),"stuck")</f>
        <v>stuck</v>
      </c>
      <c r="X498" s="49" t="str">
        <f t="shared" si="3"/>
        <v>brown,</v>
      </c>
      <c r="Y498" s="49"/>
      <c r="Z498" s="1" t="s">
        <v>4473</v>
      </c>
      <c r="AA498" s="1" t="s">
        <v>2534</v>
      </c>
      <c r="AB498" s="49">
        <f>IFERROR(__xludf.DUMMYFUNCTION("""COMPUTED_VALUE"""),18.0)</f>
        <v>18</v>
      </c>
      <c r="AC498" s="49"/>
      <c r="AD498" s="49" t="str">
        <f>IFERROR(__xludf.DUMMYFUNCTION("""COMPUTED_VALUE"""),"dismiss")</f>
        <v>dismiss</v>
      </c>
      <c r="AE498" s="49" t="str">
        <f>IFERROR(__xludf.DUMMYFUNCTION("""COMPUTED_VALUE"""),"grey")</f>
        <v>grey</v>
      </c>
      <c r="AF498" s="49" t="str">
        <f t="shared" si="4"/>
        <v>larger,</v>
      </c>
      <c r="AG498" s="49"/>
      <c r="AH498" s="1" t="s">
        <v>5726</v>
      </c>
      <c r="AI498" s="1" t="s">
        <v>6309</v>
      </c>
      <c r="AJ498" s="6" t="str">
        <f>IFERROR(__xludf.DUMMYFUNCTION("""COMPUTED_VALUE"""),"considering")</f>
        <v>considering</v>
      </c>
      <c r="AK498" s="49"/>
      <c r="AL498" s="49"/>
      <c r="AM498" s="49"/>
      <c r="AN498" s="52" t="str">
        <f t="shared" si="5"/>
        <v>rescue,</v>
      </c>
    </row>
    <row r="499">
      <c r="A499" s="51"/>
      <c r="B499" s="50" t="s">
        <v>6542</v>
      </c>
      <c r="C499" s="50" t="s">
        <v>1938</v>
      </c>
      <c r="D499" s="49" t="str">
        <f>IFERROR(__xludf.DUMMYFUNCTION("""COMPUTED_VALUE"""),"give")</f>
        <v>give</v>
      </c>
      <c r="E499" s="49"/>
      <c r="F499" s="49"/>
      <c r="G499" s="49"/>
      <c r="H499" s="54" t="str">
        <f t="shared" si="1"/>
        <v>lots,</v>
      </c>
      <c r="I499" s="50"/>
      <c r="J499" s="50" t="s">
        <v>2112</v>
      </c>
      <c r="K499" s="50" t="s">
        <v>1427</v>
      </c>
      <c r="L499" s="49" t="str">
        <f>IFERROR(__xludf.DUMMYFUNCTION("""COMPUTED_VALUE"""),"clever")</f>
        <v>clever</v>
      </c>
      <c r="M499" s="49"/>
      <c r="N499" s="49" t="str">
        <f>IFERROR(__xludf.DUMMYFUNCTION("""COMPUTED_VALUE"""),"disappointed")</f>
        <v>disappointed</v>
      </c>
      <c r="O499" s="49" t="str">
        <f>IFERROR(__xludf.DUMMYFUNCTION("""COMPUTED_VALUE"""),"generated")</f>
        <v>generated</v>
      </c>
      <c r="P499" s="49" t="str">
        <f t="shared" si="2"/>
        <v>possible,</v>
      </c>
      <c r="Q499" s="49"/>
      <c r="R499" s="50" t="s">
        <v>7268</v>
      </c>
      <c r="S499" s="55" t="s">
        <v>1115</v>
      </c>
      <c r="T499" s="49" t="str">
        <f>IFERROR(__xludf.DUMMYFUNCTION("""COMPUTED_VALUE"""),"unconventional")</f>
        <v>unconventional</v>
      </c>
      <c r="U499" s="49"/>
      <c r="V499" s="49" t="str">
        <f>IFERROR(__xludf.DUMMYFUNCTION("""COMPUTED_VALUE"""),"apt")</f>
        <v>apt</v>
      </c>
      <c r="W499" s="49" t="str">
        <f>IFERROR(__xludf.DUMMYFUNCTION("""COMPUTED_VALUE"""),"permits")</f>
        <v>permits</v>
      </c>
      <c r="X499" s="49" t="str">
        <f t="shared" si="3"/>
        <v>pen,</v>
      </c>
      <c r="Y499" s="49"/>
      <c r="Z499" s="1" t="s">
        <v>1257</v>
      </c>
      <c r="AA499" s="1" t="s">
        <v>705</v>
      </c>
      <c r="AB499" s="49" t="str">
        <f>IFERROR(__xludf.DUMMYFUNCTION("""COMPUTED_VALUE"""),"wears")</f>
        <v>wears</v>
      </c>
      <c r="AC499" s="49"/>
      <c r="AD499" s="49" t="str">
        <f>IFERROR(__xludf.DUMMYFUNCTION("""COMPUTED_VALUE"""),"disappointed")</f>
        <v>disappointed</v>
      </c>
      <c r="AE499" s="49" t="str">
        <f>IFERROR(__xludf.DUMMYFUNCTION("""COMPUTED_VALUE"""),"generated")</f>
        <v>generated</v>
      </c>
      <c r="AF499" s="49" t="str">
        <f t="shared" si="4"/>
        <v>minutes,</v>
      </c>
      <c r="AG499" s="49"/>
      <c r="AH499" s="1" t="s">
        <v>5407</v>
      </c>
      <c r="AI499" s="1" t="s">
        <v>6333</v>
      </c>
      <c r="AJ499" s="6" t="str">
        <f>IFERROR(__xludf.DUMMYFUNCTION("""COMPUTED_VALUE"""),"states")</f>
        <v>states</v>
      </c>
      <c r="AK499" s="49"/>
      <c r="AL499" s="49"/>
      <c r="AM499" s="49"/>
      <c r="AN499" s="52" t="str">
        <f t="shared" si="5"/>
        <v>considering,</v>
      </c>
    </row>
    <row r="500">
      <c r="A500" s="51"/>
      <c r="B500" s="50" t="s">
        <v>5520</v>
      </c>
      <c r="C500" s="50" t="s">
        <v>2354</v>
      </c>
      <c r="D500" s="49" t="str">
        <f>IFERROR(__xludf.DUMMYFUNCTION("""COMPUTED_VALUE"""),"entirely")</f>
        <v>entirely</v>
      </c>
      <c r="E500" s="49"/>
      <c r="F500" s="49"/>
      <c r="G500" s="49"/>
      <c r="H500" s="54" t="str">
        <f t="shared" si="1"/>
        <v>opens,</v>
      </c>
      <c r="I500" s="50"/>
      <c r="J500" s="50" t="s">
        <v>5232</v>
      </c>
      <c r="K500" s="50" t="s">
        <v>1482</v>
      </c>
      <c r="L500" s="49" t="str">
        <f>IFERROR(__xludf.DUMMYFUNCTION("""COMPUTED_VALUE"""),"translation")</f>
        <v>translation</v>
      </c>
      <c r="M500" s="49"/>
      <c r="N500" s="49" t="str">
        <f>IFERROR(__xludf.DUMMYFUNCTION("""COMPUTED_VALUE"""),"scare")</f>
        <v>scare</v>
      </c>
      <c r="O500" s="49" t="str">
        <f>IFERROR(__xludf.DUMMYFUNCTION("""COMPUTED_VALUE"""),"frontman")</f>
        <v>frontman</v>
      </c>
      <c r="P500" s="49" t="str">
        <f t="shared" si="2"/>
        <v>chaos,</v>
      </c>
      <c r="Q500" s="49"/>
      <c r="R500" s="50" t="s">
        <v>565</v>
      </c>
      <c r="S500" s="55" t="s">
        <v>2015</v>
      </c>
      <c r="T500" s="49" t="str">
        <f>IFERROR(__xludf.DUMMYFUNCTION("""COMPUTED_VALUE"""),"reel")</f>
        <v>reel</v>
      </c>
      <c r="U500" s="49"/>
      <c r="V500" s="49" t="str">
        <f>IFERROR(__xludf.DUMMYFUNCTION("""COMPUTED_VALUE"""),"reasonably")</f>
        <v>reasonably</v>
      </c>
      <c r="W500" s="49" t="str">
        <f>IFERROR(__xludf.DUMMYFUNCTION("""COMPUTED_VALUE"""),"acute")</f>
        <v>acute</v>
      </c>
      <c r="X500" s="49" t="str">
        <f t="shared" si="3"/>
        <v>though,</v>
      </c>
      <c r="Y500" s="49"/>
      <c r="Z500" s="1" t="s">
        <v>892</v>
      </c>
      <c r="AA500" s="1" t="s">
        <v>2539</v>
      </c>
      <c r="AB500" s="49" t="str">
        <f>IFERROR(__xludf.DUMMYFUNCTION("""COMPUTED_VALUE"""),"inside")</f>
        <v>inside</v>
      </c>
      <c r="AC500" s="49"/>
      <c r="AD500" s="49" t="str">
        <f>IFERROR(__xludf.DUMMYFUNCTION("""COMPUTED_VALUE"""),"scare")</f>
        <v>scare</v>
      </c>
      <c r="AE500" s="49" t="str">
        <f>IFERROR(__xludf.DUMMYFUNCTION("""COMPUTED_VALUE"""),"frontman")</f>
        <v>frontman</v>
      </c>
      <c r="AF500" s="49" t="str">
        <f t="shared" si="4"/>
        <v>turned,</v>
      </c>
      <c r="AG500" s="49"/>
      <c r="AH500" s="1" t="s">
        <v>1027</v>
      </c>
      <c r="AI500" s="1" t="s">
        <v>2974</v>
      </c>
      <c r="AJ500" s="6" t="str">
        <f>IFERROR(__xludf.DUMMYFUNCTION("""COMPUTED_VALUE"""),"end")</f>
        <v>end</v>
      </c>
      <c r="AK500" s="49"/>
      <c r="AL500" s="49"/>
      <c r="AM500" s="49"/>
      <c r="AN500" s="52" t="str">
        <f t="shared" si="5"/>
        <v>states,</v>
      </c>
    </row>
    <row r="501">
      <c r="A501" s="51"/>
      <c r="B501" s="50" t="s">
        <v>1859</v>
      </c>
      <c r="C501" s="50" t="s">
        <v>2162</v>
      </c>
      <c r="D501" s="49" t="str">
        <f>IFERROR(__xludf.DUMMYFUNCTION("""COMPUTED_VALUE"""),"exposure")</f>
        <v>exposure</v>
      </c>
      <c r="E501" s="49"/>
      <c r="F501" s="49"/>
      <c r="G501" s="49"/>
      <c r="H501" s="54" t="str">
        <f t="shared" si="1"/>
        <v>holes,</v>
      </c>
      <c r="I501" s="50"/>
      <c r="J501" s="50" t="s">
        <v>40</v>
      </c>
      <c r="K501" s="50" t="s">
        <v>1434</v>
      </c>
      <c r="L501" s="49" t="str">
        <f>IFERROR(__xludf.DUMMYFUNCTION("""COMPUTED_VALUE"""),"filmed")</f>
        <v>filmed</v>
      </c>
      <c r="M501" s="49"/>
      <c r="N501" s="49" t="str">
        <f>IFERROR(__xludf.DUMMYFUNCTION("""COMPUTED_VALUE"""),"actions")</f>
        <v>actions</v>
      </c>
      <c r="O501" s="49" t="str">
        <f>IFERROR(__xludf.DUMMYFUNCTION("""COMPUTED_VALUE"""),"amusing")</f>
        <v>amusing</v>
      </c>
      <c r="P501" s="49" t="str">
        <f t="shared" si="2"/>
        <v>human,</v>
      </c>
      <c r="Q501" s="49"/>
      <c r="R501" s="50" t="s">
        <v>647</v>
      </c>
      <c r="S501" s="55" t="s">
        <v>424</v>
      </c>
      <c r="T501" s="49" t="str">
        <f>IFERROR(__xludf.DUMMYFUNCTION("""COMPUTED_VALUE"""),"tensions")</f>
        <v>tensions</v>
      </c>
      <c r="U501" s="49"/>
      <c r="V501" s="49" t="str">
        <f>IFERROR(__xludf.DUMMYFUNCTION("""COMPUTED_VALUE"""),"closer")</f>
        <v>closer</v>
      </c>
      <c r="W501" s="49" t="str">
        <f>IFERROR(__xludf.DUMMYFUNCTION("""COMPUTED_VALUE"""),"host")</f>
        <v>host</v>
      </c>
      <c r="X501" s="49" t="str">
        <f t="shared" si="3"/>
        <v>pulp,</v>
      </c>
      <c r="Y501" s="49"/>
      <c r="Z501" s="1" t="s">
        <v>996</v>
      </c>
      <c r="AA501" s="1" t="s">
        <v>110</v>
      </c>
      <c r="AB501" s="49" t="str">
        <f>IFERROR(__xludf.DUMMYFUNCTION("""COMPUTED_VALUE"""),"ended")</f>
        <v>ended</v>
      </c>
      <c r="AC501" s="49"/>
      <c r="AD501" s="49" t="str">
        <f>IFERROR(__xludf.DUMMYFUNCTION("""COMPUTED_VALUE"""),"actions")</f>
        <v>actions</v>
      </c>
      <c r="AE501" s="49" t="str">
        <f>IFERROR(__xludf.DUMMYFUNCTION("""COMPUTED_VALUE"""),"amusing")</f>
        <v>amusing</v>
      </c>
      <c r="AF501" s="49" t="str">
        <f t="shared" si="4"/>
        <v>enough,</v>
      </c>
      <c r="AG501" s="49"/>
      <c r="AH501" s="1" t="s">
        <v>582</v>
      </c>
      <c r="AI501" s="1" t="s">
        <v>1121</v>
      </c>
      <c r="AJ501" s="6" t="str">
        <f>IFERROR(__xludf.DUMMYFUNCTION("""COMPUTED_VALUE"""),"ve")</f>
        <v>ve</v>
      </c>
      <c r="AK501" s="49"/>
      <c r="AL501" s="49"/>
      <c r="AM501" s="49"/>
      <c r="AN501" s="52" t="str">
        <f t="shared" si="5"/>
        <v>end,</v>
      </c>
    </row>
    <row r="502">
      <c r="A502" s="51"/>
      <c r="B502" s="50" t="s">
        <v>2354</v>
      </c>
      <c r="C502" s="50" t="s">
        <v>369</v>
      </c>
      <c r="D502" s="49" t="str">
        <f>IFERROR(__xludf.DUMMYFUNCTION("""COMPUTED_VALUE"""),"feels")</f>
        <v>feels</v>
      </c>
      <c r="E502" s="49"/>
      <c r="F502" s="49"/>
      <c r="G502" s="49"/>
      <c r="H502" s="54" t="str">
        <f t="shared" si="1"/>
        <v>humor,</v>
      </c>
      <c r="I502" s="50"/>
      <c r="J502" s="50" t="s">
        <v>3442</v>
      </c>
      <c r="K502" s="50" t="s">
        <v>2547</v>
      </c>
      <c r="L502" s="49" t="str">
        <f>IFERROR(__xludf.DUMMYFUNCTION("""COMPUTED_VALUE"""),"stage")</f>
        <v>stage</v>
      </c>
      <c r="M502" s="49"/>
      <c r="N502" s="49" t="str">
        <f>IFERROR(__xludf.DUMMYFUNCTION("""COMPUTED_VALUE"""),"succeeded")</f>
        <v>succeeded</v>
      </c>
      <c r="O502" s="49" t="str">
        <f>IFERROR(__xludf.DUMMYFUNCTION("""COMPUTED_VALUE"""),"obligatory")</f>
        <v>obligatory</v>
      </c>
      <c r="P502" s="49" t="str">
        <f t="shared" si="2"/>
        <v>bone,</v>
      </c>
      <c r="Q502" s="49"/>
      <c r="R502" s="50" t="s">
        <v>7269</v>
      </c>
      <c r="S502" s="55" t="s">
        <v>1498</v>
      </c>
      <c r="T502" s="49" t="str">
        <f>IFERROR(__xludf.DUMMYFUNCTION("""COMPUTED_VALUE"""),"ai")</f>
        <v>ai</v>
      </c>
      <c r="U502" s="49"/>
      <c r="V502" s="49" t="str">
        <f>IFERROR(__xludf.DUMMYFUNCTION("""COMPUTED_VALUE"""),"trivial")</f>
        <v>trivial</v>
      </c>
      <c r="W502" s="49" t="str">
        <f>IFERROR(__xludf.DUMMYFUNCTION("""COMPUTED_VALUE"""),"treatise")</f>
        <v>treatise</v>
      </c>
      <c r="X502" s="49" t="str">
        <f t="shared" si="3"/>
        <v>restroom,</v>
      </c>
      <c r="Y502" s="49"/>
      <c r="Z502" s="1" t="s">
        <v>1847</v>
      </c>
      <c r="AA502" s="1" t="s">
        <v>1761</v>
      </c>
      <c r="AB502" s="49" t="str">
        <f>IFERROR(__xludf.DUMMYFUNCTION("""COMPUTED_VALUE"""),"mere")</f>
        <v>mere</v>
      </c>
      <c r="AC502" s="49"/>
      <c r="AD502" s="49" t="str">
        <f>IFERROR(__xludf.DUMMYFUNCTION("""COMPUTED_VALUE"""),"succeeded")</f>
        <v>succeeded</v>
      </c>
      <c r="AE502" s="49" t="str">
        <f>IFERROR(__xludf.DUMMYFUNCTION("""COMPUTED_VALUE"""),"obligatory")</f>
        <v>obligatory</v>
      </c>
      <c r="AF502" s="49" t="str">
        <f t="shared" si="4"/>
        <v>grand,</v>
      </c>
      <c r="AG502" s="49"/>
      <c r="AH502" s="1" t="s">
        <v>1437</v>
      </c>
      <c r="AI502" s="1" t="s">
        <v>556</v>
      </c>
      <c r="AJ502" s="6" t="str">
        <f>IFERROR(__xludf.DUMMYFUNCTION("""COMPUTED_VALUE"""),"say")</f>
        <v>say</v>
      </c>
      <c r="AK502" s="49"/>
      <c r="AL502" s="49"/>
      <c r="AM502" s="49"/>
      <c r="AN502" s="52" t="str">
        <f t="shared" si="5"/>
        <v>ve,</v>
      </c>
    </row>
    <row r="503">
      <c r="A503" s="51"/>
      <c r="B503" s="50" t="s">
        <v>415</v>
      </c>
      <c r="C503" s="50" t="s">
        <v>1149</v>
      </c>
      <c r="D503" s="49" t="str">
        <f>IFERROR(__xludf.DUMMYFUNCTION("""COMPUTED_VALUE"""),"affair")</f>
        <v>affair</v>
      </c>
      <c r="E503" s="49"/>
      <c r="F503" s="49"/>
      <c r="G503" s="49"/>
      <c r="H503" s="54" t="str">
        <f t="shared" si="1"/>
        <v>night,</v>
      </c>
      <c r="I503" s="50"/>
      <c r="J503" s="50" t="s">
        <v>429</v>
      </c>
      <c r="K503" s="50" t="s">
        <v>1490</v>
      </c>
      <c r="L503" s="49" t="str">
        <f>IFERROR(__xludf.DUMMYFUNCTION("""COMPUTED_VALUE"""),"enduring")</f>
        <v>enduring</v>
      </c>
      <c r="M503" s="49"/>
      <c r="N503" s="49" t="str">
        <f>IFERROR(__xludf.DUMMYFUNCTION("""COMPUTED_VALUE"""),"somehow")</f>
        <v>somehow</v>
      </c>
      <c r="O503" s="49" t="str">
        <f>IFERROR(__xludf.DUMMYFUNCTION("""COMPUTED_VALUE"""),"pulse")</f>
        <v>pulse</v>
      </c>
      <c r="P503" s="49" t="str">
        <f t="shared" si="2"/>
        <v>tell,</v>
      </c>
      <c r="Q503" s="49"/>
      <c r="R503" s="50" t="s">
        <v>952</v>
      </c>
      <c r="S503" s="55" t="s">
        <v>1141</v>
      </c>
      <c r="T503" s="49" t="str">
        <f>IFERROR(__xludf.DUMMYFUNCTION("""COMPUTED_VALUE"""),"condition")</f>
        <v>condition</v>
      </c>
      <c r="U503" s="49"/>
      <c r="V503" s="49" t="str">
        <f>IFERROR(__xludf.DUMMYFUNCTION("""COMPUTED_VALUE"""),"gaps")</f>
        <v>gaps</v>
      </c>
      <c r="W503" s="49" t="str">
        <f>IFERROR(__xludf.DUMMYFUNCTION("""COMPUTED_VALUE"""),"liberation")</f>
        <v>liberation</v>
      </c>
      <c r="X503" s="49" t="str">
        <f t="shared" si="3"/>
        <v>highs,</v>
      </c>
      <c r="Y503" s="49"/>
      <c r="Z503" s="1" t="s">
        <v>694</v>
      </c>
      <c r="AA503" s="1" t="s">
        <v>452</v>
      </c>
      <c r="AB503" s="49" t="str">
        <f>IFERROR(__xludf.DUMMYFUNCTION("""COMPUTED_VALUE"""),"strain")</f>
        <v>strain</v>
      </c>
      <c r="AC503" s="49"/>
      <c r="AD503" s="49" t="str">
        <f>IFERROR(__xludf.DUMMYFUNCTION("""COMPUTED_VALUE"""),"somehow")</f>
        <v>somehow</v>
      </c>
      <c r="AE503" s="49" t="str">
        <f>IFERROR(__xludf.DUMMYFUNCTION("""COMPUTED_VALUE"""),"pulse")</f>
        <v>pulse</v>
      </c>
      <c r="AF503" s="49" t="str">
        <f t="shared" si="4"/>
        <v>any,</v>
      </c>
      <c r="AG503" s="49"/>
      <c r="AH503" s="1" t="s">
        <v>816</v>
      </c>
      <c r="AI503" s="1" t="s">
        <v>2103</v>
      </c>
      <c r="AJ503" s="6" t="str">
        <f>IFERROR(__xludf.DUMMYFUNCTION("""COMPUTED_VALUE"""),"law")</f>
        <v>law</v>
      </c>
      <c r="AK503" s="49"/>
      <c r="AL503" s="49"/>
      <c r="AM503" s="49"/>
      <c r="AN503" s="52" t="str">
        <f t="shared" si="5"/>
        <v>say,</v>
      </c>
    </row>
    <row r="504">
      <c r="A504" s="51"/>
      <c r="B504" s="50" t="s">
        <v>960</v>
      </c>
      <c r="C504" s="50" t="s">
        <v>1065</v>
      </c>
      <c r="D504" s="49" t="str">
        <f>IFERROR(__xludf.DUMMYFUNCTION("""COMPUTED_VALUE"""),"things")</f>
        <v>things</v>
      </c>
      <c r="E504" s="49"/>
      <c r="F504" s="49"/>
      <c r="G504" s="49"/>
      <c r="H504" s="54" t="str">
        <f t="shared" si="1"/>
        <v>behind,</v>
      </c>
      <c r="I504" s="50"/>
      <c r="J504" s="50" t="s">
        <v>1688</v>
      </c>
      <c r="K504" s="50" t="s">
        <v>283</v>
      </c>
      <c r="L504" s="49" t="str">
        <f>IFERROR(__xludf.DUMMYFUNCTION("""COMPUTED_VALUE"""),"lifetime")</f>
        <v>lifetime</v>
      </c>
      <c r="M504" s="49"/>
      <c r="N504" s="49" t="str">
        <f>IFERROR(__xludf.DUMMYFUNCTION("""COMPUTED_VALUE"""),"mgm")</f>
        <v>mgm</v>
      </c>
      <c r="O504" s="49" t="str">
        <f>IFERROR(__xludf.DUMMYFUNCTION("""COMPUTED_VALUE"""),"ought")</f>
        <v>ought</v>
      </c>
      <c r="P504" s="49" t="str">
        <f t="shared" si="2"/>
        <v>interesting,</v>
      </c>
      <c r="Q504" s="49"/>
      <c r="R504" s="50" t="s">
        <v>795</v>
      </c>
      <c r="S504" s="55" t="s">
        <v>1226</v>
      </c>
      <c r="T504" s="49" t="str">
        <f>IFERROR(__xludf.DUMMYFUNCTION("""COMPUTED_VALUE"""),"slow")</f>
        <v>slow</v>
      </c>
      <c r="U504" s="49"/>
      <c r="V504" s="49" t="str">
        <f>IFERROR(__xludf.DUMMYFUNCTION("""COMPUTED_VALUE"""),"Mar")</f>
        <v>Mar</v>
      </c>
      <c r="W504" s="49" t="str">
        <f>IFERROR(__xludf.DUMMYFUNCTION("""COMPUTED_VALUE"""),"caine")</f>
        <v>caine</v>
      </c>
      <c r="X504" s="49" t="str">
        <f t="shared" si="3"/>
        <v>care,</v>
      </c>
      <c r="Y504" s="49"/>
      <c r="Z504" s="1" t="s">
        <v>422</v>
      </c>
      <c r="AA504" s="1" t="s">
        <v>696</v>
      </c>
      <c r="AB504" s="49" t="str">
        <f>IFERROR(__xludf.DUMMYFUNCTION("""COMPUTED_VALUE"""),"obvious")</f>
        <v>obvious</v>
      </c>
      <c r="AC504" s="49"/>
      <c r="AD504" s="49" t="str">
        <f>IFERROR(__xludf.DUMMYFUNCTION("""COMPUTED_VALUE"""),"mgm")</f>
        <v>mgm</v>
      </c>
      <c r="AE504" s="49" t="str">
        <f>IFERROR(__xludf.DUMMYFUNCTION("""COMPUTED_VALUE"""),"ought")</f>
        <v>ought</v>
      </c>
      <c r="AF504" s="49" t="str">
        <f t="shared" si="4"/>
        <v>great,</v>
      </c>
      <c r="AG504" s="49"/>
      <c r="AH504" s="1" t="s">
        <v>1720</v>
      </c>
      <c r="AI504" s="1">
        <v>90.0</v>
      </c>
      <c r="AJ504" s="6" t="str">
        <f>IFERROR(__xludf.DUMMYFUNCTION("""COMPUTED_VALUE"""),"seen")</f>
        <v>seen</v>
      </c>
      <c r="AK504" s="49"/>
      <c r="AL504" s="49"/>
      <c r="AM504" s="49"/>
      <c r="AN504" s="52" t="str">
        <f t="shared" si="5"/>
        <v>law,</v>
      </c>
    </row>
    <row r="505">
      <c r="A505" s="51"/>
      <c r="B505" s="50" t="s">
        <v>2083</v>
      </c>
      <c r="C505" s="50" t="s">
        <v>1145</v>
      </c>
      <c r="D505" s="49" t="str">
        <f>IFERROR(__xludf.DUMMYFUNCTION("""COMPUTED_VALUE"""),"significantly")</f>
        <v>significantly</v>
      </c>
      <c r="E505" s="49"/>
      <c r="F505" s="49"/>
      <c r="G505" s="49"/>
      <c r="H505" s="54" t="str">
        <f t="shared" si="1"/>
        <v>might,</v>
      </c>
      <c r="I505" s="50"/>
      <c r="J505" s="50" t="s">
        <v>2856</v>
      </c>
      <c r="K505" s="50" t="s">
        <v>2551</v>
      </c>
      <c r="L505" s="49" t="str">
        <f>IFERROR(__xludf.DUMMYFUNCTION("""COMPUTED_VALUE"""),"weaving")</f>
        <v>weaving</v>
      </c>
      <c r="M505" s="49"/>
      <c r="N505" s="49" t="str">
        <f>IFERROR(__xludf.DUMMYFUNCTION("""COMPUTED_VALUE"""),"consider")</f>
        <v>consider</v>
      </c>
      <c r="O505" s="49" t="str">
        <f>IFERROR(__xludf.DUMMYFUNCTION("""COMPUTED_VALUE"""),"tier")</f>
        <v>tier</v>
      </c>
      <c r="P505" s="49" t="str">
        <f t="shared" si="2"/>
        <v>collection,</v>
      </c>
      <c r="Q505" s="49"/>
      <c r="R505" s="50" t="s">
        <v>1139</v>
      </c>
      <c r="S505" s="55" t="s">
        <v>2030</v>
      </c>
      <c r="T505" s="49" t="str">
        <f>IFERROR(__xludf.DUMMYFUNCTION("""COMPUTED_VALUE"""),"monday")</f>
        <v>monday</v>
      </c>
      <c r="U505" s="49"/>
      <c r="V505" s="49" t="str">
        <f>IFERROR(__xludf.DUMMYFUNCTION("""COMPUTED_VALUE"""),"eva")</f>
        <v>eva</v>
      </c>
      <c r="W505" s="49" t="str">
        <f>IFERROR(__xludf.DUMMYFUNCTION("""COMPUTED_VALUE"""),"punching")</f>
        <v>punching</v>
      </c>
      <c r="X505" s="49" t="str">
        <f t="shared" si="3"/>
        <v>art,</v>
      </c>
      <c r="Y505" s="49"/>
      <c r="Z505" s="1" t="s">
        <v>1181</v>
      </c>
      <c r="AA505" s="1" t="s">
        <v>351</v>
      </c>
      <c r="AB505" s="49" t="str">
        <f>IFERROR(__xludf.DUMMYFUNCTION("""COMPUTED_VALUE"""),"women")</f>
        <v>women</v>
      </c>
      <c r="AC505" s="49"/>
      <c r="AD505" s="49" t="str">
        <f>IFERROR(__xludf.DUMMYFUNCTION("""COMPUTED_VALUE"""),"consider")</f>
        <v>consider</v>
      </c>
      <c r="AE505" s="49" t="str">
        <f>IFERROR(__xludf.DUMMYFUNCTION("""COMPUTED_VALUE"""),"tier")</f>
        <v>tier</v>
      </c>
      <c r="AF505" s="49" t="str">
        <f t="shared" si="4"/>
        <v>actually,</v>
      </c>
      <c r="AG505" s="49"/>
      <c r="AH505" s="1" t="s">
        <v>1997</v>
      </c>
      <c r="AI505" s="1" t="s">
        <v>1806</v>
      </c>
      <c r="AJ505" s="6" t="str">
        <f>IFERROR(__xludf.DUMMYFUNCTION("""COMPUTED_VALUE"""),"heard")</f>
        <v>heard</v>
      </c>
      <c r="AK505" s="49"/>
      <c r="AL505" s="49"/>
      <c r="AM505" s="49"/>
      <c r="AN505" s="52" t="str">
        <f t="shared" si="5"/>
        <v>seen,</v>
      </c>
    </row>
    <row r="506">
      <c r="A506" s="51"/>
      <c r="B506" s="50" t="s">
        <v>2103</v>
      </c>
      <c r="C506" s="50" t="s">
        <v>6337</v>
      </c>
      <c r="D506" s="49" t="str">
        <f>IFERROR(__xludf.DUMMYFUNCTION("""COMPUTED_VALUE"""),"brilliant")</f>
        <v>brilliant</v>
      </c>
      <c r="E506" s="49"/>
      <c r="F506" s="49"/>
      <c r="G506" s="49"/>
      <c r="H506" s="54" t="str">
        <f t="shared" si="1"/>
        <v>least,</v>
      </c>
      <c r="I506" s="50"/>
      <c r="J506" s="50" t="s">
        <v>2213</v>
      </c>
      <c r="K506" s="50" t="s">
        <v>1446</v>
      </c>
      <c r="L506" s="49" t="str">
        <f>IFERROR(__xludf.DUMMYFUNCTION("""COMPUTED_VALUE"""),"wait")</f>
        <v>wait</v>
      </c>
      <c r="M506" s="49"/>
      <c r="N506" s="49" t="str">
        <f>IFERROR(__xludf.DUMMYFUNCTION("""COMPUTED_VALUE"""),"bucks")</f>
        <v>bucks</v>
      </c>
      <c r="O506" s="49" t="str">
        <f>IFERROR(__xludf.DUMMYFUNCTION("""COMPUTED_VALUE"""),"flourish")</f>
        <v>flourish</v>
      </c>
      <c r="P506" s="49" t="str">
        <f t="shared" si="2"/>
        <v>sports,</v>
      </c>
      <c r="Q506" s="49"/>
      <c r="R506" s="50" t="s">
        <v>731</v>
      </c>
      <c r="S506" s="55" t="s">
        <v>116</v>
      </c>
      <c r="T506" s="49" t="str">
        <f>IFERROR(__xludf.DUMMYFUNCTION("""COMPUTED_VALUE"""),"ambitious")</f>
        <v>ambitious</v>
      </c>
      <c r="U506" s="49"/>
      <c r="V506" s="49" t="str">
        <f>IFERROR(__xludf.DUMMYFUNCTION("""COMPUTED_VALUE"""),"sewage")</f>
        <v>sewage</v>
      </c>
      <c r="W506" s="49" t="str">
        <f>IFERROR(__xludf.DUMMYFUNCTION("""COMPUTED_VALUE"""),"sweetheart")</f>
        <v>sweetheart</v>
      </c>
      <c r="X506" s="49" t="str">
        <f t="shared" si="3"/>
        <v>direction,</v>
      </c>
      <c r="Y506" s="49"/>
      <c r="Z506" s="1" t="s">
        <v>4505</v>
      </c>
      <c r="AA506" s="1" t="s">
        <v>459</v>
      </c>
      <c r="AB506" s="49" t="str">
        <f>IFERROR(__xludf.DUMMYFUNCTION("""COMPUTED_VALUE"""),"nor")</f>
        <v>nor</v>
      </c>
      <c r="AC506" s="49"/>
      <c r="AD506" s="49" t="str">
        <f>IFERROR(__xludf.DUMMYFUNCTION("""COMPUTED_VALUE"""),"bucks")</f>
        <v>bucks</v>
      </c>
      <c r="AE506" s="49" t="str">
        <f>IFERROR(__xludf.DUMMYFUNCTION("""COMPUTED_VALUE"""),"flourish")</f>
        <v>flourish</v>
      </c>
      <c r="AF506" s="49" t="str">
        <f t="shared" si="4"/>
        <v>sell,</v>
      </c>
      <c r="AG506" s="49"/>
      <c r="AH506" s="1" t="s">
        <v>2442</v>
      </c>
      <c r="AI506" s="1" t="s">
        <v>1818</v>
      </c>
      <c r="AJ506" s="6" t="str">
        <f>IFERROR(__xludf.DUMMYFUNCTION("""COMPUTED_VALUE"""),"maybe")</f>
        <v>maybe</v>
      </c>
      <c r="AK506" s="49"/>
      <c r="AL506" s="49"/>
      <c r="AM506" s="49"/>
      <c r="AN506" s="52" t="str">
        <f t="shared" si="5"/>
        <v>heard,</v>
      </c>
    </row>
    <row r="507">
      <c r="A507" s="51"/>
      <c r="B507" s="50" t="s">
        <v>1043</v>
      </c>
      <c r="C507" s="50" t="s">
        <v>1955</v>
      </c>
      <c r="D507" s="49" t="str">
        <f>IFERROR(__xludf.DUMMYFUNCTION("""COMPUTED_VALUE"""),"professional")</f>
        <v>professional</v>
      </c>
      <c r="E507" s="49"/>
      <c r="F507" s="49"/>
      <c r="G507" s="49"/>
      <c r="H507" s="54" t="str">
        <f t="shared" si="1"/>
        <v>keep,</v>
      </c>
      <c r="I507" s="50"/>
      <c r="J507" s="50" t="s">
        <v>4471</v>
      </c>
      <c r="K507" s="50" t="s">
        <v>1452</v>
      </c>
      <c r="L507" s="49" t="str">
        <f>IFERROR(__xludf.DUMMYFUNCTION("""COMPUTED_VALUE"""),"tucker")</f>
        <v>tucker</v>
      </c>
      <c r="M507" s="49"/>
      <c r="N507" s="49" t="str">
        <f>IFERROR(__xludf.DUMMYFUNCTION("""COMPUTED_VALUE"""),"escort")</f>
        <v>escort</v>
      </c>
      <c r="O507" s="49" t="str">
        <f>IFERROR(__xludf.DUMMYFUNCTION("""COMPUTED_VALUE"""),"scientist")</f>
        <v>scientist</v>
      </c>
      <c r="P507" s="49" t="str">
        <f t="shared" si="2"/>
        <v>races,</v>
      </c>
      <c r="Q507" s="49"/>
      <c r="R507" s="50" t="s">
        <v>918</v>
      </c>
      <c r="S507" s="55" t="s">
        <v>2246</v>
      </c>
      <c r="T507" s="49" t="str">
        <f>IFERROR(__xludf.DUMMYFUNCTION("""COMPUTED_VALUE"""),"tight")</f>
        <v>tight</v>
      </c>
      <c r="U507" s="49"/>
      <c r="V507" s="49" t="str">
        <f>IFERROR(__xludf.DUMMYFUNCTION("""COMPUTED_VALUE"""),"assess")</f>
        <v>assess</v>
      </c>
      <c r="W507" s="49" t="str">
        <f>IFERROR(__xludf.DUMMYFUNCTION("""COMPUTED_VALUE"""),"dynamic")</f>
        <v>dynamic</v>
      </c>
      <c r="X507" s="49" t="str">
        <f t="shared" si="3"/>
        <v>picture,</v>
      </c>
      <c r="Y507" s="49"/>
      <c r="Z507" s="1" t="s">
        <v>3869</v>
      </c>
      <c r="AA507" s="1" t="s">
        <v>2553</v>
      </c>
      <c r="AB507" s="49" t="str">
        <f>IFERROR(__xludf.DUMMYFUNCTION("""COMPUTED_VALUE"""),"crucial")</f>
        <v>crucial</v>
      </c>
      <c r="AC507" s="49"/>
      <c r="AD507" s="49" t="str">
        <f>IFERROR(__xludf.DUMMYFUNCTION("""COMPUTED_VALUE"""),"escort")</f>
        <v>escort</v>
      </c>
      <c r="AE507" s="49" t="str">
        <f>IFERROR(__xludf.DUMMYFUNCTION("""COMPUTED_VALUE"""),"scientist")</f>
        <v>scientist</v>
      </c>
      <c r="AF507" s="49" t="str">
        <f t="shared" si="4"/>
        <v>trees,</v>
      </c>
      <c r="AG507" s="49"/>
      <c r="AH507" s="1" t="s">
        <v>2309</v>
      </c>
      <c r="AI507" s="1" t="s">
        <v>1045</v>
      </c>
      <c r="AJ507" s="6" t="str">
        <f>IFERROR(__xludf.DUMMYFUNCTION("""COMPUTED_VALUE"""),"shows")</f>
        <v>shows</v>
      </c>
      <c r="AK507" s="49"/>
      <c r="AL507" s="49"/>
      <c r="AM507" s="49"/>
      <c r="AN507" s="52" t="str">
        <f t="shared" si="5"/>
        <v>maybe,</v>
      </c>
    </row>
    <row r="508">
      <c r="A508" s="51"/>
      <c r="B508" s="50" t="s">
        <v>3583</v>
      </c>
      <c r="C508" s="50" t="s">
        <v>1161</v>
      </c>
      <c r="D508" s="49" t="str">
        <f>IFERROR(__xludf.DUMMYFUNCTION("""COMPUTED_VALUE"""),"smooth")</f>
        <v>smooth</v>
      </c>
      <c r="E508" s="49"/>
      <c r="F508" s="49"/>
      <c r="G508" s="49"/>
      <c r="H508" s="54" t="str">
        <f t="shared" si="1"/>
        <v>upon,</v>
      </c>
      <c r="I508" s="50"/>
      <c r="J508" s="50" t="s">
        <v>1536</v>
      </c>
      <c r="K508" s="50" t="s">
        <v>2251</v>
      </c>
      <c r="L508" s="49" t="str">
        <f>IFERROR(__xludf.DUMMYFUNCTION("""COMPUTED_VALUE"""),"engaging")</f>
        <v>engaging</v>
      </c>
      <c r="M508" s="49"/>
      <c r="N508" s="49" t="str">
        <f>IFERROR(__xludf.DUMMYFUNCTION("""COMPUTED_VALUE"""),"fan")</f>
        <v>fan</v>
      </c>
      <c r="O508" s="49" t="str">
        <f>IFERROR(__xludf.DUMMYFUNCTION("""COMPUTED_VALUE"""),"chan")</f>
        <v>chan</v>
      </c>
      <c r="P508" s="49" t="str">
        <f t="shared" si="2"/>
        <v>ron,</v>
      </c>
      <c r="Q508" s="49"/>
      <c r="R508" s="50" t="s">
        <v>4738</v>
      </c>
      <c r="S508" s="55" t="s">
        <v>1154</v>
      </c>
      <c r="T508" s="49" t="str">
        <f>IFERROR(__xludf.DUMMYFUNCTION("""COMPUTED_VALUE"""),"ensemble")</f>
        <v>ensemble</v>
      </c>
      <c r="U508" s="49"/>
      <c r="V508" s="49">
        <f>IFERROR(__xludf.DUMMYFUNCTION("""COMPUTED_VALUE"""),6.0)</f>
        <v>6</v>
      </c>
      <c r="W508" s="49" t="str">
        <f>IFERROR(__xludf.DUMMYFUNCTION("""COMPUTED_VALUE"""),"agent")</f>
        <v>agent</v>
      </c>
      <c r="X508" s="49" t="str">
        <f t="shared" si="3"/>
        <v>leading,</v>
      </c>
      <c r="Y508" s="49"/>
      <c r="Z508" s="1" t="s">
        <v>585</v>
      </c>
      <c r="AA508" s="1" t="s">
        <v>2557</v>
      </c>
      <c r="AB508" s="49" t="str">
        <f>IFERROR(__xludf.DUMMYFUNCTION("""COMPUTED_VALUE"""),"store")</f>
        <v>store</v>
      </c>
      <c r="AC508" s="49"/>
      <c r="AD508" s="49" t="str">
        <f>IFERROR(__xludf.DUMMYFUNCTION("""COMPUTED_VALUE"""),"fan")</f>
        <v>fan</v>
      </c>
      <c r="AE508" s="49" t="str">
        <f>IFERROR(__xludf.DUMMYFUNCTION("""COMPUTED_VALUE"""),"chan")</f>
        <v>chan</v>
      </c>
      <c r="AF508" s="49" t="str">
        <f t="shared" si="4"/>
        <v>ever,</v>
      </c>
      <c r="AG508" s="49"/>
      <c r="AH508" s="1" t="s">
        <v>6308</v>
      </c>
      <c r="AI508" s="1" t="s">
        <v>2054</v>
      </c>
      <c r="AJ508" s="6" t="str">
        <f>IFERROR(__xludf.DUMMYFUNCTION("""COMPUTED_VALUE"""),"mine")</f>
        <v>mine</v>
      </c>
      <c r="AK508" s="49"/>
      <c r="AL508" s="49"/>
      <c r="AM508" s="49"/>
      <c r="AN508" s="52" t="str">
        <f t="shared" si="5"/>
        <v>shows,</v>
      </c>
    </row>
    <row r="509">
      <c r="A509" s="51"/>
      <c r="B509" s="50" t="s">
        <v>2504</v>
      </c>
      <c r="C509" s="50" t="s">
        <v>6336</v>
      </c>
      <c r="D509" s="49" t="str">
        <f>IFERROR(__xludf.DUMMYFUNCTION("""COMPUTED_VALUE"""),"change")</f>
        <v>change</v>
      </c>
      <c r="E509" s="49"/>
      <c r="F509" s="49"/>
      <c r="G509" s="49"/>
      <c r="H509" s="54" t="str">
        <f t="shared" si="1"/>
        <v>girls,</v>
      </c>
      <c r="I509" s="50"/>
      <c r="J509" s="50" t="s">
        <v>5013</v>
      </c>
      <c r="K509" s="50" t="s">
        <v>31</v>
      </c>
      <c r="L509" s="49" t="str">
        <f>IFERROR(__xludf.DUMMYFUNCTION("""COMPUTED_VALUE"""),"interested")</f>
        <v>interested</v>
      </c>
      <c r="M509" s="49"/>
      <c r="N509" s="49" t="str">
        <f>IFERROR(__xludf.DUMMYFUNCTION("""COMPUTED_VALUE"""),"featuring")</f>
        <v>featuring</v>
      </c>
      <c r="O509" s="49" t="str">
        <f>IFERROR(__xludf.DUMMYFUNCTION("""COMPUTED_VALUE"""),"fantasia")</f>
        <v>fantasia</v>
      </c>
      <c r="P509" s="49" t="str">
        <f t="shared" si="2"/>
        <v>considered,</v>
      </c>
      <c r="Q509" s="49"/>
      <c r="R509" s="50" t="s">
        <v>482</v>
      </c>
      <c r="S509" s="55" t="s">
        <v>431</v>
      </c>
      <c r="T509" s="49" t="str">
        <f>IFERROR(__xludf.DUMMYFUNCTION("""COMPUTED_VALUE"""),"wreck")</f>
        <v>wreck</v>
      </c>
      <c r="U509" s="49"/>
      <c r="V509" s="49" t="str">
        <f>IFERROR(__xludf.DUMMYFUNCTION("""COMPUTED_VALUE"""),"techno")</f>
        <v>techno</v>
      </c>
      <c r="W509" s="49" t="str">
        <f>IFERROR(__xludf.DUMMYFUNCTION("""COMPUTED_VALUE"""),"thinking")</f>
        <v>thinking</v>
      </c>
      <c r="X509" s="49" t="str">
        <f t="shared" si="3"/>
        <v>comedies,</v>
      </c>
      <c r="Y509" s="49"/>
      <c r="Z509" s="1" t="s">
        <v>2089</v>
      </c>
      <c r="AA509" s="1" t="s">
        <v>2559</v>
      </c>
      <c r="AB509" s="49" t="str">
        <f>IFERROR(__xludf.DUMMYFUNCTION("""COMPUTED_VALUE"""),"situations")</f>
        <v>situations</v>
      </c>
      <c r="AC509" s="49"/>
      <c r="AD509" s="49" t="str">
        <f>IFERROR(__xludf.DUMMYFUNCTION("""COMPUTED_VALUE"""),"featuring")</f>
        <v>featuring</v>
      </c>
      <c r="AE509" s="49" t="str">
        <f>IFERROR(__xludf.DUMMYFUNCTION("""COMPUTED_VALUE"""),"fantasia")</f>
        <v>fantasia</v>
      </c>
      <c r="AF509" s="49" t="str">
        <f t="shared" si="4"/>
        <v>friend,</v>
      </c>
      <c r="AG509" s="49"/>
      <c r="AH509" s="1" t="s">
        <v>3630</v>
      </c>
      <c r="AI509" s="1" t="s">
        <v>306</v>
      </c>
      <c r="AJ509" s="6" t="str">
        <f>IFERROR(__xludf.DUMMYFUNCTION("""COMPUTED_VALUE"""),"regular")</f>
        <v>regular</v>
      </c>
      <c r="AK509" s="49"/>
      <c r="AL509" s="49"/>
      <c r="AM509" s="49"/>
      <c r="AN509" s="52" t="str">
        <f t="shared" si="5"/>
        <v>mine,</v>
      </c>
    </row>
    <row r="510">
      <c r="A510" s="51"/>
      <c r="B510" s="50" t="s">
        <v>2813</v>
      </c>
      <c r="C510" s="50" t="s">
        <v>2166</v>
      </c>
      <c r="D510" s="49" t="str">
        <f>IFERROR(__xludf.DUMMYFUNCTION("""COMPUTED_VALUE"""),"seems")</f>
        <v>seems</v>
      </c>
      <c r="E510" s="49"/>
      <c r="F510" s="49"/>
      <c r="G510" s="49"/>
      <c r="H510" s="54" t="str">
        <f t="shared" si="1"/>
        <v>source,</v>
      </c>
      <c r="I510" s="50"/>
      <c r="J510" s="50" t="s">
        <v>2368</v>
      </c>
      <c r="K510" s="50" t="s">
        <v>1467</v>
      </c>
      <c r="L510" s="49" t="str">
        <f>IFERROR(__xludf.DUMMYFUNCTION("""COMPUTED_VALUE"""),"limp")</f>
        <v>limp</v>
      </c>
      <c r="M510" s="49"/>
      <c r="N510" s="49" t="str">
        <f>IFERROR(__xludf.DUMMYFUNCTION("""COMPUTED_VALUE"""),"coffee")</f>
        <v>coffee</v>
      </c>
      <c r="O510" s="49" t="str">
        <f>IFERROR(__xludf.DUMMYFUNCTION("""COMPUTED_VALUE"""),"biographical")</f>
        <v>biographical</v>
      </c>
      <c r="P510" s="49" t="str">
        <f t="shared" si="2"/>
        <v>tv,</v>
      </c>
      <c r="Q510" s="49"/>
      <c r="R510" s="50" t="s">
        <v>3888</v>
      </c>
      <c r="S510" s="55" t="s">
        <v>2044</v>
      </c>
      <c r="T510" s="49" t="str">
        <f>IFERROR(__xludf.DUMMYFUNCTION("""COMPUTED_VALUE"""),"real")</f>
        <v>real</v>
      </c>
      <c r="U510" s="49"/>
      <c r="V510" s="49" t="str">
        <f>IFERROR(__xludf.DUMMYFUNCTION("""COMPUTED_VALUE"""),"guilt")</f>
        <v>guilt</v>
      </c>
      <c r="W510" s="49" t="str">
        <f>IFERROR(__xludf.DUMMYFUNCTION("""COMPUTED_VALUE"""),"quickly")</f>
        <v>quickly</v>
      </c>
      <c r="X510" s="49" t="str">
        <f t="shared" si="3"/>
        <v>except,</v>
      </c>
      <c r="Y510" s="49"/>
      <c r="Z510" s="1" t="s">
        <v>6363</v>
      </c>
      <c r="AA510" s="1" t="s">
        <v>719</v>
      </c>
      <c r="AB510" s="49" t="str">
        <f>IFERROR(__xludf.DUMMYFUNCTION("""COMPUTED_VALUE"""),"haunting")</f>
        <v>haunting</v>
      </c>
      <c r="AC510" s="49"/>
      <c r="AD510" s="49" t="str">
        <f>IFERROR(__xludf.DUMMYFUNCTION("""COMPUTED_VALUE"""),"coffee")</f>
        <v>coffee</v>
      </c>
      <c r="AE510" s="49" t="str">
        <f>IFERROR(__xludf.DUMMYFUNCTION("""COMPUTED_VALUE"""),"biographical")</f>
        <v>biographical</v>
      </c>
      <c r="AF510" s="49" t="str">
        <f t="shared" si="4"/>
        <v>my,</v>
      </c>
      <c r="AG510" s="49"/>
      <c r="AH510" s="1" t="s">
        <v>6691</v>
      </c>
      <c r="AI510" s="1" t="s">
        <v>219</v>
      </c>
      <c r="AJ510" s="6" t="str">
        <f>IFERROR(__xludf.DUMMYFUNCTION("""COMPUTED_VALUE"""),"worth")</f>
        <v>worth</v>
      </c>
      <c r="AK510" s="49"/>
      <c r="AL510" s="49"/>
      <c r="AM510" s="49"/>
      <c r="AN510" s="52" t="str">
        <f t="shared" si="5"/>
        <v>regular,</v>
      </c>
    </row>
    <row r="511">
      <c r="A511" s="51"/>
      <c r="B511" s="50" t="s">
        <v>3771</v>
      </c>
      <c r="C511" s="50" t="s">
        <v>1961</v>
      </c>
      <c r="D511" s="49" t="str">
        <f>IFERROR(__xludf.DUMMYFUNCTION("""COMPUTED_VALUE"""),"positive")</f>
        <v>positive</v>
      </c>
      <c r="E511" s="49"/>
      <c r="F511" s="49"/>
      <c r="G511" s="49"/>
      <c r="H511" s="54" t="str">
        <f t="shared" si="1"/>
        <v>lies,</v>
      </c>
      <c r="I511" s="50"/>
      <c r="J511" s="50" t="s">
        <v>3020</v>
      </c>
      <c r="K511" s="50" t="s">
        <v>1473</v>
      </c>
      <c r="L511" s="49" t="str">
        <f>IFERROR(__xludf.DUMMYFUNCTION("""COMPUTED_VALUE"""),"worked")</f>
        <v>worked</v>
      </c>
      <c r="M511" s="49"/>
      <c r="N511" s="49" t="str">
        <f>IFERROR(__xludf.DUMMYFUNCTION("""COMPUTED_VALUE"""),"miss")</f>
        <v>miss</v>
      </c>
      <c r="O511" s="49" t="str">
        <f>IFERROR(__xludf.DUMMYFUNCTION("""COMPUTED_VALUE"""),"underwater")</f>
        <v>underwater</v>
      </c>
      <c r="P511" s="49" t="str">
        <f t="shared" si="2"/>
        <v>liked,</v>
      </c>
      <c r="Q511" s="49"/>
      <c r="R511" s="50" t="s">
        <v>4840</v>
      </c>
      <c r="S511" s="55" t="s">
        <v>1170</v>
      </c>
      <c r="T511" s="49" t="str">
        <f>IFERROR(__xludf.DUMMYFUNCTION("""COMPUTED_VALUE"""),"golden")</f>
        <v>golden</v>
      </c>
      <c r="U511" s="49"/>
      <c r="V511" s="49" t="str">
        <f>IFERROR(__xludf.DUMMYFUNCTION("""COMPUTED_VALUE"""),"recalling")</f>
        <v>recalling</v>
      </c>
      <c r="W511" s="49" t="str">
        <f>IFERROR(__xludf.DUMMYFUNCTION("""COMPUTED_VALUE"""),"strain")</f>
        <v>strain</v>
      </c>
      <c r="X511" s="49" t="str">
        <f t="shared" si="3"/>
        <v>blonde,</v>
      </c>
      <c r="Y511" s="49"/>
      <c r="Z511" s="1" t="s">
        <v>4272</v>
      </c>
      <c r="AA511" s="1" t="s">
        <v>512</v>
      </c>
      <c r="AB511" s="49" t="str">
        <f>IFERROR(__xludf.DUMMYFUNCTION("""COMPUTED_VALUE"""),"gut")</f>
        <v>gut</v>
      </c>
      <c r="AC511" s="49"/>
      <c r="AD511" s="49" t="str">
        <f>IFERROR(__xludf.DUMMYFUNCTION("""COMPUTED_VALUE"""),"miss")</f>
        <v>miss</v>
      </c>
      <c r="AE511" s="49" t="str">
        <f>IFERROR(__xludf.DUMMYFUNCTION("""COMPUTED_VALUE"""),"underwater")</f>
        <v>underwater</v>
      </c>
      <c r="AF511" s="49" t="str">
        <f t="shared" si="4"/>
        <v>pair,</v>
      </c>
      <c r="AG511" s="49"/>
      <c r="AH511" s="1" t="s">
        <v>2062</v>
      </c>
      <c r="AI511" s="1">
        <v>100.0</v>
      </c>
      <c r="AJ511" s="6" t="str">
        <f>IFERROR(__xludf.DUMMYFUNCTION("""COMPUTED_VALUE"""),"crowd")</f>
        <v>crowd</v>
      </c>
      <c r="AK511" s="49"/>
      <c r="AL511" s="49"/>
      <c r="AM511" s="49"/>
      <c r="AN511" s="52" t="str">
        <f t="shared" si="5"/>
        <v>worth,</v>
      </c>
    </row>
    <row r="512">
      <c r="A512" s="51"/>
      <c r="B512" s="50" t="s">
        <v>2615</v>
      </c>
      <c r="C512" s="50" t="s">
        <v>2175</v>
      </c>
      <c r="D512" s="49" t="str">
        <f>IFERROR(__xludf.DUMMYFUNCTION("""COMPUTED_VALUE"""),"tone")</f>
        <v>tone</v>
      </c>
      <c r="E512" s="49"/>
      <c r="F512" s="49"/>
      <c r="G512" s="49"/>
      <c r="H512" s="54" t="str">
        <f t="shared" si="1"/>
        <v>potential,</v>
      </c>
      <c r="I512" s="50"/>
      <c r="J512" s="50" t="s">
        <v>697</v>
      </c>
      <c r="K512" s="50" t="s">
        <v>1480</v>
      </c>
      <c r="L512" s="49" t="str">
        <f>IFERROR(__xludf.DUMMYFUNCTION("""COMPUTED_VALUE"""),"guessing")</f>
        <v>guessing</v>
      </c>
      <c r="M512" s="49"/>
      <c r="N512" s="49" t="str">
        <f>IFERROR(__xludf.DUMMYFUNCTION("""COMPUTED_VALUE"""),"return")</f>
        <v>return</v>
      </c>
      <c r="O512" s="49" t="str">
        <f>IFERROR(__xludf.DUMMYFUNCTION("""COMPUTED_VALUE"""),"triangle")</f>
        <v>triangle</v>
      </c>
      <c r="P512" s="49" t="str">
        <f t="shared" si="2"/>
        <v>right,</v>
      </c>
      <c r="Q512" s="49"/>
      <c r="R512" s="50" t="s">
        <v>255</v>
      </c>
      <c r="S512" s="55" t="s">
        <v>1164</v>
      </c>
      <c r="T512" s="49" t="str">
        <f>IFERROR(__xludf.DUMMYFUNCTION("""COMPUTED_VALUE"""),"sister")</f>
        <v>sister</v>
      </c>
      <c r="U512" s="49"/>
      <c r="V512" s="49" t="str">
        <f>IFERROR(__xludf.DUMMYFUNCTION("""COMPUTED_VALUE"""),"stein")</f>
        <v>stein</v>
      </c>
      <c r="W512" s="49" t="str">
        <f>IFERROR(__xludf.DUMMYFUNCTION("""COMPUTED_VALUE"""),"gripping")</f>
        <v>gripping</v>
      </c>
      <c r="X512" s="49" t="str">
        <f t="shared" si="3"/>
        <v>main,</v>
      </c>
      <c r="Y512" s="49"/>
      <c r="Z512" s="1" t="s">
        <v>1555</v>
      </c>
      <c r="AA512" s="1" t="s">
        <v>358</v>
      </c>
      <c r="AB512" s="49" t="str">
        <f>IFERROR(__xludf.DUMMYFUNCTION("""COMPUTED_VALUE"""),"parody")</f>
        <v>parody</v>
      </c>
      <c r="AC512" s="49"/>
      <c r="AD512" s="49" t="str">
        <f>IFERROR(__xludf.DUMMYFUNCTION("""COMPUTED_VALUE"""),"return")</f>
        <v>return</v>
      </c>
      <c r="AE512" s="49" t="str">
        <f>IFERROR(__xludf.DUMMYFUNCTION("""COMPUTED_VALUE"""),"triangle")</f>
        <v>triangle</v>
      </c>
      <c r="AF512" s="49" t="str">
        <f t="shared" si="4"/>
        <v>quite,</v>
      </c>
      <c r="AG512" s="49"/>
      <c r="AH512" s="1" t="s">
        <v>928</v>
      </c>
      <c r="AI512" s="1" t="s">
        <v>6329</v>
      </c>
      <c r="AJ512" s="6" t="str">
        <f>IFERROR(__xludf.DUMMYFUNCTION("""COMPUTED_VALUE"""),"ending")</f>
        <v>ending</v>
      </c>
      <c r="AK512" s="49"/>
      <c r="AL512" s="49"/>
      <c r="AM512" s="49"/>
      <c r="AN512" s="52" t="str">
        <f t="shared" si="5"/>
        <v>crowd,</v>
      </c>
    </row>
    <row r="513">
      <c r="A513" s="51"/>
      <c r="B513" s="50" t="s">
        <v>2128</v>
      </c>
      <c r="C513" s="50" t="s">
        <v>1975</v>
      </c>
      <c r="D513" s="49" t="str">
        <f>IFERROR(__xludf.DUMMYFUNCTION("""COMPUTED_VALUE"""),"beat")</f>
        <v>beat</v>
      </c>
      <c r="E513" s="49"/>
      <c r="F513" s="49"/>
      <c r="G513" s="49"/>
      <c r="H513" s="54" t="str">
        <f t="shared" si="1"/>
        <v>standards,</v>
      </c>
      <c r="I513" s="50"/>
      <c r="J513" s="50" t="s">
        <v>4974</v>
      </c>
      <c r="K513" s="50" t="s">
        <v>1497</v>
      </c>
      <c r="L513" s="49" t="str">
        <f>IFERROR(__xludf.DUMMYFUNCTION("""COMPUTED_VALUE"""),"million")</f>
        <v>million</v>
      </c>
      <c r="M513" s="49"/>
      <c r="N513" s="49" t="str">
        <f>IFERROR(__xludf.DUMMYFUNCTION("""COMPUTED_VALUE"""),"angel")</f>
        <v>angel</v>
      </c>
      <c r="O513" s="49" t="str">
        <f>IFERROR(__xludf.DUMMYFUNCTION("""COMPUTED_VALUE"""),"bermuda")</f>
        <v>bermuda</v>
      </c>
      <c r="P513" s="49" t="str">
        <f t="shared" si="2"/>
        <v>reluctant,</v>
      </c>
      <c r="Q513" s="49"/>
      <c r="R513" s="50" t="s">
        <v>2971</v>
      </c>
      <c r="S513" s="55" t="s">
        <v>1238</v>
      </c>
      <c r="T513" s="49" t="str">
        <f>IFERROR(__xludf.DUMMYFUNCTION("""COMPUTED_VALUE"""),"ugly")</f>
        <v>ugly</v>
      </c>
      <c r="U513" s="49"/>
      <c r="V513" s="49" t="str">
        <f>IFERROR(__xludf.DUMMYFUNCTION("""COMPUTED_VALUE"""),"definition")</f>
        <v>definition</v>
      </c>
      <c r="W513" s="49" t="str">
        <f>IFERROR(__xludf.DUMMYFUNCTION("""COMPUTED_VALUE"""),"tunisian")</f>
        <v>tunisian</v>
      </c>
      <c r="X513" s="49" t="str">
        <f t="shared" si="3"/>
        <v>happens,</v>
      </c>
      <c r="Y513" s="49"/>
      <c r="Z513" s="1" t="s">
        <v>2354</v>
      </c>
      <c r="AA513" s="1" t="s">
        <v>2570</v>
      </c>
      <c r="AB513" s="49" t="str">
        <f>IFERROR(__xludf.DUMMYFUNCTION("""COMPUTED_VALUE"""),"expression")</f>
        <v>expression</v>
      </c>
      <c r="AC513" s="49"/>
      <c r="AD513" s="49" t="str">
        <f>IFERROR(__xludf.DUMMYFUNCTION("""COMPUTED_VALUE"""),"angel")</f>
        <v>angel</v>
      </c>
      <c r="AE513" s="49" t="str">
        <f>IFERROR(__xludf.DUMMYFUNCTION("""COMPUTED_VALUE"""),"bermuda")</f>
        <v>bermuda</v>
      </c>
      <c r="AF513" s="49" t="str">
        <f t="shared" si="4"/>
        <v>humor,</v>
      </c>
      <c r="AG513" s="49"/>
      <c r="AH513" s="1" t="s">
        <v>1144</v>
      </c>
      <c r="AI513" s="1" t="s">
        <v>751</v>
      </c>
      <c r="AJ513" s="6" t="str">
        <f>IFERROR(__xludf.DUMMYFUNCTION("""COMPUTED_VALUE"""),"crazy")</f>
        <v>crazy</v>
      </c>
      <c r="AK513" s="49"/>
      <c r="AL513" s="49"/>
      <c r="AM513" s="49"/>
      <c r="AN513" s="52" t="str">
        <f t="shared" si="5"/>
        <v>ending,</v>
      </c>
    </row>
    <row r="514">
      <c r="A514" s="51"/>
      <c r="B514" s="50" t="s">
        <v>2366</v>
      </c>
      <c r="C514" s="50" t="s">
        <v>2178</v>
      </c>
      <c r="D514" s="49" t="str">
        <f>IFERROR(__xludf.DUMMYFUNCTION("""COMPUTED_VALUE"""),"acts")</f>
        <v>acts</v>
      </c>
      <c r="E514" s="49"/>
      <c r="F514" s="49"/>
      <c r="G514" s="49"/>
      <c r="H514" s="54" t="str">
        <f t="shared" si="1"/>
        <v>visual,</v>
      </c>
      <c r="I514" s="50"/>
      <c r="J514" s="50" t="s">
        <v>2003</v>
      </c>
      <c r="K514" s="50" t="s">
        <v>1487</v>
      </c>
      <c r="L514" s="49" t="str">
        <f>IFERROR(__xludf.DUMMYFUNCTION("""COMPUTED_VALUE"""),"age")</f>
        <v>age</v>
      </c>
      <c r="M514" s="49"/>
      <c r="N514" s="49" t="str">
        <f>IFERROR(__xludf.DUMMYFUNCTION("""COMPUTED_VALUE"""),"heaven")</f>
        <v>heaven</v>
      </c>
      <c r="O514" s="49" t="str">
        <f>IFERROR(__xludf.DUMMYFUNCTION("""COMPUTED_VALUE"""),"drowned")</f>
        <v>drowned</v>
      </c>
      <c r="P514" s="49" t="str">
        <f t="shared" si="2"/>
        <v>oddly,</v>
      </c>
      <c r="Q514" s="49"/>
      <c r="R514" s="50" t="s">
        <v>948</v>
      </c>
      <c r="S514" s="55" t="s">
        <v>2263</v>
      </c>
      <c r="T514" s="49" t="str">
        <f>IFERROR(__xludf.DUMMYFUNCTION("""COMPUTED_VALUE"""),"roberts")</f>
        <v>roberts</v>
      </c>
      <c r="U514" s="49"/>
      <c r="V514" s="49" t="str">
        <f>IFERROR(__xludf.DUMMYFUNCTION("""COMPUTED_VALUE"""),"cleansing")</f>
        <v>cleansing</v>
      </c>
      <c r="W514" s="49" t="str">
        <f>IFERROR(__xludf.DUMMYFUNCTION("""COMPUTED_VALUE"""),"drawn")</f>
        <v>drawn</v>
      </c>
      <c r="X514" s="49" t="str">
        <f t="shared" si="3"/>
        <v>climax,</v>
      </c>
      <c r="Y514" s="49"/>
      <c r="Z514" s="1" t="s">
        <v>1859</v>
      </c>
      <c r="AA514" s="1" t="s">
        <v>467</v>
      </c>
      <c r="AB514" s="49" t="str">
        <f>IFERROR(__xludf.DUMMYFUNCTION("""COMPUTED_VALUE"""),"exercise")</f>
        <v>exercise</v>
      </c>
      <c r="AC514" s="49"/>
      <c r="AD514" s="49" t="str">
        <f>IFERROR(__xludf.DUMMYFUNCTION("""COMPUTED_VALUE"""),"heaven")</f>
        <v>heaven</v>
      </c>
      <c r="AE514" s="49" t="str">
        <f>IFERROR(__xludf.DUMMYFUNCTION("""COMPUTED_VALUE"""),"drowned")</f>
        <v>drowned</v>
      </c>
      <c r="AF514" s="49" t="str">
        <f t="shared" si="4"/>
        <v>holes,</v>
      </c>
      <c r="AG514" s="49"/>
      <c r="AH514" s="1" t="s">
        <v>6451</v>
      </c>
      <c r="AI514" s="1" t="s">
        <v>869</v>
      </c>
      <c r="AJ514" s="6" t="str">
        <f>IFERROR(__xludf.DUMMYFUNCTION("""COMPUTED_VALUE"""),"journey")</f>
        <v>journey</v>
      </c>
      <c r="AK514" s="49"/>
      <c r="AL514" s="49"/>
      <c r="AM514" s="49"/>
      <c r="AN514" s="52" t="str">
        <f t="shared" si="5"/>
        <v>crazy,</v>
      </c>
    </row>
    <row r="515">
      <c r="A515" s="51"/>
      <c r="B515" s="50" t="s">
        <v>5732</v>
      </c>
      <c r="C515" s="50" t="s">
        <v>1174</v>
      </c>
      <c r="D515" s="49" t="str">
        <f>IFERROR(__xludf.DUMMYFUNCTION("""COMPUTED_VALUE"""),"may")</f>
        <v>may</v>
      </c>
      <c r="E515" s="49"/>
      <c r="F515" s="49"/>
      <c r="G515" s="49"/>
      <c r="H515" s="54" t="str">
        <f t="shared" si="1"/>
        <v>jordan,</v>
      </c>
      <c r="I515" s="50"/>
      <c r="J515" s="50" t="s">
        <v>6436</v>
      </c>
      <c r="K515" s="50" t="s">
        <v>376</v>
      </c>
      <c r="L515" s="49" t="str">
        <f>IFERROR(__xludf.DUMMYFUNCTION("""COMPUTED_VALUE"""),"product")</f>
        <v>product</v>
      </c>
      <c r="M515" s="49"/>
      <c r="N515" s="49" t="str">
        <f>IFERROR(__xludf.DUMMYFUNCTION("""COMPUTED_VALUE"""),"super")</f>
        <v>super</v>
      </c>
      <c r="O515" s="49" t="str">
        <f>IFERROR(__xludf.DUMMYFUNCTION("""COMPUTED_VALUE"""),"leon")</f>
        <v>leon</v>
      </c>
      <c r="P515" s="49" t="str">
        <f t="shared" si="2"/>
        <v>program,</v>
      </c>
      <c r="Q515" s="49"/>
      <c r="R515" s="50" t="s">
        <v>4504</v>
      </c>
      <c r="S515" s="55" t="s">
        <v>439</v>
      </c>
      <c r="T515" s="49" t="str">
        <f>IFERROR(__xludf.DUMMYFUNCTION("""COMPUTED_VALUE"""),"ups")</f>
        <v>ups</v>
      </c>
      <c r="U515" s="49"/>
      <c r="V515" s="49" t="str">
        <f>IFERROR(__xludf.DUMMYFUNCTION("""COMPUTED_VALUE"""),"hu")</f>
        <v>hu</v>
      </c>
      <c r="W515" s="49" t="str">
        <f>IFERROR(__xludf.DUMMYFUNCTION("""COMPUTED_VALUE"""),"widow")</f>
        <v>widow</v>
      </c>
      <c r="X515" s="49" t="str">
        <f t="shared" si="3"/>
        <v>accepting,</v>
      </c>
      <c r="Y515" s="49"/>
      <c r="Z515" s="1" t="s">
        <v>1018</v>
      </c>
      <c r="AA515" s="1" t="s">
        <v>1848</v>
      </c>
      <c r="AB515" s="49" t="str">
        <f>IFERROR(__xludf.DUMMYFUNCTION("""COMPUTED_VALUE"""),"aging")</f>
        <v>aging</v>
      </c>
      <c r="AC515" s="49"/>
      <c r="AD515" s="49" t="str">
        <f>IFERROR(__xludf.DUMMYFUNCTION("""COMPUTED_VALUE"""),"super")</f>
        <v>super</v>
      </c>
      <c r="AE515" s="49" t="str">
        <f>IFERROR(__xludf.DUMMYFUNCTION("""COMPUTED_VALUE"""),"leon")</f>
        <v>leon</v>
      </c>
      <c r="AF515" s="49" t="str">
        <f t="shared" si="4"/>
        <v>bloody,</v>
      </c>
      <c r="AG515" s="49"/>
      <c r="AH515" s="1" t="s">
        <v>2295</v>
      </c>
      <c r="AI515" s="1" t="s">
        <v>1827</v>
      </c>
      <c r="AJ515" s="6" t="str">
        <f>IFERROR(__xludf.DUMMYFUNCTION("""COMPUTED_VALUE"""),"familiar")</f>
        <v>familiar</v>
      </c>
      <c r="AK515" s="49"/>
      <c r="AL515" s="49"/>
      <c r="AM515" s="49"/>
      <c r="AN515" s="52" t="str">
        <f t="shared" si="5"/>
        <v>journey,</v>
      </c>
    </row>
    <row r="516">
      <c r="A516" s="51"/>
      <c r="B516" s="50" t="s">
        <v>2312</v>
      </c>
      <c r="C516" s="50" t="s">
        <v>6344</v>
      </c>
      <c r="D516" s="49" t="str">
        <f>IFERROR(__xludf.DUMMYFUNCTION("""COMPUTED_VALUE"""),"inside")</f>
        <v>inside</v>
      </c>
      <c r="E516" s="49"/>
      <c r="F516" s="49"/>
      <c r="G516" s="49"/>
      <c r="H516" s="54" t="str">
        <f t="shared" si="1"/>
        <v>tired,</v>
      </c>
      <c r="I516" s="50"/>
      <c r="J516" s="50" t="b">
        <v>1</v>
      </c>
      <c r="K516" s="50" t="s">
        <v>2578</v>
      </c>
      <c r="L516" s="49" t="str">
        <f>IFERROR(__xludf.DUMMYFUNCTION("""COMPUTED_VALUE"""),"jason")</f>
        <v>jason</v>
      </c>
      <c r="M516" s="49"/>
      <c r="N516" s="49" t="str">
        <f>IFERROR(__xludf.DUMMYFUNCTION("""COMPUTED_VALUE"""),"research")</f>
        <v>research</v>
      </c>
      <c r="O516" s="49" t="str">
        <f>IFERROR(__xludf.DUMMYFUNCTION("""COMPUTED_VALUE"""),"pained")</f>
        <v>pained</v>
      </c>
      <c r="P516" s="49" t="str">
        <f t="shared" si="2"/>
        <v>TRUE,</v>
      </c>
      <c r="Q516" s="49"/>
      <c r="R516" s="50" t="s">
        <v>4543</v>
      </c>
      <c r="S516" s="55" t="s">
        <v>1184</v>
      </c>
      <c r="T516" s="49" t="str">
        <f>IFERROR(__xludf.DUMMYFUNCTION("""COMPUTED_VALUE"""),"downs")</f>
        <v>downs</v>
      </c>
      <c r="U516" s="49"/>
      <c r="V516" s="49" t="str">
        <f>IFERROR(__xludf.DUMMYFUNCTION("""COMPUTED_VALUE"""),"wanna")</f>
        <v>wanna</v>
      </c>
      <c r="W516" s="49" t="str">
        <f>IFERROR(__xludf.DUMMYFUNCTION("""COMPUTED_VALUE"""),"stab")</f>
        <v>stab</v>
      </c>
      <c r="X516" s="49" t="str">
        <f t="shared" si="3"/>
        <v>copy,</v>
      </c>
      <c r="Y516" s="49"/>
      <c r="Z516" s="1" t="s">
        <v>1989</v>
      </c>
      <c r="AA516" s="1" t="s">
        <v>1796</v>
      </c>
      <c r="AB516" s="49" t="str">
        <f>IFERROR(__xludf.DUMMYFUNCTION("""COMPUTED_VALUE"""),"husband")</f>
        <v>husband</v>
      </c>
      <c r="AC516" s="49"/>
      <c r="AD516" s="49" t="str">
        <f>IFERROR(__xludf.DUMMYFUNCTION("""COMPUTED_VALUE"""),"research")</f>
        <v>research</v>
      </c>
      <c r="AE516" s="49" t="str">
        <f>IFERROR(__xludf.DUMMYFUNCTION("""COMPUTED_VALUE"""),"pained")</f>
        <v>pained</v>
      </c>
      <c r="AF516" s="49" t="str">
        <f t="shared" si="4"/>
        <v>machine,</v>
      </c>
      <c r="AG516" s="49"/>
      <c r="AH516" s="1" t="s">
        <v>6401</v>
      </c>
      <c r="AI516" s="1" t="s">
        <v>1838</v>
      </c>
      <c r="AJ516" s="6" t="str">
        <f>IFERROR(__xludf.DUMMYFUNCTION("""COMPUTED_VALUE"""),"leads")</f>
        <v>leads</v>
      </c>
      <c r="AK516" s="49"/>
      <c r="AL516" s="49"/>
      <c r="AM516" s="49"/>
      <c r="AN516" s="52" t="str">
        <f t="shared" si="5"/>
        <v>familiar,</v>
      </c>
    </row>
    <row r="517">
      <c r="A517" s="51"/>
      <c r="B517" s="50" t="s">
        <v>6588</v>
      </c>
      <c r="C517" s="50" t="s">
        <v>1283</v>
      </c>
      <c r="D517" s="49" t="str">
        <f>IFERROR(__xludf.DUMMYFUNCTION("""COMPUTED_VALUE"""),"kid")</f>
        <v>kid</v>
      </c>
      <c r="E517" s="49"/>
      <c r="F517" s="49"/>
      <c r="G517" s="49"/>
      <c r="H517" s="54" t="str">
        <f t="shared" si="1"/>
        <v>killer,</v>
      </c>
      <c r="I517" s="50"/>
      <c r="J517" s="50" t="s">
        <v>3378</v>
      </c>
      <c r="K517" s="50" t="s">
        <v>550</v>
      </c>
      <c r="L517" s="49" t="str">
        <f>IFERROR(__xludf.DUMMYFUNCTION("""COMPUTED_VALUE"""),"sentence")</f>
        <v>sentence</v>
      </c>
      <c r="M517" s="49"/>
      <c r="N517" s="49" t="str">
        <f>IFERROR(__xludf.DUMMYFUNCTION("""COMPUTED_VALUE"""),"mild")</f>
        <v>mild</v>
      </c>
      <c r="O517" s="49" t="str">
        <f>IFERROR(__xludf.DUMMYFUNCTION("""COMPUTED_VALUE"""),"wound")</f>
        <v>wound</v>
      </c>
      <c r="P517" s="49" t="str">
        <f t="shared" si="2"/>
        <v>daughter,</v>
      </c>
      <c r="Q517" s="49"/>
      <c r="R517" s="50" t="s">
        <v>4128</v>
      </c>
      <c r="S517" s="55" t="s">
        <v>6345</v>
      </c>
      <c r="T517" s="49" t="str">
        <f>IFERROR(__xludf.DUMMYFUNCTION("""COMPUTED_VALUE"""),"fully")</f>
        <v>fully</v>
      </c>
      <c r="U517" s="49"/>
      <c r="V517" s="49" t="str">
        <f>IFERROR(__xludf.DUMMYFUNCTION("""COMPUTED_VALUE"""),"knees")</f>
        <v>knees</v>
      </c>
      <c r="W517" s="49" t="str">
        <f>IFERROR(__xludf.DUMMYFUNCTION("""COMPUTED_VALUE"""),"festival")</f>
        <v>festival</v>
      </c>
      <c r="X517" s="49" t="str">
        <f t="shared" si="3"/>
        <v>sun,</v>
      </c>
      <c r="Y517" s="49"/>
      <c r="Z517" s="1" t="s">
        <v>823</v>
      </c>
      <c r="AA517" s="1" t="s">
        <v>1853</v>
      </c>
      <c r="AB517" s="49" t="str">
        <f>IFERROR(__xludf.DUMMYFUNCTION("""COMPUTED_VALUE"""),"seeing")</f>
        <v>seeing</v>
      </c>
      <c r="AC517" s="49"/>
      <c r="AD517" s="49" t="str">
        <f>IFERROR(__xludf.DUMMYFUNCTION("""COMPUTED_VALUE"""),"mild")</f>
        <v>mild</v>
      </c>
      <c r="AE517" s="49" t="str">
        <f>IFERROR(__xludf.DUMMYFUNCTION("""COMPUTED_VALUE"""),"wound")</f>
        <v>wound</v>
      </c>
      <c r="AF517" s="49" t="str">
        <f t="shared" si="4"/>
        <v>light,</v>
      </c>
      <c r="AG517" s="49"/>
      <c r="AH517" s="1" t="s">
        <v>2680</v>
      </c>
      <c r="AI517" s="1" t="s">
        <v>4663</v>
      </c>
      <c r="AJ517" s="6" t="str">
        <f>IFERROR(__xludf.DUMMYFUNCTION("""COMPUTED_VALUE"""),"definitely")</f>
        <v>definitely</v>
      </c>
      <c r="AK517" s="49"/>
      <c r="AL517" s="49"/>
      <c r="AM517" s="49"/>
      <c r="AN517" s="52" t="str">
        <f t="shared" si="5"/>
        <v>leads,</v>
      </c>
    </row>
    <row r="518">
      <c r="A518" s="51"/>
      <c r="B518" s="50" t="s">
        <v>3319</v>
      </c>
      <c r="C518" s="50" t="s">
        <v>1082</v>
      </c>
      <c r="D518" s="49" t="str">
        <f>IFERROR(__xludf.DUMMYFUNCTION("""COMPUTED_VALUE"""),"length")</f>
        <v>length</v>
      </c>
      <c r="E518" s="49"/>
      <c r="F518" s="49"/>
      <c r="G518" s="49"/>
      <c r="H518" s="54" t="str">
        <f t="shared" si="1"/>
        <v>neil,</v>
      </c>
      <c r="I518" s="50"/>
      <c r="J518" s="50" t="s">
        <v>6663</v>
      </c>
      <c r="K518" s="50" t="s">
        <v>2282</v>
      </c>
      <c r="L518" s="49" t="str">
        <f>IFERROR(__xludf.DUMMYFUNCTION("""COMPUTED_VALUE"""),"allen")</f>
        <v>allen</v>
      </c>
      <c r="M518" s="49"/>
      <c r="N518" s="49" t="str">
        <f>IFERROR(__xludf.DUMMYFUNCTION("""COMPUTED_VALUE"""),"asks")</f>
        <v>asks</v>
      </c>
      <c r="O518" s="49" t="str">
        <f>IFERROR(__xludf.DUMMYFUNCTION("""COMPUTED_VALUE"""),"truth")</f>
        <v>truth</v>
      </c>
      <c r="P518" s="49" t="str">
        <f t="shared" si="2"/>
        <v>favorite,</v>
      </c>
      <c r="Q518" s="49"/>
      <c r="R518" s="50" t="s">
        <v>3029</v>
      </c>
      <c r="S518" s="55" t="s">
        <v>945</v>
      </c>
      <c r="T518" s="49" t="str">
        <f>IFERROR(__xludf.DUMMYFUNCTION("""COMPUTED_VALUE"""),"college")</f>
        <v>college</v>
      </c>
      <c r="U518" s="49"/>
      <c r="V518" s="49" t="str">
        <f>IFERROR(__xludf.DUMMYFUNCTION("""COMPUTED_VALUE"""),"refusal")</f>
        <v>refusal</v>
      </c>
      <c r="W518" s="49" t="str">
        <f>IFERROR(__xludf.DUMMYFUNCTION("""COMPUTED_VALUE"""),"terry")</f>
        <v>terry</v>
      </c>
      <c r="X518" s="49" t="str">
        <f t="shared" si="3"/>
        <v>job,</v>
      </c>
      <c r="Y518" s="49"/>
      <c r="Z518" s="1" t="s">
        <v>48</v>
      </c>
      <c r="AA518" s="1" t="s">
        <v>1802</v>
      </c>
      <c r="AB518" s="49" t="str">
        <f>IFERROR(__xludf.DUMMYFUNCTION("""COMPUTED_VALUE"""),"eastern")</f>
        <v>eastern</v>
      </c>
      <c r="AC518" s="49"/>
      <c r="AD518" s="49" t="str">
        <f>IFERROR(__xludf.DUMMYFUNCTION("""COMPUTED_VALUE"""),"asks")</f>
        <v>asks</v>
      </c>
      <c r="AE518" s="49" t="str">
        <f>IFERROR(__xludf.DUMMYFUNCTION("""COMPUTED_VALUE"""),"truth")</f>
        <v>truth</v>
      </c>
      <c r="AF518" s="49" t="str">
        <f t="shared" si="4"/>
        <v>violence,</v>
      </c>
      <c r="AG518" s="49"/>
      <c r="AH518" s="1" t="s">
        <v>6526</v>
      </c>
      <c r="AI518" s="1" t="s">
        <v>2073</v>
      </c>
      <c r="AJ518" s="6" t="str">
        <f>IFERROR(__xludf.DUMMYFUNCTION("""COMPUTED_VALUE"""),"witch")</f>
        <v>witch</v>
      </c>
      <c r="AK518" s="49"/>
      <c r="AL518" s="49"/>
      <c r="AM518" s="49"/>
      <c r="AN518" s="52" t="str">
        <f t="shared" si="5"/>
        <v>definitely,</v>
      </c>
    </row>
    <row r="519">
      <c r="A519" s="51"/>
      <c r="B519" s="50" t="s">
        <v>3761</v>
      </c>
      <c r="C519" s="50" t="s">
        <v>2191</v>
      </c>
      <c r="D519" s="49" t="str">
        <f>IFERROR(__xludf.DUMMYFUNCTION("""COMPUTED_VALUE"""),"term")</f>
        <v>term</v>
      </c>
      <c r="E519" s="49"/>
      <c r="F519" s="49"/>
      <c r="G519" s="49"/>
      <c r="H519" s="54" t="str">
        <f t="shared" si="1"/>
        <v>deaths,</v>
      </c>
      <c r="I519" s="50"/>
      <c r="J519" s="50" t="s">
        <v>6424</v>
      </c>
      <c r="K519" s="50" t="s">
        <v>1495</v>
      </c>
      <c r="L519" s="49" t="str">
        <f>IFERROR(__xludf.DUMMYFUNCTION("""COMPUTED_VALUE"""),"word")</f>
        <v>word</v>
      </c>
      <c r="M519" s="49"/>
      <c r="N519" s="49" t="str">
        <f>IFERROR(__xludf.DUMMYFUNCTION("""COMPUTED_VALUE"""),"foul")</f>
        <v>foul</v>
      </c>
      <c r="O519" s="49" t="str">
        <f>IFERROR(__xludf.DUMMYFUNCTION("""COMPUTED_VALUE"""),"singular")</f>
        <v>singular</v>
      </c>
      <c r="P519" s="49" t="str">
        <f t="shared" si="2"/>
        <v>mostly,</v>
      </c>
      <c r="Q519" s="49"/>
      <c r="R519" s="50" t="s">
        <v>1199</v>
      </c>
      <c r="S519" s="55" t="s">
        <v>752</v>
      </c>
      <c r="T519" s="49" t="str">
        <f>IFERROR(__xludf.DUMMYFUNCTION("""COMPUTED_VALUE"""),"need")</f>
        <v>need</v>
      </c>
      <c r="U519" s="49"/>
      <c r="V519" s="49" t="str">
        <f>IFERROR(__xludf.DUMMYFUNCTION("""COMPUTED_VALUE"""),"places")</f>
        <v>places</v>
      </c>
      <c r="W519" s="49" t="str">
        <f>IFERROR(__xludf.DUMMYFUNCTION("""COMPUTED_VALUE"""),"fatal")</f>
        <v>fatal</v>
      </c>
      <c r="X519" s="49" t="str">
        <f t="shared" si="3"/>
        <v>wedding,</v>
      </c>
      <c r="Y519" s="49"/>
      <c r="Z519" s="1" t="s">
        <v>600</v>
      </c>
      <c r="AA519" s="1" t="s">
        <v>217</v>
      </c>
      <c r="AB519" s="49" t="str">
        <f>IFERROR(__xludf.DUMMYFUNCTION("""COMPUTED_VALUE"""),"offering")</f>
        <v>offering</v>
      </c>
      <c r="AC519" s="49"/>
      <c r="AD519" s="49" t="str">
        <f>IFERROR(__xludf.DUMMYFUNCTION("""COMPUTED_VALUE"""),"foul")</f>
        <v>foul</v>
      </c>
      <c r="AE519" s="49" t="str">
        <f>IFERROR(__xludf.DUMMYFUNCTION("""COMPUTED_VALUE"""),"singular")</f>
        <v>singular</v>
      </c>
      <c r="AF519" s="49" t="str">
        <f t="shared" si="4"/>
        <v>them,</v>
      </c>
      <c r="AG519" s="49"/>
      <c r="AH519" s="1" t="s">
        <v>5458</v>
      </c>
      <c r="AI519" s="1" t="s">
        <v>1845</v>
      </c>
      <c r="AJ519" s="6" t="str">
        <f>IFERROR(__xludf.DUMMYFUNCTION("""COMPUTED_VALUE"""),"likes")</f>
        <v>likes</v>
      </c>
      <c r="AK519" s="49"/>
      <c r="AL519" s="49"/>
      <c r="AM519" s="49"/>
      <c r="AN519" s="52" t="str">
        <f t="shared" si="5"/>
        <v>witch,</v>
      </c>
    </row>
    <row r="520">
      <c r="A520" s="51"/>
      <c r="B520" s="50" t="s">
        <v>822</v>
      </c>
      <c r="C520" s="50" t="s">
        <v>5483</v>
      </c>
      <c r="D520" s="49" t="str">
        <f>IFERROR(__xludf.DUMMYFUNCTION("""COMPUTED_VALUE"""),"value")</f>
        <v>value</v>
      </c>
      <c r="E520" s="49"/>
      <c r="F520" s="49"/>
      <c r="G520" s="49"/>
      <c r="H520" s="54" t="str">
        <f t="shared" si="1"/>
        <v>genre,</v>
      </c>
      <c r="I520" s="50"/>
      <c r="J520" s="50" t="s">
        <v>1789</v>
      </c>
      <c r="K520" s="50" t="s">
        <v>1502</v>
      </c>
      <c r="L520" s="49" t="str">
        <f>IFERROR(__xludf.DUMMYFUNCTION("""COMPUTED_VALUE"""),"dad")</f>
        <v>dad</v>
      </c>
      <c r="M520" s="49"/>
      <c r="N520" s="49" t="str">
        <f>IFERROR(__xludf.DUMMYFUNCTION("""COMPUTED_VALUE"""),"constantly")</f>
        <v>constantly</v>
      </c>
      <c r="O520" s="49" t="str">
        <f>IFERROR(__xludf.DUMMYFUNCTION("""COMPUTED_VALUE"""),"motives")</f>
        <v>motives</v>
      </c>
      <c r="P520" s="49" t="str">
        <f t="shared" si="2"/>
        <v>done,</v>
      </c>
      <c r="Q520" s="49"/>
      <c r="R520" s="50" t="s">
        <v>6379</v>
      </c>
      <c r="S520" s="55" t="s">
        <v>1248</v>
      </c>
      <c r="T520" s="49" t="str">
        <f>IFERROR(__xludf.DUMMYFUNCTION("""COMPUTED_VALUE"""),"able")</f>
        <v>able</v>
      </c>
      <c r="U520" s="49"/>
      <c r="V520" s="49" t="str">
        <f>IFERROR(__xludf.DUMMYFUNCTION("""COMPUTED_VALUE"""),"reminder")</f>
        <v>reminder</v>
      </c>
      <c r="W520" s="49" t="str">
        <f>IFERROR(__xludf.DUMMYFUNCTION("""COMPUTED_VALUE"""),"bollywood")</f>
        <v>bollywood</v>
      </c>
      <c r="X520" s="49" t="str">
        <f t="shared" si="3"/>
        <v>chicago,</v>
      </c>
      <c r="Y520" s="49"/>
      <c r="Z520" s="1" t="s">
        <v>2030</v>
      </c>
      <c r="AA520" s="1" t="s">
        <v>1789</v>
      </c>
      <c r="AB520" s="49" t="str">
        <f>IFERROR(__xludf.DUMMYFUNCTION("""COMPUTED_VALUE"""),"superficial")</f>
        <v>superficial</v>
      </c>
      <c r="AC520" s="49"/>
      <c r="AD520" s="49" t="str">
        <f>IFERROR(__xludf.DUMMYFUNCTION("""COMPUTED_VALUE"""),"constantly")</f>
        <v>constantly</v>
      </c>
      <c r="AE520" s="49" t="str">
        <f>IFERROR(__xludf.DUMMYFUNCTION("""COMPUTED_VALUE"""),"motives")</f>
        <v>motives</v>
      </c>
      <c r="AF520" s="49" t="str">
        <f t="shared" si="4"/>
        <v>showing,</v>
      </c>
      <c r="AG520" s="49"/>
      <c r="AH520" s="1" t="s">
        <v>3554</v>
      </c>
      <c r="AI520" s="1" t="s">
        <v>6332</v>
      </c>
      <c r="AJ520" s="6" t="str">
        <f>IFERROR(__xludf.DUMMYFUNCTION("""COMPUTED_VALUE"""),"my")</f>
        <v>my</v>
      </c>
      <c r="AK520" s="49"/>
      <c r="AL520" s="49"/>
      <c r="AM520" s="49"/>
      <c r="AN520" s="52" t="str">
        <f t="shared" si="5"/>
        <v>likes,</v>
      </c>
    </row>
    <row r="521">
      <c r="A521" s="51"/>
      <c r="B521" s="50" t="s">
        <v>4283</v>
      </c>
      <c r="C521" s="50" t="s">
        <v>1188</v>
      </c>
      <c r="D521" s="49" t="str">
        <f>IFERROR(__xludf.DUMMYFUNCTION("""COMPUTED_VALUE"""),"respect")</f>
        <v>respect</v>
      </c>
      <c r="E521" s="49"/>
      <c r="F521" s="49"/>
      <c r="G521" s="49"/>
      <c r="H521" s="54" t="str">
        <f t="shared" si="1"/>
        <v>serial,</v>
      </c>
      <c r="I521" s="50"/>
      <c r="J521" s="50" t="s">
        <v>6626</v>
      </c>
      <c r="K521" s="50" t="s">
        <v>2593</v>
      </c>
      <c r="L521" s="49" t="str">
        <f>IFERROR(__xludf.DUMMYFUNCTION("""COMPUTED_VALUE"""),"fingered")</f>
        <v>fingered</v>
      </c>
      <c r="M521" s="49"/>
      <c r="N521" s="49" t="str">
        <f>IFERROR(__xludf.DUMMYFUNCTION("""COMPUTED_VALUE"""),"mouthed")</f>
        <v>mouthed</v>
      </c>
      <c r="O521" s="49" t="str">
        <f>IFERROR(__xludf.DUMMYFUNCTION("""COMPUTED_VALUE"""),"substance")</f>
        <v>substance</v>
      </c>
      <c r="P521" s="49" t="str">
        <f t="shared" si="2"/>
        <v>&amp;,</v>
      </c>
      <c r="Q521" s="49"/>
      <c r="R521" s="50" t="s">
        <v>3326</v>
      </c>
      <c r="S521" s="55" t="s">
        <v>2281</v>
      </c>
      <c r="T521" s="49" t="str">
        <f>IFERROR(__xludf.DUMMYFUNCTION("""COMPUTED_VALUE"""),"below")</f>
        <v>below</v>
      </c>
      <c r="U521" s="49"/>
      <c r="V521" s="49" t="str">
        <f>IFERROR(__xludf.DUMMYFUNCTION("""COMPUTED_VALUE"""),"instrument")</f>
        <v>instrument</v>
      </c>
      <c r="W521" s="49" t="str">
        <f>IFERROR(__xludf.DUMMYFUNCTION("""COMPUTED_VALUE"""),"profoundly")</f>
        <v>profoundly</v>
      </c>
      <c r="X521" s="49" t="str">
        <f t="shared" si="3"/>
        <v>stick,</v>
      </c>
      <c r="Y521" s="49"/>
      <c r="Z521" s="1" t="s">
        <v>6579</v>
      </c>
      <c r="AA521" s="1" t="s">
        <v>2590</v>
      </c>
      <c r="AB521" s="49" t="str">
        <f>IFERROR(__xludf.DUMMYFUNCTION("""COMPUTED_VALUE"""),"makeup")</f>
        <v>makeup</v>
      </c>
      <c r="AC521" s="49"/>
      <c r="AD521" s="49" t="str">
        <f>IFERROR(__xludf.DUMMYFUNCTION("""COMPUTED_VALUE"""),"mouthed")</f>
        <v>mouthed</v>
      </c>
      <c r="AE521" s="49" t="str">
        <f>IFERROR(__xludf.DUMMYFUNCTION("""COMPUTED_VALUE"""),"substance")</f>
        <v>substance</v>
      </c>
      <c r="AF521" s="49" t="str">
        <f t="shared" si="4"/>
        <v>telling,</v>
      </c>
      <c r="AG521" s="49"/>
      <c r="AH521" s="1" t="s">
        <v>6363</v>
      </c>
      <c r="AI521" s="1" t="s">
        <v>2093</v>
      </c>
      <c r="AJ521" s="6" t="str">
        <f>IFERROR(__xludf.DUMMYFUNCTION("""COMPUTED_VALUE"""),"during")</f>
        <v>during</v>
      </c>
      <c r="AK521" s="49"/>
      <c r="AL521" s="49"/>
      <c r="AM521" s="49"/>
      <c r="AN521" s="52" t="str">
        <f t="shared" si="5"/>
        <v>my,</v>
      </c>
    </row>
    <row r="522">
      <c r="A522" s="51"/>
      <c r="B522" s="50" t="s">
        <v>5914</v>
      </c>
      <c r="C522" s="50" t="s">
        <v>1088</v>
      </c>
      <c r="D522" s="49" t="str">
        <f>IFERROR(__xludf.DUMMYFUNCTION("""COMPUTED_VALUE"""),"waiting")</f>
        <v>waiting</v>
      </c>
      <c r="E522" s="49"/>
      <c r="F522" s="49"/>
      <c r="G522" s="49"/>
      <c r="H522" s="54" t="str">
        <f t="shared" si="1"/>
        <v>awake,</v>
      </c>
      <c r="I522" s="50"/>
      <c r="J522" s="50" t="s">
        <v>6433</v>
      </c>
      <c r="K522" s="50" t="s">
        <v>1509</v>
      </c>
      <c r="L522" s="49" t="str">
        <f>IFERROR(__xludf.DUMMYFUNCTION("""COMPUTED_VALUE"""),"freddy")</f>
        <v>freddy</v>
      </c>
      <c r="M522" s="49"/>
      <c r="N522" s="49" t="str">
        <f>IFERROR(__xludf.DUMMYFUNCTION("""COMPUTED_VALUE"""),"search")</f>
        <v>search</v>
      </c>
      <c r="O522" s="49" t="str">
        <f>IFERROR(__xludf.DUMMYFUNCTION("""COMPUTED_VALUE"""),"drains")</f>
        <v>drains</v>
      </c>
      <c r="P522" s="49" t="str">
        <f t="shared" si="2"/>
        <v>u,</v>
      </c>
      <c r="Q522" s="49"/>
      <c r="R522" s="50" t="s">
        <v>5135</v>
      </c>
      <c r="S522" s="55" t="s">
        <v>2285</v>
      </c>
      <c r="T522" s="49" t="str">
        <f>IFERROR(__xludf.DUMMYFUNCTION("""COMPUTED_VALUE"""),"slightly")</f>
        <v>slightly</v>
      </c>
      <c r="U522" s="49"/>
      <c r="V522" s="49" t="str">
        <f>IFERROR(__xludf.DUMMYFUNCTION("""COMPUTED_VALUE"""),"showcases")</f>
        <v>showcases</v>
      </c>
      <c r="W522" s="49" t="str">
        <f>IFERROR(__xludf.DUMMYFUNCTION("""COMPUTED_VALUE"""),"brilliance")</f>
        <v>brilliance</v>
      </c>
      <c r="X522" s="49" t="str">
        <f t="shared" si="3"/>
        <v>singer,</v>
      </c>
      <c r="Y522" s="49"/>
      <c r="Z522" s="1" t="s">
        <v>2765</v>
      </c>
      <c r="AA522" s="1" t="s">
        <v>2338</v>
      </c>
      <c r="AB522" s="49" t="str">
        <f>IFERROR(__xludf.DUMMYFUNCTION("""COMPUTED_VALUE"""),"struggling")</f>
        <v>struggling</v>
      </c>
      <c r="AC522" s="49"/>
      <c r="AD522" s="49" t="str">
        <f>IFERROR(__xludf.DUMMYFUNCTION("""COMPUTED_VALUE"""),"search")</f>
        <v>search</v>
      </c>
      <c r="AE522" s="49" t="str">
        <f>IFERROR(__xludf.DUMMYFUNCTION("""COMPUTED_VALUE"""),"drains")</f>
        <v>drains</v>
      </c>
      <c r="AF522" s="49" t="str">
        <f t="shared" si="4"/>
        <v>darkness,</v>
      </c>
      <c r="AG522" s="49"/>
      <c r="AH522" s="1" t="s">
        <v>2027</v>
      </c>
      <c r="AI522" s="1" t="s">
        <v>990</v>
      </c>
      <c r="AJ522" s="6" t="str">
        <f>IFERROR(__xludf.DUMMYFUNCTION("""COMPUTED_VALUE"""),"any")</f>
        <v>any</v>
      </c>
      <c r="AK522" s="49"/>
      <c r="AL522" s="49"/>
      <c r="AM522" s="49"/>
      <c r="AN522" s="52" t="str">
        <f t="shared" si="5"/>
        <v>during,</v>
      </c>
    </row>
    <row r="523">
      <c r="A523" s="51"/>
      <c r="B523" s="50" t="s">
        <v>342</v>
      </c>
      <c r="C523" s="50" t="s">
        <v>884</v>
      </c>
      <c r="D523" s="49" t="str">
        <f>IFERROR(__xludf.DUMMYFUNCTION("""COMPUTED_VALUE"""),"showing")</f>
        <v>showing</v>
      </c>
      <c r="E523" s="49"/>
      <c r="F523" s="49"/>
      <c r="G523" s="49"/>
      <c r="H523" s="54" t="str">
        <f t="shared" si="1"/>
        <v>found,</v>
      </c>
      <c r="I523" s="50"/>
      <c r="J523" s="50" t="s">
        <v>1776</v>
      </c>
      <c r="K523" s="50" t="s">
        <v>2599</v>
      </c>
      <c r="L523" s="49" t="str">
        <f>IFERROR(__xludf.DUMMYFUNCTION("""COMPUTED_VALUE"""),"public")</f>
        <v>public</v>
      </c>
      <c r="M523" s="49"/>
      <c r="N523" s="49" t="str">
        <f>IFERROR(__xludf.DUMMYFUNCTION("""COMPUTED_VALUE"""),"gold")</f>
        <v>gold</v>
      </c>
      <c r="O523" s="49" t="str">
        <f>IFERROR(__xludf.DUMMYFUNCTION("""COMPUTED_VALUE"""),"smoking")</f>
        <v>smoking</v>
      </c>
      <c r="P523" s="49" t="str">
        <f t="shared" si="2"/>
        <v>british,</v>
      </c>
      <c r="Q523" s="49"/>
      <c r="R523" s="50" t="s">
        <v>6745</v>
      </c>
      <c r="S523" s="55" t="s">
        <v>2062</v>
      </c>
      <c r="T523" s="49" t="str">
        <f>IFERROR(__xludf.DUMMYFUNCTION("""COMPUTED_VALUE"""),"weaknesses")</f>
        <v>weaknesses</v>
      </c>
      <c r="U523" s="49"/>
      <c r="V523" s="49" t="str">
        <f>IFERROR(__xludf.DUMMYFUNCTION("""COMPUTED_VALUE"""),"sting")</f>
        <v>sting</v>
      </c>
      <c r="W523" s="49" t="str">
        <f>IFERROR(__xludf.DUMMYFUNCTION("""COMPUTED_VALUE"""),"sloppy")</f>
        <v>sloppy</v>
      </c>
      <c r="X523" s="49" t="str">
        <f t="shared" si="3"/>
        <v>average,</v>
      </c>
      <c r="Y523" s="49"/>
      <c r="Z523" s="1" t="s">
        <v>2594</v>
      </c>
      <c r="AA523" s="1" t="s">
        <v>2596</v>
      </c>
      <c r="AB523" s="49" t="str">
        <f>IFERROR(__xludf.DUMMYFUNCTION("""COMPUTED_VALUE"""),"credits")</f>
        <v>credits</v>
      </c>
      <c r="AC523" s="49"/>
      <c r="AD523" s="49" t="str">
        <f>IFERROR(__xludf.DUMMYFUNCTION("""COMPUTED_VALUE"""),"gold")</f>
        <v>gold</v>
      </c>
      <c r="AE523" s="49" t="str">
        <f>IFERROR(__xludf.DUMMYFUNCTION("""COMPUTED_VALUE"""),"smoking")</f>
        <v>smoking</v>
      </c>
      <c r="AF523" s="49" t="str">
        <f t="shared" si="4"/>
        <v>monster,</v>
      </c>
      <c r="AG523" s="49"/>
      <c r="AH523" s="1" t="s">
        <v>694</v>
      </c>
      <c r="AI523" s="1" t="s">
        <v>1126</v>
      </c>
      <c r="AJ523" s="6" t="str">
        <f>IFERROR(__xludf.DUMMYFUNCTION("""COMPUTED_VALUE"""),"great")</f>
        <v>great</v>
      </c>
      <c r="AK523" s="49"/>
      <c r="AL523" s="49"/>
      <c r="AM523" s="49"/>
      <c r="AN523" s="52" t="str">
        <f t="shared" si="5"/>
        <v>any,</v>
      </c>
    </row>
    <row r="524">
      <c r="A524" s="51"/>
      <c r="B524" s="50" t="s">
        <v>683</v>
      </c>
      <c r="C524" s="50" t="s">
        <v>1993</v>
      </c>
      <c r="D524" s="49" t="str">
        <f>IFERROR(__xludf.DUMMYFUNCTION("""COMPUTED_VALUE"""),"emotions")</f>
        <v>emotions</v>
      </c>
      <c r="E524" s="49"/>
      <c r="F524" s="49"/>
      <c r="G524" s="49"/>
      <c r="H524" s="54" t="str">
        <f t="shared" si="1"/>
        <v>think,</v>
      </c>
      <c r="I524" s="50"/>
      <c r="J524" s="50" t="s">
        <v>2796</v>
      </c>
      <c r="K524" s="50" t="s">
        <v>1329</v>
      </c>
      <c r="L524" s="49" t="str">
        <f>IFERROR(__xludf.DUMMYFUNCTION("""COMPUTED_VALUE"""),"thick")</f>
        <v>thick</v>
      </c>
      <c r="M524" s="49"/>
      <c r="N524" s="49" t="str">
        <f>IFERROR(__xludf.DUMMYFUNCTION("""COMPUTED_VALUE"""),"surprisingly")</f>
        <v>surprisingly</v>
      </c>
      <c r="O524" s="49" t="str">
        <f>IFERROR(__xludf.DUMMYFUNCTION("""COMPUTED_VALUE"""),"professor")</f>
        <v>professor</v>
      </c>
      <c r="P524" s="49" t="str">
        <f t="shared" si="2"/>
        <v>visually,</v>
      </c>
      <c r="Q524" s="49"/>
      <c r="R524" s="50" t="s">
        <v>3735</v>
      </c>
      <c r="S524" s="55" t="s">
        <v>1138</v>
      </c>
      <c r="T524" s="49" t="str">
        <f>IFERROR(__xludf.DUMMYFUNCTION("""COMPUTED_VALUE"""),"famous")</f>
        <v>famous</v>
      </c>
      <c r="U524" s="49"/>
      <c r="V524" s="49" t="str">
        <f>IFERROR(__xludf.DUMMYFUNCTION("""COMPUTED_VALUE"""),"areas")</f>
        <v>areas</v>
      </c>
      <c r="W524" s="49" t="str">
        <f>IFERROR(__xludf.DUMMYFUNCTION("""COMPUTED_VALUE"""),"lopez")</f>
        <v>lopez</v>
      </c>
      <c r="X524" s="49" t="str">
        <f t="shared" si="3"/>
        <v>wasting,</v>
      </c>
      <c r="Y524" s="49"/>
      <c r="Z524" s="1" t="s">
        <v>6290</v>
      </c>
      <c r="AA524" s="1" t="s">
        <v>735</v>
      </c>
      <c r="AB524" s="49" t="str">
        <f>IFERROR(__xludf.DUMMYFUNCTION("""COMPUTED_VALUE"""),"lavish")</f>
        <v>lavish</v>
      </c>
      <c r="AC524" s="49"/>
      <c r="AD524" s="49" t="str">
        <f>IFERROR(__xludf.DUMMYFUNCTION("""COMPUTED_VALUE"""),"surprisingly")</f>
        <v>surprisingly</v>
      </c>
      <c r="AE524" s="49" t="str">
        <f>IFERROR(__xludf.DUMMYFUNCTION("""COMPUTED_VALUE"""),"professor")</f>
        <v>professor</v>
      </c>
      <c r="AF524" s="49" t="str">
        <f t="shared" si="4"/>
        <v>classic,</v>
      </c>
      <c r="AG524" s="49"/>
      <c r="AH524" s="1" t="s">
        <v>422</v>
      </c>
      <c r="AI524" s="1" t="s">
        <v>1072</v>
      </c>
      <c r="AJ524" s="6" t="str">
        <f>IFERROR(__xludf.DUMMYFUNCTION("""COMPUTED_VALUE"""),"turned")</f>
        <v>turned</v>
      </c>
      <c r="AK524" s="49"/>
      <c r="AL524" s="49"/>
      <c r="AM524" s="49"/>
      <c r="AN524" s="52" t="str">
        <f t="shared" si="5"/>
        <v>great,</v>
      </c>
    </row>
    <row r="525">
      <c r="A525" s="51"/>
      <c r="B525" s="50" t="s">
        <v>785</v>
      </c>
      <c r="C525" s="50" t="s">
        <v>1209</v>
      </c>
      <c r="D525" s="49" t="str">
        <f>IFERROR(__xludf.DUMMYFUNCTION("""COMPUTED_VALUE"""),"honest")</f>
        <v>honest</v>
      </c>
      <c r="E525" s="49"/>
      <c r="F525" s="49"/>
      <c r="G525" s="49"/>
      <c r="H525" s="54" t="str">
        <f t="shared" si="1"/>
        <v>saw,</v>
      </c>
      <c r="I525" s="50"/>
      <c r="J525" s="50" t="s">
        <v>218</v>
      </c>
      <c r="K525" s="50" t="s">
        <v>697</v>
      </c>
      <c r="L525" s="49" t="str">
        <f>IFERROR(__xludf.DUMMYFUNCTION("""COMPUTED_VALUE"""),"strength")</f>
        <v>strength</v>
      </c>
      <c r="M525" s="49"/>
      <c r="N525" s="49" t="str">
        <f>IFERROR(__xludf.DUMMYFUNCTION("""COMPUTED_VALUE"""),"consistently")</f>
        <v>consistently</v>
      </c>
      <c r="O525" s="49" t="str">
        <f>IFERROR(__xludf.DUMMYFUNCTION("""COMPUTED_VALUE"""),"magnetic")</f>
        <v>magnetic</v>
      </c>
      <c r="P525" s="49" t="str">
        <f t="shared" si="2"/>
        <v>cinema,</v>
      </c>
      <c r="Q525" s="49"/>
      <c r="R525" s="50" t="s">
        <v>1750</v>
      </c>
      <c r="S525" s="55" t="s">
        <v>449</v>
      </c>
      <c r="T525" s="49" t="str">
        <f>IFERROR(__xludf.DUMMYFUNCTION("""COMPUTED_VALUE"""),"weak")</f>
        <v>weak</v>
      </c>
      <c r="U525" s="49"/>
      <c r="V525" s="49" t="str">
        <f>IFERROR(__xludf.DUMMYFUNCTION("""COMPUTED_VALUE"""),"arrow")</f>
        <v>arrow</v>
      </c>
      <c r="W525" s="49" t="str">
        <f>IFERROR(__xludf.DUMMYFUNCTION("""COMPUTED_VALUE"""),"quiet")</f>
        <v>quiet</v>
      </c>
      <c r="X525" s="49" t="str">
        <f t="shared" si="3"/>
        <v>final,</v>
      </c>
      <c r="Y525" s="49"/>
      <c r="Z525" s="1" t="s">
        <v>6602</v>
      </c>
      <c r="AA525" s="1" t="s">
        <v>2603</v>
      </c>
      <c r="AB525" s="49" t="str">
        <f>IFERROR(__xludf.DUMMYFUNCTION("""COMPUTED_VALUE"""),"surprising")</f>
        <v>surprising</v>
      </c>
      <c r="AC525" s="49"/>
      <c r="AD525" s="49" t="str">
        <f>IFERROR(__xludf.DUMMYFUNCTION("""COMPUTED_VALUE"""),"consistently")</f>
        <v>consistently</v>
      </c>
      <c r="AE525" s="49" t="str">
        <f>IFERROR(__xludf.DUMMYFUNCTION("""COMPUTED_VALUE"""),"magnetic")</f>
        <v>magnetic</v>
      </c>
      <c r="AF525" s="49" t="str">
        <f t="shared" si="4"/>
        <v>boys,</v>
      </c>
      <c r="AG525" s="49"/>
      <c r="AH525" s="1" t="s">
        <v>892</v>
      </c>
      <c r="AI525" s="1" t="s">
        <v>2095</v>
      </c>
      <c r="AJ525" s="6" t="str">
        <f>IFERROR(__xludf.DUMMYFUNCTION("""COMPUTED_VALUE"""),"hands")</f>
        <v>hands</v>
      </c>
      <c r="AK525" s="49"/>
      <c r="AL525" s="49"/>
      <c r="AM525" s="49"/>
      <c r="AN525" s="52" t="str">
        <f t="shared" si="5"/>
        <v>turned,</v>
      </c>
    </row>
    <row r="526">
      <c r="A526" s="51"/>
      <c r="B526" s="50" t="s">
        <v>330</v>
      </c>
      <c r="C526" s="50" t="s">
        <v>6340</v>
      </c>
      <c r="D526" s="49" t="str">
        <f>IFERROR(__xludf.DUMMYFUNCTION("""COMPUTED_VALUE"""),"london")</f>
        <v>london</v>
      </c>
      <c r="E526" s="49"/>
      <c r="F526" s="49"/>
      <c r="G526" s="49"/>
      <c r="H526" s="54" t="str">
        <f t="shared" si="1"/>
        <v>already,</v>
      </c>
      <c r="I526" s="50"/>
      <c r="J526" s="50" t="s">
        <v>3459</v>
      </c>
      <c r="K526" s="50" t="s">
        <v>546</v>
      </c>
      <c r="L526" s="49" t="str">
        <f>IFERROR(__xludf.DUMMYFUNCTION("""COMPUTED_VALUE"""),"host")</f>
        <v>host</v>
      </c>
      <c r="M526" s="49"/>
      <c r="N526" s="49" t="str">
        <f>IFERROR(__xludf.DUMMYFUNCTION("""COMPUTED_VALUE"""),"jokes")</f>
        <v>jokes</v>
      </c>
      <c r="O526" s="49" t="str">
        <f>IFERROR(__xludf.DUMMYFUNCTION("""COMPUTED_VALUE"""),"honor")</f>
        <v>honor</v>
      </c>
      <c r="P526" s="49" t="str">
        <f t="shared" si="2"/>
        <v>corrupt,</v>
      </c>
      <c r="Q526" s="49"/>
      <c r="R526" s="50" t="s">
        <v>4145</v>
      </c>
      <c r="S526" s="55" t="s">
        <v>1256</v>
      </c>
      <c r="T526" s="49" t="str">
        <f>IFERROR(__xludf.DUMMYFUNCTION("""COMPUTED_VALUE"""),"difference")</f>
        <v>difference</v>
      </c>
      <c r="U526" s="49"/>
      <c r="V526" s="49" t="str">
        <f>IFERROR(__xludf.DUMMYFUNCTION("""COMPUTED_VALUE"""),"improvement")</f>
        <v>improvement</v>
      </c>
      <c r="W526" s="49" t="str">
        <f>IFERROR(__xludf.DUMMYFUNCTION("""COMPUTED_VALUE"""),"rae")</f>
        <v>rae</v>
      </c>
      <c r="X526" s="49" t="str">
        <f t="shared" si="3"/>
        <v>critics,</v>
      </c>
      <c r="Y526" s="49"/>
      <c r="Z526" s="1" t="s">
        <v>2276</v>
      </c>
      <c r="AA526" s="1" t="s">
        <v>384</v>
      </c>
      <c r="AB526" s="49" t="str">
        <f>IFERROR(__xludf.DUMMYFUNCTION("""COMPUTED_VALUE"""),"fantasy")</f>
        <v>fantasy</v>
      </c>
      <c r="AC526" s="49"/>
      <c r="AD526" s="49" t="str">
        <f>IFERROR(__xludf.DUMMYFUNCTION("""COMPUTED_VALUE"""),"jokes")</f>
        <v>jokes</v>
      </c>
      <c r="AE526" s="49" t="str">
        <f>IFERROR(__xludf.DUMMYFUNCTION("""COMPUTED_VALUE"""),"honor")</f>
        <v>honor</v>
      </c>
      <c r="AF526" s="49" t="str">
        <f t="shared" si="4"/>
        <v>appears,</v>
      </c>
      <c r="AG526" s="49"/>
      <c r="AH526" s="1" t="s">
        <v>761</v>
      </c>
      <c r="AI526" s="1" t="s">
        <v>6313</v>
      </c>
      <c r="AJ526" s="6" t="str">
        <f>IFERROR(__xludf.DUMMYFUNCTION("""COMPUTED_VALUE"""),"ever")</f>
        <v>ever</v>
      </c>
      <c r="AK526" s="49"/>
      <c r="AL526" s="49"/>
      <c r="AM526" s="49"/>
      <c r="AN526" s="52" t="str">
        <f t="shared" si="5"/>
        <v>hands,</v>
      </c>
    </row>
    <row r="527">
      <c r="A527" s="51"/>
      <c r="B527" s="50">
        <v>1998.0</v>
      </c>
      <c r="C527" s="50" t="s">
        <v>6339</v>
      </c>
      <c r="D527" s="49" t="str">
        <f>IFERROR(__xludf.DUMMYFUNCTION("""COMPUTED_VALUE"""),"title")</f>
        <v>title</v>
      </c>
      <c r="E527" s="49"/>
      <c r="F527" s="49"/>
      <c r="G527" s="49"/>
      <c r="H527" s="54" t="str">
        <f t="shared" si="1"/>
        <v>1998,</v>
      </c>
      <c r="I527" s="50"/>
      <c r="J527" s="50" t="s">
        <v>2421</v>
      </c>
      <c r="K527" s="50" t="s">
        <v>38</v>
      </c>
      <c r="L527" s="49" t="str">
        <f>IFERROR(__xludf.DUMMYFUNCTION("""COMPUTED_VALUE"""),"theme")</f>
        <v>theme</v>
      </c>
      <c r="M527" s="49"/>
      <c r="N527" s="49" t="str">
        <f>IFERROR(__xludf.DUMMYFUNCTION("""COMPUTED_VALUE"""),"appreciate")</f>
        <v>appreciate</v>
      </c>
      <c r="O527" s="49" t="str">
        <f>IFERROR(__xludf.DUMMYFUNCTION("""COMPUTED_VALUE"""),"barney")</f>
        <v>barney</v>
      </c>
      <c r="P527" s="49" t="str">
        <f t="shared" si="2"/>
        <v>spell,</v>
      </c>
      <c r="Q527" s="49"/>
      <c r="R527" s="50" t="s">
        <v>3091</v>
      </c>
      <c r="S527" s="55" t="s">
        <v>5384</v>
      </c>
      <c r="T527" s="49" t="str">
        <f>IFERROR(__xludf.DUMMYFUNCTION("""COMPUTED_VALUE"""),"seven")</f>
        <v>seven</v>
      </c>
      <c r="U527" s="49"/>
      <c r="V527" s="49" t="str">
        <f>IFERROR(__xludf.DUMMYFUNCTION("""COMPUTED_VALUE"""),"specifically")</f>
        <v>specifically</v>
      </c>
      <c r="W527" s="49" t="str">
        <f>IFERROR(__xludf.DUMMYFUNCTION("""COMPUTED_VALUE"""),"baffled")</f>
        <v>baffled</v>
      </c>
      <c r="X527" s="49" t="str">
        <f t="shared" si="3"/>
        <v>myself,</v>
      </c>
      <c r="Y527" s="49"/>
      <c r="Z527" s="1" t="s">
        <v>6560</v>
      </c>
      <c r="AA527" s="1" t="s">
        <v>366</v>
      </c>
      <c r="AB527" s="49" t="str">
        <f>IFERROR(__xludf.DUMMYFUNCTION("""COMPUTED_VALUE"""),"conventional")</f>
        <v>conventional</v>
      </c>
      <c r="AC527" s="49"/>
      <c r="AD527" s="49" t="str">
        <f>IFERROR(__xludf.DUMMYFUNCTION("""COMPUTED_VALUE"""),"appreciate")</f>
        <v>appreciate</v>
      </c>
      <c r="AE527" s="49" t="str">
        <f>IFERROR(__xludf.DUMMYFUNCTION("""COMPUTED_VALUE"""),"barney")</f>
        <v>barney</v>
      </c>
      <c r="AF527" s="49" t="str">
        <f t="shared" si="4"/>
        <v>features,</v>
      </c>
      <c r="AG527" s="49"/>
      <c r="AH527" s="1" t="s">
        <v>585</v>
      </c>
      <c r="AI527" s="1" t="s">
        <v>1864</v>
      </c>
      <c r="AJ527" s="6" t="str">
        <f>IFERROR(__xludf.DUMMYFUNCTION("""COMPUTED_VALUE"""),"enough")</f>
        <v>enough</v>
      </c>
      <c r="AK527" s="49"/>
      <c r="AL527" s="49"/>
      <c r="AM527" s="49"/>
      <c r="AN527" s="52" t="str">
        <f t="shared" si="5"/>
        <v>ever,</v>
      </c>
    </row>
    <row r="528">
      <c r="A528" s="51"/>
      <c r="B528" s="50" t="s">
        <v>3743</v>
      </c>
      <c r="C528" s="50" t="s">
        <v>1214</v>
      </c>
      <c r="D528" s="49" t="str">
        <f>IFERROR(__xludf.DUMMYFUNCTION("""COMPUTED_VALUE"""),"thin")</f>
        <v>thin</v>
      </c>
      <c r="E528" s="49"/>
      <c r="F528" s="49"/>
      <c r="G528" s="49"/>
      <c r="H528" s="54" t="str">
        <f t="shared" si="1"/>
        <v>executive,</v>
      </c>
      <c r="I528" s="50"/>
      <c r="J528" s="50" t="s">
        <v>3443</v>
      </c>
      <c r="K528" s="50" t="s">
        <v>567</v>
      </c>
      <c r="L528" s="49" t="str">
        <f>IFERROR(__xludf.DUMMYFUNCTION("""COMPUTED_VALUE"""),"thanks")</f>
        <v>thanks</v>
      </c>
      <c r="M528" s="49"/>
      <c r="N528" s="49" t="str">
        <f>IFERROR(__xludf.DUMMYFUNCTION("""COMPUTED_VALUE"""),"failed")</f>
        <v>failed</v>
      </c>
      <c r="O528" s="49" t="str">
        <f>IFERROR(__xludf.DUMMYFUNCTION("""COMPUTED_VALUE"""),"lunatic")</f>
        <v>lunatic</v>
      </c>
      <c r="P528" s="49" t="str">
        <f t="shared" si="2"/>
        <v>productions,</v>
      </c>
      <c r="Q528" s="49"/>
      <c r="R528" s="50" t="s">
        <v>1291</v>
      </c>
      <c r="S528" s="55" t="s">
        <v>2079</v>
      </c>
      <c r="T528" s="49" t="str">
        <f>IFERROR(__xludf.DUMMYFUNCTION("""COMPUTED_VALUE"""),"over")</f>
        <v>over</v>
      </c>
      <c r="U528" s="49"/>
      <c r="V528" s="49" t="str">
        <f>IFERROR(__xludf.DUMMYFUNCTION("""COMPUTED_VALUE"""),"harsh")</f>
        <v>harsh</v>
      </c>
      <c r="W528" s="49" t="str">
        <f>IFERROR(__xludf.DUMMYFUNCTION("""COMPUTED_VALUE"""),"raphael")</f>
        <v>raphael</v>
      </c>
      <c r="X528" s="49" t="str">
        <f t="shared" si="3"/>
        <v>entertainment,</v>
      </c>
      <c r="Y528" s="49"/>
      <c r="Z528" s="1" t="s">
        <v>6542</v>
      </c>
      <c r="AA528" s="1" t="s">
        <v>2610</v>
      </c>
      <c r="AB528" s="49" t="str">
        <f>IFERROR(__xludf.DUMMYFUNCTION("""COMPUTED_VALUE"""),"feminist")</f>
        <v>feminist</v>
      </c>
      <c r="AC528" s="49"/>
      <c r="AD528" s="49" t="str">
        <f>IFERROR(__xludf.DUMMYFUNCTION("""COMPUTED_VALUE"""),"failed")</f>
        <v>failed</v>
      </c>
      <c r="AE528" s="49" t="str">
        <f>IFERROR(__xludf.DUMMYFUNCTION("""COMPUTED_VALUE"""),"lunatic")</f>
        <v>lunatic</v>
      </c>
      <c r="AF528" s="49" t="str">
        <f t="shared" si="4"/>
        <v>lots,</v>
      </c>
      <c r="AG528" s="49"/>
      <c r="AH528" s="1" t="s">
        <v>996</v>
      </c>
      <c r="AI528" s="1" t="s">
        <v>1015</v>
      </c>
      <c r="AJ528" s="6" t="str">
        <f>IFERROR(__xludf.DUMMYFUNCTION("""COMPUTED_VALUE"""),"player")</f>
        <v>player</v>
      </c>
      <c r="AK528" s="49"/>
      <c r="AL528" s="49"/>
      <c r="AM528" s="49"/>
      <c r="AN528" s="52" t="str">
        <f t="shared" si="5"/>
        <v>enough,</v>
      </c>
    </row>
    <row r="529">
      <c r="A529" s="51"/>
      <c r="B529" s="50" t="s">
        <v>2055</v>
      </c>
      <c r="C529" s="50" t="s">
        <v>760</v>
      </c>
      <c r="D529" s="49" t="str">
        <f>IFERROR(__xludf.DUMMYFUNCTION("""COMPUTED_VALUE"""),"wildlife")</f>
        <v>wildlife</v>
      </c>
      <c r="E529" s="49"/>
      <c r="F529" s="49"/>
      <c r="G529" s="49"/>
      <c r="H529" s="54" t="str">
        <f t="shared" si="1"/>
        <v>supposed,</v>
      </c>
      <c r="I529" s="50"/>
      <c r="J529" s="50" t="s">
        <v>796</v>
      </c>
      <c r="K529" s="50" t="s">
        <v>1535</v>
      </c>
      <c r="L529" s="49" t="str">
        <f>IFERROR(__xludf.DUMMYFUNCTION("""COMPUTED_VALUE"""),"hearts")</f>
        <v>hearts</v>
      </c>
      <c r="M529" s="49"/>
      <c r="N529" s="49" t="str">
        <f>IFERROR(__xludf.DUMMYFUNCTION("""COMPUTED_VALUE"""),"beach")</f>
        <v>beach</v>
      </c>
      <c r="O529" s="49" t="str">
        <f>IFERROR(__xludf.DUMMYFUNCTION("""COMPUTED_VALUE"""),"inherent")</f>
        <v>inherent</v>
      </c>
      <c r="P529" s="49" t="str">
        <f t="shared" si="2"/>
        <v>qualities,</v>
      </c>
      <c r="Q529" s="49"/>
      <c r="R529" s="50" t="s">
        <v>2333</v>
      </c>
      <c r="S529" s="55" t="s">
        <v>1207</v>
      </c>
      <c r="T529" s="49" t="str">
        <f>IFERROR(__xludf.DUMMYFUNCTION("""COMPUTED_VALUE"""),"edge")</f>
        <v>edge</v>
      </c>
      <c r="U529" s="49"/>
      <c r="V529" s="49" t="str">
        <f>IFERROR(__xludf.DUMMYFUNCTION("""COMPUTED_VALUE"""),"prom")</f>
        <v>prom</v>
      </c>
      <c r="W529" s="49" t="str">
        <f>IFERROR(__xludf.DUMMYFUNCTION("""COMPUTED_VALUE"""),"philadelphia")</f>
        <v>philadelphia</v>
      </c>
      <c r="X529" s="49" t="str">
        <f t="shared" si="3"/>
        <v>destination,</v>
      </c>
      <c r="Y529" s="49"/>
      <c r="Z529" s="1" t="s">
        <v>1255</v>
      </c>
      <c r="AA529" s="1" t="s">
        <v>210</v>
      </c>
      <c r="AB529" s="49" t="str">
        <f>IFERROR(__xludf.DUMMYFUNCTION("""COMPUTED_VALUE"""),"ticket")</f>
        <v>ticket</v>
      </c>
      <c r="AC529" s="49"/>
      <c r="AD529" s="49" t="str">
        <f>IFERROR(__xludf.DUMMYFUNCTION("""COMPUTED_VALUE"""),"beach")</f>
        <v>beach</v>
      </c>
      <c r="AE529" s="49" t="str">
        <f>IFERROR(__xludf.DUMMYFUNCTION("""COMPUTED_VALUE"""),"inherent")</f>
        <v>inherent</v>
      </c>
      <c r="AF529" s="49" t="str">
        <f t="shared" si="4"/>
        <v>men,</v>
      </c>
      <c r="AG529" s="49"/>
      <c r="AH529" s="1" t="s">
        <v>3729</v>
      </c>
      <c r="AI529" s="1" t="s">
        <v>946</v>
      </c>
      <c r="AJ529" s="6" t="str">
        <f>IFERROR(__xludf.DUMMYFUNCTION("""COMPUTED_VALUE"""),"feet")</f>
        <v>feet</v>
      </c>
      <c r="AK529" s="49"/>
      <c r="AL529" s="49"/>
      <c r="AM529" s="49"/>
      <c r="AN529" s="52" t="str">
        <f t="shared" si="5"/>
        <v>player,</v>
      </c>
    </row>
    <row r="530">
      <c r="A530" s="51"/>
      <c r="B530" s="50" t="s">
        <v>6431</v>
      </c>
      <c r="C530" s="50" t="s">
        <v>2217</v>
      </c>
      <c r="D530" s="49" t="str">
        <f>IFERROR(__xludf.DUMMYFUNCTION("""COMPUTED_VALUE"""),"spare")</f>
        <v>spare</v>
      </c>
      <c r="E530" s="49"/>
      <c r="F530" s="49"/>
      <c r="G530" s="49"/>
      <c r="H530" s="54" t="str">
        <f t="shared" si="1"/>
        <v>sort,</v>
      </c>
      <c r="I530" s="50"/>
      <c r="J530" s="50" t="s">
        <v>1659</v>
      </c>
      <c r="K530" s="50" t="s">
        <v>2620</v>
      </c>
      <c r="L530" s="49" t="str">
        <f>IFERROR(__xludf.DUMMYFUNCTION("""COMPUTED_VALUE"""),"take")</f>
        <v>take</v>
      </c>
      <c r="M530" s="49"/>
      <c r="N530" s="49" t="str">
        <f>IFERROR(__xludf.DUMMYFUNCTION("""COMPUTED_VALUE"""),"smoothly")</f>
        <v>smoothly</v>
      </c>
      <c r="O530" s="49" t="str">
        <f>IFERROR(__xludf.DUMMYFUNCTION("""COMPUTED_VALUE"""),"redemption")</f>
        <v>redemption</v>
      </c>
      <c r="P530" s="49" t="str">
        <f t="shared" si="2"/>
        <v>king,</v>
      </c>
      <c r="Q530" s="49"/>
      <c r="R530" s="50" t="s">
        <v>6640</v>
      </c>
      <c r="S530" s="55" t="s">
        <v>5125</v>
      </c>
      <c r="T530" s="49" t="str">
        <f>IFERROR(__xludf.DUMMYFUNCTION("""COMPUTED_VALUE"""),"walk")</f>
        <v>walk</v>
      </c>
      <c r="U530" s="49"/>
      <c r="V530" s="49" t="str">
        <f>IFERROR(__xludf.DUMMYFUNCTION("""COMPUTED_VALUE"""),"assembly")</f>
        <v>assembly</v>
      </c>
      <c r="W530" s="49" t="str">
        <f>IFERROR(__xludf.DUMMYFUNCTION("""COMPUTED_VALUE"""),"calm")</f>
        <v>calm</v>
      </c>
      <c r="X530" s="49" t="str">
        <f t="shared" si="3"/>
        <v>comfortable,</v>
      </c>
      <c r="Y530" s="49"/>
      <c r="Z530" s="1" t="s">
        <v>4155</v>
      </c>
      <c r="AA530" s="1" t="s">
        <v>754</v>
      </c>
      <c r="AB530" s="49" t="str">
        <f>IFERROR(__xludf.DUMMYFUNCTION("""COMPUTED_VALUE"""),"popcorn")</f>
        <v>popcorn</v>
      </c>
      <c r="AC530" s="49"/>
      <c r="AD530" s="49" t="str">
        <f>IFERROR(__xludf.DUMMYFUNCTION("""COMPUTED_VALUE"""),"smoothly")</f>
        <v>smoothly</v>
      </c>
      <c r="AE530" s="49" t="str">
        <f>IFERROR(__xludf.DUMMYFUNCTION("""COMPUTED_VALUE"""),"redemption")</f>
        <v>redemption</v>
      </c>
      <c r="AF530" s="49" t="str">
        <f t="shared" si="4"/>
        <v>ones,</v>
      </c>
      <c r="AG530" s="49"/>
      <c r="AH530" s="1" t="s">
        <v>2869</v>
      </c>
      <c r="AI530" s="1" t="s">
        <v>1879</v>
      </c>
      <c r="AJ530" s="6" t="str">
        <f>IFERROR(__xludf.DUMMYFUNCTION("""COMPUTED_VALUE"""),"friend")</f>
        <v>friend</v>
      </c>
      <c r="AK530" s="49"/>
      <c r="AL530" s="49"/>
      <c r="AM530" s="49"/>
      <c r="AN530" s="52" t="str">
        <f t="shared" si="5"/>
        <v>feet,</v>
      </c>
    </row>
    <row r="531">
      <c r="A531" s="51"/>
      <c r="B531" s="50" t="s">
        <v>3504</v>
      </c>
      <c r="C531" s="50" t="s">
        <v>2215</v>
      </c>
      <c r="D531" s="49" t="str">
        <f>IFERROR(__xludf.DUMMYFUNCTION("""COMPUTED_VALUE"""),"photography")</f>
        <v>photography</v>
      </c>
      <c r="E531" s="49"/>
      <c r="F531" s="49"/>
      <c r="G531" s="49"/>
      <c r="H531" s="54" t="str">
        <f t="shared" si="1"/>
        <v>goods,</v>
      </c>
      <c r="I531" s="50"/>
      <c r="J531" s="50" t="s">
        <v>6404</v>
      </c>
      <c r="K531" s="50" t="s">
        <v>1543</v>
      </c>
      <c r="L531" s="49" t="str">
        <f>IFERROR(__xludf.DUMMYFUNCTION("""COMPUTED_VALUE"""),"whether")</f>
        <v>whether</v>
      </c>
      <c r="M531" s="49"/>
      <c r="N531" s="49" t="str">
        <f>IFERROR(__xludf.DUMMYFUNCTION("""COMPUTED_VALUE"""),"bite")</f>
        <v>bite</v>
      </c>
      <c r="O531" s="49" t="str">
        <f>IFERROR(__xludf.DUMMYFUNCTION("""COMPUTED_VALUE"""),"ghosts")</f>
        <v>ghosts</v>
      </c>
      <c r="P531" s="49" t="str">
        <f t="shared" si="2"/>
        <v>ll,</v>
      </c>
      <c r="Q531" s="49"/>
      <c r="R531" s="50" t="s">
        <v>6632</v>
      </c>
      <c r="S531" s="55" t="s">
        <v>3058</v>
      </c>
      <c r="T531" s="49" t="str">
        <f>IFERROR(__xludf.DUMMYFUNCTION("""COMPUTED_VALUE"""),"success")</f>
        <v>success</v>
      </c>
      <c r="U531" s="49"/>
      <c r="V531" s="49" t="str">
        <f>IFERROR(__xludf.DUMMYFUNCTION("""COMPUTED_VALUE"""),"toss")</f>
        <v>toss</v>
      </c>
      <c r="W531" s="49" t="str">
        <f>IFERROR(__xludf.DUMMYFUNCTION("""COMPUTED_VALUE"""),"rises")</f>
        <v>rises</v>
      </c>
      <c r="X531" s="49" t="str">
        <f t="shared" si="3"/>
        <v>likely,</v>
      </c>
      <c r="Y531" s="49"/>
      <c r="Z531" s="1" t="s">
        <v>4582</v>
      </c>
      <c r="AA531" s="1" t="s">
        <v>2621</v>
      </c>
      <c r="AB531" s="49" t="str">
        <f>IFERROR(__xludf.DUMMYFUNCTION("""COMPUTED_VALUE"""),"community")</f>
        <v>community</v>
      </c>
      <c r="AC531" s="49"/>
      <c r="AD531" s="49" t="str">
        <f>IFERROR(__xludf.DUMMYFUNCTION("""COMPUTED_VALUE"""),"bite")</f>
        <v>bite</v>
      </c>
      <c r="AE531" s="49" t="str">
        <f>IFERROR(__xludf.DUMMYFUNCTION("""COMPUTED_VALUE"""),"ghosts")</f>
        <v>ghosts</v>
      </c>
      <c r="AF531" s="49" t="str">
        <f t="shared" si="4"/>
        <v>create,</v>
      </c>
      <c r="AG531" s="49"/>
      <c r="AH531" s="1" t="s">
        <v>2089</v>
      </c>
      <c r="AI531" s="1" t="s">
        <v>1885</v>
      </c>
      <c r="AJ531" s="6" t="str">
        <f>IFERROR(__xludf.DUMMYFUNCTION("""COMPUTED_VALUE"""),"minutes")</f>
        <v>minutes</v>
      </c>
      <c r="AK531" s="49"/>
      <c r="AL531" s="49"/>
      <c r="AM531" s="49"/>
      <c r="AN531" s="52" t="str">
        <f t="shared" si="5"/>
        <v>friend,</v>
      </c>
    </row>
    <row r="532">
      <c r="A532" s="51"/>
      <c r="B532" s="50" t="s">
        <v>164</v>
      </c>
      <c r="C532" s="50" t="s">
        <v>6342</v>
      </c>
      <c r="D532" s="49" t="str">
        <f>IFERROR(__xludf.DUMMYFUNCTION("""COMPUTED_VALUE"""),"understand")</f>
        <v>understand</v>
      </c>
      <c r="E532" s="49"/>
      <c r="F532" s="49"/>
      <c r="G532" s="49"/>
      <c r="H532" s="54" t="str">
        <f t="shared" si="1"/>
        <v>worst,</v>
      </c>
      <c r="I532" s="50"/>
      <c r="J532" s="50" t="s">
        <v>751</v>
      </c>
      <c r="K532" s="50" t="s">
        <v>2303</v>
      </c>
      <c r="L532" s="49" t="str">
        <f>IFERROR(__xludf.DUMMYFUNCTION("""COMPUTED_VALUE"""),"season")</f>
        <v>season</v>
      </c>
      <c r="M532" s="49"/>
      <c r="N532" s="49" t="str">
        <f>IFERROR(__xludf.DUMMYFUNCTION("""COMPUTED_VALUE"""),"range")</f>
        <v>range</v>
      </c>
      <c r="O532" s="49" t="str">
        <f>IFERROR(__xludf.DUMMYFUNCTION("""COMPUTED_VALUE"""),"painted")</f>
        <v>painted</v>
      </c>
      <c r="P532" s="49" t="str">
        <f t="shared" si="2"/>
        <v>hit,</v>
      </c>
      <c r="Q532" s="49"/>
      <c r="R532" s="50" t="s">
        <v>4408</v>
      </c>
      <c r="S532" s="55" t="s">
        <v>1211</v>
      </c>
      <c r="T532" s="49" t="str">
        <f>IFERROR(__xludf.DUMMYFUNCTION("""COMPUTED_VALUE"""),"note")</f>
        <v>note</v>
      </c>
      <c r="U532" s="49"/>
      <c r="V532" s="49" t="str">
        <f>IFERROR(__xludf.DUMMYFUNCTION("""COMPUTED_VALUE"""),"shudder")</f>
        <v>shudder</v>
      </c>
      <c r="W532" s="49" t="str">
        <f>IFERROR(__xludf.DUMMYFUNCTION("""COMPUTED_VALUE"""),"wherein")</f>
        <v>wherein</v>
      </c>
      <c r="X532" s="49" t="str">
        <f t="shared" si="3"/>
        <v>rank,</v>
      </c>
      <c r="Y532" s="49"/>
      <c r="Z532" s="1" t="s">
        <v>3507</v>
      </c>
      <c r="AA532" s="1" t="s">
        <v>374</v>
      </c>
      <c r="AB532" s="49" t="str">
        <f>IFERROR(__xludf.DUMMYFUNCTION("""COMPUTED_VALUE"""),"twist")</f>
        <v>twist</v>
      </c>
      <c r="AC532" s="49"/>
      <c r="AD532" s="49" t="str">
        <f>IFERROR(__xludf.DUMMYFUNCTION("""COMPUTED_VALUE"""),"range")</f>
        <v>range</v>
      </c>
      <c r="AE532" s="49" t="str">
        <f>IFERROR(__xludf.DUMMYFUNCTION("""COMPUTED_VALUE"""),"painted")</f>
        <v>painted</v>
      </c>
      <c r="AF532" s="49" t="str">
        <f t="shared" si="4"/>
        <v>example,</v>
      </c>
      <c r="AG532" s="49"/>
      <c r="AH532" s="1" t="s">
        <v>1257</v>
      </c>
      <c r="AI532" s="1" t="s">
        <v>2378</v>
      </c>
      <c r="AJ532" s="6" t="str">
        <f>IFERROR(__xludf.DUMMYFUNCTION("""COMPUTED_VALUE"""),"grand")</f>
        <v>grand</v>
      </c>
      <c r="AK532" s="49"/>
      <c r="AL532" s="49"/>
      <c r="AM532" s="49"/>
      <c r="AN532" s="52" t="str">
        <f t="shared" si="5"/>
        <v>minutes,</v>
      </c>
    </row>
    <row r="533">
      <c r="A533" s="51"/>
      <c r="B533" s="50" t="s">
        <v>6818</v>
      </c>
      <c r="C533" s="50" t="s">
        <v>2225</v>
      </c>
      <c r="D533" s="49" t="str">
        <f>IFERROR(__xludf.DUMMYFUNCTION("""COMPUTED_VALUE"""),"plain")</f>
        <v>plain</v>
      </c>
      <c r="E533" s="49"/>
      <c r="F533" s="49"/>
      <c r="G533" s="49"/>
      <c r="H533" s="54" t="str">
        <f t="shared" si="1"/>
        <v>rob,</v>
      </c>
      <c r="I533" s="50"/>
      <c r="J533" s="50" t="s">
        <v>2864</v>
      </c>
      <c r="K533" s="50" t="s">
        <v>291</v>
      </c>
      <c r="L533" s="49" t="str">
        <f>IFERROR(__xludf.DUMMYFUNCTION("""COMPUTED_VALUE"""),"competition")</f>
        <v>competition</v>
      </c>
      <c r="M533" s="49"/>
      <c r="N533" s="49" t="str">
        <f>IFERROR(__xludf.DUMMYFUNCTION("""COMPUTED_VALUE"""),"natural")</f>
        <v>natural</v>
      </c>
      <c r="O533" s="49" t="str">
        <f>IFERROR(__xludf.DUMMYFUNCTION("""COMPUTED_VALUE"""),"praises")</f>
        <v>praises</v>
      </c>
      <c r="P533" s="49" t="str">
        <f t="shared" si="2"/>
        <v>brothers,</v>
      </c>
      <c r="Q533" s="49"/>
      <c r="R533" s="50" t="s">
        <v>3986</v>
      </c>
      <c r="S533" s="55" t="s">
        <v>2091</v>
      </c>
      <c r="T533" s="49" t="str">
        <f>IFERROR(__xludf.DUMMYFUNCTION("""COMPUTED_VALUE"""),"small")</f>
        <v>small</v>
      </c>
      <c r="U533" s="49"/>
      <c r="V533" s="49" t="str">
        <f>IFERROR(__xludf.DUMMYFUNCTION("""COMPUTED_VALUE"""),"stores")</f>
        <v>stores</v>
      </c>
      <c r="W533" s="49" t="str">
        <f>IFERROR(__xludf.DUMMYFUNCTION("""COMPUTED_VALUE"""),"justice")</f>
        <v>justice</v>
      </c>
      <c r="X533" s="49" t="str">
        <f t="shared" si="3"/>
        <v>appropriate,</v>
      </c>
      <c r="Y533" s="49"/>
      <c r="Z533" s="1" t="s">
        <v>1879</v>
      </c>
      <c r="AA533" s="1" t="s">
        <v>1856</v>
      </c>
      <c r="AB533" s="49" t="str">
        <f>IFERROR(__xludf.DUMMYFUNCTION("""COMPUTED_VALUE"""),"thrown")</f>
        <v>thrown</v>
      </c>
      <c r="AC533" s="49"/>
      <c r="AD533" s="49" t="str">
        <f>IFERROR(__xludf.DUMMYFUNCTION("""COMPUTED_VALUE"""),"natural")</f>
        <v>natural</v>
      </c>
      <c r="AE533" s="49" t="str">
        <f>IFERROR(__xludf.DUMMYFUNCTION("""COMPUTED_VALUE"""),"praises")</f>
        <v>praises</v>
      </c>
      <c r="AF533" s="49" t="str">
        <f t="shared" si="4"/>
        <v>forces,</v>
      </c>
      <c r="AG533" s="49"/>
      <c r="AH533" s="1" t="s">
        <v>1847</v>
      </c>
      <c r="AI533" s="1" t="s">
        <v>525</v>
      </c>
      <c r="AJ533" s="6" t="str">
        <f>IFERROR(__xludf.DUMMYFUNCTION("""COMPUTED_VALUE"""),"actually")</f>
        <v>actually</v>
      </c>
      <c r="AK533" s="49"/>
      <c r="AL533" s="49"/>
      <c r="AM533" s="49"/>
      <c r="AN533" s="52" t="str">
        <f t="shared" si="5"/>
        <v>grand,</v>
      </c>
    </row>
    <row r="534">
      <c r="A534" s="51"/>
      <c r="B534" s="50" t="s">
        <v>4176</v>
      </c>
      <c r="C534" s="50" t="s">
        <v>936</v>
      </c>
      <c r="D534" s="49" t="str">
        <f>IFERROR(__xludf.DUMMYFUNCTION("""COMPUTED_VALUE"""),"traditionally")</f>
        <v>traditionally</v>
      </c>
      <c r="E534" s="49"/>
      <c r="F534" s="49"/>
      <c r="G534" s="49"/>
      <c r="H534" s="54" t="str">
        <f t="shared" si="1"/>
        <v>figured,</v>
      </c>
      <c r="I534" s="50"/>
      <c r="J534" s="50" t="s">
        <v>4584</v>
      </c>
      <c r="K534" s="50" t="s">
        <v>580</v>
      </c>
      <c r="L534" s="49" t="str">
        <f>IFERROR(__xludf.DUMMYFUNCTION("""COMPUTED_VALUE"""),"dean")</f>
        <v>dean</v>
      </c>
      <c r="M534" s="49"/>
      <c r="N534" s="49" t="str">
        <f>IFERROR(__xludf.DUMMYFUNCTION("""COMPUTED_VALUE"""),"hearted")</f>
        <v>hearted</v>
      </c>
      <c r="O534" s="49" t="str">
        <f>IFERROR(__xludf.DUMMYFUNCTION("""COMPUTED_VALUE"""),"destiny")</f>
        <v>destiny</v>
      </c>
      <c r="P534" s="49" t="str">
        <f t="shared" si="2"/>
        <v>angle,</v>
      </c>
      <c r="Q534" s="49"/>
      <c r="R534" s="50" t="s">
        <v>3882</v>
      </c>
      <c r="S534" s="55" t="s">
        <v>196</v>
      </c>
      <c r="T534" s="49" t="str">
        <f>IFERROR(__xludf.DUMMYFUNCTION("""COMPUTED_VALUE"""),"dim")</f>
        <v>dim</v>
      </c>
      <c r="U534" s="49"/>
      <c r="V534" s="49" t="str">
        <f>IFERROR(__xludf.DUMMYFUNCTION("""COMPUTED_VALUE"""),"smack")</f>
        <v>smack</v>
      </c>
      <c r="W534" s="49" t="str">
        <f>IFERROR(__xludf.DUMMYFUNCTION("""COMPUTED_VALUE"""),"etc")</f>
        <v>etc</v>
      </c>
      <c r="X534" s="49" t="str">
        <f t="shared" si="3"/>
        <v>changes,</v>
      </c>
      <c r="Y534" s="49"/>
      <c r="Z534" s="1" t="s">
        <v>5002</v>
      </c>
      <c r="AA534" s="1" t="s">
        <v>2630</v>
      </c>
      <c r="AB534" s="49" t="str">
        <f>IFERROR(__xludf.DUMMYFUNCTION("""COMPUTED_VALUE"""),"minded")</f>
        <v>minded</v>
      </c>
      <c r="AC534" s="49"/>
      <c r="AD534" s="49" t="str">
        <f>IFERROR(__xludf.DUMMYFUNCTION("""COMPUTED_VALUE"""),"hearted")</f>
        <v>hearted</v>
      </c>
      <c r="AE534" s="49" t="str">
        <f>IFERROR(__xludf.DUMMYFUNCTION("""COMPUTED_VALUE"""),"destiny")</f>
        <v>destiny</v>
      </c>
      <c r="AF534" s="49" t="str">
        <f t="shared" si="4"/>
        <v>chick,</v>
      </c>
      <c r="AG534" s="49"/>
      <c r="AH534" s="1" t="s">
        <v>1181</v>
      </c>
      <c r="AI534" s="1" t="s">
        <v>293</v>
      </c>
      <c r="AJ534" s="6" t="str">
        <f>IFERROR(__xludf.DUMMYFUNCTION("""COMPUTED_VALUE"""),"kill")</f>
        <v>kill</v>
      </c>
      <c r="AK534" s="49"/>
      <c r="AL534" s="49"/>
      <c r="AM534" s="49"/>
      <c r="AN534" s="52" t="str">
        <f t="shared" si="5"/>
        <v>actually,</v>
      </c>
    </row>
    <row r="535">
      <c r="A535" s="51"/>
      <c r="B535" s="50" t="s">
        <v>3402</v>
      </c>
      <c r="C535" s="50" t="s">
        <v>1498</v>
      </c>
      <c r="D535" s="49" t="str">
        <f>IFERROR(__xludf.DUMMYFUNCTION("""COMPUTED_VALUE"""),"different")</f>
        <v>different</v>
      </c>
      <c r="E535" s="49"/>
      <c r="F535" s="49"/>
      <c r="G535" s="49"/>
      <c r="H535" s="54" t="str">
        <f t="shared" si="1"/>
        <v>knock,</v>
      </c>
      <c r="I535" s="50"/>
      <c r="J535" s="50" t="s">
        <v>3843</v>
      </c>
      <c r="K535" s="50" t="s">
        <v>1562</v>
      </c>
      <c r="L535" s="49" t="str">
        <f>IFERROR(__xludf.DUMMYFUNCTION("""COMPUTED_VALUE"""),"welcome")</f>
        <v>welcome</v>
      </c>
      <c r="M535" s="49"/>
      <c r="N535" s="49" t="str">
        <f>IFERROR(__xludf.DUMMYFUNCTION("""COMPUTED_VALUE"""),"theatre")</f>
        <v>theatre</v>
      </c>
      <c r="O535" s="49" t="str">
        <f>IFERROR(__xludf.DUMMYFUNCTION("""COMPUTED_VALUE"""),"message")</f>
        <v>message</v>
      </c>
      <c r="P535" s="49" t="str">
        <f t="shared" si="2"/>
        <v>bet,</v>
      </c>
      <c r="Q535" s="49"/>
      <c r="R535" s="50" t="s">
        <v>3775</v>
      </c>
      <c r="S535" s="55" t="s">
        <v>1162</v>
      </c>
      <c r="T535" s="49" t="str">
        <f>IFERROR(__xludf.DUMMYFUNCTION("""COMPUTED_VALUE"""),"sweet")</f>
        <v>sweet</v>
      </c>
      <c r="U535" s="49"/>
      <c r="V535" s="49" t="str">
        <f>IFERROR(__xludf.DUMMYFUNCTION("""COMPUTED_VALUE"""),"striking")</f>
        <v>striking</v>
      </c>
      <c r="W535" s="49" t="str">
        <f>IFERROR(__xludf.DUMMYFUNCTION("""COMPUTED_VALUE"""),"dawson")</f>
        <v>dawson</v>
      </c>
      <c r="X535" s="49" t="str">
        <f t="shared" si="3"/>
        <v>rain,</v>
      </c>
      <c r="Y535" s="49"/>
      <c r="Z535" s="1" t="s">
        <v>3319</v>
      </c>
      <c r="AA535" s="1" t="s">
        <v>2634</v>
      </c>
      <c r="AB535" s="49" t="str">
        <f>IFERROR(__xludf.DUMMYFUNCTION("""COMPUTED_VALUE"""),"offers")</f>
        <v>offers</v>
      </c>
      <c r="AC535" s="49"/>
      <c r="AD535" s="49" t="str">
        <f>IFERROR(__xludf.DUMMYFUNCTION("""COMPUTED_VALUE"""),"theatre")</f>
        <v>theatre</v>
      </c>
      <c r="AE535" s="49" t="str">
        <f>IFERROR(__xludf.DUMMYFUNCTION("""COMPUTED_VALUE"""),"message")</f>
        <v>message</v>
      </c>
      <c r="AF535" s="49" t="str">
        <f t="shared" si="4"/>
        <v>neil,</v>
      </c>
      <c r="AG535" s="49"/>
      <c r="AH535" s="1" t="s">
        <v>4029</v>
      </c>
      <c r="AI535" s="1" t="s">
        <v>4765</v>
      </c>
      <c r="AJ535" s="6" t="str">
        <f>IFERROR(__xludf.DUMMYFUNCTION("""COMPUTED_VALUE"""),"twenty")</f>
        <v>twenty</v>
      </c>
      <c r="AK535" s="49"/>
      <c r="AL535" s="49"/>
      <c r="AM535" s="49"/>
      <c r="AN535" s="52" t="str">
        <f t="shared" si="5"/>
        <v>kill,</v>
      </c>
    </row>
    <row r="536">
      <c r="A536" s="51"/>
      <c r="B536" s="50" t="s">
        <v>2572</v>
      </c>
      <c r="C536" s="50" t="s">
        <v>1135</v>
      </c>
      <c r="D536" s="49" t="str">
        <f>IFERROR(__xludf.DUMMYFUNCTION("""COMPUTED_VALUE"""),"toward")</f>
        <v>toward</v>
      </c>
      <c r="E536" s="49"/>
      <c r="F536" s="49"/>
      <c r="G536" s="49"/>
      <c r="H536" s="54" t="str">
        <f t="shared" si="1"/>
        <v>cheap,</v>
      </c>
      <c r="I536" s="50"/>
      <c r="J536" s="50" t="s">
        <v>1809</v>
      </c>
      <c r="K536" s="50" t="s">
        <v>1584</v>
      </c>
      <c r="L536" s="49" t="str">
        <f>IFERROR(__xludf.DUMMYFUNCTION("""COMPUTED_VALUE"""),"beginning")</f>
        <v>beginning</v>
      </c>
      <c r="M536" s="49"/>
      <c r="N536" s="49" t="str">
        <f>IFERROR(__xludf.DUMMYFUNCTION("""COMPUTED_VALUE"""),"rotten")</f>
        <v>rotten</v>
      </c>
      <c r="O536" s="49" t="str">
        <f>IFERROR(__xludf.DUMMYFUNCTION("""COMPUTED_VALUE"""),"sociological")</f>
        <v>sociological</v>
      </c>
      <c r="P536" s="49" t="str">
        <f t="shared" si="2"/>
        <v>football,</v>
      </c>
      <c r="Q536" s="49"/>
      <c r="R536" s="50" t="s">
        <v>464</v>
      </c>
      <c r="S536" s="55" t="s">
        <v>457</v>
      </c>
      <c r="T536" s="49" t="str">
        <f>IFERROR(__xludf.DUMMYFUNCTION("""COMPUTED_VALUE"""),"ten")</f>
        <v>ten</v>
      </c>
      <c r="U536" s="49"/>
      <c r="V536" s="49" t="str">
        <f>IFERROR(__xludf.DUMMYFUNCTION("""COMPUTED_VALUE"""),"knee")</f>
        <v>knee</v>
      </c>
      <c r="W536" s="49" t="str">
        <f>IFERROR(__xludf.DUMMYFUNCTION("""COMPUTED_VALUE"""),"portray")</f>
        <v>portray</v>
      </c>
      <c r="X536" s="49" t="str">
        <f t="shared" si="3"/>
        <v>bard,</v>
      </c>
      <c r="Y536" s="49"/>
      <c r="Z536" s="1" t="s">
        <v>3839</v>
      </c>
      <c r="AA536" s="1" t="s">
        <v>772</v>
      </c>
      <c r="AB536" s="49" t="str">
        <f>IFERROR(__xludf.DUMMYFUNCTION("""COMPUTED_VALUE"""),"forgotten")</f>
        <v>forgotten</v>
      </c>
      <c r="AC536" s="49"/>
      <c r="AD536" s="49" t="str">
        <f>IFERROR(__xludf.DUMMYFUNCTION("""COMPUTED_VALUE"""),"rotten")</f>
        <v>rotten</v>
      </c>
      <c r="AE536" s="49" t="str">
        <f>IFERROR(__xludf.DUMMYFUNCTION("""COMPUTED_VALUE"""),"sociological")</f>
        <v>sociological</v>
      </c>
      <c r="AF536" s="49" t="str">
        <f t="shared" si="4"/>
        <v>creepy,</v>
      </c>
      <c r="AG536" s="49"/>
      <c r="AH536" s="1" t="s">
        <v>5358</v>
      </c>
      <c r="AI536" s="1" t="s">
        <v>1110</v>
      </c>
      <c r="AJ536" s="6" t="str">
        <f>IFERROR(__xludf.DUMMYFUNCTION("""COMPUTED_VALUE"""),"quite")</f>
        <v>quite</v>
      </c>
      <c r="AK536" s="49"/>
      <c r="AL536" s="49"/>
      <c r="AM536" s="49"/>
      <c r="AN536" s="52" t="str">
        <f t="shared" si="5"/>
        <v>twenty,</v>
      </c>
    </row>
    <row r="537">
      <c r="A537" s="51"/>
      <c r="B537" s="50" t="s">
        <v>152</v>
      </c>
      <c r="C537" s="50" t="s">
        <v>1221</v>
      </c>
      <c r="D537" s="49" t="str">
        <f>IFERROR(__xludf.DUMMYFUNCTION("""COMPUTED_VALUE"""),"indian")</f>
        <v>indian</v>
      </c>
      <c r="E537" s="49"/>
      <c r="F537" s="49"/>
      <c r="G537" s="49"/>
      <c r="H537" s="54" t="str">
        <f t="shared" si="1"/>
        <v>could,</v>
      </c>
      <c r="I537" s="50"/>
      <c r="J537" s="50" t="s">
        <v>4420</v>
      </c>
      <c r="K537" s="50" t="s">
        <v>2458</v>
      </c>
      <c r="L537" s="49" t="str">
        <f>IFERROR(__xludf.DUMMYFUNCTION("""COMPUTED_VALUE"""),"contenders")</f>
        <v>contenders</v>
      </c>
      <c r="M537" s="49"/>
      <c r="N537" s="49" t="str">
        <f>IFERROR(__xludf.DUMMYFUNCTION("""COMPUTED_VALUE"""),"indication")</f>
        <v>indication</v>
      </c>
      <c r="O537" s="49" t="str">
        <f>IFERROR(__xludf.DUMMYFUNCTION("""COMPUTED_VALUE"""),"commentary")</f>
        <v>commentary</v>
      </c>
      <c r="P537" s="49" t="str">
        <f t="shared" si="2"/>
        <v>pitch,</v>
      </c>
      <c r="Q537" s="49"/>
      <c r="R537" s="50" t="s">
        <v>4672</v>
      </c>
      <c r="S537" s="55" t="s">
        <v>232</v>
      </c>
      <c r="T537" s="49" t="str">
        <f>IFERROR(__xludf.DUMMYFUNCTION("""COMPUTED_VALUE"""),"wearing")</f>
        <v>wearing</v>
      </c>
      <c r="U537" s="49"/>
      <c r="V537" s="49" t="str">
        <f>IFERROR(__xludf.DUMMYFUNCTION("""COMPUTED_VALUE"""),"tap")</f>
        <v>tap</v>
      </c>
      <c r="W537" s="49" t="str">
        <f>IFERROR(__xludf.DUMMYFUNCTION("""COMPUTED_VALUE"""),"forget")</f>
        <v>forget</v>
      </c>
      <c r="X537" s="49" t="str">
        <f t="shared" si="3"/>
        <v>shifted,</v>
      </c>
      <c r="Y537" s="49"/>
      <c r="Z537" s="1" t="s">
        <v>2128</v>
      </c>
      <c r="AA537" s="1" t="s">
        <v>2638</v>
      </c>
      <c r="AB537" s="49" t="str">
        <f>IFERROR(__xludf.DUMMYFUNCTION("""COMPUTED_VALUE"""),"color")</f>
        <v>color</v>
      </c>
      <c r="AC537" s="49"/>
      <c r="AD537" s="49" t="str">
        <f>IFERROR(__xludf.DUMMYFUNCTION("""COMPUTED_VALUE"""),"indication")</f>
        <v>indication</v>
      </c>
      <c r="AE537" s="49" t="str">
        <f>IFERROR(__xludf.DUMMYFUNCTION("""COMPUTED_VALUE"""),"commentary")</f>
        <v>commentary</v>
      </c>
      <c r="AF537" s="49" t="str">
        <f t="shared" si="4"/>
        <v>standards,</v>
      </c>
      <c r="AG537" s="49"/>
      <c r="AH537" s="1" t="s">
        <v>1555</v>
      </c>
      <c r="AI537" s="1" t="s">
        <v>1104</v>
      </c>
      <c r="AJ537" s="6" t="str">
        <f>IFERROR(__xludf.DUMMYFUNCTION("""COMPUTED_VALUE"""),"basketball")</f>
        <v>basketball</v>
      </c>
      <c r="AK537" s="49"/>
      <c r="AL537" s="49"/>
      <c r="AM537" s="49"/>
      <c r="AN537" s="52" t="str">
        <f t="shared" si="5"/>
        <v>quite,</v>
      </c>
    </row>
    <row r="538">
      <c r="A538" s="51"/>
      <c r="B538" s="50" t="s">
        <v>4040</v>
      </c>
      <c r="C538" s="50" t="s">
        <v>1141</v>
      </c>
      <c r="D538" s="49" t="str">
        <f>IFERROR(__xludf.DUMMYFUNCTION("""COMPUTED_VALUE"""),"idea")</f>
        <v>idea</v>
      </c>
      <c r="E538" s="49"/>
      <c r="F538" s="49"/>
      <c r="G538" s="49"/>
      <c r="H538" s="54" t="str">
        <f t="shared" si="1"/>
        <v>gives,</v>
      </c>
      <c r="I538" s="50"/>
      <c r="J538" s="50" t="s">
        <v>490</v>
      </c>
      <c r="K538" s="50" t="s">
        <v>1330</v>
      </c>
      <c r="L538" s="49" t="str">
        <f>IFERROR(__xludf.DUMMYFUNCTION("""COMPUTED_VALUE"""),"dog")</f>
        <v>dog</v>
      </c>
      <c r="M538" s="49"/>
      <c r="N538" s="49" t="str">
        <f>IFERROR(__xludf.DUMMYFUNCTION("""COMPUTED_VALUE"""),"las")</f>
        <v>las</v>
      </c>
      <c r="O538" s="49" t="str">
        <f>IFERROR(__xludf.DUMMYFUNCTION("""COMPUTED_VALUE"""),"mckay")</f>
        <v>mckay</v>
      </c>
      <c r="P538" s="49" t="str">
        <f t="shared" si="2"/>
        <v>comedic,</v>
      </c>
      <c r="Q538" s="49"/>
      <c r="R538" s="50" t="s">
        <v>1560</v>
      </c>
      <c r="S538" s="55" t="s">
        <v>1275</v>
      </c>
      <c r="T538" s="49" t="str">
        <f>IFERROR(__xludf.DUMMYFUNCTION("""COMPUTED_VALUE"""),"em")</f>
        <v>em</v>
      </c>
      <c r="U538" s="49"/>
      <c r="V538" s="49" t="str">
        <f>IFERROR(__xludf.DUMMYFUNCTION("""COMPUTED_VALUE"""),"mouth")</f>
        <v>mouth</v>
      </c>
      <c r="W538" s="49" t="str">
        <f>IFERROR(__xludf.DUMMYFUNCTION("""COMPUTED_VALUE"""),"responsibilities")</f>
        <v>responsibilities</v>
      </c>
      <c r="X538" s="49" t="str">
        <f t="shared" si="3"/>
        <v>bore,</v>
      </c>
      <c r="Y538" s="49"/>
      <c r="Z538" s="1" t="s">
        <v>3761</v>
      </c>
      <c r="AA538" s="1" t="s">
        <v>1871</v>
      </c>
      <c r="AB538" s="49" t="str">
        <f>IFERROR(__xludf.DUMMYFUNCTION("""COMPUTED_VALUE"""),"viewers")</f>
        <v>viewers</v>
      </c>
      <c r="AC538" s="49"/>
      <c r="AD538" s="49" t="str">
        <f>IFERROR(__xludf.DUMMYFUNCTION("""COMPUTED_VALUE"""),"las")</f>
        <v>las</v>
      </c>
      <c r="AE538" s="49" t="str">
        <f>IFERROR(__xludf.DUMMYFUNCTION("""COMPUTED_VALUE"""),"mckay")</f>
        <v>mckay</v>
      </c>
      <c r="AF538" s="49" t="str">
        <f t="shared" si="4"/>
        <v>deaths,</v>
      </c>
      <c r="AG538" s="49"/>
      <c r="AH538" s="1" t="s">
        <v>4824</v>
      </c>
      <c r="AI538" s="1" t="s">
        <v>625</v>
      </c>
      <c r="AJ538" s="6" t="str">
        <f>IFERROR(__xludf.DUMMYFUNCTION("""COMPUTED_VALUE"""),"larger")</f>
        <v>larger</v>
      </c>
      <c r="AK538" s="49"/>
      <c r="AL538" s="49"/>
      <c r="AM538" s="49"/>
      <c r="AN538" s="52" t="str">
        <f t="shared" si="5"/>
        <v>basketball,</v>
      </c>
    </row>
    <row r="539">
      <c r="A539" s="51"/>
      <c r="B539" s="50" t="s">
        <v>1476</v>
      </c>
      <c r="C539" s="50" t="s">
        <v>6346</v>
      </c>
      <c r="D539" s="49" t="str">
        <f>IFERROR(__xludf.DUMMYFUNCTION("""COMPUTED_VALUE"""),"price")</f>
        <v>price</v>
      </c>
      <c r="E539" s="49"/>
      <c r="F539" s="49"/>
      <c r="G539" s="49"/>
      <c r="H539" s="54" t="str">
        <f t="shared" si="1"/>
        <v>becomes,</v>
      </c>
      <c r="I539" s="50"/>
      <c r="J539" s="50" t="s">
        <v>6246</v>
      </c>
      <c r="K539" s="50" t="s">
        <v>2645</v>
      </c>
      <c r="L539" s="49" t="str">
        <f>IFERROR(__xludf.DUMMYFUNCTION("""COMPUTED_VALUE"""),"oscar")</f>
        <v>oscar</v>
      </c>
      <c r="M539" s="49"/>
      <c r="N539" s="49" t="str">
        <f>IFERROR(__xludf.DUMMYFUNCTION("""COMPUTED_VALUE"""),"finally")</f>
        <v>finally</v>
      </c>
      <c r="O539" s="49" t="str">
        <f>IFERROR(__xludf.DUMMYFUNCTION("""COMPUTED_VALUE"""),"violent")</f>
        <v>violent</v>
      </c>
      <c r="P539" s="49" t="str">
        <f t="shared" si="2"/>
        <v>mis,</v>
      </c>
      <c r="Q539" s="49"/>
      <c r="R539" s="50" t="s">
        <v>5056</v>
      </c>
      <c r="S539" s="55" t="s">
        <v>1282</v>
      </c>
      <c r="T539" s="49" t="str">
        <f>IFERROR(__xludf.DUMMYFUNCTION("""COMPUTED_VALUE"""),"bottom")</f>
        <v>bottom</v>
      </c>
      <c r="U539" s="49"/>
      <c r="V539" s="49" t="str">
        <f>IFERROR(__xludf.DUMMYFUNCTION("""COMPUTED_VALUE"""),"ridden")</f>
        <v>ridden</v>
      </c>
      <c r="W539" s="49" t="str">
        <f>IFERROR(__xludf.DUMMYFUNCTION("""COMPUTED_VALUE"""),"monumental")</f>
        <v>monumental</v>
      </c>
      <c r="X539" s="49" t="str">
        <f t="shared" si="3"/>
        <v>release,</v>
      </c>
      <c r="Y539" s="49"/>
      <c r="Z539" s="1" t="s">
        <v>2312</v>
      </c>
      <c r="AA539" s="1" t="s">
        <v>380</v>
      </c>
      <c r="AB539" s="49" t="str">
        <f>IFERROR(__xludf.DUMMYFUNCTION("""COMPUTED_VALUE"""),"impressive")</f>
        <v>impressive</v>
      </c>
      <c r="AC539" s="49"/>
      <c r="AD539" s="49" t="str">
        <f>IFERROR(__xludf.DUMMYFUNCTION("""COMPUTED_VALUE"""),"finally")</f>
        <v>finally</v>
      </c>
      <c r="AE539" s="49" t="str">
        <f>IFERROR(__xludf.DUMMYFUNCTION("""COMPUTED_VALUE"""),"violent")</f>
        <v>violent</v>
      </c>
      <c r="AF539" s="49" t="str">
        <f t="shared" si="4"/>
        <v>tired,</v>
      </c>
      <c r="AG539" s="49"/>
      <c r="AH539" s="1" t="s">
        <v>4473</v>
      </c>
      <c r="AI539" s="1" t="s">
        <v>2122</v>
      </c>
      <c r="AJ539" s="6" t="str">
        <f>IFERROR(__xludf.DUMMYFUNCTION("""COMPUTED_VALUE"""),"scene")</f>
        <v>scene</v>
      </c>
      <c r="AK539" s="49"/>
      <c r="AL539" s="49"/>
      <c r="AM539" s="49"/>
      <c r="AN539" s="52" t="str">
        <f t="shared" si="5"/>
        <v>larger,</v>
      </c>
    </row>
    <row r="540">
      <c r="A540" s="51"/>
      <c r="B540" s="50" t="s">
        <v>559</v>
      </c>
      <c r="C540" s="50" t="s">
        <v>1226</v>
      </c>
      <c r="D540" s="49" t="str">
        <f>IFERROR(__xludf.DUMMYFUNCTION("""COMPUTED_VALUE"""),"worth")</f>
        <v>worth</v>
      </c>
      <c r="E540" s="49"/>
      <c r="F540" s="49"/>
      <c r="G540" s="49"/>
      <c r="H540" s="54" t="str">
        <f t="shared" si="1"/>
        <v>worse,</v>
      </c>
      <c r="I540" s="50"/>
      <c r="J540" s="50" t="s">
        <v>4278</v>
      </c>
      <c r="K540" s="50" t="s">
        <v>2322</v>
      </c>
      <c r="L540" s="49" t="str">
        <f>IFERROR(__xludf.DUMMYFUNCTION("""COMPUTED_VALUE"""),"crimes")</f>
        <v>crimes</v>
      </c>
      <c r="M540" s="49"/>
      <c r="N540" s="49" t="str">
        <f>IFERROR(__xludf.DUMMYFUNCTION("""COMPUTED_VALUE"""),"dam")</f>
        <v>dam</v>
      </c>
      <c r="O540" s="49" t="str">
        <f>IFERROR(__xludf.DUMMYFUNCTION("""COMPUTED_VALUE"""),"spies")</f>
        <v>spies</v>
      </c>
      <c r="P540" s="49" t="str">
        <f t="shared" si="2"/>
        <v>suit,</v>
      </c>
      <c r="Q540" s="49"/>
      <c r="R540" s="50" t="s">
        <v>133</v>
      </c>
      <c r="S540" s="55" t="s">
        <v>473</v>
      </c>
      <c r="T540" s="49" t="str">
        <f>IFERROR(__xludf.DUMMYFUNCTION("""COMPUTED_VALUE"""),"noir")</f>
        <v>noir</v>
      </c>
      <c r="U540" s="49"/>
      <c r="V540" s="49" t="str">
        <f>IFERROR(__xludf.DUMMYFUNCTION("""COMPUTED_VALUE"""),"doubtful")</f>
        <v>doubtful</v>
      </c>
      <c r="W540" s="49" t="str">
        <f>IFERROR(__xludf.DUMMYFUNCTION("""COMPUTED_VALUE"""),"accents")</f>
        <v>accents</v>
      </c>
      <c r="X540" s="49" t="str">
        <f t="shared" si="3"/>
        <v>touching,</v>
      </c>
      <c r="Y540" s="49"/>
      <c r="Z540" s="1" t="s">
        <v>822</v>
      </c>
      <c r="AA540" s="1" t="s">
        <v>2646</v>
      </c>
      <c r="AB540" s="49" t="str">
        <f>IFERROR(__xludf.DUMMYFUNCTION("""COMPUTED_VALUE"""),"generated")</f>
        <v>generated</v>
      </c>
      <c r="AC540" s="49"/>
      <c r="AD540" s="49" t="str">
        <f>IFERROR(__xludf.DUMMYFUNCTION("""COMPUTED_VALUE"""),"dam")</f>
        <v>dam</v>
      </c>
      <c r="AE540" s="49" t="str">
        <f>IFERROR(__xludf.DUMMYFUNCTION("""COMPUTED_VALUE"""),"spies")</f>
        <v>spies</v>
      </c>
      <c r="AF540" s="49" t="str">
        <f t="shared" si="4"/>
        <v>genre,</v>
      </c>
      <c r="AG540" s="49"/>
      <c r="AH540" s="1" t="s">
        <v>4239</v>
      </c>
      <c r="AI540" s="1" t="s">
        <v>2119</v>
      </c>
      <c r="AJ540" s="6" t="str">
        <f>IFERROR(__xludf.DUMMYFUNCTION("""COMPUTED_VALUE"""),"joe")</f>
        <v>joe</v>
      </c>
      <c r="AK540" s="49"/>
      <c r="AL540" s="49"/>
      <c r="AM540" s="49"/>
      <c r="AN540" s="52" t="str">
        <f t="shared" si="5"/>
        <v>scene,</v>
      </c>
    </row>
    <row r="541">
      <c r="A541" s="51"/>
      <c r="B541" s="50" t="s">
        <v>2095</v>
      </c>
      <c r="C541" s="50" t="s">
        <v>6347</v>
      </c>
      <c r="D541" s="49" t="str">
        <f>IFERROR(__xludf.DUMMYFUNCTION("""COMPUTED_VALUE"""),"admission")</f>
        <v>admission</v>
      </c>
      <c r="E541" s="49"/>
      <c r="F541" s="49"/>
      <c r="G541" s="49"/>
      <c r="H541" s="54" t="str">
        <f t="shared" si="1"/>
        <v>hardly,</v>
      </c>
      <c r="I541" s="50"/>
      <c r="J541" s="50" t="s">
        <v>1230</v>
      </c>
      <c r="K541" s="50" t="s">
        <v>1567</v>
      </c>
      <c r="L541" s="49" t="str">
        <f>IFERROR(__xludf.DUMMYFUNCTION("""COMPUTED_VALUE"""),"web")</f>
        <v>web</v>
      </c>
      <c r="M541" s="49"/>
      <c r="N541" s="49" t="str">
        <f>IFERROR(__xludf.DUMMYFUNCTION("""COMPUTED_VALUE"""),"tea")</f>
        <v>tea</v>
      </c>
      <c r="O541" s="49" t="str">
        <f>IFERROR(__xludf.DUMMYFUNCTION("""COMPUTED_VALUE"""),"somewhat")</f>
        <v>somewhat</v>
      </c>
      <c r="P541" s="49" t="str">
        <f t="shared" si="2"/>
        <v>throw,</v>
      </c>
      <c r="Q541" s="49"/>
      <c r="R541" s="50" t="s">
        <v>306</v>
      </c>
      <c r="S541" s="55" t="s">
        <v>1246</v>
      </c>
      <c r="T541" s="49" t="str">
        <f>IFERROR(__xludf.DUMMYFUNCTION("""COMPUTED_VALUE"""),"artistic")</f>
        <v>artistic</v>
      </c>
      <c r="U541" s="49"/>
      <c r="V541" s="49" t="str">
        <f>IFERROR(__xludf.DUMMYFUNCTION("""COMPUTED_VALUE"""),"devotion")</f>
        <v>devotion</v>
      </c>
      <c r="W541" s="49" t="str">
        <f>IFERROR(__xludf.DUMMYFUNCTION("""COMPUTED_VALUE"""),"judd")</f>
        <v>judd</v>
      </c>
      <c r="X541" s="49" t="str">
        <f t="shared" si="3"/>
        <v>being,</v>
      </c>
      <c r="Y541" s="49"/>
      <c r="Z541" s="1" t="s">
        <v>1043</v>
      </c>
      <c r="AA541" s="1" t="s">
        <v>387</v>
      </c>
      <c r="AB541" s="49" t="str">
        <f>IFERROR(__xludf.DUMMYFUNCTION("""COMPUTED_VALUE"""),"actress")</f>
        <v>actress</v>
      </c>
      <c r="AC541" s="49"/>
      <c r="AD541" s="49" t="str">
        <f>IFERROR(__xludf.DUMMYFUNCTION("""COMPUTED_VALUE"""),"tea")</f>
        <v>tea</v>
      </c>
      <c r="AE541" s="49" t="str">
        <f>IFERROR(__xludf.DUMMYFUNCTION("""COMPUTED_VALUE"""),"somewhat")</f>
        <v>somewhat</v>
      </c>
      <c r="AF541" s="49" t="str">
        <f t="shared" si="4"/>
        <v>keep,</v>
      </c>
      <c r="AG541" s="49"/>
      <c r="AH541" s="1" t="s">
        <v>6731</v>
      </c>
      <c r="AI541" s="1" t="s">
        <v>6338</v>
      </c>
      <c r="AJ541" s="6" t="str">
        <f>IFERROR(__xludf.DUMMYFUNCTION("""COMPUTED_VALUE"""),"trees")</f>
        <v>trees</v>
      </c>
      <c r="AK541" s="49"/>
      <c r="AL541" s="49"/>
      <c r="AM541" s="49"/>
      <c r="AN541" s="52" t="str">
        <f t="shared" si="5"/>
        <v>joe,</v>
      </c>
    </row>
    <row r="542">
      <c r="A542" s="51"/>
      <c r="B542" s="50" t="s">
        <v>6573</v>
      </c>
      <c r="C542" s="50" t="s">
        <v>2030</v>
      </c>
      <c r="D542" s="49" t="str">
        <f>IFERROR(__xludf.DUMMYFUNCTION("""COMPUTED_VALUE"""),"produced")</f>
        <v>produced</v>
      </c>
      <c r="E542" s="49"/>
      <c r="F542" s="49"/>
      <c r="G542" s="49"/>
      <c r="H542" s="54" t="str">
        <f t="shared" si="1"/>
        <v>sole,</v>
      </c>
      <c r="I542" s="50"/>
      <c r="J542" s="50" t="s">
        <v>2411</v>
      </c>
      <c r="K542" s="50" t="s">
        <v>2328</v>
      </c>
      <c r="L542" s="49" t="str">
        <f>IFERROR(__xludf.DUMMYFUNCTION("""COMPUTED_VALUE"""),"hopeless")</f>
        <v>hopeless</v>
      </c>
      <c r="M542" s="49"/>
      <c r="N542" s="49" t="str">
        <f>IFERROR(__xludf.DUMMYFUNCTION("""COMPUTED_VALUE"""),"sin")</f>
        <v>sin</v>
      </c>
      <c r="O542" s="49" t="str">
        <f>IFERROR(__xludf.DUMMYFUNCTION("""COMPUTED_VALUE"""),"incorporates")</f>
        <v>incorporates</v>
      </c>
      <c r="P542" s="49" t="str">
        <f t="shared" si="2"/>
        <v>determined,</v>
      </c>
      <c r="Q542" s="49"/>
      <c r="R542" s="50" t="s">
        <v>660</v>
      </c>
      <c r="S542" s="55" t="s">
        <v>4980</v>
      </c>
      <c r="T542" s="49" t="str">
        <f>IFERROR(__xludf.DUMMYFUNCTION("""COMPUTED_VALUE"""),"wild")</f>
        <v>wild</v>
      </c>
      <c r="U542" s="49"/>
      <c r="V542" s="49" t="str">
        <f>IFERROR(__xludf.DUMMYFUNCTION("""COMPUTED_VALUE"""),"developed")</f>
        <v>developed</v>
      </c>
      <c r="W542" s="49" t="str">
        <f>IFERROR(__xludf.DUMMYFUNCTION("""COMPUTED_VALUE"""),"morgan")</f>
        <v>morgan</v>
      </c>
      <c r="X542" s="49" t="str">
        <f t="shared" si="3"/>
        <v>else,</v>
      </c>
      <c r="Y542" s="49"/>
      <c r="Z542" s="1" t="s">
        <v>3583</v>
      </c>
      <c r="AA542" s="1" t="s">
        <v>394</v>
      </c>
      <c r="AB542" s="49" t="str">
        <f>IFERROR(__xludf.DUMMYFUNCTION("""COMPUTED_VALUE"""),"sloppy")</f>
        <v>sloppy</v>
      </c>
      <c r="AC542" s="49"/>
      <c r="AD542" s="49" t="str">
        <f>IFERROR(__xludf.DUMMYFUNCTION("""COMPUTED_VALUE"""),"sin")</f>
        <v>sin</v>
      </c>
      <c r="AE542" s="49" t="str">
        <f>IFERROR(__xludf.DUMMYFUNCTION("""COMPUTED_VALUE"""),"incorporates")</f>
        <v>incorporates</v>
      </c>
      <c r="AF542" s="49" t="str">
        <f t="shared" si="4"/>
        <v>upon,</v>
      </c>
      <c r="AG542" s="49"/>
      <c r="AH542" s="1" t="s">
        <v>3869</v>
      </c>
      <c r="AI542" s="1" t="s">
        <v>2128</v>
      </c>
      <c r="AJ542" s="6" t="str">
        <f>IFERROR(__xludf.DUMMYFUNCTION("""COMPUTED_VALUE"""),"pair")</f>
        <v>pair</v>
      </c>
      <c r="AK542" s="49"/>
      <c r="AL542" s="49"/>
      <c r="AM542" s="49"/>
      <c r="AN542" s="52" t="str">
        <f t="shared" si="5"/>
        <v>trees,</v>
      </c>
    </row>
    <row r="543">
      <c r="A543" s="51"/>
      <c r="B543" s="50" t="s">
        <v>6102</v>
      </c>
      <c r="C543" s="50" t="s">
        <v>116</v>
      </c>
      <c r="D543" s="49" t="str">
        <f>IFERROR(__xludf.DUMMYFUNCTION("""COMPUTED_VALUE"""),"please")</f>
        <v>please</v>
      </c>
      <c r="E543" s="49"/>
      <c r="F543" s="49"/>
      <c r="G543" s="49"/>
      <c r="H543" s="54" t="str">
        <f t="shared" si="1"/>
        <v>snake,</v>
      </c>
      <c r="I543" s="50"/>
      <c r="J543" s="50" t="s">
        <v>2175</v>
      </c>
      <c r="K543" s="50" t="s">
        <v>2326</v>
      </c>
      <c r="L543" s="49" t="str">
        <f>IFERROR(__xludf.DUMMYFUNCTION("""COMPUTED_VALUE"""),"intensity")</f>
        <v>intensity</v>
      </c>
      <c r="M543" s="49"/>
      <c r="N543" s="49" t="str">
        <f>IFERROR(__xludf.DUMMYFUNCTION("""COMPUTED_VALUE"""),"guess")</f>
        <v>guess</v>
      </c>
      <c r="O543" s="49" t="str">
        <f>IFERROR(__xludf.DUMMYFUNCTION("""COMPUTED_VALUE"""),"gong")</f>
        <v>gong</v>
      </c>
      <c r="P543" s="49" t="str">
        <f t="shared" si="2"/>
        <v>dark,</v>
      </c>
      <c r="Q543" s="49"/>
      <c r="R543" s="50" t="s">
        <v>1590</v>
      </c>
      <c r="S543" s="55" t="s">
        <v>120</v>
      </c>
      <c r="T543" s="49" t="str">
        <f>IFERROR(__xludf.DUMMYFUNCTION("""COMPUTED_VALUE"""),"directors")</f>
        <v>directors</v>
      </c>
      <c r="U543" s="49"/>
      <c r="V543" s="49" t="str">
        <f>IFERROR(__xludf.DUMMYFUNCTION("""COMPUTED_VALUE"""),"ville")</f>
        <v>ville</v>
      </c>
      <c r="W543" s="49" t="str">
        <f>IFERROR(__xludf.DUMMYFUNCTION("""COMPUTED_VALUE"""),"grey")</f>
        <v>grey</v>
      </c>
      <c r="X543" s="49" t="str">
        <f t="shared" si="3"/>
        <v>important,</v>
      </c>
      <c r="Y543" s="49"/>
      <c r="Z543" s="1" t="s">
        <v>415</v>
      </c>
      <c r="AA543" s="1" t="s">
        <v>1881</v>
      </c>
      <c r="AB543" s="49" t="str">
        <f>IFERROR(__xludf.DUMMYFUNCTION("""COMPUTED_VALUE"""),"cannes")</f>
        <v>cannes</v>
      </c>
      <c r="AC543" s="49"/>
      <c r="AD543" s="49" t="str">
        <f>IFERROR(__xludf.DUMMYFUNCTION("""COMPUTED_VALUE"""),"guess")</f>
        <v>guess</v>
      </c>
      <c r="AE543" s="49" t="str">
        <f>IFERROR(__xludf.DUMMYFUNCTION("""COMPUTED_VALUE"""),"gong")</f>
        <v>gong</v>
      </c>
      <c r="AF543" s="49" t="str">
        <f t="shared" si="4"/>
        <v>night,</v>
      </c>
      <c r="AG543" s="49"/>
      <c r="AH543" s="1" t="s">
        <v>4272</v>
      </c>
      <c r="AI543" s="1" t="s">
        <v>1908</v>
      </c>
      <c r="AJ543" s="6" t="str">
        <f>IFERROR(__xludf.DUMMYFUNCTION("""COMPUTED_VALUE"""),"pro")</f>
        <v>pro</v>
      </c>
      <c r="AK543" s="49"/>
      <c r="AL543" s="49"/>
      <c r="AM543" s="49"/>
      <c r="AN543" s="52" t="str">
        <f t="shared" si="5"/>
        <v>pair,</v>
      </c>
    </row>
    <row r="544">
      <c r="A544" s="51"/>
      <c r="B544" s="50" t="s">
        <v>5290</v>
      </c>
      <c r="C544" s="50" t="s">
        <v>2246</v>
      </c>
      <c r="D544" s="49" t="str">
        <f>IFERROR(__xludf.DUMMYFUNCTION("""COMPUTED_VALUE"""),"jerry")</f>
        <v>jerry</v>
      </c>
      <c r="E544" s="49"/>
      <c r="F544" s="49"/>
      <c r="G544" s="49"/>
      <c r="H544" s="54" t="str">
        <f t="shared" si="1"/>
        <v>cage,</v>
      </c>
      <c r="I544" s="50"/>
      <c r="J544" s="50" t="s">
        <v>1887</v>
      </c>
      <c r="K544" s="50" t="s">
        <v>2657</v>
      </c>
      <c r="L544" s="49" t="str">
        <f>IFERROR(__xludf.DUMMYFUNCTION("""COMPUTED_VALUE"""),"stand")</f>
        <v>stand</v>
      </c>
      <c r="M544" s="49"/>
      <c r="N544" s="49" t="str">
        <f>IFERROR(__xludf.DUMMYFUNCTION("""COMPUTED_VALUE"""),"realizing")</f>
        <v>realizing</v>
      </c>
      <c r="O544" s="49" t="str">
        <f>IFERROR(__xludf.DUMMYFUNCTION("""COMPUTED_VALUE"""),"jacques")</f>
        <v>jacques</v>
      </c>
      <c r="P544" s="49" t="str">
        <f t="shared" si="2"/>
        <v>wish,</v>
      </c>
      <c r="Q544" s="49"/>
      <c r="R544" s="50" t="s">
        <v>7270</v>
      </c>
      <c r="S544" s="55" t="s">
        <v>1287</v>
      </c>
      <c r="T544" s="49" t="str">
        <f>IFERROR(__xludf.DUMMYFUNCTION("""COMPUTED_VALUE"""),"talented")</f>
        <v>talented</v>
      </c>
      <c r="U544" s="49"/>
      <c r="V544" s="49" t="str">
        <f>IFERROR(__xludf.DUMMYFUNCTION("""COMPUTED_VALUE"""),"altering")</f>
        <v>altering</v>
      </c>
      <c r="W544" s="49" t="str">
        <f>IFERROR(__xludf.DUMMYFUNCTION("""COMPUTED_VALUE"""),"generated")</f>
        <v>generated</v>
      </c>
      <c r="X544" s="49" t="str">
        <f t="shared" si="3"/>
        <v>verdict,</v>
      </c>
      <c r="Y544" s="49"/>
      <c r="Z544" s="1" t="s">
        <v>738</v>
      </c>
      <c r="AA544" s="1" t="s">
        <v>1897</v>
      </c>
      <c r="AB544" s="49" t="str">
        <f>IFERROR(__xludf.DUMMYFUNCTION("""COMPUTED_VALUE"""),"fourth")</f>
        <v>fourth</v>
      </c>
      <c r="AC544" s="49"/>
      <c r="AD544" s="49" t="str">
        <f>IFERROR(__xludf.DUMMYFUNCTION("""COMPUTED_VALUE"""),"realizing")</f>
        <v>realizing</v>
      </c>
      <c r="AE544" s="49" t="str">
        <f>IFERROR(__xludf.DUMMYFUNCTION("""COMPUTED_VALUE"""),"jacques")</f>
        <v>jacques</v>
      </c>
      <c r="AF544" s="49" t="str">
        <f t="shared" si="4"/>
        <v>brutally,</v>
      </c>
      <c r="AG544" s="49"/>
      <c r="AH544" s="1" t="s">
        <v>6597</v>
      </c>
      <c r="AI544" s="1" t="s">
        <v>1181</v>
      </c>
      <c r="AJ544" s="6" t="str">
        <f>IFERROR(__xludf.DUMMYFUNCTION("""COMPUTED_VALUE"""),"angry")</f>
        <v>angry</v>
      </c>
      <c r="AK544" s="49"/>
      <c r="AL544" s="49"/>
      <c r="AM544" s="49"/>
      <c r="AN544" s="52" t="str">
        <f t="shared" si="5"/>
        <v>pro,</v>
      </c>
    </row>
    <row r="545">
      <c r="A545" s="51"/>
      <c r="B545" s="50" t="s">
        <v>2462</v>
      </c>
      <c r="C545" s="50" t="s">
        <v>1164</v>
      </c>
      <c r="D545" s="49" t="str">
        <f>IFERROR(__xludf.DUMMYFUNCTION("""COMPUTED_VALUE"""),"styles")</f>
        <v>styles</v>
      </c>
      <c r="E545" s="49"/>
      <c r="F545" s="49"/>
      <c r="G545" s="49"/>
      <c r="H545" s="54" t="str">
        <f t="shared" si="1"/>
        <v>nicolas,</v>
      </c>
      <c r="I545" s="50"/>
      <c r="J545" s="50" t="s">
        <v>908</v>
      </c>
      <c r="K545" s="50" t="s">
        <v>2661</v>
      </c>
      <c r="L545" s="49" t="str">
        <f>IFERROR(__xludf.DUMMYFUNCTION("""COMPUTED_VALUE"""),"destruction")</f>
        <v>destruction</v>
      </c>
      <c r="M545" s="49"/>
      <c r="N545" s="49" t="str">
        <f>IFERROR(__xludf.DUMMYFUNCTION("""COMPUTED_VALUE"""),"reading")</f>
        <v>reading</v>
      </c>
      <c r="O545" s="49" t="str">
        <f>IFERROR(__xludf.DUMMYFUNCTION("""COMPUTED_VALUE"""),"legged")</f>
        <v>legged</v>
      </c>
      <c r="P545" s="49" t="str">
        <f t="shared" si="2"/>
        <v>having,</v>
      </c>
      <c r="Q545" s="49"/>
      <c r="R545" s="50" t="s">
        <v>2683</v>
      </c>
      <c r="S545" s="55" t="s">
        <v>1253</v>
      </c>
      <c r="T545" s="49" t="str">
        <f>IFERROR(__xludf.DUMMYFUNCTION("""COMPUTED_VALUE"""),"answer")</f>
        <v>answer</v>
      </c>
      <c r="U545" s="49"/>
      <c r="V545" s="49" t="str">
        <f>IFERROR(__xludf.DUMMYFUNCTION("""COMPUTED_VALUE"""),"ignored")</f>
        <v>ignored</v>
      </c>
      <c r="W545" s="49" t="str">
        <f>IFERROR(__xludf.DUMMYFUNCTION("""COMPUTED_VALUE"""),"frantic")</f>
        <v>frantic</v>
      </c>
      <c r="X545" s="49" t="str">
        <f t="shared" si="3"/>
        <v>decades,</v>
      </c>
      <c r="Y545" s="49"/>
      <c r="Z545" s="1" t="s">
        <v>4090</v>
      </c>
      <c r="AA545" s="1" t="s">
        <v>474</v>
      </c>
      <c r="AB545" s="49" t="str">
        <f>IFERROR(__xludf.DUMMYFUNCTION("""COMPUTED_VALUE"""),"dolls")</f>
        <v>dolls</v>
      </c>
      <c r="AC545" s="49"/>
      <c r="AD545" s="49" t="str">
        <f>IFERROR(__xludf.DUMMYFUNCTION("""COMPUTED_VALUE"""),"reading")</f>
        <v>reading</v>
      </c>
      <c r="AE545" s="49" t="str">
        <f>IFERROR(__xludf.DUMMYFUNCTION("""COMPUTED_VALUE"""),"legged")</f>
        <v>legged</v>
      </c>
      <c r="AF545" s="49" t="str">
        <f t="shared" si="4"/>
        <v>bizarre,</v>
      </c>
      <c r="AG545" s="49"/>
      <c r="AH545" s="1" t="s">
        <v>6700</v>
      </c>
      <c r="AI545" s="1" t="s">
        <v>1914</v>
      </c>
      <c r="AJ545" s="6" t="str">
        <f>IFERROR(__xludf.DUMMYFUNCTION("""COMPUTED_VALUE"""),"sell")</f>
        <v>sell</v>
      </c>
      <c r="AK545" s="49"/>
      <c r="AL545" s="49"/>
      <c r="AM545" s="49"/>
      <c r="AN545" s="52" t="str">
        <f t="shared" si="5"/>
        <v>angry,</v>
      </c>
    </row>
    <row r="546">
      <c r="A546" s="51"/>
      <c r="B546" s="50" t="s">
        <v>386</v>
      </c>
      <c r="C546" s="50" t="s">
        <v>1238</v>
      </c>
      <c r="D546" s="49" t="str">
        <f>IFERROR(__xludf.DUMMYFUNCTION("""COMPUTED_VALUE"""),"shallow")</f>
        <v>shallow</v>
      </c>
      <c r="E546" s="49"/>
      <c r="F546" s="49"/>
      <c r="G546" s="49"/>
      <c r="H546" s="54" t="str">
        <f t="shared" si="1"/>
        <v>around,</v>
      </c>
      <c r="I546" s="50"/>
      <c r="J546" s="50" t="s">
        <v>297</v>
      </c>
      <c r="K546" s="50" t="s">
        <v>2666</v>
      </c>
      <c r="L546" s="49" t="str">
        <f>IFERROR(__xludf.DUMMYFUNCTION("""COMPUTED_VALUE"""),"chain")</f>
        <v>chain</v>
      </c>
      <c r="M546" s="49"/>
      <c r="N546" s="49" t="str">
        <f>IFERROR(__xludf.DUMMYFUNCTION("""COMPUTED_VALUE"""),"handle")</f>
        <v>handle</v>
      </c>
      <c r="O546" s="49" t="str">
        <f>IFERROR(__xludf.DUMMYFUNCTION("""COMPUTED_VALUE"""),"bonds")</f>
        <v>bonds</v>
      </c>
      <c r="P546" s="49" t="str">
        <f t="shared" si="2"/>
        <v>doing,</v>
      </c>
      <c r="Q546" s="49"/>
      <c r="R546" s="50" t="s">
        <v>6973</v>
      </c>
      <c r="S546" s="55" t="s">
        <v>2343</v>
      </c>
      <c r="T546" s="49" t="str">
        <f>IFERROR(__xludf.DUMMYFUNCTION("""COMPUTED_VALUE"""),"air")</f>
        <v>air</v>
      </c>
      <c r="U546" s="49"/>
      <c r="V546" s="49" t="str">
        <f>IFERROR(__xludf.DUMMYFUNCTION("""COMPUTED_VALUE"""),"awe")</f>
        <v>awe</v>
      </c>
      <c r="W546" s="49" t="str">
        <f>IFERROR(__xludf.DUMMYFUNCTION("""COMPUTED_VALUE"""),"frontman")</f>
        <v>frontman</v>
      </c>
      <c r="X546" s="49" t="str">
        <f t="shared" si="3"/>
        <v>twelve,</v>
      </c>
      <c r="Y546" s="49"/>
      <c r="Z546" s="1" t="s">
        <v>2813</v>
      </c>
      <c r="AA546" s="1" t="s">
        <v>481</v>
      </c>
      <c r="AB546" s="49" t="str">
        <f>IFERROR(__xludf.DUMMYFUNCTION("""COMPUTED_VALUE"""),"means")</f>
        <v>means</v>
      </c>
      <c r="AC546" s="49"/>
      <c r="AD546" s="49" t="str">
        <f>IFERROR(__xludf.DUMMYFUNCTION("""COMPUTED_VALUE"""),"handle")</f>
        <v>handle</v>
      </c>
      <c r="AE546" s="49" t="str">
        <f>IFERROR(__xludf.DUMMYFUNCTION("""COMPUTED_VALUE"""),"bonds")</f>
        <v>bonds</v>
      </c>
      <c r="AF546" s="49" t="str">
        <f t="shared" si="4"/>
        <v>source,</v>
      </c>
      <c r="AG546" s="49"/>
      <c r="AH546" s="1" t="s">
        <v>4505</v>
      </c>
      <c r="AI546" s="1" t="s">
        <v>1119</v>
      </c>
      <c r="AJ546" s="6" t="str">
        <f>IFERROR(__xludf.DUMMYFUNCTION("""COMPUTED_VALUE"""),"dollars")</f>
        <v>dollars</v>
      </c>
      <c r="AK546" s="49"/>
      <c r="AL546" s="49"/>
      <c r="AM546" s="49"/>
      <c r="AN546" s="52" t="str">
        <f t="shared" si="5"/>
        <v>sell,</v>
      </c>
    </row>
    <row r="547">
      <c r="A547" s="51"/>
      <c r="B547" s="50" t="s">
        <v>869</v>
      </c>
      <c r="C547" s="50" t="s">
        <v>2044</v>
      </c>
      <c r="D547" s="49" t="str">
        <f>IFERROR(__xludf.DUMMYFUNCTION("""COMPUTED_VALUE"""),"joel")</f>
        <v>joel</v>
      </c>
      <c r="E547" s="49"/>
      <c r="F547" s="49"/>
      <c r="G547" s="49"/>
      <c r="H547" s="54" t="str">
        <f t="shared" si="1"/>
        <v>day,</v>
      </c>
      <c r="I547" s="50"/>
      <c r="J547" s="50" t="s">
        <v>354</v>
      </c>
      <c r="K547" s="50" t="s">
        <v>221</v>
      </c>
      <c r="L547" s="49" t="str">
        <f>IFERROR(__xludf.DUMMYFUNCTION("""COMPUTED_VALUE"""),"vivid")</f>
        <v>vivid</v>
      </c>
      <c r="M547" s="49"/>
      <c r="N547" s="49" t="str">
        <f>IFERROR(__xludf.DUMMYFUNCTION("""COMPUTED_VALUE"""),"cut")</f>
        <v>cut</v>
      </c>
      <c r="O547" s="49" t="str">
        <f>IFERROR(__xludf.DUMMYFUNCTION("""COMPUTED_VALUE"""),"barely")</f>
        <v>barely</v>
      </c>
      <c r="P547" s="49" t="str">
        <f t="shared" si="2"/>
        <v>fascinating,</v>
      </c>
      <c r="Q547" s="49"/>
      <c r="R547" s="50" t="s">
        <v>791</v>
      </c>
      <c r="S547" s="55" t="s">
        <v>2347</v>
      </c>
      <c r="T547" s="49" t="str">
        <f>IFERROR(__xludf.DUMMYFUNCTION("""COMPUTED_VALUE"""),"points")</f>
        <v>points</v>
      </c>
      <c r="U547" s="49"/>
      <c r="V547" s="49" t="str">
        <f>IFERROR(__xludf.DUMMYFUNCTION("""COMPUTED_VALUE"""),"intellectuals")</f>
        <v>intellectuals</v>
      </c>
      <c r="W547" s="49" t="str">
        <f>IFERROR(__xludf.DUMMYFUNCTION("""COMPUTED_VALUE"""),"meat")</f>
        <v>meat</v>
      </c>
      <c r="X547" s="49" t="str">
        <f t="shared" si="3"/>
        <v>quality,</v>
      </c>
      <c r="Y547" s="49"/>
      <c r="Z547" s="1" t="s">
        <v>960</v>
      </c>
      <c r="AA547" s="1" t="s">
        <v>2667</v>
      </c>
      <c r="AB547" s="49" t="str">
        <f>IFERROR(__xludf.DUMMYFUNCTION("""COMPUTED_VALUE"""),"friendship")</f>
        <v>friendship</v>
      </c>
      <c r="AC547" s="49"/>
      <c r="AD547" s="49" t="str">
        <f>IFERROR(__xludf.DUMMYFUNCTION("""COMPUTED_VALUE"""),"cut")</f>
        <v>cut</v>
      </c>
      <c r="AE547" s="49" t="str">
        <f>IFERROR(__xludf.DUMMYFUNCTION("""COMPUTED_VALUE"""),"barely")</f>
        <v>barely</v>
      </c>
      <c r="AF547" s="49" t="str">
        <f t="shared" si="4"/>
        <v>behind,</v>
      </c>
      <c r="AG547" s="49"/>
      <c r="AH547" s="1" t="s">
        <v>4049</v>
      </c>
      <c r="AI547" s="1" t="s">
        <v>5064</v>
      </c>
      <c r="AJ547" s="6" t="str">
        <f>IFERROR(__xludf.DUMMYFUNCTION("""COMPUTED_VALUE"""),"sporting")</f>
        <v>sporting</v>
      </c>
      <c r="AK547" s="49"/>
      <c r="AL547" s="49"/>
      <c r="AM547" s="49"/>
      <c r="AN547" s="52" t="str">
        <f t="shared" si="5"/>
        <v>dollars,</v>
      </c>
    </row>
    <row r="548">
      <c r="A548" s="51"/>
      <c r="B548" s="50" t="s">
        <v>1046</v>
      </c>
      <c r="C548" s="50" t="s">
        <v>439</v>
      </c>
      <c r="D548" s="49" t="str">
        <f>IFERROR(__xludf.DUMMYFUNCTION("""COMPUTED_VALUE"""),"targeted")</f>
        <v>targeted</v>
      </c>
      <c r="E548" s="49"/>
      <c r="F548" s="49"/>
      <c r="G548" s="49"/>
      <c r="H548" s="54" t="str">
        <f t="shared" si="1"/>
        <v>group,</v>
      </c>
      <c r="I548" s="50"/>
      <c r="J548" s="50">
        <v>1993.0</v>
      </c>
      <c r="K548" s="50" t="s">
        <v>382</v>
      </c>
      <c r="L548" s="49" t="str">
        <f>IFERROR(__xludf.DUMMYFUNCTION("""COMPUTED_VALUE"""),"charm")</f>
        <v>charm</v>
      </c>
      <c r="M548" s="49"/>
      <c r="N548" s="49" t="str">
        <f>IFERROR(__xludf.DUMMYFUNCTION("""COMPUTED_VALUE"""),"jonathan")</f>
        <v>jonathan</v>
      </c>
      <c r="O548" s="49" t="str">
        <f>IFERROR(__xludf.DUMMYFUNCTION("""COMPUTED_VALUE"""),"registering")</f>
        <v>registering</v>
      </c>
      <c r="P548" s="49" t="str">
        <f t="shared" si="2"/>
        <v>1993,</v>
      </c>
      <c r="Q548" s="49"/>
      <c r="R548" s="50" t="s">
        <v>5898</v>
      </c>
      <c r="S548" s="55" t="s">
        <v>240</v>
      </c>
      <c r="T548" s="49" t="str">
        <f>IFERROR(__xludf.DUMMYFUNCTION("""COMPUTED_VALUE"""),"bruce")</f>
        <v>bruce</v>
      </c>
      <c r="U548" s="49"/>
      <c r="V548" s="49" t="str">
        <f>IFERROR(__xludf.DUMMYFUNCTION("""COMPUTED_VALUE"""),"noble")</f>
        <v>noble</v>
      </c>
      <c r="W548" s="49" t="str">
        <f>IFERROR(__xludf.DUMMYFUNCTION("""COMPUTED_VALUE"""),"subconscious")</f>
        <v>subconscious</v>
      </c>
      <c r="X548" s="49" t="str">
        <f t="shared" si="3"/>
        <v>liner,</v>
      </c>
      <c r="Y548" s="49"/>
      <c r="Z548" s="1" t="s">
        <v>2504</v>
      </c>
      <c r="AA548" s="1" t="s">
        <v>1924</v>
      </c>
      <c r="AB548" s="49" t="str">
        <f>IFERROR(__xludf.DUMMYFUNCTION("""COMPUTED_VALUE"""),"jolly")</f>
        <v>jolly</v>
      </c>
      <c r="AC548" s="49"/>
      <c r="AD548" s="49" t="str">
        <f>IFERROR(__xludf.DUMMYFUNCTION("""COMPUTED_VALUE"""),"jonathan")</f>
        <v>jonathan</v>
      </c>
      <c r="AE548" s="49" t="str">
        <f>IFERROR(__xludf.DUMMYFUNCTION("""COMPUTED_VALUE"""),"registering")</f>
        <v>registering</v>
      </c>
      <c r="AF548" s="49" t="str">
        <f t="shared" si="4"/>
        <v>girls,</v>
      </c>
      <c r="AG548" s="49"/>
      <c r="AH548" s="1" t="s">
        <v>709</v>
      </c>
      <c r="AI548" s="1" t="s">
        <v>1916</v>
      </c>
      <c r="AJ548" s="6" t="str">
        <f>IFERROR(__xludf.DUMMYFUNCTION("""COMPUTED_VALUE"""),"them")</f>
        <v>them</v>
      </c>
      <c r="AK548" s="49"/>
      <c r="AL548" s="49"/>
      <c r="AM548" s="49"/>
      <c r="AN548" s="52" t="str">
        <f t="shared" si="5"/>
        <v>sporting,</v>
      </c>
    </row>
    <row r="549">
      <c r="A549" s="51"/>
      <c r="B549" s="50" t="s">
        <v>1438</v>
      </c>
      <c r="C549" s="50" t="s">
        <v>1184</v>
      </c>
      <c r="D549" s="49" t="str">
        <f>IFERROR(__xludf.DUMMYFUNCTION("""COMPUTED_VALUE"""),"witch")</f>
        <v>witch</v>
      </c>
      <c r="E549" s="49"/>
      <c r="F549" s="49"/>
      <c r="G549" s="49"/>
      <c r="H549" s="54" t="str">
        <f t="shared" si="1"/>
        <v>set,</v>
      </c>
      <c r="I549" s="50"/>
      <c r="J549" s="50" t="s">
        <v>983</v>
      </c>
      <c r="K549" s="50" t="s">
        <v>2296</v>
      </c>
      <c r="L549" s="49" t="str">
        <f>IFERROR(__xludf.DUMMYFUNCTION("""COMPUTED_VALUE"""),"unnecessary")</f>
        <v>unnecessary</v>
      </c>
      <c r="M549" s="49"/>
      <c r="N549" s="49" t="str">
        <f>IFERROR(__xludf.DUMMYFUNCTION("""COMPUTED_VALUE"""),"kitchen")</f>
        <v>kitchen</v>
      </c>
      <c r="O549" s="49" t="str">
        <f>IFERROR(__xludf.DUMMYFUNCTION("""COMPUTED_VALUE"""),"majors")</f>
        <v>majors</v>
      </c>
      <c r="P549" s="49" t="str">
        <f t="shared" si="2"/>
        <v>near,</v>
      </c>
      <c r="Q549" s="49"/>
      <c r="R549" s="50" t="s">
        <v>4193</v>
      </c>
      <c r="S549" s="55" t="s">
        <v>1403</v>
      </c>
      <c r="T549" s="49" t="str">
        <f>IFERROR(__xludf.DUMMYFUNCTION("""COMPUTED_VALUE"""),"motion")</f>
        <v>motion</v>
      </c>
      <c r="U549" s="49"/>
      <c r="V549" s="49" t="str">
        <f>IFERROR(__xludf.DUMMYFUNCTION("""COMPUTED_VALUE"""),"associated")</f>
        <v>associated</v>
      </c>
      <c r="W549" s="49" t="str">
        <f>IFERROR(__xludf.DUMMYFUNCTION("""COMPUTED_VALUE"""),"hungry")</f>
        <v>hungry</v>
      </c>
      <c r="X549" s="49" t="str">
        <f t="shared" si="3"/>
        <v>r,</v>
      </c>
      <c r="Y549" s="49"/>
      <c r="Z549" s="1" t="s">
        <v>2083</v>
      </c>
      <c r="AA549" s="1" t="s">
        <v>2672</v>
      </c>
      <c r="AB549" s="49" t="str">
        <f>IFERROR(__xludf.DUMMYFUNCTION("""COMPUTED_VALUE"""),"affection")</f>
        <v>affection</v>
      </c>
      <c r="AC549" s="49"/>
      <c r="AD549" s="49" t="str">
        <f>IFERROR(__xludf.DUMMYFUNCTION("""COMPUTED_VALUE"""),"kitchen")</f>
        <v>kitchen</v>
      </c>
      <c r="AE549" s="49" t="str">
        <f>IFERROR(__xludf.DUMMYFUNCTION("""COMPUTED_VALUE"""),"majors")</f>
        <v>majors</v>
      </c>
      <c r="AF549" s="49" t="str">
        <f t="shared" si="4"/>
        <v>might,</v>
      </c>
      <c r="AG549" s="49"/>
      <c r="AH549" s="1" t="s">
        <v>600</v>
      </c>
      <c r="AI549" s="1" t="s">
        <v>2138</v>
      </c>
      <c r="AJ549" s="6" t="str">
        <f>IFERROR(__xludf.DUMMYFUNCTION("""COMPUTED_VALUE"""),"men")</f>
        <v>men</v>
      </c>
      <c r="AK549" s="49"/>
      <c r="AL549" s="49"/>
      <c r="AM549" s="49"/>
      <c r="AN549" s="52" t="str">
        <f t="shared" si="5"/>
        <v>them,</v>
      </c>
    </row>
    <row r="550">
      <c r="A550" s="51"/>
      <c r="B550" s="50" t="s">
        <v>1038</v>
      </c>
      <c r="C550" s="50" t="s">
        <v>5048</v>
      </c>
      <c r="D550" s="49" t="str">
        <f>IFERROR(__xludf.DUMMYFUNCTION("""COMPUTED_VALUE"""),"footage")</f>
        <v>footage</v>
      </c>
      <c r="E550" s="49"/>
      <c r="F550" s="49"/>
      <c r="G550" s="49"/>
      <c r="H550" s="54" t="str">
        <f t="shared" si="1"/>
        <v>full,</v>
      </c>
      <c r="I550" s="50"/>
      <c r="J550" s="50" t="s">
        <v>4122</v>
      </c>
      <c r="K550" s="50" t="s">
        <v>2678</v>
      </c>
      <c r="L550" s="49" t="str">
        <f>IFERROR(__xludf.DUMMYFUNCTION("""COMPUTED_VALUE"""),"allows")</f>
        <v>allows</v>
      </c>
      <c r="M550" s="49"/>
      <c r="N550" s="49" t="str">
        <f>IFERROR(__xludf.DUMMYFUNCTION("""COMPUTED_VALUE"""),"definitive")</f>
        <v>definitive</v>
      </c>
      <c r="O550" s="49" t="str">
        <f>IFERROR(__xludf.DUMMYFUNCTION("""COMPUTED_VALUE"""),"reconstruction")</f>
        <v>reconstruction</v>
      </c>
      <c r="P550" s="49" t="str">
        <f t="shared" si="2"/>
        <v>watching,</v>
      </c>
      <c r="Q550" s="49"/>
      <c r="R550" s="50" t="s">
        <v>6735</v>
      </c>
      <c r="S550" s="55" t="s">
        <v>354</v>
      </c>
      <c r="T550" s="49" t="str">
        <f>IFERROR(__xludf.DUMMYFUNCTION("""COMPUTED_VALUE"""),"willis")</f>
        <v>willis</v>
      </c>
      <c r="U550" s="49"/>
      <c r="V550" s="49" t="str">
        <f>IFERROR(__xludf.DUMMYFUNCTION("""COMPUTED_VALUE"""),"mi")</f>
        <v>mi</v>
      </c>
      <c r="W550" s="49" t="str">
        <f>IFERROR(__xludf.DUMMYFUNCTION("""COMPUTED_VALUE"""),"knock")</f>
        <v>knock</v>
      </c>
      <c r="X550" s="49" t="str">
        <f t="shared" si="3"/>
        <v>rated,</v>
      </c>
      <c r="Y550" s="49"/>
      <c r="Z550" s="1" t="s">
        <v>2366</v>
      </c>
      <c r="AA550" s="1" t="s">
        <v>1931</v>
      </c>
      <c r="AB550" s="49" t="str">
        <f>IFERROR(__xludf.DUMMYFUNCTION("""COMPUTED_VALUE"""),"insulting")</f>
        <v>insulting</v>
      </c>
      <c r="AC550" s="49"/>
      <c r="AD550" s="49" t="str">
        <f>IFERROR(__xludf.DUMMYFUNCTION("""COMPUTED_VALUE"""),"definitive")</f>
        <v>definitive</v>
      </c>
      <c r="AE550" s="49" t="str">
        <f>IFERROR(__xludf.DUMMYFUNCTION("""COMPUTED_VALUE"""),"reconstruction")</f>
        <v>reconstruction</v>
      </c>
      <c r="AF550" s="49" t="str">
        <f t="shared" si="4"/>
        <v>visual,</v>
      </c>
      <c r="AG550" s="49"/>
      <c r="AH550" s="1" t="s">
        <v>1255</v>
      </c>
      <c r="AI550" s="1" t="s">
        <v>6335</v>
      </c>
      <c r="AJ550" s="6" t="str">
        <f>IFERROR(__xludf.DUMMYFUNCTION("""COMPUTED_VALUE"""),"light")</f>
        <v>light</v>
      </c>
      <c r="AK550" s="49"/>
      <c r="AL550" s="49"/>
      <c r="AM550" s="49"/>
      <c r="AN550" s="52" t="str">
        <f t="shared" si="5"/>
        <v>men,</v>
      </c>
    </row>
    <row r="551">
      <c r="A551" s="51"/>
      <c r="B551" s="50" t="s">
        <v>2710</v>
      </c>
      <c r="C551" s="50" t="s">
        <v>1471</v>
      </c>
      <c r="D551" s="49" t="str">
        <f>IFERROR(__xludf.DUMMYFUNCTION("""COMPUTED_VALUE"""),"second")</f>
        <v>second</v>
      </c>
      <c r="E551" s="49"/>
      <c r="F551" s="49"/>
      <c r="G551" s="49"/>
      <c r="H551" s="54" t="str">
        <f t="shared" si="1"/>
        <v>middle,</v>
      </c>
      <c r="I551" s="50"/>
      <c r="J551" s="50" t="s">
        <v>505</v>
      </c>
      <c r="K551" s="50" t="s">
        <v>587</v>
      </c>
      <c r="L551" s="49" t="str">
        <f>IFERROR(__xludf.DUMMYFUNCTION("""COMPUTED_VALUE"""),"lame")</f>
        <v>lame</v>
      </c>
      <c r="M551" s="49"/>
      <c r="N551" s="49" t="str">
        <f>IFERROR(__xludf.DUMMYFUNCTION("""COMPUTED_VALUE"""),"afraid")</f>
        <v>afraid</v>
      </c>
      <c r="O551" s="49" t="str">
        <f>IFERROR(__xludf.DUMMYFUNCTION("""COMPUTED_VALUE"""),"memorial")</f>
        <v>memorial</v>
      </c>
      <c r="P551" s="49" t="str">
        <f t="shared" si="2"/>
        <v>cold,</v>
      </c>
      <c r="Q551" s="49"/>
      <c r="R551" s="50" t="s">
        <v>312</v>
      </c>
      <c r="S551" s="55" t="s">
        <v>2125</v>
      </c>
      <c r="T551" s="49" t="str">
        <f>IFERROR(__xludf.DUMMYFUNCTION("""COMPUTED_VALUE"""),"destroy")</f>
        <v>destroy</v>
      </c>
      <c r="U551" s="49"/>
      <c r="V551" s="49" t="str">
        <f>IFERROR(__xludf.DUMMYFUNCTION("""COMPUTED_VALUE"""),"cheer")</f>
        <v>cheer</v>
      </c>
      <c r="W551" s="49" t="str">
        <f>IFERROR(__xludf.DUMMYFUNCTION("""COMPUTED_VALUE"""),"ought")</f>
        <v>ought</v>
      </c>
      <c r="X551" s="49" t="str">
        <f t="shared" si="3"/>
        <v>nowhere,</v>
      </c>
      <c r="Y551" s="49"/>
      <c r="Z551" s="1" t="s">
        <v>2103</v>
      </c>
      <c r="AA551" s="1" t="s">
        <v>496</v>
      </c>
      <c r="AB551" s="49" t="str">
        <f>IFERROR(__xludf.DUMMYFUNCTION("""COMPUTED_VALUE"""),"meets")</f>
        <v>meets</v>
      </c>
      <c r="AC551" s="49"/>
      <c r="AD551" s="49" t="str">
        <f>IFERROR(__xludf.DUMMYFUNCTION("""COMPUTED_VALUE"""),"afraid")</f>
        <v>afraid</v>
      </c>
      <c r="AE551" s="49" t="str">
        <f>IFERROR(__xludf.DUMMYFUNCTION("""COMPUTED_VALUE"""),"memorial")</f>
        <v>memorial</v>
      </c>
      <c r="AF551" s="49" t="str">
        <f t="shared" si="4"/>
        <v>least,</v>
      </c>
      <c r="AG551" s="49"/>
      <c r="AH551" s="1" t="s">
        <v>823</v>
      </c>
      <c r="AI551" s="1" t="s">
        <v>6341</v>
      </c>
      <c r="AJ551" s="6" t="str">
        <f>IFERROR(__xludf.DUMMYFUNCTION("""COMPUTED_VALUE"""),"example")</f>
        <v>example</v>
      </c>
      <c r="AK551" s="49"/>
      <c r="AL551" s="49"/>
      <c r="AM551" s="49"/>
      <c r="AN551" s="52" t="str">
        <f t="shared" si="5"/>
        <v>light,</v>
      </c>
    </row>
    <row r="552">
      <c r="A552" s="51"/>
      <c r="B552" s="50" t="s">
        <v>2035</v>
      </c>
      <c r="C552" s="50" t="s">
        <v>6345</v>
      </c>
      <c r="D552" s="49" t="str">
        <f>IFERROR(__xludf.DUMMYFUNCTION("""COMPUTED_VALUE"""),"somehow")</f>
        <v>somehow</v>
      </c>
      <c r="E552" s="49"/>
      <c r="F552" s="49"/>
      <c r="G552" s="49"/>
      <c r="H552" s="54" t="str">
        <f t="shared" si="1"/>
        <v>attention,</v>
      </c>
      <c r="I552" s="50"/>
      <c r="J552" s="50" t="s">
        <v>1901</v>
      </c>
      <c r="K552" s="50" t="s">
        <v>1580</v>
      </c>
      <c r="L552" s="49" t="str">
        <f>IFERROR(__xludf.DUMMYFUNCTION("""COMPUTED_VALUE"""),"rather")</f>
        <v>rather</v>
      </c>
      <c r="M552" s="49"/>
      <c r="N552" s="49" t="str">
        <f>IFERROR(__xludf.DUMMYFUNCTION("""COMPUTED_VALUE"""),"half")</f>
        <v>half</v>
      </c>
      <c r="O552" s="49" t="str">
        <f>IFERROR(__xludf.DUMMYFUNCTION("""COMPUTED_VALUE"""),"kramer")</f>
        <v>kramer</v>
      </c>
      <c r="P552" s="49" t="str">
        <f t="shared" si="2"/>
        <v>drugs,</v>
      </c>
      <c r="Q552" s="49"/>
      <c r="R552" s="50" t="s">
        <v>1704</v>
      </c>
      <c r="S552" s="55" t="s">
        <v>2364</v>
      </c>
      <c r="T552" s="49" t="str">
        <f>IFERROR(__xludf.DUMMYFUNCTION("""COMPUTED_VALUE"""),"accurately")</f>
        <v>accurately</v>
      </c>
      <c r="U552" s="49"/>
      <c r="V552" s="49" t="str">
        <f>IFERROR(__xludf.DUMMYFUNCTION("""COMPUTED_VALUE"""),"racing")</f>
        <v>racing</v>
      </c>
      <c r="W552" s="49" t="str">
        <f>IFERROR(__xludf.DUMMYFUNCTION("""COMPUTED_VALUE"""),"tier")</f>
        <v>tier</v>
      </c>
      <c r="X552" s="49" t="str">
        <f t="shared" si="3"/>
        <v>named,</v>
      </c>
      <c r="Y552" s="49"/>
      <c r="Z552" s="1" t="s">
        <v>199</v>
      </c>
      <c r="AA552" s="1" t="s">
        <v>1918</v>
      </c>
      <c r="AB552" s="49" t="str">
        <f>IFERROR(__xludf.DUMMYFUNCTION("""COMPUTED_VALUE"""),"chuckle")</f>
        <v>chuckle</v>
      </c>
      <c r="AC552" s="49"/>
      <c r="AD552" s="49" t="str">
        <f>IFERROR(__xludf.DUMMYFUNCTION("""COMPUTED_VALUE"""),"half")</f>
        <v>half</v>
      </c>
      <c r="AE552" s="49" t="str">
        <f>IFERROR(__xludf.DUMMYFUNCTION("""COMPUTED_VALUE"""),"kramer")</f>
        <v>kramer</v>
      </c>
      <c r="AF552" s="49" t="str">
        <f t="shared" si="4"/>
        <v>because,</v>
      </c>
      <c r="AG552" s="49"/>
      <c r="AH552" s="1" t="s">
        <v>3507</v>
      </c>
      <c r="AI552" s="1" t="s">
        <v>2153</v>
      </c>
      <c r="AJ552" s="6" t="str">
        <f>IFERROR(__xludf.DUMMYFUNCTION("""COMPUTED_VALUE"""),"forces")</f>
        <v>forces</v>
      </c>
      <c r="AK552" s="49"/>
      <c r="AL552" s="49"/>
      <c r="AM552" s="49"/>
      <c r="AN552" s="52" t="str">
        <f t="shared" si="5"/>
        <v>example,</v>
      </c>
    </row>
    <row r="553">
      <c r="A553" s="51"/>
      <c r="B553" s="50" t="s">
        <v>3366</v>
      </c>
      <c r="C553" s="50" t="s">
        <v>2049</v>
      </c>
      <c r="D553" s="49" t="str">
        <f>IFERROR(__xludf.DUMMYFUNCTION("""COMPUTED_VALUE"""),"offering")</f>
        <v>offering</v>
      </c>
      <c r="E553" s="49"/>
      <c r="F553" s="49"/>
      <c r="G553" s="49"/>
      <c r="H553" s="54" t="str">
        <f t="shared" si="1"/>
        <v>forest,</v>
      </c>
      <c r="I553" s="50"/>
      <c r="J553" s="50" t="s">
        <v>286</v>
      </c>
      <c r="K553" s="50" t="s">
        <v>2683</v>
      </c>
      <c r="L553" s="49" t="str">
        <f>IFERROR(__xludf.DUMMYFUNCTION("""COMPUTED_VALUE"""),"prison")</f>
        <v>prison</v>
      </c>
      <c r="M553" s="49"/>
      <c r="N553" s="49" t="str">
        <f>IFERROR(__xludf.DUMMYFUNCTION("""COMPUTED_VALUE"""),"mel")</f>
        <v>mel</v>
      </c>
      <c r="O553" s="49" t="str">
        <f>IFERROR(__xludf.DUMMYFUNCTION("""COMPUTED_VALUE"""),"artificial")</f>
        <v>artificial</v>
      </c>
      <c r="P553" s="49" t="str">
        <f t="shared" si="2"/>
        <v>insights,</v>
      </c>
      <c r="Q553" s="49"/>
      <c r="R553" s="50" t="s">
        <v>3471</v>
      </c>
      <c r="S553" s="55" t="s">
        <v>2358</v>
      </c>
      <c r="T553" s="49" t="str">
        <f>IFERROR(__xludf.DUMMYFUNCTION("""COMPUTED_VALUE"""),"disguise")</f>
        <v>disguise</v>
      </c>
      <c r="U553" s="49"/>
      <c r="V553" s="49" t="str">
        <f>IFERROR(__xludf.DUMMYFUNCTION("""COMPUTED_VALUE"""),"mexican")</f>
        <v>mexican</v>
      </c>
      <c r="W553" s="49" t="str">
        <f>IFERROR(__xludf.DUMMYFUNCTION("""COMPUTED_VALUE"""),"flourish")</f>
        <v>flourish</v>
      </c>
      <c r="X553" s="49" t="str">
        <f t="shared" si="3"/>
        <v>taylor,</v>
      </c>
      <c r="Y553" s="49"/>
      <c r="Z553" s="1" t="s">
        <v>6588</v>
      </c>
      <c r="AA553" s="1" t="s">
        <v>1936</v>
      </c>
      <c r="AB553" s="49" t="str">
        <f>IFERROR(__xludf.DUMMYFUNCTION("""COMPUTED_VALUE"""),"task")</f>
        <v>task</v>
      </c>
      <c r="AC553" s="49"/>
      <c r="AD553" s="49" t="str">
        <f>IFERROR(__xludf.DUMMYFUNCTION("""COMPUTED_VALUE"""),"mel")</f>
        <v>mel</v>
      </c>
      <c r="AE553" s="49" t="str">
        <f>IFERROR(__xludf.DUMMYFUNCTION("""COMPUTED_VALUE"""),"artificial")</f>
        <v>artificial</v>
      </c>
      <c r="AF553" s="49" t="str">
        <f t="shared" si="4"/>
        <v>killer,</v>
      </c>
      <c r="AG553" s="49"/>
      <c r="AH553" s="1" t="s">
        <v>1879</v>
      </c>
      <c r="AI553" s="1" t="s">
        <v>2162</v>
      </c>
      <c r="AJ553" s="6" t="str">
        <f>IFERROR(__xludf.DUMMYFUNCTION("""COMPUTED_VALUE"""),"features")</f>
        <v>features</v>
      </c>
      <c r="AK553" s="49"/>
      <c r="AL553" s="49"/>
      <c r="AM553" s="49"/>
      <c r="AN553" s="52" t="str">
        <f t="shared" si="5"/>
        <v>forces,</v>
      </c>
    </row>
    <row r="554">
      <c r="A554" s="51"/>
      <c r="B554" s="50" t="s">
        <v>5813</v>
      </c>
      <c r="C554" s="50" t="s">
        <v>752</v>
      </c>
      <c r="D554" s="49" t="str">
        <f>IFERROR(__xludf.DUMMYFUNCTION("""COMPUTED_VALUE"""),"nomination")</f>
        <v>nomination</v>
      </c>
      <c r="E554" s="49"/>
      <c r="F554" s="49"/>
      <c r="G554" s="49"/>
      <c r="H554" s="54" t="str">
        <f t="shared" si="1"/>
        <v>suddenly,</v>
      </c>
      <c r="I554" s="50"/>
      <c r="J554" s="50" t="s">
        <v>1881</v>
      </c>
      <c r="K554" s="50" t="s">
        <v>595</v>
      </c>
      <c r="L554" s="49" t="str">
        <f>IFERROR(__xludf.DUMMYFUNCTION("""COMPUTED_VALUE"""),"critically")</f>
        <v>critically</v>
      </c>
      <c r="M554" s="49"/>
      <c r="N554" s="49" t="str">
        <f>IFERROR(__xludf.DUMMYFUNCTION("""COMPUTED_VALUE"""),"nor")</f>
        <v>nor</v>
      </c>
      <c r="O554" s="49" t="str">
        <f>IFERROR(__xludf.DUMMYFUNCTION("""COMPUTED_VALUE"""),"lark")</f>
        <v>lark</v>
      </c>
      <c r="P554" s="49" t="str">
        <f t="shared" si="2"/>
        <v>bored,</v>
      </c>
      <c r="Q554" s="49"/>
      <c r="R554" s="50" t="s">
        <v>6522</v>
      </c>
      <c r="S554" s="55" t="s">
        <v>327</v>
      </c>
      <c r="T554" s="49" t="str">
        <f>IFERROR(__xludf.DUMMYFUNCTION("""COMPUTED_VALUE"""),"irwin")</f>
        <v>irwin</v>
      </c>
      <c r="U554" s="49"/>
      <c r="V554" s="49" t="str">
        <f>IFERROR(__xludf.DUMMYFUNCTION("""COMPUTED_VALUE"""),"topics")</f>
        <v>topics</v>
      </c>
      <c r="W554" s="49" t="str">
        <f>IFERROR(__xludf.DUMMYFUNCTION("""COMPUTED_VALUE"""),"chan")</f>
        <v>chan</v>
      </c>
      <c r="X554" s="49" t="str">
        <f t="shared" si="3"/>
        <v>fast,</v>
      </c>
      <c r="Y554" s="49"/>
      <c r="Z554" s="1" t="s">
        <v>2615</v>
      </c>
      <c r="AA554" s="1" t="s">
        <v>2684</v>
      </c>
      <c r="AB554" s="49" t="str">
        <f>IFERROR(__xludf.DUMMYFUNCTION("""COMPUTED_VALUE"""),"deadly")</f>
        <v>deadly</v>
      </c>
      <c r="AC554" s="49"/>
      <c r="AD554" s="49" t="str">
        <f>IFERROR(__xludf.DUMMYFUNCTION("""COMPUTED_VALUE"""),"nor")</f>
        <v>nor</v>
      </c>
      <c r="AE554" s="49" t="str">
        <f>IFERROR(__xludf.DUMMYFUNCTION("""COMPUTED_VALUE"""),"lark")</f>
        <v>lark</v>
      </c>
      <c r="AF554" s="49" t="str">
        <f t="shared" si="4"/>
        <v>potential,</v>
      </c>
      <c r="AG554" s="49"/>
      <c r="AH554" s="1" t="s">
        <v>6560</v>
      </c>
      <c r="AI554" s="1" t="s">
        <v>369</v>
      </c>
      <c r="AJ554" s="6" t="str">
        <f>IFERROR(__xludf.DUMMYFUNCTION("""COMPUTED_VALUE"""),"gun")</f>
        <v>gun</v>
      </c>
      <c r="AK554" s="49"/>
      <c r="AL554" s="49"/>
      <c r="AM554" s="49"/>
      <c r="AN554" s="52" t="str">
        <f t="shared" si="5"/>
        <v>features,</v>
      </c>
    </row>
    <row r="555">
      <c r="A555" s="51"/>
      <c r="B555" s="50" t="s">
        <v>3927</v>
      </c>
      <c r="C555" s="50" t="s">
        <v>2281</v>
      </c>
      <c r="D555" s="49" t="str">
        <f>IFERROR(__xludf.DUMMYFUNCTION("""COMPUTED_VALUE"""),"oscar")</f>
        <v>oscar</v>
      </c>
      <c r="E555" s="49"/>
      <c r="F555" s="49"/>
      <c r="G555" s="49"/>
      <c r="H555" s="54" t="str">
        <f t="shared" si="1"/>
        <v>names,</v>
      </c>
      <c r="I555" s="50"/>
      <c r="J555" s="50" t="s">
        <v>1840</v>
      </c>
      <c r="K555" s="50" t="s">
        <v>604</v>
      </c>
      <c r="L555" s="49" t="str">
        <f>IFERROR(__xludf.DUMMYFUNCTION("""COMPUTED_VALUE"""),"superman")</f>
        <v>superman</v>
      </c>
      <c r="M555" s="49"/>
      <c r="N555" s="49" t="str">
        <f>IFERROR(__xludf.DUMMYFUNCTION("""COMPUTED_VALUE"""),"separation")</f>
        <v>separation</v>
      </c>
      <c r="O555" s="49" t="str">
        <f>IFERROR(__xludf.DUMMYFUNCTION("""COMPUTED_VALUE"""),"faces")</f>
        <v>faces</v>
      </c>
      <c r="P555" s="49" t="str">
        <f t="shared" si="2"/>
        <v>kids,</v>
      </c>
      <c r="Q555" s="49"/>
      <c r="R555" s="50" t="s">
        <v>653</v>
      </c>
      <c r="S555" s="55" t="s">
        <v>247</v>
      </c>
      <c r="T555" s="49" t="str">
        <f>IFERROR(__xludf.DUMMYFUNCTION("""COMPUTED_VALUE"""),"five")</f>
        <v>five</v>
      </c>
      <c r="U555" s="49"/>
      <c r="V555" s="49" t="str">
        <f>IFERROR(__xludf.DUMMYFUNCTION("""COMPUTED_VALUE"""),"correct")</f>
        <v>correct</v>
      </c>
      <c r="W555" s="49" t="str">
        <f>IFERROR(__xludf.DUMMYFUNCTION("""COMPUTED_VALUE"""),"witnessed")</f>
        <v>witnessed</v>
      </c>
      <c r="X555" s="49" t="str">
        <f t="shared" si="3"/>
        <v>without,</v>
      </c>
      <c r="Y555" s="49"/>
      <c r="Z555" s="1" t="s">
        <v>3504</v>
      </c>
      <c r="AA555" s="1" t="s">
        <v>1690</v>
      </c>
      <c r="AB555" s="49" t="str">
        <f>IFERROR(__xludf.DUMMYFUNCTION("""COMPUTED_VALUE"""),"bleak")</f>
        <v>bleak</v>
      </c>
      <c r="AC555" s="49"/>
      <c r="AD555" s="49" t="str">
        <f>IFERROR(__xludf.DUMMYFUNCTION("""COMPUTED_VALUE"""),"separation")</f>
        <v>separation</v>
      </c>
      <c r="AE555" s="49" t="str">
        <f>IFERROR(__xludf.DUMMYFUNCTION("""COMPUTED_VALUE"""),"faces")</f>
        <v>faces</v>
      </c>
      <c r="AF555" s="49" t="str">
        <f t="shared" si="4"/>
        <v>goods,</v>
      </c>
      <c r="AG555" s="49"/>
      <c r="AH555" s="1" t="s">
        <v>4344</v>
      </c>
      <c r="AI555" s="1" t="s">
        <v>1149</v>
      </c>
      <c r="AJ555" s="6" t="str">
        <f>IFERROR(__xludf.DUMMYFUNCTION("""COMPUTED_VALUE"""),"boys")</f>
        <v>boys</v>
      </c>
      <c r="AK555" s="49"/>
      <c r="AL555" s="49"/>
      <c r="AM555" s="49"/>
      <c r="AN555" s="52" t="str">
        <f t="shared" si="5"/>
        <v>gun,</v>
      </c>
    </row>
    <row r="556">
      <c r="A556" s="51"/>
      <c r="B556" s="50" t="s">
        <v>4909</v>
      </c>
      <c r="C556" s="50" t="s">
        <v>2285</v>
      </c>
      <c r="D556" s="49" t="str">
        <f>IFERROR(__xludf.DUMMYFUNCTION("""COMPUTED_VALUE"""),"also")</f>
        <v>also</v>
      </c>
      <c r="E556" s="49"/>
      <c r="F556" s="49"/>
      <c r="G556" s="49"/>
      <c r="H556" s="54" t="str">
        <f t="shared" si="1"/>
        <v>daniel,</v>
      </c>
      <c r="I556" s="50"/>
      <c r="J556" s="50" t="s">
        <v>2528</v>
      </c>
      <c r="K556" s="50" t="s">
        <v>1601</v>
      </c>
      <c r="L556" s="49" t="str">
        <f>IFERROR(__xludf.DUMMYFUNCTION("""COMPUTED_VALUE"""),"faithful")</f>
        <v>faithful</v>
      </c>
      <c r="M556" s="49"/>
      <c r="N556" s="49" t="str">
        <f>IFERROR(__xludf.DUMMYFUNCTION("""COMPUTED_VALUE"""),"ignore")</f>
        <v>ignore</v>
      </c>
      <c r="O556" s="49" t="str">
        <f>IFERROR(__xludf.DUMMYFUNCTION("""COMPUTED_VALUE"""),"pipeline")</f>
        <v>pipeline</v>
      </c>
      <c r="P556" s="49" t="str">
        <f t="shared" si="2"/>
        <v>sex,</v>
      </c>
      <c r="Q556" s="49"/>
      <c r="R556" s="50" t="s">
        <v>2296</v>
      </c>
      <c r="S556" s="55" t="s">
        <v>6348</v>
      </c>
      <c r="T556" s="49" t="str">
        <f>IFERROR(__xludf.DUMMYFUNCTION("""COMPUTED_VALUE"""),"represents")</f>
        <v>represents</v>
      </c>
      <c r="U556" s="49"/>
      <c r="V556" s="49" t="str">
        <f>IFERROR(__xludf.DUMMYFUNCTION("""COMPUTED_VALUE"""),"sucking")</f>
        <v>sucking</v>
      </c>
      <c r="W556" s="49" t="str">
        <f>IFERROR(__xludf.DUMMYFUNCTION("""COMPUTED_VALUE"""),"hilarious")</f>
        <v>hilarious</v>
      </c>
      <c r="X556" s="49" t="str">
        <f t="shared" si="3"/>
        <v>giant,</v>
      </c>
      <c r="Y556" s="49"/>
      <c r="Z556" s="1" t="s">
        <v>330</v>
      </c>
      <c r="AA556" s="1" t="s">
        <v>1941</v>
      </c>
      <c r="AB556" s="49" t="str">
        <f>IFERROR(__xludf.DUMMYFUNCTION("""COMPUTED_VALUE"""),"pulse")</f>
        <v>pulse</v>
      </c>
      <c r="AC556" s="49"/>
      <c r="AD556" s="49" t="str">
        <f>IFERROR(__xludf.DUMMYFUNCTION("""COMPUTED_VALUE"""),"ignore")</f>
        <v>ignore</v>
      </c>
      <c r="AE556" s="49" t="str">
        <f>IFERROR(__xludf.DUMMYFUNCTION("""COMPUTED_VALUE"""),"pipeline")</f>
        <v>pipeline</v>
      </c>
      <c r="AF556" s="49" t="str">
        <f t="shared" si="4"/>
        <v>already,</v>
      </c>
      <c r="AG556" s="49"/>
      <c r="AH556" s="1" t="s">
        <v>6602</v>
      </c>
      <c r="AI556" s="1" t="s">
        <v>1065</v>
      </c>
      <c r="AJ556" s="6" t="str">
        <f>IFERROR(__xludf.DUMMYFUNCTION("""COMPUTED_VALUE"""),"create")</f>
        <v>create</v>
      </c>
      <c r="AK556" s="49"/>
      <c r="AL556" s="49"/>
      <c r="AM556" s="49"/>
      <c r="AN556" s="52" t="str">
        <f t="shared" si="5"/>
        <v>boys,</v>
      </c>
    </row>
    <row r="557">
      <c r="A557" s="51"/>
      <c r="B557" s="50" t="s">
        <v>852</v>
      </c>
      <c r="C557" s="50" t="s">
        <v>2058</v>
      </c>
      <c r="D557" s="49" t="str">
        <f>IFERROR(__xludf.DUMMYFUNCTION("""COMPUTED_VALUE"""),"unusual")</f>
        <v>unusual</v>
      </c>
      <c r="E557" s="49"/>
      <c r="F557" s="49"/>
      <c r="G557" s="49"/>
      <c r="H557" s="54" t="str">
        <f t="shared" si="1"/>
        <v>clothes,</v>
      </c>
      <c r="I557" s="50"/>
      <c r="J557" s="50" t="s">
        <v>277</v>
      </c>
      <c r="K557" s="50" t="s">
        <v>389</v>
      </c>
      <c r="L557" s="49" t="str">
        <f>IFERROR(__xludf.DUMMYFUNCTION("""COMPUTED_VALUE"""),"contains")</f>
        <v>contains</v>
      </c>
      <c r="M557" s="49"/>
      <c r="N557" s="49" t="str">
        <f>IFERROR(__xludf.DUMMYFUNCTION("""COMPUTED_VALUE"""),"shout")</f>
        <v>shout</v>
      </c>
      <c r="O557" s="49" t="str">
        <f>IFERROR(__xludf.DUMMYFUNCTION("""COMPUTED_VALUE"""),"hitch")</f>
        <v>hitch</v>
      </c>
      <c r="P557" s="49" t="str">
        <f t="shared" si="2"/>
        <v>lawrence,</v>
      </c>
      <c r="Q557" s="49"/>
      <c r="R557" s="50" t="s">
        <v>3420</v>
      </c>
      <c r="S557" s="55" t="s">
        <v>2131</v>
      </c>
      <c r="T557" s="49" t="str">
        <f>IFERROR(__xludf.DUMMYFUNCTION("""COMPUTED_VALUE"""),"freeman")</f>
        <v>freeman</v>
      </c>
      <c r="U557" s="49"/>
      <c r="V557" s="49" t="str">
        <f>IFERROR(__xludf.DUMMYFUNCTION("""COMPUTED_VALUE"""),"exceeds")</f>
        <v>exceeds</v>
      </c>
      <c r="W557" s="49" t="str">
        <f>IFERROR(__xludf.DUMMYFUNCTION("""COMPUTED_VALUE"""),"biographical")</f>
        <v>biographical</v>
      </c>
      <c r="X557" s="49" t="str">
        <f t="shared" si="3"/>
        <v>neither,</v>
      </c>
      <c r="Y557" s="49"/>
      <c r="Z557" s="1" t="s">
        <v>683</v>
      </c>
      <c r="AA557" s="1" t="s">
        <v>1928</v>
      </c>
      <c r="AB557" s="49" t="str">
        <f>IFERROR(__xludf.DUMMYFUNCTION("""COMPUTED_VALUE"""),"desperately")</f>
        <v>desperately</v>
      </c>
      <c r="AC557" s="49"/>
      <c r="AD557" s="49" t="str">
        <f>IFERROR(__xludf.DUMMYFUNCTION("""COMPUTED_VALUE"""),"shout")</f>
        <v>shout</v>
      </c>
      <c r="AE557" s="49" t="str">
        <f>IFERROR(__xludf.DUMMYFUNCTION("""COMPUTED_VALUE"""),"hitch")</f>
        <v>hitch</v>
      </c>
      <c r="AF557" s="49" t="str">
        <f t="shared" si="4"/>
        <v>think,</v>
      </c>
      <c r="AG557" s="49"/>
      <c r="AH557" s="1" t="s">
        <v>4582</v>
      </c>
      <c r="AI557" s="1">
        <v>3.0</v>
      </c>
      <c r="AJ557" s="6" t="str">
        <f>IFERROR(__xludf.DUMMYFUNCTION("""COMPUTED_VALUE"""),"appears")</f>
        <v>appears</v>
      </c>
      <c r="AK557" s="49"/>
      <c r="AL557" s="49"/>
      <c r="AM557" s="49"/>
      <c r="AN557" s="52" t="str">
        <f t="shared" si="5"/>
        <v>create,</v>
      </c>
    </row>
    <row r="558">
      <c r="A558" s="51"/>
      <c r="B558" s="50" t="s">
        <v>2081</v>
      </c>
      <c r="C558" s="50" t="s">
        <v>1138</v>
      </c>
      <c r="D558" s="49" t="str">
        <f>IFERROR(__xludf.DUMMYFUNCTION("""COMPUTED_VALUE"""),"exercise")</f>
        <v>exercise</v>
      </c>
      <c r="E558" s="49"/>
      <c r="F558" s="49"/>
      <c r="G558" s="49"/>
      <c r="H558" s="54" t="str">
        <f t="shared" si="1"/>
        <v>lewis,</v>
      </c>
      <c r="I558" s="50"/>
      <c r="J558" s="50" t="s">
        <v>1846</v>
      </c>
      <c r="K558" s="50" t="s">
        <v>1598</v>
      </c>
      <c r="L558" s="49" t="str">
        <f>IFERROR(__xludf.DUMMYFUNCTION("""COMPUTED_VALUE"""),"family")</f>
        <v>family</v>
      </c>
      <c r="M558" s="49"/>
      <c r="N558" s="49" t="str">
        <f>IFERROR(__xludf.DUMMYFUNCTION("""COMPUTED_VALUE"""),"saved")</f>
        <v>saved</v>
      </c>
      <c r="O558" s="49" t="str">
        <f>IFERROR(__xludf.DUMMYFUNCTION("""COMPUTED_VALUE"""),"flow")</f>
        <v>flow</v>
      </c>
      <c r="P558" s="49" t="str">
        <f t="shared" si="2"/>
        <v>logic,</v>
      </c>
      <c r="Q558" s="49"/>
      <c r="R558" s="50" t="s">
        <v>4136</v>
      </c>
      <c r="S558" s="55" t="s">
        <v>2622</v>
      </c>
      <c r="T558" s="49" t="str">
        <f>IFERROR(__xludf.DUMMYFUNCTION("""COMPUTED_VALUE"""),"sequel")</f>
        <v>sequel</v>
      </c>
      <c r="U558" s="49"/>
      <c r="V558" s="49" t="str">
        <f>IFERROR(__xludf.DUMMYFUNCTION("""COMPUTED_VALUE"""),"co")</f>
        <v>co</v>
      </c>
      <c r="W558" s="49" t="str">
        <f>IFERROR(__xludf.DUMMYFUNCTION("""COMPUTED_VALUE"""),"fantasia")</f>
        <v>fantasia</v>
      </c>
      <c r="X558" s="49" t="str">
        <f t="shared" si="3"/>
        <v>paced,</v>
      </c>
      <c r="Y558" s="49"/>
      <c r="Z558" s="1" t="s">
        <v>342</v>
      </c>
      <c r="AA558" s="1" t="s">
        <v>2699</v>
      </c>
      <c r="AB558" s="49" t="str">
        <f>IFERROR(__xludf.DUMMYFUNCTION("""COMPUTED_VALUE"""),"musical")</f>
        <v>musical</v>
      </c>
      <c r="AC558" s="49"/>
      <c r="AD558" s="49" t="str">
        <f>IFERROR(__xludf.DUMMYFUNCTION("""COMPUTED_VALUE"""),"saved")</f>
        <v>saved</v>
      </c>
      <c r="AE558" s="49" t="str">
        <f>IFERROR(__xludf.DUMMYFUNCTION("""COMPUTED_VALUE"""),"flow")</f>
        <v>flow</v>
      </c>
      <c r="AF558" s="49" t="str">
        <f t="shared" si="4"/>
        <v>found,</v>
      </c>
      <c r="AG558" s="49"/>
      <c r="AH558" s="1" t="s">
        <v>2276</v>
      </c>
      <c r="AI558" s="1" t="s">
        <v>6337</v>
      </c>
      <c r="AJ558" s="6" t="str">
        <f>IFERROR(__xludf.DUMMYFUNCTION("""COMPUTED_VALUE"""),"machine")</f>
        <v>machine</v>
      </c>
      <c r="AK558" s="49"/>
      <c r="AL558" s="49"/>
      <c r="AM558" s="49"/>
      <c r="AN558" s="52" t="str">
        <f t="shared" si="5"/>
        <v>appears,</v>
      </c>
    </row>
    <row r="559">
      <c r="A559" s="51"/>
      <c r="B559" s="50" t="s">
        <v>5197</v>
      </c>
      <c r="C559" s="50" t="s">
        <v>2479</v>
      </c>
      <c r="D559" s="49" t="str">
        <f>IFERROR(__xludf.DUMMYFUNCTION("""COMPUTED_VALUE"""),"beginning")</f>
        <v>beginning</v>
      </c>
      <c r="E559" s="49"/>
      <c r="F559" s="49"/>
      <c r="G559" s="49"/>
      <c r="H559" s="54" t="str">
        <f t="shared" si="1"/>
        <v>singing,</v>
      </c>
      <c r="I559" s="50"/>
      <c r="J559" s="50" t="s">
        <v>2215</v>
      </c>
      <c r="K559" s="50" t="s">
        <v>2706</v>
      </c>
      <c r="L559" s="49" t="str">
        <f>IFERROR(__xludf.DUMMYFUNCTION("""COMPUTED_VALUE"""),"bullock")</f>
        <v>bullock</v>
      </c>
      <c r="M559" s="49"/>
      <c r="N559" s="49" t="str">
        <f>IFERROR(__xludf.DUMMYFUNCTION("""COMPUTED_VALUE"""),"boo")</f>
        <v>boo</v>
      </c>
      <c r="O559" s="49" t="str">
        <f>IFERROR(__xludf.DUMMYFUNCTION("""COMPUTED_VALUE"""),"diaries")</f>
        <v>diaries</v>
      </c>
      <c r="P559" s="49" t="str">
        <f t="shared" si="2"/>
        <v>tone,</v>
      </c>
      <c r="Q559" s="49"/>
      <c r="R559" s="50" t="s">
        <v>2281</v>
      </c>
      <c r="S559" s="55" t="s">
        <v>335</v>
      </c>
      <c r="T559" s="49" t="str">
        <f>IFERROR(__xludf.DUMMYFUNCTION("""COMPUTED_VALUE"""),"basic")</f>
        <v>basic</v>
      </c>
      <c r="U559" s="49"/>
      <c r="V559" s="49" t="str">
        <f>IFERROR(__xludf.DUMMYFUNCTION("""COMPUTED_VALUE"""),"vi")</f>
        <v>vi</v>
      </c>
      <c r="W559" s="49" t="str">
        <f>IFERROR(__xludf.DUMMYFUNCTION("""COMPUTED_VALUE"""),"indoor")</f>
        <v>indoor</v>
      </c>
      <c r="X559" s="49" t="str">
        <f t="shared" si="3"/>
        <v>toward,</v>
      </c>
      <c r="Y559" s="49"/>
      <c r="Z559" s="1" t="s">
        <v>2572</v>
      </c>
      <c r="AA559" s="1" t="s">
        <v>2703</v>
      </c>
      <c r="AB559" s="49" t="str">
        <f>IFERROR(__xludf.DUMMYFUNCTION("""COMPUTED_VALUE"""),"shelf")</f>
        <v>shelf</v>
      </c>
      <c r="AC559" s="49"/>
      <c r="AD559" s="49" t="str">
        <f>IFERROR(__xludf.DUMMYFUNCTION("""COMPUTED_VALUE"""),"boo")</f>
        <v>boo</v>
      </c>
      <c r="AE559" s="49" t="str">
        <f>IFERROR(__xludf.DUMMYFUNCTION("""COMPUTED_VALUE"""),"diaries")</f>
        <v>diaries</v>
      </c>
      <c r="AF559" s="49" t="str">
        <f t="shared" si="4"/>
        <v>cheap,</v>
      </c>
      <c r="AG559" s="49"/>
      <c r="AH559" s="1" t="s">
        <v>1989</v>
      </c>
      <c r="AI559" s="1" t="s">
        <v>1955</v>
      </c>
      <c r="AJ559" s="6" t="str">
        <f>IFERROR(__xludf.DUMMYFUNCTION("""COMPUTED_VALUE"""),"ones")</f>
        <v>ones</v>
      </c>
      <c r="AK559" s="49"/>
      <c r="AL559" s="49"/>
      <c r="AM559" s="49"/>
      <c r="AN559" s="52" t="str">
        <f t="shared" si="5"/>
        <v>machine,</v>
      </c>
    </row>
    <row r="560">
      <c r="A560" s="51"/>
      <c r="B560" s="50" t="s">
        <v>4178</v>
      </c>
      <c r="C560" s="50" t="s">
        <v>2062</v>
      </c>
      <c r="D560" s="49" t="str">
        <f>IFERROR(__xludf.DUMMYFUNCTION("""COMPUTED_VALUE"""),"halfway")</f>
        <v>halfway</v>
      </c>
      <c r="E560" s="49"/>
      <c r="F560" s="49"/>
      <c r="G560" s="49"/>
      <c r="H560" s="54" t="str">
        <f t="shared" si="1"/>
        <v>dancing,</v>
      </c>
      <c r="I560" s="50"/>
      <c r="J560" s="50" t="s">
        <v>6337</v>
      </c>
      <c r="K560" s="50" t="s">
        <v>1608</v>
      </c>
      <c r="L560" s="49" t="str">
        <f>IFERROR(__xludf.DUMMYFUNCTION("""COMPUTED_VALUE"""),"spanning")</f>
        <v>spanning</v>
      </c>
      <c r="M560" s="49"/>
      <c r="N560" s="49" t="str">
        <f>IFERROR(__xludf.DUMMYFUNCTION("""COMPUTED_VALUE"""),"gut")</f>
        <v>gut</v>
      </c>
      <c r="O560" s="49" t="str">
        <f>IFERROR(__xludf.DUMMYFUNCTION("""COMPUTED_VALUE"""),"stimulating")</f>
        <v>stimulating</v>
      </c>
      <c r="P560" s="49" t="str">
        <f t="shared" si="2"/>
        <v>girl,</v>
      </c>
      <c r="Q560" s="49"/>
      <c r="R560" s="50" t="s">
        <v>6445</v>
      </c>
      <c r="S560" s="55" t="s">
        <v>792</v>
      </c>
      <c r="T560" s="49" t="str">
        <f>IFERROR(__xludf.DUMMYFUNCTION("""COMPUTED_VALUE"""),"soul")</f>
        <v>soul</v>
      </c>
      <c r="U560" s="49"/>
      <c r="V560" s="49" t="str">
        <f>IFERROR(__xludf.DUMMYFUNCTION("""COMPUTED_VALUE"""),"fright")</f>
        <v>fright</v>
      </c>
      <c r="W560" s="49" t="str">
        <f>IFERROR(__xludf.DUMMYFUNCTION("""COMPUTED_VALUE"""),"underwater")</f>
        <v>underwater</v>
      </c>
      <c r="X560" s="49" t="str">
        <f t="shared" si="3"/>
        <v>sad,</v>
      </c>
      <c r="Y560" s="49"/>
      <c r="Z560" s="1" t="s">
        <v>6431</v>
      </c>
      <c r="AA560" s="1" t="s">
        <v>1949</v>
      </c>
      <c r="AB560" s="49" t="str">
        <f>IFERROR(__xludf.DUMMYFUNCTION("""COMPUTED_VALUE"""),"room")</f>
        <v>room</v>
      </c>
      <c r="AC560" s="49"/>
      <c r="AD560" s="49" t="str">
        <f>IFERROR(__xludf.DUMMYFUNCTION("""COMPUTED_VALUE"""),"gut")</f>
        <v>gut</v>
      </c>
      <c r="AE560" s="49" t="str">
        <f>IFERROR(__xludf.DUMMYFUNCTION("""COMPUTED_VALUE"""),"stimulating")</f>
        <v>stimulating</v>
      </c>
      <c r="AF560" s="49" t="str">
        <f t="shared" si="4"/>
        <v>sort,</v>
      </c>
      <c r="AG560" s="49"/>
      <c r="AH560" s="1" t="s">
        <v>4155</v>
      </c>
      <c r="AI560" s="1" t="s">
        <v>1161</v>
      </c>
      <c r="AJ560" s="6" t="str">
        <f>IFERROR(__xludf.DUMMYFUNCTION("""COMPUTED_VALUE"""),"telling")</f>
        <v>telling</v>
      </c>
      <c r="AK560" s="49"/>
      <c r="AL560" s="49"/>
      <c r="AM560" s="49"/>
      <c r="AN560" s="52" t="str">
        <f t="shared" si="5"/>
        <v>ones,</v>
      </c>
    </row>
    <row r="561">
      <c r="A561" s="51"/>
      <c r="B561" s="50" t="s">
        <v>5506</v>
      </c>
      <c r="C561" s="50" t="s">
        <v>2064</v>
      </c>
      <c r="D561" s="49" t="str">
        <f>IFERROR(__xludf.DUMMYFUNCTION("""COMPUTED_VALUE"""),"easy")</f>
        <v>easy</v>
      </c>
      <c r="E561" s="49"/>
      <c r="F561" s="49"/>
      <c r="G561" s="49"/>
      <c r="H561" s="54" t="str">
        <f t="shared" si="1"/>
        <v>criticism,</v>
      </c>
      <c r="I561" s="50"/>
      <c r="J561" s="50" t="s">
        <v>1331</v>
      </c>
      <c r="K561" s="50" t="s">
        <v>300</v>
      </c>
      <c r="L561" s="49" t="str">
        <f>IFERROR(__xludf.DUMMYFUNCTION("""COMPUTED_VALUE"""),"sisters")</f>
        <v>sisters</v>
      </c>
      <c r="M561" s="49"/>
      <c r="N561" s="49" t="str">
        <f>IFERROR(__xludf.DUMMYFUNCTION("""COMPUTED_VALUE"""),"looked")</f>
        <v>looked</v>
      </c>
      <c r="O561" s="49" t="str">
        <f>IFERROR(__xludf.DUMMYFUNCTION("""COMPUTED_VALUE"""),"jones")</f>
        <v>jones</v>
      </c>
      <c r="P561" s="49" t="str">
        <f t="shared" si="2"/>
        <v>death,</v>
      </c>
      <c r="Q561" s="49"/>
      <c r="R561" s="50" t="s">
        <v>2064</v>
      </c>
      <c r="S561" s="55" t="s">
        <v>2144</v>
      </c>
      <c r="T561" s="49" t="str">
        <f>IFERROR(__xludf.DUMMYFUNCTION("""COMPUTED_VALUE"""),"fallen")</f>
        <v>fallen</v>
      </c>
      <c r="U561" s="49"/>
      <c r="V561" s="49" t="str">
        <f>IFERROR(__xludf.DUMMYFUNCTION("""COMPUTED_VALUE"""),"altogether")</f>
        <v>altogether</v>
      </c>
      <c r="W561" s="49" t="str">
        <f>IFERROR(__xludf.DUMMYFUNCTION("""COMPUTED_VALUE"""),"ocean")</f>
        <v>ocean</v>
      </c>
      <c r="X561" s="49" t="str">
        <f t="shared" si="3"/>
        <v>admission,</v>
      </c>
      <c r="Y561" s="49"/>
      <c r="Z561" s="1" t="s">
        <v>164</v>
      </c>
      <c r="AA561" s="1" t="s">
        <v>2708</v>
      </c>
      <c r="AB561" s="49" t="str">
        <f>IFERROR(__xludf.DUMMYFUNCTION("""COMPUTED_VALUE"""),"editing")</f>
        <v>editing</v>
      </c>
      <c r="AC561" s="49"/>
      <c r="AD561" s="49" t="str">
        <f>IFERROR(__xludf.DUMMYFUNCTION("""COMPUTED_VALUE"""),"looked")</f>
        <v>looked</v>
      </c>
      <c r="AE561" s="49" t="str">
        <f>IFERROR(__xludf.DUMMYFUNCTION("""COMPUTED_VALUE"""),"jones")</f>
        <v>jones</v>
      </c>
      <c r="AF561" s="49" t="str">
        <f t="shared" si="4"/>
        <v>worst,</v>
      </c>
      <c r="AG561" s="49"/>
      <c r="AH561" s="1" t="s">
        <v>6579</v>
      </c>
      <c r="AI561" s="1" t="s">
        <v>2166</v>
      </c>
      <c r="AJ561" s="6" t="str">
        <f>IFERROR(__xludf.DUMMYFUNCTION("""COMPUTED_VALUE"""),"classic")</f>
        <v>classic</v>
      </c>
      <c r="AK561" s="49"/>
      <c r="AL561" s="49"/>
      <c r="AM561" s="49"/>
      <c r="AN561" s="52" t="str">
        <f t="shared" si="5"/>
        <v>telling,</v>
      </c>
    </row>
    <row r="562">
      <c r="A562" s="51"/>
      <c r="B562" s="50" t="s">
        <v>5923</v>
      </c>
      <c r="C562" s="50" t="s">
        <v>1256</v>
      </c>
      <c r="D562" s="49" t="str">
        <f>IFERROR(__xludf.DUMMYFUNCTION("""COMPUTED_VALUE"""),"borders")</f>
        <v>borders</v>
      </c>
      <c r="E562" s="49"/>
      <c r="F562" s="49"/>
      <c r="G562" s="49"/>
      <c r="H562" s="54" t="str">
        <f t="shared" si="1"/>
        <v>targets,</v>
      </c>
      <c r="I562" s="50"/>
      <c r="J562" s="50" t="s">
        <v>442</v>
      </c>
      <c r="K562" s="50" t="s">
        <v>1739</v>
      </c>
      <c r="L562" s="49" t="str">
        <f>IFERROR(__xludf.DUMMYFUNCTION("""COMPUTED_VALUE"""),"ed")</f>
        <v>ed</v>
      </c>
      <c r="M562" s="49"/>
      <c r="N562" s="49" t="str">
        <f>IFERROR(__xludf.DUMMYFUNCTION("""COMPUTED_VALUE"""),"leaving")</f>
        <v>leaving</v>
      </c>
      <c r="O562" s="49" t="str">
        <f>IFERROR(__xludf.DUMMYFUNCTION("""COMPUTED_VALUE"""),"courtship")</f>
        <v>courtship</v>
      </c>
      <c r="P562" s="49" t="str">
        <f t="shared" si="2"/>
        <v>black,</v>
      </c>
      <c r="Q562" s="49"/>
      <c r="R562" s="50" t="s">
        <v>6407</v>
      </c>
      <c r="S562" s="55" t="s">
        <v>1309</v>
      </c>
      <c r="T562" s="49" t="str">
        <f>IFERROR(__xludf.DUMMYFUNCTION("""COMPUTED_VALUE"""),"filled")</f>
        <v>filled</v>
      </c>
      <c r="U562" s="49"/>
      <c r="V562" s="49" t="str">
        <f>IFERROR(__xludf.DUMMYFUNCTION("""COMPUTED_VALUE"""),"freshly")</f>
        <v>freshly</v>
      </c>
      <c r="W562" s="49" t="str">
        <f>IFERROR(__xludf.DUMMYFUNCTION("""COMPUTED_VALUE"""),"somewhere")</f>
        <v>somewhere</v>
      </c>
      <c r="X562" s="49" t="str">
        <f t="shared" si="3"/>
        <v>punk,</v>
      </c>
      <c r="Y562" s="49"/>
      <c r="Z562" s="1" t="s">
        <v>3743</v>
      </c>
      <c r="AA562" s="1" t="s">
        <v>405</v>
      </c>
      <c r="AB562" s="49" t="str">
        <f>IFERROR(__xludf.DUMMYFUNCTION("""COMPUTED_VALUE"""),"stories")</f>
        <v>stories</v>
      </c>
      <c r="AC562" s="49"/>
      <c r="AD562" s="49" t="str">
        <f>IFERROR(__xludf.DUMMYFUNCTION("""COMPUTED_VALUE"""),"leaving")</f>
        <v>leaving</v>
      </c>
      <c r="AE562" s="49" t="str">
        <f>IFERROR(__xludf.DUMMYFUNCTION("""COMPUTED_VALUE"""),"courtship")</f>
        <v>courtship</v>
      </c>
      <c r="AF562" s="49" t="str">
        <f t="shared" si="4"/>
        <v>executive,</v>
      </c>
      <c r="AG562" s="49"/>
      <c r="AH562" s="1" t="s">
        <v>6290</v>
      </c>
      <c r="AI562" s="1" t="s">
        <v>1961</v>
      </c>
      <c r="AJ562" s="6" t="str">
        <f>IFERROR(__xludf.DUMMYFUNCTION("""COMPUTED_VALUE"""),"showing")</f>
        <v>showing</v>
      </c>
      <c r="AK562" s="49"/>
      <c r="AL562" s="49"/>
      <c r="AM562" s="49"/>
      <c r="AN562" s="52" t="str">
        <f t="shared" si="5"/>
        <v>classic,</v>
      </c>
    </row>
    <row r="563">
      <c r="A563" s="51"/>
      <c r="B563" s="50" t="s">
        <v>1519</v>
      </c>
      <c r="C563" s="50" t="s">
        <v>3058</v>
      </c>
      <c r="D563" s="49" t="str">
        <f>IFERROR(__xludf.DUMMYFUNCTION("""COMPUTED_VALUE"""),"hard")</f>
        <v>hard</v>
      </c>
      <c r="E563" s="49"/>
      <c r="F563" s="49"/>
      <c r="G563" s="49"/>
      <c r="H563" s="54" t="str">
        <f t="shared" si="1"/>
        <v>chicken,</v>
      </c>
      <c r="I563" s="50"/>
      <c r="J563" s="50" t="s">
        <v>843</v>
      </c>
      <c r="K563" s="50" t="s">
        <v>1825</v>
      </c>
      <c r="L563" s="49" t="str">
        <f>IFERROR(__xludf.DUMMYFUNCTION("""COMPUTED_VALUE"""),"prospect")</f>
        <v>prospect</v>
      </c>
      <c r="M563" s="49"/>
      <c r="N563" s="49" t="str">
        <f>IFERROR(__xludf.DUMMYFUNCTION("""COMPUTED_VALUE"""),"realizes")</f>
        <v>realizes</v>
      </c>
      <c r="O563" s="49" t="str">
        <f>IFERROR(__xludf.DUMMYFUNCTION("""COMPUTED_VALUE"""),"yale")</f>
        <v>yale</v>
      </c>
      <c r="P563" s="49" t="str">
        <f t="shared" si="2"/>
        <v>early,</v>
      </c>
      <c r="Q563" s="49"/>
      <c r="R563" s="50" t="s">
        <v>6677</v>
      </c>
      <c r="S563" s="55" t="s">
        <v>1301</v>
      </c>
      <c r="T563" s="49" t="str">
        <f>IFERROR(__xludf.DUMMYFUNCTION("""COMPUTED_VALUE"""),"ring")</f>
        <v>ring</v>
      </c>
      <c r="U563" s="49"/>
      <c r="V563" s="49" t="str">
        <f>IFERROR(__xludf.DUMMYFUNCTION("""COMPUTED_VALUE"""),"depend")</f>
        <v>depend</v>
      </c>
      <c r="W563" s="49" t="str">
        <f>IFERROR(__xludf.DUMMYFUNCTION("""COMPUTED_VALUE"""),"bermuda")</f>
        <v>bermuda</v>
      </c>
      <c r="X563" s="49" t="str">
        <f t="shared" si="3"/>
        <v>cost,</v>
      </c>
      <c r="Y563" s="49"/>
      <c r="Z563" s="1" t="s">
        <v>785</v>
      </c>
      <c r="AA563" s="1" t="s">
        <v>416</v>
      </c>
      <c r="AB563" s="49" t="str">
        <f>IFERROR(__xludf.DUMMYFUNCTION("""COMPUTED_VALUE"""),"mainstream")</f>
        <v>mainstream</v>
      </c>
      <c r="AC563" s="49"/>
      <c r="AD563" s="49" t="str">
        <f>IFERROR(__xludf.DUMMYFUNCTION("""COMPUTED_VALUE"""),"realizes")</f>
        <v>realizes</v>
      </c>
      <c r="AE563" s="49" t="str">
        <f>IFERROR(__xludf.DUMMYFUNCTION("""COMPUTED_VALUE"""),"yale")</f>
        <v>yale</v>
      </c>
      <c r="AF563" s="49" t="str">
        <f t="shared" si="4"/>
        <v>saw,</v>
      </c>
      <c r="AG563" s="49"/>
      <c r="AH563" s="1" t="s">
        <v>2030</v>
      </c>
      <c r="AI563" s="1" t="s">
        <v>2175</v>
      </c>
      <c r="AJ563" s="6" t="str">
        <f>IFERROR(__xludf.DUMMYFUNCTION("""COMPUTED_VALUE"""),"darkness")</f>
        <v>darkness</v>
      </c>
      <c r="AK563" s="49"/>
      <c r="AL563" s="49"/>
      <c r="AM563" s="49"/>
      <c r="AN563" s="52" t="str">
        <f t="shared" si="5"/>
        <v>showing,</v>
      </c>
    </row>
    <row r="564">
      <c r="A564" s="51"/>
      <c r="B564" s="50" t="s">
        <v>5203</v>
      </c>
      <c r="C564" s="50" t="s">
        <v>1263</v>
      </c>
      <c r="D564" s="49" t="str">
        <f>IFERROR(__xludf.DUMMYFUNCTION("""COMPUTED_VALUE"""),"arts")</f>
        <v>arts</v>
      </c>
      <c r="E564" s="49"/>
      <c r="F564" s="49"/>
      <c r="G564" s="49"/>
      <c r="H564" s="54" t="str">
        <f t="shared" si="1"/>
        <v>glow,</v>
      </c>
      <c r="I564" s="50"/>
      <c r="J564" s="50" t="s">
        <v>1224</v>
      </c>
      <c r="K564" s="50" t="s">
        <v>308</v>
      </c>
      <c r="L564" s="49" t="str">
        <f>IFERROR(__xludf.DUMMYFUNCTION("""COMPUTED_VALUE"""),"hold")</f>
        <v>hold</v>
      </c>
      <c r="M564" s="49"/>
      <c r="N564" s="49" t="str">
        <f>IFERROR(__xludf.DUMMYFUNCTION("""COMPUTED_VALUE"""),"month")</f>
        <v>month</v>
      </c>
      <c r="O564" s="49" t="str">
        <f>IFERROR(__xludf.DUMMYFUNCTION("""COMPUTED_VALUE"""),"leads")</f>
        <v>leads</v>
      </c>
      <c r="P564" s="49" t="str">
        <f t="shared" si="2"/>
        <v>protagonist,</v>
      </c>
      <c r="Q564" s="49"/>
      <c r="R564" s="50" t="s">
        <v>1971</v>
      </c>
      <c r="S564" s="55" t="s">
        <v>1296</v>
      </c>
      <c r="T564" s="49" t="str">
        <f>IFERROR(__xludf.DUMMYFUNCTION("""COMPUTED_VALUE"""),"lead")</f>
        <v>lead</v>
      </c>
      <c r="U564" s="49"/>
      <c r="V564" s="49" t="str">
        <f>IFERROR(__xludf.DUMMYFUNCTION("""COMPUTED_VALUE"""),"benign")</f>
        <v>benign</v>
      </c>
      <c r="W564" s="49" t="str">
        <f>IFERROR(__xludf.DUMMYFUNCTION("""COMPUTED_VALUE"""),"leon")</f>
        <v>leon</v>
      </c>
      <c r="X564" s="49" t="str">
        <f t="shared" si="3"/>
        <v>dramatic,</v>
      </c>
      <c r="Y564" s="49"/>
      <c r="Z564" s="1" t="s">
        <v>2055</v>
      </c>
      <c r="AA564" s="1" t="s">
        <v>2717</v>
      </c>
      <c r="AB564" s="49" t="str">
        <f>IFERROR(__xludf.DUMMYFUNCTION("""COMPUTED_VALUE"""),"primarily")</f>
        <v>primarily</v>
      </c>
      <c r="AC564" s="49"/>
      <c r="AD564" s="49" t="str">
        <f>IFERROR(__xludf.DUMMYFUNCTION("""COMPUTED_VALUE"""),"month")</f>
        <v>month</v>
      </c>
      <c r="AE564" s="49" t="str">
        <f>IFERROR(__xludf.DUMMYFUNCTION("""COMPUTED_VALUE"""),"leads")</f>
        <v>leads</v>
      </c>
      <c r="AF564" s="49" t="str">
        <f t="shared" si="4"/>
        <v>supposed,</v>
      </c>
      <c r="AG564" s="49"/>
      <c r="AH564" s="1" t="s">
        <v>2765</v>
      </c>
      <c r="AI564" s="1" t="s">
        <v>1975</v>
      </c>
      <c r="AJ564" s="6" t="str">
        <f>IFERROR(__xludf.DUMMYFUNCTION("""COMPUTED_VALUE"""),"violence")</f>
        <v>violence</v>
      </c>
      <c r="AK564" s="49"/>
      <c r="AL564" s="49"/>
      <c r="AM564" s="49"/>
      <c r="AN564" s="52" t="str">
        <f t="shared" si="5"/>
        <v>darkness,</v>
      </c>
    </row>
    <row r="565">
      <c r="A565" s="51"/>
      <c r="B565" s="50" t="s">
        <v>807</v>
      </c>
      <c r="C565" s="50" t="s">
        <v>5125</v>
      </c>
      <c r="D565" s="49" t="str">
        <f>IFERROR(__xludf.DUMMYFUNCTION("""COMPUTED_VALUE"""),"computer")</f>
        <v>computer</v>
      </c>
      <c r="E565" s="49"/>
      <c r="F565" s="49"/>
      <c r="G565" s="49"/>
      <c r="H565" s="54" t="str">
        <f t="shared" si="1"/>
        <v>forgive,</v>
      </c>
      <c r="I565" s="50"/>
      <c r="J565" s="50" t="s">
        <v>767</v>
      </c>
      <c r="K565" s="50" t="s">
        <v>2722</v>
      </c>
      <c r="L565" s="49" t="str">
        <f>IFERROR(__xludf.DUMMYFUNCTION("""COMPUTED_VALUE"""),"conservative")</f>
        <v>conservative</v>
      </c>
      <c r="M565" s="49"/>
      <c r="N565" s="49" t="str">
        <f>IFERROR(__xludf.DUMMYFUNCTION("""COMPUTED_VALUE"""),"makeup")</f>
        <v>makeup</v>
      </c>
      <c r="O565" s="49" t="str">
        <f>IFERROR(__xludf.DUMMYFUNCTION("""COMPUTED_VALUE"""),"identification")</f>
        <v>identification</v>
      </c>
      <c r="P565" s="49" t="str">
        <f t="shared" si="2"/>
        <v>rich,</v>
      </c>
      <c r="Q565" s="49"/>
      <c r="R565" s="50" t="s">
        <v>5017</v>
      </c>
      <c r="S565" s="55" t="s">
        <v>4966</v>
      </c>
      <c r="T565" s="49" t="str">
        <f>IFERROR(__xludf.DUMMYFUNCTION("""COMPUTED_VALUE"""),"irony")</f>
        <v>irony</v>
      </c>
      <c r="U565" s="49"/>
      <c r="V565" s="49" t="str">
        <f>IFERROR(__xludf.DUMMYFUNCTION("""COMPUTED_VALUE"""),"protective")</f>
        <v>protective</v>
      </c>
      <c r="W565" s="49" t="str">
        <f>IFERROR(__xludf.DUMMYFUNCTION("""COMPUTED_VALUE"""),"satirical")</f>
        <v>satirical</v>
      </c>
      <c r="X565" s="49" t="str">
        <f t="shared" si="3"/>
        <v>remains,</v>
      </c>
      <c r="Y565" s="49"/>
      <c r="Z565" s="1" t="s">
        <v>4040</v>
      </c>
      <c r="AA565" s="1" t="s">
        <v>423</v>
      </c>
      <c r="AB565" s="49" t="str">
        <f>IFERROR(__xludf.DUMMYFUNCTION("""COMPUTED_VALUE"""),"office")</f>
        <v>office</v>
      </c>
      <c r="AC565" s="49"/>
      <c r="AD565" s="49" t="str">
        <f>IFERROR(__xludf.DUMMYFUNCTION("""COMPUTED_VALUE"""),"makeup")</f>
        <v>makeup</v>
      </c>
      <c r="AE565" s="49" t="str">
        <f>IFERROR(__xludf.DUMMYFUNCTION("""COMPUTED_VALUE"""),"identification")</f>
        <v>identification</v>
      </c>
      <c r="AF565" s="49" t="str">
        <f t="shared" si="4"/>
        <v>gives,</v>
      </c>
      <c r="AG565" s="49"/>
      <c r="AH565" s="1" t="s">
        <v>48</v>
      </c>
      <c r="AI565" s="1" t="s">
        <v>2178</v>
      </c>
      <c r="AJ565" s="6" t="str">
        <f>IFERROR(__xludf.DUMMYFUNCTION("""COMPUTED_VALUE"""),"monster")</f>
        <v>monster</v>
      </c>
      <c r="AK565" s="49"/>
      <c r="AL565" s="49"/>
      <c r="AM565" s="49"/>
      <c r="AN565" s="52" t="str">
        <f t="shared" si="5"/>
        <v>violence,</v>
      </c>
    </row>
    <row r="566">
      <c r="A566" s="51"/>
      <c r="B566" s="50" t="s">
        <v>593</v>
      </c>
      <c r="C566" s="50" t="s">
        <v>1207</v>
      </c>
      <c r="D566" s="49" t="str">
        <f>IFERROR(__xludf.DUMMYFUNCTION("""COMPUTED_VALUE"""),"guns")</f>
        <v>guns</v>
      </c>
      <c r="E566" s="49"/>
      <c r="F566" s="49"/>
      <c r="G566" s="49"/>
      <c r="H566" s="54" t="str">
        <f t="shared" si="1"/>
        <v>us,</v>
      </c>
      <c r="I566" s="50"/>
      <c r="J566" s="50" t="s">
        <v>5684</v>
      </c>
      <c r="K566" s="50" t="s">
        <v>2380</v>
      </c>
      <c r="L566" s="49" t="str">
        <f>IFERROR(__xludf.DUMMYFUNCTION("""COMPUTED_VALUE"""),"widow")</f>
        <v>widow</v>
      </c>
      <c r="M566" s="49"/>
      <c r="N566" s="49" t="str">
        <f>IFERROR(__xludf.DUMMYFUNCTION("""COMPUTED_VALUE"""),"target")</f>
        <v>target</v>
      </c>
      <c r="O566" s="49" t="str">
        <f>IFERROR(__xludf.DUMMYFUNCTION("""COMPUTED_VALUE"""),"hotels")</f>
        <v>hotels</v>
      </c>
      <c r="P566" s="49" t="str">
        <f t="shared" si="2"/>
        <v>bo,</v>
      </c>
      <c r="Q566" s="49"/>
      <c r="R566" s="50" t="s">
        <v>4057</v>
      </c>
      <c r="S566" s="55" t="s">
        <v>1348</v>
      </c>
      <c r="T566" s="49" t="str">
        <f>IFERROR(__xludf.DUMMYFUNCTION("""COMPUTED_VALUE"""),"walked")</f>
        <v>walked</v>
      </c>
      <c r="U566" s="49"/>
      <c r="V566" s="49" t="str">
        <f>IFERROR(__xludf.DUMMYFUNCTION("""COMPUTED_VALUE"""),"tucked")</f>
        <v>tucked</v>
      </c>
      <c r="W566" s="49" t="str">
        <f>IFERROR(__xludf.DUMMYFUNCTION("""COMPUTED_VALUE"""),"pained")</f>
        <v>pained</v>
      </c>
      <c r="X566" s="49" t="str">
        <f t="shared" si="3"/>
        <v>talk,</v>
      </c>
      <c r="Y566" s="49"/>
      <c r="Z566" s="1" t="s">
        <v>2095</v>
      </c>
      <c r="AA566" s="1" t="s">
        <v>1944</v>
      </c>
      <c r="AB566" s="49" t="str">
        <f>IFERROR(__xludf.DUMMYFUNCTION("""COMPUTED_VALUE"""),"psychology")</f>
        <v>psychology</v>
      </c>
      <c r="AC566" s="49"/>
      <c r="AD566" s="49" t="str">
        <f>IFERROR(__xludf.DUMMYFUNCTION("""COMPUTED_VALUE"""),"target")</f>
        <v>target</v>
      </c>
      <c r="AE566" s="49" t="str">
        <f>IFERROR(__xludf.DUMMYFUNCTION("""COMPUTED_VALUE"""),"hotels")</f>
        <v>hotels</v>
      </c>
      <c r="AF566" s="49" t="str">
        <f t="shared" si="4"/>
        <v>hardly,</v>
      </c>
      <c r="AG566" s="49"/>
      <c r="AH566" s="1" t="s">
        <v>2594</v>
      </c>
      <c r="AI566" s="1" t="s">
        <v>1174</v>
      </c>
      <c r="AJ566" s="6" t="str">
        <f>IFERROR(__xludf.DUMMYFUNCTION("""COMPUTED_VALUE"""),"bloody")</f>
        <v>bloody</v>
      </c>
      <c r="AK566" s="49"/>
      <c r="AL566" s="49"/>
      <c r="AM566" s="49"/>
      <c r="AN566" s="52" t="str">
        <f t="shared" si="5"/>
        <v>monster,</v>
      </c>
    </row>
    <row r="567">
      <c r="A567" s="51"/>
      <c r="B567" s="50" t="s">
        <v>1205</v>
      </c>
      <c r="C567" s="50" t="s">
        <v>2074</v>
      </c>
      <c r="D567" s="49" t="str">
        <f>IFERROR(__xludf.DUMMYFUNCTION("""COMPUTED_VALUE"""),"camera")</f>
        <v>camera</v>
      </c>
      <c r="E567" s="49"/>
      <c r="F567" s="49"/>
      <c r="G567" s="49"/>
      <c r="H567" s="54" t="str">
        <f t="shared" si="1"/>
        <v>four,</v>
      </c>
      <c r="I567" s="50"/>
      <c r="J567" s="50" t="s">
        <v>3066</v>
      </c>
      <c r="K567" s="50" t="s">
        <v>2376</v>
      </c>
      <c r="L567" s="49" t="str">
        <f>IFERROR(__xludf.DUMMYFUNCTION("""COMPUTED_VALUE"""),"gift")</f>
        <v>gift</v>
      </c>
      <c r="M567" s="49"/>
      <c r="N567" s="49" t="str">
        <f>IFERROR(__xludf.DUMMYFUNCTION("""COMPUTED_VALUE"""),"farm")</f>
        <v>farm</v>
      </c>
      <c r="O567" s="49" t="str">
        <f>IFERROR(__xludf.DUMMYFUNCTION("""COMPUTED_VALUE"""),"retaining")</f>
        <v>retaining</v>
      </c>
      <c r="P567" s="49" t="str">
        <f t="shared" si="2"/>
        <v>star,</v>
      </c>
      <c r="Q567" s="49"/>
      <c r="R567" s="50" t="s">
        <v>3475</v>
      </c>
      <c r="S567" s="55" t="s">
        <v>2398</v>
      </c>
      <c r="T567" s="49" t="str">
        <f>IFERROR(__xludf.DUMMYFUNCTION("""COMPUTED_VALUE"""),"female")</f>
        <v>female</v>
      </c>
      <c r="U567" s="49"/>
      <c r="V567" s="49" t="str">
        <f>IFERROR(__xludf.DUMMYFUNCTION("""COMPUTED_VALUE"""),"defensive")</f>
        <v>defensive</v>
      </c>
      <c r="W567" s="49" t="str">
        <f>IFERROR(__xludf.DUMMYFUNCTION("""COMPUTED_VALUE"""),"truth")</f>
        <v>truth</v>
      </c>
      <c r="X567" s="49" t="str">
        <f t="shared" si="3"/>
        <v>trick,</v>
      </c>
      <c r="Y567" s="49"/>
      <c r="Z567" s="1" t="s">
        <v>559</v>
      </c>
      <c r="AA567" s="1" t="s">
        <v>2725</v>
      </c>
      <c r="AB567" s="49" t="str">
        <f>IFERROR(__xludf.DUMMYFUNCTION("""COMPUTED_VALUE"""),"antics")</f>
        <v>antics</v>
      </c>
      <c r="AC567" s="49"/>
      <c r="AD567" s="49" t="str">
        <f>IFERROR(__xludf.DUMMYFUNCTION("""COMPUTED_VALUE"""),"farm")</f>
        <v>farm</v>
      </c>
      <c r="AE567" s="49" t="str">
        <f>IFERROR(__xludf.DUMMYFUNCTION("""COMPUTED_VALUE"""),"retaining")</f>
        <v>retaining</v>
      </c>
      <c r="AF567" s="49" t="str">
        <f t="shared" si="4"/>
        <v>worse,</v>
      </c>
      <c r="AG567" s="49"/>
      <c r="AH567" s="1" t="s">
        <v>1018</v>
      </c>
      <c r="AI567" s="1" t="s">
        <v>6344</v>
      </c>
      <c r="AJ567" s="6" t="str">
        <f>IFERROR(__xludf.DUMMYFUNCTION("""COMPUTED_VALUE"""),"lots")</f>
        <v>lots</v>
      </c>
      <c r="AK567" s="49"/>
      <c r="AL567" s="49"/>
      <c r="AM567" s="49"/>
      <c r="AN567" s="52" t="str">
        <f t="shared" si="5"/>
        <v>bloody,</v>
      </c>
    </row>
    <row r="568">
      <c r="A568" s="51"/>
      <c r="B568" s="50" t="s">
        <v>1577</v>
      </c>
      <c r="C568" s="50" t="s">
        <v>2079</v>
      </c>
      <c r="D568" s="49" t="str">
        <f>IFERROR(__xludf.DUMMYFUNCTION("""COMPUTED_VALUE"""),"moves")</f>
        <v>moves</v>
      </c>
      <c r="E568" s="49"/>
      <c r="F568" s="49"/>
      <c r="G568" s="49"/>
      <c r="H568" s="54" t="str">
        <f t="shared" si="1"/>
        <v>following,</v>
      </c>
      <c r="I568" s="50"/>
      <c r="J568" s="50" t="s">
        <v>1131</v>
      </c>
      <c r="K568" s="50" t="s">
        <v>2382</v>
      </c>
      <c r="L568" s="49" t="str">
        <f>IFERROR(__xludf.DUMMYFUNCTION("""COMPUTED_VALUE"""),"intriguing")</f>
        <v>intriguing</v>
      </c>
      <c r="M568" s="49"/>
      <c r="N568" s="49" t="str">
        <f>IFERROR(__xludf.DUMMYFUNCTION("""COMPUTED_VALUE"""),"dire")</f>
        <v>dire</v>
      </c>
      <c r="O568" s="49" t="str">
        <f>IFERROR(__xludf.DUMMYFUNCTION("""COMPUTED_VALUE"""),"mainstream")</f>
        <v>mainstream</v>
      </c>
      <c r="P568" s="49" t="str">
        <f t="shared" si="2"/>
        <v>directed,</v>
      </c>
      <c r="Q568" s="49"/>
      <c r="R568" s="50" t="s">
        <v>3931</v>
      </c>
      <c r="S568" s="55" t="s">
        <v>2148</v>
      </c>
      <c r="T568" s="49" t="str">
        <f>IFERROR(__xludf.DUMMYFUNCTION("""COMPUTED_VALUE"""),"field")</f>
        <v>field</v>
      </c>
      <c r="U568" s="49"/>
      <c r="V568" s="49">
        <f>IFERROR(__xludf.DUMMYFUNCTION("""COMPUTED_VALUE"""),112.0)</f>
        <v>112</v>
      </c>
      <c r="W568" s="49" t="str">
        <f>IFERROR(__xludf.DUMMYFUNCTION("""COMPUTED_VALUE"""),"motives")</f>
        <v>motives</v>
      </c>
      <c r="X568" s="49" t="str">
        <f t="shared" si="3"/>
        <v>themselves,</v>
      </c>
      <c r="Y568" s="49"/>
      <c r="Z568" s="1" t="s">
        <v>6561</v>
      </c>
      <c r="AA568" s="1" t="s">
        <v>430</v>
      </c>
      <c r="AB568" s="49" t="str">
        <f>IFERROR(__xludf.DUMMYFUNCTION("""COMPUTED_VALUE"""),"generating")</f>
        <v>generating</v>
      </c>
      <c r="AC568" s="49"/>
      <c r="AD568" s="49" t="str">
        <f>IFERROR(__xludf.DUMMYFUNCTION("""COMPUTED_VALUE"""),"dire")</f>
        <v>dire</v>
      </c>
      <c r="AE568" s="49" t="str">
        <f>IFERROR(__xludf.DUMMYFUNCTION("""COMPUTED_VALUE"""),"mainstream")</f>
        <v>mainstream</v>
      </c>
      <c r="AF568" s="49" t="str">
        <f t="shared" si="4"/>
        <v>disappointing,</v>
      </c>
      <c r="AG568" s="49"/>
      <c r="AH568" s="1" t="s">
        <v>6542</v>
      </c>
      <c r="AI568" s="1" t="s">
        <v>1283</v>
      </c>
      <c r="AJ568" s="6" t="str">
        <f>IFERROR(__xludf.DUMMYFUNCTION("""COMPUTED_VALUE"""),"opens")</f>
        <v>opens</v>
      </c>
      <c r="AK568" s="49"/>
      <c r="AL568" s="49"/>
      <c r="AM568" s="49"/>
      <c r="AN568" s="52" t="str">
        <f t="shared" si="5"/>
        <v>lots,</v>
      </c>
    </row>
    <row r="569">
      <c r="A569" s="51"/>
      <c r="B569" s="50" t="s">
        <v>1404</v>
      </c>
      <c r="C569" s="50" t="s">
        <v>5458</v>
      </c>
      <c r="D569" s="49" t="str">
        <f>IFERROR(__xludf.DUMMYFUNCTION("""COMPUTED_VALUE"""),"filmed")</f>
        <v>filmed</v>
      </c>
      <c r="E569" s="49"/>
      <c r="F569" s="49"/>
      <c r="G569" s="49"/>
      <c r="H569" s="54" t="str">
        <f t="shared" si="1"/>
        <v>member,</v>
      </c>
      <c r="I569" s="50"/>
      <c r="J569" s="50" t="s">
        <v>2561</v>
      </c>
      <c r="K569" s="50" t="s">
        <v>1223</v>
      </c>
      <c r="L569" s="49" t="str">
        <f>IFERROR(__xludf.DUMMYFUNCTION("""COMPUTED_VALUE"""),"despite")</f>
        <v>despite</v>
      </c>
      <c r="M569" s="49"/>
      <c r="N569" s="49" t="str">
        <f>IFERROR(__xludf.DUMMYFUNCTION("""COMPUTED_VALUE"""),"alec")</f>
        <v>alec</v>
      </c>
      <c r="O569" s="49" t="str">
        <f>IFERROR(__xludf.DUMMYFUNCTION("""COMPUTED_VALUE"""),"menacing")</f>
        <v>menacing</v>
      </c>
      <c r="P569" s="49" t="str">
        <f t="shared" si="2"/>
        <v>impression,</v>
      </c>
      <c r="Q569" s="49"/>
      <c r="R569" s="50" t="s">
        <v>527</v>
      </c>
      <c r="S569" s="55" t="s">
        <v>2406</v>
      </c>
      <c r="T569" s="49" t="str">
        <f>IFERROR(__xludf.DUMMYFUNCTION("""COMPUTED_VALUE"""),"dirty")</f>
        <v>dirty</v>
      </c>
      <c r="U569" s="49"/>
      <c r="V569" s="49" t="str">
        <f>IFERROR(__xludf.DUMMYFUNCTION("""COMPUTED_VALUE"""),"reflect")</f>
        <v>reflect</v>
      </c>
      <c r="W569" s="49" t="str">
        <f>IFERROR(__xludf.DUMMYFUNCTION("""COMPUTED_VALUE"""),"drains")</f>
        <v>drains</v>
      </c>
      <c r="X569" s="49" t="str">
        <f t="shared" si="3"/>
        <v>debut,</v>
      </c>
      <c r="Y569" s="49"/>
      <c r="Z569" s="1" t="s">
        <v>1476</v>
      </c>
      <c r="AA569" s="1" t="s">
        <v>1984</v>
      </c>
      <c r="AB569" s="49" t="str">
        <f>IFERROR(__xludf.DUMMYFUNCTION("""COMPUTED_VALUE"""),"momentum")</f>
        <v>momentum</v>
      </c>
      <c r="AC569" s="49"/>
      <c r="AD569" s="49" t="str">
        <f>IFERROR(__xludf.DUMMYFUNCTION("""COMPUTED_VALUE"""),"alec")</f>
        <v>alec</v>
      </c>
      <c r="AE569" s="49" t="str">
        <f>IFERROR(__xludf.DUMMYFUNCTION("""COMPUTED_VALUE"""),"menacing")</f>
        <v>menacing</v>
      </c>
      <c r="AF569" s="49" t="str">
        <f t="shared" si="4"/>
        <v>becomes,</v>
      </c>
      <c r="AG569" s="49"/>
      <c r="AH569" s="1" t="s">
        <v>5520</v>
      </c>
      <c r="AI569" s="1" t="s">
        <v>1082</v>
      </c>
      <c r="AJ569" s="6" t="str">
        <f>IFERROR(__xludf.DUMMYFUNCTION("""COMPUTED_VALUE"""),"because")</f>
        <v>because</v>
      </c>
      <c r="AK569" s="49"/>
      <c r="AL569" s="49"/>
      <c r="AM569" s="49"/>
      <c r="AN569" s="52" t="str">
        <f t="shared" si="5"/>
        <v>opens,</v>
      </c>
    </row>
    <row r="570">
      <c r="A570" s="51"/>
      <c r="B570" s="50" t="s">
        <v>2658</v>
      </c>
      <c r="C570" s="50" t="s">
        <v>2091</v>
      </c>
      <c r="D570" s="49" t="str">
        <f>IFERROR(__xludf.DUMMYFUNCTION("""COMPUTED_VALUE"""),"martial")</f>
        <v>martial</v>
      </c>
      <c r="E570" s="49"/>
      <c r="F570" s="49"/>
      <c r="G570" s="49"/>
      <c r="H570" s="54" t="str">
        <f t="shared" si="1"/>
        <v>writing,</v>
      </c>
      <c r="I570" s="50"/>
      <c r="J570" s="50" t="s">
        <v>591</v>
      </c>
      <c r="K570" s="50" t="s">
        <v>1618</v>
      </c>
      <c r="L570" s="49" t="str">
        <f>IFERROR(__xludf.DUMMYFUNCTION("""COMPUTED_VALUE"""),"premise")</f>
        <v>premise</v>
      </c>
      <c r="M570" s="49"/>
      <c r="N570" s="49" t="str">
        <f>IFERROR(__xludf.DUMMYFUNCTION("""COMPUTED_VALUE"""),"quickly")</f>
        <v>quickly</v>
      </c>
      <c r="O570" s="49" t="str">
        <f>IFERROR(__xludf.DUMMYFUNCTION("""COMPUTED_VALUE"""),"gangs")</f>
        <v>gangs</v>
      </c>
      <c r="P570" s="49" t="str">
        <f t="shared" si="2"/>
        <v>robert,</v>
      </c>
      <c r="Q570" s="49"/>
      <c r="R570" s="50" t="s">
        <v>1482</v>
      </c>
      <c r="S570" s="55" t="s">
        <v>2856</v>
      </c>
      <c r="T570" s="49" t="str">
        <f>IFERROR(__xludf.DUMMYFUNCTION("""COMPUTED_VALUE"""),"gorgeous")</f>
        <v>gorgeous</v>
      </c>
      <c r="U570" s="49"/>
      <c r="V570" s="49" t="str">
        <f>IFERROR(__xludf.DUMMYFUNCTION("""COMPUTED_VALUE"""),"legally")</f>
        <v>legally</v>
      </c>
      <c r="W570" s="49" t="str">
        <f>IFERROR(__xludf.DUMMYFUNCTION("""COMPUTED_VALUE"""),"sexy")</f>
        <v>sexy</v>
      </c>
      <c r="X570" s="49" t="str">
        <f t="shared" si="3"/>
        <v>merely,</v>
      </c>
      <c r="Y570" s="49"/>
      <c r="Z570" s="1" t="s">
        <v>152</v>
      </c>
      <c r="AA570" s="1" t="s">
        <v>1986</v>
      </c>
      <c r="AB570" s="49" t="str">
        <f>IFERROR(__xludf.DUMMYFUNCTION("""COMPUTED_VALUE"""),"cynical")</f>
        <v>cynical</v>
      </c>
      <c r="AC570" s="49"/>
      <c r="AD570" s="49" t="str">
        <f>IFERROR(__xludf.DUMMYFUNCTION("""COMPUTED_VALUE"""),"quickly")</f>
        <v>quickly</v>
      </c>
      <c r="AE570" s="49" t="str">
        <f>IFERROR(__xludf.DUMMYFUNCTION("""COMPUTED_VALUE"""),"gangs")</f>
        <v>gangs</v>
      </c>
      <c r="AF570" s="49" t="str">
        <f t="shared" si="4"/>
        <v>could,</v>
      </c>
      <c r="AG570" s="49"/>
      <c r="AH570" s="1" t="s">
        <v>199</v>
      </c>
      <c r="AI570" s="1" t="s">
        <v>2191</v>
      </c>
      <c r="AJ570" s="6" t="str">
        <f>IFERROR(__xludf.DUMMYFUNCTION("""COMPUTED_VALUE"""),"night")</f>
        <v>night</v>
      </c>
      <c r="AK570" s="49"/>
      <c r="AL570" s="49"/>
      <c r="AM570" s="49"/>
      <c r="AN570" s="52" t="str">
        <f t="shared" si="5"/>
        <v>because,</v>
      </c>
    </row>
    <row r="571">
      <c r="A571" s="51"/>
      <c r="B571" s="50" t="s">
        <v>6696</v>
      </c>
      <c r="C571" s="50" t="s">
        <v>1162</v>
      </c>
      <c r="D571" s="49" t="str">
        <f>IFERROR(__xludf.DUMMYFUNCTION("""COMPUTED_VALUE"""),"stream")</f>
        <v>stream</v>
      </c>
      <c r="E571" s="49"/>
      <c r="F571" s="49"/>
      <c r="G571" s="49"/>
      <c r="H571" s="54" t="str">
        <f t="shared" si="1"/>
        <v>meeting,</v>
      </c>
      <c r="I571" s="50"/>
      <c r="J571" s="50" t="s">
        <v>1650</v>
      </c>
      <c r="K571" s="50" t="s">
        <v>2392</v>
      </c>
      <c r="L571" s="49" t="str">
        <f>IFERROR(__xludf.DUMMYFUNCTION("""COMPUTED_VALUE"""),"portions")</f>
        <v>portions</v>
      </c>
      <c r="M571" s="49"/>
      <c r="N571" s="49" t="str">
        <f>IFERROR(__xludf.DUMMYFUNCTION("""COMPUTED_VALUE"""),"unless")</f>
        <v>unless</v>
      </c>
      <c r="O571" s="49" t="str">
        <f>IFERROR(__xludf.DUMMYFUNCTION("""COMPUTED_VALUE"""),"note")</f>
        <v>note</v>
      </c>
      <c r="P571" s="49" t="str">
        <f t="shared" si="2"/>
        <v>played,</v>
      </c>
      <c r="Q571" s="49"/>
      <c r="R571" s="50" t="s">
        <v>1726</v>
      </c>
      <c r="S571" s="55" t="s">
        <v>3224</v>
      </c>
      <c r="T571" s="49" t="str">
        <f>IFERROR(__xludf.DUMMYFUNCTION("""COMPUTED_VALUE"""),"lonely")</f>
        <v>lonely</v>
      </c>
      <c r="U571" s="49"/>
      <c r="V571" s="49" t="str">
        <f>IFERROR(__xludf.DUMMYFUNCTION("""COMPUTED_VALUE"""),"humble")</f>
        <v>humble</v>
      </c>
      <c r="W571" s="49" t="str">
        <f>IFERROR(__xludf.DUMMYFUNCTION("""COMPUTED_VALUE"""),"smoking")</f>
        <v>smoking</v>
      </c>
      <c r="X571" s="49" t="str">
        <f t="shared" si="3"/>
        <v>band,</v>
      </c>
      <c r="Y571" s="49"/>
      <c r="Z571" s="1" t="s">
        <v>275</v>
      </c>
      <c r="AA571" s="1" t="s">
        <v>2737</v>
      </c>
      <c r="AB571" s="49" t="str">
        <f>IFERROR(__xludf.DUMMYFUNCTION("""COMPUTED_VALUE"""),"producer")</f>
        <v>producer</v>
      </c>
      <c r="AC571" s="49"/>
      <c r="AD571" s="49" t="str">
        <f>IFERROR(__xludf.DUMMYFUNCTION("""COMPUTED_VALUE"""),"unless")</f>
        <v>unless</v>
      </c>
      <c r="AE571" s="49" t="str">
        <f>IFERROR(__xludf.DUMMYFUNCTION("""COMPUTED_VALUE"""),"note")</f>
        <v>note</v>
      </c>
      <c r="AF571" s="49" t="str">
        <f t="shared" si="4"/>
        <v>talents,</v>
      </c>
      <c r="AG571" s="49"/>
      <c r="AH571" s="1" t="s">
        <v>415</v>
      </c>
      <c r="AI571" s="1" t="s">
        <v>1188</v>
      </c>
      <c r="AJ571" s="6" t="str">
        <f>IFERROR(__xludf.DUMMYFUNCTION("""COMPUTED_VALUE"""),"behind")</f>
        <v>behind</v>
      </c>
      <c r="AK571" s="49"/>
      <c r="AL571" s="49"/>
      <c r="AM571" s="49"/>
      <c r="AN571" s="52" t="str">
        <f t="shared" si="5"/>
        <v>night,</v>
      </c>
    </row>
    <row r="572">
      <c r="A572" s="51"/>
      <c r="B572" s="50" t="s">
        <v>322</v>
      </c>
      <c r="C572" s="50" t="s">
        <v>2325</v>
      </c>
      <c r="D572" s="49" t="str">
        <f>IFERROR(__xludf.DUMMYFUNCTION("""COMPUTED_VALUE"""),"street")</f>
        <v>street</v>
      </c>
      <c r="E572" s="49"/>
      <c r="F572" s="49"/>
      <c r="G572" s="49"/>
      <c r="H572" s="54" t="str">
        <f t="shared" si="1"/>
        <v>experience,</v>
      </c>
      <c r="I572" s="50"/>
      <c r="J572" s="50" t="s">
        <v>398</v>
      </c>
      <c r="K572" s="50" t="s">
        <v>398</v>
      </c>
      <c r="L572" s="49" t="str">
        <f>IFERROR(__xludf.DUMMYFUNCTION("""COMPUTED_VALUE"""),"dreadful")</f>
        <v>dreadful</v>
      </c>
      <c r="M572" s="49"/>
      <c r="N572" s="49" t="str">
        <f>IFERROR(__xludf.DUMMYFUNCTION("""COMPUTED_VALUE"""),"amazing")</f>
        <v>amazing</v>
      </c>
      <c r="O572" s="49" t="str">
        <f>IFERROR(__xludf.DUMMYFUNCTION("""COMPUTED_VALUE"""),"friend")</f>
        <v>friend</v>
      </c>
      <c r="P572" s="49" t="str">
        <f t="shared" si="2"/>
        <v>powerful,</v>
      </c>
      <c r="Q572" s="49"/>
      <c r="R572" s="50" t="s">
        <v>3654</v>
      </c>
      <c r="S572" s="55" t="s">
        <v>63</v>
      </c>
      <c r="T572" s="49" t="str">
        <f>IFERROR(__xludf.DUMMYFUNCTION("""COMPUTED_VALUE"""),"starts")</f>
        <v>starts</v>
      </c>
      <c r="U572" s="49"/>
      <c r="V572" s="49" t="str">
        <f>IFERROR(__xludf.DUMMYFUNCTION("""COMPUTED_VALUE"""),"recommended")</f>
        <v>recommended</v>
      </c>
      <c r="W572" s="49" t="str">
        <f>IFERROR(__xludf.DUMMYFUNCTION("""COMPUTED_VALUE"""),"magnetic")</f>
        <v>magnetic</v>
      </c>
      <c r="X572" s="49" t="str">
        <f t="shared" si="3"/>
        <v>spice,</v>
      </c>
      <c r="Y572" s="49"/>
      <c r="Z572" s="1" t="s">
        <v>5197</v>
      </c>
      <c r="AA572" s="1" t="s">
        <v>2740</v>
      </c>
      <c r="AB572" s="49" t="str">
        <f>IFERROR(__xludf.DUMMYFUNCTION("""COMPUTED_VALUE"""),"lyrical")</f>
        <v>lyrical</v>
      </c>
      <c r="AC572" s="49"/>
      <c r="AD572" s="49" t="str">
        <f>IFERROR(__xludf.DUMMYFUNCTION("""COMPUTED_VALUE"""),"amazing")</f>
        <v>amazing</v>
      </c>
      <c r="AE572" s="49" t="str">
        <f>IFERROR(__xludf.DUMMYFUNCTION("""COMPUTED_VALUE"""),"friend")</f>
        <v>friend</v>
      </c>
      <c r="AF572" s="49" t="str">
        <f t="shared" si="4"/>
        <v>singing,</v>
      </c>
      <c r="AG572" s="49"/>
      <c r="AH572" s="1" t="s">
        <v>960</v>
      </c>
      <c r="AI572" s="1" t="s">
        <v>1088</v>
      </c>
      <c r="AJ572" s="6" t="str">
        <f>IFERROR(__xludf.DUMMYFUNCTION("""COMPUTED_VALUE"""),"might")</f>
        <v>might</v>
      </c>
      <c r="AK572" s="49"/>
      <c r="AL572" s="49"/>
      <c r="AM572" s="49"/>
      <c r="AN572" s="52" t="str">
        <f t="shared" si="5"/>
        <v>behind,</v>
      </c>
    </row>
    <row r="573">
      <c r="A573" s="51"/>
      <c r="B573" s="50" t="s">
        <v>2940</v>
      </c>
      <c r="C573" s="50" t="s">
        <v>1282</v>
      </c>
      <c r="D573" s="49" t="str">
        <f>IFERROR(__xludf.DUMMYFUNCTION("""COMPUTED_VALUE"""),"claim")</f>
        <v>claim</v>
      </c>
      <c r="E573" s="49"/>
      <c r="F573" s="49"/>
      <c r="G573" s="49"/>
      <c r="H573" s="54" t="str">
        <f t="shared" si="1"/>
        <v>historical,</v>
      </c>
      <c r="I573" s="50"/>
      <c r="J573" s="50" t="s">
        <v>1299</v>
      </c>
      <c r="K573" s="50" t="s">
        <v>2427</v>
      </c>
      <c r="L573" s="49" t="str">
        <f>IFERROR(__xludf.DUMMYFUNCTION("""COMPUTED_VALUE"""),"splendid")</f>
        <v>splendid</v>
      </c>
      <c r="M573" s="49"/>
      <c r="N573" s="49" t="str">
        <f>IFERROR(__xludf.DUMMYFUNCTION("""COMPUTED_VALUE"""),"discover")</f>
        <v>discover</v>
      </c>
      <c r="O573" s="49" t="str">
        <f>IFERROR(__xludf.DUMMYFUNCTION("""COMPUTED_VALUE"""),"chris")</f>
        <v>chris</v>
      </c>
      <c r="P573" s="49" t="str">
        <f t="shared" si="2"/>
        <v>among,</v>
      </c>
      <c r="Q573" s="49"/>
      <c r="R573" s="50" t="s">
        <v>3792</v>
      </c>
      <c r="S573" s="55" t="s">
        <v>2417</v>
      </c>
      <c r="T573" s="49" t="str">
        <f>IFERROR(__xludf.DUMMYFUNCTION("""COMPUTED_VALUE"""),"suffered")</f>
        <v>suffered</v>
      </c>
      <c r="U573" s="49"/>
      <c r="V573" s="49" t="str">
        <f>IFERROR(__xludf.DUMMYFUNCTION("""COMPUTED_VALUE"""),"ignoring")</f>
        <v>ignoring</v>
      </c>
      <c r="W573" s="49" t="str">
        <f>IFERROR(__xludf.DUMMYFUNCTION("""COMPUTED_VALUE"""),"barney")</f>
        <v>barney</v>
      </c>
      <c r="X573" s="49" t="str">
        <f t="shared" si="3"/>
        <v>ends,</v>
      </c>
      <c r="Y573" s="49"/>
      <c r="Z573" s="1" t="s">
        <v>807</v>
      </c>
      <c r="AA573" s="1" t="s">
        <v>2743</v>
      </c>
      <c r="AB573" s="49" t="str">
        <f>IFERROR(__xludf.DUMMYFUNCTION("""COMPUTED_VALUE"""),"insight")</f>
        <v>insight</v>
      </c>
      <c r="AC573" s="49"/>
      <c r="AD573" s="49" t="str">
        <f>IFERROR(__xludf.DUMMYFUNCTION("""COMPUTED_VALUE"""),"discover")</f>
        <v>discover</v>
      </c>
      <c r="AE573" s="49" t="str">
        <f>IFERROR(__xludf.DUMMYFUNCTION("""COMPUTED_VALUE"""),"chris")</f>
        <v>chris</v>
      </c>
      <c r="AF573" s="49" t="str">
        <f t="shared" si="4"/>
        <v>forgive,</v>
      </c>
      <c r="AG573" s="49"/>
      <c r="AH573" s="1" t="s">
        <v>2083</v>
      </c>
      <c r="AI573" s="1" t="s">
        <v>1198</v>
      </c>
      <c r="AJ573" s="6" t="str">
        <f>IFERROR(__xludf.DUMMYFUNCTION("""COMPUTED_VALUE"""),"least")</f>
        <v>least</v>
      </c>
      <c r="AK573" s="49"/>
      <c r="AL573" s="49"/>
      <c r="AM573" s="49"/>
      <c r="AN573" s="52" t="str">
        <f t="shared" si="5"/>
        <v>might,</v>
      </c>
    </row>
    <row r="574">
      <c r="A574" s="51"/>
      <c r="B574" s="50" t="s">
        <v>5140</v>
      </c>
      <c r="C574" s="50" t="s">
        <v>1275</v>
      </c>
      <c r="D574" s="49" t="str">
        <f>IFERROR(__xludf.DUMMYFUNCTION("""COMPUTED_VALUE"""),"take")</f>
        <v>take</v>
      </c>
      <c r="E574" s="49"/>
      <c r="F574" s="49"/>
      <c r="G574" s="49"/>
      <c r="H574" s="54" t="str">
        <f t="shared" si="1"/>
        <v>physical,</v>
      </c>
      <c r="I574" s="50"/>
      <c r="J574" s="50" t="s">
        <v>4680</v>
      </c>
      <c r="K574" s="50" t="s">
        <v>315</v>
      </c>
      <c r="L574" s="49" t="str">
        <f>IFERROR(__xludf.DUMMYFUNCTION("""COMPUTED_VALUE"""),"species")</f>
        <v>species</v>
      </c>
      <c r="M574" s="49"/>
      <c r="N574" s="49" t="str">
        <f>IFERROR(__xludf.DUMMYFUNCTION("""COMPUTED_VALUE"""),"twist")</f>
        <v>twist</v>
      </c>
      <c r="O574" s="49" t="str">
        <f>IFERROR(__xludf.DUMMYFUNCTION("""COMPUTED_VALUE"""),"creativity")</f>
        <v>creativity</v>
      </c>
      <c r="P574" s="49" t="str">
        <f t="shared" si="2"/>
        <v>marks,</v>
      </c>
      <c r="Q574" s="49"/>
      <c r="R574" s="50" t="s">
        <v>1448</v>
      </c>
      <c r="S574" s="55" t="s">
        <v>1322</v>
      </c>
      <c r="T574" s="49" t="str">
        <f>IFERROR(__xludf.DUMMYFUNCTION("""COMPUTED_VALUE"""),"moves")</f>
        <v>moves</v>
      </c>
      <c r="U574" s="49"/>
      <c r="V574" s="49" t="str">
        <f>IFERROR(__xludf.DUMMYFUNCTION("""COMPUTED_VALUE"""),"visitor")</f>
        <v>visitor</v>
      </c>
      <c r="W574" s="49" t="str">
        <f>IFERROR(__xludf.DUMMYFUNCTION("""COMPUTED_VALUE"""),"lunatic")</f>
        <v>lunatic</v>
      </c>
      <c r="X574" s="49" t="str">
        <f t="shared" si="3"/>
        <v>pop,</v>
      </c>
      <c r="Y574" s="49"/>
      <c r="Z574" s="1" t="s">
        <v>2710</v>
      </c>
      <c r="AA574" s="1" t="s">
        <v>1963</v>
      </c>
      <c r="AB574" s="49" t="str">
        <f>IFERROR(__xludf.DUMMYFUNCTION("""COMPUTED_VALUE"""),"ponder")</f>
        <v>ponder</v>
      </c>
      <c r="AC574" s="49"/>
      <c r="AD574" s="49" t="str">
        <f>IFERROR(__xludf.DUMMYFUNCTION("""COMPUTED_VALUE"""),"twist")</f>
        <v>twist</v>
      </c>
      <c r="AE574" s="49" t="str">
        <f>IFERROR(__xludf.DUMMYFUNCTION("""COMPUTED_VALUE"""),"creativity")</f>
        <v>creativity</v>
      </c>
      <c r="AF574" s="49" t="str">
        <f t="shared" si="4"/>
        <v>middle,</v>
      </c>
      <c r="AG574" s="49"/>
      <c r="AH574" s="1" t="s">
        <v>2103</v>
      </c>
      <c r="AI574" s="1" t="s">
        <v>1437</v>
      </c>
      <c r="AJ574" s="6" t="str">
        <f>IFERROR(__xludf.DUMMYFUNCTION("""COMPUTED_VALUE"""),"keep")</f>
        <v>keep</v>
      </c>
      <c r="AK574" s="49"/>
      <c r="AL574" s="49"/>
      <c r="AM574" s="49"/>
      <c r="AN574" s="52" t="str">
        <f t="shared" si="5"/>
        <v>least,</v>
      </c>
    </row>
    <row r="575">
      <c r="A575" s="51"/>
      <c r="B575" s="50" t="s">
        <v>6408</v>
      </c>
      <c r="C575" s="50" t="s">
        <v>232</v>
      </c>
      <c r="D575" s="49" t="str">
        <f>IFERROR(__xludf.DUMMYFUNCTION("""COMPUTED_VALUE"""),"performed")</f>
        <v>performed</v>
      </c>
      <c r="E575" s="49"/>
      <c r="F575" s="49"/>
      <c r="G575" s="49"/>
      <c r="H575" s="54" t="str">
        <f t="shared" si="1"/>
        <v>highly,</v>
      </c>
      <c r="I575" s="50"/>
      <c r="J575" s="50" t="s">
        <v>748</v>
      </c>
      <c r="K575" s="50" t="s">
        <v>1636</v>
      </c>
      <c r="L575" s="49" t="str">
        <f>IFERROR(__xludf.DUMMYFUNCTION("""COMPUTED_VALUE"""),"sheridan")</f>
        <v>sheridan</v>
      </c>
      <c r="M575" s="49"/>
      <c r="N575" s="49" t="str">
        <f>IFERROR(__xludf.DUMMYFUNCTION("""COMPUTED_VALUE"""),"pocket")</f>
        <v>pocket</v>
      </c>
      <c r="O575" s="49" t="str">
        <f>IFERROR(__xludf.DUMMYFUNCTION("""COMPUTED_VALUE"""),"columbus")</f>
        <v>columbus</v>
      </c>
      <c r="P575" s="49" t="str">
        <f t="shared" si="2"/>
        <v>less,</v>
      </c>
      <c r="Q575" s="49"/>
      <c r="R575" s="50" t="s">
        <v>3207</v>
      </c>
      <c r="S575" s="55" t="s">
        <v>1327</v>
      </c>
      <c r="T575" s="49" t="str">
        <f>IFERROR(__xludf.DUMMYFUNCTION("""COMPUTED_VALUE"""),"elusive")</f>
        <v>elusive</v>
      </c>
      <c r="U575" s="49"/>
      <c r="V575" s="49" t="str">
        <f>IFERROR(__xludf.DUMMYFUNCTION("""COMPUTED_VALUE"""),"aged")</f>
        <v>aged</v>
      </c>
      <c r="W575" s="49" t="str">
        <f>IFERROR(__xludf.DUMMYFUNCTION("""COMPUTED_VALUE"""),"praises")</f>
        <v>praises</v>
      </c>
      <c r="X575" s="49" t="str">
        <f t="shared" si="3"/>
        <v>personality,</v>
      </c>
      <c r="Y575" s="49"/>
      <c r="Z575" s="1" t="s">
        <v>386</v>
      </c>
      <c r="AA575" s="1" t="s">
        <v>1989</v>
      </c>
      <c r="AB575" s="49" t="str">
        <f>IFERROR(__xludf.DUMMYFUNCTION("""COMPUTED_VALUE"""),"certain")</f>
        <v>certain</v>
      </c>
      <c r="AC575" s="49"/>
      <c r="AD575" s="49" t="str">
        <f>IFERROR(__xludf.DUMMYFUNCTION("""COMPUTED_VALUE"""),"pocket")</f>
        <v>pocket</v>
      </c>
      <c r="AE575" s="49" t="str">
        <f>IFERROR(__xludf.DUMMYFUNCTION("""COMPUTED_VALUE"""),"columbus")</f>
        <v>columbus</v>
      </c>
      <c r="AF575" s="49" t="str">
        <f t="shared" si="4"/>
        <v>around,</v>
      </c>
      <c r="AG575" s="49"/>
      <c r="AH575" s="1" t="s">
        <v>1043</v>
      </c>
      <c r="AI575" s="1" t="s">
        <v>884</v>
      </c>
      <c r="AJ575" s="6" t="str">
        <f>IFERROR(__xludf.DUMMYFUNCTION("""COMPUTED_VALUE"""),"upon")</f>
        <v>upon</v>
      </c>
      <c r="AK575" s="49"/>
      <c r="AL575" s="49"/>
      <c r="AM575" s="49"/>
      <c r="AN575" s="52" t="str">
        <f t="shared" si="5"/>
        <v>keep,</v>
      </c>
    </row>
    <row r="576">
      <c r="A576" s="51"/>
      <c r="B576" s="50" t="s">
        <v>4062</v>
      </c>
      <c r="C576" s="50" t="s">
        <v>2102</v>
      </c>
      <c r="D576" s="49" t="str">
        <f>IFERROR(__xludf.DUMMYFUNCTION("""COMPUTED_VALUE"""),"messages")</f>
        <v>messages</v>
      </c>
      <c r="E576" s="49"/>
      <c r="F576" s="49"/>
      <c r="G576" s="49"/>
      <c r="H576" s="54" t="str">
        <f t="shared" si="1"/>
        <v>revealed,</v>
      </c>
      <c r="I576" s="50"/>
      <c r="J576" s="50" t="s">
        <v>947</v>
      </c>
      <c r="K576" s="50" t="s">
        <v>2404</v>
      </c>
      <c r="L576" s="49" t="str">
        <f>IFERROR(__xludf.DUMMYFUNCTION("""COMPUTED_VALUE"""),"run")</f>
        <v>run</v>
      </c>
      <c r="M576" s="49"/>
      <c r="N576" s="49" t="str">
        <f>IFERROR(__xludf.DUMMYFUNCTION("""COMPUTED_VALUE"""),"executed")</f>
        <v>executed</v>
      </c>
      <c r="O576" s="49" t="str">
        <f>IFERROR(__xludf.DUMMYFUNCTION("""COMPUTED_VALUE"""),"expresses")</f>
        <v>expresses</v>
      </c>
      <c r="P576" s="49" t="str">
        <f t="shared" si="2"/>
        <v>house,</v>
      </c>
      <c r="Q576" s="49"/>
      <c r="R576" s="50" t="s">
        <v>477</v>
      </c>
      <c r="S576" s="55" t="s">
        <v>843</v>
      </c>
      <c r="T576" s="49" t="str">
        <f>IFERROR(__xludf.DUMMYFUNCTION("""COMPUTED_VALUE"""),"trying")</f>
        <v>trying</v>
      </c>
      <c r="U576" s="49"/>
      <c r="V576" s="49" t="str">
        <f>IFERROR(__xludf.DUMMYFUNCTION("""COMPUTED_VALUE"""),"caring")</f>
        <v>caring</v>
      </c>
      <c r="W576" s="49" t="str">
        <f>IFERROR(__xludf.DUMMYFUNCTION("""COMPUTED_VALUE"""),"sociological")</f>
        <v>sociological</v>
      </c>
      <c r="X576" s="49" t="str">
        <f t="shared" si="3"/>
        <v>morning,</v>
      </c>
      <c r="Y576" s="49"/>
      <c r="Z576" s="1" t="s">
        <v>1438</v>
      </c>
      <c r="AA576" s="1" t="s">
        <v>1274</v>
      </c>
      <c r="AB576" s="49" t="str">
        <f>IFERROR(__xludf.DUMMYFUNCTION("""COMPUTED_VALUE"""),"result")</f>
        <v>result</v>
      </c>
      <c r="AC576" s="49"/>
      <c r="AD576" s="49" t="str">
        <f>IFERROR(__xludf.DUMMYFUNCTION("""COMPUTED_VALUE"""),"executed")</f>
        <v>executed</v>
      </c>
      <c r="AE576" s="49" t="str">
        <f>IFERROR(__xludf.DUMMYFUNCTION("""COMPUTED_VALUE"""),"expresses")</f>
        <v>expresses</v>
      </c>
      <c r="AF576" s="49" t="str">
        <f t="shared" si="4"/>
        <v>set,</v>
      </c>
      <c r="AG576" s="49"/>
      <c r="AH576" s="1" t="s">
        <v>3583</v>
      </c>
      <c r="AI576" s="1" t="s">
        <v>1993</v>
      </c>
      <c r="AJ576" s="6" t="str">
        <f>IFERROR(__xludf.DUMMYFUNCTION("""COMPUTED_VALUE"""),"girls")</f>
        <v>girls</v>
      </c>
      <c r="AK576" s="49"/>
      <c r="AL576" s="49"/>
      <c r="AM576" s="49"/>
      <c r="AN576" s="52" t="str">
        <f t="shared" si="5"/>
        <v>upon,</v>
      </c>
    </row>
    <row r="577">
      <c r="A577" s="51"/>
      <c r="B577" s="50" t="s">
        <v>417</v>
      </c>
      <c r="C577" s="50" t="s">
        <v>120</v>
      </c>
      <c r="D577" s="49" t="str">
        <f>IFERROR(__xludf.DUMMYFUNCTION("""COMPUTED_VALUE"""),"thanks")</f>
        <v>thanks</v>
      </c>
      <c r="E577" s="49"/>
      <c r="F577" s="49"/>
      <c r="G577" s="49"/>
      <c r="H577" s="54" t="str">
        <f t="shared" si="1"/>
        <v>concept,</v>
      </c>
      <c r="I577" s="50"/>
      <c r="J577" s="50" t="s">
        <v>987</v>
      </c>
      <c r="K577" s="50" t="s">
        <v>2754</v>
      </c>
      <c r="L577" s="49" t="str">
        <f>IFERROR(__xludf.DUMMYFUNCTION("""COMPUTED_VALUE"""),"seriously")</f>
        <v>seriously</v>
      </c>
      <c r="M577" s="49"/>
      <c r="N577" s="49" t="str">
        <f>IFERROR(__xludf.DUMMYFUNCTION("""COMPUTED_VALUE"""),"easy")</f>
        <v>easy</v>
      </c>
      <c r="O577" s="49" t="str">
        <f>IFERROR(__xludf.DUMMYFUNCTION("""COMPUTED_VALUE"""),"evergreen")</f>
        <v>evergreen</v>
      </c>
      <c r="P577" s="49" t="str">
        <f t="shared" si="2"/>
        <v>comedy,</v>
      </c>
      <c r="Q577" s="49"/>
      <c r="R577" s="50" t="s">
        <v>194</v>
      </c>
      <c r="S577" s="55" t="s">
        <v>1363</v>
      </c>
      <c r="T577" s="49" t="str">
        <f>IFERROR(__xludf.DUMMYFUNCTION("""COMPUTED_VALUE"""),"pitted")</f>
        <v>pitted</v>
      </c>
      <c r="U577" s="49"/>
      <c r="V577" s="49" t="str">
        <f>IFERROR(__xludf.DUMMYFUNCTION("""COMPUTED_VALUE"""),"ball")</f>
        <v>ball</v>
      </c>
      <c r="W577" s="49" t="str">
        <f>IFERROR(__xludf.DUMMYFUNCTION("""COMPUTED_VALUE"""),"mckay")</f>
        <v>mckay</v>
      </c>
      <c r="X577" s="49" t="str">
        <f t="shared" si="3"/>
        <v>original,</v>
      </c>
      <c r="Y577" s="49"/>
      <c r="Z577" s="1" t="s">
        <v>1038</v>
      </c>
      <c r="AA577" s="1" t="s">
        <v>2752</v>
      </c>
      <c r="AB577" s="49" t="str">
        <f>IFERROR(__xludf.DUMMYFUNCTION("""COMPUTED_VALUE"""),"reach")</f>
        <v>reach</v>
      </c>
      <c r="AC577" s="49"/>
      <c r="AD577" s="49" t="str">
        <f>IFERROR(__xludf.DUMMYFUNCTION("""COMPUTED_VALUE"""),"easy")</f>
        <v>easy</v>
      </c>
      <c r="AE577" s="49" t="str">
        <f>IFERROR(__xludf.DUMMYFUNCTION("""COMPUTED_VALUE"""),"evergreen")</f>
        <v>evergreen</v>
      </c>
      <c r="AF577" s="49" t="str">
        <f t="shared" si="4"/>
        <v>full,</v>
      </c>
      <c r="AG577" s="49"/>
      <c r="AH577" s="1" t="s">
        <v>2504</v>
      </c>
      <c r="AI577" s="1" t="s">
        <v>6340</v>
      </c>
      <c r="AJ577" s="6" t="str">
        <f>IFERROR(__xludf.DUMMYFUNCTION("""COMPUTED_VALUE"""),"source")</f>
        <v>source</v>
      </c>
      <c r="AK577" s="49"/>
      <c r="AL577" s="49"/>
      <c r="AM577" s="49"/>
      <c r="AN577" s="52" t="str">
        <f t="shared" si="5"/>
        <v>girls,</v>
      </c>
    </row>
    <row r="578">
      <c r="A578" s="51"/>
      <c r="B578" s="50" t="s">
        <v>3170</v>
      </c>
      <c r="C578" s="50" t="s">
        <v>4980</v>
      </c>
      <c r="D578" s="49" t="str">
        <f>IFERROR(__xludf.DUMMYFUNCTION("""COMPUTED_VALUE"""),"guys")</f>
        <v>guys</v>
      </c>
      <c r="E578" s="49"/>
      <c r="F578" s="49"/>
      <c r="G578" s="49"/>
      <c r="H578" s="54" t="str">
        <f t="shared" si="1"/>
        <v>possibly,</v>
      </c>
      <c r="I578" s="50"/>
      <c r="J578" s="50" t="s">
        <v>1672</v>
      </c>
      <c r="K578" s="50" t="s">
        <v>447</v>
      </c>
      <c r="L578" s="49" t="str">
        <f>IFERROR(__xludf.DUMMYFUNCTION("""COMPUTED_VALUE"""),"fears")</f>
        <v>fears</v>
      </c>
      <c r="M578" s="49"/>
      <c r="N578" s="49" t="str">
        <f>IFERROR(__xludf.DUMMYFUNCTION("""COMPUTED_VALUE"""),"recycling")</f>
        <v>recycling</v>
      </c>
      <c r="O578" s="49" t="str">
        <f>IFERROR(__xludf.DUMMYFUNCTION("""COMPUTED_VALUE"""),"markedly")</f>
        <v>markedly</v>
      </c>
      <c r="P578" s="49" t="str">
        <f t="shared" si="2"/>
        <v>series,</v>
      </c>
      <c r="Q578" s="49"/>
      <c r="R578" s="50" t="s">
        <v>546</v>
      </c>
      <c r="S578" s="55" t="s">
        <v>3877</v>
      </c>
      <c r="T578" s="49" t="str">
        <f>IFERROR(__xludf.DUMMYFUNCTION("""COMPUTED_VALUE"""),"scenario")</f>
        <v>scenario</v>
      </c>
      <c r="U578" s="49"/>
      <c r="V578" s="49" t="str">
        <f>IFERROR(__xludf.DUMMYFUNCTION("""COMPUTED_VALUE"""),"floyd")</f>
        <v>floyd</v>
      </c>
      <c r="W578" s="49" t="str">
        <f>IFERROR(__xludf.DUMMYFUNCTION("""COMPUTED_VALUE"""),"notice")</f>
        <v>notice</v>
      </c>
      <c r="X578" s="49" t="str">
        <f t="shared" si="3"/>
        <v>summer,</v>
      </c>
      <c r="Y578" s="49"/>
      <c r="Z578" s="1" t="s">
        <v>2081</v>
      </c>
      <c r="AA578" s="1" t="s">
        <v>2755</v>
      </c>
      <c r="AB578" s="49" t="str">
        <f>IFERROR(__xludf.DUMMYFUNCTION("""COMPUTED_VALUE"""),"shooting")</f>
        <v>shooting</v>
      </c>
      <c r="AC578" s="49"/>
      <c r="AD578" s="49" t="str">
        <f>IFERROR(__xludf.DUMMYFUNCTION("""COMPUTED_VALUE"""),"recycling")</f>
        <v>recycling</v>
      </c>
      <c r="AE578" s="49" t="str">
        <f>IFERROR(__xludf.DUMMYFUNCTION("""COMPUTED_VALUE"""),"markedly")</f>
        <v>markedly</v>
      </c>
      <c r="AF578" s="49" t="str">
        <f t="shared" si="4"/>
        <v>lewis,</v>
      </c>
      <c r="AG578" s="49"/>
      <c r="AH578" s="1" t="s">
        <v>2813</v>
      </c>
      <c r="AI578" s="1" t="s">
        <v>6339</v>
      </c>
      <c r="AJ578" s="6" t="str">
        <f>IFERROR(__xludf.DUMMYFUNCTION("""COMPUTED_VALUE"""),"lies")</f>
        <v>lies</v>
      </c>
      <c r="AK578" s="49"/>
      <c r="AL578" s="49"/>
      <c r="AM578" s="49"/>
      <c r="AN578" s="52" t="str">
        <f t="shared" si="5"/>
        <v>source,</v>
      </c>
    </row>
    <row r="579">
      <c r="A579" s="51"/>
      <c r="B579" s="50" t="s">
        <v>624</v>
      </c>
      <c r="C579" s="50" t="s">
        <v>1294</v>
      </c>
      <c r="D579" s="49" t="str">
        <f>IFERROR(__xludf.DUMMYFUNCTION("""COMPUTED_VALUE"""),"grow")</f>
        <v>grow</v>
      </c>
      <c r="E579" s="49"/>
      <c r="F579" s="49"/>
      <c r="G579" s="49"/>
      <c r="H579" s="54" t="str">
        <f t="shared" si="1"/>
        <v>creation,</v>
      </c>
      <c r="I579" s="50"/>
      <c r="J579" s="50" t="s">
        <v>276</v>
      </c>
      <c r="K579" s="50" t="s">
        <v>2407</v>
      </c>
      <c r="L579" s="49" t="str">
        <f>IFERROR(__xludf.DUMMYFUNCTION("""COMPUTED_VALUE"""),"reasons")</f>
        <v>reasons</v>
      </c>
      <c r="M579" s="49"/>
      <c r="N579" s="49" t="str">
        <f>IFERROR(__xludf.DUMMYFUNCTION("""COMPUTED_VALUE"""),"offers")</f>
        <v>offers</v>
      </c>
      <c r="O579" s="49" t="str">
        <f>IFERROR(__xludf.DUMMYFUNCTION("""COMPUTED_VALUE"""),"affected")</f>
        <v>affected</v>
      </c>
      <c r="P579" s="49" t="str">
        <f t="shared" si="2"/>
        <v>funny,</v>
      </c>
      <c r="Q579" s="49"/>
      <c r="R579" s="50" t="s">
        <v>2047</v>
      </c>
      <c r="S579" s="55" t="s">
        <v>1011</v>
      </c>
      <c r="T579" s="49" t="str">
        <f>IFERROR(__xludf.DUMMYFUNCTION("""COMPUTED_VALUE"""),"hate")</f>
        <v>hate</v>
      </c>
      <c r="U579" s="49"/>
      <c r="V579" s="49" t="str">
        <f>IFERROR(__xludf.DUMMYFUNCTION("""COMPUTED_VALUE"""),"en")</f>
        <v>en</v>
      </c>
      <c r="W579" s="49" t="str">
        <f>IFERROR(__xludf.DUMMYFUNCTION("""COMPUTED_VALUE"""),"embarrassed")</f>
        <v>embarrassed</v>
      </c>
      <c r="X579" s="49" t="str">
        <f t="shared" si="3"/>
        <v>rare,</v>
      </c>
      <c r="Y579" s="49"/>
      <c r="Z579" s="1" t="s">
        <v>3219</v>
      </c>
      <c r="AA579" s="1" t="s">
        <v>2760</v>
      </c>
      <c r="AB579" s="49" t="str">
        <f>IFERROR(__xludf.DUMMYFUNCTION("""COMPUTED_VALUE"""),"heart")</f>
        <v>heart</v>
      </c>
      <c r="AC579" s="49"/>
      <c r="AD579" s="49" t="str">
        <f>IFERROR(__xludf.DUMMYFUNCTION("""COMPUTED_VALUE"""),"offers")</f>
        <v>offers</v>
      </c>
      <c r="AE579" s="49" t="str">
        <f>IFERROR(__xludf.DUMMYFUNCTION("""COMPUTED_VALUE"""),"affected")</f>
        <v>affected</v>
      </c>
      <c r="AF579" s="49" t="str">
        <f t="shared" si="4"/>
        <v>lets,</v>
      </c>
      <c r="AG579" s="49"/>
      <c r="AH579" s="1" t="s">
        <v>3771</v>
      </c>
      <c r="AI579" s="1" t="s">
        <v>2008</v>
      </c>
      <c r="AJ579" s="6" t="str">
        <f>IFERROR(__xludf.DUMMYFUNCTION("""COMPUTED_VALUE"""),"potential")</f>
        <v>potential</v>
      </c>
      <c r="AK579" s="49"/>
      <c r="AL579" s="49"/>
      <c r="AM579" s="49"/>
      <c r="AN579" s="52" t="str">
        <f t="shared" si="5"/>
        <v>lies,</v>
      </c>
    </row>
    <row r="580">
      <c r="A580" s="51"/>
      <c r="B580" s="50" t="s">
        <v>3815</v>
      </c>
      <c r="C580" s="50" t="s">
        <v>2343</v>
      </c>
      <c r="D580" s="49" t="str">
        <f>IFERROR(__xludf.DUMMYFUNCTION("""COMPUTED_VALUE"""),"desperately")</f>
        <v>desperately</v>
      </c>
      <c r="E580" s="49"/>
      <c r="F580" s="49"/>
      <c r="G580" s="49"/>
      <c r="H580" s="54" t="str">
        <f t="shared" si="1"/>
        <v>wave,</v>
      </c>
      <c r="I580" s="50"/>
      <c r="J580" s="50" t="s">
        <v>1250</v>
      </c>
      <c r="K580" s="50" t="s">
        <v>1084</v>
      </c>
      <c r="L580" s="49" t="str">
        <f>IFERROR(__xludf.DUMMYFUNCTION("""COMPUTED_VALUE"""),"figure")</f>
        <v>figure</v>
      </c>
      <c r="M580" s="49"/>
      <c r="N580" s="49" t="str">
        <f>IFERROR(__xludf.DUMMYFUNCTION("""COMPUTED_VALUE"""),"y")</f>
        <v>y</v>
      </c>
      <c r="O580" s="49" t="str">
        <f>IFERROR(__xludf.DUMMYFUNCTION("""COMPUTED_VALUE"""),"practitioners")</f>
        <v>practitioners</v>
      </c>
      <c r="P580" s="49" t="str">
        <f t="shared" si="2"/>
        <v>body,</v>
      </c>
      <c r="Q580" s="49"/>
      <c r="R580" s="50" t="s">
        <v>4621</v>
      </c>
      <c r="S580" s="55" t="s">
        <v>2434</v>
      </c>
      <c r="T580" s="49" t="str">
        <f>IFERROR(__xludf.DUMMYFUNCTION("""COMPUTED_VALUE"""),"romance")</f>
        <v>romance</v>
      </c>
      <c r="U580" s="49"/>
      <c r="V580" s="49" t="str">
        <f>IFERROR(__xludf.DUMMYFUNCTION("""COMPUTED_VALUE"""),"tunes")</f>
        <v>tunes</v>
      </c>
      <c r="W580" s="49" t="str">
        <f>IFERROR(__xludf.DUMMYFUNCTION("""COMPUTED_VALUE"""),"apparently")</f>
        <v>apparently</v>
      </c>
      <c r="X580" s="49" t="str">
        <f t="shared" si="3"/>
        <v>catch,</v>
      </c>
      <c r="Y580" s="49"/>
      <c r="Z580" s="1" t="s">
        <v>869</v>
      </c>
      <c r="AA580" s="1" t="s">
        <v>2765</v>
      </c>
      <c r="AB580" s="49" t="str">
        <f>IFERROR(__xludf.DUMMYFUNCTION("""COMPUTED_VALUE"""),"arnold")</f>
        <v>arnold</v>
      </c>
      <c r="AC580" s="49"/>
      <c r="AD580" s="49" t="str">
        <f>IFERROR(__xludf.DUMMYFUNCTION("""COMPUTED_VALUE"""),"y")</f>
        <v>y</v>
      </c>
      <c r="AE580" s="49" t="str">
        <f>IFERROR(__xludf.DUMMYFUNCTION("""COMPUTED_VALUE"""),"practitioners")</f>
        <v>practitioners</v>
      </c>
      <c r="AF580" s="49" t="str">
        <f t="shared" si="4"/>
        <v>day,</v>
      </c>
      <c r="AG580" s="49"/>
      <c r="AH580" s="1" t="s">
        <v>2615</v>
      </c>
      <c r="AI580" s="1" t="s">
        <v>1214</v>
      </c>
      <c r="AJ580" s="6" t="str">
        <f>IFERROR(__xludf.DUMMYFUNCTION("""COMPUTED_VALUE"""),"standards")</f>
        <v>standards</v>
      </c>
      <c r="AK580" s="49"/>
      <c r="AL580" s="49"/>
      <c r="AM580" s="49"/>
      <c r="AN580" s="52" t="str">
        <f t="shared" si="5"/>
        <v>potential,</v>
      </c>
    </row>
    <row r="581">
      <c r="A581" s="51"/>
      <c r="B581" s="50" t="s">
        <v>145</v>
      </c>
      <c r="C581" s="50" t="s">
        <v>1253</v>
      </c>
      <c r="D581" s="49" t="str">
        <f>IFERROR(__xludf.DUMMYFUNCTION("""COMPUTED_VALUE"""),"collection")</f>
        <v>collection</v>
      </c>
      <c r="E581" s="49"/>
      <c r="F581" s="49"/>
      <c r="G581" s="49"/>
      <c r="H581" s="54" t="str">
        <f t="shared" si="1"/>
        <v>intelligence,</v>
      </c>
      <c r="I581" s="50"/>
      <c r="J581" s="50" t="s">
        <v>363</v>
      </c>
      <c r="K581" s="50" t="s">
        <v>1634</v>
      </c>
      <c r="L581" s="49" t="str">
        <f>IFERROR(__xludf.DUMMYFUNCTION("""COMPUTED_VALUE"""),"raw")</f>
        <v>raw</v>
      </c>
      <c r="M581" s="49"/>
      <c r="N581" s="49" t="str">
        <f>IFERROR(__xludf.DUMMYFUNCTION("""COMPUTED_VALUE"""),"serve")</f>
        <v>serve</v>
      </c>
      <c r="O581" s="49" t="str">
        <f>IFERROR(__xludf.DUMMYFUNCTION("""COMPUTED_VALUE"""),"herring")</f>
        <v>herring</v>
      </c>
      <c r="P581" s="49" t="str">
        <f t="shared" si="2"/>
        <v>am,</v>
      </c>
      <c r="Q581" s="49"/>
      <c r="R581" s="50" t="s">
        <v>1150</v>
      </c>
      <c r="S581" s="55" t="s">
        <v>1333</v>
      </c>
      <c r="T581" s="49" t="str">
        <f>IFERROR(__xludf.DUMMYFUNCTION("""COMPUTED_VALUE"""),"`")</f>
        <v>`</v>
      </c>
      <c r="U581" s="49"/>
      <c r="V581" s="49" t="str">
        <f>IFERROR(__xludf.DUMMYFUNCTION("""COMPUTED_VALUE"""),"utter")</f>
        <v>utter</v>
      </c>
      <c r="W581" s="49" t="str">
        <f>IFERROR(__xludf.DUMMYFUNCTION("""COMPUTED_VALUE"""),"spies")</f>
        <v>spies</v>
      </c>
      <c r="X581" s="49" t="str">
        <f t="shared" si="3"/>
        <v>needed,</v>
      </c>
      <c r="Y581" s="49"/>
      <c r="Z581" s="1" t="s">
        <v>1046</v>
      </c>
      <c r="AA581" s="1" t="s">
        <v>1995</v>
      </c>
      <c r="AB581" s="49" t="str">
        <f>IFERROR(__xludf.DUMMYFUNCTION("""COMPUTED_VALUE"""),"edited")</f>
        <v>edited</v>
      </c>
      <c r="AC581" s="49"/>
      <c r="AD581" s="49" t="str">
        <f>IFERROR(__xludf.DUMMYFUNCTION("""COMPUTED_VALUE"""),"serve")</f>
        <v>serve</v>
      </c>
      <c r="AE581" s="49" t="str">
        <f>IFERROR(__xludf.DUMMYFUNCTION("""COMPUTED_VALUE"""),"herring")</f>
        <v>herring</v>
      </c>
      <c r="AF581" s="49" t="str">
        <f t="shared" si="4"/>
        <v>group,</v>
      </c>
      <c r="AG581" s="49"/>
      <c r="AH581" s="1" t="s">
        <v>2128</v>
      </c>
      <c r="AI581" s="1" t="s">
        <v>760</v>
      </c>
      <c r="AJ581" s="6" t="str">
        <f>IFERROR(__xludf.DUMMYFUNCTION("""COMPUTED_VALUE"""),"visual")</f>
        <v>visual</v>
      </c>
      <c r="AK581" s="49"/>
      <c r="AL581" s="49"/>
      <c r="AM581" s="49"/>
      <c r="AN581" s="52" t="str">
        <f t="shared" si="5"/>
        <v>standards,</v>
      </c>
    </row>
    <row r="582">
      <c r="A582" s="51"/>
      <c r="B582" s="50" t="s">
        <v>615</v>
      </c>
      <c r="C582" s="50" t="s">
        <v>6350</v>
      </c>
      <c r="D582" s="49" t="str">
        <f>IFERROR(__xludf.DUMMYFUNCTION("""COMPUTED_VALUE"""),"essentially")</f>
        <v>essentially</v>
      </c>
      <c r="E582" s="49"/>
      <c r="F582" s="49"/>
      <c r="G582" s="49"/>
      <c r="H582" s="54" t="str">
        <f t="shared" si="1"/>
        <v>universal,</v>
      </c>
      <c r="I582" s="50"/>
      <c r="J582" s="50" t="s">
        <v>131</v>
      </c>
      <c r="K582" s="50" t="s">
        <v>1640</v>
      </c>
      <c r="L582" s="49" t="str">
        <f>IFERROR(__xludf.DUMMYFUNCTION("""COMPUTED_VALUE"""),"compassionate")</f>
        <v>compassionate</v>
      </c>
      <c r="M582" s="49"/>
      <c r="N582" s="49" t="str">
        <f>IFERROR(__xludf.DUMMYFUNCTION("""COMPUTED_VALUE"""),"forgotten")</f>
        <v>forgotten</v>
      </c>
      <c r="O582" s="49" t="str">
        <f>IFERROR(__xludf.DUMMYFUNCTION("""COMPUTED_VALUE"""),"hurley")</f>
        <v>hurley</v>
      </c>
      <c r="P582" s="49" t="str">
        <f t="shared" si="2"/>
        <v>storytelling,</v>
      </c>
      <c r="Q582" s="49"/>
      <c r="R582" s="50" t="s">
        <v>3348</v>
      </c>
      <c r="S582" s="55" t="s">
        <v>2159</v>
      </c>
      <c r="T582" s="49" t="str">
        <f>IFERROR(__xludf.DUMMYFUNCTION("""COMPUTED_VALUE"""),"strangely")</f>
        <v>strangely</v>
      </c>
      <c r="U582" s="49"/>
      <c r="V582" s="49" t="str">
        <f>IFERROR(__xludf.DUMMYFUNCTION("""COMPUTED_VALUE"""),"michel")</f>
        <v>michel</v>
      </c>
      <c r="W582" s="49" t="str">
        <f>IFERROR(__xludf.DUMMYFUNCTION("""COMPUTED_VALUE"""),"pokemon")</f>
        <v>pokemon</v>
      </c>
      <c r="X582" s="49" t="str">
        <f t="shared" si="3"/>
        <v>measure,</v>
      </c>
      <c r="Y582" s="49"/>
      <c r="Z582" s="1" t="s">
        <v>4178</v>
      </c>
      <c r="AA582" s="1">
        <v>1984.0</v>
      </c>
      <c r="AB582" s="49" t="str">
        <f>IFERROR(__xludf.DUMMYFUNCTION("""COMPUTED_VALUE"""),"rise")</f>
        <v>rise</v>
      </c>
      <c r="AC582" s="49"/>
      <c r="AD582" s="49" t="str">
        <f>IFERROR(__xludf.DUMMYFUNCTION("""COMPUTED_VALUE"""),"forgotten")</f>
        <v>forgotten</v>
      </c>
      <c r="AE582" s="49" t="str">
        <f>IFERROR(__xludf.DUMMYFUNCTION("""COMPUTED_VALUE"""),"hurley")</f>
        <v>hurley</v>
      </c>
      <c r="AF582" s="49" t="str">
        <f t="shared" si="4"/>
        <v>dancing,</v>
      </c>
      <c r="AG582" s="49"/>
      <c r="AH582" s="1" t="s">
        <v>2366</v>
      </c>
      <c r="AI582" s="1" t="s">
        <v>2217</v>
      </c>
      <c r="AJ582" s="6" t="str">
        <f>IFERROR(__xludf.DUMMYFUNCTION("""COMPUTED_VALUE"""),"jordan")</f>
        <v>jordan</v>
      </c>
      <c r="AK582" s="49"/>
      <c r="AL582" s="49"/>
      <c r="AM582" s="49"/>
      <c r="AN582" s="52" t="str">
        <f t="shared" si="5"/>
        <v>visual,</v>
      </c>
    </row>
    <row r="583">
      <c r="A583" s="51"/>
      <c r="B583" s="50" t="s">
        <v>1149</v>
      </c>
      <c r="C583" s="50" t="s">
        <v>1298</v>
      </c>
      <c r="D583" s="49" t="str">
        <f>IFERROR(__xludf.DUMMYFUNCTION("""COMPUTED_VALUE"""),"well")</f>
        <v>well</v>
      </c>
      <c r="E583" s="49"/>
      <c r="F583" s="49"/>
      <c r="G583" s="49"/>
      <c r="H583" s="54" t="str">
        <f t="shared" si="1"/>
        <v>expect,</v>
      </c>
      <c r="I583" s="50"/>
      <c r="J583" s="50" t="s">
        <v>1370</v>
      </c>
      <c r="K583" s="50" t="s">
        <v>2776</v>
      </c>
      <c r="L583" s="49" t="str">
        <f>IFERROR(__xludf.DUMMYFUNCTION("""COMPUTED_VALUE"""),"honest")</f>
        <v>honest</v>
      </c>
      <c r="M583" s="49"/>
      <c r="N583" s="49" t="str">
        <f>IFERROR(__xludf.DUMMYFUNCTION("""COMPUTED_VALUE"""),"outer")</f>
        <v>outer</v>
      </c>
      <c r="O583" s="49" t="str">
        <f>IFERROR(__xludf.DUMMYFUNCTION("""COMPUTED_VALUE"""),"pastry")</f>
        <v>pastry</v>
      </c>
      <c r="P583" s="49" t="str">
        <f t="shared" si="2"/>
        <v>fun,</v>
      </c>
      <c r="Q583" s="49"/>
      <c r="R583" s="50" t="s">
        <v>3463</v>
      </c>
      <c r="S583" s="55" t="s">
        <v>2167</v>
      </c>
      <c r="T583" s="49" t="str">
        <f>IFERROR(__xludf.DUMMYFUNCTION("""COMPUTED_VALUE"""),"six")</f>
        <v>six</v>
      </c>
      <c r="U583" s="49"/>
      <c r="V583" s="49" t="str">
        <f>IFERROR(__xludf.DUMMYFUNCTION("""COMPUTED_VALUE"""),"phoenix")</f>
        <v>phoenix</v>
      </c>
      <c r="W583" s="49" t="str">
        <f>IFERROR(__xludf.DUMMYFUNCTION("""COMPUTED_VALUE"""),"light")</f>
        <v>light</v>
      </c>
      <c r="X583" s="49" t="str">
        <f t="shared" si="3"/>
        <v>kevin,</v>
      </c>
      <c r="Y583" s="49"/>
      <c r="Z583" s="1" t="s">
        <v>2035</v>
      </c>
      <c r="AA583" s="1" t="s">
        <v>460</v>
      </c>
      <c r="AB583" s="49" t="str">
        <f>IFERROR(__xludf.DUMMYFUNCTION("""COMPUTED_VALUE"""),"includes")</f>
        <v>includes</v>
      </c>
      <c r="AC583" s="49"/>
      <c r="AD583" s="49" t="str">
        <f>IFERROR(__xludf.DUMMYFUNCTION("""COMPUTED_VALUE"""),"outer")</f>
        <v>outer</v>
      </c>
      <c r="AE583" s="49" t="str">
        <f>IFERROR(__xludf.DUMMYFUNCTION("""COMPUTED_VALUE"""),"pastry")</f>
        <v>pastry</v>
      </c>
      <c r="AF583" s="49" t="str">
        <f t="shared" si="4"/>
        <v>attention,</v>
      </c>
      <c r="AG583" s="49"/>
      <c r="AH583" s="1" t="s">
        <v>5732</v>
      </c>
      <c r="AI583" s="1" t="s">
        <v>2215</v>
      </c>
      <c r="AJ583" s="6" t="str">
        <f>IFERROR(__xludf.DUMMYFUNCTION("""COMPUTED_VALUE"""),"tired")</f>
        <v>tired</v>
      </c>
      <c r="AK583" s="49"/>
      <c r="AL583" s="49"/>
      <c r="AM583" s="49"/>
      <c r="AN583" s="52" t="str">
        <f t="shared" si="5"/>
        <v>jordan,</v>
      </c>
    </row>
    <row r="584">
      <c r="A584" s="51"/>
      <c r="B584" s="50" t="s">
        <v>4913</v>
      </c>
      <c r="C584" s="50" t="s">
        <v>1403</v>
      </c>
      <c r="D584" s="49" t="str">
        <f>IFERROR(__xludf.DUMMYFUNCTION("""COMPUTED_VALUE"""),"rest")</f>
        <v>rest</v>
      </c>
      <c r="E584" s="49"/>
      <c r="F584" s="49"/>
      <c r="G584" s="49"/>
      <c r="H584" s="54" t="str">
        <f t="shared" si="1"/>
        <v>influential,</v>
      </c>
      <c r="I584" s="50"/>
      <c r="J584" s="50" t="s">
        <v>434</v>
      </c>
      <c r="K584" s="50" t="s">
        <v>1649</v>
      </c>
      <c r="L584" s="49" t="str">
        <f>IFERROR(__xludf.DUMMYFUNCTION("""COMPUTED_VALUE"""),"towards")</f>
        <v>towards</v>
      </c>
      <c r="M584" s="49"/>
      <c r="N584" s="49" t="str">
        <f>IFERROR(__xludf.DUMMYFUNCTION("""COMPUTED_VALUE"""),"terms")</f>
        <v>terms</v>
      </c>
      <c r="O584" s="49" t="str">
        <f>IFERROR(__xludf.DUMMYFUNCTION("""COMPUTED_VALUE"""),"objective")</f>
        <v>objective</v>
      </c>
      <c r="P584" s="49" t="str">
        <f t="shared" si="2"/>
        <v>anything,</v>
      </c>
      <c r="Q584" s="49"/>
      <c r="R584" s="50" t="s">
        <v>4082</v>
      </c>
      <c r="S584" s="55" t="s">
        <v>2436</v>
      </c>
      <c r="T584" s="49" t="str">
        <f>IFERROR(__xludf.DUMMYFUNCTION("""COMPUTED_VALUE"""),"land")</f>
        <v>land</v>
      </c>
      <c r="U584" s="49"/>
      <c r="V584" s="49" t="str">
        <f>IFERROR(__xludf.DUMMYFUNCTION("""COMPUTED_VALUE"""),"inspiring")</f>
        <v>inspiring</v>
      </c>
      <c r="W584" s="49" t="str">
        <f>IFERROR(__xludf.DUMMYFUNCTION("""COMPUTED_VALUE"""),"incorporates")</f>
        <v>incorporates</v>
      </c>
      <c r="X584" s="49" t="str">
        <f t="shared" si="3"/>
        <v>freddie,</v>
      </c>
      <c r="Y584" s="49"/>
      <c r="Z584" s="1" t="s">
        <v>3927</v>
      </c>
      <c r="AA584" s="1" t="s">
        <v>2777</v>
      </c>
      <c r="AB584" s="49" t="str">
        <f>IFERROR(__xludf.DUMMYFUNCTION("""COMPUTED_VALUE"""),"gang")</f>
        <v>gang</v>
      </c>
      <c r="AC584" s="49"/>
      <c r="AD584" s="49" t="str">
        <f>IFERROR(__xludf.DUMMYFUNCTION("""COMPUTED_VALUE"""),"terms")</f>
        <v>terms</v>
      </c>
      <c r="AE584" s="49" t="str">
        <f>IFERROR(__xludf.DUMMYFUNCTION("""COMPUTED_VALUE"""),"objective")</f>
        <v>objective</v>
      </c>
      <c r="AF584" s="49" t="str">
        <f t="shared" si="4"/>
        <v>names,</v>
      </c>
      <c r="AG584" s="49"/>
      <c r="AH584" s="1" t="s">
        <v>2312</v>
      </c>
      <c r="AI584" s="1" t="s">
        <v>6342</v>
      </c>
      <c r="AJ584" s="6" t="str">
        <f>IFERROR(__xludf.DUMMYFUNCTION("""COMPUTED_VALUE"""),"killer")</f>
        <v>killer</v>
      </c>
      <c r="AK584" s="49"/>
      <c r="AL584" s="49"/>
      <c r="AM584" s="49"/>
      <c r="AN584" s="52" t="str">
        <f t="shared" si="5"/>
        <v>tired,</v>
      </c>
    </row>
    <row r="585">
      <c r="A585" s="51"/>
      <c r="B585" s="50" t="s">
        <v>1634</v>
      </c>
      <c r="C585" s="50" t="s">
        <v>2125</v>
      </c>
      <c r="D585" s="49" t="str">
        <f>IFERROR(__xludf.DUMMYFUNCTION("""COMPUTED_VALUE"""),"line")</f>
        <v>line</v>
      </c>
      <c r="E585" s="49"/>
      <c r="F585" s="49"/>
      <c r="G585" s="49"/>
      <c r="H585" s="54" t="str">
        <f t="shared" si="1"/>
        <v>passion,</v>
      </c>
      <c r="I585" s="50"/>
      <c r="J585" s="50" t="s">
        <v>2754</v>
      </c>
      <c r="K585" s="50" t="s">
        <v>2418</v>
      </c>
      <c r="L585" s="49" t="str">
        <f>IFERROR(__xludf.DUMMYFUNCTION("""COMPUTED_VALUE"""),"sensitive")</f>
        <v>sensitive</v>
      </c>
      <c r="M585" s="49"/>
      <c r="N585" s="49" t="str">
        <f>IFERROR(__xludf.DUMMYFUNCTION("""COMPUTED_VALUE"""),"verbal")</f>
        <v>verbal</v>
      </c>
      <c r="O585" s="49" t="str">
        <f>IFERROR(__xludf.DUMMYFUNCTION("""COMPUTED_VALUE"""),"sung")</f>
        <v>sung</v>
      </c>
      <c r="P585" s="49" t="str">
        <f t="shared" si="2"/>
        <v>demanding,</v>
      </c>
      <c r="Q585" s="49"/>
      <c r="R585" s="50" t="s">
        <v>397</v>
      </c>
      <c r="S585" s="55" t="s">
        <v>2176</v>
      </c>
      <c r="T585" s="49" t="str">
        <f>IFERROR(__xludf.DUMMYFUNCTION("""COMPUTED_VALUE"""),"creature")</f>
        <v>creature</v>
      </c>
      <c r="U585" s="49"/>
      <c r="V585" s="49" t="str">
        <f>IFERROR(__xludf.DUMMYFUNCTION("""COMPUTED_VALUE"""),"evan")</f>
        <v>evan</v>
      </c>
      <c r="W585" s="49" t="str">
        <f>IFERROR(__xludf.DUMMYFUNCTION("""COMPUTED_VALUE"""),"gong")</f>
        <v>gong</v>
      </c>
      <c r="X585" s="49" t="str">
        <f t="shared" si="3"/>
        <v>usual,</v>
      </c>
      <c r="Y585" s="49"/>
      <c r="Z585" s="1" t="s">
        <v>1634</v>
      </c>
      <c r="AA585" s="1" t="s">
        <v>482</v>
      </c>
      <c r="AB585" s="49" t="str">
        <f>IFERROR(__xludf.DUMMYFUNCTION("""COMPUTED_VALUE"""),"sensation")</f>
        <v>sensation</v>
      </c>
      <c r="AC585" s="49"/>
      <c r="AD585" s="49" t="str">
        <f>IFERROR(__xludf.DUMMYFUNCTION("""COMPUTED_VALUE"""),"verbal")</f>
        <v>verbal</v>
      </c>
      <c r="AE585" s="49" t="str">
        <f>IFERROR(__xludf.DUMMYFUNCTION("""COMPUTED_VALUE"""),"sung")</f>
        <v>sung</v>
      </c>
      <c r="AF585" s="49" t="str">
        <f t="shared" si="4"/>
        <v>passion,</v>
      </c>
      <c r="AG585" s="49"/>
      <c r="AH585" s="1" t="s">
        <v>6588</v>
      </c>
      <c r="AI585" s="1" t="s">
        <v>199</v>
      </c>
      <c r="AJ585" s="6" t="str">
        <f>IFERROR(__xludf.DUMMYFUNCTION("""COMPUTED_VALUE"""),"neil")</f>
        <v>neil</v>
      </c>
      <c r="AK585" s="49"/>
      <c r="AL585" s="49"/>
      <c r="AM585" s="49"/>
      <c r="AN585" s="52" t="str">
        <f t="shared" si="5"/>
        <v>killer,</v>
      </c>
    </row>
    <row r="586">
      <c r="A586" s="51"/>
      <c r="B586" s="50" t="s">
        <v>2087</v>
      </c>
      <c r="C586" s="50" t="s">
        <v>2362</v>
      </c>
      <c r="D586" s="49" t="str">
        <f>IFERROR(__xludf.DUMMYFUNCTION("""COMPUTED_VALUE"""),"grant")</f>
        <v>grant</v>
      </c>
      <c r="E586" s="49"/>
      <c r="F586" s="49"/>
      <c r="G586" s="49"/>
      <c r="H586" s="54" t="str">
        <f t="shared" si="1"/>
        <v>perspective,</v>
      </c>
      <c r="I586" s="50"/>
      <c r="J586" s="50" t="s">
        <v>7054</v>
      </c>
      <c r="K586" s="50" t="s">
        <v>2424</v>
      </c>
      <c r="L586" s="49" t="str">
        <f>IFERROR(__xludf.DUMMYFUNCTION("""COMPUTED_VALUE"""),"kicking")</f>
        <v>kicking</v>
      </c>
      <c r="M586" s="49"/>
      <c r="N586" s="49" t="str">
        <f>IFERROR(__xludf.DUMMYFUNCTION("""COMPUTED_VALUE"""),"violently")</f>
        <v>violently</v>
      </c>
      <c r="O586" s="49" t="str">
        <f>IFERROR(__xludf.DUMMYFUNCTION("""COMPUTED_VALUE"""),"carol")</f>
        <v>carol</v>
      </c>
      <c r="P586" s="49" t="str">
        <f t="shared" si="2"/>
        <v>calling,</v>
      </c>
      <c r="Q586" s="49"/>
      <c r="R586" s="50" t="s">
        <v>3783</v>
      </c>
      <c r="S586" s="55" t="s">
        <v>2171</v>
      </c>
      <c r="T586" s="49" t="str">
        <f>IFERROR(__xludf.DUMMYFUNCTION("""COMPUTED_VALUE"""),"company")</f>
        <v>company</v>
      </c>
      <c r="U586" s="49"/>
      <c r="V586" s="49" t="str">
        <f>IFERROR(__xludf.DUMMYFUNCTION("""COMPUTED_VALUE"""),"com")</f>
        <v>com</v>
      </c>
      <c r="W586" s="49" t="str">
        <f>IFERROR(__xludf.DUMMYFUNCTION("""COMPUTED_VALUE"""),"li")</f>
        <v>li</v>
      </c>
      <c r="X586" s="49" t="str">
        <f t="shared" si="3"/>
        <v>oh,</v>
      </c>
      <c r="Y586" s="49"/>
      <c r="Z586" s="1" t="s">
        <v>2658</v>
      </c>
      <c r="AA586" s="1" t="s">
        <v>510</v>
      </c>
      <c r="AB586" s="49" t="str">
        <f>IFERROR(__xludf.DUMMYFUNCTION("""COMPUTED_VALUE"""),"provocative")</f>
        <v>provocative</v>
      </c>
      <c r="AC586" s="49"/>
      <c r="AD586" s="49" t="str">
        <f>IFERROR(__xludf.DUMMYFUNCTION("""COMPUTED_VALUE"""),"violently")</f>
        <v>violently</v>
      </c>
      <c r="AE586" s="49" t="str">
        <f>IFERROR(__xludf.DUMMYFUNCTION("""COMPUTED_VALUE"""),"carol")</f>
        <v>carol</v>
      </c>
      <c r="AF586" s="49" t="str">
        <f t="shared" si="4"/>
        <v>writing,</v>
      </c>
      <c r="AG586" s="49"/>
      <c r="AH586" s="1" t="s">
        <v>3319</v>
      </c>
      <c r="AI586" s="1" t="s">
        <v>2225</v>
      </c>
      <c r="AJ586" s="6" t="str">
        <f>IFERROR(__xludf.DUMMYFUNCTION("""COMPUTED_VALUE"""),"deaths")</f>
        <v>deaths</v>
      </c>
      <c r="AK586" s="49"/>
      <c r="AL586" s="49"/>
      <c r="AM586" s="49"/>
      <c r="AN586" s="52" t="str">
        <f t="shared" si="5"/>
        <v>neil,</v>
      </c>
    </row>
    <row r="587">
      <c r="A587" s="51"/>
      <c r="B587" s="50" t="s">
        <v>177</v>
      </c>
      <c r="C587" s="50" t="s">
        <v>4343</v>
      </c>
      <c r="D587" s="49" t="str">
        <f>IFERROR(__xludf.DUMMYFUNCTION("""COMPUTED_VALUE"""),"hugh")</f>
        <v>hugh</v>
      </c>
      <c r="E587" s="49"/>
      <c r="F587" s="49"/>
      <c r="G587" s="49"/>
      <c r="H587" s="54" t="str">
        <f t="shared" si="1"/>
        <v>merit,</v>
      </c>
      <c r="I587" s="50"/>
      <c r="J587" s="50" t="s">
        <v>7271</v>
      </c>
      <c r="K587" s="50" t="s">
        <v>332</v>
      </c>
      <c r="L587" s="49" t="str">
        <f>IFERROR(__xludf.DUMMYFUNCTION("""COMPUTED_VALUE"""),"tenth")</f>
        <v>tenth</v>
      </c>
      <c r="M587" s="49"/>
      <c r="N587" s="49">
        <f>IFERROR(__xludf.DUMMYFUNCTION("""COMPUTED_VALUE"""),24.0)</f>
        <v>24</v>
      </c>
      <c r="O587" s="49" t="str">
        <f>IFERROR(__xludf.DUMMYFUNCTION("""COMPUTED_VALUE"""),"intricate")</f>
        <v>intricate</v>
      </c>
      <c r="P587" s="49" t="str">
        <f t="shared" si="2"/>
        <v>g,</v>
      </c>
      <c r="Q587" s="49"/>
      <c r="R587" s="50" t="s">
        <v>1524</v>
      </c>
      <c r="S587" s="55" t="s">
        <v>2441</v>
      </c>
      <c r="T587" s="49" t="str">
        <f>IFERROR(__xludf.DUMMYFUNCTION("""COMPUTED_VALUE"""),"commentary")</f>
        <v>commentary</v>
      </c>
      <c r="U587" s="49"/>
      <c r="V587" s="49" t="str">
        <f>IFERROR(__xludf.DUMMYFUNCTION("""COMPUTED_VALUE"""),"keen")</f>
        <v>keen</v>
      </c>
      <c r="W587" s="49" t="str">
        <f>IFERROR(__xludf.DUMMYFUNCTION("""COMPUTED_VALUE"""),"starting")</f>
        <v>starting</v>
      </c>
      <c r="X587" s="49" t="str">
        <f t="shared" si="3"/>
        <v>roll,</v>
      </c>
      <c r="Y587" s="49"/>
      <c r="Z587" s="1" t="s">
        <v>615</v>
      </c>
      <c r="AA587" s="1" t="s">
        <v>2784</v>
      </c>
      <c r="AB587" s="49" t="str">
        <f>IFERROR(__xludf.DUMMYFUNCTION("""COMPUTED_VALUE"""),"holds")</f>
        <v>holds</v>
      </c>
      <c r="AC587" s="49"/>
      <c r="AD587" s="49">
        <f>IFERROR(__xludf.DUMMYFUNCTION("""COMPUTED_VALUE"""),24.0)</f>
        <v>24</v>
      </c>
      <c r="AE587" s="49" t="str">
        <f>IFERROR(__xludf.DUMMYFUNCTION("""COMPUTED_VALUE"""),"intricate")</f>
        <v>intricate</v>
      </c>
      <c r="AF587" s="49" t="str">
        <f t="shared" si="4"/>
        <v>universal,</v>
      </c>
      <c r="AG587" s="49"/>
      <c r="AH587" s="1" t="s">
        <v>3761</v>
      </c>
      <c r="AI587" s="1" t="s">
        <v>936</v>
      </c>
      <c r="AJ587" s="6" t="str">
        <f>IFERROR(__xludf.DUMMYFUNCTION("""COMPUTED_VALUE"""),"genre")</f>
        <v>genre</v>
      </c>
      <c r="AK587" s="49"/>
      <c r="AL587" s="49"/>
      <c r="AM587" s="49"/>
      <c r="AN587" s="52" t="str">
        <f t="shared" si="5"/>
        <v>deaths,</v>
      </c>
    </row>
    <row r="588">
      <c r="A588" s="51"/>
      <c r="B588" s="50" t="s">
        <v>6666</v>
      </c>
      <c r="C588" s="50" t="s">
        <v>2364</v>
      </c>
      <c r="D588" s="49" t="str">
        <f>IFERROR(__xludf.DUMMYFUNCTION("""COMPUTED_VALUE"""),"early")</f>
        <v>early</v>
      </c>
      <c r="E588" s="49"/>
      <c r="F588" s="49"/>
      <c r="G588" s="49"/>
      <c r="H588" s="54" t="str">
        <f t="shared" si="1"/>
        <v>praise,</v>
      </c>
      <c r="I588" s="50"/>
      <c r="J588" s="50" t="s">
        <v>6959</v>
      </c>
      <c r="K588" s="50" t="s">
        <v>2791</v>
      </c>
      <c r="L588" s="49" t="str">
        <f>IFERROR(__xludf.DUMMYFUNCTION("""COMPUTED_VALUE"""),"paul")</f>
        <v>paul</v>
      </c>
      <c r="M588" s="49"/>
      <c r="N588" s="49" t="str">
        <f>IFERROR(__xludf.DUMMYFUNCTION("""COMPUTED_VALUE"""),"artists")</f>
        <v>artists</v>
      </c>
      <c r="O588" s="49" t="str">
        <f>IFERROR(__xludf.DUMMYFUNCTION("""COMPUTED_VALUE"""),"destined")</f>
        <v>destined</v>
      </c>
      <c r="P588" s="49" t="str">
        <f t="shared" si="2"/>
        <v>h,</v>
      </c>
      <c r="Q588" s="49"/>
      <c r="R588" s="50" t="s">
        <v>1068</v>
      </c>
      <c r="S588" s="55" t="s">
        <v>6351</v>
      </c>
      <c r="T588" s="49" t="str">
        <f>IFERROR(__xludf.DUMMYFUNCTION("""COMPUTED_VALUE"""),"created")</f>
        <v>created</v>
      </c>
      <c r="U588" s="49"/>
      <c r="V588" s="49" t="str">
        <f>IFERROR(__xludf.DUMMYFUNCTION("""COMPUTED_VALUE"""),"pale")</f>
        <v>pale</v>
      </c>
      <c r="W588" s="49" t="str">
        <f>IFERROR(__xludf.DUMMYFUNCTION("""COMPUTED_VALUE"""),"moore")</f>
        <v>moore</v>
      </c>
      <c r="X588" s="49" t="str">
        <f t="shared" si="3"/>
        <v>rock,</v>
      </c>
      <c r="Y588" s="49"/>
      <c r="Z588" s="1" t="s">
        <v>2087</v>
      </c>
      <c r="AA588" s="1" t="s">
        <v>1996</v>
      </c>
      <c r="AB588" s="49" t="str">
        <f>IFERROR(__xludf.DUMMYFUNCTION("""COMPUTED_VALUE"""),"intense")</f>
        <v>intense</v>
      </c>
      <c r="AC588" s="49"/>
      <c r="AD588" s="49" t="str">
        <f>IFERROR(__xludf.DUMMYFUNCTION("""COMPUTED_VALUE"""),"artists")</f>
        <v>artists</v>
      </c>
      <c r="AE588" s="49" t="str">
        <f>IFERROR(__xludf.DUMMYFUNCTION("""COMPUTED_VALUE"""),"destined")</f>
        <v>destined</v>
      </c>
      <c r="AF588" s="49" t="str">
        <f t="shared" si="4"/>
        <v>perspective,</v>
      </c>
      <c r="AG588" s="49"/>
      <c r="AH588" s="1" t="s">
        <v>822</v>
      </c>
      <c r="AI588" s="1" t="s">
        <v>1498</v>
      </c>
      <c r="AJ588" s="6" t="str">
        <f>IFERROR(__xludf.DUMMYFUNCTION("""COMPUTED_VALUE"""),"serial")</f>
        <v>serial</v>
      </c>
      <c r="AK588" s="49"/>
      <c r="AL588" s="49"/>
      <c r="AM588" s="49"/>
      <c r="AN588" s="52" t="str">
        <f t="shared" si="5"/>
        <v>genre,</v>
      </c>
    </row>
    <row r="589">
      <c r="A589" s="51"/>
      <c r="B589" s="50" t="s">
        <v>762</v>
      </c>
      <c r="C589" s="50" t="s">
        <v>2358</v>
      </c>
      <c r="D589" s="49" t="str">
        <f>IFERROR(__xludf.DUMMYFUNCTION("""COMPUTED_VALUE"""),"stay")</f>
        <v>stay</v>
      </c>
      <c r="E589" s="49"/>
      <c r="F589" s="49"/>
      <c r="G589" s="49"/>
      <c r="H589" s="54" t="str">
        <f t="shared" si="1"/>
        <v>abstract,</v>
      </c>
      <c r="I589" s="50"/>
      <c r="J589" s="50">
        <v>2.0</v>
      </c>
      <c r="K589" s="50" t="s">
        <v>1646</v>
      </c>
      <c r="L589" s="49" t="str">
        <f>IFERROR(__xludf.DUMMYFUNCTION("""COMPUTED_VALUE"""),"possibilities")</f>
        <v>possibilities</v>
      </c>
      <c r="M589" s="49"/>
      <c r="N589" s="49" t="str">
        <f>IFERROR(__xludf.DUMMYFUNCTION("""COMPUTED_VALUE"""),"vision")</f>
        <v>vision</v>
      </c>
      <c r="O589" s="49" t="str">
        <f>IFERROR(__xludf.DUMMYFUNCTION("""COMPUTED_VALUE"""),"griffith")</f>
        <v>griffith</v>
      </c>
      <c r="P589" s="49" t="str">
        <f t="shared" si="2"/>
        <v>2,</v>
      </c>
      <c r="Q589" s="49"/>
      <c r="R589" s="50" t="s">
        <v>1151</v>
      </c>
      <c r="S589" s="55" t="s">
        <v>2685</v>
      </c>
      <c r="T589" s="49" t="str">
        <f>IFERROR(__xludf.DUMMYFUNCTION("""COMPUTED_VALUE"""),"japanese")</f>
        <v>japanese</v>
      </c>
      <c r="U589" s="49"/>
      <c r="V589" s="49" t="str">
        <f>IFERROR(__xludf.DUMMYFUNCTION("""COMPUTED_VALUE"""),"implies")</f>
        <v>implies</v>
      </c>
      <c r="W589" s="49" t="str">
        <f>IFERROR(__xludf.DUMMYFUNCTION("""COMPUTED_VALUE"""),"jacques")</f>
        <v>jacques</v>
      </c>
      <c r="X589" s="49" t="str">
        <f t="shared" si="3"/>
        <v>city,</v>
      </c>
      <c r="Y589" s="49"/>
      <c r="Z589" s="1" t="s">
        <v>177</v>
      </c>
      <c r="AA589" s="1" t="s">
        <v>518</v>
      </c>
      <c r="AB589" s="49" t="str">
        <f>IFERROR(__xludf.DUMMYFUNCTION("""COMPUTED_VALUE"""),"rewards")</f>
        <v>rewards</v>
      </c>
      <c r="AC589" s="49"/>
      <c r="AD589" s="49" t="str">
        <f>IFERROR(__xludf.DUMMYFUNCTION("""COMPUTED_VALUE"""),"vision")</f>
        <v>vision</v>
      </c>
      <c r="AE589" s="49" t="str">
        <f>IFERROR(__xludf.DUMMYFUNCTION("""COMPUTED_VALUE"""),"griffith")</f>
        <v>griffith</v>
      </c>
      <c r="AF589" s="49" t="str">
        <f t="shared" si="4"/>
        <v>merit,</v>
      </c>
      <c r="AG589" s="49"/>
      <c r="AH589" s="1" t="s">
        <v>4283</v>
      </c>
      <c r="AI589" s="1" t="s">
        <v>1135</v>
      </c>
      <c r="AJ589" s="6" t="str">
        <f>IFERROR(__xludf.DUMMYFUNCTION("""COMPUTED_VALUE"""),"found")</f>
        <v>found</v>
      </c>
      <c r="AK589" s="49"/>
      <c r="AL589" s="49"/>
      <c r="AM589" s="49"/>
      <c r="AN589" s="52" t="str">
        <f t="shared" si="5"/>
        <v>serial,</v>
      </c>
    </row>
    <row r="590">
      <c r="A590" s="51"/>
      <c r="B590" s="50" t="s">
        <v>1464</v>
      </c>
      <c r="C590" s="50" t="s">
        <v>1279</v>
      </c>
      <c r="D590" s="49" t="str">
        <f>IFERROR(__xludf.DUMMYFUNCTION("""COMPUTED_VALUE"""),"arrive")</f>
        <v>arrive</v>
      </c>
      <c r="E590" s="49"/>
      <c r="F590" s="49"/>
      <c r="G590" s="49"/>
      <c r="H590" s="54" t="str">
        <f t="shared" si="1"/>
        <v>home,</v>
      </c>
      <c r="I590" s="50"/>
      <c r="J590" s="50" t="s">
        <v>2106</v>
      </c>
      <c r="K590" s="50" t="s">
        <v>634</v>
      </c>
      <c r="L590" s="49" t="str">
        <f>IFERROR(__xludf.DUMMYFUNCTION("""COMPUTED_VALUE"""),"working")</f>
        <v>working</v>
      </c>
      <c r="M590" s="49"/>
      <c r="N590" s="49" t="str">
        <f>IFERROR(__xludf.DUMMYFUNCTION("""COMPUTED_VALUE"""),"pilot")</f>
        <v>pilot</v>
      </c>
      <c r="O590" s="49" t="str">
        <f>IFERROR(__xludf.DUMMYFUNCTION("""COMPUTED_VALUE"""),"recipe")</f>
        <v>recipe</v>
      </c>
      <c r="P590" s="49" t="str">
        <f t="shared" si="2"/>
        <v>souls,</v>
      </c>
      <c r="Q590" s="49"/>
      <c r="R590" s="50" t="s">
        <v>5294</v>
      </c>
      <c r="S590" s="55" t="s">
        <v>2179</v>
      </c>
      <c r="T590" s="49" t="str">
        <f>IFERROR(__xludf.DUMMYFUNCTION("""COMPUTED_VALUE"""),"thirty")</f>
        <v>thirty</v>
      </c>
      <c r="U590" s="49"/>
      <c r="V590" s="49" t="str">
        <f>IFERROR(__xludf.DUMMYFUNCTION("""COMPUTED_VALUE"""),"hopefully")</f>
        <v>hopefully</v>
      </c>
      <c r="W590" s="49" t="str">
        <f>IFERROR(__xludf.DUMMYFUNCTION("""COMPUTED_VALUE"""),"known")</f>
        <v>known</v>
      </c>
      <c r="X590" s="49" t="str">
        <f t="shared" si="3"/>
        <v>rating,</v>
      </c>
      <c r="Y590" s="49"/>
      <c r="Z590" s="1" t="s">
        <v>417</v>
      </c>
      <c r="AA590" s="1" t="s">
        <v>2795</v>
      </c>
      <c r="AB590" s="49" t="str">
        <f>IFERROR(__xludf.DUMMYFUNCTION("""COMPUTED_VALUE"""),"cult")</f>
        <v>cult</v>
      </c>
      <c r="AC590" s="49"/>
      <c r="AD590" s="49" t="str">
        <f>IFERROR(__xludf.DUMMYFUNCTION("""COMPUTED_VALUE"""),"pilot")</f>
        <v>pilot</v>
      </c>
      <c r="AE590" s="49" t="str">
        <f>IFERROR(__xludf.DUMMYFUNCTION("""COMPUTED_VALUE"""),"recipe")</f>
        <v>recipe</v>
      </c>
      <c r="AF590" s="49" t="str">
        <f t="shared" si="4"/>
        <v>concept,</v>
      </c>
      <c r="AG590" s="49"/>
      <c r="AH590" s="1" t="s">
        <v>342</v>
      </c>
      <c r="AI590" s="1" t="s">
        <v>1221</v>
      </c>
      <c r="AJ590" s="6" t="str">
        <f>IFERROR(__xludf.DUMMYFUNCTION("""COMPUTED_VALUE"""),"think")</f>
        <v>think</v>
      </c>
      <c r="AK590" s="49"/>
      <c r="AL590" s="49"/>
      <c r="AM590" s="49"/>
      <c r="AN590" s="52" t="str">
        <f t="shared" si="5"/>
        <v>found,</v>
      </c>
    </row>
    <row r="591">
      <c r="A591" s="51"/>
      <c r="B591" s="50" t="s">
        <v>1265</v>
      </c>
      <c r="C591" s="50" t="s">
        <v>1272</v>
      </c>
      <c r="D591" s="49" t="str">
        <f>IFERROR(__xludf.DUMMYFUNCTION("""COMPUTED_VALUE"""),"urban")</f>
        <v>urban</v>
      </c>
      <c r="E591" s="49"/>
      <c r="F591" s="49"/>
      <c r="G591" s="49"/>
      <c r="H591" s="54" t="str">
        <f t="shared" si="1"/>
        <v>town,</v>
      </c>
      <c r="I591" s="50"/>
      <c r="J591" s="50" t="s">
        <v>1958</v>
      </c>
      <c r="K591" s="50" t="s">
        <v>408</v>
      </c>
      <c r="L591" s="49" t="str">
        <f>IFERROR(__xludf.DUMMYFUNCTION("""COMPUTED_VALUE"""),"sexy")</f>
        <v>sexy</v>
      </c>
      <c r="M591" s="49"/>
      <c r="N591" s="49" t="str">
        <f>IFERROR(__xludf.DUMMYFUNCTION("""COMPUTED_VALUE"""),"wet")</f>
        <v>wet</v>
      </c>
      <c r="O591" s="49" t="str">
        <f>IFERROR(__xludf.DUMMYFUNCTION("""COMPUTED_VALUE"""),"employs")</f>
        <v>employs</v>
      </c>
      <c r="P591" s="49" t="str">
        <f t="shared" si="2"/>
        <v>etc,</v>
      </c>
      <c r="Q591" s="49"/>
      <c r="R591" s="50" t="s">
        <v>4719</v>
      </c>
      <c r="S591" s="55" t="s">
        <v>1402</v>
      </c>
      <c r="T591" s="49" t="str">
        <f>IFERROR(__xludf.DUMMYFUNCTION("""COMPUTED_VALUE"""),"flight")</f>
        <v>flight</v>
      </c>
      <c r="U591" s="49"/>
      <c r="V591" s="49" t="str">
        <f>IFERROR(__xludf.DUMMYFUNCTION("""COMPUTED_VALUE"""),"crossover")</f>
        <v>crossover</v>
      </c>
      <c r="W591" s="49" t="str">
        <f>IFERROR(__xludf.DUMMYFUNCTION("""COMPUTED_VALUE"""),"belongs")</f>
        <v>belongs</v>
      </c>
      <c r="X591" s="49" t="str">
        <f t="shared" si="3"/>
        <v>wondering,</v>
      </c>
      <c r="Y591" s="49"/>
      <c r="Z591" s="1" t="s">
        <v>4062</v>
      </c>
      <c r="AA591" s="1" t="s">
        <v>2278</v>
      </c>
      <c r="AB591" s="49" t="str">
        <f>IFERROR(__xludf.DUMMYFUNCTION("""COMPUTED_VALUE"""),"bar")</f>
        <v>bar</v>
      </c>
      <c r="AC591" s="49"/>
      <c r="AD591" s="49" t="str">
        <f>IFERROR(__xludf.DUMMYFUNCTION("""COMPUTED_VALUE"""),"wet")</f>
        <v>wet</v>
      </c>
      <c r="AE591" s="49" t="str">
        <f>IFERROR(__xludf.DUMMYFUNCTION("""COMPUTED_VALUE"""),"employs")</f>
        <v>employs</v>
      </c>
      <c r="AF591" s="49" t="str">
        <f t="shared" si="4"/>
        <v>revealed,</v>
      </c>
      <c r="AG591" s="49"/>
      <c r="AH591" s="1" t="s">
        <v>683</v>
      </c>
      <c r="AI591" s="1" t="s">
        <v>1141</v>
      </c>
      <c r="AJ591" s="6" t="str">
        <f>IFERROR(__xludf.DUMMYFUNCTION("""COMPUTED_VALUE"""),"saw")</f>
        <v>saw</v>
      </c>
      <c r="AK591" s="49"/>
      <c r="AL591" s="49"/>
      <c r="AM591" s="49"/>
      <c r="AN591" s="52" t="str">
        <f t="shared" si="5"/>
        <v>think,</v>
      </c>
    </row>
    <row r="592">
      <c r="A592" s="51"/>
      <c r="B592" s="50" t="s">
        <v>3337</v>
      </c>
      <c r="C592" s="50" t="s">
        <v>2131</v>
      </c>
      <c r="D592" s="49" t="str">
        <f>IFERROR(__xludf.DUMMYFUNCTION("""COMPUTED_VALUE"""),"john")</f>
        <v>john</v>
      </c>
      <c r="E592" s="49"/>
      <c r="F592" s="49"/>
      <c r="G592" s="49"/>
      <c r="H592" s="54" t="str">
        <f t="shared" si="1"/>
        <v>control,</v>
      </c>
      <c r="I592" s="50"/>
      <c r="J592" s="50" t="s">
        <v>6800</v>
      </c>
      <c r="K592" s="50" t="s">
        <v>641</v>
      </c>
      <c r="L592" s="49" t="str">
        <f>IFERROR(__xludf.DUMMYFUNCTION("""COMPUTED_VALUE"""),"roger")</f>
        <v>roger</v>
      </c>
      <c r="M592" s="49"/>
      <c r="N592" s="49" t="str">
        <f>IFERROR(__xludf.DUMMYFUNCTION("""COMPUTED_VALUE"""),"generous")</f>
        <v>generous</v>
      </c>
      <c r="O592" s="49" t="str">
        <f>IFERROR(__xludf.DUMMYFUNCTION("""COMPUTED_VALUE"""),"cheat")</f>
        <v>cheat</v>
      </c>
      <c r="P592" s="49" t="str">
        <f t="shared" si="2"/>
        <v>stellar,</v>
      </c>
      <c r="Q592" s="49"/>
      <c r="R592" s="50" t="s">
        <v>6314</v>
      </c>
      <c r="S592" s="55" t="s">
        <v>1345</v>
      </c>
      <c r="T592" s="49" t="str">
        <f>IFERROR(__xludf.DUMMYFUNCTION("""COMPUTED_VALUE"""),"exploitation")</f>
        <v>exploitation</v>
      </c>
      <c r="U592" s="49"/>
      <c r="V592" s="49" t="str">
        <f>IFERROR(__xludf.DUMMYFUNCTION("""COMPUTED_VALUE"""),"sticking")</f>
        <v>sticking</v>
      </c>
      <c r="W592" s="49" t="str">
        <f>IFERROR(__xludf.DUMMYFUNCTION("""COMPUTED_VALUE"""),"country")</f>
        <v>country</v>
      </c>
      <c r="X592" s="49" t="str">
        <f t="shared" si="3"/>
        <v>gone,</v>
      </c>
      <c r="Y592" s="49"/>
      <c r="Z592" s="1" t="s">
        <v>624</v>
      </c>
      <c r="AA592" s="1" t="s">
        <v>2799</v>
      </c>
      <c r="AB592" s="49" t="str">
        <f>IFERROR(__xludf.DUMMYFUNCTION("""COMPUTED_VALUE"""),"dragon")</f>
        <v>dragon</v>
      </c>
      <c r="AC592" s="49"/>
      <c r="AD592" s="49" t="str">
        <f>IFERROR(__xludf.DUMMYFUNCTION("""COMPUTED_VALUE"""),"generous")</f>
        <v>generous</v>
      </c>
      <c r="AE592" s="49" t="str">
        <f>IFERROR(__xludf.DUMMYFUNCTION("""COMPUTED_VALUE"""),"cheat")</f>
        <v>cheat</v>
      </c>
      <c r="AF592" s="49" t="str">
        <f t="shared" si="4"/>
        <v>creation,</v>
      </c>
      <c r="AG592" s="49"/>
      <c r="AH592" s="1" t="s">
        <v>785</v>
      </c>
      <c r="AI592" s="1" t="s">
        <v>6346</v>
      </c>
      <c r="AJ592" s="6" t="str">
        <f>IFERROR(__xludf.DUMMYFUNCTION("""COMPUTED_VALUE"""),"already")</f>
        <v>already</v>
      </c>
      <c r="AK592" s="49"/>
      <c r="AL592" s="49"/>
      <c r="AM592" s="49"/>
      <c r="AN592" s="52" t="str">
        <f t="shared" si="5"/>
        <v>saw,</v>
      </c>
    </row>
    <row r="593">
      <c r="A593" s="51"/>
      <c r="B593" s="50" t="s">
        <v>137</v>
      </c>
      <c r="C593" s="50" t="s">
        <v>792</v>
      </c>
      <c r="D593" s="49" t="str">
        <f>IFERROR(__xludf.DUMMYFUNCTION("""COMPUTED_VALUE"""),"hours")</f>
        <v>hours</v>
      </c>
      <c r="E593" s="49"/>
      <c r="F593" s="49"/>
      <c r="G593" s="49"/>
      <c r="H593" s="54" t="str">
        <f t="shared" si="1"/>
        <v>taken,</v>
      </c>
      <c r="I593" s="50"/>
      <c r="J593" s="50" t="s">
        <v>1914</v>
      </c>
      <c r="K593" s="50" t="s">
        <v>2802</v>
      </c>
      <c r="L593" s="49" t="str">
        <f>IFERROR(__xludf.DUMMYFUNCTION("""COMPUTED_VALUE"""),"savage")</f>
        <v>savage</v>
      </c>
      <c r="M593" s="49"/>
      <c r="N593" s="49" t="str">
        <f>IFERROR(__xludf.DUMMYFUNCTION("""COMPUTED_VALUE"""),"dish")</f>
        <v>dish</v>
      </c>
      <c r="O593" s="49" t="str">
        <f>IFERROR(__xludf.DUMMYFUNCTION("""COMPUTED_VALUE"""),"indie")</f>
        <v>indie</v>
      </c>
      <c r="P593" s="49" t="str">
        <f t="shared" si="2"/>
        <v>effects,</v>
      </c>
      <c r="Q593" s="49"/>
      <c r="R593" s="50" t="s">
        <v>1072</v>
      </c>
      <c r="S593" s="55" t="s">
        <v>1353</v>
      </c>
      <c r="T593" s="49" t="str">
        <f>IFERROR(__xludf.DUMMYFUNCTION("""COMPUTED_VALUE"""),"hitchcock")</f>
        <v>hitchcock</v>
      </c>
      <c r="U593" s="49"/>
      <c r="V593" s="49" t="str">
        <f>IFERROR(__xludf.DUMMYFUNCTION("""COMPUTED_VALUE"""),"wheeling")</f>
        <v>wheeling</v>
      </c>
      <c r="W593" s="49" t="str">
        <f>IFERROR(__xludf.DUMMYFUNCTION("""COMPUTED_VALUE"""),"eight")</f>
        <v>eight</v>
      </c>
      <c r="X593" s="49" t="str">
        <f t="shared" si="3"/>
        <v>fans,</v>
      </c>
      <c r="Y593" s="49"/>
      <c r="Z593" s="1" t="s">
        <v>1577</v>
      </c>
      <c r="AA593" s="1" t="s">
        <v>468</v>
      </c>
      <c r="AB593" s="49" t="str">
        <f>IFERROR(__xludf.DUMMYFUNCTION("""COMPUTED_VALUE"""),"arts")</f>
        <v>arts</v>
      </c>
      <c r="AC593" s="49"/>
      <c r="AD593" s="49" t="str">
        <f>IFERROR(__xludf.DUMMYFUNCTION("""COMPUTED_VALUE"""),"dish")</f>
        <v>dish</v>
      </c>
      <c r="AE593" s="49" t="str">
        <f>IFERROR(__xludf.DUMMYFUNCTION("""COMPUTED_VALUE"""),"indie")</f>
        <v>indie</v>
      </c>
      <c r="AF593" s="49" t="str">
        <f t="shared" si="4"/>
        <v>following,</v>
      </c>
      <c r="AG593" s="49"/>
      <c r="AH593" s="1" t="s">
        <v>330</v>
      </c>
      <c r="AI593" s="1" t="s">
        <v>1226</v>
      </c>
      <c r="AJ593" s="6">
        <f>IFERROR(__xludf.DUMMYFUNCTION("""COMPUTED_VALUE"""),1998.0)</f>
        <v>1998</v>
      </c>
      <c r="AK593" s="49"/>
      <c r="AL593" s="49"/>
      <c r="AM593" s="49"/>
      <c r="AN593" s="52" t="str">
        <f t="shared" si="5"/>
        <v>already,</v>
      </c>
    </row>
    <row r="594">
      <c r="A594" s="51"/>
      <c r="B594" s="50" t="s">
        <v>4209</v>
      </c>
      <c r="C594" s="50" t="s">
        <v>2622</v>
      </c>
      <c r="D594" s="49" t="str">
        <f>IFERROR(__xludf.DUMMYFUNCTION("""COMPUTED_VALUE"""),"blue")</f>
        <v>blue</v>
      </c>
      <c r="E594" s="49"/>
      <c r="F594" s="49"/>
      <c r="G594" s="49"/>
      <c r="H594" s="54" t="str">
        <f t="shared" si="1"/>
        <v>america,</v>
      </c>
      <c r="I594" s="50"/>
      <c r="J594" s="50" t="s">
        <v>5543</v>
      </c>
      <c r="K594" s="50" t="s">
        <v>418</v>
      </c>
      <c r="L594" s="49" t="str">
        <f>IFERROR(__xludf.DUMMYFUNCTION("""COMPUTED_VALUE"""),"overly")</f>
        <v>overly</v>
      </c>
      <c r="M594" s="49"/>
      <c r="N594" s="49" t="str">
        <f>IFERROR(__xludf.DUMMYFUNCTION("""COMPUTED_VALUE"""),"fifteen")</f>
        <v>fifteen</v>
      </c>
      <c r="O594" s="49" t="str">
        <f>IFERROR(__xludf.DUMMYFUNCTION("""COMPUTED_VALUE"""),"ethics")</f>
        <v>ethics</v>
      </c>
      <c r="P594" s="49" t="str">
        <f t="shared" si="2"/>
        <v>douglas,</v>
      </c>
      <c r="Q594" s="49"/>
      <c r="R594" s="50" t="s">
        <v>2589</v>
      </c>
      <c r="S594" s="55" t="s">
        <v>6318</v>
      </c>
      <c r="T594" s="49" t="str">
        <f>IFERROR(__xludf.DUMMYFUNCTION("""COMPUTED_VALUE"""),"amounts")</f>
        <v>amounts</v>
      </c>
      <c r="U594" s="49"/>
      <c r="V594" s="49" t="b">
        <f>IFERROR(__xludf.DUMMYFUNCTION("""COMPUTED_VALUE"""),FALSE)</f>
        <v>0</v>
      </c>
      <c r="W594" s="49" t="str">
        <f>IFERROR(__xludf.DUMMYFUNCTION("""COMPUTED_VALUE"""),"bonds")</f>
        <v>bonds</v>
      </c>
      <c r="X594" s="49" t="str">
        <f t="shared" si="3"/>
        <v>minds,</v>
      </c>
      <c r="Y594" s="49"/>
      <c r="Z594" s="1" t="s">
        <v>145</v>
      </c>
      <c r="AA594" s="1" t="s">
        <v>438</v>
      </c>
      <c r="AB594" s="49" t="str">
        <f>IFERROR(__xludf.DUMMYFUNCTION("""COMPUTED_VALUE"""),"martial")</f>
        <v>martial</v>
      </c>
      <c r="AC594" s="49"/>
      <c r="AD594" s="49" t="str">
        <f>IFERROR(__xludf.DUMMYFUNCTION("""COMPUTED_VALUE"""),"fifteen")</f>
        <v>fifteen</v>
      </c>
      <c r="AE594" s="49" t="str">
        <f>IFERROR(__xludf.DUMMYFUNCTION("""COMPUTED_VALUE"""),"ethics")</f>
        <v>ethics</v>
      </c>
      <c r="AF594" s="49" t="str">
        <f t="shared" si="4"/>
        <v>intelligence,</v>
      </c>
      <c r="AG594" s="49"/>
      <c r="AH594" s="1">
        <v>1998.0</v>
      </c>
      <c r="AI594" s="1" t="s">
        <v>6347</v>
      </c>
      <c r="AJ594" s="6" t="str">
        <f>IFERROR(__xludf.DUMMYFUNCTION("""COMPUTED_VALUE"""),"executive")</f>
        <v>executive</v>
      </c>
      <c r="AK594" s="49"/>
      <c r="AL594" s="49"/>
      <c r="AM594" s="49"/>
      <c r="AN594" s="52" t="str">
        <f t="shared" si="5"/>
        <v>1998,</v>
      </c>
    </row>
    <row r="595">
      <c r="A595" s="51"/>
      <c r="B595" s="50" t="s">
        <v>2108</v>
      </c>
      <c r="C595" s="50" t="s">
        <v>1290</v>
      </c>
      <c r="D595" s="49" t="str">
        <f>IFERROR(__xludf.DUMMYFUNCTION("""COMPUTED_VALUE"""),"green")</f>
        <v>green</v>
      </c>
      <c r="E595" s="49"/>
      <c r="F595" s="49"/>
      <c r="G595" s="49"/>
      <c r="H595" s="54" t="str">
        <f t="shared" si="1"/>
        <v>phone,</v>
      </c>
      <c r="I595" s="50"/>
      <c r="J595" s="50" t="s">
        <v>4140</v>
      </c>
      <c r="K595" s="50" t="s">
        <v>2808</v>
      </c>
      <c r="L595" s="49" t="str">
        <f>IFERROR(__xludf.DUMMYFUNCTION("""COMPUTED_VALUE"""),"above")</f>
        <v>above</v>
      </c>
      <c r="M595" s="49"/>
      <c r="N595" s="49" t="str">
        <f>IFERROR(__xludf.DUMMYFUNCTION("""COMPUTED_VALUE"""),"cross")</f>
        <v>cross</v>
      </c>
      <c r="O595" s="49" t="str">
        <f>IFERROR(__xludf.DUMMYFUNCTION("""COMPUTED_VALUE"""),"mcgrath")</f>
        <v>mcgrath</v>
      </c>
      <c r="P595" s="49" t="str">
        <f t="shared" si="2"/>
        <v>island,</v>
      </c>
      <c r="Q595" s="49"/>
      <c r="R595" s="50" t="s">
        <v>1713</v>
      </c>
      <c r="S595" s="55" t="s">
        <v>1395</v>
      </c>
      <c r="T595" s="49" t="str">
        <f>IFERROR(__xludf.DUMMYFUNCTION("""COMPUTED_VALUE"""),"relentless")</f>
        <v>relentless</v>
      </c>
      <c r="U595" s="49"/>
      <c r="V595" s="49" t="str">
        <f>IFERROR(__xludf.DUMMYFUNCTION("""COMPUTED_VALUE"""),"adjective")</f>
        <v>adjective</v>
      </c>
      <c r="W595" s="49" t="str">
        <f>IFERROR(__xludf.DUMMYFUNCTION("""COMPUTED_VALUE"""),"rely")</f>
        <v>rely</v>
      </c>
      <c r="X595" s="49" t="str">
        <f t="shared" si="3"/>
        <v>formed,</v>
      </c>
      <c r="Y595" s="49"/>
      <c r="Z595" s="1" t="s">
        <v>762</v>
      </c>
      <c r="AA595" s="1" t="s">
        <v>2805</v>
      </c>
      <c r="AB595" s="49" t="str">
        <f>IFERROR(__xludf.DUMMYFUNCTION("""COMPUTED_VALUE"""),"legacy")</f>
        <v>legacy</v>
      </c>
      <c r="AC595" s="49"/>
      <c r="AD595" s="49" t="str">
        <f>IFERROR(__xludf.DUMMYFUNCTION("""COMPUTED_VALUE"""),"cross")</f>
        <v>cross</v>
      </c>
      <c r="AE595" s="49" t="str">
        <f>IFERROR(__xludf.DUMMYFUNCTION("""COMPUTED_VALUE"""),"mcgrath")</f>
        <v>mcgrath</v>
      </c>
      <c r="AF595" s="49" t="str">
        <f t="shared" si="4"/>
        <v>abstract,</v>
      </c>
      <c r="AG595" s="49"/>
      <c r="AH595" s="1" t="s">
        <v>3743</v>
      </c>
      <c r="AI595" s="1" t="s">
        <v>2030</v>
      </c>
      <c r="AJ595" s="6" t="str">
        <f>IFERROR(__xludf.DUMMYFUNCTION("""COMPUTED_VALUE"""),"supposed")</f>
        <v>supposed</v>
      </c>
      <c r="AK595" s="49"/>
      <c r="AL595" s="49"/>
      <c r="AM595" s="49"/>
      <c r="AN595" s="52" t="str">
        <f t="shared" si="5"/>
        <v>executive,</v>
      </c>
    </row>
    <row r="596">
      <c r="A596" s="51"/>
      <c r="B596" s="50" t="s">
        <v>1434</v>
      </c>
      <c r="C596" s="50" t="s">
        <v>350</v>
      </c>
      <c r="D596" s="49" t="str">
        <f>IFERROR(__xludf.DUMMYFUNCTION("""COMPUTED_VALUE"""),"brown")</f>
        <v>brown</v>
      </c>
      <c r="E596" s="49"/>
      <c r="F596" s="49"/>
      <c r="G596" s="49"/>
      <c r="H596" s="54" t="str">
        <f t="shared" si="1"/>
        <v>culture,</v>
      </c>
      <c r="I596" s="50"/>
      <c r="J596" s="50" t="s">
        <v>4879</v>
      </c>
      <c r="K596" s="50" t="s">
        <v>1022</v>
      </c>
      <c r="L596" s="49" t="str">
        <f>IFERROR(__xludf.DUMMYFUNCTION("""COMPUTED_VALUE"""),"touch")</f>
        <v>touch</v>
      </c>
      <c r="M596" s="49"/>
      <c r="N596" s="49" t="str">
        <f>IFERROR(__xludf.DUMMYFUNCTION("""COMPUTED_VALUE"""),"chen")</f>
        <v>chen</v>
      </c>
      <c r="O596" s="49" t="str">
        <f>IFERROR(__xludf.DUMMYFUNCTION("""COMPUTED_VALUE"""),"hopkins")</f>
        <v>hopkins</v>
      </c>
      <c r="P596" s="49" t="str">
        <f t="shared" si="2"/>
        <v>alien,</v>
      </c>
      <c r="Q596" s="49"/>
      <c r="R596" s="50" t="s">
        <v>1640</v>
      </c>
      <c r="S596" s="55" t="s">
        <v>1216</v>
      </c>
      <c r="T596" s="49" t="str">
        <f>IFERROR(__xludf.DUMMYFUNCTION("""COMPUTED_VALUE"""),"connection")</f>
        <v>connection</v>
      </c>
      <c r="U596" s="49"/>
      <c r="V596" s="49" t="str">
        <f>IFERROR(__xludf.DUMMYFUNCTION("""COMPUTED_VALUE"""),"fool")</f>
        <v>fool</v>
      </c>
      <c r="W596" s="49" t="str">
        <f>IFERROR(__xludf.DUMMYFUNCTION("""COMPUTED_VALUE"""),"registering")</f>
        <v>registering</v>
      </c>
      <c r="X596" s="49" t="str">
        <f t="shared" si="3"/>
        <v>formula,</v>
      </c>
      <c r="Y596" s="49"/>
      <c r="Z596" s="1" t="s">
        <v>593</v>
      </c>
      <c r="AA596" s="1" t="s">
        <v>845</v>
      </c>
      <c r="AB596" s="49" t="str">
        <f>IFERROR(__xludf.DUMMYFUNCTION("""COMPUTED_VALUE"""),"images")</f>
        <v>images</v>
      </c>
      <c r="AC596" s="49"/>
      <c r="AD596" s="49" t="str">
        <f>IFERROR(__xludf.DUMMYFUNCTION("""COMPUTED_VALUE"""),"chen")</f>
        <v>chen</v>
      </c>
      <c r="AE596" s="49" t="str">
        <f>IFERROR(__xludf.DUMMYFUNCTION("""COMPUTED_VALUE"""),"hopkins")</f>
        <v>hopkins</v>
      </c>
      <c r="AF596" s="49" t="str">
        <f t="shared" si="4"/>
        <v>us,</v>
      </c>
      <c r="AG596" s="49"/>
      <c r="AH596" s="1" t="s">
        <v>2055</v>
      </c>
      <c r="AI596" s="1" t="s">
        <v>116</v>
      </c>
      <c r="AJ596" s="6" t="str">
        <f>IFERROR(__xludf.DUMMYFUNCTION("""COMPUTED_VALUE"""),"sort")</f>
        <v>sort</v>
      </c>
      <c r="AK596" s="49"/>
      <c r="AL596" s="49"/>
      <c r="AM596" s="49"/>
      <c r="AN596" s="52" t="str">
        <f t="shared" si="5"/>
        <v>supposed,</v>
      </c>
    </row>
    <row r="597">
      <c r="A597" s="51"/>
      <c r="B597" s="50" t="s">
        <v>1867</v>
      </c>
      <c r="C597" s="50" t="s">
        <v>1301</v>
      </c>
      <c r="D597" s="49" t="str">
        <f>IFERROR(__xludf.DUMMYFUNCTION("""COMPUTED_VALUE"""),"includes")</f>
        <v>includes</v>
      </c>
      <c r="E597" s="49"/>
      <c r="F597" s="49"/>
      <c r="G597" s="49"/>
      <c r="H597" s="54" t="str">
        <f t="shared" si="1"/>
        <v>ice,</v>
      </c>
      <c r="I597" s="50"/>
      <c r="J597" s="50" t="s">
        <v>6675</v>
      </c>
      <c r="K597" s="50" t="s">
        <v>1657</v>
      </c>
      <c r="L597" s="49" t="str">
        <f>IFERROR(__xludf.DUMMYFUNCTION("""COMPUTED_VALUE"""),"strokes")</f>
        <v>strokes</v>
      </c>
      <c r="M597" s="49"/>
      <c r="N597" s="49" t="str">
        <f>IFERROR(__xludf.DUMMYFUNCTION("""COMPUTED_VALUE"""),"c")</f>
        <v>c</v>
      </c>
      <c r="O597" s="49" t="str">
        <f>IFERROR(__xludf.DUMMYFUNCTION("""COMPUTED_VALUE"""),"durable")</f>
        <v>durable</v>
      </c>
      <c r="P597" s="49" t="str">
        <f t="shared" si="2"/>
        <v>ruined,</v>
      </c>
      <c r="Q597" s="49"/>
      <c r="R597" s="50" t="s">
        <v>1918</v>
      </c>
      <c r="S597" s="55" t="s">
        <v>495</v>
      </c>
      <c r="T597" s="49" t="str">
        <f>IFERROR(__xludf.DUMMYFUNCTION("""COMPUTED_VALUE"""),"emerging")</f>
        <v>emerging</v>
      </c>
      <c r="U597" s="49"/>
      <c r="V597" s="49" t="str">
        <f>IFERROR(__xludf.DUMMYFUNCTION("""COMPUTED_VALUE"""),"shaky")</f>
        <v>shaky</v>
      </c>
      <c r="W597" s="49" t="str">
        <f>IFERROR(__xludf.DUMMYFUNCTION("""COMPUTED_VALUE"""),"majors")</f>
        <v>majors</v>
      </c>
      <c r="X597" s="49" t="str">
        <f t="shared" si="3"/>
        <v>strong,</v>
      </c>
      <c r="Y597" s="49"/>
      <c r="Z597" s="1" t="s">
        <v>1149</v>
      </c>
      <c r="AA597" s="1" t="s">
        <v>2812</v>
      </c>
      <c r="AB597" s="49" t="str">
        <f>IFERROR(__xludf.DUMMYFUNCTION("""COMPUTED_VALUE"""),"graceful")</f>
        <v>graceful</v>
      </c>
      <c r="AC597" s="49"/>
      <c r="AD597" s="49" t="str">
        <f>IFERROR(__xludf.DUMMYFUNCTION("""COMPUTED_VALUE"""),"c")</f>
        <v>c</v>
      </c>
      <c r="AE597" s="49" t="str">
        <f>IFERROR(__xludf.DUMMYFUNCTION("""COMPUTED_VALUE"""),"durable")</f>
        <v>durable</v>
      </c>
      <c r="AF597" s="49" t="str">
        <f t="shared" si="4"/>
        <v>expect,</v>
      </c>
      <c r="AG597" s="49"/>
      <c r="AH597" s="1" t="s">
        <v>6431</v>
      </c>
      <c r="AI597" s="1" t="s">
        <v>2246</v>
      </c>
      <c r="AJ597" s="6" t="str">
        <f>IFERROR(__xludf.DUMMYFUNCTION("""COMPUTED_VALUE"""),"goods")</f>
        <v>goods</v>
      </c>
      <c r="AK597" s="49"/>
      <c r="AL597" s="49"/>
      <c r="AM597" s="49"/>
      <c r="AN597" s="52" t="str">
        <f t="shared" si="5"/>
        <v>sort,</v>
      </c>
    </row>
    <row r="598">
      <c r="A598" s="51"/>
      <c r="B598" s="50" t="s">
        <v>2196</v>
      </c>
      <c r="C598" s="50" t="s">
        <v>4966</v>
      </c>
      <c r="D598" s="49" t="str">
        <f>IFERROR(__xludf.DUMMYFUNCTION("""COMPUTED_VALUE"""),"organized")</f>
        <v>organized</v>
      </c>
      <c r="E598" s="49"/>
      <c r="F598" s="49"/>
      <c r="G598" s="49"/>
      <c r="H598" s="54" t="str">
        <f t="shared" si="1"/>
        <v>perhaps,</v>
      </c>
      <c r="I598" s="50"/>
      <c r="J598" s="50" t="s">
        <v>6109</v>
      </c>
      <c r="K598" s="50" t="s">
        <v>325</v>
      </c>
      <c r="L598" s="49" t="str">
        <f>IFERROR(__xludf.DUMMYFUNCTION("""COMPUTED_VALUE"""),"broad")</f>
        <v>broad</v>
      </c>
      <c r="M598" s="49"/>
      <c r="N598" s="49" t="str">
        <f>IFERROR(__xludf.DUMMYFUNCTION("""COMPUTED_VALUE"""),"heated")</f>
        <v>heated</v>
      </c>
      <c r="O598" s="49" t="str">
        <f>IFERROR(__xludf.DUMMYFUNCTION("""COMPUTED_VALUE"""),"metropolis")</f>
        <v>metropolis</v>
      </c>
      <c r="P598" s="49" t="str">
        <f t="shared" si="2"/>
        <v>marking,</v>
      </c>
      <c r="Q598" s="49"/>
      <c r="R598" s="50" t="s">
        <v>5629</v>
      </c>
      <c r="S598" s="55" t="s">
        <v>1464</v>
      </c>
      <c r="T598" s="49" t="str">
        <f>IFERROR(__xludf.DUMMYFUNCTION("""COMPUTED_VALUE"""),"personal")</f>
        <v>personal</v>
      </c>
      <c r="U598" s="49"/>
      <c r="V598" s="49" t="str">
        <f>IFERROR(__xludf.DUMMYFUNCTION("""COMPUTED_VALUE"""),"strongest")</f>
        <v>strongest</v>
      </c>
      <c r="W598" s="49" t="str">
        <f>IFERROR(__xludf.DUMMYFUNCTION("""COMPUTED_VALUE"""),"lie")</f>
        <v>lie</v>
      </c>
      <c r="X598" s="49" t="str">
        <f t="shared" si="3"/>
        <v>dangerous,</v>
      </c>
      <c r="Y598" s="49"/>
      <c r="Z598" s="1" t="s">
        <v>2940</v>
      </c>
      <c r="AA598" s="1" t="s">
        <v>2817</v>
      </c>
      <c r="AB598" s="49" t="str">
        <f>IFERROR(__xludf.DUMMYFUNCTION("""COMPUTED_VALUE"""),"beautifully")</f>
        <v>beautifully</v>
      </c>
      <c r="AC598" s="49"/>
      <c r="AD598" s="49" t="str">
        <f>IFERROR(__xludf.DUMMYFUNCTION("""COMPUTED_VALUE"""),"heated")</f>
        <v>heated</v>
      </c>
      <c r="AE598" s="49" t="str">
        <f>IFERROR(__xludf.DUMMYFUNCTION("""COMPUTED_VALUE"""),"metropolis")</f>
        <v>metropolis</v>
      </c>
      <c r="AF598" s="49" t="str">
        <f t="shared" si="4"/>
        <v>historical,</v>
      </c>
      <c r="AG598" s="49"/>
      <c r="AH598" s="1" t="s">
        <v>7272</v>
      </c>
      <c r="AI598" s="1" t="s">
        <v>1164</v>
      </c>
      <c r="AJ598" s="6" t="str">
        <f>IFERROR(__xludf.DUMMYFUNCTION("""COMPUTED_VALUE"""),"worst")</f>
        <v>worst</v>
      </c>
      <c r="AK598" s="49"/>
      <c r="AL598" s="49"/>
      <c r="AM598" s="49"/>
      <c r="AN598" s="52" t="str">
        <f t="shared" si="5"/>
        <v>partner,</v>
      </c>
    </row>
    <row r="599">
      <c r="A599" s="51"/>
      <c r="B599" s="50" t="s">
        <v>7273</v>
      </c>
      <c r="C599" s="50" t="s">
        <v>6352</v>
      </c>
      <c r="D599" s="49" t="str">
        <f>IFERROR(__xludf.DUMMYFUNCTION("""COMPUTED_VALUE"""),"crime")</f>
        <v>crime</v>
      </c>
      <c r="E599" s="49"/>
      <c r="F599" s="49"/>
      <c r="G599" s="49"/>
      <c r="H599" s="54" t="str">
        <f t="shared" si="1"/>
        <v>commander,</v>
      </c>
      <c r="I599" s="50"/>
      <c r="J599" s="50" t="s">
        <v>779</v>
      </c>
      <c r="K599" s="50" t="s">
        <v>662</v>
      </c>
      <c r="L599" s="49" t="str">
        <f>IFERROR(__xludf.DUMMYFUNCTION("""COMPUTED_VALUE"""),"innovation")</f>
        <v>innovation</v>
      </c>
      <c r="M599" s="49"/>
      <c r="N599" s="49" t="str">
        <f>IFERROR(__xludf.DUMMYFUNCTION("""COMPUTED_VALUE"""),"capital")</f>
        <v>capital</v>
      </c>
      <c r="O599" s="49" t="str">
        <f>IFERROR(__xludf.DUMMYFUNCTION("""COMPUTED_VALUE"""),"colored")</f>
        <v>colored</v>
      </c>
      <c r="P599" s="49" t="str">
        <f t="shared" si="2"/>
        <v>count,</v>
      </c>
      <c r="Q599" s="49"/>
      <c r="R599" s="50" t="s">
        <v>4998</v>
      </c>
      <c r="S599" s="55" t="s">
        <v>256</v>
      </c>
      <c r="T599" s="49" t="str">
        <f>IFERROR(__xludf.DUMMYFUNCTION("""COMPUTED_VALUE"""),"spark")</f>
        <v>spark</v>
      </c>
      <c r="U599" s="49"/>
      <c r="V599" s="49" t="str">
        <f>IFERROR(__xludf.DUMMYFUNCTION("""COMPUTED_VALUE"""),"spitting")</f>
        <v>spitting</v>
      </c>
      <c r="W599" s="49" t="str">
        <f>IFERROR(__xludf.DUMMYFUNCTION("""COMPUTED_VALUE"""),"reconstruction")</f>
        <v>reconstruction</v>
      </c>
      <c r="X599" s="49" t="str">
        <f t="shared" si="3"/>
        <v>academy,</v>
      </c>
      <c r="Y599" s="49"/>
      <c r="Z599" s="1" t="s">
        <v>228</v>
      </c>
      <c r="AA599" s="1" t="s">
        <v>2820</v>
      </c>
      <c r="AB599" s="49" t="str">
        <f>IFERROR(__xludf.DUMMYFUNCTION("""COMPUTED_VALUE"""),"fine")</f>
        <v>fine</v>
      </c>
      <c r="AC599" s="49"/>
      <c r="AD599" s="49" t="str">
        <f>IFERROR(__xludf.DUMMYFUNCTION("""COMPUTED_VALUE"""),"capital")</f>
        <v>capital</v>
      </c>
      <c r="AE599" s="49" t="str">
        <f>IFERROR(__xludf.DUMMYFUNCTION("""COMPUTED_VALUE"""),"colored")</f>
        <v>colored</v>
      </c>
      <c r="AF599" s="49" t="str">
        <f t="shared" si="4"/>
        <v>viewing,</v>
      </c>
      <c r="AG599" s="49"/>
      <c r="AH599" s="1" t="s">
        <v>3504</v>
      </c>
      <c r="AI599" s="1" t="s">
        <v>1238</v>
      </c>
      <c r="AJ599" s="6" t="str">
        <f>IFERROR(__xludf.DUMMYFUNCTION("""COMPUTED_VALUE"""),"rob")</f>
        <v>rob</v>
      </c>
      <c r="AK599" s="49"/>
      <c r="AL599" s="49"/>
      <c r="AM599" s="49"/>
      <c r="AN599" s="52" t="str">
        <f t="shared" si="5"/>
        <v>goods,</v>
      </c>
    </row>
    <row r="600">
      <c r="A600" s="51"/>
      <c r="B600" s="50" t="s">
        <v>1823</v>
      </c>
      <c r="C600" s="50" t="s">
        <v>2398</v>
      </c>
      <c r="D600" s="49" t="str">
        <f>IFERROR(__xludf.DUMMYFUNCTION("""COMPUTED_VALUE"""),"richard")</f>
        <v>richard</v>
      </c>
      <c r="E600" s="49"/>
      <c r="F600" s="49"/>
      <c r="G600" s="49"/>
      <c r="H600" s="54" t="str">
        <f t="shared" si="1"/>
        <v>cell,</v>
      </c>
      <c r="I600" s="50"/>
      <c r="J600" s="50" t="s">
        <v>3806</v>
      </c>
      <c r="K600" s="50" t="s">
        <v>672</v>
      </c>
      <c r="L600" s="49" t="str">
        <f>IFERROR(__xludf.DUMMYFUNCTION("""COMPUTED_VALUE"""),"succeeds")</f>
        <v>succeeds</v>
      </c>
      <c r="M600" s="49"/>
      <c r="N600" s="49" t="str">
        <f>IFERROR(__xludf.DUMMYFUNCTION("""COMPUTED_VALUE"""),"bumps")</f>
        <v>bumps</v>
      </c>
      <c r="O600" s="49" t="str">
        <f>IFERROR(__xludf.DUMMYFUNCTION("""COMPUTED_VALUE"""),"villain")</f>
        <v>villain</v>
      </c>
      <c r="P600" s="49" t="str">
        <f t="shared" si="2"/>
        <v>burns,</v>
      </c>
      <c r="Q600" s="49"/>
      <c r="R600" s="50" t="s">
        <v>2819</v>
      </c>
      <c r="S600" s="55" t="s">
        <v>265</v>
      </c>
      <c r="T600" s="49" t="str">
        <f>IFERROR(__xludf.DUMMYFUNCTION("""COMPUTED_VALUE"""),"turning")</f>
        <v>turning</v>
      </c>
      <c r="U600" s="49"/>
      <c r="V600" s="49" t="str">
        <f>IFERROR(__xludf.DUMMYFUNCTION("""COMPUTED_VALUE"""),"outrage")</f>
        <v>outrage</v>
      </c>
      <c r="W600" s="49" t="str">
        <f>IFERROR(__xludf.DUMMYFUNCTION("""COMPUTED_VALUE"""),"glory")</f>
        <v>glory</v>
      </c>
      <c r="X600" s="49" t="str">
        <f t="shared" si="3"/>
        <v>bears,</v>
      </c>
      <c r="Y600" s="49"/>
      <c r="Z600" s="1" t="s">
        <v>6408</v>
      </c>
      <c r="AA600" s="1" t="s">
        <v>2018</v>
      </c>
      <c r="AB600" s="49" t="str">
        <f>IFERROR(__xludf.DUMMYFUNCTION("""COMPUTED_VALUE"""),"moving")</f>
        <v>moving</v>
      </c>
      <c r="AC600" s="49"/>
      <c r="AD600" s="49" t="str">
        <f>IFERROR(__xludf.DUMMYFUNCTION("""COMPUTED_VALUE"""),"bumps")</f>
        <v>bumps</v>
      </c>
      <c r="AE600" s="49" t="str">
        <f>IFERROR(__xludf.DUMMYFUNCTION("""COMPUTED_VALUE"""),"villain")</f>
        <v>villain</v>
      </c>
      <c r="AF600" s="49" t="str">
        <f t="shared" si="4"/>
        <v>highly,</v>
      </c>
      <c r="AG600" s="49"/>
      <c r="AH600" s="1" t="s">
        <v>164</v>
      </c>
      <c r="AI600" s="1" t="s">
        <v>2044</v>
      </c>
      <c r="AJ600" s="6" t="str">
        <f>IFERROR(__xludf.DUMMYFUNCTION("""COMPUTED_VALUE"""),"figured")</f>
        <v>figured</v>
      </c>
      <c r="AK600" s="49"/>
      <c r="AL600" s="49"/>
      <c r="AM600" s="49"/>
      <c r="AN600" s="52" t="str">
        <f t="shared" si="5"/>
        <v>worst,</v>
      </c>
    </row>
    <row r="601">
      <c r="A601" s="51"/>
      <c r="B601" s="50" t="s">
        <v>4696</v>
      </c>
      <c r="C601" s="50" t="s">
        <v>2641</v>
      </c>
      <c r="D601" s="49" t="str">
        <f>IFERROR(__xludf.DUMMYFUNCTION("""COMPUTED_VALUE"""),"lane")</f>
        <v>lane</v>
      </c>
      <c r="E601" s="49"/>
      <c r="F601" s="49"/>
      <c r="G601" s="49"/>
      <c r="H601" s="54" t="str">
        <f t="shared" si="1"/>
        <v>williams,</v>
      </c>
      <c r="I601" s="50"/>
      <c r="J601" s="50" t="s">
        <v>315</v>
      </c>
      <c r="K601" s="50" t="s">
        <v>2452</v>
      </c>
      <c r="L601" s="49" t="str">
        <f>IFERROR(__xludf.DUMMYFUNCTION("""COMPUTED_VALUE"""),"failing")</f>
        <v>failing</v>
      </c>
      <c r="M601" s="49"/>
      <c r="N601" s="49" t="str">
        <f>IFERROR(__xludf.DUMMYFUNCTION("""COMPUTED_VALUE"""),"eerie")</f>
        <v>eerie</v>
      </c>
      <c r="O601" s="49" t="str">
        <f>IFERROR(__xludf.DUMMYFUNCTION("""COMPUTED_VALUE"""),"discovering")</f>
        <v>discovering</v>
      </c>
      <c r="P601" s="49" t="str">
        <f t="shared" si="2"/>
        <v>cinematography,</v>
      </c>
      <c r="Q601" s="49"/>
      <c r="R601" s="50" t="s">
        <v>1984</v>
      </c>
      <c r="S601" s="55" t="s">
        <v>2719</v>
      </c>
      <c r="T601" s="49" t="str">
        <f>IFERROR(__xludf.DUMMYFUNCTION("""COMPUTED_VALUE"""),"hack")</f>
        <v>hack</v>
      </c>
      <c r="U601" s="49"/>
      <c r="V601" s="49" t="str">
        <f>IFERROR(__xludf.DUMMYFUNCTION("""COMPUTED_VALUE"""),"verve")</f>
        <v>verve</v>
      </c>
      <c r="W601" s="49" t="str">
        <f>IFERROR(__xludf.DUMMYFUNCTION("""COMPUTED_VALUE"""),"floating")</f>
        <v>floating</v>
      </c>
      <c r="X601" s="49" t="str">
        <f t="shared" si="3"/>
        <v>hastily,</v>
      </c>
      <c r="Y601" s="49"/>
      <c r="Z601" s="1" t="s">
        <v>322</v>
      </c>
      <c r="AA601" s="1" t="s">
        <v>2824</v>
      </c>
      <c r="AB601" s="49" t="str">
        <f>IFERROR(__xludf.DUMMYFUNCTION("""COMPUTED_VALUE"""),"forced")</f>
        <v>forced</v>
      </c>
      <c r="AC601" s="49"/>
      <c r="AD601" s="49" t="str">
        <f>IFERROR(__xludf.DUMMYFUNCTION("""COMPUTED_VALUE"""),"eerie")</f>
        <v>eerie</v>
      </c>
      <c r="AE601" s="49" t="str">
        <f>IFERROR(__xludf.DUMMYFUNCTION("""COMPUTED_VALUE"""),"discovering")</f>
        <v>discovering</v>
      </c>
      <c r="AF601" s="49" t="str">
        <f t="shared" si="4"/>
        <v>experience,</v>
      </c>
      <c r="AG601" s="49"/>
      <c r="AH601" s="1" t="s">
        <v>6818</v>
      </c>
      <c r="AI601" s="1" t="s">
        <v>439</v>
      </c>
      <c r="AJ601" s="6" t="str">
        <f>IFERROR(__xludf.DUMMYFUNCTION("""COMPUTED_VALUE"""),"knock")</f>
        <v>knock</v>
      </c>
      <c r="AK601" s="49"/>
      <c r="AL601" s="49"/>
      <c r="AM601" s="49"/>
      <c r="AN601" s="52" t="str">
        <f t="shared" si="5"/>
        <v>rob,</v>
      </c>
    </row>
    <row r="602">
      <c r="A602" s="51"/>
      <c r="B602" s="50" t="s">
        <v>5440</v>
      </c>
      <c r="C602" s="50" t="s">
        <v>2406</v>
      </c>
      <c r="D602" s="49" t="str">
        <f>IFERROR(__xludf.DUMMYFUNCTION("""COMPUTED_VALUE"""),"fighting")</f>
        <v>fighting</v>
      </c>
      <c r="E602" s="49"/>
      <c r="F602" s="49"/>
      <c r="G602" s="49"/>
      <c r="H602" s="54" t="str">
        <f t="shared" si="1"/>
        <v>remote,</v>
      </c>
      <c r="I602" s="50"/>
      <c r="J602" s="50" t="s">
        <v>1376</v>
      </c>
      <c r="K602" s="50" t="s">
        <v>2828</v>
      </c>
      <c r="L602" s="49" t="str">
        <f>IFERROR(__xludf.DUMMYFUNCTION("""COMPUTED_VALUE"""),"add")</f>
        <v>add</v>
      </c>
      <c r="M602" s="49"/>
      <c r="N602" s="49" t="str">
        <f>IFERROR(__xludf.DUMMYFUNCTION("""COMPUTED_VALUE"""),"scratching")</f>
        <v>scratching</v>
      </c>
      <c r="O602" s="49" t="str">
        <f>IFERROR(__xludf.DUMMYFUNCTION("""COMPUTED_VALUE"""),"teacher")</f>
        <v>teacher</v>
      </c>
      <c r="P602" s="49" t="str">
        <f t="shared" si="2"/>
        <v>words,</v>
      </c>
      <c r="Q602" s="49"/>
      <c r="R602" s="50" t="s">
        <v>6783</v>
      </c>
      <c r="S602" s="55" t="s">
        <v>225</v>
      </c>
      <c r="T602" s="49" t="str">
        <f>IFERROR(__xludf.DUMMYFUNCTION("""COMPUTED_VALUE"""),"allowed")</f>
        <v>allowed</v>
      </c>
      <c r="U602" s="49"/>
      <c r="V602" s="49" t="str">
        <f>IFERROR(__xludf.DUMMYFUNCTION("""COMPUTED_VALUE"""),"infant")</f>
        <v>infant</v>
      </c>
      <c r="W602" s="49" t="str">
        <f>IFERROR(__xludf.DUMMYFUNCTION("""COMPUTED_VALUE"""),"memorial")</f>
        <v>memorial</v>
      </c>
      <c r="X602" s="49" t="str">
        <f t="shared" si="3"/>
        <v>steve,</v>
      </c>
      <c r="Y602" s="49"/>
      <c r="Z602" s="1" t="s">
        <v>3170</v>
      </c>
      <c r="AA602" s="1" t="s">
        <v>2016</v>
      </c>
      <c r="AB602" s="49" t="str">
        <f>IFERROR(__xludf.DUMMYFUNCTION("""COMPUTED_VALUE"""),"status")</f>
        <v>status</v>
      </c>
      <c r="AC602" s="49"/>
      <c r="AD602" s="49" t="str">
        <f>IFERROR(__xludf.DUMMYFUNCTION("""COMPUTED_VALUE"""),"scratching")</f>
        <v>scratching</v>
      </c>
      <c r="AE602" s="49" t="str">
        <f>IFERROR(__xludf.DUMMYFUNCTION("""COMPUTED_VALUE"""),"teacher")</f>
        <v>teacher</v>
      </c>
      <c r="AF602" s="49" t="str">
        <f t="shared" si="4"/>
        <v>possibly,</v>
      </c>
      <c r="AG602" s="49"/>
      <c r="AH602" s="1" t="s">
        <v>4176</v>
      </c>
      <c r="AI602" s="1" t="s">
        <v>5048</v>
      </c>
      <c r="AJ602" s="6" t="str">
        <f>IFERROR(__xludf.DUMMYFUNCTION("""COMPUTED_VALUE"""),"could")</f>
        <v>could</v>
      </c>
      <c r="AK602" s="49"/>
      <c r="AL602" s="49"/>
      <c r="AM602" s="49"/>
      <c r="AN602" s="52" t="str">
        <f t="shared" si="5"/>
        <v>figured,</v>
      </c>
    </row>
    <row r="603">
      <c r="A603" s="51"/>
      <c r="B603" s="50" t="s">
        <v>6274</v>
      </c>
      <c r="C603" s="50" t="s">
        <v>2056</v>
      </c>
      <c r="D603" s="49" t="str">
        <f>IFERROR(__xludf.DUMMYFUNCTION("""COMPUTED_VALUE"""),"skills")</f>
        <v>skills</v>
      </c>
      <c r="E603" s="49"/>
      <c r="F603" s="49"/>
      <c r="G603" s="49"/>
      <c r="H603" s="54" t="str">
        <f t="shared" si="1"/>
        <v>loves,</v>
      </c>
      <c r="I603" s="50"/>
      <c r="J603" s="50" t="s">
        <v>1799</v>
      </c>
      <c r="K603" s="50" t="s">
        <v>1693</v>
      </c>
      <c r="L603" s="49" t="str">
        <f>IFERROR(__xludf.DUMMYFUNCTION("""COMPUTED_VALUE"""),"subject")</f>
        <v>subject</v>
      </c>
      <c r="M603" s="49"/>
      <c r="N603" s="49" t="str">
        <f>IFERROR(__xludf.DUMMYFUNCTION("""COMPUTED_VALUE"""),"shelf")</f>
        <v>shelf</v>
      </c>
      <c r="O603" s="49" t="str">
        <f>IFERROR(__xludf.DUMMYFUNCTION("""COMPUTED_VALUE"""),"specimen")</f>
        <v>specimen</v>
      </c>
      <c r="P603" s="49" t="str">
        <f t="shared" si="2"/>
        <v>describe,</v>
      </c>
      <c r="Q603" s="49"/>
      <c r="R603" s="50" t="s">
        <v>273</v>
      </c>
      <c r="S603" s="55" t="s">
        <v>2203</v>
      </c>
      <c r="T603" s="49" t="str">
        <f>IFERROR(__xludf.DUMMYFUNCTION("""COMPUTED_VALUE"""),"shoulders")</f>
        <v>shoulders</v>
      </c>
      <c r="U603" s="49"/>
      <c r="V603" s="49" t="str">
        <f>IFERROR(__xludf.DUMMYFUNCTION("""COMPUTED_VALUE"""),"annoyance")</f>
        <v>annoyance</v>
      </c>
      <c r="W603" s="49" t="str">
        <f>IFERROR(__xludf.DUMMYFUNCTION("""COMPUTED_VALUE"""),"kramer")</f>
        <v>kramer</v>
      </c>
      <c r="X603" s="49" t="str">
        <f t="shared" si="3"/>
        <v>later,</v>
      </c>
      <c r="Y603" s="49"/>
      <c r="Z603" s="1" t="s">
        <v>1205</v>
      </c>
      <c r="AA603" s="1" t="s">
        <v>448</v>
      </c>
      <c r="AB603" s="49" t="str">
        <f>IFERROR(__xludf.DUMMYFUNCTION("""COMPUTED_VALUE"""),"goth")</f>
        <v>goth</v>
      </c>
      <c r="AC603" s="49"/>
      <c r="AD603" s="49" t="str">
        <f>IFERROR(__xludf.DUMMYFUNCTION("""COMPUTED_VALUE"""),"shelf")</f>
        <v>shelf</v>
      </c>
      <c r="AE603" s="49" t="str">
        <f>IFERROR(__xludf.DUMMYFUNCTION("""COMPUTED_VALUE"""),"specimen")</f>
        <v>specimen</v>
      </c>
      <c r="AF603" s="49" t="str">
        <f t="shared" si="4"/>
        <v>four,</v>
      </c>
      <c r="AG603" s="49"/>
      <c r="AH603" s="1" t="s">
        <v>3402</v>
      </c>
      <c r="AI603" s="1" t="s">
        <v>1471</v>
      </c>
      <c r="AJ603" s="6" t="str">
        <f>IFERROR(__xludf.DUMMYFUNCTION("""COMPUTED_VALUE"""),"gives")</f>
        <v>gives</v>
      </c>
      <c r="AK603" s="49"/>
      <c r="AL603" s="49"/>
      <c r="AM603" s="49"/>
      <c r="AN603" s="52" t="str">
        <f t="shared" si="5"/>
        <v>knock,</v>
      </c>
    </row>
    <row r="604">
      <c r="A604" s="51"/>
      <c r="B604" s="50" t="s">
        <v>6781</v>
      </c>
      <c r="C604" s="50" t="s">
        <v>2856</v>
      </c>
      <c r="D604" s="49" t="str">
        <f>IFERROR(__xludf.DUMMYFUNCTION("""COMPUTED_VALUE"""),"steven")</f>
        <v>steven</v>
      </c>
      <c r="E604" s="49"/>
      <c r="F604" s="49"/>
      <c r="G604" s="49"/>
      <c r="H604" s="54" t="str">
        <f t="shared" si="1"/>
        <v>tough,</v>
      </c>
      <c r="I604" s="50"/>
      <c r="J604" s="50" t="s">
        <v>3509</v>
      </c>
      <c r="K604" s="50" t="s">
        <v>48</v>
      </c>
      <c r="L604" s="49" t="str">
        <f>IFERROR(__xludf.DUMMYFUNCTION("""COMPUTED_VALUE"""),"miserable")</f>
        <v>miserable</v>
      </c>
      <c r="M604" s="49"/>
      <c r="N604" s="49" t="str">
        <f>IFERROR(__xludf.DUMMYFUNCTION("""COMPUTED_VALUE"""),"office")</f>
        <v>office</v>
      </c>
      <c r="O604" s="49" t="str">
        <f>IFERROR(__xludf.DUMMYFUNCTION("""COMPUTED_VALUE"""),"development")</f>
        <v>development</v>
      </c>
      <c r="P604" s="49" t="str">
        <f t="shared" si="2"/>
        <v>patient,</v>
      </c>
      <c r="Q604" s="49"/>
      <c r="R604" s="50" t="s">
        <v>4165</v>
      </c>
      <c r="S604" s="55" t="s">
        <v>1972</v>
      </c>
      <c r="T604" s="49" t="str">
        <f>IFERROR(__xludf.DUMMYFUNCTION("""COMPUTED_VALUE"""),"performing")</f>
        <v>performing</v>
      </c>
      <c r="U604" s="49"/>
      <c r="V604" s="49" t="str">
        <f>IFERROR(__xludf.DUMMYFUNCTION("""COMPUTED_VALUE"""),"rogue")</f>
        <v>rogue</v>
      </c>
      <c r="W604" s="49" t="str">
        <f>IFERROR(__xludf.DUMMYFUNCTION("""COMPUTED_VALUE"""),"asleep")</f>
        <v>asleep</v>
      </c>
      <c r="X604" s="49" t="str">
        <f t="shared" si="3"/>
        <v>soccer,</v>
      </c>
      <c r="Y604" s="49"/>
      <c r="Z604" s="1" t="s">
        <v>137</v>
      </c>
      <c r="AA604" s="1" t="s">
        <v>2026</v>
      </c>
      <c r="AB604" s="49" t="str">
        <f>IFERROR(__xludf.DUMMYFUNCTION("""COMPUTED_VALUE"""),"ambition")</f>
        <v>ambition</v>
      </c>
      <c r="AC604" s="49"/>
      <c r="AD604" s="49" t="str">
        <f>IFERROR(__xludf.DUMMYFUNCTION("""COMPUTED_VALUE"""),"office")</f>
        <v>office</v>
      </c>
      <c r="AE604" s="49" t="str">
        <f>IFERROR(__xludf.DUMMYFUNCTION("""COMPUTED_VALUE"""),"development")</f>
        <v>development</v>
      </c>
      <c r="AF604" s="49" t="str">
        <f t="shared" si="4"/>
        <v>taken,</v>
      </c>
      <c r="AG604" s="49"/>
      <c r="AH604" s="1" t="s">
        <v>152</v>
      </c>
      <c r="AI604" s="1" t="s">
        <v>6345</v>
      </c>
      <c r="AJ604" s="6" t="str">
        <f>IFERROR(__xludf.DUMMYFUNCTION("""COMPUTED_VALUE"""),"becomes")</f>
        <v>becomes</v>
      </c>
      <c r="AK604" s="49"/>
      <c r="AL604" s="49"/>
      <c r="AM604" s="49"/>
      <c r="AN604" s="52" t="str">
        <f t="shared" si="5"/>
        <v>could,</v>
      </c>
    </row>
    <row r="605">
      <c r="A605" s="51"/>
      <c r="B605" s="50" t="s">
        <v>7076</v>
      </c>
      <c r="C605" s="50" t="s">
        <v>345</v>
      </c>
      <c r="D605" s="49" t="str">
        <f>IFERROR(__xludf.DUMMYFUNCTION("""COMPUTED_VALUE"""),"full")</f>
        <v>full</v>
      </c>
      <c r="E605" s="49"/>
      <c r="F605" s="49"/>
      <c r="G605" s="49"/>
      <c r="H605" s="54" t="str">
        <f t="shared" si="1"/>
        <v>invented,</v>
      </c>
      <c r="I605" s="50"/>
      <c r="J605" s="50" t="s">
        <v>1797</v>
      </c>
      <c r="K605" s="50" t="s">
        <v>1706</v>
      </c>
      <c r="L605" s="49" t="str">
        <f>IFERROR(__xludf.DUMMYFUNCTION("""COMPUTED_VALUE"""),"utterly")</f>
        <v>utterly</v>
      </c>
      <c r="M605" s="49"/>
      <c r="N605" s="49" t="str">
        <f>IFERROR(__xludf.DUMMYFUNCTION("""COMPUTED_VALUE"""),"con")</f>
        <v>con</v>
      </c>
      <c r="O605" s="49" t="str">
        <f>IFERROR(__xludf.DUMMYFUNCTION("""COMPUTED_VALUE"""),"inspire")</f>
        <v>inspire</v>
      </c>
      <c r="P605" s="49" t="str">
        <f t="shared" si="2"/>
        <v>war,</v>
      </c>
      <c r="Q605" s="49"/>
      <c r="R605" s="50" t="s">
        <v>3284</v>
      </c>
      <c r="S605" s="55" t="s">
        <v>527</v>
      </c>
      <c r="T605" s="49" t="str">
        <f>IFERROR(__xludf.DUMMYFUNCTION("""COMPUTED_VALUE"""),"technical")</f>
        <v>technical</v>
      </c>
      <c r="U605" s="49"/>
      <c r="V605" s="49" t="str">
        <f>IFERROR(__xludf.DUMMYFUNCTION("""COMPUTED_VALUE"""),"maid")</f>
        <v>maid</v>
      </c>
      <c r="W605" s="49" t="str">
        <f>IFERROR(__xludf.DUMMYFUNCTION("""COMPUTED_VALUE"""),"opaque")</f>
        <v>opaque</v>
      </c>
      <c r="X605" s="49" t="str">
        <f t="shared" si="3"/>
        <v>teach,</v>
      </c>
      <c r="Y605" s="49"/>
      <c r="Z605" s="1" t="s">
        <v>2196</v>
      </c>
      <c r="AA605" s="1" t="s">
        <v>2029</v>
      </c>
      <c r="AB605" s="49" t="str">
        <f>IFERROR(__xludf.DUMMYFUNCTION("""COMPUTED_VALUE"""),"mayhem")</f>
        <v>mayhem</v>
      </c>
      <c r="AC605" s="49"/>
      <c r="AD605" s="49" t="str">
        <f>IFERROR(__xludf.DUMMYFUNCTION("""COMPUTED_VALUE"""),"con")</f>
        <v>con</v>
      </c>
      <c r="AE605" s="49" t="str">
        <f>IFERROR(__xludf.DUMMYFUNCTION("""COMPUTED_VALUE"""),"inspire")</f>
        <v>inspire</v>
      </c>
      <c r="AF605" s="49" t="str">
        <f t="shared" si="4"/>
        <v>perhaps,</v>
      </c>
      <c r="AG605" s="49"/>
      <c r="AH605" s="1" t="s">
        <v>4040</v>
      </c>
      <c r="AI605" s="1" t="s">
        <v>2049</v>
      </c>
      <c r="AJ605" s="6" t="str">
        <f>IFERROR(__xludf.DUMMYFUNCTION("""COMPUTED_VALUE"""),"worse")</f>
        <v>worse</v>
      </c>
      <c r="AK605" s="49"/>
      <c r="AL605" s="49"/>
      <c r="AM605" s="49"/>
      <c r="AN605" s="52" t="str">
        <f t="shared" si="5"/>
        <v>gives,</v>
      </c>
    </row>
    <row r="606">
      <c r="A606" s="51"/>
      <c r="B606" s="50" t="s">
        <v>5665</v>
      </c>
      <c r="C606" s="50" t="s">
        <v>63</v>
      </c>
      <c r="D606" s="49" t="str">
        <f>IFERROR(__xludf.DUMMYFUNCTION("""COMPUTED_VALUE"""),"water")</f>
        <v>water</v>
      </c>
      <c r="E606" s="49"/>
      <c r="F606" s="49"/>
      <c r="G606" s="49"/>
      <c r="H606" s="54" t="str">
        <f t="shared" si="1"/>
        <v>cop,</v>
      </c>
      <c r="I606" s="50"/>
      <c r="J606" s="50" t="s">
        <v>259</v>
      </c>
      <c r="K606" s="50" t="s">
        <v>2478</v>
      </c>
      <c r="L606" s="49" t="str">
        <f>IFERROR(__xludf.DUMMYFUNCTION("""COMPUTED_VALUE"""),"geared")</f>
        <v>geared</v>
      </c>
      <c r="M606" s="49"/>
      <c r="N606" s="49" t="str">
        <f>IFERROR(__xludf.DUMMYFUNCTION("""COMPUTED_VALUE"""),"animal")</f>
        <v>animal</v>
      </c>
      <c r="O606" s="49" t="str">
        <f>IFERROR(__xludf.DUMMYFUNCTION("""COMPUTED_VALUE"""),"shrill")</f>
        <v>shrill</v>
      </c>
      <c r="P606" s="49" t="str">
        <f t="shared" si="2"/>
        <v>gripping,</v>
      </c>
      <c r="Q606" s="49"/>
      <c r="R606" s="50" t="s">
        <v>1226</v>
      </c>
      <c r="S606" s="55" t="s">
        <v>352</v>
      </c>
      <c r="T606" s="49" t="str">
        <f>IFERROR(__xludf.DUMMYFUNCTION("""COMPUTED_VALUE"""),"impossible")</f>
        <v>impossible</v>
      </c>
      <c r="U606" s="49"/>
      <c r="V606" s="49" t="str">
        <f>IFERROR(__xludf.DUMMYFUNCTION("""COMPUTED_VALUE"""),"shen")</f>
        <v>shen</v>
      </c>
      <c r="W606" s="49" t="str">
        <f>IFERROR(__xludf.DUMMYFUNCTION("""COMPUTED_VALUE"""),"borrowed")</f>
        <v>borrowed</v>
      </c>
      <c r="X606" s="49" t="str">
        <f t="shared" si="3"/>
        <v>respect,</v>
      </c>
      <c r="Y606" s="49"/>
      <c r="Z606" s="1" t="s">
        <v>1464</v>
      </c>
      <c r="AA606" s="1" t="s">
        <v>534</v>
      </c>
      <c r="AB606" s="49" t="str">
        <f>IFERROR(__xludf.DUMMYFUNCTION("""COMPUTED_VALUE"""),"inevitable")</f>
        <v>inevitable</v>
      </c>
      <c r="AC606" s="49"/>
      <c r="AD606" s="49" t="str">
        <f>IFERROR(__xludf.DUMMYFUNCTION("""COMPUTED_VALUE"""),"animal")</f>
        <v>animal</v>
      </c>
      <c r="AE606" s="49" t="str">
        <f>IFERROR(__xludf.DUMMYFUNCTION("""COMPUTED_VALUE"""),"shrill")</f>
        <v>shrill</v>
      </c>
      <c r="AF606" s="49" t="str">
        <f t="shared" si="4"/>
        <v>home,</v>
      </c>
      <c r="AG606" s="49"/>
      <c r="AH606" s="1" t="s">
        <v>1476</v>
      </c>
      <c r="AI606" s="1" t="s">
        <v>752</v>
      </c>
      <c r="AJ606" s="6" t="str">
        <f>IFERROR(__xludf.DUMMYFUNCTION("""COMPUTED_VALUE"""),"hardly")</f>
        <v>hardly</v>
      </c>
      <c r="AK606" s="49"/>
      <c r="AL606" s="49"/>
      <c r="AM606" s="49"/>
      <c r="AN606" s="52" t="str">
        <f t="shared" si="5"/>
        <v>becomes,</v>
      </c>
    </row>
    <row r="607">
      <c r="A607" s="51"/>
      <c r="B607" s="50" t="s">
        <v>859</v>
      </c>
      <c r="C607" s="50" t="s">
        <v>3224</v>
      </c>
      <c r="D607" s="49" t="str">
        <f>IFERROR(__xludf.DUMMYFUNCTION("""COMPUTED_VALUE"""),"red")</f>
        <v>red</v>
      </c>
      <c r="E607" s="49"/>
      <c r="F607" s="49"/>
      <c r="G607" s="49"/>
      <c r="H607" s="54" t="str">
        <f t="shared" si="1"/>
        <v>dubbed,</v>
      </c>
      <c r="I607" s="50"/>
      <c r="J607" s="50" t="s">
        <v>5233</v>
      </c>
      <c r="K607" s="50" t="s">
        <v>56</v>
      </c>
      <c r="L607" s="49" t="str">
        <f>IFERROR(__xludf.DUMMYFUNCTION("""COMPUTED_VALUE"""),"survival")</f>
        <v>survival</v>
      </c>
      <c r="M607" s="49"/>
      <c r="N607" s="49" t="str">
        <f>IFERROR(__xludf.DUMMYFUNCTION("""COMPUTED_VALUE"""),"lumber")</f>
        <v>lumber</v>
      </c>
      <c r="O607" s="49" t="str">
        <f>IFERROR(__xludf.DUMMYFUNCTION("""COMPUTED_VALUE"""),"sinister")</f>
        <v>sinister</v>
      </c>
      <c r="P607" s="49" t="str">
        <f t="shared" si="2"/>
        <v>victim,</v>
      </c>
      <c r="Q607" s="49"/>
      <c r="R607" s="50" t="s">
        <v>4216</v>
      </c>
      <c r="S607" s="55" t="s">
        <v>960</v>
      </c>
      <c r="T607" s="49" t="str">
        <f>IFERROR(__xludf.DUMMYFUNCTION("""COMPUTED_VALUE"""),"uses")</f>
        <v>uses</v>
      </c>
      <c r="U607" s="49"/>
      <c r="V607" s="49" t="str">
        <f>IFERROR(__xludf.DUMMYFUNCTION("""COMPUTED_VALUE"""),"presenting")</f>
        <v>presenting</v>
      </c>
      <c r="W607" s="49" t="str">
        <f>IFERROR(__xludf.DUMMYFUNCTION("""COMPUTED_VALUE"""),"lark")</f>
        <v>lark</v>
      </c>
      <c r="X607" s="49" t="str">
        <f t="shared" si="3"/>
        <v>advice,</v>
      </c>
      <c r="Y607" s="49"/>
      <c r="Z607" s="1" t="s">
        <v>2108</v>
      </c>
      <c r="AA607" s="1" t="s">
        <v>456</v>
      </c>
      <c r="AB607" s="49" t="str">
        <f>IFERROR(__xludf.DUMMYFUNCTION("""COMPUTED_VALUE"""),"surreal")</f>
        <v>surreal</v>
      </c>
      <c r="AC607" s="49"/>
      <c r="AD607" s="49" t="str">
        <f>IFERROR(__xludf.DUMMYFUNCTION("""COMPUTED_VALUE"""),"lumber")</f>
        <v>lumber</v>
      </c>
      <c r="AE607" s="49" t="str">
        <f>IFERROR(__xludf.DUMMYFUNCTION("""COMPUTED_VALUE"""),"sinister")</f>
        <v>sinister</v>
      </c>
      <c r="AF607" s="49" t="str">
        <f t="shared" si="4"/>
        <v>phone,</v>
      </c>
      <c r="AG607" s="49"/>
      <c r="AH607" s="1" t="s">
        <v>559</v>
      </c>
      <c r="AI607" s="1" t="s">
        <v>2281</v>
      </c>
      <c r="AJ607" s="6" t="str">
        <f>IFERROR(__xludf.DUMMYFUNCTION("""COMPUTED_VALUE"""),"sole")</f>
        <v>sole</v>
      </c>
      <c r="AK607" s="49"/>
      <c r="AL607" s="49"/>
      <c r="AM607" s="49"/>
      <c r="AN607" s="52" t="str">
        <f t="shared" si="5"/>
        <v>worse,</v>
      </c>
    </row>
    <row r="608">
      <c r="A608" s="51"/>
      <c r="B608" s="50" t="s">
        <v>4171</v>
      </c>
      <c r="C608" s="50" t="s">
        <v>2417</v>
      </c>
      <c r="D608" s="49" t="str">
        <f>IFERROR(__xludf.DUMMYFUNCTION("""COMPUTED_VALUE"""),"energy")</f>
        <v>energy</v>
      </c>
      <c r="E608" s="49"/>
      <c r="F608" s="49"/>
      <c r="G608" s="49"/>
      <c r="H608" s="54" t="str">
        <f t="shared" si="1"/>
        <v>accent,</v>
      </c>
      <c r="I608" s="50"/>
      <c r="J608" s="50" t="s">
        <v>2251</v>
      </c>
      <c r="K608" s="50" t="s">
        <v>343</v>
      </c>
      <c r="L608" s="49" t="str">
        <f>IFERROR(__xludf.DUMMYFUNCTION("""COMPUTED_VALUE"""),"unexpected")</f>
        <v>unexpected</v>
      </c>
      <c r="M608" s="49"/>
      <c r="N608" s="49" t="str">
        <f>IFERROR(__xludf.DUMMYFUNCTION("""COMPUTED_VALUE"""),"information")</f>
        <v>information</v>
      </c>
      <c r="O608" s="49" t="str">
        <f>IFERROR(__xludf.DUMMYFUNCTION("""COMPUTED_VALUE"""),"aground")</f>
        <v>aground</v>
      </c>
      <c r="P608" s="49" t="str">
        <f t="shared" si="2"/>
        <v>juliette,</v>
      </c>
      <c r="Q608" s="49"/>
      <c r="R608" s="50" t="s">
        <v>300</v>
      </c>
      <c r="S608" s="55" t="s">
        <v>1215</v>
      </c>
      <c r="T608" s="49" t="str">
        <f>IFERROR(__xludf.DUMMYFUNCTION("""COMPUTED_VALUE"""),"involved")</f>
        <v>involved</v>
      </c>
      <c r="U608" s="49"/>
      <c r="V608" s="49" t="str">
        <f>IFERROR(__xludf.DUMMYFUNCTION("""COMPUTED_VALUE"""),"reminds")</f>
        <v>reminds</v>
      </c>
      <c r="W608" s="49" t="str">
        <f>IFERROR(__xludf.DUMMYFUNCTION("""COMPUTED_VALUE"""),"pipeline")</f>
        <v>pipeline</v>
      </c>
      <c r="X608" s="49" t="str">
        <f t="shared" si="3"/>
        <v>showdown,</v>
      </c>
      <c r="Y608" s="49"/>
      <c r="Z608" s="1" t="s">
        <v>1265</v>
      </c>
      <c r="AA608" s="1" t="s">
        <v>2843</v>
      </c>
      <c r="AB608" s="49" t="str">
        <f>IFERROR(__xludf.DUMMYFUNCTION("""COMPUTED_VALUE"""),"lopez")</f>
        <v>lopez</v>
      </c>
      <c r="AC608" s="49"/>
      <c r="AD608" s="49" t="str">
        <f>IFERROR(__xludf.DUMMYFUNCTION("""COMPUTED_VALUE"""),"information")</f>
        <v>information</v>
      </c>
      <c r="AE608" s="49" t="str">
        <f>IFERROR(__xludf.DUMMYFUNCTION("""COMPUTED_VALUE"""),"aground")</f>
        <v>aground</v>
      </c>
      <c r="AF608" s="49" t="str">
        <f t="shared" si="4"/>
        <v>town,</v>
      </c>
      <c r="AG608" s="49"/>
      <c r="AH608" s="1" t="s">
        <v>2095</v>
      </c>
      <c r="AI608" s="1" t="s">
        <v>2285</v>
      </c>
      <c r="AJ608" s="6" t="str">
        <f>IFERROR(__xludf.DUMMYFUNCTION("""COMPUTED_VALUE"""),"snake")</f>
        <v>snake</v>
      </c>
      <c r="AK608" s="49"/>
      <c r="AL608" s="49"/>
      <c r="AM608" s="49"/>
      <c r="AN608" s="52" t="str">
        <f t="shared" si="5"/>
        <v>hardly,</v>
      </c>
    </row>
    <row r="609">
      <c r="A609" s="51"/>
      <c r="B609" s="50" t="s">
        <v>3765</v>
      </c>
      <c r="C609" s="50" t="s">
        <v>1005</v>
      </c>
      <c r="D609" s="49" t="str">
        <f>IFERROR(__xludf.DUMMYFUNCTION("""COMPUTED_VALUE"""),"bridge")</f>
        <v>bridge</v>
      </c>
      <c r="E609" s="49"/>
      <c r="F609" s="49"/>
      <c r="G609" s="49"/>
      <c r="H609" s="54" t="str">
        <f t="shared" si="1"/>
        <v>nails,</v>
      </c>
      <c r="I609" s="50"/>
      <c r="J609" s="50" t="s">
        <v>689</v>
      </c>
      <c r="K609" s="50" t="s">
        <v>1722</v>
      </c>
      <c r="L609" s="49" t="str">
        <f>IFERROR(__xludf.DUMMYFUNCTION("""COMPUTED_VALUE"""),"ultimate")</f>
        <v>ultimate</v>
      </c>
      <c r="M609" s="49"/>
      <c r="N609" s="49" t="str">
        <f>IFERROR(__xludf.DUMMYFUNCTION("""COMPUTED_VALUE"""),"combination")</f>
        <v>combination</v>
      </c>
      <c r="O609" s="49" t="str">
        <f>IFERROR(__xludf.DUMMYFUNCTION("""COMPUTED_VALUE"""),"roberts")</f>
        <v>roberts</v>
      </c>
      <c r="P609" s="49" t="str">
        <f t="shared" si="2"/>
        <v>days,</v>
      </c>
      <c r="Q609" s="49"/>
      <c r="R609" s="50" t="s">
        <v>2300</v>
      </c>
      <c r="S609" s="55" t="s">
        <v>1391</v>
      </c>
      <c r="T609" s="49" t="str">
        <f>IFERROR(__xludf.DUMMYFUNCTION("""COMPUTED_VALUE"""),"sadly")</f>
        <v>sadly</v>
      </c>
      <c r="U609" s="49"/>
      <c r="V609" s="49" t="str">
        <f>IFERROR(__xludf.DUMMYFUNCTION("""COMPUTED_VALUE"""),"regards")</f>
        <v>regards</v>
      </c>
      <c r="W609" s="49" t="str">
        <f>IFERROR(__xludf.DUMMYFUNCTION("""COMPUTED_VALUE"""),"hitch")</f>
        <v>hitch</v>
      </c>
      <c r="X609" s="49" t="str">
        <f t="shared" si="3"/>
        <v>remember,</v>
      </c>
      <c r="Y609" s="49"/>
      <c r="Z609" s="1" t="s">
        <v>5440</v>
      </c>
      <c r="AA609" s="1" t="s">
        <v>2846</v>
      </c>
      <c r="AB609" s="49" t="str">
        <f>IFERROR(__xludf.DUMMYFUNCTION("""COMPUTED_VALUE"""),"report")</f>
        <v>report</v>
      </c>
      <c r="AC609" s="49"/>
      <c r="AD609" s="49" t="str">
        <f>IFERROR(__xludf.DUMMYFUNCTION("""COMPUTED_VALUE"""),"combination")</f>
        <v>combination</v>
      </c>
      <c r="AE609" s="49" t="str">
        <f>IFERROR(__xludf.DUMMYFUNCTION("""COMPUTED_VALUE"""),"roberts")</f>
        <v>roberts</v>
      </c>
      <c r="AF609" s="49" t="str">
        <f t="shared" si="4"/>
        <v>remote,</v>
      </c>
      <c r="AG609" s="49"/>
      <c r="AH609" s="1" t="s">
        <v>6573</v>
      </c>
      <c r="AI609" s="1" t="s">
        <v>2058</v>
      </c>
      <c r="AJ609" s="6" t="str">
        <f>IFERROR(__xludf.DUMMYFUNCTION("""COMPUTED_VALUE"""),"around")</f>
        <v>around</v>
      </c>
      <c r="AK609" s="49"/>
      <c r="AL609" s="49"/>
      <c r="AM609" s="49"/>
      <c r="AN609" s="52" t="str">
        <f t="shared" si="5"/>
        <v>sole,</v>
      </c>
    </row>
    <row r="610">
      <c r="A610" s="51"/>
      <c r="B610" s="50" t="s">
        <v>201</v>
      </c>
      <c r="C610" s="50" t="s">
        <v>1322</v>
      </c>
      <c r="D610" s="49" t="str">
        <f>IFERROR(__xludf.DUMMYFUNCTION("""COMPUTED_VALUE"""),"warm")</f>
        <v>warm</v>
      </c>
      <c r="E610" s="49"/>
      <c r="F610" s="49"/>
      <c r="G610" s="49"/>
      <c r="H610" s="54" t="str">
        <f t="shared" si="1"/>
        <v>never,</v>
      </c>
      <c r="I610" s="50"/>
      <c r="J610" s="50" t="s">
        <v>7268</v>
      </c>
      <c r="K610" s="50" t="s">
        <v>1728</v>
      </c>
      <c r="L610" s="49" t="str">
        <f>IFERROR(__xludf.DUMMYFUNCTION("""COMPUTED_VALUE"""),"devastation")</f>
        <v>devastation</v>
      </c>
      <c r="M610" s="49"/>
      <c r="N610" s="49" t="str">
        <f>IFERROR(__xludf.DUMMYFUNCTION("""COMPUTED_VALUE"""),"lovely")</f>
        <v>lovely</v>
      </c>
      <c r="O610" s="49" t="str">
        <f>IFERROR(__xludf.DUMMYFUNCTION("""COMPUTED_VALUE"""),"workshop")</f>
        <v>workshop</v>
      </c>
      <c r="P610" s="49" t="str">
        <f t="shared" si="2"/>
        <v>pen,</v>
      </c>
      <c r="Q610" s="49"/>
      <c r="R610" s="50" t="s">
        <v>3400</v>
      </c>
      <c r="S610" s="55" t="s">
        <v>2496</v>
      </c>
      <c r="T610" s="49" t="str">
        <f>IFERROR(__xludf.DUMMYFUNCTION("""COMPUTED_VALUE"""),"peace")</f>
        <v>peace</v>
      </c>
      <c r="U610" s="49"/>
      <c r="V610" s="49" t="str">
        <f>IFERROR(__xludf.DUMMYFUNCTION("""COMPUTED_VALUE"""),"holding")</f>
        <v>holding</v>
      </c>
      <c r="W610" s="49" t="str">
        <f>IFERROR(__xludf.DUMMYFUNCTION("""COMPUTED_VALUE"""),"abstract")</f>
        <v>abstract</v>
      </c>
      <c r="X610" s="49" t="str">
        <f t="shared" si="3"/>
        <v>between,</v>
      </c>
      <c r="Y610" s="49"/>
      <c r="Z610" s="1" t="s">
        <v>6274</v>
      </c>
      <c r="AA610" s="1" t="s">
        <v>2034</v>
      </c>
      <c r="AB610" s="49" t="str">
        <f>IFERROR(__xludf.DUMMYFUNCTION("""COMPUTED_VALUE"""),"master")</f>
        <v>master</v>
      </c>
      <c r="AC610" s="49"/>
      <c r="AD610" s="49" t="str">
        <f>IFERROR(__xludf.DUMMYFUNCTION("""COMPUTED_VALUE"""),"lovely")</f>
        <v>lovely</v>
      </c>
      <c r="AE610" s="49" t="str">
        <f>IFERROR(__xludf.DUMMYFUNCTION("""COMPUTED_VALUE"""),"workshop")</f>
        <v>workshop</v>
      </c>
      <c r="AF610" s="49" t="str">
        <f t="shared" si="4"/>
        <v>loves,</v>
      </c>
      <c r="AG610" s="49"/>
      <c r="AH610" s="1" t="s">
        <v>6102</v>
      </c>
      <c r="AI610" s="1" t="s">
        <v>1138</v>
      </c>
      <c r="AJ610" s="6" t="str">
        <f>IFERROR(__xludf.DUMMYFUNCTION("""COMPUTED_VALUE"""),"day")</f>
        <v>day</v>
      </c>
      <c r="AK610" s="49"/>
      <c r="AL610" s="49"/>
      <c r="AM610" s="49"/>
      <c r="AN610" s="52" t="str">
        <f t="shared" si="5"/>
        <v>snake,</v>
      </c>
    </row>
    <row r="611">
      <c r="A611" s="51"/>
      <c r="B611" s="50" t="s">
        <v>226</v>
      </c>
      <c r="C611" s="50" t="s">
        <v>1327</v>
      </c>
      <c r="D611" s="49" t="str">
        <f>IFERROR(__xludf.DUMMYFUNCTION("""COMPUTED_VALUE"""),"celebration")</f>
        <v>celebration</v>
      </c>
      <c r="E611" s="49"/>
      <c r="F611" s="49"/>
      <c r="G611" s="49"/>
      <c r="H611" s="54" t="str">
        <f t="shared" si="1"/>
        <v>games,</v>
      </c>
      <c r="I611" s="50"/>
      <c r="J611" s="50" t="s">
        <v>4518</v>
      </c>
      <c r="K611" s="50" t="s">
        <v>2487</v>
      </c>
      <c r="L611" s="49" t="str">
        <f>IFERROR(__xludf.DUMMYFUNCTION("""COMPUTED_VALUE"""),"sustain")</f>
        <v>sustain</v>
      </c>
      <c r="M611" s="49"/>
      <c r="N611" s="49" t="str">
        <f>IFERROR(__xludf.DUMMYFUNCTION("""COMPUTED_VALUE"""),"pounding")</f>
        <v>pounding</v>
      </c>
      <c r="O611" s="49" t="str">
        <f>IFERROR(__xludf.DUMMYFUNCTION("""COMPUTED_VALUE"""),"grasping")</f>
        <v>grasping</v>
      </c>
      <c r="P611" s="49" t="str">
        <f t="shared" si="2"/>
        <v>aggressively,</v>
      </c>
      <c r="Q611" s="49"/>
      <c r="R611" s="50" t="s">
        <v>5538</v>
      </c>
      <c r="S611" s="55" t="s">
        <v>1398</v>
      </c>
      <c r="T611" s="49" t="str">
        <f>IFERROR(__xludf.DUMMYFUNCTION("""COMPUTED_VALUE"""),"hook")</f>
        <v>hook</v>
      </c>
      <c r="U611" s="49"/>
      <c r="V611" s="49" t="str">
        <f>IFERROR(__xludf.DUMMYFUNCTION("""COMPUTED_VALUE"""),"global")</f>
        <v>global</v>
      </c>
      <c r="W611" s="49" t="str">
        <f>IFERROR(__xludf.DUMMYFUNCTION("""COMPUTED_VALUE"""),"diaries")</f>
        <v>diaries</v>
      </c>
      <c r="X611" s="49" t="str">
        <f t="shared" si="3"/>
        <v>defeated,</v>
      </c>
      <c r="Y611" s="49"/>
      <c r="Z611" s="1" t="s">
        <v>4696</v>
      </c>
      <c r="AA611" s="1" t="s">
        <v>178</v>
      </c>
      <c r="AB611" s="49" t="str">
        <f>IFERROR(__xludf.DUMMYFUNCTION("""COMPUTED_VALUE"""),"detailed")</f>
        <v>detailed</v>
      </c>
      <c r="AC611" s="49"/>
      <c r="AD611" s="49" t="str">
        <f>IFERROR(__xludf.DUMMYFUNCTION("""COMPUTED_VALUE"""),"pounding")</f>
        <v>pounding</v>
      </c>
      <c r="AE611" s="49" t="str">
        <f>IFERROR(__xludf.DUMMYFUNCTION("""COMPUTED_VALUE"""),"grasping")</f>
        <v>grasping</v>
      </c>
      <c r="AF611" s="49" t="str">
        <f t="shared" si="4"/>
        <v>williams,</v>
      </c>
      <c r="AG611" s="49"/>
      <c r="AH611" s="1" t="s">
        <v>386</v>
      </c>
      <c r="AI611" s="1" t="s">
        <v>2479</v>
      </c>
      <c r="AJ611" s="6" t="str">
        <f>IFERROR(__xludf.DUMMYFUNCTION("""COMPUTED_VALUE"""),"group")</f>
        <v>group</v>
      </c>
      <c r="AK611" s="49"/>
      <c r="AL611" s="49"/>
      <c r="AM611" s="49"/>
      <c r="AN611" s="52" t="str">
        <f t="shared" si="5"/>
        <v>around,</v>
      </c>
    </row>
    <row r="612">
      <c r="A612" s="51"/>
      <c r="B612" s="50" t="s">
        <v>231</v>
      </c>
      <c r="C612" s="50" t="s">
        <v>843</v>
      </c>
      <c r="D612" s="49" t="str">
        <f>IFERROR(__xludf.DUMMYFUNCTION("""COMPUTED_VALUE"""),"home")</f>
        <v>home</v>
      </c>
      <c r="E612" s="49"/>
      <c r="F612" s="49"/>
      <c r="G612" s="49"/>
      <c r="H612" s="54" t="str">
        <f t="shared" si="1"/>
        <v>put,</v>
      </c>
      <c r="I612" s="50"/>
      <c r="J612" s="50" t="s">
        <v>2122</v>
      </c>
      <c r="K612" s="50" t="s">
        <v>1733</v>
      </c>
      <c r="L612" s="49" t="str">
        <f>IFERROR(__xludf.DUMMYFUNCTION("""COMPUTED_VALUE"""),"lo")</f>
        <v>lo</v>
      </c>
      <c r="M612" s="49"/>
      <c r="N612" s="49" t="str">
        <f>IFERROR(__xludf.DUMMYFUNCTION("""COMPUTED_VALUE"""),"downtown")</f>
        <v>downtown</v>
      </c>
      <c r="O612" s="49" t="str">
        <f>IFERROR(__xludf.DUMMYFUNCTION("""COMPUTED_VALUE"""),"vigorously")</f>
        <v>vigorously</v>
      </c>
      <c r="P612" s="49" t="str">
        <f t="shared" si="2"/>
        <v>fashion,</v>
      </c>
      <c r="Q612" s="49"/>
      <c r="R612" s="50" t="s">
        <v>1617</v>
      </c>
      <c r="S612" s="55" t="s">
        <v>1462</v>
      </c>
      <c r="T612" s="49" t="str">
        <f>IFERROR(__xludf.DUMMYFUNCTION("""COMPUTED_VALUE"""),"memories")</f>
        <v>memories</v>
      </c>
      <c r="U612" s="49"/>
      <c r="V612" s="49" t="str">
        <f>IFERROR(__xludf.DUMMYFUNCTION("""COMPUTED_VALUE"""),"bu")</f>
        <v>bu</v>
      </c>
      <c r="W612" s="49" t="str">
        <f>IFERROR(__xludf.DUMMYFUNCTION("""COMPUTED_VALUE"""),"courtship")</f>
        <v>courtship</v>
      </c>
      <c r="X612" s="49" t="str">
        <f t="shared" si="3"/>
        <v>promise,</v>
      </c>
      <c r="Y612" s="49"/>
      <c r="Z612" s="1" t="s">
        <v>5665</v>
      </c>
      <c r="AA612" s="1" t="s">
        <v>2854</v>
      </c>
      <c r="AB612" s="49" t="str">
        <f>IFERROR(__xludf.DUMMYFUNCTION("""COMPUTED_VALUE"""),"convincing")</f>
        <v>convincing</v>
      </c>
      <c r="AC612" s="49"/>
      <c r="AD612" s="49" t="str">
        <f>IFERROR(__xludf.DUMMYFUNCTION("""COMPUTED_VALUE"""),"downtown")</f>
        <v>downtown</v>
      </c>
      <c r="AE612" s="49" t="str">
        <f>IFERROR(__xludf.DUMMYFUNCTION("""COMPUTED_VALUE"""),"vigorously")</f>
        <v>vigorously</v>
      </c>
      <c r="AF612" s="49" t="str">
        <f t="shared" si="4"/>
        <v>cop,</v>
      </c>
      <c r="AG612" s="49"/>
      <c r="AH612" s="1" t="s">
        <v>869</v>
      </c>
      <c r="AI612" s="1" t="s">
        <v>2062</v>
      </c>
      <c r="AJ612" s="6" t="str">
        <f>IFERROR(__xludf.DUMMYFUNCTION("""COMPUTED_VALUE"""),"set")</f>
        <v>set</v>
      </c>
      <c r="AK612" s="49"/>
      <c r="AL612" s="49"/>
      <c r="AM612" s="49"/>
      <c r="AN612" s="52" t="str">
        <f t="shared" si="5"/>
        <v>day,</v>
      </c>
    </row>
    <row r="613">
      <c r="A613" s="51"/>
      <c r="B613" s="50" t="s">
        <v>1883</v>
      </c>
      <c r="C613" s="50" t="s">
        <v>1363</v>
      </c>
      <c r="D613" s="49" t="str">
        <f>IFERROR(__xludf.DUMMYFUNCTION("""COMPUTED_VALUE"""),"leave")</f>
        <v>leave</v>
      </c>
      <c r="E613" s="49"/>
      <c r="F613" s="49"/>
      <c r="G613" s="49"/>
      <c r="H613" s="54" t="str">
        <f t="shared" si="1"/>
        <v>others,</v>
      </c>
      <c r="I613" s="50"/>
      <c r="J613" s="50" t="s">
        <v>4399</v>
      </c>
      <c r="K613" s="50" t="s">
        <v>1742</v>
      </c>
      <c r="L613" s="49" t="str">
        <f>IFERROR(__xludf.DUMMYFUNCTION("""COMPUTED_VALUE"""),"gifford")</f>
        <v>gifford</v>
      </c>
      <c r="M613" s="49"/>
      <c r="N613" s="49" t="str">
        <f>IFERROR(__xludf.DUMMYFUNCTION("""COMPUTED_VALUE"""),"inviting")</f>
        <v>inviting</v>
      </c>
      <c r="O613" s="49" t="str">
        <f>IFERROR(__xludf.DUMMYFUNCTION("""COMPUTED_VALUE"""),"grabs")</f>
        <v>grabs</v>
      </c>
      <c r="P613" s="49" t="str">
        <f t="shared" si="2"/>
        <v>li,</v>
      </c>
      <c r="Q613" s="49"/>
      <c r="R613" s="50" t="s">
        <v>2255</v>
      </c>
      <c r="S613" s="55" t="s">
        <v>6353</v>
      </c>
      <c r="T613" s="49" t="str">
        <f>IFERROR(__xludf.DUMMYFUNCTION("""COMPUTED_VALUE"""),"local")</f>
        <v>local</v>
      </c>
      <c r="U613" s="49"/>
      <c r="V613" s="49" t="str">
        <f>IFERROR(__xludf.DUMMYFUNCTION("""COMPUTED_VALUE"""),"sl")</f>
        <v>sl</v>
      </c>
      <c r="W613" s="49" t="str">
        <f>IFERROR(__xludf.DUMMYFUNCTION("""COMPUTED_VALUE"""),"yale")</f>
        <v>yale</v>
      </c>
      <c r="X613" s="49" t="str">
        <f t="shared" si="3"/>
        <v>hero,</v>
      </c>
      <c r="Y613" s="49"/>
      <c r="Z613" s="1" t="s">
        <v>1867</v>
      </c>
      <c r="AA613" s="1" t="s">
        <v>2040</v>
      </c>
      <c r="AB613" s="49" t="str">
        <f>IFERROR(__xludf.DUMMYFUNCTION("""COMPUTED_VALUE"""),"spirits")</f>
        <v>spirits</v>
      </c>
      <c r="AC613" s="49"/>
      <c r="AD613" s="49" t="str">
        <f>IFERROR(__xludf.DUMMYFUNCTION("""COMPUTED_VALUE"""),"inviting")</f>
        <v>inviting</v>
      </c>
      <c r="AE613" s="49" t="str">
        <f>IFERROR(__xludf.DUMMYFUNCTION("""COMPUTED_VALUE"""),"grabs")</f>
        <v>grabs</v>
      </c>
      <c r="AF613" s="49" t="str">
        <f t="shared" si="4"/>
        <v>ice,</v>
      </c>
      <c r="AG613" s="49"/>
      <c r="AH613" s="1" t="s">
        <v>1046</v>
      </c>
      <c r="AI613" s="1" t="s">
        <v>1256</v>
      </c>
      <c r="AJ613" s="6" t="str">
        <f>IFERROR(__xludf.DUMMYFUNCTION("""COMPUTED_VALUE"""),"full")</f>
        <v>full</v>
      </c>
      <c r="AK613" s="49"/>
      <c r="AL613" s="49"/>
      <c r="AM613" s="49"/>
      <c r="AN613" s="52" t="str">
        <f t="shared" si="5"/>
        <v>group,</v>
      </c>
    </row>
    <row r="614">
      <c r="A614" s="51"/>
      <c r="B614" s="50" t="s">
        <v>1964</v>
      </c>
      <c r="C614" s="50" t="s">
        <v>3877</v>
      </c>
      <c r="D614" s="49" t="str">
        <f>IFERROR(__xludf.DUMMYFUNCTION("""COMPUTED_VALUE"""),"leaving")</f>
        <v>leaving</v>
      </c>
      <c r="E614" s="49"/>
      <c r="F614" s="49"/>
      <c r="G614" s="49"/>
      <c r="H614" s="54" t="str">
        <f t="shared" si="1"/>
        <v>matter,</v>
      </c>
      <c r="I614" s="50"/>
      <c r="J614" s="50" t="s">
        <v>3868</v>
      </c>
      <c r="K614" s="50" t="s">
        <v>426</v>
      </c>
      <c r="L614" s="49" t="str">
        <f>IFERROR(__xludf.DUMMYFUNCTION("""COMPUTED_VALUE"""),"behold")</f>
        <v>behold</v>
      </c>
      <c r="M614" s="49"/>
      <c r="N614" s="49" t="str">
        <f>IFERROR(__xludf.DUMMYFUNCTION("""COMPUTED_VALUE"""),"reach")</f>
        <v>reach</v>
      </c>
      <c r="O614" s="49" t="str">
        <f>IFERROR(__xludf.DUMMYFUNCTION("""COMPUTED_VALUE"""),"experimentation")</f>
        <v>experimentation</v>
      </c>
      <c r="P614" s="49" t="str">
        <f t="shared" si="2"/>
        <v>wilson,</v>
      </c>
      <c r="Q614" s="49"/>
      <c r="R614" s="50" t="s">
        <v>2703</v>
      </c>
      <c r="S614" s="55" t="s">
        <v>2233</v>
      </c>
      <c r="T614" s="49" t="str">
        <f>IFERROR(__xludf.DUMMYFUNCTION("""COMPUTED_VALUE"""),"dance")</f>
        <v>dance</v>
      </c>
      <c r="U614" s="49"/>
      <c r="V614" s="49" t="str">
        <f>IFERROR(__xludf.DUMMYFUNCTION("""COMPUTED_VALUE"""),"ari")</f>
        <v>ari</v>
      </c>
      <c r="W614" s="49" t="str">
        <f>IFERROR(__xludf.DUMMYFUNCTION("""COMPUTED_VALUE"""),"gall")</f>
        <v>gall</v>
      </c>
      <c r="X614" s="49" t="str">
        <f t="shared" si="3"/>
        <v>purpose,</v>
      </c>
      <c r="Y614" s="49"/>
      <c r="Z614" s="1" t="s">
        <v>4171</v>
      </c>
      <c r="AA614" s="1" t="s">
        <v>860</v>
      </c>
      <c r="AB614" s="49" t="str">
        <f>IFERROR(__xludf.DUMMYFUNCTION("""COMPUTED_VALUE"""),"pulls")</f>
        <v>pulls</v>
      </c>
      <c r="AC614" s="49"/>
      <c r="AD614" s="49" t="str">
        <f>IFERROR(__xludf.DUMMYFUNCTION("""COMPUTED_VALUE"""),"reach")</f>
        <v>reach</v>
      </c>
      <c r="AE614" s="49" t="str">
        <f>IFERROR(__xludf.DUMMYFUNCTION("""COMPUTED_VALUE"""),"experimentation")</f>
        <v>experimentation</v>
      </c>
      <c r="AF614" s="49" t="str">
        <f t="shared" si="4"/>
        <v>accent,</v>
      </c>
      <c r="AG614" s="49"/>
      <c r="AH614" s="1" t="s">
        <v>1438</v>
      </c>
      <c r="AI614" s="1" t="s">
        <v>3058</v>
      </c>
      <c r="AJ614" s="6" t="str">
        <f>IFERROR(__xludf.DUMMYFUNCTION("""COMPUTED_VALUE"""),"middle")</f>
        <v>middle</v>
      </c>
      <c r="AK614" s="49"/>
      <c r="AL614" s="49"/>
      <c r="AM614" s="49"/>
      <c r="AN614" s="52" t="str">
        <f t="shared" si="5"/>
        <v>set,</v>
      </c>
    </row>
    <row r="615">
      <c r="A615" s="51"/>
      <c r="B615" s="50" t="s">
        <v>3976</v>
      </c>
      <c r="C615" s="50" t="s">
        <v>1333</v>
      </c>
      <c r="D615" s="49" t="str">
        <f>IFERROR(__xludf.DUMMYFUNCTION("""COMPUTED_VALUE"""),"mention")</f>
        <v>mention</v>
      </c>
      <c r="E615" s="49"/>
      <c r="F615" s="49"/>
      <c r="G615" s="49"/>
      <c r="H615" s="54" t="str">
        <f t="shared" si="1"/>
        <v>numerous,</v>
      </c>
      <c r="I615" s="50"/>
      <c r="J615" s="50" t="s">
        <v>2767</v>
      </c>
      <c r="K615" s="50" t="s">
        <v>2864</v>
      </c>
      <c r="L615" s="49" t="str">
        <f>IFERROR(__xludf.DUMMYFUNCTION("""COMPUTED_VALUE"""),"learn")</f>
        <v>learn</v>
      </c>
      <c r="M615" s="49"/>
      <c r="N615" s="49" t="str">
        <f>IFERROR(__xludf.DUMMYFUNCTION("""COMPUTED_VALUE"""),"foot")</f>
        <v>foot</v>
      </c>
      <c r="O615" s="49" t="str">
        <f>IFERROR(__xludf.DUMMYFUNCTION("""COMPUTED_VALUE"""),"improvisation")</f>
        <v>improvisation</v>
      </c>
      <c r="P615" s="49" t="str">
        <f t="shared" si="2"/>
        <v>realize,</v>
      </c>
      <c r="Q615" s="49"/>
      <c r="R615" s="50" t="s">
        <v>2419</v>
      </c>
      <c r="S615" s="55" t="s">
        <v>1411</v>
      </c>
      <c r="T615" s="49" t="str">
        <f>IFERROR(__xludf.DUMMYFUNCTION("""COMPUTED_VALUE"""),"spectacle")</f>
        <v>spectacle</v>
      </c>
      <c r="U615" s="49"/>
      <c r="V615" s="49" t="str">
        <f>IFERROR(__xludf.DUMMYFUNCTION("""COMPUTED_VALUE"""),"inducing")</f>
        <v>inducing</v>
      </c>
      <c r="W615" s="49" t="str">
        <f>IFERROR(__xludf.DUMMYFUNCTION("""COMPUTED_VALUE"""),"identification")</f>
        <v>identification</v>
      </c>
      <c r="X615" s="49" t="str">
        <f t="shared" si="3"/>
        <v>providing,</v>
      </c>
      <c r="Y615" s="49"/>
      <c r="Z615" s="1" t="s">
        <v>6781</v>
      </c>
      <c r="AA615" s="1" t="s">
        <v>2861</v>
      </c>
      <c r="AB615" s="49" t="str">
        <f>IFERROR(__xludf.DUMMYFUNCTION("""COMPUTED_VALUE"""),"repetitive")</f>
        <v>repetitive</v>
      </c>
      <c r="AC615" s="49"/>
      <c r="AD615" s="49" t="str">
        <f>IFERROR(__xludf.DUMMYFUNCTION("""COMPUTED_VALUE"""),"foot")</f>
        <v>foot</v>
      </c>
      <c r="AE615" s="49" t="str">
        <f>IFERROR(__xludf.DUMMYFUNCTION("""COMPUTED_VALUE"""),"improvisation")</f>
        <v>improvisation</v>
      </c>
      <c r="AF615" s="49" t="str">
        <f t="shared" si="4"/>
        <v>tough,</v>
      </c>
      <c r="AG615" s="49"/>
      <c r="AH615" s="1" t="s">
        <v>1038</v>
      </c>
      <c r="AI615" s="1" t="s">
        <v>1263</v>
      </c>
      <c r="AJ615" s="6" t="str">
        <f>IFERROR(__xludf.DUMMYFUNCTION("""COMPUTED_VALUE"""),"attention")</f>
        <v>attention</v>
      </c>
      <c r="AK615" s="49"/>
      <c r="AL615" s="49"/>
      <c r="AM615" s="49"/>
      <c r="AN615" s="52" t="str">
        <f t="shared" si="5"/>
        <v>full,</v>
      </c>
    </row>
    <row r="616">
      <c r="A616" s="51"/>
      <c r="B616" s="50" t="s">
        <v>76</v>
      </c>
      <c r="C616" s="50" t="s">
        <v>1586</v>
      </c>
      <c r="D616" s="49" t="str">
        <f>IFERROR(__xludf.DUMMYFUNCTION("""COMPUTED_VALUE"""),"wanting")</f>
        <v>wanting</v>
      </c>
      <c r="E616" s="49"/>
      <c r="F616" s="49"/>
      <c r="G616" s="49"/>
      <c r="H616" s="54" t="str">
        <f t="shared" si="1"/>
        <v>characters,</v>
      </c>
      <c r="I616" s="50"/>
      <c r="J616" s="50" t="s">
        <v>2167</v>
      </c>
      <c r="K616" s="50" t="s">
        <v>691</v>
      </c>
      <c r="L616" s="49" t="str">
        <f>IFERROR(__xludf.DUMMYFUNCTION("""COMPUTED_VALUE"""),"shot")</f>
        <v>shot</v>
      </c>
      <c r="M616" s="49"/>
      <c r="N616" s="49" t="str">
        <f>IFERROR(__xludf.DUMMYFUNCTION("""COMPUTED_VALUE"""),"hopes")</f>
        <v>hopes</v>
      </c>
      <c r="O616" s="49" t="str">
        <f>IFERROR(__xludf.DUMMYFUNCTION("""COMPUTED_VALUE"""),"crises")</f>
        <v>crises</v>
      </c>
      <c r="P616" s="49" t="str">
        <f t="shared" si="2"/>
        <v>brown,</v>
      </c>
      <c r="Q616" s="49"/>
      <c r="R616" s="50" t="s">
        <v>3587</v>
      </c>
      <c r="S616" s="55" t="s">
        <v>2229</v>
      </c>
      <c r="T616" s="49" t="str">
        <f>IFERROR(__xludf.DUMMYFUNCTION("""COMPUTED_VALUE"""),"queen")</f>
        <v>queen</v>
      </c>
      <c r="U616" s="49"/>
      <c r="V616" s="49" t="str">
        <f>IFERROR(__xludf.DUMMYFUNCTION("""COMPUTED_VALUE"""),"neatly")</f>
        <v>neatly</v>
      </c>
      <c r="W616" s="49" t="str">
        <f>IFERROR(__xludf.DUMMYFUNCTION("""COMPUTED_VALUE"""),"balanced")</f>
        <v>balanced</v>
      </c>
      <c r="X616" s="49" t="str">
        <f t="shared" si="3"/>
        <v>pronounced,</v>
      </c>
      <c r="Y616" s="49"/>
      <c r="Z616" s="1" t="s">
        <v>4209</v>
      </c>
      <c r="AA616" s="1" t="s">
        <v>2865</v>
      </c>
      <c r="AB616" s="49" t="str">
        <f>IFERROR(__xludf.DUMMYFUNCTION("""COMPUTED_VALUE"""),"worry")</f>
        <v>worry</v>
      </c>
      <c r="AC616" s="49"/>
      <c r="AD616" s="49" t="str">
        <f>IFERROR(__xludf.DUMMYFUNCTION("""COMPUTED_VALUE"""),"hopes")</f>
        <v>hopes</v>
      </c>
      <c r="AE616" s="49" t="str">
        <f>IFERROR(__xludf.DUMMYFUNCTION("""COMPUTED_VALUE"""),"crises")</f>
        <v>crises</v>
      </c>
      <c r="AF616" s="49" t="str">
        <f t="shared" si="4"/>
        <v>america,</v>
      </c>
      <c r="AG616" s="49"/>
      <c r="AH616" s="1" t="s">
        <v>2710</v>
      </c>
      <c r="AI616" s="1" t="s">
        <v>5125</v>
      </c>
      <c r="AJ616" s="6" t="str">
        <f>IFERROR(__xludf.DUMMYFUNCTION("""COMPUTED_VALUE"""),"forest")</f>
        <v>forest</v>
      </c>
      <c r="AK616" s="49"/>
      <c r="AL616" s="49"/>
      <c r="AM616" s="49"/>
      <c r="AN616" s="52" t="str">
        <f t="shared" si="5"/>
        <v>middle,</v>
      </c>
    </row>
    <row r="617">
      <c r="A617" s="51"/>
      <c r="B617" s="50" t="s">
        <v>938</v>
      </c>
      <c r="C617" s="50" t="s">
        <v>2159</v>
      </c>
      <c r="D617" s="49" t="str">
        <f>IFERROR(__xludf.DUMMYFUNCTION("""COMPUTED_VALUE"""),"added")</f>
        <v>added</v>
      </c>
      <c r="E617" s="49"/>
      <c r="F617" s="49"/>
      <c r="G617" s="49"/>
      <c r="H617" s="54" t="str">
        <f t="shared" si="1"/>
        <v>easily,</v>
      </c>
      <c r="I617" s="50"/>
      <c r="J617" s="50" t="s">
        <v>3730</v>
      </c>
      <c r="K617" s="50" t="s">
        <v>1710</v>
      </c>
      <c r="L617" s="49" t="str">
        <f>IFERROR(__xludf.DUMMYFUNCTION("""COMPUTED_VALUE"""),"sensual")</f>
        <v>sensual</v>
      </c>
      <c r="M617" s="49"/>
      <c r="N617" s="49" t="str">
        <f>IFERROR(__xludf.DUMMYFUNCTION("""COMPUTED_VALUE"""),"believer")</f>
        <v>believer</v>
      </c>
      <c r="O617" s="49" t="str">
        <f>IFERROR(__xludf.DUMMYFUNCTION("""COMPUTED_VALUE"""),"psychedelic")</f>
        <v>psychedelic</v>
      </c>
      <c r="P617" s="49" t="str">
        <f t="shared" si="2"/>
        <v>deliver,</v>
      </c>
      <c r="Q617" s="49"/>
      <c r="R617" s="50" t="s">
        <v>1146</v>
      </c>
      <c r="S617" s="55" t="s">
        <v>831</v>
      </c>
      <c r="T617" s="49" t="str">
        <f>IFERROR(__xludf.DUMMYFUNCTION("""COMPUTED_VALUE"""),"wan")</f>
        <v>wan</v>
      </c>
      <c r="U617" s="49"/>
      <c r="V617" s="49" t="str">
        <f>IFERROR(__xludf.DUMMYFUNCTION("""COMPUTED_VALUE"""),"bouncing")</f>
        <v>bouncing</v>
      </c>
      <c r="W617" s="49" t="str">
        <f>IFERROR(__xludf.DUMMYFUNCTION("""COMPUTED_VALUE"""),"built")</f>
        <v>built</v>
      </c>
      <c r="X617" s="49" t="str">
        <f t="shared" si="3"/>
        <v>top,</v>
      </c>
      <c r="Y617" s="49"/>
      <c r="Z617" s="1" t="s">
        <v>1434</v>
      </c>
      <c r="AA617" s="1" t="s">
        <v>543</v>
      </c>
      <c r="AB617" s="49" t="str">
        <f>IFERROR(__xludf.DUMMYFUNCTION("""COMPUTED_VALUE"""),"laugh")</f>
        <v>laugh</v>
      </c>
      <c r="AC617" s="49"/>
      <c r="AD617" s="49" t="str">
        <f>IFERROR(__xludf.DUMMYFUNCTION("""COMPUTED_VALUE"""),"believer")</f>
        <v>believer</v>
      </c>
      <c r="AE617" s="49" t="str">
        <f>IFERROR(__xludf.DUMMYFUNCTION("""COMPUTED_VALUE"""),"psychedelic")</f>
        <v>psychedelic</v>
      </c>
      <c r="AF617" s="49" t="str">
        <f t="shared" si="4"/>
        <v>culture,</v>
      </c>
      <c r="AG617" s="49"/>
      <c r="AH617" s="1" t="s">
        <v>2035</v>
      </c>
      <c r="AI617" s="1" t="s">
        <v>5458</v>
      </c>
      <c r="AJ617" s="6" t="str">
        <f>IFERROR(__xludf.DUMMYFUNCTION("""COMPUTED_VALUE"""),"suddenly")</f>
        <v>suddenly</v>
      </c>
      <c r="AK617" s="49"/>
      <c r="AL617" s="49"/>
      <c r="AM617" s="49"/>
      <c r="AN617" s="52" t="str">
        <f t="shared" si="5"/>
        <v>attention,</v>
      </c>
    </row>
    <row r="618">
      <c r="A618" s="51"/>
      <c r="B618" s="50" t="s">
        <v>3346</v>
      </c>
      <c r="C618" s="50" t="s">
        <v>2163</v>
      </c>
      <c r="D618" s="49" t="str">
        <f>IFERROR(__xludf.DUMMYFUNCTION("""COMPUTED_VALUE"""),"words")</f>
        <v>words</v>
      </c>
      <c r="E618" s="49"/>
      <c r="F618" s="49"/>
      <c r="G618" s="49"/>
      <c r="H618" s="54" t="str">
        <f t="shared" si="1"/>
        <v>knows,</v>
      </c>
      <c r="I618" s="50"/>
      <c r="J618" s="50" t="s">
        <v>7269</v>
      </c>
      <c r="K618" s="50" t="s">
        <v>1759</v>
      </c>
      <c r="L618" s="49" t="str">
        <f>IFERROR(__xludf.DUMMYFUNCTION("""COMPUTED_VALUE"""),"spent")</f>
        <v>spent</v>
      </c>
      <c r="M618" s="49"/>
      <c r="N618" s="49" t="str">
        <f>IFERROR(__xludf.DUMMYFUNCTION("""COMPUTED_VALUE"""),"shooting")</f>
        <v>shooting</v>
      </c>
      <c r="O618" s="49" t="str">
        <f>IFERROR(__xludf.DUMMYFUNCTION("""COMPUTED_VALUE"""),"fundamentally")</f>
        <v>fundamentally</v>
      </c>
      <c r="P618" s="49" t="str">
        <f t="shared" si="2"/>
        <v>restroom,</v>
      </c>
      <c r="Q618" s="49"/>
      <c r="R618" s="50" t="s">
        <v>1653</v>
      </c>
      <c r="S618" s="55" t="s">
        <v>2222</v>
      </c>
      <c r="T618" s="49" t="str">
        <f>IFERROR(__xludf.DUMMYFUNCTION("""COMPUTED_VALUE"""),"wise")</f>
        <v>wise</v>
      </c>
      <c r="U618" s="49"/>
      <c r="V618" s="49" t="str">
        <f>IFERROR(__xludf.DUMMYFUNCTION("""COMPUTED_VALUE"""),"capt")</f>
        <v>capt</v>
      </c>
      <c r="W618" s="49" t="str">
        <f>IFERROR(__xludf.DUMMYFUNCTION("""COMPUTED_VALUE"""),"hotels")</f>
        <v>hotels</v>
      </c>
      <c r="X618" s="49" t="str">
        <f t="shared" si="3"/>
        <v>unfortunately,</v>
      </c>
      <c r="Y618" s="49"/>
      <c r="Z618" s="1" t="s">
        <v>827</v>
      </c>
      <c r="AA618" s="1" t="s">
        <v>2047</v>
      </c>
      <c r="AB618" s="49" t="str">
        <f>IFERROR(__xludf.DUMMYFUNCTION("""COMPUTED_VALUE"""),"charms")</f>
        <v>charms</v>
      </c>
      <c r="AC618" s="49"/>
      <c r="AD618" s="49" t="str">
        <f>IFERROR(__xludf.DUMMYFUNCTION("""COMPUTED_VALUE"""),"shooting")</f>
        <v>shooting</v>
      </c>
      <c r="AE618" s="49" t="str">
        <f>IFERROR(__xludf.DUMMYFUNCTION("""COMPUTED_VALUE"""),"fundamentally")</f>
        <v>fundamentally</v>
      </c>
      <c r="AF618" s="49" t="str">
        <f t="shared" si="4"/>
        <v>our,</v>
      </c>
      <c r="AG618" s="49"/>
      <c r="AH618" s="1" t="s">
        <v>3366</v>
      </c>
      <c r="AI618" s="1" t="s">
        <v>1162</v>
      </c>
      <c r="AJ618" s="6" t="str">
        <f>IFERROR(__xludf.DUMMYFUNCTION("""COMPUTED_VALUE"""),"names")</f>
        <v>names</v>
      </c>
      <c r="AK618" s="49"/>
      <c r="AL618" s="49"/>
      <c r="AM618" s="49"/>
      <c r="AN618" s="52" t="str">
        <f t="shared" si="5"/>
        <v>forest,</v>
      </c>
    </row>
    <row r="619">
      <c r="A619" s="51"/>
      <c r="B619" s="50" t="s">
        <v>1748</v>
      </c>
      <c r="C619" s="50" t="s">
        <v>2386</v>
      </c>
      <c r="D619" s="49" t="str">
        <f>IFERROR(__xludf.DUMMYFUNCTION("""COMPUTED_VALUE"""),"format")</f>
        <v>format</v>
      </c>
      <c r="E619" s="49"/>
      <c r="F619" s="49"/>
      <c r="G619" s="49"/>
      <c r="H619" s="54" t="str">
        <f t="shared" si="1"/>
        <v>turns,</v>
      </c>
      <c r="I619" s="50"/>
      <c r="J619" s="50" t="s">
        <v>7274</v>
      </c>
      <c r="K619" s="50" t="s">
        <v>1714</v>
      </c>
      <c r="L619" s="49" t="str">
        <f>IFERROR(__xludf.DUMMYFUNCTION("""COMPUTED_VALUE"""),"parts")</f>
        <v>parts</v>
      </c>
      <c r="M619" s="49"/>
      <c r="N619" s="49" t="str">
        <f>IFERROR(__xludf.DUMMYFUNCTION("""COMPUTED_VALUE"""),"bomb")</f>
        <v>bomb</v>
      </c>
      <c r="O619" s="49" t="str">
        <f>IFERROR(__xludf.DUMMYFUNCTION("""COMPUTED_VALUE"""),"skies")</f>
        <v>skies</v>
      </c>
      <c r="P619" s="49" t="str">
        <f t="shared" si="2"/>
        <v>induced,</v>
      </c>
      <c r="Q619" s="49"/>
      <c r="R619" s="50" t="s">
        <v>3550</v>
      </c>
      <c r="S619" s="55" t="s">
        <v>2509</v>
      </c>
      <c r="T619" s="49" t="str">
        <f>IFERROR(__xludf.DUMMYFUNCTION("""COMPUTED_VALUE"""),"surprise")</f>
        <v>surprise</v>
      </c>
      <c r="U619" s="49"/>
      <c r="V619" s="49" t="str">
        <f>IFERROR(__xludf.DUMMYFUNCTION("""COMPUTED_VALUE"""),"freaks")</f>
        <v>freaks</v>
      </c>
      <c r="W619" s="49" t="str">
        <f>IFERROR(__xludf.DUMMYFUNCTION("""COMPUTED_VALUE"""),"compromise")</f>
        <v>compromise</v>
      </c>
      <c r="X619" s="49" t="str">
        <f t="shared" si="3"/>
        <v>lion,</v>
      </c>
      <c r="Y619" s="49"/>
      <c r="Z619" s="1" t="s">
        <v>3337</v>
      </c>
      <c r="AA619" s="1" t="s">
        <v>2127</v>
      </c>
      <c r="AB619" s="49" t="str">
        <f>IFERROR(__xludf.DUMMYFUNCTION("""COMPUTED_VALUE"""),"intellectual")</f>
        <v>intellectual</v>
      </c>
      <c r="AC619" s="49"/>
      <c r="AD619" s="49" t="str">
        <f>IFERROR(__xludf.DUMMYFUNCTION("""COMPUTED_VALUE"""),"bomb")</f>
        <v>bomb</v>
      </c>
      <c r="AE619" s="49" t="str">
        <f>IFERROR(__xludf.DUMMYFUNCTION("""COMPUTED_VALUE"""),"skies")</f>
        <v>skies</v>
      </c>
      <c r="AF619" s="49" t="str">
        <f t="shared" si="4"/>
        <v>control,</v>
      </c>
      <c r="AG619" s="49"/>
      <c r="AH619" s="1" t="s">
        <v>5813</v>
      </c>
      <c r="AI619" s="1" t="s">
        <v>2325</v>
      </c>
      <c r="AJ619" s="6" t="str">
        <f>IFERROR(__xludf.DUMMYFUNCTION("""COMPUTED_VALUE"""),"daniel")</f>
        <v>daniel</v>
      </c>
      <c r="AK619" s="49"/>
      <c r="AL619" s="49"/>
      <c r="AM619" s="49"/>
      <c r="AN619" s="52" t="str">
        <f t="shared" si="5"/>
        <v>suddenly,</v>
      </c>
    </row>
    <row r="620">
      <c r="A620" s="51"/>
      <c r="B620" s="50" t="s">
        <v>3536</v>
      </c>
      <c r="C620" s="50" t="s">
        <v>2167</v>
      </c>
      <c r="D620" s="49" t="str">
        <f>IFERROR(__xludf.DUMMYFUNCTION("""COMPUTED_VALUE"""),"viewers")</f>
        <v>viewers</v>
      </c>
      <c r="E620" s="49"/>
      <c r="F620" s="49"/>
      <c r="G620" s="49"/>
      <c r="H620" s="54" t="str">
        <f t="shared" si="1"/>
        <v>audience,</v>
      </c>
      <c r="I620" s="50"/>
      <c r="J620" s="50" t="s">
        <v>3506</v>
      </c>
      <c r="K620" s="50" t="s">
        <v>1718</v>
      </c>
      <c r="L620" s="49" t="str">
        <f>IFERROR(__xludf.DUMMYFUNCTION("""COMPUTED_VALUE"""),"suitable")</f>
        <v>suitable</v>
      </c>
      <c r="M620" s="49"/>
      <c r="N620" s="49" t="str">
        <f>IFERROR(__xludf.DUMMYFUNCTION("""COMPUTED_VALUE"""),"windows")</f>
        <v>windows</v>
      </c>
      <c r="O620" s="49" t="str">
        <f>IFERROR(__xludf.DUMMYFUNCTION("""COMPUTED_VALUE"""),"firing")</f>
        <v>firing</v>
      </c>
      <c r="P620" s="49" t="str">
        <f t="shared" si="2"/>
        <v>roles,</v>
      </c>
      <c r="Q620" s="49"/>
      <c r="R620" s="50" t="s">
        <v>1833</v>
      </c>
      <c r="S620" s="55" t="s">
        <v>853</v>
      </c>
      <c r="T620" s="49" t="str">
        <f>IFERROR(__xludf.DUMMYFUNCTION("""COMPUTED_VALUE"""),"open")</f>
        <v>open</v>
      </c>
      <c r="U620" s="49"/>
      <c r="V620" s="49" t="str">
        <f>IFERROR(__xludf.DUMMYFUNCTION("""COMPUTED_VALUE"""),"extension")</f>
        <v>extension</v>
      </c>
      <c r="W620" s="49" t="str">
        <f>IFERROR(__xludf.DUMMYFUNCTION("""COMPUTED_VALUE"""),"retaining")</f>
        <v>retaining</v>
      </c>
      <c r="X620" s="49" t="str">
        <f t="shared" si="3"/>
        <v>deep,</v>
      </c>
      <c r="Y620" s="49"/>
      <c r="Z620" s="1" t="s">
        <v>3536</v>
      </c>
      <c r="AA620" s="1" t="s">
        <v>2048</v>
      </c>
      <c r="AB620" s="49" t="str">
        <f>IFERROR(__xludf.DUMMYFUNCTION("""COMPUTED_VALUE"""),"entertain")</f>
        <v>entertain</v>
      </c>
      <c r="AC620" s="49"/>
      <c r="AD620" s="49" t="str">
        <f>IFERROR(__xludf.DUMMYFUNCTION("""COMPUTED_VALUE"""),"windows")</f>
        <v>windows</v>
      </c>
      <c r="AE620" s="49" t="str">
        <f>IFERROR(__xludf.DUMMYFUNCTION("""COMPUTED_VALUE"""),"firing")</f>
        <v>firing</v>
      </c>
      <c r="AF620" s="49" t="str">
        <f t="shared" si="4"/>
        <v>audience,</v>
      </c>
      <c r="AG620" s="49"/>
      <c r="AH620" s="1" t="s">
        <v>3927</v>
      </c>
      <c r="AI620" s="1" t="s">
        <v>1282</v>
      </c>
      <c r="AJ620" s="6" t="str">
        <f>IFERROR(__xludf.DUMMYFUNCTION("""COMPUTED_VALUE"""),"clothes")</f>
        <v>clothes</v>
      </c>
      <c r="AK620" s="49"/>
      <c r="AL620" s="49"/>
      <c r="AM620" s="49"/>
      <c r="AN620" s="52" t="str">
        <f t="shared" si="5"/>
        <v>names,</v>
      </c>
    </row>
    <row r="621">
      <c r="A621" s="51"/>
      <c r="B621" s="50" t="s">
        <v>3704</v>
      </c>
      <c r="C621" s="50" t="s">
        <v>2176</v>
      </c>
      <c r="D621" s="49" t="str">
        <f>IFERROR(__xludf.DUMMYFUNCTION("""COMPUTED_VALUE"""),"drama")</f>
        <v>drama</v>
      </c>
      <c r="E621" s="49"/>
      <c r="F621" s="49"/>
      <c r="G621" s="49"/>
      <c r="H621" s="54" t="str">
        <f t="shared" si="1"/>
        <v>actual,</v>
      </c>
      <c r="I621" s="50"/>
      <c r="J621" s="50" t="s">
        <v>918</v>
      </c>
      <c r="K621" s="50" t="s">
        <v>2882</v>
      </c>
      <c r="L621" s="49" t="str">
        <f>IFERROR(__xludf.DUMMYFUNCTION("""COMPUTED_VALUE"""),"abandon")</f>
        <v>abandon</v>
      </c>
      <c r="M621" s="49"/>
      <c r="N621" s="49" t="str">
        <f>IFERROR(__xludf.DUMMYFUNCTION("""COMPUTED_VALUE"""),"includes")</f>
        <v>includes</v>
      </c>
      <c r="O621" s="49" t="str">
        <f>IFERROR(__xludf.DUMMYFUNCTION("""COMPUTED_VALUE"""),"testimony")</f>
        <v>testimony</v>
      </c>
      <c r="P621" s="49" t="str">
        <f t="shared" si="2"/>
        <v>picture,</v>
      </c>
      <c r="Q621" s="49"/>
      <c r="R621" s="50" t="s">
        <v>404</v>
      </c>
      <c r="S621" s="55" t="s">
        <v>1227</v>
      </c>
      <c r="T621" s="49" t="str">
        <f>IFERROR(__xludf.DUMMYFUNCTION("""COMPUTED_VALUE"""),"die")</f>
        <v>die</v>
      </c>
      <c r="U621" s="49"/>
      <c r="V621" s="49" t="str">
        <f>IFERROR(__xludf.DUMMYFUNCTION("""COMPUTED_VALUE"""),"integrity")</f>
        <v>integrity</v>
      </c>
      <c r="W621" s="49" t="str">
        <f>IFERROR(__xludf.DUMMYFUNCTION("""COMPUTED_VALUE"""),"cut")</f>
        <v>cut</v>
      </c>
      <c r="X621" s="49" t="str">
        <f t="shared" si="3"/>
        <v>side,</v>
      </c>
      <c r="Y621" s="49"/>
      <c r="Z621" s="1" t="s">
        <v>4088</v>
      </c>
      <c r="AA621" s="1" t="s">
        <v>2878</v>
      </c>
      <c r="AB621" s="49" t="str">
        <f>IFERROR(__xludf.DUMMYFUNCTION("""COMPUTED_VALUE"""),"portrayal")</f>
        <v>portrayal</v>
      </c>
      <c r="AC621" s="49"/>
      <c r="AD621" s="49" t="str">
        <f>IFERROR(__xludf.DUMMYFUNCTION("""COMPUTED_VALUE"""),"includes")</f>
        <v>includes</v>
      </c>
      <c r="AE621" s="49" t="str">
        <f>IFERROR(__xludf.DUMMYFUNCTION("""COMPUTED_VALUE"""),"testimony")</f>
        <v>testimony</v>
      </c>
      <c r="AF621" s="49" t="str">
        <f t="shared" si="4"/>
        <v>increasingly,</v>
      </c>
      <c r="AG621" s="49"/>
      <c r="AH621" s="1" t="s">
        <v>4909</v>
      </c>
      <c r="AI621" s="1" t="s">
        <v>1275</v>
      </c>
      <c r="AJ621" s="6" t="str">
        <f>IFERROR(__xludf.DUMMYFUNCTION("""COMPUTED_VALUE"""),"lewis")</f>
        <v>lewis</v>
      </c>
      <c r="AK621" s="49"/>
      <c r="AL621" s="49"/>
      <c r="AM621" s="49"/>
      <c r="AN621" s="52" t="str">
        <f t="shared" si="5"/>
        <v>daniel,</v>
      </c>
    </row>
    <row r="622">
      <c r="A622" s="51"/>
      <c r="B622" s="50" t="s">
        <v>1423</v>
      </c>
      <c r="C622" s="50" t="s">
        <v>6354</v>
      </c>
      <c r="D622" s="49" t="str">
        <f>IFERROR(__xludf.DUMMYFUNCTION("""COMPUTED_VALUE"""),"either")</f>
        <v>either</v>
      </c>
      <c r="E622" s="49"/>
      <c r="F622" s="49"/>
      <c r="G622" s="49"/>
      <c r="H622" s="54" t="str">
        <f t="shared" si="1"/>
        <v>ca,</v>
      </c>
      <c r="I622" s="50"/>
      <c r="J622" s="50" t="s">
        <v>795</v>
      </c>
      <c r="K622" s="50" t="s">
        <v>1725</v>
      </c>
      <c r="L622" s="49" t="str">
        <f>IFERROR(__xludf.DUMMYFUNCTION("""COMPUTED_VALUE"""),"gifted")</f>
        <v>gifted</v>
      </c>
      <c r="M622" s="49"/>
      <c r="N622" s="49" t="str">
        <f>IFERROR(__xludf.DUMMYFUNCTION("""COMPUTED_VALUE"""),"intact")</f>
        <v>intact</v>
      </c>
      <c r="O622" s="49" t="str">
        <f>IFERROR(__xludf.DUMMYFUNCTION("""COMPUTED_VALUE"""),"revolutionary")</f>
        <v>revolutionary</v>
      </c>
      <c r="P622" s="49" t="str">
        <f t="shared" si="2"/>
        <v>care,</v>
      </c>
      <c r="Q622" s="49"/>
      <c r="R622" s="50" t="s">
        <v>1365</v>
      </c>
      <c r="S622" s="55" t="s">
        <v>2525</v>
      </c>
      <c r="T622" s="49" t="str">
        <f>IFERROR(__xludf.DUMMYFUNCTION("""COMPUTED_VALUE"""),"spirit")</f>
        <v>spirit</v>
      </c>
      <c r="U622" s="49"/>
      <c r="V622" s="49" t="str">
        <f>IFERROR(__xludf.DUMMYFUNCTION("""COMPUTED_VALUE"""),"freshman")</f>
        <v>freshman</v>
      </c>
      <c r="W622" s="49" t="str">
        <f>IFERROR(__xludf.DUMMYFUNCTION("""COMPUTED_VALUE"""),"mainstream")</f>
        <v>mainstream</v>
      </c>
      <c r="X622" s="49" t="str">
        <f t="shared" si="3"/>
        <v>building,</v>
      </c>
      <c r="Y622" s="49"/>
      <c r="Z622" s="1" t="s">
        <v>1964</v>
      </c>
      <c r="AA622" s="1" t="s">
        <v>2053</v>
      </c>
      <c r="AB622" s="49" t="str">
        <f>IFERROR(__xludf.DUMMYFUNCTION("""COMPUTED_VALUE"""),"enjoyable")</f>
        <v>enjoyable</v>
      </c>
      <c r="AC622" s="49"/>
      <c r="AD622" s="49" t="str">
        <f>IFERROR(__xludf.DUMMYFUNCTION("""COMPUTED_VALUE"""),"intact")</f>
        <v>intact</v>
      </c>
      <c r="AE622" s="49" t="str">
        <f>IFERROR(__xludf.DUMMYFUNCTION("""COMPUTED_VALUE"""),"revolutionary")</f>
        <v>revolutionary</v>
      </c>
      <c r="AF622" s="49" t="str">
        <f t="shared" si="4"/>
        <v>matter,</v>
      </c>
      <c r="AG622" s="49"/>
      <c r="AH622" s="1" t="s">
        <v>7275</v>
      </c>
      <c r="AI622" s="1" t="s">
        <v>232</v>
      </c>
      <c r="AJ622" s="6" t="str">
        <f>IFERROR(__xludf.DUMMYFUNCTION("""COMPUTED_VALUE"""),"singing")</f>
        <v>singing</v>
      </c>
      <c r="AK622" s="49"/>
      <c r="AL622" s="49"/>
      <c r="AM622" s="49"/>
      <c r="AN622" s="52" t="str">
        <f t="shared" si="5"/>
        <v>moon,</v>
      </c>
    </row>
    <row r="623">
      <c r="A623" s="51"/>
      <c r="B623" s="50" t="s">
        <v>4088</v>
      </c>
      <c r="C623" s="50" t="s">
        <v>2171</v>
      </c>
      <c r="D623" s="49" t="str">
        <f>IFERROR(__xludf.DUMMYFUNCTION("""COMPUTED_VALUE"""),"behind")</f>
        <v>behind</v>
      </c>
      <c r="E623" s="49"/>
      <c r="F623" s="49"/>
      <c r="G623" s="49"/>
      <c r="H623" s="54" t="str">
        <f t="shared" si="1"/>
        <v>increasingly,</v>
      </c>
      <c r="I623" s="50"/>
      <c r="J623" s="50" t="s">
        <v>1139</v>
      </c>
      <c r="K623" s="50" t="s">
        <v>699</v>
      </c>
      <c r="L623" s="49" t="str">
        <f>IFERROR(__xludf.DUMMYFUNCTION("""COMPUTED_VALUE"""),"complete")</f>
        <v>complete</v>
      </c>
      <c r="M623" s="49"/>
      <c r="N623" s="49" t="str">
        <f>IFERROR(__xludf.DUMMYFUNCTION("""COMPUTED_VALUE"""),"crystal")</f>
        <v>crystal</v>
      </c>
      <c r="O623" s="49" t="str">
        <f>IFERROR(__xludf.DUMMYFUNCTION("""COMPUTED_VALUE"""),"obstacles")</f>
        <v>obstacles</v>
      </c>
      <c r="P623" s="49" t="str">
        <f t="shared" si="2"/>
        <v>art,</v>
      </c>
      <c r="Q623" s="49"/>
      <c r="R623" s="50" t="s">
        <v>3126</v>
      </c>
      <c r="S623" s="55" t="s">
        <v>1416</v>
      </c>
      <c r="T623" s="49" t="str">
        <f>IFERROR(__xludf.DUMMYFUNCTION("""COMPUTED_VALUE"""),"actresses")</f>
        <v>actresses</v>
      </c>
      <c r="U623" s="49"/>
      <c r="V623" s="49" t="str">
        <f>IFERROR(__xludf.DUMMYFUNCTION("""COMPUTED_VALUE"""),"sami")</f>
        <v>sami</v>
      </c>
      <c r="W623" s="49" t="str">
        <f>IFERROR(__xludf.DUMMYFUNCTION("""COMPUTED_VALUE"""),"menacing")</f>
        <v>menacing</v>
      </c>
      <c r="X623" s="49" t="str">
        <f t="shared" si="3"/>
        <v>battle,</v>
      </c>
      <c r="Y623" s="49"/>
      <c r="Z623" s="1" t="s">
        <v>1362</v>
      </c>
      <c r="AA623" s="1" t="s">
        <v>551</v>
      </c>
      <c r="AB623" s="49" t="str">
        <f>IFERROR(__xludf.DUMMYFUNCTION("""COMPUTED_VALUE"""),"blend")</f>
        <v>blend</v>
      </c>
      <c r="AC623" s="49"/>
      <c r="AD623" s="49" t="str">
        <f>IFERROR(__xludf.DUMMYFUNCTION("""COMPUTED_VALUE"""),"crystal")</f>
        <v>crystal</v>
      </c>
      <c r="AE623" s="49" t="str">
        <f>IFERROR(__xludf.DUMMYFUNCTION("""COMPUTED_VALUE"""),"obstacles")</f>
        <v>obstacles</v>
      </c>
      <c r="AF623" s="49" t="str">
        <f t="shared" si="4"/>
        <v>twists,</v>
      </c>
      <c r="AG623" s="49"/>
      <c r="AH623" s="1" t="s">
        <v>852</v>
      </c>
      <c r="AI623" s="1" t="s">
        <v>2102</v>
      </c>
      <c r="AJ623" s="6" t="str">
        <f>IFERROR(__xludf.DUMMYFUNCTION("""COMPUTED_VALUE"""),"dancing")</f>
        <v>dancing</v>
      </c>
      <c r="AK623" s="49"/>
      <c r="AL623" s="49"/>
      <c r="AM623" s="49"/>
      <c r="AN623" s="52" t="str">
        <f t="shared" si="5"/>
        <v>clothes,</v>
      </c>
    </row>
    <row r="624">
      <c r="A624" s="51"/>
      <c r="B624" s="50" t="s">
        <v>3835</v>
      </c>
      <c r="C624" s="50" t="s">
        <v>6355</v>
      </c>
      <c r="D624" s="49" t="str">
        <f>IFERROR(__xludf.DUMMYFUNCTION("""COMPUTED_VALUE"""),"debut")</f>
        <v>debut</v>
      </c>
      <c r="E624" s="49"/>
      <c r="F624" s="49"/>
      <c r="G624" s="49"/>
      <c r="H624" s="54" t="str">
        <f t="shared" si="1"/>
        <v>scream,</v>
      </c>
      <c r="I624" s="50"/>
      <c r="J624" s="50" t="s">
        <v>594</v>
      </c>
      <c r="K624" s="50" t="s">
        <v>2893</v>
      </c>
      <c r="L624" s="49" t="str">
        <f>IFERROR(__xludf.DUMMYFUNCTION("""COMPUTED_VALUE"""),"segment")</f>
        <v>segment</v>
      </c>
      <c r="M624" s="49"/>
      <c r="N624" s="49" t="str">
        <f>IFERROR(__xludf.DUMMYFUNCTION("""COMPUTED_VALUE"""),"holds")</f>
        <v>holds</v>
      </c>
      <c r="O624" s="49" t="str">
        <f>IFERROR(__xludf.DUMMYFUNCTION("""COMPUTED_VALUE"""),"centuries")</f>
        <v>centuries</v>
      </c>
      <c r="P624" s="49" t="str">
        <f t="shared" si="2"/>
        <v>protagonists,</v>
      </c>
      <c r="Q624" s="49"/>
      <c r="R624" s="50" t="s">
        <v>2044</v>
      </c>
      <c r="S624" s="55" t="s">
        <v>6356</v>
      </c>
      <c r="T624" s="49" t="str">
        <f>IFERROR(__xludf.DUMMYFUNCTION("""COMPUTED_VALUE"""),"humorous")</f>
        <v>humorous</v>
      </c>
      <c r="U624" s="49"/>
      <c r="V624" s="49" t="str">
        <f>IFERROR(__xludf.DUMMYFUNCTION("""COMPUTED_VALUE"""),"prose")</f>
        <v>prose</v>
      </c>
      <c r="W624" s="49" t="str">
        <f>IFERROR(__xludf.DUMMYFUNCTION("""COMPUTED_VALUE"""),"evergreen")</f>
        <v>evergreen</v>
      </c>
      <c r="X624" s="49" t="str">
        <f t="shared" si="3"/>
        <v>thin,</v>
      </c>
      <c r="Y624" s="49"/>
      <c r="Z624" s="1" t="s">
        <v>736</v>
      </c>
      <c r="AA624" s="1" t="s">
        <v>2888</v>
      </c>
      <c r="AB624" s="49" t="str">
        <f>IFERROR(__xludf.DUMMYFUNCTION("""COMPUTED_VALUE"""),"resist")</f>
        <v>resist</v>
      </c>
      <c r="AC624" s="49"/>
      <c r="AD624" s="49" t="str">
        <f>IFERROR(__xludf.DUMMYFUNCTION("""COMPUTED_VALUE"""),"holds")</f>
        <v>holds</v>
      </c>
      <c r="AE624" s="49" t="str">
        <f>IFERROR(__xludf.DUMMYFUNCTION("""COMPUTED_VALUE"""),"centuries")</f>
        <v>centuries</v>
      </c>
      <c r="AF624" s="49" t="str">
        <f t="shared" si="4"/>
        <v>dialogue,</v>
      </c>
      <c r="AG624" s="49"/>
      <c r="AH624" s="1" t="s">
        <v>2081</v>
      </c>
      <c r="AI624" s="1" t="s">
        <v>120</v>
      </c>
      <c r="AJ624" s="6" t="str">
        <f>IFERROR(__xludf.DUMMYFUNCTION("""COMPUTED_VALUE"""),"criticism")</f>
        <v>criticism</v>
      </c>
      <c r="AK624" s="49"/>
      <c r="AL624" s="49"/>
      <c r="AM624" s="49"/>
      <c r="AN624" s="52" t="str">
        <f t="shared" si="5"/>
        <v>lewis,</v>
      </c>
    </row>
    <row r="625">
      <c r="A625" s="51"/>
      <c r="B625" s="50" t="s">
        <v>725</v>
      </c>
      <c r="C625" s="50" t="s">
        <v>2441</v>
      </c>
      <c r="D625" s="49" t="str">
        <f>IFERROR(__xludf.DUMMYFUNCTION("""COMPUTED_VALUE"""),"fine")</f>
        <v>fine</v>
      </c>
      <c r="E625" s="49"/>
      <c r="F625" s="49"/>
      <c r="G625" s="49"/>
      <c r="H625" s="54" t="str">
        <f t="shared" si="1"/>
        <v>tables,</v>
      </c>
      <c r="I625" s="50"/>
      <c r="J625" s="50" t="s">
        <v>2971</v>
      </c>
      <c r="K625" s="50" t="s">
        <v>1768</v>
      </c>
      <c r="L625" s="49" t="str">
        <f>IFERROR(__xludf.DUMMYFUNCTION("""COMPUTED_VALUE"""),"intentions")</f>
        <v>intentions</v>
      </c>
      <c r="M625" s="49"/>
      <c r="N625" s="49" t="str">
        <f>IFERROR(__xludf.DUMMYFUNCTION("""COMPUTED_VALUE"""),"pipe")</f>
        <v>pipe</v>
      </c>
      <c r="O625" s="49" t="str">
        <f>IFERROR(__xludf.DUMMYFUNCTION("""COMPUTED_VALUE"""),"truths")</f>
        <v>truths</v>
      </c>
      <c r="P625" s="49" t="str">
        <f t="shared" si="2"/>
        <v>happens,</v>
      </c>
      <c r="Q625" s="49"/>
      <c r="R625" s="50" t="s">
        <v>3675</v>
      </c>
      <c r="S625" s="55" t="s">
        <v>2240</v>
      </c>
      <c r="T625" s="49" t="str">
        <f>IFERROR(__xludf.DUMMYFUNCTION("""COMPUTED_VALUE"""),"raise")</f>
        <v>raise</v>
      </c>
      <c r="U625" s="49"/>
      <c r="V625" s="49" t="str">
        <f>IFERROR(__xludf.DUMMYFUNCTION("""COMPUTED_VALUE"""),"belgium")</f>
        <v>belgium</v>
      </c>
      <c r="W625" s="49" t="str">
        <f>IFERROR(__xludf.DUMMYFUNCTION("""COMPUTED_VALUE"""),"expresses")</f>
        <v>expresses</v>
      </c>
      <c r="X625" s="49" t="str">
        <f t="shared" si="3"/>
        <v>against,</v>
      </c>
      <c r="Y625" s="49"/>
      <c r="Z625" s="1" t="s">
        <v>1153</v>
      </c>
      <c r="AA625" s="1" t="s">
        <v>2894</v>
      </c>
      <c r="AB625" s="49" t="str">
        <f>IFERROR(__xludf.DUMMYFUNCTION("""COMPUTED_VALUE"""),"frustration")</f>
        <v>frustration</v>
      </c>
      <c r="AC625" s="49"/>
      <c r="AD625" s="49" t="str">
        <f>IFERROR(__xludf.DUMMYFUNCTION("""COMPUTED_VALUE"""),"pipe")</f>
        <v>pipe</v>
      </c>
      <c r="AE625" s="49" t="str">
        <f>IFERROR(__xludf.DUMMYFUNCTION("""COMPUTED_VALUE"""),"truths")</f>
        <v>truths</v>
      </c>
      <c r="AF625" s="49" t="str">
        <f t="shared" si="4"/>
        <v>coherent,</v>
      </c>
      <c r="AG625" s="49"/>
      <c r="AH625" s="1" t="s">
        <v>5197</v>
      </c>
      <c r="AI625" s="1" t="s">
        <v>4980</v>
      </c>
      <c r="AJ625" s="6" t="str">
        <f>IFERROR(__xludf.DUMMYFUNCTION("""COMPUTED_VALUE"""),"targets")</f>
        <v>targets</v>
      </c>
      <c r="AK625" s="49"/>
      <c r="AL625" s="49"/>
      <c r="AM625" s="49"/>
      <c r="AN625" s="52" t="str">
        <f t="shared" si="5"/>
        <v>singing,</v>
      </c>
    </row>
    <row r="626">
      <c r="A626" s="51"/>
      <c r="B626" s="50" t="s">
        <v>736</v>
      </c>
      <c r="C626" s="50" t="s">
        <v>2685</v>
      </c>
      <c r="D626" s="49" t="str">
        <f>IFERROR(__xludf.DUMMYFUNCTION("""COMPUTED_VALUE"""),"mainly")</f>
        <v>mainly</v>
      </c>
      <c r="E626" s="49"/>
      <c r="F626" s="49"/>
      <c r="G626" s="49"/>
      <c r="H626" s="54" t="str">
        <f t="shared" si="1"/>
        <v>dialogue,</v>
      </c>
      <c r="I626" s="50"/>
      <c r="J626" s="50" t="s">
        <v>948</v>
      </c>
      <c r="K626" s="50" t="s">
        <v>2899</v>
      </c>
      <c r="L626" s="49" t="str">
        <f>IFERROR(__xludf.DUMMYFUNCTION("""COMPUTED_VALUE"""),"cruel")</f>
        <v>cruel</v>
      </c>
      <c r="M626" s="49"/>
      <c r="N626" s="49" t="str">
        <f>IFERROR(__xludf.DUMMYFUNCTION("""COMPUTED_VALUE"""),"driving")</f>
        <v>driving</v>
      </c>
      <c r="O626" s="49" t="str">
        <f>IFERROR(__xludf.DUMMYFUNCTION("""COMPUTED_VALUE"""),"stunt")</f>
        <v>stunt</v>
      </c>
      <c r="P626" s="49" t="str">
        <f t="shared" si="2"/>
        <v>climax,</v>
      </c>
      <c r="Q626" s="49"/>
      <c r="R626" s="50" t="s">
        <v>7276</v>
      </c>
      <c r="S626" s="55" t="s">
        <v>6357</v>
      </c>
      <c r="T626" s="49" t="str">
        <f>IFERROR(__xludf.DUMMYFUNCTION("""COMPUTED_VALUE"""),"produced")</f>
        <v>produced</v>
      </c>
      <c r="U626" s="49"/>
      <c r="V626" s="49" t="str">
        <f>IFERROR(__xludf.DUMMYFUNCTION("""COMPUTED_VALUE"""),"rec")</f>
        <v>rec</v>
      </c>
      <c r="W626" s="49" t="str">
        <f>IFERROR(__xludf.DUMMYFUNCTION("""COMPUTED_VALUE"""),"sham")</f>
        <v>sham</v>
      </c>
      <c r="X626" s="49" t="str">
        <f t="shared" si="3"/>
        <v>rid,</v>
      </c>
      <c r="Y626" s="49"/>
      <c r="Z626" s="1" t="s">
        <v>231</v>
      </c>
      <c r="AA626" s="1" t="s">
        <v>464</v>
      </c>
      <c r="AB626" s="49" t="str">
        <f>IFERROR(__xludf.DUMMYFUNCTION("""COMPUTED_VALUE"""),"constant")</f>
        <v>constant</v>
      </c>
      <c r="AC626" s="49"/>
      <c r="AD626" s="49" t="str">
        <f>IFERROR(__xludf.DUMMYFUNCTION("""COMPUTED_VALUE"""),"driving")</f>
        <v>driving</v>
      </c>
      <c r="AE626" s="49" t="str">
        <f>IFERROR(__xludf.DUMMYFUNCTION("""COMPUTED_VALUE"""),"stunt")</f>
        <v>stunt</v>
      </c>
      <c r="AF626" s="49" t="str">
        <f t="shared" si="4"/>
        <v>put,</v>
      </c>
      <c r="AG626" s="49"/>
      <c r="AH626" s="1" t="s">
        <v>4178</v>
      </c>
      <c r="AI626" s="1" t="s">
        <v>1294</v>
      </c>
      <c r="AJ626" s="6" t="str">
        <f>IFERROR(__xludf.DUMMYFUNCTION("""COMPUTED_VALUE"""),"us")</f>
        <v>us</v>
      </c>
      <c r="AK626" s="49"/>
      <c r="AL626" s="49"/>
      <c r="AM626" s="49"/>
      <c r="AN626" s="52" t="str">
        <f t="shared" si="5"/>
        <v>dancing,</v>
      </c>
    </row>
    <row r="627">
      <c r="A627" s="51"/>
      <c r="B627" s="50" t="s">
        <v>2982</v>
      </c>
      <c r="C627" s="50" t="s">
        <v>5170</v>
      </c>
      <c r="D627" s="49" t="str">
        <f>IFERROR(__xludf.DUMMYFUNCTION("""COMPUTED_VALUE"""),"kids")</f>
        <v>kids</v>
      </c>
      <c r="E627" s="49"/>
      <c r="F627" s="49"/>
      <c r="G627" s="49"/>
      <c r="H627" s="54" t="str">
        <f t="shared" si="1"/>
        <v>pile,</v>
      </c>
      <c r="I627" s="50"/>
      <c r="J627" s="50" t="s">
        <v>1655</v>
      </c>
      <c r="K627" s="50" t="s">
        <v>1738</v>
      </c>
      <c r="L627" s="49" t="str">
        <f>IFERROR(__xludf.DUMMYFUNCTION("""COMPUTED_VALUE"""),"sequence")</f>
        <v>sequence</v>
      </c>
      <c r="M627" s="49"/>
      <c r="N627" s="49" t="str">
        <f>IFERROR(__xludf.DUMMYFUNCTION("""COMPUTED_VALUE"""),"k")</f>
        <v>k</v>
      </c>
      <c r="O627" s="49" t="str">
        <f>IFERROR(__xludf.DUMMYFUNCTION("""COMPUTED_VALUE"""),"swift")</f>
        <v>swift</v>
      </c>
      <c r="P627" s="49" t="str">
        <f t="shared" si="2"/>
        <v>camp,</v>
      </c>
      <c r="Q627" s="49"/>
      <c r="R627" s="50" t="s">
        <v>5646</v>
      </c>
      <c r="S627" s="55" t="s">
        <v>274</v>
      </c>
      <c r="T627" s="49" t="str">
        <f>IFERROR(__xludf.DUMMYFUNCTION("""COMPUTED_VALUE"""),"clever")</f>
        <v>clever</v>
      </c>
      <c r="U627" s="49"/>
      <c r="V627" s="49" t="str">
        <f>IFERROR(__xludf.DUMMYFUNCTION("""COMPUTED_VALUE"""),"yong")</f>
        <v>yong</v>
      </c>
      <c r="W627" s="49" t="str">
        <f>IFERROR(__xludf.DUMMYFUNCTION("""COMPUTED_VALUE"""),"affected")</f>
        <v>affected</v>
      </c>
      <c r="X627" s="49" t="str">
        <f t="shared" si="3"/>
        <v>jennifer,</v>
      </c>
      <c r="Y627" s="49"/>
      <c r="Z627" s="1" t="s">
        <v>938</v>
      </c>
      <c r="AA627" s="1" t="s">
        <v>2061</v>
      </c>
      <c r="AB627" s="49" t="str">
        <f>IFERROR(__xludf.DUMMYFUNCTION("""COMPUTED_VALUE"""),"interviews")</f>
        <v>interviews</v>
      </c>
      <c r="AC627" s="49"/>
      <c r="AD627" s="49" t="str">
        <f>IFERROR(__xludf.DUMMYFUNCTION("""COMPUTED_VALUE"""),"k")</f>
        <v>k</v>
      </c>
      <c r="AE627" s="49" t="str">
        <f>IFERROR(__xludf.DUMMYFUNCTION("""COMPUTED_VALUE"""),"swift")</f>
        <v>swift</v>
      </c>
      <c r="AF627" s="49" t="str">
        <f t="shared" si="4"/>
        <v>easily,</v>
      </c>
      <c r="AG627" s="49"/>
      <c r="AH627" s="1" t="s">
        <v>5506</v>
      </c>
      <c r="AI627" s="1" t="s">
        <v>2343</v>
      </c>
      <c r="AJ627" s="6" t="str">
        <f>IFERROR(__xludf.DUMMYFUNCTION("""COMPUTED_VALUE"""),"four")</f>
        <v>four</v>
      </c>
      <c r="AK627" s="49"/>
      <c r="AL627" s="49"/>
      <c r="AM627" s="49"/>
      <c r="AN627" s="52" t="str">
        <f t="shared" si="5"/>
        <v>criticism,</v>
      </c>
    </row>
    <row r="628">
      <c r="A628" s="51"/>
      <c r="B628" s="50" t="s">
        <v>394</v>
      </c>
      <c r="C628" s="50" t="s">
        <v>2179</v>
      </c>
      <c r="D628" s="49" t="str">
        <f>IFERROR(__xludf.DUMMYFUNCTION("""COMPUTED_VALUE"""),"seats")</f>
        <v>seats</v>
      </c>
      <c r="E628" s="49"/>
      <c r="F628" s="49"/>
      <c r="G628" s="49"/>
      <c r="H628" s="54" t="str">
        <f t="shared" si="1"/>
        <v>screenplay,</v>
      </c>
      <c r="I628" s="50"/>
      <c r="J628" s="50" t="s">
        <v>3888</v>
      </c>
      <c r="K628" s="50" t="s">
        <v>2904</v>
      </c>
      <c r="L628" s="49" t="str">
        <f>IFERROR(__xludf.DUMMYFUNCTION("""COMPUTED_VALUE"""),"receive")</f>
        <v>receive</v>
      </c>
      <c r="M628" s="49"/>
      <c r="N628" s="49" t="str">
        <f>IFERROR(__xludf.DUMMYFUNCTION("""COMPUTED_VALUE"""),"river")</f>
        <v>river</v>
      </c>
      <c r="O628" s="49" t="str">
        <f>IFERROR(__xludf.DUMMYFUNCTION("""COMPUTED_VALUE"""),"critics")</f>
        <v>critics</v>
      </c>
      <c r="P628" s="49" t="str">
        <f t="shared" si="2"/>
        <v>except,</v>
      </c>
      <c r="Q628" s="49"/>
      <c r="R628" s="50" t="s">
        <v>6340</v>
      </c>
      <c r="S628" s="55" t="s">
        <v>1482</v>
      </c>
      <c r="T628" s="49">
        <f>IFERROR(__xludf.DUMMYFUNCTION("""COMPUTED_VALUE"""),20.0)</f>
        <v>20</v>
      </c>
      <c r="U628" s="49"/>
      <c r="V628" s="49" t="str">
        <f>IFERROR(__xludf.DUMMYFUNCTION("""COMPUTED_VALUE"""),"online")</f>
        <v>online</v>
      </c>
      <c r="W628" s="49" t="str">
        <f>IFERROR(__xludf.DUMMYFUNCTION("""COMPUTED_VALUE"""),"nail")</f>
        <v>nail</v>
      </c>
      <c r="X628" s="49" t="str">
        <f t="shared" si="3"/>
        <v>professional,</v>
      </c>
      <c r="Y628" s="49"/>
      <c r="Z628" s="1" t="s">
        <v>2982</v>
      </c>
      <c r="AA628" s="1" t="s">
        <v>2901</v>
      </c>
      <c r="AB628" s="49" t="str">
        <f>IFERROR(__xludf.DUMMYFUNCTION("""COMPUTED_VALUE"""),"emerges")</f>
        <v>emerges</v>
      </c>
      <c r="AC628" s="49"/>
      <c r="AD628" s="49" t="str">
        <f>IFERROR(__xludf.DUMMYFUNCTION("""COMPUTED_VALUE"""),"river")</f>
        <v>river</v>
      </c>
      <c r="AE628" s="49" t="str">
        <f>IFERROR(__xludf.DUMMYFUNCTION("""COMPUTED_VALUE"""),"critics")</f>
        <v>critics</v>
      </c>
      <c r="AF628" s="49" t="str">
        <f t="shared" si="4"/>
        <v>pile,</v>
      </c>
      <c r="AG628" s="49"/>
      <c r="AH628" s="1" t="s">
        <v>5923</v>
      </c>
      <c r="AI628" s="1" t="s">
        <v>6350</v>
      </c>
      <c r="AJ628" s="6" t="str">
        <f>IFERROR(__xludf.DUMMYFUNCTION("""COMPUTED_VALUE"""),"following")</f>
        <v>following</v>
      </c>
      <c r="AK628" s="49"/>
      <c r="AL628" s="49"/>
      <c r="AM628" s="49"/>
      <c r="AN628" s="52" t="str">
        <f t="shared" si="5"/>
        <v>targets,</v>
      </c>
    </row>
    <row r="629">
      <c r="A629" s="51"/>
      <c r="B629" s="50" t="s">
        <v>2773</v>
      </c>
      <c r="C629" s="50" t="s">
        <v>1038</v>
      </c>
      <c r="D629" s="49" t="str">
        <f>IFERROR(__xludf.DUMMYFUNCTION("""COMPUTED_VALUE"""),"aimed")</f>
        <v>aimed</v>
      </c>
      <c r="E629" s="49"/>
      <c r="F629" s="49"/>
      <c r="G629" s="49"/>
      <c r="H629" s="54" t="str">
        <f t="shared" si="1"/>
        <v>unlikely,</v>
      </c>
      <c r="I629" s="50"/>
      <c r="J629" s="50" t="s">
        <v>4128</v>
      </c>
      <c r="K629" s="50" t="s">
        <v>1745</v>
      </c>
      <c r="L629" s="49" t="str">
        <f>IFERROR(__xludf.DUMMYFUNCTION("""COMPUTED_VALUE"""),"remarkable")</f>
        <v>remarkable</v>
      </c>
      <c r="M629" s="49"/>
      <c r="N629" s="49" t="str">
        <f>IFERROR(__xludf.DUMMYFUNCTION("""COMPUTED_VALUE"""),"center")</f>
        <v>center</v>
      </c>
      <c r="O629" s="49" t="str">
        <f>IFERROR(__xludf.DUMMYFUNCTION("""COMPUTED_VALUE"""),"paints")</f>
        <v>paints</v>
      </c>
      <c r="P629" s="49" t="str">
        <f t="shared" si="2"/>
        <v>sun,</v>
      </c>
      <c r="Q629" s="49"/>
      <c r="R629" s="50" t="s">
        <v>94</v>
      </c>
      <c r="S629" s="55" t="s">
        <v>2782</v>
      </c>
      <c r="T629" s="49" t="str">
        <f>IFERROR(__xludf.DUMMYFUNCTION("""COMPUTED_VALUE"""),"enduring")</f>
        <v>enduring</v>
      </c>
      <c r="U629" s="49"/>
      <c r="V629" s="49" t="str">
        <f>IFERROR(__xludf.DUMMYFUNCTION("""COMPUTED_VALUE"""),"parking")</f>
        <v>parking</v>
      </c>
      <c r="W629" s="49" t="str">
        <f>IFERROR(__xludf.DUMMYFUNCTION("""COMPUTED_VALUE"""),"practitioners")</f>
        <v>practitioners</v>
      </c>
      <c r="X629" s="49" t="str">
        <f t="shared" si="3"/>
        <v>let,</v>
      </c>
      <c r="Y629" s="49"/>
      <c r="Z629" s="1" t="s">
        <v>3346</v>
      </c>
      <c r="AA629" s="1" t="s">
        <v>2905</v>
      </c>
      <c r="AB629" s="49" t="str">
        <f>IFERROR(__xludf.DUMMYFUNCTION("""COMPUTED_VALUE"""),"blue")</f>
        <v>blue</v>
      </c>
      <c r="AC629" s="49"/>
      <c r="AD629" s="49" t="str">
        <f>IFERROR(__xludf.DUMMYFUNCTION("""COMPUTED_VALUE"""),"center")</f>
        <v>center</v>
      </c>
      <c r="AE629" s="49" t="str">
        <f>IFERROR(__xludf.DUMMYFUNCTION("""COMPUTED_VALUE"""),"paints")</f>
        <v>paints</v>
      </c>
      <c r="AF629" s="49" t="str">
        <f t="shared" si="4"/>
        <v>knows,</v>
      </c>
      <c r="AG629" s="49"/>
      <c r="AH629" s="1" t="s">
        <v>593</v>
      </c>
      <c r="AI629" s="1" t="s">
        <v>1298</v>
      </c>
      <c r="AJ629" s="6" t="str">
        <f>IFERROR(__xludf.DUMMYFUNCTION("""COMPUTED_VALUE"""),"member")</f>
        <v>member</v>
      </c>
      <c r="AK629" s="49"/>
      <c r="AL629" s="49"/>
      <c r="AM629" s="49"/>
      <c r="AN629" s="52" t="str">
        <f t="shared" si="5"/>
        <v>us,</v>
      </c>
    </row>
    <row r="630">
      <c r="A630" s="51"/>
      <c r="B630" s="50" t="s">
        <v>1757</v>
      </c>
      <c r="C630" s="50" t="s">
        <v>1353</v>
      </c>
      <c r="D630" s="49" t="str">
        <f>IFERROR(__xludf.DUMMYFUNCTION("""COMPUTED_VALUE"""),"plenty")</f>
        <v>plenty</v>
      </c>
      <c r="E630" s="49"/>
      <c r="F630" s="49"/>
      <c r="G630" s="49"/>
      <c r="H630" s="54" t="str">
        <f t="shared" si="1"/>
        <v>form,</v>
      </c>
      <c r="I630" s="50"/>
      <c r="J630" s="50" t="s">
        <v>5135</v>
      </c>
      <c r="K630" s="50" t="s">
        <v>1773</v>
      </c>
      <c r="L630" s="49" t="str">
        <f>IFERROR(__xludf.DUMMYFUNCTION("""COMPUTED_VALUE"""),"chase")</f>
        <v>chase</v>
      </c>
      <c r="M630" s="49"/>
      <c r="N630" s="49" t="str">
        <f>IFERROR(__xludf.DUMMYFUNCTION("""COMPUTED_VALUE"""),"funky")</f>
        <v>funky</v>
      </c>
      <c r="O630" s="49" t="str">
        <f>IFERROR(__xludf.DUMMYFUNCTION("""COMPUTED_VALUE"""),"competence")</f>
        <v>competence</v>
      </c>
      <c r="P630" s="49" t="str">
        <f t="shared" si="2"/>
        <v>singer,</v>
      </c>
      <c r="Q630" s="49"/>
      <c r="R630" s="50" t="s">
        <v>2063</v>
      </c>
      <c r="S630" s="55" t="s">
        <v>6358</v>
      </c>
      <c r="T630" s="49" t="str">
        <f>IFERROR(__xludf.DUMMYFUNCTION("""COMPUTED_VALUE"""),"medium")</f>
        <v>medium</v>
      </c>
      <c r="U630" s="49"/>
      <c r="V630" s="49" t="str">
        <f>IFERROR(__xludf.DUMMYFUNCTION("""COMPUTED_VALUE"""),"outdated")</f>
        <v>outdated</v>
      </c>
      <c r="W630" s="49" t="str">
        <f>IFERROR(__xludf.DUMMYFUNCTION("""COMPUTED_VALUE"""),"herring")</f>
        <v>herring</v>
      </c>
      <c r="X630" s="49" t="str">
        <f t="shared" si="3"/>
        <v>friends,</v>
      </c>
      <c r="Y630" s="49"/>
      <c r="Z630" s="1" t="s">
        <v>226</v>
      </c>
      <c r="AA630" s="1" t="s">
        <v>2908</v>
      </c>
      <c r="AB630" s="49" t="str">
        <f>IFERROR(__xludf.DUMMYFUNCTION("""COMPUTED_VALUE"""),"proves")</f>
        <v>proves</v>
      </c>
      <c r="AC630" s="49"/>
      <c r="AD630" s="49" t="str">
        <f>IFERROR(__xludf.DUMMYFUNCTION("""COMPUTED_VALUE"""),"funky")</f>
        <v>funky</v>
      </c>
      <c r="AE630" s="49" t="str">
        <f>IFERROR(__xludf.DUMMYFUNCTION("""COMPUTED_VALUE"""),"competence")</f>
        <v>competence</v>
      </c>
      <c r="AF630" s="49" t="str">
        <f t="shared" si="4"/>
        <v>games,</v>
      </c>
      <c r="AG630" s="49"/>
      <c r="AH630" s="1" t="s">
        <v>1205</v>
      </c>
      <c r="AI630" s="1" t="s">
        <v>1403</v>
      </c>
      <c r="AJ630" s="6" t="str">
        <f>IFERROR(__xludf.DUMMYFUNCTION("""COMPUTED_VALUE"""),"writing")</f>
        <v>writing</v>
      </c>
      <c r="AK630" s="49"/>
      <c r="AL630" s="49"/>
      <c r="AM630" s="49"/>
      <c r="AN630" s="52" t="str">
        <f t="shared" si="5"/>
        <v>four,</v>
      </c>
    </row>
    <row r="631">
      <c r="A631" s="51"/>
      <c r="B631" s="50" t="s">
        <v>1179</v>
      </c>
      <c r="C631" s="50" t="s">
        <v>1216</v>
      </c>
      <c r="D631" s="49" t="str">
        <f>IFERROR(__xludf.DUMMYFUNCTION("""COMPUTED_VALUE"""),"everything")</f>
        <v>everything</v>
      </c>
      <c r="E631" s="49"/>
      <c r="F631" s="49"/>
      <c r="G631" s="49"/>
      <c r="H631" s="54" t="str">
        <f t="shared" si="1"/>
        <v>addition,</v>
      </c>
      <c r="I631" s="50"/>
      <c r="J631" s="50" t="s">
        <v>7277</v>
      </c>
      <c r="K631" s="50" t="s">
        <v>1777</v>
      </c>
      <c r="L631" s="49" t="str">
        <f>IFERROR(__xludf.DUMMYFUNCTION("""COMPUTED_VALUE"""),"p")</f>
        <v>p</v>
      </c>
      <c r="M631" s="49"/>
      <c r="N631" s="49" t="str">
        <f>IFERROR(__xludf.DUMMYFUNCTION("""COMPUTED_VALUE"""),"prefer")</f>
        <v>prefer</v>
      </c>
      <c r="O631" s="49" t="str">
        <f>IFERROR(__xludf.DUMMYFUNCTION("""COMPUTED_VALUE"""),"chuckle")</f>
        <v>chuckle</v>
      </c>
      <c r="P631" s="49" t="str">
        <f t="shared" si="2"/>
        <v>aw,</v>
      </c>
      <c r="Q631" s="49"/>
      <c r="R631" s="50" t="s">
        <v>6418</v>
      </c>
      <c r="S631" s="55" t="s">
        <v>283</v>
      </c>
      <c r="T631" s="49" t="str">
        <f>IFERROR(__xludf.DUMMYFUNCTION("""COMPUTED_VALUE"""),"stage")</f>
        <v>stage</v>
      </c>
      <c r="U631" s="49"/>
      <c r="V631" s="49" t="str">
        <f>IFERROR(__xludf.DUMMYFUNCTION("""COMPUTED_VALUE"""),"strongly")</f>
        <v>strongly</v>
      </c>
      <c r="W631" s="49" t="str">
        <f>IFERROR(__xludf.DUMMYFUNCTION("""COMPUTED_VALUE"""),"intricate")</f>
        <v>intricate</v>
      </c>
      <c r="X631" s="49" t="str">
        <f t="shared" si="3"/>
        <v>perfect,</v>
      </c>
      <c r="Y631" s="49"/>
      <c r="Z631" s="1" t="s">
        <v>201</v>
      </c>
      <c r="AA631" s="1" t="s">
        <v>2911</v>
      </c>
      <c r="AB631" s="49" t="str">
        <f>IFERROR(__xludf.DUMMYFUNCTION("""COMPUTED_VALUE"""),"blown")</f>
        <v>blown</v>
      </c>
      <c r="AC631" s="49"/>
      <c r="AD631" s="49" t="str">
        <f>IFERROR(__xludf.DUMMYFUNCTION("""COMPUTED_VALUE"""),"prefer")</f>
        <v>prefer</v>
      </c>
      <c r="AE631" s="49" t="str">
        <f>IFERROR(__xludf.DUMMYFUNCTION("""COMPUTED_VALUE"""),"chuckle")</f>
        <v>chuckle</v>
      </c>
      <c r="AF631" s="49" t="str">
        <f t="shared" si="4"/>
        <v>never,</v>
      </c>
      <c r="AG631" s="49"/>
      <c r="AH631" s="1" t="s">
        <v>1577</v>
      </c>
      <c r="AI631" s="1" t="s">
        <v>2125</v>
      </c>
      <c r="AJ631" s="6" t="str">
        <f>IFERROR(__xludf.DUMMYFUNCTION("""COMPUTED_VALUE"""),"meeting")</f>
        <v>meeting</v>
      </c>
      <c r="AK631" s="49"/>
      <c r="AL631" s="49"/>
      <c r="AM631" s="49"/>
      <c r="AN631" s="52" t="str">
        <f t="shared" si="5"/>
        <v>following,</v>
      </c>
    </row>
    <row r="632">
      <c r="A632" s="51"/>
      <c r="B632" s="50" t="s">
        <v>803</v>
      </c>
      <c r="C632" s="50" t="s">
        <v>1402</v>
      </c>
      <c r="D632" s="49" t="str">
        <f>IFERROR(__xludf.DUMMYFUNCTION("""COMPUTED_VALUE"""),"girls")</f>
        <v>girls</v>
      </c>
      <c r="E632" s="49"/>
      <c r="F632" s="49"/>
      <c r="G632" s="49"/>
      <c r="H632" s="54" t="str">
        <f t="shared" si="1"/>
        <v>feature,</v>
      </c>
      <c r="I632" s="50"/>
      <c r="J632" s="50" t="s">
        <v>4710</v>
      </c>
      <c r="K632" s="50" t="s">
        <v>432</v>
      </c>
      <c r="L632" s="49" t="str">
        <f>IFERROR(__xludf.DUMMYFUNCTION("""COMPUTED_VALUE"""),"seats")</f>
        <v>seats</v>
      </c>
      <c r="M632" s="49"/>
      <c r="N632" s="49" t="str">
        <f>IFERROR(__xludf.DUMMYFUNCTION("""COMPUTED_VALUE"""),"inconsistent")</f>
        <v>inconsistent</v>
      </c>
      <c r="O632" s="49" t="str">
        <f>IFERROR(__xludf.DUMMYFUNCTION("""COMPUTED_VALUE"""),"drug")</f>
        <v>drug</v>
      </c>
      <c r="P632" s="49" t="str">
        <f t="shared" si="2"/>
        <v>project,</v>
      </c>
      <c r="Q632" s="49"/>
      <c r="R632" s="50" t="s">
        <v>1189</v>
      </c>
      <c r="S632" s="55" t="s">
        <v>1452</v>
      </c>
      <c r="T632" s="49" t="str">
        <f>IFERROR(__xludf.DUMMYFUNCTION("""COMPUTED_VALUE"""),"evident")</f>
        <v>evident</v>
      </c>
      <c r="U632" s="49"/>
      <c r="V632" s="49" t="str">
        <f>IFERROR(__xludf.DUMMYFUNCTION("""COMPUTED_VALUE"""),"fuzzy")</f>
        <v>fuzzy</v>
      </c>
      <c r="W632" s="49" t="str">
        <f>IFERROR(__xludf.DUMMYFUNCTION("""COMPUTED_VALUE"""),"project")</f>
        <v>project</v>
      </c>
      <c r="X632" s="49" t="str">
        <f t="shared" si="3"/>
        <v>b,</v>
      </c>
      <c r="Y632" s="49"/>
      <c r="Z632" s="1" t="s">
        <v>423</v>
      </c>
      <c r="AA632" s="1" t="s">
        <v>2068</v>
      </c>
      <c r="AB632" s="49" t="str">
        <f>IFERROR(__xludf.DUMMYFUNCTION("""COMPUTED_VALUE"""),"lower")</f>
        <v>lower</v>
      </c>
      <c r="AC632" s="49"/>
      <c r="AD632" s="49" t="str">
        <f>IFERROR(__xludf.DUMMYFUNCTION("""COMPUTED_VALUE"""),"inconsistent")</f>
        <v>inconsistent</v>
      </c>
      <c r="AE632" s="49" t="str">
        <f>IFERROR(__xludf.DUMMYFUNCTION("""COMPUTED_VALUE"""),"drug")</f>
        <v>drug</v>
      </c>
      <c r="AF632" s="49" t="str">
        <f t="shared" si="4"/>
        <v>plots,</v>
      </c>
      <c r="AG632" s="49"/>
      <c r="AH632" s="1" t="s">
        <v>1404</v>
      </c>
      <c r="AI632" s="1" t="s">
        <v>2362</v>
      </c>
      <c r="AJ632" s="6" t="str">
        <f>IFERROR(__xludf.DUMMYFUNCTION("""COMPUTED_VALUE"""),"experience")</f>
        <v>experience</v>
      </c>
      <c r="AK632" s="49"/>
      <c r="AL632" s="49"/>
      <c r="AM632" s="49"/>
      <c r="AN632" s="52" t="str">
        <f t="shared" si="5"/>
        <v>member,</v>
      </c>
    </row>
    <row r="633">
      <c r="A633" s="51"/>
      <c r="B633" s="50" t="s">
        <v>142</v>
      </c>
      <c r="C633" s="50" t="s">
        <v>1388</v>
      </c>
      <c r="D633" s="49" t="str">
        <f>IFERROR(__xludf.DUMMYFUNCTION("""COMPUTED_VALUE"""),"observation")</f>
        <v>observation</v>
      </c>
      <c r="E633" s="49"/>
      <c r="F633" s="49"/>
      <c r="G633" s="49"/>
      <c r="H633" s="54" t="str">
        <f t="shared" si="1"/>
        <v>greatest,</v>
      </c>
      <c r="I633" s="50"/>
      <c r="J633" s="50" t="s">
        <v>3029</v>
      </c>
      <c r="K633" s="50" t="s">
        <v>1748</v>
      </c>
      <c r="L633" s="49" t="str">
        <f>IFERROR(__xludf.DUMMYFUNCTION("""COMPUTED_VALUE"""),"urban")</f>
        <v>urban</v>
      </c>
      <c r="M633" s="49"/>
      <c r="N633" s="49" t="str">
        <f>IFERROR(__xludf.DUMMYFUNCTION("""COMPUTED_VALUE"""),"treats")</f>
        <v>treats</v>
      </c>
      <c r="O633" s="49" t="str">
        <f>IFERROR(__xludf.DUMMYFUNCTION("""COMPUTED_VALUE"""),"david")</f>
        <v>david</v>
      </c>
      <c r="P633" s="49" t="str">
        <f t="shared" si="2"/>
        <v>job,</v>
      </c>
      <c r="Q633" s="49"/>
      <c r="R633" s="50" t="s">
        <v>4262</v>
      </c>
      <c r="S633" s="55" t="s">
        <v>1446</v>
      </c>
      <c r="T633" s="49" t="str">
        <f>IFERROR(__xludf.DUMMYFUNCTION("""COMPUTED_VALUE"""),"russell")</f>
        <v>russell</v>
      </c>
      <c r="U633" s="49"/>
      <c r="V633" s="49" t="str">
        <f>IFERROR(__xludf.DUMMYFUNCTION("""COMPUTED_VALUE"""),"fuse")</f>
        <v>fuse</v>
      </c>
      <c r="W633" s="49" t="str">
        <f>IFERROR(__xludf.DUMMYFUNCTION("""COMPUTED_VALUE"""),"griffith")</f>
        <v>griffith</v>
      </c>
      <c r="X633" s="49" t="str">
        <f t="shared" si="3"/>
        <v>matters,</v>
      </c>
      <c r="Y633" s="49"/>
      <c r="Z633" s="1" t="s">
        <v>2198</v>
      </c>
      <c r="AA633" s="1" t="s">
        <v>1032</v>
      </c>
      <c r="AB633" s="49" t="str">
        <f>IFERROR(__xludf.DUMMYFUNCTION("""COMPUTED_VALUE"""),"theories")</f>
        <v>theories</v>
      </c>
      <c r="AC633" s="49"/>
      <c r="AD633" s="49" t="str">
        <f>IFERROR(__xludf.DUMMYFUNCTION("""COMPUTED_VALUE"""),"treats")</f>
        <v>treats</v>
      </c>
      <c r="AE633" s="49" t="str">
        <f>IFERROR(__xludf.DUMMYFUNCTION("""COMPUTED_VALUE"""),"david")</f>
        <v>david</v>
      </c>
      <c r="AF633" s="49" t="str">
        <f t="shared" si="4"/>
        <v>each,</v>
      </c>
      <c r="AG633" s="49"/>
      <c r="AH633" s="1" t="s">
        <v>2658</v>
      </c>
      <c r="AI633" s="1" t="s">
        <v>4343</v>
      </c>
      <c r="AJ633" s="6" t="str">
        <f>IFERROR(__xludf.DUMMYFUNCTION("""COMPUTED_VALUE"""),"historical")</f>
        <v>historical</v>
      </c>
      <c r="AK633" s="49"/>
      <c r="AL633" s="49"/>
      <c r="AM633" s="49"/>
      <c r="AN633" s="52" t="str">
        <f t="shared" si="5"/>
        <v>writing,</v>
      </c>
    </row>
    <row r="634">
      <c r="A634" s="51"/>
      <c r="B634" s="50" t="s">
        <v>3293</v>
      </c>
      <c r="C634" s="50" t="s">
        <v>1395</v>
      </c>
      <c r="D634" s="49" t="str">
        <f>IFERROR(__xludf.DUMMYFUNCTION("""COMPUTED_VALUE"""),"swim")</f>
        <v>swim</v>
      </c>
      <c r="E634" s="49"/>
      <c r="F634" s="49"/>
      <c r="G634" s="49"/>
      <c r="H634" s="54" t="str">
        <f t="shared" si="1"/>
        <v>studios,</v>
      </c>
      <c r="I634" s="50"/>
      <c r="J634" s="50" t="s">
        <v>4543</v>
      </c>
      <c r="K634" s="50" t="s">
        <v>2924</v>
      </c>
      <c r="L634" s="49" t="str">
        <f>IFERROR(__xludf.DUMMYFUNCTION("""COMPUTED_VALUE"""),"wears")</f>
        <v>wears</v>
      </c>
      <c r="M634" s="49"/>
      <c r="N634" s="49" t="str">
        <f>IFERROR(__xludf.DUMMYFUNCTION("""COMPUTED_VALUE"""),"ass")</f>
        <v>ass</v>
      </c>
      <c r="O634" s="49" t="str">
        <f>IFERROR(__xludf.DUMMYFUNCTION("""COMPUTED_VALUE"""),"songs")</f>
        <v>songs</v>
      </c>
      <c r="P634" s="49" t="str">
        <f t="shared" si="2"/>
        <v>copy,</v>
      </c>
      <c r="Q634" s="49"/>
      <c r="R634" s="50" t="s">
        <v>2988</v>
      </c>
      <c r="S634" s="55" t="s">
        <v>31</v>
      </c>
      <c r="T634" s="49" t="str">
        <f>IFERROR(__xludf.DUMMYFUNCTION("""COMPUTED_VALUE"""),"seattle")</f>
        <v>seattle</v>
      </c>
      <c r="U634" s="49"/>
      <c r="V634" s="49" t="str">
        <f>IFERROR(__xludf.DUMMYFUNCTION("""COMPUTED_VALUE"""),"schedule")</f>
        <v>schedule</v>
      </c>
      <c r="W634" s="49" t="str">
        <f>IFERROR(__xludf.DUMMYFUNCTION("""COMPUTED_VALUE"""),"ordinary")</f>
        <v>ordinary</v>
      </c>
      <c r="X634" s="49" t="str">
        <f t="shared" si="3"/>
        <v>class,</v>
      </c>
      <c r="Y634" s="49"/>
      <c r="Z634" s="1" t="s">
        <v>394</v>
      </c>
      <c r="AA634" s="1" t="s">
        <v>2078</v>
      </c>
      <c r="AB634" s="49" t="str">
        <f>IFERROR(__xludf.DUMMYFUNCTION("""COMPUTED_VALUE"""),"sexual")</f>
        <v>sexual</v>
      </c>
      <c r="AC634" s="49"/>
      <c r="AD634" s="49" t="str">
        <f>IFERROR(__xludf.DUMMYFUNCTION("""COMPUTED_VALUE"""),"ass")</f>
        <v>ass</v>
      </c>
      <c r="AE634" s="49" t="str">
        <f>IFERROR(__xludf.DUMMYFUNCTION("""COMPUTED_VALUE"""),"songs")</f>
        <v>songs</v>
      </c>
      <c r="AF634" s="49" t="str">
        <f t="shared" si="4"/>
        <v>screenplay,</v>
      </c>
      <c r="AG634" s="49"/>
      <c r="AH634" s="1" t="s">
        <v>6696</v>
      </c>
      <c r="AI634" s="1" t="s">
        <v>2364</v>
      </c>
      <c r="AJ634" s="6" t="str">
        <f>IFERROR(__xludf.DUMMYFUNCTION("""COMPUTED_VALUE"""),"physical")</f>
        <v>physical</v>
      </c>
      <c r="AK634" s="49"/>
      <c r="AL634" s="49"/>
      <c r="AM634" s="49"/>
      <c r="AN634" s="52" t="str">
        <f t="shared" si="5"/>
        <v>meeting,</v>
      </c>
    </row>
    <row r="635">
      <c r="A635" s="51"/>
      <c r="B635" s="50" t="s">
        <v>7278</v>
      </c>
      <c r="C635" s="50" t="s">
        <v>1345</v>
      </c>
      <c r="D635" s="49" t="str">
        <f>IFERROR(__xludf.DUMMYFUNCTION("""COMPUTED_VALUE"""),"spot")</f>
        <v>spot</v>
      </c>
      <c r="E635" s="49"/>
      <c r="F635" s="49"/>
      <c r="G635" s="49"/>
      <c r="H635" s="54" t="str">
        <f t="shared" si="1"/>
        <v>jeff,</v>
      </c>
      <c r="I635" s="50"/>
      <c r="J635" s="50" t="s">
        <v>2762</v>
      </c>
      <c r="K635" s="50" t="s">
        <v>1799</v>
      </c>
      <c r="L635" s="49" t="str">
        <f>IFERROR(__xludf.DUMMYFUNCTION("""COMPUTED_VALUE"""),"sit")</f>
        <v>sit</v>
      </c>
      <c r="M635" s="49"/>
      <c r="N635" s="49" t="str">
        <f>IFERROR(__xludf.DUMMYFUNCTION("""COMPUTED_VALUE"""),"breaks")</f>
        <v>breaks</v>
      </c>
      <c r="O635" s="49" t="str">
        <f>IFERROR(__xludf.DUMMYFUNCTION("""COMPUTED_VALUE"""),"uhf")</f>
        <v>uhf</v>
      </c>
      <c r="P635" s="49" t="str">
        <f t="shared" si="2"/>
        <v>forget,</v>
      </c>
      <c r="Q635" s="49"/>
      <c r="R635" s="50" t="s">
        <v>6729</v>
      </c>
      <c r="S635" s="55" t="s">
        <v>6359</v>
      </c>
      <c r="T635" s="49" t="str">
        <f>IFERROR(__xludf.DUMMYFUNCTION("""COMPUTED_VALUE"""),"weaving")</f>
        <v>weaving</v>
      </c>
      <c r="U635" s="49"/>
      <c r="V635" s="49" t="str">
        <f>IFERROR(__xludf.DUMMYFUNCTION("""COMPUTED_VALUE"""),"improper")</f>
        <v>improper</v>
      </c>
      <c r="W635" s="49" t="str">
        <f>IFERROR(__xludf.DUMMYFUNCTION("""COMPUTED_VALUE"""),"indie")</f>
        <v>indie</v>
      </c>
      <c r="X635" s="49" t="str">
        <f t="shared" si="3"/>
        <v>e,</v>
      </c>
      <c r="Y635" s="49"/>
      <c r="Z635" s="1" t="s">
        <v>3976</v>
      </c>
      <c r="AA635" s="1" t="s">
        <v>2925</v>
      </c>
      <c r="AB635" s="49" t="str">
        <f>IFERROR(__xludf.DUMMYFUNCTION("""COMPUTED_VALUE"""),"frightening")</f>
        <v>frightening</v>
      </c>
      <c r="AC635" s="49"/>
      <c r="AD635" s="49" t="str">
        <f>IFERROR(__xludf.DUMMYFUNCTION("""COMPUTED_VALUE"""),"breaks")</f>
        <v>breaks</v>
      </c>
      <c r="AE635" s="49" t="str">
        <f>IFERROR(__xludf.DUMMYFUNCTION("""COMPUTED_VALUE"""),"uhf")</f>
        <v>uhf</v>
      </c>
      <c r="AF635" s="49" t="str">
        <f t="shared" si="4"/>
        <v>numerous,</v>
      </c>
      <c r="AG635" s="49"/>
      <c r="AH635" s="1" t="s">
        <v>322</v>
      </c>
      <c r="AI635" s="1" t="s">
        <v>2358</v>
      </c>
      <c r="AJ635" s="6" t="str">
        <f>IFERROR(__xludf.DUMMYFUNCTION("""COMPUTED_VALUE"""),"highly")</f>
        <v>highly</v>
      </c>
      <c r="AK635" s="49"/>
      <c r="AL635" s="49"/>
      <c r="AM635" s="49"/>
      <c r="AN635" s="52" t="str">
        <f t="shared" si="5"/>
        <v>experience,</v>
      </c>
    </row>
    <row r="636">
      <c r="A636" s="51"/>
      <c r="B636" s="50" t="s">
        <v>1143</v>
      </c>
      <c r="C636" s="50" t="s">
        <v>1464</v>
      </c>
      <c r="D636" s="49" t="str">
        <f>IFERROR(__xludf.DUMMYFUNCTION("""COMPUTED_VALUE"""),"made")</f>
        <v>made</v>
      </c>
      <c r="E636" s="49"/>
      <c r="F636" s="49"/>
      <c r="G636" s="49"/>
      <c r="H636" s="54" t="str">
        <f t="shared" si="1"/>
        <v>certainly,</v>
      </c>
      <c r="I636" s="50"/>
      <c r="J636" s="50" t="s">
        <v>946</v>
      </c>
      <c r="K636" s="50">
        <v>2002.0</v>
      </c>
      <c r="L636" s="49" t="str">
        <f>IFERROR(__xludf.DUMMYFUNCTION("""COMPUTED_VALUE"""),"shape")</f>
        <v>shape</v>
      </c>
      <c r="M636" s="49"/>
      <c r="N636" s="49">
        <f>IFERROR(__xludf.DUMMYFUNCTION("""COMPUTED_VALUE"""),9.0)</f>
        <v>9</v>
      </c>
      <c r="O636" s="49" t="str">
        <f>IFERROR(__xludf.DUMMYFUNCTION("""COMPUTED_VALUE"""),"text")</f>
        <v>text</v>
      </c>
      <c r="P636" s="49" t="str">
        <f t="shared" si="2"/>
        <v>while,</v>
      </c>
      <c r="Q636" s="49"/>
      <c r="R636" s="50" t="s">
        <v>4424</v>
      </c>
      <c r="S636" s="55" t="s">
        <v>1473</v>
      </c>
      <c r="T636" s="49" t="str">
        <f>IFERROR(__xludf.DUMMYFUNCTION("""COMPUTED_VALUE"""),"dragged")</f>
        <v>dragged</v>
      </c>
      <c r="U636" s="49"/>
      <c r="V636" s="49" t="str">
        <f>IFERROR(__xludf.DUMMYFUNCTION("""COMPUTED_VALUE"""),"educational")</f>
        <v>educational</v>
      </c>
      <c r="W636" s="49" t="str">
        <f>IFERROR(__xludf.DUMMYFUNCTION("""COMPUTED_VALUE"""),"fisher")</f>
        <v>fisher</v>
      </c>
      <c r="X636" s="49" t="str">
        <f t="shared" si="3"/>
        <v>returns,</v>
      </c>
      <c r="Y636" s="49"/>
      <c r="Z636" s="1" t="s">
        <v>1423</v>
      </c>
      <c r="AA636" s="1" t="s">
        <v>2928</v>
      </c>
      <c r="AB636" s="49" t="str">
        <f>IFERROR(__xludf.DUMMYFUNCTION("""COMPUTED_VALUE"""),"bear")</f>
        <v>bear</v>
      </c>
      <c r="AC636" s="49"/>
      <c r="AD636" s="49">
        <f>IFERROR(__xludf.DUMMYFUNCTION("""COMPUTED_VALUE"""),9.0)</f>
        <v>9</v>
      </c>
      <c r="AE636" s="49" t="str">
        <f>IFERROR(__xludf.DUMMYFUNCTION("""COMPUTED_VALUE"""),"text")</f>
        <v>text</v>
      </c>
      <c r="AF636" s="49" t="str">
        <f t="shared" si="4"/>
        <v>ca,</v>
      </c>
      <c r="AG636" s="49"/>
      <c r="AH636" s="1" t="s">
        <v>2940</v>
      </c>
      <c r="AI636" s="1" t="s">
        <v>1279</v>
      </c>
      <c r="AJ636" s="6" t="str">
        <f>IFERROR(__xludf.DUMMYFUNCTION("""COMPUTED_VALUE"""),"revealed")</f>
        <v>revealed</v>
      </c>
      <c r="AK636" s="49"/>
      <c r="AL636" s="49"/>
      <c r="AM636" s="49"/>
      <c r="AN636" s="52" t="str">
        <f t="shared" si="5"/>
        <v>historical,</v>
      </c>
    </row>
    <row r="637">
      <c r="A637" s="51"/>
      <c r="B637" s="50" t="s">
        <v>937</v>
      </c>
      <c r="C637" s="50" t="s">
        <v>2711</v>
      </c>
      <c r="D637" s="49" t="str">
        <f>IFERROR(__xludf.DUMMYFUNCTION("""COMPUTED_VALUE"""),"players")</f>
        <v>players</v>
      </c>
      <c r="E637" s="49"/>
      <c r="F637" s="49"/>
      <c r="G637" s="49"/>
      <c r="H637" s="54" t="str">
        <f t="shared" si="1"/>
        <v>disney,</v>
      </c>
      <c r="I637" s="50"/>
      <c r="J637" s="50" t="s">
        <v>3091</v>
      </c>
      <c r="K637" s="50" t="s">
        <v>1811</v>
      </c>
      <c r="L637" s="49" t="str">
        <f>IFERROR(__xludf.DUMMYFUNCTION("""COMPUTED_VALUE"""),"obvious")</f>
        <v>obvious</v>
      </c>
      <c r="M637" s="49"/>
      <c r="N637" s="49" t="str">
        <f>IFERROR(__xludf.DUMMYFUNCTION("""COMPUTED_VALUE"""),"level")</f>
        <v>level</v>
      </c>
      <c r="O637" s="49" t="str">
        <f>IFERROR(__xludf.DUMMYFUNCTION("""COMPUTED_VALUE"""),"dodge")</f>
        <v>dodge</v>
      </c>
      <c r="P637" s="49" t="str">
        <f t="shared" si="2"/>
        <v>myself,</v>
      </c>
      <c r="Q637" s="49"/>
      <c r="R637" s="50" t="s">
        <v>2820</v>
      </c>
      <c r="S637" s="55" t="s">
        <v>1467</v>
      </c>
      <c r="T637" s="49" t="str">
        <f>IFERROR(__xludf.DUMMYFUNCTION("""COMPUTED_VALUE"""),"engaging")</f>
        <v>engaging</v>
      </c>
      <c r="U637" s="49"/>
      <c r="V637" s="49">
        <f>IFERROR(__xludf.DUMMYFUNCTION("""COMPUTED_VALUE"""),103.0)</f>
        <v>103</v>
      </c>
      <c r="W637" s="49" t="str">
        <f>IFERROR(__xludf.DUMMYFUNCTION("""COMPUTED_VALUE"""),"hopkins")</f>
        <v>hopkins</v>
      </c>
      <c r="X637" s="49" t="str">
        <f t="shared" si="3"/>
        <v>laughed,</v>
      </c>
      <c r="Y637" s="49"/>
      <c r="Z637" s="1" t="s">
        <v>1748</v>
      </c>
      <c r="AA637" s="1" t="s">
        <v>2081</v>
      </c>
      <c r="AB637" s="49" t="str">
        <f>IFERROR(__xludf.DUMMYFUNCTION("""COMPUTED_VALUE"""),"pleasure")</f>
        <v>pleasure</v>
      </c>
      <c r="AC637" s="49"/>
      <c r="AD637" s="49" t="str">
        <f>IFERROR(__xludf.DUMMYFUNCTION("""COMPUTED_VALUE"""),"level")</f>
        <v>level</v>
      </c>
      <c r="AE637" s="49" t="str">
        <f>IFERROR(__xludf.DUMMYFUNCTION("""COMPUTED_VALUE"""),"dodge")</f>
        <v>dodge</v>
      </c>
      <c r="AF637" s="49" t="str">
        <f t="shared" si="4"/>
        <v>turns,</v>
      </c>
      <c r="AG637" s="49"/>
      <c r="AH637" s="1" t="s">
        <v>5140</v>
      </c>
      <c r="AI637" s="1" t="s">
        <v>1272</v>
      </c>
      <c r="AJ637" s="6" t="str">
        <f>IFERROR(__xludf.DUMMYFUNCTION("""COMPUTED_VALUE"""),"concept")</f>
        <v>concept</v>
      </c>
      <c r="AK637" s="49"/>
      <c r="AL637" s="49"/>
      <c r="AM637" s="49"/>
      <c r="AN637" s="52" t="str">
        <f t="shared" si="5"/>
        <v>physical,</v>
      </c>
    </row>
    <row r="638">
      <c r="A638" s="51"/>
      <c r="B638" s="50">
        <v>101.0</v>
      </c>
      <c r="C638" s="50" t="s">
        <v>6360</v>
      </c>
      <c r="D638" s="49" t="str">
        <f>IFERROR(__xludf.DUMMYFUNCTION("""COMPUTED_VALUE"""),"shared")</f>
        <v>shared</v>
      </c>
      <c r="E638" s="49"/>
      <c r="F638" s="49"/>
      <c r="G638" s="49"/>
      <c r="H638" s="54" t="str">
        <f t="shared" si="1"/>
        <v>101,</v>
      </c>
      <c r="I638" s="50"/>
      <c r="J638" s="50" t="s">
        <v>6306</v>
      </c>
      <c r="K638" s="50" t="s">
        <v>440</v>
      </c>
      <c r="L638" s="49" t="str">
        <f>IFERROR(__xludf.DUMMYFUNCTION("""COMPUTED_VALUE"""),"meaning")</f>
        <v>meaning</v>
      </c>
      <c r="M638" s="49"/>
      <c r="N638" s="49" t="str">
        <f>IFERROR(__xludf.DUMMYFUNCTION("""COMPUTED_VALUE"""),"twice")</f>
        <v>twice</v>
      </c>
      <c r="O638" s="49" t="str">
        <f>IFERROR(__xludf.DUMMYFUNCTION("""COMPUTED_VALUE"""),"commanding")</f>
        <v>commanding</v>
      </c>
      <c r="P638" s="49" t="str">
        <f t="shared" si="2"/>
        <v>;,</v>
      </c>
      <c r="Q638" s="49"/>
      <c r="R638" s="50" t="s">
        <v>7279</v>
      </c>
      <c r="S638" s="55" t="s">
        <v>1497</v>
      </c>
      <c r="T638" s="49" t="str">
        <f>IFERROR(__xludf.DUMMYFUNCTION("""COMPUTED_VALUE"""),"remarkably")</f>
        <v>remarkably</v>
      </c>
      <c r="U638" s="49"/>
      <c r="V638" s="49" t="str">
        <f>IFERROR(__xludf.DUMMYFUNCTION("""COMPUTED_VALUE"""),"casual")</f>
        <v>casual</v>
      </c>
      <c r="W638" s="49" t="str">
        <f>IFERROR(__xludf.DUMMYFUNCTION("""COMPUTED_VALUE"""),"metropolis")</f>
        <v>metropolis</v>
      </c>
      <c r="X638" s="49" t="str">
        <f t="shared" si="3"/>
        <v>swans,</v>
      </c>
      <c r="Y638" s="49"/>
      <c r="Z638" s="1" t="s">
        <v>1883</v>
      </c>
      <c r="AA638" s="1" t="s">
        <v>878</v>
      </c>
      <c r="AB638" s="49" t="str">
        <f>IFERROR(__xludf.DUMMYFUNCTION("""COMPUTED_VALUE"""),"deserve")</f>
        <v>deserve</v>
      </c>
      <c r="AC638" s="49"/>
      <c r="AD638" s="49" t="str">
        <f>IFERROR(__xludf.DUMMYFUNCTION("""COMPUTED_VALUE"""),"twice")</f>
        <v>twice</v>
      </c>
      <c r="AE638" s="49" t="str">
        <f>IFERROR(__xludf.DUMMYFUNCTION("""COMPUTED_VALUE"""),"commanding")</f>
        <v>commanding</v>
      </c>
      <c r="AF638" s="49" t="str">
        <f t="shared" si="4"/>
        <v>others,</v>
      </c>
      <c r="AG638" s="49"/>
      <c r="AH638" s="1" t="s">
        <v>6408</v>
      </c>
      <c r="AI638" s="1" t="s">
        <v>2131</v>
      </c>
      <c r="AJ638" s="6" t="str">
        <f>IFERROR(__xludf.DUMMYFUNCTION("""COMPUTED_VALUE"""),"possibly")</f>
        <v>possibly</v>
      </c>
      <c r="AK638" s="49"/>
      <c r="AL638" s="49"/>
      <c r="AM638" s="49"/>
      <c r="AN638" s="52" t="str">
        <f t="shared" si="5"/>
        <v>highly,</v>
      </c>
    </row>
    <row r="639">
      <c r="A639" s="51"/>
      <c r="B639" s="50" t="s">
        <v>7150</v>
      </c>
      <c r="C639" s="50" t="s">
        <v>4223</v>
      </c>
      <c r="D639" s="49" t="str">
        <f>IFERROR(__xludf.DUMMYFUNCTION("""COMPUTED_VALUE"""),"beings")</f>
        <v>beings</v>
      </c>
      <c r="E639" s="49"/>
      <c r="F639" s="49"/>
      <c r="G639" s="49"/>
      <c r="H639" s="54" t="str">
        <f t="shared" si="1"/>
        <v>proven,</v>
      </c>
      <c r="I639" s="50"/>
      <c r="J639" s="50" t="s">
        <v>1243</v>
      </c>
      <c r="K639" s="50" t="s">
        <v>2940</v>
      </c>
      <c r="L639" s="49" t="str">
        <f>IFERROR(__xludf.DUMMYFUNCTION("""COMPUTED_VALUE"""),"exciting")</f>
        <v>exciting</v>
      </c>
      <c r="M639" s="49"/>
      <c r="N639" s="49" t="str">
        <f>IFERROR(__xludf.DUMMYFUNCTION("""COMPUTED_VALUE"""),"craft")</f>
        <v>craft</v>
      </c>
      <c r="O639" s="49" t="str">
        <f>IFERROR(__xludf.DUMMYFUNCTION("""COMPUTED_VALUE"""),"tends")</f>
        <v>tends</v>
      </c>
      <c r="P639" s="49" t="str">
        <f t="shared" si="2"/>
        <v>sitting,</v>
      </c>
      <c r="Q639" s="49"/>
      <c r="R639" s="50" t="s">
        <v>1428</v>
      </c>
      <c r="S639" s="55" t="s">
        <v>2267</v>
      </c>
      <c r="T639" s="49" t="str">
        <f>IFERROR(__xludf.DUMMYFUNCTION("""COMPUTED_VALUE"""),"technically")</f>
        <v>technically</v>
      </c>
      <c r="U639" s="49"/>
      <c r="V639" s="49" t="str">
        <f>IFERROR(__xludf.DUMMYFUNCTION("""COMPUTED_VALUE"""),"shed")</f>
        <v>shed</v>
      </c>
      <c r="W639" s="49" t="str">
        <f>IFERROR(__xludf.DUMMYFUNCTION("""COMPUTED_VALUE"""),"hair")</f>
        <v>hair</v>
      </c>
      <c r="X639" s="49" t="str">
        <f t="shared" si="3"/>
        <v>read,</v>
      </c>
      <c r="Y639" s="49"/>
      <c r="Z639" s="1" t="s">
        <v>3835</v>
      </c>
      <c r="AA639" s="1" t="s">
        <v>29</v>
      </c>
      <c r="AB639" s="49" t="str">
        <f>IFERROR(__xludf.DUMMYFUNCTION("""COMPUTED_VALUE"""),"criminal")</f>
        <v>criminal</v>
      </c>
      <c r="AC639" s="49"/>
      <c r="AD639" s="49" t="str">
        <f>IFERROR(__xludf.DUMMYFUNCTION("""COMPUTED_VALUE"""),"craft")</f>
        <v>craft</v>
      </c>
      <c r="AE639" s="49" t="str">
        <f>IFERROR(__xludf.DUMMYFUNCTION("""COMPUTED_VALUE"""),"tends")</f>
        <v>tends</v>
      </c>
      <c r="AF639" s="49" t="str">
        <f t="shared" si="4"/>
        <v>scream,</v>
      </c>
      <c r="AG639" s="49"/>
      <c r="AH639" s="1" t="s">
        <v>4062</v>
      </c>
      <c r="AI639" s="1" t="s">
        <v>792</v>
      </c>
      <c r="AJ639" s="6" t="str">
        <f>IFERROR(__xludf.DUMMYFUNCTION("""COMPUTED_VALUE"""),"creation")</f>
        <v>creation</v>
      </c>
      <c r="AK639" s="49"/>
      <c r="AL639" s="49"/>
      <c r="AM639" s="49"/>
      <c r="AN639" s="52" t="str">
        <f t="shared" si="5"/>
        <v>revealed,</v>
      </c>
    </row>
    <row r="640">
      <c r="A640" s="51"/>
      <c r="B640" s="50" t="s">
        <v>1005</v>
      </c>
      <c r="C640" s="50" t="s">
        <v>1061</v>
      </c>
      <c r="D640" s="49" t="str">
        <f>IFERROR(__xludf.DUMMYFUNCTION("""COMPUTED_VALUE"""),"school")</f>
        <v>school</v>
      </c>
      <c r="E640" s="49"/>
      <c r="F640" s="49"/>
      <c r="G640" s="49"/>
      <c r="H640" s="54" t="str">
        <f t="shared" si="1"/>
        <v>line,</v>
      </c>
      <c r="I640" s="50"/>
      <c r="J640" s="50" t="s">
        <v>3735</v>
      </c>
      <c r="K640" s="50" t="s">
        <v>1815</v>
      </c>
      <c r="L640" s="49" t="str">
        <f>IFERROR(__xludf.DUMMYFUNCTION("""COMPUTED_VALUE"""),"don")</f>
        <v>don</v>
      </c>
      <c r="M640" s="49"/>
      <c r="N640" s="49" t="str">
        <f>IFERROR(__xludf.DUMMYFUNCTION("""COMPUTED_VALUE"""),"slug")</f>
        <v>slug</v>
      </c>
      <c r="O640" s="49" t="str">
        <f>IFERROR(__xludf.DUMMYFUNCTION("""COMPUTED_VALUE"""),"comprehension")</f>
        <v>comprehension</v>
      </c>
      <c r="P640" s="49" t="str">
        <f t="shared" si="2"/>
        <v>wasting,</v>
      </c>
      <c r="Q640" s="49"/>
      <c r="R640" s="50" t="s">
        <v>377</v>
      </c>
      <c r="S640" s="55" t="s">
        <v>1487</v>
      </c>
      <c r="T640" s="49" t="str">
        <f>IFERROR(__xludf.DUMMYFUNCTION("""COMPUTED_VALUE"""),"christmas")</f>
        <v>christmas</v>
      </c>
      <c r="U640" s="49"/>
      <c r="V640" s="49" t="str">
        <f>IFERROR(__xludf.DUMMYFUNCTION("""COMPUTED_VALUE"""),"3d")</f>
        <v>3d</v>
      </c>
      <c r="W640" s="49" t="str">
        <f>IFERROR(__xludf.DUMMYFUNCTION("""COMPUTED_VALUE"""),"teacher")</f>
        <v>teacher</v>
      </c>
      <c r="X640" s="49" t="str">
        <f t="shared" si="3"/>
        <v>again,</v>
      </c>
      <c r="Y640" s="49"/>
      <c r="Z640" s="1" t="s">
        <v>76</v>
      </c>
      <c r="AA640" s="1" t="s">
        <v>2941</v>
      </c>
      <c r="AB640" s="49" t="str">
        <f>IFERROR(__xludf.DUMMYFUNCTION("""COMPUTED_VALUE"""),"sweetness")</f>
        <v>sweetness</v>
      </c>
      <c r="AC640" s="49"/>
      <c r="AD640" s="49" t="str">
        <f>IFERROR(__xludf.DUMMYFUNCTION("""COMPUTED_VALUE"""),"slug")</f>
        <v>slug</v>
      </c>
      <c r="AE640" s="49" t="str">
        <f>IFERROR(__xludf.DUMMYFUNCTION("""COMPUTED_VALUE"""),"comprehension")</f>
        <v>comprehension</v>
      </c>
      <c r="AF640" s="49" t="str">
        <f t="shared" si="4"/>
        <v>characters,</v>
      </c>
      <c r="AG640" s="49"/>
      <c r="AH640" s="1" t="s">
        <v>417</v>
      </c>
      <c r="AI640" s="1" t="s">
        <v>2622</v>
      </c>
      <c r="AJ640" s="6" t="str">
        <f>IFERROR(__xludf.DUMMYFUNCTION("""COMPUTED_VALUE"""),"wave")</f>
        <v>wave</v>
      </c>
      <c r="AK640" s="49"/>
      <c r="AL640" s="49"/>
      <c r="AM640" s="49"/>
      <c r="AN640" s="52" t="str">
        <f t="shared" si="5"/>
        <v>concept,</v>
      </c>
    </row>
    <row r="641">
      <c r="A641" s="51"/>
      <c r="B641" s="50" t="s">
        <v>1571</v>
      </c>
      <c r="C641" s="50" t="s">
        <v>2719</v>
      </c>
      <c r="D641" s="49" t="str">
        <f>IFERROR(__xludf.DUMMYFUNCTION("""COMPUTED_VALUE"""),"high")</f>
        <v>high</v>
      </c>
      <c r="E641" s="49"/>
      <c r="F641" s="49"/>
      <c r="G641" s="49"/>
      <c r="H641" s="54" t="str">
        <f t="shared" si="1"/>
        <v>system,</v>
      </c>
      <c r="I641" s="50"/>
      <c r="J641" s="50" t="s">
        <v>1750</v>
      </c>
      <c r="K641" s="50" t="s">
        <v>2950</v>
      </c>
      <c r="L641" s="49" t="str">
        <f>IFERROR(__xludf.DUMMYFUNCTION("""COMPUTED_VALUE"""),"homicide")</f>
        <v>homicide</v>
      </c>
      <c r="M641" s="49"/>
      <c r="N641" s="49" t="str">
        <f>IFERROR(__xludf.DUMMYFUNCTION("""COMPUTED_VALUE"""),"extended")</f>
        <v>extended</v>
      </c>
      <c r="O641" s="49" t="str">
        <f>IFERROR(__xludf.DUMMYFUNCTION("""COMPUTED_VALUE"""),"staged")</f>
        <v>staged</v>
      </c>
      <c r="P641" s="49" t="str">
        <f t="shared" si="2"/>
        <v>final,</v>
      </c>
      <c r="Q641" s="49"/>
      <c r="R641" s="50" t="s">
        <v>1471</v>
      </c>
      <c r="S641" s="55" t="s">
        <v>2282</v>
      </c>
      <c r="T641" s="49" t="str">
        <f>IFERROR(__xludf.DUMMYFUNCTION("""COMPUTED_VALUE"""),"tragic")</f>
        <v>tragic</v>
      </c>
      <c r="U641" s="49"/>
      <c r="V641" s="49" t="str">
        <f>IFERROR(__xludf.DUMMYFUNCTION("""COMPUTED_VALUE"""),"reside")</f>
        <v>reside</v>
      </c>
      <c r="W641" s="49" t="str">
        <f>IFERROR(__xludf.DUMMYFUNCTION("""COMPUTED_VALUE"""),"plotting")</f>
        <v>plotting</v>
      </c>
      <c r="X641" s="49" t="str">
        <f t="shared" si="3"/>
        <v>understand,</v>
      </c>
      <c r="Y641" s="49"/>
      <c r="Z641" s="1" t="s">
        <v>1213</v>
      </c>
      <c r="AA641" s="1" t="s">
        <v>2198</v>
      </c>
      <c r="AB641" s="49" t="str">
        <f>IFERROR(__xludf.DUMMYFUNCTION("""COMPUTED_VALUE"""),"silly")</f>
        <v>silly</v>
      </c>
      <c r="AC641" s="49"/>
      <c r="AD641" s="49" t="str">
        <f>IFERROR(__xludf.DUMMYFUNCTION("""COMPUTED_VALUE"""),"extended")</f>
        <v>extended</v>
      </c>
      <c r="AE641" s="49" t="str">
        <f>IFERROR(__xludf.DUMMYFUNCTION("""COMPUTED_VALUE"""),"staged")</f>
        <v>staged</v>
      </c>
      <c r="AF641" s="49" t="str">
        <f t="shared" si="4"/>
        <v>own,</v>
      </c>
      <c r="AG641" s="49"/>
      <c r="AH641" s="1" t="s">
        <v>3170</v>
      </c>
      <c r="AI641" s="1" t="s">
        <v>1290</v>
      </c>
      <c r="AJ641" s="6" t="str">
        <f>IFERROR(__xludf.DUMMYFUNCTION("""COMPUTED_VALUE"""),"intelligence")</f>
        <v>intelligence</v>
      </c>
      <c r="AK641" s="49"/>
      <c r="AL641" s="49"/>
      <c r="AM641" s="49"/>
      <c r="AN641" s="52" t="str">
        <f t="shared" si="5"/>
        <v>possibly,</v>
      </c>
    </row>
    <row r="642">
      <c r="A642" s="51"/>
      <c r="B642" s="50" t="s">
        <v>40</v>
      </c>
      <c r="C642" s="50" t="s">
        <v>1376</v>
      </c>
      <c r="D642" s="49" t="str">
        <f>IFERROR(__xludf.DUMMYFUNCTION("""COMPUTED_VALUE"""),"sex")</f>
        <v>sex</v>
      </c>
      <c r="E642" s="49"/>
      <c r="F642" s="49"/>
      <c r="G642" s="49"/>
      <c r="H642" s="54" t="str">
        <f t="shared" si="1"/>
        <v>human,</v>
      </c>
      <c r="I642" s="50"/>
      <c r="J642" s="50" t="s">
        <v>2333</v>
      </c>
      <c r="K642" s="50" t="s">
        <v>1756</v>
      </c>
      <c r="L642" s="49" t="str">
        <f>IFERROR(__xludf.DUMMYFUNCTION("""COMPUTED_VALUE"""),"portrayed")</f>
        <v>portrayed</v>
      </c>
      <c r="M642" s="49"/>
      <c r="N642" s="49" t="str">
        <f>IFERROR(__xludf.DUMMYFUNCTION("""COMPUTED_VALUE"""),"olympic")</f>
        <v>olympic</v>
      </c>
      <c r="O642" s="49" t="str">
        <f>IFERROR(__xludf.DUMMYFUNCTION("""COMPUTED_VALUE"""),"brit")</f>
        <v>brit</v>
      </c>
      <c r="P642" s="49" t="str">
        <f t="shared" si="2"/>
        <v>destination,</v>
      </c>
      <c r="Q642" s="49"/>
      <c r="R642" s="50" t="s">
        <v>4251</v>
      </c>
      <c r="S642" s="55" t="s">
        <v>550</v>
      </c>
      <c r="T642" s="49" t="str">
        <f>IFERROR(__xludf.DUMMYFUNCTION("""COMPUTED_VALUE"""),"strip")</f>
        <v>strip</v>
      </c>
      <c r="U642" s="49"/>
      <c r="V642" s="49" t="str">
        <f>IFERROR(__xludf.DUMMYFUNCTION("""COMPUTED_VALUE"""),"fuss")</f>
        <v>fuss</v>
      </c>
      <c r="W642" s="49" t="str">
        <f>IFERROR(__xludf.DUMMYFUNCTION("""COMPUTED_VALUE"""),"served")</f>
        <v>served</v>
      </c>
      <c r="X642" s="49" t="str">
        <f t="shared" si="3"/>
        <v>message,</v>
      </c>
      <c r="Y642" s="49"/>
      <c r="Z642" s="1" t="s">
        <v>3704</v>
      </c>
      <c r="AA642" s="1" t="s">
        <v>1561</v>
      </c>
      <c r="AB642" s="49" t="str">
        <f>IFERROR(__xludf.DUMMYFUNCTION("""COMPUTED_VALUE"""),"sitcom")</f>
        <v>sitcom</v>
      </c>
      <c r="AC642" s="49"/>
      <c r="AD642" s="49" t="str">
        <f>IFERROR(__xludf.DUMMYFUNCTION("""COMPUTED_VALUE"""),"olympic")</f>
        <v>olympic</v>
      </c>
      <c r="AE642" s="49" t="str">
        <f>IFERROR(__xludf.DUMMYFUNCTION("""COMPUTED_VALUE"""),"brit")</f>
        <v>brit</v>
      </c>
      <c r="AF642" s="49" t="str">
        <f t="shared" si="4"/>
        <v>actual,</v>
      </c>
      <c r="AG642" s="49"/>
      <c r="AH642" s="1" t="s">
        <v>624</v>
      </c>
      <c r="AI642" s="1" t="s">
        <v>350</v>
      </c>
      <c r="AJ642" s="6" t="str">
        <f>IFERROR(__xludf.DUMMYFUNCTION("""COMPUTED_VALUE"""),"universal")</f>
        <v>universal</v>
      </c>
      <c r="AK642" s="49"/>
      <c r="AL642" s="49"/>
      <c r="AM642" s="49"/>
      <c r="AN642" s="52" t="str">
        <f t="shared" si="5"/>
        <v>creation,</v>
      </c>
    </row>
    <row r="643">
      <c r="A643" s="51"/>
      <c r="B643" s="50" t="s">
        <v>2713</v>
      </c>
      <c r="C643" s="50" t="s">
        <v>1431</v>
      </c>
      <c r="D643" s="49" t="str">
        <f>IFERROR(__xludf.DUMMYFUNCTION("""COMPUTED_VALUE"""),"becomes")</f>
        <v>becomes</v>
      </c>
      <c r="E643" s="49"/>
      <c r="F643" s="49"/>
      <c r="G643" s="49"/>
      <c r="H643" s="54" t="str">
        <f t="shared" si="1"/>
        <v>arms,</v>
      </c>
      <c r="I643" s="50"/>
      <c r="J643" s="50" t="s">
        <v>3534</v>
      </c>
      <c r="K643" s="50" t="s">
        <v>2955</v>
      </c>
      <c r="L643" s="49" t="str">
        <f>IFERROR(__xludf.DUMMYFUNCTION("""COMPUTED_VALUE"""),"emotional")</f>
        <v>emotional</v>
      </c>
      <c r="M643" s="49"/>
      <c r="N643" s="49" t="str">
        <f>IFERROR(__xludf.DUMMYFUNCTION("""COMPUTED_VALUE"""),"memory")</f>
        <v>memory</v>
      </c>
      <c r="O643" s="49" t="str">
        <f>IFERROR(__xludf.DUMMYFUNCTION("""COMPUTED_VALUE"""),"fabricated")</f>
        <v>fabricated</v>
      </c>
      <c r="P643" s="49" t="str">
        <f t="shared" si="2"/>
        <v>theater,</v>
      </c>
      <c r="Q643" s="49"/>
      <c r="R643" s="50" t="s">
        <v>929</v>
      </c>
      <c r="S643" s="55" t="s">
        <v>1495</v>
      </c>
      <c r="T643" s="49" t="str">
        <f>IFERROR(__xludf.DUMMYFUNCTION("""COMPUTED_VALUE"""),"standard")</f>
        <v>standard</v>
      </c>
      <c r="U643" s="49"/>
      <c r="V643" s="49" t="str">
        <f>IFERROR(__xludf.DUMMYFUNCTION("""COMPUTED_VALUE"""),"harmon")</f>
        <v>harmon</v>
      </c>
      <c r="W643" s="49" t="str">
        <f>IFERROR(__xludf.DUMMYFUNCTION("""COMPUTED_VALUE"""),"specimen")</f>
        <v>specimen</v>
      </c>
      <c r="X643" s="49" t="str">
        <f t="shared" si="3"/>
        <v>voice,</v>
      </c>
      <c r="Y643" s="49"/>
      <c r="Z643" s="1" t="s">
        <v>2773</v>
      </c>
      <c r="AA643" s="1" t="s">
        <v>2092</v>
      </c>
      <c r="AB643" s="49" t="str">
        <f>IFERROR(__xludf.DUMMYFUNCTION("""COMPUTED_VALUE"""),"lightweight")</f>
        <v>lightweight</v>
      </c>
      <c r="AC643" s="49"/>
      <c r="AD643" s="49" t="str">
        <f>IFERROR(__xludf.DUMMYFUNCTION("""COMPUTED_VALUE"""),"memory")</f>
        <v>memory</v>
      </c>
      <c r="AE643" s="49" t="str">
        <f>IFERROR(__xludf.DUMMYFUNCTION("""COMPUTED_VALUE"""),"fabricated")</f>
        <v>fabricated</v>
      </c>
      <c r="AF643" s="49" t="str">
        <f t="shared" si="4"/>
        <v>unlikely,</v>
      </c>
      <c r="AG643" s="49"/>
      <c r="AH643" s="1" t="s">
        <v>3815</v>
      </c>
      <c r="AI643" s="1" t="s">
        <v>1301</v>
      </c>
      <c r="AJ643" s="6" t="str">
        <f>IFERROR(__xludf.DUMMYFUNCTION("""COMPUTED_VALUE"""),"expect")</f>
        <v>expect</v>
      </c>
      <c r="AK643" s="49"/>
      <c r="AL643" s="49"/>
      <c r="AM643" s="49"/>
      <c r="AN643" s="52" t="str">
        <f t="shared" si="5"/>
        <v>wave,</v>
      </c>
    </row>
    <row r="644">
      <c r="A644" s="51"/>
      <c r="B644" s="50" t="s">
        <v>4912</v>
      </c>
      <c r="C644" s="50" t="s">
        <v>225</v>
      </c>
      <c r="D644" s="49" t="str">
        <f>IFERROR(__xludf.DUMMYFUNCTION("""COMPUTED_VALUE"""),"dates")</f>
        <v>dates</v>
      </c>
      <c r="E644" s="49"/>
      <c r="F644" s="49"/>
      <c r="G644" s="49"/>
      <c r="H644" s="54" t="str">
        <f t="shared" si="1"/>
        <v>race,</v>
      </c>
      <c r="I644" s="50"/>
      <c r="J644" s="50" t="s">
        <v>6075</v>
      </c>
      <c r="K644" s="50" t="s">
        <v>705</v>
      </c>
      <c r="L644" s="49" t="str">
        <f>IFERROR(__xludf.DUMMYFUNCTION("""COMPUTED_VALUE"""),"bunch")</f>
        <v>bunch</v>
      </c>
      <c r="M644" s="49"/>
      <c r="N644" s="49" t="str">
        <f>IFERROR(__xludf.DUMMYFUNCTION("""COMPUTED_VALUE"""),"belly")</f>
        <v>belly</v>
      </c>
      <c r="O644" s="49" t="str">
        <f>IFERROR(__xludf.DUMMYFUNCTION("""COMPUTED_VALUE"""),"williams")</f>
        <v>williams</v>
      </c>
      <c r="P644" s="49" t="str">
        <f t="shared" si="2"/>
        <v>negative,</v>
      </c>
      <c r="Q644" s="49"/>
      <c r="R644" s="50" t="s">
        <v>370</v>
      </c>
      <c r="S644" s="55" t="s">
        <v>1502</v>
      </c>
      <c r="T644" s="49" t="str">
        <f>IFERROR(__xludf.DUMMYFUNCTION("""COMPUTED_VALUE"""),"age")</f>
        <v>age</v>
      </c>
      <c r="U644" s="49"/>
      <c r="V644" s="49" t="str">
        <f>IFERROR(__xludf.DUMMYFUNCTION("""COMPUTED_VALUE"""),"namesake")</f>
        <v>namesake</v>
      </c>
      <c r="W644" s="49" t="str">
        <f>IFERROR(__xludf.DUMMYFUNCTION("""COMPUTED_VALUE"""),"usually")</f>
        <v>usually</v>
      </c>
      <c r="X644" s="49" t="str">
        <f t="shared" si="3"/>
        <v>once,</v>
      </c>
      <c r="Y644" s="49"/>
      <c r="Z644" s="1" t="s">
        <v>316</v>
      </c>
      <c r="AA644" s="1" t="s">
        <v>2616</v>
      </c>
      <c r="AB644" s="49" t="str">
        <f>IFERROR(__xludf.DUMMYFUNCTION("""COMPUTED_VALUE"""),"losers")</f>
        <v>losers</v>
      </c>
      <c r="AC644" s="49"/>
      <c r="AD644" s="49" t="str">
        <f>IFERROR(__xludf.DUMMYFUNCTION("""COMPUTED_VALUE"""),"belly")</f>
        <v>belly</v>
      </c>
      <c r="AE644" s="49" t="str">
        <f>IFERROR(__xludf.DUMMYFUNCTION("""COMPUTED_VALUE"""),"williams")</f>
        <v>williams</v>
      </c>
      <c r="AF644" s="49" t="str">
        <f t="shared" si="4"/>
        <v>derivative,</v>
      </c>
      <c r="AG644" s="49"/>
      <c r="AH644" s="1" t="s">
        <v>145</v>
      </c>
      <c r="AI644" s="1" t="s">
        <v>4966</v>
      </c>
      <c r="AJ644" s="6" t="str">
        <f>IFERROR(__xludf.DUMMYFUNCTION("""COMPUTED_VALUE"""),"influential")</f>
        <v>influential</v>
      </c>
      <c r="AK644" s="49"/>
      <c r="AL644" s="49"/>
      <c r="AM644" s="49"/>
      <c r="AN644" s="52" t="str">
        <f t="shared" si="5"/>
        <v>intelligence,</v>
      </c>
    </row>
    <row r="645">
      <c r="A645" s="51"/>
      <c r="B645" s="50" t="s">
        <v>3305</v>
      </c>
      <c r="C645" s="50" t="s">
        <v>1436</v>
      </c>
      <c r="D645" s="49" t="str">
        <f>IFERROR(__xludf.DUMMYFUNCTION("""COMPUTED_VALUE"""),"excellent")</f>
        <v>excellent</v>
      </c>
      <c r="E645" s="49"/>
      <c r="F645" s="49"/>
      <c r="G645" s="49"/>
      <c r="H645" s="54" t="str">
        <f t="shared" si="1"/>
        <v>events,</v>
      </c>
      <c r="I645" s="50"/>
      <c r="J645" s="50" t="s">
        <v>6745</v>
      </c>
      <c r="K645" s="50" t="s">
        <v>1761</v>
      </c>
      <c r="L645" s="49" t="str">
        <f>IFERROR(__xludf.DUMMYFUNCTION("""COMPUTED_VALUE"""),"horse")</f>
        <v>horse</v>
      </c>
      <c r="M645" s="49"/>
      <c r="N645" s="49" t="str">
        <f>IFERROR(__xludf.DUMMYFUNCTION("""COMPUTED_VALUE"""),"ok")</f>
        <v>ok</v>
      </c>
      <c r="O645" s="49" t="str">
        <f>IFERROR(__xludf.DUMMYFUNCTION("""COMPUTED_VALUE"""),"schmidt")</f>
        <v>schmidt</v>
      </c>
      <c r="P645" s="49" t="str">
        <f t="shared" si="2"/>
        <v>average,</v>
      </c>
      <c r="Q645" s="49"/>
      <c r="R645" s="50" t="s">
        <v>1783</v>
      </c>
      <c r="S645" s="55" t="s">
        <v>2593</v>
      </c>
      <c r="T645" s="49" t="str">
        <f>IFERROR(__xludf.DUMMYFUNCTION("""COMPUTED_VALUE"""),"mixed")</f>
        <v>mixed</v>
      </c>
      <c r="U645" s="49"/>
      <c r="V645" s="49" t="str">
        <f>IFERROR(__xludf.DUMMYFUNCTION("""COMPUTED_VALUE"""),"neo")</f>
        <v>neo</v>
      </c>
      <c r="W645" s="49" t="str">
        <f>IFERROR(__xludf.DUMMYFUNCTION("""COMPUTED_VALUE"""),"worked")</f>
        <v>worked</v>
      </c>
      <c r="X645" s="49" t="str">
        <f t="shared" si="3"/>
        <v>father,</v>
      </c>
      <c r="Y645" s="49"/>
      <c r="Z645" s="1" t="s">
        <v>937</v>
      </c>
      <c r="AA645" s="1" t="s">
        <v>472</v>
      </c>
      <c r="AB645" s="49" t="str">
        <f>IFERROR(__xludf.DUMMYFUNCTION("""COMPUTED_VALUE"""),"excuse")</f>
        <v>excuse</v>
      </c>
      <c r="AC645" s="49"/>
      <c r="AD645" s="49" t="str">
        <f>IFERROR(__xludf.DUMMYFUNCTION("""COMPUTED_VALUE"""),"ok")</f>
        <v>ok</v>
      </c>
      <c r="AE645" s="49" t="str">
        <f>IFERROR(__xludf.DUMMYFUNCTION("""COMPUTED_VALUE"""),"schmidt")</f>
        <v>schmidt</v>
      </c>
      <c r="AF645" s="49" t="str">
        <f t="shared" si="4"/>
        <v>disney,</v>
      </c>
      <c r="AG645" s="49"/>
      <c r="AH645" s="1" t="s">
        <v>7280</v>
      </c>
      <c r="AI645" s="1" t="s">
        <v>6352</v>
      </c>
      <c r="AJ645" s="6" t="str">
        <f>IFERROR(__xludf.DUMMYFUNCTION("""COMPUTED_VALUE"""),"passion")</f>
        <v>passion</v>
      </c>
      <c r="AK645" s="49"/>
      <c r="AL645" s="49"/>
      <c r="AM645" s="49"/>
      <c r="AN645" s="52" t="str">
        <f t="shared" si="5"/>
        <v>founding,</v>
      </c>
    </row>
    <row r="646">
      <c r="A646" s="51"/>
      <c r="B646" s="50" t="s">
        <v>2112</v>
      </c>
      <c r="C646" s="50" t="s">
        <v>2203</v>
      </c>
      <c r="D646" s="49" t="str">
        <f>IFERROR(__xludf.DUMMYFUNCTION("""COMPUTED_VALUE"""),"demands")</f>
        <v>demands</v>
      </c>
      <c r="E646" s="49"/>
      <c r="F646" s="49"/>
      <c r="G646" s="49"/>
      <c r="H646" s="54" t="str">
        <f t="shared" si="1"/>
        <v>possible,</v>
      </c>
      <c r="I646" s="50"/>
      <c r="J646" s="50" t="s">
        <v>1291</v>
      </c>
      <c r="K646" s="50" t="s">
        <v>110</v>
      </c>
      <c r="L646" s="49" t="str">
        <f>IFERROR(__xludf.DUMMYFUNCTION("""COMPUTED_VALUE"""),"situations")</f>
        <v>situations</v>
      </c>
      <c r="M646" s="49"/>
      <c r="N646" s="49" t="str">
        <f>IFERROR(__xludf.DUMMYFUNCTION("""COMPUTED_VALUE"""),"enjoyed")</f>
        <v>enjoyed</v>
      </c>
      <c r="O646" s="49" t="str">
        <f>IFERROR(__xludf.DUMMYFUNCTION("""COMPUTED_VALUE"""),"uneasy")</f>
        <v>uneasy</v>
      </c>
      <c r="P646" s="49" t="str">
        <f t="shared" si="2"/>
        <v>entertainment,</v>
      </c>
      <c r="Q646" s="49"/>
      <c r="R646" s="50" t="s">
        <v>3813</v>
      </c>
      <c r="S646" s="55" t="s">
        <v>923</v>
      </c>
      <c r="T646" s="49" t="str">
        <f>IFERROR(__xludf.DUMMYFUNCTION("""COMPUTED_VALUE"""),"fresh")</f>
        <v>fresh</v>
      </c>
      <c r="U646" s="49"/>
      <c r="V646" s="49" t="str">
        <f>IFERROR(__xludf.DUMMYFUNCTION("""COMPUTED_VALUE"""),"treasure")</f>
        <v>treasure</v>
      </c>
      <c r="W646" s="49" t="str">
        <f>IFERROR(__xludf.DUMMYFUNCTION("""COMPUTED_VALUE"""),"inadvertently")</f>
        <v>inadvertently</v>
      </c>
      <c r="X646" s="49" t="str">
        <f t="shared" si="3"/>
        <v>ethnic,</v>
      </c>
      <c r="Y646" s="49"/>
      <c r="Z646" s="1" t="s">
        <v>6323</v>
      </c>
      <c r="AA646" s="1" t="s">
        <v>552</v>
      </c>
      <c r="AB646" s="49" t="str">
        <f>IFERROR(__xludf.DUMMYFUNCTION("""COMPUTED_VALUE"""),"pain")</f>
        <v>pain</v>
      </c>
      <c r="AC646" s="49"/>
      <c r="AD646" s="49" t="str">
        <f>IFERROR(__xludf.DUMMYFUNCTION("""COMPUTED_VALUE"""),"enjoyed")</f>
        <v>enjoyed</v>
      </c>
      <c r="AE646" s="49" t="str">
        <f>IFERROR(__xludf.DUMMYFUNCTION("""COMPUTED_VALUE"""),"uneasy")</f>
        <v>uneasy</v>
      </c>
      <c r="AF646" s="49" t="str">
        <f t="shared" si="4"/>
        <v>outrageous,</v>
      </c>
      <c r="AG646" s="49"/>
      <c r="AH646" s="1" t="s">
        <v>615</v>
      </c>
      <c r="AI646" s="1" t="s">
        <v>2398</v>
      </c>
      <c r="AJ646" s="6" t="str">
        <f>IFERROR(__xludf.DUMMYFUNCTION("""COMPUTED_VALUE"""),"perspective")</f>
        <v>perspective</v>
      </c>
      <c r="AK646" s="49"/>
      <c r="AL646" s="49"/>
      <c r="AM646" s="49"/>
      <c r="AN646" s="52" t="str">
        <f t="shared" si="5"/>
        <v>universal,</v>
      </c>
    </row>
    <row r="647">
      <c r="A647" s="51"/>
      <c r="B647" s="50" t="s">
        <v>6398</v>
      </c>
      <c r="C647" s="50" t="s">
        <v>1972</v>
      </c>
      <c r="D647" s="49" t="str">
        <f>IFERROR(__xludf.DUMMYFUNCTION("""COMPUTED_VALUE"""),"receives")</f>
        <v>receives</v>
      </c>
      <c r="E647" s="49"/>
      <c r="F647" s="49"/>
      <c r="G647" s="49"/>
      <c r="H647" s="54" t="str">
        <f t="shared" si="1"/>
        <v>future,</v>
      </c>
      <c r="I647" s="50"/>
      <c r="J647" s="50" t="s">
        <v>5204</v>
      </c>
      <c r="K647" s="50" t="s">
        <v>452</v>
      </c>
      <c r="L647" s="49" t="str">
        <f>IFERROR(__xludf.DUMMYFUNCTION("""COMPUTED_VALUE"""),"disbelief")</f>
        <v>disbelief</v>
      </c>
      <c r="M647" s="49"/>
      <c r="N647" s="49" t="str">
        <f>IFERROR(__xludf.DUMMYFUNCTION("""COMPUTED_VALUE"""),"knife")</f>
        <v>knife</v>
      </c>
      <c r="O647" s="49" t="str">
        <f>IFERROR(__xludf.DUMMYFUNCTION("""COMPUTED_VALUE"""),"payne")</f>
        <v>payne</v>
      </c>
      <c r="P647" s="49" t="str">
        <f t="shared" si="2"/>
        <v>enjoying,</v>
      </c>
      <c r="Q647" s="49"/>
      <c r="R647" s="50" t="s">
        <v>221</v>
      </c>
      <c r="S647" s="55" t="s">
        <v>1547</v>
      </c>
      <c r="T647" s="49" t="str">
        <f>IFERROR(__xludf.DUMMYFUNCTION("""COMPUTED_VALUE"""),"allen")</f>
        <v>allen</v>
      </c>
      <c r="U647" s="49"/>
      <c r="V647" s="49" t="str">
        <f>IFERROR(__xludf.DUMMYFUNCTION("""COMPUTED_VALUE"""),"shirt")</f>
        <v>shirt</v>
      </c>
      <c r="W647" s="49" t="str">
        <f>IFERROR(__xludf.DUMMYFUNCTION("""COMPUTED_VALUE"""),"inspire")</f>
        <v>inspire</v>
      </c>
      <c r="X647" s="49" t="str">
        <f t="shared" si="3"/>
        <v>next,</v>
      </c>
      <c r="Y647" s="49"/>
      <c r="Z647" s="1" t="s">
        <v>2001</v>
      </c>
      <c r="AA647" s="1">
        <v>1989.0</v>
      </c>
      <c r="AB647" s="49" t="str">
        <f>IFERROR(__xludf.DUMMYFUNCTION("""COMPUTED_VALUE"""),"submarine")</f>
        <v>submarine</v>
      </c>
      <c r="AC647" s="49"/>
      <c r="AD647" s="49" t="str">
        <f>IFERROR(__xludf.DUMMYFUNCTION("""COMPUTED_VALUE"""),"knife")</f>
        <v>knife</v>
      </c>
      <c r="AE647" s="49" t="str">
        <f>IFERROR(__xludf.DUMMYFUNCTION("""COMPUTED_VALUE"""),"payne")</f>
        <v>payne</v>
      </c>
      <c r="AF647" s="49" t="str">
        <f t="shared" si="4"/>
        <v>entertaining,</v>
      </c>
      <c r="AG647" s="49"/>
      <c r="AH647" s="1" t="s">
        <v>1149</v>
      </c>
      <c r="AI647" s="1" t="s">
        <v>2641</v>
      </c>
      <c r="AJ647" s="6" t="str">
        <f>IFERROR(__xludf.DUMMYFUNCTION("""COMPUTED_VALUE"""),"merit")</f>
        <v>merit</v>
      </c>
      <c r="AK647" s="49"/>
      <c r="AL647" s="49"/>
      <c r="AM647" s="49"/>
      <c r="AN647" s="52" t="str">
        <f t="shared" si="5"/>
        <v>expect,</v>
      </c>
    </row>
    <row r="648">
      <c r="A648" s="51"/>
      <c r="B648" s="50" t="s">
        <v>7281</v>
      </c>
      <c r="C648" s="50" t="s">
        <v>960</v>
      </c>
      <c r="D648" s="49" t="str">
        <f>IFERROR(__xludf.DUMMYFUNCTION("""COMPUTED_VALUE"""),"merely")</f>
        <v>merely</v>
      </c>
      <c r="E648" s="49"/>
      <c r="F648" s="49"/>
      <c r="G648" s="49"/>
      <c r="H648" s="54" t="str">
        <f t="shared" si="1"/>
        <v>author,</v>
      </c>
      <c r="I648" s="50"/>
      <c r="J648" s="50" t="s">
        <v>4408</v>
      </c>
      <c r="K648" s="50" t="s">
        <v>696</v>
      </c>
      <c r="L648" s="49" t="str">
        <f>IFERROR(__xludf.DUMMYFUNCTION("""COMPUTED_VALUE"""),"store")</f>
        <v>store</v>
      </c>
      <c r="M648" s="49"/>
      <c r="N648" s="49" t="str">
        <f>IFERROR(__xludf.DUMMYFUNCTION("""COMPUTED_VALUE"""),"arch")</f>
        <v>arch</v>
      </c>
      <c r="O648" s="49" t="str">
        <f>IFERROR(__xludf.DUMMYFUNCTION("""COMPUTED_VALUE"""),"source")</f>
        <v>source</v>
      </c>
      <c r="P648" s="49" t="str">
        <f t="shared" si="2"/>
        <v>rank,</v>
      </c>
      <c r="Q648" s="49"/>
      <c r="R648" s="50" t="s">
        <v>625</v>
      </c>
      <c r="S648" s="55" t="s">
        <v>1554</v>
      </c>
      <c r="T648" s="49" t="str">
        <f>IFERROR(__xludf.DUMMYFUNCTION("""COMPUTED_VALUE"""),"word")</f>
        <v>word</v>
      </c>
      <c r="U648" s="49"/>
      <c r="V648" s="49" t="str">
        <f>IFERROR(__xludf.DUMMYFUNCTION("""COMPUTED_VALUE"""),"bryan")</f>
        <v>bryan</v>
      </c>
      <c r="W648" s="49" t="str">
        <f>IFERROR(__xludf.DUMMYFUNCTION("""COMPUTED_VALUE"""),"shrill")</f>
        <v>shrill</v>
      </c>
      <c r="X648" s="49" t="str">
        <f t="shared" si="3"/>
        <v>told,</v>
      </c>
      <c r="Y648" s="49"/>
      <c r="Z648" s="1" t="s">
        <v>803</v>
      </c>
      <c r="AA648" s="1" t="s">
        <v>480</v>
      </c>
      <c r="AB648" s="49" t="str">
        <f>IFERROR(__xludf.DUMMYFUNCTION("""COMPUTED_VALUE"""),"loose")</f>
        <v>loose</v>
      </c>
      <c r="AC648" s="49"/>
      <c r="AD648" s="49" t="str">
        <f>IFERROR(__xludf.DUMMYFUNCTION("""COMPUTED_VALUE"""),"arch")</f>
        <v>arch</v>
      </c>
      <c r="AE648" s="49" t="str">
        <f>IFERROR(__xludf.DUMMYFUNCTION("""COMPUTED_VALUE"""),"source")</f>
        <v>source</v>
      </c>
      <c r="AF648" s="49" t="str">
        <f t="shared" si="4"/>
        <v>feature,</v>
      </c>
      <c r="AG648" s="49"/>
      <c r="AH648" s="1" t="s">
        <v>4913</v>
      </c>
      <c r="AI648" s="1" t="s">
        <v>2406</v>
      </c>
      <c r="AJ648" s="6" t="str">
        <f>IFERROR(__xludf.DUMMYFUNCTION("""COMPUTED_VALUE"""),"home")</f>
        <v>home</v>
      </c>
      <c r="AK648" s="49"/>
      <c r="AL648" s="49"/>
      <c r="AM648" s="49"/>
      <c r="AN648" s="52" t="str">
        <f t="shared" si="5"/>
        <v>influential,</v>
      </c>
    </row>
    <row r="649">
      <c r="A649" s="51"/>
      <c r="B649" s="50" t="s">
        <v>1676</v>
      </c>
      <c r="C649" s="50" t="s">
        <v>527</v>
      </c>
      <c r="D649" s="49" t="str">
        <f>IFERROR(__xludf.DUMMYFUNCTION("""COMPUTED_VALUE"""),"culture")</f>
        <v>culture</v>
      </c>
      <c r="E649" s="49"/>
      <c r="F649" s="49"/>
      <c r="G649" s="49"/>
      <c r="H649" s="54" t="str">
        <f t="shared" si="1"/>
        <v>cause,</v>
      </c>
      <c r="I649" s="50"/>
      <c r="J649" s="50" t="s">
        <v>464</v>
      </c>
      <c r="K649" s="50" t="s">
        <v>351</v>
      </c>
      <c r="L649" s="49" t="str">
        <f>IFERROR(__xludf.DUMMYFUNCTION("""COMPUTED_VALUE"""),"haunting")</f>
        <v>haunting</v>
      </c>
      <c r="M649" s="49"/>
      <c r="N649" s="49" t="str">
        <f>IFERROR(__xludf.DUMMYFUNCTION("""COMPUTED_VALUE"""),"lines")</f>
        <v>lines</v>
      </c>
      <c r="O649" s="49" t="str">
        <f>IFERROR(__xludf.DUMMYFUNCTION("""COMPUTED_VALUE"""),"revolution")</f>
        <v>revolution</v>
      </c>
      <c r="P649" s="49" t="str">
        <f t="shared" si="2"/>
        <v>bard,</v>
      </c>
      <c r="Q649" s="49"/>
      <c r="R649" s="50" t="s">
        <v>5934</v>
      </c>
      <c r="S649" s="55" t="s">
        <v>582</v>
      </c>
      <c r="T649" s="49" t="str">
        <f>IFERROR(__xludf.DUMMYFUNCTION("""COMPUTED_VALUE"""),"sandwich")</f>
        <v>sandwich</v>
      </c>
      <c r="U649" s="49"/>
      <c r="V649" s="49" t="str">
        <f>IFERROR(__xludf.DUMMYFUNCTION("""COMPUTED_VALUE"""),"ethics")</f>
        <v>ethics</v>
      </c>
      <c r="W649" s="49" t="str">
        <f>IFERROR(__xludf.DUMMYFUNCTION("""COMPUTED_VALUE"""),"sinister")</f>
        <v>sinister</v>
      </c>
      <c r="X649" s="49" t="str">
        <f t="shared" si="3"/>
        <v>ran,</v>
      </c>
      <c r="Y649" s="49"/>
      <c r="Z649" s="1">
        <v>101.0</v>
      </c>
      <c r="AA649" s="1" t="s">
        <v>2973</v>
      </c>
      <c r="AB649" s="49" t="str">
        <f>IFERROR(__xludf.DUMMYFUNCTION("""COMPUTED_VALUE"""),"manage")</f>
        <v>manage</v>
      </c>
      <c r="AC649" s="49"/>
      <c r="AD649" s="49" t="str">
        <f>IFERROR(__xludf.DUMMYFUNCTION("""COMPUTED_VALUE"""),"lines")</f>
        <v>lines</v>
      </c>
      <c r="AE649" s="49" t="str">
        <f>IFERROR(__xludf.DUMMYFUNCTION("""COMPUTED_VALUE"""),"revolution")</f>
        <v>revolution</v>
      </c>
      <c r="AF649" s="49" t="str">
        <f t="shared" si="4"/>
        <v>101,</v>
      </c>
      <c r="AG649" s="49"/>
      <c r="AH649" s="1" t="s">
        <v>1634</v>
      </c>
      <c r="AI649" s="1" t="s">
        <v>2856</v>
      </c>
      <c r="AJ649" s="6" t="str">
        <f>IFERROR(__xludf.DUMMYFUNCTION("""COMPUTED_VALUE"""),"town")</f>
        <v>town</v>
      </c>
      <c r="AK649" s="49"/>
      <c r="AL649" s="49"/>
      <c r="AM649" s="49"/>
      <c r="AN649" s="52" t="str">
        <f t="shared" si="5"/>
        <v>passion,</v>
      </c>
    </row>
    <row r="650">
      <c r="A650" s="51"/>
      <c r="B650" s="50" t="s">
        <v>2184</v>
      </c>
      <c r="C650" s="50" t="s">
        <v>1215</v>
      </c>
      <c r="D650" s="49" t="str">
        <f>IFERROR(__xludf.DUMMYFUNCTION("""COMPUTED_VALUE"""),"private")</f>
        <v>private</v>
      </c>
      <c r="E650" s="49"/>
      <c r="F650" s="49"/>
      <c r="G650" s="49"/>
      <c r="H650" s="54" t="str">
        <f t="shared" si="1"/>
        <v>happen,</v>
      </c>
      <c r="I650" s="50"/>
      <c r="J650" s="50" t="s">
        <v>1483</v>
      </c>
      <c r="K650" s="50" t="s">
        <v>459</v>
      </c>
      <c r="L650" s="49" t="str">
        <f>IFERROR(__xludf.DUMMYFUNCTION("""COMPUTED_VALUE"""),"stream")</f>
        <v>stream</v>
      </c>
      <c r="M650" s="49"/>
      <c r="N650" s="49" t="str">
        <f>IFERROR(__xludf.DUMMYFUNCTION("""COMPUTED_VALUE"""),"shots")</f>
        <v>shots</v>
      </c>
      <c r="O650" s="49" t="str">
        <f>IFERROR(__xludf.DUMMYFUNCTION("""COMPUTED_VALUE"""),"compared")</f>
        <v>compared</v>
      </c>
      <c r="P650" s="49" t="str">
        <f t="shared" si="2"/>
        <v>peak,</v>
      </c>
      <c r="Q650" s="49"/>
      <c r="R650" s="50" t="s">
        <v>4694</v>
      </c>
      <c r="S650" s="55" t="s">
        <v>1329</v>
      </c>
      <c r="T650" s="49" t="str">
        <f>IFERROR(__xludf.DUMMYFUNCTION("""COMPUTED_VALUE"""),"dad")</f>
        <v>dad</v>
      </c>
      <c r="U650" s="49"/>
      <c r="V650" s="49" t="str">
        <f>IFERROR(__xludf.DUMMYFUNCTION("""COMPUTED_VALUE"""),"sincere")</f>
        <v>sincere</v>
      </c>
      <c r="W650" s="49" t="str">
        <f>IFERROR(__xludf.DUMMYFUNCTION("""COMPUTED_VALUE"""),"aground")</f>
        <v>aground</v>
      </c>
      <c r="X650" s="49" t="str">
        <f t="shared" si="3"/>
        <v>independent,</v>
      </c>
      <c r="Y650" s="49"/>
      <c r="Z650" s="1" t="s">
        <v>1143</v>
      </c>
      <c r="AA650" s="1" t="s">
        <v>2976</v>
      </c>
      <c r="AB650" s="49" t="str">
        <f>IFERROR(__xludf.DUMMYFUNCTION("""COMPUTED_VALUE"""),"flaws")</f>
        <v>flaws</v>
      </c>
      <c r="AC650" s="49"/>
      <c r="AD650" s="49" t="str">
        <f>IFERROR(__xludf.DUMMYFUNCTION("""COMPUTED_VALUE"""),"shots")</f>
        <v>shots</v>
      </c>
      <c r="AE650" s="49" t="str">
        <f>IFERROR(__xludf.DUMMYFUNCTION("""COMPUTED_VALUE"""),"compared")</f>
        <v>compared</v>
      </c>
      <c r="AF650" s="49" t="str">
        <f t="shared" si="4"/>
        <v>certainly,</v>
      </c>
      <c r="AG650" s="49"/>
      <c r="AH650" s="1" t="s">
        <v>2087</v>
      </c>
      <c r="AI650" s="1" t="s">
        <v>345</v>
      </c>
      <c r="AJ650" s="6" t="str">
        <f>IFERROR(__xludf.DUMMYFUNCTION("""COMPUTED_VALUE"""),"our")</f>
        <v>our</v>
      </c>
      <c r="AK650" s="49"/>
      <c r="AL650" s="49"/>
      <c r="AM650" s="49"/>
      <c r="AN650" s="52" t="str">
        <f t="shared" si="5"/>
        <v>perspective,</v>
      </c>
    </row>
    <row r="651">
      <c r="A651" s="51"/>
      <c r="B651" s="50" t="s">
        <v>2100</v>
      </c>
      <c r="C651" s="50" t="s">
        <v>1391</v>
      </c>
      <c r="D651" s="49" t="str">
        <f>IFERROR(__xludf.DUMMYFUNCTION("""COMPUTED_VALUE"""),"scenes")</f>
        <v>scenes</v>
      </c>
      <c r="E651" s="49"/>
      <c r="F651" s="49"/>
      <c r="G651" s="49"/>
      <c r="H651" s="54" t="str">
        <f t="shared" si="1"/>
        <v>documentary,</v>
      </c>
      <c r="I651" s="50"/>
      <c r="J651" s="50" t="s">
        <v>4177</v>
      </c>
      <c r="K651" s="50" t="s">
        <v>2557</v>
      </c>
      <c r="L651" s="49" t="str">
        <f>IFERROR(__xludf.DUMMYFUNCTION("""COMPUTED_VALUE"""),"christianity")</f>
        <v>christianity</v>
      </c>
      <c r="M651" s="49"/>
      <c r="N651" s="49" t="str">
        <f>IFERROR(__xludf.DUMMYFUNCTION("""COMPUTED_VALUE"""),"grew")</f>
        <v>grew</v>
      </c>
      <c r="O651" s="49" t="str">
        <f>IFERROR(__xludf.DUMMYFUNCTION("""COMPUTED_VALUE"""),"notwithstanding")</f>
        <v>notwithstanding</v>
      </c>
      <c r="P651" s="49" t="str">
        <f t="shared" si="2"/>
        <v>disaster,</v>
      </c>
      <c r="Q651" s="49"/>
      <c r="R651" s="50" t="s">
        <v>1120</v>
      </c>
      <c r="S651" s="55" t="s">
        <v>546</v>
      </c>
      <c r="T651" s="49" t="str">
        <f>IFERROR(__xludf.DUMMYFUNCTION("""COMPUTED_VALUE"""),"rip")</f>
        <v>rip</v>
      </c>
      <c r="U651" s="49"/>
      <c r="V651" s="49" t="str">
        <f>IFERROR(__xludf.DUMMYFUNCTION("""COMPUTED_VALUE"""),"wherever")</f>
        <v>wherever</v>
      </c>
      <c r="W651" s="49" t="str">
        <f>IFERROR(__xludf.DUMMYFUNCTION("""COMPUTED_VALUE"""),"phrase")</f>
        <v>phrase</v>
      </c>
      <c r="X651" s="49" t="str">
        <f t="shared" si="3"/>
        <v>anyone,</v>
      </c>
      <c r="Y651" s="49"/>
      <c r="Z651" s="1" t="s">
        <v>142</v>
      </c>
      <c r="AA651" s="1" t="s">
        <v>2980</v>
      </c>
      <c r="AB651" s="49" t="str">
        <f>IFERROR(__xludf.DUMMYFUNCTION("""COMPUTED_VALUE"""),"nicholas")</f>
        <v>nicholas</v>
      </c>
      <c r="AC651" s="49"/>
      <c r="AD651" s="49" t="str">
        <f>IFERROR(__xludf.DUMMYFUNCTION("""COMPUTED_VALUE"""),"grew")</f>
        <v>grew</v>
      </c>
      <c r="AE651" s="49" t="str">
        <f>IFERROR(__xludf.DUMMYFUNCTION("""COMPUTED_VALUE"""),"notwithstanding")</f>
        <v>notwithstanding</v>
      </c>
      <c r="AF651" s="49" t="str">
        <f t="shared" si="4"/>
        <v>greatest,</v>
      </c>
      <c r="AG651" s="49"/>
      <c r="AH651" s="1" t="s">
        <v>177</v>
      </c>
      <c r="AI651" s="1" t="s">
        <v>63</v>
      </c>
      <c r="AJ651" s="6" t="str">
        <f>IFERROR(__xludf.DUMMYFUNCTION("""COMPUTED_VALUE"""),"control")</f>
        <v>control</v>
      </c>
      <c r="AK651" s="49"/>
      <c r="AL651" s="49"/>
      <c r="AM651" s="49"/>
      <c r="AN651" s="52" t="str">
        <f t="shared" si="5"/>
        <v>merit,</v>
      </c>
    </row>
    <row r="652">
      <c r="A652" s="51"/>
      <c r="B652" s="50" t="s">
        <v>7264</v>
      </c>
      <c r="C652" s="50" t="s">
        <v>1840</v>
      </c>
      <c r="D652" s="49" t="str">
        <f>IFERROR(__xludf.DUMMYFUNCTION("""COMPUTED_VALUE"""),"delivered")</f>
        <v>delivered</v>
      </c>
      <c r="E652" s="49"/>
      <c r="F652" s="49"/>
      <c r="G652" s="49"/>
      <c r="H652" s="54" t="str">
        <f t="shared" si="1"/>
        <v>solar,</v>
      </c>
      <c r="I652" s="50"/>
      <c r="J652" s="50" t="s">
        <v>732</v>
      </c>
      <c r="K652" s="50" t="s">
        <v>2559</v>
      </c>
      <c r="L652" s="49" t="str">
        <f>IFERROR(__xludf.DUMMYFUNCTION("""COMPUTED_VALUE"""),"execution")</f>
        <v>execution</v>
      </c>
      <c r="M652" s="49"/>
      <c r="N652" s="49" t="str">
        <f>IFERROR(__xludf.DUMMYFUNCTION("""COMPUTED_VALUE"""),"herself")</f>
        <v>herself</v>
      </c>
      <c r="O652" s="49" t="str">
        <f>IFERROR(__xludf.DUMMYFUNCTION("""COMPUTED_VALUE"""),"inspirational")</f>
        <v>inspirational</v>
      </c>
      <c r="P652" s="49" t="str">
        <f t="shared" si="2"/>
        <v>initial,</v>
      </c>
      <c r="Q652" s="49"/>
      <c r="R652" s="50" t="s">
        <v>1755</v>
      </c>
      <c r="S652" s="55" t="s">
        <v>697</v>
      </c>
      <c r="T652" s="49" t="str">
        <f>IFERROR(__xludf.DUMMYFUNCTION("""COMPUTED_VALUE"""),"directs")</f>
        <v>directs</v>
      </c>
      <c r="U652" s="49"/>
      <c r="V652" s="49" t="str">
        <f>IFERROR(__xludf.DUMMYFUNCTION("""COMPUTED_VALUE"""),"vow")</f>
        <v>vow</v>
      </c>
      <c r="W652" s="49" t="str">
        <f>IFERROR(__xludf.DUMMYFUNCTION("""COMPUTED_VALUE"""),"julia")</f>
        <v>julia</v>
      </c>
      <c r="X652" s="49" t="str">
        <f t="shared" si="3"/>
        <v>unconventional,</v>
      </c>
      <c r="Y652" s="49"/>
      <c r="Z652" s="1" t="s">
        <v>1757</v>
      </c>
      <c r="AA652" s="1" t="s">
        <v>2982</v>
      </c>
      <c r="AB652" s="49" t="str">
        <f>IFERROR(__xludf.DUMMYFUNCTION("""COMPUTED_VALUE"""),"tradition")</f>
        <v>tradition</v>
      </c>
      <c r="AC652" s="49"/>
      <c r="AD652" s="49" t="str">
        <f>IFERROR(__xludf.DUMMYFUNCTION("""COMPUTED_VALUE"""),"herself")</f>
        <v>herself</v>
      </c>
      <c r="AE652" s="49" t="str">
        <f>IFERROR(__xludf.DUMMYFUNCTION("""COMPUTED_VALUE"""),"inspirational")</f>
        <v>inspirational</v>
      </c>
      <c r="AF652" s="49" t="str">
        <f t="shared" si="4"/>
        <v>form,</v>
      </c>
      <c r="AG652" s="49"/>
      <c r="AH652" s="1" t="s">
        <v>1464</v>
      </c>
      <c r="AI652" s="1" t="s">
        <v>3224</v>
      </c>
      <c r="AJ652" s="6" t="str">
        <f>IFERROR(__xludf.DUMMYFUNCTION("""COMPUTED_VALUE"""),"taken")</f>
        <v>taken</v>
      </c>
      <c r="AK652" s="49"/>
      <c r="AL652" s="49"/>
      <c r="AM652" s="49"/>
      <c r="AN652" s="52" t="str">
        <f t="shared" si="5"/>
        <v>home,</v>
      </c>
    </row>
    <row r="653">
      <c r="A653" s="51"/>
      <c r="B653" s="50" t="s">
        <v>6477</v>
      </c>
      <c r="C653" s="50" t="s">
        <v>2496</v>
      </c>
      <c r="D653" s="49" t="str">
        <f>IFERROR(__xludf.DUMMYFUNCTION("""COMPUTED_VALUE"""),"gaining")</f>
        <v>gaining</v>
      </c>
      <c r="E653" s="49"/>
      <c r="F653" s="49"/>
      <c r="G653" s="49"/>
      <c r="H653" s="54" t="str">
        <f t="shared" si="1"/>
        <v>dated,</v>
      </c>
      <c r="I653" s="50"/>
      <c r="J653" s="50" t="s">
        <v>1775</v>
      </c>
      <c r="K653" s="50" t="s">
        <v>719</v>
      </c>
      <c r="L653" s="49" t="str">
        <f>IFERROR(__xludf.DUMMYFUNCTION("""COMPUTED_VALUE"""),"proof")</f>
        <v>proof</v>
      </c>
      <c r="M653" s="49"/>
      <c r="N653" s="49" t="str">
        <f>IFERROR(__xludf.DUMMYFUNCTION("""COMPUTED_VALUE"""),"pushed")</f>
        <v>pushed</v>
      </c>
      <c r="O653" s="49" t="str">
        <f>IFERROR(__xludf.DUMMYFUNCTION("""COMPUTED_VALUE"""),"pat")</f>
        <v>pat</v>
      </c>
      <c r="P653" s="49" t="str">
        <f t="shared" si="2"/>
        <v>date,</v>
      </c>
      <c r="Q653" s="49"/>
      <c r="R653" s="50" t="s">
        <v>2676</v>
      </c>
      <c r="S653" s="55" t="s">
        <v>689</v>
      </c>
      <c r="T653" s="49" t="str">
        <f>IFERROR(__xludf.DUMMYFUNCTION("""COMPUTED_VALUE"""),"cheese")</f>
        <v>cheese</v>
      </c>
      <c r="U653" s="49"/>
      <c r="V653" s="49" t="str">
        <f>IFERROR(__xludf.DUMMYFUNCTION("""COMPUTED_VALUE"""),"po")</f>
        <v>po</v>
      </c>
      <c r="W653" s="49" t="str">
        <f>IFERROR(__xludf.DUMMYFUNCTION("""COMPUTED_VALUE"""),"workshop")</f>
        <v>workshop</v>
      </c>
      <c r="X653" s="49" t="str">
        <f t="shared" si="3"/>
        <v>reel,</v>
      </c>
      <c r="Y653" s="49"/>
      <c r="Z653" s="1" t="s">
        <v>1179</v>
      </c>
      <c r="AA653" s="1" t="s">
        <v>511</v>
      </c>
      <c r="AB653" s="49" t="str">
        <f>IFERROR(__xludf.DUMMYFUNCTION("""COMPUTED_VALUE"""),"stays")</f>
        <v>stays</v>
      </c>
      <c r="AC653" s="49"/>
      <c r="AD653" s="49" t="str">
        <f>IFERROR(__xludf.DUMMYFUNCTION("""COMPUTED_VALUE"""),"pushed")</f>
        <v>pushed</v>
      </c>
      <c r="AE653" s="49" t="str">
        <f>IFERROR(__xludf.DUMMYFUNCTION("""COMPUTED_VALUE"""),"pat")</f>
        <v>pat</v>
      </c>
      <c r="AF653" s="49" t="str">
        <f t="shared" si="4"/>
        <v>addition,</v>
      </c>
      <c r="AG653" s="49"/>
      <c r="AH653" s="1" t="s">
        <v>1265</v>
      </c>
      <c r="AI653" s="1" t="s">
        <v>1005</v>
      </c>
      <c r="AJ653" s="6" t="str">
        <f>IFERROR(__xludf.DUMMYFUNCTION("""COMPUTED_VALUE"""),"america")</f>
        <v>america</v>
      </c>
      <c r="AK653" s="49"/>
      <c r="AL653" s="49"/>
      <c r="AM653" s="49"/>
      <c r="AN653" s="52" t="str">
        <f t="shared" si="5"/>
        <v>town,</v>
      </c>
    </row>
    <row r="654">
      <c r="A654" s="51"/>
      <c r="B654" s="50" t="s">
        <v>4319</v>
      </c>
      <c r="C654" s="50" t="s">
        <v>2492</v>
      </c>
      <c r="D654" s="49" t="str">
        <f>IFERROR(__xludf.DUMMYFUNCTION("""COMPUTED_VALUE"""),"pale")</f>
        <v>pale</v>
      </c>
      <c r="E654" s="49"/>
      <c r="F654" s="49"/>
      <c r="G654" s="49"/>
      <c r="H654" s="54" t="str">
        <f t="shared" si="1"/>
        <v>bible,</v>
      </c>
      <c r="I654" s="50"/>
      <c r="J654" s="50" t="s">
        <v>3882</v>
      </c>
      <c r="K654" s="50" t="s">
        <v>512</v>
      </c>
      <c r="L654" s="49" t="str">
        <f>IFERROR(__xludf.DUMMYFUNCTION("""COMPUTED_VALUE"""),"swear")</f>
        <v>swear</v>
      </c>
      <c r="M654" s="49"/>
      <c r="N654" s="49" t="str">
        <f>IFERROR(__xludf.DUMMYFUNCTION("""COMPUTED_VALUE"""),"goth")</f>
        <v>goth</v>
      </c>
      <c r="O654" s="49" t="str">
        <f>IFERROR(__xludf.DUMMYFUNCTION("""COMPUTED_VALUE"""),"identity")</f>
        <v>identity</v>
      </c>
      <c r="P654" s="49" t="str">
        <f t="shared" si="2"/>
        <v>changes,</v>
      </c>
      <c r="Q654" s="49"/>
      <c r="R654" s="50" t="s">
        <v>1728</v>
      </c>
      <c r="S654" s="55" t="s">
        <v>6327</v>
      </c>
      <c r="T654" s="49" t="str">
        <f>IFERROR(__xludf.DUMMYFUNCTION("""COMPUTED_VALUE"""),"torn")</f>
        <v>torn</v>
      </c>
      <c r="U654" s="49"/>
      <c r="V654" s="49" t="str">
        <f>IFERROR(__xludf.DUMMYFUNCTION("""COMPUTED_VALUE"""),"sunshine")</f>
        <v>sunshine</v>
      </c>
      <c r="W654" s="49" t="str">
        <f>IFERROR(__xludf.DUMMYFUNCTION("""COMPUTED_VALUE"""),"vigorously")</f>
        <v>vigorously</v>
      </c>
      <c r="X654" s="49" t="str">
        <f t="shared" si="3"/>
        <v>complex,</v>
      </c>
      <c r="Y654" s="49"/>
      <c r="Z654" s="1" t="s">
        <v>40</v>
      </c>
      <c r="AA654" s="1" t="s">
        <v>487</v>
      </c>
      <c r="AB654" s="49" t="str">
        <f>IFERROR(__xludf.DUMMYFUNCTION("""COMPUTED_VALUE"""),"renowned")</f>
        <v>renowned</v>
      </c>
      <c r="AC654" s="49"/>
      <c r="AD654" s="49" t="str">
        <f>IFERROR(__xludf.DUMMYFUNCTION("""COMPUTED_VALUE"""),"goth")</f>
        <v>goth</v>
      </c>
      <c r="AE654" s="49" t="str">
        <f>IFERROR(__xludf.DUMMYFUNCTION("""COMPUTED_VALUE"""),"identity")</f>
        <v>identity</v>
      </c>
      <c r="AF654" s="49" t="str">
        <f t="shared" si="4"/>
        <v>human,</v>
      </c>
      <c r="AG654" s="49"/>
      <c r="AH654" s="1" t="s">
        <v>827</v>
      </c>
      <c r="AI654" s="1" t="s">
        <v>1322</v>
      </c>
      <c r="AJ654" s="6" t="str">
        <f>IFERROR(__xludf.DUMMYFUNCTION("""COMPUTED_VALUE"""),"phone")</f>
        <v>phone</v>
      </c>
      <c r="AK654" s="49"/>
      <c r="AL654" s="49"/>
      <c r="AM654" s="49"/>
      <c r="AN654" s="52" t="str">
        <f t="shared" si="5"/>
        <v>our,</v>
      </c>
    </row>
    <row r="655">
      <c r="A655" s="51"/>
      <c r="B655" s="50" t="s">
        <v>3084</v>
      </c>
      <c r="C655" s="50" t="s">
        <v>6361</v>
      </c>
      <c r="D655" s="49" t="str">
        <f>IFERROR(__xludf.DUMMYFUNCTION("""COMPUTED_VALUE"""),"characteristic")</f>
        <v>characteristic</v>
      </c>
      <c r="E655" s="49"/>
      <c r="F655" s="49"/>
      <c r="G655" s="49"/>
      <c r="H655" s="54" t="str">
        <f t="shared" si="1"/>
        <v>badly,</v>
      </c>
      <c r="I655" s="50"/>
      <c r="J655" s="50" t="s">
        <v>3775</v>
      </c>
      <c r="K655" s="50" t="s">
        <v>2991</v>
      </c>
      <c r="L655" s="49" t="str">
        <f>IFERROR(__xludf.DUMMYFUNCTION("""COMPUTED_VALUE"""),"believe")</f>
        <v>believe</v>
      </c>
      <c r="M655" s="49"/>
      <c r="N655" s="49" t="str">
        <f>IFERROR(__xludf.DUMMYFUNCTION("""COMPUTED_VALUE"""),"barry")</f>
        <v>barry</v>
      </c>
      <c r="O655" s="49" t="str">
        <f>IFERROR(__xludf.DUMMYFUNCTION("""COMPUTED_VALUE"""),"corpus")</f>
        <v>corpus</v>
      </c>
      <c r="P655" s="49" t="str">
        <f t="shared" si="2"/>
        <v>rain,</v>
      </c>
      <c r="Q655" s="49"/>
      <c r="R655" s="50" t="s">
        <v>864</v>
      </c>
      <c r="S655" s="55" t="s">
        <v>2866</v>
      </c>
      <c r="T655" s="49" t="str">
        <f>IFERROR(__xludf.DUMMYFUNCTION("""COMPUTED_VALUE"""),"load")</f>
        <v>load</v>
      </c>
      <c r="U655" s="49"/>
      <c r="V655" s="49" t="str">
        <f>IFERROR(__xludf.DUMMYFUNCTION("""COMPUTED_VALUE"""),"orchestra")</f>
        <v>orchestra</v>
      </c>
      <c r="W655" s="49" t="str">
        <f>IFERROR(__xludf.DUMMYFUNCTION("""COMPUTED_VALUE"""),"experimentation")</f>
        <v>experimentation</v>
      </c>
      <c r="X655" s="49" t="str">
        <f t="shared" si="3"/>
        <v>tensions,</v>
      </c>
      <c r="Y655" s="49"/>
      <c r="Z655" s="1" t="s">
        <v>2100</v>
      </c>
      <c r="AA655" s="1" t="s">
        <v>2106</v>
      </c>
      <c r="AB655" s="49" t="str">
        <f>IFERROR(__xludf.DUMMYFUNCTION("""COMPUTED_VALUE"""),"celebration")</f>
        <v>celebration</v>
      </c>
      <c r="AC655" s="49"/>
      <c r="AD655" s="49" t="str">
        <f>IFERROR(__xludf.DUMMYFUNCTION("""COMPUTED_VALUE"""),"barry")</f>
        <v>barry</v>
      </c>
      <c r="AE655" s="49" t="str">
        <f>IFERROR(__xludf.DUMMYFUNCTION("""COMPUTED_VALUE"""),"corpus")</f>
        <v>corpus</v>
      </c>
      <c r="AF655" s="49" t="str">
        <f t="shared" si="4"/>
        <v>documentary,</v>
      </c>
      <c r="AG655" s="49"/>
      <c r="AH655" s="1" t="s">
        <v>3337</v>
      </c>
      <c r="AI655" s="1" t="s">
        <v>1327</v>
      </c>
      <c r="AJ655" s="6" t="str">
        <f>IFERROR(__xludf.DUMMYFUNCTION("""COMPUTED_VALUE"""),"culture")</f>
        <v>culture</v>
      </c>
      <c r="AK655" s="49"/>
      <c r="AL655" s="49"/>
      <c r="AM655" s="49"/>
      <c r="AN655" s="52" t="str">
        <f t="shared" si="5"/>
        <v>control,</v>
      </c>
    </row>
    <row r="656">
      <c r="A656" s="51"/>
      <c r="B656" s="50" t="s">
        <v>5232</v>
      </c>
      <c r="C656" s="50" t="s">
        <v>6362</v>
      </c>
      <c r="D656" s="49" t="str">
        <f>IFERROR(__xludf.DUMMYFUNCTION("""COMPUTED_VALUE"""),"honestly")</f>
        <v>honestly</v>
      </c>
      <c r="E656" s="49"/>
      <c r="F656" s="49"/>
      <c r="G656" s="49"/>
      <c r="H656" s="54" t="str">
        <f t="shared" si="1"/>
        <v>chaos,</v>
      </c>
      <c r="I656" s="50"/>
      <c r="J656" s="50" t="s">
        <v>2906</v>
      </c>
      <c r="K656" s="50" t="s">
        <v>2994</v>
      </c>
      <c r="L656" s="49" t="str">
        <f>IFERROR(__xludf.DUMMYFUNCTION("""COMPUTED_VALUE"""),"parody")</f>
        <v>parody</v>
      </c>
      <c r="M656" s="49"/>
      <c r="N656" s="49" t="str">
        <f>IFERROR(__xludf.DUMMYFUNCTION("""COMPUTED_VALUE"""),"technique")</f>
        <v>technique</v>
      </c>
      <c r="O656" s="49" t="str">
        <f>IFERROR(__xludf.DUMMYFUNCTION("""COMPUTED_VALUE"""),"constraints")</f>
        <v>constraints</v>
      </c>
      <c r="P656" s="49" t="str">
        <f t="shared" si="2"/>
        <v>whom,</v>
      </c>
      <c r="Q656" s="49"/>
      <c r="R656" s="50" t="s">
        <v>3494</v>
      </c>
      <c r="S656" s="55" t="s">
        <v>38</v>
      </c>
      <c r="T656" s="49" t="str">
        <f>IFERROR(__xludf.DUMMYFUNCTION("""COMPUTED_VALUE"""),"public")</f>
        <v>public</v>
      </c>
      <c r="U656" s="49"/>
      <c r="V656" s="49" t="str">
        <f>IFERROR(__xludf.DUMMYFUNCTION("""COMPUTED_VALUE"""),"cu")</f>
        <v>cu</v>
      </c>
      <c r="W656" s="49" t="str">
        <f>IFERROR(__xludf.DUMMYFUNCTION("""COMPUTED_VALUE"""),"improvisation")</f>
        <v>improvisation</v>
      </c>
      <c r="X656" s="49" t="str">
        <f t="shared" si="3"/>
        <v>ai,</v>
      </c>
      <c r="Y656" s="49"/>
      <c r="Z656" s="1" t="s">
        <v>2184</v>
      </c>
      <c r="AA656" s="1" t="s">
        <v>2992</v>
      </c>
      <c r="AB656" s="49" t="str">
        <f>IFERROR(__xludf.DUMMYFUNCTION("""COMPUTED_VALUE"""),"ages")</f>
        <v>ages</v>
      </c>
      <c r="AC656" s="49"/>
      <c r="AD656" s="49" t="str">
        <f>IFERROR(__xludf.DUMMYFUNCTION("""COMPUTED_VALUE"""),"technique")</f>
        <v>technique</v>
      </c>
      <c r="AE656" s="49" t="str">
        <f>IFERROR(__xludf.DUMMYFUNCTION("""COMPUTED_VALUE"""),"constraints")</f>
        <v>constraints</v>
      </c>
      <c r="AF656" s="49" t="str">
        <f t="shared" si="4"/>
        <v>happen,</v>
      </c>
      <c r="AG656" s="49"/>
      <c r="AH656" s="1" t="s">
        <v>137</v>
      </c>
      <c r="AI656" s="1" t="s">
        <v>843</v>
      </c>
      <c r="AJ656" s="6" t="str">
        <f>IFERROR(__xludf.DUMMYFUNCTION("""COMPUTED_VALUE"""),"ice")</f>
        <v>ice</v>
      </c>
      <c r="AK656" s="49"/>
      <c r="AL656" s="49"/>
      <c r="AM656" s="49"/>
      <c r="AN656" s="52" t="str">
        <f t="shared" si="5"/>
        <v>taken,</v>
      </c>
    </row>
    <row r="657">
      <c r="A657" s="51"/>
      <c r="B657" s="50" t="s">
        <v>1396</v>
      </c>
      <c r="C657" s="50" t="s">
        <v>2504</v>
      </c>
      <c r="D657" s="49" t="str">
        <f>IFERROR(__xludf.DUMMYFUNCTION("""COMPUTED_VALUE"""),"classical")</f>
        <v>classical</v>
      </c>
      <c r="E657" s="49"/>
      <c r="F657" s="49"/>
      <c r="G657" s="49"/>
      <c r="H657" s="54" t="str">
        <f t="shared" si="1"/>
        <v>use,</v>
      </c>
      <c r="I657" s="50"/>
      <c r="J657" s="50" t="s">
        <v>306</v>
      </c>
      <c r="K657" s="50" t="s">
        <v>358</v>
      </c>
      <c r="L657" s="49" t="str">
        <f>IFERROR(__xludf.DUMMYFUNCTION("""COMPUTED_VALUE"""),"odd")</f>
        <v>odd</v>
      </c>
      <c r="M657" s="49"/>
      <c r="N657" s="49" t="str">
        <f>IFERROR(__xludf.DUMMYFUNCTION("""COMPUTED_VALUE"""),"sucked")</f>
        <v>sucked</v>
      </c>
      <c r="O657" s="49" t="str">
        <f>IFERROR(__xludf.DUMMYFUNCTION("""COMPUTED_VALUE"""),"effect")</f>
        <v>effect</v>
      </c>
      <c r="P657" s="49" t="str">
        <f t="shared" si="2"/>
        <v>being,</v>
      </c>
      <c r="Q657" s="49"/>
      <c r="R657" s="50" t="s">
        <v>4007</v>
      </c>
      <c r="S657" s="55" t="s">
        <v>567</v>
      </c>
      <c r="T657" s="49" t="str">
        <f>IFERROR(__xludf.DUMMYFUNCTION("""COMPUTED_VALUE"""),"shakespeare")</f>
        <v>shakespeare</v>
      </c>
      <c r="U657" s="49"/>
      <c r="V657" s="49" t="str">
        <f>IFERROR(__xludf.DUMMYFUNCTION("""COMPUTED_VALUE"""),"ar")</f>
        <v>ar</v>
      </c>
      <c r="W657" s="49" t="str">
        <f>IFERROR(__xludf.DUMMYFUNCTION("""COMPUTED_VALUE"""),"angelina")</f>
        <v>angelina</v>
      </c>
      <c r="X657" s="49" t="str">
        <f t="shared" si="3"/>
        <v>condition,</v>
      </c>
      <c r="Y657" s="49"/>
      <c r="Z657" s="1" t="s">
        <v>5232</v>
      </c>
      <c r="AA657" s="1" t="s">
        <v>2995</v>
      </c>
      <c r="AB657" s="49" t="str">
        <f>IFERROR(__xludf.DUMMYFUNCTION("""COMPUTED_VALUE"""),"vampire")</f>
        <v>vampire</v>
      </c>
      <c r="AC657" s="49"/>
      <c r="AD657" s="49" t="str">
        <f>IFERROR(__xludf.DUMMYFUNCTION("""COMPUTED_VALUE"""),"sucked")</f>
        <v>sucked</v>
      </c>
      <c r="AE657" s="49" t="str">
        <f>IFERROR(__xludf.DUMMYFUNCTION("""COMPUTED_VALUE"""),"effect")</f>
        <v>effect</v>
      </c>
      <c r="AF657" s="49" t="str">
        <f t="shared" si="4"/>
        <v>chaos,</v>
      </c>
      <c r="AG657" s="49"/>
      <c r="AH657" s="1" t="s">
        <v>4209</v>
      </c>
      <c r="AI657" s="1" t="s">
        <v>1363</v>
      </c>
      <c r="AJ657" s="6" t="str">
        <f>IFERROR(__xludf.DUMMYFUNCTION("""COMPUTED_VALUE"""),"perhaps")</f>
        <v>perhaps</v>
      </c>
      <c r="AK657" s="49"/>
      <c r="AL657" s="49"/>
      <c r="AM657" s="49"/>
      <c r="AN657" s="52" t="str">
        <f t="shared" si="5"/>
        <v>america,</v>
      </c>
    </row>
    <row r="658">
      <c r="A658" s="51"/>
      <c r="B658" s="50" t="s">
        <v>1022</v>
      </c>
      <c r="C658" s="50" t="s">
        <v>1406</v>
      </c>
      <c r="D658" s="49" t="str">
        <f>IFERROR(__xludf.DUMMYFUNCTION("""COMPUTED_VALUE"""),"successful")</f>
        <v>successful</v>
      </c>
      <c r="E658" s="49"/>
      <c r="F658" s="49"/>
      <c r="G658" s="49"/>
      <c r="H658" s="54" t="str">
        <f t="shared" si="1"/>
        <v>white,</v>
      </c>
      <c r="I658" s="50"/>
      <c r="J658" s="50" t="s">
        <v>3000</v>
      </c>
      <c r="K658" s="50" t="s">
        <v>467</v>
      </c>
      <c r="L658" s="49" t="str">
        <f>IFERROR(__xludf.DUMMYFUNCTION("""COMPUTED_VALUE"""),"delicate")</f>
        <v>delicate</v>
      </c>
      <c r="M658" s="49"/>
      <c r="N658" s="49" t="str">
        <f>IFERROR(__xludf.DUMMYFUNCTION("""COMPUTED_VALUE"""),"muscle")</f>
        <v>muscle</v>
      </c>
      <c r="O658" s="49" t="str">
        <f>IFERROR(__xludf.DUMMYFUNCTION("""COMPUTED_VALUE"""),"cruelty")</f>
        <v>cruelty</v>
      </c>
      <c r="P658" s="49" t="str">
        <f t="shared" si="2"/>
        <v>somebody,</v>
      </c>
      <c r="Q658" s="49"/>
      <c r="R658" s="50" t="s">
        <v>6384</v>
      </c>
      <c r="S658" s="55" t="s">
        <v>2620</v>
      </c>
      <c r="T658" s="49" t="str">
        <f>IFERROR(__xludf.DUMMYFUNCTION("""COMPUTED_VALUE"""),"wisdom")</f>
        <v>wisdom</v>
      </c>
      <c r="U658" s="49"/>
      <c r="V658" s="49" t="str">
        <f>IFERROR(__xludf.DUMMYFUNCTION("""COMPUTED_VALUE"""),"conducted")</f>
        <v>conducted</v>
      </c>
      <c r="W658" s="49" t="str">
        <f>IFERROR(__xludf.DUMMYFUNCTION("""COMPUTED_VALUE"""),"manhattan")</f>
        <v>manhattan</v>
      </c>
      <c r="X658" s="49" t="str">
        <f t="shared" si="3"/>
        <v>slow,</v>
      </c>
      <c r="Y658" s="49"/>
      <c r="Z658" s="1" t="s">
        <v>3084</v>
      </c>
      <c r="AA658" s="1" t="s">
        <v>2999</v>
      </c>
      <c r="AB658" s="49" t="str">
        <f>IFERROR(__xludf.DUMMYFUNCTION("""COMPUTED_VALUE"""),"peculiar")</f>
        <v>peculiar</v>
      </c>
      <c r="AC658" s="49"/>
      <c r="AD658" s="49" t="str">
        <f>IFERROR(__xludf.DUMMYFUNCTION("""COMPUTED_VALUE"""),"muscle")</f>
        <v>muscle</v>
      </c>
      <c r="AE658" s="49" t="str">
        <f>IFERROR(__xludf.DUMMYFUNCTION("""COMPUTED_VALUE"""),"cruelty")</f>
        <v>cruelty</v>
      </c>
      <c r="AF658" s="49" t="str">
        <f t="shared" si="4"/>
        <v>badly,</v>
      </c>
      <c r="AG658" s="49"/>
      <c r="AH658" s="1" t="s">
        <v>2108</v>
      </c>
      <c r="AI658" s="1" t="s">
        <v>3877</v>
      </c>
      <c r="AJ658" s="6" t="str">
        <f>IFERROR(__xludf.DUMMYFUNCTION("""COMPUTED_VALUE"""),"cell")</f>
        <v>cell</v>
      </c>
      <c r="AK658" s="49"/>
      <c r="AL658" s="49"/>
      <c r="AM658" s="49"/>
      <c r="AN658" s="52" t="str">
        <f t="shared" si="5"/>
        <v>phone,</v>
      </c>
    </row>
    <row r="659">
      <c r="A659" s="51"/>
      <c r="B659" s="50" t="s">
        <v>752</v>
      </c>
      <c r="C659" s="50" t="s">
        <v>1462</v>
      </c>
      <c r="D659" s="49" t="str">
        <f>IFERROR(__xludf.DUMMYFUNCTION("""COMPUTED_VALUE"""),"levels")</f>
        <v>levels</v>
      </c>
      <c r="E659" s="49"/>
      <c r="F659" s="49"/>
      <c r="G659" s="49"/>
      <c r="H659" s="54" t="str">
        <f t="shared" si="1"/>
        <v>different,</v>
      </c>
      <c r="I659" s="50"/>
      <c r="J659" s="50" t="s">
        <v>133</v>
      </c>
      <c r="K659" s="50" t="s">
        <v>1848</v>
      </c>
      <c r="L659" s="49" t="str">
        <f>IFERROR(__xludf.DUMMYFUNCTION("""COMPUTED_VALUE"""),"expected")</f>
        <v>expected</v>
      </c>
      <c r="M659" s="49"/>
      <c r="N659" s="49" t="str">
        <f>IFERROR(__xludf.DUMMYFUNCTION("""COMPUTED_VALUE"""),"iconic")</f>
        <v>iconic</v>
      </c>
      <c r="O659" s="49" t="str">
        <f>IFERROR(__xludf.DUMMYFUNCTION("""COMPUTED_VALUE"""),"croatia")</f>
        <v>croatia</v>
      </c>
      <c r="P659" s="49" t="str">
        <f t="shared" si="2"/>
        <v>touching,</v>
      </c>
      <c r="Q659" s="49"/>
      <c r="R659" s="50" t="s">
        <v>3773</v>
      </c>
      <c r="S659" s="55" t="s">
        <v>1535</v>
      </c>
      <c r="T659" s="49" t="str">
        <f>IFERROR(__xludf.DUMMYFUNCTION("""COMPUTED_VALUE"""),"pot")</f>
        <v>pot</v>
      </c>
      <c r="U659" s="49"/>
      <c r="V659" s="49" t="str">
        <f>IFERROR(__xludf.DUMMYFUNCTION("""COMPUTED_VALUE"""),"variable")</f>
        <v>variable</v>
      </c>
      <c r="W659" s="49" t="str">
        <f>IFERROR(__xludf.DUMMYFUNCTION("""COMPUTED_VALUE"""),"skies")</f>
        <v>skies</v>
      </c>
      <c r="X659" s="49" t="str">
        <f t="shared" si="3"/>
        <v>monday,</v>
      </c>
      <c r="Y659" s="49"/>
      <c r="Z659" s="1" t="s">
        <v>2112</v>
      </c>
      <c r="AA659" s="1" t="s">
        <v>2110</v>
      </c>
      <c r="AB659" s="49" t="str">
        <f>IFERROR(__xludf.DUMMYFUNCTION("""COMPUTED_VALUE"""),"monsters")</f>
        <v>monsters</v>
      </c>
      <c r="AC659" s="49"/>
      <c r="AD659" s="49" t="str">
        <f>IFERROR(__xludf.DUMMYFUNCTION("""COMPUTED_VALUE"""),"iconic")</f>
        <v>iconic</v>
      </c>
      <c r="AE659" s="49" t="str">
        <f>IFERROR(__xludf.DUMMYFUNCTION("""COMPUTED_VALUE"""),"croatia")</f>
        <v>croatia</v>
      </c>
      <c r="AF659" s="49" t="str">
        <f t="shared" si="4"/>
        <v>possible,</v>
      </c>
      <c r="AG659" s="49"/>
      <c r="AH659" s="1" t="s">
        <v>1434</v>
      </c>
      <c r="AI659" s="1" t="s">
        <v>1333</v>
      </c>
      <c r="AJ659" s="6" t="str">
        <f>IFERROR(__xludf.DUMMYFUNCTION("""COMPUTED_VALUE"""),"williams")</f>
        <v>williams</v>
      </c>
      <c r="AK659" s="49"/>
      <c r="AL659" s="49"/>
      <c r="AM659" s="49"/>
      <c r="AN659" s="52" t="str">
        <f t="shared" si="5"/>
        <v>culture,</v>
      </c>
    </row>
    <row r="660">
      <c r="A660" s="51"/>
      <c r="B660" s="50" t="s">
        <v>365</v>
      </c>
      <c r="C660" s="50" t="s">
        <v>6353</v>
      </c>
      <c r="D660" s="49" t="str">
        <f>IFERROR(__xludf.DUMMYFUNCTION("""COMPUTED_VALUE"""),"seeing")</f>
        <v>seeing</v>
      </c>
      <c r="E660" s="49"/>
      <c r="F660" s="49"/>
      <c r="G660" s="49"/>
      <c r="H660" s="54" t="str">
        <f t="shared" si="1"/>
        <v>play,</v>
      </c>
      <c r="I660" s="50"/>
      <c r="J660" s="50" t="s">
        <v>660</v>
      </c>
      <c r="K660" s="50" t="s">
        <v>1788</v>
      </c>
      <c r="L660" s="49" t="str">
        <f>IFERROR(__xludf.DUMMYFUNCTION("""COMPUTED_VALUE"""),"exercise")</f>
        <v>exercise</v>
      </c>
      <c r="M660" s="49"/>
      <c r="N660" s="49" t="str">
        <f>IFERROR(__xludf.DUMMYFUNCTION("""COMPUTED_VALUE"""),"loaded")</f>
        <v>loaded</v>
      </c>
      <c r="O660" s="49" t="str">
        <f>IFERROR(__xludf.DUMMYFUNCTION("""COMPUTED_VALUE"""),"english")</f>
        <v>english</v>
      </c>
      <c r="P660" s="49" t="str">
        <f t="shared" si="2"/>
        <v>else,</v>
      </c>
      <c r="Q660" s="49"/>
      <c r="R660" s="50" t="s">
        <v>567</v>
      </c>
      <c r="S660" s="55" t="s">
        <v>2507</v>
      </c>
      <c r="T660" s="49" t="str">
        <f>IFERROR(__xludf.DUMMYFUNCTION("""COMPUTED_VALUE"""),"thick")</f>
        <v>thick</v>
      </c>
      <c r="U660" s="49"/>
      <c r="V660" s="49" t="str">
        <f>IFERROR(__xludf.DUMMYFUNCTION("""COMPUTED_VALUE"""),"heightened")</f>
        <v>heightened</v>
      </c>
      <c r="W660" s="49" t="str">
        <f>IFERROR(__xludf.DUMMYFUNCTION("""COMPUTED_VALUE"""),"firing")</f>
        <v>firing</v>
      </c>
      <c r="X660" s="49" t="str">
        <f t="shared" si="3"/>
        <v>ambitious,</v>
      </c>
      <c r="Y660" s="49"/>
      <c r="Z660" s="1" t="s">
        <v>6398</v>
      </c>
      <c r="AA660" s="1" t="s">
        <v>3005</v>
      </c>
      <c r="AB660" s="49" t="str">
        <f>IFERROR(__xludf.DUMMYFUNCTION("""COMPUTED_VALUE"""),"memorable")</f>
        <v>memorable</v>
      </c>
      <c r="AC660" s="49"/>
      <c r="AD660" s="49" t="str">
        <f>IFERROR(__xludf.DUMMYFUNCTION("""COMPUTED_VALUE"""),"loaded")</f>
        <v>loaded</v>
      </c>
      <c r="AE660" s="49" t="str">
        <f>IFERROR(__xludf.DUMMYFUNCTION("""COMPUTED_VALUE"""),"english")</f>
        <v>english</v>
      </c>
      <c r="AF660" s="49" t="str">
        <f t="shared" si="4"/>
        <v>future,</v>
      </c>
      <c r="AG660" s="49"/>
      <c r="AH660" s="1" t="s">
        <v>1867</v>
      </c>
      <c r="AI660" s="1" t="s">
        <v>6363</v>
      </c>
      <c r="AJ660" s="6" t="str">
        <f>IFERROR(__xludf.DUMMYFUNCTION("""COMPUTED_VALUE"""),"remote")</f>
        <v>remote</v>
      </c>
      <c r="AK660" s="49"/>
      <c r="AL660" s="49"/>
      <c r="AM660" s="49"/>
      <c r="AN660" s="52" t="str">
        <f t="shared" si="5"/>
        <v>ice,</v>
      </c>
    </row>
    <row r="661">
      <c r="A661" s="51"/>
      <c r="B661" s="50" t="s">
        <v>429</v>
      </c>
      <c r="C661" s="50" t="s">
        <v>831</v>
      </c>
      <c r="D661" s="49" t="str">
        <f>IFERROR(__xludf.DUMMYFUNCTION("""COMPUTED_VALUE"""),"moving")</f>
        <v>moving</v>
      </c>
      <c r="E661" s="49"/>
      <c r="F661" s="49"/>
      <c r="G661" s="49"/>
      <c r="H661" s="54" t="str">
        <f t="shared" si="1"/>
        <v>tell,</v>
      </c>
      <c r="I661" s="50"/>
      <c r="J661" s="50" t="s">
        <v>6939</v>
      </c>
      <c r="K661" s="50" t="s">
        <v>1796</v>
      </c>
      <c r="L661" s="49" t="str">
        <f>IFERROR(__xludf.DUMMYFUNCTION("""COMPUTED_VALUE"""),"bodies")</f>
        <v>bodies</v>
      </c>
      <c r="M661" s="49"/>
      <c r="N661" s="49" t="str">
        <f>IFERROR(__xludf.DUMMYFUNCTION("""COMPUTED_VALUE"""),"machines")</f>
        <v>machines</v>
      </c>
      <c r="O661" s="49" t="str">
        <f>IFERROR(__xludf.DUMMYFUNCTION("""COMPUTED_VALUE"""),"randall")</f>
        <v>randall</v>
      </c>
      <c r="P661" s="49" t="str">
        <f t="shared" si="2"/>
        <v>gross,</v>
      </c>
      <c r="Q661" s="49"/>
      <c r="R661" s="50" t="s">
        <v>913</v>
      </c>
      <c r="S661" s="55" t="s">
        <v>2303</v>
      </c>
      <c r="T661" s="49" t="str">
        <f>IFERROR(__xludf.DUMMYFUNCTION("""COMPUTED_VALUE"""),"falling")</f>
        <v>falling</v>
      </c>
      <c r="U661" s="49"/>
      <c r="V661" s="49" t="str">
        <f>IFERROR(__xludf.DUMMYFUNCTION("""COMPUTED_VALUE"""),"graduated")</f>
        <v>graduated</v>
      </c>
      <c r="W661" s="49" t="str">
        <f>IFERROR(__xludf.DUMMYFUNCTION("""COMPUTED_VALUE"""),"testimony")</f>
        <v>testimony</v>
      </c>
      <c r="X661" s="49" t="str">
        <f t="shared" si="3"/>
        <v>tight,</v>
      </c>
      <c r="Y661" s="49"/>
      <c r="Z661" s="1" t="s">
        <v>4912</v>
      </c>
      <c r="AA661" s="1" t="s">
        <v>2114</v>
      </c>
      <c r="AB661" s="49" t="str">
        <f>IFERROR(__xludf.DUMMYFUNCTION("""COMPUTED_VALUE"""),"failure")</f>
        <v>failure</v>
      </c>
      <c r="AC661" s="49"/>
      <c r="AD661" s="49" t="str">
        <f>IFERROR(__xludf.DUMMYFUNCTION("""COMPUTED_VALUE"""),"machines")</f>
        <v>machines</v>
      </c>
      <c r="AE661" s="49" t="str">
        <f>IFERROR(__xludf.DUMMYFUNCTION("""COMPUTED_VALUE"""),"randall")</f>
        <v>randall</v>
      </c>
      <c r="AF661" s="49" t="str">
        <f t="shared" si="4"/>
        <v>race,</v>
      </c>
      <c r="AG661" s="49"/>
      <c r="AH661" s="1" t="s">
        <v>2196</v>
      </c>
      <c r="AI661" s="1" t="s">
        <v>1586</v>
      </c>
      <c r="AJ661" s="6" t="str">
        <f>IFERROR(__xludf.DUMMYFUNCTION("""COMPUTED_VALUE"""),"loves")</f>
        <v>loves</v>
      </c>
      <c r="AK661" s="49"/>
      <c r="AL661" s="49"/>
      <c r="AM661" s="49"/>
      <c r="AN661" s="52" t="str">
        <f t="shared" si="5"/>
        <v>perhaps,</v>
      </c>
    </row>
    <row r="662">
      <c r="A662" s="51"/>
      <c r="B662" s="50" t="s">
        <v>2396</v>
      </c>
      <c r="C662" s="50" t="s">
        <v>2509</v>
      </c>
      <c r="D662" s="49" t="str">
        <f>IFERROR(__xludf.DUMMYFUNCTION("""COMPUTED_VALUE"""),"intelligent")</f>
        <v>intelligent</v>
      </c>
      <c r="E662" s="49"/>
      <c r="F662" s="49"/>
      <c r="G662" s="49"/>
      <c r="H662" s="54" t="str">
        <f t="shared" si="1"/>
        <v>using,</v>
      </c>
      <c r="I662" s="50"/>
      <c r="J662" s="50" t="s">
        <v>2317</v>
      </c>
      <c r="K662" s="50" t="s">
        <v>1239</v>
      </c>
      <c r="L662" s="49" t="str">
        <f>IFERROR(__xludf.DUMMYFUNCTION("""COMPUTED_VALUE"""),"beauty")</f>
        <v>beauty</v>
      </c>
      <c r="M662" s="49"/>
      <c r="N662" s="49" t="str">
        <f>IFERROR(__xludf.DUMMYFUNCTION("""COMPUTED_VALUE"""),"worn")</f>
        <v>worn</v>
      </c>
      <c r="O662" s="49" t="str">
        <f>IFERROR(__xludf.DUMMYFUNCTION("""COMPUTED_VALUE"""),"dong")</f>
        <v>dong</v>
      </c>
      <c r="P662" s="49" t="str">
        <f t="shared" si="2"/>
        <v>inspired,</v>
      </c>
      <c r="Q662" s="49"/>
      <c r="R662" s="50" t="s">
        <v>808</v>
      </c>
      <c r="S662" s="55" t="s">
        <v>291</v>
      </c>
      <c r="T662" s="49" t="str">
        <f>IFERROR(__xludf.DUMMYFUNCTION("""COMPUTED_VALUE"""),"begin")</f>
        <v>begin</v>
      </c>
      <c r="U662" s="49"/>
      <c r="V662" s="49" t="str">
        <f>IFERROR(__xludf.DUMMYFUNCTION("""COMPUTED_VALUE"""),"cum")</f>
        <v>cum</v>
      </c>
      <c r="W662" s="49" t="str">
        <f>IFERROR(__xludf.DUMMYFUNCTION("""COMPUTED_VALUE"""),"witnesses")</f>
        <v>witnesses</v>
      </c>
      <c r="X662" s="49" t="str">
        <f t="shared" si="3"/>
        <v>ensemble,</v>
      </c>
      <c r="Y662" s="49"/>
      <c r="Z662" s="1" t="s">
        <v>3305</v>
      </c>
      <c r="AA662" s="1" t="s">
        <v>3010</v>
      </c>
      <c r="AB662" s="49" t="str">
        <f>IFERROR(__xludf.DUMMYFUNCTION("""COMPUTED_VALUE"""),"service")</f>
        <v>service</v>
      </c>
      <c r="AC662" s="49"/>
      <c r="AD662" s="49" t="str">
        <f>IFERROR(__xludf.DUMMYFUNCTION("""COMPUTED_VALUE"""),"worn")</f>
        <v>worn</v>
      </c>
      <c r="AE662" s="49" t="str">
        <f>IFERROR(__xludf.DUMMYFUNCTION("""COMPUTED_VALUE"""),"dong")</f>
        <v>dong</v>
      </c>
      <c r="AF662" s="49" t="str">
        <f t="shared" si="4"/>
        <v>events,</v>
      </c>
      <c r="AG662" s="49"/>
      <c r="AH662" s="1" t="s">
        <v>1823</v>
      </c>
      <c r="AI662" s="1" t="s">
        <v>2159</v>
      </c>
      <c r="AJ662" s="6" t="str">
        <f>IFERROR(__xludf.DUMMYFUNCTION("""COMPUTED_VALUE"""),"tough")</f>
        <v>tough</v>
      </c>
      <c r="AK662" s="49"/>
      <c r="AL662" s="49"/>
      <c r="AM662" s="49"/>
      <c r="AN662" s="52" t="str">
        <f t="shared" si="5"/>
        <v>cell,</v>
      </c>
    </row>
    <row r="663">
      <c r="A663" s="51"/>
      <c r="B663" s="50" t="s">
        <v>4678</v>
      </c>
      <c r="C663" s="50" t="s">
        <v>6364</v>
      </c>
      <c r="D663" s="49" t="str">
        <f>IFERROR(__xludf.DUMMYFUNCTION("""COMPUTED_VALUE"""),"appears")</f>
        <v>appears</v>
      </c>
      <c r="E663" s="49"/>
      <c r="F663" s="49"/>
      <c r="G663" s="49"/>
      <c r="H663" s="54" t="str">
        <f t="shared" si="1"/>
        <v>society,</v>
      </c>
      <c r="I663" s="50"/>
      <c r="J663" s="50" t="s">
        <v>6063</v>
      </c>
      <c r="K663" s="50" t="s">
        <v>1853</v>
      </c>
      <c r="L663" s="49" t="str">
        <f>IFERROR(__xludf.DUMMYFUNCTION("""COMPUTED_VALUE"""),"offering")</f>
        <v>offering</v>
      </c>
      <c r="M663" s="49"/>
      <c r="N663" s="49" t="str">
        <f>IFERROR(__xludf.DUMMYFUNCTION("""COMPUTED_VALUE"""),"pg")</f>
        <v>pg</v>
      </c>
      <c r="O663" s="49" t="str">
        <f>IFERROR(__xludf.DUMMYFUNCTION("""COMPUTED_VALUE"""),"eyre")</f>
        <v>eyre</v>
      </c>
      <c r="P663" s="49" t="str">
        <f t="shared" si="2"/>
        <v>undoubtedly,</v>
      </c>
      <c r="Q663" s="49"/>
      <c r="R663" s="50" t="s">
        <v>32</v>
      </c>
      <c r="S663" s="55" t="s">
        <v>580</v>
      </c>
      <c r="T663" s="49" t="str">
        <f>IFERROR(__xludf.DUMMYFUNCTION("""COMPUTED_VALUE"""),"emerge")</f>
        <v>emerge</v>
      </c>
      <c r="U663" s="49"/>
      <c r="V663" s="49" t="str">
        <f>IFERROR(__xludf.DUMMYFUNCTION("""COMPUTED_VALUE"""),"authority")</f>
        <v>authority</v>
      </c>
      <c r="W663" s="49" t="str">
        <f>IFERROR(__xludf.DUMMYFUNCTION("""COMPUTED_VALUE"""),"centuries")</f>
        <v>centuries</v>
      </c>
      <c r="X663" s="49" t="str">
        <f t="shared" si="3"/>
        <v>wit,</v>
      </c>
      <c r="Y663" s="49"/>
      <c r="Z663" s="1" t="s">
        <v>1676</v>
      </c>
      <c r="AA663" s="1" t="s">
        <v>3014</v>
      </c>
      <c r="AB663" s="49" t="str">
        <f>IFERROR(__xludf.DUMMYFUNCTION("""COMPUTED_VALUE"""),"immensely")</f>
        <v>immensely</v>
      </c>
      <c r="AC663" s="49"/>
      <c r="AD663" s="49" t="str">
        <f>IFERROR(__xludf.DUMMYFUNCTION("""COMPUTED_VALUE"""),"pg")</f>
        <v>pg</v>
      </c>
      <c r="AE663" s="49" t="str">
        <f>IFERROR(__xludf.DUMMYFUNCTION("""COMPUTED_VALUE"""),"eyre")</f>
        <v>eyre</v>
      </c>
      <c r="AF663" s="49" t="str">
        <f t="shared" si="4"/>
        <v>cause,</v>
      </c>
      <c r="AG663" s="49"/>
      <c r="AH663" s="1" t="s">
        <v>4696</v>
      </c>
      <c r="AI663" s="1" t="s">
        <v>2163</v>
      </c>
      <c r="AJ663" s="6">
        <f>IFERROR(__xludf.DUMMYFUNCTION("""COMPUTED_VALUE"""),1.0)</f>
        <v>1</v>
      </c>
      <c r="AK663" s="49"/>
      <c r="AL663" s="49"/>
      <c r="AM663" s="49"/>
      <c r="AN663" s="52" t="str">
        <f t="shared" si="5"/>
        <v>williams,</v>
      </c>
    </row>
    <row r="664">
      <c r="A664" s="51"/>
      <c r="B664" s="50" t="s">
        <v>81</v>
      </c>
      <c r="C664" s="50" t="s">
        <v>2233</v>
      </c>
      <c r="D664" s="49" t="str">
        <f>IFERROR(__xludf.DUMMYFUNCTION("""COMPUTED_VALUE"""),"chapter")</f>
        <v>chapter</v>
      </c>
      <c r="E664" s="49"/>
      <c r="F664" s="49"/>
      <c r="G664" s="49"/>
      <c r="H664" s="54" t="str">
        <f t="shared" si="1"/>
        <v>past,</v>
      </c>
      <c r="I664" s="50"/>
      <c r="J664" s="50" t="s">
        <v>4045</v>
      </c>
      <c r="K664" s="50" t="s">
        <v>217</v>
      </c>
      <c r="L664" s="49" t="str">
        <f>IFERROR(__xludf.DUMMYFUNCTION("""COMPUTED_VALUE"""),"eastern")</f>
        <v>eastern</v>
      </c>
      <c r="M664" s="49"/>
      <c r="N664" s="49" t="str">
        <f>IFERROR(__xludf.DUMMYFUNCTION("""COMPUTED_VALUE"""),"marginal")</f>
        <v>marginal</v>
      </c>
      <c r="O664" s="49" t="str">
        <f>IFERROR(__xludf.DUMMYFUNCTION("""COMPUTED_VALUE"""),"newcomer")</f>
        <v>newcomer</v>
      </c>
      <c r="P664" s="49" t="str">
        <f t="shared" si="2"/>
        <v>lady,</v>
      </c>
      <c r="Q664" s="49"/>
      <c r="R664" s="50" t="s">
        <v>4620</v>
      </c>
      <c r="S664" s="55" t="s">
        <v>2458</v>
      </c>
      <c r="T664" s="49" t="str">
        <f>IFERROR(__xludf.DUMMYFUNCTION("""COMPUTED_VALUE"""),"blow")</f>
        <v>blow</v>
      </c>
      <c r="U664" s="49"/>
      <c r="V664" s="49" t="str">
        <f>IFERROR(__xludf.DUMMYFUNCTION("""COMPUTED_VALUE"""),"practiced")</f>
        <v>practiced</v>
      </c>
      <c r="W664" s="49" t="str">
        <f>IFERROR(__xludf.DUMMYFUNCTION("""COMPUTED_VALUE"""),"truths")</f>
        <v>truths</v>
      </c>
      <c r="X664" s="49" t="str">
        <f t="shared" si="3"/>
        <v>behavior,</v>
      </c>
      <c r="Y664" s="49"/>
      <c r="Z664" s="1" t="s">
        <v>1005</v>
      </c>
      <c r="AA664" s="1" t="s">
        <v>2100</v>
      </c>
      <c r="AB664" s="49" t="str">
        <f>IFERROR(__xludf.DUMMYFUNCTION("""COMPUTED_VALUE"""),"predecessor")</f>
        <v>predecessor</v>
      </c>
      <c r="AC664" s="49"/>
      <c r="AD664" s="49" t="str">
        <f>IFERROR(__xludf.DUMMYFUNCTION("""COMPUTED_VALUE"""),"marginal")</f>
        <v>marginal</v>
      </c>
      <c r="AE664" s="49" t="str">
        <f>IFERROR(__xludf.DUMMYFUNCTION("""COMPUTED_VALUE"""),"newcomer")</f>
        <v>newcomer</v>
      </c>
      <c r="AF664" s="49" t="str">
        <f t="shared" si="4"/>
        <v>line,</v>
      </c>
      <c r="AG664" s="49"/>
      <c r="AH664" s="1" t="s">
        <v>7282</v>
      </c>
      <c r="AI664" s="1" t="s">
        <v>2386</v>
      </c>
      <c r="AJ664" s="6">
        <f>IFERROR(__xludf.DUMMYFUNCTION("""COMPUTED_VALUE"""),3.0)</f>
        <v>3</v>
      </c>
      <c r="AK664" s="49"/>
      <c r="AL664" s="49"/>
      <c r="AM664" s="49"/>
      <c r="AN664" s="52" t="str">
        <f t="shared" si="5"/>
        <v>trial,</v>
      </c>
    </row>
    <row r="665">
      <c r="A665" s="51"/>
      <c r="B665" s="50" t="s">
        <v>5013</v>
      </c>
      <c r="C665" s="50" t="s">
        <v>1411</v>
      </c>
      <c r="D665" s="49" t="str">
        <f>IFERROR(__xludf.DUMMYFUNCTION("""COMPUTED_VALUE"""),"irish")</f>
        <v>irish</v>
      </c>
      <c r="E665" s="49"/>
      <c r="F665" s="49"/>
      <c r="G665" s="49"/>
      <c r="H665" s="54" t="str">
        <f t="shared" si="1"/>
        <v>considered,</v>
      </c>
      <c r="I665" s="50"/>
      <c r="J665" s="50" t="s">
        <v>2648</v>
      </c>
      <c r="K665" s="50" t="s">
        <v>1861</v>
      </c>
      <c r="L665" s="49" t="str">
        <f>IFERROR(__xludf.DUMMYFUNCTION("""COMPUTED_VALUE"""),"slowly")</f>
        <v>slowly</v>
      </c>
      <c r="M665" s="49"/>
      <c r="N665" s="49" t="str">
        <f>IFERROR(__xludf.DUMMYFUNCTION("""COMPUTED_VALUE"""),"na")</f>
        <v>na</v>
      </c>
      <c r="O665" s="49" t="str">
        <f>IFERROR(__xludf.DUMMYFUNCTION("""COMPUTED_VALUE"""),"vulnerability")</f>
        <v>vulnerability</v>
      </c>
      <c r="P665" s="49" t="str">
        <f t="shared" si="2"/>
        <v>belongs,</v>
      </c>
      <c r="Q665" s="49"/>
      <c r="R665" s="50" t="s">
        <v>3790</v>
      </c>
      <c r="S665" s="55" t="s">
        <v>2645</v>
      </c>
      <c r="T665" s="49" t="str">
        <f>IFERROR(__xludf.DUMMYFUNCTION("""COMPUTED_VALUE"""),"beginning")</f>
        <v>beginning</v>
      </c>
      <c r="U665" s="49"/>
      <c r="V665" s="49" t="str">
        <f>IFERROR(__xludf.DUMMYFUNCTION("""COMPUTED_VALUE"""),"eng")</f>
        <v>eng</v>
      </c>
      <c r="W665" s="49" t="str">
        <f>IFERROR(__xludf.DUMMYFUNCTION("""COMPUTED_VALUE"""),"stages")</f>
        <v>stages</v>
      </c>
      <c r="X665" s="49" t="str">
        <f t="shared" si="3"/>
        <v>wreck,</v>
      </c>
      <c r="Y665" s="49"/>
      <c r="Z665" s="1" t="s">
        <v>365</v>
      </c>
      <c r="AA665" s="1" t="s">
        <v>2118</v>
      </c>
      <c r="AB665" s="49" t="str">
        <f>IFERROR(__xludf.DUMMYFUNCTION("""COMPUTED_VALUE"""),"encouraging")</f>
        <v>encouraging</v>
      </c>
      <c r="AC665" s="49"/>
      <c r="AD665" s="49" t="str">
        <f>IFERROR(__xludf.DUMMYFUNCTION("""COMPUTED_VALUE"""),"na")</f>
        <v>na</v>
      </c>
      <c r="AE665" s="49" t="str">
        <f>IFERROR(__xludf.DUMMYFUNCTION("""COMPUTED_VALUE"""),"vulnerability")</f>
        <v>vulnerability</v>
      </c>
      <c r="AF665" s="49" t="str">
        <f t="shared" si="4"/>
        <v>play,</v>
      </c>
      <c r="AG665" s="49"/>
      <c r="AH665" s="1" t="s">
        <v>5440</v>
      </c>
      <c r="AI665" s="1" t="s">
        <v>2167</v>
      </c>
      <c r="AJ665" s="6" t="str">
        <f>IFERROR(__xludf.DUMMYFUNCTION("""COMPUTED_VALUE"""),"each")</f>
        <v>each</v>
      </c>
      <c r="AK665" s="49"/>
      <c r="AL665" s="49"/>
      <c r="AM665" s="49"/>
      <c r="AN665" s="52" t="str">
        <f t="shared" si="5"/>
        <v>remote,</v>
      </c>
    </row>
    <row r="666">
      <c r="A666" s="51"/>
      <c r="B666" s="50" t="s">
        <v>2213</v>
      </c>
      <c r="C666" s="50" t="s">
        <v>853</v>
      </c>
      <c r="D666" s="49" t="str">
        <f>IFERROR(__xludf.DUMMYFUNCTION("""COMPUTED_VALUE"""),"approach")</f>
        <v>approach</v>
      </c>
      <c r="E666" s="49"/>
      <c r="F666" s="49"/>
      <c r="G666" s="49"/>
      <c r="H666" s="54" t="str">
        <f t="shared" si="1"/>
        <v>sports,</v>
      </c>
      <c r="I666" s="50"/>
      <c r="J666" s="50" t="s">
        <v>557</v>
      </c>
      <c r="K666" s="50" t="s">
        <v>3026</v>
      </c>
      <c r="L666" s="49" t="str">
        <f>IFERROR(__xludf.DUMMYFUNCTION("""COMPUTED_VALUE"""),"deeper")</f>
        <v>deeper</v>
      </c>
      <c r="M666" s="49"/>
      <c r="N666" s="49" t="str">
        <f>IFERROR(__xludf.DUMMYFUNCTION("""COMPUTED_VALUE"""),"longer")</f>
        <v>longer</v>
      </c>
      <c r="O666" s="49" t="str">
        <f>IFERROR(__xludf.DUMMYFUNCTION("""COMPUTED_VALUE"""),"fills")</f>
        <v>fills</v>
      </c>
      <c r="P666" s="49" t="str">
        <f t="shared" si="2"/>
        <v>heroine,</v>
      </c>
      <c r="Q666" s="49"/>
      <c r="R666" s="50" t="s">
        <v>544</v>
      </c>
      <c r="S666" s="55" t="s">
        <v>1567</v>
      </c>
      <c r="T666" s="49" t="str">
        <f>IFERROR(__xludf.DUMMYFUNCTION("""COMPUTED_VALUE"""),"tens")</f>
        <v>tens</v>
      </c>
      <c r="U666" s="49"/>
      <c r="V666" s="49" t="str">
        <f>IFERROR(__xludf.DUMMYFUNCTION("""COMPUTED_VALUE"""),"ang")</f>
        <v>ang</v>
      </c>
      <c r="W666" s="49" t="str">
        <f>IFERROR(__xludf.DUMMYFUNCTION("""COMPUTED_VALUE"""),"swift")</f>
        <v>swift</v>
      </c>
      <c r="X666" s="49" t="str">
        <f t="shared" si="3"/>
        <v>real,</v>
      </c>
      <c r="Y666" s="49"/>
      <c r="Z666" s="1" t="s">
        <v>1022</v>
      </c>
      <c r="AA666" s="1" t="s">
        <v>588</v>
      </c>
      <c r="AB666" s="49" t="str">
        <f>IFERROR(__xludf.DUMMYFUNCTION("""COMPUTED_VALUE"""),"intelligent")</f>
        <v>intelligent</v>
      </c>
      <c r="AC666" s="49"/>
      <c r="AD666" s="49" t="str">
        <f>IFERROR(__xludf.DUMMYFUNCTION("""COMPUTED_VALUE"""),"longer")</f>
        <v>longer</v>
      </c>
      <c r="AE666" s="49" t="str">
        <f>IFERROR(__xludf.DUMMYFUNCTION("""COMPUTED_VALUE"""),"fills")</f>
        <v>fills</v>
      </c>
      <c r="AF666" s="49" t="str">
        <f t="shared" si="4"/>
        <v>white,</v>
      </c>
      <c r="AG666" s="49"/>
      <c r="AH666" s="1" t="s">
        <v>6274</v>
      </c>
      <c r="AI666" s="1" t="s">
        <v>2176</v>
      </c>
      <c r="AJ666" s="6" t="str">
        <f>IFERROR(__xludf.DUMMYFUNCTION("""COMPUTED_VALUE"""),"never")</f>
        <v>never</v>
      </c>
      <c r="AK666" s="49"/>
      <c r="AL666" s="49"/>
      <c r="AM666" s="49"/>
      <c r="AN666" s="52" t="str">
        <f t="shared" si="5"/>
        <v>loves,</v>
      </c>
    </row>
    <row r="667">
      <c r="A667" s="51"/>
      <c r="B667" s="50" t="s">
        <v>2856</v>
      </c>
      <c r="C667" s="50" t="s">
        <v>1227</v>
      </c>
      <c r="D667" s="49" t="str">
        <f>IFERROR(__xludf.DUMMYFUNCTION("""COMPUTED_VALUE"""),"poet")</f>
        <v>poet</v>
      </c>
      <c r="E667" s="49"/>
      <c r="F667" s="49"/>
      <c r="G667" s="49"/>
      <c r="H667" s="54" t="str">
        <f t="shared" si="1"/>
        <v>collection,</v>
      </c>
      <c r="I667" s="50"/>
      <c r="J667" s="50" t="s">
        <v>791</v>
      </c>
      <c r="K667" s="50" t="s">
        <v>3029</v>
      </c>
      <c r="L667" s="49" t="str">
        <f>IFERROR(__xludf.DUMMYFUNCTION("""COMPUTED_VALUE"""),"searching")</f>
        <v>searching</v>
      </c>
      <c r="M667" s="49"/>
      <c r="N667" s="49" t="str">
        <f>IFERROR(__xludf.DUMMYFUNCTION("""COMPUTED_VALUE"""),"blend")</f>
        <v>blend</v>
      </c>
      <c r="O667" s="49" t="str">
        <f>IFERROR(__xludf.DUMMYFUNCTION("""COMPUTED_VALUE"""),"sack")</f>
        <v>sack</v>
      </c>
      <c r="P667" s="49" t="str">
        <f t="shared" si="2"/>
        <v>quality,</v>
      </c>
      <c r="Q667" s="49"/>
      <c r="R667" s="50" t="s">
        <v>5403</v>
      </c>
      <c r="S667" s="55" t="s">
        <v>2328</v>
      </c>
      <c r="T667" s="49" t="str">
        <f>IFERROR(__xludf.DUMMYFUNCTION("""COMPUTED_VALUE"""),"contenders")</f>
        <v>contenders</v>
      </c>
      <c r="U667" s="49"/>
      <c r="V667" s="49" t="str">
        <f>IFERROR(__xludf.DUMMYFUNCTION("""COMPUTED_VALUE"""),"precise")</f>
        <v>precise</v>
      </c>
      <c r="W667" s="49" t="str">
        <f>IFERROR(__xludf.DUMMYFUNCTION("""COMPUTED_VALUE"""),"remaining")</f>
        <v>remaining</v>
      </c>
      <c r="X667" s="49" t="str">
        <f t="shared" si="3"/>
        <v>golden,</v>
      </c>
      <c r="Y667" s="49"/>
      <c r="Z667" s="1" t="s">
        <v>3442</v>
      </c>
      <c r="AA667" s="1" t="s">
        <v>3027</v>
      </c>
      <c r="AB667" s="49" t="str">
        <f>IFERROR(__xludf.DUMMYFUNCTION("""COMPUTED_VALUE"""),"witty")</f>
        <v>witty</v>
      </c>
      <c r="AC667" s="49"/>
      <c r="AD667" s="49" t="str">
        <f>IFERROR(__xludf.DUMMYFUNCTION("""COMPUTED_VALUE"""),"blend")</f>
        <v>blend</v>
      </c>
      <c r="AE667" s="49" t="str">
        <f>IFERROR(__xludf.DUMMYFUNCTION("""COMPUTED_VALUE"""),"sack")</f>
        <v>sack</v>
      </c>
      <c r="AF667" s="49" t="str">
        <f t="shared" si="4"/>
        <v>bone,</v>
      </c>
      <c r="AG667" s="49"/>
      <c r="AH667" s="1" t="s">
        <v>6781</v>
      </c>
      <c r="AI667" s="1" t="s">
        <v>6354</v>
      </c>
      <c r="AJ667" s="6" t="str">
        <f>IFERROR(__xludf.DUMMYFUNCTION("""COMPUTED_VALUE"""),"own")</f>
        <v>own</v>
      </c>
      <c r="AK667" s="49"/>
      <c r="AL667" s="49"/>
      <c r="AM667" s="49"/>
      <c r="AN667" s="52" t="str">
        <f t="shared" si="5"/>
        <v>tough,</v>
      </c>
    </row>
    <row r="668">
      <c r="A668" s="51"/>
      <c r="B668" s="50" t="s">
        <v>2770</v>
      </c>
      <c r="C668" s="50" t="s">
        <v>2528</v>
      </c>
      <c r="D668" s="49" t="str">
        <f>IFERROR(__xludf.DUMMYFUNCTION("""COMPUTED_VALUE"""),"celebrated")</f>
        <v>celebrated</v>
      </c>
      <c r="E668" s="49"/>
      <c r="F668" s="49"/>
      <c r="G668" s="49"/>
      <c r="H668" s="54" t="str">
        <f t="shared" si="1"/>
        <v>structure,</v>
      </c>
      <c r="I668" s="50"/>
      <c r="J668" s="50" t="s">
        <v>3549</v>
      </c>
      <c r="K668" s="50" t="s">
        <v>735</v>
      </c>
      <c r="L668" s="49" t="str">
        <f>IFERROR(__xludf.DUMMYFUNCTION("""COMPUTED_VALUE"""),"belt")</f>
        <v>belt</v>
      </c>
      <c r="M668" s="49"/>
      <c r="N668" s="49" t="str">
        <f>IFERROR(__xludf.DUMMYFUNCTION("""COMPUTED_VALUE"""),"finest")</f>
        <v>finest</v>
      </c>
      <c r="O668" s="49" t="str">
        <f>IFERROR(__xludf.DUMMYFUNCTION("""COMPUTED_VALUE"""),"dependent")</f>
        <v>dependent</v>
      </c>
      <c r="P668" s="49" t="str">
        <f t="shared" si="2"/>
        <v>enthusiasm,</v>
      </c>
      <c r="Q668" s="49"/>
      <c r="R668" s="50" t="s">
        <v>2620</v>
      </c>
      <c r="S668" s="55" t="s">
        <v>2661</v>
      </c>
      <c r="T668" s="49" t="str">
        <f>IFERROR(__xludf.DUMMYFUNCTION("""COMPUTED_VALUE"""),"directorial")</f>
        <v>directorial</v>
      </c>
      <c r="U668" s="49"/>
      <c r="V668" s="49" t="str">
        <f>IFERROR(__xludf.DUMMYFUNCTION("""COMPUTED_VALUE"""),"mo")</f>
        <v>mo</v>
      </c>
      <c r="W668" s="49" t="str">
        <f>IFERROR(__xludf.DUMMYFUNCTION("""COMPUTED_VALUE"""),"paints")</f>
        <v>paints</v>
      </c>
      <c r="X668" s="49" t="str">
        <f t="shared" si="3"/>
        <v>sister,</v>
      </c>
      <c r="Y668" s="49"/>
      <c r="Z668" s="1" t="s">
        <v>429</v>
      </c>
      <c r="AA668" s="1" t="s">
        <v>494</v>
      </c>
      <c r="AB668" s="49" t="str">
        <f>IFERROR(__xludf.DUMMYFUNCTION("""COMPUTED_VALUE"""),"compelling")</f>
        <v>compelling</v>
      </c>
      <c r="AC668" s="49"/>
      <c r="AD668" s="49" t="str">
        <f>IFERROR(__xludf.DUMMYFUNCTION("""COMPUTED_VALUE"""),"finest")</f>
        <v>finest</v>
      </c>
      <c r="AE668" s="49" t="str">
        <f>IFERROR(__xludf.DUMMYFUNCTION("""COMPUTED_VALUE"""),"dependent")</f>
        <v>dependent</v>
      </c>
      <c r="AF668" s="49" t="str">
        <f t="shared" si="4"/>
        <v>tell,</v>
      </c>
      <c r="AG668" s="49"/>
      <c r="AH668" s="1">
        <v>1.0</v>
      </c>
      <c r="AI668" s="1" t="s">
        <v>2171</v>
      </c>
      <c r="AJ668" s="6" t="str">
        <f>IFERROR(__xludf.DUMMYFUNCTION("""COMPUTED_VALUE"""),"games")</f>
        <v>games</v>
      </c>
      <c r="AK668" s="49"/>
      <c r="AL668" s="49"/>
      <c r="AM668" s="49"/>
      <c r="AN668" s="52" t="str">
        <f t="shared" si="5"/>
        <v>1,</v>
      </c>
    </row>
    <row r="669">
      <c r="A669" s="51"/>
      <c r="B669" s="50" t="s">
        <v>5375</v>
      </c>
      <c r="C669" s="50" t="s">
        <v>1476</v>
      </c>
      <c r="D669" s="49" t="str">
        <f>IFERROR(__xludf.DUMMYFUNCTION("""COMPUTED_VALUE"""),"looking")</f>
        <v>looking</v>
      </c>
      <c r="E669" s="49"/>
      <c r="F669" s="49"/>
      <c r="G669" s="49"/>
      <c r="H669" s="54" t="str">
        <f t="shared" si="1"/>
        <v>specific,</v>
      </c>
      <c r="I669" s="50"/>
      <c r="J669" s="50" t="s">
        <v>2683</v>
      </c>
      <c r="K669" s="50" t="s">
        <v>3037</v>
      </c>
      <c r="L669" s="49" t="str">
        <f>IFERROR(__xludf.DUMMYFUNCTION("""COMPUTED_VALUE"""),"struggling")</f>
        <v>struggling</v>
      </c>
      <c r="M669" s="49"/>
      <c r="N669" s="49" t="str">
        <f>IFERROR(__xludf.DUMMYFUNCTION("""COMPUTED_VALUE"""),"pull")</f>
        <v>pull</v>
      </c>
      <c r="O669" s="49" t="str">
        <f>IFERROR(__xludf.DUMMYFUNCTION("""COMPUTED_VALUE"""),"uncertain")</f>
        <v>uncertain</v>
      </c>
      <c r="P669" s="49" t="str">
        <f t="shared" si="2"/>
        <v>decades,</v>
      </c>
      <c r="Q669" s="49"/>
      <c r="R669" s="50" t="s">
        <v>789</v>
      </c>
      <c r="S669" s="55" t="s">
        <v>2331</v>
      </c>
      <c r="T669" s="49" t="str">
        <f>IFERROR(__xludf.DUMMYFUNCTION("""COMPUTED_VALUE"""),"frequent")</f>
        <v>frequent</v>
      </c>
      <c r="U669" s="49"/>
      <c r="V669" s="49" t="str">
        <f>IFERROR(__xludf.DUMMYFUNCTION("""COMPUTED_VALUE"""),"hiding")</f>
        <v>hiding</v>
      </c>
      <c r="W669" s="49" t="str">
        <f>IFERROR(__xludf.DUMMYFUNCTION("""COMPUTED_VALUE"""),"signs")</f>
        <v>signs</v>
      </c>
      <c r="X669" s="49" t="str">
        <f t="shared" si="3"/>
        <v>ugly,</v>
      </c>
      <c r="Y669" s="49"/>
      <c r="Z669" s="1" t="s">
        <v>2856</v>
      </c>
      <c r="AA669" s="1" t="s">
        <v>3033</v>
      </c>
      <c r="AB669" s="49" t="str">
        <f>IFERROR(__xludf.DUMMYFUNCTION("""COMPUTED_VALUE"""),"photographed")</f>
        <v>photographed</v>
      </c>
      <c r="AC669" s="49"/>
      <c r="AD669" s="49" t="str">
        <f>IFERROR(__xludf.DUMMYFUNCTION("""COMPUTED_VALUE"""),"pull")</f>
        <v>pull</v>
      </c>
      <c r="AE669" s="49" t="str">
        <f>IFERROR(__xludf.DUMMYFUNCTION("""COMPUTED_VALUE"""),"uncertain")</f>
        <v>uncertain</v>
      </c>
      <c r="AF669" s="49" t="str">
        <f t="shared" si="4"/>
        <v>collection,</v>
      </c>
      <c r="AG669" s="49"/>
      <c r="AH669" s="1">
        <v>3.0</v>
      </c>
      <c r="AI669" s="1" t="s">
        <v>6355</v>
      </c>
      <c r="AJ669" s="6" t="str">
        <f>IFERROR(__xludf.DUMMYFUNCTION("""COMPUTED_VALUE"""),"put")</f>
        <v>put</v>
      </c>
      <c r="AK669" s="49"/>
      <c r="AL669" s="49"/>
      <c r="AM669" s="49"/>
      <c r="AN669" s="52" t="str">
        <f t="shared" si="5"/>
        <v>3,</v>
      </c>
    </row>
    <row r="670">
      <c r="A670" s="51"/>
      <c r="B670" s="50" t="s">
        <v>4471</v>
      </c>
      <c r="C670" s="50" t="s">
        <v>2525</v>
      </c>
      <c r="D670" s="49" t="str">
        <f>IFERROR(__xludf.DUMMYFUNCTION("""COMPUTED_VALUE"""),"bound")</f>
        <v>bound</v>
      </c>
      <c r="E670" s="49"/>
      <c r="F670" s="49"/>
      <c r="G670" s="49"/>
      <c r="H670" s="54" t="str">
        <f t="shared" si="1"/>
        <v>races,</v>
      </c>
      <c r="I670" s="50"/>
      <c r="J670" s="50" t="s">
        <v>6973</v>
      </c>
      <c r="K670" s="50" t="s">
        <v>2603</v>
      </c>
      <c r="L670" s="49" t="str">
        <f>IFERROR(__xludf.DUMMYFUNCTION("""COMPUTED_VALUE"""),"epic")</f>
        <v>epic</v>
      </c>
      <c r="M670" s="49"/>
      <c r="N670" s="49" t="str">
        <f>IFERROR(__xludf.DUMMYFUNCTION("""COMPUTED_VALUE"""),"waiting")</f>
        <v>waiting</v>
      </c>
      <c r="O670" s="49" t="str">
        <f>IFERROR(__xludf.DUMMYFUNCTION("""COMPUTED_VALUE"""),"dreamed")</f>
        <v>dreamed</v>
      </c>
      <c r="P670" s="49" t="str">
        <f t="shared" si="2"/>
        <v>twelve,</v>
      </c>
      <c r="Q670" s="49"/>
      <c r="R670" s="50" t="s">
        <v>2919</v>
      </c>
      <c r="S670" s="55" t="s">
        <v>1243</v>
      </c>
      <c r="T670" s="49" t="str">
        <f>IFERROR(__xludf.DUMMYFUNCTION("""COMPUTED_VALUE"""),"crimes")</f>
        <v>crimes</v>
      </c>
      <c r="U670" s="49"/>
      <c r="V670" s="49" t="str">
        <f>IFERROR(__xludf.DUMMYFUNCTION("""COMPUTED_VALUE"""),"ate")</f>
        <v>ate</v>
      </c>
      <c r="W670" s="49" t="str">
        <f>IFERROR(__xludf.DUMMYFUNCTION("""COMPUTED_VALUE"""),"adequate")</f>
        <v>adequate</v>
      </c>
      <c r="X670" s="49" t="str">
        <f t="shared" si="3"/>
        <v>roberts,</v>
      </c>
      <c r="Y670" s="49"/>
      <c r="Z670" s="1" t="s">
        <v>4985</v>
      </c>
      <c r="AA670" s="1" t="s">
        <v>420</v>
      </c>
      <c r="AB670" s="49" t="str">
        <f>IFERROR(__xludf.DUMMYFUNCTION("""COMPUTED_VALUE"""),"joel")</f>
        <v>joel</v>
      </c>
      <c r="AC670" s="49"/>
      <c r="AD670" s="49" t="str">
        <f>IFERROR(__xludf.DUMMYFUNCTION("""COMPUTED_VALUE"""),"waiting")</f>
        <v>waiting</v>
      </c>
      <c r="AE670" s="49" t="str">
        <f>IFERROR(__xludf.DUMMYFUNCTION("""COMPUTED_VALUE"""),"dreamed")</f>
        <v>dreamed</v>
      </c>
      <c r="AF670" s="49" t="str">
        <f t="shared" si="4"/>
        <v>analyze,</v>
      </c>
      <c r="AG670" s="49"/>
      <c r="AH670" s="1" t="s">
        <v>2198</v>
      </c>
      <c r="AI670" s="1" t="s">
        <v>2441</v>
      </c>
      <c r="AJ670" s="6" t="str">
        <f>IFERROR(__xludf.DUMMYFUNCTION("""COMPUTED_VALUE"""),"others")</f>
        <v>others</v>
      </c>
      <c r="AK670" s="49"/>
      <c r="AL670" s="49"/>
      <c r="AM670" s="49"/>
      <c r="AN670" s="52" t="str">
        <f t="shared" si="5"/>
        <v>each,</v>
      </c>
    </row>
    <row r="671">
      <c r="A671" s="51"/>
      <c r="B671" s="50" t="s">
        <v>7095</v>
      </c>
      <c r="C671" s="50" t="s">
        <v>6356</v>
      </c>
      <c r="D671" s="49" t="str">
        <f>IFERROR(__xludf.DUMMYFUNCTION("""COMPUTED_VALUE"""),"appeal")</f>
        <v>appeal</v>
      </c>
      <c r="E671" s="49"/>
      <c r="F671" s="49"/>
      <c r="G671" s="49"/>
      <c r="H671" s="54" t="str">
        <f t="shared" si="1"/>
        <v>method,</v>
      </c>
      <c r="I671" s="50"/>
      <c r="J671" s="50" t="s">
        <v>4193</v>
      </c>
      <c r="K671" s="50" t="s">
        <v>3040</v>
      </c>
      <c r="L671" s="49" t="str">
        <f>IFERROR(__xludf.DUMMYFUNCTION("""COMPUTED_VALUE"""),"bright")</f>
        <v>bright</v>
      </c>
      <c r="M671" s="49"/>
      <c r="N671" s="49" t="str">
        <f>IFERROR(__xludf.DUMMYFUNCTION("""COMPUTED_VALUE"""),"food")</f>
        <v>food</v>
      </c>
      <c r="O671" s="49" t="str">
        <f>IFERROR(__xludf.DUMMYFUNCTION("""COMPUTED_VALUE"""),"insulting")</f>
        <v>insulting</v>
      </c>
      <c r="P671" s="49" t="str">
        <f t="shared" si="2"/>
        <v>r,</v>
      </c>
      <c r="Q671" s="49"/>
      <c r="R671" s="50" t="s">
        <v>4659</v>
      </c>
      <c r="S671" s="55" t="s">
        <v>221</v>
      </c>
      <c r="T671" s="49" t="str">
        <f>IFERROR(__xludf.DUMMYFUNCTION("""COMPUTED_VALUE"""),"hopeless")</f>
        <v>hopeless</v>
      </c>
      <c r="U671" s="49"/>
      <c r="V671" s="49" t="str">
        <f>IFERROR(__xludf.DUMMYFUNCTION("""COMPUTED_VALUE"""),"prevent")</f>
        <v>prevent</v>
      </c>
      <c r="W671" s="49" t="str">
        <f>IFERROR(__xludf.DUMMYFUNCTION("""COMPUTED_VALUE"""),"uhf")</f>
        <v>uhf</v>
      </c>
      <c r="X671" s="49" t="str">
        <f t="shared" si="3"/>
        <v>train,</v>
      </c>
      <c r="Y671" s="49"/>
      <c r="Z671" s="1" t="s">
        <v>2053</v>
      </c>
      <c r="AA671" s="1" t="s">
        <v>920</v>
      </c>
      <c r="AB671" s="49" t="str">
        <f>IFERROR(__xludf.DUMMYFUNCTION("""COMPUTED_VALUE"""),"schumacher")</f>
        <v>schumacher</v>
      </c>
      <c r="AC671" s="49"/>
      <c r="AD671" s="49" t="str">
        <f>IFERROR(__xludf.DUMMYFUNCTION("""COMPUTED_VALUE"""),"food")</f>
        <v>food</v>
      </c>
      <c r="AE671" s="49" t="str">
        <f>IFERROR(__xludf.DUMMYFUNCTION("""COMPUTED_VALUE"""),"insulting")</f>
        <v>insulting</v>
      </c>
      <c r="AF671" s="49" t="str">
        <f t="shared" si="4"/>
        <v>fails,</v>
      </c>
      <c r="AG671" s="49"/>
      <c r="AH671" s="1" t="s">
        <v>201</v>
      </c>
      <c r="AI671" s="1" t="s">
        <v>2685</v>
      </c>
      <c r="AJ671" s="6" t="str">
        <f>IFERROR(__xludf.DUMMYFUNCTION("""COMPUTED_VALUE"""),"matter")</f>
        <v>matter</v>
      </c>
      <c r="AK671" s="49"/>
      <c r="AL671" s="49"/>
      <c r="AM671" s="49"/>
      <c r="AN671" s="52" t="str">
        <f t="shared" si="5"/>
        <v>never,</v>
      </c>
    </row>
    <row r="672">
      <c r="A672" s="51"/>
      <c r="B672" s="50" t="s">
        <v>6991</v>
      </c>
      <c r="C672" s="50" t="s">
        <v>1416</v>
      </c>
      <c r="D672" s="49" t="str">
        <f>IFERROR(__xludf.DUMMYFUNCTION("""COMPUTED_VALUE"""),"grade")</f>
        <v>grade</v>
      </c>
      <c r="E672" s="49"/>
      <c r="F672" s="49"/>
      <c r="G672" s="49"/>
      <c r="H672" s="54" t="str">
        <f t="shared" si="1"/>
        <v>classes,</v>
      </c>
      <c r="I672" s="50"/>
      <c r="J672" s="50" t="s">
        <v>4506</v>
      </c>
      <c r="K672" s="50" t="s">
        <v>384</v>
      </c>
      <c r="L672" s="49" t="str">
        <f>IFERROR(__xludf.DUMMYFUNCTION("""COMPUTED_VALUE"""),"busy")</f>
        <v>busy</v>
      </c>
      <c r="M672" s="49"/>
      <c r="N672" s="49" t="str">
        <f>IFERROR(__xludf.DUMMYFUNCTION("""COMPUTED_VALUE"""),"efficient")</f>
        <v>efficient</v>
      </c>
      <c r="O672" s="49" t="str">
        <f>IFERROR(__xludf.DUMMYFUNCTION("""COMPUTED_VALUE"""),"morally")</f>
        <v>morally</v>
      </c>
      <c r="P672" s="49" t="str">
        <f t="shared" si="2"/>
        <v>ocean,</v>
      </c>
      <c r="Q672" s="49"/>
      <c r="R672" s="50" t="s">
        <v>2855</v>
      </c>
      <c r="S672" s="55" t="s">
        <v>2920</v>
      </c>
      <c r="T672" s="49" t="str">
        <f>IFERROR(__xludf.DUMMYFUNCTION("""COMPUTED_VALUE"""),"intensity")</f>
        <v>intensity</v>
      </c>
      <c r="U672" s="49"/>
      <c r="V672" s="49" t="str">
        <f>IFERROR(__xludf.DUMMYFUNCTION("""COMPUTED_VALUE"""),"enables")</f>
        <v>enables</v>
      </c>
      <c r="W672" s="49" t="str">
        <f>IFERROR(__xludf.DUMMYFUNCTION("""COMPUTED_VALUE"""),"wallet")</f>
        <v>wallet</v>
      </c>
      <c r="X672" s="49" t="str">
        <f t="shared" si="3"/>
        <v>ups,</v>
      </c>
      <c r="Y672" s="49"/>
      <c r="Z672" s="1" t="s">
        <v>868</v>
      </c>
      <c r="AA672" s="1" t="s">
        <v>144</v>
      </c>
      <c r="AB672" s="49" t="str">
        <f>IFERROR(__xludf.DUMMYFUNCTION("""COMPUTED_VALUE"""),"ranks")</f>
        <v>ranks</v>
      </c>
      <c r="AC672" s="49"/>
      <c r="AD672" s="49" t="str">
        <f>IFERROR(__xludf.DUMMYFUNCTION("""COMPUTED_VALUE"""),"efficient")</f>
        <v>efficient</v>
      </c>
      <c r="AE672" s="49" t="str">
        <f>IFERROR(__xludf.DUMMYFUNCTION("""COMPUTED_VALUE"""),"morally")</f>
        <v>morally</v>
      </c>
      <c r="AF672" s="49" t="str">
        <f t="shared" si="4"/>
        <v>examination,</v>
      </c>
      <c r="AG672" s="49"/>
      <c r="AH672" s="1" t="s">
        <v>1213</v>
      </c>
      <c r="AI672" s="1" t="s">
        <v>5170</v>
      </c>
      <c r="AJ672" s="6" t="str">
        <f>IFERROR(__xludf.DUMMYFUNCTION("""COMPUTED_VALUE"""),"numerous")</f>
        <v>numerous</v>
      </c>
      <c r="AK672" s="49"/>
      <c r="AL672" s="49"/>
      <c r="AM672" s="49"/>
      <c r="AN672" s="52" t="str">
        <f t="shared" si="5"/>
        <v>own,</v>
      </c>
    </row>
    <row r="673">
      <c r="A673" s="51"/>
      <c r="B673" s="50" t="s">
        <v>3410</v>
      </c>
      <c r="C673" s="50" t="s">
        <v>2240</v>
      </c>
      <c r="D673" s="49" t="str">
        <f>IFERROR(__xludf.DUMMYFUNCTION("""COMPUTED_VALUE"""),"right")</f>
        <v>right</v>
      </c>
      <c r="E673" s="49"/>
      <c r="F673" s="49"/>
      <c r="G673" s="49"/>
      <c r="H673" s="54" t="str">
        <f t="shared" si="1"/>
        <v>creating,</v>
      </c>
      <c r="I673" s="50"/>
      <c r="J673" s="50" t="s">
        <v>1073</v>
      </c>
      <c r="K673" s="50" t="s">
        <v>366</v>
      </c>
      <c r="L673" s="49" t="str">
        <f>IFERROR(__xludf.DUMMYFUNCTION("""COMPUTED_VALUE"""),"lavish")</f>
        <v>lavish</v>
      </c>
      <c r="M673" s="49"/>
      <c r="N673" s="49" t="str">
        <f>IFERROR(__xludf.DUMMYFUNCTION("""COMPUTED_VALUE"""),"german")</f>
        <v>german</v>
      </c>
      <c r="O673" s="49" t="str">
        <f>IFERROR(__xludf.DUMMYFUNCTION("""COMPUTED_VALUE"""),"comedian")</f>
        <v>comedian</v>
      </c>
      <c r="P673" s="49" t="str">
        <f t="shared" si="2"/>
        <v>born,</v>
      </c>
      <c r="Q673" s="49"/>
      <c r="R673" s="50" t="s">
        <v>2066</v>
      </c>
      <c r="S673" s="55" t="s">
        <v>2296</v>
      </c>
      <c r="T673" s="49" t="str">
        <f>IFERROR(__xludf.DUMMYFUNCTION("""COMPUTED_VALUE"""),"stand")</f>
        <v>stand</v>
      </c>
      <c r="U673" s="49"/>
      <c r="V673" s="49" t="str">
        <f>IFERROR(__xludf.DUMMYFUNCTION("""COMPUTED_VALUE"""),"tactics")</f>
        <v>tactics</v>
      </c>
      <c r="W673" s="49" t="str">
        <f>IFERROR(__xludf.DUMMYFUNCTION("""COMPUTED_VALUE"""),"committed")</f>
        <v>committed</v>
      </c>
      <c r="X673" s="49" t="str">
        <f t="shared" si="3"/>
        <v>typical,</v>
      </c>
      <c r="Y673" s="49"/>
      <c r="Z673" s="1" t="s">
        <v>1688</v>
      </c>
      <c r="AA673" s="1" t="s">
        <v>606</v>
      </c>
      <c r="AB673" s="49" t="str">
        <f>IFERROR(__xludf.DUMMYFUNCTION("""COMPUTED_VALUE"""),"earnest")</f>
        <v>earnest</v>
      </c>
      <c r="AC673" s="49"/>
      <c r="AD673" s="49" t="str">
        <f>IFERROR(__xludf.DUMMYFUNCTION("""COMPUTED_VALUE"""),"german")</f>
        <v>german</v>
      </c>
      <c r="AE673" s="49" t="str">
        <f>IFERROR(__xludf.DUMMYFUNCTION("""COMPUTED_VALUE"""),"comedian")</f>
        <v>comedian</v>
      </c>
      <c r="AF673" s="49" t="str">
        <f t="shared" si="4"/>
        <v>interesting,</v>
      </c>
      <c r="AG673" s="49"/>
      <c r="AH673" s="1" t="s">
        <v>226</v>
      </c>
      <c r="AI673" s="1" t="s">
        <v>2179</v>
      </c>
      <c r="AJ673" s="6" t="str">
        <f>IFERROR(__xludf.DUMMYFUNCTION("""COMPUTED_VALUE"""),"characters")</f>
        <v>characters</v>
      </c>
      <c r="AK673" s="49"/>
      <c r="AL673" s="49"/>
      <c r="AM673" s="49"/>
      <c r="AN673" s="52" t="str">
        <f t="shared" si="5"/>
        <v>games,</v>
      </c>
    </row>
    <row r="674">
      <c r="A674" s="51"/>
      <c r="B674" s="50" t="s">
        <v>2976</v>
      </c>
      <c r="C674" s="50" t="s">
        <v>6357</v>
      </c>
      <c r="D674" s="49" t="str">
        <f>IFERROR(__xludf.DUMMYFUNCTION("""COMPUTED_VALUE"""),"end")</f>
        <v>end</v>
      </c>
      <c r="E674" s="49"/>
      <c r="F674" s="49"/>
      <c r="G674" s="49"/>
      <c r="H674" s="54" t="str">
        <f t="shared" si="1"/>
        <v>heavily,</v>
      </c>
      <c r="I674" s="50"/>
      <c r="J674" s="50" t="s">
        <v>5557</v>
      </c>
      <c r="K674" s="50" t="s">
        <v>1829</v>
      </c>
      <c r="L674" s="49" t="str">
        <f>IFERROR(__xludf.DUMMYFUNCTION("""COMPUTED_VALUE"""),"tolerate")</f>
        <v>tolerate</v>
      </c>
      <c r="M674" s="49"/>
      <c r="N674" s="49" t="str">
        <f>IFERROR(__xludf.DUMMYFUNCTION("""COMPUTED_VALUE"""),"cafe")</f>
        <v>cafe</v>
      </c>
      <c r="O674" s="49" t="str">
        <f>IFERROR(__xludf.DUMMYFUNCTION("""COMPUTED_VALUE"""),"editing")</f>
        <v>editing</v>
      </c>
      <c r="P674" s="49" t="str">
        <f t="shared" si="2"/>
        <v>garbage,</v>
      </c>
      <c r="Q674" s="49"/>
      <c r="R674" s="50" t="s">
        <v>7041</v>
      </c>
      <c r="S674" s="55" t="s">
        <v>382</v>
      </c>
      <c r="T674" s="49" t="str">
        <f>IFERROR(__xludf.DUMMYFUNCTION("""COMPUTED_VALUE"""),"frequently")</f>
        <v>frequently</v>
      </c>
      <c r="U674" s="49"/>
      <c r="V674" s="49" t="str">
        <f>IFERROR(__xludf.DUMMYFUNCTION("""COMPUTED_VALUE"""),"stir")</f>
        <v>stir</v>
      </c>
      <c r="W674" s="49" t="str">
        <f>IFERROR(__xludf.DUMMYFUNCTION("""COMPUTED_VALUE"""),"commanding")</f>
        <v>commanding</v>
      </c>
      <c r="X674" s="49" t="str">
        <f t="shared" si="3"/>
        <v>downs,</v>
      </c>
      <c r="Y674" s="49"/>
      <c r="Z674" s="1" t="s">
        <v>752</v>
      </c>
      <c r="AA674" s="1" t="s">
        <v>2126</v>
      </c>
      <c r="AB674" s="49" t="str">
        <f>IFERROR(__xludf.DUMMYFUNCTION("""COMPUTED_VALUE"""),"absorbing")</f>
        <v>absorbing</v>
      </c>
      <c r="AC674" s="49"/>
      <c r="AD674" s="49" t="str">
        <f>IFERROR(__xludf.DUMMYFUNCTION("""COMPUTED_VALUE"""),"cafe")</f>
        <v>cafe</v>
      </c>
      <c r="AE674" s="49" t="str">
        <f>IFERROR(__xludf.DUMMYFUNCTION("""COMPUTED_VALUE"""),"editing")</f>
        <v>editing</v>
      </c>
      <c r="AF674" s="49" t="str">
        <f t="shared" si="4"/>
        <v>different,</v>
      </c>
      <c r="AG674" s="49"/>
      <c r="AH674" s="1" t="s">
        <v>231</v>
      </c>
      <c r="AI674" s="1" t="s">
        <v>1038</v>
      </c>
      <c r="AJ674" s="6" t="str">
        <f>IFERROR(__xludf.DUMMYFUNCTION("""COMPUTED_VALUE"""),"easily")</f>
        <v>easily</v>
      </c>
      <c r="AK674" s="49"/>
      <c r="AL674" s="49"/>
      <c r="AM674" s="49"/>
      <c r="AN674" s="52" t="str">
        <f t="shared" si="5"/>
        <v>put,</v>
      </c>
    </row>
    <row r="675">
      <c r="A675" s="51"/>
      <c r="B675" s="50" t="s">
        <v>3553</v>
      </c>
      <c r="C675" s="50" t="s">
        <v>1482</v>
      </c>
      <c r="D675" s="49" t="str">
        <f>IFERROR(__xludf.DUMMYFUNCTION("""COMPUTED_VALUE"""),"summer")</f>
        <v>summer</v>
      </c>
      <c r="E675" s="49"/>
      <c r="F675" s="49"/>
      <c r="G675" s="49"/>
      <c r="H675" s="54" t="str">
        <f t="shared" si="1"/>
        <v>jump,</v>
      </c>
      <c r="I675" s="50"/>
      <c r="J675" s="50" t="s">
        <v>5898</v>
      </c>
      <c r="K675" s="50" t="s">
        <v>1833</v>
      </c>
      <c r="L675" s="49" t="str">
        <f>IFERROR(__xludf.DUMMYFUNCTION("""COMPUTED_VALUE"""),"moments")</f>
        <v>moments</v>
      </c>
      <c r="M675" s="49"/>
      <c r="N675" s="49" t="str">
        <f>IFERROR(__xludf.DUMMYFUNCTION("""COMPUTED_VALUE"""),"jazz")</f>
        <v>jazz</v>
      </c>
      <c r="O675" s="49" t="str">
        <f>IFERROR(__xludf.DUMMYFUNCTION("""COMPUTED_VALUE"""),"confident")</f>
        <v>confident</v>
      </c>
      <c r="P675" s="49" t="str">
        <f t="shared" si="2"/>
        <v>liner,</v>
      </c>
      <c r="Q675" s="49"/>
      <c r="R675" s="50" t="s">
        <v>2581</v>
      </c>
      <c r="S675" s="55" t="s">
        <v>2678</v>
      </c>
      <c r="T675" s="49" t="str">
        <f>IFERROR(__xludf.DUMMYFUNCTION("""COMPUTED_VALUE"""),"makers")</f>
        <v>makers</v>
      </c>
      <c r="U675" s="49"/>
      <c r="V675" s="49" t="str">
        <f>IFERROR(__xludf.DUMMYFUNCTION("""COMPUTED_VALUE"""),"amazement")</f>
        <v>amazement</v>
      </c>
      <c r="W675" s="49" t="str">
        <f>IFERROR(__xludf.DUMMYFUNCTION("""COMPUTED_VALUE"""),"comprehension")</f>
        <v>comprehension</v>
      </c>
      <c r="X675" s="49" t="str">
        <f t="shared" si="3"/>
        <v>christian,</v>
      </c>
      <c r="Y675" s="49"/>
      <c r="Z675" s="1" t="s">
        <v>81</v>
      </c>
      <c r="AA675" s="1" t="s">
        <v>729</v>
      </c>
      <c r="AB675" s="49" t="str">
        <f>IFERROR(__xludf.DUMMYFUNCTION("""COMPUTED_VALUE"""),"profound")</f>
        <v>profound</v>
      </c>
      <c r="AC675" s="49"/>
      <c r="AD675" s="49" t="str">
        <f>IFERROR(__xludf.DUMMYFUNCTION("""COMPUTED_VALUE"""),"jazz")</f>
        <v>jazz</v>
      </c>
      <c r="AE675" s="49" t="str">
        <f>IFERROR(__xludf.DUMMYFUNCTION("""COMPUTED_VALUE"""),"confident")</f>
        <v>confident</v>
      </c>
      <c r="AF675" s="49" t="str">
        <f t="shared" si="4"/>
        <v>past,</v>
      </c>
      <c r="AG675" s="49"/>
      <c r="AH675" s="1" t="s">
        <v>1883</v>
      </c>
      <c r="AI675" s="1" t="s">
        <v>6318</v>
      </c>
      <c r="AJ675" s="6" t="str">
        <f>IFERROR(__xludf.DUMMYFUNCTION("""COMPUTED_VALUE"""),"knows")</f>
        <v>knows</v>
      </c>
      <c r="AK675" s="49"/>
      <c r="AL675" s="49"/>
      <c r="AM675" s="49"/>
      <c r="AN675" s="52" t="str">
        <f t="shared" si="5"/>
        <v>others,</v>
      </c>
    </row>
    <row r="676">
      <c r="A676" s="51"/>
      <c r="B676" s="50" t="s">
        <v>1688</v>
      </c>
      <c r="C676" s="50" t="s">
        <v>1434</v>
      </c>
      <c r="D676" s="49" t="str">
        <f>IFERROR(__xludf.DUMMYFUNCTION("""COMPUTED_VALUE"""),"days")</f>
        <v>days</v>
      </c>
      <c r="E676" s="49"/>
      <c r="F676" s="49"/>
      <c r="G676" s="49"/>
      <c r="H676" s="54" t="str">
        <f t="shared" si="1"/>
        <v>interesting,</v>
      </c>
      <c r="I676" s="50"/>
      <c r="J676" s="50" t="s">
        <v>3471</v>
      </c>
      <c r="K676" s="50" t="s">
        <v>754</v>
      </c>
      <c r="L676" s="49" t="str">
        <f>IFERROR(__xludf.DUMMYFUNCTION("""COMPUTED_VALUE"""),"gentle")</f>
        <v>gentle</v>
      </c>
      <c r="M676" s="49"/>
      <c r="N676" s="49" t="str">
        <f>IFERROR(__xludf.DUMMYFUNCTION("""COMPUTED_VALUE"""),"blue")</f>
        <v>blue</v>
      </c>
      <c r="O676" s="49" t="str">
        <f>IFERROR(__xludf.DUMMYFUNCTION("""COMPUTED_VALUE"""),"scripts")</f>
        <v>scripts</v>
      </c>
      <c r="P676" s="49" t="str">
        <f t="shared" si="2"/>
        <v>taylor,</v>
      </c>
      <c r="Q676" s="49"/>
      <c r="R676" s="50" t="s">
        <v>4665</v>
      </c>
      <c r="S676" s="55" t="s">
        <v>587</v>
      </c>
      <c r="T676" s="49" t="str">
        <f>IFERROR(__xludf.DUMMYFUNCTION("""COMPUTED_VALUE"""),"situation")</f>
        <v>situation</v>
      </c>
      <c r="U676" s="49"/>
      <c r="V676" s="49" t="str">
        <f>IFERROR(__xludf.DUMMYFUNCTION("""COMPUTED_VALUE"""),"loyal")</f>
        <v>loyal</v>
      </c>
      <c r="W676" s="49" t="str">
        <f>IFERROR(__xludf.DUMMYFUNCTION("""COMPUTED_VALUE"""),"staged")</f>
        <v>staged</v>
      </c>
      <c r="X676" s="49" t="str">
        <f t="shared" si="3"/>
        <v>drug,</v>
      </c>
      <c r="Y676" s="49"/>
      <c r="Z676" s="1" t="s">
        <v>2213</v>
      </c>
      <c r="AA676" s="1" t="s">
        <v>931</v>
      </c>
      <c r="AB676" s="49" t="str">
        <f>IFERROR(__xludf.DUMMYFUNCTION("""COMPUTED_VALUE"""),"sharp")</f>
        <v>sharp</v>
      </c>
      <c r="AC676" s="49"/>
      <c r="AD676" s="49" t="str">
        <f>IFERROR(__xludf.DUMMYFUNCTION("""COMPUTED_VALUE"""),"blue")</f>
        <v>blue</v>
      </c>
      <c r="AE676" s="49" t="str">
        <f>IFERROR(__xludf.DUMMYFUNCTION("""COMPUTED_VALUE"""),"scripts")</f>
        <v>scripts</v>
      </c>
      <c r="AF676" s="49" t="str">
        <f t="shared" si="4"/>
        <v>sports,</v>
      </c>
      <c r="AG676" s="49"/>
      <c r="AH676" s="1" t="s">
        <v>1964</v>
      </c>
      <c r="AI676" s="1" t="s">
        <v>1353</v>
      </c>
      <c r="AJ676" s="6" t="str">
        <f>IFERROR(__xludf.DUMMYFUNCTION("""COMPUTED_VALUE"""),"turns")</f>
        <v>turns</v>
      </c>
      <c r="AK676" s="49"/>
      <c r="AL676" s="49"/>
      <c r="AM676" s="49"/>
      <c r="AN676" s="52" t="str">
        <f t="shared" si="5"/>
        <v>matter,</v>
      </c>
    </row>
    <row r="677">
      <c r="A677" s="51"/>
      <c r="B677" s="50" t="s">
        <v>3442</v>
      </c>
      <c r="C677" s="50" t="s">
        <v>6358</v>
      </c>
      <c r="D677" s="49" t="str">
        <f>IFERROR(__xludf.DUMMYFUNCTION("""COMPUTED_VALUE"""),"looks")</f>
        <v>looks</v>
      </c>
      <c r="E677" s="49"/>
      <c r="F677" s="49"/>
      <c r="G677" s="49"/>
      <c r="H677" s="54" t="str">
        <f t="shared" si="1"/>
        <v>bone,</v>
      </c>
      <c r="I677" s="50"/>
      <c r="J677" s="50" t="s">
        <v>3461</v>
      </c>
      <c r="K677" s="50" t="s">
        <v>210</v>
      </c>
      <c r="L677" s="49" t="str">
        <f>IFERROR(__xludf.DUMMYFUNCTION("""COMPUTED_VALUE"""),"conventional")</f>
        <v>conventional</v>
      </c>
      <c r="M677" s="49"/>
      <c r="N677" s="49" t="str">
        <f>IFERROR(__xludf.DUMMYFUNCTION("""COMPUTED_VALUE"""),"neighborhood")</f>
        <v>neighborhood</v>
      </c>
      <c r="O677" s="49" t="str">
        <f>IFERROR(__xludf.DUMMYFUNCTION("""COMPUTED_VALUE"""),"operates")</f>
        <v>operates</v>
      </c>
      <c r="P677" s="49" t="str">
        <f t="shared" si="2"/>
        <v>bill,</v>
      </c>
      <c r="Q677" s="49"/>
      <c r="R677" s="50" t="s">
        <v>4190</v>
      </c>
      <c r="S677" s="55" t="s">
        <v>2683</v>
      </c>
      <c r="T677" s="49" t="str">
        <f>IFERROR(__xludf.DUMMYFUNCTION("""COMPUTED_VALUE"""),"emotions")</f>
        <v>emotions</v>
      </c>
      <c r="U677" s="49"/>
      <c r="V677" s="49" t="str">
        <f>IFERROR(__xludf.DUMMYFUNCTION("""COMPUTED_VALUE"""),"waters")</f>
        <v>waters</v>
      </c>
      <c r="W677" s="49" t="str">
        <f>IFERROR(__xludf.DUMMYFUNCTION("""COMPUTED_VALUE"""),"spinning")</f>
        <v>spinning</v>
      </c>
      <c r="X677" s="49" t="str">
        <f t="shared" si="3"/>
        <v>fully,</v>
      </c>
      <c r="Y677" s="49"/>
      <c r="Z677" s="1" t="s">
        <v>1396</v>
      </c>
      <c r="AA677" s="1" t="s">
        <v>3049</v>
      </c>
      <c r="AB677" s="49" t="str">
        <f>IFERROR(__xludf.DUMMYFUNCTION("""COMPUTED_VALUE"""),"pleasures")</f>
        <v>pleasures</v>
      </c>
      <c r="AC677" s="49"/>
      <c r="AD677" s="49" t="str">
        <f>IFERROR(__xludf.DUMMYFUNCTION("""COMPUTED_VALUE"""),"neighborhood")</f>
        <v>neighborhood</v>
      </c>
      <c r="AE677" s="49" t="str">
        <f>IFERROR(__xludf.DUMMYFUNCTION("""COMPUTED_VALUE"""),"operates")</f>
        <v>operates</v>
      </c>
      <c r="AF677" s="49" t="str">
        <f t="shared" si="4"/>
        <v>use,</v>
      </c>
      <c r="AG677" s="49"/>
      <c r="AH677" s="1" t="s">
        <v>3976</v>
      </c>
      <c r="AI677" s="1" t="s">
        <v>1216</v>
      </c>
      <c r="AJ677" s="6" t="str">
        <f>IFERROR(__xludf.DUMMYFUNCTION("""COMPUTED_VALUE"""),"audience")</f>
        <v>audience</v>
      </c>
      <c r="AK677" s="49"/>
      <c r="AL677" s="49"/>
      <c r="AM677" s="49"/>
      <c r="AN677" s="52" t="str">
        <f t="shared" si="5"/>
        <v>numerous,</v>
      </c>
    </row>
    <row r="678">
      <c r="A678" s="51"/>
      <c r="B678" s="50" t="s">
        <v>1536</v>
      </c>
      <c r="C678" s="50" t="s">
        <v>1490</v>
      </c>
      <c r="D678" s="49" t="str">
        <f>IFERROR(__xludf.DUMMYFUNCTION("""COMPUTED_VALUE"""),"danny")</f>
        <v>danny</v>
      </c>
      <c r="E678" s="49"/>
      <c r="F678" s="49"/>
      <c r="G678" s="49"/>
      <c r="H678" s="54" t="str">
        <f t="shared" si="1"/>
        <v>ron,</v>
      </c>
      <c r="I678" s="50"/>
      <c r="J678" s="50" t="s">
        <v>6522</v>
      </c>
      <c r="K678" s="50" t="s">
        <v>2621</v>
      </c>
      <c r="L678" s="49" t="str">
        <f>IFERROR(__xludf.DUMMYFUNCTION("""COMPUTED_VALUE"""),"feminist")</f>
        <v>feminist</v>
      </c>
      <c r="M678" s="49"/>
      <c r="N678" s="49" t="str">
        <f>IFERROR(__xludf.DUMMYFUNCTION("""COMPUTED_VALUE"""),"tour")</f>
        <v>tour</v>
      </c>
      <c r="O678" s="49" t="str">
        <f>IFERROR(__xludf.DUMMYFUNCTION("""COMPUTED_VALUE"""),"stephen")</f>
        <v>stephen</v>
      </c>
      <c r="P678" s="49" t="str">
        <f t="shared" si="2"/>
        <v>fast,</v>
      </c>
      <c r="Q678" s="49"/>
      <c r="R678" s="50" t="s">
        <v>877</v>
      </c>
      <c r="S678" s="55" t="s">
        <v>379</v>
      </c>
      <c r="T678" s="49" t="str">
        <f>IFERROR(__xludf.DUMMYFUNCTION("""COMPUTED_VALUE"""),"vivid")</f>
        <v>vivid</v>
      </c>
      <c r="U678" s="49"/>
      <c r="V678" s="49" t="str">
        <f>IFERROR(__xludf.DUMMYFUNCTION("""COMPUTED_VALUE"""),"collective")</f>
        <v>collective</v>
      </c>
      <c r="W678" s="49" t="str">
        <f>IFERROR(__xludf.DUMMYFUNCTION("""COMPUTED_VALUE"""),"fabricated")</f>
        <v>fabricated</v>
      </c>
      <c r="X678" s="49" t="str">
        <f t="shared" si="3"/>
        <v>college,</v>
      </c>
      <c r="Y678" s="49"/>
      <c r="Z678" s="1" t="s">
        <v>2396</v>
      </c>
      <c r="AA678" s="1" t="s">
        <v>1233</v>
      </c>
      <c r="AB678" s="49" t="str">
        <f>IFERROR(__xludf.DUMMYFUNCTION("""COMPUTED_VALUE"""),"suffers")</f>
        <v>suffers</v>
      </c>
      <c r="AC678" s="49"/>
      <c r="AD678" s="49" t="str">
        <f>IFERROR(__xludf.DUMMYFUNCTION("""COMPUTED_VALUE"""),"tour")</f>
        <v>tour</v>
      </c>
      <c r="AE678" s="49" t="str">
        <f>IFERROR(__xludf.DUMMYFUNCTION("""COMPUTED_VALUE"""),"stephen")</f>
        <v>stephen</v>
      </c>
      <c r="AF678" s="49" t="str">
        <f t="shared" si="4"/>
        <v>using,</v>
      </c>
      <c r="AG678" s="49"/>
      <c r="AH678" s="1" t="s">
        <v>76</v>
      </c>
      <c r="AI678" s="1" t="s">
        <v>1402</v>
      </c>
      <c r="AJ678" s="6" t="str">
        <f>IFERROR(__xludf.DUMMYFUNCTION("""COMPUTED_VALUE"""),"actual")</f>
        <v>actual</v>
      </c>
      <c r="AK678" s="49"/>
      <c r="AL678" s="49"/>
      <c r="AM678" s="49"/>
      <c r="AN678" s="52" t="str">
        <f t="shared" si="5"/>
        <v>characters,</v>
      </c>
    </row>
    <row r="679">
      <c r="A679" s="51"/>
      <c r="B679" s="50" t="s">
        <v>5343</v>
      </c>
      <c r="C679" s="50" t="s">
        <v>2547</v>
      </c>
      <c r="D679" s="49" t="str">
        <f>IFERROR(__xludf.DUMMYFUNCTION("""COMPUTED_VALUE"""),"however")</f>
        <v>however</v>
      </c>
      <c r="E679" s="49"/>
      <c r="F679" s="49"/>
      <c r="G679" s="49"/>
      <c r="H679" s="54" t="str">
        <f t="shared" si="1"/>
        <v>bull,</v>
      </c>
      <c r="I679" s="50"/>
      <c r="J679" s="50" t="s">
        <v>295</v>
      </c>
      <c r="K679" s="50" t="s">
        <v>1847</v>
      </c>
      <c r="L679" s="49" t="str">
        <f>IFERROR(__xludf.DUMMYFUNCTION("""COMPUTED_VALUE"""),"popcorn")</f>
        <v>popcorn</v>
      </c>
      <c r="M679" s="49"/>
      <c r="N679" s="49" t="str">
        <f>IFERROR(__xludf.DUMMYFUNCTION("""COMPUTED_VALUE"""),"del")</f>
        <v>del</v>
      </c>
      <c r="O679" s="49" t="str">
        <f>IFERROR(__xludf.DUMMYFUNCTION("""COMPUTED_VALUE"""),"richer")</f>
        <v>richer</v>
      </c>
      <c r="P679" s="49" t="str">
        <f t="shared" si="2"/>
        <v>absurd,</v>
      </c>
      <c r="Q679" s="49"/>
      <c r="R679" s="50" t="s">
        <v>800</v>
      </c>
      <c r="S679" s="55" t="s">
        <v>2942</v>
      </c>
      <c r="T679" s="49" t="str">
        <f>IFERROR(__xludf.DUMMYFUNCTION("""COMPUTED_VALUE"""),"chain")</f>
        <v>chain</v>
      </c>
      <c r="U679" s="49"/>
      <c r="V679" s="49" t="str">
        <f>IFERROR(__xludf.DUMMYFUNCTION("""COMPUTED_VALUE"""),"supreme")</f>
        <v>supreme</v>
      </c>
      <c r="W679" s="49" t="str">
        <f>IFERROR(__xludf.DUMMYFUNCTION("""COMPUTED_VALUE"""),"payne")</f>
        <v>payne</v>
      </c>
      <c r="X679" s="49" t="str">
        <f t="shared" si="3"/>
        <v>need,</v>
      </c>
      <c r="Y679" s="49"/>
      <c r="Z679" s="1" t="s">
        <v>3410</v>
      </c>
      <c r="AA679" s="1" t="s">
        <v>1560</v>
      </c>
      <c r="AB679" s="49" t="str">
        <f>IFERROR(__xludf.DUMMYFUNCTION("""COMPUTED_VALUE"""),"overcome")</f>
        <v>overcome</v>
      </c>
      <c r="AC679" s="49"/>
      <c r="AD679" s="49" t="str">
        <f>IFERROR(__xludf.DUMMYFUNCTION("""COMPUTED_VALUE"""),"del")</f>
        <v>del</v>
      </c>
      <c r="AE679" s="49" t="str">
        <f>IFERROR(__xludf.DUMMYFUNCTION("""COMPUTED_VALUE"""),"richer")</f>
        <v>richer</v>
      </c>
      <c r="AF679" s="49" t="str">
        <f t="shared" si="4"/>
        <v>creating,</v>
      </c>
      <c r="AG679" s="49"/>
      <c r="AH679" s="1" t="s">
        <v>938</v>
      </c>
      <c r="AI679" s="1" t="s">
        <v>1388</v>
      </c>
      <c r="AJ679" s="6" t="str">
        <f>IFERROR(__xludf.DUMMYFUNCTION("""COMPUTED_VALUE"""),"ca")</f>
        <v>ca</v>
      </c>
      <c r="AK679" s="49"/>
      <c r="AL679" s="49"/>
      <c r="AM679" s="49"/>
      <c r="AN679" s="52" t="str">
        <f t="shared" si="5"/>
        <v>easily,</v>
      </c>
    </row>
    <row r="680">
      <c r="A680" s="51"/>
      <c r="B680" s="50" t="s">
        <v>868</v>
      </c>
      <c r="C680" s="50" t="s">
        <v>2551</v>
      </c>
      <c r="D680" s="49" t="str">
        <f>IFERROR(__xludf.DUMMYFUNCTION("""COMPUTED_VALUE"""),"especially")</f>
        <v>especially</v>
      </c>
      <c r="E680" s="49"/>
      <c r="F680" s="49"/>
      <c r="G680" s="49"/>
      <c r="H680" s="54" t="str">
        <f t="shared" si="1"/>
        <v>examination,</v>
      </c>
      <c r="I680" s="50"/>
      <c r="J680" s="50" t="s">
        <v>50</v>
      </c>
      <c r="K680" s="50" t="s">
        <v>342</v>
      </c>
      <c r="L680" s="49" t="str">
        <f>IFERROR(__xludf.DUMMYFUNCTION("""COMPUTED_VALUE"""),"ticket")</f>
        <v>ticket</v>
      </c>
      <c r="M680" s="49"/>
      <c r="N680" s="49" t="str">
        <f>IFERROR(__xludf.DUMMYFUNCTION("""COMPUTED_VALUE"""),"j")</f>
        <v>j</v>
      </c>
      <c r="O680" s="49" t="str">
        <f>IFERROR(__xludf.DUMMYFUNCTION("""COMPUTED_VALUE"""),"randolph")</f>
        <v>randolph</v>
      </c>
      <c r="P680" s="49" t="str">
        <f t="shared" si="2"/>
        <v>filmmakers,</v>
      </c>
      <c r="Q680" s="49"/>
      <c r="R680" s="50" t="s">
        <v>6329</v>
      </c>
      <c r="S680" s="55" t="s">
        <v>595</v>
      </c>
      <c r="T680" s="49" t="str">
        <f>IFERROR(__xludf.DUMMYFUNCTION("""COMPUTED_VALUE"""),"although")</f>
        <v>although</v>
      </c>
      <c r="U680" s="49"/>
      <c r="V680" s="49" t="str">
        <f>IFERROR(__xludf.DUMMYFUNCTION("""COMPUTED_VALUE"""),"rafael")</f>
        <v>rafael</v>
      </c>
      <c r="W680" s="49" t="str">
        <f>IFERROR(__xludf.DUMMYFUNCTION("""COMPUTED_VALUE"""),"schmidt")</f>
        <v>schmidt</v>
      </c>
      <c r="X680" s="49" t="str">
        <f t="shared" si="3"/>
        <v>able,</v>
      </c>
      <c r="Y680" s="49"/>
      <c r="Z680" s="1" t="s">
        <v>2770</v>
      </c>
      <c r="AA680" s="1" t="s">
        <v>3057</v>
      </c>
      <c r="AB680" s="49" t="str">
        <f>IFERROR(__xludf.DUMMYFUNCTION("""COMPUTED_VALUE"""),"irresistible")</f>
        <v>irresistible</v>
      </c>
      <c r="AC680" s="49"/>
      <c r="AD680" s="49" t="str">
        <f>IFERROR(__xludf.DUMMYFUNCTION("""COMPUTED_VALUE"""),"j")</f>
        <v>j</v>
      </c>
      <c r="AE680" s="49" t="str">
        <f>IFERROR(__xludf.DUMMYFUNCTION("""COMPUTED_VALUE"""),"randolph")</f>
        <v>randolph</v>
      </c>
      <c r="AF680" s="49" t="str">
        <f t="shared" si="4"/>
        <v>structure,</v>
      </c>
      <c r="AG680" s="49"/>
      <c r="AH680" s="1" t="s">
        <v>3346</v>
      </c>
      <c r="AI680" s="1" t="s">
        <v>1395</v>
      </c>
      <c r="AJ680" s="6" t="str">
        <f>IFERROR(__xludf.DUMMYFUNCTION("""COMPUTED_VALUE"""),"increasingly")</f>
        <v>increasingly</v>
      </c>
      <c r="AK680" s="49"/>
      <c r="AL680" s="49"/>
      <c r="AM680" s="49"/>
      <c r="AN680" s="52" t="str">
        <f t="shared" si="5"/>
        <v>knows,</v>
      </c>
    </row>
    <row r="681">
      <c r="A681" s="51"/>
      <c r="B681" s="50" t="s">
        <v>697</v>
      </c>
      <c r="C681" s="50" t="s">
        <v>361</v>
      </c>
      <c r="D681" s="49" t="str">
        <f>IFERROR(__xludf.DUMMYFUNCTION("""COMPUTED_VALUE"""),"serve")</f>
        <v>serve</v>
      </c>
      <c r="E681" s="49"/>
      <c r="F681" s="49"/>
      <c r="G681" s="49"/>
      <c r="H681" s="54" t="str">
        <f t="shared" si="1"/>
        <v>right,</v>
      </c>
      <c r="I681" s="50"/>
      <c r="J681" s="50" t="s">
        <v>2479</v>
      </c>
      <c r="K681" s="50" t="s">
        <v>3061</v>
      </c>
      <c r="L681" s="49" t="str">
        <f>IFERROR(__xludf.DUMMYFUNCTION("""COMPUTED_VALUE"""),"sneak")</f>
        <v>sneak</v>
      </c>
      <c r="M681" s="49"/>
      <c r="N681" s="49" t="str">
        <f>IFERROR(__xludf.DUMMYFUNCTION("""COMPUTED_VALUE"""),"danger")</f>
        <v>danger</v>
      </c>
      <c r="O681" s="49" t="str">
        <f>IFERROR(__xludf.DUMMYFUNCTION("""COMPUTED_VALUE"""),"publishing")</f>
        <v>publishing</v>
      </c>
      <c r="P681" s="49" t="str">
        <f t="shared" si="2"/>
        <v>price,</v>
      </c>
      <c r="Q681" s="49"/>
      <c r="R681" s="50" t="s">
        <v>6503</v>
      </c>
      <c r="S681" s="55" t="s">
        <v>604</v>
      </c>
      <c r="T681" s="49" t="str">
        <f>IFERROR(__xludf.DUMMYFUNCTION("""COMPUTED_VALUE"""),"scoring")</f>
        <v>scoring</v>
      </c>
      <c r="U681" s="49"/>
      <c r="V681" s="49" t="str">
        <f>IFERROR(__xludf.DUMMYFUNCTION("""COMPUTED_VALUE"""),"steaming")</f>
        <v>steaming</v>
      </c>
      <c r="W681" s="49" t="str">
        <f>IFERROR(__xludf.DUMMYFUNCTION("""COMPUTED_VALUE"""),"uneasy")</f>
        <v>uneasy</v>
      </c>
      <c r="X681" s="49" t="str">
        <f t="shared" si="3"/>
        <v>below,</v>
      </c>
      <c r="Y681" s="49"/>
      <c r="Z681" s="1" t="s">
        <v>5013</v>
      </c>
      <c r="AA681" s="1" t="s">
        <v>2137</v>
      </c>
      <c r="AB681" s="49" t="str">
        <f>IFERROR(__xludf.DUMMYFUNCTION("""COMPUTED_VALUE"""),"carries")</f>
        <v>carries</v>
      </c>
      <c r="AC681" s="49"/>
      <c r="AD681" s="49" t="str">
        <f>IFERROR(__xludf.DUMMYFUNCTION("""COMPUTED_VALUE"""),"danger")</f>
        <v>danger</v>
      </c>
      <c r="AE681" s="49" t="str">
        <f>IFERROR(__xludf.DUMMYFUNCTION("""COMPUTED_VALUE"""),"publishing")</f>
        <v>publishing</v>
      </c>
      <c r="AF681" s="49" t="str">
        <f t="shared" si="4"/>
        <v>considered,</v>
      </c>
      <c r="AG681" s="49"/>
      <c r="AH681" s="1" t="s">
        <v>1748</v>
      </c>
      <c r="AI681" s="1" t="s">
        <v>1345</v>
      </c>
      <c r="AJ681" s="6" t="str">
        <f>IFERROR(__xludf.DUMMYFUNCTION("""COMPUTED_VALUE"""),"scream")</f>
        <v>scream</v>
      </c>
      <c r="AK681" s="49"/>
      <c r="AL681" s="49"/>
      <c r="AM681" s="49"/>
      <c r="AN681" s="52" t="str">
        <f t="shared" si="5"/>
        <v>turns,</v>
      </c>
    </row>
    <row r="682">
      <c r="A682" s="51"/>
      <c r="B682" s="50">
        <v>15.0</v>
      </c>
      <c r="C682" s="50" t="s">
        <v>1446</v>
      </c>
      <c r="D682" s="49" t="str">
        <f>IFERROR(__xludf.DUMMYFUNCTION("""COMPUTED_VALUE"""),"along")</f>
        <v>along</v>
      </c>
      <c r="E682" s="49"/>
      <c r="F682" s="49"/>
      <c r="G682" s="49"/>
      <c r="H682" s="54" t="str">
        <f t="shared" si="1"/>
        <v>15,</v>
      </c>
      <c r="I682" s="50"/>
      <c r="J682" s="50" t="s">
        <v>6677</v>
      </c>
      <c r="K682" s="50" t="s">
        <v>3066</v>
      </c>
      <c r="L682" s="49" t="str">
        <f>IFERROR(__xludf.DUMMYFUNCTION("""COMPUTED_VALUE"""),"evolution")</f>
        <v>evolution</v>
      </c>
      <c r="M682" s="49"/>
      <c r="N682" s="49" t="str">
        <f>IFERROR(__xludf.DUMMYFUNCTION("""COMPUTED_VALUE"""),"crossroads")</f>
        <v>crossroads</v>
      </c>
      <c r="O682" s="49" t="str">
        <f>IFERROR(__xludf.DUMMYFUNCTION("""COMPUTED_VALUE"""),"hearst")</f>
        <v>hearst</v>
      </c>
      <c r="P682" s="49" t="str">
        <f t="shared" si="2"/>
        <v>cost,</v>
      </c>
      <c r="Q682" s="49"/>
      <c r="R682" s="50" t="s">
        <v>2348</v>
      </c>
      <c r="S682" s="55" t="s">
        <v>1601</v>
      </c>
      <c r="T682" s="49" t="str">
        <f>IFERROR(__xludf.DUMMYFUNCTION("""COMPUTED_VALUE"""),"lame")</f>
        <v>lame</v>
      </c>
      <c r="U682" s="49"/>
      <c r="V682" s="49" t="str">
        <f>IFERROR(__xludf.DUMMYFUNCTION("""COMPUTED_VALUE"""),"filter")</f>
        <v>filter</v>
      </c>
      <c r="W682" s="49" t="str">
        <f>IFERROR(__xludf.DUMMYFUNCTION("""COMPUTED_VALUE"""),"revolution")</f>
        <v>revolution</v>
      </c>
      <c r="X682" s="49" t="str">
        <f t="shared" si="3"/>
        <v>slightly,</v>
      </c>
      <c r="Y682" s="49"/>
      <c r="Z682" s="1" t="s">
        <v>4678</v>
      </c>
      <c r="AA682" s="1" t="s">
        <v>615</v>
      </c>
      <c r="AB682" s="49" t="str">
        <f>IFERROR(__xludf.DUMMYFUNCTION("""COMPUTED_VALUE"""),"misery")</f>
        <v>misery</v>
      </c>
      <c r="AC682" s="49"/>
      <c r="AD682" s="49" t="str">
        <f>IFERROR(__xludf.DUMMYFUNCTION("""COMPUTED_VALUE"""),"crossroads")</f>
        <v>crossroads</v>
      </c>
      <c r="AE682" s="49" t="str">
        <f>IFERROR(__xludf.DUMMYFUNCTION("""COMPUTED_VALUE"""),"hearst")</f>
        <v>hearst</v>
      </c>
      <c r="AF682" s="49" t="str">
        <f t="shared" si="4"/>
        <v>society,</v>
      </c>
      <c r="AG682" s="49"/>
      <c r="AH682" s="1" t="s">
        <v>3536</v>
      </c>
      <c r="AI682" s="1" t="s">
        <v>1464</v>
      </c>
      <c r="AJ682" s="6" t="str">
        <f>IFERROR(__xludf.DUMMYFUNCTION("""COMPUTED_VALUE"""),"tables")</f>
        <v>tables</v>
      </c>
      <c r="AK682" s="49"/>
      <c r="AL682" s="49"/>
      <c r="AM682" s="49"/>
      <c r="AN682" s="52" t="str">
        <f t="shared" si="5"/>
        <v>audience,</v>
      </c>
    </row>
    <row r="683">
      <c r="A683" s="51"/>
      <c r="B683" s="50" t="s">
        <v>848</v>
      </c>
      <c r="C683" s="50" t="s">
        <v>1452</v>
      </c>
      <c r="D683" s="49" t="str">
        <f>IFERROR(__xludf.DUMMYFUNCTION("""COMPUTED_VALUE"""),"sister")</f>
        <v>sister</v>
      </c>
      <c r="E683" s="49"/>
      <c r="F683" s="49"/>
      <c r="G683" s="49"/>
      <c r="H683" s="54" t="str">
        <f t="shared" si="1"/>
        <v>wanted,</v>
      </c>
      <c r="I683" s="50"/>
      <c r="J683" s="50" t="s">
        <v>6445</v>
      </c>
      <c r="K683" s="50" t="s">
        <v>374</v>
      </c>
      <c r="L683" s="49" t="str">
        <f>IFERROR(__xludf.DUMMYFUNCTION("""COMPUTED_VALUE"""),"community")</f>
        <v>community</v>
      </c>
      <c r="M683" s="49"/>
      <c r="N683" s="49" t="str">
        <f>IFERROR(__xludf.DUMMYFUNCTION("""COMPUTED_VALUE"""),"intimate")</f>
        <v>intimate</v>
      </c>
      <c r="O683" s="49" t="str">
        <f>IFERROR(__xludf.DUMMYFUNCTION("""COMPUTED_VALUE"""),"welles")</f>
        <v>welles</v>
      </c>
      <c r="P683" s="49" t="str">
        <f t="shared" si="2"/>
        <v>sad,</v>
      </c>
      <c r="Q683" s="49"/>
      <c r="R683" s="50" t="s">
        <v>7283</v>
      </c>
      <c r="S683" s="55" t="s">
        <v>2956</v>
      </c>
      <c r="T683" s="49" t="str">
        <f>IFERROR(__xludf.DUMMYFUNCTION("""COMPUTED_VALUE"""),"dealing")</f>
        <v>dealing</v>
      </c>
      <c r="U683" s="49"/>
      <c r="V683" s="49" t="str">
        <f>IFERROR(__xludf.DUMMYFUNCTION("""COMPUTED_VALUE"""),"painter")</f>
        <v>painter</v>
      </c>
      <c r="W683" s="49" t="str">
        <f>IFERROR(__xludf.DUMMYFUNCTION("""COMPUTED_VALUE"""),"precisely")</f>
        <v>precisely</v>
      </c>
      <c r="X683" s="49" t="str">
        <f t="shared" si="3"/>
        <v>reviewers,</v>
      </c>
      <c r="Y683" s="49"/>
      <c r="Z683" s="1" t="s">
        <v>2003</v>
      </c>
      <c r="AA683" s="1" t="s">
        <v>501</v>
      </c>
      <c r="AB683" s="49" t="str">
        <f>IFERROR(__xludf.DUMMYFUNCTION("""COMPUTED_VALUE"""),"demonstrating")</f>
        <v>demonstrating</v>
      </c>
      <c r="AC683" s="49"/>
      <c r="AD683" s="49" t="str">
        <f>IFERROR(__xludf.DUMMYFUNCTION("""COMPUTED_VALUE"""),"intimate")</f>
        <v>intimate</v>
      </c>
      <c r="AE683" s="49" t="str">
        <f>IFERROR(__xludf.DUMMYFUNCTION("""COMPUTED_VALUE"""),"welles")</f>
        <v>welles</v>
      </c>
      <c r="AF683" s="49" t="str">
        <f t="shared" si="4"/>
        <v>oddly,</v>
      </c>
      <c r="AG683" s="49"/>
      <c r="AH683" s="1" t="s">
        <v>3704</v>
      </c>
      <c r="AI683" s="1" t="s">
        <v>2711</v>
      </c>
      <c r="AJ683" s="6" t="str">
        <f>IFERROR(__xludf.DUMMYFUNCTION("""COMPUTED_VALUE"""),"form")</f>
        <v>form</v>
      </c>
      <c r="AK683" s="49"/>
      <c r="AL683" s="49"/>
      <c r="AM683" s="49"/>
      <c r="AN683" s="52" t="str">
        <f t="shared" si="5"/>
        <v>actual,</v>
      </c>
    </row>
    <row r="684">
      <c r="A684" s="51"/>
      <c r="B684" s="50" t="s">
        <v>6436</v>
      </c>
      <c r="C684" s="50" t="s">
        <v>6359</v>
      </c>
      <c r="D684" s="49" t="str">
        <f>IFERROR(__xludf.DUMMYFUNCTION("""COMPUTED_VALUE"""),"process")</f>
        <v>process</v>
      </c>
      <c r="E684" s="49"/>
      <c r="F684" s="49"/>
      <c r="G684" s="49"/>
      <c r="H684" s="54" t="str">
        <f t="shared" si="1"/>
        <v>program,</v>
      </c>
      <c r="I684" s="50"/>
      <c r="J684" s="50" t="s">
        <v>2064</v>
      </c>
      <c r="K684" s="50" t="s">
        <v>3073</v>
      </c>
      <c r="L684" s="49" t="str">
        <f>IFERROR(__xludf.DUMMYFUNCTION("""COMPUTED_VALUE"""),"moore")</f>
        <v>moore</v>
      </c>
      <c r="M684" s="49"/>
      <c r="N684" s="49" t="str">
        <f>IFERROR(__xludf.DUMMYFUNCTION("""COMPUTED_VALUE"""),"pleasure")</f>
        <v>pleasure</v>
      </c>
      <c r="O684" s="49" t="str">
        <f>IFERROR(__xludf.DUMMYFUNCTION("""COMPUTED_VALUE"""),"william")</f>
        <v>william</v>
      </c>
      <c r="P684" s="49" t="str">
        <f t="shared" si="2"/>
        <v>admission,</v>
      </c>
      <c r="Q684" s="49"/>
      <c r="R684" s="50" t="s">
        <v>291</v>
      </c>
      <c r="S684" s="55" t="s">
        <v>389</v>
      </c>
      <c r="T684" s="49" t="str">
        <f>IFERROR(__xludf.DUMMYFUNCTION("""COMPUTED_VALUE"""),"prison")</f>
        <v>prison</v>
      </c>
      <c r="U684" s="49"/>
      <c r="V684" s="49" t="str">
        <f>IFERROR(__xludf.DUMMYFUNCTION("""COMPUTED_VALUE"""),"af")</f>
        <v>af</v>
      </c>
      <c r="W684" s="49" t="str">
        <f>IFERROR(__xludf.DUMMYFUNCTION("""COMPUTED_VALUE"""),"stalls")</f>
        <v>stalls</v>
      </c>
      <c r="X684" s="49" t="str">
        <f t="shared" si="3"/>
        <v>weaknesses,</v>
      </c>
      <c r="Y684" s="49"/>
      <c r="Z684" s="1" t="s">
        <v>3020</v>
      </c>
      <c r="AA684" s="1" t="s">
        <v>3069</v>
      </c>
      <c r="AB684" s="49" t="str">
        <f>IFERROR(__xludf.DUMMYFUNCTION("""COMPUTED_VALUE"""),"insult")</f>
        <v>insult</v>
      </c>
      <c r="AC684" s="49"/>
      <c r="AD684" s="49" t="str">
        <f>IFERROR(__xludf.DUMMYFUNCTION("""COMPUTED_VALUE"""),"pleasure")</f>
        <v>pleasure</v>
      </c>
      <c r="AE684" s="49" t="str">
        <f>IFERROR(__xludf.DUMMYFUNCTION("""COMPUTED_VALUE"""),"william")</f>
        <v>william</v>
      </c>
      <c r="AF684" s="49" t="str">
        <f t="shared" si="4"/>
        <v>liked,</v>
      </c>
      <c r="AG684" s="49"/>
      <c r="AH684" s="1" t="s">
        <v>1423</v>
      </c>
      <c r="AI684" s="1" t="s">
        <v>6360</v>
      </c>
      <c r="AJ684" s="6" t="str">
        <f>IFERROR(__xludf.DUMMYFUNCTION("""COMPUTED_VALUE"""),"addition")</f>
        <v>addition</v>
      </c>
      <c r="AK684" s="49"/>
      <c r="AL684" s="49"/>
      <c r="AM684" s="49"/>
      <c r="AN684" s="52" t="str">
        <f t="shared" si="5"/>
        <v>ca,</v>
      </c>
    </row>
    <row r="685">
      <c r="A685" s="51"/>
      <c r="B685" s="50" t="s">
        <v>1789</v>
      </c>
      <c r="C685" s="50" t="s">
        <v>1480</v>
      </c>
      <c r="D685" s="49" t="str">
        <f>IFERROR(__xludf.DUMMYFUNCTION("""COMPUTED_VALUE"""),"matter")</f>
        <v>matter</v>
      </c>
      <c r="E685" s="49"/>
      <c r="F685" s="49"/>
      <c r="G685" s="49"/>
      <c r="H685" s="54" t="str">
        <f t="shared" si="1"/>
        <v>done,</v>
      </c>
      <c r="I685" s="50"/>
      <c r="J685" s="50" t="s">
        <v>2296</v>
      </c>
      <c r="K685" s="50" t="s">
        <v>3079</v>
      </c>
      <c r="L685" s="49" t="str">
        <f>IFERROR(__xludf.DUMMYFUNCTION("""COMPUTED_VALUE"""),"humanity")</f>
        <v>humanity</v>
      </c>
      <c r="M685" s="49"/>
      <c r="N685" s="49" t="str">
        <f>IFERROR(__xludf.DUMMYFUNCTION("""COMPUTED_VALUE"""),"rude")</f>
        <v>rude</v>
      </c>
      <c r="O685" s="49" t="str">
        <f>IFERROR(__xludf.DUMMYFUNCTION("""COMPUTED_VALUE"""),"hollow")</f>
        <v>hollow</v>
      </c>
      <c r="P685" s="49" t="str">
        <f t="shared" si="2"/>
        <v>giant,</v>
      </c>
      <c r="Q685" s="49"/>
      <c r="R685" s="50" t="s">
        <v>3109</v>
      </c>
      <c r="S685" s="55" t="s">
        <v>2706</v>
      </c>
      <c r="T685" s="49" t="str">
        <f>IFERROR(__xludf.DUMMYFUNCTION("""COMPUTED_VALUE"""),"hated")</f>
        <v>hated</v>
      </c>
      <c r="U685" s="49"/>
      <c r="V685" s="49" t="str">
        <f>IFERROR(__xludf.DUMMYFUNCTION("""COMPUTED_VALUE"""),"intention")</f>
        <v>intention</v>
      </c>
      <c r="W685" s="49" t="str">
        <f>IFERROR(__xludf.DUMMYFUNCTION("""COMPUTED_VALUE"""),"search")</f>
        <v>search</v>
      </c>
      <c r="X685" s="49" t="str">
        <f t="shared" si="3"/>
        <v>famous,</v>
      </c>
      <c r="Y685" s="49"/>
      <c r="Z685" s="1" t="s">
        <v>513</v>
      </c>
      <c r="AA685" s="1" t="s">
        <v>2165</v>
      </c>
      <c r="AB685" s="49" t="str">
        <f>IFERROR(__xludf.DUMMYFUNCTION("""COMPUTED_VALUE"""),"timeless")</f>
        <v>timeless</v>
      </c>
      <c r="AC685" s="49"/>
      <c r="AD685" s="49" t="str">
        <f>IFERROR(__xludf.DUMMYFUNCTION("""COMPUTED_VALUE"""),"rude")</f>
        <v>rude</v>
      </c>
      <c r="AE685" s="49" t="str">
        <f>IFERROR(__xludf.DUMMYFUNCTION("""COMPUTED_VALUE"""),"hollow")</f>
        <v>hollow</v>
      </c>
      <c r="AF685" s="49" t="str">
        <f t="shared" si="4"/>
        <v>skip,</v>
      </c>
      <c r="AG685" s="49"/>
      <c r="AH685" s="1" t="s">
        <v>4088</v>
      </c>
      <c r="AI685" s="1" t="s">
        <v>4223</v>
      </c>
      <c r="AJ685" s="6" t="str">
        <f>IFERROR(__xludf.DUMMYFUNCTION("""COMPUTED_VALUE"""),"feature")</f>
        <v>feature</v>
      </c>
      <c r="AK685" s="49"/>
      <c r="AL685" s="49"/>
      <c r="AM685" s="49"/>
      <c r="AN685" s="52" t="str">
        <f t="shared" si="5"/>
        <v>increasingly,</v>
      </c>
    </row>
    <row r="686">
      <c r="A686" s="51"/>
      <c r="B686" s="50" t="s">
        <v>3378</v>
      </c>
      <c r="C686" s="50" t="s">
        <v>1497</v>
      </c>
      <c r="D686" s="49" t="str">
        <f>IFERROR(__xludf.DUMMYFUNCTION("""COMPUTED_VALUE"""),"subject")</f>
        <v>subject</v>
      </c>
      <c r="E686" s="49"/>
      <c r="F686" s="49"/>
      <c r="G686" s="49"/>
      <c r="H686" s="54" t="str">
        <f t="shared" si="1"/>
        <v>daughter,</v>
      </c>
      <c r="I686" s="50"/>
      <c r="J686" s="50" t="s">
        <v>5114</v>
      </c>
      <c r="K686" s="50" t="s">
        <v>1856</v>
      </c>
      <c r="L686" s="49" t="str">
        <f>IFERROR(__xludf.DUMMYFUNCTION("""COMPUTED_VALUE"""),"test")</f>
        <v>test</v>
      </c>
      <c r="M686" s="49"/>
      <c r="N686" s="49" t="str">
        <f>IFERROR(__xludf.DUMMYFUNCTION("""COMPUTED_VALUE"""),"greasy")</f>
        <v>greasy</v>
      </c>
      <c r="O686" s="49" t="str">
        <f>IFERROR(__xludf.DUMMYFUNCTION("""COMPUTED_VALUE"""),"beginnings")</f>
        <v>beginnings</v>
      </c>
      <c r="P686" s="49" t="str">
        <f t="shared" si="2"/>
        <v>throwing,</v>
      </c>
      <c r="Q686" s="49"/>
      <c r="R686" s="50" t="s">
        <v>1304</v>
      </c>
      <c r="S686" s="55" t="s">
        <v>1608</v>
      </c>
      <c r="T686" s="49" t="str">
        <f>IFERROR(__xludf.DUMMYFUNCTION("""COMPUTED_VALUE"""),"faithful")</f>
        <v>faithful</v>
      </c>
      <c r="U686" s="49"/>
      <c r="V686" s="49" t="str">
        <f>IFERROR(__xludf.DUMMYFUNCTION("""COMPUTED_VALUE"""),"privileged")</f>
        <v>privileged</v>
      </c>
      <c r="W686" s="49" t="str">
        <f>IFERROR(__xludf.DUMMYFUNCTION("""COMPUTED_VALUE"""),"notwithstanding")</f>
        <v>notwithstanding</v>
      </c>
      <c r="X686" s="49" t="str">
        <f t="shared" si="3"/>
        <v>weak,</v>
      </c>
      <c r="Y686" s="49"/>
      <c r="Z686" s="1">
        <v>15.0</v>
      </c>
      <c r="AA686" s="1" t="s">
        <v>2415</v>
      </c>
      <c r="AB686" s="49" t="str">
        <f>IFERROR(__xludf.DUMMYFUNCTION("""COMPUTED_VALUE"""),"literary")</f>
        <v>literary</v>
      </c>
      <c r="AC686" s="49"/>
      <c r="AD686" s="49" t="str">
        <f>IFERROR(__xludf.DUMMYFUNCTION("""COMPUTED_VALUE"""),"greasy")</f>
        <v>greasy</v>
      </c>
      <c r="AE686" s="49" t="str">
        <f>IFERROR(__xludf.DUMMYFUNCTION("""COMPUTED_VALUE"""),"beginnings")</f>
        <v>beginnings</v>
      </c>
      <c r="AF686" s="49" t="str">
        <f t="shared" si="4"/>
        <v>15,</v>
      </c>
      <c r="AG686" s="49"/>
      <c r="AH686" s="1" t="s">
        <v>3835</v>
      </c>
      <c r="AI686" s="1" t="s">
        <v>1061</v>
      </c>
      <c r="AJ686" s="6" t="str">
        <f>IFERROR(__xludf.DUMMYFUNCTION("""COMPUTED_VALUE"""),"greatest")</f>
        <v>greatest</v>
      </c>
      <c r="AK686" s="49"/>
      <c r="AL686" s="49"/>
      <c r="AM686" s="49"/>
      <c r="AN686" s="52" t="str">
        <f t="shared" si="5"/>
        <v>scream,</v>
      </c>
    </row>
    <row r="687">
      <c r="A687" s="51"/>
      <c r="B687" s="50" t="s">
        <v>2368</v>
      </c>
      <c r="C687" s="50" t="s">
        <v>1505</v>
      </c>
      <c r="D687" s="49" t="str">
        <f>IFERROR(__xludf.DUMMYFUNCTION("""COMPUTED_VALUE"""),"conclusion")</f>
        <v>conclusion</v>
      </c>
      <c r="E687" s="49"/>
      <c r="F687" s="49"/>
      <c r="G687" s="49"/>
      <c r="H687" s="54" t="str">
        <f t="shared" si="1"/>
        <v>tv,</v>
      </c>
      <c r="I687" s="50"/>
      <c r="J687" s="50" t="s">
        <v>124</v>
      </c>
      <c r="K687" s="50" t="s">
        <v>2630</v>
      </c>
      <c r="L687" s="49" t="str">
        <f>IFERROR(__xludf.DUMMYFUNCTION("""COMPUTED_VALUE"""),"cops")</f>
        <v>cops</v>
      </c>
      <c r="M687" s="49"/>
      <c r="N687" s="49" t="str">
        <f>IFERROR(__xludf.DUMMYFUNCTION("""COMPUTED_VALUE"""),"silly")</f>
        <v>silly</v>
      </c>
      <c r="O687" s="49" t="str">
        <f>IFERROR(__xludf.DUMMYFUNCTION("""COMPUTED_VALUE"""),"tops")</f>
        <v>tops</v>
      </c>
      <c r="P687" s="49" t="str">
        <f t="shared" si="2"/>
        <v>throughout,</v>
      </c>
      <c r="Q687" s="49"/>
      <c r="R687" s="50" t="s">
        <v>1091</v>
      </c>
      <c r="S687" s="55" t="s">
        <v>1613</v>
      </c>
      <c r="T687" s="49" t="str">
        <f>IFERROR(__xludf.DUMMYFUNCTION("""COMPUTED_VALUE"""),"sisters")</f>
        <v>sisters</v>
      </c>
      <c r="U687" s="49"/>
      <c r="V687" s="49" t="str">
        <f>IFERROR(__xludf.DUMMYFUNCTION("""COMPUTED_VALUE"""),"pride")</f>
        <v>pride</v>
      </c>
      <c r="W687" s="49" t="str">
        <f>IFERROR(__xludf.DUMMYFUNCTION("""COMPUTED_VALUE"""),"inspirational")</f>
        <v>inspirational</v>
      </c>
      <c r="X687" s="49" t="str">
        <f t="shared" si="3"/>
        <v>difference,</v>
      </c>
      <c r="Y687" s="49"/>
      <c r="Z687" s="1" t="s">
        <v>3378</v>
      </c>
      <c r="AA687" s="1" t="s">
        <v>3084</v>
      </c>
      <c r="AB687" s="49" t="str">
        <f>IFERROR(__xludf.DUMMYFUNCTION("""COMPUTED_VALUE"""),"nonsense")</f>
        <v>nonsense</v>
      </c>
      <c r="AC687" s="49"/>
      <c r="AD687" s="49" t="str">
        <f>IFERROR(__xludf.DUMMYFUNCTION("""COMPUTED_VALUE"""),"silly")</f>
        <v>silly</v>
      </c>
      <c r="AE687" s="49" t="str">
        <f>IFERROR(__xludf.DUMMYFUNCTION("""COMPUTED_VALUE"""),"tops")</f>
        <v>tops</v>
      </c>
      <c r="AF687" s="49" t="str">
        <f t="shared" si="4"/>
        <v>daughter,</v>
      </c>
      <c r="AG687" s="49"/>
      <c r="AH687" s="1" t="s">
        <v>7284</v>
      </c>
      <c r="AI687" s="1" t="s">
        <v>2719</v>
      </c>
      <c r="AJ687" s="6" t="str">
        <f>IFERROR(__xludf.DUMMYFUNCTION("""COMPUTED_VALUE"""),"studios")</f>
        <v>studios</v>
      </c>
      <c r="AK687" s="49"/>
      <c r="AL687" s="49"/>
      <c r="AM687" s="49"/>
      <c r="AN687" s="52" t="str">
        <f t="shared" si="5"/>
        <v>sample,</v>
      </c>
    </row>
    <row r="688">
      <c r="A688" s="51"/>
      <c r="B688" s="50" t="b">
        <v>1</v>
      </c>
      <c r="C688" s="50" t="s">
        <v>2267</v>
      </c>
      <c r="D688" s="49" t="str">
        <f>IFERROR(__xludf.DUMMYFUNCTION("""COMPUTED_VALUE"""),"always")</f>
        <v>always</v>
      </c>
      <c r="E688" s="49"/>
      <c r="F688" s="49"/>
      <c r="G688" s="49"/>
      <c r="H688" s="54" t="str">
        <f t="shared" si="1"/>
        <v>TRUE,</v>
      </c>
      <c r="I688" s="50"/>
      <c r="J688" s="50" t="s">
        <v>6407</v>
      </c>
      <c r="K688" s="50" t="s">
        <v>3090</v>
      </c>
      <c r="L688" s="49" t="str">
        <f>IFERROR(__xludf.DUMMYFUNCTION("""COMPUTED_VALUE"""),"brutal")</f>
        <v>brutal</v>
      </c>
      <c r="M688" s="49"/>
      <c r="N688" s="49" t="str">
        <f>IFERROR(__xludf.DUMMYFUNCTION("""COMPUTED_VALUE"""),"delicious")</f>
        <v>delicious</v>
      </c>
      <c r="O688" s="49" t="str">
        <f>IFERROR(__xludf.DUMMYFUNCTION("""COMPUTED_VALUE"""),"sincerity")</f>
        <v>sincerity</v>
      </c>
      <c r="P688" s="49" t="str">
        <f t="shared" si="2"/>
        <v>punk,</v>
      </c>
      <c r="Q688" s="49"/>
      <c r="R688" s="50" t="s">
        <v>3135</v>
      </c>
      <c r="S688" s="55" t="s">
        <v>6366</v>
      </c>
      <c r="T688" s="49" t="str">
        <f>IFERROR(__xludf.DUMMYFUNCTION("""COMPUTED_VALUE"""),"spanning")</f>
        <v>spanning</v>
      </c>
      <c r="U688" s="49"/>
      <c r="V688" s="49" t="str">
        <f>IFERROR(__xludf.DUMMYFUNCTION("""COMPUTED_VALUE"""),"charged")</f>
        <v>charged</v>
      </c>
      <c r="W688" s="49" t="str">
        <f>IFERROR(__xludf.DUMMYFUNCTION("""COMPUTED_VALUE"""),"corpus")</f>
        <v>corpus</v>
      </c>
      <c r="X688" s="49" t="str">
        <f t="shared" si="3"/>
        <v>lacks,</v>
      </c>
      <c r="Y688" s="49"/>
      <c r="Z688" s="1" t="s">
        <v>2368</v>
      </c>
      <c r="AA688" s="1" t="s">
        <v>3087</v>
      </c>
      <c r="AB688" s="49" t="str">
        <f>IFERROR(__xludf.DUMMYFUNCTION("""COMPUTED_VALUE"""),"masterpiece")</f>
        <v>masterpiece</v>
      </c>
      <c r="AC688" s="49"/>
      <c r="AD688" s="49" t="str">
        <f>IFERROR(__xludf.DUMMYFUNCTION("""COMPUTED_VALUE"""),"delicious")</f>
        <v>delicious</v>
      </c>
      <c r="AE688" s="49" t="str">
        <f>IFERROR(__xludf.DUMMYFUNCTION("""COMPUTED_VALUE"""),"sincerity")</f>
        <v>sincerity</v>
      </c>
      <c r="AF688" s="49" t="str">
        <f t="shared" si="4"/>
        <v>tv,</v>
      </c>
      <c r="AG688" s="49"/>
      <c r="AH688" s="1" t="s">
        <v>725</v>
      </c>
      <c r="AI688" s="1" t="s">
        <v>1376</v>
      </c>
      <c r="AJ688" s="6" t="str">
        <f>IFERROR(__xludf.DUMMYFUNCTION("""COMPUTED_VALUE"""),"certainly")</f>
        <v>certainly</v>
      </c>
      <c r="AK688" s="49"/>
      <c r="AL688" s="49"/>
      <c r="AM688" s="49"/>
      <c r="AN688" s="52" t="str">
        <f t="shared" si="5"/>
        <v>tables,</v>
      </c>
    </row>
    <row r="689">
      <c r="A689" s="51"/>
      <c r="B689" s="50" t="s">
        <v>3763</v>
      </c>
      <c r="C689" s="50" t="s">
        <v>1487</v>
      </c>
      <c r="D689" s="49" t="str">
        <f>IFERROR(__xludf.DUMMYFUNCTION("""COMPUTED_VALUE"""),"creative")</f>
        <v>creative</v>
      </c>
      <c r="E689" s="49"/>
      <c r="F689" s="49"/>
      <c r="G689" s="49"/>
      <c r="H689" s="54" t="str">
        <f t="shared" si="1"/>
        <v>weeks,</v>
      </c>
      <c r="I689" s="50"/>
      <c r="J689" s="50" t="s">
        <v>260</v>
      </c>
      <c r="K689" s="50" t="s">
        <v>772</v>
      </c>
      <c r="L689" s="49" t="str">
        <f>IFERROR(__xludf.DUMMYFUNCTION("""COMPUTED_VALUE"""),"adventure")</f>
        <v>adventure</v>
      </c>
      <c r="M689" s="49"/>
      <c r="N689" s="49" t="str">
        <f>IFERROR(__xludf.DUMMYFUNCTION("""COMPUTED_VALUE"""),"ted")</f>
        <v>ted</v>
      </c>
      <c r="O689" s="49" t="str">
        <f>IFERROR(__xludf.DUMMYFUNCTION("""COMPUTED_VALUE"""),"endeavor")</f>
        <v>endeavor</v>
      </c>
      <c r="P689" s="49" t="str">
        <f t="shared" si="2"/>
        <v>thought,</v>
      </c>
      <c r="Q689" s="49"/>
      <c r="R689" s="50" t="s">
        <v>4857</v>
      </c>
      <c r="S689" s="55" t="s">
        <v>300</v>
      </c>
      <c r="T689" s="49" t="str">
        <f>IFERROR(__xludf.DUMMYFUNCTION("""COMPUTED_VALUE"""),"family")</f>
        <v>family</v>
      </c>
      <c r="U689" s="49"/>
      <c r="V689" s="49" t="str">
        <f>IFERROR(__xludf.DUMMYFUNCTION("""COMPUTED_VALUE"""),"uncommon")</f>
        <v>uncommon</v>
      </c>
      <c r="W689" s="49" t="str">
        <f>IFERROR(__xludf.DUMMYFUNCTION("""COMPUTED_VALUE"""),"dubbed")</f>
        <v>dubbed</v>
      </c>
      <c r="X689" s="49" t="str">
        <f t="shared" si="3"/>
        <v>seven,</v>
      </c>
      <c r="Y689" s="49"/>
      <c r="Z689" s="1" t="s">
        <v>6663</v>
      </c>
      <c r="AA689" s="1" t="s">
        <v>2170</v>
      </c>
      <c r="AB689" s="49" t="str">
        <f>IFERROR(__xludf.DUMMYFUNCTION("""COMPUTED_VALUE"""),"creates")</f>
        <v>creates</v>
      </c>
      <c r="AC689" s="49"/>
      <c r="AD689" s="49" t="str">
        <f>IFERROR(__xludf.DUMMYFUNCTION("""COMPUTED_VALUE"""),"ted")</f>
        <v>ted</v>
      </c>
      <c r="AE689" s="49" t="str">
        <f>IFERROR(__xludf.DUMMYFUNCTION("""COMPUTED_VALUE"""),"endeavor")</f>
        <v>endeavor</v>
      </c>
      <c r="AF689" s="49" t="str">
        <f t="shared" si="4"/>
        <v>favorite,</v>
      </c>
      <c r="AG689" s="49"/>
      <c r="AH689" s="1" t="s">
        <v>1757</v>
      </c>
      <c r="AI689" s="1" t="s">
        <v>1431</v>
      </c>
      <c r="AJ689" s="6" t="str">
        <f>IFERROR(__xludf.DUMMYFUNCTION("""COMPUTED_VALUE"""),"disney")</f>
        <v>disney</v>
      </c>
      <c r="AK689" s="49"/>
      <c r="AL689" s="49"/>
      <c r="AM689" s="49"/>
      <c r="AN689" s="52" t="str">
        <f t="shared" si="5"/>
        <v>form,</v>
      </c>
    </row>
    <row r="690">
      <c r="A690" s="51"/>
      <c r="B690" s="50" t="s">
        <v>6424</v>
      </c>
      <c r="C690" s="50" t="s">
        <v>376</v>
      </c>
      <c r="D690" s="49" t="str">
        <f>IFERROR(__xludf.DUMMYFUNCTION("""COMPUTED_VALUE"""),"helps")</f>
        <v>helps</v>
      </c>
      <c r="E690" s="49"/>
      <c r="F690" s="49"/>
      <c r="G690" s="49"/>
      <c r="H690" s="54" t="str">
        <f t="shared" si="1"/>
        <v>mostly,</v>
      </c>
      <c r="I690" s="50"/>
      <c r="J690" s="50" t="s">
        <v>653</v>
      </c>
      <c r="K690" s="50" t="s">
        <v>1859</v>
      </c>
      <c r="L690" s="49" t="str">
        <f>IFERROR(__xludf.DUMMYFUNCTION("""COMPUTED_VALUE"""),"garcia")</f>
        <v>garcia</v>
      </c>
      <c r="M690" s="49"/>
      <c r="N690" s="49" t="str">
        <f>IFERROR(__xludf.DUMMYFUNCTION("""COMPUTED_VALUE"""),"losers")</f>
        <v>losers</v>
      </c>
      <c r="O690" s="49" t="str">
        <f>IFERROR(__xludf.DUMMYFUNCTION("""COMPUTED_VALUE"""),"musicals")</f>
        <v>musicals</v>
      </c>
      <c r="P690" s="49" t="str">
        <f t="shared" si="2"/>
        <v>without,</v>
      </c>
      <c r="Q690" s="49"/>
      <c r="R690" s="50" t="s">
        <v>2054</v>
      </c>
      <c r="S690" s="55" t="s">
        <v>6367</v>
      </c>
      <c r="T690" s="49" t="str">
        <f>IFERROR(__xludf.DUMMYFUNCTION("""COMPUTED_VALUE"""),"hollow")</f>
        <v>hollow</v>
      </c>
      <c r="U690" s="49"/>
      <c r="V690" s="49" t="str">
        <f>IFERROR(__xludf.DUMMYFUNCTION("""COMPUTED_VALUE"""),"abc")</f>
        <v>abc</v>
      </c>
      <c r="W690" s="49" t="str">
        <f>IFERROR(__xludf.DUMMYFUNCTION("""COMPUTED_VALUE"""),"visible")</f>
        <v>visible</v>
      </c>
      <c r="X690" s="49" t="str">
        <f t="shared" si="3"/>
        <v>over,</v>
      </c>
      <c r="Y690" s="49"/>
      <c r="Z690" s="1" t="s">
        <v>697</v>
      </c>
      <c r="AA690" s="1" t="s">
        <v>2514</v>
      </c>
      <c r="AB690" s="49" t="str">
        <f>IFERROR(__xludf.DUMMYFUNCTION("""COMPUTED_VALUE"""),"champion")</f>
        <v>champion</v>
      </c>
      <c r="AC690" s="49"/>
      <c r="AD690" s="49" t="str">
        <f>IFERROR(__xludf.DUMMYFUNCTION("""COMPUTED_VALUE"""),"losers")</f>
        <v>losers</v>
      </c>
      <c r="AE690" s="49" t="str">
        <f>IFERROR(__xludf.DUMMYFUNCTION("""COMPUTED_VALUE"""),"musicals")</f>
        <v>musicals</v>
      </c>
      <c r="AF690" s="49" t="str">
        <f t="shared" si="4"/>
        <v>right,</v>
      </c>
      <c r="AG690" s="49"/>
      <c r="AH690" s="1" t="s">
        <v>1179</v>
      </c>
      <c r="AI690" s="1" t="s">
        <v>225</v>
      </c>
      <c r="AJ690" s="6">
        <f>IFERROR(__xludf.DUMMYFUNCTION("""COMPUTED_VALUE"""),101.0)</f>
        <v>101</v>
      </c>
      <c r="AK690" s="49"/>
      <c r="AL690" s="49"/>
      <c r="AM690" s="49"/>
      <c r="AN690" s="52" t="str">
        <f t="shared" si="5"/>
        <v>addition,</v>
      </c>
    </row>
    <row r="691">
      <c r="A691" s="51"/>
      <c r="B691" s="50" t="s">
        <v>6736</v>
      </c>
      <c r="C691" s="50" t="s">
        <v>2276</v>
      </c>
      <c r="D691" s="49" t="str">
        <f>IFERROR(__xludf.DUMMYFUNCTION("""COMPUTED_VALUE"""),"overcome")</f>
        <v>overcome</v>
      </c>
      <c r="E691" s="49"/>
      <c r="F691" s="49"/>
      <c r="G691" s="49"/>
      <c r="H691" s="54" t="str">
        <f t="shared" si="1"/>
        <v>follows,</v>
      </c>
      <c r="I691" s="50"/>
      <c r="J691" s="50" t="s">
        <v>3420</v>
      </c>
      <c r="K691" s="50" t="s">
        <v>380</v>
      </c>
      <c r="L691" s="49" t="str">
        <f>IFERROR(__xludf.DUMMYFUNCTION("""COMPUTED_VALUE"""),"disappointment")</f>
        <v>disappointment</v>
      </c>
      <c r="M691" s="49"/>
      <c r="N691" s="49" t="str">
        <f>IFERROR(__xludf.DUMMYFUNCTION("""COMPUTED_VALUE"""),"spot")</f>
        <v>spot</v>
      </c>
      <c r="O691" s="49" t="str">
        <f>IFERROR(__xludf.DUMMYFUNCTION("""COMPUTED_VALUE"""),"cerebral")</f>
        <v>cerebral</v>
      </c>
      <c r="P691" s="49" t="str">
        <f t="shared" si="2"/>
        <v>neither,</v>
      </c>
      <c r="Q691" s="49"/>
      <c r="R691" s="50" t="s">
        <v>3027</v>
      </c>
      <c r="S691" s="55" t="s">
        <v>6368</v>
      </c>
      <c r="T691" s="49" t="str">
        <f>IFERROR(__xludf.DUMMYFUNCTION("""COMPUTED_VALUE"""),"missing")</f>
        <v>missing</v>
      </c>
      <c r="U691" s="49"/>
      <c r="V691" s="49" t="str">
        <f>IFERROR(__xludf.DUMMYFUNCTION("""COMPUTED_VALUE"""),"pin")</f>
        <v>pin</v>
      </c>
      <c r="W691" s="49" t="str">
        <f>IFERROR(__xludf.DUMMYFUNCTION("""COMPUTED_VALUE"""),"pathetic")</f>
        <v>pathetic</v>
      </c>
      <c r="X691" s="49" t="str">
        <f t="shared" si="3"/>
        <v>edge,</v>
      </c>
      <c r="Y691" s="49"/>
      <c r="Z691" s="1" t="s">
        <v>848</v>
      </c>
      <c r="AA691" s="1" t="s">
        <v>2145</v>
      </c>
      <c r="AB691" s="49" t="str">
        <f>IFERROR(__xludf.DUMMYFUNCTION("""COMPUTED_VALUE"""),"upper")</f>
        <v>upper</v>
      </c>
      <c r="AC691" s="49"/>
      <c r="AD691" s="49" t="str">
        <f>IFERROR(__xludf.DUMMYFUNCTION("""COMPUTED_VALUE"""),"spot")</f>
        <v>spot</v>
      </c>
      <c r="AE691" s="49" t="str">
        <f>IFERROR(__xludf.DUMMYFUNCTION("""COMPUTED_VALUE"""),"cerebral")</f>
        <v>cerebral</v>
      </c>
      <c r="AF691" s="49" t="str">
        <f t="shared" si="4"/>
        <v>wanted,</v>
      </c>
      <c r="AG691" s="49"/>
      <c r="AH691" s="1" t="s">
        <v>803</v>
      </c>
      <c r="AI691" s="1" t="s">
        <v>1436</v>
      </c>
      <c r="AJ691" s="6" t="str">
        <f>IFERROR(__xludf.DUMMYFUNCTION("""COMPUTED_VALUE"""),"line")</f>
        <v>line</v>
      </c>
      <c r="AK691" s="49"/>
      <c r="AL691" s="49"/>
      <c r="AM691" s="49"/>
      <c r="AN691" s="52" t="str">
        <f t="shared" si="5"/>
        <v>feature,</v>
      </c>
    </row>
    <row r="692">
      <c r="A692" s="51"/>
      <c r="B692" s="50" t="s">
        <v>3020</v>
      </c>
      <c r="C692" s="50" t="s">
        <v>6369</v>
      </c>
      <c r="D692" s="49" t="str">
        <f>IFERROR(__xludf.DUMMYFUNCTION("""COMPUTED_VALUE"""),"avoid")</f>
        <v>avoid</v>
      </c>
      <c r="E692" s="49"/>
      <c r="F692" s="49"/>
      <c r="G692" s="49"/>
      <c r="H692" s="54" t="str">
        <f t="shared" si="1"/>
        <v>liked,</v>
      </c>
      <c r="I692" s="50"/>
      <c r="J692" s="50" t="s">
        <v>1325</v>
      </c>
      <c r="K692" s="50" t="s">
        <v>2646</v>
      </c>
      <c r="L692" s="49" t="str">
        <f>IFERROR(__xludf.DUMMYFUNCTION("""COMPUTED_VALUE"""),"attach")</f>
        <v>attach</v>
      </c>
      <c r="M692" s="49"/>
      <c r="N692" s="49" t="str">
        <f>IFERROR(__xludf.DUMMYFUNCTION("""COMPUTED_VALUE"""),"suits")</f>
        <v>suits</v>
      </c>
      <c r="O692" s="49" t="str">
        <f>IFERROR(__xludf.DUMMYFUNCTION("""COMPUTED_VALUE"""),"diesel")</f>
        <v>diesel</v>
      </c>
      <c r="P692" s="49" t="str">
        <f t="shared" si="2"/>
        <v>book,</v>
      </c>
      <c r="Q692" s="49"/>
      <c r="R692" s="50" t="s">
        <v>3751</v>
      </c>
      <c r="S692" s="55" t="s">
        <v>1825</v>
      </c>
      <c r="T692" s="49" t="str">
        <f>IFERROR(__xludf.DUMMYFUNCTION("""COMPUTED_VALUE"""),"hold")</f>
        <v>hold</v>
      </c>
      <c r="U692" s="49"/>
      <c r="V692" s="49" t="str">
        <f>IFERROR(__xludf.DUMMYFUNCTION("""COMPUTED_VALUE"""),"placing")</f>
        <v>placing</v>
      </c>
      <c r="W692" s="49" t="str">
        <f>IFERROR(__xludf.DUMMYFUNCTION("""COMPUTED_VALUE"""),"conditioning")</f>
        <v>conditioning</v>
      </c>
      <c r="X692" s="49" t="str">
        <f t="shared" si="3"/>
        <v>walk,</v>
      </c>
      <c r="Y692" s="49"/>
      <c r="Z692" s="1" t="b">
        <v>1</v>
      </c>
      <c r="AA692" s="1" t="s">
        <v>2174</v>
      </c>
      <c r="AB692" s="49" t="str">
        <f>IFERROR(__xludf.DUMMYFUNCTION("""COMPUTED_VALUE"""),"equivalent")</f>
        <v>equivalent</v>
      </c>
      <c r="AC692" s="49"/>
      <c r="AD692" s="49" t="str">
        <f>IFERROR(__xludf.DUMMYFUNCTION("""COMPUTED_VALUE"""),"suits")</f>
        <v>suits</v>
      </c>
      <c r="AE692" s="49" t="str">
        <f>IFERROR(__xludf.DUMMYFUNCTION("""COMPUTED_VALUE"""),"diesel")</f>
        <v>diesel</v>
      </c>
      <c r="AF692" s="49" t="str">
        <f t="shared" si="4"/>
        <v>TRUE,</v>
      </c>
      <c r="AG692" s="49"/>
      <c r="AH692" s="1" t="s">
        <v>142</v>
      </c>
      <c r="AI692" s="1" t="s">
        <v>1972</v>
      </c>
      <c r="AJ692" s="6" t="str">
        <f>IFERROR(__xludf.DUMMYFUNCTION("""COMPUTED_VALUE"""),"system")</f>
        <v>system</v>
      </c>
      <c r="AK692" s="49"/>
      <c r="AL692" s="49"/>
      <c r="AM692" s="49"/>
      <c r="AN692" s="52" t="str">
        <f t="shared" si="5"/>
        <v>greatest,</v>
      </c>
    </row>
    <row r="693">
      <c r="A693" s="51"/>
      <c r="B693" s="50" t="s">
        <v>6663</v>
      </c>
      <c r="C693" s="50" t="s">
        <v>4112</v>
      </c>
      <c r="D693" s="49" t="str">
        <f>IFERROR(__xludf.DUMMYFUNCTION("""COMPUTED_VALUE"""),"fate")</f>
        <v>fate</v>
      </c>
      <c r="E693" s="49"/>
      <c r="F693" s="49"/>
      <c r="G693" s="49"/>
      <c r="H693" s="54" t="str">
        <f t="shared" si="1"/>
        <v>favorite,</v>
      </c>
      <c r="I693" s="50"/>
      <c r="J693" s="50" t="s">
        <v>2281</v>
      </c>
      <c r="K693" s="50" t="s">
        <v>387</v>
      </c>
      <c r="L693" s="49" t="str">
        <f>IFERROR(__xludf.DUMMYFUNCTION("""COMPUTED_VALUE"""),"solid")</f>
        <v>solid</v>
      </c>
      <c r="M693" s="49"/>
      <c r="N693" s="49" t="str">
        <f>IFERROR(__xludf.DUMMYFUNCTION("""COMPUTED_VALUE"""),"bathroom")</f>
        <v>bathroom</v>
      </c>
      <c r="O693" s="49" t="str">
        <f>IFERROR(__xludf.DUMMYFUNCTION("""COMPUTED_VALUE"""),"forwards")</f>
        <v>forwards</v>
      </c>
      <c r="P693" s="49" t="str">
        <f t="shared" si="2"/>
        <v>toward,</v>
      </c>
      <c r="Q693" s="49"/>
      <c r="R693" s="50" t="s">
        <v>6450</v>
      </c>
      <c r="S693" s="55" t="s">
        <v>308</v>
      </c>
      <c r="T693" s="49" t="str">
        <f>IFERROR(__xludf.DUMMYFUNCTION("""COMPUTED_VALUE"""),"audiences")</f>
        <v>audiences</v>
      </c>
      <c r="U693" s="49"/>
      <c r="V693" s="49" t="str">
        <f>IFERROR(__xludf.DUMMYFUNCTION("""COMPUTED_VALUE"""),"griffiths")</f>
        <v>griffiths</v>
      </c>
      <c r="W693" s="49" t="str">
        <f>IFERROR(__xludf.DUMMYFUNCTION("""COMPUTED_VALUE"""),"translating")</f>
        <v>translating</v>
      </c>
      <c r="X693" s="49" t="str">
        <f t="shared" si="3"/>
        <v>surprised,</v>
      </c>
      <c r="Y693" s="49"/>
      <c r="Z693" s="1" t="s">
        <v>3763</v>
      </c>
      <c r="AA693" s="1" t="s">
        <v>3101</v>
      </c>
      <c r="AB693" s="49" t="str">
        <f>IFERROR(__xludf.DUMMYFUNCTION("""COMPUTED_VALUE"""),"toilet")</f>
        <v>toilet</v>
      </c>
      <c r="AC693" s="49"/>
      <c r="AD693" s="49" t="str">
        <f>IFERROR(__xludf.DUMMYFUNCTION("""COMPUTED_VALUE"""),"bathroom")</f>
        <v>bathroom</v>
      </c>
      <c r="AE693" s="49" t="str">
        <f>IFERROR(__xludf.DUMMYFUNCTION("""COMPUTED_VALUE"""),"forwards")</f>
        <v>forwards</v>
      </c>
      <c r="AF693" s="49" t="str">
        <f t="shared" si="4"/>
        <v>weeks,</v>
      </c>
      <c r="AG693" s="49"/>
      <c r="AH693" s="1" t="s">
        <v>3293</v>
      </c>
      <c r="AI693" s="1" t="s">
        <v>2094</v>
      </c>
      <c r="AJ693" s="6" t="str">
        <f>IFERROR(__xludf.DUMMYFUNCTION("""COMPUTED_VALUE"""),"human")</f>
        <v>human</v>
      </c>
      <c r="AK693" s="49"/>
      <c r="AL693" s="49"/>
      <c r="AM693" s="49"/>
      <c r="AN693" s="52" t="str">
        <f t="shared" si="5"/>
        <v>studios,</v>
      </c>
    </row>
    <row r="694">
      <c r="A694" s="51"/>
      <c r="B694" s="50" t="s">
        <v>1776</v>
      </c>
      <c r="C694" s="50" t="s">
        <v>6370</v>
      </c>
      <c r="D694" s="49" t="str">
        <f>IFERROR(__xludf.DUMMYFUNCTION("""COMPUTED_VALUE"""),"run")</f>
        <v>run</v>
      </c>
      <c r="E694" s="49"/>
      <c r="F694" s="49"/>
      <c r="G694" s="49"/>
      <c r="H694" s="54" t="str">
        <f t="shared" si="1"/>
        <v>british,</v>
      </c>
      <c r="I694" s="50"/>
      <c r="J694" s="50" t="s">
        <v>6583</v>
      </c>
      <c r="K694" s="50" t="s">
        <v>394</v>
      </c>
      <c r="L694" s="49" t="str">
        <f>IFERROR(__xludf.DUMMYFUNCTION("""COMPUTED_VALUE"""),"minded")</f>
        <v>minded</v>
      </c>
      <c r="M694" s="49"/>
      <c r="N694" s="49" t="str">
        <f>IFERROR(__xludf.DUMMYFUNCTION("""COMPUTED_VALUE"""),"please")</f>
        <v>please</v>
      </c>
      <c r="O694" s="49" t="str">
        <f>IFERROR(__xludf.DUMMYFUNCTION("""COMPUTED_VALUE"""),"prism")</f>
        <v>prism</v>
      </c>
      <c r="P694" s="49" t="str">
        <f t="shared" si="2"/>
        <v>rocks,</v>
      </c>
      <c r="Q694" s="49"/>
      <c r="R694" s="50">
        <v>19.0</v>
      </c>
      <c r="S694" s="55" t="s">
        <v>2368</v>
      </c>
      <c r="T694" s="49" t="str">
        <f>IFERROR(__xludf.DUMMYFUNCTION("""COMPUTED_VALUE"""),"portions")</f>
        <v>portions</v>
      </c>
      <c r="U694" s="49"/>
      <c r="V694" s="49" t="str">
        <f>IFERROR(__xludf.DUMMYFUNCTION("""COMPUTED_VALUE"""),"plainly")</f>
        <v>plainly</v>
      </c>
      <c r="W694" s="49" t="str">
        <f>IFERROR(__xludf.DUMMYFUNCTION("""COMPUTED_VALUE"""),"prior")</f>
        <v>prior</v>
      </c>
      <c r="X694" s="49" t="str">
        <f t="shared" si="3"/>
        <v>19,</v>
      </c>
      <c r="Y694" s="49"/>
      <c r="Z694" s="1" t="s">
        <v>6424</v>
      </c>
      <c r="AA694" s="1" t="s">
        <v>490</v>
      </c>
      <c r="AB694" s="49" t="str">
        <f>IFERROR(__xludf.DUMMYFUNCTION("""COMPUTED_VALUE"""),"credibility")</f>
        <v>credibility</v>
      </c>
      <c r="AC694" s="49"/>
      <c r="AD694" s="49" t="str">
        <f>IFERROR(__xludf.DUMMYFUNCTION("""COMPUTED_VALUE"""),"please")</f>
        <v>please</v>
      </c>
      <c r="AE694" s="49" t="str">
        <f>IFERROR(__xludf.DUMMYFUNCTION("""COMPUTED_VALUE"""),"prism")</f>
        <v>prism</v>
      </c>
      <c r="AF694" s="49" t="str">
        <f t="shared" si="4"/>
        <v>mostly,</v>
      </c>
      <c r="AG694" s="49"/>
      <c r="AH694" s="1" t="s">
        <v>1143</v>
      </c>
      <c r="AI694" s="1" t="s">
        <v>960</v>
      </c>
      <c r="AJ694" s="6" t="str">
        <f>IFERROR(__xludf.DUMMYFUNCTION("""COMPUTED_VALUE"""),"arms")</f>
        <v>arms</v>
      </c>
      <c r="AK694" s="49"/>
      <c r="AL694" s="49"/>
      <c r="AM694" s="49"/>
      <c r="AN694" s="52" t="str">
        <f t="shared" si="5"/>
        <v>certainly,</v>
      </c>
    </row>
    <row r="695">
      <c r="A695" s="51"/>
      <c r="B695" s="50" t="s">
        <v>1659</v>
      </c>
      <c r="C695" s="50" t="s">
        <v>1502</v>
      </c>
      <c r="D695" s="49" t="str">
        <f>IFERROR(__xludf.DUMMYFUNCTION("""COMPUTED_VALUE"""),"cover")</f>
        <v>cover</v>
      </c>
      <c r="E695" s="49"/>
      <c r="F695" s="49"/>
      <c r="G695" s="49"/>
      <c r="H695" s="54" t="str">
        <f t="shared" si="1"/>
        <v>king,</v>
      </c>
      <c r="I695" s="50"/>
      <c r="J695" s="50" t="s">
        <v>3931</v>
      </c>
      <c r="K695" s="50" t="s">
        <v>1887</v>
      </c>
      <c r="L695" s="49" t="str">
        <f>IFERROR(__xludf.DUMMYFUNCTION("""COMPUTED_VALUE"""),"n")</f>
        <v>n</v>
      </c>
      <c r="M695" s="49"/>
      <c r="N695" s="49" t="str">
        <f>IFERROR(__xludf.DUMMYFUNCTION("""COMPUTED_VALUE"""),"dry")</f>
        <v>dry</v>
      </c>
      <c r="O695" s="49" t="str">
        <f>IFERROR(__xludf.DUMMYFUNCTION("""COMPUTED_VALUE"""),"themes")</f>
        <v>themes</v>
      </c>
      <c r="P695" s="49" t="str">
        <f t="shared" si="2"/>
        <v>themselves,</v>
      </c>
      <c r="Q695" s="49"/>
      <c r="R695" s="50" t="s">
        <v>2888</v>
      </c>
      <c r="S695" s="55" t="s">
        <v>2722</v>
      </c>
      <c r="T695" s="49" t="str">
        <f>IFERROR(__xludf.DUMMYFUNCTION("""COMPUTED_VALUE"""),"premise")</f>
        <v>premise</v>
      </c>
      <c r="U695" s="49"/>
      <c r="V695" s="49" t="str">
        <f>IFERROR(__xludf.DUMMYFUNCTION("""COMPUTED_VALUE"""),"exquisite")</f>
        <v>exquisite</v>
      </c>
      <c r="W695" s="49" t="str">
        <f>IFERROR(__xludf.DUMMYFUNCTION("""COMPUTED_VALUE"""),"hang")</f>
        <v>hang</v>
      </c>
      <c r="X695" s="49" t="str">
        <f t="shared" si="3"/>
        <v>success,</v>
      </c>
      <c r="Y695" s="49"/>
      <c r="Z695" s="1" t="s">
        <v>1789</v>
      </c>
      <c r="AA695" s="1" t="s">
        <v>2155</v>
      </c>
      <c r="AB695" s="49" t="str">
        <f>IFERROR(__xludf.DUMMYFUNCTION("""COMPUTED_VALUE"""),"lush")</f>
        <v>lush</v>
      </c>
      <c r="AC695" s="49"/>
      <c r="AD695" s="49" t="str">
        <f>IFERROR(__xludf.DUMMYFUNCTION("""COMPUTED_VALUE"""),"dry")</f>
        <v>dry</v>
      </c>
      <c r="AE695" s="49" t="str">
        <f>IFERROR(__xludf.DUMMYFUNCTION("""COMPUTED_VALUE"""),"themes")</f>
        <v>themes</v>
      </c>
      <c r="AF695" s="49" t="str">
        <f t="shared" si="4"/>
        <v>done,</v>
      </c>
      <c r="AG695" s="49"/>
      <c r="AH695" s="1" t="s">
        <v>937</v>
      </c>
      <c r="AI695" s="1" t="s">
        <v>527</v>
      </c>
      <c r="AJ695" s="6" t="str">
        <f>IFERROR(__xludf.DUMMYFUNCTION("""COMPUTED_VALUE"""),"race")</f>
        <v>race</v>
      </c>
      <c r="AK695" s="49"/>
      <c r="AL695" s="49"/>
      <c r="AM695" s="49"/>
      <c r="AN695" s="52" t="str">
        <f t="shared" si="5"/>
        <v>disney,</v>
      </c>
    </row>
    <row r="696">
      <c r="A696" s="51"/>
      <c r="B696" s="50" t="s">
        <v>1041</v>
      </c>
      <c r="C696" s="50" t="s">
        <v>2593</v>
      </c>
      <c r="D696" s="49" t="str">
        <f>IFERROR(__xludf.DUMMYFUNCTION("""COMPUTED_VALUE"""),"low")</f>
        <v>low</v>
      </c>
      <c r="E696" s="49"/>
      <c r="F696" s="49"/>
      <c r="G696" s="49"/>
      <c r="H696" s="54" t="str">
        <f t="shared" si="1"/>
        <v>current,</v>
      </c>
      <c r="I696" s="50"/>
      <c r="J696" s="50" t="s">
        <v>477</v>
      </c>
      <c r="K696" s="50" t="s">
        <v>474</v>
      </c>
      <c r="L696" s="49" t="str">
        <f>IFERROR(__xludf.DUMMYFUNCTION("""COMPUTED_VALUE"""),"color")</f>
        <v>color</v>
      </c>
      <c r="M696" s="49"/>
      <c r="N696" s="49" t="str">
        <f>IFERROR(__xludf.DUMMYFUNCTION("""COMPUTED_VALUE"""),"tradition")</f>
        <v>tradition</v>
      </c>
      <c r="O696" s="49" t="str">
        <f>IFERROR(__xludf.DUMMYFUNCTION("""COMPUTED_VALUE"""),"strands")</f>
        <v>strands</v>
      </c>
      <c r="P696" s="49" t="str">
        <f t="shared" si="2"/>
        <v>morning,</v>
      </c>
      <c r="Q696" s="49"/>
      <c r="R696" s="50" t="s">
        <v>1111</v>
      </c>
      <c r="S696" s="55" t="s">
        <v>2380</v>
      </c>
      <c r="T696" s="49" t="str">
        <f>IFERROR(__xludf.DUMMYFUNCTION("""COMPUTED_VALUE"""),"splendid")</f>
        <v>splendid</v>
      </c>
      <c r="U696" s="49"/>
      <c r="V696" s="49" t="str">
        <f>IFERROR(__xludf.DUMMYFUNCTION("""COMPUTED_VALUE"""),"ki")</f>
        <v>ki</v>
      </c>
      <c r="W696" s="49" t="str">
        <f>IFERROR(__xludf.DUMMYFUNCTION("""COMPUTED_VALUE"""),"expected")</f>
        <v>expected</v>
      </c>
      <c r="X696" s="49" t="str">
        <f t="shared" si="3"/>
        <v>note,</v>
      </c>
      <c r="Y696" s="49"/>
      <c r="Z696" s="1" t="s">
        <v>218</v>
      </c>
      <c r="AA696" s="1" t="s">
        <v>3111</v>
      </c>
      <c r="AB696" s="49" t="str">
        <f>IFERROR(__xludf.DUMMYFUNCTION("""COMPUTED_VALUE"""),"visuals")</f>
        <v>visuals</v>
      </c>
      <c r="AC696" s="49"/>
      <c r="AD696" s="49" t="str">
        <f>IFERROR(__xludf.DUMMYFUNCTION("""COMPUTED_VALUE"""),"tradition")</f>
        <v>tradition</v>
      </c>
      <c r="AE696" s="49" t="str">
        <f>IFERROR(__xludf.DUMMYFUNCTION("""COMPUTED_VALUE"""),"strands")</f>
        <v>strands</v>
      </c>
      <c r="AF696" s="49" t="str">
        <f t="shared" si="4"/>
        <v>cinema,</v>
      </c>
      <c r="AG696" s="49"/>
      <c r="AH696" s="1">
        <v>101.0</v>
      </c>
      <c r="AI696" s="1" t="s">
        <v>1215</v>
      </c>
      <c r="AJ696" s="6" t="str">
        <f>IFERROR(__xludf.DUMMYFUNCTION("""COMPUTED_VALUE"""),"events")</f>
        <v>events</v>
      </c>
      <c r="AK696" s="49"/>
      <c r="AL696" s="49"/>
      <c r="AM696" s="49"/>
      <c r="AN696" s="52" t="str">
        <f t="shared" si="5"/>
        <v>101,</v>
      </c>
    </row>
    <row r="697">
      <c r="A697" s="51"/>
      <c r="B697" s="50" t="s">
        <v>3065</v>
      </c>
      <c r="C697" s="50" t="s">
        <v>923</v>
      </c>
      <c r="D697" s="49" t="str">
        <f>IFERROR(__xludf.DUMMYFUNCTION("""COMPUTED_VALUE"""),"casual")</f>
        <v>casual</v>
      </c>
      <c r="E697" s="49"/>
      <c r="F697" s="49"/>
      <c r="G697" s="49"/>
      <c r="H697" s="54" t="str">
        <f t="shared" si="1"/>
        <v>effect,</v>
      </c>
      <c r="I697" s="50"/>
      <c r="J697" s="50" t="s">
        <v>1595</v>
      </c>
      <c r="K697" s="50" t="s">
        <v>1897</v>
      </c>
      <c r="L697" s="49" t="str">
        <f>IFERROR(__xludf.DUMMYFUNCTION("""COMPUTED_VALUE"""),"kinda")</f>
        <v>kinda</v>
      </c>
      <c r="M697" s="49"/>
      <c r="N697" s="49" t="str">
        <f>IFERROR(__xludf.DUMMYFUNCTION("""COMPUTED_VALUE"""),"thumping")</f>
        <v>thumping</v>
      </c>
      <c r="O697" s="49" t="str">
        <f>IFERROR(__xludf.DUMMYFUNCTION("""COMPUTED_VALUE"""),"inherently")</f>
        <v>inherently</v>
      </c>
      <c r="P697" s="49" t="str">
        <f t="shared" si="2"/>
        <v>saturday,</v>
      </c>
      <c r="Q697" s="49"/>
      <c r="R697" s="50" t="s">
        <v>234</v>
      </c>
      <c r="S697" s="55" t="s">
        <v>2382</v>
      </c>
      <c r="T697" s="49" t="str">
        <f>IFERROR(__xludf.DUMMYFUNCTION("""COMPUTED_VALUE"""),"despite")</f>
        <v>despite</v>
      </c>
      <c r="U697" s="49"/>
      <c r="V697" s="49">
        <f>IFERROR(__xludf.DUMMYFUNCTION("""COMPUTED_VALUE"""),52.0)</f>
        <v>52</v>
      </c>
      <c r="W697" s="49" t="str">
        <f>IFERROR(__xludf.DUMMYFUNCTION("""COMPUTED_VALUE"""),"croatia")</f>
        <v>croatia</v>
      </c>
      <c r="X697" s="49" t="str">
        <f t="shared" si="3"/>
        <v>small,</v>
      </c>
      <c r="Y697" s="49"/>
      <c r="Z697" s="1" t="s">
        <v>3816</v>
      </c>
      <c r="AA697" s="1" t="s">
        <v>808</v>
      </c>
      <c r="AB697" s="49" t="str">
        <f>IFERROR(__xludf.DUMMYFUNCTION("""COMPUTED_VALUE"""),"lesser")</f>
        <v>lesser</v>
      </c>
      <c r="AC697" s="49"/>
      <c r="AD697" s="49" t="str">
        <f>IFERROR(__xludf.DUMMYFUNCTION("""COMPUTED_VALUE"""),"thumping")</f>
        <v>thumping</v>
      </c>
      <c r="AE697" s="49" t="str">
        <f>IFERROR(__xludf.DUMMYFUNCTION("""COMPUTED_VALUE"""),"inherently")</f>
        <v>inherently</v>
      </c>
      <c r="AF697" s="49" t="str">
        <f t="shared" si="4"/>
        <v>chan,</v>
      </c>
      <c r="AG697" s="49"/>
      <c r="AH697" s="1" t="s">
        <v>1005</v>
      </c>
      <c r="AI697" s="1" t="s">
        <v>1391</v>
      </c>
      <c r="AJ697" s="6" t="str">
        <f>IFERROR(__xludf.DUMMYFUNCTION("""COMPUTED_VALUE"""),"possible")</f>
        <v>possible</v>
      </c>
      <c r="AK697" s="49"/>
      <c r="AL697" s="49"/>
      <c r="AM697" s="49"/>
      <c r="AN697" s="52" t="str">
        <f t="shared" si="5"/>
        <v>line,</v>
      </c>
    </row>
    <row r="698">
      <c r="A698" s="51"/>
      <c r="B698" s="50" t="s">
        <v>6893</v>
      </c>
      <c r="C698" s="50" t="s">
        <v>1509</v>
      </c>
      <c r="D698" s="49" t="str">
        <f>IFERROR(__xludf.DUMMYFUNCTION("""COMPUTED_VALUE"""),"walked")</f>
        <v>walked</v>
      </c>
      <c r="E698" s="49"/>
      <c r="F698" s="49"/>
      <c r="G698" s="49"/>
      <c r="H698" s="54" t="str">
        <f t="shared" si="1"/>
        <v>crossed,</v>
      </c>
      <c r="I698" s="50"/>
      <c r="J698" s="50" t="s">
        <v>1726</v>
      </c>
      <c r="K698" s="50" t="s">
        <v>3118</v>
      </c>
      <c r="L698" s="49" t="str">
        <f>IFERROR(__xludf.DUMMYFUNCTION("""COMPUTED_VALUE"""),"runs")</f>
        <v>runs</v>
      </c>
      <c r="M698" s="49"/>
      <c r="N698" s="49" t="str">
        <f>IFERROR(__xludf.DUMMYFUNCTION("""COMPUTED_VALUE"""),"disco")</f>
        <v>disco</v>
      </c>
      <c r="O698" s="49" t="str">
        <f>IFERROR(__xludf.DUMMYFUNCTION("""COMPUTED_VALUE"""),"innocent")</f>
        <v>innocent</v>
      </c>
      <c r="P698" s="49" t="str">
        <f t="shared" si="2"/>
        <v>band,</v>
      </c>
      <c r="Q698" s="49"/>
      <c r="R698" s="50" t="s">
        <v>1115</v>
      </c>
      <c r="S698" s="55" t="s">
        <v>1223</v>
      </c>
      <c r="T698" s="49" t="str">
        <f>IFERROR(__xludf.DUMMYFUNCTION("""COMPUTED_VALUE"""),"domestic")</f>
        <v>domestic</v>
      </c>
      <c r="U698" s="49"/>
      <c r="V698" s="49" t="str">
        <f>IFERROR(__xludf.DUMMYFUNCTION("""COMPUTED_VALUE"""),"scope")</f>
        <v>scope</v>
      </c>
      <c r="W698" s="49" t="str">
        <f>IFERROR(__xludf.DUMMYFUNCTION("""COMPUTED_VALUE"""),"dong")</f>
        <v>dong</v>
      </c>
      <c r="X698" s="49" t="str">
        <f t="shared" si="3"/>
        <v>dim,</v>
      </c>
      <c r="Y698" s="49"/>
      <c r="Z698" s="1" t="s">
        <v>2421</v>
      </c>
      <c r="AA698" s="1" t="s">
        <v>2160</v>
      </c>
      <c r="AB698" s="49" t="str">
        <f>IFERROR(__xludf.DUMMYFUNCTION("""COMPUTED_VALUE"""),"astonishing")</f>
        <v>astonishing</v>
      </c>
      <c r="AC698" s="49"/>
      <c r="AD698" s="49" t="str">
        <f>IFERROR(__xludf.DUMMYFUNCTION("""COMPUTED_VALUE"""),"disco")</f>
        <v>disco</v>
      </c>
      <c r="AE698" s="49" t="str">
        <f>IFERROR(__xludf.DUMMYFUNCTION("""COMPUTED_VALUE"""),"innocent")</f>
        <v>innocent</v>
      </c>
      <c r="AF698" s="49" t="str">
        <f t="shared" si="4"/>
        <v>spell,</v>
      </c>
      <c r="AG698" s="49"/>
      <c r="AH698" s="1" t="s">
        <v>1571</v>
      </c>
      <c r="AI698" s="1" t="s">
        <v>1840</v>
      </c>
      <c r="AJ698" s="6" t="str">
        <f>IFERROR(__xludf.DUMMYFUNCTION("""COMPUTED_VALUE"""),"future")</f>
        <v>future</v>
      </c>
      <c r="AK698" s="49"/>
      <c r="AL698" s="49"/>
      <c r="AM698" s="49"/>
      <c r="AN698" s="52" t="str">
        <f t="shared" si="5"/>
        <v>system,</v>
      </c>
    </row>
    <row r="699">
      <c r="A699" s="51"/>
      <c r="B699" s="50" t="s">
        <v>6948</v>
      </c>
      <c r="C699" s="50" t="s">
        <v>2599</v>
      </c>
      <c r="D699" s="49" t="str">
        <f>IFERROR(__xludf.DUMMYFUNCTION("""COMPUTED_VALUE"""),"terrible")</f>
        <v>terrible</v>
      </c>
      <c r="E699" s="49"/>
      <c r="F699" s="49"/>
      <c r="G699" s="49"/>
      <c r="H699" s="54" t="str">
        <f t="shared" si="1"/>
        <v>anna,</v>
      </c>
      <c r="I699" s="50"/>
      <c r="J699" s="50" t="s">
        <v>527</v>
      </c>
      <c r="K699" s="50" t="s">
        <v>481</v>
      </c>
      <c r="L699" s="49" t="str">
        <f>IFERROR(__xludf.DUMMYFUNCTION("""COMPUTED_VALUE"""),"molly")</f>
        <v>molly</v>
      </c>
      <c r="M699" s="49"/>
      <c r="N699" s="49" t="str">
        <f>IFERROR(__xludf.DUMMYFUNCTION("""COMPUTED_VALUE"""),"buzz")</f>
        <v>buzz</v>
      </c>
      <c r="O699" s="49" t="str">
        <f>IFERROR(__xludf.DUMMYFUNCTION("""COMPUTED_VALUE"""),"betrayal")</f>
        <v>betrayal</v>
      </c>
      <c r="P699" s="49" t="str">
        <f t="shared" si="2"/>
        <v>debut,</v>
      </c>
      <c r="Q699" s="49"/>
      <c r="R699" s="50" t="s">
        <v>2278</v>
      </c>
      <c r="S699" s="55" t="s">
        <v>2392</v>
      </c>
      <c r="T699" s="49" t="str">
        <f>IFERROR(__xludf.DUMMYFUNCTION("""COMPUTED_VALUE"""),"somehow")</f>
        <v>somehow</v>
      </c>
      <c r="U699" s="49"/>
      <c r="V699" s="49" t="str">
        <f>IFERROR(__xludf.DUMMYFUNCTION("""COMPUTED_VALUE"""),"lock")</f>
        <v>lock</v>
      </c>
      <c r="W699" s="49" t="str">
        <f>IFERROR(__xludf.DUMMYFUNCTION("""COMPUTED_VALUE"""),"eyre")</f>
        <v>eyre</v>
      </c>
      <c r="X699" s="49" t="str">
        <f t="shared" si="3"/>
        <v>sweet,</v>
      </c>
      <c r="Y699" s="49"/>
      <c r="Z699" s="1" t="s">
        <v>4089</v>
      </c>
      <c r="AA699" s="1" t="s">
        <v>949</v>
      </c>
      <c r="AB699" s="49" t="str">
        <f>IFERROR(__xludf.DUMMYFUNCTION("""COMPUTED_VALUE"""),"demonstrates")</f>
        <v>demonstrates</v>
      </c>
      <c r="AC699" s="49"/>
      <c r="AD699" s="49" t="str">
        <f>IFERROR(__xludf.DUMMYFUNCTION("""COMPUTED_VALUE"""),"buzz")</f>
        <v>buzz</v>
      </c>
      <c r="AE699" s="49" t="str">
        <f>IFERROR(__xludf.DUMMYFUNCTION("""COMPUTED_VALUE"""),"betrayal")</f>
        <v>betrayal</v>
      </c>
      <c r="AF699" s="49" t="str">
        <f t="shared" si="4"/>
        <v>rush,</v>
      </c>
      <c r="AG699" s="49"/>
      <c r="AH699" s="1" t="s">
        <v>40</v>
      </c>
      <c r="AI699" s="1" t="s">
        <v>2496</v>
      </c>
      <c r="AJ699" s="6" t="str">
        <f>IFERROR(__xludf.DUMMYFUNCTION("""COMPUTED_VALUE"""),"cause")</f>
        <v>cause</v>
      </c>
      <c r="AK699" s="49"/>
      <c r="AL699" s="49"/>
      <c r="AM699" s="49"/>
      <c r="AN699" s="52" t="str">
        <f t="shared" si="5"/>
        <v>human,</v>
      </c>
    </row>
    <row r="700">
      <c r="A700" s="51"/>
      <c r="B700" s="50" t="s">
        <v>3443</v>
      </c>
      <c r="C700" s="50" t="s">
        <v>1547</v>
      </c>
      <c r="D700" s="49" t="str">
        <f>IFERROR(__xludf.DUMMYFUNCTION("""COMPUTED_VALUE"""),"stage")</f>
        <v>stage</v>
      </c>
      <c r="E700" s="49"/>
      <c r="F700" s="49"/>
      <c r="G700" s="49"/>
      <c r="H700" s="54" t="str">
        <f t="shared" si="1"/>
        <v>productions,</v>
      </c>
      <c r="I700" s="50"/>
      <c r="J700" s="50" t="s">
        <v>1739</v>
      </c>
      <c r="K700" s="50" t="s">
        <v>2667</v>
      </c>
      <c r="L700" s="49" t="str">
        <f>IFERROR(__xludf.DUMMYFUNCTION("""COMPUTED_VALUE"""),"inner")</f>
        <v>inner</v>
      </c>
      <c r="M700" s="49"/>
      <c r="N700" s="49" t="str">
        <f>IFERROR(__xludf.DUMMYFUNCTION("""COMPUTED_VALUE"""),"pick")</f>
        <v>pick</v>
      </c>
      <c r="O700" s="49" t="str">
        <f>IFERROR(__xludf.DUMMYFUNCTION("""COMPUTED_VALUE"""),"accuse")</f>
        <v>accuse</v>
      </c>
      <c r="P700" s="49" t="str">
        <f t="shared" si="2"/>
        <v>simply,</v>
      </c>
      <c r="Q700" s="49"/>
      <c r="R700" s="50" t="s">
        <v>4478</v>
      </c>
      <c r="S700" s="55" t="s">
        <v>1618</v>
      </c>
      <c r="T700" s="49" t="str">
        <f>IFERROR(__xludf.DUMMYFUNCTION("""COMPUTED_VALUE"""),"bucks")</f>
        <v>bucks</v>
      </c>
      <c r="U700" s="49"/>
      <c r="V700" s="49" t="str">
        <f>IFERROR(__xludf.DUMMYFUNCTION("""COMPUTED_VALUE"""),"gen")</f>
        <v>gen</v>
      </c>
      <c r="W700" s="49" t="str">
        <f>IFERROR(__xludf.DUMMYFUNCTION("""COMPUTED_VALUE"""),"interior")</f>
        <v>interior</v>
      </c>
      <c r="X700" s="49" t="str">
        <f t="shared" si="3"/>
        <v>ten,</v>
      </c>
      <c r="Y700" s="49"/>
      <c r="Z700" s="1" t="s">
        <v>2796</v>
      </c>
      <c r="AA700" s="1" t="s">
        <v>2194</v>
      </c>
      <c r="AB700" s="49" t="str">
        <f>IFERROR(__xludf.DUMMYFUNCTION("""COMPUTED_VALUE"""),"caine")</f>
        <v>caine</v>
      </c>
      <c r="AC700" s="49"/>
      <c r="AD700" s="49" t="str">
        <f>IFERROR(__xludf.DUMMYFUNCTION("""COMPUTED_VALUE"""),"pick")</f>
        <v>pick</v>
      </c>
      <c r="AE700" s="49" t="str">
        <f>IFERROR(__xludf.DUMMYFUNCTION("""COMPUTED_VALUE"""),"accuse")</f>
        <v>accuse</v>
      </c>
      <c r="AF700" s="49" t="str">
        <f t="shared" si="4"/>
        <v>visually,</v>
      </c>
      <c r="AG700" s="49"/>
      <c r="AH700" s="1" t="s">
        <v>2713</v>
      </c>
      <c r="AI700" s="1" t="s">
        <v>2492</v>
      </c>
      <c r="AJ700" s="6" t="str">
        <f>IFERROR(__xludf.DUMMYFUNCTION("""COMPUTED_VALUE"""),"happen")</f>
        <v>happen</v>
      </c>
      <c r="AK700" s="49"/>
      <c r="AL700" s="49"/>
      <c r="AM700" s="49"/>
      <c r="AN700" s="52" t="str">
        <f t="shared" si="5"/>
        <v>arms,</v>
      </c>
    </row>
    <row r="701">
      <c r="A701" s="51"/>
      <c r="B701" s="50" t="s">
        <v>4089</v>
      </c>
      <c r="C701" s="50" t="s">
        <v>697</v>
      </c>
      <c r="D701" s="49" t="str">
        <f>IFERROR(__xludf.DUMMYFUNCTION("""COMPUTED_VALUE"""),"chicago")</f>
        <v>chicago</v>
      </c>
      <c r="E701" s="49"/>
      <c r="F701" s="49"/>
      <c r="G701" s="49"/>
      <c r="H701" s="54" t="str">
        <f t="shared" si="1"/>
        <v>rush,</v>
      </c>
      <c r="I701" s="50"/>
      <c r="J701" s="50" t="s">
        <v>3792</v>
      </c>
      <c r="K701" s="50" t="s">
        <v>1924</v>
      </c>
      <c r="L701" s="49" t="str">
        <f>IFERROR(__xludf.DUMMYFUNCTION("""COMPUTED_VALUE"""),"backdrop")</f>
        <v>backdrop</v>
      </c>
      <c r="M701" s="49"/>
      <c r="N701" s="49" t="str">
        <f>IFERROR(__xludf.DUMMYFUNCTION("""COMPUTED_VALUE"""),"thank")</f>
        <v>thank</v>
      </c>
      <c r="O701" s="49" t="str">
        <f>IFERROR(__xludf.DUMMYFUNCTION("""COMPUTED_VALUE"""),"kung")</f>
        <v>kung</v>
      </c>
      <c r="P701" s="49" t="str">
        <f t="shared" si="2"/>
        <v>ends,</v>
      </c>
      <c r="Q701" s="49"/>
      <c r="R701" s="50" t="s">
        <v>876</v>
      </c>
      <c r="S701" s="55" t="s">
        <v>398</v>
      </c>
      <c r="T701" s="49" t="str">
        <f>IFERROR(__xludf.DUMMYFUNCTION("""COMPUTED_VALUE"""),"sheridan")</f>
        <v>sheridan</v>
      </c>
      <c r="U701" s="49"/>
      <c r="V701" s="49" t="str">
        <f>IFERROR(__xludf.DUMMYFUNCTION("""COMPUTED_VALUE"""),"brightly")</f>
        <v>brightly</v>
      </c>
      <c r="W701" s="49" t="str">
        <f>IFERROR(__xludf.DUMMYFUNCTION("""COMPUTED_VALUE"""),"examine")</f>
        <v>examine</v>
      </c>
      <c r="X701" s="49" t="str">
        <f t="shared" si="3"/>
        <v>wearing,</v>
      </c>
      <c r="Y701" s="49"/>
      <c r="Z701" s="1" t="s">
        <v>1041</v>
      </c>
      <c r="AA701" s="1" t="s">
        <v>2484</v>
      </c>
      <c r="AB701" s="49" t="str">
        <f>IFERROR(__xludf.DUMMYFUNCTION("""COMPUTED_VALUE"""),"expects")</f>
        <v>expects</v>
      </c>
      <c r="AC701" s="49"/>
      <c r="AD701" s="49" t="str">
        <f>IFERROR(__xludf.DUMMYFUNCTION("""COMPUTED_VALUE"""),"thank")</f>
        <v>thank</v>
      </c>
      <c r="AE701" s="49" t="str">
        <f>IFERROR(__xludf.DUMMYFUNCTION("""COMPUTED_VALUE"""),"kung")</f>
        <v>kung</v>
      </c>
      <c r="AF701" s="49" t="str">
        <f t="shared" si="4"/>
        <v>current,</v>
      </c>
      <c r="AG701" s="49"/>
      <c r="AH701" s="1" t="s">
        <v>4912</v>
      </c>
      <c r="AI701" s="1" t="s">
        <v>6361</v>
      </c>
      <c r="AJ701" s="6" t="str">
        <f>IFERROR(__xludf.DUMMYFUNCTION("""COMPUTED_VALUE"""),"documentary")</f>
        <v>documentary</v>
      </c>
      <c r="AK701" s="49"/>
      <c r="AL701" s="49"/>
      <c r="AM701" s="49"/>
      <c r="AN701" s="52" t="str">
        <f t="shared" si="5"/>
        <v>race,</v>
      </c>
    </row>
    <row r="702">
      <c r="A702" s="51"/>
      <c r="B702" s="50" t="s">
        <v>218</v>
      </c>
      <c r="C702" s="50" t="s">
        <v>582</v>
      </c>
      <c r="D702" s="49" t="str">
        <f>IFERROR(__xludf.DUMMYFUNCTION("""COMPUTED_VALUE"""),"screen")</f>
        <v>screen</v>
      </c>
      <c r="E702" s="49"/>
      <c r="F702" s="49"/>
      <c r="G702" s="49"/>
      <c r="H702" s="54" t="str">
        <f t="shared" si="1"/>
        <v>cinema,</v>
      </c>
      <c r="I702" s="50"/>
      <c r="J702" s="50" t="s">
        <v>613</v>
      </c>
      <c r="K702" s="50" t="s">
        <v>3130</v>
      </c>
      <c r="L702" s="49" t="str">
        <f>IFERROR(__xludf.DUMMYFUNCTION("""COMPUTED_VALUE"""),"lynch")</f>
        <v>lynch</v>
      </c>
      <c r="M702" s="49"/>
      <c r="N702" s="49" t="str">
        <f>IFERROR(__xludf.DUMMYFUNCTION("""COMPUTED_VALUE"""),"service")</f>
        <v>service</v>
      </c>
      <c r="O702" s="49" t="str">
        <f>IFERROR(__xludf.DUMMYFUNCTION("""COMPUTED_VALUE"""),"sick")</f>
        <v>sick</v>
      </c>
      <c r="P702" s="49" t="str">
        <f t="shared" si="2"/>
        <v>animated,</v>
      </c>
      <c r="Q702" s="49"/>
      <c r="R702" s="50" t="s">
        <v>1220</v>
      </c>
      <c r="S702" s="55" t="s">
        <v>2427</v>
      </c>
      <c r="T702" s="49" t="str">
        <f>IFERROR(__xludf.DUMMYFUNCTION("""COMPUTED_VALUE"""),"escort")</f>
        <v>escort</v>
      </c>
      <c r="U702" s="49"/>
      <c r="V702" s="49">
        <f>IFERROR(__xludf.DUMMYFUNCTION("""COMPUTED_VALUE"""),91.0)</f>
        <v>91</v>
      </c>
      <c r="W702" s="49" t="str">
        <f>IFERROR(__xludf.DUMMYFUNCTION("""COMPUTED_VALUE"""),"arguments")</f>
        <v>arguments</v>
      </c>
      <c r="X702" s="49" t="str">
        <f t="shared" si="3"/>
        <v>em,</v>
      </c>
      <c r="Y702" s="49"/>
      <c r="Z702" s="1" t="s">
        <v>3065</v>
      </c>
      <c r="AA702" s="1" t="s">
        <v>3127</v>
      </c>
      <c r="AB702" s="49" t="str">
        <f>IFERROR(__xludf.DUMMYFUNCTION("""COMPUTED_VALUE"""),"disguised")</f>
        <v>disguised</v>
      </c>
      <c r="AC702" s="49"/>
      <c r="AD702" s="49" t="str">
        <f>IFERROR(__xludf.DUMMYFUNCTION("""COMPUTED_VALUE"""),"service")</f>
        <v>service</v>
      </c>
      <c r="AE702" s="49" t="str">
        <f>IFERROR(__xludf.DUMMYFUNCTION("""COMPUTED_VALUE"""),"sick")</f>
        <v>sick</v>
      </c>
      <c r="AF702" s="49" t="str">
        <f t="shared" si="4"/>
        <v>effect,</v>
      </c>
      <c r="AG702" s="49"/>
      <c r="AH702" s="1" t="s">
        <v>3305</v>
      </c>
      <c r="AI702" s="1" t="s">
        <v>6362</v>
      </c>
      <c r="AJ702" s="6" t="str">
        <f>IFERROR(__xludf.DUMMYFUNCTION("""COMPUTED_VALUE"""),"dated")</f>
        <v>dated</v>
      </c>
      <c r="AK702" s="49"/>
      <c r="AL702" s="49"/>
      <c r="AM702" s="49"/>
      <c r="AN702" s="52" t="str">
        <f t="shared" si="5"/>
        <v>events,</v>
      </c>
    </row>
    <row r="703">
      <c r="A703" s="51"/>
      <c r="B703" s="50" t="s">
        <v>2421</v>
      </c>
      <c r="C703" s="50" t="s">
        <v>546</v>
      </c>
      <c r="D703" s="49" t="str">
        <f>IFERROR(__xludf.DUMMYFUNCTION("""COMPUTED_VALUE"""),"transition")</f>
        <v>transition</v>
      </c>
      <c r="E703" s="49"/>
      <c r="F703" s="49"/>
      <c r="G703" s="49"/>
      <c r="H703" s="54" t="str">
        <f t="shared" si="1"/>
        <v>spell,</v>
      </c>
      <c r="I703" s="50"/>
      <c r="J703" s="50" t="s">
        <v>1448</v>
      </c>
      <c r="K703" s="50" t="s">
        <v>2833</v>
      </c>
      <c r="L703" s="49" t="str">
        <f>IFERROR(__xludf.DUMMYFUNCTION("""COMPUTED_VALUE"""),"nick")</f>
        <v>nick</v>
      </c>
      <c r="M703" s="49"/>
      <c r="N703" s="49" t="str">
        <f>IFERROR(__xludf.DUMMYFUNCTION("""COMPUTED_VALUE"""),"talked")</f>
        <v>talked</v>
      </c>
      <c r="O703" s="49" t="str">
        <f>IFERROR(__xludf.DUMMYFUNCTION("""COMPUTED_VALUE"""),"african")</f>
        <v>african</v>
      </c>
      <c r="P703" s="49" t="str">
        <f t="shared" si="2"/>
        <v>pop,</v>
      </c>
      <c r="Q703" s="49"/>
      <c r="R703" s="50" t="s">
        <v>1032</v>
      </c>
      <c r="S703" s="55" t="s">
        <v>315</v>
      </c>
      <c r="T703" s="49" t="str">
        <f>IFERROR(__xludf.DUMMYFUNCTION("""COMPUTED_VALUE"""),"chances")</f>
        <v>chances</v>
      </c>
      <c r="U703" s="49"/>
      <c r="V703" s="49" t="str">
        <f>IFERROR(__xludf.DUMMYFUNCTION("""COMPUTED_VALUE"""),"reassuring")</f>
        <v>reassuring</v>
      </c>
      <c r="W703" s="49" t="str">
        <f>IFERROR(__xludf.DUMMYFUNCTION("""COMPUTED_VALUE"""),"hoffman")</f>
        <v>hoffman</v>
      </c>
      <c r="X703" s="49" t="str">
        <f t="shared" si="3"/>
        <v>bottom,</v>
      </c>
      <c r="Y703" s="49"/>
      <c r="Z703" s="1" t="s">
        <v>1659</v>
      </c>
      <c r="AA703" s="1" t="s">
        <v>2164</v>
      </c>
      <c r="AB703" s="49" t="str">
        <f>IFERROR(__xludf.DUMMYFUNCTION("""COMPUTED_VALUE"""),"spielberg")</f>
        <v>spielberg</v>
      </c>
      <c r="AC703" s="49"/>
      <c r="AD703" s="49" t="str">
        <f>IFERROR(__xludf.DUMMYFUNCTION("""COMPUTED_VALUE"""),"talked")</f>
        <v>talked</v>
      </c>
      <c r="AE703" s="49" t="str">
        <f>IFERROR(__xludf.DUMMYFUNCTION("""COMPUTED_VALUE"""),"african")</f>
        <v>african</v>
      </c>
      <c r="AF703" s="49" t="str">
        <f t="shared" si="4"/>
        <v>king,</v>
      </c>
      <c r="AG703" s="49"/>
      <c r="AH703" s="1" t="s">
        <v>2112</v>
      </c>
      <c r="AI703" s="1" t="s">
        <v>2504</v>
      </c>
      <c r="AJ703" s="6" t="str">
        <f>IFERROR(__xludf.DUMMYFUNCTION("""COMPUTED_VALUE"""),"bible")</f>
        <v>bible</v>
      </c>
      <c r="AK703" s="49"/>
      <c r="AL703" s="49"/>
      <c r="AM703" s="49"/>
      <c r="AN703" s="52" t="str">
        <f t="shared" si="5"/>
        <v>possible,</v>
      </c>
    </row>
    <row r="704">
      <c r="A704" s="51"/>
      <c r="B704" s="50" t="s">
        <v>4051</v>
      </c>
      <c r="C704" s="50" t="s">
        <v>689</v>
      </c>
      <c r="D704" s="49" t="str">
        <f>IFERROR(__xludf.DUMMYFUNCTION("""COMPUTED_VALUE"""),"next")</f>
        <v>next</v>
      </c>
      <c r="E704" s="49"/>
      <c r="F704" s="49"/>
      <c r="G704" s="49"/>
      <c r="H704" s="54" t="str">
        <f t="shared" si="1"/>
        <v>adventures,</v>
      </c>
      <c r="I704" s="50"/>
      <c r="J704" s="50" t="s">
        <v>1482</v>
      </c>
      <c r="K704" s="50" t="s">
        <v>3135</v>
      </c>
      <c r="L704" s="49" t="str">
        <f>IFERROR(__xludf.DUMMYFUNCTION("""COMPUTED_VALUE"""),"bride")</f>
        <v>bride</v>
      </c>
      <c r="M704" s="49"/>
      <c r="N704" s="49" t="str">
        <f>IFERROR(__xludf.DUMMYFUNCTION("""COMPUTED_VALUE"""),"reached")</f>
        <v>reached</v>
      </c>
      <c r="O704" s="49" t="str">
        <f>IFERROR(__xludf.DUMMYFUNCTION("""COMPUTED_VALUE"""),"odds")</f>
        <v>odds</v>
      </c>
      <c r="P704" s="49" t="str">
        <f t="shared" si="2"/>
        <v>merely,</v>
      </c>
      <c r="Q704" s="49"/>
      <c r="R704" s="50" t="s">
        <v>905</v>
      </c>
      <c r="S704" s="55" t="s">
        <v>3015</v>
      </c>
      <c r="T704" s="49" t="str">
        <f>IFERROR(__xludf.DUMMYFUNCTION("""COMPUTED_VALUE"""),"fan")</f>
        <v>fan</v>
      </c>
      <c r="U704" s="49"/>
      <c r="V704" s="49" t="str">
        <f>IFERROR(__xludf.DUMMYFUNCTION("""COMPUTED_VALUE"""),"mcdonald")</f>
        <v>mcdonald</v>
      </c>
      <c r="W704" s="49" t="str">
        <f>IFERROR(__xludf.DUMMYFUNCTION("""COMPUTED_VALUE"""),"newcomer")</f>
        <v>newcomer</v>
      </c>
      <c r="X704" s="49" t="str">
        <f t="shared" si="3"/>
        <v>noir,</v>
      </c>
      <c r="Y704" s="49"/>
      <c r="Z704" s="1" t="s">
        <v>6484</v>
      </c>
      <c r="AA704" s="1" t="s">
        <v>2199</v>
      </c>
      <c r="AB704" s="49" t="str">
        <f>IFERROR(__xludf.DUMMYFUNCTION("""COMPUTED_VALUE"""),"marvel")</f>
        <v>marvel</v>
      </c>
      <c r="AC704" s="49"/>
      <c r="AD704" s="49" t="str">
        <f>IFERROR(__xludf.DUMMYFUNCTION("""COMPUTED_VALUE"""),"reached")</f>
        <v>reached</v>
      </c>
      <c r="AE704" s="49" t="str">
        <f>IFERROR(__xludf.DUMMYFUNCTION("""COMPUTED_VALUE"""),"odds")</f>
        <v>odds</v>
      </c>
      <c r="AF704" s="49" t="str">
        <f t="shared" si="4"/>
        <v>jackie,</v>
      </c>
      <c r="AG704" s="49"/>
      <c r="AH704" s="1" t="s">
        <v>6398</v>
      </c>
      <c r="AI704" s="1" t="s">
        <v>6353</v>
      </c>
      <c r="AJ704" s="6" t="str">
        <f>IFERROR(__xludf.DUMMYFUNCTION("""COMPUTED_VALUE"""),"badly")</f>
        <v>badly</v>
      </c>
      <c r="AK704" s="49"/>
      <c r="AL704" s="49"/>
      <c r="AM704" s="49"/>
      <c r="AN704" s="52" t="str">
        <f t="shared" si="5"/>
        <v>future,</v>
      </c>
    </row>
    <row r="705">
      <c r="A705" s="51"/>
      <c r="B705" s="50" t="s">
        <v>3816</v>
      </c>
      <c r="C705" s="50" t="s">
        <v>6372</v>
      </c>
      <c r="D705" s="49" t="str">
        <f>IFERROR(__xludf.DUMMYFUNCTION("""COMPUTED_VALUE"""),"sitting")</f>
        <v>sitting</v>
      </c>
      <c r="E705" s="49"/>
      <c r="F705" s="49"/>
      <c r="G705" s="49"/>
      <c r="H705" s="54" t="str">
        <f t="shared" si="1"/>
        <v>chan,</v>
      </c>
      <c r="I705" s="50"/>
      <c r="J705" s="50" t="s">
        <v>3654</v>
      </c>
      <c r="K705" s="50" t="s">
        <v>2672</v>
      </c>
      <c r="L705" s="49" t="str">
        <f>IFERROR(__xludf.DUMMYFUNCTION("""COMPUTED_VALUE"""),"tongue")</f>
        <v>tongue</v>
      </c>
      <c r="M705" s="49"/>
      <c r="N705" s="49" t="str">
        <f>IFERROR(__xludf.DUMMYFUNCTION("""COMPUTED_VALUE"""),"loved")</f>
        <v>loved</v>
      </c>
      <c r="O705" s="49" t="str">
        <f>IFERROR(__xludf.DUMMYFUNCTION("""COMPUTED_VALUE"""),"communal")</f>
        <v>communal</v>
      </c>
      <c r="P705" s="49" t="str">
        <f t="shared" si="2"/>
        <v>spice,</v>
      </c>
      <c r="Q705" s="49"/>
      <c r="R705" s="50" t="s">
        <v>4780</v>
      </c>
      <c r="S705" s="55" t="s">
        <v>3030</v>
      </c>
      <c r="T705" s="49" t="str">
        <f>IFERROR(__xludf.DUMMYFUNCTION("""COMPUTED_VALUE"""),"fears")</f>
        <v>fears</v>
      </c>
      <c r="U705" s="49"/>
      <c r="V705" s="49" t="str">
        <f>IFERROR(__xludf.DUMMYFUNCTION("""COMPUTED_VALUE"""),"archive")</f>
        <v>archive</v>
      </c>
      <c r="W705" s="49" t="str">
        <f>IFERROR(__xludf.DUMMYFUNCTION("""COMPUTED_VALUE"""),"susan")</f>
        <v>susan</v>
      </c>
      <c r="X705" s="49" t="str">
        <f t="shared" si="3"/>
        <v>artistic,</v>
      </c>
      <c r="Y705" s="49"/>
      <c r="Z705" s="1" t="s">
        <v>1776</v>
      </c>
      <c r="AA705" s="1" t="s">
        <v>3136</v>
      </c>
      <c r="AB705" s="49" t="str">
        <f>IFERROR(__xludf.DUMMYFUNCTION("""COMPUTED_VALUE"""),"sour")</f>
        <v>sour</v>
      </c>
      <c r="AC705" s="49"/>
      <c r="AD705" s="49" t="str">
        <f>IFERROR(__xludf.DUMMYFUNCTION("""COMPUTED_VALUE"""),"loved")</f>
        <v>loved</v>
      </c>
      <c r="AE705" s="49" t="str">
        <f>IFERROR(__xludf.DUMMYFUNCTION("""COMPUTED_VALUE"""),"communal")</f>
        <v>communal</v>
      </c>
      <c r="AF705" s="49" t="str">
        <f t="shared" si="4"/>
        <v>british,</v>
      </c>
      <c r="AG705" s="49"/>
      <c r="AH705" s="1" t="s">
        <v>1676</v>
      </c>
      <c r="AI705" s="1" t="s">
        <v>831</v>
      </c>
      <c r="AJ705" s="6" t="str">
        <f>IFERROR(__xludf.DUMMYFUNCTION("""COMPUTED_VALUE"""),"use")</f>
        <v>use</v>
      </c>
      <c r="AK705" s="49"/>
      <c r="AL705" s="49"/>
      <c r="AM705" s="49"/>
      <c r="AN705" s="52" t="str">
        <f t="shared" si="5"/>
        <v>cause,</v>
      </c>
    </row>
    <row r="706">
      <c r="A706" s="51"/>
      <c r="B706" s="50" t="s">
        <v>6484</v>
      </c>
      <c r="C706" s="50" t="s">
        <v>5998</v>
      </c>
      <c r="D706" s="49" t="str">
        <f>IFERROR(__xludf.DUMMYFUNCTION("""COMPUTED_VALUE"""),"ellen")</f>
        <v>ellen</v>
      </c>
      <c r="E706" s="49"/>
      <c r="F706" s="49"/>
      <c r="G706" s="49"/>
      <c r="H706" s="54" t="str">
        <f t="shared" si="1"/>
        <v>jackie,</v>
      </c>
      <c r="I706" s="50"/>
      <c r="J706" s="50" t="s">
        <v>546</v>
      </c>
      <c r="K706" s="50" t="s">
        <v>489</v>
      </c>
      <c r="L706" s="49" t="str">
        <f>IFERROR(__xludf.DUMMYFUNCTION("""COMPUTED_VALUE"""),"deserved")</f>
        <v>deserved</v>
      </c>
      <c r="M706" s="49"/>
      <c r="N706" s="49" t="str">
        <f>IFERROR(__xludf.DUMMYFUNCTION("""COMPUTED_VALUE"""),"elaborate")</f>
        <v>elaborate</v>
      </c>
      <c r="O706" s="49" t="str">
        <f>IFERROR(__xludf.DUMMYFUNCTION("""COMPUTED_VALUE"""),"broadway")</f>
        <v>broadway</v>
      </c>
      <c r="P706" s="49" t="str">
        <f t="shared" si="2"/>
        <v>summer,</v>
      </c>
      <c r="Q706" s="49"/>
      <c r="R706" s="50" t="s">
        <v>3006</v>
      </c>
      <c r="S706" s="55" t="s">
        <v>3034</v>
      </c>
      <c r="T706" s="49" t="str">
        <f>IFERROR(__xludf.DUMMYFUNCTION("""COMPUTED_VALUE"""),"figures")</f>
        <v>figures</v>
      </c>
      <c r="U706" s="49"/>
      <c r="V706" s="49" t="str">
        <f>IFERROR(__xludf.DUMMYFUNCTION("""COMPUTED_VALUE"""),"humidity")</f>
        <v>humidity</v>
      </c>
      <c r="W706" s="49" t="str">
        <f>IFERROR(__xludf.DUMMYFUNCTION("""COMPUTED_VALUE"""),"harmless")</f>
        <v>harmless</v>
      </c>
      <c r="X706" s="49" t="str">
        <f t="shared" si="3"/>
        <v>wild,</v>
      </c>
      <c r="Y706" s="49"/>
      <c r="Z706" s="1" t="s">
        <v>4420</v>
      </c>
      <c r="AA706" s="1" t="s">
        <v>2173</v>
      </c>
      <c r="AB706" s="49" t="str">
        <f>IFERROR(__xludf.DUMMYFUNCTION("""COMPUTED_VALUE"""),"boat")</f>
        <v>boat</v>
      </c>
      <c r="AC706" s="49"/>
      <c r="AD706" s="49" t="str">
        <f>IFERROR(__xludf.DUMMYFUNCTION("""COMPUTED_VALUE"""),"elaborate")</f>
        <v>elaborate</v>
      </c>
      <c r="AE706" s="49" t="str">
        <f>IFERROR(__xludf.DUMMYFUNCTION("""COMPUTED_VALUE"""),"broadway")</f>
        <v>broadway</v>
      </c>
      <c r="AF706" s="49" t="str">
        <f t="shared" si="4"/>
        <v>pitch,</v>
      </c>
      <c r="AG706" s="49"/>
      <c r="AH706" s="1" t="s">
        <v>2184</v>
      </c>
      <c r="AI706" s="1" t="s">
        <v>2509</v>
      </c>
      <c r="AJ706" s="6" t="str">
        <f>IFERROR(__xludf.DUMMYFUNCTION("""COMPUTED_VALUE"""),"white")</f>
        <v>white</v>
      </c>
      <c r="AK706" s="49"/>
      <c r="AL706" s="49"/>
      <c r="AM706" s="49"/>
      <c r="AN706" s="52" t="str">
        <f t="shared" si="5"/>
        <v>happen,</v>
      </c>
    </row>
    <row r="707">
      <c r="A707" s="51"/>
      <c r="B707" s="50" t="s">
        <v>1809</v>
      </c>
      <c r="C707" s="50" t="s">
        <v>500</v>
      </c>
      <c r="D707" s="49" t="str">
        <f>IFERROR(__xludf.DUMMYFUNCTION("""COMPUTED_VALUE"""),"giant")</f>
        <v>giant</v>
      </c>
      <c r="E707" s="49"/>
      <c r="F707" s="49"/>
      <c r="G707" s="49"/>
      <c r="H707" s="54" t="str">
        <f t="shared" si="1"/>
        <v>football,</v>
      </c>
      <c r="I707" s="50"/>
      <c r="J707" s="50" t="s">
        <v>4146</v>
      </c>
      <c r="K707" s="50" t="s">
        <v>3146</v>
      </c>
      <c r="L707" s="49" t="str">
        <f>IFERROR(__xludf.DUMMYFUNCTION("""COMPUTED_VALUE"""),"cheek")</f>
        <v>cheek</v>
      </c>
      <c r="M707" s="49"/>
      <c r="N707" s="49" t="str">
        <f>IFERROR(__xludf.DUMMYFUNCTION("""COMPUTED_VALUE"""),"bitter")</f>
        <v>bitter</v>
      </c>
      <c r="O707" s="49" t="str">
        <f>IFERROR(__xludf.DUMMYFUNCTION("""COMPUTED_VALUE"""),"occupation")</f>
        <v>occupation</v>
      </c>
      <c r="P707" s="49" t="str">
        <f t="shared" si="2"/>
        <v>ryan,</v>
      </c>
      <c r="Q707" s="49"/>
      <c r="R707" s="50" t="s">
        <v>2879</v>
      </c>
      <c r="S707" s="55" t="s">
        <v>2407</v>
      </c>
      <c r="T707" s="49" t="str">
        <f>IFERROR(__xludf.DUMMYFUNCTION("""COMPUTED_VALUE"""),"butt")</f>
        <v>butt</v>
      </c>
      <c r="U707" s="49"/>
      <c r="V707" s="49" t="str">
        <f>IFERROR(__xludf.DUMMYFUNCTION("""COMPUTED_VALUE"""),"appetite")</f>
        <v>appetite</v>
      </c>
      <c r="W707" s="49" t="str">
        <f>IFERROR(__xludf.DUMMYFUNCTION("""COMPUTED_VALUE"""),"vulnerability")</f>
        <v>vulnerability</v>
      </c>
      <c r="X707" s="49" t="str">
        <f t="shared" si="3"/>
        <v>directors,</v>
      </c>
      <c r="Y707" s="49"/>
      <c r="Z707" s="1" t="s">
        <v>2864</v>
      </c>
      <c r="AA707" s="1" t="s">
        <v>3142</v>
      </c>
      <c r="AB707" s="49" t="str">
        <f>IFERROR(__xludf.DUMMYFUNCTION("""COMPUTED_VALUE"""),"populated")</f>
        <v>populated</v>
      </c>
      <c r="AC707" s="49"/>
      <c r="AD707" s="49" t="str">
        <f>IFERROR(__xludf.DUMMYFUNCTION("""COMPUTED_VALUE"""),"bitter")</f>
        <v>bitter</v>
      </c>
      <c r="AE707" s="49" t="str">
        <f>IFERROR(__xludf.DUMMYFUNCTION("""COMPUTED_VALUE"""),"occupation")</f>
        <v>occupation</v>
      </c>
      <c r="AF707" s="49" t="str">
        <f t="shared" si="4"/>
        <v>brothers,</v>
      </c>
      <c r="AG707" s="49"/>
      <c r="AH707" s="1" t="s">
        <v>2100</v>
      </c>
      <c r="AI707" s="1" t="s">
        <v>6364</v>
      </c>
      <c r="AJ707" s="6" t="str">
        <f>IFERROR(__xludf.DUMMYFUNCTION("""COMPUTED_VALUE"""),"different")</f>
        <v>different</v>
      </c>
      <c r="AK707" s="49"/>
      <c r="AL707" s="49"/>
      <c r="AM707" s="49"/>
      <c r="AN707" s="52" t="str">
        <f t="shared" si="5"/>
        <v>documentary,</v>
      </c>
    </row>
    <row r="708">
      <c r="A708" s="51"/>
      <c r="B708" s="50" t="s">
        <v>2175</v>
      </c>
      <c r="C708" s="50" t="s">
        <v>6327</v>
      </c>
      <c r="D708" s="49" t="str">
        <f>IFERROR(__xludf.DUMMYFUNCTION("""COMPUTED_VALUE"""),"copies")</f>
        <v>copies</v>
      </c>
      <c r="E708" s="49"/>
      <c r="F708" s="49"/>
      <c r="G708" s="49"/>
      <c r="H708" s="54" t="str">
        <f t="shared" si="1"/>
        <v>dark,</v>
      </c>
      <c r="I708" s="50"/>
      <c r="J708" s="50" t="s">
        <v>397</v>
      </c>
      <c r="K708" s="50" t="s">
        <v>1931</v>
      </c>
      <c r="L708" s="49" t="str">
        <f>IFERROR(__xludf.DUMMYFUNCTION("""COMPUTED_VALUE"""),"friendship")</f>
        <v>friendship</v>
      </c>
      <c r="M708" s="49"/>
      <c r="N708" s="49" t="str">
        <f>IFERROR(__xludf.DUMMYFUNCTION("""COMPUTED_VALUE"""),"diane")</f>
        <v>diane</v>
      </c>
      <c r="O708" s="49" t="str">
        <f>IFERROR(__xludf.DUMMYFUNCTION("""COMPUTED_VALUE"""),"distracting")</f>
        <v>distracting</v>
      </c>
      <c r="P708" s="49" t="str">
        <f t="shared" si="2"/>
        <v>usual,</v>
      </c>
      <c r="Q708" s="49"/>
      <c r="R708" s="50" t="s">
        <v>6300</v>
      </c>
      <c r="S708" s="55" t="s">
        <v>5471</v>
      </c>
      <c r="T708" s="49" t="str">
        <f>IFERROR(__xludf.DUMMYFUNCTION("""COMPUTED_VALUE"""),"miss")</f>
        <v>miss</v>
      </c>
      <c r="U708" s="49"/>
      <c r="V708" s="49" t="str">
        <f>IFERROR(__xludf.DUMMYFUNCTION("""COMPUTED_VALUE"""),"pu")</f>
        <v>pu</v>
      </c>
      <c r="W708" s="49" t="str">
        <f>IFERROR(__xludf.DUMMYFUNCTION("""COMPUTED_VALUE"""),"miraculous")</f>
        <v>miraculous</v>
      </c>
      <c r="X708" s="49" t="str">
        <f t="shared" si="3"/>
        <v>talented,</v>
      </c>
      <c r="Y708" s="49"/>
      <c r="Z708" s="1" t="s">
        <v>1887</v>
      </c>
      <c r="AA708" s="1" t="s">
        <v>2177</v>
      </c>
      <c r="AB708" s="49" t="str">
        <f>IFERROR(__xludf.DUMMYFUNCTION("""COMPUTED_VALUE"""),"throws")</f>
        <v>throws</v>
      </c>
      <c r="AC708" s="49"/>
      <c r="AD708" s="49" t="str">
        <f>IFERROR(__xludf.DUMMYFUNCTION("""COMPUTED_VALUE"""),"diane")</f>
        <v>diane</v>
      </c>
      <c r="AE708" s="49" t="str">
        <f>IFERROR(__xludf.DUMMYFUNCTION("""COMPUTED_VALUE"""),"distracting")</f>
        <v>distracting</v>
      </c>
      <c r="AF708" s="49" t="str">
        <f t="shared" si="4"/>
        <v>wish,</v>
      </c>
      <c r="AG708" s="49"/>
      <c r="AH708" s="1" t="s">
        <v>6477</v>
      </c>
      <c r="AI708" s="1" t="s">
        <v>2233</v>
      </c>
      <c r="AJ708" s="6" t="str">
        <f>IFERROR(__xludf.DUMMYFUNCTION("""COMPUTED_VALUE"""),"play")</f>
        <v>play</v>
      </c>
      <c r="AK708" s="49"/>
      <c r="AL708" s="49"/>
      <c r="AM708" s="49"/>
      <c r="AN708" s="52" t="str">
        <f t="shared" si="5"/>
        <v>dated,</v>
      </c>
    </row>
    <row r="709">
      <c r="A709" s="51"/>
      <c r="B709" s="50" t="s">
        <v>751</v>
      </c>
      <c r="C709" s="50" t="s">
        <v>2866</v>
      </c>
      <c r="D709" s="49" t="str">
        <f>IFERROR(__xludf.DUMMYFUNCTION("""COMPUTED_VALUE"""),"three")</f>
        <v>three</v>
      </c>
      <c r="E709" s="49"/>
      <c r="F709" s="49"/>
      <c r="G709" s="49"/>
      <c r="H709" s="54" t="str">
        <f t="shared" si="1"/>
        <v>hit,</v>
      </c>
      <c r="I709" s="50"/>
      <c r="J709" s="50" t="s">
        <v>194</v>
      </c>
      <c r="K709" s="50" t="s">
        <v>3152</v>
      </c>
      <c r="L709" s="49" t="str">
        <f>IFERROR(__xludf.DUMMYFUNCTION("""COMPUTED_VALUE"""),"recording")</f>
        <v>recording</v>
      </c>
      <c r="M709" s="49"/>
      <c r="N709" s="49" t="str">
        <f>IFERROR(__xludf.DUMMYFUNCTION("""COMPUTED_VALUE"""),"joel")</f>
        <v>joel</v>
      </c>
      <c r="O709" s="49" t="str">
        <f>IFERROR(__xludf.DUMMYFUNCTION("""COMPUTED_VALUE"""),"spirited")</f>
        <v>spirited</v>
      </c>
      <c r="P709" s="49" t="str">
        <f t="shared" si="2"/>
        <v>original,</v>
      </c>
      <c r="Q709" s="49"/>
      <c r="R709" s="50" t="s">
        <v>4512</v>
      </c>
      <c r="S709" s="55" t="s">
        <v>1634</v>
      </c>
      <c r="T709" s="49" t="str">
        <f>IFERROR(__xludf.DUMMYFUNCTION("""COMPUTED_VALUE"""),"raw")</f>
        <v>raw</v>
      </c>
      <c r="U709" s="49"/>
      <c r="V709" s="49" t="str">
        <f>IFERROR(__xludf.DUMMYFUNCTION("""COMPUTED_VALUE"""),"pause")</f>
        <v>pause</v>
      </c>
      <c r="W709" s="49" t="str">
        <f>IFERROR(__xludf.DUMMYFUNCTION("""COMPUTED_VALUE"""),"fills")</f>
        <v>fills</v>
      </c>
      <c r="X709" s="49" t="str">
        <f t="shared" si="3"/>
        <v>answer,</v>
      </c>
      <c r="Y709" s="49"/>
      <c r="Z709" s="1" t="s">
        <v>169</v>
      </c>
      <c r="AA709" s="1" t="s">
        <v>2183</v>
      </c>
      <c r="AB709" s="49" t="str">
        <f>IFERROR(__xludf.DUMMYFUNCTION("""COMPUTED_VALUE"""),"morality")</f>
        <v>morality</v>
      </c>
      <c r="AC709" s="49"/>
      <c r="AD709" s="49" t="str">
        <f>IFERROR(__xludf.DUMMYFUNCTION("""COMPUTED_VALUE"""),"joel")</f>
        <v>joel</v>
      </c>
      <c r="AE709" s="49" t="str">
        <f>IFERROR(__xludf.DUMMYFUNCTION("""COMPUTED_VALUE"""),"spirited")</f>
        <v>spirited</v>
      </c>
      <c r="AF709" s="49" t="str">
        <f t="shared" si="4"/>
        <v>casting,</v>
      </c>
      <c r="AG709" s="49"/>
      <c r="AH709" s="1" t="s">
        <v>4319</v>
      </c>
      <c r="AI709" s="1" t="s">
        <v>853</v>
      </c>
      <c r="AJ709" s="6" t="str">
        <f>IFERROR(__xludf.DUMMYFUNCTION("""COMPUTED_VALUE"""),"tell")</f>
        <v>tell</v>
      </c>
      <c r="AK709" s="49"/>
      <c r="AL709" s="49"/>
      <c r="AM709" s="49"/>
      <c r="AN709" s="52" t="str">
        <f t="shared" si="5"/>
        <v>bible,</v>
      </c>
    </row>
    <row r="710">
      <c r="A710" s="51"/>
      <c r="B710" s="50" t="s">
        <v>2864</v>
      </c>
      <c r="C710" s="50" t="s">
        <v>1320</v>
      </c>
      <c r="D710" s="49" t="str">
        <f>IFERROR(__xludf.DUMMYFUNCTION("""COMPUTED_VALUE"""),"ago")</f>
        <v>ago</v>
      </c>
      <c r="E710" s="49"/>
      <c r="F710" s="49"/>
      <c r="G710" s="49"/>
      <c r="H710" s="54" t="str">
        <f t="shared" si="1"/>
        <v>brothers,</v>
      </c>
      <c r="I710" s="50"/>
      <c r="J710" s="50" t="s">
        <v>1150</v>
      </c>
      <c r="K710" s="50" t="s">
        <v>496</v>
      </c>
      <c r="L710" s="49" t="str">
        <f>IFERROR(__xludf.DUMMYFUNCTION("""COMPUTED_VALUE"""),"stopped")</f>
        <v>stopped</v>
      </c>
      <c r="M710" s="49"/>
      <c r="N710" s="49" t="str">
        <f>IFERROR(__xludf.DUMMYFUNCTION("""COMPUTED_VALUE"""),"ranks")</f>
        <v>ranks</v>
      </c>
      <c r="O710" s="49" t="str">
        <f>IFERROR(__xludf.DUMMYFUNCTION("""COMPUTED_VALUE"""),"awakening")</f>
        <v>awakening</v>
      </c>
      <c r="P710" s="49" t="str">
        <f t="shared" si="2"/>
        <v>needed,</v>
      </c>
      <c r="Q710" s="49"/>
      <c r="R710" s="50" t="s">
        <v>1484</v>
      </c>
      <c r="S710" s="55" t="s">
        <v>1640</v>
      </c>
      <c r="T710" s="49" t="str">
        <f>IFERROR(__xludf.DUMMYFUNCTION("""COMPUTED_VALUE"""),"win")</f>
        <v>win</v>
      </c>
      <c r="U710" s="49"/>
      <c r="V710" s="49" t="str">
        <f>IFERROR(__xludf.DUMMYFUNCTION("""COMPUTED_VALUE"""),"pac")</f>
        <v>pac</v>
      </c>
      <c r="W710" s="49" t="str">
        <f>IFERROR(__xludf.DUMMYFUNCTION("""COMPUTED_VALUE"""),"sack")</f>
        <v>sack</v>
      </c>
      <c r="X710" s="49" t="str">
        <f t="shared" si="3"/>
        <v>air,</v>
      </c>
      <c r="Y710" s="49"/>
      <c r="Z710" s="1" t="s">
        <v>4278</v>
      </c>
      <c r="AA710" s="1" t="s">
        <v>517</v>
      </c>
      <c r="AB710" s="49" t="str">
        <f>IFERROR(__xludf.DUMMYFUNCTION("""COMPUTED_VALUE"""),"crippled")</f>
        <v>crippled</v>
      </c>
      <c r="AC710" s="49"/>
      <c r="AD710" s="49" t="str">
        <f>IFERROR(__xludf.DUMMYFUNCTION("""COMPUTED_VALUE"""),"ranks")</f>
        <v>ranks</v>
      </c>
      <c r="AE710" s="49" t="str">
        <f>IFERROR(__xludf.DUMMYFUNCTION("""COMPUTED_VALUE"""),"awakening")</f>
        <v>awakening</v>
      </c>
      <c r="AF710" s="49" t="str">
        <f t="shared" si="4"/>
        <v>suit,</v>
      </c>
      <c r="AG710" s="49"/>
      <c r="AH710" s="1" t="s">
        <v>3084</v>
      </c>
      <c r="AI710" s="1" t="s">
        <v>1227</v>
      </c>
      <c r="AJ710" s="6" t="str">
        <f>IFERROR(__xludf.DUMMYFUNCTION("""COMPUTED_VALUE"""),"using")</f>
        <v>using</v>
      </c>
      <c r="AK710" s="49"/>
      <c r="AL710" s="49"/>
      <c r="AM710" s="49"/>
      <c r="AN710" s="52" t="str">
        <f t="shared" si="5"/>
        <v>badly,</v>
      </c>
    </row>
    <row r="711">
      <c r="A711" s="51"/>
      <c r="B711" s="50" t="s">
        <v>6393</v>
      </c>
      <c r="C711" s="50" t="s">
        <v>2620</v>
      </c>
      <c r="D711" s="49" t="str">
        <f>IFERROR(__xludf.DUMMYFUNCTION("""COMPUTED_VALUE"""),"decades")</f>
        <v>decades</v>
      </c>
      <c r="E711" s="49"/>
      <c r="F711" s="49"/>
      <c r="G711" s="49"/>
      <c r="H711" s="54" t="str">
        <f t="shared" si="1"/>
        <v>agent,</v>
      </c>
      <c r="I711" s="50"/>
      <c r="J711" s="50" t="s">
        <v>2047</v>
      </c>
      <c r="K711" s="50" t="s">
        <v>1918</v>
      </c>
      <c r="L711" s="49" t="str">
        <f>IFERROR(__xludf.DUMMYFUNCTION("""COMPUTED_VALUE"""),"ram")</f>
        <v>ram</v>
      </c>
      <c r="M711" s="49"/>
      <c r="N711" s="49" t="str">
        <f>IFERROR(__xludf.DUMMYFUNCTION("""COMPUTED_VALUE"""),"f")</f>
        <v>f</v>
      </c>
      <c r="O711" s="49" t="str">
        <f>IFERROR(__xludf.DUMMYFUNCTION("""COMPUTED_VALUE"""),"obscure")</f>
        <v>obscure</v>
      </c>
      <c r="P711" s="49" t="str">
        <f t="shared" si="2"/>
        <v>rare,</v>
      </c>
      <c r="Q711" s="49"/>
      <c r="R711" s="50" t="s">
        <v>2808</v>
      </c>
      <c r="S711" s="55" t="s">
        <v>1649</v>
      </c>
      <c r="T711" s="49" t="str">
        <f>IFERROR(__xludf.DUMMYFUNCTION("""COMPUTED_VALUE"""),"super")</f>
        <v>super</v>
      </c>
      <c r="U711" s="49"/>
      <c r="V711" s="49" t="str">
        <f>IFERROR(__xludf.DUMMYFUNCTION("""COMPUTED_VALUE"""),"ga")</f>
        <v>ga</v>
      </c>
      <c r="W711" s="49" t="str">
        <f>IFERROR(__xludf.DUMMYFUNCTION("""COMPUTED_VALUE"""),"weave")</f>
        <v>weave</v>
      </c>
      <c r="X711" s="49" t="str">
        <f t="shared" si="3"/>
        <v>points,</v>
      </c>
      <c r="Y711" s="49"/>
      <c r="Z711" s="1" t="s">
        <v>1230</v>
      </c>
      <c r="AA711" s="1" t="s">
        <v>2188</v>
      </c>
      <c r="AB711" s="49" t="str">
        <f>IFERROR(__xludf.DUMMYFUNCTION("""COMPUTED_VALUE"""),"convinced")</f>
        <v>convinced</v>
      </c>
      <c r="AC711" s="49"/>
      <c r="AD711" s="49" t="str">
        <f>IFERROR(__xludf.DUMMYFUNCTION("""COMPUTED_VALUE"""),"f")</f>
        <v>f</v>
      </c>
      <c r="AE711" s="49" t="str">
        <f>IFERROR(__xludf.DUMMYFUNCTION("""COMPUTED_VALUE"""),"obscure")</f>
        <v>obscure</v>
      </c>
      <c r="AF711" s="49" t="str">
        <f t="shared" si="4"/>
        <v>throw,</v>
      </c>
      <c r="AG711" s="49"/>
      <c r="AH711" s="1" t="s">
        <v>1396</v>
      </c>
      <c r="AI711" s="1" t="s">
        <v>2528</v>
      </c>
      <c r="AJ711" s="6" t="str">
        <f>IFERROR(__xludf.DUMMYFUNCTION("""COMPUTED_VALUE"""),"society")</f>
        <v>society</v>
      </c>
      <c r="AK711" s="49"/>
      <c r="AL711" s="49"/>
      <c r="AM711" s="49"/>
      <c r="AN711" s="52" t="str">
        <f t="shared" si="5"/>
        <v>use,</v>
      </c>
    </row>
    <row r="712">
      <c r="A712" s="51"/>
      <c r="B712" s="50" t="s">
        <v>1887</v>
      </c>
      <c r="C712" s="50" t="s">
        <v>1535</v>
      </c>
      <c r="D712" s="49" t="str">
        <f>IFERROR(__xludf.DUMMYFUNCTION("""COMPUTED_VALUE"""),"interviews")</f>
        <v>interviews</v>
      </c>
      <c r="E712" s="49"/>
      <c r="F712" s="49"/>
      <c r="G712" s="49"/>
      <c r="H712" s="54" t="str">
        <f t="shared" si="1"/>
        <v>wish,</v>
      </c>
      <c r="I712" s="50"/>
      <c r="J712" s="50" t="s">
        <v>1981</v>
      </c>
      <c r="K712" s="50" t="s">
        <v>1936</v>
      </c>
      <c r="L712" s="49" t="str">
        <f>IFERROR(__xludf.DUMMYFUNCTION("""COMPUTED_VALUE"""),"japan")</f>
        <v>japan</v>
      </c>
      <c r="M712" s="49"/>
      <c r="N712" s="49" t="str">
        <f>IFERROR(__xludf.DUMMYFUNCTION("""COMPUTED_VALUE"""),"reserved")</f>
        <v>reserved</v>
      </c>
      <c r="O712" s="49" t="str">
        <f>IFERROR(__xludf.DUMMYFUNCTION("""COMPUTED_VALUE"""),"fathers")</f>
        <v>fathers</v>
      </c>
      <c r="P712" s="49" t="str">
        <f t="shared" si="2"/>
        <v>sets,</v>
      </c>
      <c r="Q712" s="49"/>
      <c r="R712" s="50" t="s">
        <v>5398</v>
      </c>
      <c r="S712" s="55" t="s">
        <v>332</v>
      </c>
      <c r="T712" s="49" t="str">
        <f>IFERROR(__xludf.DUMMYFUNCTION("""COMPUTED_VALUE"""),"broad")</f>
        <v>broad</v>
      </c>
      <c r="U712" s="49"/>
      <c r="V712" s="49" t="str">
        <f>IFERROR(__xludf.DUMMYFUNCTION("""COMPUTED_VALUE"""),"nationwide")</f>
        <v>nationwide</v>
      </c>
      <c r="W712" s="49" t="str">
        <f>IFERROR(__xludf.DUMMYFUNCTION("""COMPUTED_VALUE"""),"present")</f>
        <v>present</v>
      </c>
      <c r="X712" s="49" t="str">
        <f t="shared" si="3"/>
        <v>bruce,</v>
      </c>
      <c r="Y712" s="49"/>
      <c r="Z712" s="1" t="s">
        <v>6320</v>
      </c>
      <c r="AA712" s="1" t="s">
        <v>2186</v>
      </c>
      <c r="AB712" s="49" t="str">
        <f>IFERROR(__xludf.DUMMYFUNCTION("""COMPUTED_VALUE"""),"laughter")</f>
        <v>laughter</v>
      </c>
      <c r="AC712" s="49"/>
      <c r="AD712" s="49" t="str">
        <f>IFERROR(__xludf.DUMMYFUNCTION("""COMPUTED_VALUE"""),"reserved")</f>
        <v>reserved</v>
      </c>
      <c r="AE712" s="49" t="str">
        <f>IFERROR(__xludf.DUMMYFUNCTION("""COMPUTED_VALUE"""),"fathers")</f>
        <v>fathers</v>
      </c>
      <c r="AF712" s="49" t="str">
        <f t="shared" si="4"/>
        <v>ridiculous,</v>
      </c>
      <c r="AG712" s="49"/>
      <c r="AH712" s="1" t="s">
        <v>1022</v>
      </c>
      <c r="AI712" s="1" t="s">
        <v>1476</v>
      </c>
      <c r="AJ712" s="6" t="str">
        <f>IFERROR(__xludf.DUMMYFUNCTION("""COMPUTED_VALUE"""),"past")</f>
        <v>past</v>
      </c>
      <c r="AK712" s="49"/>
      <c r="AL712" s="49"/>
      <c r="AM712" s="49"/>
      <c r="AN712" s="52" t="str">
        <f t="shared" si="5"/>
        <v>white,</v>
      </c>
    </row>
    <row r="713">
      <c r="A713" s="51"/>
      <c r="B713" s="50" t="s">
        <v>2411</v>
      </c>
      <c r="C713" s="50" t="s">
        <v>2507</v>
      </c>
      <c r="D713" s="49" t="str">
        <f>IFERROR(__xludf.DUMMYFUNCTION("""COMPUTED_VALUE"""),"von")</f>
        <v>von</v>
      </c>
      <c r="E713" s="49"/>
      <c r="F713" s="49"/>
      <c r="G713" s="49"/>
      <c r="H713" s="54" t="str">
        <f t="shared" si="1"/>
        <v>determined,</v>
      </c>
      <c r="I713" s="50"/>
      <c r="J713" s="50" t="s">
        <v>1151</v>
      </c>
      <c r="K713" s="50" t="s">
        <v>1941</v>
      </c>
      <c r="L713" s="49" t="str">
        <f>IFERROR(__xludf.DUMMYFUNCTION("""COMPUTED_VALUE"""),"jolly")</f>
        <v>jolly</v>
      </c>
      <c r="M713" s="49"/>
      <c r="N713" s="49" t="str">
        <f>IFERROR(__xludf.DUMMYFUNCTION("""COMPUTED_VALUE"""),"ing")</f>
        <v>ing</v>
      </c>
      <c r="O713" s="49" t="str">
        <f>IFERROR(__xludf.DUMMYFUNCTION("""COMPUTED_VALUE"""),"survivors")</f>
        <v>survivors</v>
      </c>
      <c r="P713" s="49" t="str">
        <f t="shared" si="2"/>
        <v>city,</v>
      </c>
      <c r="Q713" s="49"/>
      <c r="R713" s="50" t="s">
        <v>2268</v>
      </c>
      <c r="S713" s="55" t="s">
        <v>634</v>
      </c>
      <c r="T713" s="49" t="str">
        <f>IFERROR(__xludf.DUMMYFUNCTION("""COMPUTED_VALUE"""),"strokes")</f>
        <v>strokes</v>
      </c>
      <c r="U713" s="49"/>
      <c r="V713" s="49" t="str">
        <f>IFERROR(__xludf.DUMMYFUNCTION("""COMPUTED_VALUE"""),"emphasis")</f>
        <v>emphasis</v>
      </c>
      <c r="W713" s="49" t="str">
        <f>IFERROR(__xludf.DUMMYFUNCTION("""COMPUTED_VALUE"""),"morally")</f>
        <v>morally</v>
      </c>
      <c r="X713" s="49" t="str">
        <f t="shared" si="3"/>
        <v>motion,</v>
      </c>
      <c r="Y713" s="49"/>
      <c r="Z713" s="1" t="s">
        <v>6404</v>
      </c>
      <c r="AA713" s="1" t="s">
        <v>971</v>
      </c>
      <c r="AB713" s="49" t="str">
        <f>IFERROR(__xludf.DUMMYFUNCTION("""COMPUTED_VALUE"""),"clumsy")</f>
        <v>clumsy</v>
      </c>
      <c r="AC713" s="49"/>
      <c r="AD713" s="49" t="str">
        <f>IFERROR(__xludf.DUMMYFUNCTION("""COMPUTED_VALUE"""),"ing")</f>
        <v>ing</v>
      </c>
      <c r="AE713" s="49" t="str">
        <f>IFERROR(__xludf.DUMMYFUNCTION("""COMPUTED_VALUE"""),"survivors")</f>
        <v>survivors</v>
      </c>
      <c r="AF713" s="49" t="str">
        <f t="shared" si="4"/>
        <v>ll,</v>
      </c>
      <c r="AG713" s="49"/>
      <c r="AH713" s="1" t="s">
        <v>752</v>
      </c>
      <c r="AI713" s="1" t="s">
        <v>2525</v>
      </c>
      <c r="AJ713" s="6" t="str">
        <f>IFERROR(__xludf.DUMMYFUNCTION("""COMPUTED_VALUE"""),"considered")</f>
        <v>considered</v>
      </c>
      <c r="AK713" s="49"/>
      <c r="AL713" s="49"/>
      <c r="AM713" s="49"/>
      <c r="AN713" s="52" t="str">
        <f t="shared" si="5"/>
        <v>different,</v>
      </c>
    </row>
    <row r="714">
      <c r="A714" s="51"/>
      <c r="B714" s="50" t="s">
        <v>4278</v>
      </c>
      <c r="C714" s="50" t="s">
        <v>1964</v>
      </c>
      <c r="D714" s="49" t="str">
        <f>IFERROR(__xludf.DUMMYFUNCTION("""COMPUTED_VALUE"""),"failing")</f>
        <v>failing</v>
      </c>
      <c r="E714" s="49"/>
      <c r="F714" s="49"/>
      <c r="G714" s="49"/>
      <c r="H714" s="54" t="str">
        <f t="shared" si="1"/>
        <v>suit,</v>
      </c>
      <c r="I714" s="50"/>
      <c r="J714" s="50" t="s">
        <v>1068</v>
      </c>
      <c r="K714" s="50" t="s">
        <v>2474</v>
      </c>
      <c r="L714" s="49" t="str">
        <f>IFERROR(__xludf.DUMMYFUNCTION("""COMPUTED_VALUE"""),"affection")</f>
        <v>affection</v>
      </c>
      <c r="M714" s="49"/>
      <c r="N714" s="49" t="str">
        <f>IFERROR(__xludf.DUMMYFUNCTION("""COMPUTED_VALUE"""),"jealous")</f>
        <v>jealous</v>
      </c>
      <c r="O714" s="49" t="str">
        <f>IFERROR(__xludf.DUMMYFUNCTION("""COMPUTED_VALUE"""),"impacts")</f>
        <v>impacts</v>
      </c>
      <c r="P714" s="49" t="str">
        <f t="shared" si="2"/>
        <v>rock,</v>
      </c>
      <c r="Q714" s="49"/>
      <c r="R714" s="50" t="s">
        <v>7106</v>
      </c>
      <c r="S714" s="55" t="s">
        <v>641</v>
      </c>
      <c r="T714" s="49" t="str">
        <f>IFERROR(__xludf.DUMMYFUNCTION("""COMPUTED_VALUE"""),"surprisingly")</f>
        <v>surprisingly</v>
      </c>
      <c r="U714" s="49"/>
      <c r="V714" s="49" t="str">
        <f>IFERROR(__xludf.DUMMYFUNCTION("""COMPUTED_VALUE"""),"remind")</f>
        <v>remind</v>
      </c>
      <c r="W714" s="49" t="str">
        <f>IFERROR(__xludf.DUMMYFUNCTION("""COMPUTED_VALUE"""),"bankrupt")</f>
        <v>bankrupt</v>
      </c>
      <c r="X714" s="49" t="str">
        <f t="shared" si="3"/>
        <v>occur,</v>
      </c>
      <c r="Y714" s="49"/>
      <c r="Z714" s="1" t="s">
        <v>3104</v>
      </c>
      <c r="AA714" s="1" t="s">
        <v>2195</v>
      </c>
      <c r="AB714" s="49" t="str">
        <f>IFERROR(__xludf.DUMMYFUNCTION("""COMPUTED_VALUE"""),"dinner")</f>
        <v>dinner</v>
      </c>
      <c r="AC714" s="49"/>
      <c r="AD714" s="49" t="str">
        <f>IFERROR(__xludf.DUMMYFUNCTION("""COMPUTED_VALUE"""),"jealous")</f>
        <v>jealous</v>
      </c>
      <c r="AE714" s="49" t="str">
        <f>IFERROR(__xludf.DUMMYFUNCTION("""COMPUTED_VALUE"""),"impacts")</f>
        <v>impacts</v>
      </c>
      <c r="AF714" s="49" t="str">
        <f t="shared" si="4"/>
        <v>notion,</v>
      </c>
      <c r="AG714" s="49"/>
      <c r="AH714" s="1" t="s">
        <v>365</v>
      </c>
      <c r="AI714" s="1" t="s">
        <v>6356</v>
      </c>
      <c r="AJ714" s="6" t="str">
        <f>IFERROR(__xludf.DUMMYFUNCTION("""COMPUTED_VALUE"""),"sports")</f>
        <v>sports</v>
      </c>
      <c r="AK714" s="49"/>
      <c r="AL714" s="49"/>
      <c r="AM714" s="49"/>
      <c r="AN714" s="52" t="str">
        <f t="shared" si="5"/>
        <v>play,</v>
      </c>
    </row>
    <row r="715">
      <c r="A715" s="51"/>
      <c r="B715" s="50" t="s">
        <v>1230</v>
      </c>
      <c r="C715" s="50" t="s">
        <v>1543</v>
      </c>
      <c r="D715" s="49" t="str">
        <f>IFERROR(__xludf.DUMMYFUNCTION("""COMPUTED_VALUE"""),"caught")</f>
        <v>caught</v>
      </c>
      <c r="E715" s="49"/>
      <c r="F715" s="49"/>
      <c r="G715" s="49"/>
      <c r="H715" s="54" t="str">
        <f t="shared" si="1"/>
        <v>throw,</v>
      </c>
      <c r="I715" s="50"/>
      <c r="J715" s="50" t="s">
        <v>1961</v>
      </c>
      <c r="K715" s="50" t="s">
        <v>1690</v>
      </c>
      <c r="L715" s="49" t="str">
        <f>IFERROR(__xludf.DUMMYFUNCTION("""COMPUTED_VALUE"""),"blockbuster")</f>
        <v>blockbuster</v>
      </c>
      <c r="M715" s="49"/>
      <c r="N715" s="49" t="str">
        <f>IFERROR(__xludf.DUMMYFUNCTION("""COMPUTED_VALUE"""),"closing")</f>
        <v>closing</v>
      </c>
      <c r="O715" s="49" t="str">
        <f>IFERROR(__xludf.DUMMYFUNCTION("""COMPUTED_VALUE"""),"blade")</f>
        <v>blade</v>
      </c>
      <c r="P715" s="49" t="str">
        <f t="shared" si="2"/>
        <v>enjoy,</v>
      </c>
      <c r="Q715" s="49"/>
      <c r="R715" s="50" t="s">
        <v>4434</v>
      </c>
      <c r="S715" s="55" t="s">
        <v>2802</v>
      </c>
      <c r="T715" s="49" t="str">
        <f>IFERROR(__xludf.DUMMYFUNCTION("""COMPUTED_VALUE"""),"touch")</f>
        <v>touch</v>
      </c>
      <c r="U715" s="49"/>
      <c r="V715" s="49" t="str">
        <f>IFERROR(__xludf.DUMMYFUNCTION("""COMPUTED_VALUE"""),"beaten")</f>
        <v>beaten</v>
      </c>
      <c r="W715" s="49" t="str">
        <f>IFERROR(__xludf.DUMMYFUNCTION("""COMPUTED_VALUE"""),"veil")</f>
        <v>veil</v>
      </c>
      <c r="X715" s="49" t="str">
        <f t="shared" si="3"/>
        <v>damage,</v>
      </c>
      <c r="Y715" s="49"/>
      <c r="Z715" s="1" t="s">
        <v>2411</v>
      </c>
      <c r="AA715" s="1" t="s">
        <v>3167</v>
      </c>
      <c r="AB715" s="49" t="str">
        <f>IFERROR(__xludf.DUMMYFUNCTION("""COMPUTED_VALUE"""),"embarrassment")</f>
        <v>embarrassment</v>
      </c>
      <c r="AC715" s="49"/>
      <c r="AD715" s="49" t="str">
        <f>IFERROR(__xludf.DUMMYFUNCTION("""COMPUTED_VALUE"""),"closing")</f>
        <v>closing</v>
      </c>
      <c r="AE715" s="49" t="str">
        <f>IFERROR(__xludf.DUMMYFUNCTION("""COMPUTED_VALUE"""),"blade")</f>
        <v>blade</v>
      </c>
      <c r="AF715" s="49" t="str">
        <f t="shared" si="4"/>
        <v>determined,</v>
      </c>
      <c r="AG715" s="49"/>
      <c r="AH715" s="1" t="s">
        <v>429</v>
      </c>
      <c r="AI715" s="1" t="s">
        <v>1416</v>
      </c>
      <c r="AJ715" s="6" t="str">
        <f>IFERROR(__xludf.DUMMYFUNCTION("""COMPUTED_VALUE"""),"collection")</f>
        <v>collection</v>
      </c>
      <c r="AK715" s="49"/>
      <c r="AL715" s="49"/>
      <c r="AM715" s="49"/>
      <c r="AN715" s="52" t="str">
        <f t="shared" si="5"/>
        <v>tell,</v>
      </c>
    </row>
    <row r="716">
      <c r="A716" s="51"/>
      <c r="B716" s="50" t="s">
        <v>4584</v>
      </c>
      <c r="C716" s="50" t="s">
        <v>6373</v>
      </c>
      <c r="D716" s="49" t="str">
        <f>IFERROR(__xludf.DUMMYFUNCTION("""COMPUTED_VALUE"""),"growth")</f>
        <v>growth</v>
      </c>
      <c r="E716" s="49"/>
      <c r="F716" s="49"/>
      <c r="G716" s="49"/>
      <c r="H716" s="54" t="str">
        <f t="shared" si="1"/>
        <v>angle,</v>
      </c>
      <c r="I716" s="50"/>
      <c r="J716" s="50" t="s">
        <v>5294</v>
      </c>
      <c r="K716" s="50" t="s">
        <v>1928</v>
      </c>
      <c r="L716" s="49" t="str">
        <f>IFERROR(__xludf.DUMMYFUNCTION("""COMPUTED_VALUE"""),"weave")</f>
        <v>weave</v>
      </c>
      <c r="M716" s="49"/>
      <c r="N716" s="49" t="str">
        <f>IFERROR(__xludf.DUMMYFUNCTION("""COMPUTED_VALUE"""),"photography")</f>
        <v>photography</v>
      </c>
      <c r="O716" s="49" t="str">
        <f>IFERROR(__xludf.DUMMYFUNCTION("""COMPUTED_VALUE"""),"erotic")</f>
        <v>erotic</v>
      </c>
      <c r="P716" s="49" t="str">
        <f t="shared" si="2"/>
        <v>rating,</v>
      </c>
      <c r="Q716" s="49"/>
      <c r="R716" s="50" t="s">
        <v>2109</v>
      </c>
      <c r="S716" s="55" t="s">
        <v>1614</v>
      </c>
      <c r="T716" s="49" t="str">
        <f>IFERROR(__xludf.DUMMYFUNCTION("""COMPUTED_VALUE"""),"gold")</f>
        <v>gold</v>
      </c>
      <c r="U716" s="49"/>
      <c r="V716" s="49" t="str">
        <f>IFERROR(__xludf.DUMMYFUNCTION("""COMPUTED_VALUE"""),"disturbed")</f>
        <v>disturbed</v>
      </c>
      <c r="W716" s="49" t="str">
        <f>IFERROR(__xludf.DUMMYFUNCTION("""COMPUTED_VALUE"""),"comedian")</f>
        <v>comedian</v>
      </c>
      <c r="X716" s="49" t="str">
        <f t="shared" si="3"/>
        <v>willis,</v>
      </c>
      <c r="Y716" s="49"/>
      <c r="Z716" s="1" t="s">
        <v>490</v>
      </c>
      <c r="AA716" s="1" t="s">
        <v>1939</v>
      </c>
      <c r="AB716" s="49" t="str">
        <f>IFERROR(__xludf.DUMMYFUNCTION("""COMPUTED_VALUE"""),"drag")</f>
        <v>drag</v>
      </c>
      <c r="AC716" s="49"/>
      <c r="AD716" s="49" t="str">
        <f>IFERROR(__xludf.DUMMYFUNCTION("""COMPUTED_VALUE"""),"photography")</f>
        <v>photography</v>
      </c>
      <c r="AE716" s="49" t="str">
        <f>IFERROR(__xludf.DUMMYFUNCTION("""COMPUTED_VALUE"""),"erotic")</f>
        <v>erotic</v>
      </c>
      <c r="AF716" s="49" t="str">
        <f t="shared" si="4"/>
        <v>comedic,</v>
      </c>
      <c r="AG716" s="49"/>
      <c r="AH716" s="1" t="s">
        <v>2396</v>
      </c>
      <c r="AI716" s="1" t="s">
        <v>2782</v>
      </c>
      <c r="AJ716" s="6" t="str">
        <f>IFERROR(__xludf.DUMMYFUNCTION("""COMPUTED_VALUE"""),"structure")</f>
        <v>structure</v>
      </c>
      <c r="AK716" s="49"/>
      <c r="AL716" s="49"/>
      <c r="AM716" s="49"/>
      <c r="AN716" s="52" t="str">
        <f t="shared" si="5"/>
        <v>using,</v>
      </c>
    </row>
    <row r="717">
      <c r="A717" s="51"/>
      <c r="B717" s="50" t="s">
        <v>4420</v>
      </c>
      <c r="C717" s="50" t="s">
        <v>6374</v>
      </c>
      <c r="D717" s="49" t="str">
        <f>IFERROR(__xludf.DUMMYFUNCTION("""COMPUTED_VALUE"""),"opera")</f>
        <v>opera</v>
      </c>
      <c r="E717" s="49"/>
      <c r="F717" s="49"/>
      <c r="G717" s="49"/>
      <c r="H717" s="54" t="str">
        <f t="shared" si="1"/>
        <v>pitch,</v>
      </c>
      <c r="I717" s="50"/>
      <c r="J717" s="50" t="s">
        <v>1524</v>
      </c>
      <c r="K717" s="50" t="s">
        <v>1949</v>
      </c>
      <c r="L717" s="49" t="str">
        <f>IFERROR(__xludf.DUMMYFUNCTION("""COMPUTED_VALUE"""),"thinking")</f>
        <v>thinking</v>
      </c>
      <c r="M717" s="49"/>
      <c r="N717" s="49" t="str">
        <f>IFERROR(__xludf.DUMMYFUNCTION("""COMPUTED_VALUE"""),"winner")</f>
        <v>winner</v>
      </c>
      <c r="O717" s="49" t="str">
        <f>IFERROR(__xludf.DUMMYFUNCTION("""COMPUTED_VALUE"""),"mann")</f>
        <v>mann</v>
      </c>
      <c r="P717" s="49" t="str">
        <f t="shared" si="2"/>
        <v>roll,</v>
      </c>
      <c r="Q717" s="49"/>
      <c r="R717" s="50" t="s">
        <v>5716</v>
      </c>
      <c r="S717" s="55" t="s">
        <v>5935</v>
      </c>
      <c r="T717" s="49" t="str">
        <f>IFERROR(__xludf.DUMMYFUNCTION("""COMPUTED_VALUE"""),"setup")</f>
        <v>setup</v>
      </c>
      <c r="U717" s="49"/>
      <c r="V717" s="49" t="str">
        <f>IFERROR(__xludf.DUMMYFUNCTION("""COMPUTED_VALUE"""),"packages")</f>
        <v>packages</v>
      </c>
      <c r="W717" s="49" t="str">
        <f>IFERROR(__xludf.DUMMYFUNCTION("""COMPUTED_VALUE"""),"example")</f>
        <v>example</v>
      </c>
      <c r="X717" s="49" t="str">
        <f t="shared" si="3"/>
        <v>destroy,</v>
      </c>
      <c r="Y717" s="49"/>
      <c r="Z717" s="1" t="s">
        <v>751</v>
      </c>
      <c r="AA717" s="1" t="s">
        <v>2219</v>
      </c>
      <c r="AB717" s="49" t="str">
        <f>IFERROR(__xludf.DUMMYFUNCTION("""COMPUTED_VALUE"""),"hole")</f>
        <v>hole</v>
      </c>
      <c r="AC717" s="49"/>
      <c r="AD717" s="49" t="str">
        <f>IFERROR(__xludf.DUMMYFUNCTION("""COMPUTED_VALUE"""),"winner")</f>
        <v>winner</v>
      </c>
      <c r="AE717" s="49" t="str">
        <f>IFERROR(__xludf.DUMMYFUNCTION("""COMPUTED_VALUE"""),"mann")</f>
        <v>mann</v>
      </c>
      <c r="AF717" s="49" t="str">
        <f t="shared" si="4"/>
        <v>hit,</v>
      </c>
      <c r="AG717" s="49"/>
      <c r="AH717" s="1" t="s">
        <v>4678</v>
      </c>
      <c r="AI717" s="1" t="s">
        <v>1482</v>
      </c>
      <c r="AJ717" s="6" t="str">
        <f>IFERROR(__xludf.DUMMYFUNCTION("""COMPUTED_VALUE"""),"specific")</f>
        <v>specific</v>
      </c>
      <c r="AK717" s="49"/>
      <c r="AL717" s="49"/>
      <c r="AM717" s="49"/>
      <c r="AN717" s="52" t="str">
        <f t="shared" si="5"/>
        <v>society,</v>
      </c>
    </row>
    <row r="718">
      <c r="A718" s="51"/>
      <c r="B718" s="50" t="s">
        <v>3843</v>
      </c>
      <c r="C718" s="50" t="s">
        <v>2889</v>
      </c>
      <c r="D718" s="49" t="str">
        <f>IFERROR(__xludf.DUMMYFUNCTION("""COMPUTED_VALUE"""),"frozen")</f>
        <v>frozen</v>
      </c>
      <c r="E718" s="49"/>
      <c r="F718" s="49"/>
      <c r="G718" s="49"/>
      <c r="H718" s="54" t="str">
        <f t="shared" si="1"/>
        <v>bet,</v>
      </c>
      <c r="I718" s="50"/>
      <c r="J718" s="50" t="s">
        <v>4719</v>
      </c>
      <c r="K718" s="50" t="s">
        <v>168</v>
      </c>
      <c r="L718" s="49" t="str">
        <f>IFERROR(__xludf.DUMMYFUNCTION("""COMPUTED_VALUE"""),"achieving")</f>
        <v>achieving</v>
      </c>
      <c r="M718" s="49"/>
      <c r="N718" s="49" t="str">
        <f>IFERROR(__xludf.DUMMYFUNCTION("""COMPUTED_VALUE"""),"design")</f>
        <v>design</v>
      </c>
      <c r="O718" s="49" t="str">
        <f>IFERROR(__xludf.DUMMYFUNCTION("""COMPUTED_VALUE"""),"cultivation")</f>
        <v>cultivation</v>
      </c>
      <c r="P718" s="49" t="str">
        <f t="shared" si="2"/>
        <v>wondering,</v>
      </c>
      <c r="Q718" s="49"/>
      <c r="R718" s="50" t="s">
        <v>4042</v>
      </c>
      <c r="S718" s="55" t="s">
        <v>418</v>
      </c>
      <c r="T718" s="49" t="str">
        <f>IFERROR(__xludf.DUMMYFUNCTION("""COMPUTED_VALUE"""),"try")</f>
        <v>try</v>
      </c>
      <c r="U718" s="49"/>
      <c r="V718" s="49" t="str">
        <f>IFERROR(__xludf.DUMMYFUNCTION("""COMPUTED_VALUE"""),"scotch")</f>
        <v>scotch</v>
      </c>
      <c r="W718" s="49" t="str">
        <f>IFERROR(__xludf.DUMMYFUNCTION("""COMPUTED_VALUE"""),"song")</f>
        <v>song</v>
      </c>
      <c r="X718" s="49" t="str">
        <f t="shared" si="3"/>
        <v>accurately,</v>
      </c>
      <c r="Y718" s="49"/>
      <c r="Z718" s="1" t="s">
        <v>6393</v>
      </c>
      <c r="AA718" s="1" t="s">
        <v>3174</v>
      </c>
      <c r="AB718" s="49" t="str">
        <f>IFERROR(__xludf.DUMMYFUNCTION("""COMPUTED_VALUE"""),"naturally")</f>
        <v>naturally</v>
      </c>
      <c r="AC718" s="49"/>
      <c r="AD718" s="49" t="str">
        <f>IFERROR(__xludf.DUMMYFUNCTION("""COMPUTED_VALUE"""),"design")</f>
        <v>design</v>
      </c>
      <c r="AE718" s="49" t="str">
        <f>IFERROR(__xludf.DUMMYFUNCTION("""COMPUTED_VALUE"""),"cultivation")</f>
        <v>cultivation</v>
      </c>
      <c r="AF718" s="49" t="str">
        <f t="shared" si="4"/>
        <v>agent,</v>
      </c>
      <c r="AG718" s="49"/>
      <c r="AH718" s="1" t="s">
        <v>81</v>
      </c>
      <c r="AI718" s="1" t="s">
        <v>1434</v>
      </c>
      <c r="AJ718" s="6" t="str">
        <f>IFERROR(__xludf.DUMMYFUNCTION("""COMPUTED_VALUE"""),"races")</f>
        <v>races</v>
      </c>
      <c r="AK718" s="49"/>
      <c r="AL718" s="49"/>
      <c r="AM718" s="49"/>
      <c r="AN718" s="52" t="str">
        <f t="shared" si="5"/>
        <v>past,</v>
      </c>
    </row>
    <row r="719">
      <c r="A719" s="51"/>
      <c r="B719" s="50" t="s">
        <v>169</v>
      </c>
      <c r="C719" s="50" t="s">
        <v>6375</v>
      </c>
      <c r="D719" s="49" t="str">
        <f>IFERROR(__xludf.DUMMYFUNCTION("""COMPUTED_VALUE"""),"soap")</f>
        <v>soap</v>
      </c>
      <c r="E719" s="49"/>
      <c r="F719" s="49"/>
      <c r="G719" s="49"/>
      <c r="H719" s="54" t="str">
        <f t="shared" si="1"/>
        <v>casting,</v>
      </c>
      <c r="I719" s="50"/>
      <c r="J719" s="50" t="s">
        <v>6314</v>
      </c>
      <c r="K719" s="50" t="s">
        <v>2699</v>
      </c>
      <c r="L719" s="49" t="str">
        <f>IFERROR(__xludf.DUMMYFUNCTION("""COMPUTED_VALUE"""),"deadly")</f>
        <v>deadly</v>
      </c>
      <c r="M719" s="49"/>
      <c r="N719" s="49" t="str">
        <f>IFERROR(__xludf.DUMMYFUNCTION("""COMPUTED_VALUE"""),"luck")</f>
        <v>luck</v>
      </c>
      <c r="O719" s="49" t="str">
        <f>IFERROR(__xludf.DUMMYFUNCTION("""COMPUTED_VALUE"""),"readily")</f>
        <v>readily</v>
      </c>
      <c r="P719" s="49" t="str">
        <f t="shared" si="2"/>
        <v>gone,</v>
      </c>
      <c r="Q719" s="49"/>
      <c r="R719" s="50" t="s">
        <v>5003</v>
      </c>
      <c r="S719" s="55" t="s">
        <v>2808</v>
      </c>
      <c r="T719" s="49" t="str">
        <f>IFERROR(__xludf.DUMMYFUNCTION("""COMPUTED_VALUE"""),"failing")</f>
        <v>failing</v>
      </c>
      <c r="U719" s="49"/>
      <c r="V719" s="49" t="str">
        <f>IFERROR(__xludf.DUMMYFUNCTION("""COMPUTED_VALUE"""),"taps")</f>
        <v>taps</v>
      </c>
      <c r="W719" s="49" t="str">
        <f>IFERROR(__xludf.DUMMYFUNCTION("""COMPUTED_VALUE"""),"editing")</f>
        <v>editing</v>
      </c>
      <c r="X719" s="49" t="str">
        <f t="shared" si="3"/>
        <v>prevention,</v>
      </c>
      <c r="Y719" s="49"/>
      <c r="Z719" s="1" t="s">
        <v>2175</v>
      </c>
      <c r="AA719" s="1" t="s">
        <v>2209</v>
      </c>
      <c r="AB719" s="49" t="str">
        <f>IFERROR(__xludf.DUMMYFUNCTION("""COMPUTED_VALUE"""),"tales")</f>
        <v>tales</v>
      </c>
      <c r="AC719" s="49"/>
      <c r="AD719" s="49" t="str">
        <f>IFERROR(__xludf.DUMMYFUNCTION("""COMPUTED_VALUE"""),"luck")</f>
        <v>luck</v>
      </c>
      <c r="AE719" s="49" t="str">
        <f>IFERROR(__xludf.DUMMYFUNCTION("""COMPUTED_VALUE"""),"readily")</f>
        <v>readily</v>
      </c>
      <c r="AF719" s="49" t="str">
        <f t="shared" si="4"/>
        <v>dark,</v>
      </c>
      <c r="AG719" s="49"/>
      <c r="AH719" s="1" t="s">
        <v>5013</v>
      </c>
      <c r="AI719" s="1" t="s">
        <v>6358</v>
      </c>
      <c r="AJ719" s="6" t="str">
        <f>IFERROR(__xludf.DUMMYFUNCTION("""COMPUTED_VALUE"""),"classes")</f>
        <v>classes</v>
      </c>
      <c r="AK719" s="49"/>
      <c r="AL719" s="49"/>
      <c r="AM719" s="49"/>
      <c r="AN719" s="52" t="str">
        <f t="shared" si="5"/>
        <v>considered,</v>
      </c>
    </row>
    <row r="720">
      <c r="A720" s="51"/>
      <c r="B720" s="50" t="s">
        <v>3104</v>
      </c>
      <c r="C720" s="50" t="s">
        <v>1562</v>
      </c>
      <c r="D720" s="49" t="str">
        <f>IFERROR(__xludf.DUMMYFUNCTION("""COMPUTED_VALUE"""),"simply")</f>
        <v>simply</v>
      </c>
      <c r="E720" s="49"/>
      <c r="F720" s="49"/>
      <c r="G720" s="49"/>
      <c r="H720" s="54" t="str">
        <f t="shared" si="1"/>
        <v>notion,</v>
      </c>
      <c r="I720" s="50"/>
      <c r="J720" s="50" t="s">
        <v>2005</v>
      </c>
      <c r="K720" s="50" t="s">
        <v>3181</v>
      </c>
      <c r="L720" s="49" t="str">
        <f>IFERROR(__xludf.DUMMYFUNCTION("""COMPUTED_VALUE"""),"gradually")</f>
        <v>gradually</v>
      </c>
      <c r="M720" s="49"/>
      <c r="N720" s="49" t="str">
        <f>IFERROR(__xludf.DUMMYFUNCTION("""COMPUTED_VALUE"""),"worlds")</f>
        <v>worlds</v>
      </c>
      <c r="O720" s="49" t="str">
        <f>IFERROR(__xludf.DUMMYFUNCTION("""COMPUTED_VALUE"""),"godfrey")</f>
        <v>godfrey</v>
      </c>
      <c r="P720" s="49" t="str">
        <f t="shared" si="2"/>
        <v>probably,</v>
      </c>
      <c r="Q720" s="49"/>
      <c r="R720" s="50" t="s">
        <v>3093</v>
      </c>
      <c r="S720" s="55" t="s">
        <v>1022</v>
      </c>
      <c r="T720" s="49" t="str">
        <f>IFERROR(__xludf.DUMMYFUNCTION("""COMPUTED_VALUE"""),"jokes")</f>
        <v>jokes</v>
      </c>
      <c r="U720" s="49"/>
      <c r="V720" s="49" t="str">
        <f>IFERROR(__xludf.DUMMYFUNCTION("""COMPUTED_VALUE"""),"fusion")</f>
        <v>fusion</v>
      </c>
      <c r="W720" s="49" t="str">
        <f>IFERROR(__xludf.DUMMYFUNCTION("""COMPUTED_VALUE"""),"extreme")</f>
        <v>extreme</v>
      </c>
      <c r="X720" s="49" t="str">
        <f t="shared" si="3"/>
        <v>disguise,</v>
      </c>
      <c r="Y720" s="49"/>
      <c r="Z720" s="1" t="s">
        <v>286</v>
      </c>
      <c r="AA720" s="1" t="s">
        <v>2216</v>
      </c>
      <c r="AB720" s="49" t="str">
        <f>IFERROR(__xludf.DUMMYFUNCTION("""COMPUTED_VALUE"""),"heroes")</f>
        <v>heroes</v>
      </c>
      <c r="AC720" s="49"/>
      <c r="AD720" s="49" t="str">
        <f>IFERROR(__xludf.DUMMYFUNCTION("""COMPUTED_VALUE"""),"worlds")</f>
        <v>worlds</v>
      </c>
      <c r="AE720" s="49" t="str">
        <f>IFERROR(__xludf.DUMMYFUNCTION("""COMPUTED_VALUE"""),"godfrey")</f>
        <v>godfrey</v>
      </c>
      <c r="AF720" s="49" t="str">
        <f t="shared" si="4"/>
        <v>insights,</v>
      </c>
      <c r="AG720" s="49"/>
      <c r="AH720" s="1" t="s">
        <v>2213</v>
      </c>
      <c r="AI720" s="1" t="s">
        <v>1490</v>
      </c>
      <c r="AJ720" s="6" t="str">
        <f>IFERROR(__xludf.DUMMYFUNCTION("""COMPUTED_VALUE"""),"creating")</f>
        <v>creating</v>
      </c>
      <c r="AK720" s="49"/>
      <c r="AL720" s="49"/>
      <c r="AM720" s="49"/>
      <c r="AN720" s="52" t="str">
        <f t="shared" si="5"/>
        <v>sports,</v>
      </c>
    </row>
    <row r="721">
      <c r="A721" s="51"/>
      <c r="B721" s="50" t="s">
        <v>6320</v>
      </c>
      <c r="C721" s="50" t="s">
        <v>6376</v>
      </c>
      <c r="D721" s="49" t="str">
        <f>IFERROR(__xludf.DUMMYFUNCTION("""COMPUTED_VALUE"""),"greatly")</f>
        <v>greatly</v>
      </c>
      <c r="E721" s="49"/>
      <c r="F721" s="49"/>
      <c r="G721" s="49"/>
      <c r="H721" s="54" t="str">
        <f t="shared" si="1"/>
        <v>ridiculous,</v>
      </c>
      <c r="I721" s="50"/>
      <c r="J721" s="50" t="s">
        <v>3783</v>
      </c>
      <c r="K721" s="50" t="s">
        <v>3185</v>
      </c>
      <c r="L721" s="49" t="str">
        <f>IFERROR(__xludf.DUMMYFUNCTION("""COMPUTED_VALUE"""),"bleak")</f>
        <v>bleak</v>
      </c>
      <c r="M721" s="49"/>
      <c r="N721" s="49" t="str">
        <f>IFERROR(__xludf.DUMMYFUNCTION("""COMPUTED_VALUE"""),"educate")</f>
        <v>educate</v>
      </c>
      <c r="O721" s="49" t="str">
        <f>IFERROR(__xludf.DUMMYFUNCTION("""COMPUTED_VALUE"""),"abandoned")</f>
        <v>abandoned</v>
      </c>
      <c r="P721" s="49" t="str">
        <f t="shared" si="2"/>
        <v>oh,</v>
      </c>
      <c r="Q721" s="49"/>
      <c r="R721" s="50" t="s">
        <v>1210</v>
      </c>
      <c r="S721" s="55" t="s">
        <v>6377</v>
      </c>
      <c r="T721" s="49" t="str">
        <f>IFERROR(__xludf.DUMMYFUNCTION("""COMPUTED_VALUE"""),"martin")</f>
        <v>martin</v>
      </c>
      <c r="U721" s="49"/>
      <c r="V721" s="49" t="str">
        <f>IFERROR(__xludf.DUMMYFUNCTION("""COMPUTED_VALUE"""),"accessibility")</f>
        <v>accessibility</v>
      </c>
      <c r="W721" s="49" t="str">
        <f>IFERROR(__xludf.DUMMYFUNCTION("""COMPUTED_VALUE"""),"values")</f>
        <v>values</v>
      </c>
      <c r="X721" s="49" t="str">
        <f t="shared" si="3"/>
        <v>irwin,</v>
      </c>
      <c r="Y721" s="49"/>
      <c r="Z721" s="1" t="s">
        <v>505</v>
      </c>
      <c r="AA721" s="1" t="s">
        <v>628</v>
      </c>
      <c r="AB721" s="49" t="str">
        <f>IFERROR(__xludf.DUMMYFUNCTION("""COMPUTED_VALUE"""),"narrative")</f>
        <v>narrative</v>
      </c>
      <c r="AC721" s="49"/>
      <c r="AD721" s="49" t="str">
        <f>IFERROR(__xludf.DUMMYFUNCTION("""COMPUTED_VALUE"""),"educate")</f>
        <v>educate</v>
      </c>
      <c r="AE721" s="49" t="str">
        <f>IFERROR(__xludf.DUMMYFUNCTION("""COMPUTED_VALUE"""),"abandoned")</f>
        <v>abandoned</v>
      </c>
      <c r="AF721" s="49" t="str">
        <f t="shared" si="4"/>
        <v>cold,</v>
      </c>
      <c r="AG721" s="49"/>
      <c r="AH721" s="1" t="s">
        <v>2856</v>
      </c>
      <c r="AI721" s="1" t="s">
        <v>2547</v>
      </c>
      <c r="AJ721" s="6" t="str">
        <f>IFERROR(__xludf.DUMMYFUNCTION("""COMPUTED_VALUE"""),"heavily")</f>
        <v>heavily</v>
      </c>
      <c r="AK721" s="49"/>
      <c r="AL721" s="49"/>
      <c r="AM721" s="49"/>
      <c r="AN721" s="52" t="str">
        <f t="shared" si="5"/>
        <v>collection,</v>
      </c>
    </row>
    <row r="722">
      <c r="A722" s="51"/>
      <c r="B722" s="50" t="s">
        <v>853</v>
      </c>
      <c r="C722" s="50" t="s">
        <v>2318</v>
      </c>
      <c r="D722" s="49" t="str">
        <f>IFERROR(__xludf.DUMMYFUNCTION("""COMPUTED_VALUE"""),"free")</f>
        <v>free</v>
      </c>
      <c r="E722" s="49"/>
      <c r="F722" s="49"/>
      <c r="G722" s="49"/>
      <c r="H722" s="54" t="str">
        <f t="shared" si="1"/>
        <v>school,</v>
      </c>
      <c r="I722" s="50"/>
      <c r="J722" s="50" t="s">
        <v>1072</v>
      </c>
      <c r="K722" s="50" t="s">
        <v>2703</v>
      </c>
      <c r="L722" s="49" t="str">
        <f>IFERROR(__xludf.DUMMYFUNCTION("""COMPUTED_VALUE"""),"desperately")</f>
        <v>desperately</v>
      </c>
      <c r="M722" s="49"/>
      <c r="N722" s="49" t="str">
        <f>IFERROR(__xludf.DUMMYFUNCTION("""COMPUTED_VALUE"""),"benefit")</f>
        <v>benefit</v>
      </c>
      <c r="O722" s="49" t="str">
        <f>IFERROR(__xludf.DUMMYFUNCTION("""COMPUTED_VALUE"""),"rode")</f>
        <v>rode</v>
      </c>
      <c r="P722" s="49" t="str">
        <f t="shared" si="2"/>
        <v>fans,</v>
      </c>
      <c r="Q722" s="49"/>
      <c r="R722" s="50" t="s">
        <v>896</v>
      </c>
      <c r="S722" s="55" t="s">
        <v>325</v>
      </c>
      <c r="T722" s="49" t="str">
        <f>IFERROR(__xludf.DUMMYFUNCTION("""COMPUTED_VALUE"""),"appreciate")</f>
        <v>appreciate</v>
      </c>
      <c r="U722" s="49"/>
      <c r="V722" s="49" t="str">
        <f>IFERROR(__xludf.DUMMYFUNCTION("""COMPUTED_VALUE"""),"owed")</f>
        <v>owed</v>
      </c>
      <c r="W722" s="49" t="str">
        <f>IFERROR(__xludf.DUMMYFUNCTION("""COMPUTED_VALUE"""),"strength")</f>
        <v>strength</v>
      </c>
      <c r="X722" s="49" t="str">
        <f t="shared" si="3"/>
        <v>five,</v>
      </c>
      <c r="Y722" s="49"/>
      <c r="Z722" s="1" t="s">
        <v>4114</v>
      </c>
      <c r="AA722" s="1" t="s">
        <v>2228</v>
      </c>
      <c r="AB722" s="49" t="str">
        <f>IFERROR(__xludf.DUMMYFUNCTION("""COMPUTED_VALUE"""),"notice")</f>
        <v>notice</v>
      </c>
      <c r="AC722" s="49"/>
      <c r="AD722" s="49" t="str">
        <f>IFERROR(__xludf.DUMMYFUNCTION("""COMPUTED_VALUE"""),"benefit")</f>
        <v>benefit</v>
      </c>
      <c r="AE722" s="49" t="str">
        <f>IFERROR(__xludf.DUMMYFUNCTION("""COMPUTED_VALUE"""),"rode")</f>
        <v>rode</v>
      </c>
      <c r="AF722" s="49" t="str">
        <f t="shared" si="4"/>
        <v>event,</v>
      </c>
      <c r="AG722" s="49"/>
      <c r="AH722" s="1" t="s">
        <v>2770</v>
      </c>
      <c r="AI722" s="1" t="s">
        <v>361</v>
      </c>
      <c r="AJ722" s="6" t="str">
        <f>IFERROR(__xludf.DUMMYFUNCTION("""COMPUTED_VALUE"""),"jump")</f>
        <v>jump</v>
      </c>
      <c r="AK722" s="49"/>
      <c r="AL722" s="49"/>
      <c r="AM722" s="49"/>
      <c r="AN722" s="52" t="str">
        <f t="shared" si="5"/>
        <v>structure,</v>
      </c>
    </row>
    <row r="723">
      <c r="A723" s="51"/>
      <c r="B723" s="50" t="s">
        <v>1227</v>
      </c>
      <c r="C723" s="50" t="s">
        <v>1330</v>
      </c>
      <c r="D723" s="49" t="str">
        <f>IFERROR(__xludf.DUMMYFUNCTION("""COMPUTED_VALUE"""),"species")</f>
        <v>species</v>
      </c>
      <c r="E723" s="49"/>
      <c r="F723" s="49"/>
      <c r="G723" s="49"/>
      <c r="H723" s="54" t="str">
        <f t="shared" si="1"/>
        <v>high,</v>
      </c>
      <c r="I723" s="50"/>
      <c r="J723" s="50" t="s">
        <v>340</v>
      </c>
      <c r="K723" s="50" t="s">
        <v>405</v>
      </c>
      <c r="L723" s="49" t="str">
        <f>IFERROR(__xludf.DUMMYFUNCTION("""COMPUTED_VALUE"""),"musical")</f>
        <v>musical</v>
      </c>
      <c r="M723" s="49"/>
      <c r="N723" s="49" t="str">
        <f>IFERROR(__xludf.DUMMYFUNCTION("""COMPUTED_VALUE"""),"impressed")</f>
        <v>impressed</v>
      </c>
      <c r="O723" s="49" t="str">
        <f>IFERROR(__xludf.DUMMYFUNCTION("""COMPUTED_VALUE"""),"zipper")</f>
        <v>zipper</v>
      </c>
      <c r="P723" s="49" t="str">
        <f t="shared" si="2"/>
        <v>feel,</v>
      </c>
      <c r="Q723" s="49"/>
      <c r="R723" s="50" t="s">
        <v>1236</v>
      </c>
      <c r="S723" s="55" t="s">
        <v>662</v>
      </c>
      <c r="T723" s="49" t="str">
        <f>IFERROR(__xludf.DUMMYFUNCTION("""COMPUTED_VALUE"""),"beach")</f>
        <v>beach</v>
      </c>
      <c r="U723" s="49"/>
      <c r="V723" s="49" t="str">
        <f>IFERROR(__xludf.DUMMYFUNCTION("""COMPUTED_VALUE"""),"faux")</f>
        <v>faux</v>
      </c>
      <c r="W723" s="49" t="str">
        <f>IFERROR(__xludf.DUMMYFUNCTION("""COMPUTED_VALUE"""),"abandon")</f>
        <v>abandon</v>
      </c>
      <c r="X723" s="49" t="str">
        <f t="shared" si="3"/>
        <v>represents,</v>
      </c>
      <c r="Y723" s="49"/>
      <c r="Z723" s="1" t="s">
        <v>354</v>
      </c>
      <c r="AA723" s="1" t="s">
        <v>3188</v>
      </c>
      <c r="AB723" s="49" t="str">
        <f>IFERROR(__xludf.DUMMYFUNCTION("""COMPUTED_VALUE"""),"obscure")</f>
        <v>obscure</v>
      </c>
      <c r="AC723" s="49"/>
      <c r="AD723" s="49" t="str">
        <f>IFERROR(__xludf.DUMMYFUNCTION("""COMPUTED_VALUE"""),"impressed")</f>
        <v>impressed</v>
      </c>
      <c r="AE723" s="49" t="str">
        <f>IFERROR(__xludf.DUMMYFUNCTION("""COMPUTED_VALUE"""),"zipper")</f>
        <v>zipper</v>
      </c>
      <c r="AF723" s="49" t="str">
        <f t="shared" si="4"/>
        <v>fascinating,</v>
      </c>
      <c r="AG723" s="49"/>
      <c r="AH723" s="1" t="s">
        <v>5375</v>
      </c>
      <c r="AI723" s="1" t="s">
        <v>1446</v>
      </c>
      <c r="AJ723" s="6" t="str">
        <f>IFERROR(__xludf.DUMMYFUNCTION("""COMPUTED_VALUE"""),"interesting")</f>
        <v>interesting</v>
      </c>
      <c r="AK723" s="49"/>
      <c r="AL723" s="49"/>
      <c r="AM723" s="49"/>
      <c r="AN723" s="52" t="str">
        <f t="shared" si="5"/>
        <v>specific,</v>
      </c>
    </row>
    <row r="724">
      <c r="A724" s="51"/>
      <c r="B724" s="50" t="s">
        <v>983</v>
      </c>
      <c r="C724" s="50" t="s">
        <v>2645</v>
      </c>
      <c r="D724" s="49" t="str">
        <f>IFERROR(__xludf.DUMMYFUNCTION("""COMPUTED_VALUE"""),"tv")</f>
        <v>tv</v>
      </c>
      <c r="E724" s="49"/>
      <c r="F724" s="49"/>
      <c r="G724" s="49"/>
      <c r="H724" s="54" t="str">
        <f t="shared" si="1"/>
        <v>near,</v>
      </c>
      <c r="I724" s="50"/>
      <c r="J724" s="50" t="s">
        <v>367</v>
      </c>
      <c r="K724" s="50" t="s">
        <v>416</v>
      </c>
      <c r="L724" s="49" t="str">
        <f>IFERROR(__xludf.DUMMYFUNCTION("""COMPUTED_VALUE"""),"camera")</f>
        <v>camera</v>
      </c>
      <c r="M724" s="49"/>
      <c r="N724" s="49" t="str">
        <f>IFERROR(__xludf.DUMMYFUNCTION("""COMPUTED_VALUE"""),"hank")</f>
        <v>hank</v>
      </c>
      <c r="O724" s="49" t="str">
        <f>IFERROR(__xludf.DUMMYFUNCTION("""COMPUTED_VALUE"""),"journalism")</f>
        <v>journalism</v>
      </c>
      <c r="P724" s="49" t="str">
        <f t="shared" si="2"/>
        <v>dumb,</v>
      </c>
      <c r="Q724" s="49"/>
      <c r="R724" s="50" t="s">
        <v>2605</v>
      </c>
      <c r="S724" s="55" t="s">
        <v>672</v>
      </c>
      <c r="T724" s="49" t="str">
        <f>IFERROR(__xludf.DUMMYFUNCTION("""COMPUTED_VALUE"""),"gifford")</f>
        <v>gifford</v>
      </c>
      <c r="U724" s="49"/>
      <c r="V724" s="49" t="str">
        <f>IFERROR(__xludf.DUMMYFUNCTION("""COMPUTED_VALUE"""),"projection")</f>
        <v>projection</v>
      </c>
      <c r="W724" s="49" t="str">
        <f>IFERROR(__xludf.DUMMYFUNCTION("""COMPUTED_VALUE"""),"scripts")</f>
        <v>scripts</v>
      </c>
      <c r="X724" s="49" t="str">
        <f t="shared" si="3"/>
        <v>freeman,</v>
      </c>
      <c r="Y724" s="49"/>
      <c r="Z724" s="1" t="s">
        <v>1881</v>
      </c>
      <c r="AA724" s="1" t="s">
        <v>2223</v>
      </c>
      <c r="AB724" s="49" t="str">
        <f>IFERROR(__xludf.DUMMYFUNCTION("""COMPUTED_VALUE"""),"grown")</f>
        <v>grown</v>
      </c>
      <c r="AC724" s="49"/>
      <c r="AD724" s="49" t="str">
        <f>IFERROR(__xludf.DUMMYFUNCTION("""COMPUTED_VALUE"""),"hank")</f>
        <v>hank</v>
      </c>
      <c r="AE724" s="49" t="str">
        <f>IFERROR(__xludf.DUMMYFUNCTION("""COMPUTED_VALUE"""),"journalism")</f>
        <v>journalism</v>
      </c>
      <c r="AF724" s="49" t="str">
        <f t="shared" si="4"/>
        <v>bored,</v>
      </c>
      <c r="AG724" s="49"/>
      <c r="AH724" s="1" t="s">
        <v>4471</v>
      </c>
      <c r="AI724" s="1" t="s">
        <v>1480</v>
      </c>
      <c r="AJ724" s="6" t="str">
        <f>IFERROR(__xludf.DUMMYFUNCTION("""COMPUTED_VALUE"""),"bone")</f>
        <v>bone</v>
      </c>
      <c r="AK724" s="49"/>
      <c r="AL724" s="49"/>
      <c r="AM724" s="49"/>
      <c r="AN724" s="52" t="str">
        <f t="shared" si="5"/>
        <v>races,</v>
      </c>
    </row>
    <row r="725">
      <c r="A725" s="51"/>
      <c r="B725" s="50" t="s">
        <v>6586</v>
      </c>
      <c r="C725" s="50" t="s">
        <v>2322</v>
      </c>
      <c r="D725" s="49" t="str">
        <f>IFERROR(__xludf.DUMMYFUNCTION("""COMPUTED_VALUE"""),"leaves")</f>
        <v>leaves</v>
      </c>
      <c r="E725" s="49"/>
      <c r="F725" s="49"/>
      <c r="G725" s="49"/>
      <c r="H725" s="54" t="str">
        <f t="shared" si="1"/>
        <v>blood,</v>
      </c>
      <c r="I725" s="50"/>
      <c r="J725" s="50" t="s">
        <v>1984</v>
      </c>
      <c r="K725" s="50" t="s">
        <v>2717</v>
      </c>
      <c r="L725" s="49" t="str">
        <f>IFERROR(__xludf.DUMMYFUNCTION("""COMPUTED_VALUE"""),"required")</f>
        <v>required</v>
      </c>
      <c r="M725" s="49"/>
      <c r="N725" s="49" t="str">
        <f>IFERROR(__xludf.DUMMYFUNCTION("""COMPUTED_VALUE"""),"porn")</f>
        <v>porn</v>
      </c>
      <c r="O725" s="49" t="str">
        <f>IFERROR(__xludf.DUMMYFUNCTION("""COMPUTED_VALUE"""),"threat")</f>
        <v>threat</v>
      </c>
      <c r="P725" s="49" t="str">
        <f t="shared" si="2"/>
        <v>hastily,</v>
      </c>
      <c r="Q725" s="49"/>
      <c r="R725" s="50" t="s">
        <v>7285</v>
      </c>
      <c r="S725" s="55" t="s">
        <v>2452</v>
      </c>
      <c r="T725" s="49" t="str">
        <f>IFERROR(__xludf.DUMMYFUNCTION("""COMPUTED_VALUE"""),"devastation")</f>
        <v>devastation</v>
      </c>
      <c r="U725" s="49"/>
      <c r="V725" s="49" t="str">
        <f>IFERROR(__xludf.DUMMYFUNCTION("""COMPUTED_VALUE"""),"dangerously")</f>
        <v>dangerously</v>
      </c>
      <c r="W725" s="49" t="str">
        <f>IFERROR(__xludf.DUMMYFUNCTION("""COMPUTED_VALUE"""),"stephen")</f>
        <v>stephen</v>
      </c>
      <c r="X725" s="49" t="str">
        <f t="shared" si="3"/>
        <v>righteous,</v>
      </c>
      <c r="Y725" s="49"/>
      <c r="Z725" s="1" t="s">
        <v>297</v>
      </c>
      <c r="AA725" s="1" t="s">
        <v>3196</v>
      </c>
      <c r="AB725" s="49" t="str">
        <f>IFERROR(__xludf.DUMMYFUNCTION("""COMPUTED_VALUE"""),"commercial")</f>
        <v>commercial</v>
      </c>
      <c r="AC725" s="49"/>
      <c r="AD725" s="49" t="str">
        <f>IFERROR(__xludf.DUMMYFUNCTION("""COMPUTED_VALUE"""),"porn")</f>
        <v>porn</v>
      </c>
      <c r="AE725" s="49" t="str">
        <f>IFERROR(__xludf.DUMMYFUNCTION("""COMPUTED_VALUE"""),"threat")</f>
        <v>threat</v>
      </c>
      <c r="AF725" s="49" t="str">
        <f t="shared" si="4"/>
        <v>doing,</v>
      </c>
      <c r="AG725" s="49"/>
      <c r="AH725" s="1" t="s">
        <v>6991</v>
      </c>
      <c r="AI725" s="1" t="s">
        <v>1497</v>
      </c>
      <c r="AJ725" s="6" t="str">
        <f>IFERROR(__xludf.DUMMYFUNCTION("""COMPUTED_VALUE"""),"ron")</f>
        <v>ron</v>
      </c>
      <c r="AK725" s="49"/>
      <c r="AL725" s="49"/>
      <c r="AM725" s="49"/>
      <c r="AN725" s="52" t="str">
        <f t="shared" si="5"/>
        <v>classes,</v>
      </c>
    </row>
    <row r="726">
      <c r="A726" s="51"/>
      <c r="B726" s="50" t="s">
        <v>797</v>
      </c>
      <c r="C726" s="50" t="s">
        <v>2909</v>
      </c>
      <c r="D726" s="49" t="str">
        <f>IFERROR(__xludf.DUMMYFUNCTION("""COMPUTED_VALUE"""),"question")</f>
        <v>question</v>
      </c>
      <c r="E726" s="49"/>
      <c r="F726" s="49"/>
      <c r="G726" s="49"/>
      <c r="H726" s="54" t="str">
        <f t="shared" si="1"/>
        <v>video,</v>
      </c>
      <c r="I726" s="50"/>
      <c r="J726" s="50" t="s">
        <v>2589</v>
      </c>
      <c r="K726" s="50" t="s">
        <v>423</v>
      </c>
      <c r="L726" s="49" t="str">
        <f>IFERROR(__xludf.DUMMYFUNCTION("""COMPUTED_VALUE"""),"campus")</f>
        <v>campus</v>
      </c>
      <c r="M726" s="49"/>
      <c r="N726" s="49" t="str">
        <f>IFERROR(__xludf.DUMMYFUNCTION("""COMPUTED_VALUE"""),"won")</f>
        <v>won</v>
      </c>
      <c r="O726" s="49" t="str">
        <f>IFERROR(__xludf.DUMMYFUNCTION("""COMPUTED_VALUE"""),"expense")</f>
        <v>expense</v>
      </c>
      <c r="P726" s="49" t="str">
        <f t="shared" si="2"/>
        <v>minds,</v>
      </c>
      <c r="Q726" s="49"/>
      <c r="R726" s="50" t="s">
        <v>183</v>
      </c>
      <c r="S726" s="55" t="s">
        <v>2828</v>
      </c>
      <c r="T726" s="49" t="str">
        <f>IFERROR(__xludf.DUMMYFUNCTION("""COMPUTED_VALUE"""),"lo")</f>
        <v>lo</v>
      </c>
      <c r="U726" s="49"/>
      <c r="V726" s="49" t="str">
        <f>IFERROR(__xludf.DUMMYFUNCTION("""COMPUTED_VALUE"""),"policy")</f>
        <v>policy</v>
      </c>
      <c r="W726" s="49" t="str">
        <f>IFERROR(__xludf.DUMMYFUNCTION("""COMPUTED_VALUE"""),"richer")</f>
        <v>richer</v>
      </c>
      <c r="X726" s="49" t="str">
        <f t="shared" si="3"/>
        <v>sequel,</v>
      </c>
      <c r="Y726" s="49"/>
      <c r="Z726" s="1" t="s">
        <v>1901</v>
      </c>
      <c r="AA726" s="1" t="s">
        <v>2226</v>
      </c>
      <c r="AB726" s="49" t="str">
        <f>IFERROR(__xludf.DUMMYFUNCTION("""COMPUTED_VALUE"""),"force")</f>
        <v>force</v>
      </c>
      <c r="AC726" s="49"/>
      <c r="AD726" s="49" t="str">
        <f>IFERROR(__xludf.DUMMYFUNCTION("""COMPUTED_VALUE"""),"won")</f>
        <v>won</v>
      </c>
      <c r="AE726" s="49" t="str">
        <f>IFERROR(__xludf.DUMMYFUNCTION("""COMPUTED_VALUE"""),"expense")</f>
        <v>expense</v>
      </c>
      <c r="AF726" s="49" t="str">
        <f t="shared" si="4"/>
        <v>drugs,</v>
      </c>
      <c r="AG726" s="49"/>
      <c r="AH726" s="1" t="s">
        <v>3410</v>
      </c>
      <c r="AI726" s="1" t="s">
        <v>1505</v>
      </c>
      <c r="AJ726" s="6" t="str">
        <f>IFERROR(__xludf.DUMMYFUNCTION("""COMPUTED_VALUE"""),"bull")</f>
        <v>bull</v>
      </c>
      <c r="AK726" s="49"/>
      <c r="AL726" s="49"/>
      <c r="AM726" s="49"/>
      <c r="AN726" s="52" t="str">
        <f t="shared" si="5"/>
        <v>creating,</v>
      </c>
    </row>
    <row r="727">
      <c r="A727" s="51"/>
      <c r="B727" s="50" t="s">
        <v>4114</v>
      </c>
      <c r="C727" s="50" t="s">
        <v>2328</v>
      </c>
      <c r="D727" s="49" t="str">
        <f>IFERROR(__xludf.DUMMYFUNCTION("""COMPUTED_VALUE"""),"open")</f>
        <v>open</v>
      </c>
      <c r="E727" s="49"/>
      <c r="F727" s="49"/>
      <c r="G727" s="49"/>
      <c r="H727" s="54" t="str">
        <f t="shared" si="1"/>
        <v>event,</v>
      </c>
      <c r="I727" s="50"/>
      <c r="J727" s="50" t="s">
        <v>1640</v>
      </c>
      <c r="K727" s="50" t="s">
        <v>1973</v>
      </c>
      <c r="L727" s="49" t="str">
        <f>IFERROR(__xludf.DUMMYFUNCTION("""COMPUTED_VALUE"""),"wrapped")</f>
        <v>wrapped</v>
      </c>
      <c r="M727" s="49"/>
      <c r="N727" s="49" t="str">
        <f>IFERROR(__xludf.DUMMYFUNCTION("""COMPUTED_VALUE"""),"foreman")</f>
        <v>foreman</v>
      </c>
      <c r="O727" s="49" t="str">
        <f>IFERROR(__xludf.DUMMYFUNCTION("""COMPUTED_VALUE"""),"nonsense")</f>
        <v>nonsense</v>
      </c>
      <c r="P727" s="49" t="str">
        <f t="shared" si="2"/>
        <v>formula,</v>
      </c>
      <c r="Q727" s="49"/>
      <c r="R727" s="50" t="s">
        <v>6419</v>
      </c>
      <c r="S727" s="55" t="s">
        <v>2464</v>
      </c>
      <c r="T727" s="49" t="str">
        <f>IFERROR(__xludf.DUMMYFUNCTION("""COMPUTED_VALUE"""),"covers")</f>
        <v>covers</v>
      </c>
      <c r="U727" s="49"/>
      <c r="V727" s="49" t="str">
        <f>IFERROR(__xludf.DUMMYFUNCTION("""COMPUTED_VALUE"""),"acts")</f>
        <v>acts</v>
      </c>
      <c r="W727" s="49" t="str">
        <f>IFERROR(__xludf.DUMMYFUNCTION("""COMPUTED_VALUE"""),"randolph")</f>
        <v>randolph</v>
      </c>
      <c r="X727" s="49" t="str">
        <f t="shared" si="3"/>
        <v>franchise,</v>
      </c>
      <c r="Y727" s="49"/>
      <c r="Z727" s="1" t="s">
        <v>853</v>
      </c>
      <c r="AA727" s="1" t="s">
        <v>2230</v>
      </c>
      <c r="AB727" s="49" t="str">
        <f>IFERROR(__xludf.DUMMYFUNCTION("""COMPUTED_VALUE"""),"moved")</f>
        <v>moved</v>
      </c>
      <c r="AC727" s="49"/>
      <c r="AD727" s="49" t="str">
        <f>IFERROR(__xludf.DUMMYFUNCTION("""COMPUTED_VALUE"""),"foreman")</f>
        <v>foreman</v>
      </c>
      <c r="AE727" s="49" t="str">
        <f>IFERROR(__xludf.DUMMYFUNCTION("""COMPUTED_VALUE"""),"nonsense")</f>
        <v>nonsense</v>
      </c>
      <c r="AF727" s="49" t="str">
        <f t="shared" si="4"/>
        <v>school,</v>
      </c>
      <c r="AG727" s="49"/>
      <c r="AH727" s="1" t="s">
        <v>2976</v>
      </c>
      <c r="AI727" s="1" t="s">
        <v>2267</v>
      </c>
      <c r="AJ727" s="6" t="str">
        <f>IFERROR(__xludf.DUMMYFUNCTION("""COMPUTED_VALUE"""),"examination")</f>
        <v>examination</v>
      </c>
      <c r="AK727" s="49"/>
      <c r="AL727" s="49"/>
      <c r="AM727" s="49"/>
      <c r="AN727" s="52" t="str">
        <f t="shared" si="5"/>
        <v>heavily,</v>
      </c>
    </row>
    <row r="728">
      <c r="A728" s="51"/>
      <c r="B728" s="50">
        <v>1993.0</v>
      </c>
      <c r="C728" s="50" t="s">
        <v>6378</v>
      </c>
      <c r="D728" s="49" t="str">
        <f>IFERROR(__xludf.DUMMYFUNCTION("""COMPUTED_VALUE"""),"wounds")</f>
        <v>wounds</v>
      </c>
      <c r="E728" s="49"/>
      <c r="F728" s="49"/>
      <c r="G728" s="49"/>
      <c r="H728" s="54" t="str">
        <f t="shared" si="1"/>
        <v>1993,</v>
      </c>
      <c r="I728" s="50"/>
      <c r="J728" s="50" t="s">
        <v>2819</v>
      </c>
      <c r="K728" s="50" t="s">
        <v>1978</v>
      </c>
      <c r="L728" s="49" t="str">
        <f>IFERROR(__xludf.DUMMYFUNCTION("""COMPUTED_VALUE"""),"introduces")</f>
        <v>introduces</v>
      </c>
      <c r="M728" s="49"/>
      <c r="N728" s="49" t="str">
        <f>IFERROR(__xludf.DUMMYFUNCTION("""COMPUTED_VALUE"""),"comical")</f>
        <v>comical</v>
      </c>
      <c r="O728" s="49" t="str">
        <f>IFERROR(__xludf.DUMMYFUNCTION("""COMPUTED_VALUE"""),"snaps")</f>
        <v>snaps</v>
      </c>
      <c r="P728" s="49" t="str">
        <f t="shared" si="2"/>
        <v>bears,</v>
      </c>
      <c r="Q728" s="49"/>
      <c r="R728" s="50" t="s">
        <v>2503</v>
      </c>
      <c r="S728" s="55" t="s">
        <v>1693</v>
      </c>
      <c r="T728" s="49" t="str">
        <f>IFERROR(__xludf.DUMMYFUNCTION("""COMPUTED_VALUE"""),"fare")</f>
        <v>fare</v>
      </c>
      <c r="U728" s="49"/>
      <c r="V728" s="49" t="str">
        <f>IFERROR(__xludf.DUMMYFUNCTION("""COMPUTED_VALUE"""),"reflects")</f>
        <v>reflects</v>
      </c>
      <c r="W728" s="49" t="str">
        <f>IFERROR(__xludf.DUMMYFUNCTION("""COMPUTED_VALUE"""),"publishing")</f>
        <v>publishing</v>
      </c>
      <c r="X728" s="49" t="str">
        <f t="shared" si="3"/>
        <v>basic,</v>
      </c>
      <c r="Y728" s="49"/>
      <c r="Z728" s="1" t="s">
        <v>983</v>
      </c>
      <c r="AA728" s="1" t="s">
        <v>636</v>
      </c>
      <c r="AB728" s="49" t="str">
        <f>IFERROR(__xludf.DUMMYFUNCTION("""COMPUTED_VALUE"""),"content")</f>
        <v>content</v>
      </c>
      <c r="AC728" s="49"/>
      <c r="AD728" s="49" t="str">
        <f>IFERROR(__xludf.DUMMYFUNCTION("""COMPUTED_VALUE"""),"comical")</f>
        <v>comical</v>
      </c>
      <c r="AE728" s="49" t="str">
        <f>IFERROR(__xludf.DUMMYFUNCTION("""COMPUTED_VALUE"""),"snaps")</f>
        <v>snaps</v>
      </c>
      <c r="AF728" s="49" t="str">
        <f t="shared" si="4"/>
        <v>near,</v>
      </c>
      <c r="AG728" s="49"/>
      <c r="AH728" s="1" t="s">
        <v>3553</v>
      </c>
      <c r="AI728" s="1" t="s">
        <v>1487</v>
      </c>
      <c r="AJ728" s="6" t="str">
        <f>IFERROR(__xludf.DUMMYFUNCTION("""COMPUTED_VALUE"""),"right")</f>
        <v>right</v>
      </c>
      <c r="AK728" s="49"/>
      <c r="AL728" s="49"/>
      <c r="AM728" s="49"/>
      <c r="AN728" s="52" t="str">
        <f t="shared" si="5"/>
        <v>jump,</v>
      </c>
    </row>
    <row r="729">
      <c r="A729" s="51"/>
      <c r="B729" s="50" t="s">
        <v>6593</v>
      </c>
      <c r="C729" s="50" t="s">
        <v>2661</v>
      </c>
      <c r="D729" s="49" t="str">
        <f>IFERROR(__xludf.DUMMYFUNCTION("""COMPUTED_VALUE"""),"failure")</f>
        <v>failure</v>
      </c>
      <c r="E729" s="49"/>
      <c r="F729" s="49"/>
      <c r="G729" s="49"/>
      <c r="H729" s="54" t="str">
        <f t="shared" si="1"/>
        <v>provided,</v>
      </c>
      <c r="I729" s="50"/>
      <c r="J729" s="50" t="s">
        <v>6455</v>
      </c>
      <c r="K729" s="50" t="s">
        <v>3212</v>
      </c>
      <c r="L729" s="49" t="str">
        <f>IFERROR(__xludf.DUMMYFUNCTION("""COMPUTED_VALUE"""),"cover")</f>
        <v>cover</v>
      </c>
      <c r="M729" s="49"/>
      <c r="N729" s="49" t="str">
        <f>IFERROR(__xludf.DUMMYFUNCTION("""COMPUTED_VALUE"""),"traveler")</f>
        <v>traveler</v>
      </c>
      <c r="O729" s="49" t="str">
        <f>IFERROR(__xludf.DUMMYFUNCTION("""COMPUTED_VALUE"""),"lucky")</f>
        <v>lucky</v>
      </c>
      <c r="P729" s="49" t="str">
        <f t="shared" si="2"/>
        <v>obviously,</v>
      </c>
      <c r="Q729" s="49"/>
      <c r="R729" s="50" t="s">
        <v>4184</v>
      </c>
      <c r="S729" s="55" t="s">
        <v>48</v>
      </c>
      <c r="T729" s="49" t="str">
        <f>IFERROR(__xludf.DUMMYFUNCTION("""COMPUTED_VALUE"""),"energy")</f>
        <v>energy</v>
      </c>
      <c r="U729" s="49"/>
      <c r="V729" s="49" t="str">
        <f>IFERROR(__xludf.DUMMYFUNCTION("""COMPUTED_VALUE"""),"chilly")</f>
        <v>chilly</v>
      </c>
      <c r="W729" s="49" t="str">
        <f>IFERROR(__xludf.DUMMYFUNCTION("""COMPUTED_VALUE"""),"welles")</f>
        <v>welles</v>
      </c>
      <c r="X729" s="49" t="str">
        <f t="shared" si="3"/>
        <v>soul,</v>
      </c>
      <c r="Y729" s="49"/>
      <c r="Z729" s="1" t="s">
        <v>6038</v>
      </c>
      <c r="AA729" s="1" t="s">
        <v>985</v>
      </c>
      <c r="AB729" s="49" t="str">
        <f>IFERROR(__xludf.DUMMYFUNCTION("""COMPUTED_VALUE"""),"remotely")</f>
        <v>remotely</v>
      </c>
      <c r="AC729" s="49"/>
      <c r="AD729" s="49" t="str">
        <f>IFERROR(__xludf.DUMMYFUNCTION("""COMPUTED_VALUE"""),"traveler")</f>
        <v>traveler</v>
      </c>
      <c r="AE729" s="49" t="str">
        <f>IFERROR(__xludf.DUMMYFUNCTION("""COMPUTED_VALUE"""),"lucky")</f>
        <v>lucky</v>
      </c>
      <c r="AF729" s="49" t="str">
        <f t="shared" si="4"/>
        <v>killing,</v>
      </c>
      <c r="AG729" s="49"/>
      <c r="AH729" s="1" t="s">
        <v>1688</v>
      </c>
      <c r="AI729" s="1" t="s">
        <v>2276</v>
      </c>
      <c r="AJ729" s="6">
        <f>IFERROR(__xludf.DUMMYFUNCTION("""COMPUTED_VALUE"""),15.0)</f>
        <v>15</v>
      </c>
      <c r="AK729" s="49"/>
      <c r="AL729" s="49"/>
      <c r="AM729" s="49"/>
      <c r="AN729" s="52" t="str">
        <f t="shared" si="5"/>
        <v>interesting,</v>
      </c>
    </row>
    <row r="730">
      <c r="A730" s="51"/>
      <c r="B730" s="50" t="s">
        <v>505</v>
      </c>
      <c r="C730" s="50" t="s">
        <v>6379</v>
      </c>
      <c r="D730" s="49" t="str">
        <f>IFERROR(__xludf.DUMMYFUNCTION("""COMPUTED_VALUE"""),"suffering")</f>
        <v>suffering</v>
      </c>
      <c r="E730" s="49"/>
      <c r="F730" s="49"/>
      <c r="G730" s="49"/>
      <c r="H730" s="54" t="str">
        <f t="shared" si="1"/>
        <v>cold,</v>
      </c>
      <c r="I730" s="50"/>
      <c r="J730" s="50" t="s">
        <v>3284</v>
      </c>
      <c r="K730" s="50" t="s">
        <v>2412</v>
      </c>
      <c r="L730" s="49" t="str">
        <f>IFERROR(__xludf.DUMMYFUNCTION("""COMPUTED_VALUE"""),"grave")</f>
        <v>grave</v>
      </c>
      <c r="M730" s="49"/>
      <c r="N730" s="49" t="str">
        <f>IFERROR(__xludf.DUMMYFUNCTION("""COMPUTED_VALUE"""),"pistol")</f>
        <v>pistol</v>
      </c>
      <c r="O730" s="49" t="str">
        <f>IFERROR(__xludf.DUMMYFUNCTION("""COMPUTED_VALUE"""),"adherents")</f>
        <v>adherents</v>
      </c>
      <c r="P730" s="49" t="str">
        <f t="shared" si="2"/>
        <v>teach,</v>
      </c>
      <c r="Q730" s="49"/>
      <c r="R730" s="50" t="s">
        <v>3571</v>
      </c>
      <c r="S730" s="55" t="s">
        <v>1706</v>
      </c>
      <c r="T730" s="49" t="str">
        <f>IFERROR(__xludf.DUMMYFUNCTION("""COMPUTED_VALUE"""),"material")</f>
        <v>material</v>
      </c>
      <c r="U730" s="49"/>
      <c r="V730" s="49" t="str">
        <f>IFERROR(__xludf.DUMMYFUNCTION("""COMPUTED_VALUE"""),"chi")</f>
        <v>chi</v>
      </c>
      <c r="W730" s="49" t="str">
        <f>IFERROR(__xludf.DUMMYFUNCTION("""COMPUTED_VALUE"""),"hearst")</f>
        <v>hearst</v>
      </c>
      <c r="X730" s="49" t="str">
        <f t="shared" si="3"/>
        <v>directions,</v>
      </c>
      <c r="Y730" s="49"/>
      <c r="Z730" s="1" t="s">
        <v>1227</v>
      </c>
      <c r="AA730" s="1" t="s">
        <v>2243</v>
      </c>
      <c r="AB730" s="49" t="str">
        <f>IFERROR(__xludf.DUMMYFUNCTION("""COMPUTED_VALUE"""),"flair")</f>
        <v>flair</v>
      </c>
      <c r="AC730" s="49"/>
      <c r="AD730" s="49" t="str">
        <f>IFERROR(__xludf.DUMMYFUNCTION("""COMPUTED_VALUE"""),"pistol")</f>
        <v>pistol</v>
      </c>
      <c r="AE730" s="49" t="str">
        <f>IFERROR(__xludf.DUMMYFUNCTION("""COMPUTED_VALUE"""),"adherents")</f>
        <v>adherents</v>
      </c>
      <c r="AF730" s="49" t="str">
        <f t="shared" si="4"/>
        <v>high,</v>
      </c>
      <c r="AG730" s="49"/>
      <c r="AH730" s="1" t="s">
        <v>3442</v>
      </c>
      <c r="AI730" s="1" t="s">
        <v>6369</v>
      </c>
      <c r="AJ730" s="6" t="str">
        <f>IFERROR(__xludf.DUMMYFUNCTION("""COMPUTED_VALUE"""),"wanted")</f>
        <v>wanted</v>
      </c>
      <c r="AK730" s="49"/>
      <c r="AL730" s="49"/>
      <c r="AM730" s="49"/>
      <c r="AN730" s="52" t="str">
        <f t="shared" si="5"/>
        <v>bone,</v>
      </c>
    </row>
    <row r="731">
      <c r="A731" s="51"/>
      <c r="B731" s="50" t="s">
        <v>2528</v>
      </c>
      <c r="C731" s="50" t="s">
        <v>2666</v>
      </c>
      <c r="D731" s="49" t="str">
        <f>IFERROR(__xludf.DUMMYFUNCTION("""COMPUTED_VALUE"""),"powerful")</f>
        <v>powerful</v>
      </c>
      <c r="E731" s="49"/>
      <c r="F731" s="49"/>
      <c r="G731" s="49"/>
      <c r="H731" s="54" t="str">
        <f t="shared" si="1"/>
        <v>sex,</v>
      </c>
      <c r="I731" s="50"/>
      <c r="J731" s="50" t="s">
        <v>3400</v>
      </c>
      <c r="K731" s="50" t="s">
        <v>430</v>
      </c>
      <c r="L731" s="49" t="str">
        <f>IFERROR(__xludf.DUMMYFUNCTION("""COMPUTED_VALUE"""),"core")</f>
        <v>core</v>
      </c>
      <c r="M731" s="49"/>
      <c r="N731" s="49" t="str">
        <f>IFERROR(__xludf.DUMMYFUNCTION("""COMPUTED_VALUE"""),"chew")</f>
        <v>chew</v>
      </c>
      <c r="O731" s="49" t="str">
        <f>IFERROR(__xludf.DUMMYFUNCTION("""COMPUTED_VALUE"""),"trombone")</f>
        <v>trombone</v>
      </c>
      <c r="P731" s="49" t="str">
        <f t="shared" si="2"/>
        <v>between,</v>
      </c>
      <c r="Q731" s="49"/>
      <c r="R731" s="50" t="s">
        <v>1077</v>
      </c>
      <c r="S731" s="55" t="s">
        <v>3665</v>
      </c>
      <c r="T731" s="49" t="str">
        <f>IFERROR(__xludf.DUMMYFUNCTION("""COMPUTED_VALUE"""),"behold")</f>
        <v>behold</v>
      </c>
      <c r="U731" s="49"/>
      <c r="V731" s="49" t="str">
        <f>IFERROR(__xludf.DUMMYFUNCTION("""COMPUTED_VALUE"""),"pizza")</f>
        <v>pizza</v>
      </c>
      <c r="W731" s="49" t="str">
        <f>IFERROR(__xludf.DUMMYFUNCTION("""COMPUTED_VALUE"""),"william")</f>
        <v>william</v>
      </c>
      <c r="X731" s="49" t="str">
        <f t="shared" si="3"/>
        <v>comic,</v>
      </c>
      <c r="Y731" s="49"/>
      <c r="Z731" s="1" t="s">
        <v>797</v>
      </c>
      <c r="AA731" s="1" t="s">
        <v>3215</v>
      </c>
      <c r="AB731" s="49" t="str">
        <f>IFERROR(__xludf.DUMMYFUNCTION("""COMPUTED_VALUE"""),"filmmaker")</f>
        <v>filmmaker</v>
      </c>
      <c r="AC731" s="49"/>
      <c r="AD731" s="49" t="str">
        <f>IFERROR(__xludf.DUMMYFUNCTION("""COMPUTED_VALUE"""),"chew")</f>
        <v>chew</v>
      </c>
      <c r="AE731" s="49" t="str">
        <f>IFERROR(__xludf.DUMMYFUNCTION("""COMPUTED_VALUE"""),"trombone")</f>
        <v>trombone</v>
      </c>
      <c r="AF731" s="49" t="str">
        <f t="shared" si="4"/>
        <v>video,</v>
      </c>
      <c r="AG731" s="49"/>
      <c r="AH731" s="1" t="s">
        <v>1536</v>
      </c>
      <c r="AI731" s="1" t="s">
        <v>4112</v>
      </c>
      <c r="AJ731" s="6" t="str">
        <f>IFERROR(__xludf.DUMMYFUNCTION("""COMPUTED_VALUE"""),"program")</f>
        <v>program</v>
      </c>
      <c r="AK731" s="49"/>
      <c r="AL731" s="49"/>
      <c r="AM731" s="49"/>
      <c r="AN731" s="52" t="str">
        <f t="shared" si="5"/>
        <v>ron,</v>
      </c>
    </row>
    <row r="732">
      <c r="A732" s="51"/>
      <c r="B732" s="50" t="s">
        <v>4122</v>
      </c>
      <c r="C732" s="50" t="s">
        <v>2657</v>
      </c>
      <c r="D732" s="49" t="str">
        <f>IFERROR(__xludf.DUMMYFUNCTION("""COMPUTED_VALUE"""),"clinic")</f>
        <v>clinic</v>
      </c>
      <c r="E732" s="49"/>
      <c r="F732" s="49"/>
      <c r="G732" s="49"/>
      <c r="H732" s="54" t="str">
        <f t="shared" si="1"/>
        <v>watching,</v>
      </c>
      <c r="I732" s="50"/>
      <c r="J732" s="50" t="s">
        <v>5366</v>
      </c>
      <c r="K732" s="50" t="s">
        <v>1984</v>
      </c>
      <c r="L732" s="49" t="str">
        <f>IFERROR(__xludf.DUMMYFUNCTION("""COMPUTED_VALUE"""),"antics")</f>
        <v>antics</v>
      </c>
      <c r="M732" s="49"/>
      <c r="N732" s="49" t="str">
        <f>IFERROR(__xludf.DUMMYFUNCTION("""COMPUTED_VALUE"""),"beacon")</f>
        <v>beacon</v>
      </c>
      <c r="O732" s="49" t="str">
        <f>IFERROR(__xludf.DUMMYFUNCTION("""COMPUTED_VALUE"""),"possess")</f>
        <v>possess</v>
      </c>
      <c r="P732" s="49" t="str">
        <f t="shared" si="2"/>
        <v>build,</v>
      </c>
      <c r="Q732" s="49"/>
      <c r="R732" s="50" t="s">
        <v>721</v>
      </c>
      <c r="S732" s="55" t="s">
        <v>2478</v>
      </c>
      <c r="T732" s="49" t="str">
        <f>IFERROR(__xludf.DUMMYFUNCTION("""COMPUTED_VALUE"""),"sustain")</f>
        <v>sustain</v>
      </c>
      <c r="U732" s="49"/>
      <c r="V732" s="49" t="str">
        <f>IFERROR(__xludf.DUMMYFUNCTION("""COMPUTED_VALUE"""),"poke")</f>
        <v>poke</v>
      </c>
      <c r="W732" s="49" t="str">
        <f>IFERROR(__xludf.DUMMYFUNCTION("""COMPUTED_VALUE"""),"tops")</f>
        <v>tops</v>
      </c>
      <c r="X732" s="49" t="str">
        <f t="shared" si="3"/>
        <v>fallen,</v>
      </c>
      <c r="Y732" s="49"/>
      <c r="Z732" s="1" t="s">
        <v>3887</v>
      </c>
      <c r="AA732" s="1" t="s">
        <v>3218</v>
      </c>
      <c r="AB732" s="49" t="str">
        <f>IFERROR(__xludf.DUMMYFUNCTION("""COMPUTED_VALUE"""),"pleasant")</f>
        <v>pleasant</v>
      </c>
      <c r="AC732" s="49"/>
      <c r="AD732" s="49" t="str">
        <f>IFERROR(__xludf.DUMMYFUNCTION("""COMPUTED_VALUE"""),"beacon")</f>
        <v>beacon</v>
      </c>
      <c r="AE732" s="49" t="str">
        <f>IFERROR(__xludf.DUMMYFUNCTION("""COMPUTED_VALUE"""),"possess")</f>
        <v>possess</v>
      </c>
      <c r="AF732" s="49" t="str">
        <f t="shared" si="4"/>
        <v>teenagers,</v>
      </c>
      <c r="AG732" s="49"/>
      <c r="AH732" s="1" t="s">
        <v>5343</v>
      </c>
      <c r="AI732" s="1" t="s">
        <v>6370</v>
      </c>
      <c r="AJ732" s="6" t="str">
        <f>IFERROR(__xludf.DUMMYFUNCTION("""COMPUTED_VALUE"""),"done")</f>
        <v>done</v>
      </c>
      <c r="AK732" s="49"/>
      <c r="AL732" s="49"/>
      <c r="AM732" s="49"/>
      <c r="AN732" s="52" t="str">
        <f t="shared" si="5"/>
        <v>bull,</v>
      </c>
    </row>
    <row r="733">
      <c r="A733" s="51"/>
      <c r="B733" s="50" t="s">
        <v>1840</v>
      </c>
      <c r="C733" s="50" t="s">
        <v>221</v>
      </c>
      <c r="D733" s="49" t="str">
        <f>IFERROR(__xludf.DUMMYFUNCTION("""COMPUTED_VALUE"""),"wonderful")</f>
        <v>wonderful</v>
      </c>
      <c r="E733" s="49"/>
      <c r="F733" s="49"/>
      <c r="G733" s="49"/>
      <c r="H733" s="54" t="str">
        <f t="shared" si="1"/>
        <v>kids,</v>
      </c>
      <c r="I733" s="50"/>
      <c r="J733" s="50" t="s">
        <v>7286</v>
      </c>
      <c r="K733" s="50" t="s">
        <v>503</v>
      </c>
      <c r="L733" s="49" t="str">
        <f>IFERROR(__xludf.DUMMYFUNCTION("""COMPUTED_VALUE"""),"generating")</f>
        <v>generating</v>
      </c>
      <c r="M733" s="49"/>
      <c r="N733" s="49" t="str">
        <f>IFERROR(__xludf.DUMMYFUNCTION("""COMPUTED_VALUE"""),"plus")</f>
        <v>plus</v>
      </c>
      <c r="O733" s="49" t="str">
        <f>IFERROR(__xludf.DUMMYFUNCTION("""COMPUTED_VALUE"""),"embarrassment")</f>
        <v>embarrassment</v>
      </c>
      <c r="P733" s="49" t="str">
        <f t="shared" si="2"/>
        <v>correctly,</v>
      </c>
      <c r="Q733" s="49"/>
      <c r="R733" s="50" t="s">
        <v>2152</v>
      </c>
      <c r="S733" s="55" t="s">
        <v>56</v>
      </c>
      <c r="T733" s="49" t="str">
        <f>IFERROR(__xludf.DUMMYFUNCTION("""COMPUTED_VALUE"""),"pretend")</f>
        <v>pretend</v>
      </c>
      <c r="U733" s="49"/>
      <c r="V733" s="49" t="str">
        <f>IFERROR(__xludf.DUMMYFUNCTION("""COMPUTED_VALUE"""),"hardened")</f>
        <v>hardened</v>
      </c>
      <c r="W733" s="49" t="str">
        <f>IFERROR(__xludf.DUMMYFUNCTION("""COMPUTED_VALUE"""),"passes")</f>
        <v>passes</v>
      </c>
      <c r="X733" s="49" t="str">
        <f t="shared" si="3"/>
        <v>filled,</v>
      </c>
      <c r="Y733" s="49"/>
      <c r="Z733" s="1" t="s">
        <v>1840</v>
      </c>
      <c r="AA733" s="1" t="s">
        <v>643</v>
      </c>
      <c r="AB733" s="49" t="str">
        <f>IFERROR(__xludf.DUMMYFUNCTION("""COMPUTED_VALUE"""),"pieces")</f>
        <v>pieces</v>
      </c>
      <c r="AC733" s="49"/>
      <c r="AD733" s="49" t="str">
        <f>IFERROR(__xludf.DUMMYFUNCTION("""COMPUTED_VALUE"""),"plus")</f>
        <v>plus</v>
      </c>
      <c r="AE733" s="49" t="str">
        <f>IFERROR(__xludf.DUMMYFUNCTION("""COMPUTED_VALUE"""),"embarrassment")</f>
        <v>embarrassment</v>
      </c>
      <c r="AF733" s="49" t="str">
        <f t="shared" si="4"/>
        <v>kids,</v>
      </c>
      <c r="AG733" s="49"/>
      <c r="AH733" s="1" t="s">
        <v>868</v>
      </c>
      <c r="AI733" s="1" t="s">
        <v>1502</v>
      </c>
      <c r="AJ733" s="6" t="str">
        <f>IFERROR(__xludf.DUMMYFUNCTION("""COMPUTED_VALUE"""),"daughter")</f>
        <v>daughter</v>
      </c>
      <c r="AK733" s="49"/>
      <c r="AL733" s="49"/>
      <c r="AM733" s="49"/>
      <c r="AN733" s="52" t="str">
        <f t="shared" si="5"/>
        <v>examination,</v>
      </c>
    </row>
    <row r="734">
      <c r="A734" s="51"/>
      <c r="B734" s="50" t="s">
        <v>6038</v>
      </c>
      <c r="C734" s="50" t="s">
        <v>1243</v>
      </c>
      <c r="D734" s="49" t="str">
        <f>IFERROR(__xludf.DUMMYFUNCTION("""COMPUTED_VALUE"""),"reason")</f>
        <v>reason</v>
      </c>
      <c r="E734" s="49"/>
      <c r="F734" s="49"/>
      <c r="G734" s="49"/>
      <c r="H734" s="54" t="str">
        <f t="shared" si="1"/>
        <v>killing,</v>
      </c>
      <c r="I734" s="50"/>
      <c r="J734" s="50" t="s">
        <v>2300</v>
      </c>
      <c r="K734" s="50" t="s">
        <v>2532</v>
      </c>
      <c r="L734" s="49" t="str">
        <f>IFERROR(__xludf.DUMMYFUNCTION("""COMPUTED_VALUE"""),"cynical")</f>
        <v>cynical</v>
      </c>
      <c r="M734" s="49"/>
      <c r="N734" s="49" t="str">
        <f>IFERROR(__xludf.DUMMYFUNCTION("""COMPUTED_VALUE"""),"sacrifice")</f>
        <v>sacrifice</v>
      </c>
      <c r="O734" s="49" t="str">
        <f>IFERROR(__xludf.DUMMYFUNCTION("""COMPUTED_VALUE"""),"shorts")</f>
        <v>shorts</v>
      </c>
      <c r="P734" s="49" t="str">
        <f t="shared" si="2"/>
        <v>remember,</v>
      </c>
      <c r="Q734" s="49"/>
      <c r="R734" s="50" t="s">
        <v>4587</v>
      </c>
      <c r="S734" s="55" t="s">
        <v>343</v>
      </c>
      <c r="T734" s="49" t="str">
        <f>IFERROR(__xludf.DUMMYFUNCTION("""COMPUTED_VALUE"""),"shot")</f>
        <v>shot</v>
      </c>
      <c r="U734" s="49"/>
      <c r="V734" s="49" t="str">
        <f>IFERROR(__xludf.DUMMYFUNCTION("""COMPUTED_VALUE"""),"ninety")</f>
        <v>ninety</v>
      </c>
      <c r="W734" s="49" t="str">
        <f>IFERROR(__xludf.DUMMYFUNCTION("""COMPUTED_VALUE"""),"portrayed")</f>
        <v>portrayed</v>
      </c>
      <c r="X734" s="49" t="str">
        <f t="shared" si="3"/>
        <v>ring,</v>
      </c>
      <c r="Y734" s="49"/>
      <c r="Z734" s="1" t="s">
        <v>4122</v>
      </c>
      <c r="AA734" s="1" t="s">
        <v>648</v>
      </c>
      <c r="AB734" s="49" t="str">
        <f>IFERROR(__xludf.DUMMYFUNCTION("""COMPUTED_VALUE"""),"arbitrary")</f>
        <v>arbitrary</v>
      </c>
      <c r="AC734" s="49"/>
      <c r="AD734" s="49" t="str">
        <f>IFERROR(__xludf.DUMMYFUNCTION("""COMPUTED_VALUE"""),"sacrifice")</f>
        <v>sacrifice</v>
      </c>
      <c r="AE734" s="49" t="str">
        <f>IFERROR(__xludf.DUMMYFUNCTION("""COMPUTED_VALUE"""),"shorts")</f>
        <v>shorts</v>
      </c>
      <c r="AF734" s="49" t="str">
        <f t="shared" si="4"/>
        <v>watching,</v>
      </c>
      <c r="AG734" s="49"/>
      <c r="AH734" s="1" t="s">
        <v>697</v>
      </c>
      <c r="AI734" s="1" t="s">
        <v>2593</v>
      </c>
      <c r="AJ734" s="6" t="str">
        <f>IFERROR(__xludf.DUMMYFUNCTION("""COMPUTED_VALUE"""),"tv")</f>
        <v>tv</v>
      </c>
      <c r="AK734" s="49"/>
      <c r="AL734" s="49"/>
      <c r="AM734" s="49"/>
      <c r="AN734" s="52" t="str">
        <f t="shared" si="5"/>
        <v>right,</v>
      </c>
    </row>
    <row r="735">
      <c r="A735" s="51"/>
      <c r="B735" s="50" t="s">
        <v>1901</v>
      </c>
      <c r="C735" s="50" t="s">
        <v>2920</v>
      </c>
      <c r="D735" s="49" t="str">
        <f>IFERROR(__xludf.DUMMYFUNCTION("""COMPUTED_VALUE"""),"making")</f>
        <v>making</v>
      </c>
      <c r="E735" s="49"/>
      <c r="F735" s="49"/>
      <c r="G735" s="49"/>
      <c r="H735" s="54" t="str">
        <f t="shared" si="1"/>
        <v>drugs,</v>
      </c>
      <c r="I735" s="50"/>
      <c r="J735" s="50" t="s">
        <v>300</v>
      </c>
      <c r="K735" s="50" t="s">
        <v>1986</v>
      </c>
      <c r="L735" s="49" t="str">
        <f>IFERROR(__xludf.DUMMYFUNCTION("""COMPUTED_VALUE"""),"producer")</f>
        <v>producer</v>
      </c>
      <c r="M735" s="49"/>
      <c r="N735" s="49" t="str">
        <f>IFERROR(__xludf.DUMMYFUNCTION("""COMPUTED_VALUE"""),"choice")</f>
        <v>choice</v>
      </c>
      <c r="O735" s="49" t="str">
        <f>IFERROR(__xludf.DUMMYFUNCTION("""COMPUTED_VALUE"""),"unrelated")</f>
        <v>unrelated</v>
      </c>
      <c r="P735" s="49" t="str">
        <f t="shared" si="2"/>
        <v>showdown,</v>
      </c>
      <c r="Q735" s="49"/>
      <c r="R735" s="50" t="s">
        <v>5120</v>
      </c>
      <c r="S735" s="55" t="s">
        <v>1722</v>
      </c>
      <c r="T735" s="49" t="str">
        <f>IFERROR(__xludf.DUMMYFUNCTION("""COMPUTED_VALUE"""),"chemistry")</f>
        <v>chemistry</v>
      </c>
      <c r="U735" s="49"/>
      <c r="V735" s="49" t="str">
        <f>IFERROR(__xludf.DUMMYFUNCTION("""COMPUTED_VALUE"""),"shared")</f>
        <v>shared</v>
      </c>
      <c r="W735" s="49" t="str">
        <f>IFERROR(__xludf.DUMMYFUNCTION("""COMPUTED_VALUE"""),"musicals")</f>
        <v>musicals</v>
      </c>
      <c r="X735" s="49" t="str">
        <f t="shared" si="3"/>
        <v>lead,</v>
      </c>
      <c r="Y735" s="49"/>
      <c r="Z735" s="1" t="s">
        <v>4070</v>
      </c>
      <c r="AA735" s="1" t="s">
        <v>2253</v>
      </c>
      <c r="AB735" s="49" t="str">
        <f>IFERROR(__xludf.DUMMYFUNCTION("""COMPUTED_VALUE"""),"recycled")</f>
        <v>recycled</v>
      </c>
      <c r="AC735" s="49"/>
      <c r="AD735" s="49" t="str">
        <f>IFERROR(__xludf.DUMMYFUNCTION("""COMPUTED_VALUE"""),"choice")</f>
        <v>choice</v>
      </c>
      <c r="AE735" s="49" t="str">
        <f>IFERROR(__xludf.DUMMYFUNCTION("""COMPUTED_VALUE"""),"unrelated")</f>
        <v>unrelated</v>
      </c>
      <c r="AF735" s="49" t="str">
        <f t="shared" si="4"/>
        <v>handful,</v>
      </c>
      <c r="AG735" s="49"/>
      <c r="AH735" s="1">
        <v>15.0</v>
      </c>
      <c r="AI735" s="1" t="s">
        <v>1540</v>
      </c>
      <c r="AJ735" s="6" t="b">
        <f>IFERROR(__xludf.DUMMYFUNCTION("""COMPUTED_VALUE"""),TRUE)</f>
        <v>1</v>
      </c>
      <c r="AK735" s="49"/>
      <c r="AL735" s="49"/>
      <c r="AM735" s="49"/>
      <c r="AN735" s="52" t="str">
        <f t="shared" si="5"/>
        <v>15,</v>
      </c>
    </row>
    <row r="736">
      <c r="A736" s="51"/>
      <c r="B736" s="50" t="s">
        <v>4369</v>
      </c>
      <c r="C736" s="50" t="s">
        <v>2296</v>
      </c>
      <c r="D736" s="49" t="str">
        <f>IFERROR(__xludf.DUMMYFUNCTION("""COMPUTED_VALUE"""),"level")</f>
        <v>level</v>
      </c>
      <c r="E736" s="49"/>
      <c r="F736" s="49"/>
      <c r="G736" s="49"/>
      <c r="H736" s="54" t="str">
        <f t="shared" si="1"/>
        <v>listening,</v>
      </c>
      <c r="I736" s="50"/>
      <c r="J736" s="50" t="s">
        <v>3821</v>
      </c>
      <c r="K736" s="50" t="s">
        <v>2737</v>
      </c>
      <c r="L736" s="49" t="str">
        <f>IFERROR(__xludf.DUMMYFUNCTION("""COMPUTED_VALUE"""),"glimpse")</f>
        <v>glimpse</v>
      </c>
      <c r="M736" s="49"/>
      <c r="N736" s="49" t="str">
        <f>IFERROR(__xludf.DUMMYFUNCTION("""COMPUTED_VALUE"""),"fit")</f>
        <v>fit</v>
      </c>
      <c r="O736" s="49" t="str">
        <f>IFERROR(__xludf.DUMMYFUNCTION("""COMPUTED_VALUE"""),"strained")</f>
        <v>strained</v>
      </c>
      <c r="P736" s="49" t="str">
        <f t="shared" si="2"/>
        <v>hilarious,</v>
      </c>
      <c r="Q736" s="49"/>
      <c r="R736" s="50" t="s">
        <v>1815</v>
      </c>
      <c r="S736" s="55" t="s">
        <v>5279</v>
      </c>
      <c r="T736" s="49" t="str">
        <f>IFERROR(__xludf.DUMMYFUNCTION("""COMPUTED_VALUE"""),"bite")</f>
        <v>bite</v>
      </c>
      <c r="U736" s="49"/>
      <c r="V736" s="49" t="str">
        <f>IFERROR(__xludf.DUMMYFUNCTION("""COMPUTED_VALUE"""),"evenings")</f>
        <v>evenings</v>
      </c>
      <c r="W736" s="49">
        <f>IFERROR(__xludf.DUMMYFUNCTION("""COMPUTED_VALUE"""),30.0)</f>
        <v>30</v>
      </c>
      <c r="X736" s="49" t="str">
        <f t="shared" si="3"/>
        <v>irony,</v>
      </c>
      <c r="Y736" s="49"/>
      <c r="Z736" s="1" t="s">
        <v>6586</v>
      </c>
      <c r="AA736" s="1" t="s">
        <v>975</v>
      </c>
      <c r="AB736" s="49" t="str">
        <f>IFERROR(__xludf.DUMMYFUNCTION("""COMPUTED_VALUE"""),"midway")</f>
        <v>midway</v>
      </c>
      <c r="AC736" s="49"/>
      <c r="AD736" s="49" t="str">
        <f>IFERROR(__xludf.DUMMYFUNCTION("""COMPUTED_VALUE"""),"fit")</f>
        <v>fit</v>
      </c>
      <c r="AE736" s="49" t="str">
        <f>IFERROR(__xludf.DUMMYFUNCTION("""COMPUTED_VALUE"""),"strained")</f>
        <v>strained</v>
      </c>
      <c r="AF736" s="49" t="str">
        <f t="shared" si="4"/>
        <v>blood,</v>
      </c>
      <c r="AG736" s="49"/>
      <c r="AH736" s="1" t="s">
        <v>848</v>
      </c>
      <c r="AI736" s="1" t="s">
        <v>923</v>
      </c>
      <c r="AJ736" s="6" t="str">
        <f>IFERROR(__xludf.DUMMYFUNCTION("""COMPUTED_VALUE"""),"weeks")</f>
        <v>weeks</v>
      </c>
      <c r="AK736" s="49"/>
      <c r="AL736" s="49"/>
      <c r="AM736" s="49"/>
      <c r="AN736" s="52" t="str">
        <f t="shared" si="5"/>
        <v>wanted,</v>
      </c>
    </row>
    <row r="737">
      <c r="A737" s="51"/>
      <c r="B737" s="50" t="s">
        <v>4070</v>
      </c>
      <c r="C737" s="50" t="s">
        <v>382</v>
      </c>
      <c r="D737" s="49" t="str">
        <f>IFERROR(__xludf.DUMMYFUNCTION("""COMPUTED_VALUE"""),"needs")</f>
        <v>needs</v>
      </c>
      <c r="E737" s="49"/>
      <c r="F737" s="49"/>
      <c r="G737" s="49"/>
      <c r="H737" s="54" t="str">
        <f t="shared" si="1"/>
        <v>handful,</v>
      </c>
      <c r="I737" s="50"/>
      <c r="J737" s="50" t="s">
        <v>1617</v>
      </c>
      <c r="K737" s="50" t="s">
        <v>2740</v>
      </c>
      <c r="L737" s="49" t="str">
        <f>IFERROR(__xludf.DUMMYFUNCTION("""COMPUTED_VALUE"""),"insight")</f>
        <v>insight</v>
      </c>
      <c r="M737" s="49"/>
      <c r="N737" s="49" t="str">
        <f>IFERROR(__xludf.DUMMYFUNCTION("""COMPUTED_VALUE"""),"interior")</f>
        <v>interior</v>
      </c>
      <c r="O737" s="49" t="str">
        <f>IFERROR(__xludf.DUMMYFUNCTION("""COMPUTED_VALUE"""),"uncomfortably")</f>
        <v>uncomfortably</v>
      </c>
      <c r="P737" s="49" t="str">
        <f t="shared" si="2"/>
        <v>promise,</v>
      </c>
      <c r="Q737" s="49"/>
      <c r="R737" s="50" t="s">
        <v>2328</v>
      </c>
      <c r="S737" s="55" t="s">
        <v>1733</v>
      </c>
      <c r="T737" s="49" t="str">
        <f>IFERROR(__xludf.DUMMYFUNCTION("""COMPUTED_VALUE"""),"parts")</f>
        <v>parts</v>
      </c>
      <c r="U737" s="49"/>
      <c r="V737" s="49"/>
      <c r="W737" s="49" t="str">
        <f>IFERROR(__xludf.DUMMYFUNCTION("""COMPUTED_VALUE"""),"cerebral")</f>
        <v>cerebral</v>
      </c>
      <c r="X737" s="49" t="str">
        <f t="shared" si="3"/>
        <v>walked,</v>
      </c>
      <c r="Y737" s="49"/>
      <c r="Z737" s="1" t="s">
        <v>5816</v>
      </c>
      <c r="AA737" s="1" t="s">
        <v>2257</v>
      </c>
      <c r="AB737" s="49" t="str">
        <f>IFERROR(__xludf.DUMMYFUNCTION("""COMPUTED_VALUE"""),"coma")</f>
        <v>coma</v>
      </c>
      <c r="AC737" s="49"/>
      <c r="AD737" s="49" t="str">
        <f>IFERROR(__xludf.DUMMYFUNCTION("""COMPUTED_VALUE"""),"interior")</f>
        <v>interior</v>
      </c>
      <c r="AE737" s="49" t="str">
        <f>IFERROR(__xludf.DUMMYFUNCTION("""COMPUTED_VALUE"""),"uncomfortably")</f>
        <v>uncomfortably</v>
      </c>
      <c r="AF737" s="49" t="str">
        <f t="shared" si="4"/>
        <v>teens,</v>
      </c>
      <c r="AG737" s="49"/>
      <c r="AH737" s="1" t="s">
        <v>6436</v>
      </c>
      <c r="AI737" s="1" t="s">
        <v>1509</v>
      </c>
      <c r="AJ737" s="6" t="str">
        <f>IFERROR(__xludf.DUMMYFUNCTION("""COMPUTED_VALUE"""),"mostly")</f>
        <v>mostly</v>
      </c>
      <c r="AK737" s="49"/>
      <c r="AL737" s="49"/>
      <c r="AM737" s="49"/>
      <c r="AN737" s="52" t="str">
        <f t="shared" si="5"/>
        <v>program,</v>
      </c>
    </row>
    <row r="738">
      <c r="A738" s="51"/>
      <c r="B738" s="50" t="s">
        <v>442</v>
      </c>
      <c r="C738" s="50" t="s">
        <v>2336</v>
      </c>
      <c r="D738" s="49" t="str">
        <f>IFERROR(__xludf.DUMMYFUNCTION("""COMPUTED_VALUE"""),"demanding")</f>
        <v>demanding</v>
      </c>
      <c r="E738" s="49"/>
      <c r="F738" s="49"/>
      <c r="G738" s="49"/>
      <c r="H738" s="54" t="str">
        <f t="shared" si="1"/>
        <v>black,</v>
      </c>
      <c r="I738" s="50"/>
      <c r="J738" s="50" t="s">
        <v>5538</v>
      </c>
      <c r="K738" s="50" t="s">
        <v>2743</v>
      </c>
      <c r="L738" s="49" t="str">
        <f>IFERROR(__xludf.DUMMYFUNCTION("""COMPUTED_VALUE"""),"ponder")</f>
        <v>ponder</v>
      </c>
      <c r="M738" s="49"/>
      <c r="N738" s="49" t="str">
        <f>IFERROR(__xludf.DUMMYFUNCTION("""COMPUTED_VALUE"""),"confrontation")</f>
        <v>confrontation</v>
      </c>
      <c r="O738" s="49" t="str">
        <f>IFERROR(__xludf.DUMMYFUNCTION("""COMPUTED_VALUE"""),"figures")</f>
        <v>figures</v>
      </c>
      <c r="P738" s="49" t="str">
        <f t="shared" si="2"/>
        <v>defeated,</v>
      </c>
      <c r="Q738" s="49"/>
      <c r="R738" s="50" t="s">
        <v>5064</v>
      </c>
      <c r="S738" s="55" t="s">
        <v>1742</v>
      </c>
      <c r="T738" s="49" t="str">
        <f>IFERROR(__xludf.DUMMYFUNCTION("""COMPUTED_VALUE"""),"sensual")</f>
        <v>sensual</v>
      </c>
      <c r="U738" s="49"/>
      <c r="V738" s="49"/>
      <c r="W738" s="49" t="str">
        <f>IFERROR(__xludf.DUMMYFUNCTION("""COMPUTED_VALUE"""),"forwards")</f>
        <v>forwards</v>
      </c>
      <c r="X738" s="49" t="str">
        <f t="shared" si="3"/>
        <v>fear,</v>
      </c>
      <c r="Y738" s="49"/>
      <c r="Z738" s="1" t="s">
        <v>908</v>
      </c>
      <c r="AA738" s="1" t="s">
        <v>533</v>
      </c>
      <c r="AB738" s="49" t="str">
        <f>IFERROR(__xludf.DUMMYFUNCTION("""COMPUTED_VALUE"""),"spin")</f>
        <v>spin</v>
      </c>
      <c r="AC738" s="49"/>
      <c r="AD738" s="49" t="str">
        <f>IFERROR(__xludf.DUMMYFUNCTION("""COMPUTED_VALUE"""),"confrontation")</f>
        <v>confrontation</v>
      </c>
      <c r="AE738" s="49" t="str">
        <f>IFERROR(__xludf.DUMMYFUNCTION("""COMPUTED_VALUE"""),"figures")</f>
        <v>figures</v>
      </c>
      <c r="AF738" s="49" t="str">
        <f t="shared" si="4"/>
        <v>having,</v>
      </c>
      <c r="AG738" s="49"/>
      <c r="AH738" s="1" t="s">
        <v>1789</v>
      </c>
      <c r="AI738" s="1" t="s">
        <v>2599</v>
      </c>
      <c r="AJ738" s="6" t="str">
        <f>IFERROR(__xludf.DUMMYFUNCTION("""COMPUTED_VALUE"""),"follows")</f>
        <v>follows</v>
      </c>
      <c r="AK738" s="49"/>
      <c r="AL738" s="49"/>
      <c r="AM738" s="49"/>
      <c r="AN738" s="52" t="str">
        <f t="shared" si="5"/>
        <v>done,</v>
      </c>
    </row>
    <row r="739">
      <c r="A739" s="51"/>
      <c r="B739" s="50" t="s">
        <v>1331</v>
      </c>
      <c r="C739" s="50" t="s">
        <v>379</v>
      </c>
      <c r="D739" s="49" t="str">
        <f>IFERROR(__xludf.DUMMYFUNCTION("""COMPUTED_VALUE"""),"material")</f>
        <v>material</v>
      </c>
      <c r="E739" s="49"/>
      <c r="F739" s="49"/>
      <c r="G739" s="49"/>
      <c r="H739" s="54" t="str">
        <f t="shared" si="1"/>
        <v>death,</v>
      </c>
      <c r="I739" s="50"/>
      <c r="J739" s="50" t="s">
        <v>86</v>
      </c>
      <c r="K739" s="50" t="s">
        <v>1963</v>
      </c>
      <c r="L739" s="49" t="str">
        <f>IFERROR(__xludf.DUMMYFUNCTION("""COMPUTED_VALUE"""),"hop")</f>
        <v>hop</v>
      </c>
      <c r="M739" s="49"/>
      <c r="N739" s="49" t="str">
        <f>IFERROR(__xludf.DUMMYFUNCTION("""COMPUTED_VALUE"""),"cape")</f>
        <v>cape</v>
      </c>
      <c r="O739" s="49" t="str">
        <f>IFERROR(__xludf.DUMMYFUNCTION("""COMPUTED_VALUE"""),"condensed")</f>
        <v>condensed</v>
      </c>
      <c r="P739" s="49" t="str">
        <f t="shared" si="2"/>
        <v>nature,</v>
      </c>
      <c r="Q739" s="49"/>
      <c r="R739" s="50" t="s">
        <v>2464</v>
      </c>
      <c r="S739" s="55" t="s">
        <v>1697</v>
      </c>
      <c r="T739" s="49" t="str">
        <f>IFERROR(__xludf.DUMMYFUNCTION("""COMPUTED_VALUE"""),"natural")</f>
        <v>natural</v>
      </c>
      <c r="U739" s="49"/>
      <c r="V739" s="49"/>
      <c r="W739" s="49" t="str">
        <f>IFERROR(__xludf.DUMMYFUNCTION("""COMPUTED_VALUE"""),"prism")</f>
        <v>prism</v>
      </c>
      <c r="X739" s="49" t="str">
        <f t="shared" si="3"/>
        <v>female,</v>
      </c>
      <c r="Y739" s="49"/>
      <c r="Z739" s="1" t="s">
        <v>2528</v>
      </c>
      <c r="AA739" s="1" t="s">
        <v>2045</v>
      </c>
      <c r="AB739" s="49" t="str">
        <f>IFERROR(__xludf.DUMMYFUNCTION("""COMPUTED_VALUE"""),"endure")</f>
        <v>endure</v>
      </c>
      <c r="AC739" s="49"/>
      <c r="AD739" s="49" t="str">
        <f>IFERROR(__xludf.DUMMYFUNCTION("""COMPUTED_VALUE"""),"cape")</f>
        <v>cape</v>
      </c>
      <c r="AE739" s="49" t="str">
        <f>IFERROR(__xludf.DUMMYFUNCTION("""COMPUTED_VALUE"""),"condensed")</f>
        <v>condensed</v>
      </c>
      <c r="AF739" s="49" t="str">
        <f t="shared" si="4"/>
        <v>sex,</v>
      </c>
      <c r="AG739" s="49"/>
      <c r="AH739" s="1" t="s">
        <v>3378</v>
      </c>
      <c r="AI739" s="1" t="s">
        <v>1547</v>
      </c>
      <c r="AJ739" s="6" t="str">
        <f>IFERROR(__xludf.DUMMYFUNCTION("""COMPUTED_VALUE"""),"liked")</f>
        <v>liked</v>
      </c>
      <c r="AK739" s="49"/>
      <c r="AL739" s="49"/>
      <c r="AM739" s="49"/>
      <c r="AN739" s="52" t="str">
        <f t="shared" si="5"/>
        <v>daughter,</v>
      </c>
    </row>
    <row r="740">
      <c r="A740" s="51"/>
      <c r="B740" s="50" t="s">
        <v>6337</v>
      </c>
      <c r="C740" s="50" t="s">
        <v>2942</v>
      </c>
      <c r="D740" s="49" t="str">
        <f>IFERROR(__xludf.DUMMYFUNCTION("""COMPUTED_VALUE"""),"passion")</f>
        <v>passion</v>
      </c>
      <c r="E740" s="49"/>
      <c r="F740" s="49"/>
      <c r="G740" s="49"/>
      <c r="H740" s="54" t="str">
        <f t="shared" si="1"/>
        <v>girl,</v>
      </c>
      <c r="I740" s="50"/>
      <c r="J740" s="50" t="s">
        <v>4509</v>
      </c>
      <c r="K740" s="50" t="s">
        <v>3243</v>
      </c>
      <c r="L740" s="49" t="str">
        <f>IFERROR(__xludf.DUMMYFUNCTION("""COMPUTED_VALUE"""),"certain")</f>
        <v>certain</v>
      </c>
      <c r="M740" s="49"/>
      <c r="N740" s="49" t="str">
        <f>IFERROR(__xludf.DUMMYFUNCTION("""COMPUTED_VALUE"""),"complaint")</f>
        <v>complaint</v>
      </c>
      <c r="O740" s="49" t="str">
        <f>IFERROR(__xludf.DUMMYFUNCTION("""COMPUTED_VALUE"""),"digest")</f>
        <v>digest</v>
      </c>
      <c r="P740" s="49" t="str">
        <f t="shared" si="2"/>
        <v>ghost,</v>
      </c>
      <c r="Q740" s="49"/>
      <c r="R740" s="50" t="s">
        <v>3261</v>
      </c>
      <c r="S740" s="55" t="s">
        <v>2864</v>
      </c>
      <c r="T740" s="49" t="str">
        <f>IFERROR(__xludf.DUMMYFUNCTION("""COMPUTED_VALUE"""),"spent")</f>
        <v>spent</v>
      </c>
      <c r="U740" s="49"/>
      <c r="V740" s="49"/>
      <c r="W740" s="49" t="str">
        <f>IFERROR(__xludf.DUMMYFUNCTION("""COMPUTED_VALUE"""),"innocent")</f>
        <v>innocent</v>
      </c>
      <c r="X740" s="49" t="str">
        <f t="shared" si="3"/>
        <v>field,</v>
      </c>
      <c r="Y740" s="49"/>
      <c r="Z740" s="1" t="s">
        <v>5359</v>
      </c>
      <c r="AA740" s="1" t="s">
        <v>1002</v>
      </c>
      <c r="AB740" s="49" t="str">
        <f>IFERROR(__xludf.DUMMYFUNCTION("""COMPUTED_VALUE"""),"successor")</f>
        <v>successor</v>
      </c>
      <c r="AC740" s="49"/>
      <c r="AD740" s="49" t="str">
        <f>IFERROR(__xludf.DUMMYFUNCTION("""COMPUTED_VALUE"""),"complaint")</f>
        <v>complaint</v>
      </c>
      <c r="AE740" s="49" t="str">
        <f>IFERROR(__xludf.DUMMYFUNCTION("""COMPUTED_VALUE"""),"digest")</f>
        <v>digest</v>
      </c>
      <c r="AF740" s="49" t="str">
        <f t="shared" si="4"/>
        <v>bump,</v>
      </c>
      <c r="AG740" s="49"/>
      <c r="AH740" s="1" t="s">
        <v>2368</v>
      </c>
      <c r="AI740" s="1" t="s">
        <v>697</v>
      </c>
      <c r="AJ740" s="6" t="str">
        <f>IFERROR(__xludf.DUMMYFUNCTION("""COMPUTED_VALUE"""),"favorite")</f>
        <v>favorite</v>
      </c>
      <c r="AK740" s="49"/>
      <c r="AL740" s="49"/>
      <c r="AM740" s="49"/>
      <c r="AN740" s="52" t="str">
        <f t="shared" si="5"/>
        <v>tv,</v>
      </c>
    </row>
    <row r="741">
      <c r="A741" s="51"/>
      <c r="B741" s="50" t="s">
        <v>6708</v>
      </c>
      <c r="C741" s="50" t="s">
        <v>2683</v>
      </c>
      <c r="D741" s="49" t="str">
        <f>IFERROR(__xludf.DUMMYFUNCTION("""COMPUTED_VALUE"""),"wrong")</f>
        <v>wrong</v>
      </c>
      <c r="E741" s="49"/>
      <c r="F741" s="49"/>
      <c r="G741" s="49"/>
      <c r="H741" s="54" t="str">
        <f t="shared" si="1"/>
        <v>says,</v>
      </c>
      <c r="I741" s="50"/>
      <c r="J741" s="50" t="s">
        <v>2255</v>
      </c>
      <c r="K741" s="50" t="s">
        <v>1364</v>
      </c>
      <c r="L741" s="49" t="str">
        <f>IFERROR(__xludf.DUMMYFUNCTION("""COMPUTED_VALUE"""),"existence")</f>
        <v>existence</v>
      </c>
      <c r="M741" s="49"/>
      <c r="N741" s="49" t="str">
        <f>IFERROR(__xludf.DUMMYFUNCTION("""COMPUTED_VALUE"""),"boat")</f>
        <v>boat</v>
      </c>
      <c r="O741" s="49" t="str">
        <f>IFERROR(__xludf.DUMMYFUNCTION("""COMPUTED_VALUE"""),"composition")</f>
        <v>composition</v>
      </c>
      <c r="P741" s="49" t="str">
        <f t="shared" si="2"/>
        <v>hero,</v>
      </c>
      <c r="Q741" s="49"/>
      <c r="R741" s="50" t="s">
        <v>6284</v>
      </c>
      <c r="S741" s="55" t="s">
        <v>742</v>
      </c>
      <c r="T741" s="49" t="str">
        <f>IFERROR(__xludf.DUMMYFUNCTION("""COMPUTED_VALUE"""),"gifted")</f>
        <v>gifted</v>
      </c>
      <c r="U741" s="49"/>
      <c r="V741" s="49"/>
      <c r="W741" s="49" t="str">
        <f>IFERROR(__xludf.DUMMYFUNCTION("""COMPUTED_VALUE"""),"inherently")</f>
        <v>inherently</v>
      </c>
      <c r="X741" s="49" t="str">
        <f t="shared" si="3"/>
        <v>dirty,</v>
      </c>
      <c r="Y741" s="49"/>
      <c r="Z741" s="1" t="s">
        <v>390</v>
      </c>
      <c r="AA741" s="1" t="s">
        <v>2264</v>
      </c>
      <c r="AB741" s="49" t="str">
        <f>IFERROR(__xludf.DUMMYFUNCTION("""COMPUTED_VALUE"""),"accomplished")</f>
        <v>accomplished</v>
      </c>
      <c r="AC741" s="49"/>
      <c r="AD741" s="49" t="str">
        <f>IFERROR(__xludf.DUMMYFUNCTION("""COMPUTED_VALUE"""),"boat")</f>
        <v>boat</v>
      </c>
      <c r="AE741" s="49" t="str">
        <f>IFERROR(__xludf.DUMMYFUNCTION("""COMPUTED_VALUE"""),"composition")</f>
        <v>composition</v>
      </c>
      <c r="AF741" s="49" t="str">
        <f t="shared" si="4"/>
        <v>harvard,</v>
      </c>
      <c r="AG741" s="49"/>
      <c r="AH741" s="1" t="b">
        <v>1</v>
      </c>
      <c r="AI741" s="1" t="s">
        <v>582</v>
      </c>
      <c r="AJ741" s="6" t="str">
        <f>IFERROR(__xludf.DUMMYFUNCTION("""COMPUTED_VALUE"""),"&amp;")</f>
        <v>&amp;</v>
      </c>
      <c r="AK741" s="49"/>
      <c r="AL741" s="49"/>
      <c r="AM741" s="49"/>
      <c r="AN741" s="52" t="str">
        <f t="shared" si="5"/>
        <v>TRUE,</v>
      </c>
    </row>
    <row r="742">
      <c r="A742" s="51"/>
      <c r="B742" s="50" t="s">
        <v>2687</v>
      </c>
      <c r="C742" s="50" t="s">
        <v>1580</v>
      </c>
      <c r="D742" s="49" t="str">
        <f>IFERROR(__xludf.DUMMYFUNCTION("""COMPUTED_VALUE"""),"formula")</f>
        <v>formula</v>
      </c>
      <c r="E742" s="49"/>
      <c r="F742" s="49"/>
      <c r="G742" s="49"/>
      <c r="H742" s="54" t="str">
        <f t="shared" si="1"/>
        <v>professor,</v>
      </c>
      <c r="I742" s="50"/>
      <c r="J742" s="50" t="s">
        <v>1146</v>
      </c>
      <c r="K742" s="50" t="s">
        <v>1989</v>
      </c>
      <c r="L742" s="49" t="str">
        <f>IFERROR(__xludf.DUMMYFUNCTION("""COMPUTED_VALUE"""),"builds")</f>
        <v>builds</v>
      </c>
      <c r="M742" s="49"/>
      <c r="N742" s="49" t="str">
        <f>IFERROR(__xludf.DUMMYFUNCTION("""COMPUTED_VALUE"""),"eat")</f>
        <v>eat</v>
      </c>
      <c r="O742" s="49" t="str">
        <f>IFERROR(__xludf.DUMMYFUNCTION("""COMPUTED_VALUE"""),"somber")</f>
        <v>somber</v>
      </c>
      <c r="P742" s="49" t="str">
        <f t="shared" si="2"/>
        <v>top,</v>
      </c>
      <c r="Q742" s="49"/>
      <c r="R742" s="50" t="s">
        <v>839</v>
      </c>
      <c r="S742" s="55" t="s">
        <v>691</v>
      </c>
      <c r="T742" s="49" t="str">
        <f>IFERROR(__xludf.DUMMYFUNCTION("""COMPUTED_VALUE"""),"mind")</f>
        <v>mind</v>
      </c>
      <c r="U742" s="49"/>
      <c r="V742" s="49"/>
      <c r="W742" s="49" t="str">
        <f>IFERROR(__xludf.DUMMYFUNCTION("""COMPUTED_VALUE"""),"range")</f>
        <v>range</v>
      </c>
      <c r="X742" s="49" t="str">
        <f t="shared" si="3"/>
        <v>gorgeous,</v>
      </c>
      <c r="Y742" s="49"/>
      <c r="Z742" s="1" t="s">
        <v>277</v>
      </c>
      <c r="AA742" s="1" t="s">
        <v>2266</v>
      </c>
      <c r="AB742" s="49" t="str">
        <f>IFERROR(__xludf.DUMMYFUNCTION("""COMPUTED_VALUE"""),"hoffman")</f>
        <v>hoffman</v>
      </c>
      <c r="AC742" s="49"/>
      <c r="AD742" s="49" t="str">
        <f>IFERROR(__xludf.DUMMYFUNCTION("""COMPUTED_VALUE"""),"eat")</f>
        <v>eat</v>
      </c>
      <c r="AE742" s="49" t="str">
        <f>IFERROR(__xludf.DUMMYFUNCTION("""COMPUTED_VALUE"""),"somber")</f>
        <v>somber</v>
      </c>
      <c r="AF742" s="49" t="str">
        <f t="shared" si="4"/>
        <v>lawrence,</v>
      </c>
      <c r="AG742" s="49"/>
      <c r="AH742" s="1" t="s">
        <v>3763</v>
      </c>
      <c r="AI742" s="1" t="s">
        <v>546</v>
      </c>
      <c r="AJ742" s="6" t="str">
        <f>IFERROR(__xludf.DUMMYFUNCTION("""COMPUTED_VALUE"""),"u")</f>
        <v>u</v>
      </c>
      <c r="AK742" s="49"/>
      <c r="AL742" s="49"/>
      <c r="AM742" s="49"/>
      <c r="AN742" s="52" t="str">
        <f t="shared" si="5"/>
        <v>weeks,</v>
      </c>
    </row>
    <row r="743">
      <c r="A743" s="51"/>
      <c r="B743" s="50" t="s">
        <v>2616</v>
      </c>
      <c r="C743" s="50" t="s">
        <v>2956</v>
      </c>
      <c r="D743" s="49" t="str">
        <f>IFERROR(__xludf.DUMMYFUNCTION("""COMPUTED_VALUE"""),"distance")</f>
        <v>distance</v>
      </c>
      <c r="E743" s="49"/>
      <c r="F743" s="49"/>
      <c r="G743" s="49"/>
      <c r="H743" s="54" t="str">
        <f t="shared" si="1"/>
        <v>none,</v>
      </c>
      <c r="I743" s="50"/>
      <c r="J743" s="50" t="s">
        <v>3587</v>
      </c>
      <c r="K743" s="50" t="s">
        <v>1274</v>
      </c>
      <c r="L743" s="49" t="str">
        <f>IFERROR(__xludf.DUMMYFUNCTION("""COMPUTED_VALUE"""),"serious")</f>
        <v>serious</v>
      </c>
      <c r="M743" s="49"/>
      <c r="N743" s="49" t="str">
        <f>IFERROR(__xludf.DUMMYFUNCTION("""COMPUTED_VALUE"""),"fruit")</f>
        <v>fruit</v>
      </c>
      <c r="O743" s="49" t="str">
        <f>IFERROR(__xludf.DUMMYFUNCTION("""COMPUTED_VALUE"""),"credible")</f>
        <v>credible</v>
      </c>
      <c r="P743" s="49" t="str">
        <f t="shared" si="2"/>
        <v>pronounced,</v>
      </c>
      <c r="Q743" s="49"/>
      <c r="R743" s="50" t="s">
        <v>1491</v>
      </c>
      <c r="S743" s="55" t="s">
        <v>1710</v>
      </c>
      <c r="T743" s="49" t="str">
        <f>IFERROR(__xludf.DUMMYFUNCTION("""COMPUTED_VALUE"""),"involving")</f>
        <v>involving</v>
      </c>
      <c r="U743" s="49"/>
      <c r="V743" s="49"/>
      <c r="W743" s="49" t="str">
        <f>IFERROR(__xludf.DUMMYFUNCTION("""COMPUTED_VALUE"""),"odds")</f>
        <v>odds</v>
      </c>
      <c r="X743" s="49" t="str">
        <f t="shared" si="3"/>
        <v>award,</v>
      </c>
      <c r="Y743" s="49"/>
      <c r="Z743" s="1" t="s">
        <v>442</v>
      </c>
      <c r="AA743" s="1" t="s">
        <v>1007</v>
      </c>
      <c r="AB743" s="49" t="str">
        <f>IFERROR(__xludf.DUMMYFUNCTION("""COMPUTED_VALUE"""),"impressions")</f>
        <v>impressions</v>
      </c>
      <c r="AC743" s="49"/>
      <c r="AD743" s="49" t="str">
        <f>IFERROR(__xludf.DUMMYFUNCTION("""COMPUTED_VALUE"""),"fruit")</f>
        <v>fruit</v>
      </c>
      <c r="AE743" s="49" t="str">
        <f>IFERROR(__xludf.DUMMYFUNCTION("""COMPUTED_VALUE"""),"credible")</f>
        <v>credible</v>
      </c>
      <c r="AF743" s="49" t="str">
        <f t="shared" si="4"/>
        <v>black,</v>
      </c>
      <c r="AG743" s="49"/>
      <c r="AH743" s="1" t="s">
        <v>6424</v>
      </c>
      <c r="AI743" s="1" t="s">
        <v>689</v>
      </c>
      <c r="AJ743" s="6" t="str">
        <f>IFERROR(__xludf.DUMMYFUNCTION("""COMPUTED_VALUE"""),"british")</f>
        <v>british</v>
      </c>
      <c r="AK743" s="49"/>
      <c r="AL743" s="49"/>
      <c r="AM743" s="49"/>
      <c r="AN743" s="52" t="str">
        <f t="shared" si="5"/>
        <v>mostly,</v>
      </c>
    </row>
    <row r="744">
      <c r="A744" s="51"/>
      <c r="B744" s="50" t="s">
        <v>2215</v>
      </c>
      <c r="C744" s="50" t="s">
        <v>1601</v>
      </c>
      <c r="D744" s="49" t="str">
        <f>IFERROR(__xludf.DUMMYFUNCTION("""COMPUTED_VALUE"""),"rachel")</f>
        <v>rachel</v>
      </c>
      <c r="E744" s="49"/>
      <c r="F744" s="49"/>
      <c r="G744" s="49"/>
      <c r="H744" s="54" t="str">
        <f t="shared" si="1"/>
        <v>tone,</v>
      </c>
      <c r="I744" s="50"/>
      <c r="J744" s="50" t="s">
        <v>530</v>
      </c>
      <c r="K744" s="50" t="s">
        <v>3253</v>
      </c>
      <c r="L744" s="49" t="str">
        <f>IFERROR(__xludf.DUMMYFUNCTION("""COMPUTED_VALUE"""),"trace")</f>
        <v>trace</v>
      </c>
      <c r="M744" s="49"/>
      <c r="N744" s="49" t="str">
        <f>IFERROR(__xludf.DUMMYFUNCTION("""COMPUTED_VALUE"""),"stuck")</f>
        <v>stuck</v>
      </c>
      <c r="O744" s="49" t="str">
        <f>IFERROR(__xludf.DUMMYFUNCTION("""COMPUTED_VALUE"""),"ensuing")</f>
        <v>ensuing</v>
      </c>
      <c r="P744" s="49" t="str">
        <f t="shared" si="2"/>
        <v>problem,</v>
      </c>
      <c r="Q744" s="49"/>
      <c r="R744" s="50" t="s">
        <v>6390</v>
      </c>
      <c r="S744" s="55" t="s">
        <v>6381</v>
      </c>
      <c r="T744" s="49" t="str">
        <f>IFERROR(__xludf.DUMMYFUNCTION("""COMPUTED_VALUE"""),"imagine")</f>
        <v>imagine</v>
      </c>
      <c r="U744" s="49"/>
      <c r="V744" s="49"/>
      <c r="W744" s="49" t="str">
        <f>IFERROR(__xludf.DUMMYFUNCTION("""COMPUTED_VALUE"""),"occupation")</f>
        <v>occupation</v>
      </c>
      <c r="X744" s="49" t="str">
        <f t="shared" si="3"/>
        <v>cable,</v>
      </c>
      <c r="Y744" s="49"/>
      <c r="Z744" s="1" t="s">
        <v>1846</v>
      </c>
      <c r="AA744" s="1" t="s">
        <v>3011</v>
      </c>
      <c r="AB744" s="49" t="str">
        <f>IFERROR(__xludf.DUMMYFUNCTION("""COMPUTED_VALUE"""),"odds")</f>
        <v>odds</v>
      </c>
      <c r="AC744" s="49"/>
      <c r="AD744" s="49" t="str">
        <f>IFERROR(__xludf.DUMMYFUNCTION("""COMPUTED_VALUE"""),"stuck")</f>
        <v>stuck</v>
      </c>
      <c r="AE744" s="49" t="str">
        <f>IFERROR(__xludf.DUMMYFUNCTION("""COMPUTED_VALUE"""),"ensuing")</f>
        <v>ensuing</v>
      </c>
      <c r="AF744" s="49" t="str">
        <f t="shared" si="4"/>
        <v>logic,</v>
      </c>
      <c r="AG744" s="49"/>
      <c r="AH744" s="1" t="s">
        <v>6736</v>
      </c>
      <c r="AI744" s="1" t="s">
        <v>6372</v>
      </c>
      <c r="AJ744" s="6" t="str">
        <f>IFERROR(__xludf.DUMMYFUNCTION("""COMPUTED_VALUE"""),"king")</f>
        <v>king</v>
      </c>
      <c r="AK744" s="49"/>
      <c r="AL744" s="49"/>
      <c r="AM744" s="49"/>
      <c r="AN744" s="52" t="str">
        <f t="shared" si="5"/>
        <v>follows,</v>
      </c>
    </row>
    <row r="745">
      <c r="A745" s="51"/>
      <c r="B745" s="50" t="s">
        <v>4406</v>
      </c>
      <c r="C745" s="50" t="s">
        <v>6382</v>
      </c>
      <c r="D745" s="49" t="str">
        <f>IFERROR(__xludf.DUMMYFUNCTION("""COMPUTED_VALUE"""),"since")</f>
        <v>since</v>
      </c>
      <c r="E745" s="49"/>
      <c r="F745" s="49"/>
      <c r="G745" s="49"/>
      <c r="H745" s="54" t="str">
        <f t="shared" si="1"/>
        <v>heads,</v>
      </c>
      <c r="I745" s="50"/>
      <c r="J745" s="50" t="s">
        <v>1653</v>
      </c>
      <c r="K745" s="50" t="s">
        <v>3256</v>
      </c>
      <c r="L745" s="49" t="str">
        <f>IFERROR(__xludf.DUMMYFUNCTION("""COMPUTED_VALUE"""),"arrogance")</f>
        <v>arrogance</v>
      </c>
      <c r="M745" s="49"/>
      <c r="N745" s="49" t="str">
        <f>IFERROR(__xludf.DUMMYFUNCTION("""COMPUTED_VALUE"""),"pal")</f>
        <v>pal</v>
      </c>
      <c r="O745" s="49" t="str">
        <f>IFERROR(__xludf.DUMMYFUNCTION("""COMPUTED_VALUE"""),"mclaughlin")</f>
        <v>mclaughlin</v>
      </c>
      <c r="P745" s="49" t="str">
        <f t="shared" si="2"/>
        <v>unfortunately,</v>
      </c>
      <c r="Q745" s="49"/>
      <c r="R745" s="50" t="s">
        <v>5624</v>
      </c>
      <c r="S745" s="55" t="s">
        <v>1714</v>
      </c>
      <c r="T745" s="49" t="str">
        <f>IFERROR(__xludf.DUMMYFUNCTION("""COMPUTED_VALUE"""),"wildly")</f>
        <v>wildly</v>
      </c>
      <c r="U745" s="49"/>
      <c r="V745" s="49"/>
      <c r="W745" s="49" t="str">
        <f>IFERROR(__xludf.DUMMYFUNCTION("""COMPUTED_VALUE"""),"spirited")</f>
        <v>spirited</v>
      </c>
      <c r="X745" s="49" t="str">
        <f t="shared" si="3"/>
        <v>saga,</v>
      </c>
      <c r="Y745" s="49"/>
      <c r="Z745" s="1" t="s">
        <v>1331</v>
      </c>
      <c r="AA745" s="1" t="s">
        <v>1014</v>
      </c>
      <c r="AB745" s="49" t="str">
        <f>IFERROR(__xludf.DUMMYFUNCTION("""COMPUTED_VALUE"""),"joy")</f>
        <v>joy</v>
      </c>
      <c r="AC745" s="49"/>
      <c r="AD745" s="49" t="str">
        <f>IFERROR(__xludf.DUMMYFUNCTION("""COMPUTED_VALUE"""),"pal")</f>
        <v>pal</v>
      </c>
      <c r="AE745" s="49" t="str">
        <f>IFERROR(__xludf.DUMMYFUNCTION("""COMPUTED_VALUE"""),"mclaughlin")</f>
        <v>mclaughlin</v>
      </c>
      <c r="AF745" s="49" t="str">
        <f t="shared" si="4"/>
        <v>death,</v>
      </c>
      <c r="AG745" s="49"/>
      <c r="AH745" s="1" t="s">
        <v>3020</v>
      </c>
      <c r="AI745" s="1" t="s">
        <v>5998</v>
      </c>
      <c r="AJ745" s="6" t="str">
        <f>IFERROR(__xludf.DUMMYFUNCTION("""COMPUTED_VALUE"""),"current")</f>
        <v>current</v>
      </c>
      <c r="AK745" s="49"/>
      <c r="AL745" s="49"/>
      <c r="AM745" s="49"/>
      <c r="AN745" s="52" t="str">
        <f t="shared" si="5"/>
        <v>liked,</v>
      </c>
    </row>
    <row r="746">
      <c r="A746" s="51"/>
      <c r="B746" s="50" t="s">
        <v>6998</v>
      </c>
      <c r="C746" s="50" t="s">
        <v>2706</v>
      </c>
      <c r="D746" s="49" t="str">
        <f>IFERROR(__xludf.DUMMYFUNCTION("""COMPUTED_VALUE"""),"man")</f>
        <v>man</v>
      </c>
      <c r="E746" s="49"/>
      <c r="F746" s="49"/>
      <c r="G746" s="49"/>
      <c r="H746" s="54" t="str">
        <f t="shared" si="1"/>
        <v>row,</v>
      </c>
      <c r="I746" s="50"/>
      <c r="J746" s="50" t="s">
        <v>3675</v>
      </c>
      <c r="K746" s="50" t="s">
        <v>1971</v>
      </c>
      <c r="L746" s="49" t="str">
        <f>IFERROR(__xludf.DUMMYFUNCTION("""COMPUTED_VALUE"""),"god")</f>
        <v>god</v>
      </c>
      <c r="M746" s="49"/>
      <c r="N746" s="49">
        <f>IFERROR(__xludf.DUMMYFUNCTION("""COMPUTED_VALUE"""),22.0)</f>
        <v>22</v>
      </c>
      <c r="O746" s="49" t="str">
        <f>IFERROR(__xludf.DUMMYFUNCTION("""COMPUTED_VALUE"""),"ninety")</f>
        <v>ninety</v>
      </c>
      <c r="P746" s="49" t="str">
        <f t="shared" si="2"/>
        <v>against,</v>
      </c>
      <c r="Q746" s="49"/>
      <c r="R746" s="50" t="s">
        <v>5779</v>
      </c>
      <c r="S746" s="55" t="s">
        <v>1718</v>
      </c>
      <c r="T746" s="49" t="str">
        <f>IFERROR(__xludf.DUMMYFUNCTION("""COMPUTED_VALUE"""),"intentions")</f>
        <v>intentions</v>
      </c>
      <c r="U746" s="49"/>
      <c r="V746" s="49"/>
      <c r="W746" s="49" t="str">
        <f>IFERROR(__xludf.DUMMYFUNCTION("""COMPUTED_VALUE"""),"fathers")</f>
        <v>fathers</v>
      </c>
      <c r="X746" s="49" t="str">
        <f t="shared" si="3"/>
        <v>lonely,</v>
      </c>
      <c r="Y746" s="49"/>
      <c r="Z746" s="1" t="s">
        <v>2215</v>
      </c>
      <c r="AA746" s="1" t="s">
        <v>1024</v>
      </c>
      <c r="AB746" s="49" t="str">
        <f>IFERROR(__xludf.DUMMYFUNCTION("""COMPUTED_VALUE"""),"brooding")</f>
        <v>brooding</v>
      </c>
      <c r="AC746" s="49"/>
      <c r="AD746" s="49">
        <f>IFERROR(__xludf.DUMMYFUNCTION("""COMPUTED_VALUE"""),22.0)</f>
        <v>22</v>
      </c>
      <c r="AE746" s="49" t="str">
        <f>IFERROR(__xludf.DUMMYFUNCTION("""COMPUTED_VALUE"""),"ninety")</f>
        <v>ninety</v>
      </c>
      <c r="AF746" s="49" t="str">
        <f t="shared" si="4"/>
        <v>tone,</v>
      </c>
      <c r="AG746" s="49"/>
      <c r="AH746" s="1" t="s">
        <v>6663</v>
      </c>
      <c r="AI746" s="1" t="s">
        <v>500</v>
      </c>
      <c r="AJ746" s="6" t="str">
        <f>IFERROR(__xludf.DUMMYFUNCTION("""COMPUTED_VALUE"""),"effect")</f>
        <v>effect</v>
      </c>
      <c r="AK746" s="49"/>
      <c r="AL746" s="49"/>
      <c r="AM746" s="49"/>
      <c r="AN746" s="52" t="str">
        <f t="shared" si="5"/>
        <v>favorite,</v>
      </c>
    </row>
    <row r="747">
      <c r="A747" s="51"/>
      <c r="B747" s="50" t="s">
        <v>277</v>
      </c>
      <c r="C747" s="50" t="s">
        <v>1608</v>
      </c>
      <c r="D747" s="49" t="str">
        <f>IFERROR(__xludf.DUMMYFUNCTION("""COMPUTED_VALUE"""),"valley")</f>
        <v>valley</v>
      </c>
      <c r="E747" s="49"/>
      <c r="F747" s="49"/>
      <c r="G747" s="49"/>
      <c r="H747" s="54" t="str">
        <f t="shared" si="1"/>
        <v>lawrence,</v>
      </c>
      <c r="I747" s="50"/>
      <c r="J747" s="50" t="s">
        <v>935</v>
      </c>
      <c r="K747" s="50" t="s">
        <v>2765</v>
      </c>
      <c r="L747" s="49" t="str">
        <f>IFERROR(__xludf.DUMMYFUNCTION("""COMPUTED_VALUE"""),"heart")</f>
        <v>heart</v>
      </c>
      <c r="M747" s="49"/>
      <c r="N747" s="49" t="str">
        <f>IFERROR(__xludf.DUMMYFUNCTION("""COMPUTED_VALUE"""),"brooklyn")</f>
        <v>brooklyn</v>
      </c>
      <c r="O747" s="49" t="str">
        <f>IFERROR(__xludf.DUMMYFUNCTION("""COMPUTED_VALUE"""),"scratches")</f>
        <v>scratches</v>
      </c>
      <c r="P747" s="49" t="str">
        <f t="shared" si="2"/>
        <v>soundtrack,</v>
      </c>
      <c r="Q747" s="49"/>
      <c r="R747" s="50" t="s">
        <v>933</v>
      </c>
      <c r="S747" s="55" t="s">
        <v>2882</v>
      </c>
      <c r="T747" s="49" t="str">
        <f>IFERROR(__xludf.DUMMYFUNCTION("""COMPUTED_VALUE"""),"broken")</f>
        <v>broken</v>
      </c>
      <c r="U747" s="49"/>
      <c r="V747" s="49"/>
      <c r="W747" s="49" t="str">
        <f>IFERROR(__xludf.DUMMYFUNCTION("""COMPUTED_VALUE"""),"survivors")</f>
        <v>survivors</v>
      </c>
      <c r="X747" s="49" t="str">
        <f t="shared" si="3"/>
        <v>starts,</v>
      </c>
      <c r="Y747" s="49"/>
      <c r="Z747" s="1" t="s">
        <v>850</v>
      </c>
      <c r="AA747" s="1" t="s">
        <v>3259</v>
      </c>
      <c r="AB747" s="49" t="str">
        <f>IFERROR(__xludf.DUMMYFUNCTION("""COMPUTED_VALUE"""),"delivers")</f>
        <v>delivers</v>
      </c>
      <c r="AC747" s="49"/>
      <c r="AD747" s="49" t="str">
        <f>IFERROR(__xludf.DUMMYFUNCTION("""COMPUTED_VALUE"""),"brooklyn")</f>
        <v>brooklyn</v>
      </c>
      <c r="AE747" s="49" t="str">
        <f>IFERROR(__xludf.DUMMYFUNCTION("""COMPUTED_VALUE"""),"scratches")</f>
        <v>scratches</v>
      </c>
      <c r="AF747" s="49" t="str">
        <f t="shared" si="4"/>
        <v>amusing,</v>
      </c>
      <c r="AG747" s="49"/>
      <c r="AH747" s="1" t="s">
        <v>6626</v>
      </c>
      <c r="AI747" s="1" t="s">
        <v>6327</v>
      </c>
      <c r="AJ747" s="6" t="str">
        <f>IFERROR(__xludf.DUMMYFUNCTION("""COMPUTED_VALUE"""),"crossed")</f>
        <v>crossed</v>
      </c>
      <c r="AK747" s="49"/>
      <c r="AL747" s="49"/>
      <c r="AM747" s="49"/>
      <c r="AN747" s="52" t="str">
        <f t="shared" si="5"/>
        <v>&amp;,</v>
      </c>
    </row>
    <row r="748">
      <c r="A748" s="51"/>
      <c r="B748" s="50" t="s">
        <v>390</v>
      </c>
      <c r="C748" s="50" t="s">
        <v>6366</v>
      </c>
      <c r="D748" s="49" t="str">
        <f>IFERROR(__xludf.DUMMYFUNCTION("""COMPUTED_VALUE"""),"torture")</f>
        <v>torture</v>
      </c>
      <c r="E748" s="49"/>
      <c r="F748" s="49"/>
      <c r="G748" s="49"/>
      <c r="H748" s="54" t="str">
        <f t="shared" si="1"/>
        <v>harvard,</v>
      </c>
      <c r="I748" s="50"/>
      <c r="J748" s="50" t="s">
        <v>3126</v>
      </c>
      <c r="K748" s="50" t="s">
        <v>1995</v>
      </c>
      <c r="L748" s="49" t="str">
        <f>IFERROR(__xludf.DUMMYFUNCTION("""COMPUTED_VALUE"""),"positive")</f>
        <v>positive</v>
      </c>
      <c r="M748" s="49"/>
      <c r="N748" s="49" t="str">
        <f>IFERROR(__xludf.DUMMYFUNCTION("""COMPUTED_VALUE"""),"throws")</f>
        <v>throws</v>
      </c>
      <c r="O748" s="49" t="str">
        <f>IFERROR(__xludf.DUMMYFUNCTION("""COMPUTED_VALUE"""),"commerce")</f>
        <v>commerce</v>
      </c>
      <c r="P748" s="49" t="str">
        <f t="shared" si="2"/>
        <v>battle,</v>
      </c>
      <c r="Q748" s="49"/>
      <c r="R748" s="50" t="s">
        <v>6173</v>
      </c>
      <c r="S748" s="55" t="s">
        <v>699</v>
      </c>
      <c r="T748" s="49" t="str">
        <f>IFERROR(__xludf.DUMMYFUNCTION("""COMPUTED_VALUE"""),"frame")</f>
        <v>frame</v>
      </c>
      <c r="U748" s="49"/>
      <c r="V748" s="49"/>
      <c r="W748" s="49" t="str">
        <f>IFERROR(__xludf.DUMMYFUNCTION("""COMPUTED_VALUE"""),"cultivation")</f>
        <v>cultivation</v>
      </c>
      <c r="X748" s="49" t="str">
        <f t="shared" si="3"/>
        <v>suffered,</v>
      </c>
      <c r="Y748" s="49"/>
      <c r="Z748" s="1" t="s">
        <v>2616</v>
      </c>
      <c r="AA748" s="1" t="s">
        <v>1029</v>
      </c>
      <c r="AB748" s="49" t="str">
        <f>IFERROR(__xludf.DUMMYFUNCTION("""COMPUTED_VALUE"""),"relief")</f>
        <v>relief</v>
      </c>
      <c r="AC748" s="49"/>
      <c r="AD748" s="49" t="str">
        <f>IFERROR(__xludf.DUMMYFUNCTION("""COMPUTED_VALUE"""),"throws")</f>
        <v>throws</v>
      </c>
      <c r="AE748" s="49" t="str">
        <f>IFERROR(__xludf.DUMMYFUNCTION("""COMPUTED_VALUE"""),"commerce")</f>
        <v>commerce</v>
      </c>
      <c r="AF748" s="49" t="str">
        <f t="shared" si="4"/>
        <v>none,</v>
      </c>
      <c r="AG748" s="49"/>
      <c r="AH748" s="1" t="s">
        <v>6433</v>
      </c>
      <c r="AI748" s="1" t="s">
        <v>2866</v>
      </c>
      <c r="AJ748" s="6" t="str">
        <f>IFERROR(__xludf.DUMMYFUNCTION("""COMPUTED_VALUE"""),"anna")</f>
        <v>anna</v>
      </c>
      <c r="AK748" s="49"/>
      <c r="AL748" s="49"/>
      <c r="AM748" s="49"/>
      <c r="AN748" s="52" t="str">
        <f t="shared" si="5"/>
        <v>u,</v>
      </c>
    </row>
    <row r="749">
      <c r="A749" s="51"/>
      <c r="B749" s="50" t="s">
        <v>6931</v>
      </c>
      <c r="C749" s="50" t="s">
        <v>1613</v>
      </c>
      <c r="D749" s="49" t="str">
        <f>IFERROR(__xludf.DUMMYFUNCTION("""COMPUTED_VALUE"""),"son")</f>
        <v>son</v>
      </c>
      <c r="E749" s="49"/>
      <c r="F749" s="49"/>
      <c r="G749" s="49"/>
      <c r="H749" s="54" t="str">
        <f t="shared" si="1"/>
        <v>sean,</v>
      </c>
      <c r="I749" s="50"/>
      <c r="J749" s="50" t="s">
        <v>3115</v>
      </c>
      <c r="K749" s="50" t="s">
        <v>3271</v>
      </c>
      <c r="L749" s="49" t="str">
        <f>IFERROR(__xludf.DUMMYFUNCTION("""COMPUTED_VALUE"""),"faith")</f>
        <v>faith</v>
      </c>
      <c r="M749" s="49"/>
      <c r="N749" s="49" t="str">
        <f>IFERROR(__xludf.DUMMYFUNCTION("""COMPUTED_VALUE"""),"bolt")</f>
        <v>bolt</v>
      </c>
      <c r="O749" s="49" t="str">
        <f>IFERROR(__xludf.DUMMYFUNCTION("""COMPUTED_VALUE"""),"subtly")</f>
        <v>subtly</v>
      </c>
      <c r="P749" s="49" t="str">
        <f t="shared" si="2"/>
        <v>hunter,</v>
      </c>
      <c r="Q749" s="49"/>
      <c r="R749" s="50" t="s">
        <v>2358</v>
      </c>
      <c r="S749" s="55" t="s">
        <v>1199</v>
      </c>
      <c r="T749" s="49" t="str">
        <f>IFERROR(__xludf.DUMMYFUNCTION("""COMPUTED_VALUE"""),"cruel")</f>
        <v>cruel</v>
      </c>
      <c r="U749" s="49"/>
      <c r="V749" s="49"/>
      <c r="W749" s="49">
        <f>IFERROR(__xludf.DUMMYFUNCTION("""COMPUTED_VALUE"""),80.0)</f>
        <v>80</v>
      </c>
      <c r="X749" s="49" t="str">
        <f t="shared" si="3"/>
        <v>moves,</v>
      </c>
      <c r="Y749" s="49"/>
      <c r="Z749" s="1" t="s">
        <v>6337</v>
      </c>
      <c r="AA749" s="1" t="s">
        <v>747</v>
      </c>
      <c r="AB749" s="49" t="str">
        <f>IFERROR(__xludf.DUMMYFUNCTION("""COMPUTED_VALUE"""),"spiritual")</f>
        <v>spiritual</v>
      </c>
      <c r="AC749" s="49"/>
      <c r="AD749" s="49" t="str">
        <f>IFERROR(__xludf.DUMMYFUNCTION("""COMPUTED_VALUE"""),"bolt")</f>
        <v>bolt</v>
      </c>
      <c r="AE749" s="49" t="str">
        <f>IFERROR(__xludf.DUMMYFUNCTION("""COMPUTED_VALUE"""),"subtly")</f>
        <v>subtly</v>
      </c>
      <c r="AF749" s="49" t="str">
        <f t="shared" si="4"/>
        <v>girl,</v>
      </c>
      <c r="AG749" s="49"/>
      <c r="AH749" s="1" t="s">
        <v>1776</v>
      </c>
      <c r="AI749" s="1" t="s">
        <v>1320</v>
      </c>
      <c r="AJ749" s="6" t="str">
        <f>IFERROR(__xludf.DUMMYFUNCTION("""COMPUTED_VALUE"""),"productions")</f>
        <v>productions</v>
      </c>
      <c r="AK749" s="49"/>
      <c r="AL749" s="49"/>
      <c r="AM749" s="49"/>
      <c r="AN749" s="52" t="str">
        <f t="shared" si="5"/>
        <v>british,</v>
      </c>
    </row>
    <row r="750">
      <c r="A750" s="51"/>
      <c r="B750" s="50" t="s">
        <v>6197</v>
      </c>
      <c r="C750" s="50" t="s">
        <v>1739</v>
      </c>
      <c r="D750" s="49" t="str">
        <f>IFERROR(__xludf.DUMMYFUNCTION("""COMPUTED_VALUE"""),"reminded")</f>
        <v>reminded</v>
      </c>
      <c r="E750" s="49"/>
      <c r="F750" s="49"/>
      <c r="G750" s="49"/>
      <c r="H750" s="54" t="str">
        <f t="shared" si="1"/>
        <v>defend,</v>
      </c>
      <c r="I750" s="50"/>
      <c r="J750" s="50" t="s">
        <v>1833</v>
      </c>
      <c r="K750" s="50">
        <v>1984.0</v>
      </c>
      <c r="L750" s="49" t="str">
        <f>IFERROR(__xludf.DUMMYFUNCTION("""COMPUTED_VALUE"""),"patch")</f>
        <v>patch</v>
      </c>
      <c r="M750" s="49"/>
      <c r="N750" s="49" t="str">
        <f>IFERROR(__xludf.DUMMYFUNCTION("""COMPUTED_VALUE"""),"candy")</f>
        <v>candy</v>
      </c>
      <c r="O750" s="49" t="str">
        <f>IFERROR(__xludf.DUMMYFUNCTION("""COMPUTED_VALUE"""),"combines")</f>
        <v>combines</v>
      </c>
      <c r="P750" s="49" t="str">
        <f t="shared" si="2"/>
        <v>deep,</v>
      </c>
      <c r="Q750" s="49"/>
      <c r="R750" s="50" t="s">
        <v>3227</v>
      </c>
      <c r="S750" s="55" t="s">
        <v>6383</v>
      </c>
      <c r="T750" s="49" t="str">
        <f>IFERROR(__xludf.DUMMYFUNCTION("""COMPUTED_VALUE"""),"crime")</f>
        <v>crime</v>
      </c>
      <c r="U750" s="49"/>
      <c r="V750" s="49"/>
      <c r="W750" s="49" t="str">
        <f>IFERROR(__xludf.DUMMYFUNCTION("""COMPUTED_VALUE"""),"paid")</f>
        <v>paid</v>
      </c>
      <c r="X750" s="49" t="str">
        <f t="shared" si="3"/>
        <v>elusive,</v>
      </c>
      <c r="Y750" s="49"/>
      <c r="Z750" s="1" t="s">
        <v>4406</v>
      </c>
      <c r="AA750" s="1" t="s">
        <v>2277</v>
      </c>
      <c r="AB750" s="49" t="str">
        <f>IFERROR(__xludf.DUMMYFUNCTION("""COMPUTED_VALUE"""),"shining")</f>
        <v>shining</v>
      </c>
      <c r="AC750" s="49"/>
      <c r="AD750" s="49" t="str">
        <f>IFERROR(__xludf.DUMMYFUNCTION("""COMPUTED_VALUE"""),"candy")</f>
        <v>candy</v>
      </c>
      <c r="AE750" s="49" t="str">
        <f>IFERROR(__xludf.DUMMYFUNCTION("""COMPUTED_VALUE"""),"combines")</f>
        <v>combines</v>
      </c>
      <c r="AF750" s="49" t="str">
        <f t="shared" si="4"/>
        <v>heads,</v>
      </c>
      <c r="AG750" s="49"/>
      <c r="AH750" s="1" t="s">
        <v>1659</v>
      </c>
      <c r="AI750" s="1" t="s">
        <v>2620</v>
      </c>
      <c r="AJ750" s="6" t="str">
        <f>IFERROR(__xludf.DUMMYFUNCTION("""COMPUTED_VALUE"""),"rush")</f>
        <v>rush</v>
      </c>
      <c r="AK750" s="49"/>
      <c r="AL750" s="49"/>
      <c r="AM750" s="49"/>
      <c r="AN750" s="52" t="str">
        <f t="shared" si="5"/>
        <v>king,</v>
      </c>
    </row>
    <row r="751">
      <c r="A751" s="51"/>
      <c r="B751" s="50" t="s">
        <v>1846</v>
      </c>
      <c r="C751" s="50" t="s">
        <v>6367</v>
      </c>
      <c r="D751" s="49" t="str">
        <f>IFERROR(__xludf.DUMMYFUNCTION("""COMPUTED_VALUE"""),"bride")</f>
        <v>bride</v>
      </c>
      <c r="E751" s="49"/>
      <c r="F751" s="49"/>
      <c r="G751" s="49"/>
      <c r="H751" s="54" t="str">
        <f t="shared" si="1"/>
        <v>logic,</v>
      </c>
      <c r="I751" s="50"/>
      <c r="J751" s="50" t="s">
        <v>7276</v>
      </c>
      <c r="K751" s="50" t="s">
        <v>3277</v>
      </c>
      <c r="L751" s="49" t="str">
        <f>IFERROR(__xludf.DUMMYFUNCTION("""COMPUTED_VALUE"""),"enormous")</f>
        <v>enormous</v>
      </c>
      <c r="M751" s="49"/>
      <c r="N751" s="49" t="str">
        <f>IFERROR(__xludf.DUMMYFUNCTION("""COMPUTED_VALUE"""),"ho")</f>
        <v>ho</v>
      </c>
      <c r="O751" s="49" t="str">
        <f>IFERROR(__xludf.DUMMYFUNCTION("""COMPUTED_VALUE"""),"thirst")</f>
        <v>thirst</v>
      </c>
      <c r="P751" s="49" t="str">
        <f t="shared" si="2"/>
        <v>rid,</v>
      </c>
      <c r="Q751" s="49"/>
      <c r="R751" s="50" t="s">
        <v>1564</v>
      </c>
      <c r="S751" s="55" t="s">
        <v>2899</v>
      </c>
      <c r="T751" s="49" t="str">
        <f>IFERROR(__xludf.DUMMYFUNCTION("""COMPUTED_VALUE"""),"rotten")</f>
        <v>rotten</v>
      </c>
      <c r="U751" s="49"/>
      <c r="V751" s="49"/>
      <c r="W751" s="49" t="str">
        <f>IFERROR(__xludf.DUMMYFUNCTION("""COMPUTED_VALUE"""),"godfrey")</f>
        <v>godfrey</v>
      </c>
      <c r="X751" s="49" t="str">
        <f t="shared" si="3"/>
        <v>trying,</v>
      </c>
      <c r="Y751" s="49"/>
      <c r="Z751" s="1" t="s">
        <v>196</v>
      </c>
      <c r="AA751" s="1" t="s">
        <v>655</v>
      </c>
      <c r="AB751" s="49" t="str">
        <f>IFERROR(__xludf.DUMMYFUNCTION("""COMPUTED_VALUE"""),"lived")</f>
        <v>lived</v>
      </c>
      <c r="AC751" s="49"/>
      <c r="AD751" s="49" t="str">
        <f>IFERROR(__xludf.DUMMYFUNCTION("""COMPUTED_VALUE"""),"ho")</f>
        <v>ho</v>
      </c>
      <c r="AE751" s="49" t="str">
        <f>IFERROR(__xludf.DUMMYFUNCTION("""COMPUTED_VALUE"""),"thirst")</f>
        <v>thirst</v>
      </c>
      <c r="AF751" s="49" t="str">
        <f t="shared" si="4"/>
        <v>blair,</v>
      </c>
      <c r="AG751" s="49"/>
      <c r="AH751" s="1" t="s">
        <v>1041</v>
      </c>
      <c r="AI751" s="1" t="s">
        <v>2507</v>
      </c>
      <c r="AJ751" s="6" t="str">
        <f>IFERROR(__xludf.DUMMYFUNCTION("""COMPUTED_VALUE"""),"cinema")</f>
        <v>cinema</v>
      </c>
      <c r="AK751" s="49"/>
      <c r="AL751" s="49"/>
      <c r="AM751" s="49"/>
      <c r="AN751" s="52" t="str">
        <f t="shared" si="5"/>
        <v>current,</v>
      </c>
    </row>
    <row r="752">
      <c r="A752" s="51"/>
      <c r="B752" s="50" t="s">
        <v>1763</v>
      </c>
      <c r="C752" s="50" t="s">
        <v>6368</v>
      </c>
      <c r="D752" s="49" t="str">
        <f>IFERROR(__xludf.DUMMYFUNCTION("""COMPUTED_VALUE"""),"white")</f>
        <v>white</v>
      </c>
      <c r="E752" s="49"/>
      <c r="F752" s="49"/>
      <c r="G752" s="49"/>
      <c r="H752" s="54" t="str">
        <f t="shared" si="1"/>
        <v>released,</v>
      </c>
      <c r="I752" s="50"/>
      <c r="J752" s="50" t="s">
        <v>3015</v>
      </c>
      <c r="K752" s="50" t="s">
        <v>460</v>
      </c>
      <c r="L752" s="49" t="str">
        <f>IFERROR(__xludf.DUMMYFUNCTION("""COMPUTED_VALUE"""),"dubious")</f>
        <v>dubious</v>
      </c>
      <c r="M752" s="49"/>
      <c r="N752" s="49" t="str">
        <f>IFERROR(__xludf.DUMMYFUNCTION("""COMPUTED_VALUE"""),"finish")</f>
        <v>finish</v>
      </c>
      <c r="O752" s="49" t="str">
        <f>IFERROR(__xludf.DUMMYFUNCTION("""COMPUTED_VALUE"""),"waltz")</f>
        <v>waltz</v>
      </c>
      <c r="P752" s="49" t="str">
        <f t="shared" si="2"/>
        <v>wonderful,</v>
      </c>
      <c r="Q752" s="49"/>
      <c r="R752" s="50" t="s">
        <v>1028</v>
      </c>
      <c r="S752" s="55" t="s">
        <v>6109</v>
      </c>
      <c r="T752" s="49" t="str">
        <f>IFERROR(__xludf.DUMMYFUNCTION("""COMPUTED_VALUE"""),"indication")</f>
        <v>indication</v>
      </c>
      <c r="U752" s="49"/>
      <c r="V752" s="49"/>
      <c r="W752" s="49" t="str">
        <f>IFERROR(__xludf.DUMMYFUNCTION("""COMPUTED_VALUE"""),"rode")</f>
        <v>rode</v>
      </c>
      <c r="X752" s="49" t="str">
        <f t="shared" si="3"/>
        <v>pitted,</v>
      </c>
      <c r="Y752" s="49"/>
      <c r="Z752" s="1" t="s">
        <v>6961</v>
      </c>
      <c r="AA752" s="1" t="s">
        <v>541</v>
      </c>
      <c r="AB752" s="49" t="str">
        <f>IFERROR(__xludf.DUMMYFUNCTION("""COMPUTED_VALUE"""),"blind")</f>
        <v>blind</v>
      </c>
      <c r="AC752" s="49"/>
      <c r="AD752" s="49" t="str">
        <f>IFERROR(__xludf.DUMMYFUNCTION("""COMPUTED_VALUE"""),"finish")</f>
        <v>finish</v>
      </c>
      <c r="AE752" s="49" t="str">
        <f>IFERROR(__xludf.DUMMYFUNCTION("""COMPUTED_VALUE"""),"waltz")</f>
        <v>waltz</v>
      </c>
      <c r="AF752" s="49" t="str">
        <f t="shared" si="4"/>
        <v>improve,</v>
      </c>
      <c r="AG752" s="49"/>
      <c r="AH752" s="1" t="s">
        <v>3065</v>
      </c>
      <c r="AI752" s="1" t="s">
        <v>1964</v>
      </c>
      <c r="AJ752" s="6" t="str">
        <f>IFERROR(__xludf.DUMMYFUNCTION("""COMPUTED_VALUE"""),"spell")</f>
        <v>spell</v>
      </c>
      <c r="AK752" s="49"/>
      <c r="AL752" s="49"/>
      <c r="AM752" s="49"/>
      <c r="AN752" s="52" t="str">
        <f t="shared" si="5"/>
        <v>effect,</v>
      </c>
    </row>
    <row r="753">
      <c r="A753" s="51"/>
      <c r="B753" s="50" t="s">
        <v>1650</v>
      </c>
      <c r="C753" s="50" t="s">
        <v>1825</v>
      </c>
      <c r="D753" s="49" t="str">
        <f>IFERROR(__xludf.DUMMYFUNCTION("""COMPUTED_VALUE"""),"points")</f>
        <v>points</v>
      </c>
      <c r="E753" s="49"/>
      <c r="F753" s="49"/>
      <c r="G753" s="49"/>
      <c r="H753" s="54" t="str">
        <f t="shared" si="1"/>
        <v>played,</v>
      </c>
      <c r="I753" s="50"/>
      <c r="J753" s="50" t="s">
        <v>617</v>
      </c>
      <c r="K753" s="50" t="s">
        <v>1981</v>
      </c>
      <c r="L753" s="49" t="str">
        <f>IFERROR(__xludf.DUMMYFUNCTION("""COMPUTED_VALUE"""),"rise")</f>
        <v>rise</v>
      </c>
      <c r="M753" s="49"/>
      <c r="N753" s="49" t="str">
        <f>IFERROR(__xludf.DUMMYFUNCTION("""COMPUTED_VALUE"""),"ant")</f>
        <v>ant</v>
      </c>
      <c r="O753" s="49" t="str">
        <f>IFERROR(__xludf.DUMMYFUNCTION("""COMPUTED_VALUE"""),"provoke")</f>
        <v>provoke</v>
      </c>
      <c r="P753" s="49" t="str">
        <f t="shared" si="2"/>
        <v>smart,</v>
      </c>
      <c r="Q753" s="49"/>
      <c r="R753" s="50" t="s">
        <v>2399</v>
      </c>
      <c r="S753" s="55" t="s">
        <v>2904</v>
      </c>
      <c r="T753" s="49" t="str">
        <f>IFERROR(__xludf.DUMMYFUNCTION("""COMPUTED_VALUE"""),"focus")</f>
        <v>focus</v>
      </c>
      <c r="U753" s="49"/>
      <c r="V753" s="49"/>
      <c r="W753" s="49" t="str">
        <f>IFERROR(__xludf.DUMMYFUNCTION("""COMPUTED_VALUE"""),"zipper")</f>
        <v>zipper</v>
      </c>
      <c r="X753" s="49" t="str">
        <f t="shared" si="3"/>
        <v>scenario,</v>
      </c>
      <c r="Y753" s="49"/>
      <c r="Z753" s="1" t="s">
        <v>1637</v>
      </c>
      <c r="AA753" s="1" t="s">
        <v>649</v>
      </c>
      <c r="AB753" s="49" t="str">
        <f>IFERROR(__xludf.DUMMYFUNCTION("""COMPUTED_VALUE"""),"scenic")</f>
        <v>scenic</v>
      </c>
      <c r="AC753" s="49"/>
      <c r="AD753" s="49" t="str">
        <f>IFERROR(__xludf.DUMMYFUNCTION("""COMPUTED_VALUE"""),"ant")</f>
        <v>ant</v>
      </c>
      <c r="AE753" s="49" t="str">
        <f>IFERROR(__xludf.DUMMYFUNCTION("""COMPUTED_VALUE"""),"provoke")</f>
        <v>provoke</v>
      </c>
      <c r="AF753" s="49" t="str">
        <f t="shared" si="4"/>
        <v>desire,</v>
      </c>
      <c r="AG753" s="49"/>
      <c r="AH753" s="1" t="s">
        <v>6893</v>
      </c>
      <c r="AI753" s="1" t="s">
        <v>1543</v>
      </c>
      <c r="AJ753" s="6" t="str">
        <f>IFERROR(__xludf.DUMMYFUNCTION("""COMPUTED_VALUE"""),"adventures")</f>
        <v>adventures</v>
      </c>
      <c r="AK753" s="49"/>
      <c r="AL753" s="49"/>
      <c r="AM753" s="49"/>
      <c r="AN753" s="52" t="str">
        <f t="shared" si="5"/>
        <v>crossed,</v>
      </c>
    </row>
    <row r="754">
      <c r="A754" s="51"/>
      <c r="B754" s="50" t="s">
        <v>843</v>
      </c>
      <c r="C754" s="50" t="s">
        <v>2368</v>
      </c>
      <c r="D754" s="49" t="str">
        <f>IFERROR(__xludf.DUMMYFUNCTION("""COMPUTED_VALUE"""),"aspects")</f>
        <v>aspects</v>
      </c>
      <c r="E754" s="49"/>
      <c r="F754" s="49"/>
      <c r="G754" s="49"/>
      <c r="H754" s="54" t="str">
        <f t="shared" si="1"/>
        <v>early,</v>
      </c>
      <c r="I754" s="50"/>
      <c r="J754" s="50" t="s">
        <v>94</v>
      </c>
      <c r="K754" s="50" t="s">
        <v>1985</v>
      </c>
      <c r="L754" s="49" t="str">
        <f>IFERROR(__xludf.DUMMYFUNCTION("""COMPUTED_VALUE"""),"phenomenon")</f>
        <v>phenomenon</v>
      </c>
      <c r="M754" s="49"/>
      <c r="N754" s="49" t="str">
        <f>IFERROR(__xludf.DUMMYFUNCTION("""COMPUTED_VALUE"""),"faster")</f>
        <v>faster</v>
      </c>
      <c r="O754" s="49" t="str">
        <f>IFERROR(__xludf.DUMMYFUNCTION("""COMPUTED_VALUE"""),"blackout")</f>
        <v>blackout</v>
      </c>
      <c r="P754" s="49" t="str">
        <f t="shared" si="2"/>
        <v>let,</v>
      </c>
      <c r="Q754" s="49"/>
      <c r="R754" s="50" t="s">
        <v>1568</v>
      </c>
      <c r="S754" s="55" t="s">
        <v>6384</v>
      </c>
      <c r="T754" s="49" t="str">
        <f>IFERROR(__xludf.DUMMYFUNCTION("""COMPUTED_VALUE"""),"remarkable")</f>
        <v>remarkable</v>
      </c>
      <c r="U754" s="49"/>
      <c r="V754" s="49"/>
      <c r="W754" s="49" t="str">
        <f>IFERROR(__xludf.DUMMYFUNCTION("""COMPUTED_VALUE"""),"reflective")</f>
        <v>reflective</v>
      </c>
      <c r="X754" s="49" t="str">
        <f t="shared" si="3"/>
        <v>attractive,</v>
      </c>
      <c r="Y754" s="49"/>
      <c r="Z754" s="1" t="s">
        <v>1131</v>
      </c>
      <c r="AA754" s="1" t="s">
        <v>2292</v>
      </c>
      <c r="AB754" s="49" t="str">
        <f>IFERROR(__xludf.DUMMYFUNCTION("""COMPUTED_VALUE"""),"catches")</f>
        <v>catches</v>
      </c>
      <c r="AC754" s="49"/>
      <c r="AD754" s="49" t="str">
        <f>IFERROR(__xludf.DUMMYFUNCTION("""COMPUTED_VALUE"""),"faster")</f>
        <v>faster</v>
      </c>
      <c r="AE754" s="49" t="str">
        <f>IFERROR(__xludf.DUMMYFUNCTION("""COMPUTED_VALUE"""),"blackout")</f>
        <v>blackout</v>
      </c>
      <c r="AF754" s="49" t="str">
        <f t="shared" si="4"/>
        <v>directed,</v>
      </c>
      <c r="AG754" s="49"/>
      <c r="AH754" s="1" t="s">
        <v>6948</v>
      </c>
      <c r="AI754" s="1" t="s">
        <v>6373</v>
      </c>
      <c r="AJ754" s="6" t="str">
        <f>IFERROR(__xludf.DUMMYFUNCTION("""COMPUTED_VALUE"""),"ll")</f>
        <v>ll</v>
      </c>
      <c r="AK754" s="49"/>
      <c r="AL754" s="49"/>
      <c r="AM754" s="49"/>
      <c r="AN754" s="52" t="str">
        <f t="shared" si="5"/>
        <v>anna,</v>
      </c>
    </row>
    <row r="755">
      <c r="A755" s="51"/>
      <c r="B755" s="50" t="s">
        <v>1299</v>
      </c>
      <c r="C755" s="50" t="s">
        <v>2722</v>
      </c>
      <c r="D755" s="49" t="str">
        <f>IFERROR(__xludf.DUMMYFUNCTION("""COMPUTED_VALUE"""),"equally")</f>
        <v>equally</v>
      </c>
      <c r="E755" s="49"/>
      <c r="F755" s="49"/>
      <c r="G755" s="49"/>
      <c r="H755" s="54" t="str">
        <f t="shared" si="1"/>
        <v>among,</v>
      </c>
      <c r="I755" s="50"/>
      <c r="J755" s="50" t="s">
        <v>6418</v>
      </c>
      <c r="K755" s="50" t="s">
        <v>2777</v>
      </c>
      <c r="L755" s="49" t="str">
        <f>IFERROR(__xludf.DUMMYFUNCTION("""COMPUTED_VALUE"""),"visit")</f>
        <v>visit</v>
      </c>
      <c r="M755" s="49"/>
      <c r="N755" s="49" t="str">
        <f>IFERROR(__xludf.DUMMYFUNCTION("""COMPUTED_VALUE"""),"boundary")</f>
        <v>boundary</v>
      </c>
      <c r="O755" s="49" t="str">
        <f>IFERROR(__xludf.DUMMYFUNCTION("""COMPUTED_VALUE"""),"consciousness")</f>
        <v>consciousness</v>
      </c>
      <c r="P755" s="49" t="str">
        <f t="shared" si="2"/>
        <v>perfect,</v>
      </c>
      <c r="Q755" s="49"/>
      <c r="R755" s="50" t="s">
        <v>1440</v>
      </c>
      <c r="S755" s="55" t="s">
        <v>1773</v>
      </c>
      <c r="T755" s="49" t="str">
        <f>IFERROR(__xludf.DUMMYFUNCTION("""COMPUTED_VALUE"""),"routine")</f>
        <v>routine</v>
      </c>
      <c r="U755" s="49"/>
      <c r="V755" s="49"/>
      <c r="W755" s="49" t="str">
        <f>IFERROR(__xludf.DUMMYFUNCTION("""COMPUTED_VALUE"""),"blood")</f>
        <v>blood</v>
      </c>
      <c r="X755" s="49" t="str">
        <f t="shared" si="3"/>
        <v>hate,</v>
      </c>
      <c r="Y755" s="49"/>
      <c r="Z755" s="1" t="s">
        <v>591</v>
      </c>
      <c r="AA755" s="1" t="s">
        <v>665</v>
      </c>
      <c r="AB755" s="49" t="str">
        <f>IFERROR(__xludf.DUMMYFUNCTION("""COMPUTED_VALUE"""),"wonders")</f>
        <v>wonders</v>
      </c>
      <c r="AC755" s="49"/>
      <c r="AD755" s="49" t="str">
        <f>IFERROR(__xludf.DUMMYFUNCTION("""COMPUTED_VALUE"""),"boundary")</f>
        <v>boundary</v>
      </c>
      <c r="AE755" s="49" t="str">
        <f>IFERROR(__xludf.DUMMYFUNCTION("""COMPUTED_VALUE"""),"consciousness")</f>
        <v>consciousness</v>
      </c>
      <c r="AF755" s="49" t="str">
        <f t="shared" si="4"/>
        <v>robert,</v>
      </c>
      <c r="AG755" s="49"/>
      <c r="AH755" s="1" t="s">
        <v>3443</v>
      </c>
      <c r="AI755" s="1" t="s">
        <v>6374</v>
      </c>
      <c r="AJ755" s="6" t="str">
        <f>IFERROR(__xludf.DUMMYFUNCTION("""COMPUTED_VALUE"""),"football")</f>
        <v>football</v>
      </c>
      <c r="AK755" s="49"/>
      <c r="AL755" s="49"/>
      <c r="AM755" s="49"/>
      <c r="AN755" s="52" t="str">
        <f t="shared" si="5"/>
        <v>productions,</v>
      </c>
    </row>
    <row r="756">
      <c r="A756" s="51"/>
      <c r="B756" s="50" t="s">
        <v>591</v>
      </c>
      <c r="C756" s="50" t="s">
        <v>2382</v>
      </c>
      <c r="D756" s="49" t="str">
        <f>IFERROR(__xludf.DUMMYFUNCTION("""COMPUTED_VALUE"""),"wrapped")</f>
        <v>wrapped</v>
      </c>
      <c r="E756" s="49"/>
      <c r="F756" s="49"/>
      <c r="G756" s="49"/>
      <c r="H756" s="54" t="str">
        <f t="shared" si="1"/>
        <v>robert,</v>
      </c>
      <c r="I756" s="50"/>
      <c r="J756" s="50" t="s">
        <v>5646</v>
      </c>
      <c r="K756" s="50" t="s">
        <v>482</v>
      </c>
      <c r="L756" s="49" t="str">
        <f>IFERROR(__xludf.DUMMYFUNCTION("""COMPUTED_VALUE"""),"sly")</f>
        <v>sly</v>
      </c>
      <c r="M756" s="49"/>
      <c r="N756" s="49" t="str">
        <f>IFERROR(__xludf.DUMMYFUNCTION("""COMPUTED_VALUE"""),"squeeze")</f>
        <v>squeeze</v>
      </c>
      <c r="O756" s="49" t="str">
        <f>IFERROR(__xludf.DUMMYFUNCTION("""COMPUTED_VALUE"""),"conceptual")</f>
        <v>conceptual</v>
      </c>
      <c r="P756" s="49" t="str">
        <f t="shared" si="2"/>
        <v>jennifer,</v>
      </c>
      <c r="Q756" s="49"/>
      <c r="R756" s="50" t="s">
        <v>1444</v>
      </c>
      <c r="S756" s="55" t="s">
        <v>2924</v>
      </c>
      <c r="T756" s="49">
        <f>IFERROR(__xludf.DUMMYFUNCTION("""COMPUTED_VALUE"""),18.0)</f>
        <v>18</v>
      </c>
      <c r="U756" s="49"/>
      <c r="V756" s="49"/>
      <c r="W756" s="49" t="str">
        <f>IFERROR(__xludf.DUMMYFUNCTION("""COMPUTED_VALUE"""),"nonsense")</f>
        <v>nonsense</v>
      </c>
      <c r="X756" s="49" t="str">
        <f t="shared" si="3"/>
        <v>including,</v>
      </c>
      <c r="Y756" s="49"/>
      <c r="Z756" s="1" t="s">
        <v>767</v>
      </c>
      <c r="AA756" s="1" t="s">
        <v>427</v>
      </c>
      <c r="AB756" s="49" t="str">
        <f>IFERROR(__xludf.DUMMYFUNCTION("""COMPUTED_VALUE"""),"spite")</f>
        <v>spite</v>
      </c>
      <c r="AC756" s="49"/>
      <c r="AD756" s="49" t="str">
        <f>IFERROR(__xludf.DUMMYFUNCTION("""COMPUTED_VALUE"""),"squeeze")</f>
        <v>squeeze</v>
      </c>
      <c r="AE756" s="49" t="str">
        <f>IFERROR(__xludf.DUMMYFUNCTION("""COMPUTED_VALUE"""),"conceptual")</f>
        <v>conceptual</v>
      </c>
      <c r="AF756" s="49" t="str">
        <f t="shared" si="4"/>
        <v>rich,</v>
      </c>
      <c r="AG756" s="49"/>
      <c r="AH756" s="1" t="s">
        <v>4089</v>
      </c>
      <c r="AI756" s="1" t="s">
        <v>2889</v>
      </c>
      <c r="AJ756" s="6" t="str">
        <f>IFERROR(__xludf.DUMMYFUNCTION("""COMPUTED_VALUE"""),"dark")</f>
        <v>dark</v>
      </c>
      <c r="AK756" s="49"/>
      <c r="AL756" s="49"/>
      <c r="AM756" s="49"/>
      <c r="AN756" s="52" t="str">
        <f t="shared" si="5"/>
        <v>rush,</v>
      </c>
    </row>
    <row r="757">
      <c r="A757" s="51"/>
      <c r="B757" s="50" t="s">
        <v>3066</v>
      </c>
      <c r="C757" s="50" t="s">
        <v>1223</v>
      </c>
      <c r="D757" s="49" t="str">
        <f>IFERROR(__xludf.DUMMYFUNCTION("""COMPUTED_VALUE"""),"package")</f>
        <v>package</v>
      </c>
      <c r="E757" s="49"/>
      <c r="F757" s="49"/>
      <c r="G757" s="49"/>
      <c r="H757" s="54" t="str">
        <f t="shared" si="1"/>
        <v>star,</v>
      </c>
      <c r="I757" s="50"/>
      <c r="J757" s="50" t="s">
        <v>1283</v>
      </c>
      <c r="K757" s="50" t="s">
        <v>510</v>
      </c>
      <c r="L757" s="49" t="str">
        <f>IFERROR(__xludf.DUMMYFUNCTION("""COMPUTED_VALUE"""),"provocative")</f>
        <v>provocative</v>
      </c>
      <c r="M757" s="49"/>
      <c r="N757" s="49" t="str">
        <f>IFERROR(__xludf.DUMMYFUNCTION("""COMPUTED_VALUE"""),"reasonable")</f>
        <v>reasonable</v>
      </c>
      <c r="O757" s="49" t="str">
        <f>IFERROR(__xludf.DUMMYFUNCTION("""COMPUTED_VALUE"""),"puzzle")</f>
        <v>puzzle</v>
      </c>
      <c r="P757" s="49" t="str">
        <f t="shared" si="2"/>
        <v>give,</v>
      </c>
      <c r="Q757" s="49"/>
      <c r="R757" s="50" t="s">
        <v>1020</v>
      </c>
      <c r="S757" s="55" t="s">
        <v>1748</v>
      </c>
      <c r="T757" s="49" t="str">
        <f>IFERROR(__xludf.DUMMYFUNCTION("""COMPUTED_VALUE"""),"sin")</f>
        <v>sin</v>
      </c>
      <c r="U757" s="49"/>
      <c r="V757" s="49"/>
      <c r="W757" s="49" t="str">
        <f>IFERROR(__xludf.DUMMYFUNCTION("""COMPUTED_VALUE"""),"snaps")</f>
        <v>snaps</v>
      </c>
      <c r="X757" s="49" t="str">
        <f t="shared" si="3"/>
        <v>romance,</v>
      </c>
      <c r="Y757" s="49"/>
      <c r="Z757" s="1" t="s">
        <v>843</v>
      </c>
      <c r="AA757" s="1" t="s">
        <v>715</v>
      </c>
      <c r="AB757" s="49" t="str">
        <f>IFERROR(__xludf.DUMMYFUNCTION("""COMPUTED_VALUE"""),"technology")</f>
        <v>technology</v>
      </c>
      <c r="AC757" s="49"/>
      <c r="AD757" s="49" t="str">
        <f>IFERROR(__xludf.DUMMYFUNCTION("""COMPUTED_VALUE"""),"reasonable")</f>
        <v>reasonable</v>
      </c>
      <c r="AE757" s="49" t="str">
        <f>IFERROR(__xludf.DUMMYFUNCTION("""COMPUTED_VALUE"""),"puzzle")</f>
        <v>puzzle</v>
      </c>
      <c r="AF757" s="49" t="str">
        <f t="shared" si="4"/>
        <v>early,</v>
      </c>
      <c r="AG757" s="49"/>
      <c r="AH757" s="1" t="s">
        <v>218</v>
      </c>
      <c r="AI757" s="1" t="s">
        <v>6375</v>
      </c>
      <c r="AJ757" s="6" t="str">
        <f>IFERROR(__xludf.DUMMYFUNCTION("""COMPUTED_VALUE"""),"hit")</f>
        <v>hit</v>
      </c>
      <c r="AK757" s="49"/>
      <c r="AL757" s="49"/>
      <c r="AM757" s="49"/>
      <c r="AN757" s="52" t="str">
        <f t="shared" si="5"/>
        <v>cinema,</v>
      </c>
    </row>
    <row r="758">
      <c r="A758" s="51"/>
      <c r="B758" s="50" t="s">
        <v>1131</v>
      </c>
      <c r="C758" s="50" t="s">
        <v>2384</v>
      </c>
      <c r="D758" s="49" t="str">
        <f>IFERROR(__xludf.DUMMYFUNCTION("""COMPUTED_VALUE"""),"frame")</f>
        <v>frame</v>
      </c>
      <c r="E758" s="49"/>
      <c r="F758" s="49"/>
      <c r="G758" s="49"/>
      <c r="H758" s="54" t="str">
        <f t="shared" si="1"/>
        <v>directed,</v>
      </c>
      <c r="I758" s="50"/>
      <c r="J758" s="50" t="s">
        <v>2921</v>
      </c>
      <c r="K758" s="50" t="s">
        <v>1990</v>
      </c>
      <c r="L758" s="49" t="str">
        <f>IFERROR(__xludf.DUMMYFUNCTION("""COMPUTED_VALUE"""),"trouble")</f>
        <v>trouble</v>
      </c>
      <c r="M758" s="49"/>
      <c r="N758" s="49" t="str">
        <f>IFERROR(__xludf.DUMMYFUNCTION("""COMPUTED_VALUE"""),"ac")</f>
        <v>ac</v>
      </c>
      <c r="O758" s="49" t="str">
        <f>IFERROR(__xludf.DUMMYFUNCTION("""COMPUTED_VALUE"""),"corpse")</f>
        <v>corpse</v>
      </c>
      <c r="P758" s="49" t="str">
        <f t="shared" si="2"/>
        <v>wants,</v>
      </c>
      <c r="Q758" s="49"/>
      <c r="R758" s="50" t="s">
        <v>5648</v>
      </c>
      <c r="S758" s="55" t="s">
        <v>432</v>
      </c>
      <c r="T758" s="49" t="str">
        <f>IFERROR(__xludf.DUMMYFUNCTION("""COMPUTED_VALUE"""),"backseat")</f>
        <v>backseat</v>
      </c>
      <c r="U758" s="49"/>
      <c r="V758" s="49"/>
      <c r="W758" s="49" t="str">
        <f>IFERROR(__xludf.DUMMYFUNCTION("""COMPUTED_VALUE"""),"struggle")</f>
        <v>struggle</v>
      </c>
      <c r="X758" s="49" t="str">
        <f t="shared" si="3"/>
        <v>`,</v>
      </c>
      <c r="Y758" s="49"/>
      <c r="Z758" s="1" t="s">
        <v>398</v>
      </c>
      <c r="AA758" s="1" t="s">
        <v>2306</v>
      </c>
      <c r="AB758" s="49" t="str">
        <f>IFERROR(__xludf.DUMMYFUNCTION("""COMPUTED_VALUE"""),"eastwood")</f>
        <v>eastwood</v>
      </c>
      <c r="AC758" s="49"/>
      <c r="AD758" s="49" t="str">
        <f>IFERROR(__xludf.DUMMYFUNCTION("""COMPUTED_VALUE"""),"ac")</f>
        <v>ac</v>
      </c>
      <c r="AE758" s="49" t="str">
        <f>IFERROR(__xludf.DUMMYFUNCTION("""COMPUTED_VALUE"""),"corpse")</f>
        <v>corpse</v>
      </c>
      <c r="AF758" s="49" t="str">
        <f t="shared" si="4"/>
        <v>powerful,</v>
      </c>
      <c r="AG758" s="49"/>
      <c r="AH758" s="1" t="s">
        <v>7287</v>
      </c>
      <c r="AI758" s="1" t="s">
        <v>2458</v>
      </c>
      <c r="AJ758" s="6" t="str">
        <f>IFERROR(__xludf.DUMMYFUNCTION("""COMPUTED_VALUE"""),"brothers")</f>
        <v>brothers</v>
      </c>
      <c r="AK758" s="49"/>
      <c r="AL758" s="49"/>
      <c r="AM758" s="49"/>
      <c r="AN758" s="52" t="str">
        <f t="shared" si="5"/>
        <v>ownership,</v>
      </c>
    </row>
    <row r="759">
      <c r="A759" s="51"/>
      <c r="B759" s="50" t="s">
        <v>4307</v>
      </c>
      <c r="C759" s="50" t="s">
        <v>1618</v>
      </c>
      <c r="D759" s="49" t="str">
        <f>IFERROR(__xludf.DUMMYFUNCTION("""COMPUTED_VALUE"""),"vulnerable")</f>
        <v>vulnerable</v>
      </c>
      <c r="E759" s="49"/>
      <c r="F759" s="49"/>
      <c r="G759" s="49"/>
      <c r="H759" s="54" t="str">
        <f t="shared" si="1"/>
        <v>jack,</v>
      </c>
      <c r="I759" s="50"/>
      <c r="J759" s="50" t="s">
        <v>1189</v>
      </c>
      <c r="K759" s="50" t="s">
        <v>1999</v>
      </c>
      <c r="L759" s="49" t="str">
        <f>IFERROR(__xludf.DUMMYFUNCTION("""COMPUTED_VALUE"""),"spy")</f>
        <v>spy</v>
      </c>
      <c r="M759" s="49"/>
      <c r="N759" s="49" t="str">
        <f>IFERROR(__xludf.DUMMYFUNCTION("""COMPUTED_VALUE"""),"england")</f>
        <v>england</v>
      </c>
      <c r="O759" s="49" t="str">
        <f>IFERROR(__xludf.DUMMYFUNCTION("""COMPUTED_VALUE"""),"siege")</f>
        <v>siege</v>
      </c>
      <c r="P759" s="49" t="str">
        <f t="shared" si="2"/>
        <v>b,</v>
      </c>
      <c r="Q759" s="49"/>
      <c r="R759" s="50" t="s">
        <v>2729</v>
      </c>
      <c r="S759" s="55" t="s">
        <v>3203</v>
      </c>
      <c r="T759" s="49" t="str">
        <f>IFERROR(__xludf.DUMMYFUNCTION("""COMPUTED_VALUE"""),"urban")</f>
        <v>urban</v>
      </c>
      <c r="U759" s="49"/>
      <c r="V759" s="49"/>
      <c r="W759" s="49" t="str">
        <f>IFERROR(__xludf.DUMMYFUNCTION("""COMPUTED_VALUE"""),"lucky")</f>
        <v>lucky</v>
      </c>
      <c r="X759" s="49" t="str">
        <f t="shared" si="3"/>
        <v>strangely,</v>
      </c>
      <c r="Y759" s="49"/>
      <c r="Z759" s="1" t="s">
        <v>3066</v>
      </c>
      <c r="AA759" s="1" t="s">
        <v>3299</v>
      </c>
      <c r="AB759" s="49" t="str">
        <f>IFERROR(__xludf.DUMMYFUNCTION("""COMPUTED_VALUE"""),"anderson")</f>
        <v>anderson</v>
      </c>
      <c r="AC759" s="49"/>
      <c r="AD759" s="49" t="str">
        <f>IFERROR(__xludf.DUMMYFUNCTION("""COMPUTED_VALUE"""),"england")</f>
        <v>england</v>
      </c>
      <c r="AE759" s="49" t="str">
        <f>IFERROR(__xludf.DUMMYFUNCTION("""COMPUTED_VALUE"""),"siege")</f>
        <v>siege</v>
      </c>
      <c r="AF759" s="49" t="str">
        <f t="shared" si="4"/>
        <v>star,</v>
      </c>
      <c r="AG759" s="49"/>
      <c r="AH759" s="1" t="s">
        <v>2421</v>
      </c>
      <c r="AI759" s="1" t="s">
        <v>6376</v>
      </c>
      <c r="AJ759" s="6" t="str">
        <f>IFERROR(__xludf.DUMMYFUNCTION("""COMPUTED_VALUE"""),"agent")</f>
        <v>agent</v>
      </c>
      <c r="AK759" s="49"/>
      <c r="AL759" s="49"/>
      <c r="AM759" s="49"/>
      <c r="AN759" s="52" t="str">
        <f t="shared" si="5"/>
        <v>spell,</v>
      </c>
    </row>
    <row r="760">
      <c r="A760" s="51"/>
      <c r="B760" s="50" t="s">
        <v>5088</v>
      </c>
      <c r="C760" s="50" t="s">
        <v>2392</v>
      </c>
      <c r="D760" s="49" t="str">
        <f>IFERROR(__xludf.DUMMYFUNCTION("""COMPUTED_VALUE"""),"female")</f>
        <v>female</v>
      </c>
      <c r="E760" s="49"/>
      <c r="F760" s="49"/>
      <c r="G760" s="49"/>
      <c r="H760" s="54" t="str">
        <f t="shared" si="1"/>
        <v>relationship,</v>
      </c>
      <c r="I760" s="50"/>
      <c r="J760" s="50" t="s">
        <v>377</v>
      </c>
      <c r="K760" s="50" t="s">
        <v>1996</v>
      </c>
      <c r="L760" s="49" t="str">
        <f>IFERROR(__xludf.DUMMYFUNCTION("""COMPUTED_VALUE"""),"accents")</f>
        <v>accents</v>
      </c>
      <c r="M760" s="49"/>
      <c r="N760" s="49" t="str">
        <f>IFERROR(__xludf.DUMMYFUNCTION("""COMPUTED_VALUE"""),"further")</f>
        <v>further</v>
      </c>
      <c r="O760" s="49" t="str">
        <f>IFERROR(__xludf.DUMMYFUNCTION("""COMPUTED_VALUE"""),"jealousy")</f>
        <v>jealousy</v>
      </c>
      <c r="P760" s="49" t="str">
        <f t="shared" si="2"/>
        <v>again,</v>
      </c>
      <c r="Q760" s="49"/>
      <c r="R760" s="50" t="s">
        <v>3221</v>
      </c>
      <c r="S760" s="55">
        <v>2002.0</v>
      </c>
      <c r="T760" s="49" t="str">
        <f>IFERROR(__xludf.DUMMYFUNCTION("""COMPUTED_VALUE"""),"realizing")</f>
        <v>realizing</v>
      </c>
      <c r="U760" s="49"/>
      <c r="V760" s="49"/>
      <c r="W760" s="49" t="str">
        <f>IFERROR(__xludf.DUMMYFUNCTION("""COMPUTED_VALUE"""),"trombone")</f>
        <v>trombone</v>
      </c>
      <c r="X760" s="49" t="str">
        <f t="shared" si="3"/>
        <v>bother,</v>
      </c>
      <c r="Y760" s="49"/>
      <c r="Z760" s="1" t="s">
        <v>1224</v>
      </c>
      <c r="AA760" s="1" t="s">
        <v>3304</v>
      </c>
      <c r="AB760" s="49" t="str">
        <f>IFERROR(__xludf.DUMMYFUNCTION("""COMPUTED_VALUE"""),"flesh")</f>
        <v>flesh</v>
      </c>
      <c r="AC760" s="49"/>
      <c r="AD760" s="49" t="str">
        <f>IFERROR(__xludf.DUMMYFUNCTION("""COMPUTED_VALUE"""),"further")</f>
        <v>further</v>
      </c>
      <c r="AE760" s="49" t="str">
        <f>IFERROR(__xludf.DUMMYFUNCTION("""COMPUTED_VALUE"""),"jealousy")</f>
        <v>jealousy</v>
      </c>
      <c r="AF760" s="49" t="str">
        <f t="shared" si="4"/>
        <v>protagonist,</v>
      </c>
      <c r="AG760" s="49"/>
      <c r="AH760" s="1" t="s">
        <v>4051</v>
      </c>
      <c r="AI760" s="1" t="s">
        <v>2318</v>
      </c>
      <c r="AJ760" s="6" t="str">
        <f>IFERROR(__xludf.DUMMYFUNCTION("""COMPUTED_VALUE"""),"wish")</f>
        <v>wish</v>
      </c>
      <c r="AK760" s="49"/>
      <c r="AL760" s="49"/>
      <c r="AM760" s="49"/>
      <c r="AN760" s="52" t="str">
        <f t="shared" si="5"/>
        <v>adventures,</v>
      </c>
    </row>
    <row r="761">
      <c r="A761" s="51"/>
      <c r="B761" s="50" t="s">
        <v>6716</v>
      </c>
      <c r="C761" s="50" t="s">
        <v>398</v>
      </c>
      <c r="D761" s="49" t="str">
        <f>IFERROR(__xludf.DUMMYFUNCTION("""COMPUTED_VALUE"""),"comics")</f>
        <v>comics</v>
      </c>
      <c r="E761" s="49"/>
      <c r="F761" s="49"/>
      <c r="G761" s="49"/>
      <c r="H761" s="54" t="str">
        <f t="shared" si="1"/>
        <v>1980s,</v>
      </c>
      <c r="I761" s="50"/>
      <c r="J761" s="50" t="s">
        <v>370</v>
      </c>
      <c r="K761" s="50" t="s">
        <v>2795</v>
      </c>
      <c r="L761" s="49" t="str">
        <f>IFERROR(__xludf.DUMMYFUNCTION("""COMPUTED_VALUE"""),"1950s")</f>
        <v>1950s</v>
      </c>
      <c r="M761" s="49"/>
      <c r="N761" s="49" t="str">
        <f>IFERROR(__xludf.DUMMYFUNCTION("""COMPUTED_VALUE"""),"mir")</f>
        <v>mir</v>
      </c>
      <c r="O761" s="49" t="str">
        <f>IFERROR(__xludf.DUMMYFUNCTION("""COMPUTED_VALUE"""),"tenderly")</f>
        <v>tenderly</v>
      </c>
      <c r="P761" s="49" t="str">
        <f t="shared" si="2"/>
        <v>once,</v>
      </c>
      <c r="Q761" s="49"/>
      <c r="R761" s="50" t="s">
        <v>3758</v>
      </c>
      <c r="S761" s="55" t="s">
        <v>440</v>
      </c>
      <c r="T761" s="49" t="str">
        <f>IFERROR(__xludf.DUMMYFUNCTION("""COMPUTED_VALUE"""),"inside")</f>
        <v>inside</v>
      </c>
      <c r="U761" s="49"/>
      <c r="V761" s="49"/>
      <c r="W761" s="49" t="str">
        <f>IFERROR(__xludf.DUMMYFUNCTION("""COMPUTED_VALUE"""),"appreciated")</f>
        <v>appreciated</v>
      </c>
      <c r="X761" s="49" t="str">
        <f t="shared" si="3"/>
        <v>putting,</v>
      </c>
      <c r="Y761" s="49"/>
      <c r="Z761" s="1" t="s">
        <v>3222</v>
      </c>
      <c r="AA761" s="1" t="s">
        <v>674</v>
      </c>
      <c r="AB761" s="49" t="str">
        <f>IFERROR(__xludf.DUMMYFUNCTION("""COMPUTED_VALUE"""),"collapses")</f>
        <v>collapses</v>
      </c>
      <c r="AC761" s="49"/>
      <c r="AD761" s="49" t="str">
        <f>IFERROR(__xludf.DUMMYFUNCTION("""COMPUTED_VALUE"""),"mir")</f>
        <v>mir</v>
      </c>
      <c r="AE761" s="49" t="str">
        <f>IFERROR(__xludf.DUMMYFUNCTION("""COMPUTED_VALUE"""),"tenderly")</f>
        <v>tenderly</v>
      </c>
      <c r="AF761" s="49" t="str">
        <f t="shared" si="4"/>
        <v>erotic,</v>
      </c>
      <c r="AG761" s="49"/>
      <c r="AH761" s="1" t="s">
        <v>6404</v>
      </c>
      <c r="AI761" s="1" t="s">
        <v>1330</v>
      </c>
      <c r="AJ761" s="6" t="str">
        <f>IFERROR(__xludf.DUMMYFUNCTION("""COMPUTED_VALUE"""),"determined")</f>
        <v>determined</v>
      </c>
      <c r="AK761" s="49"/>
      <c r="AL761" s="49"/>
      <c r="AM761" s="49"/>
      <c r="AN761" s="52" t="str">
        <f t="shared" si="5"/>
        <v>ll,</v>
      </c>
    </row>
    <row r="762">
      <c r="A762" s="51"/>
      <c r="B762" s="50" t="s">
        <v>398</v>
      </c>
      <c r="C762" s="50" t="s">
        <v>2427</v>
      </c>
      <c r="D762" s="49" t="str">
        <f>IFERROR(__xludf.DUMMYFUNCTION("""COMPUTED_VALUE"""),"channel")</f>
        <v>channel</v>
      </c>
      <c r="E762" s="49"/>
      <c r="F762" s="49"/>
      <c r="G762" s="49"/>
      <c r="H762" s="54" t="str">
        <f t="shared" si="1"/>
        <v>powerful,</v>
      </c>
      <c r="I762" s="50"/>
      <c r="J762" s="50" t="s">
        <v>6729</v>
      </c>
      <c r="K762" s="50" t="s">
        <v>2003</v>
      </c>
      <c r="L762" s="49" t="str">
        <f>IFERROR(__xludf.DUMMYFUNCTION("""COMPUTED_VALUE"""),"troubled")</f>
        <v>troubled</v>
      </c>
      <c r="M762" s="49"/>
      <c r="N762" s="49" t="str">
        <f>IFERROR(__xludf.DUMMYFUNCTION("""COMPUTED_VALUE"""),"via")</f>
        <v>via</v>
      </c>
      <c r="O762" s="49" t="str">
        <f>IFERROR(__xludf.DUMMYFUNCTION("""COMPUTED_VALUE"""),"christopher")</f>
        <v>christopher</v>
      </c>
      <c r="P762" s="49" t="str">
        <f t="shared" si="2"/>
        <v>e,</v>
      </c>
      <c r="Q762" s="49"/>
      <c r="R762" s="50" t="s">
        <v>806</v>
      </c>
      <c r="S762" s="55" t="s">
        <v>2940</v>
      </c>
      <c r="T762" s="49" t="str">
        <f>IFERROR(__xludf.DUMMYFUNCTION("""COMPUTED_VALUE"""),"wears")</f>
        <v>wears</v>
      </c>
      <c r="U762" s="49"/>
      <c r="V762" s="49"/>
      <c r="W762" s="49" t="str">
        <f>IFERROR(__xludf.DUMMYFUNCTION("""COMPUTED_VALUE"""),"possess")</f>
        <v>possess</v>
      </c>
      <c r="X762" s="49" t="str">
        <f t="shared" si="3"/>
        <v>six,</v>
      </c>
      <c r="Y762" s="49"/>
      <c r="Z762" s="1" t="s">
        <v>5088</v>
      </c>
      <c r="AA762" s="1" t="s">
        <v>3311</v>
      </c>
      <c r="AB762" s="49" t="str">
        <f>IFERROR(__xludf.DUMMYFUNCTION("""COMPUTED_VALUE"""),"exposition")</f>
        <v>exposition</v>
      </c>
      <c r="AC762" s="49"/>
      <c r="AD762" s="49" t="str">
        <f>IFERROR(__xludf.DUMMYFUNCTION("""COMPUTED_VALUE"""),"via")</f>
        <v>via</v>
      </c>
      <c r="AE762" s="49" t="str">
        <f>IFERROR(__xludf.DUMMYFUNCTION("""COMPUTED_VALUE"""),"christopher")</f>
        <v>christopher</v>
      </c>
      <c r="AF762" s="49" t="str">
        <f t="shared" si="4"/>
        <v>relationship,</v>
      </c>
      <c r="AG762" s="49"/>
      <c r="AH762" s="1" t="s">
        <v>1809</v>
      </c>
      <c r="AI762" s="1" t="s">
        <v>2645</v>
      </c>
      <c r="AJ762" s="6" t="str">
        <f>IFERROR(__xludf.DUMMYFUNCTION("""COMPUTED_VALUE"""),"suit")</f>
        <v>suit</v>
      </c>
      <c r="AK762" s="49"/>
      <c r="AL762" s="49"/>
      <c r="AM762" s="49"/>
      <c r="AN762" s="52" t="str">
        <f t="shared" si="5"/>
        <v>football,</v>
      </c>
    </row>
    <row r="763">
      <c r="A763" s="51"/>
      <c r="B763" s="50" t="s">
        <v>767</v>
      </c>
      <c r="C763" s="50" t="s">
        <v>3015</v>
      </c>
      <c r="D763" s="49" t="str">
        <f>IFERROR(__xludf.DUMMYFUNCTION("""COMPUTED_VALUE"""),"cable")</f>
        <v>cable</v>
      </c>
      <c r="E763" s="49"/>
      <c r="F763" s="49"/>
      <c r="G763" s="49"/>
      <c r="H763" s="54" t="str">
        <f t="shared" si="1"/>
        <v>rich,</v>
      </c>
      <c r="I763" s="50"/>
      <c r="J763" s="50" t="s">
        <v>4424</v>
      </c>
      <c r="K763" s="50" t="s">
        <v>2278</v>
      </c>
      <c r="L763" s="49" t="str">
        <f>IFERROR(__xludf.DUMMYFUNCTION("""COMPUTED_VALUE"""),"heavy")</f>
        <v>heavy</v>
      </c>
      <c r="M763" s="49"/>
      <c r="N763" s="49" t="str">
        <f>IFERROR(__xludf.DUMMYFUNCTION("""COMPUTED_VALUE"""),"closest")</f>
        <v>closest</v>
      </c>
      <c r="O763" s="49" t="str">
        <f>IFERROR(__xludf.DUMMYFUNCTION("""COMPUTED_VALUE"""),"direct")</f>
        <v>direct</v>
      </c>
      <c r="P763" s="49" t="str">
        <f t="shared" si="2"/>
        <v>returns,</v>
      </c>
      <c r="Q763" s="49"/>
      <c r="R763" s="50" t="s">
        <v>3206</v>
      </c>
      <c r="S763" s="55" t="s">
        <v>1815</v>
      </c>
      <c r="T763" s="49" t="str">
        <f>IFERROR(__xludf.DUMMYFUNCTION("""COMPUTED_VALUE"""),"reading")</f>
        <v>reading</v>
      </c>
      <c r="U763" s="49"/>
      <c r="V763" s="49"/>
      <c r="W763" s="49" t="str">
        <f>IFERROR(__xludf.DUMMYFUNCTION("""COMPUTED_VALUE"""),"uncomfortably")</f>
        <v>uncomfortably</v>
      </c>
      <c r="X763" s="49" t="str">
        <f t="shared" si="3"/>
        <v>land,</v>
      </c>
      <c r="Y763" s="49"/>
      <c r="Z763" s="1" t="s">
        <v>1650</v>
      </c>
      <c r="AA763" s="1" t="s">
        <v>816</v>
      </c>
      <c r="AB763" s="49" t="str">
        <f>IFERROR(__xludf.DUMMYFUNCTION("""COMPUTED_VALUE"""),"rushed")</f>
        <v>rushed</v>
      </c>
      <c r="AC763" s="49"/>
      <c r="AD763" s="49" t="str">
        <f>IFERROR(__xludf.DUMMYFUNCTION("""COMPUTED_VALUE"""),"closest")</f>
        <v>closest</v>
      </c>
      <c r="AE763" s="49" t="str">
        <f>IFERROR(__xludf.DUMMYFUNCTION("""COMPUTED_VALUE"""),"direct")</f>
        <v>direct</v>
      </c>
      <c r="AF763" s="49" t="str">
        <f t="shared" si="4"/>
        <v>played,</v>
      </c>
      <c r="AG763" s="49"/>
      <c r="AH763" s="1" t="s">
        <v>2175</v>
      </c>
      <c r="AI763" s="1" t="s">
        <v>2322</v>
      </c>
      <c r="AJ763" s="6" t="str">
        <f>IFERROR(__xludf.DUMMYFUNCTION("""COMPUTED_VALUE"""),"throw")</f>
        <v>throw</v>
      </c>
      <c r="AK763" s="49"/>
      <c r="AL763" s="49"/>
      <c r="AM763" s="49"/>
      <c r="AN763" s="52" t="str">
        <f t="shared" si="5"/>
        <v>dark,</v>
      </c>
    </row>
    <row r="764">
      <c r="A764" s="51"/>
      <c r="B764" s="50" t="s">
        <v>1637</v>
      </c>
      <c r="C764" s="50" t="s">
        <v>1636</v>
      </c>
      <c r="D764" s="49" t="str">
        <f>IFERROR(__xludf.DUMMYFUNCTION("""COMPUTED_VALUE"""),"darling")</f>
        <v>darling</v>
      </c>
      <c r="E764" s="49"/>
      <c r="F764" s="49"/>
      <c r="G764" s="49"/>
      <c r="H764" s="54" t="str">
        <f t="shared" si="1"/>
        <v>desire,</v>
      </c>
      <c r="I764" s="50"/>
      <c r="J764" s="50" t="s">
        <v>2820</v>
      </c>
      <c r="K764" s="50" t="s">
        <v>2799</v>
      </c>
      <c r="L764" s="49" t="str">
        <f>IFERROR(__xludf.DUMMYFUNCTION("""COMPUTED_VALUE"""),"victims")</f>
        <v>victims</v>
      </c>
      <c r="M764" s="49"/>
      <c r="N764" s="49" t="str">
        <f>IFERROR(__xludf.DUMMYFUNCTION("""COMPUTED_VALUE"""),"drawings")</f>
        <v>drawings</v>
      </c>
      <c r="O764" s="49" t="str">
        <f>IFERROR(__xludf.DUMMYFUNCTION("""COMPUTED_VALUE"""),"warrior")</f>
        <v>warrior</v>
      </c>
      <c r="P764" s="49" t="str">
        <f t="shared" si="2"/>
        <v>laughed,</v>
      </c>
      <c r="Q764" s="49"/>
      <c r="R764" s="50" t="s">
        <v>6705</v>
      </c>
      <c r="S764" s="55" t="s">
        <v>2955</v>
      </c>
      <c r="T764" s="49" t="str">
        <f>IFERROR(__xludf.DUMMYFUNCTION("""COMPUTED_VALUE"""),"bigger")</f>
        <v>bigger</v>
      </c>
      <c r="U764" s="49"/>
      <c r="V764" s="49"/>
      <c r="W764" s="49" t="str">
        <f>IFERROR(__xludf.DUMMYFUNCTION("""COMPUTED_VALUE"""),"lines")</f>
        <v>lines</v>
      </c>
      <c r="X764" s="49" t="str">
        <f t="shared" si="3"/>
        <v>creature,</v>
      </c>
      <c r="Y764" s="49"/>
      <c r="Z764" s="1" t="s">
        <v>2561</v>
      </c>
      <c r="AA764" s="1" t="s">
        <v>3315</v>
      </c>
      <c r="AB764" s="49" t="str">
        <f>IFERROR(__xludf.DUMMYFUNCTION("""COMPUTED_VALUE"""),"undead")</f>
        <v>undead</v>
      </c>
      <c r="AC764" s="49"/>
      <c r="AD764" s="49" t="str">
        <f>IFERROR(__xludf.DUMMYFUNCTION("""COMPUTED_VALUE"""),"drawings")</f>
        <v>drawings</v>
      </c>
      <c r="AE764" s="49" t="str">
        <f>IFERROR(__xludf.DUMMYFUNCTION("""COMPUTED_VALUE"""),"warrior")</f>
        <v>warrior</v>
      </c>
      <c r="AF764" s="49" t="str">
        <f t="shared" si="4"/>
        <v>impression,</v>
      </c>
      <c r="AG764" s="49"/>
      <c r="AH764" s="1" t="s">
        <v>751</v>
      </c>
      <c r="AI764" s="1" t="s">
        <v>2328</v>
      </c>
      <c r="AJ764" s="6" t="str">
        <f>IFERROR(__xludf.DUMMYFUNCTION("""COMPUTED_VALUE"""),"angle")</f>
        <v>angle</v>
      </c>
      <c r="AK764" s="49"/>
      <c r="AL764" s="49"/>
      <c r="AM764" s="49"/>
      <c r="AN764" s="52" t="str">
        <f t="shared" si="5"/>
        <v>hit,</v>
      </c>
    </row>
    <row r="765">
      <c r="A765" s="51"/>
      <c r="B765" s="50" t="s">
        <v>1009</v>
      </c>
      <c r="C765" s="50" t="s">
        <v>447</v>
      </c>
      <c r="D765" s="49" t="str">
        <f>IFERROR(__xludf.DUMMYFUNCTION("""COMPUTED_VALUE"""),"amazing")</f>
        <v>amazing</v>
      </c>
      <c r="E765" s="49"/>
      <c r="F765" s="49"/>
      <c r="G765" s="49"/>
      <c r="H765" s="54" t="str">
        <f t="shared" si="1"/>
        <v>ford,</v>
      </c>
      <c r="I765" s="50"/>
      <c r="J765" s="50" t="s">
        <v>1428</v>
      </c>
      <c r="K765" s="50" t="s">
        <v>438</v>
      </c>
      <c r="L765" s="49" t="str">
        <f>IFERROR(__xludf.DUMMYFUNCTION("""COMPUTED_VALUE"""),"treat")</f>
        <v>treat</v>
      </c>
      <c r="M765" s="49"/>
      <c r="N765" s="49" t="str">
        <f>IFERROR(__xludf.DUMMYFUNCTION("""COMPUTED_VALUE"""),"notice")</f>
        <v>notice</v>
      </c>
      <c r="O765" s="49" t="str">
        <f>IFERROR(__xludf.DUMMYFUNCTION("""COMPUTED_VALUE"""),"autobiographical")</f>
        <v>autobiographical</v>
      </c>
      <c r="P765" s="49" t="str">
        <f t="shared" si="2"/>
        <v>read,</v>
      </c>
      <c r="Q765" s="49"/>
      <c r="R765" s="50" t="s">
        <v>1357</v>
      </c>
      <c r="S765" s="55" t="s">
        <v>2534</v>
      </c>
      <c r="T765" s="49" t="str">
        <f>IFERROR(__xludf.DUMMYFUNCTION("""COMPUTED_VALUE"""),"villains")</f>
        <v>villains</v>
      </c>
      <c r="U765" s="49"/>
      <c r="V765" s="49"/>
      <c r="W765" s="49" t="str">
        <f>IFERROR(__xludf.DUMMYFUNCTION("""COMPUTED_VALUE"""),"imaginative")</f>
        <v>imaginative</v>
      </c>
      <c r="X765" s="49" t="str">
        <f t="shared" si="3"/>
        <v>company,</v>
      </c>
      <c r="Y765" s="49"/>
      <c r="Z765" s="1" t="s">
        <v>1299</v>
      </c>
      <c r="AA765" s="1" t="s">
        <v>2310</v>
      </c>
      <c r="AB765" s="49" t="str">
        <f>IFERROR(__xludf.DUMMYFUNCTION("""COMPUTED_VALUE"""),"ian")</f>
        <v>ian</v>
      </c>
      <c r="AC765" s="49"/>
      <c r="AD765" s="49" t="str">
        <f>IFERROR(__xludf.DUMMYFUNCTION("""COMPUTED_VALUE"""),"notice")</f>
        <v>notice</v>
      </c>
      <c r="AE765" s="49" t="str">
        <f>IFERROR(__xludf.DUMMYFUNCTION("""COMPUTED_VALUE"""),"autobiographical")</f>
        <v>autobiographical</v>
      </c>
      <c r="AF765" s="49" t="str">
        <f t="shared" si="4"/>
        <v>among,</v>
      </c>
      <c r="AG765" s="49"/>
      <c r="AH765" s="1" t="s">
        <v>2864</v>
      </c>
      <c r="AI765" s="1" t="s">
        <v>6378</v>
      </c>
      <c r="AJ765" s="6" t="str">
        <f>IFERROR(__xludf.DUMMYFUNCTION("""COMPUTED_VALUE"""),"pitch")</f>
        <v>pitch</v>
      </c>
      <c r="AK765" s="49"/>
      <c r="AL765" s="49"/>
      <c r="AM765" s="49"/>
      <c r="AN765" s="52" t="str">
        <f t="shared" si="5"/>
        <v>brothers,</v>
      </c>
    </row>
    <row r="766">
      <c r="A766" s="51"/>
      <c r="B766" s="50" t="s">
        <v>6961</v>
      </c>
      <c r="C766" s="50" t="s">
        <v>3034</v>
      </c>
      <c r="D766" s="49" t="str">
        <f>IFERROR(__xludf.DUMMYFUNCTION("""COMPUTED_VALUE"""),"violence")</f>
        <v>violence</v>
      </c>
      <c r="E766" s="49"/>
      <c r="F766" s="49"/>
      <c r="G766" s="49"/>
      <c r="H766" s="54" t="str">
        <f t="shared" si="1"/>
        <v>improve,</v>
      </c>
      <c r="I766" s="50"/>
      <c r="J766" s="50" t="s">
        <v>1614</v>
      </c>
      <c r="K766" s="50" t="s">
        <v>468</v>
      </c>
      <c r="L766" s="49" t="str">
        <f>IFERROR(__xludf.DUMMYFUNCTION("""COMPUTED_VALUE"""),"perform")</f>
        <v>perform</v>
      </c>
      <c r="M766" s="49"/>
      <c r="N766" s="49" t="str">
        <f>IFERROR(__xludf.DUMMYFUNCTION("""COMPUTED_VALUE"""),"former")</f>
        <v>former</v>
      </c>
      <c r="O766" s="49" t="str">
        <f>IFERROR(__xludf.DUMMYFUNCTION("""COMPUTED_VALUE"""),"sincerely")</f>
        <v>sincerely</v>
      </c>
      <c r="P766" s="49" t="str">
        <f t="shared" si="2"/>
        <v>son,</v>
      </c>
      <c r="Q766" s="49"/>
      <c r="R766" s="50" t="s">
        <v>1312</v>
      </c>
      <c r="S766" s="55" t="s">
        <v>705</v>
      </c>
      <c r="T766" s="49" t="str">
        <f>IFERROR(__xludf.DUMMYFUNCTION("""COMPUTED_VALUE"""),"mere")</f>
        <v>mere</v>
      </c>
      <c r="U766" s="49"/>
      <c r="V766" s="49"/>
      <c r="W766" s="49" t="str">
        <f>IFERROR(__xludf.DUMMYFUNCTION("""COMPUTED_VALUE"""),"condensed")</f>
        <v>condensed</v>
      </c>
      <c r="X766" s="49" t="str">
        <f t="shared" si="3"/>
        <v>commentary,</v>
      </c>
      <c r="Y766" s="49"/>
      <c r="Z766" s="1" t="s">
        <v>4307</v>
      </c>
      <c r="AA766" s="1" t="s">
        <v>1052</v>
      </c>
      <c r="AB766" s="49" t="str">
        <f>IFERROR(__xludf.DUMMYFUNCTION("""COMPUTED_VALUE"""),"owes")</f>
        <v>owes</v>
      </c>
      <c r="AC766" s="49"/>
      <c r="AD766" s="49" t="str">
        <f>IFERROR(__xludf.DUMMYFUNCTION("""COMPUTED_VALUE"""),"former")</f>
        <v>former</v>
      </c>
      <c r="AE766" s="49" t="str">
        <f>IFERROR(__xludf.DUMMYFUNCTION("""COMPUTED_VALUE"""),"sincerely")</f>
        <v>sincerely</v>
      </c>
      <c r="AF766" s="49" t="str">
        <f t="shared" si="4"/>
        <v>jack,</v>
      </c>
      <c r="AG766" s="49"/>
      <c r="AH766" s="1" t="s">
        <v>6393</v>
      </c>
      <c r="AI766" s="1" t="s">
        <v>2661</v>
      </c>
      <c r="AJ766" s="6" t="str">
        <f>IFERROR(__xludf.DUMMYFUNCTION("""COMPUTED_VALUE"""),"bet")</f>
        <v>bet</v>
      </c>
      <c r="AK766" s="49"/>
      <c r="AL766" s="49"/>
      <c r="AM766" s="49"/>
      <c r="AN766" s="52" t="str">
        <f t="shared" si="5"/>
        <v>agent,</v>
      </c>
    </row>
    <row r="767">
      <c r="A767" s="51"/>
      <c r="B767" s="50" t="s">
        <v>4713</v>
      </c>
      <c r="C767" s="50" t="s">
        <v>2404</v>
      </c>
      <c r="D767" s="49" t="str">
        <f>IFERROR(__xludf.DUMMYFUNCTION("""COMPUTED_VALUE"""),"use")</f>
        <v>use</v>
      </c>
      <c r="E767" s="49"/>
      <c r="F767" s="49"/>
      <c r="G767" s="49"/>
      <c r="H767" s="54" t="str">
        <f t="shared" si="1"/>
        <v>decade,</v>
      </c>
      <c r="I767" s="50"/>
      <c r="J767" s="50" t="s">
        <v>7279</v>
      </c>
      <c r="K767" s="50" t="s">
        <v>3329</v>
      </c>
      <c r="L767" s="49" t="str">
        <f>IFERROR(__xludf.DUMMYFUNCTION("""COMPUTED_VALUE"""),"song")</f>
        <v>song</v>
      </c>
      <c r="M767" s="49"/>
      <c r="N767" s="49" t="str">
        <f>IFERROR(__xludf.DUMMYFUNCTION("""COMPUTED_VALUE"""),"gathering")</f>
        <v>gathering</v>
      </c>
      <c r="O767" s="49" t="str">
        <f>IFERROR(__xludf.DUMMYFUNCTION("""COMPUTED_VALUE"""),"crafted")</f>
        <v>crafted</v>
      </c>
      <c r="P767" s="49" t="str">
        <f t="shared" si="2"/>
        <v>swans,</v>
      </c>
      <c r="Q767" s="49"/>
      <c r="R767" s="50" t="s">
        <v>3040</v>
      </c>
      <c r="S767" s="55" t="s">
        <v>452</v>
      </c>
      <c r="T767" s="49" t="str">
        <f>IFERROR(__xludf.DUMMYFUNCTION("""COMPUTED_VALUE"""),"alfred")</f>
        <v>alfred</v>
      </c>
      <c r="U767" s="49"/>
      <c r="V767" s="49"/>
      <c r="W767" s="49" t="str">
        <f>IFERROR(__xludf.DUMMYFUNCTION("""COMPUTED_VALUE"""),"composition")</f>
        <v>composition</v>
      </c>
      <c r="X767" s="49" t="str">
        <f t="shared" si="3"/>
        <v>created,</v>
      </c>
      <c r="Y767" s="49"/>
      <c r="Z767" s="1" t="s">
        <v>4680</v>
      </c>
      <c r="AA767" s="1" t="s">
        <v>3325</v>
      </c>
      <c r="AB767" s="49" t="str">
        <f>IFERROR(__xludf.DUMMYFUNCTION("""COMPUTED_VALUE"""),"media")</f>
        <v>media</v>
      </c>
      <c r="AC767" s="49"/>
      <c r="AD767" s="49" t="str">
        <f>IFERROR(__xludf.DUMMYFUNCTION("""COMPUTED_VALUE"""),"gathering")</f>
        <v>gathering</v>
      </c>
      <c r="AE767" s="49" t="str">
        <f>IFERROR(__xludf.DUMMYFUNCTION("""COMPUTED_VALUE"""),"crafted")</f>
        <v>crafted</v>
      </c>
      <c r="AF767" s="49" t="str">
        <f t="shared" si="4"/>
        <v>marks,</v>
      </c>
      <c r="AG767" s="49"/>
      <c r="AH767" s="1" t="s">
        <v>1887</v>
      </c>
      <c r="AI767" s="1" t="s">
        <v>6379</v>
      </c>
      <c r="AJ767" s="6" t="str">
        <f>IFERROR(__xludf.DUMMYFUNCTION("""COMPUTED_VALUE"""),"school")</f>
        <v>school</v>
      </c>
      <c r="AK767" s="49"/>
      <c r="AL767" s="49"/>
      <c r="AM767" s="49"/>
      <c r="AN767" s="52" t="str">
        <f t="shared" si="5"/>
        <v>wish,</v>
      </c>
    </row>
    <row r="768">
      <c r="A768" s="51"/>
      <c r="B768" s="50" t="s">
        <v>6971</v>
      </c>
      <c r="C768" s="50" t="s">
        <v>2754</v>
      </c>
      <c r="D768" s="49" t="str">
        <f>IFERROR(__xludf.DUMMYFUNCTION("""COMPUTED_VALUE"""),"humanity")</f>
        <v>humanity</v>
      </c>
      <c r="E768" s="49"/>
      <c r="F768" s="49"/>
      <c r="G768" s="49"/>
      <c r="H768" s="54" t="str">
        <f t="shared" si="1"/>
        <v>tend,</v>
      </c>
      <c r="I768" s="50"/>
      <c r="J768" s="50" t="s">
        <v>3813</v>
      </c>
      <c r="K768" s="50" t="s">
        <v>2009</v>
      </c>
      <c r="L768" s="49" t="str">
        <f>IFERROR(__xludf.DUMMYFUNCTION("""COMPUTED_VALUE"""),"develop")</f>
        <v>develop</v>
      </c>
      <c r="M768" s="49"/>
      <c r="N768" s="49">
        <f>IFERROR(__xludf.DUMMYFUNCTION("""COMPUTED_VALUE"""),0.0)</f>
        <v>0</v>
      </c>
      <c r="O768" s="49" t="str">
        <f>IFERROR(__xludf.DUMMYFUNCTION("""COMPUTED_VALUE"""),"convention")</f>
        <v>convention</v>
      </c>
      <c r="P768" s="49" t="str">
        <f t="shared" si="2"/>
        <v>ethnic,</v>
      </c>
      <c r="Q768" s="49"/>
      <c r="R768" s="50" t="s">
        <v>3789</v>
      </c>
      <c r="S768" s="55" t="s">
        <v>351</v>
      </c>
      <c r="T768" s="49" t="str">
        <f>IFERROR(__xludf.DUMMYFUNCTION("""COMPUTED_VALUE"""),"poor")</f>
        <v>poor</v>
      </c>
      <c r="U768" s="49"/>
      <c r="V768" s="49"/>
      <c r="W768" s="49" t="str">
        <f>IFERROR(__xludf.DUMMYFUNCTION("""COMPUTED_VALUE"""),"angle")</f>
        <v>angle</v>
      </c>
      <c r="X768" s="49" t="str">
        <f t="shared" si="3"/>
        <v>japanese,</v>
      </c>
      <c r="Y768" s="49"/>
      <c r="Z768" s="1" t="s">
        <v>748</v>
      </c>
      <c r="AA768" s="1" t="s">
        <v>2312</v>
      </c>
      <c r="AB768" s="49" t="str">
        <f>IFERROR(__xludf.DUMMYFUNCTION("""COMPUTED_VALUE"""),"weight")</f>
        <v>weight</v>
      </c>
      <c r="AC768" s="49"/>
      <c r="AD768" s="49">
        <f>IFERROR(__xludf.DUMMYFUNCTION("""COMPUTED_VALUE"""),0.0)</f>
        <v>0</v>
      </c>
      <c r="AE768" s="49" t="str">
        <f>IFERROR(__xludf.DUMMYFUNCTION("""COMPUTED_VALUE"""),"convention")</f>
        <v>convention</v>
      </c>
      <c r="AF768" s="49" t="str">
        <f t="shared" si="4"/>
        <v>less,</v>
      </c>
      <c r="AG768" s="49"/>
      <c r="AH768" s="1" t="s">
        <v>2411</v>
      </c>
      <c r="AI768" s="1" t="s">
        <v>2666</v>
      </c>
      <c r="AJ768" s="6" t="str">
        <f>IFERROR(__xludf.DUMMYFUNCTION("""COMPUTED_VALUE"""),"high")</f>
        <v>high</v>
      </c>
      <c r="AK768" s="49"/>
      <c r="AL768" s="49"/>
      <c r="AM768" s="49"/>
      <c r="AN768" s="52" t="str">
        <f t="shared" si="5"/>
        <v>determined,</v>
      </c>
    </row>
    <row r="769">
      <c r="A769" s="51"/>
      <c r="B769" s="50" t="s">
        <v>5750</v>
      </c>
      <c r="C769" s="50" t="s">
        <v>5471</v>
      </c>
      <c r="D769" s="49" t="str">
        <f>IFERROR(__xludf.DUMMYFUNCTION("""COMPUTED_VALUE"""),"force")</f>
        <v>force</v>
      </c>
      <c r="E769" s="49"/>
      <c r="F769" s="49"/>
      <c r="G769" s="49"/>
      <c r="H769" s="54" t="str">
        <f t="shared" si="1"/>
        <v>derek,</v>
      </c>
      <c r="I769" s="50"/>
      <c r="J769" s="50" t="s">
        <v>2676</v>
      </c>
      <c r="K769" s="50" t="s">
        <v>845</v>
      </c>
      <c r="L769" s="49" t="str">
        <f>IFERROR(__xludf.DUMMYFUNCTION("""COMPUTED_VALUE"""),"damned")</f>
        <v>damned</v>
      </c>
      <c r="M769" s="49"/>
      <c r="N769" s="49" t="str">
        <f>IFERROR(__xludf.DUMMYFUNCTION("""COMPUTED_VALUE"""),"continue")</f>
        <v>continue</v>
      </c>
      <c r="O769" s="49" t="str">
        <f>IFERROR(__xludf.DUMMYFUNCTION("""COMPUTED_VALUE"""),"urgently")</f>
        <v>urgently</v>
      </c>
      <c r="P769" s="49" t="str">
        <f t="shared" si="2"/>
        <v>reel,</v>
      </c>
      <c r="Q769" s="49"/>
      <c r="R769" s="50" t="s">
        <v>6747</v>
      </c>
      <c r="S769" s="55" t="s">
        <v>459</v>
      </c>
      <c r="T769" s="49" t="str">
        <f>IFERROR(__xludf.DUMMYFUNCTION("""COMPUTED_VALUE"""),"fire")</f>
        <v>fire</v>
      </c>
      <c r="U769" s="49"/>
      <c r="V769" s="49"/>
      <c r="W769" s="49" t="str">
        <f>IFERROR(__xludf.DUMMYFUNCTION("""COMPUTED_VALUE"""),"somber")</f>
        <v>somber</v>
      </c>
      <c r="X769" s="49" t="str">
        <f t="shared" si="3"/>
        <v>thirty,</v>
      </c>
      <c r="Y769" s="49"/>
      <c r="Z769" s="1" t="s">
        <v>276</v>
      </c>
      <c r="AA769" s="1" t="s">
        <v>2316</v>
      </c>
      <c r="AB769" s="49" t="str">
        <f>IFERROR(__xludf.DUMMYFUNCTION("""COMPUTED_VALUE"""),"gay")</f>
        <v>gay</v>
      </c>
      <c r="AC769" s="49"/>
      <c r="AD769" s="49" t="str">
        <f>IFERROR(__xludf.DUMMYFUNCTION("""COMPUTED_VALUE"""),"continue")</f>
        <v>continue</v>
      </c>
      <c r="AE769" s="49" t="str">
        <f>IFERROR(__xludf.DUMMYFUNCTION("""COMPUTED_VALUE"""),"urgently")</f>
        <v>urgently</v>
      </c>
      <c r="AF769" s="49" t="str">
        <f t="shared" si="4"/>
        <v>funny,</v>
      </c>
      <c r="AG769" s="49"/>
      <c r="AH769" s="1" t="s">
        <v>4278</v>
      </c>
      <c r="AI769" s="1" t="s">
        <v>2657</v>
      </c>
      <c r="AJ769" s="6" t="str">
        <f>IFERROR(__xludf.DUMMYFUNCTION("""COMPUTED_VALUE"""),"near")</f>
        <v>near</v>
      </c>
      <c r="AK769" s="49"/>
      <c r="AL769" s="49"/>
      <c r="AM769" s="49"/>
      <c r="AN769" s="52" t="str">
        <f t="shared" si="5"/>
        <v>suit,</v>
      </c>
    </row>
    <row r="770">
      <c r="A770" s="51"/>
      <c r="B770" s="50" t="s">
        <v>2561</v>
      </c>
      <c r="C770" s="50" t="s">
        <v>1634</v>
      </c>
      <c r="D770" s="49" t="str">
        <f>IFERROR(__xludf.DUMMYFUNCTION("""COMPUTED_VALUE"""),"continues")</f>
        <v>continues</v>
      </c>
      <c r="E770" s="49"/>
      <c r="F770" s="49"/>
      <c r="G770" s="49"/>
      <c r="H770" s="54" t="str">
        <f t="shared" si="1"/>
        <v>impression,</v>
      </c>
      <c r="I770" s="50"/>
      <c r="J770" s="50" t="s">
        <v>625</v>
      </c>
      <c r="K770" s="50" t="s">
        <v>2812</v>
      </c>
      <c r="L770" s="49" t="str">
        <f>IFERROR(__xludf.DUMMYFUNCTION("""COMPUTED_VALUE"""),"centered")</f>
        <v>centered</v>
      </c>
      <c r="M770" s="49"/>
      <c r="N770" s="49" t="str">
        <f>IFERROR(__xludf.DUMMYFUNCTION("""COMPUTED_VALUE"""),"relatively")</f>
        <v>relatively</v>
      </c>
      <c r="O770" s="49" t="str">
        <f>IFERROR(__xludf.DUMMYFUNCTION("""COMPUTED_VALUE"""),"gasping")</f>
        <v>gasping</v>
      </c>
      <c r="P770" s="49" t="str">
        <f t="shared" si="2"/>
        <v>told,</v>
      </c>
      <c r="Q770" s="49"/>
      <c r="R770" s="50" t="s">
        <v>4297</v>
      </c>
      <c r="S770" s="55" t="s">
        <v>2557</v>
      </c>
      <c r="T770" s="49" t="str">
        <f>IFERROR(__xludf.DUMMYFUNCTION("""COMPUTED_VALUE"""),"kitchen")</f>
        <v>kitchen</v>
      </c>
      <c r="U770" s="49"/>
      <c r="V770" s="49"/>
      <c r="W770" s="49" t="str">
        <f>IFERROR(__xludf.DUMMYFUNCTION("""COMPUTED_VALUE"""),"credible")</f>
        <v>credible</v>
      </c>
      <c r="X770" s="49" t="str">
        <f t="shared" si="3"/>
        <v>flight,</v>
      </c>
      <c r="Y770" s="49"/>
      <c r="Z770" s="1" t="s">
        <v>947</v>
      </c>
      <c r="AA770" s="1" t="s">
        <v>3336</v>
      </c>
      <c r="AB770" s="49" t="str">
        <f>IFERROR(__xludf.DUMMYFUNCTION("""COMPUTED_VALUE"""),"villain")</f>
        <v>villain</v>
      </c>
      <c r="AC770" s="49"/>
      <c r="AD770" s="49" t="str">
        <f>IFERROR(__xludf.DUMMYFUNCTION("""COMPUTED_VALUE"""),"relatively")</f>
        <v>relatively</v>
      </c>
      <c r="AE770" s="49" t="str">
        <f>IFERROR(__xludf.DUMMYFUNCTION("""COMPUTED_VALUE"""),"gasping")</f>
        <v>gasping</v>
      </c>
      <c r="AF770" s="49" t="str">
        <f t="shared" si="4"/>
        <v>house,</v>
      </c>
      <c r="AG770" s="49"/>
      <c r="AH770" s="1" t="s">
        <v>1230</v>
      </c>
      <c r="AI770" s="1" t="s">
        <v>221</v>
      </c>
      <c r="AJ770" s="6" t="str">
        <f>IFERROR(__xludf.DUMMYFUNCTION("""COMPUTED_VALUE"""),"having")</f>
        <v>having</v>
      </c>
      <c r="AK770" s="49"/>
      <c r="AL770" s="49"/>
      <c r="AM770" s="49"/>
      <c r="AN770" s="52" t="str">
        <f t="shared" si="5"/>
        <v>throw,</v>
      </c>
    </row>
    <row r="771">
      <c r="A771" s="51"/>
      <c r="B771" s="50" t="s">
        <v>5684</v>
      </c>
      <c r="C771" s="50" t="s">
        <v>2776</v>
      </c>
      <c r="D771" s="49" t="str">
        <f>IFERROR(__xludf.DUMMYFUNCTION("""COMPUTED_VALUE"""),"lesser")</f>
        <v>lesser</v>
      </c>
      <c r="E771" s="49"/>
      <c r="F771" s="49"/>
      <c r="G771" s="49"/>
      <c r="H771" s="54" t="str">
        <f t="shared" si="1"/>
        <v>bo,</v>
      </c>
      <c r="I771" s="50"/>
      <c r="J771" s="50" t="s">
        <v>345</v>
      </c>
      <c r="K771" s="50" t="s">
        <v>3343</v>
      </c>
      <c r="L771" s="49" t="str">
        <f>IFERROR(__xludf.DUMMYFUNCTION("""COMPUTED_VALUE"""),"bid")</f>
        <v>bid</v>
      </c>
      <c r="M771" s="49"/>
      <c r="N771" s="49" t="str">
        <f>IFERROR(__xludf.DUMMYFUNCTION("""COMPUTED_VALUE"""),"commercial")</f>
        <v>commercial</v>
      </c>
      <c r="O771" s="49" t="str">
        <f>IFERROR(__xludf.DUMMYFUNCTION("""COMPUTED_VALUE"""),"workings")</f>
        <v>workings</v>
      </c>
      <c r="P771" s="49" t="str">
        <f t="shared" si="2"/>
        <v>essentially,</v>
      </c>
      <c r="Q771" s="49"/>
      <c r="R771" s="50" t="s">
        <v>981</v>
      </c>
      <c r="S771" s="55" t="s">
        <v>2559</v>
      </c>
      <c r="T771" s="49" t="str">
        <f>IFERROR(__xludf.DUMMYFUNCTION("""COMPUTED_VALUE"""),"exciting")</f>
        <v>exciting</v>
      </c>
      <c r="U771" s="49"/>
      <c r="V771" s="49"/>
      <c r="W771" s="49" t="str">
        <f>IFERROR(__xludf.DUMMYFUNCTION("""COMPUTED_VALUE"""),"highlighted")</f>
        <v>highlighted</v>
      </c>
      <c r="X771" s="49" t="str">
        <f t="shared" si="3"/>
        <v>exploitation,</v>
      </c>
      <c r="Y771" s="49"/>
      <c r="Z771" s="1" t="s">
        <v>1250</v>
      </c>
      <c r="AA771" s="1" t="s">
        <v>549</v>
      </c>
      <c r="AB771" s="49" t="str">
        <f>IFERROR(__xludf.DUMMYFUNCTION("""COMPUTED_VALUE"""),"psychological")</f>
        <v>psychological</v>
      </c>
      <c r="AC771" s="49"/>
      <c r="AD771" s="49" t="str">
        <f>IFERROR(__xludf.DUMMYFUNCTION("""COMPUTED_VALUE"""),"commercial")</f>
        <v>commercial</v>
      </c>
      <c r="AE771" s="49" t="str">
        <f>IFERROR(__xludf.DUMMYFUNCTION("""COMPUTED_VALUE"""),"workings")</f>
        <v>workings</v>
      </c>
      <c r="AF771" s="49" t="str">
        <f t="shared" si="4"/>
        <v>body,</v>
      </c>
      <c r="AG771" s="49"/>
      <c r="AH771" s="1" t="s">
        <v>4584</v>
      </c>
      <c r="AI771" s="1" t="s">
        <v>1243</v>
      </c>
      <c r="AJ771" s="6" t="str">
        <f>IFERROR(__xludf.DUMMYFUNCTION("""COMPUTED_VALUE"""),"blood")</f>
        <v>blood</v>
      </c>
      <c r="AK771" s="49"/>
      <c r="AL771" s="49"/>
      <c r="AM771" s="49"/>
      <c r="AN771" s="52" t="str">
        <f t="shared" si="5"/>
        <v>angle,</v>
      </c>
    </row>
    <row r="772">
      <c r="A772" s="51"/>
      <c r="B772" s="50" t="s">
        <v>947</v>
      </c>
      <c r="C772" s="50" t="s">
        <v>1640</v>
      </c>
      <c r="D772" s="49" t="str">
        <f>IFERROR(__xludf.DUMMYFUNCTION("""COMPUTED_VALUE"""),"joke")</f>
        <v>joke</v>
      </c>
      <c r="E772" s="49"/>
      <c r="F772" s="49"/>
      <c r="G772" s="49"/>
      <c r="H772" s="54" t="str">
        <f t="shared" si="1"/>
        <v>house,</v>
      </c>
      <c r="I772" s="50"/>
      <c r="J772" s="50" t="s">
        <v>1755</v>
      </c>
      <c r="K772" s="50" t="s">
        <v>3346</v>
      </c>
      <c r="L772" s="49" t="str">
        <f>IFERROR(__xludf.DUMMYFUNCTION("""COMPUTED_VALUE"""),"discourse")</f>
        <v>discourse</v>
      </c>
      <c r="M772" s="49"/>
      <c r="N772" s="49" t="str">
        <f>IFERROR(__xludf.DUMMYFUNCTION("""COMPUTED_VALUE"""),"til")</f>
        <v>til</v>
      </c>
      <c r="O772" s="49" t="str">
        <f>IFERROR(__xludf.DUMMYFUNCTION("""COMPUTED_VALUE"""),"gaza")</f>
        <v>gaza</v>
      </c>
      <c r="P772" s="49" t="str">
        <f t="shared" si="2"/>
        <v>unconventional,</v>
      </c>
      <c r="Q772" s="49"/>
      <c r="R772" s="50" t="s">
        <v>4302</v>
      </c>
      <c r="S772" s="55" t="s">
        <v>719</v>
      </c>
      <c r="T772" s="49" t="str">
        <f>IFERROR(__xludf.DUMMYFUNCTION("""COMPUTED_VALUE"""),"afraid")</f>
        <v>afraid</v>
      </c>
      <c r="U772" s="49"/>
      <c r="V772" s="49"/>
      <c r="W772" s="49" t="str">
        <f>IFERROR(__xludf.DUMMYFUNCTION("""COMPUTED_VALUE"""),"pro")</f>
        <v>pro</v>
      </c>
      <c r="X772" s="49" t="str">
        <f t="shared" si="3"/>
        <v>remake,</v>
      </c>
      <c r="Y772" s="49"/>
      <c r="Z772" s="1" t="s">
        <v>1672</v>
      </c>
      <c r="AA772" s="1" t="s">
        <v>2321</v>
      </c>
      <c r="AB772" s="49" t="str">
        <f>IFERROR(__xludf.DUMMYFUNCTION("""COMPUTED_VALUE"""),"adolescent")</f>
        <v>adolescent</v>
      </c>
      <c r="AC772" s="49"/>
      <c r="AD772" s="49" t="str">
        <f>IFERROR(__xludf.DUMMYFUNCTION("""COMPUTED_VALUE"""),"til")</f>
        <v>til</v>
      </c>
      <c r="AE772" s="49" t="str">
        <f>IFERROR(__xludf.DUMMYFUNCTION("""COMPUTED_VALUE"""),"gaza")</f>
        <v>gaza</v>
      </c>
      <c r="AF772" s="49" t="str">
        <f t="shared" si="4"/>
        <v>series,</v>
      </c>
      <c r="AG772" s="49"/>
      <c r="AH772" s="1" t="s">
        <v>4420</v>
      </c>
      <c r="AI772" s="1" t="s">
        <v>2296</v>
      </c>
      <c r="AJ772" s="6" t="str">
        <f>IFERROR(__xludf.DUMMYFUNCTION("""COMPUTED_VALUE"""),"video")</f>
        <v>video</v>
      </c>
      <c r="AK772" s="49"/>
      <c r="AL772" s="49"/>
      <c r="AM772" s="49"/>
      <c r="AN772" s="52" t="str">
        <f t="shared" si="5"/>
        <v>pitch,</v>
      </c>
    </row>
    <row r="773">
      <c r="A773" s="51"/>
      <c r="B773" s="50" t="s">
        <v>1672</v>
      </c>
      <c r="C773" s="50" t="s">
        <v>1649</v>
      </c>
      <c r="D773" s="49" t="str">
        <f>IFERROR(__xludf.DUMMYFUNCTION("""COMPUTED_VALUE"""),"fury")</f>
        <v>fury</v>
      </c>
      <c r="E773" s="49"/>
      <c r="F773" s="49"/>
      <c r="G773" s="49"/>
      <c r="H773" s="54" t="str">
        <f t="shared" si="1"/>
        <v>series,</v>
      </c>
      <c r="I773" s="50"/>
      <c r="J773" s="50" t="s">
        <v>3476</v>
      </c>
      <c r="K773" s="50" t="s">
        <v>3352</v>
      </c>
      <c r="L773" s="49" t="str">
        <f>IFERROR(__xludf.DUMMYFUNCTION("""COMPUTED_VALUE"""),"egypt")</f>
        <v>egypt</v>
      </c>
      <c r="M773" s="49"/>
      <c r="N773" s="49" t="str">
        <f>IFERROR(__xludf.DUMMYFUNCTION("""COMPUTED_VALUE"""),"content")</f>
        <v>content</v>
      </c>
      <c r="O773" s="49" t="str">
        <f>IFERROR(__xludf.DUMMYFUNCTION("""COMPUTED_VALUE"""),"heightened")</f>
        <v>heightened</v>
      </c>
      <c r="P773" s="49" t="str">
        <f t="shared" si="2"/>
        <v>expectation,</v>
      </c>
      <c r="Q773" s="49"/>
      <c r="R773" s="50" t="s">
        <v>7288</v>
      </c>
      <c r="S773" s="55" t="s">
        <v>2991</v>
      </c>
      <c r="T773" s="49" t="str">
        <f>IFERROR(__xludf.DUMMYFUNCTION("""COMPUTED_VALUE"""),"unbearable")</f>
        <v>unbearable</v>
      </c>
      <c r="U773" s="49"/>
      <c r="V773" s="49"/>
      <c r="W773" s="49" t="str">
        <f>IFERROR(__xludf.DUMMYFUNCTION("""COMPUTED_VALUE"""),"stars")</f>
        <v>stars</v>
      </c>
      <c r="X773" s="49" t="str">
        <f t="shared" si="3"/>
        <v>dial,</v>
      </c>
      <c r="Y773" s="49"/>
      <c r="Z773" s="1" t="s">
        <v>987</v>
      </c>
      <c r="AA773" s="1" t="s">
        <v>3347</v>
      </c>
      <c r="AB773" s="49" t="str">
        <f>IFERROR(__xludf.DUMMYFUNCTION("""COMPUTED_VALUE"""),"oliver")</f>
        <v>oliver</v>
      </c>
      <c r="AC773" s="49"/>
      <c r="AD773" s="49" t="str">
        <f>IFERROR(__xludf.DUMMYFUNCTION("""COMPUTED_VALUE"""),"content")</f>
        <v>content</v>
      </c>
      <c r="AE773" s="49" t="str">
        <f>IFERROR(__xludf.DUMMYFUNCTION("""COMPUTED_VALUE"""),"heightened")</f>
        <v>heightened</v>
      </c>
      <c r="AF773" s="49" t="str">
        <f t="shared" si="4"/>
        <v>comedy,</v>
      </c>
      <c r="AG773" s="49"/>
      <c r="AH773" s="1" t="s">
        <v>3843</v>
      </c>
      <c r="AI773" s="1" t="s">
        <v>2336</v>
      </c>
      <c r="AJ773" s="6" t="str">
        <f>IFERROR(__xludf.DUMMYFUNCTION("""COMPUTED_VALUE"""),"event")</f>
        <v>event</v>
      </c>
      <c r="AK773" s="49"/>
      <c r="AL773" s="49"/>
      <c r="AM773" s="49"/>
      <c r="AN773" s="52" t="str">
        <f t="shared" si="5"/>
        <v>bet,</v>
      </c>
    </row>
    <row r="774">
      <c r="A774" s="51"/>
      <c r="B774" s="50" t="s">
        <v>1250</v>
      </c>
      <c r="C774" s="50" t="s">
        <v>6385</v>
      </c>
      <c r="D774" s="49" t="str">
        <f>IFERROR(__xludf.DUMMYFUNCTION("""COMPUTED_VALUE"""),"complex")</f>
        <v>complex</v>
      </c>
      <c r="E774" s="49"/>
      <c r="F774" s="49"/>
      <c r="G774" s="49"/>
      <c r="H774" s="54" t="str">
        <f t="shared" si="1"/>
        <v>body,</v>
      </c>
      <c r="I774" s="50"/>
      <c r="J774" s="50" t="s">
        <v>864</v>
      </c>
      <c r="K774" s="50" t="s">
        <v>2817</v>
      </c>
      <c r="L774" s="49" t="str">
        <f>IFERROR(__xludf.DUMMYFUNCTION("""COMPUTED_VALUE"""),"liberties")</f>
        <v>liberties</v>
      </c>
      <c r="M774" s="49"/>
      <c r="N774" s="49" t="str">
        <f>IFERROR(__xludf.DUMMYFUNCTION("""COMPUTED_VALUE"""),"contemporary")</f>
        <v>contemporary</v>
      </c>
      <c r="O774" s="49" t="str">
        <f>IFERROR(__xludf.DUMMYFUNCTION("""COMPUTED_VALUE"""),"virtues")</f>
        <v>virtues</v>
      </c>
      <c r="P774" s="49" t="str">
        <f t="shared" si="2"/>
        <v>tensions,</v>
      </c>
      <c r="Q774" s="49"/>
      <c r="R774" s="50" t="s">
        <v>2815</v>
      </c>
      <c r="S774" s="55" t="s">
        <v>2994</v>
      </c>
      <c r="T774" s="49" t="str">
        <f>IFERROR(__xludf.DUMMYFUNCTION("""COMPUTED_VALUE"""),"meaning")</f>
        <v>meaning</v>
      </c>
      <c r="U774" s="49"/>
      <c r="V774" s="49"/>
      <c r="W774" s="49" t="str">
        <f>IFERROR(__xludf.DUMMYFUNCTION("""COMPUTED_VALUE"""),"mclaughlin")</f>
        <v>mclaughlin</v>
      </c>
      <c r="X774" s="49" t="str">
        <f t="shared" si="3"/>
        <v>hitchcock,</v>
      </c>
      <c r="Y774" s="49"/>
      <c r="Z774" s="1" t="s">
        <v>4185</v>
      </c>
      <c r="AA774" s="1" t="s">
        <v>1070</v>
      </c>
      <c r="AB774" s="49" t="str">
        <f>IFERROR(__xludf.DUMMYFUNCTION("""COMPUTED_VALUE"""),"purely")</f>
        <v>purely</v>
      </c>
      <c r="AC774" s="49"/>
      <c r="AD774" s="49" t="str">
        <f>IFERROR(__xludf.DUMMYFUNCTION("""COMPUTED_VALUE"""),"contemporary")</f>
        <v>contemporary</v>
      </c>
      <c r="AE774" s="49" t="str">
        <f>IFERROR(__xludf.DUMMYFUNCTION("""COMPUTED_VALUE"""),"virtues")</f>
        <v>virtues</v>
      </c>
      <c r="AF774" s="49" t="str">
        <f t="shared" si="4"/>
        <v>alternately,</v>
      </c>
      <c r="AG774" s="49"/>
      <c r="AH774" s="1" t="s">
        <v>853</v>
      </c>
      <c r="AI774" s="1" t="s">
        <v>379</v>
      </c>
      <c r="AJ774" s="6" t="str">
        <f>IFERROR(__xludf.DUMMYFUNCTION("""COMPUTED_VALUE"""),"doing")</f>
        <v>doing</v>
      </c>
      <c r="AK774" s="49"/>
      <c r="AL774" s="49"/>
      <c r="AM774" s="49"/>
      <c r="AN774" s="52" t="str">
        <f t="shared" si="5"/>
        <v>school,</v>
      </c>
    </row>
    <row r="775">
      <c r="A775" s="51"/>
      <c r="B775" s="50" t="s">
        <v>748</v>
      </c>
      <c r="C775" s="50" t="s">
        <v>6386</v>
      </c>
      <c r="D775" s="49" t="str">
        <f>IFERROR(__xludf.DUMMYFUNCTION("""COMPUTED_VALUE"""),"wooden")</f>
        <v>wooden</v>
      </c>
      <c r="E775" s="49"/>
      <c r="F775" s="49"/>
      <c r="G775" s="49"/>
      <c r="H775" s="54" t="str">
        <f t="shared" si="1"/>
        <v>less,</v>
      </c>
      <c r="I775" s="50"/>
      <c r="J775" s="50" t="s">
        <v>1120</v>
      </c>
      <c r="K775" s="50" t="s">
        <v>2820</v>
      </c>
      <c r="L775" s="49" t="str">
        <f>IFERROR(__xludf.DUMMYFUNCTION("""COMPUTED_VALUE"""),"thinks")</f>
        <v>thinks</v>
      </c>
      <c r="M775" s="49"/>
      <c r="N775" s="49" t="str">
        <f>IFERROR(__xludf.DUMMYFUNCTION("""COMPUTED_VALUE"""),"variety")</f>
        <v>variety</v>
      </c>
      <c r="O775" s="49" t="str">
        <f>IFERROR(__xludf.DUMMYFUNCTION("""COMPUTED_VALUE"""),"harm")</f>
        <v>harm</v>
      </c>
      <c r="P775" s="49" t="str">
        <f t="shared" si="2"/>
        <v>anyone,</v>
      </c>
      <c r="Q775" s="49"/>
      <c r="R775" s="50" t="s">
        <v>1060</v>
      </c>
      <c r="S775" s="55" t="s">
        <v>6387</v>
      </c>
      <c r="T775" s="49" t="str">
        <f>IFERROR(__xludf.DUMMYFUNCTION("""COMPUTED_VALUE"""),"fill")</f>
        <v>fill</v>
      </c>
      <c r="U775" s="49"/>
      <c r="V775" s="49"/>
      <c r="W775" s="49" t="str">
        <f>IFERROR(__xludf.DUMMYFUNCTION("""COMPUTED_VALUE"""),"layer")</f>
        <v>layer</v>
      </c>
      <c r="X775" s="49" t="str">
        <f t="shared" si="3"/>
        <v>amounts,</v>
      </c>
      <c r="Y775" s="49"/>
      <c r="Z775" s="1" t="s">
        <v>131</v>
      </c>
      <c r="AA775" s="1" t="s">
        <v>1064</v>
      </c>
      <c r="AB775" s="49" t="str">
        <f>IFERROR(__xludf.DUMMYFUNCTION("""COMPUTED_VALUE"""),"offensive")</f>
        <v>offensive</v>
      </c>
      <c r="AC775" s="49"/>
      <c r="AD775" s="49" t="str">
        <f>IFERROR(__xludf.DUMMYFUNCTION("""COMPUTED_VALUE"""),"variety")</f>
        <v>variety</v>
      </c>
      <c r="AE775" s="49" t="str">
        <f>IFERROR(__xludf.DUMMYFUNCTION("""COMPUTED_VALUE"""),"harm")</f>
        <v>harm</v>
      </c>
      <c r="AF775" s="49" t="str">
        <f t="shared" si="4"/>
        <v>storytelling,</v>
      </c>
      <c r="AG775" s="49"/>
      <c r="AH775" s="1" t="s">
        <v>1227</v>
      </c>
      <c r="AI775" s="1" t="s">
        <v>2942</v>
      </c>
      <c r="AJ775" s="6">
        <f>IFERROR(__xludf.DUMMYFUNCTION("""COMPUTED_VALUE"""),1993.0)</f>
        <v>1993</v>
      </c>
      <c r="AK775" s="49"/>
      <c r="AL775" s="49"/>
      <c r="AM775" s="49"/>
      <c r="AN775" s="52" t="str">
        <f t="shared" si="5"/>
        <v>high,</v>
      </c>
    </row>
    <row r="776">
      <c r="A776" s="51"/>
      <c r="B776" s="50" t="s">
        <v>4636</v>
      </c>
      <c r="C776" s="50" t="s">
        <v>493</v>
      </c>
      <c r="D776" s="49" t="str">
        <f>IFERROR(__xludf.DUMMYFUNCTION("""COMPUTED_VALUE"""),"manner")</f>
        <v>manner</v>
      </c>
      <c r="E776" s="49"/>
      <c r="F776" s="49"/>
      <c r="G776" s="49"/>
      <c r="H776" s="54" t="str">
        <f t="shared" si="1"/>
        <v>lake,</v>
      </c>
      <c r="I776" s="50"/>
      <c r="J776" s="50" t="s">
        <v>1728</v>
      </c>
      <c r="K776" s="50" t="s">
        <v>2018</v>
      </c>
      <c r="L776" s="49" t="str">
        <f>IFERROR(__xludf.DUMMYFUNCTION("""COMPUTED_VALUE"""),"rewards")</f>
        <v>rewards</v>
      </c>
      <c r="M776" s="49"/>
      <c r="N776" s="49" t="str">
        <f>IFERROR(__xludf.DUMMYFUNCTION("""COMPUTED_VALUE"""),"remotely")</f>
        <v>remotely</v>
      </c>
      <c r="O776" s="49" t="str">
        <f>IFERROR(__xludf.DUMMYFUNCTION("""COMPUTED_VALUE"""),"cameo")</f>
        <v>cameo</v>
      </c>
      <c r="P776" s="49" t="str">
        <f t="shared" si="2"/>
        <v>complex,</v>
      </c>
      <c r="Q776" s="49"/>
      <c r="R776" s="50" t="s">
        <v>4517</v>
      </c>
      <c r="S776" s="55" t="s">
        <v>512</v>
      </c>
      <c r="T776" s="49" t="str">
        <f>IFERROR(__xludf.DUMMYFUNCTION("""COMPUTED_VALUE"""),"slick")</f>
        <v>slick</v>
      </c>
      <c r="U776" s="49"/>
      <c r="V776" s="49"/>
      <c r="W776" s="49" t="str">
        <f>IFERROR(__xludf.DUMMYFUNCTION("""COMPUTED_VALUE"""),"house")</f>
        <v>house</v>
      </c>
      <c r="X776" s="49" t="str">
        <f t="shared" si="3"/>
        <v>psycho,</v>
      </c>
      <c r="Y776" s="49"/>
      <c r="Z776" s="1" t="s">
        <v>2754</v>
      </c>
      <c r="AA776" s="1" t="s">
        <v>2313</v>
      </c>
      <c r="AB776" s="49" t="str">
        <f>IFERROR(__xludf.DUMMYFUNCTION("""COMPUTED_VALUE"""),"vulgar")</f>
        <v>vulgar</v>
      </c>
      <c r="AC776" s="49"/>
      <c r="AD776" s="49" t="str">
        <f>IFERROR(__xludf.DUMMYFUNCTION("""COMPUTED_VALUE"""),"remotely")</f>
        <v>remotely</v>
      </c>
      <c r="AE776" s="49" t="str">
        <f>IFERROR(__xludf.DUMMYFUNCTION("""COMPUTED_VALUE"""),"cameo")</f>
        <v>cameo</v>
      </c>
      <c r="AF776" s="49" t="str">
        <f t="shared" si="4"/>
        <v>demanding,</v>
      </c>
      <c r="AG776" s="49"/>
      <c r="AH776" s="1" t="s">
        <v>983</v>
      </c>
      <c r="AI776" s="1" t="s">
        <v>2683</v>
      </c>
      <c r="AJ776" s="6" t="str">
        <f>IFERROR(__xludf.DUMMYFUNCTION("""COMPUTED_VALUE"""),"provided")</f>
        <v>provided</v>
      </c>
      <c r="AK776" s="49"/>
      <c r="AL776" s="49"/>
      <c r="AM776" s="49"/>
      <c r="AN776" s="52" t="str">
        <f t="shared" si="5"/>
        <v>near,</v>
      </c>
    </row>
    <row r="777">
      <c r="A777" s="51"/>
      <c r="B777" s="50" t="s">
        <v>6676</v>
      </c>
      <c r="C777" s="50" t="s">
        <v>332</v>
      </c>
      <c r="D777" s="49" t="str">
        <f>IFERROR(__xludf.DUMMYFUNCTION("""COMPUTED_VALUE"""),"brothers")</f>
        <v>brothers</v>
      </c>
      <c r="E777" s="49"/>
      <c r="F777" s="49"/>
      <c r="G777" s="49"/>
      <c r="H777" s="54" t="str">
        <f t="shared" si="1"/>
        <v>scott,</v>
      </c>
      <c r="I777" s="50"/>
      <c r="J777" s="50" t="s">
        <v>2160</v>
      </c>
      <c r="K777" s="50" t="s">
        <v>2022</v>
      </c>
      <c r="L777" s="49" t="str">
        <f>IFERROR(__xludf.DUMMYFUNCTION("""COMPUTED_VALUE"""),"angelina")</f>
        <v>angelina</v>
      </c>
      <c r="M777" s="49"/>
      <c r="N777" s="49" t="str">
        <f>IFERROR(__xludf.DUMMYFUNCTION("""COMPUTED_VALUE"""),"staggering")</f>
        <v>staggering</v>
      </c>
      <c r="O777" s="49" t="str">
        <f>IFERROR(__xludf.DUMMYFUNCTION("""COMPUTED_VALUE"""),"abyss")</f>
        <v>abyss</v>
      </c>
      <c r="P777" s="49" t="str">
        <f t="shared" si="2"/>
        <v>painful,</v>
      </c>
      <c r="Q777" s="49"/>
      <c r="R777" s="50" t="s">
        <v>433</v>
      </c>
      <c r="S777" s="55" t="s">
        <v>358</v>
      </c>
      <c r="T777" s="49" t="str">
        <f>IFERROR(__xludf.DUMMYFUNCTION("""COMPUTED_VALUE"""),"homicide")</f>
        <v>homicide</v>
      </c>
      <c r="U777" s="49"/>
      <c r="V777" s="49"/>
      <c r="W777" s="49" t="str">
        <f>IFERROR(__xludf.DUMMYFUNCTION("""COMPUTED_VALUE"""),"commerce")</f>
        <v>commerce</v>
      </c>
      <c r="X777" s="49" t="str">
        <f t="shared" si="3"/>
        <v>relentless,</v>
      </c>
      <c r="Y777" s="49"/>
      <c r="Z777" s="1" t="s">
        <v>2559</v>
      </c>
      <c r="AA777" s="1" t="s">
        <v>935</v>
      </c>
      <c r="AB777" s="49" t="str">
        <f>IFERROR(__xludf.DUMMYFUNCTION("""COMPUTED_VALUE"""),"references")</f>
        <v>references</v>
      </c>
      <c r="AC777" s="49"/>
      <c r="AD777" s="49" t="str">
        <f>IFERROR(__xludf.DUMMYFUNCTION("""COMPUTED_VALUE"""),"staggering")</f>
        <v>staggering</v>
      </c>
      <c r="AE777" s="49" t="str">
        <f>IFERROR(__xludf.DUMMYFUNCTION("""COMPUTED_VALUE"""),"abyss")</f>
        <v>abyss</v>
      </c>
      <c r="AF777" s="49" t="str">
        <f t="shared" si="4"/>
        <v>stupid,</v>
      </c>
      <c r="AG777" s="49"/>
      <c r="AH777" s="1" t="s">
        <v>908</v>
      </c>
      <c r="AI777" s="1" t="s">
        <v>1580</v>
      </c>
      <c r="AJ777" s="6" t="str">
        <f>IFERROR(__xludf.DUMMYFUNCTION("""COMPUTED_VALUE"""),"cold")</f>
        <v>cold</v>
      </c>
      <c r="AK777" s="49"/>
      <c r="AL777" s="49"/>
      <c r="AM777" s="49"/>
      <c r="AN777" s="52" t="str">
        <f t="shared" si="5"/>
        <v>having,</v>
      </c>
    </row>
    <row r="778">
      <c r="A778" s="51"/>
      <c r="B778" s="50" t="s">
        <v>6956</v>
      </c>
      <c r="C778" s="50" t="s">
        <v>6388</v>
      </c>
      <c r="D778" s="49" t="str">
        <f>IFERROR(__xludf.DUMMYFUNCTION("""COMPUTED_VALUE"""),"miss")</f>
        <v>miss</v>
      </c>
      <c r="E778" s="49"/>
      <c r="F778" s="49"/>
      <c r="G778" s="49"/>
      <c r="H778" s="54" t="str">
        <f t="shared" si="1"/>
        <v>removed,</v>
      </c>
      <c r="I778" s="50"/>
      <c r="J778" s="50" t="s">
        <v>3236</v>
      </c>
      <c r="K778" s="50" t="s">
        <v>2016</v>
      </c>
      <c r="L778" s="49" t="str">
        <f>IFERROR(__xludf.DUMMYFUNCTION("""COMPUTED_VALUE"""),"screenings")</f>
        <v>screenings</v>
      </c>
      <c r="M778" s="49"/>
      <c r="N778" s="49" t="str">
        <f>IFERROR(__xludf.DUMMYFUNCTION("""COMPUTED_VALUE"""),"spring")</f>
        <v>spring</v>
      </c>
      <c r="O778" s="49" t="str">
        <f>IFERROR(__xludf.DUMMYFUNCTION("""COMPUTED_VALUE"""),"sinks")</f>
        <v>sinks</v>
      </c>
      <c r="P778" s="49" t="str">
        <f t="shared" si="2"/>
        <v>critical,</v>
      </c>
      <c r="Q778" s="49"/>
      <c r="R778" s="50" t="s">
        <v>3826</v>
      </c>
      <c r="S778" s="55" t="s">
        <v>1314</v>
      </c>
      <c r="T778" s="49" t="str">
        <f>IFERROR(__xludf.DUMMYFUNCTION("""COMPUTED_VALUE"""),"half")</f>
        <v>half</v>
      </c>
      <c r="U778" s="49"/>
      <c r="V778" s="49"/>
      <c r="W778" s="49" t="str">
        <f>IFERROR(__xludf.DUMMYFUNCTION("""COMPUTED_VALUE"""),"subtly")</f>
        <v>subtly</v>
      </c>
      <c r="X778" s="49" t="str">
        <f t="shared" si="3"/>
        <v>connection,</v>
      </c>
      <c r="Y778" s="49"/>
      <c r="Z778" s="1" t="s">
        <v>1370</v>
      </c>
      <c r="AA778" s="1" t="s">
        <v>791</v>
      </c>
      <c r="AB778" s="49" t="str">
        <f>IFERROR(__xludf.DUMMYFUNCTION("""COMPUTED_VALUE"""),"opaque")</f>
        <v>opaque</v>
      </c>
      <c r="AC778" s="49"/>
      <c r="AD778" s="49" t="str">
        <f>IFERROR(__xludf.DUMMYFUNCTION("""COMPUTED_VALUE"""),"spring")</f>
        <v>spring</v>
      </c>
      <c r="AE778" s="49" t="str">
        <f>IFERROR(__xludf.DUMMYFUNCTION("""COMPUTED_VALUE"""),"sinks")</f>
        <v>sinks</v>
      </c>
      <c r="AF778" s="49" t="str">
        <f t="shared" si="4"/>
        <v>fun,</v>
      </c>
      <c r="AG778" s="49"/>
      <c r="AH778" s="1" t="s">
        <v>6586</v>
      </c>
      <c r="AI778" s="1" t="s">
        <v>2956</v>
      </c>
      <c r="AJ778" s="6" t="str">
        <f>IFERROR(__xludf.DUMMYFUNCTION("""COMPUTED_VALUE"""),"sex")</f>
        <v>sex</v>
      </c>
      <c r="AK778" s="49"/>
      <c r="AL778" s="49"/>
      <c r="AM778" s="49"/>
      <c r="AN778" s="52" t="str">
        <f t="shared" si="5"/>
        <v>blood,</v>
      </c>
    </row>
    <row r="779">
      <c r="A779" s="51"/>
      <c r="B779" s="50" t="s">
        <v>6927</v>
      </c>
      <c r="C779" s="50" t="s">
        <v>408</v>
      </c>
      <c r="D779" s="49" t="str">
        <f>IFERROR(__xludf.DUMMYFUNCTION("""COMPUTED_VALUE"""),"outstanding")</f>
        <v>outstanding</v>
      </c>
      <c r="E779" s="49"/>
      <c r="F779" s="49"/>
      <c r="G779" s="49"/>
      <c r="H779" s="54" t="str">
        <f t="shared" si="1"/>
        <v>recently,</v>
      </c>
      <c r="I779" s="50"/>
      <c r="J779" s="50" t="s">
        <v>3494</v>
      </c>
      <c r="K779" s="50" t="s">
        <v>2824</v>
      </c>
      <c r="L779" s="49" t="str">
        <f>IFERROR(__xludf.DUMMYFUNCTION("""COMPUTED_VALUE"""),"dedicated")</f>
        <v>dedicated</v>
      </c>
      <c r="M779" s="49"/>
      <c r="N779" s="49" t="str">
        <f>IFERROR(__xludf.DUMMYFUNCTION("""COMPUTED_VALUE"""),"pieces")</f>
        <v>pieces</v>
      </c>
      <c r="O779" s="49" t="str">
        <f>IFERROR(__xludf.DUMMYFUNCTION("""COMPUTED_VALUE"""),"eroded")</f>
        <v>eroded</v>
      </c>
      <c r="P779" s="49" t="str">
        <f t="shared" si="2"/>
        <v>ai,</v>
      </c>
      <c r="Q779" s="49"/>
      <c r="R779" s="50" t="s">
        <v>4036</v>
      </c>
      <c r="S779" s="55" t="s">
        <v>467</v>
      </c>
      <c r="T779" s="49" t="str">
        <f>IFERROR(__xludf.DUMMYFUNCTION("""COMPUTED_VALUE"""),"separation")</f>
        <v>separation</v>
      </c>
      <c r="U779" s="49"/>
      <c r="V779" s="49"/>
      <c r="W779" s="49" t="str">
        <f>IFERROR(__xludf.DUMMYFUNCTION("""COMPUTED_VALUE"""),"combines")</f>
        <v>combines</v>
      </c>
      <c r="X779" s="49" t="str">
        <f t="shared" si="3"/>
        <v>budget,</v>
      </c>
      <c r="Y779" s="49"/>
      <c r="Z779" s="1" t="s">
        <v>434</v>
      </c>
      <c r="AA779" s="1" t="s">
        <v>3364</v>
      </c>
      <c r="AB779" s="49" t="str">
        <f>IFERROR(__xludf.DUMMYFUNCTION("""COMPUTED_VALUE"""),"marvelous")</f>
        <v>marvelous</v>
      </c>
      <c r="AC779" s="49"/>
      <c r="AD779" s="49" t="str">
        <f>IFERROR(__xludf.DUMMYFUNCTION("""COMPUTED_VALUE"""),"pieces")</f>
        <v>pieces</v>
      </c>
      <c r="AE779" s="49" t="str">
        <f>IFERROR(__xludf.DUMMYFUNCTION("""COMPUTED_VALUE"""),"eroded")</f>
        <v>eroded</v>
      </c>
      <c r="AF779" s="49" t="str">
        <f t="shared" si="4"/>
        <v>anything,</v>
      </c>
      <c r="AG779" s="49"/>
      <c r="AH779" s="1" t="s">
        <v>797</v>
      </c>
      <c r="AI779" s="1" t="s">
        <v>6382</v>
      </c>
      <c r="AJ779" s="6" t="str">
        <f>IFERROR(__xludf.DUMMYFUNCTION("""COMPUTED_VALUE"""),"watching")</f>
        <v>watching</v>
      </c>
      <c r="AK779" s="49"/>
      <c r="AL779" s="49"/>
      <c r="AM779" s="49"/>
      <c r="AN779" s="52" t="str">
        <f t="shared" si="5"/>
        <v>video,</v>
      </c>
    </row>
    <row r="780">
      <c r="A780" s="51"/>
      <c r="B780" s="50" t="s">
        <v>3805</v>
      </c>
      <c r="C780" s="50" t="s">
        <v>1614</v>
      </c>
      <c r="D780" s="49" t="str">
        <f>IFERROR(__xludf.DUMMYFUNCTION("""COMPUTED_VALUE"""),"writing")</f>
        <v>writing</v>
      </c>
      <c r="E780" s="49"/>
      <c r="F780" s="49"/>
      <c r="G780" s="49"/>
      <c r="H780" s="54" t="str">
        <f t="shared" si="1"/>
        <v>1970s,</v>
      </c>
      <c r="I780" s="50"/>
      <c r="J780" s="50" t="s">
        <v>3621</v>
      </c>
      <c r="K780" s="50" t="s">
        <v>800</v>
      </c>
      <c r="L780" s="49" t="str">
        <f>IFERROR(__xludf.DUMMYFUNCTION("""COMPUTED_VALUE"""),"stay")</f>
        <v>stay</v>
      </c>
      <c r="M780" s="49"/>
      <c r="N780" s="49" t="str">
        <f>IFERROR(__xludf.DUMMYFUNCTION("""COMPUTED_VALUE"""),"divert")</f>
        <v>divert</v>
      </c>
      <c r="O780" s="49" t="str">
        <f>IFERROR(__xludf.DUMMYFUNCTION("""COMPUTED_VALUE"""),"madonna")</f>
        <v>madonna</v>
      </c>
      <c r="P780" s="49" t="str">
        <f t="shared" si="2"/>
        <v>stretch,</v>
      </c>
      <c r="Q780" s="49"/>
      <c r="R780" s="50" t="s">
        <v>1939</v>
      </c>
      <c r="S780" s="55" t="s">
        <v>2570</v>
      </c>
      <c r="T780" s="49" t="str">
        <f>IFERROR(__xludf.DUMMYFUNCTION("""COMPUTED_VALUE"""),"nor")</f>
        <v>nor</v>
      </c>
      <c r="U780" s="49"/>
      <c r="V780" s="49"/>
      <c r="W780" s="49" t="str">
        <f>IFERROR(__xludf.DUMMYFUNCTION("""COMPUTED_VALUE"""),"thirst")</f>
        <v>thirst</v>
      </c>
      <c r="X780" s="49" t="str">
        <f t="shared" si="3"/>
        <v>emerging,</v>
      </c>
      <c r="Y780" s="49"/>
      <c r="Z780" s="1" t="s">
        <v>1420</v>
      </c>
      <c r="AA780" s="1">
        <v>20.0</v>
      </c>
      <c r="AB780" s="49" t="str">
        <f>IFERROR(__xludf.DUMMYFUNCTION("""COMPUTED_VALUE"""),"punishment")</f>
        <v>punishment</v>
      </c>
      <c r="AC780" s="49"/>
      <c r="AD780" s="49" t="str">
        <f>IFERROR(__xludf.DUMMYFUNCTION("""COMPUTED_VALUE"""),"divert")</f>
        <v>divert</v>
      </c>
      <c r="AE780" s="49" t="str">
        <f>IFERROR(__xludf.DUMMYFUNCTION("""COMPUTED_VALUE"""),"madonna")</f>
        <v>madonna</v>
      </c>
      <c r="AF780" s="49" t="str">
        <f t="shared" si="4"/>
        <v>members,</v>
      </c>
      <c r="AG780" s="49"/>
      <c r="AH780" s="1" t="s">
        <v>4114</v>
      </c>
      <c r="AI780" s="1" t="s">
        <v>2706</v>
      </c>
      <c r="AJ780" s="6" t="str">
        <f>IFERROR(__xludf.DUMMYFUNCTION("""COMPUTED_VALUE"""),"kids")</f>
        <v>kids</v>
      </c>
      <c r="AK780" s="49"/>
      <c r="AL780" s="49"/>
      <c r="AM780" s="49"/>
      <c r="AN780" s="52" t="str">
        <f t="shared" si="5"/>
        <v>event,</v>
      </c>
    </row>
    <row r="781">
      <c r="A781" s="51"/>
      <c r="B781" s="50" t="s">
        <v>987</v>
      </c>
      <c r="C781" s="50" t="s">
        <v>2335</v>
      </c>
      <c r="D781" s="49" t="str">
        <f>IFERROR(__xludf.DUMMYFUNCTION("""COMPUTED_VALUE"""),"excitement")</f>
        <v>excitement</v>
      </c>
      <c r="E781" s="49"/>
      <c r="F781" s="49"/>
      <c r="G781" s="49"/>
      <c r="H781" s="54" t="str">
        <f t="shared" si="1"/>
        <v>comedy,</v>
      </c>
      <c r="I781" s="50"/>
      <c r="J781" s="50" t="s">
        <v>5968</v>
      </c>
      <c r="K781" s="50" t="s">
        <v>3376</v>
      </c>
      <c r="L781" s="49" t="str">
        <f>IFERROR(__xludf.DUMMYFUNCTION("""COMPUTED_VALUE"""),"sands")</f>
        <v>sands</v>
      </c>
      <c r="M781" s="49"/>
      <c r="N781" s="49" t="str">
        <f>IFERROR(__xludf.DUMMYFUNCTION("""COMPUTED_VALUE"""),"landmark")</f>
        <v>landmark</v>
      </c>
      <c r="O781" s="49" t="str">
        <f>IFERROR(__xludf.DUMMYFUNCTION("""COMPUTED_VALUE"""),"rhythm")</f>
        <v>rhythm</v>
      </c>
      <c r="P781" s="49" t="str">
        <f t="shared" si="2"/>
        <v>vacation,</v>
      </c>
      <c r="Q781" s="49"/>
      <c r="R781" s="50" t="s">
        <v>7289</v>
      </c>
      <c r="S781" s="55" t="s">
        <v>1788</v>
      </c>
      <c r="T781" s="49" t="str">
        <f>IFERROR(__xludf.DUMMYFUNCTION("""COMPUTED_VALUE"""),"crucial")</f>
        <v>crucial</v>
      </c>
      <c r="U781" s="49"/>
      <c r="V781" s="49"/>
      <c r="W781" s="49" t="str">
        <f>IFERROR(__xludf.DUMMYFUNCTION("""COMPUTED_VALUE"""),"provoke")</f>
        <v>provoke</v>
      </c>
      <c r="X781" s="49" t="str">
        <f t="shared" si="3"/>
        <v>bon,</v>
      </c>
      <c r="Y781" s="49"/>
      <c r="Z781" s="1" t="s">
        <v>2731</v>
      </c>
      <c r="AA781" s="1" t="s">
        <v>2329</v>
      </c>
      <c r="AB781" s="49" t="str">
        <f>IFERROR(__xludf.DUMMYFUNCTION("""COMPUTED_VALUE"""),"keeping")</f>
        <v>keeping</v>
      </c>
      <c r="AC781" s="49"/>
      <c r="AD781" s="49" t="str">
        <f>IFERROR(__xludf.DUMMYFUNCTION("""COMPUTED_VALUE"""),"landmark")</f>
        <v>landmark</v>
      </c>
      <c r="AE781" s="49" t="str">
        <f>IFERROR(__xludf.DUMMYFUNCTION("""COMPUTED_VALUE"""),"rhythm")</f>
        <v>rhythm</v>
      </c>
      <c r="AF781" s="49" t="str">
        <f t="shared" si="4"/>
        <v>violent,</v>
      </c>
      <c r="AG781" s="49"/>
      <c r="AH781" s="1" t="s">
        <v>297</v>
      </c>
      <c r="AI781" s="1" t="s">
        <v>1608</v>
      </c>
      <c r="AJ781" s="6" t="str">
        <f>IFERROR(__xludf.DUMMYFUNCTION("""COMPUTED_VALUE"""),"killing")</f>
        <v>killing</v>
      </c>
      <c r="AK781" s="49"/>
      <c r="AL781" s="49"/>
      <c r="AM781" s="49"/>
      <c r="AN781" s="52" t="str">
        <f t="shared" si="5"/>
        <v>doing,</v>
      </c>
    </row>
    <row r="782">
      <c r="A782" s="51"/>
      <c r="B782" s="50" t="s">
        <v>5389</v>
      </c>
      <c r="C782" s="50" t="s">
        <v>641</v>
      </c>
      <c r="D782" s="49" t="str">
        <f>IFERROR(__xludf.DUMMYFUNCTION("""COMPUTED_VALUE"""),"empty")</f>
        <v>empty</v>
      </c>
      <c r="E782" s="49"/>
      <c r="F782" s="49"/>
      <c r="G782" s="49"/>
      <c r="H782" s="54" t="str">
        <f t="shared" si="1"/>
        <v>entry,</v>
      </c>
      <c r="I782" s="50"/>
      <c r="J782" s="50" t="s">
        <v>1258</v>
      </c>
      <c r="K782" s="50" t="s">
        <v>448</v>
      </c>
      <c r="L782" s="49" t="str">
        <f>IFERROR(__xludf.DUMMYFUNCTION("""COMPUTED_VALUE"""),"chance")</f>
        <v>chance</v>
      </c>
      <c r="M782" s="49"/>
      <c r="N782" s="49" t="str">
        <f>IFERROR(__xludf.DUMMYFUNCTION("""COMPUTED_VALUE"""),"whip")</f>
        <v>whip</v>
      </c>
      <c r="O782" s="49" t="str">
        <f>IFERROR(__xludf.DUMMYFUNCTION("""COMPUTED_VALUE"""),"comprehend")</f>
        <v>comprehend</v>
      </c>
      <c r="P782" s="49" t="str">
        <f t="shared" si="2"/>
        <v>known,</v>
      </c>
      <c r="Q782" s="49"/>
      <c r="R782" s="50" t="s">
        <v>249</v>
      </c>
      <c r="S782" s="55" t="s">
        <v>1848</v>
      </c>
      <c r="T782" s="49" t="str">
        <f>IFERROR(__xludf.DUMMYFUNCTION("""COMPUTED_VALUE"""),"believing")</f>
        <v>believing</v>
      </c>
      <c r="U782" s="49"/>
      <c r="V782" s="49"/>
      <c r="W782" s="49" t="str">
        <f>IFERROR(__xludf.DUMMYFUNCTION("""COMPUTED_VALUE"""),"former")</f>
        <v>former</v>
      </c>
      <c r="X782" s="49" t="str">
        <f t="shared" si="3"/>
        <v>personal,</v>
      </c>
      <c r="Y782" s="49"/>
      <c r="Z782" s="1" t="s">
        <v>2106</v>
      </c>
      <c r="AA782" s="1" t="s">
        <v>3377</v>
      </c>
      <c r="AB782" s="49" t="str">
        <f>IFERROR(__xludf.DUMMYFUNCTION("""COMPUTED_VALUE"""),"pacing")</f>
        <v>pacing</v>
      </c>
      <c r="AC782" s="49"/>
      <c r="AD782" s="49" t="str">
        <f>IFERROR(__xludf.DUMMYFUNCTION("""COMPUTED_VALUE"""),"whip")</f>
        <v>whip</v>
      </c>
      <c r="AE782" s="49" t="str">
        <f>IFERROR(__xludf.DUMMYFUNCTION("""COMPUTED_VALUE"""),"comprehend")</f>
        <v>comprehend</v>
      </c>
      <c r="AF782" s="49" t="str">
        <f t="shared" si="4"/>
        <v>souls,</v>
      </c>
      <c r="AG782" s="49"/>
      <c r="AH782" s="1">
        <v>1993.0</v>
      </c>
      <c r="AI782" s="1" t="s">
        <v>6366</v>
      </c>
      <c r="AJ782" s="6" t="str">
        <f>IFERROR(__xludf.DUMMYFUNCTION("""COMPUTED_VALUE"""),"drugs")</f>
        <v>drugs</v>
      </c>
      <c r="AK782" s="49"/>
      <c r="AL782" s="49"/>
      <c r="AM782" s="49"/>
      <c r="AN782" s="52" t="str">
        <f t="shared" si="5"/>
        <v>1993,</v>
      </c>
    </row>
    <row r="783">
      <c r="A783" s="51"/>
      <c r="B783" s="50" t="s">
        <v>6530</v>
      </c>
      <c r="C783" s="50" t="s">
        <v>2802</v>
      </c>
      <c r="D783" s="49" t="str">
        <f>IFERROR(__xludf.DUMMYFUNCTION("""COMPUTED_VALUE"""),"problems")</f>
        <v>problems</v>
      </c>
      <c r="E783" s="49"/>
      <c r="F783" s="49"/>
      <c r="G783" s="49"/>
      <c r="H783" s="54" t="str">
        <f t="shared" si="1"/>
        <v>claims,</v>
      </c>
      <c r="I783" s="50"/>
      <c r="J783" s="50" t="s">
        <v>7105</v>
      </c>
      <c r="K783" s="50" t="s">
        <v>2026</v>
      </c>
      <c r="L783" s="49" t="str">
        <f>IFERROR(__xludf.DUMMYFUNCTION("""COMPUTED_VALUE"""),"projects")</f>
        <v>projects</v>
      </c>
      <c r="M783" s="49"/>
      <c r="N783" s="49" t="str">
        <f>IFERROR(__xludf.DUMMYFUNCTION("""COMPUTED_VALUE"""),"forms")</f>
        <v>forms</v>
      </c>
      <c r="O783" s="49" t="str">
        <f>IFERROR(__xludf.DUMMYFUNCTION("""COMPUTED_VALUE"""),"lifts")</f>
        <v>lifts</v>
      </c>
      <c r="P783" s="49" t="str">
        <f t="shared" si="2"/>
        <v>everybody,</v>
      </c>
      <c r="Q783" s="49"/>
      <c r="R783" s="50" t="s">
        <v>3677</v>
      </c>
      <c r="S783" s="55" t="s">
        <v>1506</v>
      </c>
      <c r="T783" s="49" t="str">
        <f>IFERROR(__xludf.DUMMYFUNCTION("""COMPUTED_VALUE"""),"store")</f>
        <v>store</v>
      </c>
      <c r="U783" s="49"/>
      <c r="V783" s="49"/>
      <c r="W783" s="49" t="str">
        <f>IFERROR(__xludf.DUMMYFUNCTION("""COMPUTED_VALUE"""),"blackout")</f>
        <v>blackout</v>
      </c>
      <c r="X783" s="49" t="str">
        <f t="shared" si="3"/>
        <v>feeling,</v>
      </c>
      <c r="Y783" s="49"/>
      <c r="Z783" s="1" t="s">
        <v>1914</v>
      </c>
      <c r="AA783" s="1" t="s">
        <v>678</v>
      </c>
      <c r="AB783" s="49" t="str">
        <f>IFERROR(__xludf.DUMMYFUNCTION("""COMPUTED_VALUE"""),"achievement")</f>
        <v>achievement</v>
      </c>
      <c r="AC783" s="49"/>
      <c r="AD783" s="49" t="str">
        <f>IFERROR(__xludf.DUMMYFUNCTION("""COMPUTED_VALUE"""),"forms")</f>
        <v>forms</v>
      </c>
      <c r="AE783" s="49" t="str">
        <f>IFERROR(__xludf.DUMMYFUNCTION("""COMPUTED_VALUE"""),"lifts")</f>
        <v>lifts</v>
      </c>
      <c r="AF783" s="49" t="str">
        <f t="shared" si="4"/>
        <v>effects,</v>
      </c>
      <c r="AG783" s="49"/>
      <c r="AH783" s="1" t="s">
        <v>6593</v>
      </c>
      <c r="AI783" s="1" t="s">
        <v>1613</v>
      </c>
      <c r="AJ783" s="6" t="str">
        <f>IFERROR(__xludf.DUMMYFUNCTION("""COMPUTED_VALUE"""),"listening")</f>
        <v>listening</v>
      </c>
      <c r="AK783" s="49"/>
      <c r="AL783" s="49"/>
      <c r="AM783" s="49"/>
      <c r="AN783" s="52" t="str">
        <f t="shared" si="5"/>
        <v>provided,</v>
      </c>
    </row>
    <row r="784">
      <c r="A784" s="51"/>
      <c r="B784" s="50" t="s">
        <v>4680</v>
      </c>
      <c r="C784" s="50" t="s">
        <v>1022</v>
      </c>
      <c r="D784" s="49" t="str">
        <f>IFERROR(__xludf.DUMMYFUNCTION("""COMPUTED_VALUE"""),"wedding")</f>
        <v>wedding</v>
      </c>
      <c r="E784" s="49"/>
      <c r="F784" s="49"/>
      <c r="G784" s="49"/>
      <c r="H784" s="54" t="str">
        <f t="shared" si="1"/>
        <v>marks,</v>
      </c>
      <c r="I784" s="50"/>
      <c r="J784" s="50" t="s">
        <v>6384</v>
      </c>
      <c r="K784" s="50" t="s">
        <v>2029</v>
      </c>
      <c r="L784" s="49" t="str">
        <f>IFERROR(__xludf.DUMMYFUNCTION("""COMPUTED_VALUE"""),"martial")</f>
        <v>martial</v>
      </c>
      <c r="M784" s="49"/>
      <c r="N784" s="49" t="str">
        <f>IFERROR(__xludf.DUMMYFUNCTION("""COMPUTED_VALUE"""),"spin")</f>
        <v>spin</v>
      </c>
      <c r="O784" s="49" t="str">
        <f>IFERROR(__xludf.DUMMYFUNCTION("""COMPUTED_VALUE"""),"gloss")</f>
        <v>gloss</v>
      </c>
      <c r="P784" s="49" t="str">
        <f t="shared" si="2"/>
        <v>slow,</v>
      </c>
      <c r="Q784" s="49"/>
      <c r="R784" s="50" t="s">
        <v>1235</v>
      </c>
      <c r="S784" s="55" t="s">
        <v>4973</v>
      </c>
      <c r="T784" s="49" t="str">
        <f>IFERROR(__xludf.DUMMYFUNCTION("""COMPUTED_VALUE"""),"disbelief")</f>
        <v>disbelief</v>
      </c>
      <c r="U784" s="49"/>
      <c r="V784" s="49"/>
      <c r="W784" s="49" t="str">
        <f>IFERROR(__xludf.DUMMYFUNCTION("""COMPUTED_VALUE"""),"conceptual")</f>
        <v>conceptual</v>
      </c>
      <c r="X784" s="49" t="str">
        <f t="shared" si="3"/>
        <v>spark,</v>
      </c>
      <c r="Y784" s="49"/>
      <c r="Z784" s="1" t="s">
        <v>4879</v>
      </c>
      <c r="AA784" s="1" t="s">
        <v>3382</v>
      </c>
      <c r="AB784" s="49" t="str">
        <f>IFERROR(__xludf.DUMMYFUNCTION("""COMPUTED_VALUE"""),"pointless")</f>
        <v>pointless</v>
      </c>
      <c r="AC784" s="49"/>
      <c r="AD784" s="49" t="str">
        <f>IFERROR(__xludf.DUMMYFUNCTION("""COMPUTED_VALUE"""),"spin")</f>
        <v>spin</v>
      </c>
      <c r="AE784" s="49" t="str">
        <f>IFERROR(__xludf.DUMMYFUNCTION("""COMPUTED_VALUE"""),"gloss")</f>
        <v>gloss</v>
      </c>
      <c r="AF784" s="49" t="str">
        <f t="shared" si="4"/>
        <v>alien,</v>
      </c>
      <c r="AG784" s="49"/>
      <c r="AH784" s="1" t="s">
        <v>505</v>
      </c>
      <c r="AI784" s="1" t="s">
        <v>1739</v>
      </c>
      <c r="AJ784" s="6" t="str">
        <f>IFERROR(__xludf.DUMMYFUNCTION("""COMPUTED_VALUE"""),"black")</f>
        <v>black</v>
      </c>
      <c r="AK784" s="49"/>
      <c r="AL784" s="49"/>
      <c r="AM784" s="49"/>
      <c r="AN784" s="52" t="str">
        <f t="shared" si="5"/>
        <v>cold,</v>
      </c>
    </row>
    <row r="785">
      <c r="A785" s="51"/>
      <c r="B785" s="50" t="s">
        <v>276</v>
      </c>
      <c r="C785" s="50" t="s">
        <v>2808</v>
      </c>
      <c r="D785" s="49" t="str">
        <f>IFERROR(__xludf.DUMMYFUNCTION("""COMPUTED_VALUE"""),"fat")</f>
        <v>fat</v>
      </c>
      <c r="E785" s="49"/>
      <c r="F785" s="49"/>
      <c r="G785" s="49"/>
      <c r="H785" s="54" t="str">
        <f t="shared" si="1"/>
        <v>funny,</v>
      </c>
      <c r="I785" s="50"/>
      <c r="J785" s="50" t="s">
        <v>5964</v>
      </c>
      <c r="K785" s="50" t="s">
        <v>534</v>
      </c>
      <c r="L785" s="49" t="str">
        <f>IFERROR(__xludf.DUMMYFUNCTION("""COMPUTED_VALUE"""),"images")</f>
        <v>images</v>
      </c>
      <c r="M785" s="49"/>
      <c r="N785" s="49" t="str">
        <f>IFERROR(__xludf.DUMMYFUNCTION("""COMPUTED_VALUE"""),"inc")</f>
        <v>inc</v>
      </c>
      <c r="O785" s="49" t="str">
        <f>IFERROR(__xludf.DUMMYFUNCTION("""COMPUTED_VALUE"""),"regain")</f>
        <v>regain</v>
      </c>
      <c r="P785" s="49" t="str">
        <f t="shared" si="2"/>
        <v>hey,</v>
      </c>
      <c r="Q785" s="49"/>
      <c r="R785" s="50" t="s">
        <v>5262</v>
      </c>
      <c r="S785" s="55" t="s">
        <v>3291</v>
      </c>
      <c r="T785" s="49" t="str">
        <f>IFERROR(__xludf.DUMMYFUNCTION("""COMPUTED_VALUE"""),"haunting")</f>
        <v>haunting</v>
      </c>
      <c r="U785" s="49"/>
      <c r="V785" s="49"/>
      <c r="W785" s="49" t="str">
        <f>IFERROR(__xludf.DUMMYFUNCTION("""COMPUTED_VALUE"""),"somebody")</f>
        <v>somebody</v>
      </c>
      <c r="X785" s="49" t="str">
        <f t="shared" si="3"/>
        <v>turning,</v>
      </c>
      <c r="Y785" s="49"/>
      <c r="Z785" s="1" t="s">
        <v>6277</v>
      </c>
      <c r="AA785" s="1" t="s">
        <v>2332</v>
      </c>
      <c r="AB785" s="49" t="str">
        <f>IFERROR(__xludf.DUMMYFUNCTION("""COMPUTED_VALUE"""),"hallmark")</f>
        <v>hallmark</v>
      </c>
      <c r="AC785" s="49"/>
      <c r="AD785" s="49" t="str">
        <f>IFERROR(__xludf.DUMMYFUNCTION("""COMPUTED_VALUE"""),"inc")</f>
        <v>inc</v>
      </c>
      <c r="AE785" s="49" t="str">
        <f>IFERROR(__xludf.DUMMYFUNCTION("""COMPUTED_VALUE"""),"regain")</f>
        <v>regain</v>
      </c>
      <c r="AF785" s="49" t="str">
        <f t="shared" si="4"/>
        <v>hollywood,</v>
      </c>
      <c r="AG785" s="49"/>
      <c r="AH785" s="1" t="s">
        <v>2528</v>
      </c>
      <c r="AI785" s="1" t="s">
        <v>6367</v>
      </c>
      <c r="AJ785" s="6" t="str">
        <f>IFERROR(__xludf.DUMMYFUNCTION("""COMPUTED_VALUE"""),"death")</f>
        <v>death</v>
      </c>
      <c r="AK785" s="49"/>
      <c r="AL785" s="49"/>
      <c r="AM785" s="49"/>
      <c r="AN785" s="52" t="str">
        <f t="shared" si="5"/>
        <v>sex,</v>
      </c>
    </row>
    <row r="786">
      <c r="A786" s="51"/>
      <c r="B786" s="50" t="s">
        <v>1420</v>
      </c>
      <c r="C786" s="50" t="s">
        <v>5935</v>
      </c>
      <c r="D786" s="49" t="str">
        <f>IFERROR(__xludf.DUMMYFUNCTION("""COMPUTED_VALUE"""),"achieve")</f>
        <v>achieve</v>
      </c>
      <c r="E786" s="49"/>
      <c r="F786" s="49"/>
      <c r="G786" s="49"/>
      <c r="H786" s="54" t="str">
        <f t="shared" si="1"/>
        <v>members,</v>
      </c>
      <c r="I786" s="50"/>
      <c r="J786" s="50" t="s">
        <v>2404</v>
      </c>
      <c r="K786" s="50" t="s">
        <v>2519</v>
      </c>
      <c r="L786" s="49" t="str">
        <f>IFERROR(__xludf.DUMMYFUNCTION("""COMPUTED_VALUE"""),"legacy")</f>
        <v>legacy</v>
      </c>
      <c r="M786" s="49"/>
      <c r="N786" s="49" t="str">
        <f>IFERROR(__xludf.DUMMYFUNCTION("""COMPUTED_VALUE"""),"reef")</f>
        <v>reef</v>
      </c>
      <c r="O786" s="49" t="str">
        <f>IFERROR(__xludf.DUMMYFUNCTION("""COMPUTED_VALUE"""),"manipulation")</f>
        <v>manipulation</v>
      </c>
      <c r="P786" s="49" t="str">
        <f t="shared" si="2"/>
        <v>needs,</v>
      </c>
      <c r="Q786" s="49"/>
      <c r="R786" s="50" t="s">
        <v>5339</v>
      </c>
      <c r="S786" s="55" t="s">
        <v>1239</v>
      </c>
      <c r="T786" s="49" t="str">
        <f>IFERROR(__xludf.DUMMYFUNCTION("""COMPUTED_VALUE"""),"digital")</f>
        <v>digital</v>
      </c>
      <c r="U786" s="49"/>
      <c r="V786" s="49"/>
      <c r="W786" s="49" t="str">
        <f>IFERROR(__xludf.DUMMYFUNCTION("""COMPUTED_VALUE"""),"steady")</f>
        <v>steady</v>
      </c>
      <c r="X786" s="49" t="str">
        <f t="shared" si="3"/>
        <v>hack,</v>
      </c>
      <c r="Y786" s="49"/>
      <c r="Z786" s="1" t="s">
        <v>1958</v>
      </c>
      <c r="AA786" s="1" t="s">
        <v>1074</v>
      </c>
      <c r="AB786" s="49" t="str">
        <f>IFERROR(__xludf.DUMMYFUNCTION("""COMPUTED_VALUE"""),"shoot")</f>
        <v>shoot</v>
      </c>
      <c r="AC786" s="49"/>
      <c r="AD786" s="49" t="str">
        <f>IFERROR(__xludf.DUMMYFUNCTION("""COMPUTED_VALUE"""),"reef")</f>
        <v>reef</v>
      </c>
      <c r="AE786" s="49" t="str">
        <f>IFERROR(__xludf.DUMMYFUNCTION("""COMPUTED_VALUE"""),"manipulation")</f>
        <v>manipulation</v>
      </c>
      <c r="AF786" s="49" t="str">
        <f t="shared" si="4"/>
        <v>etc,</v>
      </c>
      <c r="AG786" s="49"/>
      <c r="AH786" s="1" t="s">
        <v>4122</v>
      </c>
      <c r="AI786" s="1" t="s">
        <v>6368</v>
      </c>
      <c r="AJ786" s="6" t="str">
        <f>IFERROR(__xludf.DUMMYFUNCTION("""COMPUTED_VALUE"""),"girl")</f>
        <v>girl</v>
      </c>
      <c r="AK786" s="49"/>
      <c r="AL786" s="49"/>
      <c r="AM786" s="49"/>
      <c r="AN786" s="52" t="str">
        <f t="shared" si="5"/>
        <v>watching,</v>
      </c>
    </row>
    <row r="787">
      <c r="A787" s="51"/>
      <c r="B787" s="50" t="s">
        <v>434</v>
      </c>
      <c r="C787" s="50" t="s">
        <v>6377</v>
      </c>
      <c r="D787" s="49" t="str">
        <f>IFERROR(__xludf.DUMMYFUNCTION("""COMPUTED_VALUE"""),"popularity")</f>
        <v>popularity</v>
      </c>
      <c r="E787" s="49"/>
      <c r="F787" s="49"/>
      <c r="G787" s="49"/>
      <c r="H787" s="54" t="str">
        <f t="shared" si="1"/>
        <v>anything,</v>
      </c>
      <c r="I787" s="50"/>
      <c r="J787" s="50" t="s">
        <v>3773</v>
      </c>
      <c r="K787" s="50" t="s">
        <v>3394</v>
      </c>
      <c r="L787" s="49" t="str">
        <f>IFERROR(__xludf.DUMMYFUNCTION("""COMPUTED_VALUE"""),"loosely")</f>
        <v>loosely</v>
      </c>
      <c r="M787" s="49"/>
      <c r="N787" s="49" t="str">
        <f>IFERROR(__xludf.DUMMYFUNCTION("""COMPUTED_VALUE"""),"marker")</f>
        <v>marker</v>
      </c>
      <c r="O787" s="49" t="str">
        <f>IFERROR(__xludf.DUMMYFUNCTION("""COMPUTED_VALUE"""),"optimism")</f>
        <v>optimism</v>
      </c>
      <c r="P787" s="49" t="str">
        <f t="shared" si="2"/>
        <v>monday,</v>
      </c>
      <c r="Q787" s="49"/>
      <c r="R787" s="50" t="s">
        <v>3445</v>
      </c>
      <c r="S787" s="55" t="s">
        <v>1853</v>
      </c>
      <c r="T787" s="49" t="str">
        <f>IFERROR(__xludf.DUMMYFUNCTION("""COMPUTED_VALUE"""),"stream")</f>
        <v>stream</v>
      </c>
      <c r="U787" s="49"/>
      <c r="V787" s="49"/>
      <c r="W787" s="49" t="str">
        <f>IFERROR(__xludf.DUMMYFUNCTION("""COMPUTED_VALUE"""),"puzzle")</f>
        <v>puzzle</v>
      </c>
      <c r="X787" s="49" t="str">
        <f t="shared" si="3"/>
        <v>allowed,</v>
      </c>
      <c r="Y787" s="49"/>
      <c r="Z787" s="1" t="s">
        <v>6403</v>
      </c>
      <c r="AA787" s="1" t="s">
        <v>685</v>
      </c>
      <c r="AB787" s="49" t="str">
        <f>IFERROR(__xludf.DUMMYFUNCTION("""COMPUTED_VALUE"""),"passionate")</f>
        <v>passionate</v>
      </c>
      <c r="AC787" s="49"/>
      <c r="AD787" s="49" t="str">
        <f>IFERROR(__xludf.DUMMYFUNCTION("""COMPUTED_VALUE"""),"marker")</f>
        <v>marker</v>
      </c>
      <c r="AE787" s="49" t="str">
        <f>IFERROR(__xludf.DUMMYFUNCTION("""COMPUTED_VALUE"""),"optimism")</f>
        <v>optimism</v>
      </c>
      <c r="AF787" s="49" t="str">
        <f t="shared" si="4"/>
        <v>doubt,</v>
      </c>
      <c r="AG787" s="49"/>
      <c r="AH787" s="1" t="s">
        <v>1840</v>
      </c>
      <c r="AI787" s="1" t="s">
        <v>1825</v>
      </c>
      <c r="AJ787" s="6" t="str">
        <f>IFERROR(__xludf.DUMMYFUNCTION("""COMPUTED_VALUE"""),"says")</f>
        <v>says</v>
      </c>
      <c r="AK787" s="49"/>
      <c r="AL787" s="49"/>
      <c r="AM787" s="49"/>
      <c r="AN787" s="52" t="str">
        <f t="shared" si="5"/>
        <v>kids,</v>
      </c>
    </row>
    <row r="788">
      <c r="A788" s="51"/>
      <c r="B788" s="50" t="s">
        <v>6193</v>
      </c>
      <c r="C788" s="50" t="s">
        <v>1657</v>
      </c>
      <c r="D788" s="49" t="str">
        <f>IFERROR(__xludf.DUMMYFUNCTION("""COMPUTED_VALUE"""),"male")</f>
        <v>male</v>
      </c>
      <c r="E788" s="49"/>
      <c r="F788" s="49"/>
      <c r="G788" s="49"/>
      <c r="H788" s="54" t="str">
        <f t="shared" si="1"/>
        <v>tonight,</v>
      </c>
      <c r="I788" s="50"/>
      <c r="J788" s="50" t="s">
        <v>4734</v>
      </c>
      <c r="K788" s="50" t="s">
        <v>456</v>
      </c>
      <c r="L788" s="49" t="str">
        <f>IFERROR(__xludf.DUMMYFUNCTION("""COMPUTED_VALUE"""),"depression")</f>
        <v>depression</v>
      </c>
      <c r="M788" s="49"/>
      <c r="N788" s="49" t="str">
        <f>IFERROR(__xludf.DUMMYFUNCTION("""COMPUTED_VALUE"""),"dustin")</f>
        <v>dustin</v>
      </c>
      <c r="O788" s="49" t="str">
        <f>IFERROR(__xludf.DUMMYFUNCTION("""COMPUTED_VALUE"""),"hughes")</f>
        <v>hughes</v>
      </c>
      <c r="P788" s="49" t="str">
        <f t="shared" si="2"/>
        <v>novels,</v>
      </c>
      <c r="Q788" s="49"/>
      <c r="R788" s="50" t="s">
        <v>3130</v>
      </c>
      <c r="S788" s="55" t="s">
        <v>1802</v>
      </c>
      <c r="T788" s="49" t="str">
        <f>IFERROR(__xludf.DUMMYFUNCTION("""COMPUTED_VALUE"""),"numb")</f>
        <v>numb</v>
      </c>
      <c r="U788" s="49"/>
      <c r="V788" s="49"/>
      <c r="W788" s="49" t="str">
        <f>IFERROR(__xludf.DUMMYFUNCTION("""COMPUTED_VALUE"""),"boys")</f>
        <v>boys</v>
      </c>
      <c r="X788" s="49" t="str">
        <f t="shared" si="3"/>
        <v>shoulders,</v>
      </c>
      <c r="Y788" s="49"/>
      <c r="Z788" s="1" t="s">
        <v>2449</v>
      </c>
      <c r="AA788" s="1" t="s">
        <v>3395</v>
      </c>
      <c r="AB788" s="49" t="str">
        <f>IFERROR(__xludf.DUMMYFUNCTION("""COMPUTED_VALUE"""),"anime")</f>
        <v>anime</v>
      </c>
      <c r="AC788" s="49"/>
      <c r="AD788" s="49" t="str">
        <f>IFERROR(__xludf.DUMMYFUNCTION("""COMPUTED_VALUE"""),"dustin")</f>
        <v>dustin</v>
      </c>
      <c r="AE788" s="49" t="str">
        <f>IFERROR(__xludf.DUMMYFUNCTION("""COMPUTED_VALUE"""),"hughes")</f>
        <v>hughes</v>
      </c>
      <c r="AF788" s="49" t="str">
        <f t="shared" si="4"/>
        <v>begins,</v>
      </c>
      <c r="AG788" s="49"/>
      <c r="AH788" s="1" t="s">
        <v>6038</v>
      </c>
      <c r="AI788" s="1" t="s">
        <v>2368</v>
      </c>
      <c r="AJ788" s="6" t="str">
        <f>IFERROR(__xludf.DUMMYFUNCTION("""COMPUTED_VALUE"""),"professor")</f>
        <v>professor</v>
      </c>
      <c r="AK788" s="49"/>
      <c r="AL788" s="49"/>
      <c r="AM788" s="49"/>
      <c r="AN788" s="52" t="str">
        <f t="shared" si="5"/>
        <v>killing,</v>
      </c>
    </row>
    <row r="789">
      <c r="A789" s="51"/>
      <c r="B789" s="50" t="s">
        <v>7054</v>
      </c>
      <c r="C789" s="50" t="s">
        <v>3080</v>
      </c>
      <c r="D789" s="49" t="str">
        <f>IFERROR(__xludf.DUMMYFUNCTION("""COMPUTED_VALUE"""),"era")</f>
        <v>era</v>
      </c>
      <c r="E789" s="49"/>
      <c r="F789" s="49"/>
      <c r="G789" s="49"/>
      <c r="H789" s="54" t="str">
        <f t="shared" si="1"/>
        <v>calling,</v>
      </c>
      <c r="I789" s="50"/>
      <c r="J789" s="50" t="s">
        <v>1924</v>
      </c>
      <c r="K789" s="50" t="s">
        <v>2034</v>
      </c>
      <c r="L789" s="49" t="str">
        <f>IFERROR(__xludf.DUMMYFUNCTION("""COMPUTED_VALUE"""),"cousin")</f>
        <v>cousin</v>
      </c>
      <c r="M789" s="49"/>
      <c r="N789" s="49" t="str">
        <f>IFERROR(__xludf.DUMMYFUNCTION("""COMPUTED_VALUE"""),"unpleasant")</f>
        <v>unpleasant</v>
      </c>
      <c r="O789" s="49" t="str">
        <f>IFERROR(__xludf.DUMMYFUNCTION("""COMPUTED_VALUE"""),"elder")</f>
        <v>elder</v>
      </c>
      <c r="P789" s="49" t="str">
        <f t="shared" si="2"/>
        <v>ability,</v>
      </c>
      <c r="Q789" s="49"/>
      <c r="R789" s="50" t="s">
        <v>4558</v>
      </c>
      <c r="S789" s="55" t="s">
        <v>217</v>
      </c>
      <c r="T789" s="49" t="str">
        <f>IFERROR(__xludf.DUMMYFUNCTION("""COMPUTED_VALUE"""),"christianity")</f>
        <v>christianity</v>
      </c>
      <c r="U789" s="49"/>
      <c r="V789" s="49"/>
      <c r="W789" s="49" t="str">
        <f>IFERROR(__xludf.DUMMYFUNCTION("""COMPUTED_VALUE"""),"sorority")</f>
        <v>sorority</v>
      </c>
      <c r="X789" s="49" t="str">
        <f t="shared" si="3"/>
        <v>performing,</v>
      </c>
      <c r="Y789" s="49"/>
      <c r="Z789" s="1" t="s">
        <v>92</v>
      </c>
      <c r="AA789" s="1" t="s">
        <v>1081</v>
      </c>
      <c r="AB789" s="49" t="str">
        <f>IFERROR(__xludf.DUMMYFUNCTION("""COMPUTED_VALUE"""),"dynamic")</f>
        <v>dynamic</v>
      </c>
      <c r="AC789" s="49"/>
      <c r="AD789" s="49" t="str">
        <f>IFERROR(__xludf.DUMMYFUNCTION("""COMPUTED_VALUE"""),"unpleasant")</f>
        <v>unpleasant</v>
      </c>
      <c r="AE789" s="49" t="str">
        <f>IFERROR(__xludf.DUMMYFUNCTION("""COMPUTED_VALUE"""),"elder")</f>
        <v>elder</v>
      </c>
      <c r="AF789" s="49" t="str">
        <f t="shared" si="4"/>
        <v>compared,</v>
      </c>
      <c r="AG789" s="49"/>
      <c r="AH789" s="1" t="s">
        <v>1901</v>
      </c>
      <c r="AI789" s="1" t="s">
        <v>2722</v>
      </c>
      <c r="AJ789" s="6" t="str">
        <f>IFERROR(__xludf.DUMMYFUNCTION("""COMPUTED_VALUE"""),"none")</f>
        <v>none</v>
      </c>
      <c r="AK789" s="49"/>
      <c r="AL789" s="49"/>
      <c r="AM789" s="49"/>
      <c r="AN789" s="52" t="str">
        <f t="shared" si="5"/>
        <v>drugs,</v>
      </c>
    </row>
    <row r="790">
      <c r="A790" s="51"/>
      <c r="B790" s="50" t="s">
        <v>1370</v>
      </c>
      <c r="C790" s="50" t="s">
        <v>2828</v>
      </c>
      <c r="D790" s="49" t="str">
        <f>IFERROR(__xludf.DUMMYFUNCTION("""COMPUTED_VALUE"""),"slow")</f>
        <v>slow</v>
      </c>
      <c r="E790" s="49"/>
      <c r="F790" s="49"/>
      <c r="G790" s="49"/>
      <c r="H790" s="54" t="str">
        <f t="shared" si="1"/>
        <v>fun,</v>
      </c>
      <c r="I790" s="50"/>
      <c r="J790" s="50" t="s">
        <v>808</v>
      </c>
      <c r="K790" s="50" t="s">
        <v>2846</v>
      </c>
      <c r="L790" s="49" t="str">
        <f>IFERROR(__xludf.DUMMYFUNCTION("""COMPUTED_VALUE"""),"arrives")</f>
        <v>arrives</v>
      </c>
      <c r="M790" s="49"/>
      <c r="N790" s="49" t="str">
        <f>IFERROR(__xludf.DUMMYFUNCTION("""COMPUTED_VALUE"""),"hide")</f>
        <v>hide</v>
      </c>
      <c r="O790" s="49" t="str">
        <f>IFERROR(__xludf.DUMMYFUNCTION("""COMPUTED_VALUE"""),"sheds")</f>
        <v>sheds</v>
      </c>
      <c r="P790" s="49" t="str">
        <f t="shared" si="2"/>
        <v>ensemble,</v>
      </c>
      <c r="Q790" s="49"/>
      <c r="R790" s="50" t="s">
        <v>5149</v>
      </c>
      <c r="S790" s="55" t="s">
        <v>255</v>
      </c>
      <c r="T790" s="49" t="str">
        <f>IFERROR(__xludf.DUMMYFUNCTION("""COMPUTED_VALUE"""),"unlimited")</f>
        <v>unlimited</v>
      </c>
      <c r="U790" s="49"/>
      <c r="V790" s="49"/>
      <c r="W790" s="49" t="str">
        <f>IFERROR(__xludf.DUMMYFUNCTION("""COMPUTED_VALUE"""),"siege")</f>
        <v>siege</v>
      </c>
      <c r="X790" s="49" t="str">
        <f t="shared" si="3"/>
        <v>technical,</v>
      </c>
      <c r="Y790" s="49"/>
      <c r="Z790" s="1" t="s">
        <v>4748</v>
      </c>
      <c r="AA790" s="1" t="s">
        <v>2337</v>
      </c>
      <c r="AB790" s="49" t="str">
        <f>IFERROR(__xludf.DUMMYFUNCTION("""COMPUTED_VALUE"""),"maintain")</f>
        <v>maintain</v>
      </c>
      <c r="AC790" s="49"/>
      <c r="AD790" s="49" t="str">
        <f>IFERROR(__xludf.DUMMYFUNCTION("""COMPUTED_VALUE"""),"hide")</f>
        <v>hide</v>
      </c>
      <c r="AE790" s="49" t="str">
        <f>IFERROR(__xludf.DUMMYFUNCTION("""COMPUTED_VALUE"""),"sheds")</f>
        <v>sheds</v>
      </c>
      <c r="AF790" s="49" t="str">
        <f t="shared" si="4"/>
        <v>superior,</v>
      </c>
      <c r="AG790" s="49"/>
      <c r="AH790" s="1" t="s">
        <v>4369</v>
      </c>
      <c r="AI790" s="1" t="s">
        <v>2382</v>
      </c>
      <c r="AJ790" s="6" t="str">
        <f>IFERROR(__xludf.DUMMYFUNCTION("""COMPUTED_VALUE"""),"tone")</f>
        <v>tone</v>
      </c>
      <c r="AK790" s="49"/>
      <c r="AL790" s="49"/>
      <c r="AM790" s="49"/>
      <c r="AN790" s="52" t="str">
        <f t="shared" si="5"/>
        <v>listening,</v>
      </c>
    </row>
    <row r="791">
      <c r="A791" s="51"/>
      <c r="B791" s="50" t="s">
        <v>2559</v>
      </c>
      <c r="C791" s="50" t="s">
        <v>325</v>
      </c>
      <c r="D791" s="49" t="str">
        <f>IFERROR(__xludf.DUMMYFUNCTION("""COMPUTED_VALUE"""),"imagination")</f>
        <v>imagination</v>
      </c>
      <c r="E791" s="49"/>
      <c r="F791" s="49"/>
      <c r="G791" s="49"/>
      <c r="H791" s="54" t="str">
        <f t="shared" si="1"/>
        <v>stupid,</v>
      </c>
      <c r="I791" s="50"/>
      <c r="J791" s="50" t="s">
        <v>5193</v>
      </c>
      <c r="K791" s="50" t="s">
        <v>3404</v>
      </c>
      <c r="L791" s="49" t="str">
        <f>IFERROR(__xludf.DUMMYFUNCTION("""COMPUTED_VALUE"""),"graceful")</f>
        <v>graceful</v>
      </c>
      <c r="M791" s="49"/>
      <c r="N791" s="49" t="str">
        <f>IFERROR(__xludf.DUMMYFUNCTION("""COMPUTED_VALUE"""),"impressions")</f>
        <v>impressions</v>
      </c>
      <c r="O791" s="49" t="str">
        <f>IFERROR(__xludf.DUMMYFUNCTION("""COMPUTED_VALUE"""),"genesis")</f>
        <v>genesis</v>
      </c>
      <c r="P791" s="49" t="str">
        <f t="shared" si="2"/>
        <v>tricky,</v>
      </c>
      <c r="Q791" s="49"/>
      <c r="R791" s="50" t="s">
        <v>2344</v>
      </c>
      <c r="S791" s="55" t="s">
        <v>1789</v>
      </c>
      <c r="T791" s="49" t="str">
        <f>IFERROR(__xludf.DUMMYFUNCTION("""COMPUTED_VALUE"""),"equally")</f>
        <v>equally</v>
      </c>
      <c r="U791" s="49"/>
      <c r="V791" s="49"/>
      <c r="W791" s="49" t="str">
        <f>IFERROR(__xludf.DUMMYFUNCTION("""COMPUTED_VALUE"""),"corpse")</f>
        <v>corpse</v>
      </c>
      <c r="X791" s="49" t="str">
        <f t="shared" si="3"/>
        <v>impossible,</v>
      </c>
      <c r="Y791" s="49"/>
      <c r="Z791" s="1" t="s">
        <v>3806</v>
      </c>
      <c r="AA791" s="1" t="s">
        <v>2339</v>
      </c>
      <c r="AB791" s="49" t="str">
        <f>IFERROR(__xludf.DUMMYFUNCTION("""COMPUTED_VALUE"""),"glossy")</f>
        <v>glossy</v>
      </c>
      <c r="AC791" s="49"/>
      <c r="AD791" s="49" t="str">
        <f>IFERROR(__xludf.DUMMYFUNCTION("""COMPUTED_VALUE"""),"impressions")</f>
        <v>impressions</v>
      </c>
      <c r="AE791" s="49" t="str">
        <f>IFERROR(__xludf.DUMMYFUNCTION("""COMPUTED_VALUE"""),"genesis")</f>
        <v>genesis</v>
      </c>
      <c r="AF791" s="49" t="str">
        <f t="shared" si="4"/>
        <v>burns,</v>
      </c>
      <c r="AG791" s="49"/>
      <c r="AH791" s="1" t="s">
        <v>442</v>
      </c>
      <c r="AI791" s="1" t="s">
        <v>1223</v>
      </c>
      <c r="AJ791" s="6" t="str">
        <f>IFERROR(__xludf.DUMMYFUNCTION("""COMPUTED_VALUE"""),"heads")</f>
        <v>heads</v>
      </c>
      <c r="AK791" s="49"/>
      <c r="AL791" s="49"/>
      <c r="AM791" s="49"/>
      <c r="AN791" s="52" t="str">
        <f t="shared" si="5"/>
        <v>black,</v>
      </c>
    </row>
    <row r="792">
      <c r="A792" s="51"/>
      <c r="B792" s="50" t="s">
        <v>2731</v>
      </c>
      <c r="C792" s="50" t="s">
        <v>2464</v>
      </c>
      <c r="D792" s="49" t="str">
        <f>IFERROR(__xludf.DUMMYFUNCTION("""COMPUTED_VALUE"""),"marking")</f>
        <v>marking</v>
      </c>
      <c r="E792" s="49"/>
      <c r="F792" s="49"/>
      <c r="G792" s="49"/>
      <c r="H792" s="54" t="str">
        <f t="shared" si="1"/>
        <v>violent,</v>
      </c>
      <c r="I792" s="50"/>
      <c r="J792" s="50" t="s">
        <v>4620</v>
      </c>
      <c r="K792" s="50" t="s">
        <v>178</v>
      </c>
      <c r="L792" s="49" t="str">
        <f>IFERROR(__xludf.DUMMYFUNCTION("""COMPUTED_VALUE"""),"fine")</f>
        <v>fine</v>
      </c>
      <c r="M792" s="49"/>
      <c r="N792" s="49" t="str">
        <f>IFERROR(__xludf.DUMMYFUNCTION("""COMPUTED_VALUE"""),"gas")</f>
        <v>gas</v>
      </c>
      <c r="O792" s="49" t="str">
        <f>IFERROR(__xludf.DUMMYFUNCTION("""COMPUTED_VALUE"""),"display")</f>
        <v>display</v>
      </c>
      <c r="P792" s="49" t="str">
        <f t="shared" si="2"/>
        <v>behavior,</v>
      </c>
      <c r="Q792" s="49"/>
      <c r="R792" s="50" t="s">
        <v>2313</v>
      </c>
      <c r="S792" s="55" t="s">
        <v>3029</v>
      </c>
      <c r="T792" s="49" t="str">
        <f>IFERROR(__xludf.DUMMYFUNCTION("""COMPUTED_VALUE"""),"mob")</f>
        <v>mob</v>
      </c>
      <c r="U792" s="49"/>
      <c r="V792" s="49"/>
      <c r="W792" s="49" t="str">
        <f>IFERROR(__xludf.DUMMYFUNCTION("""COMPUTED_VALUE"""),"springs")</f>
        <v>springs</v>
      </c>
      <c r="X792" s="49" t="str">
        <f t="shared" si="3"/>
        <v>assassination,</v>
      </c>
      <c r="Y792" s="49"/>
      <c r="Z792" s="1" t="s">
        <v>3030</v>
      </c>
      <c r="AA792" s="1" t="s">
        <v>3405</v>
      </c>
      <c r="AB792" s="49" t="str">
        <f>IFERROR(__xludf.DUMMYFUNCTION("""COMPUTED_VALUE"""),"sparkling")</f>
        <v>sparkling</v>
      </c>
      <c r="AC792" s="49"/>
      <c r="AD792" s="49" t="str">
        <f>IFERROR(__xludf.DUMMYFUNCTION("""COMPUTED_VALUE"""),"gas")</f>
        <v>gas</v>
      </c>
      <c r="AE792" s="49" t="str">
        <f>IFERROR(__xludf.DUMMYFUNCTION("""COMPUTED_VALUE"""),"display")</f>
        <v>display</v>
      </c>
      <c r="AF792" s="49" t="str">
        <f t="shared" si="4"/>
        <v>confusing,</v>
      </c>
      <c r="AG792" s="49"/>
      <c r="AH792" s="1" t="s">
        <v>1331</v>
      </c>
      <c r="AI792" s="1" t="s">
        <v>1618</v>
      </c>
      <c r="AJ792" s="6" t="str">
        <f>IFERROR(__xludf.DUMMYFUNCTION("""COMPUTED_VALUE"""),"row")</f>
        <v>row</v>
      </c>
      <c r="AK792" s="49"/>
      <c r="AL792" s="49"/>
      <c r="AM792" s="49"/>
      <c r="AN792" s="52" t="str">
        <f t="shared" si="5"/>
        <v>death,</v>
      </c>
    </row>
    <row r="793">
      <c r="A793" s="51"/>
      <c r="B793" s="50" t="s">
        <v>7066</v>
      </c>
      <c r="C793" s="50" t="s">
        <v>2460</v>
      </c>
      <c r="D793" s="49" t="str">
        <f>IFERROR(__xludf.DUMMYFUNCTION("""COMPUTED_VALUE"""),"serious")</f>
        <v>serious</v>
      </c>
      <c r="E793" s="49"/>
      <c r="F793" s="49"/>
      <c r="G793" s="49"/>
      <c r="H793" s="54" t="str">
        <f t="shared" si="1"/>
        <v>expensive,</v>
      </c>
      <c r="I793" s="50"/>
      <c r="J793" s="50" t="s">
        <v>3855</v>
      </c>
      <c r="K793" s="50" t="s">
        <v>3409</v>
      </c>
      <c r="L793" s="49" t="str">
        <f>IFERROR(__xludf.DUMMYFUNCTION("""COMPUTED_VALUE"""),"weep")</f>
        <v>weep</v>
      </c>
      <c r="M793" s="49"/>
      <c r="N793" s="49">
        <f>IFERROR(__xludf.DUMMYFUNCTION("""COMPUTED_VALUE"""),89.0)</f>
        <v>89</v>
      </c>
      <c r="O793" s="49" t="str">
        <f>IFERROR(__xludf.DUMMYFUNCTION("""COMPUTED_VALUE"""),"fitting")</f>
        <v>fitting</v>
      </c>
      <c r="P793" s="49" t="str">
        <f t="shared" si="2"/>
        <v>battlefield,</v>
      </c>
      <c r="Q793" s="49"/>
      <c r="R793" s="50" t="s">
        <v>769</v>
      </c>
      <c r="S793" s="55" t="s">
        <v>735</v>
      </c>
      <c r="T793" s="49" t="str">
        <f>IFERROR(__xludf.DUMMYFUNCTION("""COMPUTED_VALUE"""),"expression")</f>
        <v>expression</v>
      </c>
      <c r="U793" s="49"/>
      <c r="V793" s="49"/>
      <c r="W793" s="49" t="str">
        <f>IFERROR(__xludf.DUMMYFUNCTION("""COMPUTED_VALUE"""),"area")</f>
        <v>area</v>
      </c>
      <c r="X793" s="49" t="str">
        <f t="shared" si="3"/>
        <v>uses,</v>
      </c>
      <c r="Y793" s="49"/>
      <c r="Z793" s="1" t="s">
        <v>5233</v>
      </c>
      <c r="AA793" s="1" t="s">
        <v>557</v>
      </c>
      <c r="AB793" s="49" t="str">
        <f>IFERROR(__xludf.DUMMYFUNCTION("""COMPUTED_VALUE"""),"bold")</f>
        <v>bold</v>
      </c>
      <c r="AC793" s="49"/>
      <c r="AD793" s="49">
        <f>IFERROR(__xludf.DUMMYFUNCTION("""COMPUTED_VALUE"""),89.0)</f>
        <v>89</v>
      </c>
      <c r="AE793" s="49" t="str">
        <f>IFERROR(__xludf.DUMMYFUNCTION("""COMPUTED_VALUE"""),"fitting")</f>
        <v>fitting</v>
      </c>
      <c r="AF793" s="49" t="str">
        <f t="shared" si="4"/>
        <v>victim,</v>
      </c>
      <c r="AG793" s="49"/>
      <c r="AH793" s="1" t="s">
        <v>6337</v>
      </c>
      <c r="AI793" s="1" t="s">
        <v>2392</v>
      </c>
      <c r="AJ793" s="6" t="str">
        <f>IFERROR(__xludf.DUMMYFUNCTION("""COMPUTED_VALUE"""),"lawrence")</f>
        <v>lawrence</v>
      </c>
      <c r="AK793" s="49"/>
      <c r="AL793" s="49"/>
      <c r="AM793" s="49"/>
      <c r="AN793" s="52" t="str">
        <f t="shared" si="5"/>
        <v>girl,</v>
      </c>
    </row>
    <row r="794">
      <c r="A794" s="51"/>
      <c r="B794" s="50" t="s">
        <v>2754</v>
      </c>
      <c r="C794" s="50" t="s">
        <v>1664</v>
      </c>
      <c r="D794" s="49" t="str">
        <f>IFERROR(__xludf.DUMMYFUNCTION("""COMPUTED_VALUE"""),"turns")</f>
        <v>turns</v>
      </c>
      <c r="E794" s="49"/>
      <c r="F794" s="49"/>
      <c r="G794" s="49"/>
      <c r="H794" s="54" t="str">
        <f t="shared" si="1"/>
        <v>demanding,</v>
      </c>
      <c r="I794" s="50"/>
      <c r="J794" s="50" t="s">
        <v>32</v>
      </c>
      <c r="K794" s="50" t="s">
        <v>2040</v>
      </c>
      <c r="L794" s="49" t="str">
        <f>IFERROR(__xludf.DUMMYFUNCTION("""COMPUTED_VALUE"""),"beautifully")</f>
        <v>beautifully</v>
      </c>
      <c r="M794" s="49"/>
      <c r="N794" s="49" t="str">
        <f>IFERROR(__xludf.DUMMYFUNCTION("""COMPUTED_VALUE"""),"fix")</f>
        <v>fix</v>
      </c>
      <c r="O794" s="49" t="str">
        <f>IFERROR(__xludf.DUMMYFUNCTION("""COMPUTED_VALUE"""),"naval")</f>
        <v>naval</v>
      </c>
      <c r="P794" s="49" t="str">
        <f t="shared" si="2"/>
        <v>wit,</v>
      </c>
      <c r="Q794" s="49"/>
      <c r="R794" s="50" t="s">
        <v>2041</v>
      </c>
      <c r="S794" s="55" t="s">
        <v>3040</v>
      </c>
      <c r="T794" s="49" t="str">
        <f>IFERROR(__xludf.DUMMYFUNCTION("""COMPUTED_VALUE"""),"looked")</f>
        <v>looked</v>
      </c>
      <c r="U794" s="49"/>
      <c r="V794" s="49"/>
      <c r="W794" s="49" t="str">
        <f>IFERROR(__xludf.DUMMYFUNCTION("""COMPUTED_VALUE"""),"neil")</f>
        <v>neil</v>
      </c>
      <c r="X794" s="49" t="str">
        <f t="shared" si="3"/>
        <v>involved,</v>
      </c>
      <c r="Y794" s="49"/>
      <c r="Z794" s="1" t="s">
        <v>3509</v>
      </c>
      <c r="AA794" s="1" t="s">
        <v>3410</v>
      </c>
      <c r="AB794" s="49" t="str">
        <f>IFERROR(__xludf.DUMMYFUNCTION("""COMPUTED_VALUE"""),"concern")</f>
        <v>concern</v>
      </c>
      <c r="AC794" s="49"/>
      <c r="AD794" s="49" t="str">
        <f>IFERROR(__xludf.DUMMYFUNCTION("""COMPUTED_VALUE"""),"fix")</f>
        <v>fix</v>
      </c>
      <c r="AE794" s="49" t="str">
        <f>IFERROR(__xludf.DUMMYFUNCTION("""COMPUTED_VALUE"""),"naval")</f>
        <v>naval</v>
      </c>
      <c r="AF794" s="49" t="str">
        <f t="shared" si="4"/>
        <v>patient,</v>
      </c>
      <c r="AG794" s="49"/>
      <c r="AH794" s="1" t="s">
        <v>6708</v>
      </c>
      <c r="AI794" s="1" t="s">
        <v>398</v>
      </c>
      <c r="AJ794" s="6" t="str">
        <f>IFERROR(__xludf.DUMMYFUNCTION("""COMPUTED_VALUE"""),"harvard")</f>
        <v>harvard</v>
      </c>
      <c r="AK794" s="49"/>
      <c r="AL794" s="49"/>
      <c r="AM794" s="49"/>
      <c r="AN794" s="52" t="str">
        <f t="shared" si="5"/>
        <v>says,</v>
      </c>
    </row>
    <row r="795">
      <c r="A795" s="51"/>
      <c r="B795" s="50" t="s">
        <v>4140</v>
      </c>
      <c r="C795" s="50" t="s">
        <v>6390</v>
      </c>
      <c r="D795" s="49" t="str">
        <f>IFERROR(__xludf.DUMMYFUNCTION("""COMPUTED_VALUE"""),"gradually")</f>
        <v>gradually</v>
      </c>
      <c r="E795" s="49"/>
      <c r="F795" s="49"/>
      <c r="G795" s="49"/>
      <c r="H795" s="54" t="str">
        <f t="shared" si="1"/>
        <v>island,</v>
      </c>
      <c r="I795" s="50"/>
      <c r="J795" s="50" t="s">
        <v>913</v>
      </c>
      <c r="K795" s="50" t="s">
        <v>860</v>
      </c>
      <c r="L795" s="49" t="str">
        <f>IFERROR(__xludf.DUMMYFUNCTION("""COMPUTED_VALUE"""),"status")</f>
        <v>status</v>
      </c>
      <c r="M795" s="49"/>
      <c r="N795" s="49" t="str">
        <f>IFERROR(__xludf.DUMMYFUNCTION("""COMPUTED_VALUE"""),"pleasantly")</f>
        <v>pleasantly</v>
      </c>
      <c r="O795" s="49" t="str">
        <f>IFERROR(__xludf.DUMMYFUNCTION("""COMPUTED_VALUE"""),"frightening")</f>
        <v>frightening</v>
      </c>
      <c r="P795" s="49" t="str">
        <f t="shared" si="2"/>
        <v>tight,</v>
      </c>
      <c r="Q795" s="49"/>
      <c r="R795" s="50" t="s">
        <v>5086</v>
      </c>
      <c r="S795" s="55" t="s">
        <v>384</v>
      </c>
      <c r="T795" s="49" t="str">
        <f>IFERROR(__xludf.DUMMYFUNCTION("""COMPUTED_VALUE"""),"odd")</f>
        <v>odd</v>
      </c>
      <c r="U795" s="49"/>
      <c r="V795" s="49"/>
      <c r="W795" s="49" t="str">
        <f>IFERROR(__xludf.DUMMYFUNCTION("""COMPUTED_VALUE"""),"jealousy")</f>
        <v>jealousy</v>
      </c>
      <c r="X795" s="49" t="str">
        <f t="shared" si="3"/>
        <v>sadly,</v>
      </c>
      <c r="Y795" s="49"/>
      <c r="Z795" s="1" t="s">
        <v>1403</v>
      </c>
      <c r="AA795" s="1" t="s">
        <v>692</v>
      </c>
      <c r="AB795" s="49" t="str">
        <f>IFERROR(__xludf.DUMMYFUNCTION("""COMPUTED_VALUE"""),"blank")</f>
        <v>blank</v>
      </c>
      <c r="AC795" s="49"/>
      <c r="AD795" s="49" t="str">
        <f>IFERROR(__xludf.DUMMYFUNCTION("""COMPUTED_VALUE"""),"pleasantly")</f>
        <v>pleasantly</v>
      </c>
      <c r="AE795" s="49" t="str">
        <f>IFERROR(__xludf.DUMMYFUNCTION("""COMPUTED_VALUE"""),"frightening")</f>
        <v>frightening</v>
      </c>
      <c r="AF795" s="49" t="str">
        <f t="shared" si="4"/>
        <v>hard,</v>
      </c>
      <c r="AG795" s="49"/>
      <c r="AH795" s="1" t="s">
        <v>2687</v>
      </c>
      <c r="AI795" s="1" t="s">
        <v>3015</v>
      </c>
      <c r="AJ795" s="6" t="str">
        <f>IFERROR(__xludf.DUMMYFUNCTION("""COMPUTED_VALUE"""),"sean")</f>
        <v>sean</v>
      </c>
      <c r="AK795" s="49"/>
      <c r="AL795" s="49"/>
      <c r="AM795" s="49"/>
      <c r="AN795" s="52" t="str">
        <f t="shared" si="5"/>
        <v>professor,</v>
      </c>
    </row>
    <row r="796">
      <c r="A796" s="51"/>
      <c r="B796" s="50" t="s">
        <v>4052</v>
      </c>
      <c r="C796" s="50" t="s">
        <v>1693</v>
      </c>
      <c r="D796" s="49" t="str">
        <f>IFERROR(__xludf.DUMMYFUNCTION("""COMPUTED_VALUE"""),"describe")</f>
        <v>describe</v>
      </c>
      <c r="E796" s="49"/>
      <c r="F796" s="49"/>
      <c r="G796" s="49"/>
      <c r="H796" s="54" t="str">
        <f t="shared" si="1"/>
        <v>earlier,</v>
      </c>
      <c r="I796" s="50"/>
      <c r="J796" s="50" t="s">
        <v>6376</v>
      </c>
      <c r="K796" s="50" t="s">
        <v>2865</v>
      </c>
      <c r="L796" s="49" t="str">
        <f>IFERROR(__xludf.DUMMYFUNCTION("""COMPUTED_VALUE"""),"moving")</f>
        <v>moving</v>
      </c>
      <c r="M796" s="49"/>
      <c r="N796" s="49" t="str">
        <f>IFERROR(__xludf.DUMMYFUNCTION("""COMPUTED_VALUE"""),"gifts")</f>
        <v>gifts</v>
      </c>
      <c r="O796" s="49" t="str">
        <f>IFERROR(__xludf.DUMMYFUNCTION("""COMPUTED_VALUE"""),"amid")</f>
        <v>amid</v>
      </c>
      <c r="P796" s="49" t="str">
        <f t="shared" si="2"/>
        <v>avoid,</v>
      </c>
      <c r="Q796" s="49"/>
      <c r="R796" s="50" t="s">
        <v>5019</v>
      </c>
      <c r="S796" s="55" t="s">
        <v>366</v>
      </c>
      <c r="T796" s="49" t="str">
        <f>IFERROR(__xludf.DUMMYFUNCTION("""COMPUTED_VALUE"""),"delicate")</f>
        <v>delicate</v>
      </c>
      <c r="U796" s="49"/>
      <c r="V796" s="49"/>
      <c r="W796" s="49" t="str">
        <f>IFERROR(__xludf.DUMMYFUNCTION("""COMPUTED_VALUE"""),"tenderly")</f>
        <v>tenderly</v>
      </c>
      <c r="X796" s="49" t="str">
        <f t="shared" si="3"/>
        <v>peace,</v>
      </c>
      <c r="Y796" s="49"/>
      <c r="Z796" s="1" t="s">
        <v>3706</v>
      </c>
      <c r="AA796" s="1" t="s">
        <v>3412</v>
      </c>
      <c r="AB796" s="49" t="str">
        <f>IFERROR(__xludf.DUMMYFUNCTION("""COMPUTED_VALUE"""),"inherently")</f>
        <v>inherently</v>
      </c>
      <c r="AC796" s="49"/>
      <c r="AD796" s="49" t="str">
        <f>IFERROR(__xludf.DUMMYFUNCTION("""COMPUTED_VALUE"""),"gifts")</f>
        <v>gifts</v>
      </c>
      <c r="AE796" s="49" t="str">
        <f>IFERROR(__xludf.DUMMYFUNCTION("""COMPUTED_VALUE"""),"amid")</f>
        <v>amid</v>
      </c>
      <c r="AF796" s="49" t="str">
        <f t="shared" si="4"/>
        <v>list,</v>
      </c>
      <c r="AG796" s="49"/>
      <c r="AH796" s="1" t="s">
        <v>2616</v>
      </c>
      <c r="AI796" s="1" t="s">
        <v>1636</v>
      </c>
      <c r="AJ796" s="6" t="str">
        <f>IFERROR(__xludf.DUMMYFUNCTION("""COMPUTED_VALUE"""),"defend")</f>
        <v>defend</v>
      </c>
      <c r="AK796" s="49"/>
      <c r="AL796" s="49"/>
      <c r="AM796" s="49"/>
      <c r="AN796" s="52" t="str">
        <f t="shared" si="5"/>
        <v>none,</v>
      </c>
    </row>
    <row r="797">
      <c r="A797" s="51"/>
      <c r="B797" s="50" t="s">
        <v>3828</v>
      </c>
      <c r="C797" s="50" t="s">
        <v>6236</v>
      </c>
      <c r="D797" s="49" t="str">
        <f>IFERROR(__xludf.DUMMYFUNCTION("""COMPUTED_VALUE"""),"historical")</f>
        <v>historical</v>
      </c>
      <c r="E797" s="49"/>
      <c r="F797" s="49"/>
      <c r="G797" s="49"/>
      <c r="H797" s="54" t="str">
        <f t="shared" si="1"/>
        <v>edward,</v>
      </c>
      <c r="I797" s="50"/>
      <c r="J797" s="50" t="s">
        <v>3648</v>
      </c>
      <c r="K797" s="50" t="s">
        <v>2046</v>
      </c>
      <c r="L797" s="49" t="str">
        <f>IFERROR(__xludf.DUMMYFUNCTION("""COMPUTED_VALUE"""),"debt")</f>
        <v>debt</v>
      </c>
      <c r="M797" s="49"/>
      <c r="N797" s="49" t="str">
        <f>IFERROR(__xludf.DUMMYFUNCTION("""COMPUTED_VALUE"""),"refused")</f>
        <v>refused</v>
      </c>
      <c r="O797" s="49" t="str">
        <f>IFERROR(__xludf.DUMMYFUNCTION("""COMPUTED_VALUE"""),"morality")</f>
        <v>morality</v>
      </c>
      <c r="P797" s="49" t="str">
        <f t="shared" si="2"/>
        <v>letting,</v>
      </c>
      <c r="Q797" s="49"/>
      <c r="R797" s="50" t="s">
        <v>7290</v>
      </c>
      <c r="S797" s="55" t="s">
        <v>5978</v>
      </c>
      <c r="T797" s="49" t="str">
        <f>IFERROR(__xludf.DUMMYFUNCTION("""COMPUTED_VALUE"""),"finds")</f>
        <v>finds</v>
      </c>
      <c r="U797" s="49"/>
      <c r="V797" s="49"/>
      <c r="W797" s="49" t="str">
        <f>IFERROR(__xludf.DUMMYFUNCTION("""COMPUTED_VALUE"""),"christopher")</f>
        <v>christopher</v>
      </c>
      <c r="X797" s="49" t="str">
        <f t="shared" si="3"/>
        <v>concentrate,</v>
      </c>
      <c r="Y797" s="49"/>
      <c r="Z797" s="1" t="s">
        <v>779</v>
      </c>
      <c r="AA797" s="1" t="s">
        <v>2357</v>
      </c>
      <c r="AB797" s="49" t="str">
        <f>IFERROR(__xludf.DUMMYFUNCTION("""COMPUTED_VALUE"""),"shocking")</f>
        <v>shocking</v>
      </c>
      <c r="AC797" s="49"/>
      <c r="AD797" s="49" t="str">
        <f>IFERROR(__xludf.DUMMYFUNCTION("""COMPUTED_VALUE"""),"refused")</f>
        <v>refused</v>
      </c>
      <c r="AE797" s="49" t="str">
        <f>IFERROR(__xludf.DUMMYFUNCTION("""COMPUTED_VALUE"""),"morality")</f>
        <v>morality</v>
      </c>
      <c r="AF797" s="49" t="str">
        <f t="shared" si="4"/>
        <v>count,</v>
      </c>
      <c r="AG797" s="49"/>
      <c r="AH797" s="1" t="s">
        <v>2215</v>
      </c>
      <c r="AI797" s="1" t="s">
        <v>447</v>
      </c>
      <c r="AJ797" s="6" t="str">
        <f>IFERROR(__xludf.DUMMYFUNCTION("""COMPUTED_VALUE"""),"released")</f>
        <v>released</v>
      </c>
      <c r="AK797" s="49"/>
      <c r="AL797" s="49"/>
      <c r="AM797" s="49"/>
      <c r="AN797" s="52" t="str">
        <f t="shared" si="5"/>
        <v>tone,</v>
      </c>
    </row>
    <row r="798">
      <c r="A798" s="51"/>
      <c r="B798" s="50" t="s">
        <v>1914</v>
      </c>
      <c r="C798" s="50" t="s">
        <v>48</v>
      </c>
      <c r="D798" s="49" t="str">
        <f>IFERROR(__xludf.DUMMYFUNCTION("""COMPUTED_VALUE"""),"modern")</f>
        <v>modern</v>
      </c>
      <c r="E798" s="49"/>
      <c r="F798" s="49"/>
      <c r="G798" s="49"/>
      <c r="H798" s="54" t="str">
        <f t="shared" si="1"/>
        <v>effects,</v>
      </c>
      <c r="I798" s="50"/>
      <c r="J798" s="50" t="s">
        <v>544</v>
      </c>
      <c r="K798" s="50" t="s">
        <v>2861</v>
      </c>
      <c r="L798" s="49" t="str">
        <f>IFERROR(__xludf.DUMMYFUNCTION("""COMPUTED_VALUE"""),"forced")</f>
        <v>forced</v>
      </c>
      <c r="M798" s="49"/>
      <c r="N798" s="49" t="str">
        <f>IFERROR(__xludf.DUMMYFUNCTION("""COMPUTED_VALUE"""),"amazingly")</f>
        <v>amazingly</v>
      </c>
      <c r="O798" s="49" t="str">
        <f>IFERROR(__xludf.DUMMYFUNCTION("""COMPUTED_VALUE"""),"futuristic")</f>
        <v>futuristic</v>
      </c>
      <c r="P798" s="49" t="str">
        <f t="shared" si="2"/>
        <v>real,</v>
      </c>
      <c r="Q798" s="49"/>
      <c r="R798" s="50" t="s">
        <v>3237</v>
      </c>
      <c r="S798" s="55" t="s">
        <v>6391</v>
      </c>
      <c r="T798" s="49" t="str">
        <f>IFERROR(__xludf.DUMMYFUNCTION("""COMPUTED_VALUE"""),"dying")</f>
        <v>dying</v>
      </c>
      <c r="U798" s="49"/>
      <c r="V798" s="49"/>
      <c r="W798" s="49" t="str">
        <f>IFERROR(__xludf.DUMMYFUNCTION("""COMPUTED_VALUE"""),"direct")</f>
        <v>direct</v>
      </c>
      <c r="X798" s="49" t="str">
        <f t="shared" si="3"/>
        <v>hook,</v>
      </c>
      <c r="Y798" s="49"/>
      <c r="Z798" s="1" t="s">
        <v>1666</v>
      </c>
      <c r="AA798" s="1" t="s">
        <v>2852</v>
      </c>
      <c r="AB798" s="49" t="str">
        <f>IFERROR(__xludf.DUMMYFUNCTION("""COMPUTED_VALUE"""),"fate")</f>
        <v>fate</v>
      </c>
      <c r="AC798" s="49"/>
      <c r="AD798" s="49" t="str">
        <f>IFERROR(__xludf.DUMMYFUNCTION("""COMPUTED_VALUE"""),"amazingly")</f>
        <v>amazingly</v>
      </c>
      <c r="AE798" s="49" t="str">
        <f>IFERROR(__xludf.DUMMYFUNCTION("""COMPUTED_VALUE"""),"futuristic")</f>
        <v>futuristic</v>
      </c>
      <c r="AF798" s="49" t="str">
        <f t="shared" si="4"/>
        <v>english,</v>
      </c>
      <c r="AG798" s="49"/>
      <c r="AH798" s="1" t="s">
        <v>4406</v>
      </c>
      <c r="AI798" s="1" t="s">
        <v>3034</v>
      </c>
      <c r="AJ798" s="6" t="str">
        <f>IFERROR(__xludf.DUMMYFUNCTION("""COMPUTED_VALUE"""),"played")</f>
        <v>played</v>
      </c>
      <c r="AK798" s="49"/>
      <c r="AL798" s="49"/>
      <c r="AM798" s="49"/>
      <c r="AN798" s="52" t="str">
        <f t="shared" si="5"/>
        <v>heads,</v>
      </c>
    </row>
    <row r="799">
      <c r="A799" s="51"/>
      <c r="B799" s="50" t="s">
        <v>92</v>
      </c>
      <c r="C799" s="50" t="s">
        <v>1396</v>
      </c>
      <c r="D799" s="49" t="str">
        <f>IFERROR(__xludf.DUMMYFUNCTION("""COMPUTED_VALUE"""),"complete")</f>
        <v>complete</v>
      </c>
      <c r="E799" s="49"/>
      <c r="F799" s="49"/>
      <c r="G799" s="49"/>
      <c r="H799" s="54" t="str">
        <f t="shared" si="1"/>
        <v>compared,</v>
      </c>
      <c r="I799" s="50"/>
      <c r="J799" s="50" t="s">
        <v>2620</v>
      </c>
      <c r="K799" s="50" t="s">
        <v>543</v>
      </c>
      <c r="L799" s="49" t="str">
        <f>IFERROR(__xludf.DUMMYFUNCTION("""COMPUTED_VALUE"""),"burning")</f>
        <v>burning</v>
      </c>
      <c r="M799" s="49"/>
      <c r="N799" s="49" t="str">
        <f>IFERROR(__xludf.DUMMYFUNCTION("""COMPUTED_VALUE"""),"setting")</f>
        <v>setting</v>
      </c>
      <c r="O799" s="49" t="str">
        <f>IFERROR(__xludf.DUMMYFUNCTION("""COMPUTED_VALUE"""),"autopsy")</f>
        <v>autopsy</v>
      </c>
      <c r="P799" s="49" t="str">
        <f t="shared" si="2"/>
        <v>sister,</v>
      </c>
      <c r="Q799" s="49"/>
      <c r="R799" s="50" t="s">
        <v>6660</v>
      </c>
      <c r="S799" s="55" t="s">
        <v>2250</v>
      </c>
      <c r="T799" s="49" t="str">
        <f>IFERROR(__xludf.DUMMYFUNCTION("""COMPUTED_VALUE"""),"aging")</f>
        <v>aging</v>
      </c>
      <c r="U799" s="49"/>
      <c r="V799" s="49"/>
      <c r="W799" s="49" t="str">
        <f>IFERROR(__xludf.DUMMYFUNCTION("""COMPUTED_VALUE"""),"autobiographical")</f>
        <v>autobiographical</v>
      </c>
      <c r="X799" s="49" t="str">
        <f t="shared" si="3"/>
        <v>memories,</v>
      </c>
      <c r="Y799" s="49"/>
      <c r="Z799" s="1" t="s">
        <v>5828</v>
      </c>
      <c r="AA799" s="1" t="s">
        <v>3001</v>
      </c>
      <c r="AB799" s="49" t="str">
        <f>IFERROR(__xludf.DUMMYFUNCTION("""COMPUTED_VALUE"""),"reacting")</f>
        <v>reacting</v>
      </c>
      <c r="AC799" s="49"/>
      <c r="AD799" s="49" t="str">
        <f>IFERROR(__xludf.DUMMYFUNCTION("""COMPUTED_VALUE"""),"setting")</f>
        <v>setting</v>
      </c>
      <c r="AE799" s="49" t="str">
        <f>IFERROR(__xludf.DUMMYFUNCTION("""COMPUTED_VALUE"""),"autopsy")</f>
        <v>autopsy</v>
      </c>
      <c r="AF799" s="49" t="str">
        <f t="shared" si="4"/>
        <v>ralph,</v>
      </c>
      <c r="AG799" s="49"/>
      <c r="AH799" s="1" t="s">
        <v>6998</v>
      </c>
      <c r="AI799" s="1" t="s">
        <v>2404</v>
      </c>
      <c r="AJ799" s="6" t="str">
        <f>IFERROR(__xludf.DUMMYFUNCTION("""COMPUTED_VALUE"""),"early")</f>
        <v>early</v>
      </c>
      <c r="AK799" s="49"/>
      <c r="AL799" s="49"/>
      <c r="AM799" s="49"/>
      <c r="AN799" s="52" t="str">
        <f t="shared" si="5"/>
        <v>row,</v>
      </c>
    </row>
    <row r="800">
      <c r="A800" s="51"/>
      <c r="B800" s="50" t="s">
        <v>2449</v>
      </c>
      <c r="C800" s="50" t="s">
        <v>1706</v>
      </c>
      <c r="D800" s="49" t="str">
        <f>IFERROR(__xludf.DUMMYFUNCTION("""COMPUTED_VALUE"""),"solid")</f>
        <v>solid</v>
      </c>
      <c r="E800" s="49"/>
      <c r="F800" s="49"/>
      <c r="G800" s="49"/>
      <c r="H800" s="54" t="str">
        <f t="shared" si="1"/>
        <v>begins,</v>
      </c>
      <c r="I800" s="50"/>
      <c r="J800" s="50" t="s">
        <v>3790</v>
      </c>
      <c r="K800" s="50" t="s">
        <v>2047</v>
      </c>
      <c r="L800" s="49" t="str">
        <f>IFERROR(__xludf.DUMMYFUNCTION("""COMPUTED_VALUE"""),"struck")</f>
        <v>struck</v>
      </c>
      <c r="M800" s="49"/>
      <c r="N800" s="49" t="str">
        <f>IFERROR(__xludf.DUMMYFUNCTION("""COMPUTED_VALUE"""),"lived")</f>
        <v>lived</v>
      </c>
      <c r="O800" s="49" t="str">
        <f>IFERROR(__xludf.DUMMYFUNCTION("""COMPUTED_VALUE"""),"bravery")</f>
        <v>bravery</v>
      </c>
      <c r="P800" s="49" t="str">
        <f t="shared" si="2"/>
        <v>wreck,</v>
      </c>
      <c r="Q800" s="49"/>
      <c r="R800" s="50" t="s">
        <v>743</v>
      </c>
      <c r="S800" s="55" t="s">
        <v>1833</v>
      </c>
      <c r="T800" s="49" t="str">
        <f>IFERROR(__xludf.DUMMYFUNCTION("""COMPUTED_VALUE"""),"slowly")</f>
        <v>slowly</v>
      </c>
      <c r="U800" s="49"/>
      <c r="V800" s="49"/>
      <c r="W800" s="49" t="str">
        <f>IFERROR(__xludf.DUMMYFUNCTION("""COMPUTED_VALUE"""),"urgently")</f>
        <v>urgently</v>
      </c>
      <c r="X800" s="49" t="str">
        <f t="shared" si="3"/>
        <v>local,</v>
      </c>
      <c r="Y800" s="49"/>
      <c r="Z800" s="1" t="s">
        <v>259</v>
      </c>
      <c r="AA800" s="1" t="s">
        <v>2120</v>
      </c>
      <c r="AB800" s="49" t="str">
        <f>IFERROR(__xludf.DUMMYFUNCTION("""COMPUTED_VALUE"""),"sink")</f>
        <v>sink</v>
      </c>
      <c r="AC800" s="49"/>
      <c r="AD800" s="49" t="str">
        <f>IFERROR(__xludf.DUMMYFUNCTION("""COMPUTED_VALUE"""),"lived")</f>
        <v>lived</v>
      </c>
      <c r="AE800" s="49" t="str">
        <f>IFERROR(__xludf.DUMMYFUNCTION("""COMPUTED_VALUE"""),"bravery")</f>
        <v>bravery</v>
      </c>
      <c r="AF800" s="49" t="str">
        <f t="shared" si="4"/>
        <v>gripping,</v>
      </c>
      <c r="AG800" s="49"/>
      <c r="AH800" s="1" t="s">
        <v>277</v>
      </c>
      <c r="AI800" s="1" t="s">
        <v>5471</v>
      </c>
      <c r="AJ800" s="6" t="str">
        <f>IFERROR(__xludf.DUMMYFUNCTION("""COMPUTED_VALUE"""),"among")</f>
        <v>among</v>
      </c>
      <c r="AK800" s="49"/>
      <c r="AL800" s="49"/>
      <c r="AM800" s="49"/>
      <c r="AN800" s="52" t="str">
        <f t="shared" si="5"/>
        <v>lawrence,</v>
      </c>
    </row>
    <row r="801">
      <c r="A801" s="51"/>
      <c r="B801" s="50" t="s">
        <v>5242</v>
      </c>
      <c r="C801" s="50" t="s">
        <v>2478</v>
      </c>
      <c r="D801" s="49" t="str">
        <f>IFERROR(__xludf.DUMMYFUNCTION("""COMPUTED_VALUE"""),"assured")</f>
        <v>assured</v>
      </c>
      <c r="E801" s="49"/>
      <c r="F801" s="49"/>
      <c r="G801" s="49"/>
      <c r="H801" s="54" t="str">
        <f t="shared" si="1"/>
        <v>armed,</v>
      </c>
      <c r="I801" s="50"/>
      <c r="J801" s="50" t="s">
        <v>789</v>
      </c>
      <c r="K801" s="50" t="s">
        <v>2048</v>
      </c>
      <c r="L801" s="49" t="str">
        <f>IFERROR(__xludf.DUMMYFUNCTION("""COMPUTED_VALUE"""),"tricks")</f>
        <v>tricks</v>
      </c>
      <c r="M801" s="49"/>
      <c r="N801" s="49" t="str">
        <f>IFERROR(__xludf.DUMMYFUNCTION("""COMPUTED_VALUE"""),"unusually")</f>
        <v>unusually</v>
      </c>
      <c r="O801" s="49" t="str">
        <f>IFERROR(__xludf.DUMMYFUNCTION("""COMPUTED_VALUE"""),"minnie")</f>
        <v>minnie</v>
      </c>
      <c r="P801" s="49" t="str">
        <f t="shared" si="2"/>
        <v>ugly,</v>
      </c>
      <c r="Q801" s="49"/>
      <c r="R801" s="50" t="s">
        <v>4038</v>
      </c>
      <c r="S801" s="55" t="s">
        <v>754</v>
      </c>
      <c r="T801" s="49" t="str">
        <f>IFERROR(__xludf.DUMMYFUNCTION("""COMPUTED_VALUE"""),"seeing")</f>
        <v>seeing</v>
      </c>
      <c r="U801" s="49"/>
      <c r="V801" s="49"/>
      <c r="W801" s="49" t="str">
        <f>IFERROR(__xludf.DUMMYFUNCTION("""COMPUTED_VALUE"""),"workings")</f>
        <v>workings</v>
      </c>
      <c r="X801" s="49" t="str">
        <f t="shared" si="3"/>
        <v>dance,</v>
      </c>
      <c r="Y801" s="49"/>
      <c r="Z801" s="1" t="s">
        <v>2034</v>
      </c>
      <c r="AA801" s="1" t="s">
        <v>404</v>
      </c>
      <c r="AB801" s="49" t="str">
        <f>IFERROR(__xludf.DUMMYFUNCTION("""COMPUTED_VALUE"""),"precisely")</f>
        <v>precisely</v>
      </c>
      <c r="AC801" s="49"/>
      <c r="AD801" s="49" t="str">
        <f>IFERROR(__xludf.DUMMYFUNCTION("""COMPUTED_VALUE"""),"unusually")</f>
        <v>unusually</v>
      </c>
      <c r="AE801" s="49" t="str">
        <f>IFERROR(__xludf.DUMMYFUNCTION("""COMPUTED_VALUE"""),"minnie")</f>
        <v>minnie</v>
      </c>
      <c r="AF801" s="49" t="str">
        <f t="shared" si="4"/>
        <v>dull,</v>
      </c>
      <c r="AG801" s="49"/>
      <c r="AH801" s="1" t="s">
        <v>390</v>
      </c>
      <c r="AI801" s="1" t="s">
        <v>1634</v>
      </c>
      <c r="AJ801" s="6" t="str">
        <f>IFERROR(__xludf.DUMMYFUNCTION("""COMPUTED_VALUE"""),"robert")</f>
        <v>robert</v>
      </c>
      <c r="AK801" s="49"/>
      <c r="AL801" s="49"/>
      <c r="AM801" s="49"/>
      <c r="AN801" s="52" t="str">
        <f t="shared" si="5"/>
        <v>harvard,</v>
      </c>
    </row>
    <row r="802">
      <c r="A802" s="51"/>
      <c r="B802" s="50" t="s">
        <v>1958</v>
      </c>
      <c r="C802" s="50" t="s">
        <v>2476</v>
      </c>
      <c r="D802" s="49" t="str">
        <f>IFERROR(__xludf.DUMMYFUNCTION("""COMPUTED_VALUE"""),"road")</f>
        <v>road</v>
      </c>
      <c r="E802" s="49"/>
      <c r="F802" s="49"/>
      <c r="G802" s="49"/>
      <c r="H802" s="54" t="str">
        <f t="shared" si="1"/>
        <v>etc,</v>
      </c>
      <c r="I802" s="50"/>
      <c r="J802" s="50" t="s">
        <v>2066</v>
      </c>
      <c r="K802" s="50" t="s">
        <v>2051</v>
      </c>
      <c r="L802" s="49" t="str">
        <f>IFERROR(__xludf.DUMMYFUNCTION("""COMPUTED_VALUE"""),"mayhem")</f>
        <v>mayhem</v>
      </c>
      <c r="M802" s="49"/>
      <c r="N802" s="49" t="str">
        <f>IFERROR(__xludf.DUMMYFUNCTION("""COMPUTED_VALUE"""),"boasts")</f>
        <v>boasts</v>
      </c>
      <c r="O802" s="49" t="str">
        <f>IFERROR(__xludf.DUMMYFUNCTION("""COMPUTED_VALUE"""),"spontaneous")</f>
        <v>spontaneous</v>
      </c>
      <c r="P802" s="49" t="str">
        <f t="shared" si="2"/>
        <v>typical,</v>
      </c>
      <c r="Q802" s="49"/>
      <c r="R802" s="50" t="s">
        <v>7291</v>
      </c>
      <c r="S802" s="55" t="s">
        <v>210</v>
      </c>
      <c r="T802" s="49" t="str">
        <f>IFERROR(__xludf.DUMMYFUNCTION("""COMPUTED_VALUE"""),"superficial")</f>
        <v>superficial</v>
      </c>
      <c r="U802" s="49"/>
      <c r="V802" s="49"/>
      <c r="W802" s="49" t="str">
        <f>IFERROR(__xludf.DUMMYFUNCTION("""COMPUTED_VALUE"""),"gaza")</f>
        <v>gaza</v>
      </c>
      <c r="X802" s="49" t="str">
        <f t="shared" si="3"/>
        <v>verge,</v>
      </c>
      <c r="Y802" s="49"/>
      <c r="Z802" s="1" t="s">
        <v>2093</v>
      </c>
      <c r="AA802" s="1" t="s">
        <v>3420</v>
      </c>
      <c r="AB802" s="49" t="str">
        <f>IFERROR(__xludf.DUMMYFUNCTION("""COMPUTED_VALUE"""),"term")</f>
        <v>term</v>
      </c>
      <c r="AC802" s="49"/>
      <c r="AD802" s="49" t="str">
        <f>IFERROR(__xludf.DUMMYFUNCTION("""COMPUTED_VALUE"""),"boasts")</f>
        <v>boasts</v>
      </c>
      <c r="AE802" s="49" t="str">
        <f>IFERROR(__xludf.DUMMYFUNCTION("""COMPUTED_VALUE"""),"spontaneous")</f>
        <v>spontaneous</v>
      </c>
      <c r="AF802" s="49" t="str">
        <f t="shared" si="4"/>
        <v>ii,</v>
      </c>
      <c r="AG802" s="49"/>
      <c r="AH802" s="1" t="s">
        <v>6931</v>
      </c>
      <c r="AI802" s="1" t="s">
        <v>2776</v>
      </c>
      <c r="AJ802" s="6" t="str">
        <f>IFERROR(__xludf.DUMMYFUNCTION("""COMPUTED_VALUE"""),"star")</f>
        <v>star</v>
      </c>
      <c r="AK802" s="49"/>
      <c r="AL802" s="49"/>
      <c r="AM802" s="49"/>
      <c r="AN802" s="52" t="str">
        <f t="shared" si="5"/>
        <v>sean,</v>
      </c>
    </row>
    <row r="803">
      <c r="A803" s="51"/>
      <c r="B803" s="50">
        <v>1933.0</v>
      </c>
      <c r="C803" s="50" t="s">
        <v>1682</v>
      </c>
      <c r="D803" s="49" t="str">
        <f>IFERROR(__xludf.DUMMYFUNCTION("""COMPUTED_VALUE"""),"politics")</f>
        <v>politics</v>
      </c>
      <c r="E803" s="49"/>
      <c r="F803" s="49"/>
      <c r="G803" s="49"/>
      <c r="H803" s="54" t="str">
        <f t="shared" si="1"/>
        <v>1933,</v>
      </c>
      <c r="I803" s="50"/>
      <c r="J803" s="50" t="s">
        <v>598</v>
      </c>
      <c r="K803" s="50" t="s">
        <v>1249</v>
      </c>
      <c r="L803" s="49" t="str">
        <f>IFERROR(__xludf.DUMMYFUNCTION("""COMPUTED_VALUE"""),"inevitable")</f>
        <v>inevitable</v>
      </c>
      <c r="M803" s="49"/>
      <c r="N803" s="49" t="str">
        <f>IFERROR(__xludf.DUMMYFUNCTION("""COMPUTED_VALUE"""),"dignity")</f>
        <v>dignity</v>
      </c>
      <c r="O803" s="49" t="str">
        <f>IFERROR(__xludf.DUMMYFUNCTION("""COMPUTED_VALUE"""),"cellular")</f>
        <v>cellular</v>
      </c>
      <c r="P803" s="49" t="str">
        <f t="shared" si="2"/>
        <v>point,</v>
      </c>
      <c r="Q803" s="49"/>
      <c r="R803" s="50" t="s">
        <v>997</v>
      </c>
      <c r="S803" s="55" t="s">
        <v>1847</v>
      </c>
      <c r="T803" s="49" t="str">
        <f>IFERROR(__xludf.DUMMYFUNCTION("""COMPUTED_VALUE"""),"deeper")</f>
        <v>deeper</v>
      </c>
      <c r="U803" s="49"/>
      <c r="V803" s="49"/>
      <c r="W803" s="49" t="str">
        <f>IFERROR(__xludf.DUMMYFUNCTION("""COMPUTED_VALUE"""),"virtues")</f>
        <v>virtues</v>
      </c>
      <c r="X803" s="49" t="str">
        <f t="shared" si="3"/>
        <v>spectacle,</v>
      </c>
      <c r="Y803" s="49"/>
      <c r="Z803" s="1" t="s">
        <v>689</v>
      </c>
      <c r="AA803" s="1" t="s">
        <v>3423</v>
      </c>
      <c r="AB803" s="49" t="str">
        <f>IFERROR(__xludf.DUMMYFUNCTION("""COMPUTED_VALUE"""),"footage")</f>
        <v>footage</v>
      </c>
      <c r="AC803" s="49"/>
      <c r="AD803" s="49" t="str">
        <f>IFERROR(__xludf.DUMMYFUNCTION("""COMPUTED_VALUE"""),"dignity")</f>
        <v>dignity</v>
      </c>
      <c r="AE803" s="49" t="str">
        <f>IFERROR(__xludf.DUMMYFUNCTION("""COMPUTED_VALUE"""),"cellular")</f>
        <v>cellular</v>
      </c>
      <c r="AF803" s="49" t="str">
        <f t="shared" si="4"/>
        <v>days,</v>
      </c>
      <c r="AG803" s="49"/>
      <c r="AH803" s="1" t="s">
        <v>6197</v>
      </c>
      <c r="AI803" s="1" t="s">
        <v>1640</v>
      </c>
      <c r="AJ803" s="6" t="str">
        <f>IFERROR(__xludf.DUMMYFUNCTION("""COMPUTED_VALUE"""),"directed")</f>
        <v>directed</v>
      </c>
      <c r="AK803" s="49"/>
      <c r="AL803" s="49"/>
      <c r="AM803" s="49"/>
      <c r="AN803" s="52" t="str">
        <f t="shared" si="5"/>
        <v>defend,</v>
      </c>
    </row>
    <row r="804">
      <c r="A804" s="51"/>
      <c r="B804" s="50" t="s">
        <v>6403</v>
      </c>
      <c r="C804" s="50" t="s">
        <v>6392</v>
      </c>
      <c r="D804" s="49" t="str">
        <f>IFERROR(__xludf.DUMMYFUNCTION("""COMPUTED_VALUE"""),"sexual")</f>
        <v>sexual</v>
      </c>
      <c r="E804" s="49"/>
      <c r="F804" s="49"/>
      <c r="G804" s="49"/>
      <c r="H804" s="54" t="str">
        <f t="shared" si="1"/>
        <v>doubt,</v>
      </c>
      <c r="I804" s="50"/>
      <c r="J804" s="50" t="s">
        <v>3566</v>
      </c>
      <c r="K804" s="50" t="s">
        <v>3427</v>
      </c>
      <c r="L804" s="49" t="str">
        <f>IFERROR(__xludf.DUMMYFUNCTION("""COMPUTED_VALUE"""),"advantage")</f>
        <v>advantage</v>
      </c>
      <c r="M804" s="49"/>
      <c r="N804" s="49" t="str">
        <f>IFERROR(__xludf.DUMMYFUNCTION("""COMPUTED_VALUE"""),"maintained")</f>
        <v>maintained</v>
      </c>
      <c r="O804" s="49" t="str">
        <f>IFERROR(__xludf.DUMMYFUNCTION("""COMPUTED_VALUE"""),"palette")</f>
        <v>palette</v>
      </c>
      <c r="P804" s="49" t="str">
        <f t="shared" si="2"/>
        <v>language,</v>
      </c>
      <c r="Q804" s="49"/>
      <c r="R804" s="50" t="s">
        <v>2472</v>
      </c>
      <c r="S804" s="55" t="s">
        <v>342</v>
      </c>
      <c r="T804" s="49" t="str">
        <f>IFERROR(__xludf.DUMMYFUNCTION("""COMPUTED_VALUE"""),"struggling")</f>
        <v>struggling</v>
      </c>
      <c r="U804" s="49"/>
      <c r="V804" s="49"/>
      <c r="W804" s="49" t="str">
        <f>IFERROR(__xludf.DUMMYFUNCTION("""COMPUTED_VALUE"""),"harm")</f>
        <v>harm</v>
      </c>
      <c r="X804" s="49" t="str">
        <f t="shared" si="3"/>
        <v>queen,</v>
      </c>
      <c r="Y804" s="49"/>
      <c r="Z804" s="1" t="s">
        <v>1376</v>
      </c>
      <c r="AA804" s="1" t="s">
        <v>353</v>
      </c>
      <c r="AB804" s="49" t="str">
        <f>IFERROR(__xludf.DUMMYFUNCTION("""COMPUTED_VALUE"""),"capable")</f>
        <v>capable</v>
      </c>
      <c r="AC804" s="49"/>
      <c r="AD804" s="49" t="str">
        <f>IFERROR(__xludf.DUMMYFUNCTION("""COMPUTED_VALUE"""),"maintained")</f>
        <v>maintained</v>
      </c>
      <c r="AE804" s="49" t="str">
        <f>IFERROR(__xludf.DUMMYFUNCTION("""COMPUTED_VALUE"""),"palette")</f>
        <v>palette</v>
      </c>
      <c r="AF804" s="49" t="str">
        <f t="shared" si="4"/>
        <v>words,</v>
      </c>
      <c r="AG804" s="49"/>
      <c r="AH804" s="1" t="s">
        <v>1763</v>
      </c>
      <c r="AI804" s="1" t="s">
        <v>1649</v>
      </c>
      <c r="AJ804" s="6" t="str">
        <f>IFERROR(__xludf.DUMMYFUNCTION("""COMPUTED_VALUE"""),"jack")</f>
        <v>jack</v>
      </c>
      <c r="AK804" s="49"/>
      <c r="AL804" s="49"/>
      <c r="AM804" s="49"/>
      <c r="AN804" s="52" t="str">
        <f t="shared" si="5"/>
        <v>released,</v>
      </c>
    </row>
    <row r="805">
      <c r="A805" s="51"/>
      <c r="B805" s="50" t="s">
        <v>5543</v>
      </c>
      <c r="C805" s="50" t="s">
        <v>1722</v>
      </c>
      <c r="D805" s="49" t="str">
        <f>IFERROR(__xludf.DUMMYFUNCTION("""COMPUTED_VALUE"""),"obvious")</f>
        <v>obvious</v>
      </c>
      <c r="E805" s="49"/>
      <c r="F805" s="49"/>
      <c r="G805" s="49"/>
      <c r="H805" s="54" t="str">
        <f t="shared" si="1"/>
        <v>douglas,</v>
      </c>
      <c r="I805" s="50"/>
      <c r="J805" s="50" t="s">
        <v>719</v>
      </c>
      <c r="K805" s="50" t="s">
        <v>2053</v>
      </c>
      <c r="L805" s="49" t="str">
        <f>IFERROR(__xludf.DUMMYFUNCTION("""COMPUTED_VALUE"""),"master")</f>
        <v>master</v>
      </c>
      <c r="M805" s="49"/>
      <c r="N805" s="49" t="str">
        <f>IFERROR(__xludf.DUMMYFUNCTION("""COMPUTED_VALUE"""),"mass")</f>
        <v>mass</v>
      </c>
      <c r="O805" s="49" t="str">
        <f>IFERROR(__xludf.DUMMYFUNCTION("""COMPUTED_VALUE"""),"cunning")</f>
        <v>cunning</v>
      </c>
      <c r="P805" s="49" t="str">
        <f t="shared" si="2"/>
        <v>sexuality,</v>
      </c>
      <c r="Q805" s="49"/>
      <c r="R805" s="50" t="s">
        <v>2795</v>
      </c>
      <c r="S805" s="55" t="s">
        <v>3536</v>
      </c>
      <c r="T805" s="49" t="str">
        <f>IFERROR(__xludf.DUMMYFUNCTION("""COMPUTED_VALUE"""),"barely")</f>
        <v>barely</v>
      </c>
      <c r="U805" s="49"/>
      <c r="V805" s="49"/>
      <c r="W805" s="49" t="str">
        <f>IFERROR(__xludf.DUMMYFUNCTION("""COMPUTED_VALUE"""),"eroded")</f>
        <v>eroded</v>
      </c>
      <c r="X805" s="49" t="str">
        <f t="shared" si="3"/>
        <v>wan,</v>
      </c>
      <c r="Y805" s="49"/>
      <c r="Z805" s="1" t="s">
        <v>315</v>
      </c>
      <c r="AA805" s="1" t="s">
        <v>701</v>
      </c>
      <c r="AB805" s="49" t="str">
        <f>IFERROR(__xludf.DUMMYFUNCTION("""COMPUTED_VALUE"""),"themes")</f>
        <v>themes</v>
      </c>
      <c r="AC805" s="49"/>
      <c r="AD805" s="49" t="str">
        <f>IFERROR(__xludf.DUMMYFUNCTION("""COMPUTED_VALUE"""),"mass")</f>
        <v>mass</v>
      </c>
      <c r="AE805" s="49" t="str">
        <f>IFERROR(__xludf.DUMMYFUNCTION("""COMPUTED_VALUE"""),"cunning")</f>
        <v>cunning</v>
      </c>
      <c r="AF805" s="49" t="str">
        <f t="shared" si="4"/>
        <v>cinematography,</v>
      </c>
      <c r="AG805" s="49"/>
      <c r="AH805" s="1" t="s">
        <v>1650</v>
      </c>
      <c r="AI805" s="1" t="s">
        <v>6385</v>
      </c>
      <c r="AJ805" s="6" t="str">
        <f>IFERROR(__xludf.DUMMYFUNCTION("""COMPUTED_VALUE"""),"relationship")</f>
        <v>relationship</v>
      </c>
      <c r="AK805" s="49"/>
      <c r="AL805" s="49"/>
      <c r="AM805" s="49"/>
      <c r="AN805" s="52" t="str">
        <f t="shared" si="5"/>
        <v>played,</v>
      </c>
    </row>
    <row r="806">
      <c r="A806" s="51"/>
      <c r="B806" s="50" t="s">
        <v>6881</v>
      </c>
      <c r="C806" s="50" t="s">
        <v>1728</v>
      </c>
      <c r="D806" s="49" t="str">
        <f>IFERROR(__xludf.DUMMYFUNCTION("""COMPUTED_VALUE"""),"lived")</f>
        <v>lived</v>
      </c>
      <c r="E806" s="49"/>
      <c r="F806" s="49"/>
      <c r="G806" s="49"/>
      <c r="H806" s="54" t="str">
        <f t="shared" si="1"/>
        <v>anniversary,</v>
      </c>
      <c r="I806" s="50"/>
      <c r="J806" s="50" t="s">
        <v>2581</v>
      </c>
      <c r="K806" s="50" t="s">
        <v>1167</v>
      </c>
      <c r="L806" s="49" t="str">
        <f>IFERROR(__xludf.DUMMYFUNCTION("""COMPUTED_VALUE"""),"spirits")</f>
        <v>spirits</v>
      </c>
      <c r="M806" s="49"/>
      <c r="N806" s="49" t="str">
        <f>IFERROR(__xludf.DUMMYFUNCTION("""COMPUTED_VALUE"""),"lunch")</f>
        <v>lunch</v>
      </c>
      <c r="O806" s="49" t="str">
        <f>IFERROR(__xludf.DUMMYFUNCTION("""COMPUTED_VALUE"""),"gaunt")</f>
        <v>gaunt</v>
      </c>
      <c r="P806" s="49" t="str">
        <f t="shared" si="2"/>
        <v>christian,</v>
      </c>
      <c r="Q806" s="49"/>
      <c r="R806" s="50" t="s">
        <v>6853</v>
      </c>
      <c r="S806" s="55" t="s">
        <v>3061</v>
      </c>
      <c r="T806" s="49" t="str">
        <f>IFERROR(__xludf.DUMMYFUNCTION("""COMPUTED_VALUE"""),"robin")</f>
        <v>robin</v>
      </c>
      <c r="U806" s="49"/>
      <c r="V806" s="49"/>
      <c r="W806" s="49" t="str">
        <f>IFERROR(__xludf.DUMMYFUNCTION("""COMPUTED_VALUE"""),"rhythm")</f>
        <v>rhythm</v>
      </c>
      <c r="X806" s="49" t="str">
        <f t="shared" si="3"/>
        <v>yellow,</v>
      </c>
      <c r="Y806" s="49"/>
      <c r="Z806" s="1" t="s">
        <v>1799</v>
      </c>
      <c r="AA806" s="1" t="s">
        <v>3430</v>
      </c>
      <c r="AB806" s="49" t="str">
        <f>IFERROR(__xludf.DUMMYFUNCTION("""COMPUTED_VALUE"""),"paxton")</f>
        <v>paxton</v>
      </c>
      <c r="AC806" s="49"/>
      <c r="AD806" s="49" t="str">
        <f>IFERROR(__xludf.DUMMYFUNCTION("""COMPUTED_VALUE"""),"lunch")</f>
        <v>lunch</v>
      </c>
      <c r="AE806" s="49" t="str">
        <f>IFERROR(__xludf.DUMMYFUNCTION("""COMPUTED_VALUE"""),"gaunt")</f>
        <v>gaunt</v>
      </c>
      <c r="AF806" s="49" t="str">
        <f t="shared" si="4"/>
        <v>describe,</v>
      </c>
      <c r="AG806" s="49"/>
      <c r="AH806" s="1" t="s">
        <v>843</v>
      </c>
      <c r="AI806" s="1" t="s">
        <v>6386</v>
      </c>
      <c r="AJ806" s="6" t="str">
        <f>IFERROR(__xludf.DUMMYFUNCTION("""COMPUTED_VALUE"""),"1980s")</f>
        <v>1980s</v>
      </c>
      <c r="AK806" s="49"/>
      <c r="AL806" s="49"/>
      <c r="AM806" s="49"/>
      <c r="AN806" s="52" t="str">
        <f t="shared" si="5"/>
        <v>early,</v>
      </c>
    </row>
    <row r="807">
      <c r="A807" s="51"/>
      <c r="B807" s="50" t="s">
        <v>6277</v>
      </c>
      <c r="C807" s="50" t="s">
        <v>2487</v>
      </c>
      <c r="D807" s="49" t="str">
        <f>IFERROR(__xludf.DUMMYFUNCTION("""COMPUTED_VALUE"""),"passing")</f>
        <v>passing</v>
      </c>
      <c r="E807" s="49"/>
      <c r="F807" s="49"/>
      <c r="G807" s="49"/>
      <c r="H807" s="54" t="str">
        <f t="shared" si="1"/>
        <v>hollywood,</v>
      </c>
      <c r="I807" s="50"/>
      <c r="J807" s="50" t="s">
        <v>6503</v>
      </c>
      <c r="K807" s="50" t="s">
        <v>551</v>
      </c>
      <c r="L807" s="49" t="str">
        <f>IFERROR(__xludf.DUMMYFUNCTION("""COMPUTED_VALUE"""),"pulls")</f>
        <v>pulls</v>
      </c>
      <c r="M807" s="49"/>
      <c r="N807" s="49" t="str">
        <f>IFERROR(__xludf.DUMMYFUNCTION("""COMPUTED_VALUE"""),"notch")</f>
        <v>notch</v>
      </c>
      <c r="O807" s="49" t="str">
        <f>IFERROR(__xludf.DUMMYFUNCTION("""COMPUTED_VALUE"""),"wasted")</f>
        <v>wasted</v>
      </c>
      <c r="P807" s="49" t="str">
        <f t="shared" si="2"/>
        <v>below,</v>
      </c>
      <c r="Q807" s="49"/>
      <c r="R807" s="50" t="s">
        <v>3639</v>
      </c>
      <c r="S807" s="55" t="s">
        <v>5120</v>
      </c>
      <c r="T807" s="49" t="str">
        <f>IFERROR(__xludf.DUMMYFUNCTION("""COMPUTED_VALUE"""),"epic")</f>
        <v>epic</v>
      </c>
      <c r="U807" s="49"/>
      <c r="V807" s="49"/>
      <c r="W807" s="49" t="str">
        <f>IFERROR(__xludf.DUMMYFUNCTION("""COMPUTED_VALUE"""),"flawed")</f>
        <v>flawed</v>
      </c>
      <c r="X807" s="49" t="str">
        <f t="shared" si="3"/>
        <v>wise,</v>
      </c>
      <c r="Y807" s="49"/>
      <c r="Z807" s="1" t="s">
        <v>1797</v>
      </c>
      <c r="AA807" s="1" t="s">
        <v>1096</v>
      </c>
      <c r="AB807" s="49" t="str">
        <f>IFERROR(__xludf.DUMMYFUNCTION("""COMPUTED_VALUE"""),"changing")</f>
        <v>changing</v>
      </c>
      <c r="AC807" s="49"/>
      <c r="AD807" s="49" t="str">
        <f>IFERROR(__xludf.DUMMYFUNCTION("""COMPUTED_VALUE"""),"notch")</f>
        <v>notch</v>
      </c>
      <c r="AE807" s="49" t="str">
        <f>IFERROR(__xludf.DUMMYFUNCTION("""COMPUTED_VALUE"""),"wasted")</f>
        <v>wasted</v>
      </c>
      <c r="AF807" s="49" t="str">
        <f t="shared" si="4"/>
        <v>war,</v>
      </c>
      <c r="AG807" s="49"/>
      <c r="AH807" s="1" t="s">
        <v>1299</v>
      </c>
      <c r="AI807" s="1" t="s">
        <v>493</v>
      </c>
      <c r="AJ807" s="6" t="str">
        <f>IFERROR(__xludf.DUMMYFUNCTION("""COMPUTED_VALUE"""),"powerful")</f>
        <v>powerful</v>
      </c>
      <c r="AK807" s="49"/>
      <c r="AL807" s="49"/>
      <c r="AM807" s="49"/>
      <c r="AN807" s="52" t="str">
        <f t="shared" si="5"/>
        <v>among,</v>
      </c>
    </row>
    <row r="808">
      <c r="A808" s="51"/>
      <c r="B808" s="50" t="s">
        <v>4748</v>
      </c>
      <c r="C808" s="50" t="s">
        <v>1697</v>
      </c>
      <c r="D808" s="49" t="str">
        <f>IFERROR(__xludf.DUMMYFUNCTION("""COMPUTED_VALUE"""),"na")</f>
        <v>na</v>
      </c>
      <c r="E808" s="49"/>
      <c r="F808" s="49"/>
      <c r="G808" s="49"/>
      <c r="H808" s="54" t="str">
        <f t="shared" si="1"/>
        <v>superior,</v>
      </c>
      <c r="I808" s="50"/>
      <c r="J808" s="50">
        <v>10.0</v>
      </c>
      <c r="K808" s="50" t="s">
        <v>3435</v>
      </c>
      <c r="L808" s="49" t="str">
        <f>IFERROR(__xludf.DUMMYFUNCTION("""COMPUTED_VALUE"""),"detailed")</f>
        <v>detailed</v>
      </c>
      <c r="M808" s="49"/>
      <c r="N808" s="49" t="str">
        <f>IFERROR(__xludf.DUMMYFUNCTION("""COMPUTED_VALUE"""),"ab")</f>
        <v>ab</v>
      </c>
      <c r="O808" s="49" t="str">
        <f>IFERROR(__xludf.DUMMYFUNCTION("""COMPUTED_VALUE"""),"tiny")</f>
        <v>tiny</v>
      </c>
      <c r="P808" s="49" t="str">
        <f t="shared" si="2"/>
        <v>10,</v>
      </c>
      <c r="Q808" s="49"/>
      <c r="R808" s="50" t="s">
        <v>4925</v>
      </c>
      <c r="S808" s="55" t="s">
        <v>3066</v>
      </c>
      <c r="T808" s="49" t="str">
        <f>IFERROR(__xludf.DUMMYFUNCTION("""COMPUTED_VALUE"""),"target")</f>
        <v>target</v>
      </c>
      <c r="U808" s="49"/>
      <c r="V808" s="49"/>
      <c r="W808" s="49" t="str">
        <f>IFERROR(__xludf.DUMMYFUNCTION("""COMPUTED_VALUE"""),"comprehend")</f>
        <v>comprehend</v>
      </c>
      <c r="X808" s="49" t="str">
        <f t="shared" si="3"/>
        <v>crawl,</v>
      </c>
      <c r="Y808" s="49"/>
      <c r="Z808" s="1" t="s">
        <v>659</v>
      </c>
      <c r="AA808" s="1" t="s">
        <v>2351</v>
      </c>
      <c r="AB808" s="49" t="str">
        <f>IFERROR(__xludf.DUMMYFUNCTION("""COMPUTED_VALUE"""),"seat")</f>
        <v>seat</v>
      </c>
      <c r="AC808" s="49"/>
      <c r="AD808" s="49" t="str">
        <f>IFERROR(__xludf.DUMMYFUNCTION("""COMPUTED_VALUE"""),"ab")</f>
        <v>ab</v>
      </c>
      <c r="AE808" s="49" t="str">
        <f>IFERROR(__xludf.DUMMYFUNCTION("""COMPUTED_VALUE"""),"tiny")</f>
        <v>tiny</v>
      </c>
      <c r="AF808" s="49" t="str">
        <f t="shared" si="4"/>
        <v>follow,</v>
      </c>
      <c r="AG808" s="49"/>
      <c r="AH808" s="1" t="s">
        <v>591</v>
      </c>
      <c r="AI808" s="1" t="s">
        <v>332</v>
      </c>
      <c r="AJ808" s="6" t="str">
        <f>IFERROR(__xludf.DUMMYFUNCTION("""COMPUTED_VALUE"""),"rich")</f>
        <v>rich</v>
      </c>
      <c r="AK808" s="49"/>
      <c r="AL808" s="49"/>
      <c r="AM808" s="49"/>
      <c r="AN808" s="52" t="str">
        <f t="shared" si="5"/>
        <v>robert,</v>
      </c>
    </row>
    <row r="809">
      <c r="A809" s="51"/>
      <c r="B809" s="50" t="s">
        <v>4879</v>
      </c>
      <c r="C809" s="50" t="s">
        <v>2864</v>
      </c>
      <c r="D809" s="49" t="str">
        <f>IFERROR(__xludf.DUMMYFUNCTION("""COMPUTED_VALUE"""),"stupid")</f>
        <v>stupid</v>
      </c>
      <c r="E809" s="49"/>
      <c r="F809" s="49"/>
      <c r="G809" s="49"/>
      <c r="H809" s="54" t="str">
        <f t="shared" si="1"/>
        <v>alien,</v>
      </c>
      <c r="I809" s="50"/>
      <c r="J809" s="50" t="s">
        <v>2348</v>
      </c>
      <c r="K809" s="50" t="s">
        <v>2894</v>
      </c>
      <c r="L809" s="49" t="str">
        <f>IFERROR(__xludf.DUMMYFUNCTION("""COMPUTED_VALUE"""),"reveal")</f>
        <v>reveal</v>
      </c>
      <c r="M809" s="49"/>
      <c r="N809" s="49" t="str">
        <f>IFERROR(__xludf.DUMMYFUNCTION("""COMPUTED_VALUE"""),"guaranteed")</f>
        <v>guaranteed</v>
      </c>
      <c r="O809" s="49" t="str">
        <f>IFERROR(__xludf.DUMMYFUNCTION("""COMPUTED_VALUE"""),"participant")</f>
        <v>participant</v>
      </c>
      <c r="P809" s="49" t="str">
        <f t="shared" si="2"/>
        <v>slightly,</v>
      </c>
      <c r="Q809" s="49"/>
      <c r="R809" s="50" t="s">
        <v>1836</v>
      </c>
      <c r="S809" s="55" t="s">
        <v>374</v>
      </c>
      <c r="T809" s="49" t="str">
        <f>IFERROR(__xludf.DUMMYFUNCTION("""COMPUTED_VALUE"""),"superhuman")</f>
        <v>superhuman</v>
      </c>
      <c r="U809" s="49"/>
      <c r="V809" s="49"/>
      <c r="W809" s="49" t="str">
        <f>IFERROR(__xludf.DUMMYFUNCTION("""COMPUTED_VALUE"""),"treat")</f>
        <v>treat</v>
      </c>
      <c r="X809" s="49" t="str">
        <f t="shared" si="3"/>
        <v>surprise,</v>
      </c>
      <c r="Y809" s="49"/>
      <c r="Z809" s="1" t="s">
        <v>4224</v>
      </c>
      <c r="AA809" s="1" t="s">
        <v>788</v>
      </c>
      <c r="AB809" s="49" t="str">
        <f>IFERROR(__xludf.DUMMYFUNCTION("""COMPUTED_VALUE"""),"politically")</f>
        <v>politically</v>
      </c>
      <c r="AC809" s="49"/>
      <c r="AD809" s="49" t="str">
        <f>IFERROR(__xludf.DUMMYFUNCTION("""COMPUTED_VALUE"""),"guaranteed")</f>
        <v>guaranteed</v>
      </c>
      <c r="AE809" s="49" t="str">
        <f>IFERROR(__xludf.DUMMYFUNCTION("""COMPUTED_VALUE"""),"participant")</f>
        <v>participant</v>
      </c>
      <c r="AF809" s="49" t="str">
        <f t="shared" si="4"/>
        <v>strange,</v>
      </c>
      <c r="AG809" s="49"/>
      <c r="AH809" s="1" t="s">
        <v>3066</v>
      </c>
      <c r="AI809" s="1" t="s">
        <v>6388</v>
      </c>
      <c r="AJ809" s="6" t="str">
        <f>IFERROR(__xludf.DUMMYFUNCTION("""COMPUTED_VALUE"""),"desire")</f>
        <v>desire</v>
      </c>
      <c r="AK809" s="49"/>
      <c r="AL809" s="49"/>
      <c r="AM809" s="49"/>
      <c r="AN809" s="52" t="str">
        <f t="shared" si="5"/>
        <v>star,</v>
      </c>
    </row>
    <row r="810">
      <c r="A810" s="51"/>
      <c r="B810" s="50" t="s">
        <v>2106</v>
      </c>
      <c r="C810" s="50" t="s">
        <v>742</v>
      </c>
      <c r="D810" s="49" t="str">
        <f>IFERROR(__xludf.DUMMYFUNCTION("""COMPUTED_VALUE"""),"elements")</f>
        <v>elements</v>
      </c>
      <c r="E810" s="49"/>
      <c r="F810" s="49"/>
      <c r="G810" s="49"/>
      <c r="H810" s="54" t="str">
        <f t="shared" si="1"/>
        <v>souls,</v>
      </c>
      <c r="I810" s="50"/>
      <c r="J810" s="50" t="s">
        <v>877</v>
      </c>
      <c r="K810" s="50" t="s">
        <v>464</v>
      </c>
      <c r="L810" s="49" t="str">
        <f>IFERROR(__xludf.DUMMYFUNCTION("""COMPUTED_VALUE"""),"evening")</f>
        <v>evening</v>
      </c>
      <c r="M810" s="49"/>
      <c r="N810" s="49" t="str">
        <f>IFERROR(__xludf.DUMMYFUNCTION("""COMPUTED_VALUE"""),"injustice")</f>
        <v>injustice</v>
      </c>
      <c r="O810" s="49" t="str">
        <f>IFERROR(__xludf.DUMMYFUNCTION("""COMPUTED_VALUE"""),"fees")</f>
        <v>fees</v>
      </c>
      <c r="P810" s="49" t="str">
        <f t="shared" si="2"/>
        <v>college,</v>
      </c>
      <c r="Q810" s="49"/>
      <c r="R810" s="50" t="s">
        <v>1223</v>
      </c>
      <c r="S810" s="55" t="s">
        <v>1856</v>
      </c>
      <c r="T810" s="49" t="str">
        <f>IFERROR(__xludf.DUMMYFUNCTION("""COMPUTED_VALUE"""),"economics")</f>
        <v>economics</v>
      </c>
      <c r="U810" s="49"/>
      <c r="V810" s="49"/>
      <c r="W810" s="49" t="str">
        <f>IFERROR(__xludf.DUMMYFUNCTION("""COMPUTED_VALUE"""),"lifts")</f>
        <v>lifts</v>
      </c>
      <c r="X810" s="49" t="str">
        <f t="shared" si="3"/>
        <v>open,</v>
      </c>
      <c r="Y810" s="49"/>
      <c r="Z810" s="1" t="s">
        <v>2167</v>
      </c>
      <c r="AA810" s="1" t="s">
        <v>2363</v>
      </c>
      <c r="AB810" s="49" t="str">
        <f>IFERROR(__xludf.DUMMYFUNCTION("""COMPUTED_VALUE"""),"innocence")</f>
        <v>innocence</v>
      </c>
      <c r="AC810" s="49"/>
      <c r="AD810" s="49" t="str">
        <f>IFERROR(__xludf.DUMMYFUNCTION("""COMPUTED_VALUE"""),"injustice")</f>
        <v>injustice</v>
      </c>
      <c r="AE810" s="49" t="str">
        <f>IFERROR(__xludf.DUMMYFUNCTION("""COMPUTED_VALUE"""),"fees")</f>
        <v>fees</v>
      </c>
      <c r="AF810" s="49" t="str">
        <f t="shared" si="4"/>
        <v>brown,</v>
      </c>
      <c r="AG810" s="49"/>
      <c r="AH810" s="1" t="s">
        <v>1131</v>
      </c>
      <c r="AI810" s="1" t="s">
        <v>1614</v>
      </c>
      <c r="AJ810" s="6" t="str">
        <f>IFERROR(__xludf.DUMMYFUNCTION("""COMPUTED_VALUE"""),"ford")</f>
        <v>ford</v>
      </c>
      <c r="AK810" s="49"/>
      <c r="AL810" s="49"/>
      <c r="AM810" s="49"/>
      <c r="AN810" s="52" t="str">
        <f t="shared" si="5"/>
        <v>directed,</v>
      </c>
    </row>
    <row r="811">
      <c r="A811" s="51"/>
      <c r="B811" s="50" t="s">
        <v>6675</v>
      </c>
      <c r="C811" s="50" t="s">
        <v>6381</v>
      </c>
      <c r="D811" s="49" t="str">
        <f>IFERROR(__xludf.DUMMYFUNCTION("""COMPUTED_VALUE"""),"mood")</f>
        <v>mood</v>
      </c>
      <c r="E811" s="49"/>
      <c r="F811" s="49"/>
      <c r="G811" s="49"/>
      <c r="H811" s="54" t="str">
        <f t="shared" si="1"/>
        <v>ruined,</v>
      </c>
      <c r="I811" s="50"/>
      <c r="J811" s="50" t="s">
        <v>7283</v>
      </c>
      <c r="K811" s="50" t="s">
        <v>560</v>
      </c>
      <c r="L811" s="49" t="str">
        <f>IFERROR(__xludf.DUMMYFUNCTION("""COMPUTED_VALUE"""),"sleek")</f>
        <v>sleek</v>
      </c>
      <c r="M811" s="49"/>
      <c r="N811" s="49" t="str">
        <f>IFERROR(__xludf.DUMMYFUNCTION("""COMPUTED_VALUE"""),"chill")</f>
        <v>chill</v>
      </c>
      <c r="O811" s="49" t="str">
        <f>IFERROR(__xludf.DUMMYFUNCTION("""COMPUTED_VALUE"""),"technological")</f>
        <v>technological</v>
      </c>
      <c r="P811" s="49" t="str">
        <f t="shared" si="2"/>
        <v>reviewers,</v>
      </c>
      <c r="Q811" s="49"/>
      <c r="R811" s="50" t="s">
        <v>1898</v>
      </c>
      <c r="S811" s="55" t="s">
        <v>3079</v>
      </c>
      <c r="T811" s="49" t="str">
        <f>IFERROR(__xludf.DUMMYFUNCTION("""COMPUTED_VALUE"""),"moments")</f>
        <v>moments</v>
      </c>
      <c r="U811" s="49"/>
      <c r="V811" s="49"/>
      <c r="W811" s="49" t="str">
        <f>IFERROR(__xludf.DUMMYFUNCTION("""COMPUTED_VALUE"""),"gloss")</f>
        <v>gloss</v>
      </c>
      <c r="X811" s="49" t="str">
        <f t="shared" si="3"/>
        <v>die,</v>
      </c>
      <c r="Y811" s="49"/>
      <c r="Z811" s="1" t="s">
        <v>2122</v>
      </c>
      <c r="AA811" s="1" t="s">
        <v>2375</v>
      </c>
      <c r="AB811" s="49" t="str">
        <f>IFERROR(__xludf.DUMMYFUNCTION("""COMPUTED_VALUE"""),"dramatically")</f>
        <v>dramatically</v>
      </c>
      <c r="AC811" s="49"/>
      <c r="AD811" s="49" t="str">
        <f>IFERROR(__xludf.DUMMYFUNCTION("""COMPUTED_VALUE"""),"chill")</f>
        <v>chill</v>
      </c>
      <c r="AE811" s="49" t="str">
        <f>IFERROR(__xludf.DUMMYFUNCTION("""COMPUTED_VALUE"""),"technological")</f>
        <v>technological</v>
      </c>
      <c r="AF811" s="49" t="str">
        <f t="shared" si="4"/>
        <v>fashion,</v>
      </c>
      <c r="AG811" s="49"/>
      <c r="AH811" s="1" t="s">
        <v>4307</v>
      </c>
      <c r="AI811" s="1" t="s">
        <v>2335</v>
      </c>
      <c r="AJ811" s="6" t="str">
        <f>IFERROR(__xludf.DUMMYFUNCTION("""COMPUTED_VALUE"""),"improve")</f>
        <v>improve</v>
      </c>
      <c r="AK811" s="49"/>
      <c r="AL811" s="49"/>
      <c r="AM811" s="49"/>
      <c r="AN811" s="52" t="str">
        <f t="shared" si="5"/>
        <v>jack,</v>
      </c>
    </row>
    <row r="812">
      <c r="A812" s="51"/>
      <c r="B812" s="50" t="s">
        <v>6109</v>
      </c>
      <c r="C812" s="50" t="s">
        <v>2658</v>
      </c>
      <c r="D812" s="49" t="str">
        <f>IFERROR(__xludf.DUMMYFUNCTION("""COMPUTED_VALUE"""),"heated")</f>
        <v>heated</v>
      </c>
      <c r="E812" s="49"/>
      <c r="F812" s="49"/>
      <c r="G812" s="49"/>
      <c r="H812" s="54" t="str">
        <f t="shared" si="1"/>
        <v>marking,</v>
      </c>
      <c r="I812" s="50"/>
      <c r="J812" s="50" t="s">
        <v>800</v>
      </c>
      <c r="K812" s="50" t="s">
        <v>3442</v>
      </c>
      <c r="L812" s="49" t="str">
        <f>IFERROR(__xludf.DUMMYFUNCTION("""COMPUTED_VALUE"""),"seconds")</f>
        <v>seconds</v>
      </c>
      <c r="M812" s="49"/>
      <c r="N812" s="49" t="str">
        <f>IFERROR(__xludf.DUMMYFUNCTION("""COMPUTED_VALUE"""),"hawaiian")</f>
        <v>hawaiian</v>
      </c>
      <c r="O812" s="49" t="str">
        <f>IFERROR(__xludf.DUMMYFUNCTION("""COMPUTED_VALUE"""),"concentrating")</f>
        <v>concentrating</v>
      </c>
      <c r="P812" s="49" t="str">
        <f t="shared" si="2"/>
        <v>need,</v>
      </c>
      <c r="Q812" s="49"/>
      <c r="R812" s="50" t="s">
        <v>2630</v>
      </c>
      <c r="S812" s="55" t="s">
        <v>2634</v>
      </c>
      <c r="T812" s="49" t="str">
        <f>IFERROR(__xludf.DUMMYFUNCTION("""COMPUTED_VALUE"""),"senses")</f>
        <v>senses</v>
      </c>
      <c r="U812" s="49"/>
      <c r="V812" s="49"/>
      <c r="W812" s="49" t="str">
        <f>IFERROR(__xludf.DUMMYFUNCTION("""COMPUTED_VALUE"""),"regain")</f>
        <v>regain</v>
      </c>
      <c r="X812" s="49" t="str">
        <f t="shared" si="3"/>
        <v>spirit,</v>
      </c>
      <c r="Y812" s="49"/>
      <c r="Z812" s="1" t="s">
        <v>2179</v>
      </c>
      <c r="AA812" s="1" t="s">
        <v>2373</v>
      </c>
      <c r="AB812" s="49" t="str">
        <f>IFERROR(__xludf.DUMMYFUNCTION("""COMPUTED_VALUE"""),"resemble")</f>
        <v>resemble</v>
      </c>
      <c r="AC812" s="49"/>
      <c r="AD812" s="49" t="str">
        <f>IFERROR(__xludf.DUMMYFUNCTION("""COMPUTED_VALUE"""),"hawaiian")</f>
        <v>hawaiian</v>
      </c>
      <c r="AE812" s="49" t="str">
        <f>IFERROR(__xludf.DUMMYFUNCTION("""COMPUTED_VALUE"""),"concentrating")</f>
        <v>concentrating</v>
      </c>
      <c r="AF812" s="49" t="str">
        <f t="shared" si="4"/>
        <v>steven,</v>
      </c>
      <c r="AG812" s="49"/>
      <c r="AH812" s="1" t="s">
        <v>5088</v>
      </c>
      <c r="AI812" s="1" t="s">
        <v>1022</v>
      </c>
      <c r="AJ812" s="6" t="str">
        <f>IFERROR(__xludf.DUMMYFUNCTION("""COMPUTED_VALUE"""),"decade")</f>
        <v>decade</v>
      </c>
      <c r="AK812" s="49"/>
      <c r="AL812" s="49"/>
      <c r="AM812" s="49"/>
      <c r="AN812" s="52" t="str">
        <f t="shared" si="5"/>
        <v>relationship,</v>
      </c>
    </row>
    <row r="813">
      <c r="A813" s="51"/>
      <c r="B813" s="50" t="s">
        <v>1797</v>
      </c>
      <c r="C813" s="50" t="s">
        <v>1714</v>
      </c>
      <c r="D813" s="49" t="str">
        <f>IFERROR(__xludf.DUMMYFUNCTION("""COMPUTED_VALUE"""),"felt")</f>
        <v>felt</v>
      </c>
      <c r="E813" s="49"/>
      <c r="F813" s="49"/>
      <c r="G813" s="49"/>
      <c r="H813" s="54" t="str">
        <f t="shared" si="1"/>
        <v>war,</v>
      </c>
      <c r="I813" s="50"/>
      <c r="J813" s="50" t="s">
        <v>6329</v>
      </c>
      <c r="K813" s="50" t="s">
        <v>2061</v>
      </c>
      <c r="L813" s="49" t="str">
        <f>IFERROR(__xludf.DUMMYFUNCTION("""COMPUTED_VALUE"""),"laced")</f>
        <v>laced</v>
      </c>
      <c r="M813" s="49"/>
      <c r="N813" s="49" t="str">
        <f>IFERROR(__xludf.DUMMYFUNCTION("""COMPUTED_VALUE"""),"surf")</f>
        <v>surf</v>
      </c>
      <c r="O813" s="49" t="str">
        <f>IFERROR(__xludf.DUMMYFUNCTION("""COMPUTED_VALUE"""),"retaliation")</f>
        <v>retaliation</v>
      </c>
      <c r="P813" s="49" t="str">
        <f t="shared" si="2"/>
        <v>able,</v>
      </c>
      <c r="Q813" s="49"/>
      <c r="R813" s="50" t="s">
        <v>1309</v>
      </c>
      <c r="S813" s="55" t="s">
        <v>2630</v>
      </c>
      <c r="T813" s="49" t="str">
        <f>IFERROR(__xludf.DUMMYFUNCTION("""COMPUTED_VALUE"""),"major")</f>
        <v>major</v>
      </c>
      <c r="U813" s="49"/>
      <c r="V813" s="49"/>
      <c r="W813" s="49" t="str">
        <f>IFERROR(__xludf.DUMMYFUNCTION("""COMPUTED_VALUE"""),"manipulation")</f>
        <v>manipulation</v>
      </c>
      <c r="X813" s="49" t="str">
        <f t="shared" si="3"/>
        <v>actresses,</v>
      </c>
      <c r="Y813" s="49"/>
      <c r="Z813" s="1" t="s">
        <v>2767</v>
      </c>
      <c r="AA813" s="1" t="s">
        <v>566</v>
      </c>
      <c r="AB813" s="49" t="str">
        <f>IFERROR(__xludf.DUMMYFUNCTION("""COMPUTED_VALUE"""),"goofy")</f>
        <v>goofy</v>
      </c>
      <c r="AC813" s="49"/>
      <c r="AD813" s="49" t="str">
        <f>IFERROR(__xludf.DUMMYFUNCTION("""COMPUTED_VALUE"""),"surf")</f>
        <v>surf</v>
      </c>
      <c r="AE813" s="49" t="str">
        <f>IFERROR(__xludf.DUMMYFUNCTION("""COMPUTED_VALUE"""),"retaliation")</f>
        <v>retaliation</v>
      </c>
      <c r="AF813" s="49" t="str">
        <f t="shared" si="4"/>
        <v>realize,</v>
      </c>
      <c r="AG813" s="49"/>
      <c r="AH813" s="1" t="s">
        <v>6716</v>
      </c>
      <c r="AI813" s="1" t="s">
        <v>2808</v>
      </c>
      <c r="AJ813" s="6" t="str">
        <f>IFERROR(__xludf.DUMMYFUNCTION("""COMPUTED_VALUE"""),"tend")</f>
        <v>tend</v>
      </c>
      <c r="AK813" s="49"/>
      <c r="AL813" s="49"/>
      <c r="AM813" s="49"/>
      <c r="AN813" s="52" t="str">
        <f t="shared" si="5"/>
        <v>1980s,</v>
      </c>
    </row>
    <row r="814">
      <c r="A814" s="51"/>
      <c r="B814" s="50" t="s">
        <v>1666</v>
      </c>
      <c r="C814" s="50" t="s">
        <v>2882</v>
      </c>
      <c r="D814" s="49" t="str">
        <f>IFERROR(__xludf.DUMMYFUNCTION("""COMPUTED_VALUE"""),"across")</f>
        <v>across</v>
      </c>
      <c r="E814" s="49"/>
      <c r="F814" s="49"/>
      <c r="G814" s="49"/>
      <c r="H814" s="54" t="str">
        <f t="shared" si="1"/>
        <v>english,</v>
      </c>
      <c r="I814" s="50"/>
      <c r="J814" s="50" t="s">
        <v>6449</v>
      </c>
      <c r="K814" s="50" t="s">
        <v>2901</v>
      </c>
      <c r="L814" s="49" t="str">
        <f>IFERROR(__xludf.DUMMYFUNCTION("""COMPUTED_VALUE"""),"depressed")</f>
        <v>depressed</v>
      </c>
      <c r="M814" s="49"/>
      <c r="N814" s="49" t="str">
        <f>IFERROR(__xludf.DUMMYFUNCTION("""COMPUTED_VALUE"""),"founder")</f>
        <v>founder</v>
      </c>
      <c r="O814" s="49" t="str">
        <f>IFERROR(__xludf.DUMMYFUNCTION("""COMPUTED_VALUE"""),"sadly")</f>
        <v>sadly</v>
      </c>
      <c r="P814" s="49" t="str">
        <f t="shared" si="2"/>
        <v>truly,</v>
      </c>
      <c r="Q814" s="49"/>
      <c r="R814" s="50" t="s">
        <v>3049</v>
      </c>
      <c r="S814" s="55" t="s">
        <v>772</v>
      </c>
      <c r="T814" s="49" t="str">
        <f>IFERROR(__xludf.DUMMYFUNCTION("""COMPUTED_VALUE"""),"conventional")</f>
        <v>conventional</v>
      </c>
      <c r="U814" s="49"/>
      <c r="V814" s="49"/>
      <c r="W814" s="49" t="str">
        <f>IFERROR(__xludf.DUMMYFUNCTION("""COMPUTED_VALUE"""),"optimism")</f>
        <v>optimism</v>
      </c>
      <c r="X814" s="49" t="str">
        <f t="shared" si="3"/>
        <v>humorous,</v>
      </c>
      <c r="Y814" s="49"/>
      <c r="Z814" s="1" t="s">
        <v>3868</v>
      </c>
      <c r="AA814" s="1" t="s">
        <v>2391</v>
      </c>
      <c r="AB814" s="49" t="str">
        <f>IFERROR(__xludf.DUMMYFUNCTION("""COMPUTED_VALUE"""),"plotting")</f>
        <v>plotting</v>
      </c>
      <c r="AC814" s="49"/>
      <c r="AD814" s="49" t="str">
        <f>IFERROR(__xludf.DUMMYFUNCTION("""COMPUTED_VALUE"""),"founder")</f>
        <v>founder</v>
      </c>
      <c r="AE814" s="49" t="str">
        <f>IFERROR(__xludf.DUMMYFUNCTION("""COMPUTED_VALUE"""),"sadly")</f>
        <v>sadly</v>
      </c>
      <c r="AF814" s="49" t="str">
        <f t="shared" si="4"/>
        <v>wilson,</v>
      </c>
      <c r="AG814" s="49"/>
      <c r="AH814" s="1" t="s">
        <v>398</v>
      </c>
      <c r="AI814" s="1" t="s">
        <v>5935</v>
      </c>
      <c r="AJ814" s="6" t="str">
        <f>IFERROR(__xludf.DUMMYFUNCTION("""COMPUTED_VALUE"""),"derek")</f>
        <v>derek</v>
      </c>
      <c r="AK814" s="49"/>
      <c r="AL814" s="49"/>
      <c r="AM814" s="49"/>
      <c r="AN814" s="52" t="str">
        <f t="shared" si="5"/>
        <v>powerful,</v>
      </c>
    </row>
    <row r="815">
      <c r="A815" s="51"/>
      <c r="B815" s="50" t="s">
        <v>689</v>
      </c>
      <c r="C815" s="50" t="s">
        <v>1725</v>
      </c>
      <c r="D815" s="49" t="str">
        <f>IFERROR(__xludf.DUMMYFUNCTION("""COMPUTED_VALUE"""),"board")</f>
        <v>board</v>
      </c>
      <c r="E815" s="49"/>
      <c r="F815" s="49"/>
      <c r="G815" s="49"/>
      <c r="H815" s="54" t="str">
        <f t="shared" si="1"/>
        <v>days,</v>
      </c>
      <c r="I815" s="50"/>
      <c r="J815" s="50" t="s">
        <v>291</v>
      </c>
      <c r="K815" s="50" t="s">
        <v>2905</v>
      </c>
      <c r="L815" s="49" t="str">
        <f>IFERROR(__xludf.DUMMYFUNCTION("""COMPUTED_VALUE"""),"tickets")</f>
        <v>tickets</v>
      </c>
      <c r="M815" s="49"/>
      <c r="N815" s="49" t="str">
        <f>IFERROR(__xludf.DUMMYFUNCTION("""COMPUTED_VALUE"""),"patiently")</f>
        <v>patiently</v>
      </c>
      <c r="O815" s="49" t="str">
        <f>IFERROR(__xludf.DUMMYFUNCTION("""COMPUTED_VALUE"""),"relationship")</f>
        <v>relationship</v>
      </c>
      <c r="P815" s="49" t="str">
        <f t="shared" si="2"/>
        <v>weaknesses,</v>
      </c>
      <c r="Q815" s="49"/>
      <c r="R815" s="50" t="s">
        <v>4449</v>
      </c>
      <c r="S815" s="55" t="s">
        <v>2638</v>
      </c>
      <c r="T815" s="49" t="str">
        <f>IFERROR(__xludf.DUMMYFUNCTION("""COMPUTED_VALUE"""),"stock")</f>
        <v>stock</v>
      </c>
      <c r="U815" s="49"/>
      <c r="V815" s="49"/>
      <c r="W815" s="49" t="str">
        <f>IFERROR(__xludf.DUMMYFUNCTION("""COMPUTED_VALUE"""),"elder")</f>
        <v>elder</v>
      </c>
      <c r="X815" s="49" t="str">
        <f t="shared" si="3"/>
        <v>tank,</v>
      </c>
      <c r="Y815" s="49"/>
      <c r="Z815" s="1" t="s">
        <v>565</v>
      </c>
      <c r="AA815" s="1" t="s">
        <v>99</v>
      </c>
      <c r="AB815" s="49" t="str">
        <f>IFERROR(__xludf.DUMMYFUNCTION("""COMPUTED_VALUE"""),"layers")</f>
        <v>layers</v>
      </c>
      <c r="AC815" s="49"/>
      <c r="AD815" s="49" t="str">
        <f>IFERROR(__xludf.DUMMYFUNCTION("""COMPUTED_VALUE"""),"patiently")</f>
        <v>patiently</v>
      </c>
      <c r="AE815" s="49" t="str">
        <f>IFERROR(__xludf.DUMMYFUNCTION("""COMPUTED_VALUE"""),"relationship")</f>
        <v>relationship</v>
      </c>
      <c r="AF815" s="49" t="str">
        <f t="shared" si="4"/>
        <v>though,</v>
      </c>
      <c r="AG815" s="49"/>
      <c r="AH815" s="1" t="s">
        <v>767</v>
      </c>
      <c r="AI815" s="1" t="s">
        <v>1657</v>
      </c>
      <c r="AJ815" s="6" t="str">
        <f>IFERROR(__xludf.DUMMYFUNCTION("""COMPUTED_VALUE"""),"house")</f>
        <v>house</v>
      </c>
      <c r="AK815" s="49"/>
      <c r="AL815" s="49"/>
      <c r="AM815" s="49"/>
      <c r="AN815" s="52" t="str">
        <f t="shared" si="5"/>
        <v>rich,</v>
      </c>
    </row>
    <row r="816">
      <c r="A816" s="51"/>
      <c r="B816" s="50" t="s">
        <v>2093</v>
      </c>
      <c r="C816" s="50" t="s">
        <v>6383</v>
      </c>
      <c r="D816" s="49" t="str">
        <f>IFERROR(__xludf.DUMMYFUNCTION("""COMPUTED_VALUE"""),"weird")</f>
        <v>weird</v>
      </c>
      <c r="E816" s="49"/>
      <c r="F816" s="49"/>
      <c r="G816" s="49"/>
      <c r="H816" s="54" t="str">
        <f t="shared" si="1"/>
        <v>ii,</v>
      </c>
      <c r="I816" s="50"/>
      <c r="J816" s="50" t="s">
        <v>1091</v>
      </c>
      <c r="K816" s="50" t="s">
        <v>3451</v>
      </c>
      <c r="L816" s="49" t="str">
        <f>IFERROR(__xludf.DUMMYFUNCTION("""COMPUTED_VALUE"""),"front")</f>
        <v>front</v>
      </c>
      <c r="M816" s="49"/>
      <c r="N816" s="49" t="str">
        <f>IFERROR(__xludf.DUMMYFUNCTION("""COMPUTED_VALUE"""),"cake")</f>
        <v>cake</v>
      </c>
      <c r="O816" s="49" t="str">
        <f>IFERROR(__xludf.DUMMYFUNCTION("""COMPUTED_VALUE"""),"woodland")</f>
        <v>woodland</v>
      </c>
      <c r="P816" s="49" t="str">
        <f t="shared" si="2"/>
        <v>difference,</v>
      </c>
      <c r="Q816" s="49"/>
      <c r="R816" s="50" t="s">
        <v>3559</v>
      </c>
      <c r="S816" s="55" t="s">
        <v>1157</v>
      </c>
      <c r="T816" s="49" t="str">
        <f>IFERROR(__xludf.DUMMYFUNCTION("""COMPUTED_VALUE"""),"gentle")</f>
        <v>gentle</v>
      </c>
      <c r="U816" s="49"/>
      <c r="V816" s="49"/>
      <c r="W816" s="49" t="str">
        <f>IFERROR(__xludf.DUMMYFUNCTION("""COMPUTED_VALUE"""),"hughes")</f>
        <v>hughes</v>
      </c>
      <c r="X816" s="49" t="str">
        <f t="shared" si="3"/>
        <v>raise,</v>
      </c>
      <c r="Y816" s="49"/>
      <c r="Z816" s="1" t="s">
        <v>7269</v>
      </c>
      <c r="AA816" s="1" t="s">
        <v>573</v>
      </c>
      <c r="AB816" s="49" t="str">
        <f>IFERROR(__xludf.DUMMYFUNCTION("""COMPUTED_VALUE"""),"tear")</f>
        <v>tear</v>
      </c>
      <c r="AC816" s="49"/>
      <c r="AD816" s="49" t="str">
        <f>IFERROR(__xludf.DUMMYFUNCTION("""COMPUTED_VALUE"""),"cake")</f>
        <v>cake</v>
      </c>
      <c r="AE816" s="49" t="str">
        <f>IFERROR(__xludf.DUMMYFUNCTION("""COMPUTED_VALUE"""),"woodland")</f>
        <v>woodland</v>
      </c>
      <c r="AF816" s="49" t="str">
        <f t="shared" si="4"/>
        <v>restroom,</v>
      </c>
      <c r="AG816" s="49"/>
      <c r="AH816" s="1" t="s">
        <v>1637</v>
      </c>
      <c r="AI816" s="1" t="s">
        <v>3080</v>
      </c>
      <c r="AJ816" s="6" t="str">
        <f>IFERROR(__xludf.DUMMYFUNCTION("""COMPUTED_VALUE"""),"series")</f>
        <v>series</v>
      </c>
      <c r="AK816" s="49"/>
      <c r="AL816" s="49"/>
      <c r="AM816" s="49"/>
      <c r="AN816" s="52" t="str">
        <f t="shared" si="5"/>
        <v>desire,</v>
      </c>
    </row>
    <row r="817">
      <c r="A817" s="51"/>
      <c r="B817" s="50" t="s">
        <v>1403</v>
      </c>
      <c r="C817" s="50" t="s">
        <v>1199</v>
      </c>
      <c r="D817" s="49" t="str">
        <f>IFERROR(__xludf.DUMMYFUNCTION("""COMPUTED_VALUE"""),"finally")</f>
        <v>finally</v>
      </c>
      <c r="E817" s="49"/>
      <c r="F817" s="49"/>
      <c r="G817" s="49"/>
      <c r="H817" s="54" t="str">
        <f t="shared" si="1"/>
        <v>hard,</v>
      </c>
      <c r="I817" s="50"/>
      <c r="J817" s="50" t="s">
        <v>5545</v>
      </c>
      <c r="K817" s="50" t="s">
        <v>871</v>
      </c>
      <c r="L817" s="49" t="str">
        <f>IFERROR(__xludf.DUMMYFUNCTION("""COMPUTED_VALUE"""),"recommendation")</f>
        <v>recommendation</v>
      </c>
      <c r="M817" s="49"/>
      <c r="N817" s="49" t="str">
        <f>IFERROR(__xludf.DUMMYFUNCTION("""COMPUTED_VALUE"""),"ruthless")</f>
        <v>ruthless</v>
      </c>
      <c r="O817" s="49" t="str">
        <f>IFERROR(__xludf.DUMMYFUNCTION("""COMPUTED_VALUE"""),"projectile")</f>
        <v>projectile</v>
      </c>
      <c r="P817" s="49" t="str">
        <f t="shared" si="2"/>
        <v>efforts,</v>
      </c>
      <c r="Q817" s="49"/>
      <c r="R817" s="50" t="s">
        <v>1256</v>
      </c>
      <c r="S817" s="55" t="s">
        <v>1871</v>
      </c>
      <c r="T817" s="49" t="str">
        <f>IFERROR(__xludf.DUMMYFUNCTION("""COMPUTED_VALUE"""),"opportunity")</f>
        <v>opportunity</v>
      </c>
      <c r="U817" s="49"/>
      <c r="V817" s="49"/>
      <c r="W817" s="49" t="str">
        <f>IFERROR(__xludf.DUMMYFUNCTION("""COMPUTED_VALUE"""),"sheds")</f>
        <v>sheds</v>
      </c>
      <c r="X817" s="49" t="str">
        <f t="shared" si="3"/>
        <v>produced,</v>
      </c>
      <c r="Y817" s="49"/>
      <c r="Z817" s="1" t="s">
        <v>1139</v>
      </c>
      <c r="AA817" s="1" t="s">
        <v>1114</v>
      </c>
      <c r="AB817" s="49" t="str">
        <f>IFERROR(__xludf.DUMMYFUNCTION("""COMPUTED_VALUE"""),"skill")</f>
        <v>skill</v>
      </c>
      <c r="AC817" s="49"/>
      <c r="AD817" s="49" t="str">
        <f>IFERROR(__xludf.DUMMYFUNCTION("""COMPUTED_VALUE"""),"ruthless")</f>
        <v>ruthless</v>
      </c>
      <c r="AE817" s="49" t="str">
        <f>IFERROR(__xludf.DUMMYFUNCTION("""COMPUTED_VALUE"""),"projectile")</f>
        <v>projectile</v>
      </c>
      <c r="AF817" s="49" t="str">
        <f t="shared" si="4"/>
        <v>art,</v>
      </c>
      <c r="AG817" s="49"/>
      <c r="AH817" s="1" t="s">
        <v>1009</v>
      </c>
      <c r="AI817" s="1" t="s">
        <v>2828</v>
      </c>
      <c r="AJ817" s="6" t="str">
        <f>IFERROR(__xludf.DUMMYFUNCTION("""COMPUTED_VALUE"""),"body")</f>
        <v>body</v>
      </c>
      <c r="AK817" s="49"/>
      <c r="AL817" s="49"/>
      <c r="AM817" s="49"/>
      <c r="AN817" s="52" t="str">
        <f t="shared" si="5"/>
        <v>ford,</v>
      </c>
    </row>
    <row r="818">
      <c r="A818" s="51"/>
      <c r="B818" s="50" t="s">
        <v>1376</v>
      </c>
      <c r="C818" s="50" t="s">
        <v>1698</v>
      </c>
      <c r="D818" s="49" t="str">
        <f>IFERROR(__xludf.DUMMYFUNCTION("""COMPUTED_VALUE"""),"offensive")</f>
        <v>offensive</v>
      </c>
      <c r="E818" s="49"/>
      <c r="F818" s="49"/>
      <c r="G818" s="49"/>
      <c r="H818" s="54" t="str">
        <f t="shared" si="1"/>
        <v>words,</v>
      </c>
      <c r="I818" s="50"/>
      <c r="J818" s="50" t="s">
        <v>3893</v>
      </c>
      <c r="K818" s="50" t="s">
        <v>2908</v>
      </c>
      <c r="L818" s="49" t="str">
        <f>IFERROR(__xludf.DUMMYFUNCTION("""COMPUTED_VALUE"""),"collapse")</f>
        <v>collapse</v>
      </c>
      <c r="M818" s="49"/>
      <c r="N818" s="49" t="str">
        <f>IFERROR(__xludf.DUMMYFUNCTION("""COMPUTED_VALUE"""),"corn")</f>
        <v>corn</v>
      </c>
      <c r="O818" s="49" t="str">
        <f>IFERROR(__xludf.DUMMYFUNCTION("""COMPUTED_VALUE"""),"seizing")</f>
        <v>seizing</v>
      </c>
      <c r="P818" s="49" t="str">
        <f t="shared" si="2"/>
        <v>glaring,</v>
      </c>
      <c r="Q818" s="49"/>
      <c r="R818" s="50" t="s">
        <v>7292</v>
      </c>
      <c r="S818" s="55" t="s">
        <v>380</v>
      </c>
      <c r="T818" s="49" t="str">
        <f>IFERROR(__xludf.DUMMYFUNCTION("""COMPUTED_VALUE"""),"giving")</f>
        <v>giving</v>
      </c>
      <c r="U818" s="49"/>
      <c r="V818" s="49"/>
      <c r="W818" s="49" t="str">
        <f>IFERROR(__xludf.DUMMYFUNCTION("""COMPUTED_VALUE"""),"horrific")</f>
        <v>horrific</v>
      </c>
      <c r="X818" s="49" t="str">
        <f t="shared" si="3"/>
        <v>cleaner,</v>
      </c>
      <c r="Y818" s="49"/>
      <c r="Z818" s="1" t="s">
        <v>3730</v>
      </c>
      <c r="AA818" s="1" t="s">
        <v>3453</v>
      </c>
      <c r="AB818" s="49" t="str">
        <f>IFERROR(__xludf.DUMMYFUNCTION("""COMPUTED_VALUE"""),"obligatory")</f>
        <v>obligatory</v>
      </c>
      <c r="AC818" s="49"/>
      <c r="AD818" s="49" t="str">
        <f>IFERROR(__xludf.DUMMYFUNCTION("""COMPUTED_VALUE"""),"corn")</f>
        <v>corn</v>
      </c>
      <c r="AE818" s="49" t="str">
        <f>IFERROR(__xludf.DUMMYFUNCTION("""COMPUTED_VALUE"""),"seizing")</f>
        <v>seizing</v>
      </c>
      <c r="AF818" s="49" t="str">
        <f t="shared" si="4"/>
        <v>deliver,</v>
      </c>
      <c r="AG818" s="49"/>
      <c r="AH818" s="1" t="s">
        <v>6961</v>
      </c>
      <c r="AI818" s="1" t="s">
        <v>2464</v>
      </c>
      <c r="AJ818" s="6" t="str">
        <f>IFERROR(__xludf.DUMMYFUNCTION("""COMPUTED_VALUE"""),"less")</f>
        <v>less</v>
      </c>
      <c r="AK818" s="49"/>
      <c r="AL818" s="49"/>
      <c r="AM818" s="49"/>
      <c r="AN818" s="52" t="str">
        <f t="shared" si="5"/>
        <v>improve,</v>
      </c>
    </row>
    <row r="819">
      <c r="A819" s="51"/>
      <c r="B819" s="50" t="s">
        <v>3706</v>
      </c>
      <c r="C819" s="50" t="s">
        <v>2893</v>
      </c>
      <c r="D819" s="49" t="str">
        <f>IFERROR(__xludf.DUMMYFUNCTION("""COMPUTED_VALUE"""),"children")</f>
        <v>children</v>
      </c>
      <c r="E819" s="49"/>
      <c r="F819" s="49"/>
      <c r="G819" s="49"/>
      <c r="H819" s="54" t="str">
        <f t="shared" si="1"/>
        <v>list,</v>
      </c>
      <c r="I819" s="50"/>
      <c r="J819" s="50" t="s">
        <v>2054</v>
      </c>
      <c r="K819" s="50" t="s">
        <v>2060</v>
      </c>
      <c r="L819" s="49" t="str">
        <f>IFERROR(__xludf.DUMMYFUNCTION("""COMPUTED_VALUE"""),"charms")</f>
        <v>charms</v>
      </c>
      <c r="M819" s="49"/>
      <c r="N819" s="49" t="str">
        <f>IFERROR(__xludf.DUMMYFUNCTION("""COMPUTED_VALUE"""),"maxim")</f>
        <v>maxim</v>
      </c>
      <c r="O819" s="49" t="str">
        <f>IFERROR(__xludf.DUMMYFUNCTION("""COMPUTED_VALUE"""),"portrays")</f>
        <v>portrays</v>
      </c>
      <c r="P819" s="49" t="str">
        <f t="shared" si="2"/>
        <v>over,</v>
      </c>
      <c r="Q819" s="49"/>
      <c r="R819" s="50" t="s">
        <v>636</v>
      </c>
      <c r="S819" s="55" t="s">
        <v>2646</v>
      </c>
      <c r="T819" s="49" t="str">
        <f>IFERROR(__xludf.DUMMYFUNCTION("""COMPUTED_VALUE"""),"ticket")</f>
        <v>ticket</v>
      </c>
      <c r="U819" s="49"/>
      <c r="V819" s="49"/>
      <c r="W819" s="49" t="str">
        <f>IFERROR(__xludf.DUMMYFUNCTION("""COMPUTED_VALUE"""),"smiles")</f>
        <v>smiles</v>
      </c>
      <c r="X819" s="49" t="str">
        <f t="shared" si="3"/>
        <v>clever,</v>
      </c>
      <c r="Y819" s="49"/>
      <c r="Z819" s="1" t="s">
        <v>188</v>
      </c>
      <c r="AA819" s="1" t="s">
        <v>83</v>
      </c>
      <c r="AB819" s="49" t="str">
        <f>IFERROR(__xludf.DUMMYFUNCTION("""COMPUTED_VALUE"""),"distinctive")</f>
        <v>distinctive</v>
      </c>
      <c r="AC819" s="49"/>
      <c r="AD819" s="49" t="str">
        <f>IFERROR(__xludf.DUMMYFUNCTION("""COMPUTED_VALUE"""),"maxim")</f>
        <v>maxim</v>
      </c>
      <c r="AE819" s="49" t="str">
        <f>IFERROR(__xludf.DUMMYFUNCTION("""COMPUTED_VALUE"""),"portrays")</f>
        <v>portrays</v>
      </c>
      <c r="AF819" s="49" t="str">
        <f t="shared" si="4"/>
        <v>performances,</v>
      </c>
      <c r="AG819" s="49"/>
      <c r="AH819" s="1" t="s">
        <v>4713</v>
      </c>
      <c r="AI819" s="1" t="s">
        <v>2460</v>
      </c>
      <c r="AJ819" s="6" t="str">
        <f>IFERROR(__xludf.DUMMYFUNCTION("""COMPUTED_VALUE"""),"lake")</f>
        <v>lake</v>
      </c>
      <c r="AK819" s="49"/>
      <c r="AL819" s="49"/>
      <c r="AM819" s="49"/>
      <c r="AN819" s="52" t="str">
        <f t="shared" si="5"/>
        <v>decade,</v>
      </c>
    </row>
    <row r="820">
      <c r="A820" s="51"/>
      <c r="B820" s="50" t="s">
        <v>659</v>
      </c>
      <c r="C820" s="50" t="s">
        <v>1512</v>
      </c>
      <c r="D820" s="49" t="str">
        <f>IFERROR(__xludf.DUMMYFUNCTION("""COMPUTED_VALUE"""),"santa")</f>
        <v>santa</v>
      </c>
      <c r="E820" s="49"/>
      <c r="F820" s="49"/>
      <c r="G820" s="49"/>
      <c r="H820" s="54" t="str">
        <f t="shared" si="1"/>
        <v>follow,</v>
      </c>
      <c r="I820" s="50"/>
      <c r="J820" s="50" t="s">
        <v>408</v>
      </c>
      <c r="K820" s="50" t="s">
        <v>2068</v>
      </c>
      <c r="L820" s="49" t="str">
        <f>IFERROR(__xludf.DUMMYFUNCTION("""COMPUTED_VALUE"""),"entertain")</f>
        <v>entertain</v>
      </c>
      <c r="M820" s="49"/>
      <c r="N820" s="49" t="str">
        <f>IFERROR(__xludf.DUMMYFUNCTION("""COMPUTED_VALUE"""),"split")</f>
        <v>split</v>
      </c>
      <c r="O820" s="49" t="str">
        <f>IFERROR(__xludf.DUMMYFUNCTION("""COMPUTED_VALUE"""),"gratitude")</f>
        <v>gratitude</v>
      </c>
      <c r="P820" s="49" t="str">
        <f t="shared" si="2"/>
        <v>torture,</v>
      </c>
      <c r="Q820" s="49"/>
      <c r="R820" s="50">
        <v>20.0</v>
      </c>
      <c r="S820" s="55" t="s">
        <v>387</v>
      </c>
      <c r="T820" s="49" t="str">
        <f>IFERROR(__xludf.DUMMYFUNCTION("""COMPUTED_VALUE"""),"unless")</f>
        <v>unless</v>
      </c>
      <c r="U820" s="49"/>
      <c r="V820" s="49"/>
      <c r="W820" s="49" t="str">
        <f>IFERROR(__xludf.DUMMYFUNCTION("""COMPUTED_VALUE"""),"owes")</f>
        <v>owes</v>
      </c>
      <c r="X820" s="49" t="str">
        <f t="shared" si="3"/>
        <v>20,</v>
      </c>
      <c r="Y820" s="49"/>
      <c r="Z820" s="1" t="s">
        <v>731</v>
      </c>
      <c r="AA820" s="1" t="s">
        <v>579</v>
      </c>
      <c r="AB820" s="49" t="str">
        <f>IFERROR(__xludf.DUMMYFUNCTION("""COMPUTED_VALUE"""),"realism")</f>
        <v>realism</v>
      </c>
      <c r="AC820" s="49"/>
      <c r="AD820" s="49" t="str">
        <f>IFERROR(__xludf.DUMMYFUNCTION("""COMPUTED_VALUE"""),"split")</f>
        <v>split</v>
      </c>
      <c r="AE820" s="49" t="str">
        <f>IFERROR(__xludf.DUMMYFUNCTION("""COMPUTED_VALUE"""),"gratitude")</f>
        <v>gratitude</v>
      </c>
      <c r="AF820" s="49" t="str">
        <f t="shared" si="4"/>
        <v>direction,</v>
      </c>
      <c r="AG820" s="49"/>
      <c r="AH820" s="1" t="s">
        <v>6971</v>
      </c>
      <c r="AI820" s="1" t="s">
        <v>1664</v>
      </c>
      <c r="AJ820" s="6" t="str">
        <f>IFERROR(__xludf.DUMMYFUNCTION("""COMPUTED_VALUE"""),"scott")</f>
        <v>scott</v>
      </c>
      <c r="AK820" s="49"/>
      <c r="AL820" s="49"/>
      <c r="AM820" s="49"/>
      <c r="AN820" s="52" t="str">
        <f t="shared" si="5"/>
        <v>tend,</v>
      </c>
    </row>
    <row r="821">
      <c r="A821" s="51"/>
      <c r="B821" s="50" t="s">
        <v>779</v>
      </c>
      <c r="C821" s="50" t="s">
        <v>3182</v>
      </c>
      <c r="D821" s="49" t="str">
        <f>IFERROR(__xludf.DUMMYFUNCTION("""COMPUTED_VALUE"""),"loose")</f>
        <v>loose</v>
      </c>
      <c r="E821" s="49"/>
      <c r="F821" s="49"/>
      <c r="G821" s="49"/>
      <c r="H821" s="54" t="str">
        <f t="shared" si="1"/>
        <v>count,</v>
      </c>
      <c r="I821" s="50"/>
      <c r="J821" s="50" t="s">
        <v>3751</v>
      </c>
      <c r="K821" s="50" t="s">
        <v>2072</v>
      </c>
      <c r="L821" s="49" t="str">
        <f>IFERROR(__xludf.DUMMYFUNCTION("""COMPUTED_VALUE"""),"portrayal")</f>
        <v>portrayal</v>
      </c>
      <c r="M821" s="49"/>
      <c r="N821" s="49" t="str">
        <f>IFERROR(__xludf.DUMMYFUNCTION("""COMPUTED_VALUE"""),"stunning")</f>
        <v>stunning</v>
      </c>
      <c r="O821" s="49" t="str">
        <f>IFERROR(__xludf.DUMMYFUNCTION("""COMPUTED_VALUE"""),"reign")</f>
        <v>reign</v>
      </c>
      <c r="P821" s="49" t="str">
        <f t="shared" si="2"/>
        <v>walk,</v>
      </c>
      <c r="Q821" s="49"/>
      <c r="R821" s="50" t="s">
        <v>510</v>
      </c>
      <c r="S821" s="55" t="s">
        <v>394</v>
      </c>
      <c r="T821" s="49" t="str">
        <f>IFERROR(__xludf.DUMMYFUNCTION("""COMPUTED_VALUE"""),"regret")</f>
        <v>regret</v>
      </c>
      <c r="U821" s="49"/>
      <c r="V821" s="49"/>
      <c r="W821" s="49" t="str">
        <f>IFERROR(__xludf.DUMMYFUNCTION("""COMPUTED_VALUE"""),"genesis")</f>
        <v>genesis</v>
      </c>
      <c r="X821" s="49" t="str">
        <f t="shared" si="3"/>
        <v>enduring,</v>
      </c>
      <c r="Y821" s="49"/>
      <c r="Z821" s="1" t="s">
        <v>3506</v>
      </c>
      <c r="AA821" s="1" t="s">
        <v>3458</v>
      </c>
      <c r="AB821" s="49" t="str">
        <f>IFERROR(__xludf.DUMMYFUNCTION("""COMPUTED_VALUE"""),"portrait")</f>
        <v>portrait</v>
      </c>
      <c r="AC821" s="49"/>
      <c r="AD821" s="49" t="str">
        <f>IFERROR(__xludf.DUMMYFUNCTION("""COMPUTED_VALUE"""),"stunning")</f>
        <v>stunning</v>
      </c>
      <c r="AE821" s="49" t="str">
        <f>IFERROR(__xludf.DUMMYFUNCTION("""COMPUTED_VALUE"""),"reign")</f>
        <v>reign</v>
      </c>
      <c r="AF821" s="49" t="str">
        <f t="shared" si="4"/>
        <v>roles,</v>
      </c>
      <c r="AG821" s="49"/>
      <c r="AH821" s="1" t="s">
        <v>5750</v>
      </c>
      <c r="AI821" s="1" t="s">
        <v>6390</v>
      </c>
      <c r="AJ821" s="6" t="str">
        <f>IFERROR(__xludf.DUMMYFUNCTION("""COMPUTED_VALUE"""),"removed")</f>
        <v>removed</v>
      </c>
      <c r="AK821" s="49"/>
      <c r="AL821" s="49"/>
      <c r="AM821" s="49"/>
      <c r="AN821" s="52" t="str">
        <f t="shared" si="5"/>
        <v>derek,</v>
      </c>
    </row>
    <row r="822">
      <c r="A822" s="51"/>
      <c r="B822" s="50" t="s">
        <v>4224</v>
      </c>
      <c r="C822" s="50" t="s">
        <v>1768</v>
      </c>
      <c r="D822" s="49" t="str">
        <f>IFERROR(__xludf.DUMMYFUNCTION("""COMPUTED_VALUE"""),"prove")</f>
        <v>prove</v>
      </c>
      <c r="E822" s="49"/>
      <c r="F822" s="49"/>
      <c r="G822" s="49"/>
      <c r="H822" s="54" t="str">
        <f t="shared" si="1"/>
        <v>strange,</v>
      </c>
      <c r="I822" s="50"/>
      <c r="J822" s="50" t="s">
        <v>66</v>
      </c>
      <c r="K822" s="50" t="s">
        <v>2078</v>
      </c>
      <c r="L822" s="49" t="str">
        <f>IFERROR(__xludf.DUMMYFUNCTION("""COMPUTED_VALUE"""),"enjoyable")</f>
        <v>enjoyable</v>
      </c>
      <c r="M822" s="49"/>
      <c r="N822" s="49" t="str">
        <f>IFERROR(__xludf.DUMMYFUNCTION("""COMPUTED_VALUE"""),"attitude")</f>
        <v>attitude</v>
      </c>
      <c r="O822" s="49" t="str">
        <f>IFERROR(__xludf.DUMMYFUNCTION("""COMPUTED_VALUE"""),"dragons")</f>
        <v>dragons</v>
      </c>
      <c r="P822" s="49" t="str">
        <f t="shared" si="2"/>
        <v>crude,</v>
      </c>
      <c r="Q822" s="49"/>
      <c r="R822" s="50" t="s">
        <v>2634</v>
      </c>
      <c r="S822" s="55" t="s">
        <v>1881</v>
      </c>
      <c r="T822" s="49" t="str">
        <f>IFERROR(__xludf.DUMMYFUNCTION("""COMPUTED_VALUE"""),"popcorn")</f>
        <v>popcorn</v>
      </c>
      <c r="U822" s="49"/>
      <c r="V822" s="49"/>
      <c r="W822" s="49" t="str">
        <f>IFERROR(__xludf.DUMMYFUNCTION("""COMPUTED_VALUE"""),"naval")</f>
        <v>naval</v>
      </c>
      <c r="X822" s="49" t="str">
        <f t="shared" si="3"/>
        <v>medium,</v>
      </c>
      <c r="Y822" s="49"/>
      <c r="Z822" s="1" t="s">
        <v>795</v>
      </c>
      <c r="AA822" s="1" t="s">
        <v>3460</v>
      </c>
      <c r="AB822" s="49" t="str">
        <f>IFERROR(__xludf.DUMMYFUNCTION("""COMPUTED_VALUE"""),"losing")</f>
        <v>losing</v>
      </c>
      <c r="AC822" s="49"/>
      <c r="AD822" s="49" t="str">
        <f>IFERROR(__xludf.DUMMYFUNCTION("""COMPUTED_VALUE"""),"attitude")</f>
        <v>attitude</v>
      </c>
      <c r="AE822" s="49" t="str">
        <f>IFERROR(__xludf.DUMMYFUNCTION("""COMPUTED_VALUE"""),"dragons")</f>
        <v>dragons</v>
      </c>
      <c r="AF822" s="49" t="str">
        <f t="shared" si="4"/>
        <v>care,</v>
      </c>
      <c r="AG822" s="49"/>
      <c r="AH822" s="1" t="s">
        <v>947</v>
      </c>
      <c r="AI822" s="1" t="s">
        <v>6236</v>
      </c>
      <c r="AJ822" s="6" t="str">
        <f>IFERROR(__xludf.DUMMYFUNCTION("""COMPUTED_VALUE"""),"recently")</f>
        <v>recently</v>
      </c>
      <c r="AK822" s="49"/>
      <c r="AL822" s="49"/>
      <c r="AM822" s="49"/>
      <c r="AN822" s="52" t="str">
        <f t="shared" si="5"/>
        <v>house,</v>
      </c>
    </row>
    <row r="823">
      <c r="A823" s="51"/>
      <c r="B823" s="50" t="s">
        <v>3509</v>
      </c>
      <c r="C823" s="50" t="s">
        <v>1738</v>
      </c>
      <c r="D823" s="49" t="str">
        <f>IFERROR(__xludf.DUMMYFUNCTION("""COMPUTED_VALUE"""),"main")</f>
        <v>main</v>
      </c>
      <c r="E823" s="49"/>
      <c r="F823" s="49"/>
      <c r="G823" s="49"/>
      <c r="H823" s="54" t="str">
        <f t="shared" si="1"/>
        <v>patient,</v>
      </c>
      <c r="I823" s="50"/>
      <c r="J823" s="50" t="s">
        <v>1616</v>
      </c>
      <c r="K823" s="50" t="s">
        <v>2928</v>
      </c>
      <c r="L823" s="49" t="str">
        <f>IFERROR(__xludf.DUMMYFUNCTION("""COMPUTED_VALUE"""),"carried")</f>
        <v>carried</v>
      </c>
      <c r="M823" s="49"/>
      <c r="N823" s="49" t="str">
        <f>IFERROR(__xludf.DUMMYFUNCTION("""COMPUTED_VALUE"""),"theory")</f>
        <v>theory</v>
      </c>
      <c r="O823" s="49" t="str">
        <f>IFERROR(__xludf.DUMMYFUNCTION("""COMPUTED_VALUE"""),"wang")</f>
        <v>wang</v>
      </c>
      <c r="P823" s="49" t="str">
        <f t="shared" si="2"/>
        <v>pure,</v>
      </c>
      <c r="Q823" s="49"/>
      <c r="R823" s="50" t="s">
        <v>2661</v>
      </c>
      <c r="S823" s="55" t="s">
        <v>1887</v>
      </c>
      <c r="T823" s="49" t="str">
        <f>IFERROR(__xludf.DUMMYFUNCTION("""COMPUTED_VALUE"""),"community")</f>
        <v>community</v>
      </c>
      <c r="U823" s="49"/>
      <c r="V823" s="49"/>
      <c r="W823" s="49" t="str">
        <f>IFERROR(__xludf.DUMMYFUNCTION("""COMPUTED_VALUE"""),"amid")</f>
        <v>amid</v>
      </c>
      <c r="X823" s="49" t="str">
        <f t="shared" si="3"/>
        <v>stage,</v>
      </c>
      <c r="Y823" s="49"/>
      <c r="Z823" s="1" t="s">
        <v>5072</v>
      </c>
      <c r="AA823" s="1" t="s">
        <v>3463</v>
      </c>
      <c r="AB823" s="49" t="str">
        <f>IFERROR(__xludf.DUMMYFUNCTION("""COMPUTED_VALUE"""),"immediate")</f>
        <v>immediate</v>
      </c>
      <c r="AC823" s="49"/>
      <c r="AD823" s="49" t="str">
        <f>IFERROR(__xludf.DUMMYFUNCTION("""COMPUTED_VALUE"""),"theory")</f>
        <v>theory</v>
      </c>
      <c r="AE823" s="49" t="str">
        <f>IFERROR(__xludf.DUMMYFUNCTION("""COMPUTED_VALUE"""),"wang")</f>
        <v>wang</v>
      </c>
      <c r="AF823" s="49" t="str">
        <f t="shared" si="4"/>
        <v>wasted,</v>
      </c>
      <c r="AG823" s="49"/>
      <c r="AH823" s="1" t="s">
        <v>1672</v>
      </c>
      <c r="AI823" s="1" t="s">
        <v>48</v>
      </c>
      <c r="AJ823" s="6" t="str">
        <f>IFERROR(__xludf.DUMMYFUNCTION("""COMPUTED_VALUE"""),"1970s")</f>
        <v>1970s</v>
      </c>
      <c r="AK823" s="49"/>
      <c r="AL823" s="49"/>
      <c r="AM823" s="49"/>
      <c r="AN823" s="52" t="str">
        <f t="shared" si="5"/>
        <v>series,</v>
      </c>
    </row>
    <row r="824">
      <c r="A824" s="51"/>
      <c r="B824" s="50" t="s">
        <v>1799</v>
      </c>
      <c r="C824" s="50" t="s">
        <v>2899</v>
      </c>
      <c r="D824" s="49" t="str">
        <f>IFERROR(__xludf.DUMMYFUNCTION("""COMPUTED_VALUE"""),"study")</f>
        <v>study</v>
      </c>
      <c r="E824" s="49"/>
      <c r="F824" s="49"/>
      <c r="G824" s="49"/>
      <c r="H824" s="54" t="str">
        <f t="shared" si="1"/>
        <v>describe,</v>
      </c>
      <c r="I824" s="50"/>
      <c r="J824" s="50" t="s">
        <v>3027</v>
      </c>
      <c r="K824" s="50" t="s">
        <v>2081</v>
      </c>
      <c r="L824" s="49" t="str">
        <f>IFERROR(__xludf.DUMMYFUNCTION("""COMPUTED_VALUE"""),"resist")</f>
        <v>resist</v>
      </c>
      <c r="M824" s="49"/>
      <c r="N824" s="49" t="str">
        <f>IFERROR(__xludf.DUMMYFUNCTION("""COMPUTED_VALUE"""),"social")</f>
        <v>social</v>
      </c>
      <c r="O824" s="49" t="str">
        <f>IFERROR(__xludf.DUMMYFUNCTION("""COMPUTED_VALUE"""),"satan")</f>
        <v>satan</v>
      </c>
      <c r="P824" s="49" t="str">
        <f t="shared" si="2"/>
        <v>edge,</v>
      </c>
      <c r="Q824" s="49"/>
      <c r="R824" s="50" t="s">
        <v>1269</v>
      </c>
      <c r="S824" s="55" t="s">
        <v>1897</v>
      </c>
      <c r="T824" s="49" t="str">
        <f>IFERROR(__xludf.DUMMYFUNCTION("""COMPUTED_VALUE"""),"humanity")</f>
        <v>humanity</v>
      </c>
      <c r="U824" s="49"/>
      <c r="V824" s="49"/>
      <c r="W824" s="49" t="str">
        <f>IFERROR(__xludf.DUMMYFUNCTION("""COMPUTED_VALUE"""),"futuristic")</f>
        <v>futuristic</v>
      </c>
      <c r="X824" s="49" t="str">
        <f t="shared" si="3"/>
        <v>opened,</v>
      </c>
      <c r="Y824" s="49"/>
      <c r="Z824" s="1" t="s">
        <v>594</v>
      </c>
      <c r="AA824" s="1" t="s">
        <v>3466</v>
      </c>
      <c r="AB824" s="49" t="str">
        <f>IFERROR(__xludf.DUMMYFUNCTION("""COMPUTED_VALUE"""),"pokemon")</f>
        <v>pokemon</v>
      </c>
      <c r="AC824" s="49"/>
      <c r="AD824" s="49" t="str">
        <f>IFERROR(__xludf.DUMMYFUNCTION("""COMPUTED_VALUE"""),"social")</f>
        <v>social</v>
      </c>
      <c r="AE824" s="49" t="str">
        <f>IFERROR(__xludf.DUMMYFUNCTION("""COMPUTED_VALUE"""),"satan")</f>
        <v>satan</v>
      </c>
      <c r="AF824" s="49" t="str">
        <f t="shared" si="4"/>
        <v>protagonists,</v>
      </c>
      <c r="AG824" s="49"/>
      <c r="AH824" s="1" t="s">
        <v>1250</v>
      </c>
      <c r="AI824" s="1" t="s">
        <v>1396</v>
      </c>
      <c r="AJ824" s="6" t="str">
        <f>IFERROR(__xludf.DUMMYFUNCTION("""COMPUTED_VALUE"""),"comedy")</f>
        <v>comedy</v>
      </c>
      <c r="AK824" s="49"/>
      <c r="AL824" s="49"/>
      <c r="AM824" s="49"/>
      <c r="AN824" s="52" t="str">
        <f t="shared" si="5"/>
        <v>body,</v>
      </c>
    </row>
    <row r="825">
      <c r="A825" s="51"/>
      <c r="B825" s="50" t="s">
        <v>5233</v>
      </c>
      <c r="C825" s="50" t="s">
        <v>6384</v>
      </c>
      <c r="D825" s="49" t="str">
        <f>IFERROR(__xludf.DUMMYFUNCTION("""COMPUTED_VALUE"""),"fairly")</f>
        <v>fairly</v>
      </c>
      <c r="E825" s="49"/>
      <c r="F825" s="49"/>
      <c r="G825" s="49"/>
      <c r="H825" s="54" t="str">
        <f t="shared" si="1"/>
        <v>victim,</v>
      </c>
      <c r="I825" s="50"/>
      <c r="J825" s="50" t="s">
        <v>5173</v>
      </c>
      <c r="K825" s="50" t="s">
        <v>3474</v>
      </c>
      <c r="L825" s="49" t="str">
        <f>IFERROR(__xludf.DUMMYFUNCTION("""COMPUTED_VALUE"""),"frank")</f>
        <v>frank</v>
      </c>
      <c r="M825" s="49"/>
      <c r="N825" s="49" t="str">
        <f>IFERROR(__xludf.DUMMYFUNCTION("""COMPUTED_VALUE"""),"issue")</f>
        <v>issue</v>
      </c>
      <c r="O825" s="49" t="str">
        <f>IFERROR(__xludf.DUMMYFUNCTION("""COMPUTED_VALUE"""),"disguise")</f>
        <v>disguise</v>
      </c>
      <c r="P825" s="49" t="str">
        <f t="shared" si="2"/>
        <v>noteworthy,</v>
      </c>
      <c r="Q825" s="49"/>
      <c r="R825" s="50" t="s">
        <v>4212</v>
      </c>
      <c r="S825" s="55" t="s">
        <v>474</v>
      </c>
      <c r="T825" s="49" t="str">
        <f>IFERROR(__xludf.DUMMYFUNCTION("""COMPUTED_VALUE"""),"test")</f>
        <v>test</v>
      </c>
      <c r="U825" s="49"/>
      <c r="V825" s="49"/>
      <c r="W825" s="49" t="str">
        <f>IFERROR(__xludf.DUMMYFUNCTION("""COMPUTED_VALUE"""),"elaborate")</f>
        <v>elaborate</v>
      </c>
      <c r="X825" s="49" t="str">
        <f t="shared" si="3"/>
        <v>evident,</v>
      </c>
      <c r="Y825" s="49"/>
      <c r="Z825" s="1" t="s">
        <v>369</v>
      </c>
      <c r="AA825" s="1" t="s">
        <v>3470</v>
      </c>
      <c r="AB825" s="49" t="str">
        <f>IFERROR(__xludf.DUMMYFUNCTION("""COMPUTED_VALUE"""),"terror")</f>
        <v>terror</v>
      </c>
      <c r="AC825" s="49"/>
      <c r="AD825" s="49" t="str">
        <f>IFERROR(__xludf.DUMMYFUNCTION("""COMPUTED_VALUE"""),"issue")</f>
        <v>issue</v>
      </c>
      <c r="AE825" s="49" t="str">
        <f>IFERROR(__xludf.DUMMYFUNCTION("""COMPUTED_VALUE"""),"disguise")</f>
        <v>disguise</v>
      </c>
      <c r="AF825" s="49" t="str">
        <f t="shared" si="4"/>
        <v>script,</v>
      </c>
      <c r="AG825" s="49"/>
      <c r="AH825" s="1" t="s">
        <v>748</v>
      </c>
      <c r="AI825" s="1" t="s">
        <v>3665</v>
      </c>
      <c r="AJ825" s="6" t="str">
        <f>IFERROR(__xludf.DUMMYFUNCTION("""COMPUTED_VALUE"""),"entry")</f>
        <v>entry</v>
      </c>
      <c r="AK825" s="49"/>
      <c r="AL825" s="49"/>
      <c r="AM825" s="49"/>
      <c r="AN825" s="52" t="str">
        <f t="shared" si="5"/>
        <v>less,</v>
      </c>
    </row>
    <row r="826">
      <c r="A826" s="51"/>
      <c r="B826" s="50" t="s">
        <v>5828</v>
      </c>
      <c r="C826" s="50" t="s">
        <v>1745</v>
      </c>
      <c r="D826" s="49" t="str">
        <f>IFERROR(__xludf.DUMMYFUNCTION("""COMPUTED_VALUE"""),"revealing")</f>
        <v>revealing</v>
      </c>
      <c r="E826" s="49"/>
      <c r="F826" s="49"/>
      <c r="G826" s="49"/>
      <c r="H826" s="54" t="str">
        <f t="shared" si="1"/>
        <v>ralph,</v>
      </c>
      <c r="I826" s="50"/>
      <c r="J826" s="50" t="s">
        <v>6450</v>
      </c>
      <c r="K826" s="50" t="s">
        <v>878</v>
      </c>
      <c r="L826" s="49" t="str">
        <f>IFERROR(__xludf.DUMMYFUNCTION("""COMPUTED_VALUE"""),"powers")</f>
        <v>powers</v>
      </c>
      <c r="M826" s="49"/>
      <c r="N826" s="49" t="str">
        <f>IFERROR(__xludf.DUMMYFUNCTION("""COMPUTED_VALUE"""),"mason")</f>
        <v>mason</v>
      </c>
      <c r="O826" s="49" t="str">
        <f>IFERROR(__xludf.DUMMYFUNCTION("""COMPUTED_VALUE"""),"surrender")</f>
        <v>surrender</v>
      </c>
      <c r="P826" s="49" t="str">
        <f t="shared" si="2"/>
        <v>surprised,</v>
      </c>
      <c r="Q826" s="49"/>
      <c r="R826" s="50" t="s">
        <v>4077</v>
      </c>
      <c r="S826" s="55" t="s">
        <v>3118</v>
      </c>
      <c r="T826" s="49" t="str">
        <f>IFERROR(__xludf.DUMMYFUNCTION("""COMPUTED_VALUE"""),"constructed")</f>
        <v>constructed</v>
      </c>
      <c r="U826" s="49"/>
      <c r="V826" s="49"/>
      <c r="W826" s="49" t="str">
        <f>IFERROR(__xludf.DUMMYFUNCTION("""COMPUTED_VALUE"""),"autopsy")</f>
        <v>autopsy</v>
      </c>
      <c r="X826" s="49" t="str">
        <f t="shared" si="3"/>
        <v>rules,</v>
      </c>
      <c r="Y826" s="49"/>
      <c r="Z826" s="1" t="s">
        <v>918</v>
      </c>
      <c r="AA826" s="1" t="s">
        <v>2401</v>
      </c>
      <c r="AB826" s="49" t="str">
        <f>IFERROR(__xludf.DUMMYFUNCTION("""COMPUTED_VALUE"""),"hoped")</f>
        <v>hoped</v>
      </c>
      <c r="AC826" s="49"/>
      <c r="AD826" s="49" t="str">
        <f>IFERROR(__xludf.DUMMYFUNCTION("""COMPUTED_VALUE"""),"mason")</f>
        <v>mason</v>
      </c>
      <c r="AE826" s="49" t="str">
        <f>IFERROR(__xludf.DUMMYFUNCTION("""COMPUTED_VALUE"""),"surrender")</f>
        <v>surrender</v>
      </c>
      <c r="AF826" s="49" t="str">
        <f t="shared" si="4"/>
        <v>picture,</v>
      </c>
      <c r="AG826" s="49"/>
      <c r="AH826" s="1" t="s">
        <v>4636</v>
      </c>
      <c r="AI826" s="1" t="s">
        <v>2478</v>
      </c>
      <c r="AJ826" s="6" t="str">
        <f>IFERROR(__xludf.DUMMYFUNCTION("""COMPUTED_VALUE"""),"claims")</f>
        <v>claims</v>
      </c>
      <c r="AK826" s="49"/>
      <c r="AL826" s="49"/>
      <c r="AM826" s="49"/>
      <c r="AN826" s="52" t="str">
        <f t="shared" si="5"/>
        <v>lake,</v>
      </c>
    </row>
    <row r="827">
      <c r="A827" s="51"/>
      <c r="B827" s="50" t="s">
        <v>3806</v>
      </c>
      <c r="C827" s="50" t="s">
        <v>6109</v>
      </c>
      <c r="D827" s="49" t="str">
        <f>IFERROR(__xludf.DUMMYFUNCTION("""COMPUTED_VALUE"""),"done")</f>
        <v>done</v>
      </c>
      <c r="E827" s="49"/>
      <c r="F827" s="49"/>
      <c r="G827" s="49"/>
      <c r="H827" s="54" t="str">
        <f t="shared" si="1"/>
        <v>burns,</v>
      </c>
      <c r="I827" s="50"/>
      <c r="J827" s="50" t="s">
        <v>4478</v>
      </c>
      <c r="K827" s="50" t="s">
        <v>2087</v>
      </c>
      <c r="L827" s="49" t="str">
        <f>IFERROR(__xludf.DUMMYFUNCTION("""COMPUTED_VALUE"""),"kid")</f>
        <v>kid</v>
      </c>
      <c r="M827" s="49"/>
      <c r="N827" s="49" t="str">
        <f>IFERROR(__xludf.DUMMYFUNCTION("""COMPUTED_VALUE"""),"spoken")</f>
        <v>spoken</v>
      </c>
      <c r="O827" s="49" t="str">
        <f>IFERROR(__xludf.DUMMYFUNCTION("""COMPUTED_VALUE"""),"sane")</f>
        <v>sane</v>
      </c>
      <c r="P827" s="49" t="str">
        <f t="shared" si="2"/>
        <v>ten,</v>
      </c>
      <c r="Q827" s="49"/>
      <c r="R827" s="50" t="s">
        <v>6304</v>
      </c>
      <c r="S827" s="55" t="s">
        <v>481</v>
      </c>
      <c r="T827" s="49" t="str">
        <f>IFERROR(__xludf.DUMMYFUNCTION("""COMPUTED_VALUE"""),"cops")</f>
        <v>cops</v>
      </c>
      <c r="U827" s="49"/>
      <c r="V827" s="49"/>
      <c r="W827" s="49" t="str">
        <f>IFERROR(__xludf.DUMMYFUNCTION("""COMPUTED_VALUE"""),"coke")</f>
        <v>coke</v>
      </c>
      <c r="X827" s="49" t="str">
        <f t="shared" si="3"/>
        <v>absolute,</v>
      </c>
      <c r="Y827" s="49"/>
      <c r="Z827" s="1" t="s">
        <v>3888</v>
      </c>
      <c r="AA827" s="1" t="s">
        <v>3477</v>
      </c>
      <c r="AB827" s="49" t="str">
        <f>IFERROR(__xludf.DUMMYFUNCTION("""COMPUTED_VALUE"""),"virtually")</f>
        <v>virtually</v>
      </c>
      <c r="AC827" s="49"/>
      <c r="AD827" s="49" t="str">
        <f>IFERROR(__xludf.DUMMYFUNCTION("""COMPUTED_VALUE"""),"spoken")</f>
        <v>spoken</v>
      </c>
      <c r="AE827" s="49" t="str">
        <f>IFERROR(__xludf.DUMMYFUNCTION("""COMPUTED_VALUE"""),"sane")</f>
        <v>sane</v>
      </c>
      <c r="AF827" s="49" t="str">
        <f t="shared" si="4"/>
        <v>except,</v>
      </c>
      <c r="AG827" s="49"/>
      <c r="AH827" s="1" t="s">
        <v>6676</v>
      </c>
      <c r="AI827" s="1" t="s">
        <v>2476</v>
      </c>
      <c r="AJ827" s="6" t="str">
        <f>IFERROR(__xludf.DUMMYFUNCTION("""COMPUTED_VALUE"""),"marks")</f>
        <v>marks</v>
      </c>
      <c r="AK827" s="49"/>
      <c r="AL827" s="49"/>
      <c r="AM827" s="49"/>
      <c r="AN827" s="52" t="str">
        <f t="shared" si="5"/>
        <v>scott,</v>
      </c>
    </row>
    <row r="828">
      <c r="A828" s="51"/>
      <c r="B828" s="50" t="s">
        <v>565</v>
      </c>
      <c r="C828" s="50" t="s">
        <v>1777</v>
      </c>
      <c r="D828" s="49" t="str">
        <f>IFERROR(__xludf.DUMMYFUNCTION("""COMPUTED_VALUE"""),"job")</f>
        <v>job</v>
      </c>
      <c r="E828" s="49"/>
      <c r="F828" s="49"/>
      <c r="G828" s="49"/>
      <c r="H828" s="54" t="str">
        <f t="shared" si="1"/>
        <v>though,</v>
      </c>
      <c r="I828" s="50"/>
      <c r="J828" s="50" t="s">
        <v>876</v>
      </c>
      <c r="K828" s="50" t="s">
        <v>2065</v>
      </c>
      <c r="L828" s="49" t="str">
        <f>IFERROR(__xludf.DUMMYFUNCTION("""COMPUTED_VALUE"""),"accomplish")</f>
        <v>accomplish</v>
      </c>
      <c r="M828" s="49"/>
      <c r="N828" s="49" t="str">
        <f>IFERROR(__xludf.DUMMYFUNCTION("""COMPUTED_VALUE"""),"esteem")</f>
        <v>esteem</v>
      </c>
      <c r="O828" s="49" t="str">
        <f>IFERROR(__xludf.DUMMYFUNCTION("""COMPUTED_VALUE"""),"span")</f>
        <v>span</v>
      </c>
      <c r="P828" s="49" t="str">
        <f t="shared" si="2"/>
        <v>wearing,</v>
      </c>
      <c r="Q828" s="49"/>
      <c r="R828" s="50" t="s">
        <v>4131</v>
      </c>
      <c r="S828" s="55" t="s">
        <v>3130</v>
      </c>
      <c r="T828" s="49" t="str">
        <f>IFERROR(__xludf.DUMMYFUNCTION("""COMPUTED_VALUE"""),"executed")</f>
        <v>executed</v>
      </c>
      <c r="U828" s="49"/>
      <c r="V828" s="49"/>
      <c r="W828" s="49" t="str">
        <f>IFERROR(__xludf.DUMMYFUNCTION("""COMPUTED_VALUE"""),"pit")</f>
        <v>pit</v>
      </c>
      <c r="X828" s="49" t="str">
        <f t="shared" si="3"/>
        <v>russell,</v>
      </c>
      <c r="Y828" s="49"/>
      <c r="Z828" s="1" t="s">
        <v>482</v>
      </c>
      <c r="AA828" s="1" t="s">
        <v>2388</v>
      </c>
      <c r="AB828" s="49" t="str">
        <f>IFERROR(__xludf.DUMMYFUNCTION("""COMPUTED_VALUE"""),"shanghai")</f>
        <v>shanghai</v>
      </c>
      <c r="AC828" s="49"/>
      <c r="AD828" s="49" t="str">
        <f>IFERROR(__xludf.DUMMYFUNCTION("""COMPUTED_VALUE"""),"esteem")</f>
        <v>esteem</v>
      </c>
      <c r="AE828" s="49" t="str">
        <f>IFERROR(__xludf.DUMMYFUNCTION("""COMPUTED_VALUE"""),"span")</f>
        <v>span</v>
      </c>
      <c r="AF828" s="49" t="str">
        <f t="shared" si="4"/>
        <v>comedies,</v>
      </c>
      <c r="AG828" s="49"/>
      <c r="AH828" s="1" t="s">
        <v>6956</v>
      </c>
      <c r="AI828" s="1" t="s">
        <v>1728</v>
      </c>
      <c r="AJ828" s="6" t="str">
        <f>IFERROR(__xludf.DUMMYFUNCTION("""COMPUTED_VALUE"""),"funny")</f>
        <v>funny</v>
      </c>
      <c r="AK828" s="49"/>
      <c r="AL828" s="49"/>
      <c r="AM828" s="49"/>
      <c r="AN828" s="52" t="str">
        <f t="shared" si="5"/>
        <v>removed,</v>
      </c>
    </row>
    <row r="829">
      <c r="A829" s="51"/>
      <c r="B829" s="50" t="s">
        <v>2167</v>
      </c>
      <c r="C829" s="50" t="s">
        <v>1748</v>
      </c>
      <c r="D829" s="49" t="str">
        <f>IFERROR(__xludf.DUMMYFUNCTION("""COMPUTED_VALUE"""),"gets")</f>
        <v>gets</v>
      </c>
      <c r="E829" s="49"/>
      <c r="F829" s="49"/>
      <c r="G829" s="49"/>
      <c r="H829" s="54" t="str">
        <f t="shared" si="1"/>
        <v>brown,</v>
      </c>
      <c r="I829" s="50"/>
      <c r="J829" s="50" t="s">
        <v>2822</v>
      </c>
      <c r="K829" s="50" t="s">
        <v>29</v>
      </c>
      <c r="L829" s="49" t="str">
        <f>IFERROR(__xludf.DUMMYFUNCTION("""COMPUTED_VALUE"""),"constant")</f>
        <v>constant</v>
      </c>
      <c r="M829" s="49"/>
      <c r="N829" s="49" t="str">
        <f>IFERROR(__xludf.DUMMYFUNCTION("""COMPUTED_VALUE"""),"keeping")</f>
        <v>keeping</v>
      </c>
      <c r="O829" s="49" t="str">
        <f>IFERROR(__xludf.DUMMYFUNCTION("""COMPUTED_VALUE"""),"sound")</f>
        <v>sound</v>
      </c>
      <c r="P829" s="49" t="str">
        <f t="shared" si="2"/>
        <v>self,</v>
      </c>
      <c r="Q829" s="49"/>
      <c r="R829" s="50" t="s">
        <v>6751</v>
      </c>
      <c r="S829" s="55" t="s">
        <v>2833</v>
      </c>
      <c r="T829" s="49" t="str">
        <f>IFERROR(__xludf.DUMMYFUNCTION("""COMPUTED_VALUE"""),"george")</f>
        <v>george</v>
      </c>
      <c r="U829" s="49"/>
      <c r="V829" s="49"/>
      <c r="W829" s="49" t="str">
        <f>IFERROR(__xludf.DUMMYFUNCTION("""COMPUTED_VALUE"""),"bravery")</f>
        <v>bravery</v>
      </c>
      <c r="X829" s="49" t="str">
        <f t="shared" si="3"/>
        <v>seattle,</v>
      </c>
      <c r="Y829" s="49"/>
      <c r="Z829" s="1" t="s">
        <v>1655</v>
      </c>
      <c r="AA829" s="1" t="s">
        <v>2385</v>
      </c>
      <c r="AB829" s="49" t="str">
        <f>IFERROR(__xludf.DUMMYFUNCTION("""COMPUTED_VALUE"""),"polished")</f>
        <v>polished</v>
      </c>
      <c r="AC829" s="49"/>
      <c r="AD829" s="49" t="str">
        <f>IFERROR(__xludf.DUMMYFUNCTION("""COMPUTED_VALUE"""),"keeping")</f>
        <v>keeping</v>
      </c>
      <c r="AE829" s="49" t="str">
        <f>IFERROR(__xludf.DUMMYFUNCTION("""COMPUTED_VALUE"""),"sound")</f>
        <v>sound</v>
      </c>
      <c r="AF829" s="49" t="str">
        <f t="shared" si="4"/>
        <v>camp,</v>
      </c>
      <c r="AG829" s="49"/>
      <c r="AH829" s="1" t="s">
        <v>6927</v>
      </c>
      <c r="AI829" s="1" t="s">
        <v>2487</v>
      </c>
      <c r="AJ829" s="6" t="str">
        <f>IFERROR(__xludf.DUMMYFUNCTION("""COMPUTED_VALUE"""),"members")</f>
        <v>members</v>
      </c>
      <c r="AK829" s="49"/>
      <c r="AL829" s="49"/>
      <c r="AM829" s="49"/>
      <c r="AN829" s="52" t="str">
        <f t="shared" si="5"/>
        <v>recently,</v>
      </c>
    </row>
    <row r="830">
      <c r="A830" s="51"/>
      <c r="B830" s="50" t="s">
        <v>3868</v>
      </c>
      <c r="C830" s="50" t="s">
        <v>2924</v>
      </c>
      <c r="D830" s="49" t="str">
        <f>IFERROR(__xludf.DUMMYFUNCTION("""COMPUTED_VALUE"""),"pace")</f>
        <v>pace</v>
      </c>
      <c r="E830" s="49"/>
      <c r="F830" s="49"/>
      <c r="G830" s="49"/>
      <c r="H830" s="54" t="str">
        <f t="shared" si="1"/>
        <v>wilson,</v>
      </c>
      <c r="I830" s="50"/>
      <c r="J830" s="50" t="s">
        <v>2278</v>
      </c>
      <c r="K830" s="50" t="s">
        <v>2941</v>
      </c>
      <c r="L830" s="49" t="str">
        <f>IFERROR(__xludf.DUMMYFUNCTION("""COMPUTED_VALUE"""),"frustration")</f>
        <v>frustration</v>
      </c>
      <c r="M830" s="49"/>
      <c r="N830" s="49" t="str">
        <f>IFERROR(__xludf.DUMMYFUNCTION("""COMPUTED_VALUE"""),"length")</f>
        <v>length</v>
      </c>
      <c r="O830" s="49" t="str">
        <f>IFERROR(__xludf.DUMMYFUNCTION("""COMPUTED_VALUE"""),"settles")</f>
        <v>settles</v>
      </c>
      <c r="P830" s="49" t="str">
        <f t="shared" si="2"/>
        <v>sweet,</v>
      </c>
      <c r="Q830" s="49"/>
      <c r="R830" s="50" t="s">
        <v>64</v>
      </c>
      <c r="S830" s="55" t="s">
        <v>2672</v>
      </c>
      <c r="T830" s="49" t="str">
        <f>IFERROR(__xludf.DUMMYFUNCTION("""COMPUTED_VALUE"""),"adventure")</f>
        <v>adventure</v>
      </c>
      <c r="U830" s="49"/>
      <c r="V830" s="49"/>
      <c r="W830" s="49" t="str">
        <f>IFERROR(__xludf.DUMMYFUNCTION("""COMPUTED_VALUE"""),"minnie")</f>
        <v>minnie</v>
      </c>
      <c r="X830" s="49" t="str">
        <f t="shared" si="3"/>
        <v>weaving,</v>
      </c>
      <c r="Y830" s="49"/>
      <c r="Z830" s="1" t="s">
        <v>2465</v>
      </c>
      <c r="AA830" s="1" t="s">
        <v>2405</v>
      </c>
      <c r="AB830" s="49" t="str">
        <f>IFERROR(__xludf.DUMMYFUNCTION("""COMPUTED_VALUE"""),"smash")</f>
        <v>smash</v>
      </c>
      <c r="AC830" s="49"/>
      <c r="AD830" s="49" t="str">
        <f>IFERROR(__xludf.DUMMYFUNCTION("""COMPUTED_VALUE"""),"length")</f>
        <v>length</v>
      </c>
      <c r="AE830" s="49" t="str">
        <f>IFERROR(__xludf.DUMMYFUNCTION("""COMPUTED_VALUE"""),"settles")</f>
        <v>settles</v>
      </c>
      <c r="AF830" s="49" t="str">
        <f t="shared" si="4"/>
        <v>practically,</v>
      </c>
      <c r="AG830" s="49"/>
      <c r="AH830" s="1" t="s">
        <v>3805</v>
      </c>
      <c r="AI830" s="1" t="s">
        <v>1697</v>
      </c>
      <c r="AJ830" s="6" t="str">
        <f>IFERROR(__xludf.DUMMYFUNCTION("""COMPUTED_VALUE"""),"anything")</f>
        <v>anything</v>
      </c>
      <c r="AK830" s="49"/>
      <c r="AL830" s="49"/>
      <c r="AM830" s="49"/>
      <c r="AN830" s="52" t="str">
        <f t="shared" si="5"/>
        <v>1970s,</v>
      </c>
    </row>
    <row r="831">
      <c r="A831" s="51"/>
      <c r="B831" s="50" t="s">
        <v>2122</v>
      </c>
      <c r="C831" s="50" t="s">
        <v>1799</v>
      </c>
      <c r="D831" s="49" t="str">
        <f>IFERROR(__xludf.DUMMYFUNCTION("""COMPUTED_VALUE"""),"husband")</f>
        <v>husband</v>
      </c>
      <c r="E831" s="49"/>
      <c r="F831" s="49"/>
      <c r="G831" s="49"/>
      <c r="H831" s="54" t="str">
        <f t="shared" si="1"/>
        <v>fashion,</v>
      </c>
      <c r="I831" s="50"/>
      <c r="J831" s="50" t="s">
        <v>1032</v>
      </c>
      <c r="K831" s="50" t="s">
        <v>3491</v>
      </c>
      <c r="L831" s="49" t="str">
        <f>IFERROR(__xludf.DUMMYFUNCTION("""COMPUTED_VALUE"""),"supporting")</f>
        <v>supporting</v>
      </c>
      <c r="M831" s="49"/>
      <c r="N831" s="49" t="str">
        <f>IFERROR(__xludf.DUMMYFUNCTION("""COMPUTED_VALUE"""),"z")</f>
        <v>z</v>
      </c>
      <c r="O831" s="49" t="str">
        <f>IFERROR(__xludf.DUMMYFUNCTION("""COMPUTED_VALUE"""),"compressed")</f>
        <v>compressed</v>
      </c>
      <c r="P831" s="49" t="str">
        <f t="shared" si="2"/>
        <v>bottom,</v>
      </c>
      <c r="Q831" s="49"/>
      <c r="R831" s="50" t="s">
        <v>6572</v>
      </c>
      <c r="S831" s="55" t="s">
        <v>489</v>
      </c>
      <c r="T831" s="49" t="str">
        <f>IFERROR(__xludf.DUMMYFUNCTION("""COMPUTED_VALUE"""),"motivated")</f>
        <v>motivated</v>
      </c>
      <c r="U831" s="49"/>
      <c r="V831" s="49"/>
      <c r="W831" s="49" t="str">
        <f>IFERROR(__xludf.DUMMYFUNCTION("""COMPUTED_VALUE"""),"wig")</f>
        <v>wig</v>
      </c>
      <c r="X831" s="49" t="str">
        <f t="shared" si="3"/>
        <v>arthur,</v>
      </c>
      <c r="Y831" s="49"/>
      <c r="Z831" s="1" t="s">
        <v>255</v>
      </c>
      <c r="AA831" s="1" t="s">
        <v>3487</v>
      </c>
      <c r="AB831" s="49" t="str">
        <f>IFERROR(__xludf.DUMMYFUNCTION("""COMPUTED_VALUE"""),"chaotic")</f>
        <v>chaotic</v>
      </c>
      <c r="AC831" s="49"/>
      <c r="AD831" s="49" t="str">
        <f>IFERROR(__xludf.DUMMYFUNCTION("""COMPUTED_VALUE"""),"z")</f>
        <v>z</v>
      </c>
      <c r="AE831" s="49" t="str">
        <f>IFERROR(__xludf.DUMMYFUNCTION("""COMPUTED_VALUE"""),"compressed")</f>
        <v>compressed</v>
      </c>
      <c r="AF831" s="49" t="str">
        <f t="shared" si="4"/>
        <v>main,</v>
      </c>
      <c r="AG831" s="49"/>
      <c r="AH831" s="1" t="s">
        <v>987</v>
      </c>
      <c r="AI831" s="1" t="s">
        <v>2864</v>
      </c>
      <c r="AJ831" s="6" t="str">
        <f>IFERROR(__xludf.DUMMYFUNCTION("""COMPUTED_VALUE"""),"am")</f>
        <v>am</v>
      </c>
      <c r="AK831" s="49"/>
      <c r="AL831" s="49"/>
      <c r="AM831" s="49"/>
      <c r="AN831" s="52" t="str">
        <f t="shared" si="5"/>
        <v>comedy,</v>
      </c>
    </row>
    <row r="832">
      <c r="A832" s="51"/>
      <c r="B832" s="50" t="s">
        <v>2767</v>
      </c>
      <c r="C832" s="50">
        <v>2002.0</v>
      </c>
      <c r="D832" s="49" t="str">
        <f>IFERROR(__xludf.DUMMYFUNCTION("""COMPUTED_VALUE"""),"book")</f>
        <v>book</v>
      </c>
      <c r="E832" s="49"/>
      <c r="F832" s="49"/>
      <c r="G832" s="49"/>
      <c r="H832" s="54" t="str">
        <f t="shared" si="1"/>
        <v>realize,</v>
      </c>
      <c r="I832" s="50"/>
      <c r="J832" s="50" t="s">
        <v>357</v>
      </c>
      <c r="K832" s="50" t="s">
        <v>2092</v>
      </c>
      <c r="L832" s="49" t="str">
        <f>IFERROR(__xludf.DUMMYFUNCTION("""COMPUTED_VALUE"""),"interviews")</f>
        <v>interviews</v>
      </c>
      <c r="M832" s="49"/>
      <c r="N832" s="49" t="str">
        <f>IFERROR(__xludf.DUMMYFUNCTION("""COMPUTED_VALUE"""),"phrase")</f>
        <v>phrase</v>
      </c>
      <c r="O832" s="49" t="str">
        <f>IFERROR(__xludf.DUMMYFUNCTION("""COMPUTED_VALUE"""),"catalyst")</f>
        <v>catalyst</v>
      </c>
      <c r="P832" s="49" t="str">
        <f t="shared" si="2"/>
        <v>come,</v>
      </c>
      <c r="Q832" s="49"/>
      <c r="R832" s="50" t="s">
        <v>6888</v>
      </c>
      <c r="S832" s="55" t="s">
        <v>3146</v>
      </c>
      <c r="T832" s="49" t="str">
        <f>IFERROR(__xludf.DUMMYFUNCTION("""COMPUTED_VALUE"""),"solid")</f>
        <v>solid</v>
      </c>
      <c r="U832" s="49"/>
      <c r="V832" s="49"/>
      <c r="W832" s="49" t="str">
        <f>IFERROR(__xludf.DUMMYFUNCTION("""COMPUTED_VALUE"""),"shop")</f>
        <v>shop</v>
      </c>
      <c r="X832" s="49" t="str">
        <f t="shared" si="3"/>
        <v>di,</v>
      </c>
      <c r="Y832" s="49"/>
      <c r="Z832" s="1" t="s">
        <v>1263</v>
      </c>
      <c r="AA832" s="1" t="s">
        <v>1242</v>
      </c>
      <c r="AB832" s="49" t="str">
        <f>IFERROR(__xludf.DUMMYFUNCTION("""COMPUTED_VALUE"""),"junk")</f>
        <v>junk</v>
      </c>
      <c r="AC832" s="49"/>
      <c r="AD832" s="49" t="str">
        <f>IFERROR(__xludf.DUMMYFUNCTION("""COMPUTED_VALUE"""),"phrase")</f>
        <v>phrase</v>
      </c>
      <c r="AE832" s="49" t="str">
        <f>IFERROR(__xludf.DUMMYFUNCTION("""COMPUTED_VALUE"""),"catalyst")</f>
        <v>catalyst</v>
      </c>
      <c r="AF832" s="49" t="str">
        <f t="shared" si="4"/>
        <v>jerry,</v>
      </c>
      <c r="AG832" s="49"/>
      <c r="AH832" s="1" t="s">
        <v>5389</v>
      </c>
      <c r="AI832" s="1" t="s">
        <v>742</v>
      </c>
      <c r="AJ832" s="6" t="str">
        <f>IFERROR(__xludf.DUMMYFUNCTION("""COMPUTED_VALUE"""),"tonight")</f>
        <v>tonight</v>
      </c>
      <c r="AK832" s="49"/>
      <c r="AL832" s="49"/>
      <c r="AM832" s="49"/>
      <c r="AN832" s="52" t="str">
        <f t="shared" si="5"/>
        <v>entry,</v>
      </c>
    </row>
    <row r="833">
      <c r="A833" s="51"/>
      <c r="B833" s="50" t="s">
        <v>4399</v>
      </c>
      <c r="C833" s="50" t="s">
        <v>1811</v>
      </c>
      <c r="D833" s="49" t="str">
        <f>IFERROR(__xludf.DUMMYFUNCTION("""COMPUTED_VALUE"""),"thrown")</f>
        <v>thrown</v>
      </c>
      <c r="E833" s="49"/>
      <c r="F833" s="49"/>
      <c r="G833" s="49"/>
      <c r="H833" s="54" t="str">
        <f t="shared" si="1"/>
        <v>li,</v>
      </c>
      <c r="I833" s="50"/>
      <c r="J833" s="50" t="s">
        <v>234</v>
      </c>
      <c r="K833" s="50" t="s">
        <v>2616</v>
      </c>
      <c r="L833" s="49" t="str">
        <f>IFERROR(__xludf.DUMMYFUNCTION("""COMPUTED_VALUE"""),"proves")</f>
        <v>proves</v>
      </c>
      <c r="M833" s="49"/>
      <c r="N833" s="49" t="str">
        <f>IFERROR(__xludf.DUMMYFUNCTION("""COMPUTED_VALUE"""),"largely")</f>
        <v>largely</v>
      </c>
      <c r="O833" s="49" t="str">
        <f>IFERROR(__xludf.DUMMYFUNCTION("""COMPUTED_VALUE"""),"restrictive")</f>
        <v>restrictive</v>
      </c>
      <c r="P833" s="49" t="str">
        <f t="shared" si="2"/>
        <v>small,</v>
      </c>
      <c r="Q833" s="49"/>
      <c r="R833" s="50" t="s">
        <v>1609</v>
      </c>
      <c r="S833" s="55" t="s">
        <v>1931</v>
      </c>
      <c r="T833" s="49" t="str">
        <f>IFERROR(__xludf.DUMMYFUNCTION("""COMPUTED_VALUE"""),"garcia")</f>
        <v>garcia</v>
      </c>
      <c r="U833" s="49"/>
      <c r="V833" s="49"/>
      <c r="W833" s="49" t="str">
        <f>IFERROR(__xludf.DUMMYFUNCTION("""COMPUTED_VALUE"""),"spontaneous")</f>
        <v>spontaneous</v>
      </c>
      <c r="X833" s="49" t="str">
        <f t="shared" si="3"/>
        <v>international,</v>
      </c>
      <c r="Y833" s="49"/>
      <c r="Z833" s="1" t="s">
        <v>2971</v>
      </c>
      <c r="AA833" s="1" t="s">
        <v>706</v>
      </c>
      <c r="AB833" s="49" t="str">
        <f>IFERROR(__xludf.DUMMYFUNCTION("""COMPUTED_VALUE"""),"charming")</f>
        <v>charming</v>
      </c>
      <c r="AC833" s="49"/>
      <c r="AD833" s="49" t="str">
        <f>IFERROR(__xludf.DUMMYFUNCTION("""COMPUTED_VALUE"""),"largely")</f>
        <v>largely</v>
      </c>
      <c r="AE833" s="49" t="str">
        <f>IFERROR(__xludf.DUMMYFUNCTION("""COMPUTED_VALUE"""),"restrictive")</f>
        <v>restrictive</v>
      </c>
      <c r="AF833" s="49" t="str">
        <f t="shared" si="4"/>
        <v>happens,</v>
      </c>
      <c r="AG833" s="49"/>
      <c r="AH833" s="1" t="s">
        <v>6530</v>
      </c>
      <c r="AI833" s="1" t="s">
        <v>6381</v>
      </c>
      <c r="AJ833" s="6" t="str">
        <f>IFERROR(__xludf.DUMMYFUNCTION("""COMPUTED_VALUE"""),"calling")</f>
        <v>calling</v>
      </c>
      <c r="AK833" s="49"/>
      <c r="AL833" s="49"/>
      <c r="AM833" s="49"/>
      <c r="AN833" s="52" t="str">
        <f t="shared" si="5"/>
        <v>claims,</v>
      </c>
    </row>
    <row r="834">
      <c r="A834" s="51"/>
      <c r="B834" s="50" t="s">
        <v>2179</v>
      </c>
      <c r="C834" s="50" t="s">
        <v>2940</v>
      </c>
      <c r="D834" s="49" t="str">
        <f>IFERROR(__xludf.DUMMYFUNCTION("""COMPUTED_VALUE"""),"created")</f>
        <v>created</v>
      </c>
      <c r="E834" s="49"/>
      <c r="F834" s="49"/>
      <c r="G834" s="49"/>
      <c r="H834" s="54" t="str">
        <f t="shared" si="1"/>
        <v>steven,</v>
      </c>
      <c r="I834" s="50"/>
      <c r="J834" s="50" t="s">
        <v>1115</v>
      </c>
      <c r="K834" s="50" t="s">
        <v>3498</v>
      </c>
      <c r="L834" s="49" t="str">
        <f>IFERROR(__xludf.DUMMYFUNCTION("""COMPUTED_VALUE"""),"dawn")</f>
        <v>dawn</v>
      </c>
      <c r="M834" s="49"/>
      <c r="N834" s="49" t="str">
        <f>IFERROR(__xludf.DUMMYFUNCTION("""COMPUTED_VALUE"""),"mr")</f>
        <v>mr</v>
      </c>
      <c r="O834" s="49" t="str">
        <f>IFERROR(__xludf.DUMMYFUNCTION("""COMPUTED_VALUE"""),"leather")</f>
        <v>leather</v>
      </c>
      <c r="P834" s="49" t="str">
        <f t="shared" si="2"/>
        <v>dim,</v>
      </c>
      <c r="Q834" s="49"/>
      <c r="R834" s="50" t="s">
        <v>3425</v>
      </c>
      <c r="S834" s="55" t="s">
        <v>3152</v>
      </c>
      <c r="T834" s="49" t="str">
        <f>IFERROR(__xludf.DUMMYFUNCTION("""COMPUTED_VALUE"""),"n")</f>
        <v>n</v>
      </c>
      <c r="U834" s="49"/>
      <c r="V834" s="49"/>
      <c r="W834" s="49" t="str">
        <f>IFERROR(__xludf.DUMMYFUNCTION("""COMPUTED_VALUE"""),"interaction")</f>
        <v>interaction</v>
      </c>
      <c r="X834" s="49" t="str">
        <f t="shared" si="3"/>
        <v>limp,</v>
      </c>
      <c r="Y834" s="49"/>
      <c r="Z834" s="1" t="s">
        <v>4543</v>
      </c>
      <c r="AA834" s="1" t="s">
        <v>3496</v>
      </c>
      <c r="AB834" s="49" t="str">
        <f>IFERROR(__xludf.DUMMYFUNCTION("""COMPUTED_VALUE"""),"elegant")</f>
        <v>elegant</v>
      </c>
      <c r="AC834" s="49"/>
      <c r="AD834" s="49" t="str">
        <f>IFERROR(__xludf.DUMMYFUNCTION("""COMPUTED_VALUE"""),"mr")</f>
        <v>mr</v>
      </c>
      <c r="AE834" s="49" t="str">
        <f>IFERROR(__xludf.DUMMYFUNCTION("""COMPUTED_VALUE"""),"leather")</f>
        <v>leather</v>
      </c>
      <c r="AF834" s="49" t="str">
        <f t="shared" si="4"/>
        <v>copy,</v>
      </c>
      <c r="AG834" s="49"/>
      <c r="AH834" s="1" t="s">
        <v>4680</v>
      </c>
      <c r="AI834" s="1" t="s">
        <v>2658</v>
      </c>
      <c r="AJ834" s="6" t="str">
        <f>IFERROR(__xludf.DUMMYFUNCTION("""COMPUTED_VALUE"""),"fun")</f>
        <v>fun</v>
      </c>
      <c r="AK834" s="49"/>
      <c r="AL834" s="49"/>
      <c r="AM834" s="49"/>
      <c r="AN834" s="52" t="str">
        <f t="shared" si="5"/>
        <v>marks,</v>
      </c>
    </row>
    <row r="835">
      <c r="A835" s="51"/>
      <c r="B835" s="50" t="s">
        <v>7268</v>
      </c>
      <c r="C835" s="50" t="s">
        <v>2534</v>
      </c>
      <c r="D835" s="49" t="str">
        <f>IFERROR(__xludf.DUMMYFUNCTION("""COMPUTED_VALUE"""),"daughters")</f>
        <v>daughters</v>
      </c>
      <c r="E835" s="49"/>
      <c r="F835" s="49"/>
      <c r="G835" s="49"/>
      <c r="H835" s="54" t="str">
        <f t="shared" si="1"/>
        <v>pen,</v>
      </c>
      <c r="I835" s="50"/>
      <c r="J835" s="50" t="s">
        <v>7293</v>
      </c>
      <c r="K835" s="50" t="s">
        <v>472</v>
      </c>
      <c r="L835" s="49" t="str">
        <f>IFERROR(__xludf.DUMMYFUNCTION("""COMPUTED_VALUE"""),"blown")</f>
        <v>blown</v>
      </c>
      <c r="M835" s="49"/>
      <c r="N835" s="49" t="str">
        <f>IFERROR(__xludf.DUMMYFUNCTION("""COMPUTED_VALUE"""),"wrapping")</f>
        <v>wrapping</v>
      </c>
      <c r="O835" s="49" t="str">
        <f>IFERROR(__xludf.DUMMYFUNCTION("""COMPUTED_VALUE"""),"secretary")</f>
        <v>secretary</v>
      </c>
      <c r="P835" s="49" t="str">
        <f t="shared" si="2"/>
        <v>burger,</v>
      </c>
      <c r="Q835" s="49"/>
      <c r="R835" s="50" t="s">
        <v>6472</v>
      </c>
      <c r="S835" s="55" t="s">
        <v>1918</v>
      </c>
      <c r="T835" s="49" t="str">
        <f>IFERROR(__xludf.DUMMYFUNCTION("""COMPUTED_VALUE"""),"water")</f>
        <v>water</v>
      </c>
      <c r="U835" s="49"/>
      <c r="V835" s="49"/>
      <c r="W835" s="49" t="str">
        <f>IFERROR(__xludf.DUMMYFUNCTION("""COMPUTED_VALUE"""),"cellular")</f>
        <v>cellular</v>
      </c>
      <c r="X835" s="49" t="str">
        <f t="shared" si="3"/>
        <v>dragged,</v>
      </c>
      <c r="Y835" s="49"/>
      <c r="Z835" s="1" t="s">
        <v>5135</v>
      </c>
      <c r="AA835" s="1" t="s">
        <v>3499</v>
      </c>
      <c r="AB835" s="49" t="str">
        <f>IFERROR(__xludf.DUMMYFUNCTION("""COMPUTED_VALUE"""),"parker")</f>
        <v>parker</v>
      </c>
      <c r="AC835" s="49"/>
      <c r="AD835" s="49" t="str">
        <f>IFERROR(__xludf.DUMMYFUNCTION("""COMPUTED_VALUE"""),"wrapping")</f>
        <v>wrapping</v>
      </c>
      <c r="AE835" s="49" t="str">
        <f>IFERROR(__xludf.DUMMYFUNCTION("""COMPUTED_VALUE"""),"secretary")</f>
        <v>secretary</v>
      </c>
      <c r="AF835" s="49" t="str">
        <f t="shared" si="4"/>
        <v>singer,</v>
      </c>
      <c r="AG835" s="49"/>
      <c r="AH835" s="1" t="s">
        <v>276</v>
      </c>
      <c r="AI835" s="1" t="s">
        <v>2882</v>
      </c>
      <c r="AJ835" s="6" t="str">
        <f>IFERROR(__xludf.DUMMYFUNCTION("""COMPUTED_VALUE"""),"stupid")</f>
        <v>stupid</v>
      </c>
      <c r="AK835" s="49"/>
      <c r="AL835" s="49"/>
      <c r="AM835" s="49"/>
      <c r="AN835" s="52" t="str">
        <f t="shared" si="5"/>
        <v>funny,</v>
      </c>
    </row>
    <row r="836">
      <c r="A836" s="51"/>
      <c r="B836" s="50" t="s">
        <v>7180</v>
      </c>
      <c r="C836" s="50" t="s">
        <v>1756</v>
      </c>
      <c r="D836" s="49" t="str">
        <f>IFERROR(__xludf.DUMMYFUNCTION("""COMPUTED_VALUE"""),"darker")</f>
        <v>darker</v>
      </c>
      <c r="E836" s="49"/>
      <c r="F836" s="49"/>
      <c r="G836" s="49"/>
      <c r="H836" s="54" t="str">
        <f t="shared" si="1"/>
        <v>leonard,</v>
      </c>
      <c r="I836" s="50"/>
      <c r="J836" s="50" t="s">
        <v>2888</v>
      </c>
      <c r="K836" s="50" t="s">
        <v>552</v>
      </c>
      <c r="L836" s="49" t="str">
        <f>IFERROR(__xludf.DUMMYFUNCTION("""COMPUTED_VALUE"""),"ideal")</f>
        <v>ideal</v>
      </c>
      <c r="M836" s="49"/>
      <c r="N836" s="49" t="str">
        <f>IFERROR(__xludf.DUMMYFUNCTION("""COMPUTED_VALUE"""),"enter")</f>
        <v>enter</v>
      </c>
      <c r="O836" s="49" t="str">
        <f>IFERROR(__xludf.DUMMYFUNCTION("""COMPUTED_VALUE"""),"indians")</f>
        <v>indians</v>
      </c>
      <c r="P836" s="49" t="str">
        <f t="shared" si="2"/>
        <v>success,</v>
      </c>
      <c r="Q836" s="49"/>
      <c r="R836" s="50" t="s">
        <v>875</v>
      </c>
      <c r="S836" s="55" t="s">
        <v>1921</v>
      </c>
      <c r="T836" s="49" t="str">
        <f>IFERROR(__xludf.DUMMYFUNCTION("""COMPUTED_VALUE"""),"serve")</f>
        <v>serve</v>
      </c>
      <c r="U836" s="49"/>
      <c r="V836" s="49"/>
      <c r="W836" s="49" t="str">
        <f>IFERROR(__xludf.DUMMYFUNCTION("""COMPUTED_VALUE"""),"younger")</f>
        <v>younger</v>
      </c>
      <c r="X836" s="49" t="str">
        <f t="shared" si="3"/>
        <v>engaging,</v>
      </c>
      <c r="Y836" s="49"/>
      <c r="Z836" s="1" t="s">
        <v>3326</v>
      </c>
      <c r="AA836" s="1" t="s">
        <v>2408</v>
      </c>
      <c r="AB836" s="49" t="str">
        <f>IFERROR(__xludf.DUMMYFUNCTION("""COMPUTED_VALUE"""),"manner")</f>
        <v>manner</v>
      </c>
      <c r="AC836" s="49"/>
      <c r="AD836" s="49" t="str">
        <f>IFERROR(__xludf.DUMMYFUNCTION("""COMPUTED_VALUE"""),"enter")</f>
        <v>enter</v>
      </c>
      <c r="AE836" s="49" t="str">
        <f>IFERROR(__xludf.DUMMYFUNCTION("""COMPUTED_VALUE"""),"indians")</f>
        <v>indians</v>
      </c>
      <c r="AF836" s="49" t="str">
        <f t="shared" si="4"/>
        <v>stick,</v>
      </c>
      <c r="AG836" s="49"/>
      <c r="AH836" s="1" t="s">
        <v>1420</v>
      </c>
      <c r="AI836" s="1" t="s">
        <v>1725</v>
      </c>
      <c r="AJ836" s="6" t="str">
        <f>IFERROR(__xludf.DUMMYFUNCTION("""COMPUTED_VALUE"""),"violent")</f>
        <v>violent</v>
      </c>
      <c r="AK836" s="49"/>
      <c r="AL836" s="49"/>
      <c r="AM836" s="49"/>
      <c r="AN836" s="52" t="str">
        <f t="shared" si="5"/>
        <v>members,</v>
      </c>
    </row>
    <row r="837">
      <c r="A837" s="51"/>
      <c r="B837" s="50" t="s">
        <v>1139</v>
      </c>
      <c r="C837" s="50" t="s">
        <v>2955</v>
      </c>
      <c r="D837" s="49" t="str">
        <f>IFERROR(__xludf.DUMMYFUNCTION("""COMPUTED_VALUE"""),"filming")</f>
        <v>filming</v>
      </c>
      <c r="E837" s="49"/>
      <c r="F837" s="49"/>
      <c r="G837" s="49"/>
      <c r="H837" s="54" t="str">
        <f t="shared" si="1"/>
        <v>art,</v>
      </c>
      <c r="I837" s="50"/>
      <c r="J837" s="50" t="s">
        <v>6300</v>
      </c>
      <c r="K837" s="50" t="s">
        <v>480</v>
      </c>
      <c r="L837" s="49" t="str">
        <f>IFERROR(__xludf.DUMMYFUNCTION("""COMPUTED_VALUE"""),"ride")</f>
        <v>ride</v>
      </c>
      <c r="M837" s="49"/>
      <c r="N837" s="49" t="str">
        <f>IFERROR(__xludf.DUMMYFUNCTION("""COMPUTED_VALUE"""),"barber")</f>
        <v>barber</v>
      </c>
      <c r="O837" s="49" t="str">
        <f>IFERROR(__xludf.DUMMYFUNCTION("""COMPUTED_VALUE"""),"forming")</f>
        <v>forming</v>
      </c>
      <c r="P837" s="49" t="str">
        <f t="shared" si="2"/>
        <v>talented,</v>
      </c>
      <c r="Q837" s="49"/>
      <c r="R837" s="50" t="s">
        <v>737</v>
      </c>
      <c r="S837" s="55" t="s">
        <v>1941</v>
      </c>
      <c r="T837" s="49" t="str">
        <f>IFERROR(__xludf.DUMMYFUNCTION("""COMPUTED_VALUE"""),"viewers")</f>
        <v>viewers</v>
      </c>
      <c r="U837" s="49"/>
      <c r="V837" s="49"/>
      <c r="W837" s="49" t="str">
        <f>IFERROR(__xludf.DUMMYFUNCTION("""COMPUTED_VALUE"""),"cad")</f>
        <v>cad</v>
      </c>
      <c r="X837" s="49" t="str">
        <f t="shared" si="3"/>
        <v>remarkably,</v>
      </c>
      <c r="Y837" s="49"/>
      <c r="Z837" s="1" t="s">
        <v>4710</v>
      </c>
      <c r="AA837" s="1" t="s">
        <v>2411</v>
      </c>
      <c r="AB837" s="49" t="str">
        <f>IFERROR(__xludf.DUMMYFUNCTION("""COMPUTED_VALUE"""),"demons")</f>
        <v>demons</v>
      </c>
      <c r="AC837" s="49"/>
      <c r="AD837" s="49" t="str">
        <f>IFERROR(__xludf.DUMMYFUNCTION("""COMPUTED_VALUE"""),"barber")</f>
        <v>barber</v>
      </c>
      <c r="AE837" s="49" t="str">
        <f>IFERROR(__xludf.DUMMYFUNCTION("""COMPUTED_VALUE"""),"forming")</f>
        <v>forming</v>
      </c>
      <c r="AF837" s="49" t="str">
        <f t="shared" si="4"/>
        <v>project,</v>
      </c>
      <c r="AG837" s="49"/>
      <c r="AH837" s="1" t="s">
        <v>434</v>
      </c>
      <c r="AI837" s="1" t="s">
        <v>6383</v>
      </c>
      <c r="AJ837" s="6" t="str">
        <f>IFERROR(__xludf.DUMMYFUNCTION("""COMPUTED_VALUE"""),"expensive")</f>
        <v>expensive</v>
      </c>
      <c r="AK837" s="49"/>
      <c r="AL837" s="49"/>
      <c r="AM837" s="49"/>
      <c r="AN837" s="52" t="str">
        <f t="shared" si="5"/>
        <v>anything,</v>
      </c>
    </row>
    <row r="838">
      <c r="A838" s="51"/>
      <c r="B838" s="50" t="s">
        <v>795</v>
      </c>
      <c r="C838" s="50" t="s">
        <v>2950</v>
      </c>
      <c r="D838" s="49" t="str">
        <f>IFERROR(__xludf.DUMMYFUNCTION("""COMPUTED_VALUE"""),"seeking")</f>
        <v>seeking</v>
      </c>
      <c r="E838" s="49"/>
      <c r="F838" s="49"/>
      <c r="G838" s="49"/>
      <c r="H838" s="54" t="str">
        <f t="shared" si="1"/>
        <v>care,</v>
      </c>
      <c r="I838" s="50"/>
      <c r="J838" s="50" t="s">
        <v>2879</v>
      </c>
      <c r="K838" s="50" t="s">
        <v>3509</v>
      </c>
      <c r="L838" s="49" t="str">
        <f>IFERROR(__xludf.DUMMYFUNCTION("""COMPUTED_VALUE"""),"lower")</f>
        <v>lower</v>
      </c>
      <c r="M838" s="49"/>
      <c r="N838" s="49" t="str">
        <f>IFERROR(__xludf.DUMMYFUNCTION("""COMPUTED_VALUE"""),"brazil")</f>
        <v>brazil</v>
      </c>
      <c r="O838" s="49" t="str">
        <f>IFERROR(__xludf.DUMMYFUNCTION("""COMPUTED_VALUE"""),"distinguishing")</f>
        <v>distinguishing</v>
      </c>
      <c r="P838" s="49" t="str">
        <f t="shared" si="2"/>
        <v>directors,</v>
      </c>
      <c r="Q838" s="49"/>
      <c r="R838" s="50" t="s">
        <v>3024</v>
      </c>
      <c r="S838" s="55" t="s">
        <v>1936</v>
      </c>
      <c r="T838" s="49" t="str">
        <f>IFERROR(__xludf.DUMMYFUNCTION("""COMPUTED_VALUE"""),"color")</f>
        <v>color</v>
      </c>
      <c r="U838" s="49"/>
      <c r="V838" s="49"/>
      <c r="W838" s="49" t="str">
        <f>IFERROR(__xludf.DUMMYFUNCTION("""COMPUTED_VALUE"""),"cunning")</f>
        <v>cunning</v>
      </c>
      <c r="X838" s="49" t="str">
        <f t="shared" si="3"/>
        <v>interested,</v>
      </c>
      <c r="Y838" s="49"/>
      <c r="Z838" s="1" t="s">
        <v>4128</v>
      </c>
      <c r="AA838" s="1" t="s">
        <v>2066</v>
      </c>
      <c r="AB838" s="49" t="str">
        <f>IFERROR(__xludf.DUMMYFUNCTION("""COMPUTED_VALUE"""),"effortlessly")</f>
        <v>effortlessly</v>
      </c>
      <c r="AC838" s="49"/>
      <c r="AD838" s="49" t="str">
        <f>IFERROR(__xludf.DUMMYFUNCTION("""COMPUTED_VALUE"""),"brazil")</f>
        <v>brazil</v>
      </c>
      <c r="AE838" s="49" t="str">
        <f>IFERROR(__xludf.DUMMYFUNCTION("""COMPUTED_VALUE"""),"distinguishing")</f>
        <v>distinguishing</v>
      </c>
      <c r="AF838" s="49" t="str">
        <f t="shared" si="4"/>
        <v>sun,</v>
      </c>
      <c r="AG838" s="49"/>
      <c r="AH838" s="1" t="s">
        <v>363</v>
      </c>
      <c r="AI838" s="1" t="s">
        <v>1199</v>
      </c>
      <c r="AJ838" s="6">
        <f>IFERROR(__xludf.DUMMYFUNCTION("""COMPUTED_VALUE"""),2.0)</f>
        <v>2</v>
      </c>
      <c r="AK838" s="49"/>
      <c r="AL838" s="49"/>
      <c r="AM838" s="49"/>
      <c r="AN838" s="52" t="str">
        <f t="shared" si="5"/>
        <v>am,</v>
      </c>
    </row>
    <row r="839">
      <c r="A839" s="51"/>
      <c r="B839" s="50" t="s">
        <v>4738</v>
      </c>
      <c r="C839" s="50" t="s">
        <v>110</v>
      </c>
      <c r="D839" s="49" t="str">
        <f>IFERROR(__xludf.DUMMYFUNCTION("""COMPUTED_VALUE"""),"surviving")</f>
        <v>surviving</v>
      </c>
      <c r="E839" s="49"/>
      <c r="F839" s="49"/>
      <c r="G839" s="49"/>
      <c r="H839" s="54" t="str">
        <f t="shared" si="1"/>
        <v>leading,</v>
      </c>
      <c r="I839" s="50"/>
      <c r="J839" s="50" t="s">
        <v>905</v>
      </c>
      <c r="K839" s="50" t="s">
        <v>2973</v>
      </c>
      <c r="L839" s="49" t="str">
        <f>IFERROR(__xludf.DUMMYFUNCTION("""COMPUTED_VALUE"""),"cares")</f>
        <v>cares</v>
      </c>
      <c r="M839" s="49"/>
      <c r="N839" s="49" t="str">
        <f>IFERROR(__xludf.DUMMYFUNCTION("""COMPUTED_VALUE"""),"graphic")</f>
        <v>graphic</v>
      </c>
      <c r="O839" s="49" t="str">
        <f>IFERROR(__xludf.DUMMYFUNCTION("""COMPUTED_VALUE"""),"wallace")</f>
        <v>wallace</v>
      </c>
      <c r="P839" s="49" t="str">
        <f t="shared" si="2"/>
        <v>noir,</v>
      </c>
      <c r="Q839" s="49"/>
      <c r="R839" s="50" t="s">
        <v>2211</v>
      </c>
      <c r="S839" s="55" t="s">
        <v>4993</v>
      </c>
      <c r="T839" s="49" t="str">
        <f>IFERROR(__xludf.DUMMYFUNCTION("""COMPUTED_VALUE"""),"forgotten")</f>
        <v>forgotten</v>
      </c>
      <c r="U839" s="49"/>
      <c r="V839" s="49"/>
      <c r="W839" s="49" t="str">
        <f>IFERROR(__xludf.DUMMYFUNCTION("""COMPUTED_VALUE"""),"savage")</f>
        <v>savage</v>
      </c>
      <c r="X839" s="49" t="str">
        <f t="shared" si="3"/>
        <v>technically,</v>
      </c>
      <c r="Y839" s="49"/>
      <c r="Z839" s="1" t="s">
        <v>2762</v>
      </c>
      <c r="AA839" s="1" t="s">
        <v>713</v>
      </c>
      <c r="AB839" s="49" t="str">
        <f>IFERROR(__xludf.DUMMYFUNCTION("""COMPUTED_VALUE"""),"poem")</f>
        <v>poem</v>
      </c>
      <c r="AC839" s="49"/>
      <c r="AD839" s="49" t="str">
        <f>IFERROR(__xludf.DUMMYFUNCTION("""COMPUTED_VALUE"""),"graphic")</f>
        <v>graphic</v>
      </c>
      <c r="AE839" s="49" t="str">
        <f>IFERROR(__xludf.DUMMYFUNCTION("""COMPUTED_VALUE"""),"wallace")</f>
        <v>wallace</v>
      </c>
      <c r="AF839" s="49" t="str">
        <f t="shared" si="4"/>
        <v>forget,</v>
      </c>
      <c r="AG839" s="49"/>
      <c r="AH839" s="1" t="s">
        <v>6193</v>
      </c>
      <c r="AI839" s="1" t="s">
        <v>1698</v>
      </c>
      <c r="AJ839" s="6" t="str">
        <f>IFERROR(__xludf.DUMMYFUNCTION("""COMPUTED_VALUE"""),"h")</f>
        <v>h</v>
      </c>
      <c r="AK839" s="49"/>
      <c r="AL839" s="49"/>
      <c r="AM839" s="49"/>
      <c r="AN839" s="52" t="str">
        <f t="shared" si="5"/>
        <v>tonight,</v>
      </c>
    </row>
    <row r="840">
      <c r="A840" s="51"/>
      <c r="B840" s="50" t="s">
        <v>731</v>
      </c>
      <c r="C840" s="50" t="s">
        <v>1761</v>
      </c>
      <c r="D840" s="49" t="str">
        <f>IFERROR(__xludf.DUMMYFUNCTION("""COMPUTED_VALUE"""),"break")</f>
        <v>break</v>
      </c>
      <c r="E840" s="49"/>
      <c r="F840" s="49"/>
      <c r="G840" s="49"/>
      <c r="H840" s="54" t="str">
        <f t="shared" si="1"/>
        <v>direction,</v>
      </c>
      <c r="I840" s="50"/>
      <c r="J840" s="50" t="s">
        <v>3006</v>
      </c>
      <c r="K840" s="50" t="s">
        <v>3513</v>
      </c>
      <c r="L840" s="49" t="str">
        <f>IFERROR(__xludf.DUMMYFUNCTION("""COMPUTED_VALUE"""),"detail")</f>
        <v>detail</v>
      </c>
      <c r="M840" s="49"/>
      <c r="N840" s="49" t="str">
        <f>IFERROR(__xludf.DUMMYFUNCTION("""COMPUTED_VALUE"""),"artwork")</f>
        <v>artwork</v>
      </c>
      <c r="O840" s="49" t="str">
        <f>IFERROR(__xludf.DUMMYFUNCTION("""COMPUTED_VALUE"""),"shaken")</f>
        <v>shaken</v>
      </c>
      <c r="P840" s="49" t="str">
        <f t="shared" si="2"/>
        <v>wild,</v>
      </c>
      <c r="Q840" s="49"/>
      <c r="R840" s="50" t="s">
        <v>7294</v>
      </c>
      <c r="S840" s="55" t="s">
        <v>2684</v>
      </c>
      <c r="T840" s="49" t="str">
        <f>IFERROR(__xludf.DUMMYFUNCTION("""COMPUTED_VALUE"""),"pet")</f>
        <v>pet</v>
      </c>
      <c r="U840" s="49"/>
      <c r="V840" s="49"/>
      <c r="W840" s="49" t="str">
        <f>IFERROR(__xludf.DUMMYFUNCTION("""COMPUTED_VALUE"""),"gaunt")</f>
        <v>gaunt</v>
      </c>
      <c r="X840" s="49" t="str">
        <f t="shared" si="3"/>
        <v>stu,</v>
      </c>
      <c r="Y840" s="49"/>
      <c r="Z840" s="1" t="s">
        <v>3029</v>
      </c>
      <c r="AA840" s="1" t="s">
        <v>2423</v>
      </c>
      <c r="AB840" s="49" t="str">
        <f>IFERROR(__xludf.DUMMYFUNCTION("""COMPUTED_VALUE"""),"topic")</f>
        <v>topic</v>
      </c>
      <c r="AC840" s="49"/>
      <c r="AD840" s="49" t="str">
        <f>IFERROR(__xludf.DUMMYFUNCTION("""COMPUTED_VALUE"""),"artwork")</f>
        <v>artwork</v>
      </c>
      <c r="AE840" s="49" t="str">
        <f>IFERROR(__xludf.DUMMYFUNCTION("""COMPUTED_VALUE"""),"shaken")</f>
        <v>shaken</v>
      </c>
      <c r="AF840" s="49" t="str">
        <f t="shared" si="4"/>
        <v>job,</v>
      </c>
      <c r="AG840" s="49"/>
      <c r="AH840" s="1" t="s">
        <v>7054</v>
      </c>
      <c r="AI840" s="1" t="s">
        <v>2893</v>
      </c>
      <c r="AJ840" s="6" t="str">
        <f>IFERROR(__xludf.DUMMYFUNCTION("""COMPUTED_VALUE"""),"island")</f>
        <v>island</v>
      </c>
      <c r="AK840" s="49"/>
      <c r="AL840" s="49"/>
      <c r="AM840" s="49"/>
      <c r="AN840" s="52" t="str">
        <f t="shared" si="5"/>
        <v>calling,</v>
      </c>
    </row>
    <row r="841">
      <c r="A841" s="51"/>
      <c r="B841" s="50" t="s">
        <v>918</v>
      </c>
      <c r="C841" s="50" t="s">
        <v>2539</v>
      </c>
      <c r="D841" s="49" t="str">
        <f>IFERROR(__xludf.DUMMYFUNCTION("""COMPUTED_VALUE"""),"deep")</f>
        <v>deep</v>
      </c>
      <c r="E841" s="49"/>
      <c r="F841" s="49"/>
      <c r="G841" s="49"/>
      <c r="H841" s="54" t="str">
        <f t="shared" si="1"/>
        <v>picture,</v>
      </c>
      <c r="I841" s="50"/>
      <c r="J841" s="50" t="s">
        <v>4024</v>
      </c>
      <c r="K841" s="50" t="s">
        <v>3516</v>
      </c>
      <c r="L841" s="49" t="str">
        <f>IFERROR(__xludf.DUMMYFUNCTION("""COMPUTED_VALUE"""),"theories")</f>
        <v>theories</v>
      </c>
      <c r="M841" s="49"/>
      <c r="N841" s="49" t="str">
        <f>IFERROR(__xludf.DUMMYFUNCTION("""COMPUTED_VALUE"""),"marked")</f>
        <v>marked</v>
      </c>
      <c r="O841" s="49" t="str">
        <f>IFERROR(__xludf.DUMMYFUNCTION("""COMPUTED_VALUE"""),"transparency")</f>
        <v>transparency</v>
      </c>
      <c r="P841" s="49" t="str">
        <f t="shared" si="2"/>
        <v>particular,</v>
      </c>
      <c r="Q841" s="49"/>
      <c r="R841" s="50" t="s">
        <v>3419</v>
      </c>
      <c r="S841" s="55" t="s">
        <v>1928</v>
      </c>
      <c r="T841" s="49" t="str">
        <f>IFERROR(__xludf.DUMMYFUNCTION("""COMPUTED_VALUE"""),"impressive")</f>
        <v>impressive</v>
      </c>
      <c r="U841" s="49"/>
      <c r="V841" s="49"/>
      <c r="W841" s="49" t="str">
        <f>IFERROR(__xludf.DUMMYFUNCTION("""COMPUTED_VALUE"""),"handling")</f>
        <v>handling</v>
      </c>
      <c r="X841" s="49" t="str">
        <f t="shared" si="3"/>
        <v>christmas,</v>
      </c>
      <c r="Y841" s="49"/>
      <c r="Z841" s="1" t="s">
        <v>1199</v>
      </c>
      <c r="AA841" s="1" t="s">
        <v>2414</v>
      </c>
      <c r="AB841" s="49" t="str">
        <f>IFERROR(__xludf.DUMMYFUNCTION("""COMPUTED_VALUE"""),"soap")</f>
        <v>soap</v>
      </c>
      <c r="AC841" s="49"/>
      <c r="AD841" s="49" t="str">
        <f>IFERROR(__xludf.DUMMYFUNCTION("""COMPUTED_VALUE"""),"marked")</f>
        <v>marked</v>
      </c>
      <c r="AE841" s="49" t="str">
        <f>IFERROR(__xludf.DUMMYFUNCTION("""COMPUTED_VALUE"""),"transparency")</f>
        <v>transparency</v>
      </c>
      <c r="AF841" s="49" t="str">
        <f t="shared" si="4"/>
        <v>wedding,</v>
      </c>
      <c r="AG841" s="49"/>
      <c r="AH841" s="1" t="s">
        <v>1370</v>
      </c>
      <c r="AI841" s="1" t="s">
        <v>1512</v>
      </c>
      <c r="AJ841" s="6" t="str">
        <f>IFERROR(__xludf.DUMMYFUNCTION("""COMPUTED_VALUE"""),"earlier")</f>
        <v>earlier</v>
      </c>
      <c r="AK841" s="49"/>
      <c r="AL841" s="49"/>
      <c r="AM841" s="49"/>
      <c r="AN841" s="52" t="str">
        <f t="shared" si="5"/>
        <v>fun,</v>
      </c>
    </row>
    <row r="842">
      <c r="A842" s="51"/>
      <c r="B842" s="50" t="s">
        <v>5532</v>
      </c>
      <c r="C842" s="50" t="s">
        <v>696</v>
      </c>
      <c r="D842" s="49" t="str">
        <f>IFERROR(__xludf.DUMMYFUNCTION("""COMPUTED_VALUE"""),"okay")</f>
        <v>okay</v>
      </c>
      <c r="E842" s="49"/>
      <c r="F842" s="49"/>
      <c r="G842" s="49"/>
      <c r="H842" s="54" t="str">
        <f t="shared" si="1"/>
        <v>notable,</v>
      </c>
      <c r="I842" s="50"/>
      <c r="J842" s="50" t="s">
        <v>2189</v>
      </c>
      <c r="K842" s="50" t="s">
        <v>2982</v>
      </c>
      <c r="L842" s="49" t="str">
        <f>IFERROR(__xludf.DUMMYFUNCTION("""COMPUTED_VALUE"""),"hazy")</f>
        <v>hazy</v>
      </c>
      <c r="M842" s="49"/>
      <c r="N842" s="49" t="str">
        <f>IFERROR(__xludf.DUMMYFUNCTION("""COMPUTED_VALUE"""),"agree")</f>
        <v>agree</v>
      </c>
      <c r="O842" s="49" t="str">
        <f>IFERROR(__xludf.DUMMYFUNCTION("""COMPUTED_VALUE"""),"hampered")</f>
        <v>hampered</v>
      </c>
      <c r="P842" s="49" t="str">
        <f t="shared" si="2"/>
        <v>instead,</v>
      </c>
      <c r="Q842" s="49"/>
      <c r="R842" s="50" t="s">
        <v>185</v>
      </c>
      <c r="S842" s="55" t="s">
        <v>3356</v>
      </c>
      <c r="T842" s="49" t="str">
        <f>IFERROR(__xludf.DUMMYFUNCTION("""COMPUTED_VALUE"""),"terms")</f>
        <v>terms</v>
      </c>
      <c r="U842" s="49"/>
      <c r="V842" s="49"/>
      <c r="W842" s="49" t="str">
        <f>IFERROR(__xludf.DUMMYFUNCTION("""COMPUTED_VALUE"""),"wasted")</f>
        <v>wasted</v>
      </c>
      <c r="X842" s="49" t="str">
        <f t="shared" si="3"/>
        <v>tragic,</v>
      </c>
      <c r="Y842" s="49"/>
      <c r="Z842" s="1" t="s">
        <v>6640</v>
      </c>
      <c r="AA842" s="1" t="s">
        <v>2430</v>
      </c>
      <c r="AB842" s="49" t="str">
        <f>IFERROR(__xludf.DUMMYFUNCTION("""COMPUTED_VALUE"""),"bullets")</f>
        <v>bullets</v>
      </c>
      <c r="AC842" s="49"/>
      <c r="AD842" s="49" t="str">
        <f>IFERROR(__xludf.DUMMYFUNCTION("""COMPUTED_VALUE"""),"agree")</f>
        <v>agree</v>
      </c>
      <c r="AE842" s="49" t="str">
        <f>IFERROR(__xludf.DUMMYFUNCTION("""COMPUTED_VALUE"""),"hampered")</f>
        <v>hampered</v>
      </c>
      <c r="AF842" s="49" t="str">
        <f t="shared" si="4"/>
        <v>comfortable,</v>
      </c>
      <c r="AG842" s="49"/>
      <c r="AH842" s="1" t="s">
        <v>2559</v>
      </c>
      <c r="AI842" s="1" t="s">
        <v>3182</v>
      </c>
      <c r="AJ842" s="6" t="str">
        <f>IFERROR(__xludf.DUMMYFUNCTION("""COMPUTED_VALUE"""),"edward")</f>
        <v>edward</v>
      </c>
      <c r="AK842" s="49"/>
      <c r="AL842" s="49"/>
      <c r="AM842" s="49"/>
      <c r="AN842" s="52" t="str">
        <f t="shared" si="5"/>
        <v>stupid,</v>
      </c>
    </row>
    <row r="843">
      <c r="A843" s="51"/>
      <c r="B843" s="50" t="s">
        <v>3506</v>
      </c>
      <c r="C843" s="50" t="s">
        <v>2553</v>
      </c>
      <c r="D843" s="49" t="str">
        <f>IFERROR(__xludf.DUMMYFUNCTION("""COMPUTED_VALUE"""),"submarine")</f>
        <v>submarine</v>
      </c>
      <c r="E843" s="49"/>
      <c r="F843" s="49"/>
      <c r="G843" s="49"/>
      <c r="H843" s="54" t="str">
        <f t="shared" si="1"/>
        <v>roles,</v>
      </c>
      <c r="I843" s="50"/>
      <c r="J843" s="50" t="s">
        <v>2109</v>
      </c>
      <c r="K843" s="50" t="s">
        <v>511</v>
      </c>
      <c r="L843" s="49" t="str">
        <f>IFERROR(__xludf.DUMMYFUNCTION("""COMPUTED_VALUE"""),"bear")</f>
        <v>bear</v>
      </c>
      <c r="M843" s="49"/>
      <c r="N843" s="49" t="str">
        <f>IFERROR(__xludf.DUMMYFUNCTION("""COMPUTED_VALUE"""),"von")</f>
        <v>von</v>
      </c>
      <c r="O843" s="49" t="str">
        <f>IFERROR(__xludf.DUMMYFUNCTION("""COMPUTED_VALUE"""),"random")</f>
        <v>random</v>
      </c>
      <c r="P843" s="49" t="str">
        <f t="shared" si="2"/>
        <v>willis,</v>
      </c>
      <c r="Q843" s="49"/>
      <c r="R843" s="50" t="s">
        <v>5672</v>
      </c>
      <c r="S843" s="55" t="s">
        <v>2703</v>
      </c>
      <c r="T843" s="49" t="str">
        <f>IFERROR(__xludf.DUMMYFUNCTION("""COMPUTED_VALUE"""),"sea")</f>
        <v>sea</v>
      </c>
      <c r="U843" s="49"/>
      <c r="V843" s="49"/>
      <c r="W843" s="49" t="str">
        <f>IFERROR(__xludf.DUMMYFUNCTION("""COMPUTED_VALUE"""),"participant")</f>
        <v>participant</v>
      </c>
      <c r="X843" s="49" t="str">
        <f t="shared" si="3"/>
        <v>phenomena,</v>
      </c>
      <c r="Y843" s="49"/>
      <c r="Z843" s="1" t="s">
        <v>646</v>
      </c>
      <c r="AA843" s="1" t="s">
        <v>586</v>
      </c>
      <c r="AB843" s="49" t="str">
        <f>IFERROR(__xludf.DUMMYFUNCTION("""COMPUTED_VALUE"""),"guilt")</f>
        <v>guilt</v>
      </c>
      <c r="AC843" s="49"/>
      <c r="AD843" s="49" t="str">
        <f>IFERROR(__xludf.DUMMYFUNCTION("""COMPUTED_VALUE"""),"von")</f>
        <v>von</v>
      </c>
      <c r="AE843" s="49" t="str">
        <f>IFERROR(__xludf.DUMMYFUNCTION("""COMPUTED_VALUE"""),"random")</f>
        <v>random</v>
      </c>
      <c r="AF843" s="49" t="str">
        <f t="shared" si="4"/>
        <v>look,</v>
      </c>
      <c r="AG843" s="49"/>
      <c r="AH843" s="1" t="s">
        <v>2731</v>
      </c>
      <c r="AI843" s="1" t="s">
        <v>1768</v>
      </c>
      <c r="AJ843" s="6" t="str">
        <f>IFERROR(__xludf.DUMMYFUNCTION("""COMPUTED_VALUE"""),"effects")</f>
        <v>effects</v>
      </c>
      <c r="AK843" s="49"/>
      <c r="AL843" s="49"/>
      <c r="AM843" s="49"/>
      <c r="AN843" s="52" t="str">
        <f t="shared" si="5"/>
        <v>violent,</v>
      </c>
    </row>
    <row r="844">
      <c r="A844" s="51"/>
      <c r="B844" s="50" t="s">
        <v>188</v>
      </c>
      <c r="C844" s="50" t="s">
        <v>6395</v>
      </c>
      <c r="D844" s="49" t="str">
        <f>IFERROR(__xludf.DUMMYFUNCTION("""COMPUTED_VALUE"""),"grand")</f>
        <v>grand</v>
      </c>
      <c r="E844" s="49"/>
      <c r="F844" s="49"/>
      <c r="G844" s="49"/>
      <c r="H844" s="54" t="str">
        <f t="shared" si="1"/>
        <v>performances,</v>
      </c>
      <c r="I844" s="50"/>
      <c r="J844" s="50" t="s">
        <v>1484</v>
      </c>
      <c r="K844" s="50" t="s">
        <v>487</v>
      </c>
      <c r="L844" s="49" t="str">
        <f>IFERROR(__xludf.DUMMYFUNCTION("""COMPUTED_VALUE"""),"carved")</f>
        <v>carved</v>
      </c>
      <c r="M844" s="49"/>
      <c r="N844" s="49" t="str">
        <f>IFERROR(__xludf.DUMMYFUNCTION("""COMPUTED_VALUE"""),"perfectly")</f>
        <v>perfectly</v>
      </c>
      <c r="O844" s="49" t="str">
        <f>IFERROR(__xludf.DUMMYFUNCTION("""COMPUTED_VALUE"""),"notion")</f>
        <v>notion</v>
      </c>
      <c r="P844" s="49" t="str">
        <f t="shared" si="2"/>
        <v>air,</v>
      </c>
      <c r="Q844" s="49"/>
      <c r="R844" s="50" t="s">
        <v>6782</v>
      </c>
      <c r="S844" s="55" t="s">
        <v>2699</v>
      </c>
      <c r="T844" s="49" t="str">
        <f>IFERROR(__xludf.DUMMYFUNCTION("""COMPUTED_VALUE"""),"actress")</f>
        <v>actress</v>
      </c>
      <c r="U844" s="49"/>
      <c r="V844" s="49"/>
      <c r="W844" s="49" t="str">
        <f>IFERROR(__xludf.DUMMYFUNCTION("""COMPUTED_VALUE"""),"fees")</f>
        <v>fees</v>
      </c>
      <c r="X844" s="49" t="str">
        <f t="shared" si="3"/>
        <v>strip,</v>
      </c>
      <c r="Y844" s="49"/>
      <c r="Z844" s="1" t="s">
        <v>3091</v>
      </c>
      <c r="AA844" s="1" t="s">
        <v>721</v>
      </c>
      <c r="AB844" s="49" t="str">
        <f>IFERROR(__xludf.DUMMYFUNCTION("""COMPUTED_VALUE"""),"obstacles")</f>
        <v>obstacles</v>
      </c>
      <c r="AC844" s="49"/>
      <c r="AD844" s="49" t="str">
        <f>IFERROR(__xludf.DUMMYFUNCTION("""COMPUTED_VALUE"""),"perfectly")</f>
        <v>perfectly</v>
      </c>
      <c r="AE844" s="49" t="str">
        <f>IFERROR(__xludf.DUMMYFUNCTION("""COMPUTED_VALUE"""),"notion")</f>
        <v>notion</v>
      </c>
      <c r="AF844" s="49" t="str">
        <f t="shared" si="4"/>
        <v>myself,</v>
      </c>
      <c r="AG844" s="49"/>
      <c r="AH844" s="1" t="s">
        <v>7066</v>
      </c>
      <c r="AI844" s="1" t="s">
        <v>1738</v>
      </c>
      <c r="AJ844" s="6" t="str">
        <f>IFERROR(__xludf.DUMMYFUNCTION("""COMPUTED_VALUE"""),"compared")</f>
        <v>compared</v>
      </c>
      <c r="AK844" s="49"/>
      <c r="AL844" s="49"/>
      <c r="AM844" s="49"/>
      <c r="AN844" s="52" t="str">
        <f t="shared" si="5"/>
        <v>expensive,</v>
      </c>
    </row>
    <row r="845">
      <c r="A845" s="51"/>
      <c r="B845" s="50" t="s">
        <v>369</v>
      </c>
      <c r="C845" s="50" t="s">
        <v>2269</v>
      </c>
      <c r="D845" s="49" t="str">
        <f>IFERROR(__xludf.DUMMYFUNCTION("""COMPUTED_VALUE"""),"found")</f>
        <v>found</v>
      </c>
      <c r="E845" s="49"/>
      <c r="F845" s="49"/>
      <c r="G845" s="49"/>
      <c r="H845" s="54" t="str">
        <f t="shared" si="1"/>
        <v>script,</v>
      </c>
      <c r="I845" s="50"/>
      <c r="J845" s="50" t="s">
        <v>3565</v>
      </c>
      <c r="K845" s="50" t="s">
        <v>3524</v>
      </c>
      <c r="L845" s="49" t="str">
        <f>IFERROR(__xludf.DUMMYFUNCTION("""COMPUTED_VALUE"""),"abuse")</f>
        <v>abuse</v>
      </c>
      <c r="M845" s="49"/>
      <c r="N845" s="49" t="str">
        <f>IFERROR(__xludf.DUMMYFUNCTION("""COMPUTED_VALUE"""),"mommy")</f>
        <v>mommy</v>
      </c>
      <c r="O845" s="49" t="str">
        <f>IFERROR(__xludf.DUMMYFUNCTION("""COMPUTED_VALUE"""),"terrifying")</f>
        <v>terrifying</v>
      </c>
      <c r="P845" s="49" t="str">
        <f t="shared" si="2"/>
        <v>element,</v>
      </c>
      <c r="Q845" s="49"/>
      <c r="R845" s="50" t="s">
        <v>651</v>
      </c>
      <c r="S845" s="55" t="s">
        <v>3181</v>
      </c>
      <c r="T845" s="49" t="str">
        <f>IFERROR(__xludf.DUMMYFUNCTION("""COMPUTED_VALUE"""),"runs")</f>
        <v>runs</v>
      </c>
      <c r="U845" s="49"/>
      <c r="V845" s="49"/>
      <c r="W845" s="49" t="str">
        <f>IFERROR(__xludf.DUMMYFUNCTION("""COMPUTED_VALUE"""),"technological")</f>
        <v>technological</v>
      </c>
      <c r="X845" s="49" t="str">
        <f t="shared" si="3"/>
        <v>standard,</v>
      </c>
      <c r="Y845" s="49"/>
      <c r="Z845" s="1" t="s">
        <v>1291</v>
      </c>
      <c r="AA845" s="1" t="s">
        <v>2421</v>
      </c>
      <c r="AB845" s="49" t="str">
        <f>IFERROR(__xludf.DUMMYFUNCTION("""COMPUTED_VALUE"""),"martha")</f>
        <v>martha</v>
      </c>
      <c r="AC845" s="49"/>
      <c r="AD845" s="49" t="str">
        <f>IFERROR(__xludf.DUMMYFUNCTION("""COMPUTED_VALUE"""),"mommy")</f>
        <v>mommy</v>
      </c>
      <c r="AE845" s="49" t="str">
        <f>IFERROR(__xludf.DUMMYFUNCTION("""COMPUTED_VALUE"""),"terrifying")</f>
        <v>terrifying</v>
      </c>
      <c r="AF845" s="49" t="str">
        <f t="shared" si="4"/>
        <v>entertainment,</v>
      </c>
      <c r="AG845" s="49"/>
      <c r="AH845" s="1">
        <v>2.0</v>
      </c>
      <c r="AI845" s="1" t="s">
        <v>2512</v>
      </c>
      <c r="AJ845" s="6" t="str">
        <f>IFERROR(__xludf.DUMMYFUNCTION("""COMPUTED_VALUE"""),"begins")</f>
        <v>begins</v>
      </c>
      <c r="AK845" s="49"/>
      <c r="AL845" s="49"/>
      <c r="AM845" s="49"/>
      <c r="AN845" s="52" t="str">
        <f t="shared" si="5"/>
        <v>2,</v>
      </c>
    </row>
    <row r="846">
      <c r="A846" s="51"/>
      <c r="B846" s="50" t="s">
        <v>3185</v>
      </c>
      <c r="C846" s="50" t="s">
        <v>2559</v>
      </c>
      <c r="D846" s="49" t="str">
        <f>IFERROR(__xludf.DUMMYFUNCTION("""COMPUTED_VALUE"""),"audience")</f>
        <v>audience</v>
      </c>
      <c r="E846" s="49"/>
      <c r="F846" s="49"/>
      <c r="G846" s="49"/>
      <c r="H846" s="54" t="str">
        <f t="shared" si="1"/>
        <v>mitchell,</v>
      </c>
      <c r="I846" s="50"/>
      <c r="J846" s="50" t="s">
        <v>2268</v>
      </c>
      <c r="K846" s="50" t="s">
        <v>2106</v>
      </c>
      <c r="L846" s="49" t="str">
        <f>IFERROR(__xludf.DUMMYFUNCTION("""COMPUTED_VALUE"""),"deserve")</f>
        <v>deserve</v>
      </c>
      <c r="M846" s="49"/>
      <c r="N846" s="49" t="str">
        <f>IFERROR(__xludf.DUMMYFUNCTION("""COMPUTED_VALUE"""),"luc")</f>
        <v>luc</v>
      </c>
      <c r="O846" s="49" t="str">
        <f>IFERROR(__xludf.DUMMYFUNCTION("""COMPUTED_VALUE"""),"possesses")</f>
        <v>possesses</v>
      </c>
      <c r="P846" s="49" t="str">
        <f t="shared" si="2"/>
        <v>motion,</v>
      </c>
      <c r="Q846" s="49"/>
      <c r="R846" s="50" t="s">
        <v>7295</v>
      </c>
      <c r="S846" s="55" t="s">
        <v>3419</v>
      </c>
      <c r="T846" s="49" t="str">
        <f>IFERROR(__xludf.DUMMYFUNCTION("""COMPUTED_VALUE"""),"artists")</f>
        <v>artists</v>
      </c>
      <c r="U846" s="49"/>
      <c r="V846" s="49"/>
      <c r="W846" s="49" t="str">
        <f>IFERROR(__xludf.DUMMYFUNCTION("""COMPUTED_VALUE"""),"concentrating")</f>
        <v>concentrating</v>
      </c>
      <c r="X846" s="49" t="str">
        <f t="shared" si="3"/>
        <v>multi,</v>
      </c>
      <c r="Y846" s="49"/>
      <c r="Z846" s="1" t="s">
        <v>4145</v>
      </c>
      <c r="AA846" s="1" t="s">
        <v>738</v>
      </c>
      <c r="AB846" s="49" t="str">
        <f>IFERROR(__xludf.DUMMYFUNCTION("""COMPUTED_VALUE"""),"eventual")</f>
        <v>eventual</v>
      </c>
      <c r="AC846" s="49"/>
      <c r="AD846" s="49" t="str">
        <f>IFERROR(__xludf.DUMMYFUNCTION("""COMPUTED_VALUE"""),"luc")</f>
        <v>luc</v>
      </c>
      <c r="AE846" s="49" t="str">
        <f>IFERROR(__xludf.DUMMYFUNCTION("""COMPUTED_VALUE"""),"possesses")</f>
        <v>possesses</v>
      </c>
      <c r="AF846" s="49" t="str">
        <f t="shared" si="4"/>
        <v>critics,</v>
      </c>
      <c r="AG846" s="49"/>
      <c r="AH846" s="1" t="s">
        <v>7271</v>
      </c>
      <c r="AI846" s="1" t="s">
        <v>6384</v>
      </c>
      <c r="AJ846" s="6" t="str">
        <f>IFERROR(__xludf.DUMMYFUNCTION("""COMPUTED_VALUE"""),"armed")</f>
        <v>armed</v>
      </c>
      <c r="AK846" s="49"/>
      <c r="AL846" s="49"/>
      <c r="AM846" s="49"/>
      <c r="AN846" s="52" t="str">
        <f t="shared" si="5"/>
        <v>g,</v>
      </c>
    </row>
    <row r="847">
      <c r="A847" s="51"/>
      <c r="B847" s="50" t="s">
        <v>7155</v>
      </c>
      <c r="C847" s="50" t="s">
        <v>2991</v>
      </c>
      <c r="D847" s="49" t="str">
        <f>IFERROR(__xludf.DUMMYFUNCTION("""COMPUTED_VALUE"""),"lead")</f>
        <v>lead</v>
      </c>
      <c r="E847" s="49"/>
      <c r="F847" s="49"/>
      <c r="G847" s="49"/>
      <c r="H847" s="54" t="str">
        <f t="shared" si="1"/>
        <v>lisa,</v>
      </c>
      <c r="I847" s="50"/>
      <c r="J847" s="50" t="s">
        <v>4434</v>
      </c>
      <c r="K847" s="50" t="s">
        <v>2995</v>
      </c>
      <c r="L847" s="49" t="str">
        <f>IFERROR(__xludf.DUMMYFUNCTION("""COMPUTED_VALUE"""),"genuine")</f>
        <v>genuine</v>
      </c>
      <c r="M847" s="49"/>
      <c r="N847" s="49" t="str">
        <f>IFERROR(__xludf.DUMMYFUNCTION("""COMPUTED_VALUE"""),"anime")</f>
        <v>anime</v>
      </c>
      <c r="O847" s="49" t="str">
        <f>IFERROR(__xludf.DUMMYFUNCTION("""COMPUTED_VALUE"""),"proficiency")</f>
        <v>proficiency</v>
      </c>
      <c r="P847" s="49" t="str">
        <f t="shared" si="2"/>
        <v>damage,</v>
      </c>
      <c r="Q847" s="49"/>
      <c r="R847" s="50" t="s">
        <v>1596</v>
      </c>
      <c r="S847" s="55" t="s">
        <v>405</v>
      </c>
      <c r="T847" s="49" t="str">
        <f>IFERROR(__xludf.DUMMYFUNCTION("""COMPUTED_VALUE"""),"backdrop")</f>
        <v>backdrop</v>
      </c>
      <c r="U847" s="49"/>
      <c r="V847" s="49"/>
      <c r="W847" s="49" t="str">
        <f>IFERROR(__xludf.DUMMYFUNCTION("""COMPUTED_VALUE"""),"laced")</f>
        <v>laced</v>
      </c>
      <c r="X847" s="49" t="str">
        <f t="shared" si="3"/>
        <v>age,</v>
      </c>
      <c r="Y847" s="49"/>
      <c r="Z847" s="1" t="s">
        <v>2333</v>
      </c>
      <c r="AA847" s="1" t="s">
        <v>3527</v>
      </c>
      <c r="AB847" s="49" t="str">
        <f>IFERROR(__xludf.DUMMYFUNCTION("""COMPUTED_VALUE"""),"equal")</f>
        <v>equal</v>
      </c>
      <c r="AC847" s="49"/>
      <c r="AD847" s="49" t="str">
        <f>IFERROR(__xludf.DUMMYFUNCTION("""COMPUTED_VALUE"""),"anime")</f>
        <v>anime</v>
      </c>
      <c r="AE847" s="49" t="str">
        <f>IFERROR(__xludf.DUMMYFUNCTION("""COMPUTED_VALUE"""),"proficiency")</f>
        <v>proficiency</v>
      </c>
      <c r="AF847" s="49" t="str">
        <f t="shared" si="4"/>
        <v>destination,</v>
      </c>
      <c r="AG847" s="49"/>
      <c r="AH847" s="1" t="s">
        <v>6959</v>
      </c>
      <c r="AI847" s="1" t="s">
        <v>1777</v>
      </c>
      <c r="AJ847" s="6" t="str">
        <f>IFERROR(__xludf.DUMMYFUNCTION("""COMPUTED_VALUE"""),"etc")</f>
        <v>etc</v>
      </c>
      <c r="AK847" s="49"/>
      <c r="AL847" s="49"/>
      <c r="AM847" s="49"/>
      <c r="AN847" s="52" t="str">
        <f t="shared" si="5"/>
        <v>h,</v>
      </c>
    </row>
    <row r="848">
      <c r="A848" s="51"/>
      <c r="B848" s="50" t="s">
        <v>3730</v>
      </c>
      <c r="C848" s="50" t="s">
        <v>2994</v>
      </c>
      <c r="D848" s="49" t="str">
        <f>IFERROR(__xludf.DUMMYFUNCTION("""COMPUTED_VALUE"""),"star")</f>
        <v>star</v>
      </c>
      <c r="E848" s="49"/>
      <c r="F848" s="49"/>
      <c r="G848" s="49"/>
      <c r="H848" s="54" t="str">
        <f t="shared" si="1"/>
        <v>deliver,</v>
      </c>
      <c r="I848" s="50"/>
      <c r="J848" s="50" t="s">
        <v>5398</v>
      </c>
      <c r="K848" s="50" t="s">
        <v>3532</v>
      </c>
      <c r="L848" s="49" t="str">
        <f>IFERROR(__xludf.DUMMYFUNCTION("""COMPUTED_VALUE"""),"appealing")</f>
        <v>appealing</v>
      </c>
      <c r="M848" s="49"/>
      <c r="N848" s="49" t="str">
        <f>IFERROR(__xludf.DUMMYFUNCTION("""COMPUTED_VALUE"""),"added")</f>
        <v>added</v>
      </c>
      <c r="O848" s="49" t="str">
        <f>IFERROR(__xludf.DUMMYFUNCTION("""COMPUTED_VALUE"""),"professors")</f>
        <v>professors</v>
      </c>
      <c r="P848" s="49" t="str">
        <f t="shared" si="2"/>
        <v>bruce,</v>
      </c>
      <c r="Q848" s="49"/>
      <c r="R848" s="50" t="s">
        <v>679</v>
      </c>
      <c r="S848" s="55" t="s">
        <v>416</v>
      </c>
      <c r="T848" s="49" t="str">
        <f>IFERROR(__xludf.DUMMYFUNCTION("""COMPUTED_VALUE"""),"cannes")</f>
        <v>cannes</v>
      </c>
      <c r="U848" s="49"/>
      <c r="V848" s="49"/>
      <c r="W848" s="49" t="str">
        <f>IFERROR(__xludf.DUMMYFUNCTION("""COMPUTED_VALUE"""),"projectile")</f>
        <v>projectile</v>
      </c>
      <c r="X848" s="49" t="str">
        <f t="shared" si="3"/>
        <v>mixed,</v>
      </c>
      <c r="Y848" s="49"/>
      <c r="Z848" s="1" t="s">
        <v>3534</v>
      </c>
      <c r="AA848" s="1" t="s">
        <v>2443</v>
      </c>
      <c r="AB848" s="49" t="str">
        <f>IFERROR(__xludf.DUMMYFUNCTION("""COMPUTED_VALUE"""),"vague")</f>
        <v>vague</v>
      </c>
      <c r="AC848" s="49"/>
      <c r="AD848" s="49" t="str">
        <f>IFERROR(__xludf.DUMMYFUNCTION("""COMPUTED_VALUE"""),"added")</f>
        <v>added</v>
      </c>
      <c r="AE848" s="49" t="str">
        <f>IFERROR(__xludf.DUMMYFUNCTION("""COMPUTED_VALUE"""),"professors")</f>
        <v>professors</v>
      </c>
      <c r="AF848" s="49" t="str">
        <f t="shared" si="4"/>
        <v>theater,</v>
      </c>
      <c r="AG848" s="49"/>
      <c r="AH848" s="1" t="s">
        <v>4140</v>
      </c>
      <c r="AI848" s="1" t="s">
        <v>1021</v>
      </c>
      <c r="AJ848" s="6" t="str">
        <f>IFERROR(__xludf.DUMMYFUNCTION("""COMPUTED_VALUE"""),"doubt")</f>
        <v>doubt</v>
      </c>
      <c r="AK848" s="49"/>
      <c r="AL848" s="49"/>
      <c r="AM848" s="49"/>
      <c r="AN848" s="52" t="str">
        <f t="shared" si="5"/>
        <v>island,</v>
      </c>
    </row>
    <row r="849">
      <c r="A849" s="51"/>
      <c r="B849" s="50" t="s">
        <v>3679</v>
      </c>
      <c r="C849" s="50" t="s">
        <v>6387</v>
      </c>
      <c r="D849" s="49" t="str">
        <f>IFERROR(__xludf.DUMMYFUNCTION("""COMPUTED_VALUE"""),"mental")</f>
        <v>mental</v>
      </c>
      <c r="E849" s="49"/>
      <c r="F849" s="49"/>
      <c r="G849" s="49"/>
      <c r="H849" s="54" t="str">
        <f t="shared" si="1"/>
        <v>ally,</v>
      </c>
      <c r="I849" s="50"/>
      <c r="J849" s="50" t="s">
        <v>2258</v>
      </c>
      <c r="K849" s="50" t="s">
        <v>2110</v>
      </c>
      <c r="L849" s="49" t="str">
        <f>IFERROR(__xludf.DUMMYFUNCTION("""COMPUTED_VALUE"""),"sweetness")</f>
        <v>sweetness</v>
      </c>
      <c r="M849" s="49"/>
      <c r="N849" s="49" t="str">
        <f>IFERROR(__xludf.DUMMYFUNCTION("""COMPUTED_VALUE"""),"gem")</f>
        <v>gem</v>
      </c>
      <c r="O849" s="49" t="str">
        <f>IFERROR(__xludf.DUMMYFUNCTION("""COMPUTED_VALUE"""),"contradiction")</f>
        <v>contradiction</v>
      </c>
      <c r="P849" s="49" t="str">
        <f t="shared" si="2"/>
        <v>keeps,</v>
      </c>
      <c r="Q849" s="49"/>
      <c r="R849" s="50" t="s">
        <v>6256</v>
      </c>
      <c r="S849" s="55" t="s">
        <v>423</v>
      </c>
      <c r="T849" s="49" t="str">
        <f>IFERROR(__xludf.DUMMYFUNCTION("""COMPUTED_VALUE"""),"bride")</f>
        <v>bride</v>
      </c>
      <c r="U849" s="49"/>
      <c r="V849" s="49"/>
      <c r="W849" s="49" t="str">
        <f>IFERROR(__xludf.DUMMYFUNCTION("""COMPUTED_VALUE"""),"seizing")</f>
        <v>seizing</v>
      </c>
      <c r="X849" s="49" t="str">
        <f t="shared" si="3"/>
        <v>fresh,</v>
      </c>
      <c r="Y849" s="49"/>
      <c r="Z849" s="1" t="s">
        <v>1243</v>
      </c>
      <c r="AA849" s="1" t="s">
        <v>2446</v>
      </c>
      <c r="AB849" s="49" t="str">
        <f>IFERROR(__xludf.DUMMYFUNCTION("""COMPUTED_VALUE"""),"discovery")</f>
        <v>discovery</v>
      </c>
      <c r="AC849" s="49"/>
      <c r="AD849" s="49" t="str">
        <f>IFERROR(__xludf.DUMMYFUNCTION("""COMPUTED_VALUE"""),"gem")</f>
        <v>gem</v>
      </c>
      <c r="AE849" s="49" t="str">
        <f>IFERROR(__xludf.DUMMYFUNCTION("""COMPUTED_VALUE"""),"contradiction")</f>
        <v>contradiction</v>
      </c>
      <c r="AF849" s="49" t="str">
        <f t="shared" si="4"/>
        <v>sitting,</v>
      </c>
      <c r="AG849" s="49"/>
      <c r="AH849" s="1" t="s">
        <v>4052</v>
      </c>
      <c r="AI849" s="1" t="s">
        <v>2517</v>
      </c>
      <c r="AJ849" s="6" t="str">
        <f>IFERROR(__xludf.DUMMYFUNCTION("""COMPUTED_VALUE"""),"douglas")</f>
        <v>douglas</v>
      </c>
      <c r="AK849" s="49"/>
      <c r="AL849" s="49"/>
      <c r="AM849" s="49"/>
      <c r="AN849" s="52" t="str">
        <f t="shared" si="5"/>
        <v>earlier,</v>
      </c>
    </row>
    <row r="850">
      <c r="A850" s="51"/>
      <c r="B850" s="50" t="s">
        <v>255</v>
      </c>
      <c r="C850" s="50" t="s">
        <v>965</v>
      </c>
      <c r="D850" s="49" t="str">
        <f>IFERROR(__xludf.DUMMYFUNCTION("""COMPUTED_VALUE"""),"spirit")</f>
        <v>spirit</v>
      </c>
      <c r="E850" s="49"/>
      <c r="F850" s="49"/>
      <c r="G850" s="49"/>
      <c r="H850" s="54" t="str">
        <f t="shared" si="1"/>
        <v>main,</v>
      </c>
      <c r="I850" s="50"/>
      <c r="J850" s="50" t="s">
        <v>4042</v>
      </c>
      <c r="K850" s="50" t="s">
        <v>2114</v>
      </c>
      <c r="L850" s="49" t="str">
        <f>IFERROR(__xludf.DUMMYFUNCTION("""COMPUTED_VALUE"""),"lightweight")</f>
        <v>lightweight</v>
      </c>
      <c r="M850" s="49"/>
      <c r="N850" s="49" t="str">
        <f>IFERROR(__xludf.DUMMYFUNCTION("""COMPUTED_VALUE"""),"dynamic")</f>
        <v>dynamic</v>
      </c>
      <c r="O850" s="49" t="str">
        <f>IFERROR(__xludf.DUMMYFUNCTION("""COMPUTED_VALUE"""),"searing")</f>
        <v>searing</v>
      </c>
      <c r="P850" s="49" t="str">
        <f t="shared" si="2"/>
        <v>accurately,</v>
      </c>
      <c r="Q850" s="49"/>
      <c r="R850" s="50" t="s">
        <v>4391</v>
      </c>
      <c r="S850" s="55" t="s">
        <v>1944</v>
      </c>
      <c r="T850" s="49" t="str">
        <f>IFERROR(__xludf.DUMMYFUNCTION("""COMPUTED_VALUE"""),"syrup")</f>
        <v>syrup</v>
      </c>
      <c r="U850" s="49"/>
      <c r="V850" s="49"/>
      <c r="W850" s="49" t="str">
        <f>IFERROR(__xludf.DUMMYFUNCTION("""COMPUTED_VALUE"""),"milk")</f>
        <v>milk</v>
      </c>
      <c r="X850" s="49" t="str">
        <f t="shared" si="3"/>
        <v>allen,</v>
      </c>
      <c r="Y850" s="49"/>
      <c r="Z850" s="1" t="s">
        <v>631</v>
      </c>
      <c r="AA850" s="1" t="s">
        <v>3535</v>
      </c>
      <c r="AB850" s="49" t="str">
        <f>IFERROR(__xludf.DUMMYFUNCTION("""COMPUTED_VALUE"""),"happiness")</f>
        <v>happiness</v>
      </c>
      <c r="AC850" s="49"/>
      <c r="AD850" s="49" t="str">
        <f>IFERROR(__xludf.DUMMYFUNCTION("""COMPUTED_VALUE"""),"dynamic")</f>
        <v>dynamic</v>
      </c>
      <c r="AE850" s="49" t="str">
        <f>IFERROR(__xludf.DUMMYFUNCTION("""COMPUTED_VALUE"""),"searing")</f>
        <v>searing</v>
      </c>
      <c r="AF850" s="49" t="str">
        <f t="shared" si="4"/>
        <v>week,</v>
      </c>
      <c r="AG850" s="49"/>
      <c r="AH850" s="1" t="s">
        <v>3828</v>
      </c>
      <c r="AI850" s="1" t="s">
        <v>1748</v>
      </c>
      <c r="AJ850" s="6" t="str">
        <f>IFERROR(__xludf.DUMMYFUNCTION("""COMPUTED_VALUE"""),"anniversary")</f>
        <v>anniversary</v>
      </c>
      <c r="AK850" s="49"/>
      <c r="AL850" s="49"/>
      <c r="AM850" s="49"/>
      <c r="AN850" s="52" t="str">
        <f t="shared" si="5"/>
        <v>edward,</v>
      </c>
    </row>
    <row r="851">
      <c r="A851" s="51"/>
      <c r="B851" s="50" t="s">
        <v>3888</v>
      </c>
      <c r="C851" s="50" t="s">
        <v>1314</v>
      </c>
      <c r="D851" s="49" t="str">
        <f>IFERROR(__xludf.DUMMYFUNCTION("""COMPUTED_VALUE"""),"medium")</f>
        <v>medium</v>
      </c>
      <c r="E851" s="49"/>
      <c r="F851" s="49"/>
      <c r="G851" s="49"/>
      <c r="H851" s="54" t="str">
        <f t="shared" si="1"/>
        <v>except,</v>
      </c>
      <c r="I851" s="50"/>
      <c r="J851" s="50" t="s">
        <v>1527</v>
      </c>
      <c r="K851" s="50" t="s">
        <v>3540</v>
      </c>
      <c r="L851" s="49" t="str">
        <f>IFERROR(__xludf.DUMMYFUNCTION("""COMPUTED_VALUE"""),"sitcom")</f>
        <v>sitcom</v>
      </c>
      <c r="M851" s="49"/>
      <c r="N851" s="49" t="str">
        <f>IFERROR(__xludf.DUMMYFUNCTION("""COMPUTED_VALUE"""),"private")</f>
        <v>private</v>
      </c>
      <c r="O851" s="49" t="str">
        <f>IFERROR(__xludf.DUMMYFUNCTION("""COMPUTED_VALUE"""),"niche")</f>
        <v>niche</v>
      </c>
      <c r="P851" s="49" t="str">
        <f t="shared" si="2"/>
        <v>tidal,</v>
      </c>
      <c r="Q851" s="49"/>
      <c r="R851" s="50" t="s">
        <v>3451</v>
      </c>
      <c r="S851" s="55" t="s">
        <v>3484</v>
      </c>
      <c r="T851" s="49" t="str">
        <f>IFERROR(__xludf.DUMMYFUNCTION("""COMPUTED_VALUE"""),"cheek")</f>
        <v>cheek</v>
      </c>
      <c r="U851" s="49"/>
      <c r="V851" s="49"/>
      <c r="W851" s="49" t="str">
        <f>IFERROR(__xludf.DUMMYFUNCTION("""COMPUTED_VALUE"""),"thousand")</f>
        <v>thousand</v>
      </c>
      <c r="X851" s="49" t="str">
        <f t="shared" si="3"/>
        <v>lives,</v>
      </c>
      <c r="Y851" s="49"/>
      <c r="Z851" s="1" t="s">
        <v>1750</v>
      </c>
      <c r="AA851" s="1" t="s">
        <v>368</v>
      </c>
      <c r="AB851" s="49" t="str">
        <f>IFERROR(__xludf.DUMMYFUNCTION("""COMPUTED_VALUE"""),"idiots")</f>
        <v>idiots</v>
      </c>
      <c r="AC851" s="49"/>
      <c r="AD851" s="49" t="str">
        <f>IFERROR(__xludf.DUMMYFUNCTION("""COMPUTED_VALUE"""),"private")</f>
        <v>private</v>
      </c>
      <c r="AE851" s="49" t="str">
        <f>IFERROR(__xludf.DUMMYFUNCTION("""COMPUTED_VALUE"""),"niche")</f>
        <v>niche</v>
      </c>
      <c r="AF851" s="49" t="str">
        <f t="shared" si="4"/>
        <v>final,</v>
      </c>
      <c r="AG851" s="49"/>
      <c r="AH851" s="1" t="s">
        <v>1914</v>
      </c>
      <c r="AI851" s="1" t="s">
        <v>2924</v>
      </c>
      <c r="AJ851" s="6" t="str">
        <f>IFERROR(__xludf.DUMMYFUNCTION("""COMPUTED_VALUE"""),"hollywood")</f>
        <v>hollywood</v>
      </c>
      <c r="AK851" s="49"/>
      <c r="AL851" s="49"/>
      <c r="AM851" s="49"/>
      <c r="AN851" s="52" t="str">
        <f t="shared" si="5"/>
        <v>effects,</v>
      </c>
    </row>
    <row r="852">
      <c r="A852" s="51"/>
      <c r="B852" s="50" t="s">
        <v>1655</v>
      </c>
      <c r="C852" s="50" t="s">
        <v>2024</v>
      </c>
      <c r="D852" s="49" t="str">
        <f>IFERROR(__xludf.DUMMYFUNCTION("""COMPUTED_VALUE"""),"punk")</f>
        <v>punk</v>
      </c>
      <c r="E852" s="49"/>
      <c r="F852" s="49"/>
      <c r="G852" s="49"/>
      <c r="H852" s="54" t="str">
        <f t="shared" si="1"/>
        <v>camp,</v>
      </c>
      <c r="I852" s="50"/>
      <c r="J852" s="50" t="s">
        <v>2503</v>
      </c>
      <c r="K852" s="50" t="s">
        <v>2100</v>
      </c>
      <c r="L852" s="49" t="str">
        <f>IFERROR(__xludf.DUMMYFUNCTION("""COMPUTED_VALUE"""),"magical")</f>
        <v>magical</v>
      </c>
      <c r="M852" s="49"/>
      <c r="N852" s="49" t="str">
        <f>IFERROR(__xludf.DUMMYFUNCTION("""COMPUTED_VALUE"""),"capability")</f>
        <v>capability</v>
      </c>
      <c r="O852" s="49" t="str">
        <f>IFERROR(__xludf.DUMMYFUNCTION("""COMPUTED_VALUE"""),"sophomore")</f>
        <v>sophomore</v>
      </c>
      <c r="P852" s="49" t="str">
        <f t="shared" si="2"/>
        <v>basic,</v>
      </c>
      <c r="Q852" s="49"/>
      <c r="R852" s="50" t="s">
        <v>4161</v>
      </c>
      <c r="S852" s="55" t="s">
        <v>6396</v>
      </c>
      <c r="T852" s="49" t="str">
        <f>IFERROR(__xludf.DUMMYFUNCTION("""COMPUTED_VALUE"""),"means")</f>
        <v>means</v>
      </c>
      <c r="U852" s="49"/>
      <c r="V852" s="49"/>
      <c r="W852" s="49" t="str">
        <f>IFERROR(__xludf.DUMMYFUNCTION("""COMPUTED_VALUE"""),"portrays")</f>
        <v>portrays</v>
      </c>
      <c r="X852" s="49" t="str">
        <f t="shared" si="3"/>
        <v>word,</v>
      </c>
      <c r="Y852" s="49"/>
      <c r="Z852" s="1" t="s">
        <v>6346</v>
      </c>
      <c r="AA852" s="1" t="s">
        <v>3541</v>
      </c>
      <c r="AB852" s="49" t="str">
        <f>IFERROR(__xludf.DUMMYFUNCTION("""COMPUTED_VALUE"""),"amused")</f>
        <v>amused</v>
      </c>
      <c r="AC852" s="49"/>
      <c r="AD852" s="49" t="str">
        <f>IFERROR(__xludf.DUMMYFUNCTION("""COMPUTED_VALUE"""),"capability")</f>
        <v>capability</v>
      </c>
      <c r="AE852" s="49" t="str">
        <f>IFERROR(__xludf.DUMMYFUNCTION("""COMPUTED_VALUE"""),"sophomore")</f>
        <v>sophomore</v>
      </c>
      <c r="AF852" s="49" t="str">
        <f t="shared" si="4"/>
        <v>value,</v>
      </c>
      <c r="AG852" s="49"/>
      <c r="AH852" s="1" t="s">
        <v>92</v>
      </c>
      <c r="AI852" s="1" t="s">
        <v>1799</v>
      </c>
      <c r="AJ852" s="6" t="str">
        <f>IFERROR(__xludf.DUMMYFUNCTION("""COMPUTED_VALUE"""),"superior")</f>
        <v>superior</v>
      </c>
      <c r="AK852" s="49"/>
      <c r="AL852" s="49"/>
      <c r="AM852" s="49"/>
      <c r="AN852" s="52" t="str">
        <f t="shared" si="5"/>
        <v>compared,</v>
      </c>
    </row>
    <row r="853">
      <c r="A853" s="51"/>
      <c r="B853" s="50" t="s">
        <v>1263</v>
      </c>
      <c r="C853" s="50" t="s">
        <v>6397</v>
      </c>
      <c r="D853" s="49" t="str">
        <f>IFERROR(__xludf.DUMMYFUNCTION("""COMPUTED_VALUE"""),"team")</f>
        <v>team</v>
      </c>
      <c r="E853" s="49"/>
      <c r="F853" s="49"/>
      <c r="G853" s="49"/>
      <c r="H853" s="54" t="str">
        <f t="shared" si="1"/>
        <v>jerry,</v>
      </c>
      <c r="I853" s="50"/>
      <c r="J853" s="50" t="s">
        <v>3356</v>
      </c>
      <c r="K853" s="50" t="s">
        <v>2118</v>
      </c>
      <c r="L853" s="49" t="str">
        <f>IFERROR(__xludf.DUMMYFUNCTION("""COMPUTED_VALUE"""),"straight")</f>
        <v>straight</v>
      </c>
      <c r="M853" s="49"/>
      <c r="N853" s="49" t="str">
        <f>IFERROR(__xludf.DUMMYFUNCTION("""COMPUTED_VALUE"""),"accept")</f>
        <v>accept</v>
      </c>
      <c r="O853" s="49" t="str">
        <f>IFERROR(__xludf.DUMMYFUNCTION("""COMPUTED_VALUE"""),"tug")</f>
        <v>tug</v>
      </c>
      <c r="P853" s="49" t="str">
        <f t="shared" si="2"/>
        <v>move,</v>
      </c>
      <c r="Q853" s="49"/>
      <c r="R853" s="50" t="s">
        <v>2876</v>
      </c>
      <c r="S853" s="55" t="s">
        <v>2725</v>
      </c>
      <c r="T853" s="49" t="str">
        <f>IFERROR(__xludf.DUMMYFUNCTION("""COMPUTED_VALUE"""),"wet")</f>
        <v>wet</v>
      </c>
      <c r="U853" s="49"/>
      <c r="V853" s="49"/>
      <c r="W853" s="49" t="str">
        <f>IFERROR(__xludf.DUMMYFUNCTION("""COMPUTED_VALUE"""),"gratitude")</f>
        <v>gratitude</v>
      </c>
      <c r="X853" s="49" t="str">
        <f t="shared" si="3"/>
        <v>sandwich,</v>
      </c>
      <c r="Y853" s="49"/>
      <c r="Z853" s="1" t="s">
        <v>946</v>
      </c>
      <c r="AA853" s="1" t="s">
        <v>2453</v>
      </c>
      <c r="AB853" s="49" t="str">
        <f>IFERROR(__xludf.DUMMYFUNCTION("""COMPUTED_VALUE"""),"zone")</f>
        <v>zone</v>
      </c>
      <c r="AC853" s="49"/>
      <c r="AD853" s="49" t="str">
        <f>IFERROR(__xludf.DUMMYFUNCTION("""COMPUTED_VALUE"""),"accept")</f>
        <v>accept</v>
      </c>
      <c r="AE853" s="49" t="str">
        <f>IFERROR(__xludf.DUMMYFUNCTION("""COMPUTED_VALUE"""),"tug")</f>
        <v>tug</v>
      </c>
      <c r="AF853" s="49" t="str">
        <f t="shared" si="4"/>
        <v>while,</v>
      </c>
      <c r="AG853" s="49"/>
      <c r="AH853" s="1" t="s">
        <v>2449</v>
      </c>
      <c r="AI853" s="1" t="s">
        <v>3203</v>
      </c>
      <c r="AJ853" s="6" t="str">
        <f>IFERROR(__xludf.DUMMYFUNCTION("""COMPUTED_VALUE"""),"alien")</f>
        <v>alien</v>
      </c>
      <c r="AK853" s="49"/>
      <c r="AL853" s="49"/>
      <c r="AM853" s="49"/>
      <c r="AN853" s="52" t="str">
        <f t="shared" si="5"/>
        <v>begins,</v>
      </c>
    </row>
    <row r="854">
      <c r="A854" s="51"/>
      <c r="B854" s="50" t="s">
        <v>2971</v>
      </c>
      <c r="C854" s="50" t="s">
        <v>2570</v>
      </c>
      <c r="D854" s="49" t="str">
        <f>IFERROR(__xludf.DUMMYFUNCTION("""COMPUTED_VALUE"""),"olympic")</f>
        <v>olympic</v>
      </c>
      <c r="E854" s="49"/>
      <c r="F854" s="49"/>
      <c r="G854" s="49"/>
      <c r="H854" s="54" t="str">
        <f t="shared" si="1"/>
        <v>happens,</v>
      </c>
      <c r="I854" s="50"/>
      <c r="J854" s="50" t="s">
        <v>1077</v>
      </c>
      <c r="K854" s="50" t="s">
        <v>3027</v>
      </c>
      <c r="L854" s="49" t="str">
        <f>IFERROR(__xludf.DUMMYFUNCTION("""COMPUTED_VALUE"""),"carl")</f>
        <v>carl</v>
      </c>
      <c r="M854" s="49"/>
      <c r="N854" s="49" t="str">
        <f>IFERROR(__xludf.DUMMYFUNCTION("""COMPUTED_VALUE"""),"conscious")</f>
        <v>conscious</v>
      </c>
      <c r="O854" s="49" t="str">
        <f>IFERROR(__xludf.DUMMYFUNCTION("""COMPUTED_VALUE"""),"slack")</f>
        <v>slack</v>
      </c>
      <c r="P854" s="49" t="str">
        <f t="shared" si="2"/>
        <v>comic,</v>
      </c>
      <c r="Q854" s="49"/>
      <c r="R854" s="50" t="s">
        <v>5517</v>
      </c>
      <c r="S854" s="55" t="s">
        <v>1978</v>
      </c>
      <c r="T854" s="49" t="str">
        <f>IFERROR(__xludf.DUMMYFUNCTION("""COMPUTED_VALUE"""),"ram")</f>
        <v>ram</v>
      </c>
      <c r="U854" s="49"/>
      <c r="V854" s="49"/>
      <c r="W854" s="49" t="str">
        <f>IFERROR(__xludf.DUMMYFUNCTION("""COMPUTED_VALUE"""),"dragons")</f>
        <v>dragons</v>
      </c>
      <c r="X854" s="49" t="str">
        <f t="shared" si="3"/>
        <v>dad,</v>
      </c>
      <c r="Y854" s="49"/>
      <c r="Z854" s="1" t="s">
        <v>6632</v>
      </c>
      <c r="AA854" s="1" t="s">
        <v>2451</v>
      </c>
      <c r="AB854" s="49" t="str">
        <f>IFERROR(__xludf.DUMMYFUNCTION("""COMPUTED_VALUE"""),"subjected")</f>
        <v>subjected</v>
      </c>
      <c r="AC854" s="49"/>
      <c r="AD854" s="49" t="str">
        <f>IFERROR(__xludf.DUMMYFUNCTION("""COMPUTED_VALUE"""),"conscious")</f>
        <v>conscious</v>
      </c>
      <c r="AE854" s="49" t="str">
        <f>IFERROR(__xludf.DUMMYFUNCTION("""COMPUTED_VALUE"""),"slack")</f>
        <v>slack</v>
      </c>
      <c r="AF854" s="49" t="str">
        <f t="shared" si="4"/>
        <v>likely,</v>
      </c>
      <c r="AG854" s="49"/>
      <c r="AH854" s="1" t="s">
        <v>5242</v>
      </c>
      <c r="AI854" s="1">
        <v>2002.0</v>
      </c>
      <c r="AJ854" s="6" t="str">
        <f>IFERROR(__xludf.DUMMYFUNCTION("""COMPUTED_VALUE"""),"war")</f>
        <v>war</v>
      </c>
      <c r="AK854" s="49"/>
      <c r="AL854" s="49"/>
      <c r="AM854" s="49"/>
      <c r="AN854" s="52" t="str">
        <f t="shared" si="5"/>
        <v>armed,</v>
      </c>
    </row>
    <row r="855">
      <c r="A855" s="51"/>
      <c r="B855" s="50" t="s">
        <v>2465</v>
      </c>
      <c r="C855" s="50" t="s">
        <v>467</v>
      </c>
      <c r="D855" s="49" t="str">
        <f>IFERROR(__xludf.DUMMYFUNCTION("""COMPUTED_VALUE"""),"pilot")</f>
        <v>pilot</v>
      </c>
      <c r="E855" s="49"/>
      <c r="F855" s="49"/>
      <c r="G855" s="49"/>
      <c r="H855" s="54" t="str">
        <f t="shared" si="1"/>
        <v>practically,</v>
      </c>
      <c r="I855" s="50"/>
      <c r="J855" s="50" t="s">
        <v>3571</v>
      </c>
      <c r="K855" s="50" t="s">
        <v>494</v>
      </c>
      <c r="L855" s="49" t="str">
        <f>IFERROR(__xludf.DUMMYFUNCTION("""COMPUTED_VALUE"""),"loose")</f>
        <v>loose</v>
      </c>
      <c r="M855" s="49"/>
      <c r="N855" s="49" t="str">
        <f>IFERROR(__xludf.DUMMYFUNCTION("""COMPUTED_VALUE"""),"reflex")</f>
        <v>reflex</v>
      </c>
      <c r="O855" s="49" t="str">
        <f>IFERROR(__xludf.DUMMYFUNCTION("""COMPUTED_VALUE"""),"1940s")</f>
        <v>1940s</v>
      </c>
      <c r="P855" s="49" t="str">
        <f t="shared" si="2"/>
        <v>directions,</v>
      </c>
      <c r="Q855" s="49"/>
      <c r="R855" s="50" t="s">
        <v>6425</v>
      </c>
      <c r="S855" s="55" t="s">
        <v>3492</v>
      </c>
      <c r="T855" s="49" t="str">
        <f>IFERROR(__xludf.DUMMYFUNCTION("""COMPUTED_VALUE"""),"recording")</f>
        <v>recording</v>
      </c>
      <c r="U855" s="49"/>
      <c r="V855" s="49"/>
      <c r="W855" s="49" t="str">
        <f>IFERROR(__xludf.DUMMYFUNCTION("""COMPUTED_VALUE"""),"dancers")</f>
        <v>dancers</v>
      </c>
      <c r="X855" s="49" t="str">
        <f t="shared" si="3"/>
        <v>rip,</v>
      </c>
      <c r="Y855" s="49"/>
      <c r="Z855" s="1" t="s">
        <v>6745</v>
      </c>
      <c r="AA855" s="1" t="s">
        <v>2432</v>
      </c>
      <c r="AB855" s="49" t="str">
        <f>IFERROR(__xludf.DUMMYFUNCTION("""COMPUTED_VALUE"""),"refusal")</f>
        <v>refusal</v>
      </c>
      <c r="AC855" s="49"/>
      <c r="AD855" s="49" t="str">
        <f>IFERROR(__xludf.DUMMYFUNCTION("""COMPUTED_VALUE"""),"reflex")</f>
        <v>reflex</v>
      </c>
      <c r="AE855" s="49" t="str">
        <f>IFERROR(__xludf.DUMMYFUNCTION("""COMPUTED_VALUE"""),"1940s")</f>
        <v>1940s</v>
      </c>
      <c r="AF855" s="49" t="str">
        <f t="shared" si="4"/>
        <v>average,</v>
      </c>
      <c r="AG855" s="49"/>
      <c r="AH855" s="1" t="s">
        <v>1958</v>
      </c>
      <c r="AI855" s="1" t="s">
        <v>1811</v>
      </c>
      <c r="AJ855" s="6" t="str">
        <f>IFERROR(__xludf.DUMMYFUNCTION("""COMPUTED_VALUE"""),"english")</f>
        <v>english</v>
      </c>
      <c r="AK855" s="49"/>
      <c r="AL855" s="49"/>
      <c r="AM855" s="49"/>
      <c r="AN855" s="52" t="str">
        <f t="shared" si="5"/>
        <v>etc,</v>
      </c>
    </row>
    <row r="856">
      <c r="A856" s="51"/>
      <c r="B856" s="50" t="s">
        <v>4840</v>
      </c>
      <c r="C856" s="50" t="s">
        <v>1506</v>
      </c>
      <c r="D856" s="49" t="str">
        <f>IFERROR(__xludf.DUMMYFUNCTION("""COMPUTED_VALUE"""),"holes")</f>
        <v>holes</v>
      </c>
      <c r="E856" s="49"/>
      <c r="F856" s="49"/>
      <c r="G856" s="49"/>
      <c r="H856" s="54" t="str">
        <f t="shared" si="1"/>
        <v>blonde,</v>
      </c>
      <c r="I856" s="50"/>
      <c r="J856" s="50" t="s">
        <v>4184</v>
      </c>
      <c r="K856" s="50" t="s">
        <v>912</v>
      </c>
      <c r="L856" s="49" t="str">
        <f>IFERROR(__xludf.DUMMYFUNCTION("""COMPUTED_VALUE"""),"manage")</f>
        <v>manage</v>
      </c>
      <c r="M856" s="49"/>
      <c r="N856" s="49" t="str">
        <f>IFERROR(__xludf.DUMMYFUNCTION("""COMPUTED_VALUE"""),"iron")</f>
        <v>iron</v>
      </c>
      <c r="O856" s="49" t="str">
        <f>IFERROR(__xludf.DUMMYFUNCTION("""COMPUTED_VALUE"""),"amir")</f>
        <v>amir</v>
      </c>
      <c r="P856" s="49" t="str">
        <f t="shared" si="2"/>
        <v>soul,</v>
      </c>
      <c r="Q856" s="49"/>
      <c r="R856" s="50" t="s">
        <v>1624</v>
      </c>
      <c r="S856" s="55" t="s">
        <v>6398</v>
      </c>
      <c r="T856" s="49" t="str">
        <f>IFERROR(__xludf.DUMMYFUNCTION("""COMPUTED_VALUE"""),"disregard")</f>
        <v>disregard</v>
      </c>
      <c r="U856" s="49"/>
      <c r="V856" s="49"/>
      <c r="W856" s="49" t="str">
        <f>IFERROR(__xludf.DUMMYFUNCTION("""COMPUTED_VALUE"""),"models")</f>
        <v>models</v>
      </c>
      <c r="X856" s="49" t="str">
        <f t="shared" si="3"/>
        <v>directs,</v>
      </c>
      <c r="Y856" s="49"/>
      <c r="Z856" s="1" t="s">
        <v>4177</v>
      </c>
      <c r="AA856" s="1" t="s">
        <v>3549</v>
      </c>
      <c r="AB856" s="49" t="str">
        <f>IFERROR(__xludf.DUMMYFUNCTION("""COMPUTED_VALUE"""),"clarity")</f>
        <v>clarity</v>
      </c>
      <c r="AC856" s="49"/>
      <c r="AD856" s="49" t="str">
        <f>IFERROR(__xludf.DUMMYFUNCTION("""COMPUTED_VALUE"""),"iron")</f>
        <v>iron</v>
      </c>
      <c r="AE856" s="49" t="str">
        <f>IFERROR(__xludf.DUMMYFUNCTION("""COMPUTED_VALUE"""),"amir")</f>
        <v>amir</v>
      </c>
      <c r="AF856" s="49" t="str">
        <f t="shared" si="4"/>
        <v>disaster,</v>
      </c>
      <c r="AG856" s="49"/>
      <c r="AH856" s="1" t="s">
        <v>6403</v>
      </c>
      <c r="AI856" s="1" t="s">
        <v>2940</v>
      </c>
      <c r="AJ856" s="6" t="str">
        <f>IFERROR(__xludf.DUMMYFUNCTION("""COMPUTED_VALUE"""),"days")</f>
        <v>days</v>
      </c>
      <c r="AK856" s="49"/>
      <c r="AL856" s="49"/>
      <c r="AM856" s="49"/>
      <c r="AN856" s="52" t="str">
        <f t="shared" si="5"/>
        <v>doubt,</v>
      </c>
    </row>
    <row r="857">
      <c r="A857" s="51"/>
      <c r="B857" s="50" t="s">
        <v>4710</v>
      </c>
      <c r="C857" s="50" t="s">
        <v>4973</v>
      </c>
      <c r="D857" s="49" t="str">
        <f>IFERROR(__xludf.DUMMYFUNCTION("""COMPUTED_VALUE"""),"master")</f>
        <v>master</v>
      </c>
      <c r="E857" s="49"/>
      <c r="F857" s="49"/>
      <c r="G857" s="49"/>
      <c r="H857" s="54" t="str">
        <f t="shared" si="1"/>
        <v>project,</v>
      </c>
      <c r="I857" s="50"/>
      <c r="J857" s="50" t="s">
        <v>3146</v>
      </c>
      <c r="K857" s="50" t="s">
        <v>3551</v>
      </c>
      <c r="L857" s="49" t="str">
        <f>IFERROR(__xludf.DUMMYFUNCTION("""COMPUTED_VALUE"""),"central")</f>
        <v>central</v>
      </c>
      <c r="M857" s="49"/>
      <c r="N857" s="49" t="str">
        <f>IFERROR(__xludf.DUMMYFUNCTION("""COMPUTED_VALUE"""),"occasional")</f>
        <v>occasional</v>
      </c>
      <c r="O857" s="49" t="str">
        <f>IFERROR(__xludf.DUMMYFUNCTION("""COMPUTED_VALUE"""),"prophet")</f>
        <v>prophet</v>
      </c>
      <c r="P857" s="49" t="str">
        <f t="shared" si="2"/>
        <v>fake,</v>
      </c>
      <c r="Q857" s="49"/>
      <c r="R857" s="50" t="s">
        <v>2741</v>
      </c>
      <c r="S857" s="55" t="s">
        <v>6399</v>
      </c>
      <c r="T857" s="49" t="str">
        <f>IFERROR(__xludf.DUMMYFUNCTION("""COMPUTED_VALUE"""),"unaware")</f>
        <v>unaware</v>
      </c>
      <c r="U857" s="49"/>
      <c r="V857" s="49"/>
      <c r="W857" s="49" t="str">
        <f>IFERROR(__xludf.DUMMYFUNCTION("""COMPUTED_VALUE"""),"satan")</f>
        <v>satan</v>
      </c>
      <c r="X857" s="49" t="str">
        <f t="shared" si="3"/>
        <v>cheese,</v>
      </c>
      <c r="Y857" s="49"/>
      <c r="Z857" s="1" t="s">
        <v>3398</v>
      </c>
      <c r="AA857" s="1" t="s">
        <v>594</v>
      </c>
      <c r="AB857" s="49" t="str">
        <f>IFERROR(__xludf.DUMMYFUNCTION("""COMPUTED_VALUE"""),"reminder")</f>
        <v>reminder</v>
      </c>
      <c r="AC857" s="49"/>
      <c r="AD857" s="49" t="str">
        <f>IFERROR(__xludf.DUMMYFUNCTION("""COMPUTED_VALUE"""),"occasional")</f>
        <v>occasional</v>
      </c>
      <c r="AE857" s="49" t="str">
        <f>IFERROR(__xludf.DUMMYFUNCTION("""COMPUTED_VALUE"""),"prophet")</f>
        <v>prophet</v>
      </c>
      <c r="AF857" s="49" t="str">
        <f t="shared" si="4"/>
        <v>confused,</v>
      </c>
      <c r="AG857" s="49"/>
      <c r="AH857" s="1" t="s">
        <v>5543</v>
      </c>
      <c r="AI857" s="1" t="s">
        <v>2534</v>
      </c>
      <c r="AJ857" s="6" t="str">
        <f>IFERROR(__xludf.DUMMYFUNCTION("""COMPUTED_VALUE"""),"ii")</f>
        <v>ii</v>
      </c>
      <c r="AK857" s="49"/>
      <c r="AL857" s="49"/>
      <c r="AM857" s="49"/>
      <c r="AN857" s="52" t="str">
        <f t="shared" si="5"/>
        <v>douglas,</v>
      </c>
    </row>
    <row r="858">
      <c r="A858" s="51"/>
      <c r="B858" s="50" t="s">
        <v>4128</v>
      </c>
      <c r="C858" s="50" t="s">
        <v>1788</v>
      </c>
      <c r="D858" s="49" t="str">
        <f>IFERROR(__xludf.DUMMYFUNCTION("""COMPUTED_VALUE"""),"war")</f>
        <v>war</v>
      </c>
      <c r="E858" s="49"/>
      <c r="F858" s="49"/>
      <c r="G858" s="49"/>
      <c r="H858" s="54" t="str">
        <f t="shared" si="1"/>
        <v>sun,</v>
      </c>
      <c r="I858" s="50"/>
      <c r="J858" s="50" t="s">
        <v>1815</v>
      </c>
      <c r="K858" s="50" t="s">
        <v>420</v>
      </c>
      <c r="L858" s="49" t="str">
        <f>IFERROR(__xludf.DUMMYFUNCTION("""COMPUTED_VALUE"""),"flaws")</f>
        <v>flaws</v>
      </c>
      <c r="M858" s="49"/>
      <c r="N858" s="49" t="str">
        <f>IFERROR(__xludf.DUMMYFUNCTION("""COMPUTED_VALUE"""),"lesson")</f>
        <v>lesson</v>
      </c>
      <c r="O858" s="49" t="str">
        <f>IFERROR(__xludf.DUMMYFUNCTION("""COMPUTED_VALUE"""),"conflict")</f>
        <v>conflict</v>
      </c>
      <c r="P858" s="49" t="str">
        <f t="shared" si="2"/>
        <v>irony,</v>
      </c>
      <c r="Q858" s="49"/>
      <c r="R858" s="50" t="s">
        <v>6061</v>
      </c>
      <c r="S858" s="55" t="s">
        <v>430</v>
      </c>
      <c r="T858" s="49" t="str">
        <f>IFERROR(__xludf.DUMMYFUNCTION("""COMPUTED_VALUE"""),"chen")</f>
        <v>chen</v>
      </c>
      <c r="U858" s="49"/>
      <c r="V858" s="49"/>
      <c r="W858" s="49">
        <f>IFERROR(__xludf.DUMMYFUNCTION("""COMPUTED_VALUE"""),7.0)</f>
        <v>7</v>
      </c>
      <c r="X858" s="49" t="str">
        <f t="shared" si="3"/>
        <v>torn,</v>
      </c>
      <c r="Y858" s="49"/>
      <c r="Z858" s="1" t="s">
        <v>1560</v>
      </c>
      <c r="AA858" s="1" t="s">
        <v>3552</v>
      </c>
      <c r="AB858" s="49" t="str">
        <f>IFERROR(__xludf.DUMMYFUNCTION("""COMPUTED_VALUE"""),"tragedy")</f>
        <v>tragedy</v>
      </c>
      <c r="AC858" s="49"/>
      <c r="AD858" s="49" t="str">
        <f>IFERROR(__xludf.DUMMYFUNCTION("""COMPUTED_VALUE"""),"lesson")</f>
        <v>lesson</v>
      </c>
      <c r="AE858" s="49" t="str">
        <f>IFERROR(__xludf.DUMMYFUNCTION("""COMPUTED_VALUE"""),"conflict")</f>
        <v>conflict</v>
      </c>
      <c r="AF858" s="49" t="str">
        <f t="shared" si="4"/>
        <v>bore,</v>
      </c>
      <c r="AG858" s="49"/>
      <c r="AH858" s="1" t="s">
        <v>6881</v>
      </c>
      <c r="AI858" s="1" t="s">
        <v>1756</v>
      </c>
      <c r="AJ858" s="6" t="str">
        <f>IFERROR(__xludf.DUMMYFUNCTION("""COMPUTED_VALUE"""),"hard")</f>
        <v>hard</v>
      </c>
      <c r="AK858" s="49"/>
      <c r="AL858" s="49"/>
      <c r="AM858" s="49"/>
      <c r="AN858" s="52" t="str">
        <f t="shared" si="5"/>
        <v>anniversary,</v>
      </c>
    </row>
    <row r="859">
      <c r="A859" s="51"/>
      <c r="B859" s="50" t="s">
        <v>3029</v>
      </c>
      <c r="C859" s="50" t="s">
        <v>1853</v>
      </c>
      <c r="D859" s="49" t="str">
        <f>IFERROR(__xludf.DUMMYFUNCTION("""COMPUTED_VALUE"""),"screenplay")</f>
        <v>screenplay</v>
      </c>
      <c r="E859" s="49"/>
      <c r="F859" s="49"/>
      <c r="G859" s="49"/>
      <c r="H859" s="54" t="str">
        <f t="shared" si="1"/>
        <v>job,</v>
      </c>
      <c r="I859" s="50"/>
      <c r="J859" s="50" t="s">
        <v>2328</v>
      </c>
      <c r="K859" s="50" t="s">
        <v>1146</v>
      </c>
      <c r="L859" s="49" t="str">
        <f>IFERROR(__xludf.DUMMYFUNCTION("""COMPUTED_VALUE"""),"nicholas")</f>
        <v>nicholas</v>
      </c>
      <c r="M859" s="49"/>
      <c r="N859" s="49" t="str">
        <f>IFERROR(__xludf.DUMMYFUNCTION("""COMPUTED_VALUE"""),"explode")</f>
        <v>explode</v>
      </c>
      <c r="O859" s="49" t="str">
        <f>IFERROR(__xludf.DUMMYFUNCTION("""COMPUTED_VALUE"""),"vital")</f>
        <v>vital</v>
      </c>
      <c r="P859" s="49" t="str">
        <f t="shared" si="2"/>
        <v>walked,</v>
      </c>
      <c r="Q859" s="49"/>
      <c r="R859" s="50" t="s">
        <v>2327</v>
      </c>
      <c r="S859" s="55" t="s">
        <v>503</v>
      </c>
      <c r="T859" s="49" t="str">
        <f>IFERROR(__xludf.DUMMYFUNCTION("""COMPUTED_VALUE"""),"vs")</f>
        <v>vs</v>
      </c>
      <c r="U859" s="49"/>
      <c r="V859" s="49"/>
      <c r="W859" s="49" t="str">
        <f>IFERROR(__xludf.DUMMYFUNCTION("""COMPUTED_VALUE"""),"hands")</f>
        <v>hands</v>
      </c>
      <c r="X859" s="49" t="str">
        <f t="shared" si="3"/>
        <v>load,</v>
      </c>
      <c r="Y859" s="49"/>
      <c r="Z859" s="1" t="s">
        <v>4408</v>
      </c>
      <c r="AA859" s="1" t="s">
        <v>3556</v>
      </c>
      <c r="AB859" s="49" t="str">
        <f>IFERROR(__xludf.DUMMYFUNCTION("""COMPUTED_VALUE"""),"anatomical")</f>
        <v>anatomical</v>
      </c>
      <c r="AC859" s="49"/>
      <c r="AD859" s="49" t="str">
        <f>IFERROR(__xludf.DUMMYFUNCTION("""COMPUTED_VALUE"""),"explode")</f>
        <v>explode</v>
      </c>
      <c r="AE859" s="49" t="str">
        <f>IFERROR(__xludf.DUMMYFUNCTION("""COMPUTED_VALUE"""),"vital")</f>
        <v>vital</v>
      </c>
      <c r="AF859" s="49" t="str">
        <f t="shared" si="4"/>
        <v>rank,</v>
      </c>
      <c r="AG859" s="49"/>
      <c r="AH859" s="1" t="s">
        <v>6277</v>
      </c>
      <c r="AI859" s="1" t="s">
        <v>2955</v>
      </c>
      <c r="AJ859" s="6" t="str">
        <f>IFERROR(__xludf.DUMMYFUNCTION("""COMPUTED_VALUE"""),"words")</f>
        <v>words</v>
      </c>
      <c r="AK859" s="49"/>
      <c r="AL859" s="49"/>
      <c r="AM859" s="49"/>
      <c r="AN859" s="52" t="str">
        <f t="shared" si="5"/>
        <v>hollywood,</v>
      </c>
    </row>
    <row r="860">
      <c r="A860" s="51"/>
      <c r="B860" s="50" t="s">
        <v>6379</v>
      </c>
      <c r="C860" s="50" t="s">
        <v>1802</v>
      </c>
      <c r="D860" s="49" t="str">
        <f>IFERROR(__xludf.DUMMYFUNCTION("""COMPUTED_VALUE"""),"wish")</f>
        <v>wish</v>
      </c>
      <c r="E860" s="49"/>
      <c r="F860" s="49"/>
      <c r="G860" s="49"/>
      <c r="H860" s="54" t="str">
        <f t="shared" si="1"/>
        <v>chicago,</v>
      </c>
      <c r="I860" s="50"/>
      <c r="J860" s="50" t="s">
        <v>2152</v>
      </c>
      <c r="K860" s="50" t="s">
        <v>2130</v>
      </c>
      <c r="L860" s="49" t="str">
        <f>IFERROR(__xludf.DUMMYFUNCTION("""COMPUTED_VALUE"""),"ninth")</f>
        <v>ninth</v>
      </c>
      <c r="M860" s="49"/>
      <c r="N860" s="49" t="str">
        <f>IFERROR(__xludf.DUMMYFUNCTION("""COMPUTED_VALUE"""),"established")</f>
        <v>established</v>
      </c>
      <c r="O860" s="49" t="str">
        <f>IFERROR(__xludf.DUMMYFUNCTION("""COMPUTED_VALUE"""),"recalls")</f>
        <v>recalls</v>
      </c>
      <c r="P860" s="49" t="str">
        <f t="shared" si="2"/>
        <v>filled,</v>
      </c>
      <c r="Q860" s="49"/>
      <c r="R860" s="50" t="s">
        <v>2218</v>
      </c>
      <c r="S860" s="55" t="s">
        <v>1986</v>
      </c>
      <c r="T860" s="49" t="str">
        <f>IFERROR(__xludf.DUMMYFUNCTION("""COMPUTED_VALUE"""),"jolly")</f>
        <v>jolly</v>
      </c>
      <c r="U860" s="49"/>
      <c r="V860" s="49"/>
      <c r="W860" s="49" t="str">
        <f>IFERROR(__xludf.DUMMYFUNCTION("""COMPUTED_VALUE"""),"held")</f>
        <v>held</v>
      </c>
      <c r="X860" s="49" t="str">
        <f t="shared" si="3"/>
        <v>taste,</v>
      </c>
      <c r="Y860" s="49"/>
      <c r="Z860" s="1" t="s">
        <v>1775</v>
      </c>
      <c r="AA860" s="1" t="s">
        <v>2463</v>
      </c>
      <c r="AB860" s="49" t="str">
        <f>IFERROR(__xludf.DUMMYFUNCTION("""COMPUTED_VALUE"""),"evade")</f>
        <v>evade</v>
      </c>
      <c r="AC860" s="49"/>
      <c r="AD860" s="49" t="str">
        <f>IFERROR(__xludf.DUMMYFUNCTION("""COMPUTED_VALUE"""),"established")</f>
        <v>established</v>
      </c>
      <c r="AE860" s="49" t="str">
        <f>IFERROR(__xludf.DUMMYFUNCTION("""COMPUTED_VALUE"""),"recalls")</f>
        <v>recalls</v>
      </c>
      <c r="AF860" s="49" t="str">
        <f t="shared" si="4"/>
        <v>date,</v>
      </c>
      <c r="AG860" s="49"/>
      <c r="AH860" s="1" t="s">
        <v>4748</v>
      </c>
      <c r="AI860" s="1" t="s">
        <v>110</v>
      </c>
      <c r="AJ860" s="6" t="str">
        <f>IFERROR(__xludf.DUMMYFUNCTION("""COMPUTED_VALUE"""),"list")</f>
        <v>list</v>
      </c>
      <c r="AK860" s="49"/>
      <c r="AL860" s="49"/>
      <c r="AM860" s="49"/>
      <c r="AN860" s="52" t="str">
        <f t="shared" si="5"/>
        <v>superior,</v>
      </c>
    </row>
    <row r="861">
      <c r="A861" s="51"/>
      <c r="B861" s="50" t="s">
        <v>5135</v>
      </c>
      <c r="C861" s="50" t="s">
        <v>255</v>
      </c>
      <c r="D861" s="49" t="str">
        <f>IFERROR(__xludf.DUMMYFUNCTION("""COMPUTED_VALUE"""),"drugs")</f>
        <v>drugs</v>
      </c>
      <c r="E861" s="49"/>
      <c r="F861" s="49"/>
      <c r="G861" s="49"/>
      <c r="H861" s="54" t="str">
        <f t="shared" si="1"/>
        <v>singer,</v>
      </c>
      <c r="I861" s="50"/>
      <c r="J861" s="50" t="s">
        <v>741</v>
      </c>
      <c r="K861" s="50" t="s">
        <v>920</v>
      </c>
      <c r="L861" s="49" t="str">
        <f>IFERROR(__xludf.DUMMYFUNCTION("""COMPUTED_VALUE"""),"subordinate")</f>
        <v>subordinate</v>
      </c>
      <c r="M861" s="49"/>
      <c r="N861" s="49" t="str">
        <f>IFERROR(__xludf.DUMMYFUNCTION("""COMPUTED_VALUE"""),"decor")</f>
        <v>decor</v>
      </c>
      <c r="O861" s="49" t="str">
        <f>IFERROR(__xludf.DUMMYFUNCTION("""COMPUTED_VALUE"""),"sweetly")</f>
        <v>sweetly</v>
      </c>
      <c r="P861" s="49" t="str">
        <f t="shared" si="2"/>
        <v>step,</v>
      </c>
      <c r="Q861" s="49"/>
      <c r="R861" s="50" t="s">
        <v>885</v>
      </c>
      <c r="S861" s="55" t="s">
        <v>2740</v>
      </c>
      <c r="T861" s="49" t="str">
        <f>IFERROR(__xludf.DUMMYFUNCTION("""COMPUTED_VALUE"""),"meets")</f>
        <v>meets</v>
      </c>
      <c r="U861" s="49"/>
      <c r="V861" s="49"/>
      <c r="W861" s="49" t="str">
        <f>IFERROR(__xludf.DUMMYFUNCTION("""COMPUTED_VALUE"""),"sound")</f>
        <v>sound</v>
      </c>
      <c r="X861" s="49" t="str">
        <f t="shared" si="3"/>
        <v>public,</v>
      </c>
      <c r="Y861" s="49"/>
      <c r="Z861" s="1" t="s">
        <v>810</v>
      </c>
      <c r="AA861" s="1" t="s">
        <v>3561</v>
      </c>
      <c r="AB861" s="49" t="str">
        <f>IFERROR(__xludf.DUMMYFUNCTION("""COMPUTED_VALUE"""),"pace")</f>
        <v>pace</v>
      </c>
      <c r="AC861" s="49"/>
      <c r="AD861" s="49" t="str">
        <f>IFERROR(__xludf.DUMMYFUNCTION("""COMPUTED_VALUE"""),"decor")</f>
        <v>decor</v>
      </c>
      <c r="AE861" s="49" t="str">
        <f>IFERROR(__xludf.DUMMYFUNCTION("""COMPUTED_VALUE"""),"sweetly")</f>
        <v>sweetly</v>
      </c>
      <c r="AF861" s="49" t="str">
        <f t="shared" si="4"/>
        <v>help,</v>
      </c>
      <c r="AG861" s="49"/>
      <c r="AH861" s="1" t="s">
        <v>4879</v>
      </c>
      <c r="AI861" s="1" t="s">
        <v>1761</v>
      </c>
      <c r="AJ861" s="6" t="str">
        <f>IFERROR(__xludf.DUMMYFUNCTION("""COMPUTED_VALUE"""),"follow")</f>
        <v>follow</v>
      </c>
      <c r="AK861" s="49"/>
      <c r="AL861" s="49"/>
      <c r="AM861" s="49"/>
      <c r="AN861" s="52" t="str">
        <f t="shared" si="5"/>
        <v>alien,</v>
      </c>
    </row>
    <row r="862">
      <c r="A862" s="51"/>
      <c r="B862" s="50" t="s">
        <v>6166</v>
      </c>
      <c r="C862" s="50" t="s">
        <v>1861</v>
      </c>
      <c r="D862" s="49" t="str">
        <f>IFERROR(__xludf.DUMMYFUNCTION("""COMPUTED_VALUE"""),"raw")</f>
        <v>raw</v>
      </c>
      <c r="E862" s="49"/>
      <c r="F862" s="49"/>
      <c r="G862" s="49"/>
      <c r="H862" s="54" t="str">
        <f t="shared" si="1"/>
        <v>editor,</v>
      </c>
      <c r="I862" s="50"/>
      <c r="J862" s="50" t="s">
        <v>5064</v>
      </c>
      <c r="K862" s="50" t="s">
        <v>144</v>
      </c>
      <c r="L862" s="49" t="str">
        <f>IFERROR(__xludf.DUMMYFUNCTION("""COMPUTED_VALUE"""),"stepmother")</f>
        <v>stepmother</v>
      </c>
      <c r="M862" s="49"/>
      <c r="N862" s="49" t="str">
        <f>IFERROR(__xludf.DUMMYFUNCTION("""COMPUTED_VALUE"""),"corners")</f>
        <v>corners</v>
      </c>
      <c r="O862" s="49" t="str">
        <f>IFERROR(__xludf.DUMMYFUNCTION("""COMPUTED_VALUE"""),"infectious")</f>
        <v>infectious</v>
      </c>
      <c r="P862" s="49" t="str">
        <f t="shared" si="2"/>
        <v>fear,</v>
      </c>
      <c r="Q862" s="49"/>
      <c r="R862" s="50" t="s">
        <v>1587</v>
      </c>
      <c r="S862" s="55" t="s">
        <v>2743</v>
      </c>
      <c r="T862" s="49" t="str">
        <f>IFERROR(__xludf.DUMMYFUNCTION("""COMPUTED_VALUE"""),"heated")</f>
        <v>heated</v>
      </c>
      <c r="U862" s="49"/>
      <c r="V862" s="49"/>
      <c r="W862" s="49" t="str">
        <f>IFERROR(__xludf.DUMMYFUNCTION("""COMPUTED_VALUE"""),"uniformly")</f>
        <v>uniformly</v>
      </c>
      <c r="X862" s="49" t="str">
        <f t="shared" si="3"/>
        <v>shakespeare,</v>
      </c>
      <c r="Y862" s="49"/>
      <c r="Z862" s="1" t="s">
        <v>5056</v>
      </c>
      <c r="AA862" s="1" t="s">
        <v>737</v>
      </c>
      <c r="AB862" s="49" t="str">
        <f>IFERROR(__xludf.DUMMYFUNCTION("""COMPUTED_VALUE"""),"uncertain")</f>
        <v>uncertain</v>
      </c>
      <c r="AC862" s="49"/>
      <c r="AD862" s="49" t="str">
        <f>IFERROR(__xludf.DUMMYFUNCTION("""COMPUTED_VALUE"""),"corners")</f>
        <v>corners</v>
      </c>
      <c r="AE862" s="49" t="str">
        <f>IFERROR(__xludf.DUMMYFUNCTION("""COMPUTED_VALUE"""),"infectious")</f>
        <v>infectious</v>
      </c>
      <c r="AF862" s="49" t="str">
        <f t="shared" si="4"/>
        <v>release,</v>
      </c>
      <c r="AG862" s="49"/>
      <c r="AH862" s="1" t="s">
        <v>1797</v>
      </c>
      <c r="AI862" s="1" t="s">
        <v>2539</v>
      </c>
      <c r="AJ862" s="6" t="str">
        <f>IFERROR(__xludf.DUMMYFUNCTION("""COMPUTED_VALUE"""),"count")</f>
        <v>count</v>
      </c>
      <c r="AK862" s="49"/>
      <c r="AL862" s="49"/>
      <c r="AM862" s="49"/>
      <c r="AN862" s="52" t="str">
        <f t="shared" si="5"/>
        <v>war,</v>
      </c>
    </row>
    <row r="863">
      <c r="A863" s="51"/>
      <c r="B863" s="50" t="s">
        <v>6614</v>
      </c>
      <c r="C863" s="50" t="s">
        <v>3026</v>
      </c>
      <c r="D863" s="49" t="str">
        <f>IFERROR(__xludf.DUMMYFUNCTION("""COMPUTED_VALUE"""),"tale")</f>
        <v>tale</v>
      </c>
      <c r="E863" s="49"/>
      <c r="F863" s="49"/>
      <c r="G863" s="49"/>
      <c r="H863" s="54" t="str">
        <f t="shared" si="1"/>
        <v>drew,</v>
      </c>
      <c r="I863" s="50"/>
      <c r="J863" s="50" t="s">
        <v>3261</v>
      </c>
      <c r="K863" s="50" t="s">
        <v>2111</v>
      </c>
      <c r="L863" s="49" t="str">
        <f>IFERROR(__xludf.DUMMYFUNCTION("""COMPUTED_VALUE"""),"wicked")</f>
        <v>wicked</v>
      </c>
      <c r="M863" s="49"/>
      <c r="N863" s="49" t="str">
        <f>IFERROR(__xludf.DUMMYFUNCTION("""COMPUTED_VALUE"""),"sim")</f>
        <v>sim</v>
      </c>
      <c r="O863" s="49" t="str">
        <f>IFERROR(__xludf.DUMMYFUNCTION("""COMPUTED_VALUE"""),"tainted")</f>
        <v>tainted</v>
      </c>
      <c r="P863" s="49" t="str">
        <f t="shared" si="2"/>
        <v>field,</v>
      </c>
      <c r="Q863" s="49"/>
      <c r="R863" s="50" t="s">
        <v>175</v>
      </c>
      <c r="S863" s="55" t="s">
        <v>1989</v>
      </c>
      <c r="T863" s="49" t="str">
        <f>IFERROR(__xludf.DUMMYFUNCTION("""COMPUTED_VALUE"""),"chuckle")</f>
        <v>chuckle</v>
      </c>
      <c r="U863" s="49"/>
      <c r="V863" s="49"/>
      <c r="W863" s="49" t="str">
        <f>IFERROR(__xludf.DUMMYFUNCTION("""COMPUTED_VALUE"""),"settles")</f>
        <v>settles</v>
      </c>
      <c r="X863" s="49" t="str">
        <f t="shared" si="3"/>
        <v>wisdom,</v>
      </c>
      <c r="Y863" s="49"/>
      <c r="Z863" s="1" t="s">
        <v>1975</v>
      </c>
      <c r="AA863" s="1" t="s">
        <v>2741</v>
      </c>
      <c r="AB863" s="49" t="str">
        <f>IFERROR(__xludf.DUMMYFUNCTION("""COMPUTED_VALUE"""),"pencil")</f>
        <v>pencil</v>
      </c>
      <c r="AC863" s="49"/>
      <c r="AD863" s="49" t="str">
        <f>IFERROR(__xludf.DUMMYFUNCTION("""COMPUTED_VALUE"""),"sim")</f>
        <v>sim</v>
      </c>
      <c r="AE863" s="49" t="str">
        <f>IFERROR(__xludf.DUMMYFUNCTION("""COMPUTED_VALUE"""),"tainted")</f>
        <v>tainted</v>
      </c>
      <c r="AF863" s="49" t="str">
        <f t="shared" si="4"/>
        <v>beyond,</v>
      </c>
      <c r="AG863" s="49"/>
      <c r="AH863" s="1" t="s">
        <v>1666</v>
      </c>
      <c r="AI863" s="1" t="s">
        <v>696</v>
      </c>
      <c r="AJ863" s="6" t="str">
        <f>IFERROR(__xludf.DUMMYFUNCTION("""COMPUTED_VALUE"""),"strange")</f>
        <v>strange</v>
      </c>
      <c r="AK863" s="49"/>
      <c r="AL863" s="49"/>
      <c r="AM863" s="49"/>
      <c r="AN863" s="52" t="str">
        <f t="shared" si="5"/>
        <v>english,</v>
      </c>
    </row>
    <row r="864">
      <c r="A864" s="51"/>
      <c r="B864" s="50" t="s">
        <v>1199</v>
      </c>
      <c r="C864" s="50" t="s">
        <v>217</v>
      </c>
      <c r="D864" s="49" t="str">
        <f>IFERROR(__xludf.DUMMYFUNCTION("""COMPUTED_VALUE"""),"playing")</f>
        <v>playing</v>
      </c>
      <c r="E864" s="49"/>
      <c r="F864" s="49"/>
      <c r="G864" s="49"/>
      <c r="H864" s="54" t="str">
        <f t="shared" si="1"/>
        <v>wedding,</v>
      </c>
      <c r="I864" s="50"/>
      <c r="J864" s="50" t="s">
        <v>2132</v>
      </c>
      <c r="K864" s="50" t="s">
        <v>2115</v>
      </c>
      <c r="L864" s="49" t="str">
        <f>IFERROR(__xludf.DUMMYFUNCTION("""COMPUTED_VALUE"""),"cinderella")</f>
        <v>cinderella</v>
      </c>
      <c r="M864" s="49"/>
      <c r="N864" s="49" t="str">
        <f>IFERROR(__xludf.DUMMYFUNCTION("""COMPUTED_VALUE"""),"tin")</f>
        <v>tin</v>
      </c>
      <c r="O864" s="49" t="str">
        <f>IFERROR(__xludf.DUMMYFUNCTION("""COMPUTED_VALUE"""),"superhuman")</f>
        <v>superhuman</v>
      </c>
      <c r="P864" s="49" t="str">
        <f t="shared" si="2"/>
        <v>sign,</v>
      </c>
      <c r="Q864" s="49"/>
      <c r="R864" s="50" t="s">
        <v>4767</v>
      </c>
      <c r="S864" s="55">
        <v>4.0</v>
      </c>
      <c r="T864" s="49" t="str">
        <f>IFERROR(__xludf.DUMMYFUNCTION("""COMPUTED_VALUE"""),"blockbuster")</f>
        <v>blockbuster</v>
      </c>
      <c r="U864" s="49"/>
      <c r="V864" s="49"/>
      <c r="W864" s="49" t="str">
        <f>IFERROR(__xludf.DUMMYFUNCTION("""COMPUTED_VALUE"""),"compressed")</f>
        <v>compressed</v>
      </c>
      <c r="X864" s="49" t="str">
        <f t="shared" si="3"/>
        <v>pot,</v>
      </c>
      <c r="Y864" s="49"/>
      <c r="Z864" s="1" t="s">
        <v>133</v>
      </c>
      <c r="AA864" s="1" t="s">
        <v>2437</v>
      </c>
      <c r="AB864" s="49" t="str">
        <f>IFERROR(__xludf.DUMMYFUNCTION("""COMPUTED_VALUE"""),"diversion")</f>
        <v>diversion</v>
      </c>
      <c r="AC864" s="49"/>
      <c r="AD864" s="49" t="str">
        <f>IFERROR(__xludf.DUMMYFUNCTION("""COMPUTED_VALUE"""),"tin")</f>
        <v>tin</v>
      </c>
      <c r="AE864" s="49" t="str">
        <f>IFERROR(__xludf.DUMMYFUNCTION("""COMPUTED_VALUE"""),"superhuman")</f>
        <v>superhuman</v>
      </c>
      <c r="AF864" s="49" t="str">
        <f t="shared" si="4"/>
        <v>touching,</v>
      </c>
      <c r="AG864" s="49"/>
      <c r="AH864" s="1" t="s">
        <v>689</v>
      </c>
      <c r="AI864" s="1" t="s">
        <v>2553</v>
      </c>
      <c r="AJ864" s="6" t="str">
        <f>IFERROR(__xludf.DUMMYFUNCTION("""COMPUTED_VALUE"""),"patient")</f>
        <v>patient</v>
      </c>
      <c r="AK864" s="49"/>
      <c r="AL864" s="49"/>
      <c r="AM864" s="49"/>
      <c r="AN864" s="52" t="str">
        <f t="shared" si="5"/>
        <v>days,</v>
      </c>
    </row>
    <row r="865">
      <c r="A865" s="51"/>
      <c r="B865" s="50" t="s">
        <v>2762</v>
      </c>
      <c r="C865" s="50" t="s">
        <v>1789</v>
      </c>
      <c r="D865" s="49" t="str">
        <f>IFERROR(__xludf.DUMMYFUNCTION("""COMPUTED_VALUE"""),"testament")</f>
        <v>testament</v>
      </c>
      <c r="E865" s="49"/>
      <c r="F865" s="49"/>
      <c r="G865" s="49"/>
      <c r="H865" s="54" t="str">
        <f t="shared" si="1"/>
        <v>forget,</v>
      </c>
      <c r="I865" s="50"/>
      <c r="J865" s="50" t="s">
        <v>1214</v>
      </c>
      <c r="K865" s="50" t="s">
        <v>606</v>
      </c>
      <c r="L865" s="49" t="str">
        <f>IFERROR(__xludf.DUMMYFUNCTION("""COMPUTED_VALUE"""),"renowned")</f>
        <v>renowned</v>
      </c>
      <c r="M865" s="49"/>
      <c r="N865" s="49" t="str">
        <f>IFERROR(__xludf.DUMMYFUNCTION("""COMPUTED_VALUE"""),"bra")</f>
        <v>bra</v>
      </c>
      <c r="O865" s="49" t="str">
        <f>IFERROR(__xludf.DUMMYFUNCTION("""COMPUTED_VALUE"""),"withstand")</f>
        <v>withstand</v>
      </c>
      <c r="P865" s="49" t="str">
        <f t="shared" si="2"/>
        <v>change,</v>
      </c>
      <c r="Q865" s="49"/>
      <c r="R865" s="50" t="s">
        <v>3666</v>
      </c>
      <c r="S865" s="55" t="s">
        <v>1414</v>
      </c>
      <c r="T865" s="49" t="str">
        <f>IFERROR(__xludf.DUMMYFUNCTION("""COMPUTED_VALUE"""),"deadly")</f>
        <v>deadly</v>
      </c>
      <c r="U865" s="49"/>
      <c r="V865" s="49"/>
      <c r="W865" s="49" t="str">
        <f>IFERROR(__xludf.DUMMYFUNCTION("""COMPUTED_VALUE"""),"catalyst")</f>
        <v>catalyst</v>
      </c>
      <c r="X865" s="49" t="str">
        <f t="shared" si="3"/>
        <v>thick,</v>
      </c>
      <c r="Y865" s="49"/>
      <c r="Z865" s="1" t="s">
        <v>6939</v>
      </c>
      <c r="AA865" s="1" t="s">
        <v>2467</v>
      </c>
      <c r="AB865" s="49" t="str">
        <f>IFERROR(__xludf.DUMMYFUNCTION("""COMPUTED_VALUE"""),"seeking")</f>
        <v>seeking</v>
      </c>
      <c r="AC865" s="49"/>
      <c r="AD865" s="49" t="str">
        <f>IFERROR(__xludf.DUMMYFUNCTION("""COMPUTED_VALUE"""),"bra")</f>
        <v>bra</v>
      </c>
      <c r="AE865" s="49" t="str">
        <f>IFERROR(__xludf.DUMMYFUNCTION("""COMPUTED_VALUE"""),"withstand")</f>
        <v>withstand</v>
      </c>
      <c r="AF865" s="49" t="str">
        <f t="shared" si="4"/>
        <v>gross,</v>
      </c>
      <c r="AG865" s="49"/>
      <c r="AH865" s="1" t="s">
        <v>2093</v>
      </c>
      <c r="AI865" s="1" t="s">
        <v>6395</v>
      </c>
      <c r="AJ865" s="6" t="str">
        <f>IFERROR(__xludf.DUMMYFUNCTION("""COMPUTED_VALUE"""),"describe")</f>
        <v>describe</v>
      </c>
      <c r="AK865" s="49"/>
      <c r="AL865" s="49"/>
      <c r="AM865" s="49"/>
      <c r="AN865" s="52" t="str">
        <f t="shared" si="5"/>
        <v>ii,</v>
      </c>
    </row>
    <row r="866">
      <c r="A866" s="51"/>
      <c r="B866" s="50" t="s">
        <v>4543</v>
      </c>
      <c r="C866" s="50" t="s">
        <v>3029</v>
      </c>
      <c r="D866" s="49" t="str">
        <f>IFERROR(__xludf.DUMMYFUNCTION("""COMPUTED_VALUE"""),"ability")</f>
        <v>ability</v>
      </c>
      <c r="E866" s="49"/>
      <c r="F866" s="49"/>
      <c r="G866" s="49"/>
      <c r="H866" s="54" t="str">
        <f t="shared" si="1"/>
        <v>copy,</v>
      </c>
      <c r="I866" s="50"/>
      <c r="J866" s="50" t="s">
        <v>2412</v>
      </c>
      <c r="K866" s="50" t="s">
        <v>2126</v>
      </c>
      <c r="L866" s="49" t="str">
        <f>IFERROR(__xludf.DUMMYFUNCTION("""COMPUTED_VALUE"""),"celebration")</f>
        <v>celebration</v>
      </c>
      <c r="M866" s="49"/>
      <c r="N866" s="49" t="str">
        <f>IFERROR(__xludf.DUMMYFUNCTION("""COMPUTED_VALUE"""),"feathers")</f>
        <v>feathers</v>
      </c>
      <c r="O866" s="49" t="str">
        <f>IFERROR(__xludf.DUMMYFUNCTION("""COMPUTED_VALUE"""),"capacity")</f>
        <v>capacity</v>
      </c>
      <c r="P866" s="49" t="str">
        <f t="shared" si="2"/>
        <v>money,</v>
      </c>
      <c r="Q866" s="49"/>
      <c r="R866" s="50" t="s">
        <v>6549</v>
      </c>
      <c r="S866" s="55" t="s">
        <v>6401</v>
      </c>
      <c r="T866" s="49" t="str">
        <f>IFERROR(__xludf.DUMMYFUNCTION("""COMPUTED_VALUE"""),"gradually")</f>
        <v>gradually</v>
      </c>
      <c r="U866" s="49"/>
      <c r="V866" s="49"/>
      <c r="W866" s="49" t="str">
        <f>IFERROR(__xludf.DUMMYFUNCTION("""COMPUTED_VALUE"""),"restrictive")</f>
        <v>restrictive</v>
      </c>
      <c r="X866" s="49" t="str">
        <f t="shared" si="3"/>
        <v>falling,</v>
      </c>
      <c r="Y866" s="49"/>
      <c r="Z866" s="1" t="s">
        <v>660</v>
      </c>
      <c r="AA866" s="1" t="s">
        <v>746</v>
      </c>
      <c r="AB866" s="49" t="str">
        <f>IFERROR(__xludf.DUMMYFUNCTION("""COMPUTED_VALUE"""),"triangle")</f>
        <v>triangle</v>
      </c>
      <c r="AC866" s="49"/>
      <c r="AD866" s="49" t="str">
        <f>IFERROR(__xludf.DUMMYFUNCTION("""COMPUTED_VALUE"""),"feathers")</f>
        <v>feathers</v>
      </c>
      <c r="AE866" s="49" t="str">
        <f>IFERROR(__xludf.DUMMYFUNCTION("""COMPUTED_VALUE"""),"capacity")</f>
        <v>capacity</v>
      </c>
      <c r="AF866" s="49" t="str">
        <f t="shared" si="4"/>
        <v>else,</v>
      </c>
      <c r="AG866" s="49"/>
      <c r="AH866" s="1" t="s">
        <v>1403</v>
      </c>
      <c r="AI866" s="1" t="s">
        <v>2269</v>
      </c>
      <c r="AJ866" s="6" t="str">
        <f>IFERROR(__xludf.DUMMYFUNCTION("""COMPUTED_VALUE"""),"victim")</f>
        <v>victim</v>
      </c>
      <c r="AK866" s="49"/>
      <c r="AL866" s="49"/>
      <c r="AM866" s="49"/>
      <c r="AN866" s="52" t="str">
        <f t="shared" si="5"/>
        <v>hard,</v>
      </c>
    </row>
    <row r="867">
      <c r="A867" s="51"/>
      <c r="B867" s="50" t="s">
        <v>3326</v>
      </c>
      <c r="C867" s="50" t="s">
        <v>1443</v>
      </c>
      <c r="D867" s="49" t="str">
        <f>IFERROR(__xludf.DUMMYFUNCTION("""COMPUTED_VALUE"""),"shoulders")</f>
        <v>shoulders</v>
      </c>
      <c r="E867" s="49"/>
      <c r="F867" s="49"/>
      <c r="G867" s="49"/>
      <c r="H867" s="54" t="str">
        <f t="shared" si="1"/>
        <v>stick,</v>
      </c>
      <c r="I867" s="50"/>
      <c r="J867" s="50" t="s">
        <v>6284</v>
      </c>
      <c r="K867" s="50" t="s">
        <v>2129</v>
      </c>
      <c r="L867" s="49" t="str">
        <f>IFERROR(__xludf.DUMMYFUNCTION("""COMPUTED_VALUE"""),"ages")</f>
        <v>ages</v>
      </c>
      <c r="M867" s="49"/>
      <c r="N867" s="49" t="str">
        <f>IFERROR(__xludf.DUMMYFUNCTION("""COMPUTED_VALUE"""),"section")</f>
        <v>section</v>
      </c>
      <c r="O867" s="49" t="str">
        <f>IFERROR(__xludf.DUMMYFUNCTION("""COMPUTED_VALUE"""),"conspicuous")</f>
        <v>conspicuous</v>
      </c>
      <c r="P867" s="49" t="str">
        <f t="shared" si="2"/>
        <v>dirty,</v>
      </c>
      <c r="Q867" s="49"/>
      <c r="R867" s="50" t="s">
        <v>4299</v>
      </c>
      <c r="S867" s="55" t="s">
        <v>2755</v>
      </c>
      <c r="T867" s="49" t="str">
        <f>IFERROR(__xludf.DUMMYFUNCTION("""COMPUTED_VALUE"""),"task")</f>
        <v>task</v>
      </c>
      <c r="U867" s="49"/>
      <c r="V867" s="49"/>
      <c r="W867" s="49" t="str">
        <f>IFERROR(__xludf.DUMMYFUNCTION("""COMPUTED_VALUE"""),"neat")</f>
        <v>neat</v>
      </c>
      <c r="X867" s="49" t="str">
        <f t="shared" si="3"/>
        <v>begin,</v>
      </c>
      <c r="Y867" s="49"/>
      <c r="Z867" s="1" t="s">
        <v>2317</v>
      </c>
      <c r="AA867" s="1" t="s">
        <v>603</v>
      </c>
      <c r="AB867" s="49" t="str">
        <f>IFERROR(__xludf.DUMMYFUNCTION("""COMPUTED_VALUE"""),"lacking")</f>
        <v>lacking</v>
      </c>
      <c r="AC867" s="49"/>
      <c r="AD867" s="49" t="str">
        <f>IFERROR(__xludf.DUMMYFUNCTION("""COMPUTED_VALUE"""),"section")</f>
        <v>section</v>
      </c>
      <c r="AE867" s="49" t="str">
        <f>IFERROR(__xludf.DUMMYFUNCTION("""COMPUTED_VALUE"""),"conspicuous")</f>
        <v>conspicuous</v>
      </c>
      <c r="AF867" s="49" t="str">
        <f t="shared" si="4"/>
        <v>inspired,</v>
      </c>
      <c r="AG867" s="49"/>
      <c r="AH867" s="1" t="s">
        <v>1376</v>
      </c>
      <c r="AI867" s="1" t="s">
        <v>2559</v>
      </c>
      <c r="AJ867" s="6" t="str">
        <f>IFERROR(__xludf.DUMMYFUNCTION("""COMPUTED_VALUE"""),"ralph")</f>
        <v>ralph</v>
      </c>
      <c r="AK867" s="49"/>
      <c r="AL867" s="49"/>
      <c r="AM867" s="49"/>
      <c r="AN867" s="52" t="str">
        <f t="shared" si="5"/>
        <v>words,</v>
      </c>
    </row>
    <row r="868">
      <c r="A868" s="51"/>
      <c r="B868" s="50" t="s">
        <v>6006</v>
      </c>
      <c r="C868" s="50" t="s">
        <v>2590</v>
      </c>
      <c r="D868" s="49" t="str">
        <f>IFERROR(__xludf.DUMMYFUNCTION("""COMPUTED_VALUE"""),"carry")</f>
        <v>carry</v>
      </c>
      <c r="E868" s="49"/>
      <c r="F868" s="49"/>
      <c r="G868" s="49"/>
      <c r="H868" s="54" t="str">
        <f t="shared" si="1"/>
        <v>julia,</v>
      </c>
      <c r="I868" s="50"/>
      <c r="J868" s="50" t="s">
        <v>2426</v>
      </c>
      <c r="K868" s="50" t="s">
        <v>729</v>
      </c>
      <c r="L868" s="49" t="str">
        <f>IFERROR(__xludf.DUMMYFUNCTION("""COMPUTED_VALUE"""),"diaz")</f>
        <v>diaz</v>
      </c>
      <c r="M868" s="49"/>
      <c r="N868" s="49" t="str">
        <f>IFERROR(__xludf.DUMMYFUNCTION("""COMPUTED_VALUE"""),"capable")</f>
        <v>capable</v>
      </c>
      <c r="O868" s="49" t="str">
        <f>IFERROR(__xludf.DUMMYFUNCTION("""COMPUTED_VALUE"""),"connect")</f>
        <v>connect</v>
      </c>
      <c r="P868" s="49" t="str">
        <f t="shared" si="2"/>
        <v>anticipation,</v>
      </c>
      <c r="Q868" s="49"/>
      <c r="R868" s="50" t="s">
        <v>674</v>
      </c>
      <c r="S868" s="55" t="s">
        <v>2752</v>
      </c>
      <c r="T868" s="49" t="str">
        <f>IFERROR(__xludf.DUMMYFUNCTION("""COMPUTED_VALUE"""),"elizabeth")</f>
        <v>elizabeth</v>
      </c>
      <c r="U868" s="49"/>
      <c r="V868" s="49"/>
      <c r="W868" s="49" t="str">
        <f>IFERROR(__xludf.DUMMYFUNCTION("""COMPUTED_VALUE"""),"bodies")</f>
        <v>bodies</v>
      </c>
      <c r="X868" s="49" t="str">
        <f t="shared" si="3"/>
        <v>emerge,</v>
      </c>
      <c r="Y868" s="49"/>
      <c r="Z868" s="1" t="s">
        <v>306</v>
      </c>
      <c r="AA868" s="1" t="s">
        <v>680</v>
      </c>
      <c r="AB868" s="49" t="str">
        <f>IFERROR(__xludf.DUMMYFUNCTION("""COMPUTED_VALUE"""),"mature")</f>
        <v>mature</v>
      </c>
      <c r="AC868" s="49"/>
      <c r="AD868" s="49" t="str">
        <f>IFERROR(__xludf.DUMMYFUNCTION("""COMPUTED_VALUE"""),"capable")</f>
        <v>capable</v>
      </c>
      <c r="AE868" s="49" t="str">
        <f>IFERROR(__xludf.DUMMYFUNCTION("""COMPUTED_VALUE"""),"connect")</f>
        <v>connect</v>
      </c>
      <c r="AF868" s="49" t="str">
        <f t="shared" si="4"/>
        <v>being,</v>
      </c>
      <c r="AG868" s="49"/>
      <c r="AH868" s="1" t="s">
        <v>3706</v>
      </c>
      <c r="AI868" s="1" t="s">
        <v>2991</v>
      </c>
      <c r="AJ868" s="6" t="str">
        <f>IFERROR(__xludf.DUMMYFUNCTION("""COMPUTED_VALUE"""),"burns")</f>
        <v>burns</v>
      </c>
      <c r="AK868" s="49"/>
      <c r="AL868" s="49"/>
      <c r="AM868" s="49"/>
      <c r="AN868" s="52" t="str">
        <f t="shared" si="5"/>
        <v>list,</v>
      </c>
    </row>
    <row r="869">
      <c r="A869" s="51"/>
      <c r="B869" s="50" t="s">
        <v>646</v>
      </c>
      <c r="C869" s="50" t="s">
        <v>2338</v>
      </c>
      <c r="D869" s="49" t="str">
        <f>IFERROR(__xludf.DUMMYFUNCTION("""COMPUTED_VALUE"""),"broad")</f>
        <v>broad</v>
      </c>
      <c r="E869" s="49"/>
      <c r="F869" s="49"/>
      <c r="G869" s="49"/>
      <c r="H869" s="54" t="str">
        <f t="shared" si="1"/>
        <v>look,</v>
      </c>
      <c r="I869" s="50"/>
      <c r="J869" s="50" t="s">
        <v>839</v>
      </c>
      <c r="K869" s="50" t="s">
        <v>931</v>
      </c>
      <c r="L869" s="49" t="str">
        <f>IFERROR(__xludf.DUMMYFUNCTION("""COMPUTED_VALUE"""),"roots")</f>
        <v>roots</v>
      </c>
      <c r="M869" s="49"/>
      <c r="N869" s="49" t="str">
        <f>IFERROR(__xludf.DUMMYFUNCTION("""COMPUTED_VALUE"""),"finale")</f>
        <v>finale</v>
      </c>
      <c r="O869" s="49" t="str">
        <f>IFERROR(__xludf.DUMMYFUNCTION("""COMPUTED_VALUE"""),"weaponry")</f>
        <v>weaponry</v>
      </c>
      <c r="P869" s="49" t="str">
        <f t="shared" si="2"/>
        <v>gorgeous,</v>
      </c>
      <c r="Q869" s="49"/>
      <c r="R869" s="50" t="s">
        <v>5428</v>
      </c>
      <c r="S869" s="55" t="s">
        <v>1274</v>
      </c>
      <c r="T869" s="49" t="str">
        <f>IFERROR(__xludf.DUMMYFUNCTION("""COMPUTED_VALUE"""),"eyelids")</f>
        <v>eyelids</v>
      </c>
      <c r="U869" s="49"/>
      <c r="V869" s="49"/>
      <c r="W869" s="49" t="str">
        <f>IFERROR(__xludf.DUMMYFUNCTION("""COMPUTED_VALUE"""),"clad")</f>
        <v>clad</v>
      </c>
      <c r="X869" s="49" t="str">
        <f t="shared" si="3"/>
        <v>curious,</v>
      </c>
      <c r="Y869" s="49"/>
      <c r="Z869" s="1" t="s">
        <v>3862</v>
      </c>
      <c r="AA869" s="1" t="s">
        <v>1153</v>
      </c>
      <c r="AB869" s="49" t="str">
        <f>IFERROR(__xludf.DUMMYFUNCTION("""COMPUTED_VALUE"""),"smarter")</f>
        <v>smarter</v>
      </c>
      <c r="AC869" s="49"/>
      <c r="AD869" s="49" t="str">
        <f>IFERROR(__xludf.DUMMYFUNCTION("""COMPUTED_VALUE"""),"finale")</f>
        <v>finale</v>
      </c>
      <c r="AE869" s="49" t="str">
        <f>IFERROR(__xludf.DUMMYFUNCTION("""COMPUTED_VALUE"""),"weaponry")</f>
        <v>weaponry</v>
      </c>
      <c r="AF869" s="49" t="str">
        <f t="shared" si="4"/>
        <v>present,</v>
      </c>
      <c r="AG869" s="49"/>
      <c r="AH869" s="1" t="s">
        <v>7296</v>
      </c>
      <c r="AI869" s="1" t="s">
        <v>2994</v>
      </c>
      <c r="AJ869" s="6" t="str">
        <f>IFERROR(__xludf.DUMMYFUNCTION("""COMPUTED_VALUE"""),"though")</f>
        <v>though</v>
      </c>
      <c r="AK869" s="49"/>
      <c r="AL869" s="49"/>
      <c r="AM869" s="49"/>
      <c r="AN869" s="52" t="str">
        <f t="shared" si="5"/>
        <v>italy,</v>
      </c>
    </row>
    <row r="870">
      <c r="A870" s="51"/>
      <c r="B870" s="50" t="s">
        <v>1750</v>
      </c>
      <c r="C870" s="50" t="s">
        <v>1325</v>
      </c>
      <c r="D870" s="49" t="str">
        <f>IFERROR(__xludf.DUMMYFUNCTION("""COMPUTED_VALUE"""),"report")</f>
        <v>report</v>
      </c>
      <c r="E870" s="49"/>
      <c r="F870" s="49"/>
      <c r="G870" s="49"/>
      <c r="H870" s="54" t="str">
        <f t="shared" si="1"/>
        <v>final,</v>
      </c>
      <c r="I870" s="50"/>
      <c r="J870" s="50" t="s">
        <v>1623</v>
      </c>
      <c r="K870" s="50" t="s">
        <v>2147</v>
      </c>
      <c r="L870" s="49" t="str">
        <f>IFERROR(__xludf.DUMMYFUNCTION("""COMPUTED_VALUE"""),"monsters")</f>
        <v>monsters</v>
      </c>
      <c r="M870" s="49"/>
      <c r="N870" s="49" t="str">
        <f>IFERROR(__xludf.DUMMYFUNCTION("""COMPUTED_VALUE"""),"w")</f>
        <v>w</v>
      </c>
      <c r="O870" s="49" t="str">
        <f>IFERROR(__xludf.DUMMYFUNCTION("""COMPUTED_VALUE"""),"dungeons")</f>
        <v>dungeons</v>
      </c>
      <c r="P870" s="49" t="str">
        <f t="shared" si="2"/>
        <v>view,</v>
      </c>
      <c r="Q870" s="49"/>
      <c r="R870" s="50" t="s">
        <v>4247</v>
      </c>
      <c r="S870" s="55" t="s">
        <v>1971</v>
      </c>
      <c r="T870" s="49" t="str">
        <f>IFERROR(__xludf.DUMMYFUNCTION("""COMPUTED_VALUE"""),"pulse")</f>
        <v>pulse</v>
      </c>
      <c r="U870" s="49"/>
      <c r="V870" s="49"/>
      <c r="W870" s="49" t="str">
        <f>IFERROR(__xludf.DUMMYFUNCTION("""COMPUTED_VALUE"""),"several")</f>
        <v>several</v>
      </c>
      <c r="X870" s="49" t="str">
        <f t="shared" si="3"/>
        <v>hearts,</v>
      </c>
      <c r="Y870" s="49"/>
      <c r="Z870" s="1" t="s">
        <v>3000</v>
      </c>
      <c r="AA870" s="1" t="s">
        <v>612</v>
      </c>
      <c r="AB870" s="49" t="str">
        <f>IFERROR(__xludf.DUMMYFUNCTION("""COMPUTED_VALUE"""),"shock")</f>
        <v>shock</v>
      </c>
      <c r="AC870" s="49"/>
      <c r="AD870" s="49" t="str">
        <f>IFERROR(__xludf.DUMMYFUNCTION("""COMPUTED_VALUE"""),"w")</f>
        <v>w</v>
      </c>
      <c r="AE870" s="49" t="str">
        <f>IFERROR(__xludf.DUMMYFUNCTION("""COMPUTED_VALUE"""),"dungeons")</f>
        <v>dungeons</v>
      </c>
      <c r="AF870" s="49" t="str">
        <f t="shared" si="4"/>
        <v>somebody,</v>
      </c>
      <c r="AG870" s="49"/>
      <c r="AH870" s="1" t="s">
        <v>659</v>
      </c>
      <c r="AI870" s="1" t="s">
        <v>965</v>
      </c>
      <c r="AJ870" s="6" t="str">
        <f>IFERROR(__xludf.DUMMYFUNCTION("""COMPUTED_VALUE"""),"brown")</f>
        <v>brown</v>
      </c>
      <c r="AK870" s="49"/>
      <c r="AL870" s="49"/>
      <c r="AM870" s="49"/>
      <c r="AN870" s="52" t="str">
        <f t="shared" si="5"/>
        <v>follow,</v>
      </c>
    </row>
    <row r="871">
      <c r="A871" s="51"/>
      <c r="B871" s="50" t="s">
        <v>631</v>
      </c>
      <c r="C871" s="50" t="s">
        <v>2596</v>
      </c>
      <c r="D871" s="49" t="str">
        <f>IFERROR(__xludf.DUMMYFUNCTION("""COMPUTED_VALUE"""),"abuse")</f>
        <v>abuse</v>
      </c>
      <c r="E871" s="49"/>
      <c r="F871" s="49"/>
      <c r="G871" s="49"/>
      <c r="H871" s="54" t="str">
        <f t="shared" si="1"/>
        <v>week,</v>
      </c>
      <c r="I871" s="50"/>
      <c r="J871" s="50" t="s">
        <v>6011</v>
      </c>
      <c r="K871" s="50" t="s">
        <v>2152</v>
      </c>
      <c r="L871" s="49" t="str">
        <f>IFERROR(__xludf.DUMMYFUNCTION("""COMPUTED_VALUE"""),"memorable")</f>
        <v>memorable</v>
      </c>
      <c r="M871" s="49"/>
      <c r="N871" s="49" t="str">
        <f>IFERROR(__xludf.DUMMYFUNCTION("""COMPUTED_VALUE"""),"normally")</f>
        <v>normally</v>
      </c>
      <c r="O871" s="49" t="str">
        <f>IFERROR(__xludf.DUMMYFUNCTION("""COMPUTED_VALUE"""),"definitions")</f>
        <v>definitions</v>
      </c>
      <c r="P871" s="49" t="str">
        <f t="shared" si="2"/>
        <v>sat,</v>
      </c>
      <c r="Q871" s="49"/>
      <c r="R871" s="50" t="s">
        <v>5377</v>
      </c>
      <c r="S871" s="55" t="s">
        <v>1299</v>
      </c>
      <c r="T871" s="49" t="str">
        <f>IFERROR(__xludf.DUMMYFUNCTION("""COMPUTED_VALUE"""),"eerie")</f>
        <v>eerie</v>
      </c>
      <c r="U871" s="49"/>
      <c r="V871" s="49"/>
      <c r="W871" s="49" t="str">
        <f>IFERROR(__xludf.DUMMYFUNCTION("""COMPUTED_VALUE"""),"indians")</f>
        <v>indians</v>
      </c>
      <c r="X871" s="49" t="str">
        <f t="shared" si="3"/>
        <v>blow,</v>
      </c>
      <c r="Y871" s="49"/>
      <c r="Z871" s="1" t="s">
        <v>6441</v>
      </c>
      <c r="AA871" s="1" t="s">
        <v>302</v>
      </c>
      <c r="AB871" s="49" t="str">
        <f>IFERROR(__xludf.DUMMYFUNCTION("""COMPUTED_VALUE"""),"striking")</f>
        <v>striking</v>
      </c>
      <c r="AC871" s="49"/>
      <c r="AD871" s="49" t="str">
        <f>IFERROR(__xludf.DUMMYFUNCTION("""COMPUTED_VALUE"""),"normally")</f>
        <v>normally</v>
      </c>
      <c r="AE871" s="49" t="str">
        <f>IFERROR(__xludf.DUMMYFUNCTION("""COMPUTED_VALUE"""),"definitions")</f>
        <v>definitions</v>
      </c>
      <c r="AF871" s="49" t="str">
        <f t="shared" si="4"/>
        <v>everyone,</v>
      </c>
      <c r="AG871" s="49"/>
      <c r="AH871" s="1" t="s">
        <v>779</v>
      </c>
      <c r="AI871" s="1" t="s">
        <v>1314</v>
      </c>
      <c r="AJ871" s="6" t="str">
        <f>IFERROR(__xludf.DUMMYFUNCTION("""COMPUTED_VALUE"""),"wilson")</f>
        <v>wilson</v>
      </c>
      <c r="AK871" s="49"/>
      <c r="AL871" s="49"/>
      <c r="AM871" s="49"/>
      <c r="AN871" s="52" t="str">
        <f t="shared" si="5"/>
        <v>count,</v>
      </c>
    </row>
    <row r="872">
      <c r="A872" s="51"/>
      <c r="B872" s="50" t="s">
        <v>6745</v>
      </c>
      <c r="C872" s="50" t="s">
        <v>3040</v>
      </c>
      <c r="D872" s="49" t="str">
        <f>IFERROR(__xludf.DUMMYFUNCTION("""COMPUTED_VALUE"""),"fake")</f>
        <v>fake</v>
      </c>
      <c r="E872" s="49"/>
      <c r="F872" s="49"/>
      <c r="G872" s="49"/>
      <c r="H872" s="54" t="str">
        <f t="shared" si="1"/>
        <v>average,</v>
      </c>
      <c r="I872" s="50"/>
      <c r="J872" s="50" t="s">
        <v>2060</v>
      </c>
      <c r="K872" s="50" t="s">
        <v>3579</v>
      </c>
      <c r="L872" s="49" t="str">
        <f>IFERROR(__xludf.DUMMYFUNCTION("""COMPUTED_VALUE"""),"timing")</f>
        <v>timing</v>
      </c>
      <c r="M872" s="49"/>
      <c r="N872" s="49" t="str">
        <f>IFERROR(__xludf.DUMMYFUNCTION("""COMPUTED_VALUE"""),"paid")</f>
        <v>paid</v>
      </c>
      <c r="O872" s="49" t="str">
        <f>IFERROR(__xludf.DUMMYFUNCTION("""COMPUTED_VALUE"""),"thud")</f>
        <v>thud</v>
      </c>
      <c r="P872" s="49" t="str">
        <f t="shared" si="2"/>
        <v>winning,</v>
      </c>
      <c r="Q872" s="49"/>
      <c r="R872" s="50" t="s">
        <v>1478</v>
      </c>
      <c r="S872" s="55" t="s">
        <v>2765</v>
      </c>
      <c r="T872" s="49" t="str">
        <f>IFERROR(__xludf.DUMMYFUNCTION("""COMPUTED_VALUE"""),"shelf")</f>
        <v>shelf</v>
      </c>
      <c r="U872" s="49"/>
      <c r="V872" s="49"/>
      <c r="W872" s="49" t="str">
        <f>IFERROR(__xludf.DUMMYFUNCTION("""COMPUTED_VALUE"""),"boat")</f>
        <v>boat</v>
      </c>
      <c r="X872" s="49" t="str">
        <f t="shared" si="3"/>
        <v>season,</v>
      </c>
      <c r="Y872" s="49"/>
      <c r="Z872" s="1" t="s">
        <v>2906</v>
      </c>
      <c r="AA872" s="1" t="s">
        <v>3576</v>
      </c>
      <c r="AB872" s="49" t="str">
        <f>IFERROR(__xludf.DUMMYFUNCTION("""COMPUTED_VALUE"""),"slap")</f>
        <v>slap</v>
      </c>
      <c r="AC872" s="49"/>
      <c r="AD872" s="49" t="str">
        <f>IFERROR(__xludf.DUMMYFUNCTION("""COMPUTED_VALUE"""),"paid")</f>
        <v>paid</v>
      </c>
      <c r="AE872" s="49" t="str">
        <f>IFERROR(__xludf.DUMMYFUNCTION("""COMPUTED_VALUE"""),"thud")</f>
        <v>thud</v>
      </c>
      <c r="AF872" s="49" t="str">
        <f t="shared" si="4"/>
        <v>whom,</v>
      </c>
      <c r="AG872" s="49"/>
      <c r="AH872" s="1" t="s">
        <v>4224</v>
      </c>
      <c r="AI872" s="1" t="s">
        <v>2024</v>
      </c>
      <c r="AJ872" s="6" t="str">
        <f>IFERROR(__xludf.DUMMYFUNCTION("""COMPUTED_VALUE"""),"fashion")</f>
        <v>fashion</v>
      </c>
      <c r="AK872" s="49"/>
      <c r="AL872" s="49"/>
      <c r="AM872" s="49"/>
      <c r="AN872" s="52" t="str">
        <f t="shared" si="5"/>
        <v>strange,</v>
      </c>
    </row>
    <row r="873">
      <c r="A873" s="51"/>
      <c r="B873" s="50" t="s">
        <v>6632</v>
      </c>
      <c r="C873" s="50" t="s">
        <v>3037</v>
      </c>
      <c r="D873" s="49" t="str">
        <f>IFERROR(__xludf.DUMMYFUNCTION("""COMPUTED_VALUE"""),"strong")</f>
        <v>strong</v>
      </c>
      <c r="E873" s="49"/>
      <c r="F873" s="49"/>
      <c r="G873" s="49"/>
      <c r="H873" s="54" t="str">
        <f t="shared" si="1"/>
        <v>likely,</v>
      </c>
      <c r="I873" s="50"/>
      <c r="J873" s="50" t="s">
        <v>2825</v>
      </c>
      <c r="K873" s="50" t="s">
        <v>1560</v>
      </c>
      <c r="L873" s="49" t="str">
        <f>IFERROR(__xludf.DUMMYFUNCTION("""COMPUTED_VALUE"""),"guts")</f>
        <v>guts</v>
      </c>
      <c r="M873" s="49"/>
      <c r="N873" s="49" t="str">
        <f>IFERROR(__xludf.DUMMYFUNCTION("""COMPUTED_VALUE"""),"properly")</f>
        <v>properly</v>
      </c>
      <c r="O873" s="49" t="str">
        <f>IFERROR(__xludf.DUMMYFUNCTION("""COMPUTED_VALUE"""),"floor")</f>
        <v>floor</v>
      </c>
      <c r="P873" s="49" t="str">
        <f t="shared" si="2"/>
        <v>score,</v>
      </c>
      <c r="Q873" s="49"/>
      <c r="R873" s="50" t="s">
        <v>7143</v>
      </c>
      <c r="S873" s="55" t="s">
        <v>3271</v>
      </c>
      <c r="T873" s="49" t="str">
        <f>IFERROR(__xludf.DUMMYFUNCTION("""COMPUTED_VALUE"""),"office")</f>
        <v>office</v>
      </c>
      <c r="U873" s="49"/>
      <c r="V873" s="49"/>
      <c r="W873" s="49" t="str">
        <f>IFERROR(__xludf.DUMMYFUNCTION("""COMPUTED_VALUE"""),"forming")</f>
        <v>forming</v>
      </c>
      <c r="X873" s="49" t="str">
        <f t="shared" si="3"/>
        <v>candidate,</v>
      </c>
      <c r="Y873" s="49"/>
      <c r="Z873" s="1" t="s">
        <v>2045</v>
      </c>
      <c r="AA873" s="1" t="s">
        <v>2988</v>
      </c>
      <c r="AB873" s="49" t="str">
        <f>IFERROR(__xludf.DUMMYFUNCTION("""COMPUTED_VALUE"""),"interpretation")</f>
        <v>interpretation</v>
      </c>
      <c r="AC873" s="49"/>
      <c r="AD873" s="49" t="str">
        <f>IFERROR(__xludf.DUMMYFUNCTION("""COMPUTED_VALUE"""),"properly")</f>
        <v>properly</v>
      </c>
      <c r="AE873" s="49" t="str">
        <f>IFERROR(__xludf.DUMMYFUNCTION("""COMPUTED_VALUE"""),"floor")</f>
        <v>floor</v>
      </c>
      <c r="AF873" s="49" t="str">
        <f t="shared" si="4"/>
        <v>today,</v>
      </c>
      <c r="AG873" s="49"/>
      <c r="AH873" s="1" t="s">
        <v>3509</v>
      </c>
      <c r="AI873" s="1" t="s">
        <v>6397</v>
      </c>
      <c r="AJ873" s="6" t="str">
        <f>IFERROR(__xludf.DUMMYFUNCTION("""COMPUTED_VALUE"""),"realize")</f>
        <v>realize</v>
      </c>
      <c r="AK873" s="49"/>
      <c r="AL873" s="49"/>
      <c r="AM873" s="49"/>
      <c r="AN873" s="52" t="str">
        <f t="shared" si="5"/>
        <v>patient,</v>
      </c>
    </row>
    <row r="874">
      <c r="A874" s="51"/>
      <c r="B874" s="50" t="s">
        <v>1243</v>
      </c>
      <c r="C874" s="50" t="s">
        <v>2603</v>
      </c>
      <c r="D874" s="49" t="str">
        <f>IFERROR(__xludf.DUMMYFUNCTION("""COMPUTED_VALUE"""),"fire")</f>
        <v>fire</v>
      </c>
      <c r="E874" s="49"/>
      <c r="F874" s="49"/>
      <c r="G874" s="49"/>
      <c r="H874" s="54" t="str">
        <f t="shared" si="1"/>
        <v>sitting,</v>
      </c>
      <c r="I874" s="50"/>
      <c r="J874" s="50" t="s">
        <v>5624</v>
      </c>
      <c r="K874" s="50" t="s">
        <v>615</v>
      </c>
      <c r="L874" s="49" t="str">
        <f>IFERROR(__xludf.DUMMYFUNCTION("""COMPUTED_VALUE"""),"immensely")</f>
        <v>immensely</v>
      </c>
      <c r="M874" s="49"/>
      <c r="N874" s="49" t="str">
        <f>IFERROR(__xludf.DUMMYFUNCTION("""COMPUTED_VALUE"""),"button")</f>
        <v>button</v>
      </c>
      <c r="O874" s="49" t="str">
        <f>IFERROR(__xludf.DUMMYFUNCTION("""COMPUTED_VALUE"""),"lyrical")</f>
        <v>lyrical</v>
      </c>
      <c r="P874" s="49" t="str">
        <f t="shared" si="2"/>
        <v>saga,</v>
      </c>
      <c r="Q874" s="49"/>
      <c r="R874" s="50" t="s">
        <v>2343</v>
      </c>
      <c r="S874" s="55" t="s">
        <v>3546</v>
      </c>
      <c r="T874" s="49" t="str">
        <f>IFERROR(__xludf.DUMMYFUNCTION("""COMPUTED_VALUE"""),"con")</f>
        <v>con</v>
      </c>
      <c r="U874" s="49"/>
      <c r="V874" s="49"/>
      <c r="W874" s="49" t="str">
        <f>IFERROR(__xludf.DUMMYFUNCTION("""COMPUTED_VALUE"""),"distinguishing")</f>
        <v>distinguishing</v>
      </c>
      <c r="X874" s="49" t="str">
        <f t="shared" si="3"/>
        <v>beginning,</v>
      </c>
      <c r="Y874" s="49"/>
      <c r="Z874" s="1" t="s">
        <v>3549</v>
      </c>
      <c r="AA874" s="1" t="s">
        <v>3582</v>
      </c>
      <c r="AB874" s="49" t="str">
        <f>IFERROR(__xludf.DUMMYFUNCTION("""COMPUTED_VALUE"""),"cia")</f>
        <v>cia</v>
      </c>
      <c r="AC874" s="49"/>
      <c r="AD874" s="49" t="str">
        <f>IFERROR(__xludf.DUMMYFUNCTION("""COMPUTED_VALUE"""),"button")</f>
        <v>button</v>
      </c>
      <c r="AE874" s="49" t="str">
        <f>IFERROR(__xludf.DUMMYFUNCTION("""COMPUTED_VALUE"""),"lyrical")</f>
        <v>lyrical</v>
      </c>
      <c r="AF874" s="49" t="str">
        <f t="shared" si="4"/>
        <v>enthusiasm,</v>
      </c>
      <c r="AG874" s="49"/>
      <c r="AH874" s="1" t="s">
        <v>1799</v>
      </c>
      <c r="AI874" s="1" t="s">
        <v>2570</v>
      </c>
      <c r="AJ874" s="6" t="str">
        <f>IFERROR(__xludf.DUMMYFUNCTION("""COMPUTED_VALUE"""),"li")</f>
        <v>li</v>
      </c>
      <c r="AK874" s="49"/>
      <c r="AL874" s="49"/>
      <c r="AM874" s="49"/>
      <c r="AN874" s="52" t="str">
        <f t="shared" si="5"/>
        <v>describe,</v>
      </c>
    </row>
    <row r="875">
      <c r="A875" s="51"/>
      <c r="B875" s="50" t="s">
        <v>6346</v>
      </c>
      <c r="C875" s="50" t="s">
        <v>5978</v>
      </c>
      <c r="D875" s="49" t="str">
        <f>IFERROR(__xludf.DUMMYFUNCTION("""COMPUTED_VALUE"""),"nearly")</f>
        <v>nearly</v>
      </c>
      <c r="E875" s="49"/>
      <c r="F875" s="49"/>
      <c r="G875" s="49"/>
      <c r="H875" s="54" t="str">
        <f t="shared" si="1"/>
        <v>value,</v>
      </c>
      <c r="I875" s="50"/>
      <c r="J875" s="50" t="s">
        <v>5779</v>
      </c>
      <c r="K875" s="50" t="s">
        <v>2137</v>
      </c>
      <c r="L875" s="49" t="str">
        <f>IFERROR(__xludf.DUMMYFUNCTION("""COMPUTED_VALUE"""),"acquire")</f>
        <v>acquire</v>
      </c>
      <c r="M875" s="49"/>
      <c r="N875" s="49" t="str">
        <f>IFERROR(__xludf.DUMMYFUNCTION("""COMPUTED_VALUE"""),"gulp")</f>
        <v>gulp</v>
      </c>
      <c r="O875" s="49" t="str">
        <f>IFERROR(__xludf.DUMMYFUNCTION("""COMPUTED_VALUE"""),"exploitation")</f>
        <v>exploitation</v>
      </c>
      <c r="P875" s="49" t="str">
        <f t="shared" si="2"/>
        <v>lonely,</v>
      </c>
      <c r="Q875" s="49"/>
      <c r="R875" s="50" t="s">
        <v>4363</v>
      </c>
      <c r="S875" s="55" t="s">
        <v>460</v>
      </c>
      <c r="T875" s="49" t="str">
        <f>IFERROR(__xludf.DUMMYFUNCTION("""COMPUTED_VALUE"""),"introduces")</f>
        <v>introduces</v>
      </c>
      <c r="U875" s="49"/>
      <c r="V875" s="49"/>
      <c r="W875" s="49" t="str">
        <f>IFERROR(__xludf.DUMMYFUNCTION("""COMPUTED_VALUE"""),"wallace")</f>
        <v>wallace</v>
      </c>
      <c r="X875" s="49" t="str">
        <f t="shared" si="3"/>
        <v>tens,</v>
      </c>
      <c r="Y875" s="49"/>
      <c r="Z875" s="1" t="s">
        <v>2683</v>
      </c>
      <c r="AA875" s="1" t="s">
        <v>477</v>
      </c>
      <c r="AB875" s="49" t="str">
        <f>IFERROR(__xludf.DUMMYFUNCTION("""COMPUTED_VALUE"""),"operative")</f>
        <v>operative</v>
      </c>
      <c r="AC875" s="49"/>
      <c r="AD875" s="49" t="str">
        <f>IFERROR(__xludf.DUMMYFUNCTION("""COMPUTED_VALUE"""),"gulp")</f>
        <v>gulp</v>
      </c>
      <c r="AE875" s="49" t="str">
        <f>IFERROR(__xludf.DUMMYFUNCTION("""COMPUTED_VALUE"""),"exploitation")</f>
        <v>exploitation</v>
      </c>
      <c r="AF875" s="49" t="str">
        <f t="shared" si="4"/>
        <v>decades,</v>
      </c>
      <c r="AG875" s="49"/>
      <c r="AH875" s="1" t="s">
        <v>5233</v>
      </c>
      <c r="AI875" s="1" t="s">
        <v>467</v>
      </c>
      <c r="AJ875" s="6" t="str">
        <f>IFERROR(__xludf.DUMMYFUNCTION("""COMPUTED_VALUE"""),"steven")</f>
        <v>steven</v>
      </c>
      <c r="AK875" s="49"/>
      <c r="AL875" s="49"/>
      <c r="AM875" s="49"/>
      <c r="AN875" s="52" t="str">
        <f t="shared" si="5"/>
        <v>victim,</v>
      </c>
    </row>
    <row r="876">
      <c r="A876" s="51"/>
      <c r="B876" s="50" t="s">
        <v>1291</v>
      </c>
      <c r="C876" s="50" t="s">
        <v>2610</v>
      </c>
      <c r="D876" s="49" t="str">
        <f>IFERROR(__xludf.DUMMYFUNCTION("""COMPUTED_VALUE"""),"dragon")</f>
        <v>dragon</v>
      </c>
      <c r="E876" s="49"/>
      <c r="F876" s="49"/>
      <c r="G876" s="49"/>
      <c r="H876" s="54" t="str">
        <f t="shared" si="1"/>
        <v>entertainment,</v>
      </c>
      <c r="I876" s="50"/>
      <c r="J876" s="50" t="s">
        <v>6173</v>
      </c>
      <c r="K876" s="50" t="s">
        <v>501</v>
      </c>
      <c r="L876" s="49" t="str">
        <f>IFERROR(__xludf.DUMMYFUNCTION("""COMPUTED_VALUE"""),"predecessor")</f>
        <v>predecessor</v>
      </c>
      <c r="M876" s="49"/>
      <c r="N876" s="49" t="str">
        <f>IFERROR(__xludf.DUMMYFUNCTION("""COMPUTED_VALUE"""),"prof")</f>
        <v>prof</v>
      </c>
      <c r="O876" s="49" t="str">
        <f>IFERROR(__xludf.DUMMYFUNCTION("""COMPUTED_VALUE"""),"populated")</f>
        <v>populated</v>
      </c>
      <c r="P876" s="49" t="str">
        <f t="shared" si="2"/>
        <v>suffered,</v>
      </c>
      <c r="Q876" s="49"/>
      <c r="R876" s="50" t="s">
        <v>4130</v>
      </c>
      <c r="S876" s="55" t="s">
        <v>1981</v>
      </c>
      <c r="T876" s="49" t="str">
        <f>IFERROR(__xludf.DUMMYFUNCTION("""COMPUTED_VALUE"""),"psychology")</f>
        <v>psychology</v>
      </c>
      <c r="U876" s="49"/>
      <c r="V876" s="49"/>
      <c r="W876" s="49" t="str">
        <f>IFERROR(__xludf.DUMMYFUNCTION("""COMPUTED_VALUE"""),"transparency")</f>
        <v>transparency</v>
      </c>
      <c r="X876" s="49" t="str">
        <f t="shared" si="3"/>
        <v>contenders,</v>
      </c>
      <c r="Y876" s="49"/>
      <c r="Z876" s="1" t="s">
        <v>3697</v>
      </c>
      <c r="AA876" s="1" t="s">
        <v>756</v>
      </c>
      <c r="AB876" s="49" t="str">
        <f>IFERROR(__xludf.DUMMYFUNCTION("""COMPUTED_VALUE"""),"feat")</f>
        <v>feat</v>
      </c>
      <c r="AC876" s="49"/>
      <c r="AD876" s="49" t="str">
        <f>IFERROR(__xludf.DUMMYFUNCTION("""COMPUTED_VALUE"""),"prof")</f>
        <v>prof</v>
      </c>
      <c r="AE876" s="49" t="str">
        <f>IFERROR(__xludf.DUMMYFUNCTION("""COMPUTED_VALUE"""),"populated")</f>
        <v>populated</v>
      </c>
      <c r="AF876" s="49" t="str">
        <f t="shared" si="4"/>
        <v>followed,</v>
      </c>
      <c r="AG876" s="49"/>
      <c r="AH876" s="1" t="s">
        <v>5828</v>
      </c>
      <c r="AI876" s="1">
        <v>2.0</v>
      </c>
      <c r="AJ876" s="6" t="str">
        <f>IFERROR(__xludf.DUMMYFUNCTION("""COMPUTED_VALUE"""),"art")</f>
        <v>art</v>
      </c>
      <c r="AK876" s="49"/>
      <c r="AL876" s="49"/>
      <c r="AM876" s="49"/>
      <c r="AN876" s="52" t="str">
        <f t="shared" si="5"/>
        <v>ralph,</v>
      </c>
    </row>
    <row r="877">
      <c r="A877" s="51"/>
      <c r="B877" s="50" t="s">
        <v>3534</v>
      </c>
      <c r="C877" s="50" t="s">
        <v>6402</v>
      </c>
      <c r="D877" s="49" t="str">
        <f>IFERROR(__xludf.DUMMYFUNCTION("""COMPUTED_VALUE"""),"rodriguez")</f>
        <v>rodriguez</v>
      </c>
      <c r="E877" s="49"/>
      <c r="F877" s="49"/>
      <c r="G877" s="49"/>
      <c r="H877" s="54" t="str">
        <f t="shared" si="1"/>
        <v>theater,</v>
      </c>
      <c r="I877" s="50"/>
      <c r="J877" s="50" t="s">
        <v>7297</v>
      </c>
      <c r="K877" s="50" t="s">
        <v>3069</v>
      </c>
      <c r="L877" s="49" t="str">
        <f>IFERROR(__xludf.DUMMYFUNCTION("""COMPUTED_VALUE"""),"satisfactory")</f>
        <v>satisfactory</v>
      </c>
      <c r="M877" s="49"/>
      <c r="N877" s="49" t="str">
        <f>IFERROR(__xludf.DUMMYFUNCTION("""COMPUTED_VALUE"""),"ma")</f>
        <v>ma</v>
      </c>
      <c r="O877" s="49" t="str">
        <f>IFERROR(__xludf.DUMMYFUNCTION("""COMPUTED_VALUE"""),"emotion")</f>
        <v>emotion</v>
      </c>
      <c r="P877" s="49" t="str">
        <f t="shared" si="2"/>
        <v>breakdown,</v>
      </c>
      <c r="Q877" s="49"/>
      <c r="R877" s="50" t="s">
        <v>4717</v>
      </c>
      <c r="S877" s="55" t="s">
        <v>2777</v>
      </c>
      <c r="T877" s="49" t="str">
        <f>IFERROR(__xludf.DUMMYFUNCTION("""COMPUTED_VALUE"""),"cover")</f>
        <v>cover</v>
      </c>
      <c r="U877" s="49"/>
      <c r="V877" s="49"/>
      <c r="W877" s="49" t="str">
        <f>IFERROR(__xludf.DUMMYFUNCTION("""COMPUTED_VALUE"""),"hampered")</f>
        <v>hampered</v>
      </c>
      <c r="X877" s="49" t="str">
        <f t="shared" si="3"/>
        <v>thousands,</v>
      </c>
      <c r="Y877" s="49"/>
      <c r="Z877" s="1" t="s">
        <v>2469</v>
      </c>
      <c r="AA877" s="1" t="s">
        <v>1776</v>
      </c>
      <c r="AB877" s="49" t="str">
        <f>IFERROR(__xludf.DUMMYFUNCTION("""COMPUTED_VALUE"""),"politics")</f>
        <v>politics</v>
      </c>
      <c r="AC877" s="49"/>
      <c r="AD877" s="49" t="str">
        <f>IFERROR(__xludf.DUMMYFUNCTION("""COMPUTED_VALUE"""),"ma")</f>
        <v>ma</v>
      </c>
      <c r="AE877" s="49" t="str">
        <f>IFERROR(__xludf.DUMMYFUNCTION("""COMPUTED_VALUE"""),"emotion")</f>
        <v>emotion</v>
      </c>
      <c r="AF877" s="49" t="str">
        <f t="shared" si="4"/>
        <v>reputation,</v>
      </c>
      <c r="AG877" s="49"/>
      <c r="AH877" s="1" t="s">
        <v>3806</v>
      </c>
      <c r="AI877" s="1" t="s">
        <v>1506</v>
      </c>
      <c r="AJ877" s="6" t="str">
        <f>IFERROR(__xludf.DUMMYFUNCTION("""COMPUTED_VALUE"""),"care")</f>
        <v>care</v>
      </c>
      <c r="AK877" s="49"/>
      <c r="AL877" s="49"/>
      <c r="AM877" s="49"/>
      <c r="AN877" s="52" t="str">
        <f t="shared" si="5"/>
        <v>burns,</v>
      </c>
    </row>
    <row r="878">
      <c r="A878" s="51"/>
      <c r="B878" s="50" t="s">
        <v>402</v>
      </c>
      <c r="C878" s="50" t="s">
        <v>2250</v>
      </c>
      <c r="D878" s="49" t="str">
        <f>IFERROR(__xludf.DUMMYFUNCTION("""COMPUTED_VALUE"""),"move")</f>
        <v>move</v>
      </c>
      <c r="E878" s="49"/>
      <c r="F878" s="49"/>
      <c r="G878" s="49"/>
      <c r="H878" s="54" t="str">
        <f t="shared" si="1"/>
        <v>reviews,</v>
      </c>
      <c r="I878" s="50"/>
      <c r="J878" s="50" t="s">
        <v>3227</v>
      </c>
      <c r="K878" s="50" t="s">
        <v>2158</v>
      </c>
      <c r="L878" s="49" t="str">
        <f>IFERROR(__xludf.DUMMYFUNCTION("""COMPUTED_VALUE"""),"encouraging")</f>
        <v>encouraging</v>
      </c>
      <c r="M878" s="49"/>
      <c r="N878" s="49" t="str">
        <f>IFERROR(__xludf.DUMMYFUNCTION("""COMPUTED_VALUE"""),"agency")</f>
        <v>agency</v>
      </c>
      <c r="O878" s="49" t="str">
        <f>IFERROR(__xludf.DUMMYFUNCTION("""COMPUTED_VALUE"""),"claw")</f>
        <v>claw</v>
      </c>
      <c r="P878" s="49" t="str">
        <f t="shared" si="2"/>
        <v>elusive,</v>
      </c>
      <c r="Q878" s="49"/>
      <c r="R878" s="50" t="s">
        <v>1328</v>
      </c>
      <c r="S878" s="55" t="s">
        <v>482</v>
      </c>
      <c r="T878" s="49" t="str">
        <f>IFERROR(__xludf.DUMMYFUNCTION("""COMPUTED_VALUE"""),"antics")</f>
        <v>antics</v>
      </c>
      <c r="U878" s="49"/>
      <c r="V878" s="49"/>
      <c r="W878" s="49" t="str">
        <f>IFERROR(__xludf.DUMMYFUNCTION("""COMPUTED_VALUE"""),"possesses")</f>
        <v>possesses</v>
      </c>
      <c r="X878" s="49" t="str">
        <f t="shared" si="3"/>
        <v>directorial,</v>
      </c>
      <c r="Y878" s="49"/>
      <c r="Z878" s="1" t="s">
        <v>5009</v>
      </c>
      <c r="AA878" s="1" t="s">
        <v>874</v>
      </c>
      <c r="AB878" s="49" t="str">
        <f>IFERROR(__xludf.DUMMYFUNCTION("""COMPUTED_VALUE"""),"tribute")</f>
        <v>tribute</v>
      </c>
      <c r="AC878" s="49"/>
      <c r="AD878" s="49" t="str">
        <f>IFERROR(__xludf.DUMMYFUNCTION("""COMPUTED_VALUE"""),"agency")</f>
        <v>agency</v>
      </c>
      <c r="AE878" s="49" t="str">
        <f>IFERROR(__xludf.DUMMYFUNCTION("""COMPUTED_VALUE"""),"claw")</f>
        <v>claw</v>
      </c>
      <c r="AF878" s="49" t="str">
        <f t="shared" si="4"/>
        <v>peter,</v>
      </c>
      <c r="AG878" s="49"/>
      <c r="AH878" s="1" t="s">
        <v>565</v>
      </c>
      <c r="AI878" s="1" t="s">
        <v>4973</v>
      </c>
      <c r="AJ878" s="6" t="str">
        <f>IFERROR(__xludf.DUMMYFUNCTION("""COMPUTED_VALUE"""),"leading")</f>
        <v>leading</v>
      </c>
      <c r="AK878" s="49"/>
      <c r="AL878" s="49"/>
      <c r="AM878" s="49"/>
      <c r="AN878" s="52" t="str">
        <f t="shared" si="5"/>
        <v>though,</v>
      </c>
    </row>
    <row r="879">
      <c r="A879" s="51"/>
      <c r="B879" s="50" t="s">
        <v>4145</v>
      </c>
      <c r="C879" s="50" t="s">
        <v>1829</v>
      </c>
      <c r="D879" s="49" t="str">
        <f>IFERROR(__xludf.DUMMYFUNCTION("""COMPUTED_VALUE"""),"hill")</f>
        <v>hill</v>
      </c>
      <c r="E879" s="49"/>
      <c r="F879" s="49"/>
      <c r="G879" s="49"/>
      <c r="H879" s="54" t="str">
        <f t="shared" si="1"/>
        <v>critics,</v>
      </c>
      <c r="I879" s="50"/>
      <c r="J879" s="50" t="s">
        <v>933</v>
      </c>
      <c r="K879" s="50" t="s">
        <v>3594</v>
      </c>
      <c r="L879" s="49" t="str">
        <f>IFERROR(__xludf.DUMMYFUNCTION("""COMPUTED_VALUE"""),"intelligent")</f>
        <v>intelligent</v>
      </c>
      <c r="M879" s="49"/>
      <c r="N879" s="49" t="str">
        <f>IFERROR(__xludf.DUMMYFUNCTION("""COMPUTED_VALUE"""),"grateful")</f>
        <v>grateful</v>
      </c>
      <c r="O879" s="49" t="str">
        <f>IFERROR(__xludf.DUMMYFUNCTION("""COMPUTED_VALUE"""),"flower")</f>
        <v>flower</v>
      </c>
      <c r="P879" s="49" t="str">
        <f t="shared" si="2"/>
        <v>starts,</v>
      </c>
      <c r="Q879" s="49"/>
      <c r="R879" s="50" t="s">
        <v>6003</v>
      </c>
      <c r="S879" s="55" t="s">
        <v>510</v>
      </c>
      <c r="T879" s="49" t="str">
        <f>IFERROR(__xludf.DUMMYFUNCTION("""COMPUTED_VALUE"""),"momentum")</f>
        <v>momentum</v>
      </c>
      <c r="U879" s="49"/>
      <c r="V879" s="49"/>
      <c r="W879" s="49" t="str">
        <f>IFERROR(__xludf.DUMMYFUNCTION("""COMPUTED_VALUE"""),"proficiency")</f>
        <v>proficiency</v>
      </c>
      <c r="X879" s="49" t="str">
        <f t="shared" si="3"/>
        <v>frequent,</v>
      </c>
      <c r="Y879" s="49"/>
      <c r="Z879" s="1" t="s">
        <v>4045</v>
      </c>
      <c r="AA879" s="1" t="s">
        <v>765</v>
      </c>
      <c r="AB879" s="49" t="str">
        <f>IFERROR(__xludf.DUMMYFUNCTION("""COMPUTED_VALUE"""),"desperation")</f>
        <v>desperation</v>
      </c>
      <c r="AC879" s="49"/>
      <c r="AD879" s="49" t="str">
        <f>IFERROR(__xludf.DUMMYFUNCTION("""COMPUTED_VALUE"""),"grateful")</f>
        <v>grateful</v>
      </c>
      <c r="AE879" s="49" t="str">
        <f>IFERROR(__xludf.DUMMYFUNCTION("""COMPUTED_VALUE"""),"flower")</f>
        <v>flower</v>
      </c>
      <c r="AF879" s="49" t="str">
        <f t="shared" si="4"/>
        <v>lady,</v>
      </c>
      <c r="AG879" s="49"/>
      <c r="AH879" s="1" t="s">
        <v>2167</v>
      </c>
      <c r="AI879" s="1" t="s">
        <v>1239</v>
      </c>
      <c r="AJ879" s="6" t="str">
        <f>IFERROR(__xludf.DUMMYFUNCTION("""COMPUTED_VALUE"""),"direction")</f>
        <v>direction</v>
      </c>
      <c r="AK879" s="49"/>
      <c r="AL879" s="49"/>
      <c r="AM879" s="49"/>
      <c r="AN879" s="52" t="str">
        <f t="shared" si="5"/>
        <v>brown,</v>
      </c>
    </row>
    <row r="880">
      <c r="A880" s="51"/>
      <c r="B880" s="50" t="s">
        <v>6075</v>
      </c>
      <c r="C880" s="50" t="s">
        <v>1833</v>
      </c>
      <c r="D880" s="49" t="str">
        <f>IFERROR(__xludf.DUMMYFUNCTION("""COMPUTED_VALUE"""),"commercial")</f>
        <v>commercial</v>
      </c>
      <c r="E880" s="49"/>
      <c r="F880" s="49"/>
      <c r="G880" s="49"/>
      <c r="H880" s="54" t="str">
        <f t="shared" si="1"/>
        <v>negative,</v>
      </c>
      <c r="I880" s="50"/>
      <c r="J880" s="50" t="s">
        <v>2358</v>
      </c>
      <c r="K880" s="50" t="s">
        <v>941</v>
      </c>
      <c r="L880" s="49" t="str">
        <f>IFERROR(__xludf.DUMMYFUNCTION("""COMPUTED_VALUE"""),"stale")</f>
        <v>stale</v>
      </c>
      <c r="M880" s="49"/>
      <c r="N880" s="49" t="str">
        <f>IFERROR(__xludf.DUMMYFUNCTION("""COMPUTED_VALUE"""),"masses")</f>
        <v>masses</v>
      </c>
      <c r="O880" s="49" t="str">
        <f>IFERROR(__xludf.DUMMYFUNCTION("""COMPUTED_VALUE"""),"purge")</f>
        <v>purge</v>
      </c>
      <c r="P880" s="49" t="str">
        <f t="shared" si="2"/>
        <v>moves,</v>
      </c>
      <c r="Q880" s="49"/>
      <c r="R880" s="50" t="s">
        <v>1451</v>
      </c>
      <c r="S880" s="55" t="s">
        <v>6403</v>
      </c>
      <c r="T880" s="49" t="str">
        <f>IFERROR(__xludf.DUMMYFUNCTION("""COMPUTED_VALUE"""),"unusual")</f>
        <v>unusual</v>
      </c>
      <c r="U880" s="49"/>
      <c r="V880" s="49"/>
      <c r="W880" s="49" t="str">
        <f>IFERROR(__xludf.DUMMYFUNCTION("""COMPUTED_VALUE"""),"considered")</f>
        <v>considered</v>
      </c>
      <c r="X880" s="49" t="str">
        <f t="shared" si="3"/>
        <v>crimes,</v>
      </c>
      <c r="Y880" s="49"/>
      <c r="Z880" s="1" t="s">
        <v>1590</v>
      </c>
      <c r="AA880" s="1" t="s">
        <v>1169</v>
      </c>
      <c r="AB880" s="49" t="str">
        <f>IFERROR(__xludf.DUMMYFUNCTION("""COMPUTED_VALUE"""),"reveals")</f>
        <v>reveals</v>
      </c>
      <c r="AC880" s="49"/>
      <c r="AD880" s="49" t="str">
        <f>IFERROR(__xludf.DUMMYFUNCTION("""COMPUTED_VALUE"""),"masses")</f>
        <v>masses</v>
      </c>
      <c r="AE880" s="49" t="str">
        <f>IFERROR(__xludf.DUMMYFUNCTION("""COMPUTED_VALUE"""),"purge")</f>
        <v>purge</v>
      </c>
      <c r="AF880" s="49" t="str">
        <f t="shared" si="4"/>
        <v>important,</v>
      </c>
      <c r="AG880" s="49"/>
      <c r="AH880" s="1" t="s">
        <v>3868</v>
      </c>
      <c r="AI880" s="1" t="s">
        <v>6404</v>
      </c>
      <c r="AJ880" s="6" t="str">
        <f>IFERROR(__xludf.DUMMYFUNCTION("""COMPUTED_VALUE"""),"picture")</f>
        <v>picture</v>
      </c>
      <c r="AK880" s="49"/>
      <c r="AL880" s="49"/>
      <c r="AM880" s="49"/>
      <c r="AN880" s="52" t="str">
        <f t="shared" si="5"/>
        <v>wilson,</v>
      </c>
    </row>
    <row r="881">
      <c r="A881" s="51"/>
      <c r="B881" s="50" t="s">
        <v>6640</v>
      </c>
      <c r="C881" s="50" t="s">
        <v>6405</v>
      </c>
      <c r="D881" s="49" t="str">
        <f>IFERROR(__xludf.DUMMYFUNCTION("""COMPUTED_VALUE"""),"purpose")</f>
        <v>purpose</v>
      </c>
      <c r="E881" s="49"/>
      <c r="F881" s="49"/>
      <c r="G881" s="49"/>
      <c r="H881" s="54" t="str">
        <f t="shared" si="1"/>
        <v>comfortable,</v>
      </c>
      <c r="I881" s="50"/>
      <c r="J881" s="50" t="s">
        <v>346</v>
      </c>
      <c r="K881" s="50" t="s">
        <v>2165</v>
      </c>
      <c r="L881" s="49" t="str">
        <f>IFERROR(__xludf.DUMMYFUNCTION("""COMPUTED_VALUE"""),"witty")</f>
        <v>witty</v>
      </c>
      <c r="M881" s="49"/>
      <c r="N881" s="49" t="str">
        <f>IFERROR(__xludf.DUMMYFUNCTION("""COMPUTED_VALUE"""),"sorry")</f>
        <v>sorry</v>
      </c>
      <c r="O881" s="49" t="str">
        <f>IFERROR(__xludf.DUMMYFUNCTION("""COMPUTED_VALUE"""),"spends")</f>
        <v>spends</v>
      </c>
      <c r="P881" s="49" t="str">
        <f t="shared" si="2"/>
        <v>engages,</v>
      </c>
      <c r="Q881" s="49"/>
      <c r="R881" s="50" t="s">
        <v>216</v>
      </c>
      <c r="S881" s="55" t="s">
        <v>1990</v>
      </c>
      <c r="T881" s="49" t="str">
        <f>IFERROR(__xludf.DUMMYFUNCTION("""COMPUTED_VALUE"""),"flavor")</f>
        <v>flavor</v>
      </c>
      <c r="U881" s="49"/>
      <c r="V881" s="49"/>
      <c r="W881" s="49" t="str">
        <f>IFERROR(__xludf.DUMMYFUNCTION("""COMPUTED_VALUE"""),"contradiction")</f>
        <v>contradiction</v>
      </c>
      <c r="X881" s="49" t="str">
        <f t="shared" si="3"/>
        <v>hopeless,</v>
      </c>
      <c r="Y881" s="49"/>
      <c r="Z881" s="1" t="s">
        <v>2648</v>
      </c>
      <c r="AA881" s="1" t="s">
        <v>2457</v>
      </c>
      <c r="AB881" s="49" t="str">
        <f>IFERROR(__xludf.DUMMYFUNCTION("""COMPUTED_VALUE"""),"unexpectedly")</f>
        <v>unexpectedly</v>
      </c>
      <c r="AC881" s="49"/>
      <c r="AD881" s="49" t="str">
        <f>IFERROR(__xludf.DUMMYFUNCTION("""COMPUTED_VALUE"""),"sorry")</f>
        <v>sorry</v>
      </c>
      <c r="AE881" s="49" t="str">
        <f>IFERROR(__xludf.DUMMYFUNCTION("""COMPUTED_VALUE"""),"spends")</f>
        <v>spends</v>
      </c>
      <c r="AF881" s="49" t="str">
        <f t="shared" si="4"/>
        <v>belongs,</v>
      </c>
      <c r="AG881" s="49"/>
      <c r="AH881" s="1" t="s">
        <v>2122</v>
      </c>
      <c r="AI881" s="1" t="s">
        <v>1853</v>
      </c>
      <c r="AJ881" s="6" t="str">
        <f>IFERROR(__xludf.DUMMYFUNCTION("""COMPUTED_VALUE"""),"notable")</f>
        <v>notable</v>
      </c>
      <c r="AK881" s="49"/>
      <c r="AL881" s="49"/>
      <c r="AM881" s="49"/>
      <c r="AN881" s="52" t="str">
        <f t="shared" si="5"/>
        <v>fashion,</v>
      </c>
    </row>
    <row r="882">
      <c r="A882" s="51"/>
      <c r="B882" s="50" t="s">
        <v>2333</v>
      </c>
      <c r="C882" s="50" t="s">
        <v>210</v>
      </c>
      <c r="D882" s="49" t="str">
        <f>IFERROR(__xludf.DUMMYFUNCTION("""COMPUTED_VALUE"""),"relatively")</f>
        <v>relatively</v>
      </c>
      <c r="E882" s="49"/>
      <c r="F882" s="49"/>
      <c r="G882" s="49"/>
      <c r="H882" s="54" t="str">
        <f t="shared" si="1"/>
        <v>destination,</v>
      </c>
      <c r="I882" s="50"/>
      <c r="J882" s="50" t="s">
        <v>910</v>
      </c>
      <c r="K882" s="50" t="s">
        <v>2415</v>
      </c>
      <c r="L882" s="49" t="str">
        <f>IFERROR(__xludf.DUMMYFUNCTION("""COMPUTED_VALUE"""),"nominated")</f>
        <v>nominated</v>
      </c>
      <c r="M882" s="49"/>
      <c r="N882" s="49" t="str">
        <f>IFERROR(__xludf.DUMMYFUNCTION("""COMPUTED_VALUE"""),"st")</f>
        <v>st</v>
      </c>
      <c r="O882" s="49" t="str">
        <f>IFERROR(__xludf.DUMMYFUNCTION("""COMPUTED_VALUE"""),"marvelous")</f>
        <v>marvelous</v>
      </c>
      <c r="P882" s="49" t="str">
        <f t="shared" si="2"/>
        <v>piano,</v>
      </c>
      <c r="Q882" s="49"/>
      <c r="R882" s="50" t="s">
        <v>5280</v>
      </c>
      <c r="S882" s="55" t="s">
        <v>1999</v>
      </c>
      <c r="T882" s="49" t="str">
        <f>IFERROR(__xludf.DUMMYFUNCTION("""COMPUTED_VALUE"""),"lyrical")</f>
        <v>lyrical</v>
      </c>
      <c r="U882" s="49"/>
      <c r="V882" s="49"/>
      <c r="W882" s="49" t="str">
        <f>IFERROR(__xludf.DUMMYFUNCTION("""COMPUTED_VALUE"""),"searing")</f>
        <v>searing</v>
      </c>
      <c r="X882" s="49" t="str">
        <f t="shared" si="3"/>
        <v>unhappy,</v>
      </c>
      <c r="Y882" s="49"/>
      <c r="Z882" s="1" t="s">
        <v>791</v>
      </c>
      <c r="AA882" s="1" t="s">
        <v>3597</v>
      </c>
      <c r="AB882" s="49" t="str">
        <f>IFERROR(__xludf.DUMMYFUNCTION("""COMPUTED_VALUE"""),"surrounding")</f>
        <v>surrounding</v>
      </c>
      <c r="AC882" s="49"/>
      <c r="AD882" s="49" t="str">
        <f>IFERROR(__xludf.DUMMYFUNCTION("""COMPUTED_VALUE"""),"st")</f>
        <v>st</v>
      </c>
      <c r="AE882" s="49" t="str">
        <f>IFERROR(__xludf.DUMMYFUNCTION("""COMPUTED_VALUE"""),"marvelous")</f>
        <v>marvelous</v>
      </c>
      <c r="AF882" s="49" t="str">
        <f t="shared" si="4"/>
        <v>quality,</v>
      </c>
      <c r="AG882" s="49"/>
      <c r="AH882" s="1" t="s">
        <v>2767</v>
      </c>
      <c r="AI882" s="1" t="s">
        <v>1802</v>
      </c>
      <c r="AJ882" s="6" t="str">
        <f>IFERROR(__xludf.DUMMYFUNCTION("""COMPUTED_VALUE"""),"roles")</f>
        <v>roles</v>
      </c>
      <c r="AK882" s="49"/>
      <c r="AL882" s="49"/>
      <c r="AM882" s="49"/>
      <c r="AN882" s="52" t="str">
        <f t="shared" si="5"/>
        <v>realize,</v>
      </c>
    </row>
    <row r="883">
      <c r="A883" s="51"/>
      <c r="B883" s="50" t="s">
        <v>5204</v>
      </c>
      <c r="C883" s="50" t="s">
        <v>1847</v>
      </c>
      <c r="D883" s="49" t="str">
        <f>IFERROR(__xludf.DUMMYFUNCTION("""COMPUTED_VALUE"""),"roger")</f>
        <v>roger</v>
      </c>
      <c r="E883" s="49"/>
      <c r="F883" s="49"/>
      <c r="G883" s="49"/>
      <c r="H883" s="54" t="str">
        <f t="shared" si="1"/>
        <v>enjoying,</v>
      </c>
      <c r="I883" s="50"/>
      <c r="J883" s="50" t="s">
        <v>5648</v>
      </c>
      <c r="K883" s="50" t="s">
        <v>3084</v>
      </c>
      <c r="L883" s="49" t="str">
        <f>IFERROR(__xludf.DUMMYFUNCTION("""COMPUTED_VALUE"""),"schumacher")</f>
        <v>schumacher</v>
      </c>
      <c r="M883" s="49"/>
      <c r="N883" s="49" t="str">
        <f>IFERROR(__xludf.DUMMYFUNCTION("""COMPUTED_VALUE"""),"awesome")</f>
        <v>awesome</v>
      </c>
      <c r="O883" s="49" t="str">
        <f>IFERROR(__xludf.DUMMYFUNCTION("""COMPUTED_VALUE"""),"shifted")</f>
        <v>shifted</v>
      </c>
      <c r="P883" s="49" t="str">
        <f t="shared" si="2"/>
        <v>`,</v>
      </c>
      <c r="Q883" s="49"/>
      <c r="R883" s="50" t="s">
        <v>596</v>
      </c>
      <c r="S883" s="55" t="s">
        <v>2795</v>
      </c>
      <c r="T883" s="49" t="str">
        <f>IFERROR(__xludf.DUMMYFUNCTION("""COMPUTED_VALUE"""),"insight")</f>
        <v>insight</v>
      </c>
      <c r="U883" s="49"/>
      <c r="V883" s="49"/>
      <c r="W883" s="49" t="str">
        <f>IFERROR(__xludf.DUMMYFUNCTION("""COMPUTED_VALUE"""),"rhino")</f>
        <v>rhino</v>
      </c>
      <c r="X883" s="49" t="str">
        <f t="shared" si="3"/>
        <v>intensity,</v>
      </c>
      <c r="Y883" s="49"/>
      <c r="Z883" s="1" t="s">
        <v>2389</v>
      </c>
      <c r="AA883" s="1" t="s">
        <v>2098</v>
      </c>
      <c r="AB883" s="49" t="str">
        <f>IFERROR(__xludf.DUMMYFUNCTION("""COMPUTED_VALUE"""),"attract")</f>
        <v>attract</v>
      </c>
      <c r="AC883" s="49"/>
      <c r="AD883" s="49" t="str">
        <f>IFERROR(__xludf.DUMMYFUNCTION("""COMPUTED_VALUE"""),"awesome")</f>
        <v>awesome</v>
      </c>
      <c r="AE883" s="49" t="str">
        <f>IFERROR(__xludf.DUMMYFUNCTION("""COMPUTED_VALUE"""),"shifted")</f>
        <v>shifted</v>
      </c>
      <c r="AF883" s="49" t="str">
        <f t="shared" si="4"/>
        <v>whose,</v>
      </c>
      <c r="AG883" s="49"/>
      <c r="AH883" s="1" t="s">
        <v>4399</v>
      </c>
      <c r="AI883" s="1" t="s">
        <v>255</v>
      </c>
      <c r="AJ883" s="6" t="str">
        <f>IFERROR(__xludf.DUMMYFUNCTION("""COMPUTED_VALUE"""),"performances")</f>
        <v>performances</v>
      </c>
      <c r="AK883" s="49"/>
      <c r="AL883" s="49"/>
      <c r="AM883" s="49"/>
      <c r="AN883" s="52" t="str">
        <f t="shared" si="5"/>
        <v>li,</v>
      </c>
    </row>
    <row r="884">
      <c r="A884" s="51"/>
      <c r="B884" s="50" t="s">
        <v>2837</v>
      </c>
      <c r="C884" s="50" t="s">
        <v>342</v>
      </c>
      <c r="D884" s="49" t="str">
        <f>IFERROR(__xludf.DUMMYFUNCTION("""COMPUTED_VALUE"""),"mitchell")</f>
        <v>mitchell</v>
      </c>
      <c r="E884" s="49"/>
      <c r="F884" s="49"/>
      <c r="G884" s="49"/>
      <c r="H884" s="54" t="str">
        <f t="shared" si="1"/>
        <v>dozens,</v>
      </c>
      <c r="I884" s="50"/>
      <c r="J884" s="50" t="s">
        <v>1028</v>
      </c>
      <c r="K884" s="50" t="s">
        <v>3602</v>
      </c>
      <c r="L884" s="49" t="str">
        <f>IFERROR(__xludf.DUMMYFUNCTION("""COMPUTED_VALUE"""),"mile")</f>
        <v>mile</v>
      </c>
      <c r="M884" s="49"/>
      <c r="N884" s="49" t="str">
        <f>IFERROR(__xludf.DUMMYFUNCTION("""COMPUTED_VALUE"""),"trap")</f>
        <v>trap</v>
      </c>
      <c r="O884" s="49" t="str">
        <f>IFERROR(__xludf.DUMMYFUNCTION("""COMPUTED_VALUE"""),"wesley")</f>
        <v>wesley</v>
      </c>
      <c r="P884" s="49" t="str">
        <f t="shared" si="2"/>
        <v>pitted,</v>
      </c>
      <c r="Q884" s="49"/>
      <c r="R884" s="50" t="s">
        <v>3313</v>
      </c>
      <c r="S884" s="55" t="s">
        <v>2003</v>
      </c>
      <c r="T884" s="49" t="str">
        <f>IFERROR(__xludf.DUMMYFUNCTION("""COMPUTED_VALUE"""),"ponder")</f>
        <v>ponder</v>
      </c>
      <c r="U884" s="49"/>
      <c r="V884" s="49"/>
      <c r="W884" s="49" t="str">
        <f>IFERROR(__xludf.DUMMYFUNCTION("""COMPUTED_VALUE"""),"desirable")</f>
        <v>desirable</v>
      </c>
      <c r="X884" s="49" t="str">
        <f t="shared" si="3"/>
        <v>stand,</v>
      </c>
      <c r="Y884" s="49"/>
      <c r="Z884" s="1" t="s">
        <v>669</v>
      </c>
      <c r="AA884" s="1" t="s">
        <v>842</v>
      </c>
      <c r="AB884" s="49" t="str">
        <f>IFERROR(__xludf.DUMMYFUNCTION("""COMPUTED_VALUE"""),"ballistic")</f>
        <v>ballistic</v>
      </c>
      <c r="AC884" s="49"/>
      <c r="AD884" s="49" t="str">
        <f>IFERROR(__xludf.DUMMYFUNCTION("""COMPUTED_VALUE"""),"trap")</f>
        <v>trap</v>
      </c>
      <c r="AE884" s="49" t="str">
        <f>IFERROR(__xludf.DUMMYFUNCTION("""COMPUTED_VALUE"""),"wesley")</f>
        <v>wesley</v>
      </c>
      <c r="AF884" s="49" t="str">
        <f t="shared" si="4"/>
        <v>sometimes,</v>
      </c>
      <c r="AG884" s="49"/>
      <c r="AH884" s="1" t="s">
        <v>7298</v>
      </c>
      <c r="AI884" s="1" t="s">
        <v>1861</v>
      </c>
      <c r="AJ884" s="6" t="str">
        <f>IFERROR(__xludf.DUMMYFUNCTION("""COMPUTED_VALUE"""),"script")</f>
        <v>script</v>
      </c>
      <c r="AK884" s="49"/>
      <c r="AL884" s="49"/>
      <c r="AM884" s="49"/>
      <c r="AN884" s="52" t="str">
        <f t="shared" si="5"/>
        <v>description,</v>
      </c>
    </row>
    <row r="885">
      <c r="A885" s="51"/>
      <c r="B885" s="50" t="s">
        <v>810</v>
      </c>
      <c r="C885" s="50" t="s">
        <v>3536</v>
      </c>
      <c r="D885" s="49" t="str">
        <f>IFERROR(__xludf.DUMMYFUNCTION("""COMPUTED_VALUE"""),"probably")</f>
        <v>probably</v>
      </c>
      <c r="E885" s="49"/>
      <c r="F885" s="49"/>
      <c r="G885" s="49"/>
      <c r="H885" s="54" t="str">
        <f t="shared" si="1"/>
        <v>help,</v>
      </c>
      <c r="I885" s="50"/>
      <c r="J885" s="50" t="s">
        <v>1440</v>
      </c>
      <c r="K885" s="50" t="s">
        <v>622</v>
      </c>
      <c r="L885" s="49" t="str">
        <f>IFERROR(__xludf.DUMMYFUNCTION("""COMPUTED_VALUE"""),"absorbing")</f>
        <v>absorbing</v>
      </c>
      <c r="M885" s="49"/>
      <c r="N885" s="49" t="str">
        <f>IFERROR(__xludf.DUMMYFUNCTION("""COMPUTED_VALUE"""),"stomach")</f>
        <v>stomach</v>
      </c>
      <c r="O885" s="49" t="str">
        <f>IFERROR(__xludf.DUMMYFUNCTION("""COMPUTED_VALUE"""),"institution")</f>
        <v>institution</v>
      </c>
      <c r="P885" s="49" t="str">
        <f t="shared" si="2"/>
        <v>hate,</v>
      </c>
      <c r="Q885" s="49"/>
      <c r="R885" s="50" t="s">
        <v>890</v>
      </c>
      <c r="S885" s="55" t="s">
        <v>2278</v>
      </c>
      <c r="T885" s="49" t="str">
        <f>IFERROR(__xludf.DUMMYFUNCTION("""COMPUTED_VALUE"""),"existence")</f>
        <v>existence</v>
      </c>
      <c r="U885" s="49"/>
      <c r="V885" s="49"/>
      <c r="W885" s="49" t="str">
        <f>IFERROR(__xludf.DUMMYFUNCTION("""COMPUTED_VALUE"""),"letting")</f>
        <v>letting</v>
      </c>
      <c r="X885" s="49" t="str">
        <f t="shared" si="3"/>
        <v>effective,</v>
      </c>
      <c r="Y885" s="49"/>
      <c r="Z885" s="1" t="s">
        <v>1073</v>
      </c>
      <c r="AA885" s="1" t="s">
        <v>3603</v>
      </c>
      <c r="AB885" s="49" t="str">
        <f>IFERROR(__xludf.DUMMYFUNCTION("""COMPUTED_VALUE"""),"draws")</f>
        <v>draws</v>
      </c>
      <c r="AC885" s="49"/>
      <c r="AD885" s="49" t="str">
        <f>IFERROR(__xludf.DUMMYFUNCTION("""COMPUTED_VALUE"""),"stomach")</f>
        <v>stomach</v>
      </c>
      <c r="AE885" s="49" t="str">
        <f>IFERROR(__xludf.DUMMYFUNCTION("""COMPUTED_VALUE"""),"institution")</f>
        <v>institution</v>
      </c>
      <c r="AF885" s="49" t="str">
        <f t="shared" si="4"/>
        <v>born,</v>
      </c>
      <c r="AG885" s="49"/>
      <c r="AH885" s="1" t="s">
        <v>2179</v>
      </c>
      <c r="AI885" s="1" t="s">
        <v>3026</v>
      </c>
      <c r="AJ885" s="6" t="str">
        <f>IFERROR(__xludf.DUMMYFUNCTION("""COMPUTED_VALUE"""),"mitchell")</f>
        <v>mitchell</v>
      </c>
      <c r="AK885" s="49"/>
      <c r="AL885" s="49"/>
      <c r="AM885" s="49"/>
      <c r="AN885" s="52" t="str">
        <f t="shared" si="5"/>
        <v>steven,</v>
      </c>
    </row>
    <row r="886">
      <c r="A886" s="51"/>
      <c r="B886" s="50" t="s">
        <v>5056</v>
      </c>
      <c r="C886" s="50" t="s">
        <v>5120</v>
      </c>
      <c r="D886" s="49" t="str">
        <f>IFERROR(__xludf.DUMMYFUNCTION("""COMPUTED_VALUE"""),"christmas")</f>
        <v>christmas</v>
      </c>
      <c r="E886" s="49"/>
      <c r="F886" s="49"/>
      <c r="G886" s="49"/>
      <c r="H886" s="54" t="str">
        <f t="shared" si="1"/>
        <v>release,</v>
      </c>
      <c r="I886" s="50"/>
      <c r="J886" s="50" t="s">
        <v>3856</v>
      </c>
      <c r="K886" s="50" t="s">
        <v>2170</v>
      </c>
      <c r="L886" s="49" t="str">
        <f>IFERROR(__xludf.DUMMYFUNCTION("""COMPUTED_VALUE"""),"sober")</f>
        <v>sober</v>
      </c>
      <c r="M886" s="49"/>
      <c r="N886" s="49" t="str">
        <f>IFERROR(__xludf.DUMMYFUNCTION("""COMPUTED_VALUE"""),"sooner")</f>
        <v>sooner</v>
      </c>
      <c r="O886" s="49" t="str">
        <f>IFERROR(__xludf.DUMMYFUNCTION("""COMPUTED_VALUE"""),"proposes")</f>
        <v>proposes</v>
      </c>
      <c r="P886" s="49" t="str">
        <f t="shared" si="2"/>
        <v>folks,</v>
      </c>
      <c r="Q886" s="49"/>
      <c r="R886" s="50" t="s">
        <v>2332</v>
      </c>
      <c r="S886" s="55" t="s">
        <v>2004</v>
      </c>
      <c r="T886" s="49" t="str">
        <f>IFERROR(__xludf.DUMMYFUNCTION("""COMPUTED_VALUE"""),"inviting")</f>
        <v>inviting</v>
      </c>
      <c r="U886" s="49"/>
      <c r="V886" s="49"/>
      <c r="W886" s="49" t="str">
        <f>IFERROR(__xludf.DUMMYFUNCTION("""COMPUTED_VALUE"""),"niche")</f>
        <v>niche</v>
      </c>
      <c r="X886" s="49" t="str">
        <f t="shared" si="3"/>
        <v>frequently,</v>
      </c>
      <c r="Y886" s="49"/>
      <c r="Z886" s="1" t="s">
        <v>295</v>
      </c>
      <c r="AA886" s="1" t="s">
        <v>3605</v>
      </c>
      <c r="AB886" s="49">
        <f>IFERROR(__xludf.DUMMYFUNCTION("""COMPUTED_VALUE"""),30.0)</f>
        <v>30</v>
      </c>
      <c r="AC886" s="49"/>
      <c r="AD886" s="49" t="str">
        <f>IFERROR(__xludf.DUMMYFUNCTION("""COMPUTED_VALUE"""),"sooner")</f>
        <v>sooner</v>
      </c>
      <c r="AE886" s="49" t="str">
        <f>IFERROR(__xludf.DUMMYFUNCTION("""COMPUTED_VALUE"""),"proposes")</f>
        <v>proposes</v>
      </c>
      <c r="AF886" s="49" t="str">
        <f t="shared" si="4"/>
        <v>absurd,</v>
      </c>
      <c r="AG886" s="49"/>
      <c r="AH886" s="1" t="s">
        <v>1139</v>
      </c>
      <c r="AI886" s="1" t="s">
        <v>1789</v>
      </c>
      <c r="AJ886" s="6" t="str">
        <f>IFERROR(__xludf.DUMMYFUNCTION("""COMPUTED_VALUE"""),"main")</f>
        <v>main</v>
      </c>
      <c r="AK886" s="49"/>
      <c r="AL886" s="49"/>
      <c r="AM886" s="49"/>
      <c r="AN886" s="52" t="str">
        <f t="shared" si="5"/>
        <v>art,</v>
      </c>
    </row>
    <row r="887">
      <c r="A887" s="51"/>
      <c r="B887" s="50" t="s">
        <v>1775</v>
      </c>
      <c r="C887" s="50" t="s">
        <v>3066</v>
      </c>
      <c r="D887" s="49" t="str">
        <f>IFERROR(__xludf.DUMMYFUNCTION("""COMPUTED_VALUE"""),"stores")</f>
        <v>stores</v>
      </c>
      <c r="E887" s="49"/>
      <c r="F887" s="49"/>
      <c r="G887" s="49"/>
      <c r="H887" s="54" t="str">
        <f t="shared" si="1"/>
        <v>date,</v>
      </c>
      <c r="I887" s="50"/>
      <c r="J887" s="50" t="s">
        <v>1020</v>
      </c>
      <c r="K887" s="50" t="s">
        <v>2514</v>
      </c>
      <c r="L887" s="49" t="str">
        <f>IFERROR(__xludf.DUMMYFUNCTION("""COMPUTED_VALUE"""),"earnest")</f>
        <v>earnest</v>
      </c>
      <c r="M887" s="49"/>
      <c r="N887" s="49" t="str">
        <f>IFERROR(__xludf.DUMMYFUNCTION("""COMPUTED_VALUE"""),"baked")</f>
        <v>baked</v>
      </c>
      <c r="O887" s="49" t="str">
        <f>IFERROR(__xludf.DUMMYFUNCTION("""COMPUTED_VALUE"""),"mistress")</f>
        <v>mistress</v>
      </c>
      <c r="P887" s="49" t="str">
        <f t="shared" si="2"/>
        <v>romance,</v>
      </c>
      <c r="Q887" s="49"/>
      <c r="R887" s="50" t="s">
        <v>6380</v>
      </c>
      <c r="S887" s="55" t="s">
        <v>2799</v>
      </c>
      <c r="T887" s="49" t="str">
        <f>IFERROR(__xludf.DUMMYFUNCTION("""COMPUTED_VALUE"""),"foot")</f>
        <v>foot</v>
      </c>
      <c r="U887" s="49"/>
      <c r="V887" s="49"/>
      <c r="W887" s="49" t="str">
        <f>IFERROR(__xludf.DUMMYFUNCTION("""COMPUTED_VALUE"""),"woody")</f>
        <v>woody</v>
      </c>
      <c r="X887" s="49" t="str">
        <f t="shared" si="3"/>
        <v>makers,</v>
      </c>
      <c r="Y887" s="49"/>
      <c r="Z887" s="1" t="s">
        <v>6522</v>
      </c>
      <c r="AA887" s="1" t="s">
        <v>773</v>
      </c>
      <c r="AB887" s="49" t="str">
        <f>IFERROR(__xludf.DUMMYFUNCTION("""COMPUTED_VALUE"""),"justice")</f>
        <v>justice</v>
      </c>
      <c r="AC887" s="49"/>
      <c r="AD887" s="49" t="str">
        <f>IFERROR(__xludf.DUMMYFUNCTION("""COMPUTED_VALUE"""),"baked")</f>
        <v>baked</v>
      </c>
      <c r="AE887" s="49" t="str">
        <f>IFERROR(__xludf.DUMMYFUNCTION("""COMPUTED_VALUE"""),"mistress")</f>
        <v>mistress</v>
      </c>
      <c r="AF887" s="49" t="str">
        <f t="shared" si="4"/>
        <v>fast,</v>
      </c>
      <c r="AG887" s="49"/>
      <c r="AH887" s="1" t="s">
        <v>795</v>
      </c>
      <c r="AI887" s="1" t="s">
        <v>3029</v>
      </c>
      <c r="AJ887" s="6" t="str">
        <f>IFERROR(__xludf.DUMMYFUNCTION("""COMPUTED_VALUE"""),"except")</f>
        <v>except</v>
      </c>
      <c r="AK887" s="49"/>
      <c r="AL887" s="49"/>
      <c r="AM887" s="49"/>
      <c r="AN887" s="52" t="str">
        <f t="shared" si="5"/>
        <v>care,</v>
      </c>
    </row>
    <row r="888">
      <c r="A888" s="51"/>
      <c r="B888" s="50" t="s">
        <v>3882</v>
      </c>
      <c r="C888" s="50" t="s">
        <v>5087</v>
      </c>
      <c r="D888" s="49" t="str">
        <f>IFERROR(__xludf.DUMMYFUNCTION("""COMPUTED_VALUE"""),"reality")</f>
        <v>reality</v>
      </c>
      <c r="E888" s="49"/>
      <c r="F888" s="49"/>
      <c r="G888" s="49"/>
      <c r="H888" s="54" t="str">
        <f t="shared" si="1"/>
        <v>changes,</v>
      </c>
      <c r="I888" s="50"/>
      <c r="J888" s="50" t="s">
        <v>1564</v>
      </c>
      <c r="K888" s="50" t="s">
        <v>2189</v>
      </c>
      <c r="L888" s="49" t="str">
        <f>IFERROR(__xludf.DUMMYFUNCTION("""COMPUTED_VALUE"""),"illness")</f>
        <v>illness</v>
      </c>
      <c r="M888" s="49"/>
      <c r="N888" s="49" t="str">
        <f>IFERROR(__xludf.DUMMYFUNCTION("""COMPUTED_VALUE"""),"fueled")</f>
        <v>fueled</v>
      </c>
      <c r="O888" s="49" t="str">
        <f>IFERROR(__xludf.DUMMYFUNCTION("""COMPUTED_VALUE"""),"cheering")</f>
        <v>cheering</v>
      </c>
      <c r="P888" s="49" t="str">
        <f t="shared" si="2"/>
        <v>trying,</v>
      </c>
      <c r="Q888" s="49"/>
      <c r="R888" s="50" t="s">
        <v>2755</v>
      </c>
      <c r="S888" s="55" t="s">
        <v>438</v>
      </c>
      <c r="T888" s="49" t="str">
        <f>IFERROR(__xludf.DUMMYFUNCTION("""COMPUTED_VALUE"""),"god")</f>
        <v>god</v>
      </c>
      <c r="U888" s="49"/>
      <c r="V888" s="49"/>
      <c r="W888" s="49" t="str">
        <f>IFERROR(__xludf.DUMMYFUNCTION("""COMPUTED_VALUE"""),"1940s")</f>
        <v>1940s</v>
      </c>
      <c r="X888" s="49" t="str">
        <f t="shared" si="3"/>
        <v>situation,</v>
      </c>
      <c r="Y888" s="49"/>
      <c r="Z888" s="1" t="s">
        <v>312</v>
      </c>
      <c r="AA888" s="1" t="s">
        <v>3392</v>
      </c>
      <c r="AB888" s="49" t="str">
        <f>IFERROR(__xludf.DUMMYFUNCTION("""COMPUTED_VALUE"""),"shadowy")</f>
        <v>shadowy</v>
      </c>
      <c r="AC888" s="49"/>
      <c r="AD888" s="49" t="str">
        <f>IFERROR(__xludf.DUMMYFUNCTION("""COMPUTED_VALUE"""),"fueled")</f>
        <v>fueled</v>
      </c>
      <c r="AE888" s="49" t="str">
        <f>IFERROR(__xludf.DUMMYFUNCTION("""COMPUTED_VALUE"""),"cheering")</f>
        <v>cheering</v>
      </c>
      <c r="AF888" s="49" t="str">
        <f t="shared" si="4"/>
        <v>nowhere,</v>
      </c>
      <c r="AG888" s="49"/>
      <c r="AH888" s="1" t="s">
        <v>4738</v>
      </c>
      <c r="AI888" s="1" t="s">
        <v>1443</v>
      </c>
      <c r="AJ888" s="6" t="str">
        <f>IFERROR(__xludf.DUMMYFUNCTION("""COMPUTED_VALUE"""),"camp")</f>
        <v>camp</v>
      </c>
      <c r="AK888" s="49"/>
      <c r="AL888" s="49"/>
      <c r="AM888" s="49"/>
      <c r="AN888" s="52" t="str">
        <f t="shared" si="5"/>
        <v>leading,</v>
      </c>
    </row>
    <row r="889">
      <c r="A889" s="51"/>
      <c r="B889" s="50" t="s">
        <v>732</v>
      </c>
      <c r="C889" s="50" t="s">
        <v>2630</v>
      </c>
      <c r="D889" s="49" t="str">
        <f>IFERROR(__xludf.DUMMYFUNCTION("""COMPUTED_VALUE"""),"sake")</f>
        <v>sake</v>
      </c>
      <c r="E889" s="49"/>
      <c r="F889" s="49"/>
      <c r="G889" s="49"/>
      <c r="H889" s="54" t="str">
        <f t="shared" si="1"/>
        <v>initial,</v>
      </c>
      <c r="I889" s="50"/>
      <c r="J889" s="50" t="s">
        <v>1568</v>
      </c>
      <c r="K889" s="50" t="s">
        <v>2149</v>
      </c>
      <c r="L889" s="49" t="str">
        <f>IFERROR(__xludf.DUMMYFUNCTION("""COMPUTED_VALUE"""),"profound")</f>
        <v>profound</v>
      </c>
      <c r="M889" s="49"/>
      <c r="N889" s="49" t="str">
        <f>IFERROR(__xludf.DUMMYFUNCTION("""COMPUTED_VALUE"""),"springs")</f>
        <v>springs</v>
      </c>
      <c r="O889" s="49" t="str">
        <f>IFERROR(__xludf.DUMMYFUNCTION("""COMPUTED_VALUE"""),"assumes")</f>
        <v>assumes</v>
      </c>
      <c r="P889" s="49" t="str">
        <f t="shared" si="2"/>
        <v>attractive,</v>
      </c>
      <c r="Q889" s="49"/>
      <c r="R889" s="50" t="s">
        <v>116</v>
      </c>
      <c r="S889" s="55" t="s">
        <v>3329</v>
      </c>
      <c r="T889" s="49" t="str">
        <f>IFERROR(__xludf.DUMMYFUNCTION("""COMPUTED_VALUE"""),"heart")</f>
        <v>heart</v>
      </c>
      <c r="U889" s="49"/>
      <c r="V889" s="49"/>
      <c r="W889" s="49" t="str">
        <f>IFERROR(__xludf.DUMMYFUNCTION("""COMPUTED_VALUE"""),"prophet")</f>
        <v>prophet</v>
      </c>
      <c r="X889" s="49" t="str">
        <f t="shared" si="3"/>
        <v>emotions,</v>
      </c>
      <c r="Y889" s="49"/>
      <c r="Z889" s="1" t="s">
        <v>3461</v>
      </c>
      <c r="AA889" s="1" t="s">
        <v>2473</v>
      </c>
      <c r="AB889" s="49" t="str">
        <f>IFERROR(__xludf.DUMMYFUNCTION("""COMPUTED_VALUE"""),"thrill")</f>
        <v>thrill</v>
      </c>
      <c r="AC889" s="49"/>
      <c r="AD889" s="49" t="str">
        <f>IFERROR(__xludf.DUMMYFUNCTION("""COMPUTED_VALUE"""),"springs")</f>
        <v>springs</v>
      </c>
      <c r="AE889" s="49" t="str">
        <f>IFERROR(__xludf.DUMMYFUNCTION("""COMPUTED_VALUE"""),"assumes")</f>
        <v>assumes</v>
      </c>
      <c r="AF889" s="49" t="str">
        <f t="shared" si="4"/>
        <v>bill,</v>
      </c>
      <c r="AG889" s="49"/>
      <c r="AH889" s="1" t="s">
        <v>731</v>
      </c>
      <c r="AI889" s="1" t="s">
        <v>2590</v>
      </c>
      <c r="AJ889" s="6" t="str">
        <f>IFERROR(__xludf.DUMMYFUNCTION("""COMPUTED_VALUE"""),"jerry")</f>
        <v>jerry</v>
      </c>
      <c r="AK889" s="49"/>
      <c r="AL889" s="49"/>
      <c r="AM889" s="49"/>
      <c r="AN889" s="52" t="str">
        <f t="shared" si="5"/>
        <v>direction,</v>
      </c>
    </row>
    <row r="890">
      <c r="A890" s="51"/>
      <c r="B890" s="50" t="s">
        <v>3775</v>
      </c>
      <c r="C890" s="50" t="s">
        <v>2634</v>
      </c>
      <c r="D890" s="49" t="str">
        <f>IFERROR(__xludf.DUMMYFUNCTION("""COMPUTED_VALUE"""),"various")</f>
        <v>various</v>
      </c>
      <c r="E890" s="49"/>
      <c r="F890" s="49"/>
      <c r="G890" s="49"/>
      <c r="H890" s="54" t="str">
        <f t="shared" si="1"/>
        <v>rain,</v>
      </c>
      <c r="I890" s="50"/>
      <c r="J890" s="50" t="s">
        <v>4231</v>
      </c>
      <c r="K890" s="50" t="s">
        <v>2145</v>
      </c>
      <c r="L890" s="49" t="str">
        <f>IFERROR(__xludf.DUMMYFUNCTION("""COMPUTED_VALUE"""),"dose")</f>
        <v>dose</v>
      </c>
      <c r="M890" s="49"/>
      <c r="N890" s="49" t="str">
        <f>IFERROR(__xludf.DUMMYFUNCTION("""COMPUTED_VALUE"""),"chaotic")</f>
        <v>chaotic</v>
      </c>
      <c r="O890" s="49" t="str">
        <f>IFERROR(__xludf.DUMMYFUNCTION("""COMPUTED_VALUE"""),"unmistakable")</f>
        <v>unmistakable</v>
      </c>
      <c r="P890" s="49" t="str">
        <f t="shared" si="2"/>
        <v>rising,</v>
      </c>
      <c r="Q890" s="49"/>
      <c r="R890" s="50" t="s">
        <v>95</v>
      </c>
      <c r="S890" s="55" t="s">
        <v>3113</v>
      </c>
      <c r="T890" s="49" t="str">
        <f>IFERROR(__xludf.DUMMYFUNCTION("""COMPUTED_VALUE"""),"faith")</f>
        <v>faith</v>
      </c>
      <c r="U890" s="49"/>
      <c r="V890" s="49"/>
      <c r="W890" s="49" t="str">
        <f>IFERROR(__xludf.DUMMYFUNCTION("""COMPUTED_VALUE"""),"nervous")</f>
        <v>nervous</v>
      </c>
      <c r="X890" s="49" t="str">
        <f t="shared" si="3"/>
        <v>vivid,</v>
      </c>
      <c r="Y890" s="49"/>
      <c r="Z890" s="1" t="s">
        <v>4506</v>
      </c>
      <c r="AA890" s="1" t="s">
        <v>3614</v>
      </c>
      <c r="AB890" s="49" t="str">
        <f>IFERROR(__xludf.DUMMYFUNCTION("""COMPUTED_VALUE"""),"triumph")</f>
        <v>triumph</v>
      </c>
      <c r="AC890" s="49"/>
      <c r="AD890" s="49" t="str">
        <f>IFERROR(__xludf.DUMMYFUNCTION("""COMPUTED_VALUE"""),"chaotic")</f>
        <v>chaotic</v>
      </c>
      <c r="AE890" s="49" t="str">
        <f>IFERROR(__xludf.DUMMYFUNCTION("""COMPUTED_VALUE"""),"unmistakable")</f>
        <v>unmistakable</v>
      </c>
      <c r="AF890" s="49" t="str">
        <f t="shared" si="4"/>
        <v>ocean,</v>
      </c>
      <c r="AG890" s="49"/>
      <c r="AH890" s="1" t="s">
        <v>918</v>
      </c>
      <c r="AI890" s="1" t="s">
        <v>2338</v>
      </c>
      <c r="AJ890" s="6" t="str">
        <f>IFERROR(__xludf.DUMMYFUNCTION("""COMPUTED_VALUE"""),"happens")</f>
        <v>happens</v>
      </c>
      <c r="AK890" s="49"/>
      <c r="AL890" s="49"/>
      <c r="AM890" s="49"/>
      <c r="AN890" s="52" t="str">
        <f t="shared" si="5"/>
        <v>picture,</v>
      </c>
    </row>
    <row r="891">
      <c r="A891" s="51"/>
      <c r="B891" s="50" t="s">
        <v>4408</v>
      </c>
      <c r="C891" s="50" t="s">
        <v>6407</v>
      </c>
      <c r="D891" s="49" t="str">
        <f>IFERROR(__xludf.DUMMYFUNCTION("""COMPUTED_VALUE"""),"whatever")</f>
        <v>whatever</v>
      </c>
      <c r="E891" s="49"/>
      <c r="F891" s="49"/>
      <c r="G891" s="49"/>
      <c r="H891" s="54" t="str">
        <f t="shared" si="1"/>
        <v>rank,</v>
      </c>
      <c r="I891" s="50"/>
      <c r="J891" s="50" t="s">
        <v>4494</v>
      </c>
      <c r="K891" s="50" t="s">
        <v>2174</v>
      </c>
      <c r="L891" s="49" t="str">
        <f>IFERROR(__xludf.DUMMYFUNCTION("""COMPUTED_VALUE"""),"pleasures")</f>
        <v>pleasures</v>
      </c>
      <c r="M891" s="49"/>
      <c r="N891" s="49" t="str">
        <f>IFERROR(__xludf.DUMMYFUNCTION("""COMPUTED_VALUE"""),"steer")</f>
        <v>steer</v>
      </c>
      <c r="O891" s="49" t="str">
        <f>IFERROR(__xludf.DUMMYFUNCTION("""COMPUTED_VALUE"""),"fascination")</f>
        <v>fascination</v>
      </c>
      <c r="P891" s="49" t="str">
        <f t="shared" si="2"/>
        <v>comparison,</v>
      </c>
      <c r="Q891" s="49"/>
      <c r="R891" s="50" t="s">
        <v>5136</v>
      </c>
      <c r="S891" s="55" t="s">
        <v>2009</v>
      </c>
      <c r="T891" s="49" t="str">
        <f>IFERROR(__xludf.DUMMYFUNCTION("""COMPUTED_VALUE"""),"transformation")</f>
        <v>transformation</v>
      </c>
      <c r="U891" s="49"/>
      <c r="V891" s="49"/>
      <c r="W891" s="49" t="str">
        <f>IFERROR(__xludf.DUMMYFUNCTION("""COMPUTED_VALUE"""),"vital")</f>
        <v>vital</v>
      </c>
      <c r="X891" s="49" t="str">
        <f t="shared" si="3"/>
        <v>chain,</v>
      </c>
      <c r="Y891" s="49"/>
      <c r="Z891" s="1" t="s">
        <v>6368</v>
      </c>
      <c r="AA891" s="1" t="s">
        <v>780</v>
      </c>
      <c r="AB891" s="49" t="str">
        <f>IFERROR(__xludf.DUMMYFUNCTION("""COMPUTED_VALUE"""),"considerable")</f>
        <v>considerable</v>
      </c>
      <c r="AC891" s="49"/>
      <c r="AD891" s="49" t="str">
        <f>IFERROR(__xludf.DUMMYFUNCTION("""COMPUTED_VALUE"""),"steer")</f>
        <v>steer</v>
      </c>
      <c r="AE891" s="49" t="str">
        <f>IFERROR(__xludf.DUMMYFUNCTION("""COMPUTED_VALUE"""),"fascination")</f>
        <v>fascination</v>
      </c>
      <c r="AF891" s="49" t="str">
        <f t="shared" si="4"/>
        <v>free,</v>
      </c>
      <c r="AG891" s="49"/>
      <c r="AH891" s="1" t="s">
        <v>5532</v>
      </c>
      <c r="AI891" s="1" t="s">
        <v>1325</v>
      </c>
      <c r="AJ891" s="6" t="str">
        <f>IFERROR(__xludf.DUMMYFUNCTION("""COMPUTED_VALUE"""),"project")</f>
        <v>project</v>
      </c>
      <c r="AK891" s="49"/>
      <c r="AL891" s="49"/>
      <c r="AM891" s="49"/>
      <c r="AN891" s="52" t="str">
        <f t="shared" si="5"/>
        <v>notable,</v>
      </c>
    </row>
    <row r="892">
      <c r="A892" s="51"/>
      <c r="B892" s="50" t="s">
        <v>1483</v>
      </c>
      <c r="C892" s="50" t="s">
        <v>1157</v>
      </c>
      <c r="D892" s="49" t="str">
        <f>IFERROR(__xludf.DUMMYFUNCTION("""COMPUTED_VALUE"""),"wet")</f>
        <v>wet</v>
      </c>
      <c r="E892" s="49"/>
      <c r="F892" s="49"/>
      <c r="G892" s="49"/>
      <c r="H892" s="54" t="str">
        <f t="shared" si="1"/>
        <v>peak,</v>
      </c>
      <c r="I892" s="50"/>
      <c r="J892" s="50" t="s">
        <v>2729</v>
      </c>
      <c r="K892" s="50" t="s">
        <v>617</v>
      </c>
      <c r="L892" s="49" t="str">
        <f>IFERROR(__xludf.DUMMYFUNCTION("""COMPUTED_VALUE"""),"refreshing")</f>
        <v>refreshing</v>
      </c>
      <c r="M892" s="49"/>
      <c r="N892" s="49" t="str">
        <f>IFERROR(__xludf.DUMMYFUNCTION("""COMPUTED_VALUE"""),"enjoyment")</f>
        <v>enjoyment</v>
      </c>
      <c r="O892" s="49" t="str">
        <f>IFERROR(__xludf.DUMMYFUNCTION("""COMPUTED_VALUE"""),"operational")</f>
        <v>operational</v>
      </c>
      <c r="P892" s="49" t="str">
        <f t="shared" si="2"/>
        <v>strangely,</v>
      </c>
      <c r="Q892" s="49"/>
      <c r="R892" s="50" t="s">
        <v>3613</v>
      </c>
      <c r="S892" s="55" t="s">
        <v>6408</v>
      </c>
      <c r="T892" s="49" t="str">
        <f>IFERROR(__xludf.DUMMYFUNCTION("""COMPUTED_VALUE"""),"enormous")</f>
        <v>enormous</v>
      </c>
      <c r="U892" s="49"/>
      <c r="V892" s="49"/>
      <c r="W892" s="49" t="str">
        <f>IFERROR(__xludf.DUMMYFUNCTION("""COMPUTED_VALUE"""),"enthusiastic")</f>
        <v>enthusiastic</v>
      </c>
      <c r="X892" s="49" t="str">
        <f t="shared" si="3"/>
        <v>finding,</v>
      </c>
      <c r="Y892" s="49"/>
      <c r="Z892" s="1" t="s">
        <v>260</v>
      </c>
      <c r="AA892" s="1" t="s">
        <v>2497</v>
      </c>
      <c r="AB892" s="49" t="str">
        <f>IFERROR(__xludf.DUMMYFUNCTION("""COMPUTED_VALUE"""),"exploring")</f>
        <v>exploring</v>
      </c>
      <c r="AC892" s="49"/>
      <c r="AD892" s="49" t="str">
        <f>IFERROR(__xludf.DUMMYFUNCTION("""COMPUTED_VALUE"""),"enjoyment")</f>
        <v>enjoyment</v>
      </c>
      <c r="AE892" s="49" t="str">
        <f>IFERROR(__xludf.DUMMYFUNCTION("""COMPUTED_VALUE"""),"operational")</f>
        <v>operational</v>
      </c>
      <c r="AF892" s="49" t="str">
        <f t="shared" si="4"/>
        <v>thought,</v>
      </c>
      <c r="AG892" s="49"/>
      <c r="AH892" s="1" t="s">
        <v>3506</v>
      </c>
      <c r="AI892" s="1" t="s">
        <v>2596</v>
      </c>
      <c r="AJ892" s="6" t="str">
        <f>IFERROR(__xludf.DUMMYFUNCTION("""COMPUTED_VALUE"""),"sun")</f>
        <v>sun</v>
      </c>
      <c r="AK892" s="49"/>
      <c r="AL892" s="49"/>
      <c r="AM892" s="49"/>
      <c r="AN892" s="52" t="str">
        <f t="shared" si="5"/>
        <v>roles,</v>
      </c>
    </row>
    <row r="893">
      <c r="A893" s="51"/>
      <c r="B893" s="50" t="s">
        <v>4672</v>
      </c>
      <c r="C893" s="50" t="s">
        <v>2638</v>
      </c>
      <c r="D893" s="49" t="str">
        <f>IFERROR(__xludf.DUMMYFUNCTION("""COMPUTED_VALUE"""),"colors")</f>
        <v>colors</v>
      </c>
      <c r="E893" s="49"/>
      <c r="F893" s="49"/>
      <c r="G893" s="49"/>
      <c r="H893" s="54" t="str">
        <f t="shared" si="1"/>
        <v>shifted,</v>
      </c>
      <c r="I893" s="50"/>
      <c r="J893" s="50" t="s">
        <v>3221</v>
      </c>
      <c r="K893" s="50" t="s">
        <v>3101</v>
      </c>
      <c r="L893" s="49" t="str">
        <f>IFERROR(__xludf.DUMMYFUNCTION("""COMPUTED_VALUE"""),"crisis")</f>
        <v>crisis</v>
      </c>
      <c r="M893" s="49"/>
      <c r="N893" s="49" t="str">
        <f>IFERROR(__xludf.DUMMYFUNCTION("""COMPUTED_VALUE"""),"knowledge")</f>
        <v>knowledge</v>
      </c>
      <c r="O893" s="49" t="str">
        <f>IFERROR(__xludf.DUMMYFUNCTION("""COMPUTED_VALUE"""),"mechanics")</f>
        <v>mechanics</v>
      </c>
      <c r="P893" s="49" t="str">
        <f t="shared" si="2"/>
        <v>bother,</v>
      </c>
      <c r="Q893" s="49"/>
      <c r="R893" s="50" t="s">
        <v>3448</v>
      </c>
      <c r="S893" s="55" t="s">
        <v>2012</v>
      </c>
      <c r="T893" s="49" t="str">
        <f>IFERROR(__xludf.DUMMYFUNCTION("""COMPUTED_VALUE"""),"patch")</f>
        <v>patch</v>
      </c>
      <c r="U893" s="49"/>
      <c r="V893" s="49"/>
      <c r="W893" s="49" t="str">
        <f>IFERROR(__xludf.DUMMYFUNCTION("""COMPUTED_VALUE"""),"recalls")</f>
        <v>recalls</v>
      </c>
      <c r="X893" s="49" t="str">
        <f t="shared" si="3"/>
        <v>cash,</v>
      </c>
      <c r="Y893" s="49"/>
      <c r="Z893" s="1" t="s">
        <v>3657</v>
      </c>
      <c r="AA893" s="1" t="s">
        <v>311</v>
      </c>
      <c r="AB893" s="49" t="str">
        <f>IFERROR(__xludf.DUMMYFUNCTION("""COMPUTED_VALUE"""),"movements")</f>
        <v>movements</v>
      </c>
      <c r="AC893" s="49"/>
      <c r="AD893" s="49" t="str">
        <f>IFERROR(__xludf.DUMMYFUNCTION("""COMPUTED_VALUE"""),"knowledge")</f>
        <v>knowledge</v>
      </c>
      <c r="AE893" s="49" t="str">
        <f>IFERROR(__xludf.DUMMYFUNCTION("""COMPUTED_VALUE"""),"mechanics")</f>
        <v>mechanics</v>
      </c>
      <c r="AF893" s="49" t="str">
        <f t="shared" si="4"/>
        <v>rarely,</v>
      </c>
      <c r="AG893" s="49"/>
      <c r="AH893" s="1" t="s">
        <v>188</v>
      </c>
      <c r="AI893" s="1" t="s">
        <v>3040</v>
      </c>
      <c r="AJ893" s="6" t="str">
        <f>IFERROR(__xludf.DUMMYFUNCTION("""COMPUTED_VALUE"""),"job")</f>
        <v>job</v>
      </c>
      <c r="AK893" s="49"/>
      <c r="AL893" s="49"/>
      <c r="AM893" s="49"/>
      <c r="AN893" s="52" t="str">
        <f t="shared" si="5"/>
        <v>performances,</v>
      </c>
    </row>
    <row r="894">
      <c r="A894" s="51"/>
      <c r="B894" s="50" t="s">
        <v>6540</v>
      </c>
      <c r="C894" s="50" t="s">
        <v>1866</v>
      </c>
      <c r="D894" s="49" t="str">
        <f>IFERROR(__xludf.DUMMYFUNCTION("""COMPUTED_VALUE"""),"shower")</f>
        <v>shower</v>
      </c>
      <c r="E894" s="49"/>
      <c r="F894" s="49"/>
      <c r="G894" s="49"/>
      <c r="H894" s="54" t="str">
        <f t="shared" si="1"/>
        <v>smell,</v>
      </c>
      <c r="I894" s="50"/>
      <c r="J894" s="50" t="s">
        <v>806</v>
      </c>
      <c r="K894" s="50" t="s">
        <v>2182</v>
      </c>
      <c r="L894" s="49" t="str">
        <f>IFERROR(__xludf.DUMMYFUNCTION("""COMPUTED_VALUE"""),"irresistible")</f>
        <v>irresistible</v>
      </c>
      <c r="M894" s="49"/>
      <c r="N894" s="49" t="str">
        <f>IFERROR(__xludf.DUMMYFUNCTION("""COMPUTED_VALUE"""),"electric")</f>
        <v>electric</v>
      </c>
      <c r="O894" s="49" t="str">
        <f>IFERROR(__xludf.DUMMYFUNCTION("""COMPUTED_VALUE"""),"cult")</f>
        <v>cult</v>
      </c>
      <c r="P894" s="49" t="str">
        <f t="shared" si="2"/>
        <v>six,</v>
      </c>
      <c r="Q894" s="49"/>
      <c r="R894" s="50" t="s">
        <v>1062</v>
      </c>
      <c r="S894" s="55" t="s">
        <v>845</v>
      </c>
      <c r="T894" s="49" t="str">
        <f>IFERROR(__xludf.DUMMYFUNCTION("""COMPUTED_VALUE"""),"buy")</f>
        <v>buy</v>
      </c>
      <c r="U894" s="49"/>
      <c r="V894" s="49"/>
      <c r="W894" s="49" t="str">
        <f>IFERROR(__xludf.DUMMYFUNCTION("""COMPUTED_VALUE"""),"sweetly")</f>
        <v>sweetly</v>
      </c>
      <c r="X894" s="49" t="str">
        <f t="shared" si="3"/>
        <v>although,</v>
      </c>
      <c r="Y894" s="49"/>
      <c r="Z894" s="1" t="s">
        <v>6445</v>
      </c>
      <c r="AA894" s="1" t="s">
        <v>626</v>
      </c>
      <c r="AB894" s="49" t="str">
        <f>IFERROR(__xludf.DUMMYFUNCTION("""COMPUTED_VALUE"""),"smug")</f>
        <v>smug</v>
      </c>
      <c r="AC894" s="49"/>
      <c r="AD894" s="49" t="str">
        <f>IFERROR(__xludf.DUMMYFUNCTION("""COMPUTED_VALUE"""),"electric")</f>
        <v>electric</v>
      </c>
      <c r="AE894" s="49" t="str">
        <f>IFERROR(__xludf.DUMMYFUNCTION("""COMPUTED_VALUE"""),"cult")</f>
        <v>cult</v>
      </c>
      <c r="AF894" s="49" t="str">
        <f t="shared" si="4"/>
        <v>sad,</v>
      </c>
      <c r="AG894" s="49"/>
      <c r="AH894" s="1" t="s">
        <v>369</v>
      </c>
      <c r="AI894" s="1" t="s">
        <v>3037</v>
      </c>
      <c r="AJ894" s="6" t="str">
        <f>IFERROR(__xludf.DUMMYFUNCTION("""COMPUTED_VALUE"""),"chicago")</f>
        <v>chicago</v>
      </c>
      <c r="AK894" s="49"/>
      <c r="AL894" s="49"/>
      <c r="AM894" s="49"/>
      <c r="AN894" s="52" t="str">
        <f t="shared" si="5"/>
        <v>script,</v>
      </c>
    </row>
    <row r="895">
      <c r="A895" s="51"/>
      <c r="B895" s="50" t="s">
        <v>3398</v>
      </c>
      <c r="C895" s="50" t="s">
        <v>1859</v>
      </c>
      <c r="D895" s="49" t="str">
        <f>IFERROR(__xludf.DUMMYFUNCTION("""COMPUTED_VALUE"""),"lessons")</f>
        <v>lessons</v>
      </c>
      <c r="E895" s="49"/>
      <c r="F895" s="49"/>
      <c r="G895" s="49"/>
      <c r="H895" s="54" t="str">
        <f t="shared" si="1"/>
        <v>confused,</v>
      </c>
      <c r="I895" s="50"/>
      <c r="J895" s="50" t="s">
        <v>3789</v>
      </c>
      <c r="K895" s="50" t="s">
        <v>490</v>
      </c>
      <c r="L895" s="49" t="str">
        <f>IFERROR(__xludf.DUMMYFUNCTION("""COMPUTED_VALUE"""),"entirely")</f>
        <v>entirely</v>
      </c>
      <c r="M895" s="49"/>
      <c r="N895" s="49" t="str">
        <f>IFERROR(__xludf.DUMMYFUNCTION("""COMPUTED_VALUE"""),"reasonably")</f>
        <v>reasonably</v>
      </c>
      <c r="O895" s="49" t="str">
        <f>IFERROR(__xludf.DUMMYFUNCTION("""COMPUTED_VALUE"""),"undone")</f>
        <v>undone</v>
      </c>
      <c r="P895" s="49" t="str">
        <f t="shared" si="2"/>
        <v>japanese,</v>
      </c>
      <c r="Q895" s="49"/>
      <c r="R895" s="50" t="s">
        <v>1895</v>
      </c>
      <c r="S895" s="55" t="s">
        <v>2643</v>
      </c>
      <c r="T895" s="49" t="str">
        <f>IFERROR(__xludf.DUMMYFUNCTION("""COMPUTED_VALUE"""),"dubious")</f>
        <v>dubious</v>
      </c>
      <c r="U895" s="49"/>
      <c r="V895" s="49"/>
      <c r="W895" s="49" t="str">
        <f>IFERROR(__xludf.DUMMYFUNCTION("""COMPUTED_VALUE"""),"infectious")</f>
        <v>infectious</v>
      </c>
      <c r="X895" s="49" t="str">
        <f t="shared" si="3"/>
        <v>scoring,</v>
      </c>
      <c r="Y895" s="49"/>
      <c r="Z895" s="1" t="s">
        <v>2281</v>
      </c>
      <c r="AA895" s="1" t="s">
        <v>633</v>
      </c>
      <c r="AB895" s="49" t="str">
        <f>IFERROR(__xludf.DUMMYFUNCTION("""COMPUTED_VALUE"""),"darling")</f>
        <v>darling</v>
      </c>
      <c r="AC895" s="49"/>
      <c r="AD895" s="49" t="str">
        <f>IFERROR(__xludf.DUMMYFUNCTION("""COMPUTED_VALUE"""),"reasonably")</f>
        <v>reasonably</v>
      </c>
      <c r="AE895" s="49" t="str">
        <f>IFERROR(__xludf.DUMMYFUNCTION("""COMPUTED_VALUE"""),"undone")</f>
        <v>undone</v>
      </c>
      <c r="AF895" s="49" t="str">
        <f t="shared" si="4"/>
        <v>toward,</v>
      </c>
      <c r="AG895" s="49"/>
      <c r="AH895" s="1" t="s">
        <v>3185</v>
      </c>
      <c r="AI895" s="1" t="s">
        <v>5978</v>
      </c>
      <c r="AJ895" s="6" t="str">
        <f>IFERROR(__xludf.DUMMYFUNCTION("""COMPUTED_VALUE"""),"singer")</f>
        <v>singer</v>
      </c>
      <c r="AK895" s="49"/>
      <c r="AL895" s="49"/>
      <c r="AM895" s="49"/>
      <c r="AN895" s="52" t="str">
        <f t="shared" si="5"/>
        <v>mitchell,</v>
      </c>
    </row>
    <row r="896">
      <c r="A896" s="51"/>
      <c r="B896" s="50" t="s">
        <v>3986</v>
      </c>
      <c r="C896" s="50" t="s">
        <v>2646</v>
      </c>
      <c r="D896" s="49" t="str">
        <f>IFERROR(__xludf.DUMMYFUNCTION("""COMPUTED_VALUE"""),"money")</f>
        <v>money</v>
      </c>
      <c r="E896" s="49"/>
      <c r="F896" s="49"/>
      <c r="G896" s="49"/>
      <c r="H896" s="54" t="str">
        <f t="shared" si="1"/>
        <v>appropriate,</v>
      </c>
      <c r="I896" s="50"/>
      <c r="J896" s="50" t="s">
        <v>3206</v>
      </c>
      <c r="K896" s="50" t="s">
        <v>3625</v>
      </c>
      <c r="L896" s="49" t="str">
        <f>IFERROR(__xludf.DUMMYFUNCTION("""COMPUTED_VALUE"""),"carries")</f>
        <v>carries</v>
      </c>
      <c r="M896" s="49"/>
      <c r="N896" s="49" t="str">
        <f>IFERROR(__xludf.DUMMYFUNCTION("""COMPUTED_VALUE"""),"Mar")</f>
        <v>Mar</v>
      </c>
      <c r="O896" s="49" t="str">
        <f>IFERROR(__xludf.DUMMYFUNCTION("""COMPUTED_VALUE"""),"inspiration")</f>
        <v>inspiration</v>
      </c>
      <c r="P896" s="49" t="str">
        <f t="shared" si="2"/>
        <v>land,</v>
      </c>
      <c r="Q896" s="49"/>
      <c r="R896" s="50" t="s">
        <v>4758</v>
      </c>
      <c r="S896" s="55" t="s">
        <v>3346</v>
      </c>
      <c r="T896" s="49" t="str">
        <f>IFERROR(__xludf.DUMMYFUNCTION("""COMPUTED_VALUE"""),"edited")</f>
        <v>edited</v>
      </c>
      <c r="U896" s="49"/>
      <c r="V896" s="49"/>
      <c r="W896" s="49" t="str">
        <f>IFERROR(__xludf.DUMMYFUNCTION("""COMPUTED_VALUE"""),"withstand")</f>
        <v>withstand</v>
      </c>
      <c r="X896" s="49" t="str">
        <f t="shared" si="3"/>
        <v>smith,</v>
      </c>
      <c r="Y896" s="49"/>
      <c r="Z896" s="1" t="s">
        <v>3420</v>
      </c>
      <c r="AA896" s="1" t="s">
        <v>1201</v>
      </c>
      <c r="AB896" s="49" t="str">
        <f>IFERROR(__xludf.DUMMYFUNCTION("""COMPUTED_VALUE"""),"distant")</f>
        <v>distant</v>
      </c>
      <c r="AC896" s="49"/>
      <c r="AD896" s="49" t="str">
        <f>IFERROR(__xludf.DUMMYFUNCTION("""COMPUTED_VALUE"""),"Mar")</f>
        <v>Mar</v>
      </c>
      <c r="AE896" s="49" t="str">
        <f>IFERROR(__xludf.DUMMYFUNCTION("""COMPUTED_VALUE"""),"inspiration")</f>
        <v>inspiration</v>
      </c>
      <c r="AF896" s="49" t="str">
        <f t="shared" si="4"/>
        <v>neither,</v>
      </c>
      <c r="AG896" s="49"/>
      <c r="AH896" s="1" t="s">
        <v>255</v>
      </c>
      <c r="AI896" s="1" t="s">
        <v>2610</v>
      </c>
      <c r="AJ896" s="6" t="str">
        <f>IFERROR(__xludf.DUMMYFUNCTION("""COMPUTED_VALUE"""),"editor")</f>
        <v>editor</v>
      </c>
      <c r="AK896" s="49"/>
      <c r="AL896" s="49"/>
      <c r="AM896" s="49"/>
      <c r="AN896" s="52" t="str">
        <f t="shared" si="5"/>
        <v>main,</v>
      </c>
    </row>
    <row r="897">
      <c r="A897" s="51"/>
      <c r="B897" s="50" t="s">
        <v>4177</v>
      </c>
      <c r="C897" s="50" t="s">
        <v>380</v>
      </c>
      <c r="D897" s="49" t="str">
        <f>IFERROR(__xludf.DUMMYFUNCTION("""COMPUTED_VALUE"""),"cry")</f>
        <v>cry</v>
      </c>
      <c r="E897" s="49"/>
      <c r="F897" s="49"/>
      <c r="G897" s="49"/>
      <c r="H897" s="54" t="str">
        <f t="shared" si="1"/>
        <v>disaster,</v>
      </c>
      <c r="I897" s="50"/>
      <c r="J897" s="50" t="s">
        <v>6747</v>
      </c>
      <c r="K897" s="50" t="s">
        <v>808</v>
      </c>
      <c r="L897" s="49" t="str">
        <f>IFERROR(__xludf.DUMMYFUNCTION("""COMPUTED_VALUE"""),"misery")</f>
        <v>misery</v>
      </c>
      <c r="M897" s="49"/>
      <c r="N897" s="49" t="str">
        <f>IFERROR(__xludf.DUMMYFUNCTION("""COMPUTED_VALUE"""),"bank")</f>
        <v>bank</v>
      </c>
      <c r="O897" s="49" t="str">
        <f>IFERROR(__xludf.DUMMYFUNCTION("""COMPUTED_VALUE"""),"nicholson")</f>
        <v>nicholson</v>
      </c>
      <c r="P897" s="49" t="str">
        <f t="shared" si="2"/>
        <v>thirty,</v>
      </c>
      <c r="Q897" s="49"/>
      <c r="R897" s="50" t="s">
        <v>1154</v>
      </c>
      <c r="S897" s="55" t="s">
        <v>3352</v>
      </c>
      <c r="T897" s="49" t="str">
        <f>IFERROR(__xludf.DUMMYFUNCTION("""COMPUTED_VALUE"""),"intact")</f>
        <v>intact</v>
      </c>
      <c r="U897" s="49"/>
      <c r="V897" s="49"/>
      <c r="W897" s="49" t="str">
        <f>IFERROR(__xludf.DUMMYFUNCTION("""COMPUTED_VALUE"""),"capacity")</f>
        <v>capacity</v>
      </c>
      <c r="X897" s="49" t="str">
        <f t="shared" si="3"/>
        <v>lame,</v>
      </c>
      <c r="Y897" s="49"/>
      <c r="Z897" s="1" t="s">
        <v>124</v>
      </c>
      <c r="AA897" s="1" t="s">
        <v>3626</v>
      </c>
      <c r="AB897" s="49" t="str">
        <f>IFERROR(__xludf.DUMMYFUNCTION("""COMPUTED_VALUE"""),"charismatic")</f>
        <v>charismatic</v>
      </c>
      <c r="AC897" s="49"/>
      <c r="AD897" s="49" t="str">
        <f>IFERROR(__xludf.DUMMYFUNCTION("""COMPUTED_VALUE"""),"bank")</f>
        <v>bank</v>
      </c>
      <c r="AE897" s="49" t="str">
        <f>IFERROR(__xludf.DUMMYFUNCTION("""COMPUTED_VALUE"""),"nicholson")</f>
        <v>nicholson</v>
      </c>
      <c r="AF897" s="49" t="str">
        <f t="shared" si="4"/>
        <v>throughout,</v>
      </c>
      <c r="AG897" s="49"/>
      <c r="AH897" s="1" t="s">
        <v>3888</v>
      </c>
      <c r="AI897" s="1" t="s">
        <v>6402</v>
      </c>
      <c r="AJ897" s="6" t="str">
        <f>IFERROR(__xludf.DUMMYFUNCTION("""COMPUTED_VALUE"""),"drew")</f>
        <v>drew</v>
      </c>
      <c r="AK897" s="49"/>
      <c r="AL897" s="49"/>
      <c r="AM897" s="49"/>
      <c r="AN897" s="52" t="str">
        <f t="shared" si="5"/>
        <v>except,</v>
      </c>
    </row>
    <row r="898">
      <c r="A898" s="51"/>
      <c r="B898" s="50" t="s">
        <v>4245</v>
      </c>
      <c r="C898" s="50" t="s">
        <v>1797</v>
      </c>
      <c r="D898" s="49" t="str">
        <f>IFERROR(__xludf.DUMMYFUNCTION("""COMPUTED_VALUE"""),"future")</f>
        <v>future</v>
      </c>
      <c r="E898" s="49"/>
      <c r="F898" s="49"/>
      <c r="G898" s="49"/>
      <c r="H898" s="54" t="str">
        <f t="shared" si="1"/>
        <v>flood,</v>
      </c>
      <c r="I898" s="50"/>
      <c r="J898" s="50" t="s">
        <v>4297</v>
      </c>
      <c r="K898" s="50" t="s">
        <v>2160</v>
      </c>
      <c r="L898" s="49" t="str">
        <f>IFERROR(__xludf.DUMMYFUNCTION("""COMPUTED_VALUE"""),"demonstrating")</f>
        <v>demonstrating</v>
      </c>
      <c r="M898" s="49"/>
      <c r="N898" s="49" t="str">
        <f>IFERROR(__xludf.DUMMYFUNCTION("""COMPUTED_VALUE"""),"eva")</f>
        <v>eva</v>
      </c>
      <c r="O898" s="49" t="str">
        <f>IFERROR(__xludf.DUMMYFUNCTION("""COMPUTED_VALUE"""),"brush")</f>
        <v>brush</v>
      </c>
      <c r="P898" s="49" t="str">
        <f t="shared" si="2"/>
        <v>flight,</v>
      </c>
      <c r="Q898" s="49"/>
      <c r="R898" s="50" t="s">
        <v>113</v>
      </c>
      <c r="S898" s="55" t="s">
        <v>2820</v>
      </c>
      <c r="T898" s="49" t="str">
        <f>IFERROR(__xludf.DUMMYFUNCTION("""COMPUTED_VALUE"""),"doc")</f>
        <v>doc</v>
      </c>
      <c r="U898" s="49"/>
      <c r="V898" s="49"/>
      <c r="W898" s="49" t="str">
        <f>IFERROR(__xludf.DUMMYFUNCTION("""COMPUTED_VALUE"""),"shooting")</f>
        <v>shooting</v>
      </c>
      <c r="X898" s="49" t="str">
        <f t="shared" si="3"/>
        <v>rather,</v>
      </c>
      <c r="Y898" s="49"/>
      <c r="Z898" s="1" t="s">
        <v>6583</v>
      </c>
      <c r="AA898" s="1" t="s">
        <v>3628</v>
      </c>
      <c r="AB898" s="49" t="str">
        <f>IFERROR(__xludf.DUMMYFUNCTION("""COMPUTED_VALUE"""),"replaced")</f>
        <v>replaced</v>
      </c>
      <c r="AC898" s="49"/>
      <c r="AD898" s="49" t="str">
        <f>IFERROR(__xludf.DUMMYFUNCTION("""COMPUTED_VALUE"""),"eva")</f>
        <v>eva</v>
      </c>
      <c r="AE898" s="49" t="str">
        <f>IFERROR(__xludf.DUMMYFUNCTION("""COMPUTED_VALUE"""),"brush")</f>
        <v>brush</v>
      </c>
      <c r="AF898" s="49" t="str">
        <f t="shared" si="4"/>
        <v>rocks,</v>
      </c>
      <c r="AG898" s="49"/>
      <c r="AH898" s="1" t="s">
        <v>1655</v>
      </c>
      <c r="AI898" s="1" t="s">
        <v>2250</v>
      </c>
      <c r="AJ898" s="6" t="str">
        <f>IFERROR(__xludf.DUMMYFUNCTION("""COMPUTED_VALUE"""),"wedding")</f>
        <v>wedding</v>
      </c>
      <c r="AK898" s="49"/>
      <c r="AL898" s="49"/>
      <c r="AM898" s="49"/>
      <c r="AN898" s="52" t="str">
        <f t="shared" si="5"/>
        <v>camp,</v>
      </c>
    </row>
    <row r="899">
      <c r="A899" s="51"/>
      <c r="B899" s="50" t="s">
        <v>1560</v>
      </c>
      <c r="C899" s="50" t="s">
        <v>394</v>
      </c>
      <c r="D899" s="49" t="str">
        <f>IFERROR(__xludf.DUMMYFUNCTION("""COMPUTED_VALUE"""),"max")</f>
        <v>max</v>
      </c>
      <c r="E899" s="49"/>
      <c r="F899" s="49"/>
      <c r="G899" s="49"/>
      <c r="H899" s="54" t="str">
        <f t="shared" si="1"/>
        <v>bore,</v>
      </c>
      <c r="I899" s="50"/>
      <c r="J899" s="50" t="s">
        <v>4517</v>
      </c>
      <c r="K899" s="50" t="s">
        <v>863</v>
      </c>
      <c r="L899" s="49" t="str">
        <f>IFERROR(__xludf.DUMMYFUNCTION("""COMPUTED_VALUE"""),"ecological")</f>
        <v>ecological</v>
      </c>
      <c r="M899" s="49"/>
      <c r="N899" s="49" t="str">
        <f>IFERROR(__xludf.DUMMYFUNCTION("""COMPUTED_VALUE"""),"ushered")</f>
        <v>ushered</v>
      </c>
      <c r="O899" s="49" t="str">
        <f>IFERROR(__xludf.DUMMYFUNCTION("""COMPUTED_VALUE"""),"juicy")</f>
        <v>juicy</v>
      </c>
      <c r="P899" s="49" t="str">
        <f t="shared" si="2"/>
        <v>psycho,</v>
      </c>
      <c r="Q899" s="49"/>
      <c r="R899" s="50" t="s">
        <v>6423</v>
      </c>
      <c r="S899" s="55" t="s">
        <v>2016</v>
      </c>
      <c r="T899" s="49" t="str">
        <f>IFERROR(__xludf.DUMMYFUNCTION("""COMPUTED_VALUE"""),"includes")</f>
        <v>includes</v>
      </c>
      <c r="U899" s="49"/>
      <c r="V899" s="49"/>
      <c r="W899" s="49" t="str">
        <f>IFERROR(__xludf.DUMMYFUNCTION("""COMPUTED_VALUE"""),"surf")</f>
        <v>surf</v>
      </c>
      <c r="X899" s="49" t="str">
        <f t="shared" si="3"/>
        <v>dealing,</v>
      </c>
      <c r="Y899" s="49"/>
      <c r="Z899" s="1" t="s">
        <v>1569</v>
      </c>
      <c r="AA899" s="1" t="s">
        <v>640</v>
      </c>
      <c r="AB899" s="49" t="str">
        <f>IFERROR(__xludf.DUMMYFUNCTION("""COMPUTED_VALUE"""),"energetic")</f>
        <v>energetic</v>
      </c>
      <c r="AC899" s="49"/>
      <c r="AD899" s="49" t="str">
        <f>IFERROR(__xludf.DUMMYFUNCTION("""COMPUTED_VALUE"""),"ushered")</f>
        <v>ushered</v>
      </c>
      <c r="AE899" s="49" t="str">
        <f>IFERROR(__xludf.DUMMYFUNCTION("""COMPUTED_VALUE"""),"juicy")</f>
        <v>juicy</v>
      </c>
      <c r="AF899" s="49" t="str">
        <f t="shared" si="4"/>
        <v>tries,</v>
      </c>
      <c r="AG899" s="49"/>
      <c r="AH899" s="1" t="s">
        <v>1263</v>
      </c>
      <c r="AI899" s="1" t="s">
        <v>1833</v>
      </c>
      <c r="AJ899" s="6" t="str">
        <f>IFERROR(__xludf.DUMMYFUNCTION("""COMPUTED_VALUE"""),"forget")</f>
        <v>forget</v>
      </c>
      <c r="AK899" s="49"/>
      <c r="AL899" s="49"/>
      <c r="AM899" s="49"/>
      <c r="AN899" s="52" t="str">
        <f t="shared" si="5"/>
        <v>jerry,</v>
      </c>
    </row>
    <row r="900">
      <c r="A900" s="51"/>
      <c r="B900" s="50" t="s">
        <v>3862</v>
      </c>
      <c r="C900" s="50" t="s">
        <v>1887</v>
      </c>
      <c r="D900" s="49" t="str">
        <f>IFERROR(__xludf.DUMMYFUNCTION("""COMPUTED_VALUE"""),"talent")</f>
        <v>talent</v>
      </c>
      <c r="E900" s="49"/>
      <c r="F900" s="49"/>
      <c r="G900" s="49"/>
      <c r="H900" s="54" t="str">
        <f t="shared" si="1"/>
        <v>present,</v>
      </c>
      <c r="I900" s="50"/>
      <c r="J900" s="50" t="s">
        <v>3595</v>
      </c>
      <c r="K900" s="50" t="s">
        <v>949</v>
      </c>
      <c r="L900" s="49" t="str">
        <f>IFERROR(__xludf.DUMMYFUNCTION("""COMPUTED_VALUE"""),"growth")</f>
        <v>growth</v>
      </c>
      <c r="M900" s="49"/>
      <c r="N900" s="49" t="str">
        <f>IFERROR(__xludf.DUMMYFUNCTION("""COMPUTED_VALUE"""),"manner")</f>
        <v>manner</v>
      </c>
      <c r="O900" s="49" t="str">
        <f>IFERROR(__xludf.DUMMYFUNCTION("""COMPUTED_VALUE"""),"axel")</f>
        <v>axel</v>
      </c>
      <c r="P900" s="49" t="str">
        <f t="shared" si="2"/>
        <v>suffer,</v>
      </c>
      <c r="Q900" s="49"/>
      <c r="R900" s="50" t="s">
        <v>5224</v>
      </c>
      <c r="S900" s="55" t="s">
        <v>800</v>
      </c>
      <c r="T900" s="49" t="str">
        <f>IFERROR(__xludf.DUMMYFUNCTION("""COMPUTED_VALUE"""),"captain")</f>
        <v>captain</v>
      </c>
      <c r="U900" s="49"/>
      <c r="V900" s="49"/>
      <c r="W900" s="49" t="str">
        <f>IFERROR(__xludf.DUMMYFUNCTION("""COMPUTED_VALUE"""),"develop")</f>
        <v>develop</v>
      </c>
      <c r="X900" s="49" t="str">
        <f t="shared" si="3"/>
        <v>prison,</v>
      </c>
      <c r="Y900" s="49"/>
      <c r="Z900" s="1" t="s">
        <v>6407</v>
      </c>
      <c r="AA900" s="1" t="s">
        <v>3633</v>
      </c>
      <c r="AB900" s="49" t="str">
        <f>IFERROR(__xludf.DUMMYFUNCTION("""COMPUTED_VALUE"""),"delight")</f>
        <v>delight</v>
      </c>
      <c r="AC900" s="49"/>
      <c r="AD900" s="49" t="str">
        <f>IFERROR(__xludf.DUMMYFUNCTION("""COMPUTED_VALUE"""),"manner")</f>
        <v>manner</v>
      </c>
      <c r="AE900" s="49" t="str">
        <f>IFERROR(__xludf.DUMMYFUNCTION("""COMPUTED_VALUE"""),"axel")</f>
        <v>axel</v>
      </c>
      <c r="AF900" s="49" t="str">
        <f t="shared" si="4"/>
        <v>punk,</v>
      </c>
      <c r="AG900" s="49"/>
      <c r="AH900" s="1" t="s">
        <v>2971</v>
      </c>
      <c r="AI900" s="1" t="s">
        <v>6405</v>
      </c>
      <c r="AJ900" s="6" t="str">
        <f>IFERROR(__xludf.DUMMYFUNCTION("""COMPUTED_VALUE"""),"copy")</f>
        <v>copy</v>
      </c>
      <c r="AK900" s="49"/>
      <c r="AL900" s="49"/>
      <c r="AM900" s="49"/>
      <c r="AN900" s="52" t="str">
        <f t="shared" si="5"/>
        <v>happens,</v>
      </c>
    </row>
    <row r="901">
      <c r="A901" s="51"/>
      <c r="B901" s="50" t="s">
        <v>2045</v>
      </c>
      <c r="C901" s="50" t="s">
        <v>1901</v>
      </c>
      <c r="D901" s="49" t="str">
        <f>IFERROR(__xludf.DUMMYFUNCTION("""COMPUTED_VALUE"""),"living")</f>
        <v>living</v>
      </c>
      <c r="E901" s="49"/>
      <c r="F901" s="49"/>
      <c r="G901" s="49"/>
      <c r="H901" s="54" t="str">
        <f t="shared" si="1"/>
        <v>today,</v>
      </c>
      <c r="I901" s="50"/>
      <c r="J901" s="50" t="s">
        <v>7288</v>
      </c>
      <c r="K901" s="50" t="s">
        <v>2194</v>
      </c>
      <c r="L901" s="49" t="str">
        <f>IFERROR(__xludf.DUMMYFUNCTION("""COMPUTED_VALUE"""),"insult")</f>
        <v>insult</v>
      </c>
      <c r="M901" s="49"/>
      <c r="N901" s="49" t="str">
        <f>IFERROR(__xludf.DUMMYFUNCTION("""COMPUTED_VALUE"""),"bothered")</f>
        <v>bothered</v>
      </c>
      <c r="O901" s="49" t="str">
        <f>IFERROR(__xludf.DUMMYFUNCTION("""COMPUTED_VALUE"""),"relies")</f>
        <v>relies</v>
      </c>
      <c r="P901" s="49" t="str">
        <f t="shared" si="2"/>
        <v>dial,</v>
      </c>
      <c r="Q901" s="49"/>
      <c r="R901" s="50" t="s">
        <v>6659</v>
      </c>
      <c r="S901" s="55" t="s">
        <v>2022</v>
      </c>
      <c r="T901" s="49" t="str">
        <f>IFERROR(__xludf.DUMMYFUNCTION("""COMPUTED_VALUE"""),"examines")</f>
        <v>examines</v>
      </c>
      <c r="U901" s="49"/>
      <c r="V901" s="49"/>
      <c r="W901" s="49" t="str">
        <f>IFERROR(__xludf.DUMMYFUNCTION("""COMPUTED_VALUE"""),"weaponry")</f>
        <v>weaponry</v>
      </c>
      <c r="X901" s="49" t="str">
        <f t="shared" si="3"/>
        <v>hated,</v>
      </c>
      <c r="Y901" s="49"/>
      <c r="Z901" s="1" t="s">
        <v>2479</v>
      </c>
      <c r="AA901" s="1" t="s">
        <v>3637</v>
      </c>
      <c r="AB901" s="49" t="str">
        <f>IFERROR(__xludf.DUMMYFUNCTION("""COMPUTED_VALUE"""),"grin")</f>
        <v>grin</v>
      </c>
      <c r="AC901" s="49"/>
      <c r="AD901" s="49" t="str">
        <f>IFERROR(__xludf.DUMMYFUNCTION("""COMPUTED_VALUE"""),"bothered")</f>
        <v>bothered</v>
      </c>
      <c r="AE901" s="49" t="str">
        <f>IFERROR(__xludf.DUMMYFUNCTION("""COMPUTED_VALUE"""),"relies")</f>
        <v>relies</v>
      </c>
      <c r="AF901" s="49" t="str">
        <f t="shared" si="4"/>
        <v>price,</v>
      </c>
      <c r="AG901" s="49"/>
      <c r="AH901" s="1" t="s">
        <v>7299</v>
      </c>
      <c r="AI901" s="1" t="s">
        <v>210</v>
      </c>
      <c r="AJ901" s="6" t="str">
        <f>IFERROR(__xludf.DUMMYFUNCTION("""COMPUTED_VALUE"""),"stick")</f>
        <v>stick</v>
      </c>
      <c r="AK901" s="49"/>
      <c r="AL901" s="49"/>
      <c r="AM901" s="49"/>
      <c r="AN901" s="52" t="str">
        <f t="shared" si="5"/>
        <v>include,</v>
      </c>
    </row>
    <row r="902">
      <c r="A902" s="51"/>
      <c r="B902" s="50" t="s">
        <v>660</v>
      </c>
      <c r="C902" s="50" t="s">
        <v>3118</v>
      </c>
      <c r="D902" s="49" t="str">
        <f>IFERROR(__xludf.DUMMYFUNCTION("""COMPUTED_VALUE"""),"lake")</f>
        <v>lake</v>
      </c>
      <c r="E902" s="49"/>
      <c r="F902" s="49"/>
      <c r="G902" s="49"/>
      <c r="H902" s="54" t="str">
        <f t="shared" si="1"/>
        <v>else,</v>
      </c>
      <c r="I902" s="50"/>
      <c r="J902" s="50" t="s">
        <v>1060</v>
      </c>
      <c r="K902" s="50" t="s">
        <v>957</v>
      </c>
      <c r="L902" s="49" t="str">
        <f>IFERROR(__xludf.DUMMYFUNCTION("""COMPUTED_VALUE"""),"timeless")</f>
        <v>timeless</v>
      </c>
      <c r="M902" s="49"/>
      <c r="N902" s="49" t="str">
        <f>IFERROR(__xludf.DUMMYFUNCTION("""COMPUTED_VALUE"""),"ex")</f>
        <v>ex</v>
      </c>
      <c r="O902" s="49" t="str">
        <f>IFERROR(__xludf.DUMMYFUNCTION("""COMPUTED_VALUE"""),"awareness")</f>
        <v>awareness</v>
      </c>
      <c r="P902" s="49" t="str">
        <f t="shared" si="2"/>
        <v>amounts,</v>
      </c>
      <c r="Q902" s="49"/>
      <c r="R902" s="50" t="s">
        <v>643</v>
      </c>
      <c r="S902" s="55" t="s">
        <v>448</v>
      </c>
      <c r="T902" s="49" t="str">
        <f>IFERROR(__xludf.DUMMYFUNCTION("""COMPUTED_VALUE"""),"creek")</f>
        <v>creek</v>
      </c>
      <c r="U902" s="49"/>
      <c r="V902" s="49"/>
      <c r="W902" s="49" t="str">
        <f>IFERROR(__xludf.DUMMYFUNCTION("""COMPUTED_VALUE"""),"dungeons")</f>
        <v>dungeons</v>
      </c>
      <c r="X902" s="49" t="str">
        <f t="shared" si="3"/>
        <v>faithful,</v>
      </c>
      <c r="Y902" s="49"/>
      <c r="Z902" s="1" t="s">
        <v>2064</v>
      </c>
      <c r="AA902" s="1" t="s">
        <v>2488</v>
      </c>
      <c r="AB902" s="49" t="str">
        <f>IFERROR(__xludf.DUMMYFUNCTION("""COMPUTED_VALUE"""),"darker")</f>
        <v>darker</v>
      </c>
      <c r="AC902" s="49"/>
      <c r="AD902" s="49" t="str">
        <f>IFERROR(__xludf.DUMMYFUNCTION("""COMPUTED_VALUE"""),"ex")</f>
        <v>ex</v>
      </c>
      <c r="AE902" s="49" t="str">
        <f>IFERROR(__xludf.DUMMYFUNCTION("""COMPUTED_VALUE"""),"awareness")</f>
        <v>awareness</v>
      </c>
      <c r="AF902" s="49" t="str">
        <f t="shared" si="4"/>
        <v>admission,</v>
      </c>
      <c r="AG902" s="49"/>
      <c r="AH902" s="1" t="s">
        <v>4710</v>
      </c>
      <c r="AI902" s="1" t="s">
        <v>1847</v>
      </c>
      <c r="AJ902" s="6" t="str">
        <f>IFERROR(__xludf.DUMMYFUNCTION("""COMPUTED_VALUE"""),"julia")</f>
        <v>julia</v>
      </c>
      <c r="AK902" s="49"/>
      <c r="AL902" s="49"/>
      <c r="AM902" s="49"/>
      <c r="AN902" s="52" t="str">
        <f t="shared" si="5"/>
        <v>project,</v>
      </c>
    </row>
    <row r="903">
      <c r="A903" s="51"/>
      <c r="B903" s="50" t="s">
        <v>6441</v>
      </c>
      <c r="C903" s="50" t="s">
        <v>474</v>
      </c>
      <c r="D903" s="49" t="str">
        <f>IFERROR(__xludf.DUMMYFUNCTION("""COMPUTED_VALUE"""),"afterwards")</f>
        <v>afterwards</v>
      </c>
      <c r="E903" s="49"/>
      <c r="F903" s="49"/>
      <c r="G903" s="49"/>
      <c r="H903" s="54" t="str">
        <f t="shared" si="1"/>
        <v>everyone,</v>
      </c>
      <c r="I903" s="50"/>
      <c r="J903" s="50" t="s">
        <v>3271</v>
      </c>
      <c r="K903" s="50" t="s">
        <v>2199</v>
      </c>
      <c r="L903" s="49" t="str">
        <f>IFERROR(__xludf.DUMMYFUNCTION("""COMPUTED_VALUE"""),"literary")</f>
        <v>literary</v>
      </c>
      <c r="M903" s="49"/>
      <c r="N903" s="49" t="str">
        <f>IFERROR(__xludf.DUMMYFUNCTION("""COMPUTED_VALUE"""),"topic")</f>
        <v>topic</v>
      </c>
      <c r="O903" s="49" t="str">
        <f>IFERROR(__xludf.DUMMYFUNCTION("""COMPUTED_VALUE"""),"mortal")</f>
        <v>mortal</v>
      </c>
      <c r="P903" s="49" t="str">
        <f t="shared" si="2"/>
        <v>loud,</v>
      </c>
      <c r="Q903" s="49"/>
      <c r="R903" s="50" t="s">
        <v>7300</v>
      </c>
      <c r="S903" s="55" t="s">
        <v>2029</v>
      </c>
      <c r="T903" s="49" t="str">
        <f>IFERROR(__xludf.DUMMYFUNCTION("""COMPUTED_VALUE"""),"provocative")</f>
        <v>provocative</v>
      </c>
      <c r="U903" s="49"/>
      <c r="V903" s="49"/>
      <c r="W903" s="49" t="str">
        <f>IFERROR(__xludf.DUMMYFUNCTION("""COMPUTED_VALUE"""),"onto")</f>
        <v>onto</v>
      </c>
      <c r="X903" s="49" t="str">
        <f t="shared" si="3"/>
        <v>dismiss,</v>
      </c>
      <c r="Y903" s="49"/>
      <c r="Z903" s="1" t="s">
        <v>653</v>
      </c>
      <c r="AA903" s="1" t="s">
        <v>733</v>
      </c>
      <c r="AB903" s="49" t="str">
        <f>IFERROR(__xludf.DUMMYFUNCTION("""COMPUTED_VALUE"""),"beings")</f>
        <v>beings</v>
      </c>
      <c r="AC903" s="49"/>
      <c r="AD903" s="49" t="str">
        <f>IFERROR(__xludf.DUMMYFUNCTION("""COMPUTED_VALUE"""),"topic")</f>
        <v>topic</v>
      </c>
      <c r="AE903" s="49" t="str">
        <f>IFERROR(__xludf.DUMMYFUNCTION("""COMPUTED_VALUE"""),"mortal")</f>
        <v>mortal</v>
      </c>
      <c r="AF903" s="49" t="str">
        <f t="shared" si="4"/>
        <v>without,</v>
      </c>
      <c r="AG903" s="49"/>
      <c r="AH903" s="1" t="s">
        <v>7301</v>
      </c>
      <c r="AI903" s="1" t="s">
        <v>342</v>
      </c>
      <c r="AJ903" s="6" t="str">
        <f>IFERROR(__xludf.DUMMYFUNCTION("""COMPUTED_VALUE"""),";")</f>
        <v>;</v>
      </c>
      <c r="AK903" s="49"/>
      <c r="AL903" s="49"/>
      <c r="AM903" s="49"/>
      <c r="AN903" s="52" t="str">
        <f t="shared" si="5"/>
        <v>currently,</v>
      </c>
    </row>
    <row r="904">
      <c r="A904" s="51"/>
      <c r="B904" s="50" t="s">
        <v>1975</v>
      </c>
      <c r="C904" s="50" t="s">
        <v>1910</v>
      </c>
      <c r="D904" s="49" t="str">
        <f>IFERROR(__xludf.DUMMYFUNCTION("""COMPUTED_VALUE"""),"searching")</f>
        <v>searching</v>
      </c>
      <c r="E904" s="49"/>
      <c r="F904" s="49"/>
      <c r="G904" s="49"/>
      <c r="H904" s="54" t="str">
        <f t="shared" si="1"/>
        <v>beyond,</v>
      </c>
      <c r="I904" s="50"/>
      <c r="J904" s="50" t="s">
        <v>1088</v>
      </c>
      <c r="K904" s="50" t="s">
        <v>2202</v>
      </c>
      <c r="L904" s="49" t="str">
        <f>IFERROR(__xludf.DUMMYFUNCTION("""COMPUTED_VALUE"""),"tunnels")</f>
        <v>tunnels</v>
      </c>
      <c r="M904" s="49"/>
      <c r="N904" s="49">
        <f>IFERROR(__xludf.DUMMYFUNCTION("""COMPUTED_VALUE"""),6.0)</f>
        <v>6</v>
      </c>
      <c r="O904" s="49" t="str">
        <f>IFERROR(__xludf.DUMMYFUNCTION("""COMPUTED_VALUE"""),"intent")</f>
        <v>intent</v>
      </c>
      <c r="P904" s="49" t="str">
        <f t="shared" si="2"/>
        <v>affair,</v>
      </c>
      <c r="Q904" s="49"/>
      <c r="R904" s="50" t="s">
        <v>7302</v>
      </c>
      <c r="S904" s="55" t="s">
        <v>814</v>
      </c>
      <c r="T904" s="49" t="str">
        <f>IFERROR(__xludf.DUMMYFUNCTION("""COMPUTED_VALUE"""),"holds")</f>
        <v>holds</v>
      </c>
      <c r="U904" s="49"/>
      <c r="V904" s="49"/>
      <c r="W904" s="49" t="str">
        <f>IFERROR(__xludf.DUMMYFUNCTION("""COMPUTED_VALUE"""),"definitions")</f>
        <v>definitions</v>
      </c>
      <c r="X904" s="49" t="str">
        <f t="shared" si="3"/>
        <v>matt,</v>
      </c>
      <c r="Y904" s="49"/>
      <c r="Z904" s="1" t="s">
        <v>50</v>
      </c>
      <c r="AA904" s="1" t="s">
        <v>3644</v>
      </c>
      <c r="AB904" s="49" t="str">
        <f>IFERROR(__xludf.DUMMYFUNCTION("""COMPUTED_VALUE"""),"concert")</f>
        <v>concert</v>
      </c>
      <c r="AC904" s="49"/>
      <c r="AD904" s="49">
        <f>IFERROR(__xludf.DUMMYFUNCTION("""COMPUTED_VALUE"""),6.0)</f>
        <v>6</v>
      </c>
      <c r="AE904" s="49" t="str">
        <f>IFERROR(__xludf.DUMMYFUNCTION("""COMPUTED_VALUE"""),"intent")</f>
        <v>intent</v>
      </c>
      <c r="AF904" s="49" t="str">
        <f t="shared" si="4"/>
        <v>filmmakers,</v>
      </c>
      <c r="AG904" s="49"/>
      <c r="AH904" s="1" t="s">
        <v>4128</v>
      </c>
      <c r="AI904" s="1" t="s">
        <v>3536</v>
      </c>
      <c r="AJ904" s="6" t="str">
        <f>IFERROR(__xludf.DUMMYFUNCTION("""COMPUTED_VALUE"""),"while")</f>
        <v>while</v>
      </c>
      <c r="AK904" s="49"/>
      <c r="AL904" s="49"/>
      <c r="AM904" s="49"/>
      <c r="AN904" s="52" t="str">
        <f t="shared" si="5"/>
        <v>sun,</v>
      </c>
    </row>
    <row r="905">
      <c r="A905" s="51"/>
      <c r="B905" s="50" t="s">
        <v>2260</v>
      </c>
      <c r="C905" s="50" t="s">
        <v>2667</v>
      </c>
      <c r="D905" s="49" t="str">
        <f>IFERROR(__xludf.DUMMYFUNCTION("""COMPUTED_VALUE"""),"traditional")</f>
        <v>traditional</v>
      </c>
      <c r="E905" s="49"/>
      <c r="F905" s="49"/>
      <c r="G905" s="49"/>
      <c r="H905" s="54" t="str">
        <f t="shared" si="1"/>
        <v>hurt,</v>
      </c>
      <c r="I905" s="50"/>
      <c r="J905" s="50" t="s">
        <v>6619</v>
      </c>
      <c r="K905" s="50" t="s">
        <v>2164</v>
      </c>
      <c r="L905" s="49" t="str">
        <f>IFERROR(__xludf.DUMMYFUNCTION("""COMPUTED_VALUE"""),"masterpiece")</f>
        <v>masterpiece</v>
      </c>
      <c r="M905" s="49"/>
      <c r="N905" s="49" t="str">
        <f>IFERROR(__xludf.DUMMYFUNCTION("""COMPUTED_VALUE"""),"turkey")</f>
        <v>turkey</v>
      </c>
      <c r="O905" s="49" t="str">
        <f>IFERROR(__xludf.DUMMYFUNCTION("""COMPUTED_VALUE"""),"creeping")</f>
        <v>creeping</v>
      </c>
      <c r="P905" s="49" t="str">
        <f t="shared" si="2"/>
        <v>ground,</v>
      </c>
      <c r="Q905" s="49"/>
      <c r="R905" s="50" t="s">
        <v>2320</v>
      </c>
      <c r="S905" s="55" t="s">
        <v>3394</v>
      </c>
      <c r="T905" s="49" t="str">
        <f>IFERROR(__xludf.DUMMYFUNCTION("""COMPUTED_VALUE"""),"sly")</f>
        <v>sly</v>
      </c>
      <c r="U905" s="49"/>
      <c r="V905" s="49"/>
      <c r="W905" s="49" t="str">
        <f>IFERROR(__xludf.DUMMYFUNCTION("""COMPUTED_VALUE"""),"thud")</f>
        <v>thud</v>
      </c>
      <c r="X905" s="49" t="str">
        <f t="shared" si="3"/>
        <v>sisters,</v>
      </c>
      <c r="Y905" s="49"/>
      <c r="Z905" s="1" t="s">
        <v>1325</v>
      </c>
      <c r="AA905" s="1" t="s">
        <v>2521</v>
      </c>
      <c r="AB905" s="49" t="str">
        <f>IFERROR(__xludf.DUMMYFUNCTION("""COMPUTED_VALUE"""),"committed")</f>
        <v>committed</v>
      </c>
      <c r="AC905" s="49"/>
      <c r="AD905" s="49" t="str">
        <f>IFERROR(__xludf.DUMMYFUNCTION("""COMPUTED_VALUE"""),"turkey")</f>
        <v>turkey</v>
      </c>
      <c r="AE905" s="49" t="str">
        <f>IFERROR(__xludf.DUMMYFUNCTION("""COMPUTED_VALUE"""),"creeping")</f>
        <v>creeping</v>
      </c>
      <c r="AF905" s="49" t="str">
        <f t="shared" si="4"/>
        <v>book,</v>
      </c>
      <c r="AG905" s="49"/>
      <c r="AH905" s="1" t="s">
        <v>3029</v>
      </c>
      <c r="AI905" s="1" t="s">
        <v>5120</v>
      </c>
      <c r="AJ905" s="6" t="str">
        <f>IFERROR(__xludf.DUMMYFUNCTION("""COMPUTED_VALUE"""),"look")</f>
        <v>look</v>
      </c>
      <c r="AK905" s="49"/>
      <c r="AL905" s="49"/>
      <c r="AM905" s="49"/>
      <c r="AN905" s="52" t="str">
        <f t="shared" si="5"/>
        <v>job,</v>
      </c>
    </row>
    <row r="906">
      <c r="A906" s="51"/>
      <c r="B906" s="50" t="s">
        <v>2317</v>
      </c>
      <c r="C906" s="50" t="s">
        <v>1924</v>
      </c>
      <c r="D906" s="49" t="str">
        <f>IFERROR(__xludf.DUMMYFUNCTION("""COMPUTED_VALUE"""),"stories")</f>
        <v>stories</v>
      </c>
      <c r="E906" s="49"/>
      <c r="F906" s="49"/>
      <c r="G906" s="49"/>
      <c r="H906" s="54" t="str">
        <f t="shared" si="1"/>
        <v>inspired,</v>
      </c>
      <c r="I906" s="50"/>
      <c r="J906" s="50" t="s">
        <v>433</v>
      </c>
      <c r="K906" s="50" t="s">
        <v>3652</v>
      </c>
      <c r="L906" s="49" t="str">
        <f>IFERROR(__xludf.DUMMYFUNCTION("""COMPUTED_VALUE"""),"mildly")</f>
        <v>mildly</v>
      </c>
      <c r="M906" s="49"/>
      <c r="N906" s="49" t="str">
        <f>IFERROR(__xludf.DUMMYFUNCTION("""COMPUTED_VALUE"""),"ties")</f>
        <v>ties</v>
      </c>
      <c r="O906" s="49" t="str">
        <f>IFERROR(__xludf.DUMMYFUNCTION("""COMPUTED_VALUE"""),"economical")</f>
        <v>economical</v>
      </c>
      <c r="P906" s="49" t="str">
        <f t="shared" si="2"/>
        <v>relentless,</v>
      </c>
      <c r="Q906" s="49"/>
      <c r="R906" s="50" t="s">
        <v>2306</v>
      </c>
      <c r="S906" s="55" t="s">
        <v>456</v>
      </c>
      <c r="T906" s="49" t="str">
        <f>IFERROR(__xludf.DUMMYFUNCTION("""COMPUTED_VALUE"""),"driving")</f>
        <v>driving</v>
      </c>
      <c r="U906" s="49"/>
      <c r="V906" s="49"/>
      <c r="W906" s="49" t="str">
        <f>IFERROR(__xludf.DUMMYFUNCTION("""COMPUTED_VALUE"""),"purge")</f>
        <v>purge</v>
      </c>
      <c r="X906" s="49" t="str">
        <f t="shared" si="3"/>
        <v>spanning,</v>
      </c>
      <c r="Y906" s="49"/>
      <c r="Z906" s="1" t="s">
        <v>4136</v>
      </c>
      <c r="AA906" s="1" t="s">
        <v>3649</v>
      </c>
      <c r="AB906" s="49" t="str">
        <f>IFERROR(__xludf.DUMMYFUNCTION("""COMPUTED_VALUE"""),"aged")</f>
        <v>aged</v>
      </c>
      <c r="AC906" s="49"/>
      <c r="AD906" s="49" t="str">
        <f>IFERROR(__xludf.DUMMYFUNCTION("""COMPUTED_VALUE"""),"ties")</f>
        <v>ties</v>
      </c>
      <c r="AE906" s="49" t="str">
        <f>IFERROR(__xludf.DUMMYFUNCTION("""COMPUTED_VALUE"""),"economical")</f>
        <v>economical</v>
      </c>
      <c r="AF906" s="49" t="str">
        <f t="shared" si="4"/>
        <v>paced,</v>
      </c>
      <c r="AG906" s="49"/>
      <c r="AH906" s="1" t="s">
        <v>6379</v>
      </c>
      <c r="AI906" s="1" t="s">
        <v>3066</v>
      </c>
      <c r="AJ906" s="6" t="str">
        <f>IFERROR(__xludf.DUMMYFUNCTION("""COMPUTED_VALUE"""),"final")</f>
        <v>final</v>
      </c>
      <c r="AK906" s="49"/>
      <c r="AL906" s="49"/>
      <c r="AM906" s="49"/>
      <c r="AN906" s="52" t="str">
        <f t="shared" si="5"/>
        <v>chicago,</v>
      </c>
    </row>
    <row r="907">
      <c r="A907" s="51"/>
      <c r="B907" s="50" t="s">
        <v>6923</v>
      </c>
      <c r="C907" s="50" t="s">
        <v>3130</v>
      </c>
      <c r="D907" s="49" t="str">
        <f>IFERROR(__xludf.DUMMYFUNCTION("""COMPUTED_VALUE"""),"surface")</f>
        <v>surface</v>
      </c>
      <c r="E907" s="49"/>
      <c r="F907" s="49"/>
      <c r="G907" s="49"/>
      <c r="H907" s="54" t="str">
        <f t="shared" si="1"/>
        <v>controlled,</v>
      </c>
      <c r="I907" s="50"/>
      <c r="J907" s="50" t="s">
        <v>4580</v>
      </c>
      <c r="K907" s="50" t="s">
        <v>3136</v>
      </c>
      <c r="L907" s="49" t="str">
        <f>IFERROR(__xludf.DUMMYFUNCTION("""COMPUTED_VALUE"""),"creates")</f>
        <v>creates</v>
      </c>
      <c r="M907" s="49"/>
      <c r="N907" s="49" t="str">
        <f>IFERROR(__xludf.DUMMYFUNCTION("""COMPUTED_VALUE"""),"fi")</f>
        <v>fi</v>
      </c>
      <c r="O907" s="49" t="str">
        <f>IFERROR(__xludf.DUMMYFUNCTION("""COMPUTED_VALUE"""),"seated")</f>
        <v>seated</v>
      </c>
      <c r="P907" s="49" t="str">
        <f t="shared" si="2"/>
        <v>jon,</v>
      </c>
      <c r="Q907" s="49"/>
      <c r="R907" s="50" t="s">
        <v>711</v>
      </c>
      <c r="S907" s="55" t="s">
        <v>5440</v>
      </c>
      <c r="T907" s="49" t="str">
        <f>IFERROR(__xludf.DUMMYFUNCTION("""COMPUTED_VALUE"""),"troubled")</f>
        <v>troubled</v>
      </c>
      <c r="U907" s="49"/>
      <c r="V907" s="49"/>
      <c r="W907" s="49" t="str">
        <f>IFERROR(__xludf.DUMMYFUNCTION("""COMPUTED_VALUE"""),"flower")</f>
        <v>flower</v>
      </c>
      <c r="X907" s="49" t="str">
        <f t="shared" si="3"/>
        <v>family,</v>
      </c>
      <c r="Y907" s="49"/>
      <c r="Z907" s="1" t="s">
        <v>5017</v>
      </c>
      <c r="AA907" s="1" t="s">
        <v>2493</v>
      </c>
      <c r="AB907" s="49" t="str">
        <f>IFERROR(__xludf.DUMMYFUNCTION("""COMPUTED_VALUE"""),"spotlight")</f>
        <v>spotlight</v>
      </c>
      <c r="AC907" s="49"/>
      <c r="AD907" s="49" t="str">
        <f>IFERROR(__xludf.DUMMYFUNCTION("""COMPUTED_VALUE"""),"fi")</f>
        <v>fi</v>
      </c>
      <c r="AE907" s="49" t="str">
        <f>IFERROR(__xludf.DUMMYFUNCTION("""COMPUTED_VALUE"""),"seated")</f>
        <v>seated</v>
      </c>
      <c r="AF907" s="49" t="str">
        <f t="shared" si="4"/>
        <v>remains,</v>
      </c>
      <c r="AG907" s="49"/>
      <c r="AH907" s="1" t="s">
        <v>5135</v>
      </c>
      <c r="AI907" s="1" t="s">
        <v>5087</v>
      </c>
      <c r="AJ907" s="6" t="str">
        <f>IFERROR(__xludf.DUMMYFUNCTION("""COMPUTED_VALUE"""),"week")</f>
        <v>week</v>
      </c>
      <c r="AK907" s="49"/>
      <c r="AL907" s="49"/>
      <c r="AM907" s="49"/>
      <c r="AN907" s="52" t="str">
        <f t="shared" si="5"/>
        <v>singer,</v>
      </c>
    </row>
    <row r="908">
      <c r="A908" s="51"/>
      <c r="B908" s="50" t="s">
        <v>4012</v>
      </c>
      <c r="C908" s="50" t="s">
        <v>1749</v>
      </c>
      <c r="D908" s="49" t="str">
        <f>IFERROR(__xludf.DUMMYFUNCTION("""COMPUTED_VALUE"""),"mouth")</f>
        <v>mouth</v>
      </c>
      <c r="E908" s="49"/>
      <c r="F908" s="49"/>
      <c r="G908" s="49"/>
      <c r="H908" s="54" t="str">
        <f t="shared" si="1"/>
        <v>stands,</v>
      </c>
      <c r="I908" s="50"/>
      <c r="J908" s="50" t="s">
        <v>2524</v>
      </c>
      <c r="K908" s="50" t="s">
        <v>3656</v>
      </c>
      <c r="L908" s="49" t="str">
        <f>IFERROR(__xludf.DUMMYFUNCTION("""COMPUTED_VALUE"""),"champion")</f>
        <v>champion</v>
      </c>
      <c r="M908" s="49"/>
      <c r="N908" s="49" t="str">
        <f>IFERROR(__xludf.DUMMYFUNCTION("""COMPUTED_VALUE"""),"fulfilling")</f>
        <v>fulfilling</v>
      </c>
      <c r="O908" s="49" t="str">
        <f>IFERROR(__xludf.DUMMYFUNCTION("""COMPUTED_VALUE"""),"distinctly")</f>
        <v>distinctly</v>
      </c>
      <c r="P908" s="49" t="str">
        <f t="shared" si="2"/>
        <v>unlike,</v>
      </c>
      <c r="Q908" s="49"/>
      <c r="R908" s="50" t="s">
        <v>5323</v>
      </c>
      <c r="S908" s="55" t="s">
        <v>2034</v>
      </c>
      <c r="T908" s="49" t="str">
        <f>IFERROR(__xludf.DUMMYFUNCTION("""COMPUTED_VALUE"""),"grounded")</f>
        <v>grounded</v>
      </c>
      <c r="U908" s="49"/>
      <c r="V908" s="49"/>
      <c r="W908" s="49" t="str">
        <f>IFERROR(__xludf.DUMMYFUNCTION("""COMPUTED_VALUE"""),"bunch")</f>
        <v>bunch</v>
      </c>
      <c r="X908" s="49" t="str">
        <f t="shared" si="3"/>
        <v>scare,</v>
      </c>
      <c r="Y908" s="49"/>
      <c r="Z908" s="1" t="s">
        <v>1971</v>
      </c>
      <c r="AA908" s="1" t="s">
        <v>3655</v>
      </c>
      <c r="AB908" s="49" t="str">
        <f>IFERROR(__xludf.DUMMYFUNCTION("""COMPUTED_VALUE"""),"significant")</f>
        <v>significant</v>
      </c>
      <c r="AC908" s="49"/>
      <c r="AD908" s="49" t="str">
        <f>IFERROR(__xludf.DUMMYFUNCTION("""COMPUTED_VALUE"""),"fulfilling")</f>
        <v>fulfilling</v>
      </c>
      <c r="AE908" s="49" t="str">
        <f>IFERROR(__xludf.DUMMYFUNCTION("""COMPUTED_VALUE"""),"distinctly")</f>
        <v>distinctly</v>
      </c>
      <c r="AF908" s="49" t="str">
        <f t="shared" si="4"/>
        <v>dramatic,</v>
      </c>
      <c r="AG908" s="49"/>
      <c r="AH908" s="1" t="s">
        <v>6166</v>
      </c>
      <c r="AI908" s="1" t="s">
        <v>2630</v>
      </c>
      <c r="AJ908" s="6" t="str">
        <f>IFERROR(__xludf.DUMMYFUNCTION("""COMPUTED_VALUE"""),"average")</f>
        <v>average</v>
      </c>
      <c r="AK908" s="49"/>
      <c r="AL908" s="49"/>
      <c r="AM908" s="49"/>
      <c r="AN908" s="52" t="str">
        <f t="shared" si="5"/>
        <v>editor,</v>
      </c>
    </row>
    <row r="909">
      <c r="A909" s="51"/>
      <c r="B909" s="50" t="s">
        <v>133</v>
      </c>
      <c r="C909" s="50" t="s">
        <v>2833</v>
      </c>
      <c r="D909" s="49" t="str">
        <f>IFERROR(__xludf.DUMMYFUNCTION("""COMPUTED_VALUE"""),"taste")</f>
        <v>taste</v>
      </c>
      <c r="E909" s="49"/>
      <c r="F909" s="49"/>
      <c r="G909" s="49"/>
      <c r="H909" s="54" t="str">
        <f t="shared" si="1"/>
        <v>touching,</v>
      </c>
      <c r="I909" s="50"/>
      <c r="J909" s="50" t="s">
        <v>3304</v>
      </c>
      <c r="K909" s="50" t="s">
        <v>3657</v>
      </c>
      <c r="L909" s="49" t="str">
        <f>IFERROR(__xludf.DUMMYFUNCTION("""COMPUTED_VALUE"""),"safe")</f>
        <v>safe</v>
      </c>
      <c r="M909" s="49"/>
      <c r="N909" s="49" t="str">
        <f>IFERROR(__xludf.DUMMYFUNCTION("""COMPUTED_VALUE"""),"heck")</f>
        <v>heck</v>
      </c>
      <c r="O909" s="49" t="str">
        <f>IFERROR(__xludf.DUMMYFUNCTION("""COMPUTED_VALUE"""),"bursts")</f>
        <v>bursts</v>
      </c>
      <c r="P909" s="49" t="str">
        <f t="shared" si="2"/>
        <v>holly,</v>
      </c>
      <c r="Q909" s="49"/>
      <c r="R909" s="50" t="s">
        <v>347</v>
      </c>
      <c r="S909" s="55" t="s">
        <v>178</v>
      </c>
      <c r="T909" s="49" t="str">
        <f>IFERROR(__xludf.DUMMYFUNCTION("""COMPUTED_VALUE"""),"anticipated")</f>
        <v>anticipated</v>
      </c>
      <c r="U909" s="49"/>
      <c r="V909" s="49"/>
      <c r="W909" s="49" t="str">
        <f>IFERROR(__xludf.DUMMYFUNCTION("""COMPUTED_VALUE"""),"marvelous")</f>
        <v>marvelous</v>
      </c>
      <c r="X909" s="49" t="str">
        <f t="shared" si="3"/>
        <v>hollow,</v>
      </c>
      <c r="Y909" s="49"/>
      <c r="Z909" s="1" t="s">
        <v>4667</v>
      </c>
      <c r="AA909" s="1" t="s">
        <v>259</v>
      </c>
      <c r="AB909" s="49" t="str">
        <f>IFERROR(__xludf.DUMMYFUNCTION("""COMPUTED_VALUE"""),"rely")</f>
        <v>rely</v>
      </c>
      <c r="AC909" s="49"/>
      <c r="AD909" s="49" t="str">
        <f>IFERROR(__xludf.DUMMYFUNCTION("""COMPUTED_VALUE"""),"heck")</f>
        <v>heck</v>
      </c>
      <c r="AE909" s="49" t="str">
        <f>IFERROR(__xludf.DUMMYFUNCTION("""COMPUTED_VALUE"""),"bursts")</f>
        <v>bursts</v>
      </c>
      <c r="AF909" s="49" t="str">
        <f t="shared" si="4"/>
        <v>david,</v>
      </c>
      <c r="AG909" s="49"/>
      <c r="AH909" s="1" t="s">
        <v>6614</v>
      </c>
      <c r="AI909" s="1" t="s">
        <v>2634</v>
      </c>
      <c r="AJ909" s="6" t="str">
        <f>IFERROR(__xludf.DUMMYFUNCTION("""COMPUTED_VALUE"""),"myself")</f>
        <v>myself</v>
      </c>
      <c r="AK909" s="49"/>
      <c r="AL909" s="49"/>
      <c r="AM909" s="49"/>
      <c r="AN909" s="52" t="str">
        <f t="shared" si="5"/>
        <v>drew,</v>
      </c>
    </row>
    <row r="910">
      <c r="A910" s="51"/>
      <c r="B910" s="50" t="s">
        <v>6939</v>
      </c>
      <c r="C910" s="50" t="s">
        <v>2672</v>
      </c>
      <c r="D910" s="49" t="str">
        <f>IFERROR(__xludf.DUMMYFUNCTION("""COMPUTED_VALUE"""),"might")</f>
        <v>might</v>
      </c>
      <c r="E910" s="49"/>
      <c r="F910" s="49"/>
      <c r="G910" s="49"/>
      <c r="H910" s="54" t="str">
        <f t="shared" si="1"/>
        <v>gross,</v>
      </c>
      <c r="I910" s="50"/>
      <c r="J910" s="50" t="s">
        <v>1235</v>
      </c>
      <c r="K910" s="50" t="s">
        <v>2173</v>
      </c>
      <c r="L910" s="49" t="str">
        <f>IFERROR(__xludf.DUMMYFUNCTION("""COMPUTED_VALUE"""),"equivalent")</f>
        <v>equivalent</v>
      </c>
      <c r="M910" s="49"/>
      <c r="N910" s="49" t="str">
        <f>IFERROR(__xludf.DUMMYFUNCTION("""COMPUTED_VALUE"""),"honestly")</f>
        <v>honestly</v>
      </c>
      <c r="O910" s="49" t="str">
        <f>IFERROR(__xludf.DUMMYFUNCTION("""COMPUTED_VALUE"""),"establishing")</f>
        <v>establishing</v>
      </c>
      <c r="P910" s="49" t="str">
        <f t="shared" si="2"/>
        <v>spark,</v>
      </c>
      <c r="Q910" s="49"/>
      <c r="R910" s="50" t="s">
        <v>5283</v>
      </c>
      <c r="S910" s="55" t="s">
        <v>6409</v>
      </c>
      <c r="T910" s="49" t="str">
        <f>IFERROR(__xludf.DUMMYFUNCTION("""COMPUTED_VALUE"""),"inconsistent")</f>
        <v>inconsistent</v>
      </c>
      <c r="U910" s="49"/>
      <c r="V910" s="49"/>
      <c r="W910" s="49" t="str">
        <f>IFERROR(__xludf.DUMMYFUNCTION("""COMPUTED_VALUE"""),"combined")</f>
        <v>combined</v>
      </c>
      <c r="X910" s="49" t="str">
        <f t="shared" si="3"/>
        <v>prospect,</v>
      </c>
      <c r="Y910" s="49"/>
      <c r="Z910" s="1" t="s">
        <v>2296</v>
      </c>
      <c r="AA910" s="1" t="s">
        <v>561</v>
      </c>
      <c r="AB910" s="49" t="str">
        <f>IFERROR(__xludf.DUMMYFUNCTION("""COMPUTED_VALUE"""),"conflict")</f>
        <v>conflict</v>
      </c>
      <c r="AC910" s="49"/>
      <c r="AD910" s="49" t="str">
        <f>IFERROR(__xludf.DUMMYFUNCTION("""COMPUTED_VALUE"""),"honestly")</f>
        <v>honestly</v>
      </c>
      <c r="AE910" s="49" t="str">
        <f>IFERROR(__xludf.DUMMYFUNCTION("""COMPUTED_VALUE"""),"establishing")</f>
        <v>establishing</v>
      </c>
      <c r="AF910" s="49" t="str">
        <f t="shared" si="4"/>
        <v>giant,</v>
      </c>
      <c r="AG910" s="49"/>
      <c r="AH910" s="1" t="s">
        <v>1199</v>
      </c>
      <c r="AI910" s="1" t="s">
        <v>6407</v>
      </c>
      <c r="AJ910" s="6" t="str">
        <f>IFERROR(__xludf.DUMMYFUNCTION("""COMPUTED_VALUE"""),"likely")</f>
        <v>likely</v>
      </c>
      <c r="AK910" s="49"/>
      <c r="AL910" s="49"/>
      <c r="AM910" s="49"/>
      <c r="AN910" s="52" t="str">
        <f t="shared" si="5"/>
        <v>wedding,</v>
      </c>
    </row>
    <row r="911">
      <c r="A911" s="51"/>
      <c r="B911" s="50" t="s">
        <v>3000</v>
      </c>
      <c r="C911" s="50" t="s">
        <v>489</v>
      </c>
      <c r="D911" s="49" t="str">
        <f>IFERROR(__xludf.DUMMYFUNCTION("""COMPUTED_VALUE"""),"machine")</f>
        <v>machine</v>
      </c>
      <c r="E911" s="49"/>
      <c r="F911" s="49"/>
      <c r="G911" s="49"/>
      <c r="H911" s="54" t="str">
        <f t="shared" si="1"/>
        <v>somebody,</v>
      </c>
      <c r="I911" s="50"/>
      <c r="J911" s="50" t="s">
        <v>249</v>
      </c>
      <c r="K911" s="50" t="s">
        <v>3663</v>
      </c>
      <c r="L911" s="49" t="str">
        <f>IFERROR(__xludf.DUMMYFUNCTION("""COMPUTED_VALUE"""),"toilet")</f>
        <v>toilet</v>
      </c>
      <c r="M911" s="49"/>
      <c r="N911" s="49" t="str">
        <f>IFERROR(__xludf.DUMMYFUNCTION("""COMPUTED_VALUE"""),"loving")</f>
        <v>loving</v>
      </c>
      <c r="O911" s="49" t="str">
        <f>IFERROR(__xludf.DUMMYFUNCTION("""COMPUTED_VALUE"""),"hospital")</f>
        <v>hospital</v>
      </c>
      <c r="P911" s="49" t="str">
        <f t="shared" si="2"/>
        <v>personal,</v>
      </c>
      <c r="Q911" s="49"/>
      <c r="R911" s="50" t="s">
        <v>4954</v>
      </c>
      <c r="S911" s="55" t="s">
        <v>3409</v>
      </c>
      <c r="T911" s="49" t="str">
        <f>IFERROR(__xludf.DUMMYFUNCTION("""COMPUTED_VALUE"""),"intense")</f>
        <v>intense</v>
      </c>
      <c r="U911" s="49"/>
      <c r="V911" s="49"/>
      <c r="W911" s="49" t="str">
        <f>IFERROR(__xludf.DUMMYFUNCTION("""COMPUTED_VALUE"""),"institution")</f>
        <v>institution</v>
      </c>
      <c r="X911" s="49" t="str">
        <f t="shared" si="3"/>
        <v>missing,</v>
      </c>
      <c r="Y911" s="49"/>
      <c r="Z911" s="1" t="s">
        <v>6677</v>
      </c>
      <c r="AA911" s="1" t="s">
        <v>2537</v>
      </c>
      <c r="AB911" s="49" t="str">
        <f>IFERROR(__xludf.DUMMYFUNCTION("""COMPUTED_VALUE"""),"pat")</f>
        <v>pat</v>
      </c>
      <c r="AC911" s="49"/>
      <c r="AD911" s="49" t="str">
        <f>IFERROR(__xludf.DUMMYFUNCTION("""COMPUTED_VALUE"""),"loving")</f>
        <v>loving</v>
      </c>
      <c r="AE911" s="49" t="str">
        <f>IFERROR(__xludf.DUMMYFUNCTION("""COMPUTED_VALUE"""),"hospital")</f>
        <v>hospital</v>
      </c>
      <c r="AF911" s="49" t="str">
        <f t="shared" si="4"/>
        <v>cost,</v>
      </c>
      <c r="AG911" s="49"/>
      <c r="AH911" s="1" t="s">
        <v>2762</v>
      </c>
      <c r="AI911" s="1" t="s">
        <v>1157</v>
      </c>
      <c r="AJ911" s="6" t="str">
        <f>IFERROR(__xludf.DUMMYFUNCTION("""COMPUTED_VALUE"""),"sitting")</f>
        <v>sitting</v>
      </c>
      <c r="AK911" s="49"/>
      <c r="AL911" s="49"/>
      <c r="AM911" s="49"/>
      <c r="AN911" s="52" t="str">
        <f t="shared" si="5"/>
        <v>forget,</v>
      </c>
    </row>
    <row r="912">
      <c r="A912" s="51"/>
      <c r="B912" s="50" t="s">
        <v>6858</v>
      </c>
      <c r="C912" s="50" t="s">
        <v>3146</v>
      </c>
      <c r="D912" s="49" t="str">
        <f>IFERROR(__xludf.DUMMYFUNCTION("""COMPUTED_VALUE"""),"familiar")</f>
        <v>familiar</v>
      </c>
      <c r="E912" s="49"/>
      <c r="F912" s="49"/>
      <c r="G912" s="49"/>
      <c r="H912" s="54" t="str">
        <f t="shared" si="1"/>
        <v>rebel,</v>
      </c>
      <c r="I912" s="50"/>
      <c r="J912" s="50" t="s">
        <v>2471</v>
      </c>
      <c r="K912" s="50" t="s">
        <v>3142</v>
      </c>
      <c r="L912" s="49" t="str">
        <f>IFERROR(__xludf.DUMMYFUNCTION("""COMPUTED_VALUE"""),"waldo")</f>
        <v>waldo</v>
      </c>
      <c r="M912" s="49"/>
      <c r="N912" s="49" t="str">
        <f>IFERROR(__xludf.DUMMYFUNCTION("""COMPUTED_VALUE"""),"hu")</f>
        <v>hu</v>
      </c>
      <c r="O912" s="49" t="str">
        <f>IFERROR(__xludf.DUMMYFUNCTION("""COMPUTED_VALUE"""),"unbelievable")</f>
        <v>unbelievable</v>
      </c>
      <c r="P912" s="49" t="str">
        <f t="shared" si="2"/>
        <v>murphy,</v>
      </c>
      <c r="Q912" s="49"/>
      <c r="R912" s="50" t="s">
        <v>1003</v>
      </c>
      <c r="S912" s="55" t="s">
        <v>437</v>
      </c>
      <c r="T912" s="49" t="str">
        <f>IFERROR(__xludf.DUMMYFUNCTION("""COMPUTED_VALUE"""),"resume")</f>
        <v>resume</v>
      </c>
      <c r="U912" s="49"/>
      <c r="V912" s="49"/>
      <c r="W912" s="49" t="str">
        <f>IFERROR(__xludf.DUMMYFUNCTION("""COMPUTED_VALUE"""),"proposes")</f>
        <v>proposes</v>
      </c>
      <c r="X912" s="49" t="str">
        <f t="shared" si="3"/>
        <v>hold,</v>
      </c>
      <c r="Y912" s="49"/>
      <c r="Z912" s="1" t="s">
        <v>5152</v>
      </c>
      <c r="AA912" s="1" t="s">
        <v>2538</v>
      </c>
      <c r="AB912" s="49" t="str">
        <f>IFERROR(__xludf.DUMMYFUNCTION("""COMPUTED_VALUE"""),"substances")</f>
        <v>substances</v>
      </c>
      <c r="AC912" s="49"/>
      <c r="AD912" s="49" t="str">
        <f>IFERROR(__xludf.DUMMYFUNCTION("""COMPUTED_VALUE"""),"hu")</f>
        <v>hu</v>
      </c>
      <c r="AE912" s="49" t="str">
        <f>IFERROR(__xludf.DUMMYFUNCTION("""COMPUTED_VALUE"""),"unbelievable")</f>
        <v>unbelievable</v>
      </c>
      <c r="AF912" s="49" t="str">
        <f t="shared" si="4"/>
        <v>intended,</v>
      </c>
      <c r="AG912" s="49"/>
      <c r="AH912" s="1" t="s">
        <v>4543</v>
      </c>
      <c r="AI912" s="1" t="s">
        <v>2638</v>
      </c>
      <c r="AJ912" s="6" t="str">
        <f>IFERROR(__xludf.DUMMYFUNCTION("""COMPUTED_VALUE"""),"value")</f>
        <v>value</v>
      </c>
      <c r="AK912" s="49"/>
      <c r="AL912" s="49"/>
      <c r="AM912" s="49"/>
      <c r="AN912" s="52" t="str">
        <f t="shared" si="5"/>
        <v>copy,</v>
      </c>
    </row>
    <row r="913">
      <c r="A913" s="51"/>
      <c r="B913" s="50" t="s">
        <v>1590</v>
      </c>
      <c r="C913" s="50" t="s">
        <v>3152</v>
      </c>
      <c r="D913" s="49" t="str">
        <f>IFERROR(__xludf.DUMMYFUNCTION("""COMPUTED_VALUE"""),"west")</f>
        <v>west</v>
      </c>
      <c r="E913" s="49"/>
      <c r="F913" s="49"/>
      <c r="G913" s="49"/>
      <c r="H913" s="54" t="str">
        <f t="shared" si="1"/>
        <v>important,</v>
      </c>
      <c r="I913" s="50"/>
      <c r="J913" s="50" t="s">
        <v>5211</v>
      </c>
      <c r="K913" s="50" t="s">
        <v>2177</v>
      </c>
      <c r="L913" s="49" t="str">
        <f>IFERROR(__xludf.DUMMYFUNCTION("""COMPUTED_VALUE"""),"credibility")</f>
        <v>credibility</v>
      </c>
      <c r="M913" s="49"/>
      <c r="N913" s="49" t="str">
        <f>IFERROR(__xludf.DUMMYFUNCTION("""COMPUTED_VALUE"""),"q")</f>
        <v>q</v>
      </c>
      <c r="O913" s="49" t="str">
        <f>IFERROR(__xludf.DUMMYFUNCTION("""COMPUTED_VALUE"""),"ominous")</f>
        <v>ominous</v>
      </c>
      <c r="P913" s="49" t="str">
        <f t="shared" si="2"/>
        <v>shame,</v>
      </c>
      <c r="Q913" s="49"/>
      <c r="R913" s="50" t="s">
        <v>2200</v>
      </c>
      <c r="S913" s="55" t="s">
        <v>2040</v>
      </c>
      <c r="T913" s="49" t="str">
        <f>IFERROR(__xludf.DUMMYFUNCTION("""COMPUTED_VALUE"""),"impress")</f>
        <v>impress</v>
      </c>
      <c r="U913" s="49"/>
      <c r="V913" s="49"/>
      <c r="W913" s="49" t="str">
        <f>IFERROR(__xludf.DUMMYFUNCTION("""COMPUTED_VALUE"""),"girlfriend")</f>
        <v>girlfriend</v>
      </c>
      <c r="X913" s="49" t="str">
        <f t="shared" si="3"/>
        <v>audiences,</v>
      </c>
      <c r="Y913" s="49"/>
      <c r="Z913" s="1" t="s">
        <v>613</v>
      </c>
      <c r="AA913" s="1" t="s">
        <v>1218</v>
      </c>
      <c r="AB913" s="49" t="str">
        <f>IFERROR(__xludf.DUMMYFUNCTION("""COMPUTED_VALUE"""),"imaginative")</f>
        <v>imaginative</v>
      </c>
      <c r="AC913" s="49"/>
      <c r="AD913" s="49" t="str">
        <f>IFERROR(__xludf.DUMMYFUNCTION("""COMPUTED_VALUE"""),"q")</f>
        <v>q</v>
      </c>
      <c r="AE913" s="49" t="str">
        <f>IFERROR(__xludf.DUMMYFUNCTION("""COMPUTED_VALUE"""),"ominous")</f>
        <v>ominous</v>
      </c>
      <c r="AF913" s="49" t="str">
        <f t="shared" si="4"/>
        <v>animated,</v>
      </c>
      <c r="AG913" s="49"/>
      <c r="AH913" s="1" t="s">
        <v>3326</v>
      </c>
      <c r="AI913" s="1" t="s">
        <v>1866</v>
      </c>
      <c r="AJ913" s="6" t="str">
        <f>IFERROR(__xludf.DUMMYFUNCTION("""COMPUTED_VALUE"""),"entertainment")</f>
        <v>entertainment</v>
      </c>
      <c r="AK913" s="49"/>
      <c r="AL913" s="49"/>
      <c r="AM913" s="49"/>
      <c r="AN913" s="52" t="str">
        <f t="shared" si="5"/>
        <v>stick,</v>
      </c>
    </row>
    <row r="914">
      <c r="A914" s="51"/>
      <c r="B914" s="50" t="s">
        <v>3697</v>
      </c>
      <c r="C914" s="50" t="s">
        <v>6343</v>
      </c>
      <c r="D914" s="49" t="str">
        <f>IFERROR(__xludf.DUMMYFUNCTION("""COMPUTED_VALUE"""),"among")</f>
        <v>among</v>
      </c>
      <c r="E914" s="49"/>
      <c r="F914" s="49"/>
      <c r="G914" s="49"/>
      <c r="H914" s="54" t="str">
        <f t="shared" si="1"/>
        <v>followed,</v>
      </c>
      <c r="I914" s="50"/>
      <c r="J914" s="50" t="s">
        <v>3130</v>
      </c>
      <c r="K914" s="50" t="s">
        <v>508</v>
      </c>
      <c r="L914" s="49" t="str">
        <f>IFERROR(__xludf.DUMMYFUNCTION("""COMPUTED_VALUE"""),"lush")</f>
        <v>lush</v>
      </c>
      <c r="M914" s="49"/>
      <c r="N914" s="49" t="str">
        <f>IFERROR(__xludf.DUMMYFUNCTION("""COMPUTED_VALUE"""),"understanding")</f>
        <v>understanding</v>
      </c>
      <c r="O914" s="49" t="str">
        <f>IFERROR(__xludf.DUMMYFUNCTION("""COMPUTED_VALUE"""),"earthly")</f>
        <v>earthly</v>
      </c>
      <c r="P914" s="49" t="str">
        <f t="shared" si="2"/>
        <v>shoulders,</v>
      </c>
      <c r="Q914" s="49"/>
      <c r="R914" s="50" t="s">
        <v>5851</v>
      </c>
      <c r="S914" s="55" t="s">
        <v>860</v>
      </c>
      <c r="T914" s="49" t="str">
        <f>IFERROR(__xludf.DUMMYFUNCTION("""COMPUTED_VALUE"""),"childish")</f>
        <v>childish</v>
      </c>
      <c r="U914" s="49"/>
      <c r="V914" s="49"/>
      <c r="W914" s="49" t="str">
        <f>IFERROR(__xludf.DUMMYFUNCTION("""COMPUTED_VALUE"""),"breakthrough")</f>
        <v>breakthrough</v>
      </c>
      <c r="X914" s="49" t="str">
        <f t="shared" si="3"/>
        <v>portions,</v>
      </c>
      <c r="Y914" s="49"/>
      <c r="Z914" s="1" t="s">
        <v>1448</v>
      </c>
      <c r="AA914" s="1" t="s">
        <v>1289</v>
      </c>
      <c r="AB914" s="49" t="str">
        <f>IFERROR(__xludf.DUMMYFUNCTION("""COMPUTED_VALUE"""),"meaningful")</f>
        <v>meaningful</v>
      </c>
      <c r="AC914" s="49"/>
      <c r="AD914" s="49" t="str">
        <f>IFERROR(__xludf.DUMMYFUNCTION("""COMPUTED_VALUE"""),"understanding")</f>
        <v>understanding</v>
      </c>
      <c r="AE914" s="49" t="str">
        <f>IFERROR(__xludf.DUMMYFUNCTION("""COMPUTED_VALUE"""),"earthly")</f>
        <v>earthly</v>
      </c>
      <c r="AF914" s="49" t="str">
        <f t="shared" si="4"/>
        <v>pop,</v>
      </c>
      <c r="AG914" s="49"/>
      <c r="AH914" s="1" t="s">
        <v>6006</v>
      </c>
      <c r="AI914" s="1" t="s">
        <v>2646</v>
      </c>
      <c r="AJ914" s="6" t="str">
        <f>IFERROR(__xludf.DUMMYFUNCTION("""COMPUTED_VALUE"""),"theater")</f>
        <v>theater</v>
      </c>
      <c r="AK914" s="49"/>
      <c r="AL914" s="49"/>
      <c r="AM914" s="49"/>
      <c r="AN914" s="52" t="str">
        <f t="shared" si="5"/>
        <v>julia,</v>
      </c>
    </row>
    <row r="915">
      <c r="A915" s="51"/>
      <c r="B915" s="50" t="s">
        <v>669</v>
      </c>
      <c r="C915" s="50" t="s">
        <v>1931</v>
      </c>
      <c r="D915" s="49" t="str">
        <f>IFERROR(__xludf.DUMMYFUNCTION("""COMPUTED_VALUE"""),"bank")</f>
        <v>bank</v>
      </c>
      <c r="E915" s="49"/>
      <c r="F915" s="49"/>
      <c r="G915" s="49"/>
      <c r="H915" s="54" t="str">
        <f t="shared" si="1"/>
        <v>sometimes,</v>
      </c>
      <c r="I915" s="50"/>
      <c r="J915" s="50" t="s">
        <v>5339</v>
      </c>
      <c r="K915" s="50" t="s">
        <v>2183</v>
      </c>
      <c r="L915" s="49" t="str">
        <f>IFERROR(__xludf.DUMMYFUNCTION("""COMPUTED_VALUE"""),"caine")</f>
        <v>caine</v>
      </c>
      <c r="M915" s="49"/>
      <c r="N915" s="49" t="str">
        <f>IFERROR(__xludf.DUMMYFUNCTION("""COMPUTED_VALUE"""),"wanna")</f>
        <v>wanna</v>
      </c>
      <c r="O915" s="49" t="str">
        <f>IFERROR(__xludf.DUMMYFUNCTION("""COMPUTED_VALUE"""),"myers")</f>
        <v>myers</v>
      </c>
      <c r="P915" s="49" t="str">
        <f t="shared" si="2"/>
        <v>hack,</v>
      </c>
      <c r="Q915" s="49"/>
      <c r="R915" s="50" t="s">
        <v>882</v>
      </c>
      <c r="S915" s="55" t="s">
        <v>6410</v>
      </c>
      <c r="T915" s="49" t="str">
        <f>IFERROR(__xludf.DUMMYFUNCTION("""COMPUTED_VALUE"""),"separate")</f>
        <v>separate</v>
      </c>
      <c r="U915" s="49"/>
      <c r="V915" s="49"/>
      <c r="W915" s="49" t="str">
        <f>IFERROR(__xludf.DUMMYFUNCTION("""COMPUTED_VALUE"""),"cheering")</f>
        <v>cheering</v>
      </c>
      <c r="X915" s="49" t="str">
        <f t="shared" si="3"/>
        <v>premise,</v>
      </c>
      <c r="Y915" s="49"/>
      <c r="Z915" s="1" t="s">
        <v>477</v>
      </c>
      <c r="AA915" s="1" t="s">
        <v>3669</v>
      </c>
      <c r="AB915" s="49" t="str">
        <f>IFERROR(__xludf.DUMMYFUNCTION("""COMPUTED_VALUE"""),"thoughtful")</f>
        <v>thoughtful</v>
      </c>
      <c r="AC915" s="49"/>
      <c r="AD915" s="49" t="str">
        <f>IFERROR(__xludf.DUMMYFUNCTION("""COMPUTED_VALUE"""),"wanna")</f>
        <v>wanna</v>
      </c>
      <c r="AE915" s="49" t="str">
        <f>IFERROR(__xludf.DUMMYFUNCTION("""COMPUTED_VALUE"""),"myers")</f>
        <v>myers</v>
      </c>
      <c r="AF915" s="49" t="str">
        <f t="shared" si="4"/>
        <v>morning,</v>
      </c>
      <c r="AG915" s="49"/>
      <c r="AH915" s="1" t="s">
        <v>6306</v>
      </c>
      <c r="AI915" s="1" t="s">
        <v>1797</v>
      </c>
      <c r="AJ915" s="6" t="str">
        <f>IFERROR(__xludf.DUMMYFUNCTION("""COMPUTED_VALUE"""),"reviews")</f>
        <v>reviews</v>
      </c>
      <c r="AK915" s="49"/>
      <c r="AL915" s="49"/>
      <c r="AM915" s="49"/>
      <c r="AN915" s="52" t="str">
        <f t="shared" si="5"/>
        <v>;,</v>
      </c>
    </row>
    <row r="916">
      <c r="A916" s="51"/>
      <c r="B916" s="50" t="s">
        <v>5009</v>
      </c>
      <c r="C916" s="50" t="s">
        <v>1918</v>
      </c>
      <c r="D916" s="49" t="str">
        <f>IFERROR(__xludf.DUMMYFUNCTION("""COMPUTED_VALUE"""),"means")</f>
        <v>means</v>
      </c>
      <c r="E916" s="49"/>
      <c r="F916" s="49"/>
      <c r="G916" s="49"/>
      <c r="H916" s="54" t="str">
        <f t="shared" si="1"/>
        <v>peter,</v>
      </c>
      <c r="I916" s="50"/>
      <c r="J916" s="50" t="s">
        <v>2456</v>
      </c>
      <c r="K916" s="50" t="s">
        <v>517</v>
      </c>
      <c r="L916" s="49" t="str">
        <f>IFERROR(__xludf.DUMMYFUNCTION("""COMPUTED_VALUE"""),"grace")</f>
        <v>grace</v>
      </c>
      <c r="M916" s="49"/>
      <c r="N916" s="49" t="str">
        <f>IFERROR(__xludf.DUMMYFUNCTION("""COMPUTED_VALUE"""),"knees")</f>
        <v>knees</v>
      </c>
      <c r="O916" s="49" t="str">
        <f>IFERROR(__xludf.DUMMYFUNCTION("""COMPUTED_VALUE"""),"counterparts")</f>
        <v>counterparts</v>
      </c>
      <c r="P916" s="49" t="str">
        <f t="shared" si="2"/>
        <v>persona,</v>
      </c>
      <c r="Q916" s="49"/>
      <c r="R916" s="50" t="s">
        <v>2497</v>
      </c>
      <c r="S916" s="55" t="s">
        <v>2865</v>
      </c>
      <c r="T916" s="49" t="str">
        <f>IFERROR(__xludf.DUMMYFUNCTION("""COMPUTED_VALUE"""),"discourse")</f>
        <v>discourse</v>
      </c>
      <c r="U916" s="49"/>
      <c r="V916" s="49"/>
      <c r="W916" s="49" t="str">
        <f>IFERROR(__xludf.DUMMYFUNCTION("""COMPUTED_VALUE"""),"television")</f>
        <v>television</v>
      </c>
      <c r="X916" s="49" t="str">
        <f t="shared" si="3"/>
        <v>splendid,</v>
      </c>
      <c r="Y916" s="49"/>
      <c r="Z916" s="1" t="s">
        <v>527</v>
      </c>
      <c r="AA916" s="1" t="s">
        <v>3671</v>
      </c>
      <c r="AB916" s="49" t="str">
        <f>IFERROR(__xludf.DUMMYFUNCTION("""COMPUTED_VALUE"""),"dickens")</f>
        <v>dickens</v>
      </c>
      <c r="AC916" s="49"/>
      <c r="AD916" s="49" t="str">
        <f>IFERROR(__xludf.DUMMYFUNCTION("""COMPUTED_VALUE"""),"knees")</f>
        <v>knees</v>
      </c>
      <c r="AE916" s="49" t="str">
        <f>IFERROR(__xludf.DUMMYFUNCTION("""COMPUTED_VALUE"""),"counterparts")</f>
        <v>counterparts</v>
      </c>
      <c r="AF916" s="49" t="str">
        <f t="shared" si="4"/>
        <v>debut,</v>
      </c>
      <c r="AG916" s="49"/>
      <c r="AH916" s="1" t="s">
        <v>946</v>
      </c>
      <c r="AI916" s="1" t="s">
        <v>1887</v>
      </c>
      <c r="AJ916" s="6" t="str">
        <f>IFERROR(__xludf.DUMMYFUNCTION("""COMPUTED_VALUE"""),"critics")</f>
        <v>critics</v>
      </c>
      <c r="AK916" s="49"/>
      <c r="AL916" s="49"/>
      <c r="AM916" s="49"/>
      <c r="AN916" s="52" t="str">
        <f t="shared" si="5"/>
        <v>while,</v>
      </c>
    </row>
    <row r="917">
      <c r="A917" s="51"/>
      <c r="B917" s="50" t="s">
        <v>2389</v>
      </c>
      <c r="C917" s="50" t="s">
        <v>4993</v>
      </c>
      <c r="D917" s="49" t="str">
        <f>IFERROR(__xludf.DUMMYFUNCTION("""COMPUTED_VALUE"""),"joseph")</f>
        <v>joseph</v>
      </c>
      <c r="E917" s="49"/>
      <c r="F917" s="49"/>
      <c r="G917" s="49"/>
      <c r="H917" s="54" t="str">
        <f t="shared" si="1"/>
        <v>whose,</v>
      </c>
      <c r="I917" s="50"/>
      <c r="J917" s="50" t="s">
        <v>4558</v>
      </c>
      <c r="K917" s="50" t="s">
        <v>2186</v>
      </c>
      <c r="L917" s="49" t="str">
        <f>IFERROR(__xludf.DUMMYFUNCTION("""COMPUTED_VALUE"""),"brilliance")</f>
        <v>brilliance</v>
      </c>
      <c r="M917" s="49"/>
      <c r="N917" s="49" t="str">
        <f>IFERROR(__xludf.DUMMYFUNCTION("""COMPUTED_VALUE"""),"assembled")</f>
        <v>assembled</v>
      </c>
      <c r="O917" s="49" t="str">
        <f>IFERROR(__xludf.DUMMYFUNCTION("""COMPUTED_VALUE"""),"schizophrenia")</f>
        <v>schizophrenia</v>
      </c>
      <c r="P917" s="49" t="str">
        <f t="shared" si="2"/>
        <v>performing,</v>
      </c>
      <c r="Q917" s="49"/>
      <c r="R917" s="50" t="s">
        <v>1730</v>
      </c>
      <c r="S917" s="55" t="s">
        <v>2063</v>
      </c>
      <c r="T917" s="49">
        <f>IFERROR(__xludf.DUMMYFUNCTION("""COMPUTED_VALUE"""),9.0)</f>
        <v>9</v>
      </c>
      <c r="U917" s="49"/>
      <c r="V917" s="49"/>
      <c r="W917" s="49" t="str">
        <f>IFERROR(__xludf.DUMMYFUNCTION("""COMPUTED_VALUE"""),"assumes")</f>
        <v>assumes</v>
      </c>
      <c r="X917" s="49" t="str">
        <f t="shared" si="3"/>
        <v>despite,</v>
      </c>
      <c r="Y917" s="49"/>
      <c r="Z917" s="1" t="s">
        <v>3792</v>
      </c>
      <c r="AA917" s="1" t="s">
        <v>2502</v>
      </c>
      <c r="AB917" s="49" t="str">
        <f>IFERROR(__xludf.DUMMYFUNCTION("""COMPUTED_VALUE"""),"anonymous")</f>
        <v>anonymous</v>
      </c>
      <c r="AC917" s="49"/>
      <c r="AD917" s="49" t="str">
        <f>IFERROR(__xludf.DUMMYFUNCTION("""COMPUTED_VALUE"""),"assembled")</f>
        <v>assembled</v>
      </c>
      <c r="AE917" s="49" t="str">
        <f>IFERROR(__xludf.DUMMYFUNCTION("""COMPUTED_VALUE"""),"schizophrenia")</f>
        <v>schizophrenia</v>
      </c>
      <c r="AF917" s="49" t="str">
        <f t="shared" si="4"/>
        <v>ends,</v>
      </c>
      <c r="AG917" s="49"/>
      <c r="AH917" s="1" t="s">
        <v>646</v>
      </c>
      <c r="AI917" s="1" t="s">
        <v>1901</v>
      </c>
      <c r="AJ917" s="6" t="str">
        <f>IFERROR(__xludf.DUMMYFUNCTION("""COMPUTED_VALUE"""),"negative")</f>
        <v>negative</v>
      </c>
      <c r="AK917" s="49"/>
      <c r="AL917" s="49"/>
      <c r="AM917" s="49"/>
      <c r="AN917" s="52" t="str">
        <f t="shared" si="5"/>
        <v>look,</v>
      </c>
    </row>
    <row r="918">
      <c r="A918" s="51"/>
      <c r="B918" s="50" t="s">
        <v>4045</v>
      </c>
      <c r="C918" s="50" t="s">
        <v>2474</v>
      </c>
      <c r="D918" s="49" t="str">
        <f>IFERROR(__xludf.DUMMYFUNCTION("""COMPUTED_VALUE"""),"situation")</f>
        <v>situation</v>
      </c>
      <c r="E918" s="49"/>
      <c r="F918" s="49"/>
      <c r="G918" s="49"/>
      <c r="H918" s="54" t="str">
        <f t="shared" si="1"/>
        <v>lady,</v>
      </c>
      <c r="I918" s="50"/>
      <c r="J918" s="50" t="s">
        <v>1732</v>
      </c>
      <c r="K918" s="50" t="s">
        <v>2188</v>
      </c>
      <c r="L918" s="49" t="str">
        <f>IFERROR(__xludf.DUMMYFUNCTION("""COMPUTED_VALUE"""),"corner")</f>
        <v>corner</v>
      </c>
      <c r="M918" s="49"/>
      <c r="N918" s="49" t="str">
        <f>IFERROR(__xludf.DUMMYFUNCTION("""COMPUTED_VALUE"""),"refusal")</f>
        <v>refusal</v>
      </c>
      <c r="O918" s="49" t="str">
        <f>IFERROR(__xludf.DUMMYFUNCTION("""COMPUTED_VALUE"""),"captured")</f>
        <v>captured</v>
      </c>
      <c r="P918" s="49" t="str">
        <f t="shared" si="2"/>
        <v>de,</v>
      </c>
      <c r="Q918" s="49"/>
      <c r="R918" s="50" t="s">
        <v>5267</v>
      </c>
      <c r="S918" s="55" t="s">
        <v>543</v>
      </c>
      <c r="T918" s="49" t="str">
        <f>IFERROR(__xludf.DUMMYFUNCTION("""COMPUTED_VALUE"""),"egypt")</f>
        <v>egypt</v>
      </c>
      <c r="U918" s="49"/>
      <c r="V918" s="49"/>
      <c r="W918" s="49" t="str">
        <f>IFERROR(__xludf.DUMMYFUNCTION("""COMPUTED_VALUE"""),"bright")</f>
        <v>bright</v>
      </c>
      <c r="X918" s="49" t="str">
        <f t="shared" si="3"/>
        <v>succeeded,</v>
      </c>
      <c r="Y918" s="49"/>
      <c r="Z918" s="1" t="s">
        <v>3475</v>
      </c>
      <c r="AA918" s="1" t="s">
        <v>774</v>
      </c>
      <c r="AB918" s="49" t="str">
        <f>IFERROR(__xludf.DUMMYFUNCTION("""COMPUTED_VALUE"""),"startling")</f>
        <v>startling</v>
      </c>
      <c r="AC918" s="49"/>
      <c r="AD918" s="49" t="str">
        <f>IFERROR(__xludf.DUMMYFUNCTION("""COMPUTED_VALUE"""),"refusal")</f>
        <v>refusal</v>
      </c>
      <c r="AE918" s="49" t="str">
        <f>IFERROR(__xludf.DUMMYFUNCTION("""COMPUTED_VALUE"""),"captured")</f>
        <v>captured</v>
      </c>
      <c r="AF918" s="49" t="str">
        <f t="shared" si="4"/>
        <v>trick,</v>
      </c>
      <c r="AG918" s="49"/>
      <c r="AH918" s="1" t="s">
        <v>1750</v>
      </c>
      <c r="AI918" s="1" t="s">
        <v>3118</v>
      </c>
      <c r="AJ918" s="6" t="str">
        <f>IFERROR(__xludf.DUMMYFUNCTION("""COMPUTED_VALUE"""),"comfortable")</f>
        <v>comfortable</v>
      </c>
      <c r="AK918" s="49"/>
      <c r="AL918" s="49"/>
      <c r="AM918" s="49"/>
      <c r="AN918" s="52" t="str">
        <f t="shared" si="5"/>
        <v>final,</v>
      </c>
    </row>
    <row r="919">
      <c r="A919" s="51"/>
      <c r="B919" s="50" t="s">
        <v>4916</v>
      </c>
      <c r="C919" s="50" t="s">
        <v>1690</v>
      </c>
      <c r="D919" s="49" t="str">
        <f>IFERROR(__xludf.DUMMYFUNCTION("""COMPUTED_VALUE"""),"jews")</f>
        <v>jews</v>
      </c>
      <c r="E919" s="49"/>
      <c r="F919" s="49"/>
      <c r="G919" s="49"/>
      <c r="H919" s="54" t="str">
        <f t="shared" si="1"/>
        <v>latter,</v>
      </c>
      <c r="I919" s="50"/>
      <c r="J919" s="50" t="s">
        <v>7118</v>
      </c>
      <c r="K919" s="50" t="s">
        <v>3679</v>
      </c>
      <c r="L919" s="49" t="str">
        <f>IFERROR(__xludf.DUMMYFUNCTION("""COMPUTED_VALUE"""),"notably")</f>
        <v>notably</v>
      </c>
      <c r="M919" s="49"/>
      <c r="N919" s="49" t="str">
        <f>IFERROR(__xludf.DUMMYFUNCTION("""COMPUTED_VALUE"""),"annoyed")</f>
        <v>annoyed</v>
      </c>
      <c r="O919" s="49" t="str">
        <f>IFERROR(__xludf.DUMMYFUNCTION("""COMPUTED_VALUE"""),"warfare")</f>
        <v>warfare</v>
      </c>
      <c r="P919" s="49" t="str">
        <f t="shared" si="2"/>
        <v>mission,</v>
      </c>
      <c r="Q919" s="49"/>
      <c r="R919" s="50" t="s">
        <v>6413</v>
      </c>
      <c r="S919" s="55" t="s">
        <v>2047</v>
      </c>
      <c r="T919" s="49" t="str">
        <f>IFERROR(__xludf.DUMMYFUNCTION("""COMPUTED_VALUE"""),"screenings")</f>
        <v>screenings</v>
      </c>
      <c r="U919" s="49"/>
      <c r="V919" s="49"/>
      <c r="W919" s="49" t="str">
        <f>IFERROR(__xludf.DUMMYFUNCTION("""COMPUTED_VALUE"""),"unmistakable")</f>
        <v>unmistakable</v>
      </c>
      <c r="X919" s="49" t="str">
        <f t="shared" si="3"/>
        <v>domestic,</v>
      </c>
      <c r="Y919" s="49"/>
      <c r="Z919" s="1" t="s">
        <v>3931</v>
      </c>
      <c r="AA919" s="1" t="s">
        <v>2546</v>
      </c>
      <c r="AB919" s="49" t="str">
        <f>IFERROR(__xludf.DUMMYFUNCTION("""COMPUTED_VALUE"""),"sides")</f>
        <v>sides</v>
      </c>
      <c r="AC919" s="49"/>
      <c r="AD919" s="49" t="str">
        <f>IFERROR(__xludf.DUMMYFUNCTION("""COMPUTED_VALUE"""),"annoyed")</f>
        <v>annoyed</v>
      </c>
      <c r="AE919" s="49" t="str">
        <f>IFERROR(__xludf.DUMMYFUNCTION("""COMPUTED_VALUE"""),"warfare")</f>
        <v>warfare</v>
      </c>
      <c r="AF919" s="49" t="str">
        <f t="shared" si="4"/>
        <v>themselves,</v>
      </c>
      <c r="AG919" s="49"/>
      <c r="AH919" s="1" t="s">
        <v>631</v>
      </c>
      <c r="AI919" s="1" t="s">
        <v>474</v>
      </c>
      <c r="AJ919" s="6" t="str">
        <f>IFERROR(__xludf.DUMMYFUNCTION("""COMPUTED_VALUE"""),"destination")</f>
        <v>destination</v>
      </c>
      <c r="AK919" s="49"/>
      <c r="AL919" s="49"/>
      <c r="AM919" s="49"/>
      <c r="AN919" s="52" t="str">
        <f t="shared" si="5"/>
        <v>week,</v>
      </c>
    </row>
    <row r="920">
      <c r="A920" s="51"/>
      <c r="B920" s="50" t="s">
        <v>791</v>
      </c>
      <c r="C920" s="50" t="s">
        <v>1928</v>
      </c>
      <c r="D920" s="49" t="str">
        <f>IFERROR(__xludf.DUMMYFUNCTION("""COMPUTED_VALUE"""),"favor")</f>
        <v>favor</v>
      </c>
      <c r="E920" s="49"/>
      <c r="F920" s="49"/>
      <c r="G920" s="49"/>
      <c r="H920" s="54" t="str">
        <f t="shared" si="1"/>
        <v>quality,</v>
      </c>
      <c r="I920" s="50"/>
      <c r="J920" s="50" t="s">
        <v>5328</v>
      </c>
      <c r="K920" s="50" t="s">
        <v>971</v>
      </c>
      <c r="L920" s="49" t="str">
        <f>IFERROR(__xludf.DUMMYFUNCTION("""COMPUTED_VALUE"""),"awkward")</f>
        <v>awkward</v>
      </c>
      <c r="M920" s="49"/>
      <c r="N920" s="49" t="str">
        <f>IFERROR(__xludf.DUMMYFUNCTION("""COMPUTED_VALUE"""),"wrought")</f>
        <v>wrought</v>
      </c>
      <c r="O920" s="49" t="str">
        <f>IFERROR(__xludf.DUMMYFUNCTION("""COMPUTED_VALUE"""),"primarily")</f>
        <v>primarily</v>
      </c>
      <c r="P920" s="49" t="str">
        <f t="shared" si="2"/>
        <v>palma,</v>
      </c>
      <c r="Q920" s="49"/>
      <c r="R920" s="50" t="s">
        <v>4671</v>
      </c>
      <c r="S920" s="55" t="s">
        <v>2050</v>
      </c>
      <c r="T920" s="49" t="str">
        <f>IFERROR(__xludf.DUMMYFUNCTION("""COMPUTED_VALUE"""),"dedicated")</f>
        <v>dedicated</v>
      </c>
      <c r="U920" s="49"/>
      <c r="V920" s="49"/>
      <c r="W920" s="49" t="str">
        <f>IFERROR(__xludf.DUMMYFUNCTION("""COMPUTED_VALUE"""),"chaos")</f>
        <v>chaos</v>
      </c>
      <c r="X920" s="49" t="str">
        <f t="shared" si="3"/>
        <v>text,</v>
      </c>
      <c r="Y920" s="49"/>
      <c r="Z920" s="1" t="s">
        <v>1739</v>
      </c>
      <c r="AA920" s="1" t="s">
        <v>820</v>
      </c>
      <c r="AB920" s="49" t="str">
        <f>IFERROR(__xludf.DUMMYFUNCTION("""COMPUTED_VALUE"""),"harmless")</f>
        <v>harmless</v>
      </c>
      <c r="AC920" s="49"/>
      <c r="AD920" s="49" t="str">
        <f>IFERROR(__xludf.DUMMYFUNCTION("""COMPUTED_VALUE"""),"wrought")</f>
        <v>wrought</v>
      </c>
      <c r="AE920" s="49" t="str">
        <f>IFERROR(__xludf.DUMMYFUNCTION("""COMPUTED_VALUE"""),"primarily")</f>
        <v>primarily</v>
      </c>
      <c r="AF920" s="49" t="str">
        <f t="shared" si="4"/>
        <v>simply,</v>
      </c>
      <c r="AG920" s="49"/>
      <c r="AH920" s="1" t="s">
        <v>6745</v>
      </c>
      <c r="AI920" s="1" t="s">
        <v>1910</v>
      </c>
      <c r="AJ920" s="6" t="str">
        <f>IFERROR(__xludf.DUMMYFUNCTION("""COMPUTED_VALUE"""),"help")</f>
        <v>help</v>
      </c>
      <c r="AK920" s="49"/>
      <c r="AL920" s="49"/>
      <c r="AM920" s="49"/>
      <c r="AN920" s="52" t="str">
        <f t="shared" si="5"/>
        <v>average,</v>
      </c>
    </row>
    <row r="921">
      <c r="A921" s="51"/>
      <c r="B921" s="50" t="s">
        <v>6973</v>
      </c>
      <c r="C921" s="50" t="s">
        <v>3356</v>
      </c>
      <c r="D921" s="49" t="str">
        <f>IFERROR(__xludf.DUMMYFUNCTION("""COMPUTED_VALUE"""),"dramatic")</f>
        <v>dramatic</v>
      </c>
      <c r="E921" s="49"/>
      <c r="F921" s="49"/>
      <c r="G921" s="49"/>
      <c r="H921" s="54" t="str">
        <f t="shared" si="1"/>
        <v>twelve,</v>
      </c>
      <c r="I921" s="50"/>
      <c r="J921" s="50" t="s">
        <v>769</v>
      </c>
      <c r="K921" s="50" t="s">
        <v>2214</v>
      </c>
      <c r="L921" s="49" t="str">
        <f>IFERROR(__xludf.DUMMYFUNCTION("""COMPUTED_VALUE"""),"disguised")</f>
        <v>disguised</v>
      </c>
      <c r="M921" s="49"/>
      <c r="N921" s="49" t="str">
        <f>IFERROR(__xludf.DUMMYFUNCTION("""COMPUTED_VALUE"""),"sting")</f>
        <v>sting</v>
      </c>
      <c r="O921" s="49" t="str">
        <f>IFERROR(__xludf.DUMMYFUNCTION("""COMPUTED_VALUE"""),"brendan")</f>
        <v>brendan</v>
      </c>
      <c r="P921" s="49" t="str">
        <f t="shared" si="2"/>
        <v>uses,</v>
      </c>
      <c r="Q921" s="49"/>
      <c r="R921" s="50" t="s">
        <v>1282</v>
      </c>
      <c r="S921" s="55" t="s">
        <v>2048</v>
      </c>
      <c r="T921" s="49" t="str">
        <f>IFERROR(__xludf.DUMMYFUNCTION("""COMPUTED_VALUE"""),"stay")</f>
        <v>stay</v>
      </c>
      <c r="U921" s="49"/>
      <c r="V921" s="49"/>
      <c r="W921" s="49" t="str">
        <f>IFERROR(__xludf.DUMMYFUNCTION("""COMPUTED_VALUE"""),"auditorium")</f>
        <v>auditorium</v>
      </c>
      <c r="X921" s="49" t="str">
        <f t="shared" si="3"/>
        <v>somehow,</v>
      </c>
      <c r="Y921" s="49"/>
      <c r="Z921" s="1" t="s">
        <v>2709</v>
      </c>
      <c r="AA921" s="1" t="s">
        <v>3680</v>
      </c>
      <c r="AB921" s="49" t="str">
        <f>IFERROR(__xludf.DUMMYFUNCTION("""COMPUTED_VALUE"""),"inspiring")</f>
        <v>inspiring</v>
      </c>
      <c r="AC921" s="49"/>
      <c r="AD921" s="49" t="str">
        <f>IFERROR(__xludf.DUMMYFUNCTION("""COMPUTED_VALUE"""),"sting")</f>
        <v>sting</v>
      </c>
      <c r="AE921" s="49" t="str">
        <f>IFERROR(__xludf.DUMMYFUNCTION("""COMPUTED_VALUE"""),"brendan")</f>
        <v>brendan</v>
      </c>
      <c r="AF921" s="49" t="str">
        <f t="shared" si="4"/>
        <v>theaters,</v>
      </c>
      <c r="AG921" s="49"/>
      <c r="AH921" s="1" t="s">
        <v>3091</v>
      </c>
      <c r="AI921" s="1" t="s">
        <v>1924</v>
      </c>
      <c r="AJ921" s="6" t="str">
        <f>IFERROR(__xludf.DUMMYFUNCTION("""COMPUTED_VALUE"""),"release")</f>
        <v>release</v>
      </c>
      <c r="AK921" s="49"/>
      <c r="AL921" s="49"/>
      <c r="AM921" s="49"/>
      <c r="AN921" s="52" t="str">
        <f t="shared" si="5"/>
        <v>myself,</v>
      </c>
    </row>
    <row r="922">
      <c r="A922" s="51"/>
      <c r="B922" s="50" t="s">
        <v>3960</v>
      </c>
      <c r="C922" s="50" t="s">
        <v>6412</v>
      </c>
      <c r="D922" s="49" t="str">
        <f>IFERROR(__xludf.DUMMYFUNCTION("""COMPUTED_VALUE"""),"responsible")</f>
        <v>responsible</v>
      </c>
      <c r="E922" s="49"/>
      <c r="F922" s="49"/>
      <c r="G922" s="49"/>
      <c r="H922" s="54" t="str">
        <f t="shared" si="1"/>
        <v>streets,</v>
      </c>
      <c r="I922" s="50"/>
      <c r="J922" s="50" t="s">
        <v>1622</v>
      </c>
      <c r="K922" s="50" t="s">
        <v>3362</v>
      </c>
      <c r="L922" s="49" t="str">
        <f>IFERROR(__xludf.DUMMYFUNCTION("""COMPUTED_VALUE"""),"bond")</f>
        <v>bond</v>
      </c>
      <c r="M922" s="49"/>
      <c r="N922" s="49" t="str">
        <f>IFERROR(__xludf.DUMMYFUNCTION("""COMPUTED_VALUE"""),"served")</f>
        <v>served</v>
      </c>
      <c r="O922" s="49" t="str">
        <f>IFERROR(__xludf.DUMMYFUNCTION("""COMPUTED_VALUE"""),"tuned")</f>
        <v>tuned</v>
      </c>
      <c r="P922" s="49" t="str">
        <f t="shared" si="2"/>
        <v>match,</v>
      </c>
      <c r="Q922" s="49"/>
      <c r="R922" s="50" t="s">
        <v>2873</v>
      </c>
      <c r="S922" s="55" t="s">
        <v>1249</v>
      </c>
      <c r="T922" s="49" t="str">
        <f>IFERROR(__xludf.DUMMYFUNCTION("""COMPUTED_VALUE"""),"bar")</f>
        <v>bar</v>
      </c>
      <c r="U922" s="49"/>
      <c r="V922" s="49"/>
      <c r="W922" s="49" t="str">
        <f>IFERROR(__xludf.DUMMYFUNCTION("""COMPUTED_VALUE"""),"mechanics")</f>
        <v>mechanics</v>
      </c>
      <c r="X922" s="49" t="str">
        <f t="shared" si="3"/>
        <v>bucks,</v>
      </c>
      <c r="Y922" s="49"/>
      <c r="Z922" s="1" t="s">
        <v>4057</v>
      </c>
      <c r="AA922" s="1" t="s">
        <v>3682</v>
      </c>
      <c r="AB922" s="49" t="str">
        <f>IFERROR(__xludf.DUMMYFUNCTION("""COMPUTED_VALUE"""),"stylistic")</f>
        <v>stylistic</v>
      </c>
      <c r="AC922" s="49"/>
      <c r="AD922" s="49" t="str">
        <f>IFERROR(__xludf.DUMMYFUNCTION("""COMPUTED_VALUE"""),"served")</f>
        <v>served</v>
      </c>
      <c r="AE922" s="49" t="str">
        <f>IFERROR(__xludf.DUMMYFUNCTION("""COMPUTED_VALUE"""),"tuned")</f>
        <v>tuned</v>
      </c>
      <c r="AF922" s="49" t="str">
        <f t="shared" si="4"/>
        <v>talk,</v>
      </c>
      <c r="AG922" s="49"/>
      <c r="AH922" s="1" t="s">
        <v>6632</v>
      </c>
      <c r="AI922" s="1" t="s">
        <v>3130</v>
      </c>
      <c r="AJ922" s="6" t="str">
        <f>IFERROR(__xludf.DUMMYFUNCTION("""COMPUTED_VALUE"""),"date")</f>
        <v>date</v>
      </c>
      <c r="AK922" s="49"/>
      <c r="AL922" s="49"/>
      <c r="AM922" s="49"/>
      <c r="AN922" s="52" t="str">
        <f t="shared" si="5"/>
        <v>likely,</v>
      </c>
    </row>
    <row r="923">
      <c r="A923" s="51"/>
      <c r="B923" s="50" t="s">
        <v>2683</v>
      </c>
      <c r="C923" s="50" t="s">
        <v>2708</v>
      </c>
      <c r="D923" s="49" t="str">
        <f>IFERROR(__xludf.DUMMYFUNCTION("""COMPUTED_VALUE"""),"darkness")</f>
        <v>darkness</v>
      </c>
      <c r="E923" s="49"/>
      <c r="F923" s="49"/>
      <c r="G923" s="49"/>
      <c r="H923" s="54" t="str">
        <f t="shared" si="1"/>
        <v>decades,</v>
      </c>
      <c r="I923" s="50"/>
      <c r="J923" s="50" t="s">
        <v>829</v>
      </c>
      <c r="K923" s="50" t="s">
        <v>526</v>
      </c>
      <c r="L923" s="49" t="str">
        <f>IFERROR(__xludf.DUMMYFUNCTION("""COMPUTED_VALUE"""),"assassin")</f>
        <v>assassin</v>
      </c>
      <c r="M923" s="49"/>
      <c r="N923" s="49" t="str">
        <f>IFERROR(__xludf.DUMMYFUNCTION("""COMPUTED_VALUE"""),"santa")</f>
        <v>santa</v>
      </c>
      <c r="O923" s="49" t="str">
        <f>IFERROR(__xludf.DUMMYFUNCTION("""COMPUTED_VALUE"""),"raises")</f>
        <v>raises</v>
      </c>
      <c r="P923" s="49" t="str">
        <f t="shared" si="2"/>
        <v>bring,</v>
      </c>
      <c r="Q923" s="49"/>
      <c r="R923" s="50" t="s">
        <v>2190</v>
      </c>
      <c r="S923" s="55" t="s">
        <v>3427</v>
      </c>
      <c r="T923" s="49" t="str">
        <f>IFERROR(__xludf.DUMMYFUNCTION("""COMPUTED_VALUE"""),"license")</f>
        <v>license</v>
      </c>
      <c r="U923" s="49"/>
      <c r="V923" s="49"/>
      <c r="W923" s="49" t="str">
        <f>IFERROR(__xludf.DUMMYFUNCTION("""COMPUTED_VALUE"""),"yesterday")</f>
        <v>yesterday</v>
      </c>
      <c r="X923" s="49" t="str">
        <f t="shared" si="3"/>
        <v>sheridan,</v>
      </c>
      <c r="Y923" s="49"/>
      <c r="Z923" s="1" t="s">
        <v>1482</v>
      </c>
      <c r="AA923" s="1" t="s">
        <v>2518</v>
      </c>
      <c r="AB923" s="49" t="str">
        <f>IFERROR(__xludf.DUMMYFUNCTION("""COMPUTED_VALUE"""),"modest")</f>
        <v>modest</v>
      </c>
      <c r="AC923" s="49"/>
      <c r="AD923" s="49" t="str">
        <f>IFERROR(__xludf.DUMMYFUNCTION("""COMPUTED_VALUE"""),"santa")</f>
        <v>santa</v>
      </c>
      <c r="AE923" s="49" t="str">
        <f>IFERROR(__xludf.DUMMYFUNCTION("""COMPUTED_VALUE"""),"raises")</f>
        <v>raises</v>
      </c>
      <c r="AF923" s="49" t="str">
        <f t="shared" si="4"/>
        <v>merely,</v>
      </c>
      <c r="AG923" s="49"/>
      <c r="AH923" s="1" t="s">
        <v>1243</v>
      </c>
      <c r="AI923" s="1" t="s">
        <v>1749</v>
      </c>
      <c r="AJ923" s="6" t="str">
        <f>IFERROR(__xludf.DUMMYFUNCTION("""COMPUTED_VALUE"""),"changes")</f>
        <v>changes</v>
      </c>
      <c r="AK923" s="49"/>
      <c r="AL923" s="49"/>
      <c r="AM923" s="49"/>
      <c r="AN923" s="52" t="str">
        <f t="shared" si="5"/>
        <v>sitting,</v>
      </c>
    </row>
    <row r="924">
      <c r="A924" s="51"/>
      <c r="B924" s="50" t="s">
        <v>7303</v>
      </c>
      <c r="C924" s="50" t="s">
        <v>2703</v>
      </c>
      <c r="D924" s="49" t="str">
        <f>IFERROR(__xludf.DUMMYFUNCTION("""COMPUTED_VALUE"""),"loud")</f>
        <v>loud</v>
      </c>
      <c r="E924" s="49"/>
      <c r="F924" s="49"/>
      <c r="G924" s="49"/>
      <c r="H924" s="54" t="str">
        <f t="shared" si="1"/>
        <v>praised,</v>
      </c>
      <c r="I924" s="50"/>
      <c r="J924" s="50" t="s">
        <v>83</v>
      </c>
      <c r="K924" s="50" t="s">
        <v>1582</v>
      </c>
      <c r="L924" s="49" t="str">
        <f>IFERROR(__xludf.DUMMYFUNCTION("""COMPUTED_VALUE"""),"spielberg")</f>
        <v>spielberg</v>
      </c>
      <c r="M924" s="49"/>
      <c r="N924" s="49" t="str">
        <f>IFERROR(__xludf.DUMMYFUNCTION("""COMPUTED_VALUE"""),"environment")</f>
        <v>environment</v>
      </c>
      <c r="O924" s="49" t="str">
        <f>IFERROR(__xludf.DUMMYFUNCTION("""COMPUTED_VALUE"""),"brink")</f>
        <v>brink</v>
      </c>
      <c r="P924" s="49" t="str">
        <f t="shared" si="2"/>
        <v>place,</v>
      </c>
      <c r="Q924" s="49"/>
      <c r="R924" s="50" t="s">
        <v>6831</v>
      </c>
      <c r="S924" s="55" t="s">
        <v>551</v>
      </c>
      <c r="T924" s="49" t="str">
        <f>IFERROR(__xludf.DUMMYFUNCTION("""COMPUTED_VALUE"""),"chance")</f>
        <v>chance</v>
      </c>
      <c r="U924" s="49"/>
      <c r="V924" s="49"/>
      <c r="W924" s="49" t="str">
        <f>IFERROR(__xludf.DUMMYFUNCTION("""COMPUTED_VALUE"""),"undone")</f>
        <v>undone</v>
      </c>
      <c r="X924" s="49" t="str">
        <f t="shared" si="3"/>
        <v>escort,</v>
      </c>
      <c r="Y924" s="49"/>
      <c r="Z924" s="1" t="s">
        <v>3207</v>
      </c>
      <c r="AA924" s="1" t="s">
        <v>2522</v>
      </c>
      <c r="AB924" s="49" t="str">
        <f>IFERROR(__xludf.DUMMYFUNCTION("""COMPUTED_VALUE"""),"potent")</f>
        <v>potent</v>
      </c>
      <c r="AC924" s="49"/>
      <c r="AD924" s="49" t="str">
        <f>IFERROR(__xludf.DUMMYFUNCTION("""COMPUTED_VALUE"""),"environment")</f>
        <v>environment</v>
      </c>
      <c r="AE924" s="49" t="str">
        <f>IFERROR(__xludf.DUMMYFUNCTION("""COMPUTED_VALUE"""),"brink")</f>
        <v>brink</v>
      </c>
      <c r="AF924" s="49" t="str">
        <f t="shared" si="4"/>
        <v>personality,</v>
      </c>
      <c r="AG924" s="49"/>
      <c r="AH924" s="1" t="s">
        <v>6346</v>
      </c>
      <c r="AI924" s="1" t="s">
        <v>2833</v>
      </c>
      <c r="AJ924" s="6" t="str">
        <f>IFERROR(__xludf.DUMMYFUNCTION("""COMPUTED_VALUE"""),"initial")</f>
        <v>initial</v>
      </c>
      <c r="AK924" s="49"/>
      <c r="AL924" s="49"/>
      <c r="AM924" s="49"/>
      <c r="AN924" s="52" t="str">
        <f t="shared" si="5"/>
        <v>value,</v>
      </c>
    </row>
    <row r="925">
      <c r="A925" s="51"/>
      <c r="B925" s="50" t="s">
        <v>2469</v>
      </c>
      <c r="C925" s="50" t="s">
        <v>1766</v>
      </c>
      <c r="D925" s="49">
        <f>IFERROR(__xludf.DUMMYFUNCTION("""COMPUTED_VALUE"""),1984.0)</f>
        <v>1984</v>
      </c>
      <c r="E925" s="49"/>
      <c r="F925" s="49"/>
      <c r="G925" s="49"/>
      <c r="H925" s="54" t="str">
        <f t="shared" si="1"/>
        <v>reputation,</v>
      </c>
      <c r="I925" s="50"/>
      <c r="J925" s="50" t="s">
        <v>2344</v>
      </c>
      <c r="K925" s="50" t="s">
        <v>3167</v>
      </c>
      <c r="L925" s="49" t="str">
        <f>IFERROR(__xludf.DUMMYFUNCTION("""COMPUTED_VALUE"""),"superb")</f>
        <v>superb</v>
      </c>
      <c r="M925" s="49"/>
      <c r="N925" s="49" t="str">
        <f>IFERROR(__xludf.DUMMYFUNCTION("""COMPUTED_VALUE"""),"reverse")</f>
        <v>reverse</v>
      </c>
      <c r="O925" s="49" t="str">
        <f>IFERROR(__xludf.DUMMYFUNCTION("""COMPUTED_VALUE"""),"immigrant")</f>
        <v>immigrant</v>
      </c>
      <c r="P925" s="49" t="str">
        <f t="shared" si="2"/>
        <v>impossible,</v>
      </c>
      <c r="Q925" s="49"/>
      <c r="R925" s="50" t="s">
        <v>2673</v>
      </c>
      <c r="S925" s="55" t="s">
        <v>2888</v>
      </c>
      <c r="T925" s="49" t="str">
        <f>IFERROR(__xludf.DUMMYFUNCTION("""COMPUTED_VALUE"""),"arts")</f>
        <v>arts</v>
      </c>
      <c r="U925" s="49"/>
      <c r="V925" s="49"/>
      <c r="W925" s="49" t="str">
        <f>IFERROR(__xludf.DUMMYFUNCTION("""COMPUTED_VALUE"""),"inspiration")</f>
        <v>inspiration</v>
      </c>
      <c r="X925" s="49" t="str">
        <f t="shared" si="3"/>
        <v>jones,</v>
      </c>
      <c r="Y925" s="49"/>
      <c r="Z925" s="1" t="s">
        <v>1595</v>
      </c>
      <c r="AA925" s="1" t="s">
        <v>3687</v>
      </c>
      <c r="AB925" s="49" t="str">
        <f>IFERROR(__xludf.DUMMYFUNCTION("""COMPUTED_VALUE"""),"pale")</f>
        <v>pale</v>
      </c>
      <c r="AC925" s="49"/>
      <c r="AD925" s="49" t="str">
        <f>IFERROR(__xludf.DUMMYFUNCTION("""COMPUTED_VALUE"""),"reverse")</f>
        <v>reverse</v>
      </c>
      <c r="AE925" s="49" t="str">
        <f>IFERROR(__xludf.DUMMYFUNCTION("""COMPUTED_VALUE"""),"immigrant")</f>
        <v>immigrant</v>
      </c>
      <c r="AF925" s="49" t="str">
        <f t="shared" si="4"/>
        <v>saturday,</v>
      </c>
      <c r="AG925" s="49"/>
      <c r="AH925" s="1" t="s">
        <v>1291</v>
      </c>
      <c r="AI925" s="1" t="s">
        <v>2672</v>
      </c>
      <c r="AJ925" s="6" t="str">
        <f>IFERROR(__xludf.DUMMYFUNCTION("""COMPUTED_VALUE"""),"rain")</f>
        <v>rain</v>
      </c>
      <c r="AK925" s="49"/>
      <c r="AL925" s="49"/>
      <c r="AM925" s="49"/>
      <c r="AN925" s="52" t="str">
        <f t="shared" si="5"/>
        <v>entertainment,</v>
      </c>
    </row>
    <row r="926">
      <c r="A926" s="51"/>
      <c r="B926" s="50" t="s">
        <v>5892</v>
      </c>
      <c r="C926" s="50" t="s">
        <v>168</v>
      </c>
      <c r="D926" s="49" t="str">
        <f>IFERROR(__xludf.DUMMYFUNCTION("""COMPUTED_VALUE"""),"warning")</f>
        <v>warning</v>
      </c>
      <c r="E926" s="49"/>
      <c r="F926" s="49"/>
      <c r="G926" s="49"/>
      <c r="H926" s="54" t="str">
        <f t="shared" si="1"/>
        <v>witness,</v>
      </c>
      <c r="I926" s="50"/>
      <c r="J926" s="50" t="s">
        <v>5149</v>
      </c>
      <c r="K926" s="50" t="s">
        <v>3693</v>
      </c>
      <c r="L926" s="49" t="str">
        <f>IFERROR(__xludf.DUMMYFUNCTION("""COMPUTED_VALUE"""),"marvel")</f>
        <v>marvel</v>
      </c>
      <c r="M926" s="49"/>
      <c r="N926" s="49" t="str">
        <f>IFERROR(__xludf.DUMMYFUNCTION("""COMPUTED_VALUE"""),"reduce")</f>
        <v>reduce</v>
      </c>
      <c r="O926" s="49" t="str">
        <f>IFERROR(__xludf.DUMMYFUNCTION("""COMPUTED_VALUE"""),"anguish")</f>
        <v>anguish</v>
      </c>
      <c r="P926" s="49" t="str">
        <f t="shared" si="2"/>
        <v>technical,</v>
      </c>
      <c r="Q926" s="49"/>
      <c r="R926" s="50" t="s">
        <v>6334</v>
      </c>
      <c r="S926" s="55" t="s">
        <v>3435</v>
      </c>
      <c r="T926" s="49" t="str">
        <f>IFERROR(__xludf.DUMMYFUNCTION("""COMPUTED_VALUE"""),"loosely")</f>
        <v>loosely</v>
      </c>
      <c r="U926" s="49"/>
      <c r="V926" s="49"/>
      <c r="W926" s="49" t="str">
        <f>IFERROR(__xludf.DUMMYFUNCTION("""COMPUTED_VALUE"""),"nicholson")</f>
        <v>nicholson</v>
      </c>
      <c r="X926" s="49" t="str">
        <f t="shared" si="3"/>
        <v>chances,</v>
      </c>
      <c r="Y926" s="49"/>
      <c r="Z926" s="1" t="s">
        <v>1726</v>
      </c>
      <c r="AA926" s="1" t="s">
        <v>3689</v>
      </c>
      <c r="AB926" s="49" t="str">
        <f>IFERROR(__xludf.DUMMYFUNCTION("""COMPUTED_VALUE"""),"symbolism")</f>
        <v>symbolism</v>
      </c>
      <c r="AC926" s="49"/>
      <c r="AD926" s="49" t="str">
        <f>IFERROR(__xludf.DUMMYFUNCTION("""COMPUTED_VALUE"""),"reduce")</f>
        <v>reduce</v>
      </c>
      <c r="AE926" s="49" t="str">
        <f>IFERROR(__xludf.DUMMYFUNCTION("""COMPUTED_VALUE"""),"anguish")</f>
        <v>anguish</v>
      </c>
      <c r="AF926" s="49" t="str">
        <f t="shared" si="4"/>
        <v>band,</v>
      </c>
      <c r="AG926" s="49"/>
      <c r="AH926" s="1" t="s">
        <v>3534</v>
      </c>
      <c r="AI926" s="1" t="s">
        <v>489</v>
      </c>
      <c r="AJ926" s="6" t="str">
        <f>IFERROR(__xludf.DUMMYFUNCTION("""COMPUTED_VALUE"""),"rank")</f>
        <v>rank</v>
      </c>
      <c r="AK926" s="49"/>
      <c r="AL926" s="49"/>
      <c r="AM926" s="49"/>
      <c r="AN926" s="52" t="str">
        <f t="shared" si="5"/>
        <v>theater,</v>
      </c>
    </row>
    <row r="927">
      <c r="A927" s="51"/>
      <c r="B927" s="50" t="s">
        <v>2648</v>
      </c>
      <c r="C927" s="50" t="s">
        <v>3185</v>
      </c>
      <c r="D927" s="49" t="str">
        <f>IFERROR(__xludf.DUMMYFUNCTION("""COMPUTED_VALUE"""),"provides")</f>
        <v>provides</v>
      </c>
      <c r="E927" s="49"/>
      <c r="F927" s="49"/>
      <c r="G927" s="49"/>
      <c r="H927" s="54" t="str">
        <f t="shared" si="1"/>
        <v>belongs,</v>
      </c>
      <c r="I927" s="50"/>
      <c r="J927" s="50" t="s">
        <v>2041</v>
      </c>
      <c r="K927" s="50" t="s">
        <v>1939</v>
      </c>
      <c r="L927" s="49" t="str">
        <f>IFERROR(__xludf.DUMMYFUNCTION("""COMPUTED_VALUE"""),"violated")</f>
        <v>violated</v>
      </c>
      <c r="M927" s="49"/>
      <c r="N927" s="49" t="str">
        <f>IFERROR(__xludf.DUMMYFUNCTION("""COMPUTED_VALUE"""),"balance")</f>
        <v>balance</v>
      </c>
      <c r="O927" s="49" t="str">
        <f>IFERROR(__xludf.DUMMYFUNCTION("""COMPUTED_VALUE"""),"movement")</f>
        <v>movement</v>
      </c>
      <c r="P927" s="49" t="str">
        <f t="shared" si="2"/>
        <v>involved,</v>
      </c>
      <c r="Q927" s="49"/>
      <c r="R927" s="50" t="s">
        <v>1602</v>
      </c>
      <c r="S927" s="55" t="s">
        <v>464</v>
      </c>
      <c r="T927" s="49" t="str">
        <f>IFERROR(__xludf.DUMMYFUNCTION("""COMPUTED_VALUE"""),"graceful")</f>
        <v>graceful</v>
      </c>
      <c r="U927" s="49"/>
      <c r="V927" s="49"/>
      <c r="W927" s="49" t="str">
        <f>IFERROR(__xludf.DUMMYFUNCTION("""COMPUTED_VALUE"""),"brush")</f>
        <v>brush</v>
      </c>
      <c r="X927" s="49" t="str">
        <f t="shared" si="3"/>
        <v>fan,</v>
      </c>
      <c r="Y927" s="49"/>
      <c r="Z927" s="1" t="s">
        <v>3348</v>
      </c>
      <c r="AA927" s="1" t="s">
        <v>654</v>
      </c>
      <c r="AB927" s="49" t="str">
        <f>IFERROR(__xludf.DUMMYFUNCTION("""COMPUTED_VALUE"""),"sentiment")</f>
        <v>sentiment</v>
      </c>
      <c r="AC927" s="49"/>
      <c r="AD927" s="49" t="str">
        <f>IFERROR(__xludf.DUMMYFUNCTION("""COMPUTED_VALUE"""),"balance")</f>
        <v>balance</v>
      </c>
      <c r="AE927" s="49" t="str">
        <f>IFERROR(__xludf.DUMMYFUNCTION("""COMPUTED_VALUE"""),"movement")</f>
        <v>movement</v>
      </c>
      <c r="AF927" s="49" t="str">
        <f t="shared" si="4"/>
        <v>measure,</v>
      </c>
      <c r="AG927" s="49"/>
      <c r="AH927" s="1" t="s">
        <v>402</v>
      </c>
      <c r="AI927" s="1" t="s">
        <v>3152</v>
      </c>
      <c r="AJ927" s="6" t="str">
        <f>IFERROR(__xludf.DUMMYFUNCTION("""COMPUTED_VALUE"""),"peak")</f>
        <v>peak</v>
      </c>
      <c r="AK927" s="49"/>
      <c r="AL927" s="49"/>
      <c r="AM927" s="49"/>
      <c r="AN927" s="52" t="str">
        <f t="shared" si="5"/>
        <v>reviews,</v>
      </c>
    </row>
    <row r="928">
      <c r="A928" s="51"/>
      <c r="B928" s="50" t="s">
        <v>1073</v>
      </c>
      <c r="C928" s="50" t="s">
        <v>2005</v>
      </c>
      <c r="D928" s="49" t="str">
        <f>IFERROR(__xludf.DUMMYFUNCTION("""COMPUTED_VALUE"""),"perfect")</f>
        <v>perfect</v>
      </c>
      <c r="E928" s="49"/>
      <c r="F928" s="49"/>
      <c r="G928" s="49"/>
      <c r="H928" s="54" t="str">
        <f t="shared" si="1"/>
        <v>born,</v>
      </c>
      <c r="I928" s="50"/>
      <c r="J928" s="50" t="s">
        <v>5381</v>
      </c>
      <c r="K928" s="50" t="s">
        <v>2219</v>
      </c>
      <c r="L928" s="49" t="str">
        <f>IFERROR(__xludf.DUMMYFUNCTION("""COMPUTED_VALUE"""),"fairly")</f>
        <v>fairly</v>
      </c>
      <c r="M928" s="49"/>
      <c r="N928" s="49" t="str">
        <f>IFERROR(__xludf.DUMMYFUNCTION("""COMPUTED_VALUE"""),"confidence")</f>
        <v>confidence</v>
      </c>
      <c r="O928" s="49" t="str">
        <f>IFERROR(__xludf.DUMMYFUNCTION("""COMPUTED_VALUE"""),"evaluate")</f>
        <v>evaluate</v>
      </c>
      <c r="P928" s="49" t="str">
        <f t="shared" si="2"/>
        <v>dressed,</v>
      </c>
      <c r="Q928" s="49"/>
      <c r="R928" s="50" t="s">
        <v>7139</v>
      </c>
      <c r="S928" s="55" t="s">
        <v>560</v>
      </c>
      <c r="T928" s="49" t="str">
        <f>IFERROR(__xludf.DUMMYFUNCTION("""COMPUTED_VALUE"""),"olympic")</f>
        <v>olympic</v>
      </c>
      <c r="U928" s="49"/>
      <c r="V928" s="49"/>
      <c r="W928" s="49" t="str">
        <f>IFERROR(__xludf.DUMMYFUNCTION("""COMPUTED_VALUE"""),"intent")</f>
        <v>intent</v>
      </c>
      <c r="X928" s="49" t="str">
        <f t="shared" si="3"/>
        <v>commitment,</v>
      </c>
      <c r="Y928" s="49"/>
      <c r="Z928" s="1" t="s">
        <v>4146</v>
      </c>
      <c r="AA928" s="1" t="s">
        <v>1118</v>
      </c>
      <c r="AB928" s="49" t="str">
        <f>IFERROR(__xludf.DUMMYFUNCTION("""COMPUTED_VALUE"""),"parental")</f>
        <v>parental</v>
      </c>
      <c r="AC928" s="49"/>
      <c r="AD928" s="49" t="str">
        <f>IFERROR(__xludf.DUMMYFUNCTION("""COMPUTED_VALUE"""),"confidence")</f>
        <v>confidence</v>
      </c>
      <c r="AE928" s="49" t="str">
        <f>IFERROR(__xludf.DUMMYFUNCTION("""COMPUTED_VALUE"""),"evaluate")</f>
        <v>evaluate</v>
      </c>
      <c r="AF928" s="49" t="str">
        <f t="shared" si="4"/>
        <v>ryan,</v>
      </c>
      <c r="AG928" s="49"/>
      <c r="AH928" s="1" t="s">
        <v>4145</v>
      </c>
      <c r="AI928" s="1" t="s">
        <v>6343</v>
      </c>
      <c r="AJ928" s="6" t="str">
        <f>IFERROR(__xludf.DUMMYFUNCTION("""COMPUTED_VALUE"""),"shifted")</f>
        <v>shifted</v>
      </c>
      <c r="AK928" s="49"/>
      <c r="AL928" s="49"/>
      <c r="AM928" s="49"/>
      <c r="AN928" s="52" t="str">
        <f t="shared" si="5"/>
        <v>critics,</v>
      </c>
    </row>
    <row r="929">
      <c r="A929" s="51"/>
      <c r="B929" s="50" t="s">
        <v>1704</v>
      </c>
      <c r="C929" s="50" t="s">
        <v>3419</v>
      </c>
      <c r="D929" s="49" t="str">
        <f>IFERROR(__xludf.DUMMYFUNCTION("""COMPUTED_VALUE"""),"waste")</f>
        <v>waste</v>
      </c>
      <c r="E929" s="49"/>
      <c r="F929" s="49"/>
      <c r="G929" s="49"/>
      <c r="H929" s="54" t="str">
        <f t="shared" si="1"/>
        <v>named,</v>
      </c>
      <c r="I929" s="50"/>
      <c r="J929" s="50" t="s">
        <v>760</v>
      </c>
      <c r="K929" s="50" t="s">
        <v>2200</v>
      </c>
      <c r="L929" s="49" t="str">
        <f>IFERROR(__xludf.DUMMYFUNCTION("""COMPUTED_VALUE"""),"salvage")</f>
        <v>salvage</v>
      </c>
      <c r="M929" s="49"/>
      <c r="N929" s="49" t="str">
        <f>IFERROR(__xludf.DUMMYFUNCTION("""COMPUTED_VALUE"""),"dust")</f>
        <v>dust</v>
      </c>
      <c r="O929" s="49" t="str">
        <f>IFERROR(__xludf.DUMMYFUNCTION("""COMPUTED_VALUE"""),"sterling")</f>
        <v>sterling</v>
      </c>
      <c r="P929" s="49" t="str">
        <f t="shared" si="2"/>
        <v>seems,</v>
      </c>
      <c r="Q929" s="49"/>
      <c r="R929" s="50" t="s">
        <v>2865</v>
      </c>
      <c r="S929" s="55" t="s">
        <v>3442</v>
      </c>
      <c r="T929" s="49" t="str">
        <f>IFERROR(__xludf.DUMMYFUNCTION("""COMPUTED_VALUE"""),"weep")</f>
        <v>weep</v>
      </c>
      <c r="U929" s="49"/>
      <c r="V929" s="49"/>
      <c r="W929" s="49" t="str">
        <f>IFERROR(__xludf.DUMMYFUNCTION("""COMPUTED_VALUE"""),"creeping")</f>
        <v>creeping</v>
      </c>
      <c r="X929" s="49" t="str">
        <f t="shared" si="3"/>
        <v>fears,</v>
      </c>
      <c r="Y929" s="49"/>
      <c r="Z929" s="1" t="s">
        <v>194</v>
      </c>
      <c r="AA929" s="1" t="s">
        <v>3697</v>
      </c>
      <c r="AB929" s="49" t="str">
        <f>IFERROR(__xludf.DUMMYFUNCTION("""COMPUTED_VALUE"""),"dismissed")</f>
        <v>dismissed</v>
      </c>
      <c r="AC929" s="49"/>
      <c r="AD929" s="49" t="str">
        <f>IFERROR(__xludf.DUMMYFUNCTION("""COMPUTED_VALUE"""),"dust")</f>
        <v>dust</v>
      </c>
      <c r="AE929" s="49" t="str">
        <f>IFERROR(__xludf.DUMMYFUNCTION("""COMPUTED_VALUE"""),"sterling")</f>
        <v>sterling</v>
      </c>
      <c r="AF929" s="49" t="str">
        <f t="shared" si="4"/>
        <v>original,</v>
      </c>
      <c r="AG929" s="49"/>
      <c r="AH929" s="1" t="s">
        <v>6075</v>
      </c>
      <c r="AI929" s="1" t="s">
        <v>1918</v>
      </c>
      <c r="AJ929" s="6" t="str">
        <f>IFERROR(__xludf.DUMMYFUNCTION("""COMPUTED_VALUE"""),"smell")</f>
        <v>smell</v>
      </c>
      <c r="AK929" s="49"/>
      <c r="AL929" s="49"/>
      <c r="AM929" s="49"/>
      <c r="AN929" s="52" t="str">
        <f t="shared" si="5"/>
        <v>negative,</v>
      </c>
    </row>
    <row r="930">
      <c r="A930" s="51"/>
      <c r="B930" s="50" t="s">
        <v>3461</v>
      </c>
      <c r="C930" s="50" t="s">
        <v>830</v>
      </c>
      <c r="D930" s="49" t="str">
        <f>IFERROR(__xludf.DUMMYFUNCTION("""COMPUTED_VALUE"""),"franchise")</f>
        <v>franchise</v>
      </c>
      <c r="E930" s="49"/>
      <c r="F930" s="49"/>
      <c r="G930" s="49"/>
      <c r="H930" s="54" t="str">
        <f t="shared" si="1"/>
        <v>bill,</v>
      </c>
      <c r="I930" s="50"/>
      <c r="J930" s="50" t="s">
        <v>2116</v>
      </c>
      <c r="K930" s="50" t="s">
        <v>2132</v>
      </c>
      <c r="L930" s="49" t="str">
        <f>IFERROR(__xludf.DUMMYFUNCTION("""COMPUTED_VALUE"""),"packed")</f>
        <v>packed</v>
      </c>
      <c r="M930" s="49"/>
      <c r="N930" s="49" t="str">
        <f>IFERROR(__xludf.DUMMYFUNCTION("""COMPUTED_VALUE"""),"charge")</f>
        <v>charge</v>
      </c>
      <c r="O930" s="49" t="str">
        <f>IFERROR(__xludf.DUMMYFUNCTION("""COMPUTED_VALUE"""),"thrusts")</f>
        <v>thrusts</v>
      </c>
      <c r="P930" s="49" t="str">
        <f t="shared" si="2"/>
        <v>sleep,</v>
      </c>
      <c r="Q930" s="49"/>
      <c r="R930" s="50" t="s">
        <v>4933</v>
      </c>
      <c r="S930" s="55" t="s">
        <v>2061</v>
      </c>
      <c r="T930" s="49" t="str">
        <f>IFERROR(__xludf.DUMMYFUNCTION("""COMPUTED_VALUE"""),"fine")</f>
        <v>fine</v>
      </c>
      <c r="U930" s="49"/>
      <c r="V930" s="49"/>
      <c r="W930" s="49" t="str">
        <f>IFERROR(__xludf.DUMMYFUNCTION("""COMPUTED_VALUE"""),"economical")</f>
        <v>economical</v>
      </c>
      <c r="X930" s="49" t="str">
        <f t="shared" si="3"/>
        <v>figures,</v>
      </c>
      <c r="Y930" s="49"/>
      <c r="Z930" s="1" t="s">
        <v>2047</v>
      </c>
      <c r="AA930" s="1" t="s">
        <v>3699</v>
      </c>
      <c r="AB930" s="49" t="str">
        <f>IFERROR(__xludf.DUMMYFUNCTION("""COMPUTED_VALUE"""),"crossover")</f>
        <v>crossover</v>
      </c>
      <c r="AC930" s="49"/>
      <c r="AD930" s="49" t="str">
        <f>IFERROR(__xludf.DUMMYFUNCTION("""COMPUTED_VALUE"""),"charge")</f>
        <v>charge</v>
      </c>
      <c r="AE930" s="49" t="str">
        <f>IFERROR(__xludf.DUMMYFUNCTION("""COMPUTED_VALUE"""),"thrusts")</f>
        <v>thrusts</v>
      </c>
      <c r="AF930" s="49" t="str">
        <f t="shared" si="4"/>
        <v>rare,</v>
      </c>
      <c r="AG930" s="49"/>
      <c r="AH930" s="1" t="s">
        <v>6640</v>
      </c>
      <c r="AI930" s="1" t="s">
        <v>4993</v>
      </c>
      <c r="AJ930" s="6" t="str">
        <f>IFERROR(__xludf.DUMMYFUNCTION("""COMPUTED_VALUE"""),"confused")</f>
        <v>confused</v>
      </c>
      <c r="AK930" s="49"/>
      <c r="AL930" s="49"/>
      <c r="AM930" s="49"/>
      <c r="AN930" s="52" t="str">
        <f t="shared" si="5"/>
        <v>comfortable,</v>
      </c>
    </row>
    <row r="931">
      <c r="A931" s="51"/>
      <c r="B931" s="50" t="s">
        <v>6522</v>
      </c>
      <c r="C931" s="50" t="s">
        <v>1944</v>
      </c>
      <c r="D931" s="49" t="str">
        <f>IFERROR(__xludf.DUMMYFUNCTION("""COMPUTED_VALUE"""),"predecessor")</f>
        <v>predecessor</v>
      </c>
      <c r="E931" s="49"/>
      <c r="F931" s="49"/>
      <c r="G931" s="49"/>
      <c r="H931" s="54" t="str">
        <f t="shared" si="1"/>
        <v>fast,</v>
      </c>
      <c r="I931" s="50"/>
      <c r="J931" s="50" t="s">
        <v>2795</v>
      </c>
      <c r="K931" s="50" t="s">
        <v>3440</v>
      </c>
      <c r="L931" s="49" t="str">
        <f>IFERROR(__xludf.DUMMYFUNCTION("""COMPUTED_VALUE"""),"crane")</f>
        <v>crane</v>
      </c>
      <c r="M931" s="49"/>
      <c r="N931" s="49" t="str">
        <f>IFERROR(__xludf.DUMMYFUNCTION("""COMPUTED_VALUE"""),"knee")</f>
        <v>knee</v>
      </c>
      <c r="O931" s="49" t="str">
        <f>IFERROR(__xludf.DUMMYFUNCTION("""COMPUTED_VALUE"""),"backbone")</f>
        <v>backbone</v>
      </c>
      <c r="P931" s="49" t="str">
        <f t="shared" si="2"/>
        <v>wan,</v>
      </c>
      <c r="Q931" s="49"/>
      <c r="R931" s="50" t="s">
        <v>2852</v>
      </c>
      <c r="S931" s="55" t="s">
        <v>3071</v>
      </c>
      <c r="T931" s="49" t="str">
        <f>IFERROR(__xludf.DUMMYFUNCTION("""COMPUTED_VALUE"""),"realized")</f>
        <v>realized</v>
      </c>
      <c r="U931" s="49"/>
      <c r="V931" s="49"/>
      <c r="W931" s="49" t="str">
        <f>IFERROR(__xludf.DUMMYFUNCTION("""COMPUTED_VALUE"""),"spider")</f>
        <v>spider</v>
      </c>
      <c r="X931" s="49" t="str">
        <f t="shared" si="3"/>
        <v>featuring,</v>
      </c>
      <c r="Y931" s="49"/>
      <c r="Z931" s="1" t="s">
        <v>397</v>
      </c>
      <c r="AA931" s="1" t="s">
        <v>3702</v>
      </c>
      <c r="AB931" s="49" t="str">
        <f>IFERROR(__xludf.DUMMYFUNCTION("""COMPUTED_VALUE"""),"realistic")</f>
        <v>realistic</v>
      </c>
      <c r="AC931" s="49"/>
      <c r="AD931" s="49" t="str">
        <f>IFERROR(__xludf.DUMMYFUNCTION("""COMPUTED_VALUE"""),"knee")</f>
        <v>knee</v>
      </c>
      <c r="AE931" s="49" t="str">
        <f>IFERROR(__xludf.DUMMYFUNCTION("""COMPUTED_VALUE"""),"backbone")</f>
        <v>backbone</v>
      </c>
      <c r="AF931" s="49" t="str">
        <f t="shared" si="4"/>
        <v>usual,</v>
      </c>
      <c r="AG931" s="49"/>
      <c r="AH931" s="1" t="s">
        <v>2333</v>
      </c>
      <c r="AI931" s="1" t="s">
        <v>2474</v>
      </c>
      <c r="AJ931" s="6" t="str">
        <f>IFERROR(__xludf.DUMMYFUNCTION("""COMPUTED_VALUE"""),"appropriate")</f>
        <v>appropriate</v>
      </c>
      <c r="AK931" s="49"/>
      <c r="AL931" s="49"/>
      <c r="AM931" s="49"/>
      <c r="AN931" s="52" t="str">
        <f t="shared" si="5"/>
        <v>destination,</v>
      </c>
    </row>
    <row r="932">
      <c r="A932" s="51"/>
      <c r="B932" s="50" t="s">
        <v>5587</v>
      </c>
      <c r="C932" s="50" t="s">
        <v>1973</v>
      </c>
      <c r="D932" s="49" t="str">
        <f>IFERROR(__xludf.DUMMYFUNCTION("""COMPUTED_VALUE"""),"sets")</f>
        <v>sets</v>
      </c>
      <c r="E932" s="49"/>
      <c r="F932" s="49"/>
      <c r="G932" s="49"/>
      <c r="H932" s="54" t="str">
        <f t="shared" si="1"/>
        <v>iii,</v>
      </c>
      <c r="I932" s="50"/>
      <c r="J932" s="50" t="s">
        <v>4925</v>
      </c>
      <c r="K932" s="50" t="s">
        <v>2209</v>
      </c>
      <c r="L932" s="49" t="str">
        <f>IFERROR(__xludf.DUMMYFUNCTION("""COMPUTED_VALUE"""),"convinced")</f>
        <v>convinced</v>
      </c>
      <c r="M932" s="49"/>
      <c r="N932" s="49" t="str">
        <f>IFERROR(__xludf.DUMMYFUNCTION("""COMPUTED_VALUE"""),"reaction")</f>
        <v>reaction</v>
      </c>
      <c r="O932" s="49" t="str">
        <f>IFERROR(__xludf.DUMMYFUNCTION("""COMPUTED_VALUE"""),"hook")</f>
        <v>hook</v>
      </c>
      <c r="P932" s="49" t="str">
        <f t="shared" si="2"/>
        <v>crawl,</v>
      </c>
      <c r="Q932" s="49"/>
      <c r="R932" s="50" t="s">
        <v>3905</v>
      </c>
      <c r="S932" s="55" t="s">
        <v>2905</v>
      </c>
      <c r="T932" s="49" t="str">
        <f>IFERROR(__xludf.DUMMYFUNCTION("""COMPUTED_VALUE"""),"beautifully")</f>
        <v>beautifully</v>
      </c>
      <c r="U932" s="49"/>
      <c r="V932" s="49"/>
      <c r="W932" s="49" t="str">
        <f>IFERROR(__xludf.DUMMYFUNCTION("""COMPUTED_VALUE"""),"distinctly")</f>
        <v>distinctly</v>
      </c>
      <c r="X932" s="49" t="str">
        <f t="shared" si="3"/>
        <v>figure,</v>
      </c>
      <c r="Y932" s="49"/>
      <c r="Z932" s="1" t="s">
        <v>1150</v>
      </c>
      <c r="AA932" s="1" t="s">
        <v>1241</v>
      </c>
      <c r="AB932" s="49" t="str">
        <f>IFERROR(__xludf.DUMMYFUNCTION("""COMPUTED_VALUE"""),"plotted")</f>
        <v>plotted</v>
      </c>
      <c r="AC932" s="49"/>
      <c r="AD932" s="49" t="str">
        <f>IFERROR(__xludf.DUMMYFUNCTION("""COMPUTED_VALUE"""),"reaction")</f>
        <v>reaction</v>
      </c>
      <c r="AE932" s="49" t="str">
        <f>IFERROR(__xludf.DUMMYFUNCTION("""COMPUTED_VALUE"""),"hook")</f>
        <v>hook</v>
      </c>
      <c r="AF932" s="49" t="str">
        <f t="shared" si="4"/>
        <v>needed,</v>
      </c>
      <c r="AG932" s="49"/>
      <c r="AH932" s="1" t="s">
        <v>810</v>
      </c>
      <c r="AI932" s="1" t="s">
        <v>1690</v>
      </c>
      <c r="AJ932" s="6" t="str">
        <f>IFERROR(__xludf.DUMMYFUNCTION("""COMPUTED_VALUE"""),"disaster")</f>
        <v>disaster</v>
      </c>
      <c r="AK932" s="49"/>
      <c r="AL932" s="49"/>
      <c r="AM932" s="49"/>
      <c r="AN932" s="52" t="str">
        <f t="shared" si="5"/>
        <v>help,</v>
      </c>
    </row>
    <row r="933">
      <c r="A933" s="51"/>
      <c r="B933" s="50" t="s">
        <v>4506</v>
      </c>
      <c r="C933" s="50" t="s">
        <v>6396</v>
      </c>
      <c r="D933" s="49" t="str">
        <f>IFERROR(__xludf.DUMMYFUNCTION("""COMPUTED_VALUE"""),"sentence")</f>
        <v>sentence</v>
      </c>
      <c r="E933" s="49"/>
      <c r="F933" s="49"/>
      <c r="G933" s="49"/>
      <c r="H933" s="54" t="str">
        <f t="shared" si="1"/>
        <v>ocean,</v>
      </c>
      <c r="I933" s="50"/>
      <c r="J933" s="50" t="s">
        <v>2362</v>
      </c>
      <c r="K933" s="50" t="s">
        <v>2205</v>
      </c>
      <c r="L933" s="49" t="str">
        <f>IFERROR(__xludf.DUMMYFUNCTION("""COMPUTED_VALUE"""),"issues")</f>
        <v>issues</v>
      </c>
      <c r="M933" s="49"/>
      <c r="N933" s="49" t="str">
        <f>IFERROR(__xludf.DUMMYFUNCTION("""COMPUTED_VALUE"""),"tap")</f>
        <v>tap</v>
      </c>
      <c r="O933" s="49" t="str">
        <f>IFERROR(__xludf.DUMMYFUNCTION("""COMPUTED_VALUE"""),"courageous")</f>
        <v>courageous</v>
      </c>
      <c r="P933" s="49" t="str">
        <f t="shared" si="2"/>
        <v>computer,</v>
      </c>
      <c r="Q933" s="49"/>
      <c r="R933" s="50" t="s">
        <v>1065</v>
      </c>
      <c r="S933" s="55" t="s">
        <v>871</v>
      </c>
      <c r="T933" s="49" t="str">
        <f>IFERROR(__xludf.DUMMYFUNCTION("""COMPUTED_VALUE"""),"memory")</f>
        <v>memory</v>
      </c>
      <c r="U933" s="49"/>
      <c r="V933" s="49"/>
      <c r="W933" s="49" t="str">
        <f>IFERROR(__xludf.DUMMYFUNCTION("""COMPUTED_VALUE"""),"setting")</f>
        <v>setting</v>
      </c>
      <c r="X933" s="49" t="str">
        <f t="shared" si="3"/>
        <v>sensitive,</v>
      </c>
      <c r="Y933" s="49"/>
      <c r="Z933" s="1" t="s">
        <v>546</v>
      </c>
      <c r="AA933" s="1" t="s">
        <v>1245</v>
      </c>
      <c r="AB933" s="49" t="str">
        <f>IFERROR(__xludf.DUMMYFUNCTION("""COMPUTED_VALUE"""),"explores")</f>
        <v>explores</v>
      </c>
      <c r="AC933" s="49"/>
      <c r="AD933" s="49" t="str">
        <f>IFERROR(__xludf.DUMMYFUNCTION("""COMPUTED_VALUE"""),"tap")</f>
        <v>tap</v>
      </c>
      <c r="AE933" s="49" t="str">
        <f>IFERROR(__xludf.DUMMYFUNCTION("""COMPUTED_VALUE"""),"courageous")</f>
        <v>courageous</v>
      </c>
      <c r="AF933" s="49" t="str">
        <f t="shared" si="4"/>
        <v>summer,</v>
      </c>
      <c r="AG933" s="49"/>
      <c r="AH933" s="1" t="s">
        <v>5056</v>
      </c>
      <c r="AI933" s="1" t="s">
        <v>3356</v>
      </c>
      <c r="AJ933" s="6" t="str">
        <f>IFERROR(__xludf.DUMMYFUNCTION("""COMPUTED_VALUE"""),"flood")</f>
        <v>flood</v>
      </c>
      <c r="AK933" s="49"/>
      <c r="AL933" s="49"/>
      <c r="AM933" s="49"/>
      <c r="AN933" s="52" t="str">
        <f t="shared" si="5"/>
        <v>release,</v>
      </c>
    </row>
    <row r="934">
      <c r="A934" s="51"/>
      <c r="B934" s="50" t="s">
        <v>3471</v>
      </c>
      <c r="C934" s="50" t="s">
        <v>2725</v>
      </c>
      <c r="D934" s="49" t="str">
        <f>IFERROR(__xludf.DUMMYFUNCTION("""COMPUTED_VALUE"""),"romantic")</f>
        <v>romantic</v>
      </c>
      <c r="E934" s="49"/>
      <c r="F934" s="49"/>
      <c r="G934" s="49"/>
      <c r="H934" s="54" t="str">
        <f t="shared" si="1"/>
        <v>taylor,</v>
      </c>
      <c r="I934" s="50"/>
      <c r="J934" s="50" t="s">
        <v>997</v>
      </c>
      <c r="K934" s="50" t="s">
        <v>2212</v>
      </c>
      <c r="L934" s="49" t="str">
        <f>IFERROR(__xludf.DUMMYFUNCTION("""COMPUTED_VALUE"""),"laughter")</f>
        <v>laughter</v>
      </c>
      <c r="M934" s="49"/>
      <c r="N934" s="49" t="str">
        <f>IFERROR(__xludf.DUMMYFUNCTION("""COMPUTED_VALUE"""),"ridden")</f>
        <v>ridden</v>
      </c>
      <c r="O934" s="49" t="str">
        <f>IFERROR(__xludf.DUMMYFUNCTION("""COMPUTED_VALUE"""),"allegiance")</f>
        <v>allegiance</v>
      </c>
      <c r="P934" s="49" t="str">
        <f t="shared" si="2"/>
        <v>spectacle,</v>
      </c>
      <c r="Q934" s="49"/>
      <c r="R934" s="50" t="s">
        <v>5320</v>
      </c>
      <c r="S934" s="55" t="s">
        <v>2060</v>
      </c>
      <c r="T934" s="49" t="str">
        <f>IFERROR(__xludf.DUMMYFUNCTION("""COMPUTED_VALUE"""),"belly")</f>
        <v>belly</v>
      </c>
      <c r="U934" s="49"/>
      <c r="V934" s="49"/>
      <c r="W934" s="49" t="str">
        <f>IFERROR(__xludf.DUMMYFUNCTION("""COMPUTED_VALUE"""),"vietnamese")</f>
        <v>vietnamese</v>
      </c>
      <c r="X934" s="49" t="str">
        <f t="shared" si="3"/>
        <v>butt,</v>
      </c>
      <c r="Y934" s="49"/>
      <c r="Z934" s="1" t="s">
        <v>3463</v>
      </c>
      <c r="AA934" s="1" t="s">
        <v>2560</v>
      </c>
      <c r="AB934" s="49" t="b">
        <f>IFERROR(__xludf.DUMMYFUNCTION("""COMPUTED_VALUE"""),FALSE)</f>
        <v>0</v>
      </c>
      <c r="AC934" s="49"/>
      <c r="AD934" s="49" t="str">
        <f>IFERROR(__xludf.DUMMYFUNCTION("""COMPUTED_VALUE"""),"ridden")</f>
        <v>ridden</v>
      </c>
      <c r="AE934" s="49" t="str">
        <f>IFERROR(__xludf.DUMMYFUNCTION("""COMPUTED_VALUE"""),"allegiance")</f>
        <v>allegiance</v>
      </c>
      <c r="AF934" s="49" t="str">
        <f t="shared" si="4"/>
        <v>kevin,</v>
      </c>
      <c r="AG934" s="49"/>
      <c r="AH934" s="1" t="s">
        <v>1775</v>
      </c>
      <c r="AI934" s="1" t="s">
        <v>6412</v>
      </c>
      <c r="AJ934" s="6" t="str">
        <f>IFERROR(__xludf.DUMMYFUNCTION("""COMPUTED_VALUE"""),"being")</f>
        <v>being</v>
      </c>
      <c r="AK934" s="49"/>
      <c r="AL934" s="49"/>
      <c r="AM934" s="49"/>
      <c r="AN934" s="52" t="str">
        <f t="shared" si="5"/>
        <v>date,</v>
      </c>
    </row>
    <row r="935">
      <c r="A935" s="51"/>
      <c r="B935" s="50" t="s">
        <v>739</v>
      </c>
      <c r="C935" s="50" t="s">
        <v>3484</v>
      </c>
      <c r="D935" s="49" t="str">
        <f>IFERROR(__xludf.DUMMYFUNCTION("""COMPUTED_VALUE"""),"doubt")</f>
        <v>doubt</v>
      </c>
      <c r="E935" s="49"/>
      <c r="F935" s="49"/>
      <c r="G935" s="49"/>
      <c r="H935" s="54" t="str">
        <f t="shared" si="1"/>
        <v>legend,</v>
      </c>
      <c r="I935" s="50"/>
      <c r="J935" s="50" t="s">
        <v>3939</v>
      </c>
      <c r="K935" s="50" t="s">
        <v>2247</v>
      </c>
      <c r="L935" s="49" t="str">
        <f>IFERROR(__xludf.DUMMYFUNCTION("""COMPUTED_VALUE"""),"wander")</f>
        <v>wander</v>
      </c>
      <c r="M935" s="49"/>
      <c r="N935" s="49" t="str">
        <f>IFERROR(__xludf.DUMMYFUNCTION("""COMPUTED_VALUE"""),"solo")</f>
        <v>solo</v>
      </c>
      <c r="O935" s="49" t="str">
        <f>IFERROR(__xludf.DUMMYFUNCTION("""COMPUTED_VALUE"""),"pony")</f>
        <v>pony</v>
      </c>
      <c r="P935" s="49" t="str">
        <f t="shared" si="2"/>
        <v>trade,</v>
      </c>
      <c r="Q935" s="49"/>
      <c r="R935" s="50" t="s">
        <v>1427</v>
      </c>
      <c r="S935" s="55" t="s">
        <v>1032</v>
      </c>
      <c r="T935" s="49" t="str">
        <f>IFERROR(__xludf.DUMMYFUNCTION("""COMPUTED_VALUE"""),"forced")</f>
        <v>forced</v>
      </c>
      <c r="U935" s="49"/>
      <c r="V935" s="49"/>
      <c r="W935" s="49" t="str">
        <f>IFERROR(__xludf.DUMMYFUNCTION("""COMPUTED_VALUE"""),"theories")</f>
        <v>theories</v>
      </c>
      <c r="X935" s="49" t="str">
        <f t="shared" si="3"/>
        <v>kicking,</v>
      </c>
      <c r="Y935" s="49"/>
      <c r="Z935" s="1" t="s">
        <v>4621</v>
      </c>
      <c r="AA935" s="1" t="s">
        <v>2563</v>
      </c>
      <c r="AB935" s="49" t="str">
        <f>IFERROR(__xludf.DUMMYFUNCTION("""COMPUTED_VALUE"""),"jerking")</f>
        <v>jerking</v>
      </c>
      <c r="AC935" s="49"/>
      <c r="AD935" s="49" t="str">
        <f>IFERROR(__xludf.DUMMYFUNCTION("""COMPUTED_VALUE"""),"solo")</f>
        <v>solo</v>
      </c>
      <c r="AE935" s="49" t="str">
        <f>IFERROR(__xludf.DUMMYFUNCTION("""COMPUTED_VALUE"""),"pony")</f>
        <v>pony</v>
      </c>
      <c r="AF935" s="49" t="str">
        <f t="shared" si="4"/>
        <v>catch,</v>
      </c>
      <c r="AG935" s="49"/>
      <c r="AH935" s="1" t="s">
        <v>3882</v>
      </c>
      <c r="AI935" s="1" t="s">
        <v>2708</v>
      </c>
      <c r="AJ935" s="6" t="str">
        <f>IFERROR(__xludf.DUMMYFUNCTION("""COMPUTED_VALUE"""),"present")</f>
        <v>present</v>
      </c>
      <c r="AK935" s="49"/>
      <c r="AL935" s="49"/>
      <c r="AM935" s="49"/>
      <c r="AN935" s="52" t="str">
        <f t="shared" si="5"/>
        <v>changes,</v>
      </c>
    </row>
    <row r="936">
      <c r="A936" s="51"/>
      <c r="B936" s="50" t="s">
        <v>6735</v>
      </c>
      <c r="C936" s="50" t="s">
        <v>3212</v>
      </c>
      <c r="D936" s="49" t="str">
        <f>IFERROR(__xludf.DUMMYFUNCTION("""COMPUTED_VALUE"""),"subjects")</f>
        <v>subjects</v>
      </c>
      <c r="E936" s="49"/>
      <c r="F936" s="49"/>
      <c r="G936" s="49"/>
      <c r="H936" s="54" t="str">
        <f t="shared" si="1"/>
        <v>rated,</v>
      </c>
      <c r="I936" s="50"/>
      <c r="J936" s="50" t="s">
        <v>3639</v>
      </c>
      <c r="K936" s="50" t="s">
        <v>2216</v>
      </c>
      <c r="L936" s="49" t="str">
        <f>IFERROR(__xludf.DUMMYFUNCTION("""COMPUTED_VALUE"""),"introducing")</f>
        <v>introducing</v>
      </c>
      <c r="M936" s="49"/>
      <c r="N936" s="49" t="str">
        <f>IFERROR(__xludf.DUMMYFUNCTION("""COMPUTED_VALUE"""),"doubtful")</f>
        <v>doubtful</v>
      </c>
      <c r="O936" s="49" t="str">
        <f>IFERROR(__xludf.DUMMYFUNCTION("""COMPUTED_VALUE"""),"prominently")</f>
        <v>prominently</v>
      </c>
      <c r="P936" s="49" t="str">
        <f t="shared" si="2"/>
        <v>wise,</v>
      </c>
      <c r="Q936" s="49"/>
      <c r="R936" s="50" t="s">
        <v>742</v>
      </c>
      <c r="S936" s="55" t="s">
        <v>2068</v>
      </c>
      <c r="T936" s="49" t="str">
        <f>IFERROR(__xludf.DUMMYFUNCTION("""COMPUTED_VALUE"""),"lying")</f>
        <v>lying</v>
      </c>
      <c r="U936" s="49"/>
      <c r="V936" s="49"/>
      <c r="W936" s="49" t="str">
        <f>IFERROR(__xludf.DUMMYFUNCTION("""COMPUTED_VALUE"""),"ominous")</f>
        <v>ominous</v>
      </c>
      <c r="X936" s="49" t="str">
        <f t="shared" si="3"/>
        <v>miss,</v>
      </c>
      <c r="Y936" s="49"/>
      <c r="Z936" s="1" t="s">
        <v>1981</v>
      </c>
      <c r="AA936" s="1" t="s">
        <v>3711</v>
      </c>
      <c r="AB936" s="49" t="str">
        <f>IFERROR(__xludf.DUMMYFUNCTION("""COMPUTED_VALUE"""),"fool")</f>
        <v>fool</v>
      </c>
      <c r="AC936" s="49"/>
      <c r="AD936" s="49" t="str">
        <f>IFERROR(__xludf.DUMMYFUNCTION("""COMPUTED_VALUE"""),"doubtful")</f>
        <v>doubtful</v>
      </c>
      <c r="AE936" s="49" t="str">
        <f>IFERROR(__xludf.DUMMYFUNCTION("""COMPUTED_VALUE"""),"prominently")</f>
        <v>prominently</v>
      </c>
      <c r="AF936" s="49" t="str">
        <f t="shared" si="4"/>
        <v>sets,</v>
      </c>
      <c r="AG936" s="49"/>
      <c r="AH936" s="1" t="s">
        <v>732</v>
      </c>
      <c r="AI936" s="1" t="s">
        <v>2703</v>
      </c>
      <c r="AJ936" s="6" t="str">
        <f>IFERROR(__xludf.DUMMYFUNCTION("""COMPUTED_VALUE"""),"today")</f>
        <v>today</v>
      </c>
      <c r="AK936" s="49"/>
      <c r="AL936" s="49"/>
      <c r="AM936" s="49"/>
      <c r="AN936" s="52" t="str">
        <f t="shared" si="5"/>
        <v>initial,</v>
      </c>
    </row>
    <row r="937">
      <c r="A937" s="51"/>
      <c r="B937" s="50" t="s">
        <v>312</v>
      </c>
      <c r="C937" s="50" t="s">
        <v>3590</v>
      </c>
      <c r="D937" s="49" t="str">
        <f>IFERROR(__xludf.DUMMYFUNCTION("""COMPUTED_VALUE"""),"teen")</f>
        <v>teen</v>
      </c>
      <c r="E937" s="49"/>
      <c r="F937" s="49"/>
      <c r="G937" s="49"/>
      <c r="H937" s="54" t="str">
        <f t="shared" si="1"/>
        <v>nowhere,</v>
      </c>
      <c r="I937" s="50"/>
      <c r="J937" s="50" t="s">
        <v>3943</v>
      </c>
      <c r="K937" s="50" t="s">
        <v>628</v>
      </c>
      <c r="L937" s="49" t="str">
        <f>IFERROR(__xludf.DUMMYFUNCTION("""COMPUTED_VALUE"""),"brand")</f>
        <v>brand</v>
      </c>
      <c r="M937" s="49"/>
      <c r="N937" s="49" t="str">
        <f>IFERROR(__xludf.DUMMYFUNCTION("""COMPUTED_VALUE"""),"intentionally")</f>
        <v>intentionally</v>
      </c>
      <c r="O937" s="49" t="str">
        <f>IFERROR(__xludf.DUMMYFUNCTION("""COMPUTED_VALUE"""),"vaguely")</f>
        <v>vaguely</v>
      </c>
      <c r="P937" s="49" t="str">
        <f t="shared" si="2"/>
        <v>episode,</v>
      </c>
      <c r="Q937" s="49"/>
      <c r="R937" s="50" t="s">
        <v>3118</v>
      </c>
      <c r="S937" s="55" t="s">
        <v>2072</v>
      </c>
      <c r="T937" s="49" t="str">
        <f>IFERROR(__xludf.DUMMYFUNCTION("""COMPUTED_VALUE"""),"leaves")</f>
        <v>leaves</v>
      </c>
      <c r="U937" s="49"/>
      <c r="V937" s="49"/>
      <c r="W937" s="49" t="str">
        <f>IFERROR(__xludf.DUMMYFUNCTION("""COMPUTED_VALUE"""),"earthly")</f>
        <v>earthly</v>
      </c>
      <c r="X937" s="49" t="str">
        <f t="shared" si="3"/>
        <v>raw,</v>
      </c>
      <c r="Y937" s="49"/>
      <c r="Z937" s="1" t="s">
        <v>1072</v>
      </c>
      <c r="AA937" s="1" t="s">
        <v>3713</v>
      </c>
      <c r="AB937" s="49" t="str">
        <f>IFERROR(__xludf.DUMMYFUNCTION("""COMPUTED_VALUE"""),"redundant")</f>
        <v>redundant</v>
      </c>
      <c r="AC937" s="49"/>
      <c r="AD937" s="49" t="str">
        <f>IFERROR(__xludf.DUMMYFUNCTION("""COMPUTED_VALUE"""),"intentionally")</f>
        <v>intentionally</v>
      </c>
      <c r="AE937" s="49" t="str">
        <f>IFERROR(__xludf.DUMMYFUNCTION("""COMPUTED_VALUE"""),"vaguely")</f>
        <v>vaguely</v>
      </c>
      <c r="AF937" s="49" t="str">
        <f t="shared" si="4"/>
        <v>fans,</v>
      </c>
      <c r="AG937" s="49"/>
      <c r="AH937" s="1" t="s">
        <v>3775</v>
      </c>
      <c r="AI937" s="1" t="s">
        <v>1766</v>
      </c>
      <c r="AJ937" s="6" t="str">
        <f>IFERROR(__xludf.DUMMYFUNCTION("""COMPUTED_VALUE"""),"else")</f>
        <v>else</v>
      </c>
      <c r="AK937" s="49"/>
      <c r="AL937" s="49"/>
      <c r="AM937" s="49"/>
      <c r="AN937" s="52" t="str">
        <f t="shared" si="5"/>
        <v>rain,</v>
      </c>
    </row>
    <row r="938">
      <c r="A938" s="51"/>
      <c r="B938" s="50" t="s">
        <v>260</v>
      </c>
      <c r="C938" s="50" t="s">
        <v>3488</v>
      </c>
      <c r="D938" s="49" t="str">
        <f>IFERROR(__xludf.DUMMYFUNCTION("""COMPUTED_VALUE"""),"highway")</f>
        <v>highway</v>
      </c>
      <c r="E938" s="49"/>
      <c r="F938" s="49"/>
      <c r="G938" s="49"/>
      <c r="H938" s="54" t="str">
        <f t="shared" si="1"/>
        <v>thought,</v>
      </c>
      <c r="I938" s="50"/>
      <c r="J938" s="50" t="s">
        <v>4469</v>
      </c>
      <c r="K938" s="50" t="s">
        <v>2228</v>
      </c>
      <c r="L938" s="49" t="str">
        <f>IFERROR(__xludf.DUMMYFUNCTION("""COMPUTED_VALUE"""),"surely")</f>
        <v>surely</v>
      </c>
      <c r="M938" s="49"/>
      <c r="N938" s="49" t="str">
        <f>IFERROR(__xludf.DUMMYFUNCTION("""COMPUTED_VALUE"""),"borders")</f>
        <v>borders</v>
      </c>
      <c r="O938" s="49" t="str">
        <f>IFERROR(__xludf.DUMMYFUNCTION("""COMPUTED_VALUE"""),"suited")</f>
        <v>suited</v>
      </c>
      <c r="P938" s="49" t="str">
        <f t="shared" si="2"/>
        <v>box,</v>
      </c>
      <c r="Q938" s="49"/>
      <c r="R938" s="50" t="s">
        <v>6667</v>
      </c>
      <c r="S938" s="55" t="s">
        <v>2078</v>
      </c>
      <c r="T938" s="49" t="str">
        <f>IFERROR(__xludf.DUMMYFUNCTION("""COMPUTED_VALUE"""),"burning")</f>
        <v>burning</v>
      </c>
      <c r="U938" s="49"/>
      <c r="V938" s="49"/>
      <c r="W938" s="49" t="str">
        <f>IFERROR(__xludf.DUMMYFUNCTION("""COMPUTED_VALUE"""),"department")</f>
        <v>department</v>
      </c>
      <c r="X938" s="49" t="str">
        <f t="shared" si="3"/>
        <v>happened,</v>
      </c>
      <c r="Y938" s="49"/>
      <c r="Z938" s="1" t="s">
        <v>367</v>
      </c>
      <c r="AA938" s="1" t="s">
        <v>1252</v>
      </c>
      <c r="AB938" s="49" t="str">
        <f>IFERROR(__xludf.DUMMYFUNCTION("""COMPUTED_VALUE"""),"pack")</f>
        <v>pack</v>
      </c>
      <c r="AC938" s="49"/>
      <c r="AD938" s="49" t="str">
        <f>IFERROR(__xludf.DUMMYFUNCTION("""COMPUTED_VALUE"""),"borders")</f>
        <v>borders</v>
      </c>
      <c r="AE938" s="49" t="str">
        <f>IFERROR(__xludf.DUMMYFUNCTION("""COMPUTED_VALUE"""),"suited")</f>
        <v>suited</v>
      </c>
      <c r="AF938" s="49" t="str">
        <f t="shared" si="4"/>
        <v>dumb,</v>
      </c>
      <c r="AG938" s="49"/>
      <c r="AH938" s="1" t="s">
        <v>4408</v>
      </c>
      <c r="AI938" s="1" t="s">
        <v>168</v>
      </c>
      <c r="AJ938" s="6" t="str">
        <f>IFERROR(__xludf.DUMMYFUNCTION("""COMPUTED_VALUE"""),"everyone")</f>
        <v>everyone</v>
      </c>
      <c r="AK938" s="49"/>
      <c r="AL938" s="49"/>
      <c r="AM938" s="49"/>
      <c r="AN938" s="52" t="str">
        <f t="shared" si="5"/>
        <v>rank,</v>
      </c>
    </row>
    <row r="939">
      <c r="A939" s="51"/>
      <c r="B939" s="50" t="s">
        <v>653</v>
      </c>
      <c r="C939" s="50" t="s">
        <v>2412</v>
      </c>
      <c r="D939" s="49" t="str">
        <f>IFERROR(__xludf.DUMMYFUNCTION("""COMPUTED_VALUE"""),"sweet")</f>
        <v>sweet</v>
      </c>
      <c r="E939" s="49"/>
      <c r="F939" s="49"/>
      <c r="G939" s="49"/>
      <c r="H939" s="54" t="str">
        <f t="shared" si="1"/>
        <v>without,</v>
      </c>
      <c r="I939" s="50"/>
      <c r="J939" s="50" t="s">
        <v>6682</v>
      </c>
      <c r="K939" s="50" t="s">
        <v>882</v>
      </c>
      <c r="L939" s="49" t="str">
        <f>IFERROR(__xludf.DUMMYFUNCTION("""COMPUTED_VALUE"""),"drag")</f>
        <v>drag</v>
      </c>
      <c r="M939" s="49"/>
      <c r="N939" s="49" t="str">
        <f>IFERROR(__xludf.DUMMYFUNCTION("""COMPUTED_VALUE"""),"altering")</f>
        <v>altering</v>
      </c>
      <c r="O939" s="49" t="str">
        <f>IFERROR(__xludf.DUMMYFUNCTION("""COMPUTED_VALUE"""),"intersect")</f>
        <v>intersect</v>
      </c>
      <c r="P939" s="49" t="str">
        <f t="shared" si="2"/>
        <v>closed,</v>
      </c>
      <c r="Q939" s="49"/>
      <c r="R939" s="50" t="s">
        <v>5401</v>
      </c>
      <c r="S939" s="55" t="s">
        <v>2928</v>
      </c>
      <c r="T939" s="49" t="str">
        <f>IFERROR(__xludf.DUMMYFUNCTION("""COMPUTED_VALUE"""),"concerned")</f>
        <v>concerned</v>
      </c>
      <c r="U939" s="49"/>
      <c r="V939" s="49"/>
      <c r="W939" s="49" t="str">
        <f>IFERROR(__xludf.DUMMYFUNCTION("""COMPUTED_VALUE"""),"schizophrenia")</f>
        <v>schizophrenia</v>
      </c>
      <c r="X939" s="49" t="str">
        <f t="shared" si="3"/>
        <v>win,</v>
      </c>
      <c r="Y939" s="49"/>
      <c r="Z939" s="1" t="s">
        <v>1068</v>
      </c>
      <c r="AA939" s="1" t="s">
        <v>3716</v>
      </c>
      <c r="AB939" s="49" t="str">
        <f>IFERROR(__xludf.DUMMYFUNCTION("""COMPUTED_VALUE"""),"strongest")</f>
        <v>strongest</v>
      </c>
      <c r="AC939" s="49"/>
      <c r="AD939" s="49" t="str">
        <f>IFERROR(__xludf.DUMMYFUNCTION("""COMPUTED_VALUE"""),"altering")</f>
        <v>altering</v>
      </c>
      <c r="AE939" s="49" t="str">
        <f>IFERROR(__xludf.DUMMYFUNCTION("""COMPUTED_VALUE"""),"intersect")</f>
        <v>intersect</v>
      </c>
      <c r="AF939" s="49" t="str">
        <f t="shared" si="4"/>
        <v>rock,</v>
      </c>
      <c r="AG939" s="49"/>
      <c r="AH939" s="1" t="s">
        <v>1483</v>
      </c>
      <c r="AI939" s="1" t="s">
        <v>3185</v>
      </c>
      <c r="AJ939" s="6" t="str">
        <f>IFERROR(__xludf.DUMMYFUNCTION("""COMPUTED_VALUE"""),"whom")</f>
        <v>whom</v>
      </c>
      <c r="AK939" s="49"/>
      <c r="AL939" s="49"/>
      <c r="AM939" s="49"/>
      <c r="AN939" s="52" t="str">
        <f t="shared" si="5"/>
        <v>peak,</v>
      </c>
    </row>
    <row r="940">
      <c r="A940" s="51"/>
      <c r="B940" s="50" t="s">
        <v>1325</v>
      </c>
      <c r="C940" s="50" t="s">
        <v>3492</v>
      </c>
      <c r="D940" s="49" t="str">
        <f>IFERROR(__xludf.DUMMYFUNCTION("""COMPUTED_VALUE"""),"asks")</f>
        <v>asks</v>
      </c>
      <c r="E940" s="49"/>
      <c r="F940" s="49"/>
      <c r="G940" s="49"/>
      <c r="H940" s="54" t="str">
        <f t="shared" si="1"/>
        <v>book,</v>
      </c>
      <c r="I940" s="50"/>
      <c r="J940" s="50" t="s">
        <v>3597</v>
      </c>
      <c r="K940" s="50" t="s">
        <v>3188</v>
      </c>
      <c r="L940" s="49" t="str">
        <f>IFERROR(__xludf.DUMMYFUNCTION("""COMPUTED_VALUE"""),"naturally")</f>
        <v>naturally</v>
      </c>
      <c r="M940" s="49"/>
      <c r="N940" s="49" t="str">
        <f>IFERROR(__xludf.DUMMYFUNCTION("""COMPUTED_VALUE"""),"ignored")</f>
        <v>ignored</v>
      </c>
      <c r="O940" s="49" t="str">
        <f>IFERROR(__xludf.DUMMYFUNCTION("""COMPUTED_VALUE"""),"shimmering")</f>
        <v>shimmering</v>
      </c>
      <c r="P940" s="49" t="str">
        <f t="shared" si="2"/>
        <v>coming,</v>
      </c>
      <c r="Q940" s="49"/>
      <c r="R940" s="50" t="s">
        <v>6767</v>
      </c>
      <c r="S940" s="55" t="s">
        <v>2081</v>
      </c>
      <c r="T940" s="49" t="str">
        <f>IFERROR(__xludf.DUMMYFUNCTION("""COMPUTED_VALUE"""),"singular")</f>
        <v>singular</v>
      </c>
      <c r="U940" s="49"/>
      <c r="V940" s="49"/>
      <c r="W940" s="49" t="str">
        <f>IFERROR(__xludf.DUMMYFUNCTION("""COMPUTED_VALUE"""),"captured")</f>
        <v>captured</v>
      </c>
      <c r="X940" s="49" t="str">
        <f t="shared" si="3"/>
        <v>super,</v>
      </c>
      <c r="Y940" s="49"/>
      <c r="Z940" s="1" t="s">
        <v>4719</v>
      </c>
      <c r="AA940" s="1" t="s">
        <v>3718</v>
      </c>
      <c r="AB940" s="49" t="str">
        <f>IFERROR(__xludf.DUMMYFUNCTION("""COMPUTED_VALUE"""),"satirical")</f>
        <v>satirical</v>
      </c>
      <c r="AC940" s="49"/>
      <c r="AD940" s="49" t="str">
        <f>IFERROR(__xludf.DUMMYFUNCTION("""COMPUTED_VALUE"""),"ignored")</f>
        <v>ignored</v>
      </c>
      <c r="AE940" s="49" t="str">
        <f>IFERROR(__xludf.DUMMYFUNCTION("""COMPUTED_VALUE"""),"shimmering")</f>
        <v>shimmering</v>
      </c>
      <c r="AF940" s="49" t="str">
        <f t="shared" si="4"/>
        <v>wondering,</v>
      </c>
      <c r="AG940" s="49"/>
      <c r="AH940" s="1" t="s">
        <v>4672</v>
      </c>
      <c r="AI940" s="1" t="s">
        <v>2005</v>
      </c>
      <c r="AJ940" s="6" t="str">
        <f>IFERROR(__xludf.DUMMYFUNCTION("""COMPUTED_VALUE"""),"beyond")</f>
        <v>beyond</v>
      </c>
      <c r="AK940" s="49"/>
      <c r="AL940" s="49"/>
      <c r="AM940" s="49"/>
      <c r="AN940" s="52" t="str">
        <f t="shared" si="5"/>
        <v>shifted,</v>
      </c>
    </row>
    <row r="941">
      <c r="A941" s="51"/>
      <c r="B941" s="50" t="s">
        <v>6368</v>
      </c>
      <c r="C941" s="50" t="s">
        <v>6398</v>
      </c>
      <c r="D941" s="49" t="str">
        <f>IFERROR(__xludf.DUMMYFUNCTION("""COMPUTED_VALUE"""),"earth")</f>
        <v>earth</v>
      </c>
      <c r="E941" s="49"/>
      <c r="F941" s="49"/>
      <c r="G941" s="49"/>
      <c r="H941" s="54" t="str">
        <f t="shared" si="1"/>
        <v>free,</v>
      </c>
      <c r="I941" s="50"/>
      <c r="J941" s="50" t="s">
        <v>1836</v>
      </c>
      <c r="K941" s="50" t="s">
        <v>2220</v>
      </c>
      <c r="L941" s="49" t="str">
        <f>IFERROR(__xludf.DUMMYFUNCTION("""COMPUTED_VALUE"""),"scratch")</f>
        <v>scratch</v>
      </c>
      <c r="M941" s="49"/>
      <c r="N941" s="49" t="str">
        <f>IFERROR(__xludf.DUMMYFUNCTION("""COMPUTED_VALUE"""),"mate")</f>
        <v>mate</v>
      </c>
      <c r="O941" s="49" t="str">
        <f>IFERROR(__xludf.DUMMYFUNCTION("""COMPUTED_VALUE"""),"asian")</f>
        <v>asian</v>
      </c>
      <c r="P941" s="49" t="str">
        <f t="shared" si="2"/>
        <v>surprise,</v>
      </c>
      <c r="Q941" s="49"/>
      <c r="R941" s="50" t="s">
        <v>3075</v>
      </c>
      <c r="S941" s="55" t="s">
        <v>3474</v>
      </c>
      <c r="T941" s="49" t="str">
        <f>IFERROR(__xludf.DUMMYFUNCTION("""COMPUTED_VALUE"""),"lingering")</f>
        <v>lingering</v>
      </c>
      <c r="U941" s="49"/>
      <c r="V941" s="49"/>
      <c r="W941" s="49" t="str">
        <f>IFERROR(__xludf.DUMMYFUNCTION("""COMPUTED_VALUE"""),"equal")</f>
        <v>equal</v>
      </c>
      <c r="X941" s="49" t="str">
        <f t="shared" si="3"/>
        <v>gangster,</v>
      </c>
      <c r="Y941" s="49"/>
      <c r="Z941" s="1" t="s">
        <v>3783</v>
      </c>
      <c r="AA941" s="1" t="s">
        <v>2574</v>
      </c>
      <c r="AB941" s="49" t="str">
        <f>IFERROR(__xludf.DUMMYFUNCTION("""COMPUTED_VALUE"""),"verve")</f>
        <v>verve</v>
      </c>
      <c r="AC941" s="49"/>
      <c r="AD941" s="49" t="str">
        <f>IFERROR(__xludf.DUMMYFUNCTION("""COMPUTED_VALUE"""),"mate")</f>
        <v>mate</v>
      </c>
      <c r="AE941" s="49" t="str">
        <f>IFERROR(__xludf.DUMMYFUNCTION("""COMPUTED_VALUE"""),"asian")</f>
        <v>asian</v>
      </c>
      <c r="AF941" s="49" t="str">
        <f t="shared" si="4"/>
        <v>oh,</v>
      </c>
      <c r="AG941" s="49"/>
      <c r="AH941" s="1" t="s">
        <v>6540</v>
      </c>
      <c r="AI941" s="1" t="s">
        <v>3419</v>
      </c>
      <c r="AJ941" s="6" t="str">
        <f>IFERROR(__xludf.DUMMYFUNCTION("""COMPUTED_VALUE"""),"hurt")</f>
        <v>hurt</v>
      </c>
      <c r="AK941" s="49"/>
      <c r="AL941" s="49"/>
      <c r="AM941" s="49"/>
      <c r="AN941" s="52" t="str">
        <f t="shared" si="5"/>
        <v>smell,</v>
      </c>
    </row>
    <row r="942">
      <c r="A942" s="51"/>
      <c r="B942" s="50" t="s">
        <v>4667</v>
      </c>
      <c r="C942" s="50" t="s">
        <v>6399</v>
      </c>
      <c r="D942" s="49" t="str">
        <f>IFERROR(__xludf.DUMMYFUNCTION("""COMPUTED_VALUE"""),"beneath")</f>
        <v>beneath</v>
      </c>
      <c r="E942" s="49"/>
      <c r="F942" s="49"/>
      <c r="G942" s="49"/>
      <c r="H942" s="54" t="str">
        <f t="shared" si="1"/>
        <v>david,</v>
      </c>
      <c r="I942" s="50"/>
      <c r="J942" s="50" t="s">
        <v>2630</v>
      </c>
      <c r="K942" s="50" t="s">
        <v>2223</v>
      </c>
      <c r="L942" s="49" t="str">
        <f>IFERROR(__xludf.DUMMYFUNCTION("""COMPUTED_VALUE"""),"observation")</f>
        <v>observation</v>
      </c>
      <c r="M942" s="49"/>
      <c r="N942" s="49" t="str">
        <f>IFERROR(__xludf.DUMMYFUNCTION("""COMPUTED_VALUE"""),"universe")</f>
        <v>universe</v>
      </c>
      <c r="O942" s="49" t="str">
        <f>IFERROR(__xludf.DUMMYFUNCTION("""COMPUTED_VALUE"""),"shocks")</f>
        <v>shocks</v>
      </c>
      <c r="P942" s="49" t="str">
        <f t="shared" si="2"/>
        <v>spirit,</v>
      </c>
      <c r="Q942" s="49"/>
      <c r="R942" s="50" t="s">
        <v>7304</v>
      </c>
      <c r="S942" s="55" t="s">
        <v>1456</v>
      </c>
      <c r="T942" s="49" t="str">
        <f>IFERROR(__xludf.DUMMYFUNCTION("""COMPUTED_VALUE"""),"secretary")</f>
        <v>secretary</v>
      </c>
      <c r="U942" s="49"/>
      <c r="V942" s="49"/>
      <c r="W942" s="49" t="str">
        <f>IFERROR(__xludf.DUMMYFUNCTION("""COMPUTED_VALUE"""),"handful")</f>
        <v>handful</v>
      </c>
      <c r="X942" s="49" t="str">
        <f t="shared" si="3"/>
        <v>mouthed,</v>
      </c>
      <c r="Y942" s="49"/>
      <c r="Z942" s="1" t="s">
        <v>1524</v>
      </c>
      <c r="AA942" s="1" t="s">
        <v>2569</v>
      </c>
      <c r="AB942" s="49" t="str">
        <f>IFERROR(__xludf.DUMMYFUNCTION("""COMPUTED_VALUE"""),"radical")</f>
        <v>radical</v>
      </c>
      <c r="AC942" s="49"/>
      <c r="AD942" s="49" t="str">
        <f>IFERROR(__xludf.DUMMYFUNCTION("""COMPUTED_VALUE"""),"universe")</f>
        <v>universe</v>
      </c>
      <c r="AE942" s="49" t="str">
        <f>IFERROR(__xludf.DUMMYFUNCTION("""COMPUTED_VALUE"""),"shocks")</f>
        <v>shocks</v>
      </c>
      <c r="AF942" s="49" t="str">
        <f t="shared" si="4"/>
        <v>roll,</v>
      </c>
      <c r="AG942" s="49"/>
      <c r="AH942" s="1" t="s">
        <v>3398</v>
      </c>
      <c r="AI942" s="1" t="s">
        <v>830</v>
      </c>
      <c r="AJ942" s="6" t="str">
        <f>IFERROR(__xludf.DUMMYFUNCTION("""COMPUTED_VALUE"""),"inspired")</f>
        <v>inspired</v>
      </c>
      <c r="AK942" s="49"/>
      <c r="AL942" s="49"/>
      <c r="AM942" s="49"/>
      <c r="AN942" s="52" t="str">
        <f t="shared" si="5"/>
        <v>confused,</v>
      </c>
    </row>
    <row r="943">
      <c r="A943" s="51"/>
      <c r="B943" s="50" t="s">
        <v>2281</v>
      </c>
      <c r="C943" s="50" t="s">
        <v>1951</v>
      </c>
      <c r="D943" s="49" t="str">
        <f>IFERROR(__xludf.DUMMYFUNCTION("""COMPUTED_VALUE"""),"bigger")</f>
        <v>bigger</v>
      </c>
      <c r="E943" s="49"/>
      <c r="F943" s="49"/>
      <c r="G943" s="49"/>
      <c r="H943" s="54" t="str">
        <f t="shared" si="1"/>
        <v>toward,</v>
      </c>
      <c r="I943" s="50"/>
      <c r="J943" s="50" t="s">
        <v>4422</v>
      </c>
      <c r="K943" s="50" t="s">
        <v>2226</v>
      </c>
      <c r="L943" s="49" t="str">
        <f>IFERROR(__xludf.DUMMYFUNCTION("""COMPUTED_VALUE"""),"pardon")</f>
        <v>pardon</v>
      </c>
      <c r="M943" s="49"/>
      <c r="N943" s="49" t="str">
        <f>IFERROR(__xludf.DUMMYFUNCTION("""COMPUTED_VALUE"""),"mi")</f>
        <v>mi</v>
      </c>
      <c r="O943" s="49" t="str">
        <f>IFERROR(__xludf.DUMMYFUNCTION("""COMPUTED_VALUE"""),"numbered")</f>
        <v>numbered</v>
      </c>
      <c r="P943" s="49" t="str">
        <f t="shared" si="2"/>
        <v>sorority,</v>
      </c>
      <c r="Q943" s="49"/>
      <c r="R943" s="50" t="s">
        <v>2833</v>
      </c>
      <c r="S943" s="55" t="s">
        <v>878</v>
      </c>
      <c r="T943" s="49" t="str">
        <f>IFERROR(__xludf.DUMMYFUNCTION("""COMPUTED_VALUE"""),"ambition")</f>
        <v>ambition</v>
      </c>
      <c r="U943" s="49"/>
      <c r="V943" s="49"/>
      <c r="W943" s="49" t="str">
        <f>IFERROR(__xludf.DUMMYFUNCTION("""COMPUTED_VALUE"""),"warfare")</f>
        <v>warfare</v>
      </c>
      <c r="X943" s="49" t="str">
        <f t="shared" si="3"/>
        <v>broad,</v>
      </c>
      <c r="Y943" s="49"/>
      <c r="Z943" s="1" t="s">
        <v>5294</v>
      </c>
      <c r="AA943" s="1" t="s">
        <v>3723</v>
      </c>
      <c r="AB943" s="49" t="str">
        <f>IFERROR(__xludf.DUMMYFUNCTION("""COMPUTED_VALUE"""),"devices")</f>
        <v>devices</v>
      </c>
      <c r="AC943" s="49"/>
      <c r="AD943" s="49" t="str">
        <f>IFERROR(__xludf.DUMMYFUNCTION("""COMPUTED_VALUE"""),"mi")</f>
        <v>mi</v>
      </c>
      <c r="AE943" s="49" t="str">
        <f>IFERROR(__xludf.DUMMYFUNCTION("""COMPUTED_VALUE"""),"numbered")</f>
        <v>numbered</v>
      </c>
      <c r="AF943" s="49" t="str">
        <f t="shared" si="4"/>
        <v>rating,</v>
      </c>
      <c r="AG943" s="49"/>
      <c r="AH943" s="1" t="s">
        <v>3986</v>
      </c>
      <c r="AI943" s="1" t="s">
        <v>1944</v>
      </c>
      <c r="AJ943" s="6" t="str">
        <f>IFERROR(__xludf.DUMMYFUNCTION("""COMPUTED_VALUE"""),"controlled")</f>
        <v>controlled</v>
      </c>
      <c r="AK943" s="49"/>
      <c r="AL943" s="49"/>
      <c r="AM943" s="49"/>
      <c r="AN943" s="52" t="str">
        <f t="shared" si="5"/>
        <v>appropriate,</v>
      </c>
    </row>
    <row r="944">
      <c r="A944" s="51"/>
      <c r="B944" s="50" t="s">
        <v>124</v>
      </c>
      <c r="C944" s="50" t="s">
        <v>1957</v>
      </c>
      <c r="D944" s="49" t="str">
        <f>IFERROR(__xludf.DUMMYFUNCTION("""COMPUTED_VALUE"""),"highly")</f>
        <v>highly</v>
      </c>
      <c r="E944" s="49"/>
      <c r="F944" s="49"/>
      <c r="G944" s="49"/>
      <c r="H944" s="54" t="str">
        <f t="shared" si="1"/>
        <v>throughout,</v>
      </c>
      <c r="I944" s="50"/>
      <c r="J944" s="50" t="s">
        <v>4449</v>
      </c>
      <c r="K944" s="50" t="s">
        <v>2230</v>
      </c>
      <c r="L944" s="49" t="str">
        <f>IFERROR(__xludf.DUMMYFUNCTION("""COMPUTED_VALUE"""),"heroes")</f>
        <v>heroes</v>
      </c>
      <c r="M944" s="49"/>
      <c r="N944" s="49" t="str">
        <f>IFERROR(__xludf.DUMMYFUNCTION("""COMPUTED_VALUE"""),"releasing")</f>
        <v>releasing</v>
      </c>
      <c r="O944" s="49" t="str">
        <f>IFERROR(__xludf.DUMMYFUNCTION("""COMPUTED_VALUE"""),"padded")</f>
        <v>padded</v>
      </c>
      <c r="P944" s="49" t="str">
        <f t="shared" si="2"/>
        <v>tank,</v>
      </c>
      <c r="Q944" s="49"/>
      <c r="R944" s="50" t="s">
        <v>4083</v>
      </c>
      <c r="S944" s="55" t="s">
        <v>2087</v>
      </c>
      <c r="T944" s="49" t="str">
        <f>IFERROR(__xludf.DUMMYFUNCTION("""COMPUTED_VALUE"""),"barry")</f>
        <v>barry</v>
      </c>
      <c r="U944" s="49"/>
      <c r="V944" s="49"/>
      <c r="W944" s="49" t="str">
        <f>IFERROR(__xludf.DUMMYFUNCTION("""COMPUTED_VALUE"""),"lets")</f>
        <v>lets</v>
      </c>
      <c r="X944" s="49" t="str">
        <f t="shared" si="3"/>
        <v>consistently,</v>
      </c>
      <c r="Y944" s="49"/>
      <c r="Z944" s="1" t="s">
        <v>6314</v>
      </c>
      <c r="AA944" s="1" t="s">
        <v>1260</v>
      </c>
      <c r="AB944" s="49" t="str">
        <f>IFERROR(__xludf.DUMMYFUNCTION("""COMPUTED_VALUE"""),"quietly")</f>
        <v>quietly</v>
      </c>
      <c r="AC944" s="49"/>
      <c r="AD944" s="49" t="str">
        <f>IFERROR(__xludf.DUMMYFUNCTION("""COMPUTED_VALUE"""),"releasing")</f>
        <v>releasing</v>
      </c>
      <c r="AE944" s="49" t="str">
        <f>IFERROR(__xludf.DUMMYFUNCTION("""COMPUTED_VALUE"""),"padded")</f>
        <v>padded</v>
      </c>
      <c r="AF944" s="49" t="str">
        <f t="shared" si="4"/>
        <v>gone,</v>
      </c>
      <c r="AG944" s="49"/>
      <c r="AH944" s="1" t="s">
        <v>4177</v>
      </c>
      <c r="AI944" s="1" t="s">
        <v>6396</v>
      </c>
      <c r="AJ944" s="6" t="str">
        <f>IFERROR(__xludf.DUMMYFUNCTION("""COMPUTED_VALUE"""),"stands")</f>
        <v>stands</v>
      </c>
      <c r="AK944" s="49"/>
      <c r="AL944" s="49"/>
      <c r="AM944" s="49"/>
      <c r="AN944" s="52" t="str">
        <f t="shared" si="5"/>
        <v>disaster,</v>
      </c>
    </row>
    <row r="945">
      <c r="A945" s="51"/>
      <c r="B945" s="50" t="s">
        <v>5017</v>
      </c>
      <c r="C945" s="50" t="s">
        <v>4636</v>
      </c>
      <c r="D945" s="49" t="str">
        <f>IFERROR(__xludf.DUMMYFUNCTION("""COMPUTED_VALUE"""),"assembled")</f>
        <v>assembled</v>
      </c>
      <c r="E945" s="49"/>
      <c r="F945" s="49"/>
      <c r="G945" s="49"/>
      <c r="H945" s="54" t="str">
        <f t="shared" si="1"/>
        <v>remains,</v>
      </c>
      <c r="I945" s="50"/>
      <c r="J945" s="50" t="s">
        <v>7292</v>
      </c>
      <c r="K945" s="50" t="s">
        <v>636</v>
      </c>
      <c r="L945" s="49" t="str">
        <f>IFERROR(__xludf.DUMMYFUNCTION("""COMPUTED_VALUE"""),"narrative")</f>
        <v>narrative</v>
      </c>
      <c r="M945" s="49"/>
      <c r="N945" s="49" t="str">
        <f>IFERROR(__xludf.DUMMYFUNCTION("""COMPUTED_VALUE"""),"correct")</f>
        <v>correct</v>
      </c>
      <c r="O945" s="49" t="str">
        <f>IFERROR(__xludf.DUMMYFUNCTION("""COMPUTED_VALUE"""),"standardized")</f>
        <v>standardized</v>
      </c>
      <c r="P945" s="49" t="str">
        <f t="shared" si="2"/>
        <v>cleaner,</v>
      </c>
      <c r="Q945" s="49"/>
      <c r="R945" s="50" t="s">
        <v>5714</v>
      </c>
      <c r="S945" s="55" t="s">
        <v>3511</v>
      </c>
      <c r="T945" s="49" t="str">
        <f>IFERROR(__xludf.DUMMYFUNCTION("""COMPUTED_VALUE"""),"venture")</f>
        <v>venture</v>
      </c>
      <c r="U945" s="49"/>
      <c r="V945" s="49"/>
      <c r="W945" s="49" t="str">
        <f>IFERROR(__xludf.DUMMYFUNCTION("""COMPUTED_VALUE"""),"brendan")</f>
        <v>brendan</v>
      </c>
      <c r="X945" s="49" t="str">
        <f t="shared" si="3"/>
        <v>strokes,</v>
      </c>
      <c r="Y945" s="49"/>
      <c r="Z945" s="1" t="s">
        <v>1961</v>
      </c>
      <c r="AA945" s="1" t="s">
        <v>1266</v>
      </c>
      <c r="AB945" s="49" t="str">
        <f>IFERROR(__xludf.DUMMYFUNCTION("""COMPUTED_VALUE"""),"complicated")</f>
        <v>complicated</v>
      </c>
      <c r="AC945" s="49"/>
      <c r="AD945" s="49" t="str">
        <f>IFERROR(__xludf.DUMMYFUNCTION("""COMPUTED_VALUE"""),"correct")</f>
        <v>correct</v>
      </c>
      <c r="AE945" s="49" t="str">
        <f>IFERROR(__xludf.DUMMYFUNCTION("""COMPUTED_VALUE"""),"standardized")</f>
        <v>standardized</v>
      </c>
      <c r="AF945" s="49" t="str">
        <f t="shared" si="4"/>
        <v>enjoy,</v>
      </c>
      <c r="AG945" s="49"/>
      <c r="AH945" s="1" t="s">
        <v>4245</v>
      </c>
      <c r="AI945" s="1" t="s">
        <v>2725</v>
      </c>
      <c r="AJ945" s="6" t="str">
        <f>IFERROR(__xludf.DUMMYFUNCTION("""COMPUTED_VALUE"""),"touching")</f>
        <v>touching</v>
      </c>
      <c r="AK945" s="49"/>
      <c r="AL945" s="49"/>
      <c r="AM945" s="49"/>
      <c r="AN945" s="52" t="str">
        <f t="shared" si="5"/>
        <v>flood,</v>
      </c>
    </row>
    <row r="946">
      <c r="A946" s="51"/>
      <c r="B946" s="50" t="s">
        <v>6677</v>
      </c>
      <c r="C946" s="50" t="s">
        <v>5084</v>
      </c>
      <c r="D946" s="49" t="str">
        <f>IFERROR(__xludf.DUMMYFUNCTION("""COMPUTED_VALUE"""),"trace")</f>
        <v>trace</v>
      </c>
      <c r="E946" s="49"/>
      <c r="F946" s="49"/>
      <c r="G946" s="49"/>
      <c r="H946" s="54" t="str">
        <f t="shared" si="1"/>
        <v>cost,</v>
      </c>
      <c r="I946" s="50"/>
      <c r="J946" s="50" t="s">
        <v>3559</v>
      </c>
      <c r="K946" s="50" t="s">
        <v>885</v>
      </c>
      <c r="L946" s="49" t="str">
        <f>IFERROR(__xludf.DUMMYFUNCTION("""COMPUTED_VALUE"""),"inhabitants")</f>
        <v>inhabitants</v>
      </c>
      <c r="M946" s="49"/>
      <c r="N946" s="49" t="str">
        <f>IFERROR(__xludf.DUMMYFUNCTION("""COMPUTED_VALUE"""),"sucking")</f>
        <v>sucking</v>
      </c>
      <c r="O946" s="49" t="str">
        <f>IFERROR(__xludf.DUMMYFUNCTION("""COMPUTED_VALUE"""),"brushes")</f>
        <v>brushes</v>
      </c>
      <c r="P946" s="49" t="str">
        <f t="shared" si="2"/>
        <v>raise,</v>
      </c>
      <c r="Q946" s="49"/>
      <c r="R946" s="50" t="s">
        <v>1369</v>
      </c>
      <c r="S946" s="55" t="s">
        <v>1783</v>
      </c>
      <c r="T946" s="49" t="str">
        <f>IFERROR(__xludf.DUMMYFUNCTION("""COMPUTED_VALUE"""),"technique")</f>
        <v>technique</v>
      </c>
      <c r="U946" s="49"/>
      <c r="V946" s="49"/>
      <c r="W946" s="49" t="str">
        <f>IFERROR(__xludf.DUMMYFUNCTION("""COMPUTED_VALUE"""),"tuned")</f>
        <v>tuned</v>
      </c>
      <c r="X946" s="49" t="str">
        <f t="shared" si="3"/>
        <v>surprisingly,</v>
      </c>
      <c r="Y946" s="49"/>
      <c r="Z946" s="1" t="s">
        <v>2005</v>
      </c>
      <c r="AA946" s="1" t="s">
        <v>2541</v>
      </c>
      <c r="AB946" s="49" t="str">
        <f>IFERROR(__xludf.DUMMYFUNCTION("""COMPUTED_VALUE"""),"pushes")</f>
        <v>pushes</v>
      </c>
      <c r="AC946" s="49"/>
      <c r="AD946" s="49" t="str">
        <f>IFERROR(__xludf.DUMMYFUNCTION("""COMPUTED_VALUE"""),"sucking")</f>
        <v>sucking</v>
      </c>
      <c r="AE946" s="49" t="str">
        <f>IFERROR(__xludf.DUMMYFUNCTION("""COMPUTED_VALUE"""),"brushes")</f>
        <v>brushes</v>
      </c>
      <c r="AF946" s="49" t="str">
        <f t="shared" si="4"/>
        <v>probably,</v>
      </c>
      <c r="AG946" s="49"/>
      <c r="AH946" s="1" t="s">
        <v>306</v>
      </c>
      <c r="AI946" s="1" t="s">
        <v>3484</v>
      </c>
      <c r="AJ946" s="6" t="str">
        <f>IFERROR(__xludf.DUMMYFUNCTION("""COMPUTED_VALUE"""),"important")</f>
        <v>important</v>
      </c>
      <c r="AK946" s="49"/>
      <c r="AL946" s="49"/>
      <c r="AM946" s="49"/>
      <c r="AN946" s="52" t="str">
        <f t="shared" si="5"/>
        <v>being,</v>
      </c>
    </row>
    <row r="947">
      <c r="A947" s="51"/>
      <c r="B947" s="50" t="s">
        <v>2479</v>
      </c>
      <c r="C947" s="50" t="s">
        <v>2532</v>
      </c>
      <c r="D947" s="49" t="str">
        <f>IFERROR(__xludf.DUMMYFUNCTION("""COMPUTED_VALUE"""),"construct")</f>
        <v>construct</v>
      </c>
      <c r="E947" s="49"/>
      <c r="F947" s="49"/>
      <c r="G947" s="49"/>
      <c r="H947" s="54" t="str">
        <f t="shared" si="1"/>
        <v>price,</v>
      </c>
      <c r="I947" s="50"/>
      <c r="J947" s="50" t="s">
        <v>1256</v>
      </c>
      <c r="K947" s="50" t="s">
        <v>985</v>
      </c>
      <c r="L947" s="49">
        <f>IFERROR(__xludf.DUMMYFUNCTION("""COMPUTED_VALUE"""),1958.0)</f>
        <v>1958</v>
      </c>
      <c r="M947" s="49"/>
      <c r="N947" s="49" t="str">
        <f>IFERROR(__xludf.DUMMYFUNCTION("""COMPUTED_VALUE"""),"claim")</f>
        <v>claim</v>
      </c>
      <c r="O947" s="49" t="str">
        <f>IFERROR(__xludf.DUMMYFUNCTION("""COMPUTED_VALUE"""),"bubba")</f>
        <v>bubba</v>
      </c>
      <c r="P947" s="49" t="str">
        <f t="shared" si="2"/>
        <v>produced,</v>
      </c>
      <c r="Q947" s="49"/>
      <c r="R947" s="50" t="s">
        <v>861</v>
      </c>
      <c r="S947" s="55" t="s">
        <v>6413</v>
      </c>
      <c r="T947" s="49" t="str">
        <f>IFERROR(__xludf.DUMMYFUNCTION("""COMPUTED_VALUE"""),"sessions")</f>
        <v>sessions</v>
      </c>
      <c r="U947" s="49"/>
      <c r="V947" s="49"/>
      <c r="W947" s="49" t="str">
        <f>IFERROR(__xludf.DUMMYFUNCTION("""COMPUTED_VALUE"""),"raises")</f>
        <v>raises</v>
      </c>
      <c r="X947" s="49" t="str">
        <f t="shared" si="3"/>
        <v>touch,</v>
      </c>
      <c r="Y947" s="49"/>
      <c r="Z947" s="1" t="s">
        <v>340</v>
      </c>
      <c r="AA947" s="1" t="s">
        <v>3728</v>
      </c>
      <c r="AB947" s="49" t="str">
        <f>IFERROR(__xludf.DUMMYFUNCTION("""COMPUTED_VALUE"""),"manhattan")</f>
        <v>manhattan</v>
      </c>
      <c r="AC947" s="49"/>
      <c r="AD947" s="49" t="str">
        <f>IFERROR(__xludf.DUMMYFUNCTION("""COMPUTED_VALUE"""),"claim")</f>
        <v>claim</v>
      </c>
      <c r="AE947" s="49" t="str">
        <f>IFERROR(__xludf.DUMMYFUNCTION("""COMPUTED_VALUE"""),"bubba")</f>
        <v>bubba</v>
      </c>
      <c r="AF947" s="49" t="str">
        <f t="shared" si="4"/>
        <v>feel,</v>
      </c>
      <c r="AG947" s="49"/>
      <c r="AH947" s="1" t="s">
        <v>3862</v>
      </c>
      <c r="AI947" s="1" t="s">
        <v>3212</v>
      </c>
      <c r="AJ947" s="6" t="str">
        <f>IFERROR(__xludf.DUMMYFUNCTION("""COMPUTED_VALUE"""),"followed")</f>
        <v>followed</v>
      </c>
      <c r="AK947" s="49"/>
      <c r="AL947" s="49"/>
      <c r="AM947" s="49"/>
      <c r="AN947" s="52" t="str">
        <f t="shared" si="5"/>
        <v>present,</v>
      </c>
    </row>
    <row r="948">
      <c r="A948" s="51"/>
      <c r="B948" s="50" t="s">
        <v>3420</v>
      </c>
      <c r="C948" s="50" t="s">
        <v>1986</v>
      </c>
      <c r="D948" s="49" t="str">
        <f>IFERROR(__xludf.DUMMYFUNCTION("""COMPUTED_VALUE"""),"knows")</f>
        <v>knows</v>
      </c>
      <c r="E948" s="49"/>
      <c r="F948" s="49"/>
      <c r="G948" s="49"/>
      <c r="H948" s="54" t="str">
        <f t="shared" si="1"/>
        <v>neither,</v>
      </c>
      <c r="I948" s="50"/>
      <c r="J948" s="50" t="s">
        <v>636</v>
      </c>
      <c r="K948" s="50" t="s">
        <v>154</v>
      </c>
      <c r="L948" s="49" t="str">
        <f>IFERROR(__xludf.DUMMYFUNCTION("""COMPUTED_VALUE"""),"grown")</f>
        <v>grown</v>
      </c>
      <c r="M948" s="49"/>
      <c r="N948" s="49" t="str">
        <f>IFERROR(__xludf.DUMMYFUNCTION("""COMPUTED_VALUE"""),"co")</f>
        <v>co</v>
      </c>
      <c r="O948" s="49" t="str">
        <f>IFERROR(__xludf.DUMMYFUNCTION("""COMPUTED_VALUE"""),"granted")</f>
        <v>granted</v>
      </c>
      <c r="P948" s="49" t="str">
        <f t="shared" si="2"/>
        <v>clever,</v>
      </c>
      <c r="Q948" s="49"/>
      <c r="R948" s="50" t="s">
        <v>6721</v>
      </c>
      <c r="S948" s="55" t="s">
        <v>29</v>
      </c>
      <c r="T948" s="49" t="str">
        <f>IFERROR(__xludf.DUMMYFUNCTION("""COMPUTED_VALUE"""),"surreal")</f>
        <v>surreal</v>
      </c>
      <c r="U948" s="49"/>
      <c r="V948" s="49"/>
      <c r="W948" s="49" t="str">
        <f>IFERROR(__xludf.DUMMYFUNCTION("""COMPUTED_VALUE"""),"brink")</f>
        <v>brink</v>
      </c>
      <c r="X948" s="49" t="str">
        <f t="shared" si="3"/>
        <v>gold,</v>
      </c>
      <c r="Y948" s="49"/>
      <c r="Z948" s="1" t="s">
        <v>668</v>
      </c>
      <c r="AA948" s="1" t="s">
        <v>2112</v>
      </c>
      <c r="AB948" s="49" t="str">
        <f>IFERROR(__xludf.DUMMYFUNCTION("""COMPUTED_VALUE"""),"fashioned")</f>
        <v>fashioned</v>
      </c>
      <c r="AC948" s="49"/>
      <c r="AD948" s="49" t="str">
        <f>IFERROR(__xludf.DUMMYFUNCTION("""COMPUTED_VALUE"""),"co")</f>
        <v>co</v>
      </c>
      <c r="AE948" s="49" t="str">
        <f>IFERROR(__xludf.DUMMYFUNCTION("""COMPUTED_VALUE"""),"granted")</f>
        <v>granted</v>
      </c>
      <c r="AF948" s="49" t="str">
        <f t="shared" si="4"/>
        <v>become,</v>
      </c>
      <c r="AG948" s="49"/>
      <c r="AH948" s="1" t="s">
        <v>2045</v>
      </c>
      <c r="AI948" s="1" t="s">
        <v>3590</v>
      </c>
      <c r="AJ948" s="6" t="str">
        <f>IFERROR(__xludf.DUMMYFUNCTION("""COMPUTED_VALUE"""),"sometimes")</f>
        <v>sometimes</v>
      </c>
      <c r="AK948" s="49"/>
      <c r="AL948" s="49"/>
      <c r="AM948" s="49"/>
      <c r="AN948" s="52" t="str">
        <f t="shared" si="5"/>
        <v>today,</v>
      </c>
    </row>
    <row r="949">
      <c r="A949" s="51"/>
      <c r="B949" s="50" t="s">
        <v>2296</v>
      </c>
      <c r="C949" s="50" t="s">
        <v>6414</v>
      </c>
      <c r="D949" s="49" t="str">
        <f>IFERROR(__xludf.DUMMYFUNCTION("""COMPUTED_VALUE"""),"debt")</f>
        <v>debt</v>
      </c>
      <c r="E949" s="49"/>
      <c r="F949" s="49"/>
      <c r="G949" s="49"/>
      <c r="H949" s="54" t="str">
        <f t="shared" si="1"/>
        <v>giant,</v>
      </c>
      <c r="I949" s="50"/>
      <c r="J949" s="50" t="s">
        <v>2889</v>
      </c>
      <c r="K949" s="50" t="s">
        <v>3733</v>
      </c>
      <c r="L949" s="49" t="str">
        <f>IFERROR(__xludf.DUMMYFUNCTION("""COMPUTED_VALUE"""),"orchestrated")</f>
        <v>orchestrated</v>
      </c>
      <c r="M949" s="49"/>
      <c r="N949" s="49" t="str">
        <f>IFERROR(__xludf.DUMMYFUNCTION("""COMPUTED_VALUE"""),"pushing")</f>
        <v>pushing</v>
      </c>
      <c r="O949" s="49" t="str">
        <f>IFERROR(__xludf.DUMMYFUNCTION("""COMPUTED_VALUE"""),"visuals")</f>
        <v>visuals</v>
      </c>
      <c r="P949" s="49" t="str">
        <f t="shared" si="2"/>
        <v>creative,</v>
      </c>
      <c r="Q949" s="49"/>
      <c r="R949" s="50" t="s">
        <v>1233</v>
      </c>
      <c r="S949" s="55" t="s">
        <v>297</v>
      </c>
      <c r="T949" s="49" t="str">
        <f>IFERROR(__xludf.DUMMYFUNCTION("""COMPUTED_VALUE"""),"inevitable")</f>
        <v>inevitable</v>
      </c>
      <c r="U949" s="49"/>
      <c r="V949" s="49"/>
      <c r="W949" s="49" t="str">
        <f>IFERROR(__xludf.DUMMYFUNCTION("""COMPUTED_VALUE"""),"longing")</f>
        <v>longing</v>
      </c>
      <c r="X949" s="49" t="str">
        <f t="shared" si="3"/>
        <v>general,</v>
      </c>
      <c r="Y949" s="49"/>
      <c r="Z949" s="1" t="s">
        <v>1151</v>
      </c>
      <c r="AA949" s="1" t="s">
        <v>826</v>
      </c>
      <c r="AB949" s="49" t="str">
        <f>IFERROR(__xludf.DUMMYFUNCTION("""COMPUTED_VALUE"""),"exploration")</f>
        <v>exploration</v>
      </c>
      <c r="AC949" s="49"/>
      <c r="AD949" s="49" t="str">
        <f>IFERROR(__xludf.DUMMYFUNCTION("""COMPUTED_VALUE"""),"pushing")</f>
        <v>pushing</v>
      </c>
      <c r="AE949" s="49" t="str">
        <f>IFERROR(__xludf.DUMMYFUNCTION("""COMPUTED_VALUE"""),"visuals")</f>
        <v>visuals</v>
      </c>
      <c r="AF949" s="49" t="str">
        <f t="shared" si="4"/>
        <v>city,</v>
      </c>
      <c r="AG949" s="49"/>
      <c r="AH949" s="1" t="s">
        <v>660</v>
      </c>
      <c r="AI949" s="1" t="s">
        <v>2412</v>
      </c>
      <c r="AJ949" s="6" t="str">
        <f>IFERROR(__xludf.DUMMYFUNCTION("""COMPUTED_VALUE"""),"peter")</f>
        <v>peter</v>
      </c>
      <c r="AK949" s="49"/>
      <c r="AL949" s="49"/>
      <c r="AM949" s="49"/>
      <c r="AN949" s="52" t="str">
        <f t="shared" si="5"/>
        <v>else,</v>
      </c>
    </row>
    <row r="950">
      <c r="A950" s="51"/>
      <c r="B950" s="50" t="s">
        <v>1569</v>
      </c>
      <c r="C950" s="50" t="s">
        <v>2737</v>
      </c>
      <c r="D950" s="49" t="str">
        <f>IFERROR(__xludf.DUMMYFUNCTION("""COMPUTED_VALUE"""),"laughed")</f>
        <v>laughed</v>
      </c>
      <c r="E950" s="49"/>
      <c r="F950" s="49"/>
      <c r="G950" s="49"/>
      <c r="H950" s="54" t="str">
        <f t="shared" si="1"/>
        <v>tries,</v>
      </c>
      <c r="I950" s="50"/>
      <c r="J950" s="50" t="s">
        <v>2201</v>
      </c>
      <c r="K950" s="50" t="s">
        <v>2237</v>
      </c>
      <c r="L950" s="49" t="str">
        <f>IFERROR(__xludf.DUMMYFUNCTION("""COMPUTED_VALUE"""),"schemes")</f>
        <v>schemes</v>
      </c>
      <c r="M950" s="49"/>
      <c r="N950" s="49" t="str">
        <f>IFERROR(__xludf.DUMMYFUNCTION("""COMPUTED_VALUE"""),"tee")</f>
        <v>tee</v>
      </c>
      <c r="O950" s="49" t="str">
        <f>IFERROR(__xludf.DUMMYFUNCTION("""COMPUTED_VALUE"""),"majestic")</f>
        <v>majestic</v>
      </c>
      <c r="P950" s="49" t="str">
        <f t="shared" si="2"/>
        <v>person,</v>
      </c>
      <c r="Q950" s="49"/>
      <c r="R950" s="50" t="s">
        <v>2347</v>
      </c>
      <c r="S950" s="55" t="s">
        <v>2198</v>
      </c>
      <c r="T950" s="49" t="str">
        <f>IFERROR(__xludf.DUMMYFUNCTION("""COMPUTED_VALUE"""),"master")</f>
        <v>master</v>
      </c>
      <c r="U950" s="49"/>
      <c r="V950" s="49"/>
      <c r="W950" s="49" t="str">
        <f>IFERROR(__xludf.DUMMYFUNCTION("""COMPUTED_VALUE"""),"anguish")</f>
        <v>anguish</v>
      </c>
      <c r="X950" s="49" t="str">
        <f t="shared" si="3"/>
        <v>setup,</v>
      </c>
      <c r="Y950" s="49"/>
      <c r="Z950" s="1" t="s">
        <v>1984</v>
      </c>
      <c r="AA950" s="1" t="s">
        <v>2580</v>
      </c>
      <c r="AB950" s="49" t="str">
        <f>IFERROR(__xludf.DUMMYFUNCTION("""COMPUTED_VALUE"""),"poverty")</f>
        <v>poverty</v>
      </c>
      <c r="AC950" s="49"/>
      <c r="AD950" s="49" t="str">
        <f>IFERROR(__xludf.DUMMYFUNCTION("""COMPUTED_VALUE"""),"tee")</f>
        <v>tee</v>
      </c>
      <c r="AE950" s="49" t="str">
        <f>IFERROR(__xludf.DUMMYFUNCTION("""COMPUTED_VALUE"""),"majestic")</f>
        <v>majestic</v>
      </c>
      <c r="AF950" s="49" t="str">
        <f t="shared" si="4"/>
        <v>hastily,</v>
      </c>
      <c r="AG950" s="49"/>
      <c r="AH950" s="1" t="s">
        <v>6441</v>
      </c>
      <c r="AI950" s="1" t="s">
        <v>3492</v>
      </c>
      <c r="AJ950" s="6" t="str">
        <f>IFERROR(__xludf.DUMMYFUNCTION("""COMPUTED_VALUE"""),"whose")</f>
        <v>whose</v>
      </c>
      <c r="AK950" s="49"/>
      <c r="AL950" s="49"/>
      <c r="AM950" s="49"/>
      <c r="AN950" s="52" t="str">
        <f t="shared" si="5"/>
        <v>everyone,</v>
      </c>
    </row>
    <row r="951">
      <c r="A951" s="51"/>
      <c r="B951" s="50" t="s">
        <v>6583</v>
      </c>
      <c r="C951" s="50" t="s">
        <v>2740</v>
      </c>
      <c r="D951" s="49" t="str">
        <f>IFERROR(__xludf.DUMMYFUNCTION("""COMPUTED_VALUE"""),"need")</f>
        <v>need</v>
      </c>
      <c r="E951" s="49"/>
      <c r="F951" s="49"/>
      <c r="G951" s="49"/>
      <c r="H951" s="54" t="str">
        <f t="shared" si="1"/>
        <v>rocks,</v>
      </c>
      <c r="I951" s="50"/>
      <c r="J951" s="50" t="s">
        <v>1015</v>
      </c>
      <c r="K951" s="50" t="s">
        <v>2241</v>
      </c>
      <c r="L951" s="49" t="str">
        <f>IFERROR(__xludf.DUMMYFUNCTION("""COMPUTED_VALUE"""),"key")</f>
        <v>key</v>
      </c>
      <c r="M951" s="49"/>
      <c r="N951" s="49" t="str">
        <f>IFERROR(__xludf.DUMMYFUNCTION("""COMPUTED_VALUE"""),"bath")</f>
        <v>bath</v>
      </c>
      <c r="O951" s="49" t="str">
        <f>IFERROR(__xludf.DUMMYFUNCTION("""COMPUTED_VALUE"""),"upbeat")</f>
        <v>upbeat</v>
      </c>
      <c r="P951" s="49" t="str">
        <f t="shared" si="2"/>
        <v>translation,</v>
      </c>
      <c r="Q951" s="49"/>
      <c r="R951" s="50" t="s">
        <v>1991</v>
      </c>
      <c r="S951" s="55" t="s">
        <v>3491</v>
      </c>
      <c r="T951" s="49" t="str">
        <f>IFERROR(__xludf.DUMMYFUNCTION("""COMPUTED_VALUE"""),"advantage")</f>
        <v>advantage</v>
      </c>
      <c r="U951" s="49"/>
      <c r="V951" s="49"/>
      <c r="W951" s="49" t="str">
        <f>IFERROR(__xludf.DUMMYFUNCTION("""COMPUTED_VALUE"""),"radical")</f>
        <v>radical</v>
      </c>
      <c r="X951" s="49" t="str">
        <f t="shared" si="3"/>
        <v>try,</v>
      </c>
      <c r="Y951" s="49"/>
      <c r="Z951" s="1" t="s">
        <v>2589</v>
      </c>
      <c r="AA951" s="1" t="s">
        <v>3736</v>
      </c>
      <c r="AB951" s="49" t="str">
        <f>IFERROR(__xludf.DUMMYFUNCTION("""COMPUTED_VALUE"""),"cultural")</f>
        <v>cultural</v>
      </c>
      <c r="AC951" s="49"/>
      <c r="AD951" s="49" t="str">
        <f>IFERROR(__xludf.DUMMYFUNCTION("""COMPUTED_VALUE"""),"bath")</f>
        <v>bath</v>
      </c>
      <c r="AE951" s="49" t="str">
        <f>IFERROR(__xludf.DUMMYFUNCTION("""COMPUTED_VALUE"""),"upbeat")</f>
        <v>upbeat</v>
      </c>
      <c r="AF951" s="49" t="str">
        <f t="shared" si="4"/>
        <v>minds,</v>
      </c>
      <c r="AG951" s="49"/>
      <c r="AH951" s="1" t="s">
        <v>2906</v>
      </c>
      <c r="AI951" s="1" t="s">
        <v>6398</v>
      </c>
      <c r="AJ951" s="6" t="str">
        <f>IFERROR(__xludf.DUMMYFUNCTION("""COMPUTED_VALUE"""),"lady")</f>
        <v>lady</v>
      </c>
      <c r="AK951" s="49"/>
      <c r="AL951" s="49"/>
      <c r="AM951" s="49"/>
      <c r="AN951" s="52" t="str">
        <f t="shared" si="5"/>
        <v>whom,</v>
      </c>
    </row>
    <row r="952">
      <c r="A952" s="51"/>
      <c r="B952" s="50" t="s">
        <v>6445</v>
      </c>
      <c r="C952" s="50" t="s">
        <v>3243</v>
      </c>
      <c r="D952" s="49" t="str">
        <f>IFERROR(__xludf.DUMMYFUNCTION("""COMPUTED_VALUE"""),"laws")</f>
        <v>laws</v>
      </c>
      <c r="E952" s="49"/>
      <c r="F952" s="49"/>
      <c r="G952" s="49"/>
      <c r="H952" s="54" t="str">
        <f t="shared" si="1"/>
        <v>sad,</v>
      </c>
      <c r="I952" s="50"/>
      <c r="J952" s="50">
        <v>20.0</v>
      </c>
      <c r="K952" s="50" t="s">
        <v>2243</v>
      </c>
      <c r="L952" s="49" t="str">
        <f>IFERROR(__xludf.DUMMYFUNCTION("""COMPUTED_VALUE"""),"managed")</f>
        <v>managed</v>
      </c>
      <c r="M952" s="49"/>
      <c r="N952" s="49" t="str">
        <f>IFERROR(__xludf.DUMMYFUNCTION("""COMPUTED_VALUE"""),"freshly")</f>
        <v>freshly</v>
      </c>
      <c r="O952" s="49" t="str">
        <f>IFERROR(__xludf.DUMMYFUNCTION("""COMPUTED_VALUE"""),"directorial")</f>
        <v>directorial</v>
      </c>
      <c r="P952" s="49" t="str">
        <f t="shared" si="2"/>
        <v>20,</v>
      </c>
      <c r="Q952" s="49"/>
      <c r="R952" s="50" t="s">
        <v>1601</v>
      </c>
      <c r="S952" s="55" t="s">
        <v>1561</v>
      </c>
      <c r="T952" s="49" t="str">
        <f>IFERROR(__xludf.DUMMYFUNCTION("""COMPUTED_VALUE"""),"spirits")</f>
        <v>spirits</v>
      </c>
      <c r="U952" s="49"/>
      <c r="V952" s="49"/>
      <c r="W952" s="49" t="str">
        <f>IFERROR(__xludf.DUMMYFUNCTION("""COMPUTED_VALUE"""),"personalities")</f>
        <v>personalities</v>
      </c>
      <c r="X952" s="49" t="str">
        <f t="shared" si="3"/>
        <v>failing,</v>
      </c>
      <c r="Y952" s="49"/>
      <c r="Z952" s="1" t="s">
        <v>1918</v>
      </c>
      <c r="AA952" s="1" t="s">
        <v>1271</v>
      </c>
      <c r="AB952" s="49" t="str">
        <f>IFERROR(__xludf.DUMMYFUNCTION("""COMPUTED_VALUE"""),"clown")</f>
        <v>clown</v>
      </c>
      <c r="AC952" s="49"/>
      <c r="AD952" s="49" t="str">
        <f>IFERROR(__xludf.DUMMYFUNCTION("""COMPUTED_VALUE"""),"freshly")</f>
        <v>freshly</v>
      </c>
      <c r="AE952" s="49" t="str">
        <f>IFERROR(__xludf.DUMMYFUNCTION("""COMPUTED_VALUE"""),"directorial")</f>
        <v>directorial</v>
      </c>
      <c r="AF952" s="49" t="str">
        <f t="shared" si="4"/>
        <v>strong,</v>
      </c>
      <c r="AG952" s="49"/>
      <c r="AH952" s="1" t="s">
        <v>1975</v>
      </c>
      <c r="AI952" s="1" t="s">
        <v>6399</v>
      </c>
      <c r="AJ952" s="6" t="str">
        <f>IFERROR(__xludf.DUMMYFUNCTION("""COMPUTED_VALUE"""),"latter")</f>
        <v>latter</v>
      </c>
      <c r="AK952" s="49"/>
      <c r="AL952" s="49"/>
      <c r="AM952" s="49"/>
      <c r="AN952" s="52" t="str">
        <f t="shared" si="5"/>
        <v>beyond,</v>
      </c>
    </row>
    <row r="953">
      <c r="A953" s="51"/>
      <c r="B953" s="50" t="s">
        <v>3657</v>
      </c>
      <c r="C953" s="50" t="s">
        <v>2218</v>
      </c>
      <c r="D953" s="49" t="str">
        <f>IFERROR(__xludf.DUMMYFUNCTION("""COMPUTED_VALUE"""),"closely")</f>
        <v>closely</v>
      </c>
      <c r="E953" s="49"/>
      <c r="F953" s="49"/>
      <c r="G953" s="49"/>
      <c r="H953" s="54" t="str">
        <f t="shared" si="1"/>
        <v>rarely,</v>
      </c>
      <c r="I953" s="50"/>
      <c r="J953" s="50" t="s">
        <v>4212</v>
      </c>
      <c r="K953" s="50" t="s">
        <v>643</v>
      </c>
      <c r="L953" s="49" t="str">
        <f>IFERROR(__xludf.DUMMYFUNCTION("""COMPUTED_VALUE"""),"warriors")</f>
        <v>warriors</v>
      </c>
      <c r="M953" s="49"/>
      <c r="N953" s="49" t="str">
        <f>IFERROR(__xludf.DUMMYFUNCTION("""COMPUTED_VALUE"""),"exploring")</f>
        <v>exploring</v>
      </c>
      <c r="O953" s="49" t="str">
        <f>IFERROR(__xludf.DUMMYFUNCTION("""COMPUTED_VALUE"""),"repeated")</f>
        <v>repeated</v>
      </c>
      <c r="P953" s="49" t="str">
        <f t="shared" si="2"/>
        <v>evident,</v>
      </c>
      <c r="Q953" s="49"/>
      <c r="R953" s="50" t="s">
        <v>4214</v>
      </c>
      <c r="S953" s="55" t="s">
        <v>3498</v>
      </c>
      <c r="T953" s="49" t="str">
        <f>IFERROR(__xludf.DUMMYFUNCTION("""COMPUTED_VALUE"""),"burn")</f>
        <v>burn</v>
      </c>
      <c r="U953" s="49"/>
      <c r="V953" s="49"/>
      <c r="W953" s="49" t="str">
        <f>IFERROR(__xludf.DUMMYFUNCTION("""COMPUTED_VALUE"""),"sterling")</f>
        <v>sterling</v>
      </c>
      <c r="X953" s="49" t="str">
        <f t="shared" si="3"/>
        <v>jokes,</v>
      </c>
      <c r="Y953" s="49"/>
      <c r="Z953" s="1" t="s">
        <v>6455</v>
      </c>
      <c r="AA953" s="1" t="s">
        <v>2586</v>
      </c>
      <c r="AB953" s="49" t="str">
        <f>IFERROR(__xludf.DUMMYFUNCTION("""COMPUTED_VALUE"""),"monstrous")</f>
        <v>monstrous</v>
      </c>
      <c r="AC953" s="49"/>
      <c r="AD953" s="49" t="str">
        <f>IFERROR(__xludf.DUMMYFUNCTION("""COMPUTED_VALUE"""),"exploring")</f>
        <v>exploring</v>
      </c>
      <c r="AE953" s="49" t="str">
        <f>IFERROR(__xludf.DUMMYFUNCTION("""COMPUTED_VALUE"""),"repeated")</f>
        <v>repeated</v>
      </c>
      <c r="AF953" s="49" t="str">
        <f t="shared" si="4"/>
        <v>obviously,</v>
      </c>
      <c r="AG953" s="49"/>
      <c r="AH953" s="1" t="s">
        <v>2260</v>
      </c>
      <c r="AI953" s="1" t="s">
        <v>1951</v>
      </c>
      <c r="AJ953" s="6" t="str">
        <f>IFERROR(__xludf.DUMMYFUNCTION("""COMPUTED_VALUE"""),"quality")</f>
        <v>quality</v>
      </c>
      <c r="AK953" s="49"/>
      <c r="AL953" s="49"/>
      <c r="AM953" s="49"/>
      <c r="AN953" s="52" t="str">
        <f t="shared" si="5"/>
        <v>hurt,</v>
      </c>
    </row>
    <row r="954">
      <c r="A954" s="51"/>
      <c r="B954" s="50" t="s">
        <v>5114</v>
      </c>
      <c r="C954" s="50" t="s">
        <v>2083</v>
      </c>
      <c r="D954" s="49" t="str">
        <f>IFERROR(__xludf.DUMMYFUNCTION("""COMPUTED_VALUE"""),"laughter")</f>
        <v>laughter</v>
      </c>
      <c r="E954" s="49"/>
      <c r="F954" s="49"/>
      <c r="G954" s="49"/>
      <c r="H954" s="54" t="str">
        <f t="shared" si="1"/>
        <v>throwing,</v>
      </c>
      <c r="I954" s="50"/>
      <c r="J954" s="50" t="s">
        <v>1279</v>
      </c>
      <c r="K954" s="50" t="s">
        <v>648</v>
      </c>
      <c r="L954" s="49" t="str">
        <f>IFERROR(__xludf.DUMMYFUNCTION("""COMPUTED_VALUE"""),"kinetic")</f>
        <v>kinetic</v>
      </c>
      <c r="M954" s="49"/>
      <c r="N954" s="49" t="str">
        <f>IFERROR(__xludf.DUMMYFUNCTION("""COMPUTED_VALUE"""),"witnessed")</f>
        <v>witnessed</v>
      </c>
      <c r="O954" s="49" t="str">
        <f>IFERROR(__xludf.DUMMYFUNCTION("""COMPUTED_VALUE"""),"puppets")</f>
        <v>puppets</v>
      </c>
      <c r="P954" s="49" t="str">
        <f t="shared" si="2"/>
        <v>filmed,</v>
      </c>
      <c r="Q954" s="49"/>
      <c r="R954" s="50" t="s">
        <v>3260</v>
      </c>
      <c r="S954" s="55" t="s">
        <v>2092</v>
      </c>
      <c r="T954" s="49" t="str">
        <f>IFERROR(__xludf.DUMMYFUNCTION("""COMPUTED_VALUE"""),"repetitive")</f>
        <v>repetitive</v>
      </c>
      <c r="U954" s="49"/>
      <c r="V954" s="49"/>
      <c r="W954" s="49" t="str">
        <f>IFERROR(__xludf.DUMMYFUNCTION("""COMPUTED_VALUE"""),"thrusts")</f>
        <v>thrusts</v>
      </c>
      <c r="X954" s="49" t="str">
        <f t="shared" si="3"/>
        <v>martin,</v>
      </c>
      <c r="Y954" s="49"/>
      <c r="Z954" s="1" t="s">
        <v>5629</v>
      </c>
      <c r="AA954" s="1" t="s">
        <v>2589</v>
      </c>
      <c r="AB954" s="49" t="str">
        <f>IFERROR(__xludf.DUMMYFUNCTION("""COMPUTED_VALUE"""),"nicely")</f>
        <v>nicely</v>
      </c>
      <c r="AC954" s="49"/>
      <c r="AD954" s="49" t="str">
        <f>IFERROR(__xludf.DUMMYFUNCTION("""COMPUTED_VALUE"""),"witnessed")</f>
        <v>witnessed</v>
      </c>
      <c r="AE954" s="49" t="str">
        <f>IFERROR(__xludf.DUMMYFUNCTION("""COMPUTED_VALUE"""),"puppets")</f>
        <v>puppets</v>
      </c>
      <c r="AF954" s="49" t="str">
        <f t="shared" si="4"/>
        <v>dangerous,</v>
      </c>
      <c r="AG954" s="49"/>
      <c r="AH954" s="1" t="s">
        <v>7305</v>
      </c>
      <c r="AI954" s="1" t="s">
        <v>1957</v>
      </c>
      <c r="AJ954" s="6" t="str">
        <f>IFERROR(__xludf.DUMMYFUNCTION("""COMPUTED_VALUE"""),"streets")</f>
        <v>streets</v>
      </c>
      <c r="AK954" s="49"/>
      <c r="AL954" s="49"/>
      <c r="AM954" s="49"/>
      <c r="AN954" s="52" t="str">
        <f t="shared" si="5"/>
        <v>label,</v>
      </c>
    </row>
    <row r="955">
      <c r="A955" s="51"/>
      <c r="B955" s="50" t="s">
        <v>1971</v>
      </c>
      <c r="C955" s="50" t="s">
        <v>1989</v>
      </c>
      <c r="D955" s="49" t="str">
        <f>IFERROR(__xludf.DUMMYFUNCTION("""COMPUTED_VALUE"""),"philosophical")</f>
        <v>philosophical</v>
      </c>
      <c r="E955" s="49"/>
      <c r="F955" s="49"/>
      <c r="G955" s="49"/>
      <c r="H955" s="54" t="str">
        <f t="shared" si="1"/>
        <v>dramatic,</v>
      </c>
      <c r="I955" s="50"/>
      <c r="J955" s="50" t="s">
        <v>2661</v>
      </c>
      <c r="K955" s="50" t="s">
        <v>3747</v>
      </c>
      <c r="L955" s="49" t="str">
        <f>IFERROR(__xludf.DUMMYFUNCTION("""COMPUTED_VALUE"""),"mira")</f>
        <v>mira</v>
      </c>
      <c r="M955" s="49"/>
      <c r="N955" s="49" t="str">
        <f>IFERROR(__xludf.DUMMYFUNCTION("""COMPUTED_VALUE"""),"hat")</f>
        <v>hat</v>
      </c>
      <c r="O955" s="49" t="str">
        <f>IFERROR(__xludf.DUMMYFUNCTION("""COMPUTED_VALUE"""),"futile")</f>
        <v>futile</v>
      </c>
      <c r="P955" s="49" t="str">
        <f t="shared" si="2"/>
        <v>stage,</v>
      </c>
      <c r="Q955" s="49"/>
      <c r="R955" s="50" t="s">
        <v>5579</v>
      </c>
      <c r="S955" s="55" t="s">
        <v>472</v>
      </c>
      <c r="T955" s="49" t="str">
        <f>IFERROR(__xludf.DUMMYFUNCTION("""COMPUTED_VALUE"""),"sucked")</f>
        <v>sucked</v>
      </c>
      <c r="U955" s="49"/>
      <c r="V955" s="49"/>
      <c r="W955" s="49" t="str">
        <f>IFERROR(__xludf.DUMMYFUNCTION("""COMPUTED_VALUE"""),"backbone")</f>
        <v>backbone</v>
      </c>
      <c r="X955" s="49" t="str">
        <f t="shared" si="3"/>
        <v>appreciate,</v>
      </c>
      <c r="Y955" s="49"/>
      <c r="Z955" s="1" t="s">
        <v>1226</v>
      </c>
      <c r="AA955" s="1" t="s">
        <v>2592</v>
      </c>
      <c r="AB955" s="49" t="str">
        <f>IFERROR(__xludf.DUMMYFUNCTION("""COMPUTED_VALUE"""),"holm")</f>
        <v>holm</v>
      </c>
      <c r="AC955" s="49"/>
      <c r="AD955" s="49" t="str">
        <f>IFERROR(__xludf.DUMMYFUNCTION("""COMPUTED_VALUE"""),"hat")</f>
        <v>hat</v>
      </c>
      <c r="AE955" s="49" t="str">
        <f>IFERROR(__xludf.DUMMYFUNCTION("""COMPUTED_VALUE"""),"futile")</f>
        <v>futile</v>
      </c>
      <c r="AF955" s="49" t="str">
        <f t="shared" si="4"/>
        <v>respect,</v>
      </c>
      <c r="AG955" s="49"/>
      <c r="AH955" s="1" t="s">
        <v>2317</v>
      </c>
      <c r="AI955" s="1" t="s">
        <v>4636</v>
      </c>
      <c r="AJ955" s="6" t="str">
        <f>IFERROR(__xludf.DUMMYFUNCTION("""COMPUTED_VALUE"""),"decades")</f>
        <v>decades</v>
      </c>
      <c r="AK955" s="49"/>
      <c r="AL955" s="49"/>
      <c r="AM955" s="49"/>
      <c r="AN955" s="52" t="str">
        <f t="shared" si="5"/>
        <v>inspired,</v>
      </c>
    </row>
    <row r="956">
      <c r="A956" s="51"/>
      <c r="B956" s="50" t="s">
        <v>6407</v>
      </c>
      <c r="C956" s="50" t="s">
        <v>6401</v>
      </c>
      <c r="D956" s="49" t="str">
        <f>IFERROR(__xludf.DUMMYFUNCTION("""COMPUTED_VALUE"""),"hot")</f>
        <v>hot</v>
      </c>
      <c r="E956" s="49"/>
      <c r="F956" s="49"/>
      <c r="G956" s="49"/>
      <c r="H956" s="54" t="str">
        <f t="shared" si="1"/>
        <v>punk,</v>
      </c>
      <c r="I956" s="50"/>
      <c r="J956" s="50" t="s">
        <v>510</v>
      </c>
      <c r="K956" s="50" t="s">
        <v>3583</v>
      </c>
      <c r="L956" s="49" t="str">
        <f>IFERROR(__xludf.DUMMYFUNCTION("""COMPUTED_VALUE"""),"filmmaker")</f>
        <v>filmmaker</v>
      </c>
      <c r="M956" s="49"/>
      <c r="N956" s="49" t="str">
        <f>IFERROR(__xludf.DUMMYFUNCTION("""COMPUTED_VALUE"""),"erin")</f>
        <v>erin</v>
      </c>
      <c r="O956" s="49">
        <f>IFERROR(__xludf.DUMMYFUNCTION("""COMPUTED_VALUE"""),1899.0)</f>
        <v>1899</v>
      </c>
      <c r="P956" s="49" t="str">
        <f t="shared" si="2"/>
        <v>enduring,</v>
      </c>
      <c r="Q956" s="49"/>
      <c r="R956" s="50" t="s">
        <v>115</v>
      </c>
      <c r="S956" s="55" t="s">
        <v>2085</v>
      </c>
      <c r="T956" s="49" t="str">
        <f>IFERROR(__xludf.DUMMYFUNCTION("""COMPUTED_VALUE"""),"sleek")</f>
        <v>sleek</v>
      </c>
      <c r="U956" s="49"/>
      <c r="V956" s="49"/>
      <c r="W956" s="49" t="str">
        <f>IFERROR(__xludf.DUMMYFUNCTION("""COMPUTED_VALUE"""),"courageous")</f>
        <v>courageous</v>
      </c>
      <c r="X956" s="49" t="str">
        <f t="shared" si="3"/>
        <v>utterly,</v>
      </c>
      <c r="Y956" s="49"/>
      <c r="Z956" s="1" t="s">
        <v>2819</v>
      </c>
      <c r="AA956" s="1" t="s">
        <v>1278</v>
      </c>
      <c r="AB956" s="49" t="str">
        <f>IFERROR(__xludf.DUMMYFUNCTION("""COMPUTED_VALUE"""),"emotion")</f>
        <v>emotion</v>
      </c>
      <c r="AC956" s="49"/>
      <c r="AD956" s="49" t="str">
        <f>IFERROR(__xludf.DUMMYFUNCTION("""COMPUTED_VALUE"""),"erin")</f>
        <v>erin</v>
      </c>
      <c r="AE956" s="49">
        <f>IFERROR(__xludf.DUMMYFUNCTION("""COMPUTED_VALUE"""),1899.0)</f>
        <v>1899</v>
      </c>
      <c r="AF956" s="49" t="str">
        <f t="shared" si="4"/>
        <v>bears,</v>
      </c>
      <c r="AG956" s="49"/>
      <c r="AH956" s="1" t="s">
        <v>6923</v>
      </c>
      <c r="AI956" s="1" t="s">
        <v>5084</v>
      </c>
      <c r="AJ956" s="6" t="str">
        <f>IFERROR(__xludf.DUMMYFUNCTION("""COMPUTED_VALUE"""),"reputation")</f>
        <v>reputation</v>
      </c>
      <c r="AK956" s="49"/>
      <c r="AL956" s="49"/>
      <c r="AM956" s="49"/>
      <c r="AN956" s="52" t="str">
        <f t="shared" si="5"/>
        <v>controlled,</v>
      </c>
    </row>
    <row r="957">
      <c r="A957" s="51"/>
      <c r="B957" s="50" t="s">
        <v>2064</v>
      </c>
      <c r="C957" s="50" t="s">
        <v>1168</v>
      </c>
      <c r="D957" s="49" t="str">
        <f>IFERROR(__xludf.DUMMYFUNCTION("""COMPUTED_VALUE"""),"drag")</f>
        <v>drag</v>
      </c>
      <c r="E957" s="49"/>
      <c r="F957" s="49"/>
      <c r="G957" s="49"/>
      <c r="H957" s="54" t="str">
        <f t="shared" si="1"/>
        <v>admission,</v>
      </c>
      <c r="I957" s="50"/>
      <c r="J957" s="50" t="s">
        <v>6888</v>
      </c>
      <c r="K957" s="50" t="s">
        <v>2253</v>
      </c>
      <c r="L957" s="49" t="str">
        <f>IFERROR(__xludf.DUMMYFUNCTION("""COMPUTED_VALUE"""),"flair")</f>
        <v>flair</v>
      </c>
      <c r="M957" s="49"/>
      <c r="N957" s="49" t="str">
        <f>IFERROR(__xludf.DUMMYFUNCTION("""COMPUTED_VALUE"""),"benign")</f>
        <v>benign</v>
      </c>
      <c r="O957" s="49" t="str">
        <f>IFERROR(__xludf.DUMMYFUNCTION("""COMPUTED_VALUE"""),"willingness")</f>
        <v>willingness</v>
      </c>
      <c r="P957" s="49" t="str">
        <f t="shared" si="2"/>
        <v>di,</v>
      </c>
      <c r="Q957" s="49"/>
      <c r="R957" s="50" t="s">
        <v>2578</v>
      </c>
      <c r="S957" s="55" t="s">
        <v>552</v>
      </c>
      <c r="T957" s="49" t="str">
        <f>IFERROR(__xludf.DUMMYFUNCTION("""COMPUTED_VALUE"""),"seconds")</f>
        <v>seconds</v>
      </c>
      <c r="U957" s="49"/>
      <c r="V957" s="49"/>
      <c r="W957" s="49" t="str">
        <f>IFERROR(__xludf.DUMMYFUNCTION("""COMPUTED_VALUE"""),"allegiance")</f>
        <v>allegiance</v>
      </c>
      <c r="X957" s="49" t="str">
        <f t="shared" si="3"/>
        <v>miserable,</v>
      </c>
      <c r="Y957" s="49"/>
      <c r="Z957" s="1" t="s">
        <v>1713</v>
      </c>
      <c r="AA957" s="1" t="s">
        <v>1285</v>
      </c>
      <c r="AB957" s="49" t="str">
        <f>IFERROR(__xludf.DUMMYFUNCTION("""COMPUTED_VALUE"""),"characteristic")</f>
        <v>characteristic</v>
      </c>
      <c r="AC957" s="49"/>
      <c r="AD957" s="49" t="str">
        <f>IFERROR(__xludf.DUMMYFUNCTION("""COMPUTED_VALUE"""),"benign")</f>
        <v>benign</v>
      </c>
      <c r="AE957" s="49" t="str">
        <f>IFERROR(__xludf.DUMMYFUNCTION("""COMPUTED_VALUE"""),"willingness")</f>
        <v>willingness</v>
      </c>
      <c r="AF957" s="49" t="str">
        <f t="shared" si="4"/>
        <v>formed,</v>
      </c>
      <c r="AG957" s="49"/>
      <c r="AH957" s="1" t="s">
        <v>4012</v>
      </c>
      <c r="AI957" s="1" t="s">
        <v>2532</v>
      </c>
      <c r="AJ957" s="6" t="str">
        <f>IFERROR(__xludf.DUMMYFUNCTION("""COMPUTED_VALUE"""),"witness")</f>
        <v>witness</v>
      </c>
      <c r="AK957" s="49"/>
      <c r="AL957" s="49"/>
      <c r="AM957" s="49"/>
      <c r="AN957" s="52" t="str">
        <f t="shared" si="5"/>
        <v>stands,</v>
      </c>
    </row>
    <row r="958">
      <c r="A958" s="51"/>
      <c r="B958" s="50" t="s">
        <v>1726</v>
      </c>
      <c r="C958" s="50" t="s">
        <v>1299</v>
      </c>
      <c r="D958" s="49" t="str">
        <f>IFERROR(__xludf.DUMMYFUNCTION("""COMPUTED_VALUE"""),"unique")</f>
        <v>unique</v>
      </c>
      <c r="E958" s="49"/>
      <c r="F958" s="49"/>
      <c r="G958" s="49"/>
      <c r="H958" s="54" t="str">
        <f t="shared" si="1"/>
        <v>band,</v>
      </c>
      <c r="I958" s="50"/>
      <c r="J958" s="50" t="s">
        <v>4609</v>
      </c>
      <c r="K958" s="50" t="s">
        <v>3751</v>
      </c>
      <c r="L958" s="49" t="str">
        <f>IFERROR(__xludf.DUMMYFUNCTION("""COMPUTED_VALUE"""),"spike")</f>
        <v>spike</v>
      </c>
      <c r="M958" s="49"/>
      <c r="N958" s="49" t="str">
        <f>IFERROR(__xludf.DUMMYFUNCTION("""COMPUTED_VALUE"""),"protective")</f>
        <v>protective</v>
      </c>
      <c r="O958" s="49" t="str">
        <f>IFERROR(__xludf.DUMMYFUNCTION("""COMPUTED_VALUE"""),"warped")</f>
        <v>warped</v>
      </c>
      <c r="P958" s="49" t="str">
        <f t="shared" si="2"/>
        <v>lifetime,</v>
      </c>
      <c r="Q958" s="49"/>
      <c r="R958" s="50" t="s">
        <v>6720</v>
      </c>
      <c r="S958" s="55" t="s">
        <v>480</v>
      </c>
      <c r="T958" s="49" t="str">
        <f>IFERROR(__xludf.DUMMYFUNCTION("""COMPUTED_VALUE"""),"basis")</f>
        <v>basis</v>
      </c>
      <c r="U958" s="49"/>
      <c r="V958" s="49"/>
      <c r="W958" s="49" t="str">
        <f>IFERROR(__xludf.DUMMYFUNCTION("""COMPUTED_VALUE"""),"prominently")</f>
        <v>prominently</v>
      </c>
      <c r="X958" s="49" t="str">
        <f t="shared" si="3"/>
        <v>western,</v>
      </c>
      <c r="Y958" s="49"/>
      <c r="Z958" s="1" t="s">
        <v>1640</v>
      </c>
      <c r="AA958" s="1" t="s">
        <v>2140</v>
      </c>
      <c r="AB958" s="49" t="str">
        <f>IFERROR(__xludf.DUMMYFUNCTION("""COMPUTED_VALUE"""),"fearless")</f>
        <v>fearless</v>
      </c>
      <c r="AC958" s="49"/>
      <c r="AD958" s="49" t="str">
        <f>IFERROR(__xludf.DUMMYFUNCTION("""COMPUTED_VALUE"""),"protective")</f>
        <v>protective</v>
      </c>
      <c r="AE958" s="49" t="str">
        <f>IFERROR(__xludf.DUMMYFUNCTION("""COMPUTED_VALUE"""),"warped")</f>
        <v>warped</v>
      </c>
      <c r="AF958" s="49" t="str">
        <f t="shared" si="4"/>
        <v>formula,</v>
      </c>
      <c r="AG958" s="49"/>
      <c r="AH958" s="1" t="s">
        <v>133</v>
      </c>
      <c r="AI958" s="1" t="s">
        <v>6414</v>
      </c>
      <c r="AJ958" s="6" t="str">
        <f>IFERROR(__xludf.DUMMYFUNCTION("""COMPUTED_VALUE"""),"belongs")</f>
        <v>belongs</v>
      </c>
      <c r="AK958" s="49"/>
      <c r="AL958" s="49"/>
      <c r="AM958" s="49"/>
      <c r="AN958" s="52" t="str">
        <f t="shared" si="5"/>
        <v>touching,</v>
      </c>
    </row>
    <row r="959">
      <c r="A959" s="51"/>
      <c r="B959" s="50" t="s">
        <v>6994</v>
      </c>
      <c r="C959" s="50" t="s">
        <v>6415</v>
      </c>
      <c r="D959" s="49" t="str">
        <f>IFERROR(__xludf.DUMMYFUNCTION("""COMPUTED_VALUE"""),"directing")</f>
        <v>directing</v>
      </c>
      <c r="E959" s="49"/>
      <c r="F959" s="49"/>
      <c r="G959" s="49"/>
      <c r="H959" s="54" t="str">
        <f t="shared" si="1"/>
        <v>seemed,</v>
      </c>
      <c r="I959" s="50"/>
      <c r="J959" s="50" t="s">
        <v>4077</v>
      </c>
      <c r="K959" s="50" t="s">
        <v>2300</v>
      </c>
      <c r="L959" s="49" t="str">
        <f>IFERROR(__xludf.DUMMYFUNCTION("""COMPUTED_VALUE"""),"effort")</f>
        <v>effort</v>
      </c>
      <c r="M959" s="49"/>
      <c r="N959" s="49" t="str">
        <f>IFERROR(__xludf.DUMMYFUNCTION("""COMPUTED_VALUE"""),"swim")</f>
        <v>swim</v>
      </c>
      <c r="O959" s="49" t="str">
        <f>IFERROR(__xludf.DUMMYFUNCTION("""COMPUTED_VALUE"""),"positively")</f>
        <v>positively</v>
      </c>
      <c r="P959" s="49" t="str">
        <f t="shared" si="2"/>
        <v>rules,</v>
      </c>
      <c r="Q959" s="49"/>
      <c r="R959" s="50" t="s">
        <v>4499</v>
      </c>
      <c r="S959" s="55" t="s">
        <v>3509</v>
      </c>
      <c r="T959" s="49" t="str">
        <f>IFERROR(__xludf.DUMMYFUNCTION("""COMPUTED_VALUE"""),"front")</f>
        <v>front</v>
      </c>
      <c r="U959" s="49"/>
      <c r="V959" s="49"/>
      <c r="W959" s="49" t="str">
        <f>IFERROR(__xludf.DUMMYFUNCTION("""COMPUTED_VALUE"""),"imagery")</f>
        <v>imagery</v>
      </c>
      <c r="X959" s="49" t="str">
        <f t="shared" si="3"/>
        <v>beach,</v>
      </c>
      <c r="Y959" s="49"/>
      <c r="Z959" s="1" t="s">
        <v>2747</v>
      </c>
      <c r="AA959" s="1" t="s">
        <v>3752</v>
      </c>
      <c r="AB959" s="49" t="str">
        <f>IFERROR(__xludf.DUMMYFUNCTION("""COMPUTED_VALUE"""),"revolution")</f>
        <v>revolution</v>
      </c>
      <c r="AC959" s="49"/>
      <c r="AD959" s="49" t="str">
        <f>IFERROR(__xludf.DUMMYFUNCTION("""COMPUTED_VALUE"""),"swim")</f>
        <v>swim</v>
      </c>
      <c r="AE959" s="49" t="str">
        <f>IFERROR(__xludf.DUMMYFUNCTION("""COMPUTED_VALUE"""),"positively")</f>
        <v>positively</v>
      </c>
      <c r="AF959" s="49" t="str">
        <f t="shared" si="4"/>
        <v>teacher,</v>
      </c>
      <c r="AG959" s="49"/>
      <c r="AH959" s="1" t="s">
        <v>1590</v>
      </c>
      <c r="AI959" s="1" t="s">
        <v>2737</v>
      </c>
      <c r="AJ959" s="6" t="str">
        <f>IFERROR(__xludf.DUMMYFUNCTION("""COMPUTED_VALUE"""),"r")</f>
        <v>r</v>
      </c>
      <c r="AK959" s="49"/>
      <c r="AL959" s="49"/>
      <c r="AM959" s="49"/>
      <c r="AN959" s="52" t="str">
        <f t="shared" si="5"/>
        <v>important,</v>
      </c>
    </row>
    <row r="960">
      <c r="A960" s="51"/>
      <c r="B960" s="50" t="s">
        <v>4057</v>
      </c>
      <c r="C960" s="50" t="s">
        <v>2752</v>
      </c>
      <c r="D960" s="49" t="str">
        <f>IFERROR(__xludf.DUMMYFUNCTION("""COMPUTED_VALUE"""),"required")</f>
        <v>required</v>
      </c>
      <c r="E960" s="49"/>
      <c r="F960" s="49"/>
      <c r="G960" s="49"/>
      <c r="H960" s="54" t="str">
        <f t="shared" si="1"/>
        <v>talk,</v>
      </c>
      <c r="I960" s="50"/>
      <c r="J960" s="50" t="s">
        <v>3945</v>
      </c>
      <c r="K960" s="50" t="s">
        <v>2257</v>
      </c>
      <c r="L960" s="49" t="str">
        <f>IFERROR(__xludf.DUMMYFUNCTION("""COMPUTED_VALUE"""),"signals")</f>
        <v>signals</v>
      </c>
      <c r="M960" s="49"/>
      <c r="N960" s="49" t="str">
        <f>IFERROR(__xludf.DUMMYFUNCTION("""COMPUTED_VALUE"""),"defensive")</f>
        <v>defensive</v>
      </c>
      <c r="O960" s="49" t="str">
        <f>IFERROR(__xludf.DUMMYFUNCTION("""COMPUTED_VALUE"""),"bertrand")</f>
        <v>bertrand</v>
      </c>
      <c r="P960" s="49" t="str">
        <f t="shared" si="2"/>
        <v>learned,</v>
      </c>
      <c r="Q960" s="49"/>
      <c r="R960" s="50" t="s">
        <v>3077</v>
      </c>
      <c r="S960" s="55" t="s">
        <v>4857</v>
      </c>
      <c r="T960" s="49" t="str">
        <f>IFERROR(__xludf.DUMMYFUNCTION("""COMPUTED_VALUE"""),"marginal")</f>
        <v>marginal</v>
      </c>
      <c r="U960" s="49"/>
      <c r="V960" s="49"/>
      <c r="W960" s="49" t="str">
        <f>IFERROR(__xludf.DUMMYFUNCTION("""COMPUTED_VALUE"""),"theory")</f>
        <v>theory</v>
      </c>
      <c r="X960" s="49" t="str">
        <f t="shared" si="3"/>
        <v>gifford,</v>
      </c>
      <c r="Y960" s="49"/>
      <c r="Z960" s="1" t="s">
        <v>6629</v>
      </c>
      <c r="AA960" s="1" t="s">
        <v>834</v>
      </c>
      <c r="AB960" s="49" t="str">
        <f>IFERROR(__xludf.DUMMYFUNCTION("""COMPUTED_VALUE"""),"devoid")</f>
        <v>devoid</v>
      </c>
      <c r="AC960" s="49"/>
      <c r="AD960" s="49" t="str">
        <f>IFERROR(__xludf.DUMMYFUNCTION("""COMPUTED_VALUE"""),"defensive")</f>
        <v>defensive</v>
      </c>
      <c r="AE960" s="49" t="str">
        <f>IFERROR(__xludf.DUMMYFUNCTION("""COMPUTED_VALUE"""),"bertrand")</f>
        <v>bertrand</v>
      </c>
      <c r="AF960" s="49" t="str">
        <f t="shared" si="4"/>
        <v>neat,</v>
      </c>
      <c r="AG960" s="49"/>
      <c r="AH960" s="1" t="s">
        <v>3697</v>
      </c>
      <c r="AI960" s="1" t="s">
        <v>2740</v>
      </c>
      <c r="AJ960" s="6" t="str">
        <f>IFERROR(__xludf.DUMMYFUNCTION("""COMPUTED_VALUE"""),"born")</f>
        <v>born</v>
      </c>
      <c r="AK960" s="49"/>
      <c r="AL960" s="49"/>
      <c r="AM960" s="49"/>
      <c r="AN960" s="52" t="str">
        <f t="shared" si="5"/>
        <v>followed,</v>
      </c>
    </row>
    <row r="961">
      <c r="A961" s="51"/>
      <c r="B961" s="50" t="s">
        <v>527</v>
      </c>
      <c r="C961" s="50" t="s">
        <v>6416</v>
      </c>
      <c r="D961" s="49" t="str">
        <f>IFERROR(__xludf.DUMMYFUNCTION("""COMPUTED_VALUE"""),"attention")</f>
        <v>attention</v>
      </c>
      <c r="E961" s="49"/>
      <c r="F961" s="49"/>
      <c r="G961" s="49"/>
      <c r="H961" s="54" t="str">
        <f t="shared" si="1"/>
        <v>debut,</v>
      </c>
      <c r="I961" s="50"/>
      <c r="J961" s="50" t="s">
        <v>64</v>
      </c>
      <c r="K961" s="50" t="s">
        <v>533</v>
      </c>
      <c r="L961" s="49" t="str">
        <f>IFERROR(__xludf.DUMMYFUNCTION("""COMPUTED_VALUE"""),"aimed")</f>
        <v>aimed</v>
      </c>
      <c r="M961" s="49"/>
      <c r="N961" s="49" t="str">
        <f>IFERROR(__xludf.DUMMYFUNCTION("""COMPUTED_VALUE"""),"x")</f>
        <v>x</v>
      </c>
      <c r="O961" s="49" t="str">
        <f>IFERROR(__xludf.DUMMYFUNCTION("""COMPUTED_VALUE"""),"brisk")</f>
        <v>brisk</v>
      </c>
      <c r="P961" s="49" t="str">
        <f t="shared" si="2"/>
        <v>weaving,</v>
      </c>
      <c r="Q961" s="49"/>
      <c r="R961" s="50" t="s">
        <v>1332</v>
      </c>
      <c r="S961" s="55" t="s">
        <v>3516</v>
      </c>
      <c r="T961" s="49" t="str">
        <f>IFERROR(__xludf.DUMMYFUNCTION("""COMPUTED_VALUE"""),"collapse")</f>
        <v>collapse</v>
      </c>
      <c r="U961" s="49"/>
      <c r="V961" s="49"/>
      <c r="W961" s="49" t="str">
        <f>IFERROR(__xludf.DUMMYFUNCTION("""COMPUTED_VALUE"""),"intersect")</f>
        <v>intersect</v>
      </c>
      <c r="X961" s="49" t="str">
        <f t="shared" si="3"/>
        <v>devastation,</v>
      </c>
      <c r="Y961" s="49"/>
      <c r="Z961" s="1" t="s">
        <v>4147</v>
      </c>
      <c r="AA961" s="1" t="s">
        <v>2549</v>
      </c>
      <c r="AB961" s="49" t="str">
        <f>IFERROR(__xludf.DUMMYFUNCTION("""COMPUTED_VALUE"""),"retains")</f>
        <v>retains</v>
      </c>
      <c r="AC961" s="49"/>
      <c r="AD961" s="49" t="str">
        <f>IFERROR(__xludf.DUMMYFUNCTION("""COMPUTED_VALUE"""),"x")</f>
        <v>x</v>
      </c>
      <c r="AE961" s="49" t="str">
        <f>IFERROR(__xludf.DUMMYFUNCTION("""COMPUTED_VALUE"""),"brisk")</f>
        <v>brisk</v>
      </c>
      <c r="AF961" s="49" t="str">
        <f t="shared" si="4"/>
        <v>news,</v>
      </c>
      <c r="AG961" s="49"/>
      <c r="AH961" s="1" t="s">
        <v>669</v>
      </c>
      <c r="AI961" s="1" t="s">
        <v>3243</v>
      </c>
      <c r="AJ961" s="6" t="str">
        <f>IFERROR(__xludf.DUMMYFUNCTION("""COMPUTED_VALUE"""),"named")</f>
        <v>named</v>
      </c>
      <c r="AK961" s="49"/>
      <c r="AL961" s="49"/>
      <c r="AM961" s="49"/>
      <c r="AN961" s="52" t="str">
        <f t="shared" si="5"/>
        <v>sometimes,</v>
      </c>
    </row>
    <row r="962">
      <c r="A962" s="51"/>
      <c r="B962" s="50" t="s">
        <v>477</v>
      </c>
      <c r="C962" s="50" t="s">
        <v>2755</v>
      </c>
      <c r="D962" s="49" t="str">
        <f>IFERROR(__xludf.DUMMYFUNCTION("""COMPUTED_VALUE"""),"hip")</f>
        <v>hip</v>
      </c>
      <c r="E962" s="49"/>
      <c r="F962" s="49"/>
      <c r="G962" s="49"/>
      <c r="H962" s="54" t="str">
        <f t="shared" si="1"/>
        <v>morning,</v>
      </c>
      <c r="I962" s="50"/>
      <c r="J962" s="50" t="s">
        <v>610</v>
      </c>
      <c r="K962" s="50" t="s">
        <v>2255</v>
      </c>
      <c r="L962" s="49" t="str">
        <f>IFERROR(__xludf.DUMMYFUNCTION("""COMPUTED_VALUE"""),"frontal")</f>
        <v>frontal</v>
      </c>
      <c r="M962" s="49"/>
      <c r="N962" s="49">
        <f>IFERROR(__xludf.DUMMYFUNCTION("""COMPUTED_VALUE"""),112.0)</f>
        <v>112</v>
      </c>
      <c r="O962" s="49" t="str">
        <f>IFERROR(__xludf.DUMMYFUNCTION("""COMPUTED_VALUE"""),"bordering")</f>
        <v>bordering</v>
      </c>
      <c r="P962" s="49" t="str">
        <f t="shared" si="2"/>
        <v>wait,</v>
      </c>
      <c r="Q962" s="49"/>
      <c r="R962" s="50" t="s">
        <v>6034</v>
      </c>
      <c r="S962" s="55" t="s">
        <v>2980</v>
      </c>
      <c r="T962" s="49" t="str">
        <f>IFERROR(__xludf.DUMMYFUNCTION("""COMPUTED_VALUE"""),"sincerely")</f>
        <v>sincerely</v>
      </c>
      <c r="U962" s="49"/>
      <c r="V962" s="49"/>
      <c r="W962" s="49" t="str">
        <f>IFERROR(__xludf.DUMMYFUNCTION("""COMPUTED_VALUE"""),"shimmering")</f>
        <v>shimmering</v>
      </c>
      <c r="X962" s="49" t="str">
        <f t="shared" si="3"/>
        <v>lo,</v>
      </c>
      <c r="Y962" s="49"/>
      <c r="Z962" s="1" t="s">
        <v>1943</v>
      </c>
      <c r="AA962" s="1" t="s">
        <v>3757</v>
      </c>
      <c r="AB962" s="49" t="str">
        <f>IFERROR(__xludf.DUMMYFUNCTION("""COMPUTED_VALUE"""),"emptiness")</f>
        <v>emptiness</v>
      </c>
      <c r="AC962" s="49"/>
      <c r="AD962" s="49">
        <f>IFERROR(__xludf.DUMMYFUNCTION("""COMPUTED_VALUE"""),112.0)</f>
        <v>112</v>
      </c>
      <c r="AE962" s="49" t="str">
        <f>IFERROR(__xludf.DUMMYFUNCTION("""COMPUTED_VALUE"""),"bordering")</f>
        <v>bordering</v>
      </c>
      <c r="AF962" s="49" t="str">
        <f t="shared" si="4"/>
        <v>african,</v>
      </c>
      <c r="AG962" s="49"/>
      <c r="AH962" s="1" t="s">
        <v>5009</v>
      </c>
      <c r="AI962" s="1" t="s">
        <v>2218</v>
      </c>
      <c r="AJ962" s="6" t="str">
        <f>IFERROR(__xludf.DUMMYFUNCTION("""COMPUTED_VALUE"""),"bill")</f>
        <v>bill</v>
      </c>
      <c r="AK962" s="49"/>
      <c r="AL962" s="49"/>
      <c r="AM962" s="49"/>
      <c r="AN962" s="52" t="str">
        <f t="shared" si="5"/>
        <v>peter,</v>
      </c>
    </row>
    <row r="963">
      <c r="A963" s="51"/>
      <c r="B963" s="50" t="s">
        <v>1739</v>
      </c>
      <c r="C963" s="50" t="s">
        <v>5095</v>
      </c>
      <c r="D963" s="49" t="str">
        <f>IFERROR(__xludf.DUMMYFUNCTION("""COMPUTED_VALUE"""),"hop")</f>
        <v>hop</v>
      </c>
      <c r="E963" s="49"/>
      <c r="F963" s="49"/>
      <c r="G963" s="49"/>
      <c r="H963" s="54" t="str">
        <f t="shared" si="1"/>
        <v>simply,</v>
      </c>
      <c r="I963" s="50"/>
      <c r="J963" s="50" t="s">
        <v>1507</v>
      </c>
      <c r="K963" s="50" t="s">
        <v>2258</v>
      </c>
      <c r="L963" s="49" t="str">
        <f>IFERROR(__xludf.DUMMYFUNCTION("""COMPUTED_VALUE"""),"arbitrary")</f>
        <v>arbitrary</v>
      </c>
      <c r="M963" s="49"/>
      <c r="N963" s="49" t="str">
        <f>IFERROR(__xludf.DUMMYFUNCTION("""COMPUTED_VALUE"""),"liking")</f>
        <v>liking</v>
      </c>
      <c r="O963" s="49" t="str">
        <f>IFERROR(__xludf.DUMMYFUNCTION("""COMPUTED_VALUE"""),"fairy")</f>
        <v>fairy</v>
      </c>
      <c r="P963" s="49" t="str">
        <f t="shared" si="2"/>
        <v>tucker,</v>
      </c>
      <c r="Q963" s="49"/>
      <c r="R963" s="50" t="s">
        <v>813</v>
      </c>
      <c r="S963" s="55" t="s">
        <v>2982</v>
      </c>
      <c r="T963" s="49" t="str">
        <f>IFERROR(__xludf.DUMMYFUNCTION("""COMPUTED_VALUE"""),"charms")</f>
        <v>charms</v>
      </c>
      <c r="U963" s="49"/>
      <c r="V963" s="49"/>
      <c r="W963" s="49" t="str">
        <f>IFERROR(__xludf.DUMMYFUNCTION("""COMPUTED_VALUE"""),"asian")</f>
        <v>asian</v>
      </c>
      <c r="X963" s="49" t="str">
        <f t="shared" si="3"/>
        <v>covers,</v>
      </c>
      <c r="Y963" s="49"/>
      <c r="Z963" s="1" t="s">
        <v>3400</v>
      </c>
      <c r="AA963" s="1" t="s">
        <v>2605</v>
      </c>
      <c r="AB963" s="49" t="str">
        <f>IFERROR(__xludf.DUMMYFUNCTION("""COMPUTED_VALUE"""),"inherent")</f>
        <v>inherent</v>
      </c>
      <c r="AC963" s="49"/>
      <c r="AD963" s="49" t="str">
        <f>IFERROR(__xludf.DUMMYFUNCTION("""COMPUTED_VALUE"""),"liking")</f>
        <v>liking</v>
      </c>
      <c r="AE963" s="49" t="str">
        <f>IFERROR(__xludf.DUMMYFUNCTION("""COMPUTED_VALUE"""),"fairy")</f>
        <v>fairy</v>
      </c>
      <c r="AF963" s="49" t="str">
        <f t="shared" si="4"/>
        <v>between,</v>
      </c>
      <c r="AG963" s="49"/>
      <c r="AH963" s="1" t="s">
        <v>2389</v>
      </c>
      <c r="AI963" s="1" t="s">
        <v>1414</v>
      </c>
      <c r="AJ963" s="6" t="str">
        <f>IFERROR(__xludf.DUMMYFUNCTION("""COMPUTED_VALUE"""),"fast")</f>
        <v>fast</v>
      </c>
      <c r="AK963" s="49"/>
      <c r="AL963" s="49"/>
      <c r="AM963" s="49"/>
      <c r="AN963" s="52" t="str">
        <f t="shared" si="5"/>
        <v>whose,</v>
      </c>
    </row>
    <row r="964">
      <c r="A964" s="51"/>
      <c r="B964" s="50" t="s">
        <v>1448</v>
      </c>
      <c r="C964" s="50" t="s">
        <v>3256</v>
      </c>
      <c r="D964" s="49" t="str">
        <f>IFERROR(__xludf.DUMMYFUNCTION("""COMPUTED_VALUE"""),"humans")</f>
        <v>humans</v>
      </c>
      <c r="E964" s="49"/>
      <c r="F964" s="49"/>
      <c r="G964" s="49"/>
      <c r="H964" s="54" t="str">
        <f t="shared" si="1"/>
        <v>pop,</v>
      </c>
      <c r="I964" s="50"/>
      <c r="J964" s="50" t="s">
        <v>875</v>
      </c>
      <c r="K964" s="50" t="s">
        <v>1002</v>
      </c>
      <c r="L964" s="49" t="str">
        <f>IFERROR(__xludf.DUMMYFUNCTION("""COMPUTED_VALUE"""),"midway")</f>
        <v>midway</v>
      </c>
      <c r="M964" s="49"/>
      <c r="N964" s="49" t="str">
        <f>IFERROR(__xludf.DUMMYFUNCTION("""COMPUTED_VALUE"""),"prone")</f>
        <v>prone</v>
      </c>
      <c r="O964" s="49" t="str">
        <f>IFERROR(__xludf.DUMMYFUNCTION("""COMPUTED_VALUE"""),"sentiments")</f>
        <v>sentiments</v>
      </c>
      <c r="P964" s="49" t="str">
        <f t="shared" si="2"/>
        <v>engaging,</v>
      </c>
      <c r="Q964" s="49"/>
      <c r="R964" s="50" t="s">
        <v>3181</v>
      </c>
      <c r="S964" s="55" t="s">
        <v>804</v>
      </c>
      <c r="T964" s="49" t="str">
        <f>IFERROR(__xludf.DUMMYFUNCTION("""COMPUTED_VALUE"""),"intellectual")</f>
        <v>intellectual</v>
      </c>
      <c r="U964" s="49"/>
      <c r="V964" s="49"/>
      <c r="W964" s="49" t="str">
        <f>IFERROR(__xludf.DUMMYFUNCTION("""COMPUTED_VALUE"""),"shocks")</f>
        <v>shocks</v>
      </c>
      <c r="X964" s="49" t="str">
        <f t="shared" si="3"/>
        <v>fare,</v>
      </c>
      <c r="Y964" s="49"/>
      <c r="Z964" s="1" t="s">
        <v>4509</v>
      </c>
      <c r="AA964" s="1" t="s">
        <v>2602</v>
      </c>
      <c r="AB964" s="49" t="str">
        <f>IFERROR(__xludf.DUMMYFUNCTION("""COMPUTED_VALUE"""),"resonance")</f>
        <v>resonance</v>
      </c>
      <c r="AC964" s="49"/>
      <c r="AD964" s="49" t="str">
        <f>IFERROR(__xludf.DUMMYFUNCTION("""COMPUTED_VALUE"""),"prone")</f>
        <v>prone</v>
      </c>
      <c r="AE964" s="49" t="str">
        <f>IFERROR(__xludf.DUMMYFUNCTION("""COMPUTED_VALUE"""),"sentiments")</f>
        <v>sentiments</v>
      </c>
      <c r="AF964" s="49" t="str">
        <f t="shared" si="4"/>
        <v>ghost,</v>
      </c>
      <c r="AG964" s="49"/>
      <c r="AH964" s="1" t="s">
        <v>4045</v>
      </c>
      <c r="AI964" s="1">
        <v>4.0</v>
      </c>
      <c r="AJ964" s="6" t="str">
        <f>IFERROR(__xludf.DUMMYFUNCTION("""COMPUTED_VALUE"""),"iii")</f>
        <v>iii</v>
      </c>
      <c r="AK964" s="49"/>
      <c r="AL964" s="49"/>
      <c r="AM964" s="49"/>
      <c r="AN964" s="52" t="str">
        <f t="shared" si="5"/>
        <v>lady,</v>
      </c>
    </row>
    <row r="965">
      <c r="A965" s="51"/>
      <c r="B965" s="50" t="s">
        <v>5152</v>
      </c>
      <c r="C965" s="50" t="s">
        <v>3253</v>
      </c>
      <c r="D965" s="49" t="str">
        <f>IFERROR(__xludf.DUMMYFUNCTION("""COMPUTED_VALUE"""),"literary")</f>
        <v>literary</v>
      </c>
      <c r="E965" s="49"/>
      <c r="F965" s="49"/>
      <c r="G965" s="49"/>
      <c r="H965" s="54" t="str">
        <f t="shared" si="1"/>
        <v>intended,</v>
      </c>
      <c r="I965" s="50"/>
      <c r="J965" s="50" t="s">
        <v>3024</v>
      </c>
      <c r="K965" s="50" t="s">
        <v>2264</v>
      </c>
      <c r="L965" s="49" t="str">
        <f>IFERROR(__xludf.DUMMYFUNCTION("""COMPUTED_VALUE"""),"players")</f>
        <v>players</v>
      </c>
      <c r="M965" s="49"/>
      <c r="N965" s="49" t="str">
        <f>IFERROR(__xludf.DUMMYFUNCTION("""COMPUTED_VALUE"""),"ignoring")</f>
        <v>ignoring</v>
      </c>
      <c r="O965" s="49" t="str">
        <f>IFERROR(__xludf.DUMMYFUNCTION("""COMPUTED_VALUE"""),"alabama")</f>
        <v>alabama</v>
      </c>
      <c r="P965" s="49" t="str">
        <f t="shared" si="2"/>
        <v>interested,</v>
      </c>
      <c r="Q965" s="49"/>
      <c r="R965" s="50" t="s">
        <v>1402</v>
      </c>
      <c r="S965" s="55" t="s">
        <v>6417</v>
      </c>
      <c r="T965" s="49" t="str">
        <f>IFERROR(__xludf.DUMMYFUNCTION("""COMPUTED_VALUE"""),"portrayal")</f>
        <v>portrayal</v>
      </c>
      <c r="U965" s="49"/>
      <c r="V965" s="49"/>
      <c r="W965" s="49" t="str">
        <f>IFERROR(__xludf.DUMMYFUNCTION("""COMPUTED_VALUE"""),"padded")</f>
        <v>padded</v>
      </c>
      <c r="X965" s="49" t="str">
        <f t="shared" si="3"/>
        <v>energy,</v>
      </c>
      <c r="Y965" s="49"/>
      <c r="Z965" s="1" t="s">
        <v>2547</v>
      </c>
      <c r="AA965" s="1" t="s">
        <v>1846</v>
      </c>
      <c r="AB965" s="49" t="str">
        <f>IFERROR(__xludf.DUMMYFUNCTION("""COMPUTED_VALUE"""),"complications")</f>
        <v>complications</v>
      </c>
      <c r="AC965" s="49"/>
      <c r="AD965" s="49" t="str">
        <f>IFERROR(__xludf.DUMMYFUNCTION("""COMPUTED_VALUE"""),"ignoring")</f>
        <v>ignoring</v>
      </c>
      <c r="AE965" s="49" t="str">
        <f>IFERROR(__xludf.DUMMYFUNCTION("""COMPUTED_VALUE"""),"alabama")</f>
        <v>alabama</v>
      </c>
      <c r="AF965" s="49" t="str">
        <f t="shared" si="4"/>
        <v>delivered,</v>
      </c>
      <c r="AG965" s="49"/>
      <c r="AH965" s="1" t="s">
        <v>4916</v>
      </c>
      <c r="AI965" s="1" t="s">
        <v>2083</v>
      </c>
      <c r="AJ965" s="6" t="str">
        <f>IFERROR(__xludf.DUMMYFUNCTION("""COMPUTED_VALUE"""),"ocean")</f>
        <v>ocean</v>
      </c>
      <c r="AK965" s="49"/>
      <c r="AL965" s="49"/>
      <c r="AM965" s="49"/>
      <c r="AN965" s="52" t="str">
        <f t="shared" si="5"/>
        <v>latter,</v>
      </c>
    </row>
    <row r="966">
      <c r="A966" s="51"/>
      <c r="B966" s="50" t="s">
        <v>3792</v>
      </c>
      <c r="C966" s="50" t="s">
        <v>1971</v>
      </c>
      <c r="D966" s="49" t="str">
        <f>IFERROR(__xludf.DUMMYFUNCTION("""COMPUTED_VALUE"""),"explanation")</f>
        <v>explanation</v>
      </c>
      <c r="E966" s="49"/>
      <c r="F966" s="49"/>
      <c r="G966" s="49"/>
      <c r="H966" s="54" t="str">
        <f t="shared" si="1"/>
        <v>ends,</v>
      </c>
      <c r="I966" s="50"/>
      <c r="J966" s="50" t="s">
        <v>2075</v>
      </c>
      <c r="K966" s="50" t="s">
        <v>1007</v>
      </c>
      <c r="L966" s="49" t="str">
        <f>IFERROR(__xludf.DUMMYFUNCTION("""COMPUTED_VALUE"""),"flag")</f>
        <v>flag</v>
      </c>
      <c r="M966" s="49"/>
      <c r="N966" s="49" t="str">
        <f>IFERROR(__xludf.DUMMYFUNCTION("""COMPUTED_VALUE"""),"visitor")</f>
        <v>visitor</v>
      </c>
      <c r="O966" s="49" t="str">
        <f>IFERROR(__xludf.DUMMYFUNCTION("""COMPUTED_VALUE"""),"executive")</f>
        <v>executive</v>
      </c>
      <c r="P966" s="49" t="str">
        <f t="shared" si="2"/>
        <v>tension,</v>
      </c>
      <c r="Q966" s="49"/>
      <c r="R966" s="50" t="s">
        <v>5471</v>
      </c>
      <c r="S966" s="55" t="s">
        <v>487</v>
      </c>
      <c r="T966" s="49" t="str">
        <f>IFERROR(__xludf.DUMMYFUNCTION("""COMPUTED_VALUE"""),"blend")</f>
        <v>blend</v>
      </c>
      <c r="U966" s="49"/>
      <c r="V966" s="49"/>
      <c r="W966" s="49" t="str">
        <f>IFERROR(__xludf.DUMMYFUNCTION("""COMPUTED_VALUE"""),"standardized")</f>
        <v>standardized</v>
      </c>
      <c r="X966" s="49" t="str">
        <f t="shared" si="3"/>
        <v>material,</v>
      </c>
      <c r="Y966" s="49"/>
      <c r="Z966" s="1" t="s">
        <v>1617</v>
      </c>
      <c r="AA966" s="1" t="s">
        <v>3764</v>
      </c>
      <c r="AB966" s="49" t="str">
        <f>IFERROR(__xludf.DUMMYFUNCTION("""COMPUTED_VALUE"""),"videos")</f>
        <v>videos</v>
      </c>
      <c r="AC966" s="49"/>
      <c r="AD966" s="49" t="str">
        <f>IFERROR(__xludf.DUMMYFUNCTION("""COMPUTED_VALUE"""),"visitor")</f>
        <v>visitor</v>
      </c>
      <c r="AE966" s="49" t="str">
        <f>IFERROR(__xludf.DUMMYFUNCTION("""COMPUTED_VALUE"""),"executive")</f>
        <v>executive</v>
      </c>
      <c r="AF966" s="49" t="str">
        <f t="shared" si="4"/>
        <v>promise,</v>
      </c>
      <c r="AG966" s="49"/>
      <c r="AH966" s="1" t="s">
        <v>791</v>
      </c>
      <c r="AI966" s="1" t="s">
        <v>1989</v>
      </c>
      <c r="AJ966" s="6" t="str">
        <f>IFERROR(__xludf.DUMMYFUNCTION("""COMPUTED_VALUE"""),"taylor")</f>
        <v>taylor</v>
      </c>
      <c r="AK966" s="49"/>
      <c r="AL966" s="49"/>
      <c r="AM966" s="49"/>
      <c r="AN966" s="52" t="str">
        <f t="shared" si="5"/>
        <v>quality,</v>
      </c>
    </row>
    <row r="967">
      <c r="A967" s="51"/>
      <c r="B967" s="50" t="s">
        <v>1595</v>
      </c>
      <c r="C967" s="50" t="s">
        <v>2760</v>
      </c>
      <c r="D967" s="49" t="str">
        <f>IFERROR(__xludf.DUMMYFUNCTION("""COMPUTED_VALUE"""),"remote")</f>
        <v>remote</v>
      </c>
      <c r="E967" s="49"/>
      <c r="F967" s="49"/>
      <c r="G967" s="49"/>
      <c r="H967" s="54" t="str">
        <f t="shared" si="1"/>
        <v>saturday,</v>
      </c>
      <c r="I967" s="50"/>
      <c r="J967" s="50" t="s">
        <v>3425</v>
      </c>
      <c r="K967" s="50" t="s">
        <v>2266</v>
      </c>
      <c r="L967" s="49" t="str">
        <f>IFERROR(__xludf.DUMMYFUNCTION("""COMPUTED_VALUE"""),"grasp")</f>
        <v>grasp</v>
      </c>
      <c r="M967" s="49"/>
      <c r="N967" s="49" t="str">
        <f>IFERROR(__xludf.DUMMYFUNCTION("""COMPUTED_VALUE"""),"caring")</f>
        <v>caring</v>
      </c>
      <c r="O967" s="49" t="str">
        <f>IFERROR(__xludf.DUMMYFUNCTION("""COMPUTED_VALUE"""),"estranged")</f>
        <v>estranged</v>
      </c>
      <c r="P967" s="49" t="str">
        <f t="shared" si="2"/>
        <v>limp,</v>
      </c>
      <c r="Q967" s="49"/>
      <c r="R967" s="50" t="s">
        <v>2468</v>
      </c>
      <c r="S967" s="55" t="s">
        <v>429</v>
      </c>
      <c r="T967" s="49" t="str">
        <f>IFERROR(__xludf.DUMMYFUNCTION("""COMPUTED_VALUE"""),"carried")</f>
        <v>carried</v>
      </c>
      <c r="U967" s="49"/>
      <c r="V967" s="49"/>
      <c r="W967" s="49" t="str">
        <f>IFERROR(__xludf.DUMMYFUNCTION("""COMPUTED_VALUE"""),"propaganda")</f>
        <v>propaganda</v>
      </c>
      <c r="X967" s="49" t="str">
        <f t="shared" si="3"/>
        <v>behold,</v>
      </c>
      <c r="Y967" s="49"/>
      <c r="Z967" s="1" t="s">
        <v>2300</v>
      </c>
      <c r="AA967" s="1" t="s">
        <v>3768</v>
      </c>
      <c r="AB967" s="49" t="str">
        <f>IFERROR(__xludf.DUMMYFUNCTION("""COMPUTED_VALUE"""),"stirring")</f>
        <v>stirring</v>
      </c>
      <c r="AC967" s="49"/>
      <c r="AD967" s="49" t="str">
        <f>IFERROR(__xludf.DUMMYFUNCTION("""COMPUTED_VALUE"""),"caring")</f>
        <v>caring</v>
      </c>
      <c r="AE967" s="49" t="str">
        <f>IFERROR(__xludf.DUMMYFUNCTION("""COMPUTED_VALUE"""),"estranged")</f>
        <v>estranged</v>
      </c>
      <c r="AF967" s="49" t="str">
        <f t="shared" si="4"/>
        <v>remember,</v>
      </c>
      <c r="AG967" s="49"/>
      <c r="AH967" s="1" t="s">
        <v>3960</v>
      </c>
      <c r="AI967" s="1" t="s">
        <v>6401</v>
      </c>
      <c r="AJ967" s="6" t="str">
        <f>IFERROR(__xludf.DUMMYFUNCTION("""COMPUTED_VALUE"""),"legend")</f>
        <v>legend</v>
      </c>
      <c r="AK967" s="49"/>
      <c r="AL967" s="49"/>
      <c r="AM967" s="49"/>
      <c r="AN967" s="52" t="str">
        <f t="shared" si="5"/>
        <v>streets,</v>
      </c>
    </row>
    <row r="968">
      <c r="A968" s="51"/>
      <c r="B968" s="50" t="s">
        <v>3207</v>
      </c>
      <c r="C968" s="50" t="s">
        <v>2765</v>
      </c>
      <c r="D968" s="49" t="str">
        <f>IFERROR(__xludf.DUMMYFUNCTION("""COMPUTED_VALUE"""),"distant")</f>
        <v>distant</v>
      </c>
      <c r="E968" s="49"/>
      <c r="F968" s="49"/>
      <c r="G968" s="49"/>
      <c r="H968" s="54" t="str">
        <f t="shared" si="1"/>
        <v>personality,</v>
      </c>
      <c r="I968" s="50"/>
      <c r="J968" s="57">
        <v>35.0</v>
      </c>
      <c r="K968" s="50" t="s">
        <v>2271</v>
      </c>
      <c r="L968" s="49" t="str">
        <f>IFERROR(__xludf.DUMMYFUNCTION("""COMPUTED_VALUE"""),"endure")</f>
        <v>endure</v>
      </c>
      <c r="M968" s="49"/>
      <c r="N968" s="49" t="str">
        <f>IFERROR(__xludf.DUMMYFUNCTION("""COMPUTED_VALUE"""),"cooper")</f>
        <v>cooper</v>
      </c>
      <c r="O968" s="49" t="str">
        <f>IFERROR(__xludf.DUMMYFUNCTION("""COMPUTED_VALUE"""),"encourage")</f>
        <v>encourage</v>
      </c>
      <c r="P968" s="49" t="str">
        <f t="shared" si="2"/>
        <v>35,</v>
      </c>
      <c r="Q968" s="49"/>
      <c r="R968" s="50" t="s">
        <v>1329</v>
      </c>
      <c r="S968" s="55" t="s">
        <v>2106</v>
      </c>
      <c r="T968" s="49" t="str">
        <f>IFERROR(__xludf.DUMMYFUNCTION("""COMPUTED_VALUE"""),"resist")</f>
        <v>resist</v>
      </c>
      <c r="U968" s="49"/>
      <c r="V968" s="49"/>
      <c r="W968" s="49" t="str">
        <f>IFERROR(__xludf.DUMMYFUNCTION("""COMPUTED_VALUE"""),"wife")</f>
        <v>wife</v>
      </c>
      <c r="X968" s="49" t="str">
        <f t="shared" si="3"/>
        <v>sustain,</v>
      </c>
      <c r="Y968" s="49"/>
      <c r="Z968" s="1" t="s">
        <v>3821</v>
      </c>
      <c r="AA968" s="1" t="s">
        <v>671</v>
      </c>
      <c r="AB968" s="49" t="str">
        <f>IFERROR(__xludf.DUMMYFUNCTION("""COMPUTED_VALUE"""),"suffering")</f>
        <v>suffering</v>
      </c>
      <c r="AC968" s="49"/>
      <c r="AD968" s="49" t="str">
        <f>IFERROR(__xludf.DUMMYFUNCTION("""COMPUTED_VALUE"""),"cooper")</f>
        <v>cooper</v>
      </c>
      <c r="AE968" s="49" t="str">
        <f>IFERROR(__xludf.DUMMYFUNCTION("""COMPUTED_VALUE"""),"encourage")</f>
        <v>encourage</v>
      </c>
      <c r="AF968" s="49" t="str">
        <f t="shared" si="4"/>
        <v>hilarious,</v>
      </c>
      <c r="AG968" s="49"/>
      <c r="AH968" s="1" t="s">
        <v>2683</v>
      </c>
      <c r="AI968" s="1" t="s">
        <v>1168</v>
      </c>
      <c r="AJ968" s="6" t="str">
        <f>IFERROR(__xludf.DUMMYFUNCTION("""COMPUTED_VALUE"""),"rated")</f>
        <v>rated</v>
      </c>
      <c r="AK968" s="49"/>
      <c r="AL968" s="49"/>
      <c r="AM968" s="49"/>
      <c r="AN968" s="52" t="str">
        <f t="shared" si="5"/>
        <v>decades,</v>
      </c>
    </row>
    <row r="969">
      <c r="A969" s="51"/>
      <c r="B969" s="50" t="s">
        <v>1482</v>
      </c>
      <c r="C969" s="50" t="s">
        <v>3271</v>
      </c>
      <c r="D969" s="49" t="str">
        <f>IFERROR(__xludf.DUMMYFUNCTION("""COMPUTED_VALUE"""),"european")</f>
        <v>european</v>
      </c>
      <c r="E969" s="49"/>
      <c r="F969" s="49"/>
      <c r="G969" s="49"/>
      <c r="H969" s="54" t="str">
        <f t="shared" si="1"/>
        <v>merely,</v>
      </c>
      <c r="I969" s="50"/>
      <c r="J969" s="50">
        <v>5.0</v>
      </c>
      <c r="K969" s="50" t="s">
        <v>3774</v>
      </c>
      <c r="L969" s="49" t="str">
        <f>IFERROR(__xludf.DUMMYFUNCTION("""COMPUTED_VALUE"""),"successor")</f>
        <v>successor</v>
      </c>
      <c r="M969" s="49"/>
      <c r="N969" s="49" t="str">
        <f>IFERROR(__xludf.DUMMYFUNCTION("""COMPUTED_VALUE"""),"ball")</f>
        <v>ball</v>
      </c>
      <c r="O969" s="49" t="str">
        <f>IFERROR(__xludf.DUMMYFUNCTION("""COMPUTED_VALUE"""),"incapable")</f>
        <v>incapable</v>
      </c>
      <c r="P969" s="49" t="str">
        <f t="shared" si="2"/>
        <v>5,</v>
      </c>
      <c r="Q969" s="49"/>
      <c r="R969" s="50" t="s">
        <v>5560</v>
      </c>
      <c r="S969" s="55" t="s">
        <v>3532</v>
      </c>
      <c r="T969" s="49" t="str">
        <f>IFERROR(__xludf.DUMMYFUNCTION("""COMPUTED_VALUE"""),"powers")</f>
        <v>powers</v>
      </c>
      <c r="U969" s="49"/>
      <c r="V969" s="49"/>
      <c r="W969" s="49" t="str">
        <f>IFERROR(__xludf.DUMMYFUNCTION("""COMPUTED_VALUE"""),"granted")</f>
        <v>granted</v>
      </c>
      <c r="X969" s="49" t="str">
        <f t="shared" si="3"/>
        <v>pretend,</v>
      </c>
      <c r="Y969" s="49"/>
      <c r="Z969" s="1" t="s">
        <v>1203</v>
      </c>
      <c r="AA969" s="1" t="s">
        <v>2614</v>
      </c>
      <c r="AB969" s="49" t="str">
        <f>IFERROR(__xludf.DUMMYFUNCTION("""COMPUTED_VALUE"""),"inclination")</f>
        <v>inclination</v>
      </c>
      <c r="AC969" s="49"/>
      <c r="AD969" s="49" t="str">
        <f>IFERROR(__xludf.DUMMYFUNCTION("""COMPUTED_VALUE"""),"ball")</f>
        <v>ball</v>
      </c>
      <c r="AE969" s="49" t="str">
        <f>IFERROR(__xludf.DUMMYFUNCTION("""COMPUTED_VALUE"""),"incapable")</f>
        <v>incapable</v>
      </c>
      <c r="AF969" s="49" t="str">
        <f t="shared" si="4"/>
        <v>mystery,</v>
      </c>
      <c r="AG969" s="49"/>
      <c r="AH969" s="1" t="s">
        <v>2469</v>
      </c>
      <c r="AI969" s="1" t="s">
        <v>1299</v>
      </c>
      <c r="AJ969" s="6" t="str">
        <f>IFERROR(__xludf.DUMMYFUNCTION("""COMPUTED_VALUE"""),"nowhere")</f>
        <v>nowhere</v>
      </c>
      <c r="AK969" s="49"/>
      <c r="AL969" s="49"/>
      <c r="AM969" s="49"/>
      <c r="AN969" s="52" t="str">
        <f t="shared" si="5"/>
        <v>reputation,</v>
      </c>
    </row>
    <row r="970">
      <c r="A970" s="51"/>
      <c r="B970" s="50" t="s">
        <v>613</v>
      </c>
      <c r="C970" s="50">
        <v>1984.0</v>
      </c>
      <c r="D970" s="49" t="str">
        <f>IFERROR(__xludf.DUMMYFUNCTION("""COMPUTED_VALUE"""),"really")</f>
        <v>really</v>
      </c>
      <c r="E970" s="49"/>
      <c r="F970" s="49"/>
      <c r="G970" s="49"/>
      <c r="H970" s="54" t="str">
        <f t="shared" si="1"/>
        <v>animated,</v>
      </c>
      <c r="I970" s="50"/>
      <c r="J970" s="50" t="s">
        <v>7294</v>
      </c>
      <c r="K970" s="50" t="s">
        <v>170</v>
      </c>
      <c r="L970" s="49" t="str">
        <f>IFERROR(__xludf.DUMMYFUNCTION("""COMPUTED_VALUE"""),"accomplished")</f>
        <v>accomplished</v>
      </c>
      <c r="M970" s="49"/>
      <c r="N970" s="49" t="str">
        <f>IFERROR(__xludf.DUMMYFUNCTION("""COMPUTED_VALUE"""),"innovative")</f>
        <v>innovative</v>
      </c>
      <c r="O970" s="49" t="str">
        <f>IFERROR(__xludf.DUMMYFUNCTION("""COMPUTED_VALUE"""),"international")</f>
        <v>international</v>
      </c>
      <c r="P970" s="49" t="str">
        <f t="shared" si="2"/>
        <v>stu,</v>
      </c>
      <c r="Q970" s="49"/>
      <c r="R970" s="50" t="s">
        <v>967</v>
      </c>
      <c r="S970" s="55" t="s">
        <v>2999</v>
      </c>
      <c r="T970" s="49" t="str">
        <f>IFERROR(__xludf.DUMMYFUNCTION("""COMPUTED_VALUE"""),"redemption")</f>
        <v>redemption</v>
      </c>
      <c r="U970" s="49"/>
      <c r="V970" s="49"/>
      <c r="W970" s="49" t="str">
        <f>IFERROR(__xludf.DUMMYFUNCTION("""COMPUTED_VALUE"""),"visuals")</f>
        <v>visuals</v>
      </c>
      <c r="X970" s="49" t="str">
        <f t="shared" si="3"/>
        <v>shot,</v>
      </c>
      <c r="Y970" s="49"/>
      <c r="Z970" s="1" t="s">
        <v>7306</v>
      </c>
      <c r="AA970" s="1" t="s">
        <v>3775</v>
      </c>
      <c r="AB970" s="49" t="str">
        <f>IFERROR(__xludf.DUMMYFUNCTION("""COMPUTED_VALUE"""),"humane")</f>
        <v>humane</v>
      </c>
      <c r="AC970" s="49"/>
      <c r="AD970" s="49" t="str">
        <f>IFERROR(__xludf.DUMMYFUNCTION("""COMPUTED_VALUE"""),"innovative")</f>
        <v>innovative</v>
      </c>
      <c r="AE970" s="49" t="str">
        <f>IFERROR(__xludf.DUMMYFUNCTION("""COMPUTED_VALUE"""),"international")</f>
        <v>international</v>
      </c>
      <c r="AF970" s="49" t="str">
        <f t="shared" si="4"/>
        <v>expectations,</v>
      </c>
      <c r="AG970" s="49"/>
      <c r="AH970" s="1" t="s">
        <v>5892</v>
      </c>
      <c r="AI970" s="1" t="s">
        <v>6415</v>
      </c>
      <c r="AJ970" s="6" t="str">
        <f>IFERROR(__xludf.DUMMYFUNCTION("""COMPUTED_VALUE"""),"thought")</f>
        <v>thought</v>
      </c>
      <c r="AK970" s="49"/>
      <c r="AL970" s="49"/>
      <c r="AM970" s="49"/>
      <c r="AN970" s="52" t="str">
        <f t="shared" si="5"/>
        <v>witness,</v>
      </c>
    </row>
    <row r="971">
      <c r="A971" s="51"/>
      <c r="B971" s="50" t="s">
        <v>2335</v>
      </c>
      <c r="C971" s="50" t="s">
        <v>3543</v>
      </c>
      <c r="D971" s="49" t="str">
        <f>IFERROR(__xludf.DUMMYFUNCTION("""COMPUTED_VALUE"""),"apart")</f>
        <v>apart</v>
      </c>
      <c r="E971" s="49"/>
      <c r="F971" s="49"/>
      <c r="G971" s="49"/>
      <c r="H971" s="54" t="str">
        <f t="shared" si="1"/>
        <v>reminded,</v>
      </c>
      <c r="I971" s="50"/>
      <c r="J971" s="50" t="s">
        <v>1951</v>
      </c>
      <c r="K971" s="50" t="s">
        <v>3011</v>
      </c>
      <c r="L971" s="49" t="str">
        <f>IFERROR(__xludf.DUMMYFUNCTION("""COMPUTED_VALUE"""),"hoffman")</f>
        <v>hoffman</v>
      </c>
      <c r="M971" s="49"/>
      <c r="N971" s="49" t="str">
        <f>IFERROR(__xludf.DUMMYFUNCTION("""COMPUTED_VALUE"""),"en")</f>
        <v>en</v>
      </c>
      <c r="O971" s="49" t="str">
        <f>IFERROR(__xludf.DUMMYFUNCTION("""COMPUTED_VALUE"""),"famine")</f>
        <v>famine</v>
      </c>
      <c r="P971" s="49" t="str">
        <f t="shared" si="2"/>
        <v>talent,</v>
      </c>
      <c r="Q971" s="49"/>
      <c r="R971" s="50" t="s">
        <v>904</v>
      </c>
      <c r="S971" s="55" t="s">
        <v>2110</v>
      </c>
      <c r="T971" s="49" t="str">
        <f>IFERROR(__xludf.DUMMYFUNCTION("""COMPUTED_VALUE"""),"accomplish")</f>
        <v>accomplish</v>
      </c>
      <c r="U971" s="49"/>
      <c r="V971" s="49"/>
      <c r="W971" s="49" t="str">
        <f>IFERROR(__xludf.DUMMYFUNCTION("""COMPUTED_VALUE"""),"exceeding")</f>
        <v>exceeding</v>
      </c>
      <c r="X971" s="49" t="str">
        <f t="shared" si="3"/>
        <v>chemistry,</v>
      </c>
      <c r="Y971" s="49"/>
      <c r="Z971" s="1" t="s">
        <v>86</v>
      </c>
      <c r="AA971" s="1" t="s">
        <v>840</v>
      </c>
      <c r="AB971" s="49" t="str">
        <f>IFERROR(__xludf.DUMMYFUNCTION("""COMPUTED_VALUE"""),"fury")</f>
        <v>fury</v>
      </c>
      <c r="AC971" s="49"/>
      <c r="AD971" s="49" t="str">
        <f>IFERROR(__xludf.DUMMYFUNCTION("""COMPUTED_VALUE"""),"en")</f>
        <v>en</v>
      </c>
      <c r="AE971" s="49" t="str">
        <f>IFERROR(__xludf.DUMMYFUNCTION("""COMPUTED_VALUE"""),"famine")</f>
        <v>famine</v>
      </c>
      <c r="AF971" s="49" t="str">
        <f t="shared" si="4"/>
        <v>nature,</v>
      </c>
      <c r="AG971" s="49"/>
      <c r="AH971" s="1" t="s">
        <v>2648</v>
      </c>
      <c r="AI971" s="1" t="s">
        <v>2752</v>
      </c>
      <c r="AJ971" s="6" t="str">
        <f>IFERROR(__xludf.DUMMYFUNCTION("""COMPUTED_VALUE"""),"without")</f>
        <v>without</v>
      </c>
      <c r="AK971" s="49"/>
      <c r="AL971" s="49"/>
      <c r="AM971" s="49"/>
      <c r="AN971" s="52" t="str">
        <f t="shared" si="5"/>
        <v>belongs,</v>
      </c>
    </row>
    <row r="972">
      <c r="A972" s="51"/>
      <c r="B972" s="50" t="s">
        <v>3475</v>
      </c>
      <c r="C972" s="50" t="s">
        <v>3546</v>
      </c>
      <c r="D972" s="49" t="str">
        <f>IFERROR(__xludf.DUMMYFUNCTION("""COMPUTED_VALUE"""),"push")</f>
        <v>push</v>
      </c>
      <c r="E972" s="49"/>
      <c r="F972" s="49"/>
      <c r="G972" s="49"/>
      <c r="H972" s="54" t="str">
        <f t="shared" si="1"/>
        <v>trick,</v>
      </c>
      <c r="I972" s="50"/>
      <c r="J972" s="50" t="s">
        <v>3419</v>
      </c>
      <c r="K972" s="50" t="s">
        <v>3780</v>
      </c>
      <c r="L972" s="49" t="str">
        <f>IFERROR(__xludf.DUMMYFUNCTION("""COMPUTED_VALUE"""),"pairing")</f>
        <v>pairing</v>
      </c>
      <c r="M972" s="49"/>
      <c r="N972" s="49" t="str">
        <f>IFERROR(__xludf.DUMMYFUNCTION("""COMPUTED_VALUE"""),"glory")</f>
        <v>glory</v>
      </c>
      <c r="O972" s="49" t="str">
        <f>IFERROR(__xludf.DUMMYFUNCTION("""COMPUTED_VALUE"""),"devastated")</f>
        <v>devastated</v>
      </c>
      <c r="P972" s="49" t="str">
        <f t="shared" si="2"/>
        <v>christmas,</v>
      </c>
      <c r="Q972" s="49"/>
      <c r="R972" s="50" t="s">
        <v>975</v>
      </c>
      <c r="S972" s="55" t="s">
        <v>2114</v>
      </c>
      <c r="T972" s="49" t="str">
        <f>IFERROR(__xludf.DUMMYFUNCTION("""COMPUTED_VALUE"""),"relegated")</f>
        <v>relegated</v>
      </c>
      <c r="U972" s="49"/>
      <c r="V972" s="49"/>
      <c r="W972" s="49" t="str">
        <f>IFERROR(__xludf.DUMMYFUNCTION("""COMPUTED_VALUE"""),"majestic")</f>
        <v>majestic</v>
      </c>
      <c r="X972" s="49" t="str">
        <f t="shared" si="3"/>
        <v>bite,</v>
      </c>
      <c r="Y972" s="49"/>
      <c r="Z972" s="1" t="s">
        <v>1146</v>
      </c>
      <c r="AA972" s="1" t="s">
        <v>846</v>
      </c>
      <c r="AB972" s="49" t="str">
        <f>IFERROR(__xludf.DUMMYFUNCTION("""COMPUTED_VALUE"""),"extraordinary")</f>
        <v>extraordinary</v>
      </c>
      <c r="AC972" s="49"/>
      <c r="AD972" s="49" t="str">
        <f>IFERROR(__xludf.DUMMYFUNCTION("""COMPUTED_VALUE"""),"glory")</f>
        <v>glory</v>
      </c>
      <c r="AE972" s="49" t="str">
        <f>IFERROR(__xludf.DUMMYFUNCTION("""COMPUTED_VALUE"""),"devastated")</f>
        <v>devastated</v>
      </c>
      <c r="AF972" s="49" t="str">
        <f t="shared" si="4"/>
        <v>top,</v>
      </c>
      <c r="AG972" s="49"/>
      <c r="AH972" s="1" t="s">
        <v>4193</v>
      </c>
      <c r="AI972" s="1" t="s">
        <v>6416</v>
      </c>
      <c r="AJ972" s="6" t="str">
        <f>IFERROR(__xludf.DUMMYFUNCTION("""COMPUTED_VALUE"""),"book")</f>
        <v>book</v>
      </c>
      <c r="AK972" s="49"/>
      <c r="AL972" s="49"/>
      <c r="AM972" s="49"/>
      <c r="AN972" s="52" t="str">
        <f t="shared" si="5"/>
        <v>r,</v>
      </c>
    </row>
    <row r="973">
      <c r="A973" s="51"/>
      <c r="B973" s="50" t="s">
        <v>194</v>
      </c>
      <c r="C973" s="50" t="s">
        <v>6418</v>
      </c>
      <c r="D973" s="49" t="str">
        <f>IFERROR(__xludf.DUMMYFUNCTION("""COMPUTED_VALUE"""),"accomplished")</f>
        <v>accomplished</v>
      </c>
      <c r="E973" s="49"/>
      <c r="F973" s="49"/>
      <c r="G973" s="49"/>
      <c r="H973" s="54" t="str">
        <f t="shared" si="1"/>
        <v>original,</v>
      </c>
      <c r="I973" s="50"/>
      <c r="J973" s="50" t="s">
        <v>5672</v>
      </c>
      <c r="K973" s="50" t="s">
        <v>1014</v>
      </c>
      <c r="L973" s="49" t="str">
        <f>IFERROR(__xludf.DUMMYFUNCTION("""COMPUTED_VALUE"""),"mainly")</f>
        <v>mainly</v>
      </c>
      <c r="M973" s="49"/>
      <c r="N973" s="49" t="str">
        <f>IFERROR(__xludf.DUMMYFUNCTION("""COMPUTED_VALUE"""),"insurance")</f>
        <v>insurance</v>
      </c>
      <c r="O973" s="49" t="str">
        <f>IFERROR(__xludf.DUMMYFUNCTION("""COMPUTED_VALUE"""),"popped")</f>
        <v>popped</v>
      </c>
      <c r="P973" s="49" t="str">
        <f t="shared" si="2"/>
        <v>phenomena,</v>
      </c>
      <c r="Q973" s="49"/>
      <c r="R973" s="50" t="s">
        <v>3362</v>
      </c>
      <c r="S973" s="55" t="s">
        <v>3014</v>
      </c>
      <c r="T973" s="49" t="str">
        <f>IFERROR(__xludf.DUMMYFUNCTION("""COMPUTED_VALUE"""),"constant")</f>
        <v>constant</v>
      </c>
      <c r="U973" s="49"/>
      <c r="V973" s="49"/>
      <c r="W973" s="49" t="str">
        <f>IFERROR(__xludf.DUMMYFUNCTION("""COMPUTED_VALUE"""),"empire")</f>
        <v>empire</v>
      </c>
      <c r="X973" s="49" t="str">
        <f t="shared" si="3"/>
        <v>parts,</v>
      </c>
      <c r="Y973" s="49"/>
      <c r="Z973" s="1" t="s">
        <v>2703</v>
      </c>
      <c r="AA973" s="1" t="s">
        <v>3781</v>
      </c>
      <c r="AB973" s="49" t="str">
        <f>IFERROR(__xludf.DUMMYFUNCTION("""COMPUTED_VALUE"""),"pianist")</f>
        <v>pianist</v>
      </c>
      <c r="AC973" s="49"/>
      <c r="AD973" s="49" t="str">
        <f>IFERROR(__xludf.DUMMYFUNCTION("""COMPUTED_VALUE"""),"insurance")</f>
        <v>insurance</v>
      </c>
      <c r="AE973" s="49" t="str">
        <f>IFERROR(__xludf.DUMMYFUNCTION("""COMPUTED_VALUE"""),"popped")</f>
        <v>popped</v>
      </c>
      <c r="AF973" s="49" t="str">
        <f t="shared" si="4"/>
        <v>purpose,</v>
      </c>
      <c r="AG973" s="49"/>
      <c r="AH973" s="1" t="s">
        <v>1073</v>
      </c>
      <c r="AI973" s="1" t="s">
        <v>2755</v>
      </c>
      <c r="AJ973" s="6" t="str">
        <f>IFERROR(__xludf.DUMMYFUNCTION("""COMPUTED_VALUE"""),"free")</f>
        <v>free</v>
      </c>
      <c r="AK973" s="49"/>
      <c r="AL973" s="49"/>
      <c r="AM973" s="49"/>
      <c r="AN973" s="52" t="str">
        <f t="shared" si="5"/>
        <v>born,</v>
      </c>
    </row>
    <row r="974">
      <c r="A974" s="51"/>
      <c r="B974" s="50" t="s">
        <v>546</v>
      </c>
      <c r="C974" s="50" t="s">
        <v>3277</v>
      </c>
      <c r="D974" s="49" t="str">
        <f>IFERROR(__xludf.DUMMYFUNCTION("""COMPUTED_VALUE"""),"mysterious")</f>
        <v>mysterious</v>
      </c>
      <c r="E974" s="49"/>
      <c r="F974" s="49"/>
      <c r="G974" s="49"/>
      <c r="H974" s="54" t="str">
        <f t="shared" si="1"/>
        <v>summer,</v>
      </c>
      <c r="I974" s="50"/>
      <c r="J974" s="50" t="s">
        <v>4588</v>
      </c>
      <c r="K974" s="50" t="s">
        <v>1024</v>
      </c>
      <c r="L974" s="49" t="str">
        <f>IFERROR(__xludf.DUMMYFUNCTION("""COMPUTED_VALUE"""),"brooding")</f>
        <v>brooding</v>
      </c>
      <c r="M974" s="49"/>
      <c r="N974" s="49" t="str">
        <f>IFERROR(__xludf.DUMMYFUNCTION("""COMPUTED_VALUE"""),"utter")</f>
        <v>utter</v>
      </c>
      <c r="O974" s="49" t="str">
        <f>IFERROR(__xludf.DUMMYFUNCTION("""COMPUTED_VALUE"""),"emerges")</f>
        <v>emerges</v>
      </c>
      <c r="P974" s="49" t="str">
        <f t="shared" si="2"/>
        <v>worked,</v>
      </c>
      <c r="Q974" s="49"/>
      <c r="R974" s="50" t="s">
        <v>1066</v>
      </c>
      <c r="S974" s="55" t="s">
        <v>2118</v>
      </c>
      <c r="T974" s="49" t="str">
        <f>IFERROR(__xludf.DUMMYFUNCTION("""COMPUTED_VALUE"""),"single")</f>
        <v>single</v>
      </c>
      <c r="U974" s="49"/>
      <c r="V974" s="49"/>
      <c r="W974" s="49" t="str">
        <f>IFERROR(__xludf.DUMMYFUNCTION("""COMPUTED_VALUE"""),"experienced")</f>
        <v>experienced</v>
      </c>
      <c r="X974" s="49" t="str">
        <f t="shared" si="3"/>
        <v>sensual,</v>
      </c>
      <c r="Y974" s="49"/>
      <c r="Z974" s="1" t="s">
        <v>3686</v>
      </c>
      <c r="AA974" s="1" t="s">
        <v>676</v>
      </c>
      <c r="AB974" s="49" t="str">
        <f>IFERROR(__xludf.DUMMYFUNCTION("""COMPUTED_VALUE"""),"freaks")</f>
        <v>freaks</v>
      </c>
      <c r="AC974" s="49"/>
      <c r="AD974" s="49" t="str">
        <f>IFERROR(__xludf.DUMMYFUNCTION("""COMPUTED_VALUE"""),"utter")</f>
        <v>utter</v>
      </c>
      <c r="AE974" s="49" t="str">
        <f>IFERROR(__xludf.DUMMYFUNCTION("""COMPUTED_VALUE"""),"emerges")</f>
        <v>emerges</v>
      </c>
      <c r="AF974" s="49" t="str">
        <f t="shared" si="4"/>
        <v>trapped,</v>
      </c>
      <c r="AG974" s="49"/>
      <c r="AH974" s="1" t="s">
        <v>1704</v>
      </c>
      <c r="AI974" s="1" t="s">
        <v>5095</v>
      </c>
      <c r="AJ974" s="6" t="str">
        <f>IFERROR(__xludf.DUMMYFUNCTION("""COMPUTED_VALUE"""),"david")</f>
        <v>david</v>
      </c>
      <c r="AK974" s="49"/>
      <c r="AL974" s="49"/>
      <c r="AM974" s="49"/>
      <c r="AN974" s="52" t="str">
        <f t="shared" si="5"/>
        <v>named,</v>
      </c>
    </row>
    <row r="975">
      <c r="A975" s="51"/>
      <c r="B975" s="50" t="s">
        <v>1150</v>
      </c>
      <c r="C975" s="50" t="s">
        <v>6419</v>
      </c>
      <c r="D975" s="49" t="str">
        <f>IFERROR(__xludf.DUMMYFUNCTION("""COMPUTED_VALUE"""),"fears")</f>
        <v>fears</v>
      </c>
      <c r="E975" s="49"/>
      <c r="F975" s="49"/>
      <c r="G975" s="49"/>
      <c r="H975" s="54" t="str">
        <f t="shared" si="1"/>
        <v>needed,</v>
      </c>
      <c r="I975" s="50"/>
      <c r="J975" s="50" t="s">
        <v>2567</v>
      </c>
      <c r="K975" s="50" t="s">
        <v>2268</v>
      </c>
      <c r="L975" s="49" t="str">
        <f>IFERROR(__xludf.DUMMYFUNCTION("""COMPUTED_VALUE"""),"joy")</f>
        <v>joy</v>
      </c>
      <c r="M975" s="49"/>
      <c r="N975" s="49" t="str">
        <f>IFERROR(__xludf.DUMMYFUNCTION("""COMPUTED_VALUE"""),"michel")</f>
        <v>michel</v>
      </c>
      <c r="O975" s="49" t="str">
        <f>IFERROR(__xludf.DUMMYFUNCTION("""COMPUTED_VALUE"""),"expands")</f>
        <v>expands</v>
      </c>
      <c r="P975" s="49" t="str">
        <f t="shared" si="2"/>
        <v>guessing,</v>
      </c>
      <c r="Q975" s="49"/>
      <c r="R975" s="50" t="s">
        <v>2591</v>
      </c>
      <c r="S975" s="55" t="s">
        <v>3027</v>
      </c>
      <c r="T975" s="49" t="str">
        <f>IFERROR(__xludf.DUMMYFUNCTION("""COMPUTED_VALUE"""),"directing")</f>
        <v>directing</v>
      </c>
      <c r="U975" s="49"/>
      <c r="V975" s="49"/>
      <c r="W975" s="49" t="str">
        <f>IFERROR(__xludf.DUMMYFUNCTION("""COMPUTED_VALUE"""),"vintage")</f>
        <v>vintage</v>
      </c>
      <c r="X975" s="49" t="str">
        <f t="shared" si="3"/>
        <v>natural,</v>
      </c>
      <c r="Y975" s="49"/>
      <c r="Z975" s="1" t="s">
        <v>1725</v>
      </c>
      <c r="AA975" s="1" t="s">
        <v>3786</v>
      </c>
      <c r="AB975" s="49" t="str">
        <f>IFERROR(__xludf.DUMMYFUNCTION("""COMPUTED_VALUE"""),"format")</f>
        <v>format</v>
      </c>
      <c r="AC975" s="49"/>
      <c r="AD975" s="49" t="str">
        <f>IFERROR(__xludf.DUMMYFUNCTION("""COMPUTED_VALUE"""),"michel")</f>
        <v>michel</v>
      </c>
      <c r="AE975" s="49" t="str">
        <f>IFERROR(__xludf.DUMMYFUNCTION("""COMPUTED_VALUE"""),"expands")</f>
        <v>expands</v>
      </c>
      <c r="AF975" s="49" t="str">
        <f t="shared" si="4"/>
        <v>problems,</v>
      </c>
      <c r="AG975" s="49"/>
      <c r="AH975" s="1" t="s">
        <v>3461</v>
      </c>
      <c r="AI975" s="1" t="s">
        <v>3256</v>
      </c>
      <c r="AJ975" s="6" t="str">
        <f>IFERROR(__xludf.DUMMYFUNCTION("""COMPUTED_VALUE"""),"toward")</f>
        <v>toward</v>
      </c>
      <c r="AK975" s="49"/>
      <c r="AL975" s="49"/>
      <c r="AM975" s="49"/>
      <c r="AN975" s="52" t="str">
        <f t="shared" si="5"/>
        <v>bill,</v>
      </c>
    </row>
    <row r="976">
      <c r="A976" s="51"/>
      <c r="B976" s="50" t="s">
        <v>4227</v>
      </c>
      <c r="C976" s="50" t="s">
        <v>460</v>
      </c>
      <c r="D976" s="49" t="str">
        <f>IFERROR(__xludf.DUMMYFUNCTION("""COMPUTED_VALUE"""),"group")</f>
        <v>group</v>
      </c>
      <c r="E976" s="49"/>
      <c r="F976" s="49"/>
      <c r="G976" s="49"/>
      <c r="H976" s="54" t="str">
        <f t="shared" si="1"/>
        <v>appearance,</v>
      </c>
      <c r="I976" s="50"/>
      <c r="J976" s="50" t="s">
        <v>6782</v>
      </c>
      <c r="K976" s="50" t="s">
        <v>3259</v>
      </c>
      <c r="L976" s="49" t="str">
        <f>IFERROR(__xludf.DUMMYFUNCTION("""COMPUTED_VALUE"""),"grab")</f>
        <v>grab</v>
      </c>
      <c r="M976" s="49"/>
      <c r="N976" s="49" t="str">
        <f>IFERROR(__xludf.DUMMYFUNCTION("""COMPUTED_VALUE"""),"starving")</f>
        <v>starving</v>
      </c>
      <c r="O976" s="49" t="str">
        <f>IFERROR(__xludf.DUMMYFUNCTION("""COMPUTED_VALUE"""),"prime")</f>
        <v>prime</v>
      </c>
      <c r="P976" s="49" t="str">
        <f t="shared" si="2"/>
        <v>strip,</v>
      </c>
      <c r="Q976" s="49"/>
      <c r="R976" s="50" t="s">
        <v>4485</v>
      </c>
      <c r="S976" s="55" t="s">
        <v>494</v>
      </c>
      <c r="T976" s="49" t="str">
        <f>IFERROR(__xludf.DUMMYFUNCTION("""COMPUTED_VALUE"""),"mysterious")</f>
        <v>mysterious</v>
      </c>
      <c r="U976" s="49"/>
      <c r="V976" s="49"/>
      <c r="W976" s="49" t="str">
        <f>IFERROR(__xludf.DUMMYFUNCTION("""COMPUTED_VALUE"""),"repeated")</f>
        <v>repeated</v>
      </c>
      <c r="X976" s="49" t="str">
        <f t="shared" si="3"/>
        <v>spent,</v>
      </c>
      <c r="Y976" s="49"/>
      <c r="Z976" s="1" t="s">
        <v>2419</v>
      </c>
      <c r="AA976" s="1" t="s">
        <v>2625</v>
      </c>
      <c r="AB976" s="49" t="str">
        <f>IFERROR(__xludf.DUMMYFUNCTION("""COMPUTED_VALUE"""),"integrity")</f>
        <v>integrity</v>
      </c>
      <c r="AC976" s="49"/>
      <c r="AD976" s="49" t="str">
        <f>IFERROR(__xludf.DUMMYFUNCTION("""COMPUTED_VALUE"""),"starving")</f>
        <v>starving</v>
      </c>
      <c r="AE976" s="49" t="str">
        <f>IFERROR(__xludf.DUMMYFUNCTION("""COMPUTED_VALUE"""),"prime")</f>
        <v>prime</v>
      </c>
      <c r="AF976" s="49" t="str">
        <f t="shared" si="4"/>
        <v>providing,</v>
      </c>
      <c r="AG976" s="49"/>
      <c r="AH976" s="1" t="s">
        <v>6522</v>
      </c>
      <c r="AI976" s="1" t="s">
        <v>3253</v>
      </c>
      <c r="AJ976" s="6" t="str">
        <f>IFERROR(__xludf.DUMMYFUNCTION("""COMPUTED_VALUE"""),"throughout")</f>
        <v>throughout</v>
      </c>
      <c r="AK976" s="49"/>
      <c r="AL976" s="49"/>
      <c r="AM976" s="49"/>
      <c r="AN976" s="52" t="str">
        <f t="shared" si="5"/>
        <v>fast,</v>
      </c>
    </row>
    <row r="977">
      <c r="A977" s="51"/>
      <c r="B977" s="50" t="s">
        <v>6834</v>
      </c>
      <c r="C977" s="50" t="s">
        <v>1981</v>
      </c>
      <c r="D977" s="49" t="str">
        <f>IFERROR(__xludf.DUMMYFUNCTION("""COMPUTED_VALUE"""),"friends")</f>
        <v>friends</v>
      </c>
      <c r="E977" s="49"/>
      <c r="F977" s="49"/>
      <c r="G977" s="49"/>
      <c r="H977" s="54" t="str">
        <f t="shared" si="1"/>
        <v>jr,</v>
      </c>
      <c r="I977" s="50"/>
      <c r="J977" s="50" t="s">
        <v>833</v>
      </c>
      <c r="K977" s="50" t="s">
        <v>3792</v>
      </c>
      <c r="L977" s="49" t="str">
        <f>IFERROR(__xludf.DUMMYFUNCTION("""COMPUTED_VALUE"""),"ear")</f>
        <v>ear</v>
      </c>
      <c r="M977" s="49"/>
      <c r="N977" s="49" t="str">
        <f>IFERROR(__xludf.DUMMYFUNCTION("""COMPUTED_VALUE"""),"per")</f>
        <v>per</v>
      </c>
      <c r="O977" s="49" t="str">
        <f>IFERROR(__xludf.DUMMYFUNCTION("""COMPUTED_VALUE"""),"tales")</f>
        <v>tales</v>
      </c>
      <c r="P977" s="49" t="str">
        <f t="shared" si="2"/>
        <v>million,</v>
      </c>
      <c r="Q977" s="49"/>
      <c r="R977" s="50" t="s">
        <v>2229</v>
      </c>
      <c r="S977" s="55" t="s">
        <v>912</v>
      </c>
      <c r="T977" s="49" t="str">
        <f>IFERROR(__xludf.DUMMYFUNCTION("""COMPUTED_VALUE"""),"emerges")</f>
        <v>emerges</v>
      </c>
      <c r="U977" s="49"/>
      <c r="V977" s="49"/>
      <c r="W977" s="49" t="str">
        <f>IFERROR(__xludf.DUMMYFUNCTION("""COMPUTED_VALUE"""),"puppets")</f>
        <v>puppets</v>
      </c>
      <c r="X977" s="49" t="str">
        <f t="shared" si="3"/>
        <v>gifted,</v>
      </c>
      <c r="Y977" s="49"/>
      <c r="Z977" s="1" t="s">
        <v>1802</v>
      </c>
      <c r="AA977" s="1" t="s">
        <v>850</v>
      </c>
      <c r="AB977" s="49" t="str">
        <f>IFERROR(__xludf.DUMMYFUNCTION("""COMPUTED_VALUE"""),"affecting")</f>
        <v>affecting</v>
      </c>
      <c r="AC977" s="49"/>
      <c r="AD977" s="49" t="str">
        <f>IFERROR(__xludf.DUMMYFUNCTION("""COMPUTED_VALUE"""),"per")</f>
        <v>per</v>
      </c>
      <c r="AE977" s="49" t="str">
        <f>IFERROR(__xludf.DUMMYFUNCTION("""COMPUTED_VALUE"""),"tales")</f>
        <v>tales</v>
      </c>
      <c r="AF977" s="49" t="str">
        <f t="shared" si="4"/>
        <v>prove,</v>
      </c>
      <c r="AG977" s="49"/>
      <c r="AH977" s="1" t="s">
        <v>5587</v>
      </c>
      <c r="AI977" s="1" t="s">
        <v>1971</v>
      </c>
      <c r="AJ977" s="6" t="str">
        <f>IFERROR(__xludf.DUMMYFUNCTION("""COMPUTED_VALUE"""),"remains")</f>
        <v>remains</v>
      </c>
      <c r="AK977" s="49"/>
      <c r="AL977" s="49"/>
      <c r="AM977" s="49"/>
      <c r="AN977" s="52" t="str">
        <f t="shared" si="5"/>
        <v>iii,</v>
      </c>
    </row>
    <row r="978">
      <c r="A978" s="51"/>
      <c r="B978" s="50" t="s">
        <v>1981</v>
      </c>
      <c r="C978" s="50" t="s">
        <v>1985</v>
      </c>
      <c r="D978" s="49" t="str">
        <f>IFERROR(__xludf.DUMMYFUNCTION("""COMPUTED_VALUE"""),"portrait")</f>
        <v>portrait</v>
      </c>
      <c r="E978" s="49"/>
      <c r="F978" s="49"/>
      <c r="G978" s="49"/>
      <c r="H978" s="54" t="str">
        <f t="shared" si="1"/>
        <v>sets,</v>
      </c>
      <c r="I978" s="50"/>
      <c r="J978" s="50" t="s">
        <v>1596</v>
      </c>
      <c r="K978" s="50" t="s">
        <v>3794</v>
      </c>
      <c r="L978" s="49" t="str">
        <f>IFERROR(__xludf.DUMMYFUNCTION("""COMPUTED_VALUE"""),"delivers")</f>
        <v>delivers</v>
      </c>
      <c r="M978" s="49"/>
      <c r="N978" s="49" t="str">
        <f>IFERROR(__xludf.DUMMYFUNCTION("""COMPUTED_VALUE"""),"smooth")</f>
        <v>smooth</v>
      </c>
      <c r="O978" s="49" t="str">
        <f>IFERROR(__xludf.DUMMYFUNCTION("""COMPUTED_VALUE"""),"deaths")</f>
        <v>deaths</v>
      </c>
      <c r="P978" s="49" t="str">
        <f t="shared" si="2"/>
        <v>age,</v>
      </c>
      <c r="Q978" s="49"/>
      <c r="R978" s="50" t="s">
        <v>2623</v>
      </c>
      <c r="S978" s="55" t="s">
        <v>3551</v>
      </c>
      <c r="T978" s="49" t="str">
        <f>IFERROR(__xludf.DUMMYFUNCTION("""COMPUTED_VALUE"""),"dawn")</f>
        <v>dawn</v>
      </c>
      <c r="U978" s="49"/>
      <c r="V978" s="49"/>
      <c r="W978" s="49" t="str">
        <f>IFERROR(__xludf.DUMMYFUNCTION("""COMPUTED_VALUE"""),"futile")</f>
        <v>futile</v>
      </c>
      <c r="X978" s="49" t="str">
        <f t="shared" si="3"/>
        <v>suitable,</v>
      </c>
      <c r="Y978" s="49"/>
      <c r="Z978" s="1" t="s">
        <v>2255</v>
      </c>
      <c r="AA978" s="1" t="s">
        <v>3793</v>
      </c>
      <c r="AB978" s="49" t="str">
        <f>IFERROR(__xludf.DUMMYFUNCTION("""COMPUTED_VALUE"""),"embracing")</f>
        <v>embracing</v>
      </c>
      <c r="AC978" s="49"/>
      <c r="AD978" s="49" t="str">
        <f>IFERROR(__xludf.DUMMYFUNCTION("""COMPUTED_VALUE"""),"smooth")</f>
        <v>smooth</v>
      </c>
      <c r="AE978" s="49" t="str">
        <f>IFERROR(__xludf.DUMMYFUNCTION("""COMPUTED_VALUE"""),"deaths")</f>
        <v>deaths</v>
      </c>
      <c r="AF978" s="49" t="str">
        <f t="shared" si="4"/>
        <v>hero,</v>
      </c>
      <c r="AG978" s="49"/>
      <c r="AH978" s="1" t="s">
        <v>4506</v>
      </c>
      <c r="AI978" s="1" t="s">
        <v>2760</v>
      </c>
      <c r="AJ978" s="6" t="str">
        <f>IFERROR(__xludf.DUMMYFUNCTION("""COMPUTED_VALUE"""),"cost")</f>
        <v>cost</v>
      </c>
      <c r="AK978" s="49"/>
      <c r="AL978" s="49"/>
      <c r="AM978" s="49"/>
      <c r="AN978" s="52" t="str">
        <f t="shared" si="5"/>
        <v>ocean,</v>
      </c>
    </row>
    <row r="979">
      <c r="A979" s="51"/>
      <c r="B979" s="50" t="s">
        <v>4146</v>
      </c>
      <c r="C979" s="50" t="s">
        <v>2784</v>
      </c>
      <c r="D979" s="49" t="str">
        <f>IFERROR(__xludf.DUMMYFUNCTION("""COMPUTED_VALUE"""),"rare")</f>
        <v>rare</v>
      </c>
      <c r="E979" s="49"/>
      <c r="F979" s="49"/>
      <c r="G979" s="49"/>
      <c r="H979" s="54" t="str">
        <f t="shared" si="1"/>
        <v>ryan,</v>
      </c>
      <c r="I979" s="50"/>
      <c r="J979" s="50" t="s">
        <v>3685</v>
      </c>
      <c r="K979" s="50" t="s">
        <v>1029</v>
      </c>
      <c r="L979" s="49" t="str">
        <f>IFERROR(__xludf.DUMMYFUNCTION("""COMPUTED_VALUE"""),"california")</f>
        <v>california</v>
      </c>
      <c r="M979" s="49"/>
      <c r="N979" s="49" t="str">
        <f>IFERROR(__xludf.DUMMYFUNCTION("""COMPUTED_VALUE"""),"questionable")</f>
        <v>questionable</v>
      </c>
      <c r="O979" s="49" t="str">
        <f>IFERROR(__xludf.DUMMYFUNCTION("""COMPUTED_VALUE"""),"bump")</f>
        <v>bump</v>
      </c>
      <c r="P979" s="49" t="str">
        <f t="shared" si="2"/>
        <v>product,</v>
      </c>
      <c r="Q979" s="49"/>
      <c r="R979" s="50" t="s">
        <v>3427</v>
      </c>
      <c r="S979" s="55" t="s">
        <v>1146</v>
      </c>
      <c r="T979" s="49" t="str">
        <f>IFERROR(__xludf.DUMMYFUNCTION("""COMPUTED_VALUE"""),"paper")</f>
        <v>paper</v>
      </c>
      <c r="U979" s="49"/>
      <c r="V979" s="49"/>
      <c r="W979" s="49" t="str">
        <f>IFERROR(__xludf.DUMMYFUNCTION("""COMPUTED_VALUE"""),"compliment")</f>
        <v>compliment</v>
      </c>
      <c r="X979" s="49" t="str">
        <f t="shared" si="3"/>
        <v>mind,</v>
      </c>
      <c r="Y979" s="49"/>
      <c r="Z979" s="1" t="s">
        <v>530</v>
      </c>
      <c r="AA979" s="1" t="s">
        <v>589</v>
      </c>
      <c r="AB979" s="49" t="str">
        <f>IFERROR(__xludf.DUMMYFUNCTION("""COMPUTED_VALUE"""),"pity")</f>
        <v>pity</v>
      </c>
      <c r="AC979" s="49"/>
      <c r="AD979" s="49" t="str">
        <f>IFERROR(__xludf.DUMMYFUNCTION("""COMPUTED_VALUE"""),"questionable")</f>
        <v>questionable</v>
      </c>
      <c r="AE979" s="49" t="str">
        <f>IFERROR(__xludf.DUMMYFUNCTION("""COMPUTED_VALUE"""),"bump")</f>
        <v>bump</v>
      </c>
      <c r="AF979" s="49" t="str">
        <f t="shared" si="4"/>
        <v>problem,</v>
      </c>
      <c r="AG979" s="49"/>
      <c r="AH979" s="1" t="s">
        <v>3471</v>
      </c>
      <c r="AI979" s="1" t="s">
        <v>2765</v>
      </c>
      <c r="AJ979" s="6" t="str">
        <f>IFERROR(__xludf.DUMMYFUNCTION("""COMPUTED_VALUE"""),"price")</f>
        <v>price</v>
      </c>
      <c r="AK979" s="49"/>
      <c r="AL979" s="49"/>
      <c r="AM979" s="49"/>
      <c r="AN979" s="52" t="str">
        <f t="shared" si="5"/>
        <v>taylor,</v>
      </c>
    </row>
    <row r="980">
      <c r="A980" s="51"/>
      <c r="B980" s="50" t="s">
        <v>4621</v>
      </c>
      <c r="C980" s="50" t="s">
        <v>6403</v>
      </c>
      <c r="D980" s="49" t="str">
        <f>IFERROR(__xludf.DUMMYFUNCTION("""COMPUTED_VALUE"""),"pain")</f>
        <v>pain</v>
      </c>
      <c r="E980" s="49"/>
      <c r="F980" s="49"/>
      <c r="G980" s="49"/>
      <c r="H980" s="54" t="str">
        <f t="shared" si="1"/>
        <v>catch,</v>
      </c>
      <c r="I980" s="50"/>
      <c r="J980" s="50" t="s">
        <v>651</v>
      </c>
      <c r="K980" s="50" t="s">
        <v>747</v>
      </c>
      <c r="L980" s="49" t="str">
        <f>IFERROR(__xludf.DUMMYFUNCTION("""COMPUTED_VALUE"""),"mid")</f>
        <v>mid</v>
      </c>
      <c r="M980" s="49"/>
      <c r="N980" s="49" t="str">
        <f>IFERROR(__xludf.DUMMYFUNCTION("""COMPUTED_VALUE"""),"johnny")</f>
        <v>johnny</v>
      </c>
      <c r="O980" s="49" t="str">
        <f>IFERROR(__xludf.DUMMYFUNCTION("""COMPUTED_VALUE"""),"doris")</f>
        <v>doris</v>
      </c>
      <c r="P980" s="49" t="str">
        <f t="shared" si="2"/>
        <v>standard,</v>
      </c>
      <c r="Q980" s="49"/>
      <c r="R980" s="50" t="s">
        <v>2137</v>
      </c>
      <c r="S980" s="55" t="s">
        <v>420</v>
      </c>
      <c r="T980" s="49" t="str">
        <f>IFERROR(__xludf.DUMMYFUNCTION("""COMPUTED_VALUE"""),"drawing")</f>
        <v>drawing</v>
      </c>
      <c r="U980" s="49"/>
      <c r="V980" s="49"/>
      <c r="W980" s="49">
        <f>IFERROR(__xludf.DUMMYFUNCTION("""COMPUTED_VALUE"""),1899.0)</f>
        <v>1899</v>
      </c>
      <c r="X980" s="49" t="str">
        <f t="shared" si="3"/>
        <v>involving,</v>
      </c>
      <c r="Y980" s="49"/>
      <c r="Z980" s="1" t="s">
        <v>1653</v>
      </c>
      <c r="AA980" s="1" t="s">
        <v>2564</v>
      </c>
      <c r="AB980" s="49" t="str">
        <f>IFERROR(__xludf.DUMMYFUNCTION("""COMPUTED_VALUE"""),"monty")</f>
        <v>monty</v>
      </c>
      <c r="AC980" s="49"/>
      <c r="AD980" s="49" t="str">
        <f>IFERROR(__xludf.DUMMYFUNCTION("""COMPUTED_VALUE"""),"johnny")</f>
        <v>johnny</v>
      </c>
      <c r="AE980" s="49" t="str">
        <f>IFERROR(__xludf.DUMMYFUNCTION("""COMPUTED_VALUE"""),"doris")</f>
        <v>doris</v>
      </c>
      <c r="AF980" s="49" t="str">
        <f t="shared" si="4"/>
        <v>unfortunately,</v>
      </c>
      <c r="AG980" s="49"/>
      <c r="AH980" s="1" t="s">
        <v>739</v>
      </c>
      <c r="AI980" s="1" t="s">
        <v>3271</v>
      </c>
      <c r="AJ980" s="6" t="str">
        <f>IFERROR(__xludf.DUMMYFUNCTION("""COMPUTED_VALUE"""),"neither")</f>
        <v>neither</v>
      </c>
      <c r="AK980" s="49"/>
      <c r="AL980" s="49"/>
      <c r="AM980" s="49"/>
      <c r="AN980" s="52" t="str">
        <f t="shared" si="5"/>
        <v>legend,</v>
      </c>
    </row>
    <row r="981">
      <c r="A981" s="51"/>
      <c r="B981" s="50" t="s">
        <v>2047</v>
      </c>
      <c r="C981" s="50" t="s">
        <v>1990</v>
      </c>
      <c r="D981" s="49" t="str">
        <f>IFERROR(__xludf.DUMMYFUNCTION("""COMPUTED_VALUE"""),"attached")</f>
        <v>attached</v>
      </c>
      <c r="E981" s="49"/>
      <c r="F981" s="49"/>
      <c r="G981" s="49"/>
      <c r="H981" s="54" t="str">
        <f t="shared" si="1"/>
        <v>rare,</v>
      </c>
      <c r="I981" s="50"/>
      <c r="J981" s="50" t="s">
        <v>679</v>
      </c>
      <c r="K981" s="50" t="s">
        <v>2277</v>
      </c>
      <c r="L981" s="49" t="str">
        <f>IFERROR(__xludf.DUMMYFUNCTION("""COMPUTED_VALUE"""),"oppressive")</f>
        <v>oppressive</v>
      </c>
      <c r="M981" s="49"/>
      <c r="N981" s="49" t="str">
        <f>IFERROR(__xludf.DUMMYFUNCTION("""COMPUTED_VALUE"""),"carrying")</f>
        <v>carrying</v>
      </c>
      <c r="O981" s="49" t="str">
        <f>IFERROR(__xludf.DUMMYFUNCTION("""COMPUTED_VALUE"""),"cultivated")</f>
        <v>cultivated</v>
      </c>
      <c r="P981" s="49" t="str">
        <f t="shared" si="2"/>
        <v>mixed,</v>
      </c>
      <c r="Q981" s="49"/>
      <c r="R981" s="50" t="s">
        <v>3022</v>
      </c>
      <c r="S981" s="55" t="s">
        <v>3782</v>
      </c>
      <c r="T981" s="49" t="str">
        <f>IFERROR(__xludf.DUMMYFUNCTION("""COMPUTED_VALUE"""),"ideal")</f>
        <v>ideal</v>
      </c>
      <c r="U981" s="49"/>
      <c r="V981" s="49"/>
      <c r="W981" s="49" t="str">
        <f>IFERROR(__xludf.DUMMYFUNCTION("""COMPUTED_VALUE"""),"willingness")</f>
        <v>willingness</v>
      </c>
      <c r="X981" s="49" t="str">
        <f t="shared" si="3"/>
        <v>imagine,</v>
      </c>
      <c r="Y981" s="49"/>
      <c r="Z981" s="1" t="s">
        <v>3115</v>
      </c>
      <c r="AA981" s="1" t="s">
        <v>2633</v>
      </c>
      <c r="AB981" s="49" t="str">
        <f>IFERROR(__xludf.DUMMYFUNCTION("""COMPUTED_VALUE"""),"revealing")</f>
        <v>revealing</v>
      </c>
      <c r="AC981" s="49"/>
      <c r="AD981" s="49" t="str">
        <f>IFERROR(__xludf.DUMMYFUNCTION("""COMPUTED_VALUE"""),"carrying")</f>
        <v>carrying</v>
      </c>
      <c r="AE981" s="49" t="str">
        <f>IFERROR(__xludf.DUMMYFUNCTION("""COMPUTED_VALUE"""),"cultivated")</f>
        <v>cultivated</v>
      </c>
      <c r="AF981" s="49" t="str">
        <f t="shared" si="4"/>
        <v>hunter,</v>
      </c>
      <c r="AG981" s="49"/>
      <c r="AH981" s="1" t="s">
        <v>6735</v>
      </c>
      <c r="AI981" s="1">
        <v>1984.0</v>
      </c>
      <c r="AJ981" s="6" t="str">
        <f>IFERROR(__xludf.DUMMYFUNCTION("""COMPUTED_VALUE"""),"giant")</f>
        <v>giant</v>
      </c>
      <c r="AK981" s="49"/>
      <c r="AL981" s="49"/>
      <c r="AM981" s="49"/>
      <c r="AN981" s="52" t="str">
        <f t="shared" si="5"/>
        <v>rated,</v>
      </c>
    </row>
    <row r="982">
      <c r="A982" s="51"/>
      <c r="B982" s="50" t="s">
        <v>3463</v>
      </c>
      <c r="C982" s="50" t="s">
        <v>518</v>
      </c>
      <c r="D982" s="49" t="str">
        <f>IFERROR(__xludf.DUMMYFUNCTION("""COMPUTED_VALUE"""),"draws")</f>
        <v>draws</v>
      </c>
      <c r="E982" s="49"/>
      <c r="F982" s="49"/>
      <c r="G982" s="49"/>
      <c r="H982" s="54" t="str">
        <f t="shared" si="1"/>
        <v>kevin,</v>
      </c>
      <c r="I982" s="50"/>
      <c r="J982" s="50" t="s">
        <v>7295</v>
      </c>
      <c r="K982" s="50" t="s">
        <v>2825</v>
      </c>
      <c r="L982" s="49" t="str">
        <f>IFERROR(__xludf.DUMMYFUNCTION("""COMPUTED_VALUE"""),"spiritual")</f>
        <v>spiritual</v>
      </c>
      <c r="M982" s="49"/>
      <c r="N982" s="49" t="str">
        <f>IFERROR(__xludf.DUMMYFUNCTION("""COMPUTED_VALUE"""),"evan")</f>
        <v>evan</v>
      </c>
      <c r="O982" s="49" t="str">
        <f>IFERROR(__xludf.DUMMYFUNCTION("""COMPUTED_VALUE"""),"careers")</f>
        <v>careers</v>
      </c>
      <c r="P982" s="49" t="str">
        <f t="shared" si="2"/>
        <v>multi,</v>
      </c>
      <c r="Q982" s="49"/>
      <c r="R982" s="50" t="s">
        <v>972</v>
      </c>
      <c r="S982" s="55" t="s">
        <v>920</v>
      </c>
      <c r="T982" s="49" t="str">
        <f>IFERROR(__xludf.DUMMYFUNCTION("""COMPUTED_VALUE"""),"blown")</f>
        <v>blown</v>
      </c>
      <c r="U982" s="49"/>
      <c r="V982" s="49"/>
      <c r="W982" s="49" t="str">
        <f>IFERROR(__xludf.DUMMYFUNCTION("""COMPUTED_VALUE"""),"warped")</f>
        <v>warped</v>
      </c>
      <c r="X982" s="49" t="str">
        <f t="shared" si="3"/>
        <v>wildly,</v>
      </c>
      <c r="Y982" s="49"/>
      <c r="Z982" s="1" t="s">
        <v>1833</v>
      </c>
      <c r="AA982" s="1" t="s">
        <v>3801</v>
      </c>
      <c r="AB982" s="49" t="str">
        <f>IFERROR(__xludf.DUMMYFUNCTION("""COMPUTED_VALUE"""),"inspiration")</f>
        <v>inspiration</v>
      </c>
      <c r="AC982" s="49"/>
      <c r="AD982" s="49" t="str">
        <f>IFERROR(__xludf.DUMMYFUNCTION("""COMPUTED_VALUE"""),"evan")</f>
        <v>evan</v>
      </c>
      <c r="AE982" s="49" t="str">
        <f>IFERROR(__xludf.DUMMYFUNCTION("""COMPUTED_VALUE"""),"careers")</f>
        <v>careers</v>
      </c>
      <c r="AF982" s="49" t="str">
        <f t="shared" si="4"/>
        <v>deep,</v>
      </c>
      <c r="AG982" s="49"/>
      <c r="AH982" s="1" t="s">
        <v>312</v>
      </c>
      <c r="AI982" s="1" t="s">
        <v>3543</v>
      </c>
      <c r="AJ982" s="6" t="str">
        <f>IFERROR(__xludf.DUMMYFUNCTION("""COMPUTED_VALUE"""),"tries")</f>
        <v>tries</v>
      </c>
      <c r="AK982" s="49"/>
      <c r="AL982" s="49"/>
      <c r="AM982" s="49"/>
      <c r="AN982" s="52" t="str">
        <f t="shared" si="5"/>
        <v>nowhere,</v>
      </c>
    </row>
    <row r="983">
      <c r="A983" s="51"/>
      <c r="B983" s="50" t="s">
        <v>397</v>
      </c>
      <c r="C983" s="50" t="s">
        <v>1996</v>
      </c>
      <c r="D983" s="49" t="str">
        <f>IFERROR(__xludf.DUMMYFUNCTION("""COMPUTED_VALUE"""),"pieces")</f>
        <v>pieces</v>
      </c>
      <c r="E983" s="49"/>
      <c r="F983" s="49"/>
      <c r="G983" s="49"/>
      <c r="H983" s="54" t="str">
        <f t="shared" si="1"/>
        <v>usual,</v>
      </c>
      <c r="I983" s="50"/>
      <c r="J983" s="50" t="s">
        <v>1694</v>
      </c>
      <c r="K983" s="50" t="s">
        <v>541</v>
      </c>
      <c r="L983" s="49" t="str">
        <f>IFERROR(__xludf.DUMMYFUNCTION("""COMPUTED_VALUE"""),"shining")</f>
        <v>shining</v>
      </c>
      <c r="M983" s="49"/>
      <c r="N983" s="49" t="str">
        <f>IFERROR(__xludf.DUMMYFUNCTION("""COMPUTED_VALUE"""),"styles")</f>
        <v>styles</v>
      </c>
      <c r="O983" s="49" t="str">
        <f>IFERROR(__xludf.DUMMYFUNCTION("""COMPUTED_VALUE"""),"titus")</f>
        <v>titus</v>
      </c>
      <c r="P983" s="49" t="str">
        <f t="shared" si="2"/>
        <v>jason,</v>
      </c>
      <c r="Q983" s="49"/>
      <c r="R983" s="50" t="s">
        <v>1756</v>
      </c>
      <c r="S983" s="55" t="s">
        <v>2115</v>
      </c>
      <c r="T983" s="49" t="str">
        <f>IFERROR(__xludf.DUMMYFUNCTION("""COMPUTED_VALUE"""),"cares")</f>
        <v>cares</v>
      </c>
      <c r="U983" s="49"/>
      <c r="V983" s="49"/>
      <c r="W983" s="49" t="str">
        <f>IFERROR(__xludf.DUMMYFUNCTION("""COMPUTED_VALUE"""),"bertrand")</f>
        <v>bertrand</v>
      </c>
      <c r="X983" s="49" t="str">
        <f t="shared" si="3"/>
        <v>complete,</v>
      </c>
      <c r="Y983" s="49"/>
      <c r="Z983" s="1" t="s">
        <v>2044</v>
      </c>
      <c r="AA983" s="1" t="s">
        <v>667</v>
      </c>
      <c r="AB983" s="49" t="str">
        <f>IFERROR(__xludf.DUMMYFUNCTION("""COMPUTED_VALUE"""),"teeth")</f>
        <v>teeth</v>
      </c>
      <c r="AC983" s="49"/>
      <c r="AD983" s="49" t="str">
        <f>IFERROR(__xludf.DUMMYFUNCTION("""COMPUTED_VALUE"""),"styles")</f>
        <v>styles</v>
      </c>
      <c r="AE983" s="49" t="str">
        <f>IFERROR(__xludf.DUMMYFUNCTION("""COMPUTED_VALUE"""),"titus")</f>
        <v>titus</v>
      </c>
      <c r="AF983" s="49" t="str">
        <f t="shared" si="4"/>
        <v>thin,</v>
      </c>
      <c r="AG983" s="49"/>
      <c r="AH983" s="1" t="s">
        <v>260</v>
      </c>
      <c r="AI983" s="1" t="s">
        <v>3546</v>
      </c>
      <c r="AJ983" s="6" t="str">
        <f>IFERROR(__xludf.DUMMYFUNCTION("""COMPUTED_VALUE"""),"rocks")</f>
        <v>rocks</v>
      </c>
      <c r="AK983" s="49"/>
      <c r="AL983" s="49"/>
      <c r="AM983" s="49"/>
      <c r="AN983" s="52" t="str">
        <f t="shared" si="5"/>
        <v>thought,</v>
      </c>
    </row>
    <row r="984">
      <c r="A984" s="51"/>
      <c r="B984" s="50" t="s">
        <v>3348</v>
      </c>
      <c r="C984" s="50" t="s">
        <v>3567</v>
      </c>
      <c r="D984" s="49">
        <f>IFERROR(__xludf.DUMMYFUNCTION("""COMPUTED_VALUE"""),48.0)</f>
        <v>48</v>
      </c>
      <c r="E984" s="49"/>
      <c r="F984" s="49"/>
      <c r="G984" s="49"/>
      <c r="H984" s="54" t="str">
        <f t="shared" si="1"/>
        <v>measure,</v>
      </c>
      <c r="I984" s="50"/>
      <c r="J984" s="50" t="s">
        <v>5395</v>
      </c>
      <c r="K984" s="50" t="s">
        <v>3804</v>
      </c>
      <c r="L984" s="49" t="str">
        <f>IFERROR(__xludf.DUMMYFUNCTION("""COMPUTED_VALUE"""),"messenger")</f>
        <v>messenger</v>
      </c>
      <c r="M984" s="49"/>
      <c r="N984" s="49" t="str">
        <f>IFERROR(__xludf.DUMMYFUNCTION("""COMPUTED_VALUE"""),"intervention")</f>
        <v>intervention</v>
      </c>
      <c r="O984" s="49" t="str">
        <f>IFERROR(__xludf.DUMMYFUNCTION("""COMPUTED_VALUE"""),"undo")</f>
        <v>undo</v>
      </c>
      <c r="P984" s="49" t="str">
        <f t="shared" si="2"/>
        <v>twin,</v>
      </c>
      <c r="Q984" s="49"/>
      <c r="R984" s="50" t="s">
        <v>3039</v>
      </c>
      <c r="S984" s="55" t="s">
        <v>144</v>
      </c>
      <c r="T984" s="49" t="str">
        <f>IFERROR(__xludf.DUMMYFUNCTION("""COMPUTED_VALUE"""),"ride")</f>
        <v>ride</v>
      </c>
      <c r="U984" s="49"/>
      <c r="V984" s="49"/>
      <c r="W984" s="49" t="str">
        <f>IFERROR(__xludf.DUMMYFUNCTION("""COMPUTED_VALUE"""),"conduct")</f>
        <v>conduct</v>
      </c>
      <c r="X984" s="49" t="str">
        <f t="shared" si="3"/>
        <v>intentions,</v>
      </c>
      <c r="Y984" s="49"/>
      <c r="Z984" s="1" t="s">
        <v>3015</v>
      </c>
      <c r="AA984" s="1" t="s">
        <v>2576</v>
      </c>
      <c r="AB984" s="49" t="str">
        <f>IFERROR(__xludf.DUMMYFUNCTION("""COMPUTED_VALUE"""),"portrays")</f>
        <v>portrays</v>
      </c>
      <c r="AC984" s="49"/>
      <c r="AD984" s="49" t="str">
        <f>IFERROR(__xludf.DUMMYFUNCTION("""COMPUTED_VALUE"""),"intervention")</f>
        <v>intervention</v>
      </c>
      <c r="AE984" s="49" t="str">
        <f>IFERROR(__xludf.DUMMYFUNCTION("""COMPUTED_VALUE"""),"undo")</f>
        <v>undo</v>
      </c>
      <c r="AF984" s="49" t="str">
        <f t="shared" si="4"/>
        <v>wonderful,</v>
      </c>
      <c r="AG984" s="49"/>
      <c r="AH984" s="1" t="s">
        <v>653</v>
      </c>
      <c r="AI984" s="1" t="s">
        <v>6418</v>
      </c>
      <c r="AJ984" s="6" t="str">
        <f>IFERROR(__xludf.DUMMYFUNCTION("""COMPUTED_VALUE"""),"sad")</f>
        <v>sad</v>
      </c>
      <c r="AK984" s="49"/>
      <c r="AL984" s="49"/>
      <c r="AM984" s="49"/>
      <c r="AN984" s="52" t="str">
        <f t="shared" si="5"/>
        <v>without,</v>
      </c>
    </row>
    <row r="985">
      <c r="A985" s="51"/>
      <c r="B985" s="50" t="s">
        <v>7184</v>
      </c>
      <c r="C985" s="50" t="s">
        <v>2278</v>
      </c>
      <c r="D985" s="49" t="str">
        <f>IFERROR(__xludf.DUMMYFUNCTION("""COMPUTED_VALUE"""),"midnight")</f>
        <v>midnight</v>
      </c>
      <c r="E985" s="49"/>
      <c r="F985" s="49"/>
      <c r="G985" s="49"/>
      <c r="H985" s="54" t="str">
        <f t="shared" si="1"/>
        <v>centers,</v>
      </c>
      <c r="I985" s="50"/>
      <c r="J985" s="50" t="s">
        <v>1985</v>
      </c>
      <c r="K985" s="50" t="s">
        <v>3808</v>
      </c>
      <c r="L985" s="49" t="str">
        <f>IFERROR(__xludf.DUMMYFUNCTION("""COMPUTED_VALUE"""),"losses")</f>
        <v>losses</v>
      </c>
      <c r="M985" s="49"/>
      <c r="N985" s="49" t="str">
        <f>IFERROR(__xludf.DUMMYFUNCTION("""COMPUTED_VALUE"""),"com")</f>
        <v>com</v>
      </c>
      <c r="O985" s="49" t="str">
        <f>IFERROR(__xludf.DUMMYFUNCTION("""COMPUTED_VALUE"""),"photo")</f>
        <v>photo</v>
      </c>
      <c r="P985" s="49" t="str">
        <f t="shared" si="2"/>
        <v>sentence,</v>
      </c>
      <c r="Q985" s="49"/>
      <c r="R985" s="50" t="s">
        <v>6435</v>
      </c>
      <c r="S985" s="55" t="s">
        <v>606</v>
      </c>
      <c r="T985" s="49" t="str">
        <f>IFERROR(__xludf.DUMMYFUNCTION("""COMPUTED_VALUE"""),"lower")</f>
        <v>lower</v>
      </c>
      <c r="U985" s="49"/>
      <c r="V985" s="49"/>
      <c r="W985" s="49" t="str">
        <f>IFERROR(__xludf.DUMMYFUNCTION("""COMPUTED_VALUE"""),"sleeve")</f>
        <v>sleeve</v>
      </c>
      <c r="X985" s="49" t="str">
        <f t="shared" si="3"/>
        <v>broken,</v>
      </c>
      <c r="Y985" s="49"/>
      <c r="Z985" s="1" t="s">
        <v>404</v>
      </c>
      <c r="AA985" s="1" t="s">
        <v>3805</v>
      </c>
      <c r="AB985" s="49" t="str">
        <f>IFERROR(__xludf.DUMMYFUNCTION("""COMPUTED_VALUE"""),"episodes")</f>
        <v>episodes</v>
      </c>
      <c r="AC985" s="49"/>
      <c r="AD985" s="49" t="str">
        <f>IFERROR(__xludf.DUMMYFUNCTION("""COMPUTED_VALUE"""),"com")</f>
        <v>com</v>
      </c>
      <c r="AE985" s="49" t="str">
        <f>IFERROR(__xludf.DUMMYFUNCTION("""COMPUTED_VALUE"""),"photo")</f>
        <v>photo</v>
      </c>
      <c r="AF985" s="49" t="str">
        <f t="shared" si="4"/>
        <v>side,</v>
      </c>
      <c r="AG985" s="49"/>
      <c r="AH985" s="1" t="s">
        <v>1325</v>
      </c>
      <c r="AI985" s="1" t="s">
        <v>3277</v>
      </c>
      <c r="AJ985" s="6" t="str">
        <f>IFERROR(__xludf.DUMMYFUNCTION("""COMPUTED_VALUE"""),"rarely")</f>
        <v>rarely</v>
      </c>
      <c r="AK985" s="49"/>
      <c r="AL985" s="49"/>
      <c r="AM985" s="49"/>
      <c r="AN985" s="52" t="str">
        <f t="shared" si="5"/>
        <v>book,</v>
      </c>
    </row>
    <row r="986">
      <c r="A986" s="51"/>
      <c r="B986" s="50" t="s">
        <v>2788</v>
      </c>
      <c r="C986" s="50" t="s">
        <v>2004</v>
      </c>
      <c r="D986" s="49" t="str">
        <f>IFERROR(__xludf.DUMMYFUNCTION("""COMPUTED_VALUE"""),"bits")</f>
        <v>bits</v>
      </c>
      <c r="E986" s="49"/>
      <c r="F986" s="49"/>
      <c r="G986" s="49"/>
      <c r="H986" s="54" t="str">
        <f t="shared" si="1"/>
        <v>tossed,</v>
      </c>
      <c r="I986" s="50"/>
      <c r="J986" s="50" t="s">
        <v>4391</v>
      </c>
      <c r="K986" s="50" t="s">
        <v>2288</v>
      </c>
      <c r="L986" s="49" t="str">
        <f>IFERROR(__xludf.DUMMYFUNCTION("""COMPUTED_VALUE"""),"spine")</f>
        <v>spine</v>
      </c>
      <c r="M986" s="49"/>
      <c r="N986" s="49" t="str">
        <f>IFERROR(__xludf.DUMMYFUNCTION("""COMPUTED_VALUE"""),"maker")</f>
        <v>maker</v>
      </c>
      <c r="O986" s="49" t="str">
        <f>IFERROR(__xludf.DUMMYFUNCTION("""COMPUTED_VALUE"""),"vastly")</f>
        <v>vastly</v>
      </c>
      <c r="P986" s="49" t="str">
        <f t="shared" si="2"/>
        <v>allen,</v>
      </c>
      <c r="Q986" s="49"/>
      <c r="R986" s="50" t="s">
        <v>2828</v>
      </c>
      <c r="S986" s="55" t="s">
        <v>2129</v>
      </c>
      <c r="T986" s="49" t="str">
        <f>IFERROR(__xludf.DUMMYFUNCTION("""COMPUTED_VALUE"""),"crash")</f>
        <v>crash</v>
      </c>
      <c r="U986" s="49"/>
      <c r="V986" s="49"/>
      <c r="W986" s="49" t="str">
        <f>IFERROR(__xludf.DUMMYFUNCTION("""COMPUTED_VALUE"""),"intimacy")</f>
        <v>intimacy</v>
      </c>
      <c r="X986" s="49" t="str">
        <f t="shared" si="3"/>
        <v>frame,</v>
      </c>
      <c r="Y986" s="49"/>
      <c r="Z986" s="1" t="s">
        <v>5182</v>
      </c>
      <c r="AA986" s="1" t="s">
        <v>866</v>
      </c>
      <c r="AB986" s="49" t="str">
        <f>IFERROR(__xludf.DUMMYFUNCTION("""COMPUTED_VALUE"""),"shocks")</f>
        <v>shocks</v>
      </c>
      <c r="AC986" s="49"/>
      <c r="AD986" s="49" t="str">
        <f>IFERROR(__xludf.DUMMYFUNCTION("""COMPUTED_VALUE"""),"maker")</f>
        <v>maker</v>
      </c>
      <c r="AE986" s="49" t="str">
        <f>IFERROR(__xludf.DUMMYFUNCTION("""COMPUTED_VALUE"""),"vastly")</f>
        <v>vastly</v>
      </c>
      <c r="AF986" s="49" t="str">
        <f t="shared" si="4"/>
        <v>scenery,</v>
      </c>
      <c r="AG986" s="49"/>
      <c r="AH986" s="1" t="s">
        <v>6368</v>
      </c>
      <c r="AI986" s="1" t="s">
        <v>6419</v>
      </c>
      <c r="AJ986" s="6" t="str">
        <f>IFERROR(__xludf.DUMMYFUNCTION("""COMPUTED_VALUE"""),"throwing")</f>
        <v>throwing</v>
      </c>
      <c r="AK986" s="49"/>
      <c r="AL986" s="49"/>
      <c r="AM986" s="49"/>
      <c r="AN986" s="52" t="str">
        <f t="shared" si="5"/>
        <v>free,</v>
      </c>
    </row>
    <row r="987">
      <c r="A987" s="51"/>
      <c r="B987" s="50" t="s">
        <v>1151</v>
      </c>
      <c r="C987" s="50" t="s">
        <v>6421</v>
      </c>
      <c r="D987" s="49" t="str">
        <f>IFERROR(__xludf.DUMMYFUNCTION("""COMPUTED_VALUE"""),"mind")</f>
        <v>mind</v>
      </c>
      <c r="E987" s="49"/>
      <c r="F987" s="49"/>
      <c r="G987" s="49"/>
      <c r="H987" s="54" t="str">
        <f t="shared" si="1"/>
        <v>city,</v>
      </c>
      <c r="I987" s="50"/>
      <c r="J987" s="50" t="s">
        <v>792</v>
      </c>
      <c r="K987" s="50" t="s">
        <v>3813</v>
      </c>
      <c r="L987" s="49" t="str">
        <f>IFERROR(__xludf.DUMMYFUNCTION("""COMPUTED_VALUE"""),"goose")</f>
        <v>goose</v>
      </c>
      <c r="M987" s="49"/>
      <c r="N987" s="49" t="str">
        <f>IFERROR(__xludf.DUMMYFUNCTION("""COMPUTED_VALUE"""),"implies")</f>
        <v>implies</v>
      </c>
      <c r="O987" s="49" t="str">
        <f>IFERROR(__xludf.DUMMYFUNCTION("""COMPUTED_VALUE"""),"missed")</f>
        <v>missed</v>
      </c>
      <c r="P987" s="49" t="str">
        <f t="shared" si="2"/>
        <v>street,</v>
      </c>
      <c r="Q987" s="49"/>
      <c r="R987" s="50" t="s">
        <v>7307</v>
      </c>
      <c r="S987" s="55" t="s">
        <v>931</v>
      </c>
      <c r="T987" s="49" t="str">
        <f>IFERROR(__xludf.DUMMYFUNCTION("""COMPUTED_VALUE"""),"detail")</f>
        <v>detail</v>
      </c>
      <c r="U987" s="49"/>
      <c r="V987" s="49"/>
      <c r="W987" s="49" t="str">
        <f>IFERROR(__xludf.DUMMYFUNCTION("""COMPUTED_VALUE"""),"statements")</f>
        <v>statements</v>
      </c>
      <c r="X987" s="49" t="str">
        <f t="shared" si="3"/>
        <v>hearted,</v>
      </c>
      <c r="Y987" s="49"/>
      <c r="Z987" s="1" t="s">
        <v>3126</v>
      </c>
      <c r="AA987" s="1" t="s">
        <v>2644</v>
      </c>
      <c r="AB987" s="49" t="str">
        <f>IFERROR(__xludf.DUMMYFUNCTION("""COMPUTED_VALUE"""),"glass")</f>
        <v>glass</v>
      </c>
      <c r="AC987" s="49"/>
      <c r="AD987" s="49" t="str">
        <f>IFERROR(__xludf.DUMMYFUNCTION("""COMPUTED_VALUE"""),"implies")</f>
        <v>implies</v>
      </c>
      <c r="AE987" s="49" t="str">
        <f>IFERROR(__xludf.DUMMYFUNCTION("""COMPUTED_VALUE"""),"missed")</f>
        <v>missed</v>
      </c>
      <c r="AF987" s="49" t="str">
        <f t="shared" si="4"/>
        <v>battle,</v>
      </c>
      <c r="AG987" s="49"/>
      <c r="AH987" s="1" t="s">
        <v>4667</v>
      </c>
      <c r="AI987" s="1" t="s">
        <v>1981</v>
      </c>
      <c r="AJ987" s="6" t="str">
        <f>IFERROR(__xludf.DUMMYFUNCTION("""COMPUTED_VALUE"""),"dramatic")</f>
        <v>dramatic</v>
      </c>
      <c r="AK987" s="49"/>
      <c r="AL987" s="49"/>
      <c r="AM987" s="49"/>
      <c r="AN987" s="52" t="str">
        <f t="shared" si="5"/>
        <v>david,</v>
      </c>
    </row>
    <row r="988">
      <c r="A988" s="51"/>
      <c r="B988" s="50" t="s">
        <v>668</v>
      </c>
      <c r="C988" s="50" t="s">
        <v>2009</v>
      </c>
      <c r="D988" s="49" t="str">
        <f>IFERROR(__xludf.DUMMYFUNCTION("""COMPUTED_VALUE"""),"reference")</f>
        <v>reference</v>
      </c>
      <c r="E988" s="49"/>
      <c r="F988" s="49"/>
      <c r="G988" s="49"/>
      <c r="H988" s="54" t="str">
        <f t="shared" si="1"/>
        <v>become,</v>
      </c>
      <c r="I988" s="50"/>
      <c r="J988" s="50" t="s">
        <v>4161</v>
      </c>
      <c r="K988" s="50" t="s">
        <v>649</v>
      </c>
      <c r="L988" s="49" t="str">
        <f>IFERROR(__xludf.DUMMYFUNCTION("""COMPUTED_VALUE"""),"stanley")</f>
        <v>stanley</v>
      </c>
      <c r="M988" s="49"/>
      <c r="N988" s="49" t="str">
        <f>IFERROR(__xludf.DUMMYFUNCTION("""COMPUTED_VALUE"""),"tempered")</f>
        <v>tempered</v>
      </c>
      <c r="O988" s="49" t="str">
        <f>IFERROR(__xludf.DUMMYFUNCTION("""COMPUTED_VALUE"""),"espionage")</f>
        <v>espionage</v>
      </c>
      <c r="P988" s="49" t="str">
        <f t="shared" si="2"/>
        <v>word,</v>
      </c>
      <c r="Q988" s="49"/>
      <c r="R988" s="50" t="s">
        <v>158</v>
      </c>
      <c r="S988" s="55" t="s">
        <v>2147</v>
      </c>
      <c r="T988" s="49" t="str">
        <f>IFERROR(__xludf.DUMMYFUNCTION("""COMPUTED_VALUE"""),"hazy")</f>
        <v>hazy</v>
      </c>
      <c r="U988" s="49"/>
      <c r="V988" s="49"/>
      <c r="W988" s="49" t="str">
        <f>IFERROR(__xludf.DUMMYFUNCTION("""COMPUTED_VALUE"""),"kiss")</f>
        <v>kiss</v>
      </c>
      <c r="X988" s="49" t="str">
        <f t="shared" si="3"/>
        <v>cruel,</v>
      </c>
      <c r="Y988" s="49"/>
      <c r="Z988" s="1" t="s">
        <v>3675</v>
      </c>
      <c r="AA988" s="1" t="s">
        <v>3814</v>
      </c>
      <c r="AB988" s="49" t="str">
        <f>IFERROR(__xludf.DUMMYFUNCTION("""COMPUTED_VALUE"""),"convince")</f>
        <v>convince</v>
      </c>
      <c r="AC988" s="49"/>
      <c r="AD988" s="49" t="str">
        <f>IFERROR(__xludf.DUMMYFUNCTION("""COMPUTED_VALUE"""),"tempered")</f>
        <v>tempered</v>
      </c>
      <c r="AE988" s="49" t="str">
        <f>IFERROR(__xludf.DUMMYFUNCTION("""COMPUTED_VALUE"""),"espionage")</f>
        <v>espionage</v>
      </c>
      <c r="AF988" s="49" t="str">
        <f t="shared" si="4"/>
        <v>against,</v>
      </c>
      <c r="AG988" s="49"/>
      <c r="AH988" s="1" t="s">
        <v>2281</v>
      </c>
      <c r="AI988" s="1" t="s">
        <v>1985</v>
      </c>
      <c r="AJ988" s="6" t="str">
        <f>IFERROR(__xludf.DUMMYFUNCTION("""COMPUTED_VALUE"""),"punk")</f>
        <v>punk</v>
      </c>
      <c r="AK988" s="49"/>
      <c r="AL988" s="49"/>
      <c r="AM988" s="49"/>
      <c r="AN988" s="52" t="str">
        <f t="shared" si="5"/>
        <v>toward,</v>
      </c>
    </row>
    <row r="989">
      <c r="A989" s="51"/>
      <c r="B989" s="50" t="s">
        <v>340</v>
      </c>
      <c r="C989" s="50" t="s">
        <v>3329</v>
      </c>
      <c r="D989" s="49" t="str">
        <f>IFERROR(__xludf.DUMMYFUNCTION("""COMPUTED_VALUE"""),"busy")</f>
        <v>busy</v>
      </c>
      <c r="E989" s="49"/>
      <c r="F989" s="49"/>
      <c r="G989" s="49"/>
      <c r="H989" s="54" t="str">
        <f t="shared" si="1"/>
        <v>feel,</v>
      </c>
      <c r="I989" s="50"/>
      <c r="J989" s="50" t="s">
        <v>5517</v>
      </c>
      <c r="K989" s="50" t="s">
        <v>2292</v>
      </c>
      <c r="L989" s="49" t="str">
        <f>IFERROR(__xludf.DUMMYFUNCTION("""COMPUTED_VALUE"""),"doses")</f>
        <v>doses</v>
      </c>
      <c r="M989" s="49"/>
      <c r="N989" s="49" t="str">
        <f>IFERROR(__xludf.DUMMYFUNCTION("""COMPUTED_VALUE"""),"finishing")</f>
        <v>finishing</v>
      </c>
      <c r="O989" s="49" t="str">
        <f>IFERROR(__xludf.DUMMYFUNCTION("""COMPUTED_VALUE"""),"refugees")</f>
        <v>refugees</v>
      </c>
      <c r="P989" s="49" t="str">
        <f t="shared" si="2"/>
        <v>dad,</v>
      </c>
      <c r="Q989" s="49"/>
      <c r="R989" s="50" t="s">
        <v>2171</v>
      </c>
      <c r="S989" s="55" t="s">
        <v>2152</v>
      </c>
      <c r="T989" s="49" t="str">
        <f>IFERROR(__xludf.DUMMYFUNCTION("""COMPUTED_VALUE"""),"frightening")</f>
        <v>frightening</v>
      </c>
      <c r="U989" s="49"/>
      <c r="V989" s="49"/>
      <c r="W989" s="49" t="str">
        <f>IFERROR(__xludf.DUMMYFUNCTION("""COMPUTED_VALUE"""),"saving")</f>
        <v>saving</v>
      </c>
      <c r="X989" s="49" t="str">
        <f t="shared" si="3"/>
        <v>crime,</v>
      </c>
      <c r="Y989" s="49"/>
      <c r="Z989" s="1" t="s">
        <v>6504</v>
      </c>
      <c r="AA989" s="1" t="s">
        <v>3816</v>
      </c>
      <c r="AB989" s="49" t="str">
        <f>IFERROR(__xludf.DUMMYFUNCTION("""COMPUTED_VALUE"""),"pays")</f>
        <v>pays</v>
      </c>
      <c r="AC989" s="49"/>
      <c r="AD989" s="49" t="str">
        <f>IFERROR(__xludf.DUMMYFUNCTION("""COMPUTED_VALUE"""),"finishing")</f>
        <v>finishing</v>
      </c>
      <c r="AE989" s="49" t="str">
        <f>IFERROR(__xludf.DUMMYFUNCTION("""COMPUTED_VALUE"""),"refugees")</f>
        <v>refugees</v>
      </c>
      <c r="AF989" s="49" t="str">
        <f t="shared" si="4"/>
        <v>tried,</v>
      </c>
      <c r="AG989" s="49"/>
      <c r="AH989" s="1" t="s">
        <v>124</v>
      </c>
      <c r="AI989" s="1" t="s">
        <v>2784</v>
      </c>
      <c r="AJ989" s="6" t="str">
        <f>IFERROR(__xludf.DUMMYFUNCTION("""COMPUTED_VALUE"""),"band")</f>
        <v>band</v>
      </c>
      <c r="AK989" s="49"/>
      <c r="AL989" s="49"/>
      <c r="AM989" s="49"/>
      <c r="AN989" s="52" t="str">
        <f t="shared" si="5"/>
        <v>throughout,</v>
      </c>
    </row>
    <row r="990">
      <c r="A990" s="51"/>
      <c r="B990" s="50" t="s">
        <v>1068</v>
      </c>
      <c r="C990" s="50" t="s">
        <v>3113</v>
      </c>
      <c r="D990" s="49" t="str">
        <f>IFERROR(__xludf.DUMMYFUNCTION("""COMPUTED_VALUE"""),"success")</f>
        <v>success</v>
      </c>
      <c r="E990" s="49"/>
      <c r="F990" s="49"/>
      <c r="G990" s="49"/>
      <c r="H990" s="54" t="str">
        <f t="shared" si="1"/>
        <v>rock,</v>
      </c>
      <c r="I990" s="50"/>
      <c r="J990" s="50" t="s">
        <v>2741</v>
      </c>
      <c r="K990" s="50" t="s">
        <v>665</v>
      </c>
      <c r="L990" s="49" t="str">
        <f>IFERROR(__xludf.DUMMYFUNCTION("""COMPUTED_VALUE"""),"concepts")</f>
        <v>concepts</v>
      </c>
      <c r="M990" s="49"/>
      <c r="N990" s="49" t="str">
        <f>IFERROR(__xludf.DUMMYFUNCTION("""COMPUTED_VALUE"""),"touched")</f>
        <v>touched</v>
      </c>
      <c r="O990" s="49" t="str">
        <f>IFERROR(__xludf.DUMMYFUNCTION("""COMPUTED_VALUE"""),"coughed")</f>
        <v>coughed</v>
      </c>
      <c r="P990" s="49" t="str">
        <f t="shared" si="2"/>
        <v>cheese,</v>
      </c>
      <c r="Q990" s="49"/>
      <c r="R990" s="50" t="s">
        <v>4379</v>
      </c>
      <c r="S990" s="55" t="s">
        <v>6422</v>
      </c>
      <c r="T990" s="49" t="str">
        <f>IFERROR(__xludf.DUMMYFUNCTION("""COMPUTED_VALUE"""),"j")</f>
        <v>j</v>
      </c>
      <c r="U990" s="49"/>
      <c r="V990" s="49"/>
      <c r="W990" s="49" t="str">
        <f>IFERROR(__xludf.DUMMYFUNCTION("""COMPUTED_VALUE"""),"bordering")</f>
        <v>bordering</v>
      </c>
      <c r="X990" s="49" t="str">
        <f t="shared" si="3"/>
        <v>rotten,</v>
      </c>
      <c r="Y990" s="49"/>
      <c r="Z990" s="1" t="s">
        <v>935</v>
      </c>
      <c r="AA990" s="1" t="s">
        <v>880</v>
      </c>
      <c r="AB990" s="49" t="str">
        <f>IFERROR(__xludf.DUMMYFUNCTION("""COMPUTED_VALUE"""),"delivering")</f>
        <v>delivering</v>
      </c>
      <c r="AC990" s="49"/>
      <c r="AD990" s="49" t="str">
        <f>IFERROR(__xludf.DUMMYFUNCTION("""COMPUTED_VALUE"""),"touched")</f>
        <v>touched</v>
      </c>
      <c r="AE990" s="49" t="str">
        <f>IFERROR(__xludf.DUMMYFUNCTION("""COMPUTED_VALUE"""),"coughed")</f>
        <v>coughed</v>
      </c>
      <c r="AF990" s="49" t="str">
        <f t="shared" si="4"/>
        <v>soundtrack,</v>
      </c>
      <c r="AG990" s="49"/>
      <c r="AH990" s="1" t="s">
        <v>5017</v>
      </c>
      <c r="AI990" s="1" t="s">
        <v>6403</v>
      </c>
      <c r="AJ990" s="6" t="str">
        <f>IFERROR(__xludf.DUMMYFUNCTION("""COMPUTED_VALUE"""),"seemed")</f>
        <v>seemed</v>
      </c>
      <c r="AK990" s="49"/>
      <c r="AL990" s="49"/>
      <c r="AM990" s="49"/>
      <c r="AN990" s="52" t="str">
        <f t="shared" si="5"/>
        <v>remains,</v>
      </c>
    </row>
    <row r="991">
      <c r="A991" s="51"/>
      <c r="B991" s="50" t="s">
        <v>2005</v>
      </c>
      <c r="C991" s="50" t="s">
        <v>6408</v>
      </c>
      <c r="D991" s="49" t="str">
        <f>IFERROR(__xludf.DUMMYFUNCTION("""COMPUTED_VALUE"""),"unexpected")</f>
        <v>unexpected</v>
      </c>
      <c r="E991" s="49"/>
      <c r="F991" s="49"/>
      <c r="G991" s="49"/>
      <c r="H991" s="54" t="str">
        <f t="shared" si="1"/>
        <v>probably,</v>
      </c>
      <c r="I991" s="50"/>
      <c r="J991" s="50" t="s">
        <v>7308</v>
      </c>
      <c r="K991" s="50" t="s">
        <v>2298</v>
      </c>
      <c r="L991" s="49" t="str">
        <f>IFERROR(__xludf.DUMMYFUNCTION("""COMPUTED_VALUE"""),"catches")</f>
        <v>catches</v>
      </c>
      <c r="M991" s="49"/>
      <c r="N991" s="49" t="str">
        <f>IFERROR(__xludf.DUMMYFUNCTION("""COMPUTED_VALUE"""),"uncomfortable")</f>
        <v>uncomfortable</v>
      </c>
      <c r="O991" s="49" t="str">
        <f>IFERROR(__xludf.DUMMYFUNCTION("""COMPUTED_VALUE"""),"varying")</f>
        <v>varying</v>
      </c>
      <c r="P991" s="49" t="str">
        <f t="shared" si="2"/>
        <v>basement,</v>
      </c>
      <c r="Q991" s="49"/>
      <c r="R991" s="50" t="s">
        <v>2701</v>
      </c>
      <c r="S991" s="55" t="s">
        <v>3049</v>
      </c>
      <c r="T991" s="49" t="str">
        <f>IFERROR(__xludf.DUMMYFUNCTION("""COMPUTED_VALUE"""),"intimate")</f>
        <v>intimate</v>
      </c>
      <c r="U991" s="49"/>
      <c r="V991" s="49"/>
      <c r="W991" s="49" t="str">
        <f>IFERROR(__xludf.DUMMYFUNCTION("""COMPUTED_VALUE"""),"beloved")</f>
        <v>beloved</v>
      </c>
      <c r="X991" s="49" t="str">
        <f t="shared" si="3"/>
        <v>indication,</v>
      </c>
      <c r="Y991" s="49"/>
      <c r="Z991" s="1" t="s">
        <v>6340</v>
      </c>
      <c r="AA991" s="1" t="s">
        <v>3821</v>
      </c>
      <c r="AB991" s="49" t="str">
        <f>IFERROR(__xludf.DUMMYFUNCTION("""COMPUTED_VALUE"""),"treasure")</f>
        <v>treasure</v>
      </c>
      <c r="AC991" s="49"/>
      <c r="AD991" s="49" t="str">
        <f>IFERROR(__xludf.DUMMYFUNCTION("""COMPUTED_VALUE"""),"uncomfortable")</f>
        <v>uncomfortable</v>
      </c>
      <c r="AE991" s="49" t="str">
        <f>IFERROR(__xludf.DUMMYFUNCTION("""COMPUTED_VALUE"""),"varying")</f>
        <v>varying</v>
      </c>
      <c r="AF991" s="49" t="str">
        <f t="shared" si="4"/>
        <v>professional,</v>
      </c>
      <c r="AG991" s="49"/>
      <c r="AH991" s="1" t="s">
        <v>6677</v>
      </c>
      <c r="AI991" s="1" t="s">
        <v>1990</v>
      </c>
      <c r="AJ991" s="6" t="str">
        <f>IFERROR(__xludf.DUMMYFUNCTION("""COMPUTED_VALUE"""),"talk")</f>
        <v>talk</v>
      </c>
      <c r="AK991" s="49"/>
      <c r="AL991" s="49"/>
      <c r="AM991" s="49"/>
      <c r="AN991" s="52" t="str">
        <f t="shared" si="5"/>
        <v>cost,</v>
      </c>
    </row>
    <row r="992">
      <c r="A992" s="51"/>
      <c r="B992" s="50" t="s">
        <v>3783</v>
      </c>
      <c r="C992" s="50" t="s">
        <v>2012</v>
      </c>
      <c r="D992" s="49" t="str">
        <f>IFERROR(__xludf.DUMMYFUNCTION("""COMPUTED_VALUE"""),"devoted")</f>
        <v>devoted</v>
      </c>
      <c r="E992" s="49"/>
      <c r="F992" s="49"/>
      <c r="G992" s="49"/>
      <c r="H992" s="54" t="str">
        <f t="shared" si="1"/>
        <v>oh,</v>
      </c>
      <c r="I992" s="50"/>
      <c r="J992" s="50" t="s">
        <v>504</v>
      </c>
      <c r="K992" s="50" t="s">
        <v>715</v>
      </c>
      <c r="L992" s="49" t="str">
        <f>IFERROR(__xludf.DUMMYFUNCTION("""COMPUTED_VALUE"""),"wonders")</f>
        <v>wonders</v>
      </c>
      <c r="M992" s="49"/>
      <c r="N992" s="49" t="str">
        <f>IFERROR(__xludf.DUMMYFUNCTION("""COMPUTED_VALUE"""),"marred")</f>
        <v>marred</v>
      </c>
      <c r="O992" s="49" t="str">
        <f>IFERROR(__xludf.DUMMYFUNCTION("""COMPUTED_VALUE"""),"hooks")</f>
        <v>hooks</v>
      </c>
      <c r="P992" s="49" t="str">
        <f t="shared" si="2"/>
        <v>fingered,</v>
      </c>
      <c r="Q992" s="49"/>
      <c r="R992" s="50" t="s">
        <v>6535</v>
      </c>
      <c r="S992" s="55" t="s">
        <v>6423</v>
      </c>
      <c r="T992" s="49" t="str">
        <f>IFERROR(__xludf.DUMMYFUNCTION("""COMPUTED_VALUE"""),"bear")</f>
        <v>bear</v>
      </c>
      <c r="U992" s="49"/>
      <c r="V992" s="49"/>
      <c r="W992" s="49" t="str">
        <f>IFERROR(__xludf.DUMMYFUNCTION("""COMPUTED_VALUE"""),"awkward")</f>
        <v>awkward</v>
      </c>
      <c r="X992" s="49" t="str">
        <f t="shared" si="3"/>
        <v>focus,</v>
      </c>
      <c r="Y992" s="49"/>
      <c r="Z992" s="1" t="s">
        <v>617</v>
      </c>
      <c r="AA992" s="1" t="s">
        <v>1308</v>
      </c>
      <c r="AB992" s="49" t="str">
        <f>IFERROR(__xludf.DUMMYFUNCTION("""COMPUTED_VALUE"""),"capture")</f>
        <v>capture</v>
      </c>
      <c r="AC992" s="49"/>
      <c r="AD992" s="49" t="str">
        <f>IFERROR(__xludf.DUMMYFUNCTION("""COMPUTED_VALUE"""),"marred")</f>
        <v>marred</v>
      </c>
      <c r="AE992" s="49" t="str">
        <f>IFERROR(__xludf.DUMMYFUNCTION("""COMPUTED_VALUE"""),"hooks")</f>
        <v>hooks</v>
      </c>
      <c r="AF992" s="49" t="str">
        <f t="shared" si="4"/>
        <v>smart,</v>
      </c>
      <c r="AG992" s="49"/>
      <c r="AH992" s="1" t="s">
        <v>2479</v>
      </c>
      <c r="AI992" s="1" t="s">
        <v>518</v>
      </c>
      <c r="AJ992" s="6" t="str">
        <f>IFERROR(__xludf.DUMMYFUNCTION("""COMPUTED_VALUE"""),"debut")</f>
        <v>debut</v>
      </c>
      <c r="AK992" s="49"/>
      <c r="AL992" s="49"/>
      <c r="AM992" s="49"/>
      <c r="AN992" s="52" t="str">
        <f t="shared" si="5"/>
        <v>price,</v>
      </c>
    </row>
    <row r="993">
      <c r="A993" s="51"/>
      <c r="B993" s="50" t="s">
        <v>6314</v>
      </c>
      <c r="C993" s="50" t="s">
        <v>2812</v>
      </c>
      <c r="D993" s="49" t="str">
        <f>IFERROR(__xludf.DUMMYFUNCTION("""COMPUTED_VALUE"""),"bone")</f>
        <v>bone</v>
      </c>
      <c r="E993" s="49"/>
      <c r="F993" s="49"/>
      <c r="G993" s="49"/>
      <c r="H993" s="54" t="str">
        <f t="shared" si="1"/>
        <v>gone,</v>
      </c>
      <c r="I993" s="50"/>
      <c r="J993" s="50" t="s">
        <v>2126</v>
      </c>
      <c r="K993" s="50" t="s">
        <v>2302</v>
      </c>
      <c r="L993" s="49" t="str">
        <f>IFERROR(__xludf.DUMMYFUNCTION("""COMPUTED_VALUE"""),"technology")</f>
        <v>technology</v>
      </c>
      <c r="M993" s="49"/>
      <c r="N993" s="49" t="str">
        <f>IFERROR(__xludf.DUMMYFUNCTION("""COMPUTED_VALUE"""),"sticking")</f>
        <v>sticking</v>
      </c>
      <c r="O993" s="49" t="str">
        <f>IFERROR(__xludf.DUMMYFUNCTION("""COMPUTED_VALUE"""),"flaw")</f>
        <v>flaw</v>
      </c>
      <c r="P993" s="49" t="str">
        <f t="shared" si="2"/>
        <v>freddy,</v>
      </c>
      <c r="Q993" s="49"/>
      <c r="R993" s="50" t="s">
        <v>7309</v>
      </c>
      <c r="S993" s="55" t="s">
        <v>1560</v>
      </c>
      <c r="T993" s="49" t="str">
        <f>IFERROR(__xludf.DUMMYFUNCTION("""COMPUTED_VALUE"""),"carved")</f>
        <v>carved</v>
      </c>
      <c r="U993" s="49"/>
      <c r="V993" s="49"/>
      <c r="W993" s="49" t="str">
        <f>IFERROR(__xludf.DUMMYFUNCTION("""COMPUTED_VALUE"""),"sentiments")</f>
        <v>sentiments</v>
      </c>
      <c r="X993" s="49" t="str">
        <f t="shared" si="3"/>
        <v>bob,</v>
      </c>
      <c r="Y993" s="49"/>
      <c r="Z993" s="1" t="s">
        <v>1283</v>
      </c>
      <c r="AA993" s="1" t="s">
        <v>1316</v>
      </c>
      <c r="AB993" s="49" t="str">
        <f>IFERROR(__xludf.DUMMYFUNCTION("""COMPUTED_VALUE"""),"sincere")</f>
        <v>sincere</v>
      </c>
      <c r="AC993" s="49"/>
      <c r="AD993" s="49" t="str">
        <f>IFERROR(__xludf.DUMMYFUNCTION("""COMPUTED_VALUE"""),"sticking")</f>
        <v>sticking</v>
      </c>
      <c r="AE993" s="49" t="str">
        <f>IFERROR(__xludf.DUMMYFUNCTION("""COMPUTED_VALUE"""),"flaw")</f>
        <v>flaw</v>
      </c>
      <c r="AF993" s="49" t="str">
        <f t="shared" si="4"/>
        <v>give,</v>
      </c>
      <c r="AG993" s="49"/>
      <c r="AH993" s="1" t="s">
        <v>3420</v>
      </c>
      <c r="AI993" s="1" t="s">
        <v>3567</v>
      </c>
      <c r="AJ993" s="6" t="str">
        <f>IFERROR(__xludf.DUMMYFUNCTION("""COMPUTED_VALUE"""),"morning")</f>
        <v>morning</v>
      </c>
      <c r="AK993" s="49"/>
      <c r="AL993" s="49"/>
      <c r="AM993" s="49"/>
      <c r="AN993" s="52" t="str">
        <f t="shared" si="5"/>
        <v>neither,</v>
      </c>
    </row>
    <row r="994">
      <c r="A994" s="51"/>
      <c r="B994" s="50" t="s">
        <v>1072</v>
      </c>
      <c r="C994" s="50" t="s">
        <v>845</v>
      </c>
      <c r="D994" s="49" t="str">
        <f>IFERROR(__xludf.DUMMYFUNCTION("""COMPUTED_VALUE"""),"dream")</f>
        <v>dream</v>
      </c>
      <c r="E994" s="49"/>
      <c r="F994" s="49"/>
      <c r="G994" s="49"/>
      <c r="H994" s="54" t="str">
        <f t="shared" si="1"/>
        <v>fans,</v>
      </c>
      <c r="I994" s="50"/>
      <c r="J994" s="50" t="s">
        <v>6425</v>
      </c>
      <c r="K994" s="50" t="s">
        <v>2306</v>
      </c>
      <c r="L994" s="49" t="str">
        <f>IFERROR(__xludf.DUMMYFUNCTION("""COMPUTED_VALUE"""),"chinese")</f>
        <v>chinese</v>
      </c>
      <c r="M994" s="49"/>
      <c r="N994" s="49" t="str">
        <f>IFERROR(__xludf.DUMMYFUNCTION("""COMPUTED_VALUE"""),"pointed")</f>
        <v>pointed</v>
      </c>
      <c r="O994" s="49" t="str">
        <f>IFERROR(__xludf.DUMMYFUNCTION("""COMPUTED_VALUE"""),"oliver")</f>
        <v>oliver</v>
      </c>
      <c r="P994" s="49" t="str">
        <f t="shared" si="2"/>
        <v>rip,</v>
      </c>
      <c r="Q994" s="49"/>
      <c r="R994" s="50" t="s">
        <v>1770</v>
      </c>
      <c r="S994" s="55" t="s">
        <v>6424</v>
      </c>
      <c r="T994" s="49" t="str">
        <f>IFERROR(__xludf.DUMMYFUNCTION("""COMPUTED_VALUE"""),"abuse")</f>
        <v>abuse</v>
      </c>
      <c r="U994" s="49"/>
      <c r="V994" s="49"/>
      <c r="W994" s="49" t="str">
        <f>IFERROR(__xludf.DUMMYFUNCTION("""COMPUTED_VALUE"""),"abroad")</f>
        <v>abroad</v>
      </c>
      <c r="X994" s="49" t="str">
        <f t="shared" si="3"/>
        <v>remarkable,</v>
      </c>
      <c r="Y994" s="49"/>
      <c r="Z994" s="1" t="s">
        <v>94</v>
      </c>
      <c r="AA994" s="1" t="s">
        <v>2587</v>
      </c>
      <c r="AB994" s="49" t="str">
        <f>IFERROR(__xludf.DUMMYFUNCTION("""COMPUTED_VALUE"""),"reign")</f>
        <v>reign</v>
      </c>
      <c r="AC994" s="49"/>
      <c r="AD994" s="49" t="str">
        <f>IFERROR(__xludf.DUMMYFUNCTION("""COMPUTED_VALUE"""),"pointed")</f>
        <v>pointed</v>
      </c>
      <c r="AE994" s="49" t="str">
        <f>IFERROR(__xludf.DUMMYFUNCTION("""COMPUTED_VALUE"""),"oliver")</f>
        <v>oliver</v>
      </c>
      <c r="AF994" s="49" t="str">
        <f t="shared" si="4"/>
        <v>let,</v>
      </c>
      <c r="AG994" s="49"/>
      <c r="AH994" s="1" t="s">
        <v>2296</v>
      </c>
      <c r="AI994" s="1" t="s">
        <v>2278</v>
      </c>
      <c r="AJ994" s="6" t="str">
        <f>IFERROR(__xludf.DUMMYFUNCTION("""COMPUTED_VALUE"""),"themselves")</f>
        <v>themselves</v>
      </c>
      <c r="AK994" s="49"/>
      <c r="AL994" s="49"/>
      <c r="AM994" s="49"/>
      <c r="AN994" s="52" t="str">
        <f t="shared" si="5"/>
        <v>giant,</v>
      </c>
    </row>
    <row r="995">
      <c r="A995" s="51"/>
      <c r="B995" s="50" t="s">
        <v>1524</v>
      </c>
      <c r="C995" s="50" t="s">
        <v>3346</v>
      </c>
      <c r="D995" s="49" t="str">
        <f>IFERROR(__xludf.DUMMYFUNCTION("""COMPUTED_VALUE"""),"lives")</f>
        <v>lives</v>
      </c>
      <c r="E995" s="49"/>
      <c r="F995" s="49"/>
      <c r="G995" s="49"/>
      <c r="H995" s="54" t="str">
        <f t="shared" si="1"/>
        <v>roll,</v>
      </c>
      <c r="I995" s="50"/>
      <c r="J995" s="50" t="s">
        <v>2876</v>
      </c>
      <c r="K995" s="50" t="s">
        <v>2295</v>
      </c>
      <c r="L995" s="49" t="str">
        <f>IFERROR(__xludf.DUMMYFUNCTION("""COMPUTED_VALUE"""),"china")</f>
        <v>china</v>
      </c>
      <c r="M995" s="49"/>
      <c r="N995" s="49" t="str">
        <f>IFERROR(__xludf.DUMMYFUNCTION("""COMPUTED_VALUE"""),"wheeling")</f>
        <v>wheeling</v>
      </c>
      <c r="O995" s="49" t="str">
        <f>IFERROR(__xludf.DUMMYFUNCTION("""COMPUTED_VALUE"""),"hussein")</f>
        <v>hussein</v>
      </c>
      <c r="P995" s="49" t="str">
        <f t="shared" si="2"/>
        <v>sandwich,</v>
      </c>
      <c r="Q995" s="49"/>
      <c r="R995" s="50" t="s">
        <v>3582</v>
      </c>
      <c r="S995" s="55" t="s">
        <v>3200</v>
      </c>
      <c r="T995" s="49" t="str">
        <f>IFERROR(__xludf.DUMMYFUNCTION("""COMPUTED_VALUE"""),"deserve")</f>
        <v>deserve</v>
      </c>
      <c r="U995" s="49"/>
      <c r="V995" s="49"/>
      <c r="W995" s="49" t="str">
        <f>IFERROR(__xludf.DUMMYFUNCTION("""COMPUTED_VALUE"""),"estranged")</f>
        <v>estranged</v>
      </c>
      <c r="X995" s="49" t="str">
        <f t="shared" si="3"/>
        <v>routine,</v>
      </c>
      <c r="Y995" s="49"/>
      <c r="Z995" s="1" t="s">
        <v>578</v>
      </c>
      <c r="AA995" s="1" t="s">
        <v>2581</v>
      </c>
      <c r="AB995" s="49" t="str">
        <f>IFERROR(__xludf.DUMMYFUNCTION("""COMPUTED_VALUE"""),"philosophical")</f>
        <v>philosophical</v>
      </c>
      <c r="AC995" s="49"/>
      <c r="AD995" s="49" t="str">
        <f>IFERROR(__xludf.DUMMYFUNCTION("""COMPUTED_VALUE"""),"wheeling")</f>
        <v>wheeling</v>
      </c>
      <c r="AE995" s="49" t="str">
        <f>IFERROR(__xludf.DUMMYFUNCTION("""COMPUTED_VALUE"""),"hussein")</f>
        <v>hussein</v>
      </c>
      <c r="AF995" s="49" t="str">
        <f t="shared" si="4"/>
        <v>knew,</v>
      </c>
      <c r="AG995" s="49"/>
      <c r="AH995" s="1" t="s">
        <v>1569</v>
      </c>
      <c r="AI995" s="1" t="s">
        <v>2004</v>
      </c>
      <c r="AJ995" s="6" t="str">
        <f>IFERROR(__xludf.DUMMYFUNCTION("""COMPUTED_VALUE"""),"simply")</f>
        <v>simply</v>
      </c>
      <c r="AK995" s="49"/>
      <c r="AL995" s="49"/>
      <c r="AM995" s="49"/>
      <c r="AN995" s="52" t="str">
        <f t="shared" si="5"/>
        <v>tries,</v>
      </c>
    </row>
    <row r="996">
      <c r="A996" s="51"/>
      <c r="B996" s="50" t="s">
        <v>5294</v>
      </c>
      <c r="C996" s="50" t="s">
        <v>2817</v>
      </c>
      <c r="D996" s="49" t="str">
        <f>IFERROR(__xludf.DUMMYFUNCTION("""COMPUTED_VALUE"""),"frustration")</f>
        <v>frustration</v>
      </c>
      <c r="E996" s="49"/>
      <c r="F996" s="49"/>
      <c r="G996" s="49"/>
      <c r="H996" s="54" t="str">
        <f t="shared" si="1"/>
        <v>rating,</v>
      </c>
      <c r="I996" s="50"/>
      <c r="J996" s="50" t="s">
        <v>954</v>
      </c>
      <c r="K996" s="50" t="s">
        <v>3299</v>
      </c>
      <c r="L996" s="49" t="str">
        <f>IFERROR(__xludf.DUMMYFUNCTION("""COMPUTED_VALUE"""),"eastwood")</f>
        <v>eastwood</v>
      </c>
      <c r="M996" s="49"/>
      <c r="N996" s="49" t="str">
        <f>IFERROR(__xludf.DUMMYFUNCTION("""COMPUTED_VALUE"""),"gear")</f>
        <v>gear</v>
      </c>
      <c r="O996" s="49" t="str">
        <f>IFERROR(__xludf.DUMMYFUNCTION("""COMPUTED_VALUE"""),"saddam")</f>
        <v>saddam</v>
      </c>
      <c r="P996" s="49" t="str">
        <f t="shared" si="2"/>
        <v>hear,</v>
      </c>
      <c r="Q996" s="49"/>
      <c r="R996" s="50">
        <v>18.0</v>
      </c>
      <c r="S996" s="55" t="s">
        <v>2137</v>
      </c>
      <c r="T996" s="49" t="str">
        <f>IFERROR(__xludf.DUMMYFUNCTION("""COMPUTED_VALUE"""),"genuine")</f>
        <v>genuine</v>
      </c>
      <c r="U996" s="49"/>
      <c r="V996" s="49"/>
      <c r="W996" s="49" t="str">
        <f>IFERROR(__xludf.DUMMYFUNCTION("""COMPUTED_VALUE"""),"famine")</f>
        <v>famine</v>
      </c>
      <c r="X996" s="49" t="str">
        <f t="shared" si="3"/>
        <v>18,</v>
      </c>
      <c r="Y996" s="49"/>
      <c r="Z996" s="1" t="s">
        <v>2063</v>
      </c>
      <c r="AA996" s="1" t="s">
        <v>2656</v>
      </c>
      <c r="AB996" s="49" t="str">
        <f>IFERROR(__xludf.DUMMYFUNCTION("""COMPUTED_VALUE"""),"depiction")</f>
        <v>depiction</v>
      </c>
      <c r="AC996" s="49"/>
      <c r="AD996" s="49" t="str">
        <f>IFERROR(__xludf.DUMMYFUNCTION("""COMPUTED_VALUE"""),"gear")</f>
        <v>gear</v>
      </c>
      <c r="AE996" s="49" t="str">
        <f>IFERROR(__xludf.DUMMYFUNCTION("""COMPUTED_VALUE"""),"saddam")</f>
        <v>saddam</v>
      </c>
      <c r="AF996" s="49" t="str">
        <f t="shared" si="4"/>
        <v>friends,</v>
      </c>
      <c r="AG996" s="49"/>
      <c r="AH996" s="1" t="s">
        <v>6583</v>
      </c>
      <c r="AI996" s="1" t="s">
        <v>6421</v>
      </c>
      <c r="AJ996" s="6" t="str">
        <f>IFERROR(__xludf.DUMMYFUNCTION("""COMPUTED_VALUE"""),"pop")</f>
        <v>pop</v>
      </c>
      <c r="AK996" s="49"/>
      <c r="AL996" s="49"/>
      <c r="AM996" s="49"/>
      <c r="AN996" s="52" t="str">
        <f t="shared" si="5"/>
        <v>rocks,</v>
      </c>
    </row>
    <row r="997">
      <c r="A997" s="51"/>
      <c r="B997" s="50" t="s">
        <v>1961</v>
      </c>
      <c r="C997" s="50" t="s">
        <v>2820</v>
      </c>
      <c r="D997" s="49" t="str">
        <f>IFERROR(__xludf.DUMMYFUNCTION("""COMPUTED_VALUE"""),"winning")</f>
        <v>winning</v>
      </c>
      <c r="E997" s="49"/>
      <c r="F997" s="49"/>
      <c r="G997" s="49"/>
      <c r="H997" s="54" t="str">
        <f t="shared" si="1"/>
        <v>enjoy,</v>
      </c>
      <c r="I997" s="50"/>
      <c r="J997" s="50" t="s">
        <v>885</v>
      </c>
      <c r="K997" s="50" t="s">
        <v>3304</v>
      </c>
      <c r="L997" s="49" t="str">
        <f>IFERROR(__xludf.DUMMYFUNCTION("""COMPUTED_VALUE"""),"improved")</f>
        <v>improved</v>
      </c>
      <c r="M997" s="49"/>
      <c r="N997" s="49" t="str">
        <f>IFERROR(__xludf.DUMMYFUNCTION("""COMPUTED_VALUE"""),"introduction")</f>
        <v>introduction</v>
      </c>
      <c r="O997" s="49" t="str">
        <f>IFERROR(__xludf.DUMMYFUNCTION("""COMPUTED_VALUE"""),"directly")</f>
        <v>directly</v>
      </c>
      <c r="P997" s="49" t="str">
        <f t="shared" si="2"/>
        <v>public,</v>
      </c>
      <c r="Q997" s="49"/>
      <c r="R997" s="50" t="s">
        <v>6590</v>
      </c>
      <c r="S997" s="55" t="s">
        <v>501</v>
      </c>
      <c r="T997" s="49" t="str">
        <f>IFERROR(__xludf.DUMMYFUNCTION("""COMPUTED_VALUE"""),"magical")</f>
        <v>magical</v>
      </c>
      <c r="U997" s="49"/>
      <c r="V997" s="49"/>
      <c r="W997" s="49" t="str">
        <f>IFERROR(__xludf.DUMMYFUNCTION("""COMPUTED_VALUE"""),"devastated")</f>
        <v>devastated</v>
      </c>
      <c r="X997" s="49" t="str">
        <f t="shared" si="3"/>
        <v>sin,</v>
      </c>
      <c r="Y997" s="49"/>
      <c r="Z997" s="1" t="s">
        <v>6418</v>
      </c>
      <c r="AA997" s="1" t="s">
        <v>730</v>
      </c>
      <c r="AB997" s="49" t="str">
        <f>IFERROR(__xludf.DUMMYFUNCTION("""COMPUTED_VALUE"""),"tortured")</f>
        <v>tortured</v>
      </c>
      <c r="AC997" s="49"/>
      <c r="AD997" s="49" t="str">
        <f>IFERROR(__xludf.DUMMYFUNCTION("""COMPUTED_VALUE"""),"introduction")</f>
        <v>introduction</v>
      </c>
      <c r="AE997" s="49" t="str">
        <f>IFERROR(__xludf.DUMMYFUNCTION("""COMPUTED_VALUE"""),"directly")</f>
        <v>directly</v>
      </c>
      <c r="AF997" s="49" t="str">
        <f t="shared" si="4"/>
        <v>perfect,</v>
      </c>
      <c r="AG997" s="49"/>
      <c r="AH997" s="1" t="s">
        <v>6445</v>
      </c>
      <c r="AI997" s="1" t="s">
        <v>2009</v>
      </c>
      <c r="AJ997" s="6" t="str">
        <f>IFERROR(__xludf.DUMMYFUNCTION("""COMPUTED_VALUE"""),"intended")</f>
        <v>intended</v>
      </c>
      <c r="AK997" s="49"/>
      <c r="AL997" s="49"/>
      <c r="AM997" s="49"/>
      <c r="AN997" s="52" t="str">
        <f t="shared" si="5"/>
        <v>sad,</v>
      </c>
    </row>
    <row r="998">
      <c r="A998" s="51"/>
      <c r="B998" s="50" t="s">
        <v>6330</v>
      </c>
      <c r="C998" s="50" t="s">
        <v>800</v>
      </c>
      <c r="D998" s="49" t="str">
        <f>IFERROR(__xludf.DUMMYFUNCTION("""COMPUTED_VALUE"""),"bottom")</f>
        <v>bottom</v>
      </c>
      <c r="E998" s="49"/>
      <c r="F998" s="49"/>
      <c r="G998" s="49"/>
      <c r="H998" s="54" t="str">
        <f t="shared" si="1"/>
        <v>glance,</v>
      </c>
      <c r="I998" s="50"/>
      <c r="J998" s="50" t="s">
        <v>2327</v>
      </c>
      <c r="K998" s="50" t="s">
        <v>674</v>
      </c>
      <c r="L998" s="49" t="str">
        <f>IFERROR(__xludf.DUMMYFUNCTION("""COMPUTED_VALUE"""),"factor")</f>
        <v>factor</v>
      </c>
      <c r="M998" s="49"/>
      <c r="N998" s="49" t="str">
        <f>IFERROR(__xludf.DUMMYFUNCTION("""COMPUTED_VALUE"""),"applies")</f>
        <v>applies</v>
      </c>
      <c r="O998" s="49" t="str">
        <f>IFERROR(__xludf.DUMMYFUNCTION("""COMPUTED_VALUE"""),"scribe")</f>
        <v>scribe</v>
      </c>
      <c r="P998" s="49" t="str">
        <f t="shared" si="2"/>
        <v>load,</v>
      </c>
      <c r="Q998" s="49"/>
      <c r="R998" s="50" t="s">
        <v>2134</v>
      </c>
      <c r="S998" s="55" t="s">
        <v>4761</v>
      </c>
      <c r="T998" s="49" t="str">
        <f>IFERROR(__xludf.DUMMYFUNCTION("""COMPUTED_VALUE"""),"exploit")</f>
        <v>exploit</v>
      </c>
      <c r="U998" s="49"/>
      <c r="V998" s="49"/>
      <c r="W998" s="49" t="str">
        <f>IFERROR(__xludf.DUMMYFUNCTION("""COMPUTED_VALUE"""),"disguised")</f>
        <v>disguised</v>
      </c>
      <c r="X998" s="49" t="str">
        <f t="shared" si="3"/>
        <v>backseat,</v>
      </c>
      <c r="Y998" s="49"/>
      <c r="Z998" s="1" t="s">
        <v>2921</v>
      </c>
      <c r="AA998" s="1" t="s">
        <v>2027</v>
      </c>
      <c r="AB998" s="49" t="str">
        <f>IFERROR(__xludf.DUMMYFUNCTION("""COMPUTED_VALUE"""),"proud")</f>
        <v>proud</v>
      </c>
      <c r="AC998" s="49"/>
      <c r="AD998" s="49" t="str">
        <f>IFERROR(__xludf.DUMMYFUNCTION("""COMPUTED_VALUE"""),"applies")</f>
        <v>applies</v>
      </c>
      <c r="AE998" s="49" t="str">
        <f>IFERROR(__xludf.DUMMYFUNCTION("""COMPUTED_VALUE"""),"scribe")</f>
        <v>scribe</v>
      </c>
      <c r="AF998" s="49" t="str">
        <f t="shared" si="4"/>
        <v>wants,</v>
      </c>
      <c r="AG998" s="49"/>
      <c r="AH998" s="1" t="s">
        <v>3657</v>
      </c>
      <c r="AI998" s="1" t="s">
        <v>3329</v>
      </c>
      <c r="AJ998" s="6" t="str">
        <f>IFERROR(__xludf.DUMMYFUNCTION("""COMPUTED_VALUE"""),"ends")</f>
        <v>ends</v>
      </c>
      <c r="AK998" s="49"/>
      <c r="AL998" s="49"/>
      <c r="AM998" s="49"/>
      <c r="AN998" s="52" t="str">
        <f t="shared" si="5"/>
        <v>rarely,</v>
      </c>
    </row>
    <row r="999">
      <c r="A999" s="51"/>
      <c r="B999" s="50" t="s">
        <v>4719</v>
      </c>
      <c r="C999" s="50" t="s">
        <v>3376</v>
      </c>
      <c r="D999" s="49" t="str">
        <f>IFERROR(__xludf.DUMMYFUNCTION("""COMPUTED_VALUE"""),"pleasure")</f>
        <v>pleasure</v>
      </c>
      <c r="E999" s="49"/>
      <c r="F999" s="49"/>
      <c r="G999" s="49"/>
      <c r="H999" s="54" t="str">
        <f t="shared" si="1"/>
        <v>wondering,</v>
      </c>
      <c r="I999" s="50"/>
      <c r="J999" s="50" t="s">
        <v>3661</v>
      </c>
      <c r="K999" s="50" t="s">
        <v>3311</v>
      </c>
      <c r="L999" s="49" t="str">
        <f>IFERROR(__xludf.DUMMYFUNCTION("""COMPUTED_VALUE"""),"burst")</f>
        <v>burst</v>
      </c>
      <c r="M999" s="49"/>
      <c r="N999" s="49" t="str">
        <f>IFERROR(__xludf.DUMMYFUNCTION("""COMPUTED_VALUE"""),"lessons")</f>
        <v>lessons</v>
      </c>
      <c r="O999" s="49" t="str">
        <f>IFERROR(__xludf.DUMMYFUNCTION("""COMPUTED_VALUE"""),"chemistry")</f>
        <v>chemistry</v>
      </c>
      <c r="P999" s="49" t="str">
        <f t="shared" si="2"/>
        <v>sense,</v>
      </c>
      <c r="Q999" s="49"/>
      <c r="R999" s="50" t="s">
        <v>1333</v>
      </c>
      <c r="S999" s="55" t="s">
        <v>2165</v>
      </c>
      <c r="T999" s="49" t="str">
        <f>IFERROR(__xludf.DUMMYFUNCTION("""COMPUTED_VALUE"""),"championship")</f>
        <v>championship</v>
      </c>
      <c r="U999" s="49"/>
      <c r="V999" s="49"/>
      <c r="W999" s="49" t="str">
        <f>IFERROR(__xludf.DUMMYFUNCTION("""COMPUTED_VALUE"""),"impact")</f>
        <v>impact</v>
      </c>
      <c r="X999" s="49" t="str">
        <f t="shared" si="3"/>
        <v>urban,</v>
      </c>
      <c r="Y999" s="49"/>
      <c r="Z999" s="1" t="s">
        <v>5646</v>
      </c>
      <c r="AA999" s="1" t="s">
        <v>690</v>
      </c>
      <c r="AB999" s="49" t="str">
        <f>IFERROR(__xludf.DUMMYFUNCTION("""COMPUTED_VALUE"""),"avoids")</f>
        <v>avoids</v>
      </c>
      <c r="AC999" s="49"/>
      <c r="AD999" s="49" t="str">
        <f>IFERROR(__xludf.DUMMYFUNCTION("""COMPUTED_VALUE"""),"lessons")</f>
        <v>lessons</v>
      </c>
      <c r="AE999" s="49" t="str">
        <f>IFERROR(__xludf.DUMMYFUNCTION("""COMPUTED_VALUE"""),"chemistry")</f>
        <v>chemistry</v>
      </c>
      <c r="AF999" s="49" t="str">
        <f t="shared" si="4"/>
        <v>jennifer,</v>
      </c>
      <c r="AG999" s="49"/>
      <c r="AH999" s="1" t="s">
        <v>5114</v>
      </c>
      <c r="AI999" s="1" t="s">
        <v>3113</v>
      </c>
      <c r="AJ999" s="6" t="str">
        <f>IFERROR(__xludf.DUMMYFUNCTION("""COMPUTED_VALUE"""),"saturday")</f>
        <v>saturday</v>
      </c>
      <c r="AK999" s="49"/>
      <c r="AL999" s="49"/>
      <c r="AM999" s="49"/>
      <c r="AN999" s="52" t="str">
        <f t="shared" si="5"/>
        <v>throwing,</v>
      </c>
    </row>
    <row r="1000">
      <c r="A1000" s="51"/>
      <c r="B1000" s="50" t="s">
        <v>273</v>
      </c>
      <c r="C1000" s="50" t="s">
        <v>2019</v>
      </c>
      <c r="D1000" s="49" t="str">
        <f>IFERROR(__xludf.DUMMYFUNCTION("""COMPUTED_VALUE"""),"barrel")</f>
        <v>barrel</v>
      </c>
      <c r="E1000" s="49"/>
      <c r="F1000" s="49"/>
      <c r="G1000" s="49"/>
      <c r="H1000" s="54" t="str">
        <f t="shared" si="1"/>
        <v>later,</v>
      </c>
      <c r="I1000" s="50"/>
      <c r="J1000" s="50" t="s">
        <v>2534</v>
      </c>
      <c r="K1000" s="50" t="s">
        <v>3842</v>
      </c>
      <c r="L1000" s="49" t="str">
        <f>IFERROR(__xludf.DUMMYFUNCTION("""COMPUTED_VALUE"""),"anderson")</f>
        <v>anderson</v>
      </c>
      <c r="M1000" s="49"/>
      <c r="N1000" s="49" t="str">
        <f>IFERROR(__xludf.DUMMYFUNCTION("""COMPUTED_VALUE"""),"delhi")</f>
        <v>delhi</v>
      </c>
      <c r="O1000" s="49" t="str">
        <f>IFERROR(__xludf.DUMMYFUNCTION("""COMPUTED_VALUE"""),"concludes")</f>
        <v>concludes</v>
      </c>
      <c r="P1000" s="49" t="str">
        <f t="shared" si="2"/>
        <v>modern,</v>
      </c>
      <c r="Q1000" s="49"/>
      <c r="R1000" s="50" t="s">
        <v>4662</v>
      </c>
      <c r="S1000" s="55" t="s">
        <v>941</v>
      </c>
      <c r="T1000" s="49" t="str">
        <f>IFERROR(__xludf.DUMMYFUNCTION("""COMPUTED_VALUE"""),"carl")</f>
        <v>carl</v>
      </c>
      <c r="U1000" s="49"/>
      <c r="V1000" s="49"/>
      <c r="W1000" s="49" t="str">
        <f>IFERROR(__xludf.DUMMYFUNCTION("""COMPUTED_VALUE"""),"spears")</f>
        <v>spears</v>
      </c>
      <c r="X1000" s="49" t="str">
        <f t="shared" si="3"/>
        <v>realizing,</v>
      </c>
      <c r="Y1000" s="49"/>
      <c r="Z1000" s="1" t="s">
        <v>2820</v>
      </c>
      <c r="AA1000" s="1" t="s">
        <v>698</v>
      </c>
      <c r="AB1000" s="49" t="str">
        <f>IFERROR(__xludf.DUMMYFUNCTION("""COMPUTED_VALUE"""),"structured")</f>
        <v>structured</v>
      </c>
      <c r="AC1000" s="49"/>
      <c r="AD1000" s="49" t="str">
        <f>IFERROR(__xludf.DUMMYFUNCTION("""COMPUTED_VALUE"""),"delhi")</f>
        <v>delhi</v>
      </c>
      <c r="AE1000" s="49" t="str">
        <f>IFERROR(__xludf.DUMMYFUNCTION("""COMPUTED_VALUE"""),"concludes")</f>
        <v>concludes</v>
      </c>
      <c r="AF1000" s="49" t="str">
        <f t="shared" si="4"/>
        <v>laughed,</v>
      </c>
      <c r="AG1000" s="49"/>
      <c r="AH1000" s="1" t="s">
        <v>1971</v>
      </c>
      <c r="AI1000" s="1" t="s">
        <v>6408</v>
      </c>
      <c r="AJ1000" s="6" t="str">
        <f>IFERROR(__xludf.DUMMYFUNCTION("""COMPUTED_VALUE"""),"personality")</f>
        <v>personality</v>
      </c>
      <c r="AK1000" s="49"/>
      <c r="AL1000" s="49"/>
      <c r="AM1000" s="49"/>
      <c r="AN1000" s="52" t="str">
        <f t="shared" si="5"/>
        <v>dramatic,</v>
      </c>
    </row>
    <row r="1001">
      <c r="A1001" s="51"/>
      <c r="B1001" s="50" t="s">
        <v>1713</v>
      </c>
      <c r="C1001" s="50" t="s">
        <v>2016</v>
      </c>
      <c r="D1001" s="49" t="str">
        <f>IFERROR(__xludf.DUMMYFUNCTION("""COMPUTED_VALUE"""),"feeling")</f>
        <v>feeling</v>
      </c>
      <c r="E1001" s="49"/>
      <c r="F1001" s="49"/>
      <c r="G1001" s="49"/>
      <c r="H1001" s="54" t="str">
        <f t="shared" si="1"/>
        <v>formed,</v>
      </c>
      <c r="I1001" s="50"/>
      <c r="J1001" s="50" t="s">
        <v>3666</v>
      </c>
      <c r="K1001" s="50" t="s">
        <v>1052</v>
      </c>
      <c r="L1001" s="49" t="str">
        <f>IFERROR(__xludf.DUMMYFUNCTION("""COMPUTED_VALUE"""),"wall")</f>
        <v>wall</v>
      </c>
      <c r="M1001" s="49"/>
      <c r="N1001" s="49" t="str">
        <f>IFERROR(__xludf.DUMMYFUNCTION("""COMPUTED_VALUE"""),"spitting")</f>
        <v>spitting</v>
      </c>
      <c r="O1001" s="49" t="str">
        <f>IFERROR(__xludf.DUMMYFUNCTION("""COMPUTED_VALUE"""),"win")</f>
        <v>win</v>
      </c>
      <c r="P1001" s="49" t="str">
        <f t="shared" si="2"/>
        <v>thick,</v>
      </c>
      <c r="Q1001" s="49"/>
      <c r="R1001" s="50" t="s">
        <v>1498</v>
      </c>
      <c r="S1001" s="55" t="s">
        <v>622</v>
      </c>
      <c r="T1001" s="49" t="str">
        <f>IFERROR(__xludf.DUMMYFUNCTION("""COMPUTED_VALUE"""),"straight")</f>
        <v>straight</v>
      </c>
      <c r="U1001" s="49"/>
      <c r="V1001" s="49"/>
      <c r="W1001" s="49" t="str">
        <f>IFERROR(__xludf.DUMMYFUNCTION("""COMPUTED_VALUE"""),"expands")</f>
        <v>expands</v>
      </c>
      <c r="X1001" s="49" t="str">
        <f t="shared" si="3"/>
        <v>inside,</v>
      </c>
      <c r="Y1001" s="49"/>
      <c r="Z1001" s="1" t="s">
        <v>4046</v>
      </c>
      <c r="AA1001" s="1" t="s">
        <v>2600</v>
      </c>
      <c r="AB1001" s="49" t="str">
        <f>IFERROR(__xludf.DUMMYFUNCTION("""COMPUTED_VALUE"""),"significantly")</f>
        <v>significantly</v>
      </c>
      <c r="AC1001" s="49"/>
      <c r="AD1001" s="49" t="str">
        <f>IFERROR(__xludf.DUMMYFUNCTION("""COMPUTED_VALUE"""),"spitting")</f>
        <v>spitting</v>
      </c>
      <c r="AE1001" s="49" t="str">
        <f>IFERROR(__xludf.DUMMYFUNCTION("""COMPUTED_VALUE"""),"win")</f>
        <v>win</v>
      </c>
      <c r="AF1001" s="49" t="str">
        <f t="shared" si="4"/>
        <v>carol,</v>
      </c>
      <c r="AG1001" s="49"/>
      <c r="AH1001" s="1" t="s">
        <v>6407</v>
      </c>
      <c r="AI1001" s="1" t="s">
        <v>2812</v>
      </c>
      <c r="AJ1001" s="6" t="str">
        <f>IFERROR(__xludf.DUMMYFUNCTION("""COMPUTED_VALUE"""),"merely")</f>
        <v>merely</v>
      </c>
      <c r="AK1001" s="49"/>
      <c r="AL1001" s="49"/>
      <c r="AM1001" s="49"/>
      <c r="AN1001" s="52" t="str">
        <f t="shared" si="5"/>
        <v>punk,</v>
      </c>
    </row>
    <row r="1002">
      <c r="A1002" s="51"/>
      <c r="B1002" s="50" t="s">
        <v>4147</v>
      </c>
      <c r="C1002" s="50" t="s">
        <v>448</v>
      </c>
      <c r="D1002" s="49" t="str">
        <f>IFERROR(__xludf.DUMMYFUNCTION("""COMPUTED_VALUE"""),"guilty")</f>
        <v>guilty</v>
      </c>
      <c r="E1002" s="49"/>
      <c r="F1002" s="49"/>
      <c r="G1002" s="49"/>
      <c r="H1002" s="54" t="str">
        <f t="shared" si="1"/>
        <v>news,</v>
      </c>
      <c r="I1002" s="50"/>
      <c r="J1002" s="50" t="s">
        <v>6361</v>
      </c>
      <c r="K1002" s="50" t="s">
        <v>2310</v>
      </c>
      <c r="L1002" s="49" t="str">
        <f>IFERROR(__xludf.DUMMYFUNCTION("""COMPUTED_VALUE"""),"collapses")</f>
        <v>collapses</v>
      </c>
      <c r="M1002" s="49"/>
      <c r="N1002" s="49" t="str">
        <f>IFERROR(__xludf.DUMMYFUNCTION("""COMPUTED_VALUE"""),"tang")</f>
        <v>tang</v>
      </c>
      <c r="O1002" s="49" t="str">
        <f>IFERROR(__xludf.DUMMYFUNCTION("""COMPUTED_VALUE"""),"creators")</f>
        <v>creators</v>
      </c>
      <c r="P1002" s="49" t="str">
        <f t="shared" si="2"/>
        <v>plenty,</v>
      </c>
      <c r="Q1002" s="49"/>
      <c r="R1002" s="50" t="s">
        <v>1356</v>
      </c>
      <c r="S1002" s="55" t="s">
        <v>2142</v>
      </c>
      <c r="T1002" s="49" t="str">
        <f>IFERROR(__xludf.DUMMYFUNCTION("""COMPUTED_VALUE"""),"mercy")</f>
        <v>mercy</v>
      </c>
      <c r="U1002" s="49"/>
      <c r="V1002" s="49"/>
      <c r="W1002" s="49" t="str">
        <f>IFERROR(__xludf.DUMMYFUNCTION("""COMPUTED_VALUE"""),"tales")</f>
        <v>tales</v>
      </c>
      <c r="X1002" s="49" t="str">
        <f t="shared" si="3"/>
        <v>wears,</v>
      </c>
      <c r="Y1002" s="49"/>
      <c r="Z1002" s="1" t="s">
        <v>4262</v>
      </c>
      <c r="AA1002" s="1" t="s">
        <v>1340</v>
      </c>
      <c r="AB1002" s="49" t="str">
        <f>IFERROR(__xludf.DUMMYFUNCTION("""COMPUTED_VALUE"""),"intimacy")</f>
        <v>intimacy</v>
      </c>
      <c r="AC1002" s="49"/>
      <c r="AD1002" s="49" t="str">
        <f>IFERROR(__xludf.DUMMYFUNCTION("""COMPUTED_VALUE"""),"tang")</f>
        <v>tang</v>
      </c>
      <c r="AE1002" s="49" t="str">
        <f>IFERROR(__xludf.DUMMYFUNCTION("""COMPUTED_VALUE"""),"creators")</f>
        <v>creators</v>
      </c>
      <c r="AF1002" s="49" t="str">
        <f t="shared" si="4"/>
        <v>matters,</v>
      </c>
      <c r="AG1002" s="49"/>
      <c r="AH1002" s="1" t="s">
        <v>1726</v>
      </c>
      <c r="AI1002" s="1" t="s">
        <v>2643</v>
      </c>
      <c r="AJ1002" s="6" t="str">
        <f>IFERROR(__xludf.DUMMYFUNCTION("""COMPUTED_VALUE"""),"animated")</f>
        <v>animated</v>
      </c>
      <c r="AK1002" s="49"/>
      <c r="AL1002" s="49"/>
      <c r="AM1002" s="49"/>
      <c r="AN1002" s="52" t="str">
        <f t="shared" si="5"/>
        <v>band,</v>
      </c>
    </row>
    <row r="1003">
      <c r="A1003" s="51"/>
      <c r="B1003" s="50" t="s">
        <v>1918</v>
      </c>
      <c r="C1003" s="50" t="s">
        <v>2814</v>
      </c>
      <c r="D1003" s="49" t="str">
        <f>IFERROR(__xludf.DUMMYFUNCTION("""COMPUTED_VALUE"""),"miracle")</f>
        <v>miracle</v>
      </c>
      <c r="E1003" s="49"/>
      <c r="F1003" s="49"/>
      <c r="G1003" s="49"/>
      <c r="H1003" s="54" t="str">
        <f t="shared" si="1"/>
        <v>strong,</v>
      </c>
      <c r="I1003" s="50"/>
      <c r="J1003" s="50" t="s">
        <v>2875</v>
      </c>
      <c r="K1003" s="50" t="s">
        <v>3847</v>
      </c>
      <c r="L1003" s="49" t="str">
        <f>IFERROR(__xludf.DUMMYFUNCTION("""COMPUTED_VALUE"""),"smile")</f>
        <v>smile</v>
      </c>
      <c r="M1003" s="49"/>
      <c r="N1003" s="49" t="str">
        <f>IFERROR(__xludf.DUMMYFUNCTION("""COMPUTED_VALUE"""),"infant")</f>
        <v>infant</v>
      </c>
      <c r="O1003" s="49" t="str">
        <f>IFERROR(__xludf.DUMMYFUNCTION("""COMPUTED_VALUE"""),"slap")</f>
        <v>slap</v>
      </c>
      <c r="P1003" s="49" t="str">
        <f t="shared" si="2"/>
        <v>strength,</v>
      </c>
      <c r="Q1003" s="49"/>
      <c r="R1003" s="50" t="s">
        <v>3923</v>
      </c>
      <c r="S1003" s="55" t="s">
        <v>3602</v>
      </c>
      <c r="T1003" s="49" t="str">
        <f>IFERROR(__xludf.DUMMYFUNCTION("""COMPUTED_VALUE"""),"submarine")</f>
        <v>submarine</v>
      </c>
      <c r="U1003" s="49"/>
      <c r="V1003" s="49"/>
      <c r="W1003" s="49" t="str">
        <f>IFERROR(__xludf.DUMMYFUNCTION("""COMPUTED_VALUE"""),"deaths")</f>
        <v>deaths</v>
      </c>
      <c r="X1003" s="49" t="str">
        <f t="shared" si="3"/>
        <v>ended,</v>
      </c>
      <c r="Y1003" s="49"/>
      <c r="Z1003" s="1" t="s">
        <v>4424</v>
      </c>
      <c r="AA1003" s="1" t="s">
        <v>2679</v>
      </c>
      <c r="AB1003" s="49" t="str">
        <f>IFERROR(__xludf.DUMMYFUNCTION("""COMPUTED_VALUE"""),"bracing")</f>
        <v>bracing</v>
      </c>
      <c r="AC1003" s="49"/>
      <c r="AD1003" s="49" t="str">
        <f>IFERROR(__xludf.DUMMYFUNCTION("""COMPUTED_VALUE"""),"infant")</f>
        <v>infant</v>
      </c>
      <c r="AE1003" s="49" t="str">
        <f>IFERROR(__xludf.DUMMYFUNCTION("""COMPUTED_VALUE"""),"slap")</f>
        <v>slap</v>
      </c>
      <c r="AF1003" s="49" t="str">
        <f t="shared" si="4"/>
        <v>returns,</v>
      </c>
      <c r="AG1003" s="49"/>
      <c r="AH1003" s="1" t="s">
        <v>6994</v>
      </c>
      <c r="AI1003" s="1" t="s">
        <v>3346</v>
      </c>
      <c r="AJ1003" s="6" t="str">
        <f>IFERROR(__xludf.DUMMYFUNCTION("""COMPUTED_VALUE"""),"reminded")</f>
        <v>reminded</v>
      </c>
      <c r="AK1003" s="49"/>
      <c r="AL1003" s="49"/>
      <c r="AM1003" s="49"/>
      <c r="AN1003" s="52" t="str">
        <f t="shared" si="5"/>
        <v>seemed,</v>
      </c>
    </row>
    <row r="1004">
      <c r="A1004" s="51"/>
      <c r="B1004" s="50" t="s">
        <v>4998</v>
      </c>
      <c r="C1004" s="50" t="s">
        <v>2029</v>
      </c>
      <c r="D1004" s="49" t="str">
        <f>IFERROR(__xludf.DUMMYFUNCTION("""COMPUTED_VALUE"""),"lewis")</f>
        <v>lewis</v>
      </c>
      <c r="E1004" s="49"/>
      <c r="F1004" s="49"/>
      <c r="G1004" s="49"/>
      <c r="H1004" s="54" t="str">
        <f t="shared" si="1"/>
        <v>academy,</v>
      </c>
      <c r="I1004" s="50"/>
      <c r="J1004" s="50" t="s">
        <v>3269</v>
      </c>
      <c r="K1004" s="50" t="s">
        <v>2312</v>
      </c>
      <c r="L1004" s="49" t="str">
        <f>IFERROR(__xludf.DUMMYFUNCTION("""COMPUTED_VALUE"""),"exposition")</f>
        <v>exposition</v>
      </c>
      <c r="M1004" s="49"/>
      <c r="N1004" s="49" t="str">
        <f>IFERROR(__xludf.DUMMYFUNCTION("""COMPUTED_VALUE"""),"quietly")</f>
        <v>quietly</v>
      </c>
      <c r="O1004" s="49" t="str">
        <f>IFERROR(__xludf.DUMMYFUNCTION("""COMPUTED_VALUE"""),"wrestling")</f>
        <v>wrestling</v>
      </c>
      <c r="P1004" s="49" t="str">
        <f t="shared" si="2"/>
        <v>host,</v>
      </c>
      <c r="Q1004" s="49"/>
      <c r="R1004" s="50" t="s">
        <v>5540</v>
      </c>
      <c r="S1004" s="55" t="s">
        <v>2415</v>
      </c>
      <c r="T1004" s="49" t="str">
        <f>IFERROR(__xludf.DUMMYFUNCTION("""COMPUTED_VALUE"""),"loose")</f>
        <v>loose</v>
      </c>
      <c r="U1004" s="49"/>
      <c r="V1004" s="49"/>
      <c r="W1004" s="49" t="str">
        <f>IFERROR(__xludf.DUMMYFUNCTION("""COMPUTED_VALUE"""),"snow")</f>
        <v>snow</v>
      </c>
      <c r="X1004" s="49" t="str">
        <f t="shared" si="3"/>
        <v>imply,</v>
      </c>
      <c r="Y1004" s="49"/>
      <c r="Z1004" s="1" t="s">
        <v>4251</v>
      </c>
      <c r="AA1004" s="1" t="s">
        <v>704</v>
      </c>
      <c r="AB1004" s="49" t="str">
        <f>IFERROR(__xludf.DUMMYFUNCTION("""COMPUTED_VALUE"""),"consequences")</f>
        <v>consequences</v>
      </c>
      <c r="AC1004" s="49"/>
      <c r="AD1004" s="49" t="str">
        <f>IFERROR(__xludf.DUMMYFUNCTION("""COMPUTED_VALUE"""),"quietly")</f>
        <v>quietly</v>
      </c>
      <c r="AE1004" s="49" t="str">
        <f>IFERROR(__xludf.DUMMYFUNCTION("""COMPUTED_VALUE"""),"wrestling")</f>
        <v>wrestling</v>
      </c>
      <c r="AF1004" s="49" t="str">
        <f t="shared" si="4"/>
        <v>message,</v>
      </c>
      <c r="AG1004" s="49"/>
      <c r="AH1004" s="1" t="s">
        <v>4057</v>
      </c>
      <c r="AI1004" s="1" t="s">
        <v>2817</v>
      </c>
      <c r="AJ1004" s="6" t="str">
        <f>IFERROR(__xludf.DUMMYFUNCTION("""COMPUTED_VALUE"""),"trick")</f>
        <v>trick</v>
      </c>
      <c r="AK1004" s="49"/>
      <c r="AL1004" s="49"/>
      <c r="AM1004" s="49"/>
      <c r="AN1004" s="52" t="str">
        <f t="shared" si="5"/>
        <v>talk,</v>
      </c>
    </row>
    <row r="1005">
      <c r="A1005" s="51"/>
      <c r="B1005" s="50" t="s">
        <v>2747</v>
      </c>
      <c r="C1005" s="50" t="s">
        <v>3606</v>
      </c>
      <c r="D1005" s="49" t="str">
        <f>IFERROR(__xludf.DUMMYFUNCTION("""COMPUTED_VALUE"""),"bother")</f>
        <v>bother</v>
      </c>
      <c r="E1005" s="49"/>
      <c r="F1005" s="49"/>
      <c r="G1005" s="49"/>
      <c r="H1005" s="54" t="str">
        <f t="shared" si="1"/>
        <v>teacher,</v>
      </c>
      <c r="I1005" s="50"/>
      <c r="J1005" s="50" t="s">
        <v>4767</v>
      </c>
      <c r="K1005" s="50" t="s">
        <v>2316</v>
      </c>
      <c r="L1005" s="49" t="str">
        <f>IFERROR(__xludf.DUMMYFUNCTION("""COMPUTED_VALUE"""),"forster")</f>
        <v>forster</v>
      </c>
      <c r="M1005" s="49"/>
      <c r="N1005" s="49" t="str">
        <f>IFERROR(__xludf.DUMMYFUNCTION("""COMPUTED_VALUE"""),"annoyance")</f>
        <v>annoyance</v>
      </c>
      <c r="O1005" s="49" t="str">
        <f>IFERROR(__xludf.DUMMYFUNCTION("""COMPUTED_VALUE"""),"doomed")</f>
        <v>doomed</v>
      </c>
      <c r="P1005" s="49" t="str">
        <f t="shared" si="2"/>
        <v>pot,</v>
      </c>
      <c r="Q1005" s="49"/>
      <c r="R1005" s="50" t="s">
        <v>2922</v>
      </c>
      <c r="S1005" s="55" t="s">
        <v>2170</v>
      </c>
      <c r="T1005" s="49" t="str">
        <f>IFERROR(__xludf.DUMMYFUNCTION("""COMPUTED_VALUE"""),"fellow")</f>
        <v>fellow</v>
      </c>
      <c r="U1005" s="49"/>
      <c r="V1005" s="49"/>
      <c r="W1005" s="49" t="str">
        <f>IFERROR(__xludf.DUMMYFUNCTION("""COMPUTED_VALUE"""),"form")</f>
        <v>form</v>
      </c>
      <c r="X1005" s="49" t="str">
        <f t="shared" si="3"/>
        <v>reading,</v>
      </c>
      <c r="Y1005" s="49"/>
      <c r="Z1005" s="1" t="s">
        <v>1471</v>
      </c>
      <c r="AA1005" s="1" t="s">
        <v>3850</v>
      </c>
      <c r="AB1005" s="49" t="str">
        <f>IFERROR(__xludf.DUMMYFUNCTION("""COMPUTED_VALUE"""),"classical")</f>
        <v>classical</v>
      </c>
      <c r="AC1005" s="49"/>
      <c r="AD1005" s="49" t="str">
        <f>IFERROR(__xludf.DUMMYFUNCTION("""COMPUTED_VALUE"""),"annoyance")</f>
        <v>annoyance</v>
      </c>
      <c r="AE1005" s="49" t="str">
        <f>IFERROR(__xludf.DUMMYFUNCTION("""COMPUTED_VALUE"""),"doomed")</f>
        <v>doomed</v>
      </c>
      <c r="AF1005" s="49" t="str">
        <f t="shared" si="4"/>
        <v>understand,</v>
      </c>
      <c r="AG1005" s="49"/>
      <c r="AH1005" s="1" t="s">
        <v>527</v>
      </c>
      <c r="AI1005" s="1" t="s">
        <v>2820</v>
      </c>
      <c r="AJ1005" s="6" t="str">
        <f>IFERROR(__xludf.DUMMYFUNCTION("""COMPUTED_VALUE"""),"original")</f>
        <v>original</v>
      </c>
      <c r="AK1005" s="49"/>
      <c r="AL1005" s="49"/>
      <c r="AM1005" s="49"/>
      <c r="AN1005" s="52" t="str">
        <f t="shared" si="5"/>
        <v>debut,</v>
      </c>
    </row>
    <row r="1006">
      <c r="A1006" s="51"/>
      <c r="B1006" s="50" t="s">
        <v>6783</v>
      </c>
      <c r="C1006" s="50" t="s">
        <v>814</v>
      </c>
      <c r="D1006" s="49" t="str">
        <f>IFERROR(__xludf.DUMMYFUNCTION("""COMPUTED_VALUE"""),"via")</f>
        <v>via</v>
      </c>
      <c r="E1006" s="49"/>
      <c r="F1006" s="49"/>
      <c r="G1006" s="49"/>
      <c r="H1006" s="54" t="str">
        <f t="shared" si="1"/>
        <v>steve,</v>
      </c>
      <c r="I1006" s="50"/>
      <c r="J1006" s="50" t="s">
        <v>284</v>
      </c>
      <c r="K1006" s="50" t="s">
        <v>3853</v>
      </c>
      <c r="L1006" s="49" t="str">
        <f>IFERROR(__xludf.DUMMYFUNCTION("""COMPUTED_VALUE"""),"rushed")</f>
        <v>rushed</v>
      </c>
      <c r="M1006" s="49"/>
      <c r="N1006" s="49" t="str">
        <f>IFERROR(__xludf.DUMMYFUNCTION("""COMPUTED_VALUE"""),"shake")</f>
        <v>shake</v>
      </c>
      <c r="O1006" s="49" t="str">
        <f>IFERROR(__xludf.DUMMYFUNCTION("""COMPUTED_VALUE"""),"norton")</f>
        <v>norton</v>
      </c>
      <c r="P1006" s="49" t="str">
        <f t="shared" si="2"/>
        <v>theme,</v>
      </c>
      <c r="Q1006" s="49"/>
      <c r="R1006" s="50" t="s">
        <v>3113</v>
      </c>
      <c r="S1006" s="55" t="s">
        <v>2145</v>
      </c>
      <c r="T1006" s="49" t="str">
        <f>IFERROR(__xludf.DUMMYFUNCTION("""COMPUTED_VALUE"""),"manage")</f>
        <v>manage</v>
      </c>
      <c r="U1006" s="49"/>
      <c r="V1006" s="49"/>
      <c r="W1006" s="49" t="str">
        <f>IFERROR(__xludf.DUMMYFUNCTION("""COMPUTED_VALUE"""),"doris")</f>
        <v>doris</v>
      </c>
      <c r="X1006" s="49" t="str">
        <f t="shared" si="3"/>
        <v>bigger,</v>
      </c>
      <c r="Y1006" s="49"/>
      <c r="Z1006" s="1" t="s">
        <v>2726</v>
      </c>
      <c r="AA1006" s="1" t="s">
        <v>712</v>
      </c>
      <c r="AB1006" s="49" t="str">
        <f>IFERROR(__xludf.DUMMYFUNCTION("""COMPUTED_VALUE"""),"problematic")</f>
        <v>problematic</v>
      </c>
      <c r="AC1006" s="49"/>
      <c r="AD1006" s="49" t="str">
        <f>IFERROR(__xludf.DUMMYFUNCTION("""COMPUTED_VALUE"""),"shake")</f>
        <v>shake</v>
      </c>
      <c r="AE1006" s="49" t="str">
        <f>IFERROR(__xludf.DUMMYFUNCTION("""COMPUTED_VALUE"""),"norton")</f>
        <v>norton</v>
      </c>
      <c r="AF1006" s="49" t="str">
        <f t="shared" si="4"/>
        <v>allow,</v>
      </c>
      <c r="AG1006" s="49"/>
      <c r="AH1006" s="1" t="s">
        <v>477</v>
      </c>
      <c r="AI1006" s="1" t="s">
        <v>800</v>
      </c>
      <c r="AJ1006" s="6" t="str">
        <f>IFERROR(__xludf.DUMMYFUNCTION("""COMPUTED_VALUE"""),"summer")</f>
        <v>summer</v>
      </c>
      <c r="AK1006" s="49"/>
      <c r="AL1006" s="49"/>
      <c r="AM1006" s="49"/>
      <c r="AN1006" s="52" t="str">
        <f t="shared" si="5"/>
        <v>morning,</v>
      </c>
    </row>
    <row r="1007">
      <c r="A1007" s="51"/>
      <c r="B1007" s="50" t="s">
        <v>4165</v>
      </c>
      <c r="C1007" s="50" t="s">
        <v>2519</v>
      </c>
      <c r="D1007" s="49" t="str">
        <f>IFERROR(__xludf.DUMMYFUNCTION("""COMPUTED_VALUE"""),"perspective")</f>
        <v>perspective</v>
      </c>
      <c r="E1007" s="49"/>
      <c r="F1007" s="49"/>
      <c r="G1007" s="49"/>
      <c r="H1007" s="54" t="str">
        <f t="shared" si="1"/>
        <v>soccer,</v>
      </c>
      <c r="I1007" s="50"/>
      <c r="J1007" s="50" t="s">
        <v>2398</v>
      </c>
      <c r="K1007" s="50" t="s">
        <v>3560</v>
      </c>
      <c r="L1007" s="49" t="str">
        <f>IFERROR(__xludf.DUMMYFUNCTION("""COMPUTED_VALUE"""),"held")</f>
        <v>held</v>
      </c>
      <c r="M1007" s="49"/>
      <c r="N1007" s="49" t="str">
        <f>IFERROR(__xludf.DUMMYFUNCTION("""COMPUTED_VALUE"""),"ourselves")</f>
        <v>ourselves</v>
      </c>
      <c r="O1007" s="49" t="str">
        <f>IFERROR(__xludf.DUMMYFUNCTION("""COMPUTED_VALUE"""),"edward")</f>
        <v>edward</v>
      </c>
      <c r="P1007" s="49" t="str">
        <f t="shared" si="2"/>
        <v>thanks,</v>
      </c>
      <c r="Q1007" s="49"/>
      <c r="R1007" s="50" t="s">
        <v>4769</v>
      </c>
      <c r="S1007" s="55" t="s">
        <v>2174</v>
      </c>
      <c r="T1007" s="49" t="str">
        <f>IFERROR(__xludf.DUMMYFUNCTION("""COMPUTED_VALUE"""),"central")</f>
        <v>central</v>
      </c>
      <c r="U1007" s="49"/>
      <c r="V1007" s="49"/>
      <c r="W1007" s="49" t="str">
        <f>IFERROR(__xludf.DUMMYFUNCTION("""COMPUTED_VALUE"""),"cultivated")</f>
        <v>cultivated</v>
      </c>
      <c r="X1007" s="49" t="str">
        <f t="shared" si="3"/>
        <v>villains,</v>
      </c>
      <c r="Y1007" s="49"/>
      <c r="Z1007" s="1" t="s">
        <v>929</v>
      </c>
      <c r="AA1007" s="1" t="s">
        <v>2698</v>
      </c>
      <c r="AB1007" s="49" t="str">
        <f>IFERROR(__xludf.DUMMYFUNCTION("""COMPUTED_VALUE"""),"wooden")</f>
        <v>wooden</v>
      </c>
      <c r="AC1007" s="49"/>
      <c r="AD1007" s="49" t="str">
        <f>IFERROR(__xludf.DUMMYFUNCTION("""COMPUTED_VALUE"""),"ourselves")</f>
        <v>ourselves</v>
      </c>
      <c r="AE1007" s="49" t="str">
        <f>IFERROR(__xludf.DUMMYFUNCTION("""COMPUTED_VALUE"""),"edward")</f>
        <v>edward</v>
      </c>
      <c r="AF1007" s="49" t="str">
        <f t="shared" si="4"/>
        <v>voice,</v>
      </c>
      <c r="AG1007" s="49"/>
      <c r="AH1007" s="1" t="s">
        <v>3931</v>
      </c>
      <c r="AI1007" s="1" t="s">
        <v>3376</v>
      </c>
      <c r="AJ1007" s="6" t="str">
        <f>IFERROR(__xludf.DUMMYFUNCTION("""COMPUTED_VALUE"""),"needed")</f>
        <v>needed</v>
      </c>
      <c r="AK1007" s="49"/>
      <c r="AL1007" s="49"/>
      <c r="AM1007" s="49"/>
      <c r="AN1007" s="52" t="str">
        <f t="shared" si="5"/>
        <v>themselves,</v>
      </c>
    </row>
    <row r="1008">
      <c r="A1008" s="51"/>
      <c r="B1008" s="50" t="s">
        <v>5629</v>
      </c>
      <c r="C1008" s="50" t="s">
        <v>2035</v>
      </c>
      <c r="D1008" s="49" t="str">
        <f>IFERROR(__xludf.DUMMYFUNCTION("""COMPUTED_VALUE"""),"puts")</f>
        <v>puts</v>
      </c>
      <c r="E1008" s="49"/>
      <c r="F1008" s="49"/>
      <c r="G1008" s="49"/>
      <c r="H1008" s="54" t="str">
        <f t="shared" si="1"/>
        <v>dangerous,</v>
      </c>
      <c r="I1008" s="50"/>
      <c r="J1008" s="50" t="s">
        <v>4247</v>
      </c>
      <c r="K1008" s="50" t="s">
        <v>549</v>
      </c>
      <c r="L1008" s="49" t="str">
        <f>IFERROR(__xludf.DUMMYFUNCTION("""COMPUTED_VALUE"""),"undead")</f>
        <v>undead</v>
      </c>
      <c r="M1008" s="49"/>
      <c r="N1008" s="49" t="str">
        <f>IFERROR(__xludf.DUMMYFUNCTION("""COMPUTED_VALUE"""),"closely")</f>
        <v>closely</v>
      </c>
      <c r="O1008" s="49" t="str">
        <f>IFERROR(__xludf.DUMMYFUNCTION("""COMPUTED_VALUE"""),"illuminating")</f>
        <v>illuminating</v>
      </c>
      <c r="P1008" s="49" t="str">
        <f t="shared" si="2"/>
        <v>hearts,</v>
      </c>
      <c r="Q1008" s="49"/>
      <c r="R1008" s="50" t="s">
        <v>1754</v>
      </c>
      <c r="S1008" s="55" t="s">
        <v>3101</v>
      </c>
      <c r="T1008" s="49" t="str">
        <f>IFERROR(__xludf.DUMMYFUNCTION("""COMPUTED_VALUE"""),"subordinate")</f>
        <v>subordinate</v>
      </c>
      <c r="U1008" s="49"/>
      <c r="V1008" s="49"/>
      <c r="W1008" s="49" t="str">
        <f>IFERROR(__xludf.DUMMYFUNCTION("""COMPUTED_VALUE"""),"careers")</f>
        <v>careers</v>
      </c>
      <c r="X1008" s="49" t="str">
        <f t="shared" si="3"/>
        <v>mere,</v>
      </c>
      <c r="Y1008" s="49"/>
      <c r="Z1008" s="1" t="s">
        <v>5324</v>
      </c>
      <c r="AA1008" s="1" t="s">
        <v>1355</v>
      </c>
      <c r="AB1008" s="49" t="str">
        <f>IFERROR(__xludf.DUMMYFUNCTION("""COMPUTED_VALUE"""),"spirited")</f>
        <v>spirited</v>
      </c>
      <c r="AC1008" s="49"/>
      <c r="AD1008" s="49" t="str">
        <f>IFERROR(__xludf.DUMMYFUNCTION("""COMPUTED_VALUE"""),"closely")</f>
        <v>closely</v>
      </c>
      <c r="AE1008" s="49" t="str">
        <f>IFERROR(__xludf.DUMMYFUNCTION("""COMPUTED_VALUE"""),"illuminating")</f>
        <v>illuminating</v>
      </c>
      <c r="AF1008" s="49" t="str">
        <f t="shared" si="4"/>
        <v>woo,</v>
      </c>
      <c r="AG1008" s="49"/>
      <c r="AH1008" s="1" t="s">
        <v>1739</v>
      </c>
      <c r="AI1008" s="1" t="s">
        <v>2019</v>
      </c>
      <c r="AJ1008" s="6" t="str">
        <f>IFERROR(__xludf.DUMMYFUNCTION("""COMPUTED_VALUE"""),"appearance")</f>
        <v>appearance</v>
      </c>
      <c r="AK1008" s="49"/>
      <c r="AL1008" s="49"/>
      <c r="AM1008" s="49"/>
      <c r="AN1008" s="52" t="str">
        <f t="shared" si="5"/>
        <v>simply,</v>
      </c>
    </row>
    <row r="1009">
      <c r="A1009" s="51"/>
      <c r="B1009" s="50" t="s">
        <v>1226</v>
      </c>
      <c r="C1009" s="50" t="s">
        <v>2193</v>
      </c>
      <c r="D1009" s="49" t="str">
        <f>IFERROR(__xludf.DUMMYFUNCTION("""COMPUTED_VALUE"""),"father")</f>
        <v>father</v>
      </c>
      <c r="E1009" s="49"/>
      <c r="F1009" s="49"/>
      <c r="G1009" s="49"/>
      <c r="H1009" s="54" t="str">
        <f t="shared" si="1"/>
        <v>respect,</v>
      </c>
      <c r="I1009" s="50"/>
      <c r="J1009" s="50" t="s">
        <v>350</v>
      </c>
      <c r="K1009" s="50" t="s">
        <v>2321</v>
      </c>
      <c r="L1009" s="49" t="str">
        <f>IFERROR(__xludf.DUMMYFUNCTION("""COMPUTED_VALUE"""),"older")</f>
        <v>older</v>
      </c>
      <c r="M1009" s="49"/>
      <c r="N1009" s="49" t="str">
        <f>IFERROR(__xludf.DUMMYFUNCTION("""COMPUTED_VALUE"""),"resulted")</f>
        <v>resulted</v>
      </c>
      <c r="O1009" s="49" t="str">
        <f>IFERROR(__xludf.DUMMYFUNCTION("""COMPUTED_VALUE"""),"camouflage")</f>
        <v>camouflage</v>
      </c>
      <c r="P1009" s="49" t="str">
        <f t="shared" si="2"/>
        <v>take,</v>
      </c>
      <c r="Q1009" s="49"/>
      <c r="R1009" s="50" t="s">
        <v>2810</v>
      </c>
      <c r="S1009" s="55" t="s">
        <v>2438</v>
      </c>
      <c r="T1009" s="49" t="str">
        <f>IFERROR(__xludf.DUMMYFUNCTION("""COMPUTED_VALUE"""),"please")</f>
        <v>please</v>
      </c>
      <c r="U1009" s="49"/>
      <c r="V1009" s="49"/>
      <c r="W1009" s="49" t="str">
        <f>IFERROR(__xludf.DUMMYFUNCTION("""COMPUTED_VALUE"""),"titus")</f>
        <v>titus</v>
      </c>
      <c r="X1009" s="49" t="str">
        <f t="shared" si="3"/>
        <v>alfred,</v>
      </c>
      <c r="Y1009" s="49"/>
      <c r="Z1009" s="1" t="s">
        <v>370</v>
      </c>
      <c r="AA1009" s="1" t="s">
        <v>3858</v>
      </c>
      <c r="AB1009" s="49" t="str">
        <f>IFERROR(__xludf.DUMMYFUNCTION("""COMPUTED_VALUE"""),"authority")</f>
        <v>authority</v>
      </c>
      <c r="AC1009" s="49"/>
      <c r="AD1009" s="49" t="str">
        <f>IFERROR(__xludf.DUMMYFUNCTION("""COMPUTED_VALUE"""),"resulted")</f>
        <v>resulted</v>
      </c>
      <c r="AE1009" s="49" t="str">
        <f>IFERROR(__xludf.DUMMYFUNCTION("""COMPUTED_VALUE"""),"camouflage")</f>
        <v>camouflage</v>
      </c>
      <c r="AF1009" s="49" t="str">
        <f t="shared" si="4"/>
        <v>once,</v>
      </c>
      <c r="AG1009" s="49"/>
      <c r="AH1009" s="1" t="s">
        <v>1448</v>
      </c>
      <c r="AI1009" s="1" t="s">
        <v>2016</v>
      </c>
      <c r="AJ1009" s="6" t="str">
        <f>IFERROR(__xludf.DUMMYFUNCTION("""COMPUTED_VALUE"""),"jr")</f>
        <v>jr</v>
      </c>
      <c r="AK1009" s="49"/>
      <c r="AL1009" s="49"/>
      <c r="AM1009" s="49"/>
      <c r="AN1009" s="52" t="str">
        <f t="shared" si="5"/>
        <v>pop,</v>
      </c>
    </row>
    <row r="1010">
      <c r="A1010" s="51"/>
      <c r="B1010" s="50" t="s">
        <v>6455</v>
      </c>
      <c r="C1010" s="50" t="s">
        <v>3394</v>
      </c>
      <c r="D1010" s="49" t="str">
        <f>IFERROR(__xludf.DUMMYFUNCTION("""COMPUTED_VALUE"""),"domestic")</f>
        <v>domestic</v>
      </c>
      <c r="E1010" s="49"/>
      <c r="F1010" s="49"/>
      <c r="G1010" s="49"/>
      <c r="H1010" s="54" t="str">
        <f t="shared" si="1"/>
        <v>obviously,</v>
      </c>
      <c r="I1010" s="50"/>
      <c r="J1010" s="50" t="s">
        <v>950</v>
      </c>
      <c r="K1010" s="50" t="s">
        <v>1064</v>
      </c>
      <c r="L1010" s="49" t="str">
        <f>IFERROR(__xludf.DUMMYFUNCTION("""COMPUTED_VALUE"""),"ian")</f>
        <v>ian</v>
      </c>
      <c r="M1010" s="49"/>
      <c r="N1010" s="49" t="str">
        <f>IFERROR(__xludf.DUMMYFUNCTION("""COMPUTED_VALUE"""),"cure")</f>
        <v>cure</v>
      </c>
      <c r="O1010" s="49" t="str">
        <f>IFERROR(__xludf.DUMMYFUNCTION("""COMPUTED_VALUE"""),"jonah")</f>
        <v>jonah</v>
      </c>
      <c r="P1010" s="49" t="str">
        <f t="shared" si="2"/>
        <v>whether,</v>
      </c>
      <c r="Q1010" s="49"/>
      <c r="R1010" s="50" t="s">
        <v>6239</v>
      </c>
      <c r="S1010" s="55" t="s">
        <v>490</v>
      </c>
      <c r="T1010" s="49" t="str">
        <f>IFERROR(__xludf.DUMMYFUNCTION("""COMPUTED_VALUE"""),"dry")</f>
        <v>dry</v>
      </c>
      <c r="U1010" s="49"/>
      <c r="V1010" s="49"/>
      <c r="W1010" s="49" t="str">
        <f>IFERROR(__xludf.DUMMYFUNCTION("""COMPUTED_VALUE"""),"concession")</f>
        <v>concession</v>
      </c>
      <c r="X1010" s="49" t="str">
        <f t="shared" si="3"/>
        <v>poor,</v>
      </c>
      <c r="Y1010" s="49"/>
      <c r="Z1010" s="1" t="s">
        <v>2988</v>
      </c>
      <c r="AA1010" s="1" t="s">
        <v>898</v>
      </c>
      <c r="AB1010" s="49" t="str">
        <f>IFERROR(__xludf.DUMMYFUNCTION("""COMPUTED_VALUE"""),"devastating")</f>
        <v>devastating</v>
      </c>
      <c r="AC1010" s="49"/>
      <c r="AD1010" s="49" t="str">
        <f>IFERROR(__xludf.DUMMYFUNCTION("""COMPUTED_VALUE"""),"cure")</f>
        <v>cure</v>
      </c>
      <c r="AE1010" s="49" t="str">
        <f>IFERROR(__xludf.DUMMYFUNCTION("""COMPUTED_VALUE"""),"jonah")</f>
        <v>jonah</v>
      </c>
      <c r="AF1010" s="49" t="str">
        <f t="shared" si="4"/>
        <v>class,</v>
      </c>
      <c r="AG1010" s="49"/>
      <c r="AH1010" s="1" t="s">
        <v>5152</v>
      </c>
      <c r="AI1010" s="1" t="s">
        <v>2814</v>
      </c>
      <c r="AJ1010" s="6" t="str">
        <f>IFERROR(__xludf.DUMMYFUNCTION("""COMPUTED_VALUE"""),"sets")</f>
        <v>sets</v>
      </c>
      <c r="AK1010" s="49"/>
      <c r="AL1010" s="49"/>
      <c r="AM1010" s="49"/>
      <c r="AN1010" s="52" t="str">
        <f t="shared" si="5"/>
        <v>intended,</v>
      </c>
    </row>
    <row r="1011">
      <c r="A1011" s="51"/>
      <c r="B1011" s="50" t="s">
        <v>1640</v>
      </c>
      <c r="C1011" s="50" t="s">
        <v>2843</v>
      </c>
      <c r="D1011" s="49" t="str">
        <f>IFERROR(__xludf.DUMMYFUNCTION("""COMPUTED_VALUE"""),"tension")</f>
        <v>tension</v>
      </c>
      <c r="E1011" s="49"/>
      <c r="F1011" s="49"/>
      <c r="G1011" s="49"/>
      <c r="H1011" s="54" t="str">
        <f t="shared" si="1"/>
        <v>formula,</v>
      </c>
      <c r="I1011" s="50"/>
      <c r="J1011" s="50" t="s">
        <v>6611</v>
      </c>
      <c r="K1011" s="50" t="s">
        <v>1070</v>
      </c>
      <c r="L1011" s="49" t="str">
        <f>IFERROR(__xludf.DUMMYFUNCTION("""COMPUTED_VALUE"""),"owes")</f>
        <v>owes</v>
      </c>
      <c r="M1011" s="49"/>
      <c r="N1011" s="49" t="str">
        <f>IFERROR(__xludf.DUMMYFUNCTION("""COMPUTED_VALUE"""),"lifestyle")</f>
        <v>lifestyle</v>
      </c>
      <c r="O1011" s="49" t="str">
        <f>IFERROR(__xludf.DUMMYFUNCTION("""COMPUTED_VALUE"""),"freud")</f>
        <v>freud</v>
      </c>
      <c r="P1011" s="49" t="str">
        <f t="shared" si="2"/>
        <v>nobody,</v>
      </c>
      <c r="Q1011" s="49"/>
      <c r="R1011" s="50" t="s">
        <v>6344</v>
      </c>
      <c r="S1011" s="55" t="s">
        <v>3625</v>
      </c>
      <c r="T1011" s="49" t="str">
        <f>IFERROR(__xludf.DUMMYFUNCTION("""COMPUTED_VALUE"""),"stays")</f>
        <v>stays</v>
      </c>
      <c r="U1011" s="49"/>
      <c r="V1011" s="49"/>
      <c r="W1011" s="49" t="str">
        <f>IFERROR(__xludf.DUMMYFUNCTION("""COMPUTED_VALUE"""),"missed")</f>
        <v>missed</v>
      </c>
      <c r="X1011" s="49" t="str">
        <f t="shared" si="3"/>
        <v>extremely,</v>
      </c>
      <c r="Y1011" s="49"/>
      <c r="Z1011" s="1" t="s">
        <v>1428</v>
      </c>
      <c r="AA1011" s="1" t="s">
        <v>3860</v>
      </c>
      <c r="AB1011" s="49" t="str">
        <f>IFERROR(__xludf.DUMMYFUNCTION("""COMPUTED_VALUE"""),"sinks")</f>
        <v>sinks</v>
      </c>
      <c r="AC1011" s="49"/>
      <c r="AD1011" s="49" t="str">
        <f>IFERROR(__xludf.DUMMYFUNCTION("""COMPUTED_VALUE"""),"lifestyle")</f>
        <v>lifestyle</v>
      </c>
      <c r="AE1011" s="49" t="str">
        <f>IFERROR(__xludf.DUMMYFUNCTION("""COMPUTED_VALUE"""),"freud")</f>
        <v>freud</v>
      </c>
      <c r="AF1011" s="49" t="str">
        <f t="shared" si="4"/>
        <v>read,</v>
      </c>
      <c r="AG1011" s="49"/>
      <c r="AH1011" s="1" t="s">
        <v>3792</v>
      </c>
      <c r="AI1011" s="1" t="s">
        <v>3606</v>
      </c>
      <c r="AJ1011" s="6" t="str">
        <f>IFERROR(__xludf.DUMMYFUNCTION("""COMPUTED_VALUE"""),"ryan")</f>
        <v>ryan</v>
      </c>
      <c r="AK1011" s="49"/>
      <c r="AL1011" s="49"/>
      <c r="AM1011" s="49"/>
      <c r="AN1011" s="52" t="str">
        <f t="shared" si="5"/>
        <v>ends,</v>
      </c>
    </row>
    <row r="1012">
      <c r="A1012" s="51"/>
      <c r="B1012" s="50" t="s">
        <v>2819</v>
      </c>
      <c r="C1012" s="50" t="s">
        <v>456</v>
      </c>
      <c r="D1012" s="49" t="str">
        <f>IFERROR(__xludf.DUMMYFUNCTION("""COMPUTED_VALUE"""),"results")</f>
        <v>results</v>
      </c>
      <c r="E1012" s="49"/>
      <c r="F1012" s="49"/>
      <c r="G1012" s="49"/>
      <c r="H1012" s="54" t="str">
        <f t="shared" si="1"/>
        <v>bears,</v>
      </c>
      <c r="I1012" s="50"/>
      <c r="J1012" s="50" t="s">
        <v>5122</v>
      </c>
      <c r="K1012" s="50" t="s">
        <v>2317</v>
      </c>
      <c r="L1012" s="49" t="str">
        <f>IFERROR(__xludf.DUMMYFUNCTION("""COMPUTED_VALUE"""),"alternative")</f>
        <v>alternative</v>
      </c>
      <c r="M1012" s="49"/>
      <c r="N1012" s="49" t="str">
        <f>IFERROR(__xludf.DUMMYFUNCTION("""COMPUTED_VALUE"""),"process")</f>
        <v>process</v>
      </c>
      <c r="O1012" s="49" t="str">
        <f>IFERROR(__xludf.DUMMYFUNCTION("""COMPUTED_VALUE"""),"measure")</f>
        <v>measure</v>
      </c>
      <c r="P1012" s="49" t="str">
        <f t="shared" si="2"/>
        <v>nose,</v>
      </c>
      <c r="Q1012" s="49"/>
      <c r="R1012" s="50" t="s">
        <v>4142</v>
      </c>
      <c r="S1012" s="55" t="s">
        <v>6425</v>
      </c>
      <c r="T1012" s="49" t="str">
        <f>IFERROR(__xludf.DUMMYFUNCTION("""COMPUTED_VALUE"""),"wicked")</f>
        <v>wicked</v>
      </c>
      <c r="U1012" s="49"/>
      <c r="V1012" s="49"/>
      <c r="W1012" s="49" t="str">
        <f>IFERROR(__xludf.DUMMYFUNCTION("""COMPUTED_VALUE"""),"espionage")</f>
        <v>espionage</v>
      </c>
      <c r="X1012" s="49" t="str">
        <f t="shared" si="3"/>
        <v>jonathan,</v>
      </c>
      <c r="Y1012" s="49"/>
      <c r="Z1012" s="1" t="s">
        <v>377</v>
      </c>
      <c r="AA1012" s="1" t="s">
        <v>2608</v>
      </c>
      <c r="AB1012" s="49" t="str">
        <f>IFERROR(__xludf.DUMMYFUNCTION("""COMPUTED_VALUE"""),"loyal")</f>
        <v>loyal</v>
      </c>
      <c r="AC1012" s="49"/>
      <c r="AD1012" s="49" t="str">
        <f>IFERROR(__xludf.DUMMYFUNCTION("""COMPUTED_VALUE"""),"process")</f>
        <v>process</v>
      </c>
      <c r="AE1012" s="49" t="str">
        <f>IFERROR(__xludf.DUMMYFUNCTION("""COMPUTED_VALUE"""),"measure")</f>
        <v>measure</v>
      </c>
      <c r="AF1012" s="49" t="str">
        <f t="shared" si="4"/>
        <v>again,</v>
      </c>
      <c r="AG1012" s="49"/>
      <c r="AH1012" s="1" t="s">
        <v>1595</v>
      </c>
      <c r="AI1012" s="1" t="s">
        <v>2519</v>
      </c>
      <c r="AJ1012" s="6" t="str">
        <f>IFERROR(__xludf.DUMMYFUNCTION("""COMPUTED_VALUE"""),"catch")</f>
        <v>catch</v>
      </c>
      <c r="AK1012" s="49"/>
      <c r="AL1012" s="49"/>
      <c r="AM1012" s="49"/>
      <c r="AN1012" s="52" t="str">
        <f t="shared" si="5"/>
        <v>saturday,</v>
      </c>
    </row>
    <row r="1013">
      <c r="A1013" s="51"/>
      <c r="B1013" s="50" t="s">
        <v>3284</v>
      </c>
      <c r="C1013" s="50" t="s">
        <v>6426</v>
      </c>
      <c r="D1013" s="49" t="str">
        <f>IFERROR(__xludf.DUMMYFUNCTION("""COMPUTED_VALUE"""),"office")</f>
        <v>office</v>
      </c>
      <c r="E1013" s="49"/>
      <c r="F1013" s="49"/>
      <c r="G1013" s="49"/>
      <c r="H1013" s="54" t="str">
        <f t="shared" si="1"/>
        <v>teach,</v>
      </c>
      <c r="I1013" s="50"/>
      <c r="J1013" s="50" t="s">
        <v>1478</v>
      </c>
      <c r="K1013" s="50" t="s">
        <v>2313</v>
      </c>
      <c r="L1013" s="49" t="str">
        <f>IFERROR(__xludf.DUMMYFUNCTION("""COMPUTED_VALUE"""),"scale")</f>
        <v>scale</v>
      </c>
      <c r="M1013" s="49"/>
      <c r="N1013" s="49" t="str">
        <f>IFERROR(__xludf.DUMMYFUNCTION("""COMPUTED_VALUE"""),"beijing")</f>
        <v>beijing</v>
      </c>
      <c r="O1013" s="49" t="str">
        <f>IFERROR(__xludf.DUMMYFUNCTION("""COMPUTED_VALUE"""),"photographed")</f>
        <v>photographed</v>
      </c>
      <c r="P1013" s="49" t="str">
        <f t="shared" si="2"/>
        <v>season,</v>
      </c>
      <c r="Q1013" s="49"/>
      <c r="R1013" s="50" t="s">
        <v>4993</v>
      </c>
      <c r="S1013" s="55">
        <v>1.0</v>
      </c>
      <c r="T1013" s="49" t="str">
        <f>IFERROR(__xludf.DUMMYFUNCTION("""COMPUTED_VALUE"""),"stepmother")</f>
        <v>stepmother</v>
      </c>
      <c r="U1013" s="49"/>
      <c r="V1013" s="49"/>
      <c r="W1013" s="49" t="str">
        <f>IFERROR(__xludf.DUMMYFUNCTION("""COMPUTED_VALUE"""),"refugees")</f>
        <v>refugees</v>
      </c>
      <c r="X1013" s="49" t="str">
        <f t="shared" si="3"/>
        <v>fire,</v>
      </c>
      <c r="Y1013" s="49"/>
      <c r="Z1013" s="1" t="s">
        <v>1614</v>
      </c>
      <c r="AA1013" s="1" t="s">
        <v>2618</v>
      </c>
      <c r="AB1013" s="49" t="str">
        <f>IFERROR(__xludf.DUMMYFUNCTION("""COMPUTED_VALUE"""),"layered")</f>
        <v>layered</v>
      </c>
      <c r="AC1013" s="49"/>
      <c r="AD1013" s="49" t="str">
        <f>IFERROR(__xludf.DUMMYFUNCTION("""COMPUTED_VALUE"""),"beijing")</f>
        <v>beijing</v>
      </c>
      <c r="AE1013" s="49" t="str">
        <f>IFERROR(__xludf.DUMMYFUNCTION("""COMPUTED_VALUE"""),"photographed")</f>
        <v>photographed</v>
      </c>
      <c r="AF1013" s="49" t="str">
        <f t="shared" si="4"/>
        <v>son,</v>
      </c>
      <c r="AG1013" s="49"/>
      <c r="AH1013" s="1" t="s">
        <v>3207</v>
      </c>
      <c r="AI1013" s="1" t="s">
        <v>2035</v>
      </c>
      <c r="AJ1013" s="6" t="str">
        <f>IFERROR(__xludf.DUMMYFUNCTION("""COMPUTED_VALUE"""),"rare")</f>
        <v>rare</v>
      </c>
      <c r="AK1013" s="49"/>
      <c r="AL1013" s="49"/>
      <c r="AM1013" s="49"/>
      <c r="AN1013" s="52" t="str">
        <f t="shared" si="5"/>
        <v>personality,</v>
      </c>
    </row>
    <row r="1014">
      <c r="A1014" s="51"/>
      <c r="B1014" s="50" t="s">
        <v>2589</v>
      </c>
      <c r="C1014" s="50" t="s">
        <v>5440</v>
      </c>
      <c r="D1014" s="49" t="str">
        <f>IFERROR(__xludf.DUMMYFUNCTION("""COMPUTED_VALUE"""),"box")</f>
        <v>box</v>
      </c>
      <c r="E1014" s="49"/>
      <c r="F1014" s="49"/>
      <c r="G1014" s="49"/>
      <c r="H1014" s="54" t="str">
        <f t="shared" si="1"/>
        <v>minds,</v>
      </c>
      <c r="I1014" s="50"/>
      <c r="J1014" s="50" t="s">
        <v>2010</v>
      </c>
      <c r="K1014" s="50" t="s">
        <v>2319</v>
      </c>
      <c r="L1014" s="49" t="str">
        <f>IFERROR(__xludf.DUMMYFUNCTION("""COMPUTED_VALUE"""),"media")</f>
        <v>media</v>
      </c>
      <c r="M1014" s="49"/>
      <c r="N1014" s="49" t="str">
        <f>IFERROR(__xludf.DUMMYFUNCTION("""COMPUTED_VALUE"""),"fang")</f>
        <v>fang</v>
      </c>
      <c r="O1014" s="49" t="str">
        <f>IFERROR(__xludf.DUMMYFUNCTION("""COMPUTED_VALUE"""),"unprecedented")</f>
        <v>unprecedented</v>
      </c>
      <c r="P1014" s="49" t="str">
        <f t="shared" si="2"/>
        <v>competition,</v>
      </c>
      <c r="Q1014" s="49"/>
      <c r="R1014" s="50" t="s">
        <v>682</v>
      </c>
      <c r="S1014" s="55" t="s">
        <v>4507</v>
      </c>
      <c r="T1014" s="49" t="str">
        <f>IFERROR(__xludf.DUMMYFUNCTION("""COMPUTED_VALUE"""),"isolation")</f>
        <v>isolation</v>
      </c>
      <c r="U1014" s="49"/>
      <c r="V1014" s="49"/>
      <c r="W1014" s="49" t="str">
        <f>IFERROR(__xludf.DUMMYFUNCTION("""COMPUTED_VALUE"""),"failed")</f>
        <v>failed</v>
      </c>
      <c r="X1014" s="49" t="str">
        <f t="shared" si="3"/>
        <v>kitchen,</v>
      </c>
      <c r="Y1014" s="49"/>
      <c r="Z1014" s="1" t="s">
        <v>1783</v>
      </c>
      <c r="AA1014" s="1" t="s">
        <v>3867</v>
      </c>
      <c r="AB1014" s="49" t="str">
        <f>IFERROR(__xludf.DUMMYFUNCTION("""COMPUTED_VALUE"""),"psyche")</f>
        <v>psyche</v>
      </c>
      <c r="AC1014" s="49"/>
      <c r="AD1014" s="49" t="str">
        <f>IFERROR(__xludf.DUMMYFUNCTION("""COMPUTED_VALUE"""),"fang")</f>
        <v>fang</v>
      </c>
      <c r="AE1014" s="49" t="str">
        <f>IFERROR(__xludf.DUMMYFUNCTION("""COMPUTED_VALUE"""),"unprecedented")</f>
        <v>unprecedented</v>
      </c>
      <c r="AF1014" s="49" t="str">
        <f t="shared" si="4"/>
        <v>father,</v>
      </c>
      <c r="AG1014" s="49"/>
      <c r="AH1014" s="1" t="s">
        <v>1482</v>
      </c>
      <c r="AI1014" s="1" t="s">
        <v>2193</v>
      </c>
      <c r="AJ1014" s="6" t="str">
        <f>IFERROR(__xludf.DUMMYFUNCTION("""COMPUTED_VALUE"""),"kevin")</f>
        <v>kevin</v>
      </c>
      <c r="AK1014" s="49"/>
      <c r="AL1014" s="49"/>
      <c r="AM1014" s="49"/>
      <c r="AN1014" s="52" t="str">
        <f t="shared" si="5"/>
        <v>merely,</v>
      </c>
    </row>
    <row r="1015">
      <c r="A1015" s="51"/>
      <c r="B1015" s="50" t="s">
        <v>1388</v>
      </c>
      <c r="C1015" s="50" t="s">
        <v>2846</v>
      </c>
      <c r="D1015" s="49" t="str">
        <f>IFERROR(__xludf.DUMMYFUNCTION("""COMPUTED_VALUE"""),"holiday")</f>
        <v>holiday</v>
      </c>
      <c r="E1015" s="49"/>
      <c r="F1015" s="49"/>
      <c r="G1015" s="49"/>
      <c r="H1015" s="54" t="str">
        <f t="shared" si="1"/>
        <v>bridge,</v>
      </c>
      <c r="I1015" s="50"/>
      <c r="J1015" s="50" t="s">
        <v>3899</v>
      </c>
      <c r="K1015" s="50" t="s">
        <v>935</v>
      </c>
      <c r="L1015" s="49" t="str">
        <f>IFERROR(__xludf.DUMMYFUNCTION("""COMPUTED_VALUE"""),"models")</f>
        <v>models</v>
      </c>
      <c r="M1015" s="49"/>
      <c r="N1015" s="49">
        <f>IFERROR(__xludf.DUMMYFUNCTION("""COMPUTED_VALUE"""),300.0)</f>
        <v>300</v>
      </c>
      <c r="O1015" s="49" t="str">
        <f>IFERROR(__xludf.DUMMYFUNCTION("""COMPUTED_VALUE"""),"drawing")</f>
        <v>drawing</v>
      </c>
      <c r="P1015" s="49" t="str">
        <f t="shared" si="2"/>
        <v>dean,</v>
      </c>
      <c r="Q1015" s="49"/>
      <c r="R1015" s="50" t="s">
        <v>2678</v>
      </c>
      <c r="S1015" s="55" t="s">
        <v>808</v>
      </c>
      <c r="T1015" s="49" t="str">
        <f>IFERROR(__xludf.DUMMYFUNCTION("""COMPUTED_VALUE"""),"easier")</f>
        <v>easier</v>
      </c>
      <c r="U1015" s="49"/>
      <c r="V1015" s="49"/>
      <c r="W1015" s="49" t="str">
        <f>IFERROR(__xludf.DUMMYFUNCTION("""COMPUTED_VALUE"""),"substantial")</f>
        <v>substantial</v>
      </c>
      <c r="X1015" s="49" t="str">
        <f t="shared" si="3"/>
        <v>exciting,</v>
      </c>
      <c r="Y1015" s="49"/>
      <c r="Z1015" s="1" t="s">
        <v>3813</v>
      </c>
      <c r="AA1015" s="1" t="s">
        <v>3869</v>
      </c>
      <c r="AB1015" s="49" t="str">
        <f>IFERROR(__xludf.DUMMYFUNCTION("""COMPUTED_VALUE"""),"sci")</f>
        <v>sci</v>
      </c>
      <c r="AC1015" s="49"/>
      <c r="AD1015" s="49">
        <f>IFERROR(__xludf.DUMMYFUNCTION("""COMPUTED_VALUE"""),300.0)</f>
        <v>300</v>
      </c>
      <c r="AE1015" s="49" t="str">
        <f>IFERROR(__xludf.DUMMYFUNCTION("""COMPUTED_VALUE"""),"drawing")</f>
        <v>drawing</v>
      </c>
      <c r="AF1015" s="49" t="str">
        <f t="shared" si="4"/>
        <v>ethnic,</v>
      </c>
      <c r="AG1015" s="49"/>
      <c r="AH1015" s="1" t="s">
        <v>613</v>
      </c>
      <c r="AI1015" s="1" t="s">
        <v>3394</v>
      </c>
      <c r="AJ1015" s="6" t="str">
        <f>IFERROR(__xludf.DUMMYFUNCTION("""COMPUTED_VALUE"""),"usual")</f>
        <v>usual</v>
      </c>
      <c r="AK1015" s="49"/>
      <c r="AL1015" s="49"/>
      <c r="AM1015" s="49"/>
      <c r="AN1015" s="52" t="str">
        <f t="shared" si="5"/>
        <v>animated,</v>
      </c>
    </row>
    <row r="1016">
      <c r="A1016" s="51"/>
      <c r="B1016" s="50" t="s">
        <v>1943</v>
      </c>
      <c r="C1016" s="50" t="s">
        <v>6349</v>
      </c>
      <c r="D1016" s="49" t="str">
        <f>IFERROR(__xludf.DUMMYFUNCTION("""COMPUTED_VALUE"""),"none")</f>
        <v>none</v>
      </c>
      <c r="E1016" s="49"/>
      <c r="F1016" s="49"/>
      <c r="G1016" s="49"/>
      <c r="H1016" s="54" t="str">
        <f t="shared" si="1"/>
        <v>african,</v>
      </c>
      <c r="I1016" s="50"/>
      <c r="J1016" s="50" t="s">
        <v>1894</v>
      </c>
      <c r="K1016" s="50" t="s">
        <v>2330</v>
      </c>
      <c r="L1016" s="49" t="str">
        <f>IFERROR(__xludf.DUMMYFUNCTION("""COMPUTED_VALUE"""),"weight")</f>
        <v>weight</v>
      </c>
      <c r="M1016" s="49"/>
      <c r="N1016" s="49" t="str">
        <f>IFERROR(__xludf.DUMMYFUNCTION("""COMPUTED_VALUE"""),"jo")</f>
        <v>jo</v>
      </c>
      <c r="O1016" s="49" t="str">
        <f>IFERROR(__xludf.DUMMYFUNCTION("""COMPUTED_VALUE"""),"drumming")</f>
        <v>drumming</v>
      </c>
      <c r="P1016" s="49" t="str">
        <f t="shared" si="2"/>
        <v>welcome,</v>
      </c>
      <c r="Q1016" s="49"/>
      <c r="R1016" s="50" t="s">
        <v>3082</v>
      </c>
      <c r="S1016" s="55" t="s">
        <v>863</v>
      </c>
      <c r="T1016" s="49" t="str">
        <f>IFERROR(__xludf.DUMMYFUNCTION("""COMPUTED_VALUE"""),"pick")</f>
        <v>pick</v>
      </c>
      <c r="U1016" s="49"/>
      <c r="V1016" s="49"/>
      <c r="W1016" s="49" t="str">
        <f>IFERROR(__xludf.DUMMYFUNCTION("""COMPUTED_VALUE"""),"coughed")</f>
        <v>coughed</v>
      </c>
      <c r="X1016" s="49" t="str">
        <f t="shared" si="3"/>
        <v>afraid,</v>
      </c>
      <c r="Y1016" s="49"/>
      <c r="Z1016" s="1" t="s">
        <v>864</v>
      </c>
      <c r="AA1016" s="1" t="s">
        <v>2231</v>
      </c>
      <c r="AB1016" s="49" t="str">
        <f>IFERROR(__xludf.DUMMYFUNCTION("""COMPUTED_VALUE"""),"assurance")</f>
        <v>assurance</v>
      </c>
      <c r="AC1016" s="49"/>
      <c r="AD1016" s="49" t="str">
        <f>IFERROR(__xludf.DUMMYFUNCTION("""COMPUTED_VALUE"""),"jo")</f>
        <v>jo</v>
      </c>
      <c r="AE1016" s="49" t="str">
        <f>IFERROR(__xludf.DUMMYFUNCTION("""COMPUTED_VALUE"""),"drumming")</f>
        <v>drumming</v>
      </c>
      <c r="AF1016" s="49" t="str">
        <f t="shared" si="4"/>
        <v>tensions,</v>
      </c>
      <c r="AG1016" s="49"/>
      <c r="AH1016" s="1" t="s">
        <v>2335</v>
      </c>
      <c r="AI1016" s="1" t="s">
        <v>2843</v>
      </c>
      <c r="AJ1016" s="6" t="str">
        <f>IFERROR(__xludf.DUMMYFUNCTION("""COMPUTED_VALUE"""),"measure")</f>
        <v>measure</v>
      </c>
      <c r="AK1016" s="49"/>
      <c r="AL1016" s="49"/>
      <c r="AM1016" s="49"/>
      <c r="AN1016" s="52" t="str">
        <f t="shared" si="5"/>
        <v>reminded,</v>
      </c>
    </row>
    <row r="1017">
      <c r="A1017" s="51"/>
      <c r="B1017" s="50" t="s">
        <v>5538</v>
      </c>
      <c r="C1017" s="50" t="s">
        <v>437</v>
      </c>
      <c r="D1017" s="49" t="str">
        <f>IFERROR(__xludf.DUMMYFUNCTION("""COMPUTED_VALUE"""),"extended")</f>
        <v>extended</v>
      </c>
      <c r="E1017" s="49"/>
      <c r="F1017" s="49"/>
      <c r="G1017" s="49"/>
      <c r="H1017" s="54" t="str">
        <f t="shared" si="1"/>
        <v>defeated,</v>
      </c>
      <c r="I1017" s="50"/>
      <c r="J1017" s="50" t="s">
        <v>4363</v>
      </c>
      <c r="K1017" s="50" t="s">
        <v>3377</v>
      </c>
      <c r="L1017" s="49" t="str">
        <f>IFERROR(__xludf.DUMMYFUNCTION("""COMPUTED_VALUE"""),"genuinely")</f>
        <v>genuinely</v>
      </c>
      <c r="M1017" s="49"/>
      <c r="N1017" s="49" t="str">
        <f>IFERROR(__xludf.DUMMYFUNCTION("""COMPUTED_VALUE"""),"received")</f>
        <v>received</v>
      </c>
      <c r="O1017" s="49" t="str">
        <f>IFERROR(__xludf.DUMMYFUNCTION("""COMPUTED_VALUE"""),"assignment")</f>
        <v>assignment</v>
      </c>
      <c r="P1017" s="49" t="str">
        <f t="shared" si="2"/>
        <v>tens,</v>
      </c>
      <c r="Q1017" s="49"/>
      <c r="R1017" s="50" t="s">
        <v>4749</v>
      </c>
      <c r="S1017" s="55" t="s">
        <v>949</v>
      </c>
      <c r="T1017" s="49" t="str">
        <f>IFERROR(__xludf.DUMMYFUNCTION("""COMPUTED_VALUE"""),"diaz")</f>
        <v>diaz</v>
      </c>
      <c r="U1017" s="49"/>
      <c r="V1017" s="49"/>
      <c r="W1017" s="49" t="str">
        <f>IFERROR(__xludf.DUMMYFUNCTION("""COMPUTED_VALUE"""),"aisles")</f>
        <v>aisles</v>
      </c>
      <c r="X1017" s="49" t="str">
        <f t="shared" si="3"/>
        <v>unbearable,</v>
      </c>
      <c r="Y1017" s="49"/>
      <c r="Z1017" s="1" t="s">
        <v>6968</v>
      </c>
      <c r="AA1017" s="1" t="s">
        <v>3871</v>
      </c>
      <c r="AB1017" s="49" t="str">
        <f>IFERROR(__xludf.DUMMYFUNCTION("""COMPUTED_VALUE"""),"extremes")</f>
        <v>extremes</v>
      </c>
      <c r="AC1017" s="49"/>
      <c r="AD1017" s="49" t="str">
        <f>IFERROR(__xludf.DUMMYFUNCTION("""COMPUTED_VALUE"""),"received")</f>
        <v>received</v>
      </c>
      <c r="AE1017" s="49" t="str">
        <f>IFERROR(__xludf.DUMMYFUNCTION("""COMPUTED_VALUE"""),"assignment")</f>
        <v>assignment</v>
      </c>
      <c r="AF1017" s="49" t="str">
        <f t="shared" si="4"/>
        <v>secret,</v>
      </c>
      <c r="AG1017" s="49"/>
      <c r="AH1017" s="1" t="s">
        <v>3475</v>
      </c>
      <c r="AI1017" s="1" t="s">
        <v>456</v>
      </c>
      <c r="AJ1017" s="6" t="str">
        <f>IFERROR(__xludf.DUMMYFUNCTION("""COMPUTED_VALUE"""),"tossed")</f>
        <v>tossed</v>
      </c>
      <c r="AK1017" s="49"/>
      <c r="AL1017" s="49"/>
      <c r="AM1017" s="49"/>
      <c r="AN1017" s="52" t="str">
        <f t="shared" si="5"/>
        <v>trick,</v>
      </c>
    </row>
    <row r="1018">
      <c r="A1018" s="51"/>
      <c r="B1018" s="50" t="s">
        <v>86</v>
      </c>
      <c r="C1018" s="50" t="s">
        <v>6427</v>
      </c>
      <c r="D1018" s="49" t="str">
        <f>IFERROR(__xludf.DUMMYFUNCTION("""COMPUTED_VALUE"""),"poem")</f>
        <v>poem</v>
      </c>
      <c r="E1018" s="49"/>
      <c r="F1018" s="49"/>
      <c r="G1018" s="49"/>
      <c r="H1018" s="54" t="str">
        <f t="shared" si="1"/>
        <v>nature,</v>
      </c>
      <c r="I1018" s="50"/>
      <c r="J1018" s="50" t="s">
        <v>2343</v>
      </c>
      <c r="K1018" s="50" t="s">
        <v>678</v>
      </c>
      <c r="L1018" s="49" t="str">
        <f>IFERROR(__xludf.DUMMYFUNCTION("""COMPUTED_VALUE"""),"scares")</f>
        <v>scares</v>
      </c>
      <c r="M1018" s="49"/>
      <c r="N1018" s="49" t="str">
        <f>IFERROR(__xludf.DUMMYFUNCTION("""COMPUTED_VALUE"""),"clown")</f>
        <v>clown</v>
      </c>
      <c r="O1018" s="49" t="str">
        <f>IFERROR(__xludf.DUMMYFUNCTION("""COMPUTED_VALUE"""),"enters")</f>
        <v>enters</v>
      </c>
      <c r="P1018" s="49" t="str">
        <f t="shared" si="2"/>
        <v>beginning,</v>
      </c>
      <c r="Q1018" s="49"/>
      <c r="R1018" s="50" t="s">
        <v>3812</v>
      </c>
      <c r="S1018" s="55" t="s">
        <v>2194</v>
      </c>
      <c r="T1018" s="49" t="str">
        <f>IFERROR(__xludf.DUMMYFUNCTION("""COMPUTED_VALUE"""),"peculiar")</f>
        <v>peculiar</v>
      </c>
      <c r="U1018" s="49"/>
      <c r="V1018" s="49"/>
      <c r="W1018" s="49" t="str">
        <f>IFERROR(__xludf.DUMMYFUNCTION("""COMPUTED_VALUE"""),"hooks")</f>
        <v>hooks</v>
      </c>
      <c r="X1018" s="49" t="str">
        <f t="shared" si="3"/>
        <v>meaning,</v>
      </c>
      <c r="Y1018" s="49"/>
      <c r="Z1018" s="1" t="s">
        <v>1728</v>
      </c>
      <c r="AA1018" s="1" t="s">
        <v>1359</v>
      </c>
      <c r="AB1018" s="49" t="str">
        <f>IFERROR(__xludf.DUMMYFUNCTION("""COMPUTED_VALUE"""),"indifference")</f>
        <v>indifference</v>
      </c>
      <c r="AC1018" s="49"/>
      <c r="AD1018" s="49" t="str">
        <f>IFERROR(__xludf.DUMMYFUNCTION("""COMPUTED_VALUE"""),"clown")</f>
        <v>clown</v>
      </c>
      <c r="AE1018" s="49" t="str">
        <f>IFERROR(__xludf.DUMMYFUNCTION("""COMPUTED_VALUE"""),"enters")</f>
        <v>enters</v>
      </c>
      <c r="AF1018" s="49" t="str">
        <f t="shared" si="4"/>
        <v>complex,</v>
      </c>
      <c r="AG1018" s="49"/>
      <c r="AH1018" s="1" t="s">
        <v>194</v>
      </c>
      <c r="AI1018" s="1" t="s">
        <v>6426</v>
      </c>
      <c r="AJ1018" s="6" t="str">
        <f>IFERROR(__xludf.DUMMYFUNCTION("""COMPUTED_VALUE"""),"city")</f>
        <v>city</v>
      </c>
      <c r="AK1018" s="49"/>
      <c r="AL1018" s="49"/>
      <c r="AM1018" s="49"/>
      <c r="AN1018" s="52" t="str">
        <f t="shared" si="5"/>
        <v>original,</v>
      </c>
    </row>
    <row r="1019">
      <c r="A1019" s="51"/>
      <c r="B1019" s="50" t="s">
        <v>2300</v>
      </c>
      <c r="C1019" s="50" t="s">
        <v>6409</v>
      </c>
      <c r="D1019" s="49" t="str">
        <f>IFERROR(__xludf.DUMMYFUNCTION("""COMPUTED_VALUE"""),"events")</f>
        <v>events</v>
      </c>
      <c r="E1019" s="49"/>
      <c r="F1019" s="49"/>
      <c r="G1019" s="49"/>
      <c r="H1019" s="54" t="str">
        <f t="shared" si="1"/>
        <v>remember,</v>
      </c>
      <c r="I1019" s="50"/>
      <c r="J1019" s="50" t="s">
        <v>4130</v>
      </c>
      <c r="K1019" s="50" t="s">
        <v>1074</v>
      </c>
      <c r="L1019" s="49" t="str">
        <f>IFERROR(__xludf.DUMMYFUNCTION("""COMPUTED_VALUE"""),"icon")</f>
        <v>icon</v>
      </c>
      <c r="M1019" s="49"/>
      <c r="N1019" s="49" t="str">
        <f>IFERROR(__xludf.DUMMYFUNCTION("""COMPUTED_VALUE"""),"polite")</f>
        <v>polite</v>
      </c>
      <c r="O1019" s="49" t="str">
        <f>IFERROR(__xludf.DUMMYFUNCTION("""COMPUTED_VALUE"""),"fencing")</f>
        <v>fencing</v>
      </c>
      <c r="P1019" s="49" t="str">
        <f t="shared" si="2"/>
        <v>contenders,</v>
      </c>
      <c r="Q1019" s="49"/>
      <c r="R1019" s="50" t="s">
        <v>3150</v>
      </c>
      <c r="S1019" s="55" t="s">
        <v>2484</v>
      </c>
      <c r="T1019" s="49" t="str">
        <f>IFERROR(__xludf.DUMMYFUNCTION("""COMPUTED_VALUE"""),"total")</f>
        <v>total</v>
      </c>
      <c r="U1019" s="49"/>
      <c r="V1019" s="49"/>
      <c r="W1019" s="49" t="str">
        <f>IFERROR(__xludf.DUMMYFUNCTION("""COMPUTED_VALUE"""),"lens")</f>
        <v>lens</v>
      </c>
      <c r="X1019" s="49" t="str">
        <f t="shared" si="3"/>
        <v>fill,</v>
      </c>
      <c r="Y1019" s="49"/>
      <c r="Z1019" s="1" t="s">
        <v>345</v>
      </c>
      <c r="AA1019" s="1" t="s">
        <v>3876</v>
      </c>
      <c r="AB1019" s="49" t="str">
        <f>IFERROR(__xludf.DUMMYFUNCTION("""COMPUTED_VALUE"""),"captures")</f>
        <v>captures</v>
      </c>
      <c r="AC1019" s="49"/>
      <c r="AD1019" s="49" t="str">
        <f>IFERROR(__xludf.DUMMYFUNCTION("""COMPUTED_VALUE"""),"polite")</f>
        <v>polite</v>
      </c>
      <c r="AE1019" s="49" t="str">
        <f>IFERROR(__xludf.DUMMYFUNCTION("""COMPUTED_VALUE"""),"fencing")</f>
        <v>fencing</v>
      </c>
      <c r="AF1019" s="49" t="str">
        <f t="shared" si="4"/>
        <v>essentially,</v>
      </c>
      <c r="AG1019" s="49"/>
      <c r="AH1019" s="1" t="s">
        <v>546</v>
      </c>
      <c r="AI1019" s="1" t="s">
        <v>5440</v>
      </c>
      <c r="AJ1019" s="6" t="str">
        <f>IFERROR(__xludf.DUMMYFUNCTION("""COMPUTED_VALUE"""),"become")</f>
        <v>become</v>
      </c>
      <c r="AK1019" s="49"/>
      <c r="AL1019" s="49"/>
      <c r="AM1019" s="49"/>
      <c r="AN1019" s="52" t="str">
        <f t="shared" si="5"/>
        <v>summer,</v>
      </c>
    </row>
    <row r="1020">
      <c r="A1020" s="51"/>
      <c r="B1020" s="50" t="s">
        <v>4112</v>
      </c>
      <c r="C1020" s="50" t="s">
        <v>2040</v>
      </c>
      <c r="D1020" s="49">
        <f>IFERROR(__xludf.DUMMYFUNCTION("""COMPUTED_VALUE"""),1989.0)</f>
        <v>1989</v>
      </c>
      <c r="E1020" s="49"/>
      <c r="F1020" s="49"/>
      <c r="G1020" s="49"/>
      <c r="H1020" s="54" t="str">
        <f t="shared" si="1"/>
        <v>irish,</v>
      </c>
      <c r="I1020" s="50"/>
      <c r="J1020" s="50" t="s">
        <v>764</v>
      </c>
      <c r="K1020" s="50" t="s">
        <v>685</v>
      </c>
      <c r="L1020" s="49" t="str">
        <f>IFERROR(__xludf.DUMMYFUNCTION("""COMPUTED_VALUE"""),"brow")</f>
        <v>brow</v>
      </c>
      <c r="M1020" s="49"/>
      <c r="N1020" s="49" t="str">
        <f>IFERROR(__xludf.DUMMYFUNCTION("""COMPUTED_VALUE"""),"helps")</f>
        <v>helps</v>
      </c>
      <c r="O1020" s="49" t="str">
        <f>IFERROR(__xludf.DUMMYFUNCTION("""COMPUTED_VALUE"""),"admit")</f>
        <v>admit</v>
      </c>
      <c r="P1020" s="49" t="str">
        <f t="shared" si="2"/>
        <v>dog,</v>
      </c>
      <c r="Q1020" s="49"/>
      <c r="R1020" s="50" t="s">
        <v>335</v>
      </c>
      <c r="S1020" s="55" t="s">
        <v>3127</v>
      </c>
      <c r="T1020" s="49" t="str">
        <f>IFERROR(__xludf.DUMMYFUNCTION("""COMPUTED_VALUE"""),"memorable")</f>
        <v>memorable</v>
      </c>
      <c r="U1020" s="49"/>
      <c r="V1020" s="49"/>
      <c r="W1020" s="49" t="str">
        <f>IFERROR(__xludf.DUMMYFUNCTION("""COMPUTED_VALUE"""),"dressed")</f>
        <v>dressed</v>
      </c>
      <c r="X1020" s="49" t="str">
        <f t="shared" si="3"/>
        <v>slick,</v>
      </c>
      <c r="Y1020" s="49"/>
      <c r="Z1020" s="1" t="s">
        <v>2160</v>
      </c>
      <c r="AA1020" s="1" t="s">
        <v>2623</v>
      </c>
      <c r="AB1020" s="49" t="str">
        <f>IFERROR(__xludf.DUMMYFUNCTION("""COMPUTED_VALUE"""),"iranian")</f>
        <v>iranian</v>
      </c>
      <c r="AC1020" s="49"/>
      <c r="AD1020" s="49" t="str">
        <f>IFERROR(__xludf.DUMMYFUNCTION("""COMPUTED_VALUE"""),"helps")</f>
        <v>helps</v>
      </c>
      <c r="AE1020" s="49" t="str">
        <f>IFERROR(__xludf.DUMMYFUNCTION("""COMPUTED_VALUE"""),"admit")</f>
        <v>admit</v>
      </c>
      <c r="AF1020" s="49" t="str">
        <f t="shared" si="4"/>
        <v>painful,</v>
      </c>
      <c r="AG1020" s="49"/>
      <c r="AH1020" s="1" t="s">
        <v>1150</v>
      </c>
      <c r="AI1020" s="1" t="s">
        <v>2846</v>
      </c>
      <c r="AJ1020" s="6" t="str">
        <f>IFERROR(__xludf.DUMMYFUNCTION("""COMPUTED_VALUE"""),"feel")</f>
        <v>feel</v>
      </c>
      <c r="AK1020" s="49"/>
      <c r="AL1020" s="49"/>
      <c r="AM1020" s="49"/>
      <c r="AN1020" s="52" t="str">
        <f t="shared" si="5"/>
        <v>needed,</v>
      </c>
    </row>
    <row r="1021">
      <c r="A1021" s="51"/>
      <c r="B1021" s="50" t="s">
        <v>7310</v>
      </c>
      <c r="C1021" s="50" t="s">
        <v>6410</v>
      </c>
      <c r="D1021" s="49" t="str">
        <f>IFERROR(__xludf.DUMMYFUNCTION("""COMPUTED_VALUE"""),"loved")</f>
        <v>loved</v>
      </c>
      <c r="E1021" s="49"/>
      <c r="F1021" s="49"/>
      <c r="G1021" s="49"/>
      <c r="H1021" s="54" t="str">
        <f t="shared" si="1"/>
        <v>19th,</v>
      </c>
      <c r="I1021" s="50"/>
      <c r="J1021" s="50" t="s">
        <v>2102</v>
      </c>
      <c r="K1021" s="50" t="s">
        <v>2342</v>
      </c>
      <c r="L1021" s="49" t="str">
        <f>IFERROR(__xludf.DUMMYFUNCTION("""COMPUTED_VALUE"""),"adolescent")</f>
        <v>adolescent</v>
      </c>
      <c r="M1021" s="49"/>
      <c r="N1021" s="49" t="str">
        <f>IFERROR(__xludf.DUMMYFUNCTION("""COMPUTED_VALUE"""),"holding")</f>
        <v>holding</v>
      </c>
      <c r="O1021" s="49" t="str">
        <f>IFERROR(__xludf.DUMMYFUNCTION("""COMPUTED_VALUE"""),"relevance")</f>
        <v>relevance</v>
      </c>
      <c r="P1021" s="49" t="str">
        <f t="shared" si="2"/>
        <v>oscar,</v>
      </c>
      <c r="Q1021" s="49"/>
      <c r="R1021" s="50" t="s">
        <v>6050</v>
      </c>
      <c r="S1021" s="55" t="s">
        <v>957</v>
      </c>
      <c r="T1021" s="49" t="str">
        <f>IFERROR(__xludf.DUMMYFUNCTION("""COMPUTED_VALUE"""),"service")</f>
        <v>service</v>
      </c>
      <c r="U1021" s="49"/>
      <c r="V1021" s="49"/>
      <c r="W1021" s="49" t="str">
        <f>IFERROR(__xludf.DUMMYFUNCTION("""COMPUTED_VALUE"""),"hussein")</f>
        <v>hussein</v>
      </c>
      <c r="X1021" s="49" t="str">
        <f t="shared" si="3"/>
        <v>don,</v>
      </c>
      <c r="Y1021" s="49"/>
      <c r="Z1021" s="1" t="s">
        <v>1755</v>
      </c>
      <c r="AA1021" s="1" t="s">
        <v>1367</v>
      </c>
      <c r="AB1021" s="49" t="str">
        <f>IFERROR(__xludf.DUMMYFUNCTION("""COMPUTED_VALUE"""),"construct")</f>
        <v>construct</v>
      </c>
      <c r="AC1021" s="49"/>
      <c r="AD1021" s="49" t="str">
        <f>IFERROR(__xludf.DUMMYFUNCTION("""COMPUTED_VALUE"""),"holding")</f>
        <v>holding</v>
      </c>
      <c r="AE1021" s="49" t="str">
        <f>IFERROR(__xludf.DUMMYFUNCTION("""COMPUTED_VALUE"""),"relevance")</f>
        <v>relevance</v>
      </c>
      <c r="AF1021" s="49" t="str">
        <f t="shared" si="4"/>
        <v>unconventional,</v>
      </c>
      <c r="AG1021" s="49"/>
      <c r="AH1021" s="1" t="s">
        <v>4227</v>
      </c>
      <c r="AI1021" s="1" t="s">
        <v>6349</v>
      </c>
      <c r="AJ1021" s="6" t="str">
        <f>IFERROR(__xludf.DUMMYFUNCTION("""COMPUTED_VALUE"""),"rock")</f>
        <v>rock</v>
      </c>
      <c r="AK1021" s="49"/>
      <c r="AL1021" s="49"/>
      <c r="AM1021" s="49"/>
      <c r="AN1021" s="52" t="str">
        <f t="shared" si="5"/>
        <v>appearance,</v>
      </c>
    </row>
    <row r="1022">
      <c r="A1022" s="51"/>
      <c r="B1022" s="50" t="s">
        <v>5366</v>
      </c>
      <c r="C1022" s="50" t="s">
        <v>2865</v>
      </c>
      <c r="D1022" s="49" t="str">
        <f>IFERROR(__xludf.DUMMYFUNCTION("""COMPUTED_VALUE"""),"prefer")</f>
        <v>prefer</v>
      </c>
      <c r="E1022" s="49"/>
      <c r="F1022" s="49"/>
      <c r="G1022" s="49"/>
      <c r="H1022" s="54" t="str">
        <f t="shared" si="1"/>
        <v>build,</v>
      </c>
      <c r="I1022" s="50"/>
      <c r="J1022" s="50" t="s">
        <v>6548</v>
      </c>
      <c r="K1022" s="50" t="s">
        <v>3395</v>
      </c>
      <c r="L1022" s="49" t="str">
        <f>IFERROR(__xludf.DUMMYFUNCTION("""COMPUTED_VALUE"""),"card")</f>
        <v>card</v>
      </c>
      <c r="M1022" s="49"/>
      <c r="N1022" s="49" t="str">
        <f>IFERROR(__xludf.DUMMYFUNCTION("""COMPUTED_VALUE"""),"regards")</f>
        <v>regards</v>
      </c>
      <c r="O1022" s="49" t="str">
        <f>IFERROR(__xludf.DUMMYFUNCTION("""COMPUTED_VALUE"""),"texture")</f>
        <v>texture</v>
      </c>
      <c r="P1022" s="49" t="str">
        <f t="shared" si="2"/>
        <v>elsewhere,</v>
      </c>
      <c r="Q1022" s="49"/>
      <c r="R1022" s="50" t="s">
        <v>2536</v>
      </c>
      <c r="S1022" s="55" t="s">
        <v>6428</v>
      </c>
      <c r="T1022" s="49" t="str">
        <f>IFERROR(__xludf.DUMMYFUNCTION("""COMPUTED_VALUE"""),"timing")</f>
        <v>timing</v>
      </c>
      <c r="U1022" s="49"/>
      <c r="V1022" s="49"/>
      <c r="W1022" s="49" t="str">
        <f>IFERROR(__xludf.DUMMYFUNCTION("""COMPUTED_VALUE"""),"saddam")</f>
        <v>saddam</v>
      </c>
      <c r="X1022" s="49" t="str">
        <f t="shared" si="3"/>
        <v>homicide,</v>
      </c>
      <c r="Y1022" s="49"/>
      <c r="Z1022" s="1" t="s">
        <v>4343</v>
      </c>
      <c r="AA1022" s="1" t="s">
        <v>2628</v>
      </c>
      <c r="AB1022" s="49" t="str">
        <f>IFERROR(__xludf.DUMMYFUNCTION("""COMPUTED_VALUE"""),"vastly")</f>
        <v>vastly</v>
      </c>
      <c r="AC1022" s="49"/>
      <c r="AD1022" s="49" t="str">
        <f>IFERROR(__xludf.DUMMYFUNCTION("""COMPUTED_VALUE"""),"regards")</f>
        <v>regards</v>
      </c>
      <c r="AE1022" s="49" t="str">
        <f>IFERROR(__xludf.DUMMYFUNCTION("""COMPUTED_VALUE"""),"texture")</f>
        <v>texture</v>
      </c>
      <c r="AF1022" s="49" t="str">
        <f t="shared" si="4"/>
        <v>guns,</v>
      </c>
      <c r="AG1022" s="49"/>
      <c r="AH1022" s="1" t="s">
        <v>6834</v>
      </c>
      <c r="AI1022" s="1" t="s">
        <v>437</v>
      </c>
      <c r="AJ1022" s="6" t="str">
        <f>IFERROR(__xludf.DUMMYFUNCTION("""COMPUTED_VALUE"""),"probably")</f>
        <v>probably</v>
      </c>
      <c r="AK1022" s="49"/>
      <c r="AL1022" s="49"/>
      <c r="AM1022" s="49"/>
      <c r="AN1022" s="52" t="str">
        <f t="shared" si="5"/>
        <v>jr,</v>
      </c>
    </row>
    <row r="1023">
      <c r="A1023" s="51"/>
      <c r="B1023" s="50" t="s">
        <v>1617</v>
      </c>
      <c r="C1023" s="50" t="s">
        <v>1046</v>
      </c>
      <c r="D1023" s="49" t="str">
        <f>IFERROR(__xludf.DUMMYFUNCTION("""COMPUTED_VALUE"""),"patient")</f>
        <v>patient</v>
      </c>
      <c r="E1023" s="49"/>
      <c r="F1023" s="49"/>
      <c r="G1023" s="49"/>
      <c r="H1023" s="54" t="str">
        <f t="shared" si="1"/>
        <v>promise,</v>
      </c>
      <c r="I1023" s="50"/>
      <c r="J1023" s="50" t="s">
        <v>6774</v>
      </c>
      <c r="K1023" s="50" t="s">
        <v>1659</v>
      </c>
      <c r="L1023" s="49" t="str">
        <f>IFERROR(__xludf.DUMMYFUNCTION("""COMPUTED_VALUE"""),"nation")</f>
        <v>nation</v>
      </c>
      <c r="M1023" s="49"/>
      <c r="N1023" s="49" t="str">
        <f>IFERROR(__xludf.DUMMYFUNCTION("""COMPUTED_VALUE"""),"authentic")</f>
        <v>authentic</v>
      </c>
      <c r="O1023" s="49" t="str">
        <f>IFERROR(__xludf.DUMMYFUNCTION("""COMPUTED_VALUE"""),"daytime")</f>
        <v>daytime</v>
      </c>
      <c r="P1023" s="49" t="str">
        <f t="shared" si="2"/>
        <v>gotten,</v>
      </c>
      <c r="Q1023" s="49"/>
      <c r="R1023" s="50" t="s">
        <v>80</v>
      </c>
      <c r="S1023" s="55" t="s">
        <v>2199</v>
      </c>
      <c r="T1023" s="49" t="str">
        <f>IFERROR(__xludf.DUMMYFUNCTION("""COMPUTED_VALUE"""),"acquire")</f>
        <v>acquire</v>
      </c>
      <c r="U1023" s="49"/>
      <c r="V1023" s="49"/>
      <c r="W1023" s="49" t="str">
        <f>IFERROR(__xludf.DUMMYFUNCTION("""COMPUTED_VALUE"""),"operative")</f>
        <v>operative</v>
      </c>
      <c r="X1023" s="49" t="str">
        <f t="shared" si="3"/>
        <v>emotional,</v>
      </c>
      <c r="Y1023" s="49"/>
      <c r="Z1023" s="1" t="s">
        <v>1120</v>
      </c>
      <c r="AA1023" s="1" t="s">
        <v>3884</v>
      </c>
      <c r="AB1023" s="49" t="str">
        <f>IFERROR(__xludf.DUMMYFUNCTION("""COMPUTED_VALUE"""),"wilde")</f>
        <v>wilde</v>
      </c>
      <c r="AC1023" s="49"/>
      <c r="AD1023" s="49" t="str">
        <f>IFERROR(__xludf.DUMMYFUNCTION("""COMPUTED_VALUE"""),"authentic")</f>
        <v>authentic</v>
      </c>
      <c r="AE1023" s="49" t="str">
        <f>IFERROR(__xludf.DUMMYFUNCTION("""COMPUTED_VALUE"""),"daytime")</f>
        <v>daytime</v>
      </c>
      <c r="AF1023" s="49" t="str">
        <f t="shared" si="4"/>
        <v>anyone,</v>
      </c>
      <c r="AG1023" s="49"/>
      <c r="AH1023" s="1" t="s">
        <v>1981</v>
      </c>
      <c r="AI1023" s="1" t="s">
        <v>6427</v>
      </c>
      <c r="AJ1023" s="6" t="str">
        <f>IFERROR(__xludf.DUMMYFUNCTION("""COMPUTED_VALUE"""),"gone")</f>
        <v>gone</v>
      </c>
      <c r="AK1023" s="49"/>
      <c r="AL1023" s="49"/>
      <c r="AM1023" s="49"/>
      <c r="AN1023" s="52" t="str">
        <f t="shared" si="5"/>
        <v>sets,</v>
      </c>
    </row>
    <row r="1024">
      <c r="A1024" s="51"/>
      <c r="B1024" s="50" t="s">
        <v>6515</v>
      </c>
      <c r="C1024" s="50" t="s">
        <v>2063</v>
      </c>
      <c r="D1024" s="49" t="str">
        <f>IFERROR(__xludf.DUMMYFUNCTION("""COMPUTED_VALUE"""),"seven")</f>
        <v>seven</v>
      </c>
      <c r="E1024" s="49"/>
      <c r="F1024" s="49"/>
      <c r="G1024" s="49"/>
      <c r="H1024" s="54" t="str">
        <f t="shared" si="1"/>
        <v>hired,</v>
      </c>
      <c r="I1024" s="50"/>
      <c r="J1024" s="50" t="s">
        <v>6003</v>
      </c>
      <c r="K1024" s="50" t="s">
        <v>2346</v>
      </c>
      <c r="L1024" s="49" t="str">
        <f>IFERROR(__xludf.DUMMYFUNCTION("""COMPUTED_VALUE"""),"offensive")</f>
        <v>offensive</v>
      </c>
      <c r="M1024" s="49"/>
      <c r="N1024" s="49" t="str">
        <f>IFERROR(__xludf.DUMMYFUNCTION("""COMPUTED_VALUE"""),"strive")</f>
        <v>strive</v>
      </c>
      <c r="O1024" s="49" t="str">
        <f>IFERROR(__xludf.DUMMYFUNCTION("""COMPUTED_VALUE"""),"derived")</f>
        <v>derived</v>
      </c>
      <c r="P1024" s="49" t="str">
        <f t="shared" si="2"/>
        <v>frequent,</v>
      </c>
      <c r="Q1024" s="49"/>
      <c r="R1024" s="50" t="s">
        <v>532</v>
      </c>
      <c r="S1024" s="55" t="s">
        <v>2164</v>
      </c>
      <c r="T1024" s="49" t="str">
        <f>IFERROR(__xludf.DUMMYFUNCTION("""COMPUTED_VALUE"""),"predecessor")</f>
        <v>predecessor</v>
      </c>
      <c r="U1024" s="49"/>
      <c r="V1024" s="49"/>
      <c r="W1024" s="49" t="str">
        <f>IFERROR(__xludf.DUMMYFUNCTION("""COMPUTED_VALUE"""),"irrational")</f>
        <v>irrational</v>
      </c>
      <c r="X1024" s="49" t="str">
        <f t="shared" si="3"/>
        <v>half,</v>
      </c>
      <c r="Y1024" s="49"/>
      <c r="Z1024" s="1" t="s">
        <v>2676</v>
      </c>
      <c r="AA1024" s="1" t="s">
        <v>3887</v>
      </c>
      <c r="AB1024" s="49" t="str">
        <f>IFERROR(__xludf.DUMMYFUNCTION("""COMPUTED_VALUE"""),"gangs")</f>
        <v>gangs</v>
      </c>
      <c r="AC1024" s="49"/>
      <c r="AD1024" s="49" t="str">
        <f>IFERROR(__xludf.DUMMYFUNCTION("""COMPUTED_VALUE"""),"strive")</f>
        <v>strive</v>
      </c>
      <c r="AE1024" s="49" t="str">
        <f>IFERROR(__xludf.DUMMYFUNCTION("""COMPUTED_VALUE"""),"derived")</f>
        <v>derived</v>
      </c>
      <c r="AF1024" s="49" t="str">
        <f t="shared" si="4"/>
        <v>reel,</v>
      </c>
      <c r="AG1024" s="49"/>
      <c r="AH1024" s="1" t="s">
        <v>4146</v>
      </c>
      <c r="AI1024" s="1" t="s">
        <v>6409</v>
      </c>
      <c r="AJ1024" s="6" t="str">
        <f>IFERROR(__xludf.DUMMYFUNCTION("""COMPUTED_VALUE"""),"fans")</f>
        <v>fans</v>
      </c>
      <c r="AK1024" s="49"/>
      <c r="AL1024" s="49"/>
      <c r="AM1024" s="49"/>
      <c r="AN1024" s="52" t="str">
        <f t="shared" si="5"/>
        <v>ryan,</v>
      </c>
    </row>
    <row r="1025">
      <c r="A1025" s="51"/>
      <c r="B1025" s="50" t="s">
        <v>2547</v>
      </c>
      <c r="C1025" s="50" t="s">
        <v>543</v>
      </c>
      <c r="D1025" s="49" t="str">
        <f>IFERROR(__xludf.DUMMYFUNCTION("""COMPUTED_VALUE"""),"silence")</f>
        <v>silence</v>
      </c>
      <c r="E1025" s="49"/>
      <c r="F1025" s="49"/>
      <c r="G1025" s="49"/>
      <c r="H1025" s="54" t="str">
        <f t="shared" si="1"/>
        <v>delivered,</v>
      </c>
      <c r="I1025" s="50"/>
      <c r="J1025" s="50" t="s">
        <v>1451</v>
      </c>
      <c r="K1025" s="50" t="s">
        <v>3892</v>
      </c>
      <c r="L1025" s="49" t="str">
        <f>IFERROR(__xludf.DUMMYFUNCTION("""COMPUTED_VALUE"""),"ill")</f>
        <v>ill</v>
      </c>
      <c r="M1025" s="49"/>
      <c r="N1025" s="49" t="str">
        <f>IFERROR(__xludf.DUMMYFUNCTION("""COMPUTED_VALUE"""),"bu")</f>
        <v>bu</v>
      </c>
      <c r="O1025" s="49" t="str">
        <f>IFERROR(__xludf.DUMMYFUNCTION("""COMPUTED_VALUE"""),"tormented")</f>
        <v>tormented</v>
      </c>
      <c r="P1025" s="49" t="str">
        <f t="shared" si="2"/>
        <v>crimes,</v>
      </c>
      <c r="Q1025" s="49"/>
      <c r="R1025" s="50" t="s">
        <v>2900</v>
      </c>
      <c r="S1025" s="55" t="s">
        <v>3656</v>
      </c>
      <c r="T1025" s="49" t="str">
        <f>IFERROR(__xludf.DUMMYFUNCTION("""COMPUTED_VALUE"""),"satisfactory")</f>
        <v>satisfactory</v>
      </c>
      <c r="U1025" s="49"/>
      <c r="V1025" s="49"/>
      <c r="W1025" s="49" t="str">
        <f>IFERROR(__xludf.DUMMYFUNCTION("""COMPUTED_VALUE"""),"directly")</f>
        <v>directly</v>
      </c>
      <c r="X1025" s="49" t="str">
        <f t="shared" si="3"/>
        <v>separation,</v>
      </c>
      <c r="Y1025" s="49"/>
      <c r="Z1025" s="1" t="s">
        <v>4694</v>
      </c>
      <c r="AA1025" s="1" t="s">
        <v>3889</v>
      </c>
      <c r="AB1025" s="49" t="str">
        <f>IFERROR(__xludf.DUMMYFUNCTION("""COMPUTED_VALUE"""),"visionary")</f>
        <v>visionary</v>
      </c>
      <c r="AC1025" s="49"/>
      <c r="AD1025" s="49" t="str">
        <f>IFERROR(__xludf.DUMMYFUNCTION("""COMPUTED_VALUE"""),"bu")</f>
        <v>bu</v>
      </c>
      <c r="AE1025" s="49" t="str">
        <f>IFERROR(__xludf.DUMMYFUNCTION("""COMPUTED_VALUE"""),"tormented")</f>
        <v>tormented</v>
      </c>
      <c r="AF1025" s="49" t="str">
        <f t="shared" si="4"/>
        <v>independent,</v>
      </c>
      <c r="AG1025" s="49"/>
      <c r="AH1025" s="1" t="s">
        <v>4621</v>
      </c>
      <c r="AI1025" s="1" t="s">
        <v>1046</v>
      </c>
      <c r="AJ1025" s="6" t="str">
        <f>IFERROR(__xludf.DUMMYFUNCTION("""COMPUTED_VALUE"""),"roll")</f>
        <v>roll</v>
      </c>
      <c r="AK1025" s="49"/>
      <c r="AL1025" s="49"/>
      <c r="AM1025" s="49"/>
      <c r="AN1025" s="52" t="str">
        <f t="shared" si="5"/>
        <v>catch,</v>
      </c>
    </row>
    <row r="1026">
      <c r="A1026" s="51"/>
      <c r="B1026" s="50" t="s">
        <v>4509</v>
      </c>
      <c r="C1026" s="50" t="s">
        <v>2047</v>
      </c>
      <c r="D1026" s="49" t="str">
        <f>IFERROR(__xludf.DUMMYFUNCTION("""COMPUTED_VALUE"""),"heavily")</f>
        <v>heavily</v>
      </c>
      <c r="E1026" s="49"/>
      <c r="F1026" s="49"/>
      <c r="G1026" s="49"/>
      <c r="H1026" s="54" t="str">
        <f t="shared" si="1"/>
        <v>ghost,</v>
      </c>
      <c r="I1026" s="50"/>
      <c r="J1026" s="50" t="s">
        <v>4687</v>
      </c>
      <c r="K1026" s="50" t="s">
        <v>2710</v>
      </c>
      <c r="L1026" s="49" t="str">
        <f>IFERROR(__xludf.DUMMYFUNCTION("""COMPUTED_VALUE"""),"wind")</f>
        <v>wind</v>
      </c>
      <c r="M1026" s="49"/>
      <c r="N1026" s="49" t="str">
        <f>IFERROR(__xludf.DUMMYFUNCTION("""COMPUTED_VALUE"""),"disneyland")</f>
        <v>disneyland</v>
      </c>
      <c r="O1026" s="49" t="str">
        <f>IFERROR(__xludf.DUMMYFUNCTION("""COMPUTED_VALUE"""),"proceedings")</f>
        <v>proceedings</v>
      </c>
      <c r="P1026" s="49" t="str">
        <f t="shared" si="2"/>
        <v>web,</v>
      </c>
      <c r="Q1026" s="49"/>
      <c r="R1026" s="50" t="s">
        <v>2705</v>
      </c>
      <c r="S1026" s="55" t="s">
        <v>2168</v>
      </c>
      <c r="T1026" s="49" t="str">
        <f>IFERROR(__xludf.DUMMYFUNCTION("""COMPUTED_VALUE"""),"encouraging")</f>
        <v>encouraging</v>
      </c>
      <c r="U1026" s="49"/>
      <c r="V1026" s="49"/>
      <c r="W1026" s="49" t="str">
        <f>IFERROR(__xludf.DUMMYFUNCTION("""COMPUTED_VALUE"""),"scribe")</f>
        <v>scribe</v>
      </c>
      <c r="X1026" s="49" t="str">
        <f t="shared" si="3"/>
        <v>nor,</v>
      </c>
      <c r="Y1026" s="49"/>
      <c r="Z1026" s="1" t="s">
        <v>625</v>
      </c>
      <c r="AA1026" s="1" t="s">
        <v>3893</v>
      </c>
      <c r="AB1026" s="49" t="str">
        <f>IFERROR(__xludf.DUMMYFUNCTION("""COMPUTED_VALUE"""),"vibrant")</f>
        <v>vibrant</v>
      </c>
      <c r="AC1026" s="49"/>
      <c r="AD1026" s="49" t="str">
        <f>IFERROR(__xludf.DUMMYFUNCTION("""COMPUTED_VALUE"""),"disneyland")</f>
        <v>disneyland</v>
      </c>
      <c r="AE1026" s="49" t="str">
        <f>IFERROR(__xludf.DUMMYFUNCTION("""COMPUTED_VALUE"""),"proceedings")</f>
        <v>proceedings</v>
      </c>
      <c r="AF1026" s="49" t="str">
        <f t="shared" si="4"/>
        <v>told,</v>
      </c>
      <c r="AG1026" s="49"/>
      <c r="AH1026" s="1" t="s">
        <v>2047</v>
      </c>
      <c r="AI1026" s="1" t="s">
        <v>2063</v>
      </c>
      <c r="AJ1026" s="6" t="str">
        <f>IFERROR(__xludf.DUMMYFUNCTION("""COMPUTED_VALUE"""),"rating")</f>
        <v>rating</v>
      </c>
      <c r="AK1026" s="49"/>
      <c r="AL1026" s="49"/>
      <c r="AM1026" s="49"/>
      <c r="AN1026" s="52" t="str">
        <f t="shared" si="5"/>
        <v>rare,</v>
      </c>
    </row>
    <row r="1027">
      <c r="A1027" s="51"/>
      <c r="B1027" s="50" t="s">
        <v>6821</v>
      </c>
      <c r="C1027" s="50" t="s">
        <v>2050</v>
      </c>
      <c r="D1027" s="49" t="str">
        <f>IFERROR(__xludf.DUMMYFUNCTION("""COMPUTED_VALUE"""),"maintain")</f>
        <v>maintain</v>
      </c>
      <c r="E1027" s="49"/>
      <c r="F1027" s="49"/>
      <c r="G1027" s="49"/>
      <c r="H1027" s="54" t="str">
        <f t="shared" si="1"/>
        <v>promised,</v>
      </c>
      <c r="I1027" s="50"/>
      <c r="J1027" s="50" t="s">
        <v>216</v>
      </c>
      <c r="K1027" s="50" t="s">
        <v>1081</v>
      </c>
      <c r="L1027" s="49" t="str">
        <f>IFERROR(__xludf.DUMMYFUNCTION("""COMPUTED_VALUE"""),"pic")</f>
        <v>pic</v>
      </c>
      <c r="M1027" s="49"/>
      <c r="N1027" s="49" t="str">
        <f>IFERROR(__xludf.DUMMYFUNCTION("""COMPUTED_VALUE"""),"sl")</f>
        <v>sl</v>
      </c>
      <c r="O1027" s="49" t="str">
        <f>IFERROR(__xludf.DUMMYFUNCTION("""COMPUTED_VALUE"""),"adds")</f>
        <v>adds</v>
      </c>
      <c r="P1027" s="49" t="str">
        <f t="shared" si="2"/>
        <v>hopeless,</v>
      </c>
      <c r="Q1027" s="49"/>
      <c r="R1027" s="50" t="s">
        <v>3112</v>
      </c>
      <c r="S1027" s="55" t="s">
        <v>2177</v>
      </c>
      <c r="T1027" s="49" t="str">
        <f>IFERROR(__xludf.DUMMYFUNCTION("""COMPUTED_VALUE"""),"students")</f>
        <v>students</v>
      </c>
      <c r="U1027" s="49"/>
      <c r="V1027" s="49"/>
      <c r="W1027" s="49" t="str">
        <f>IFERROR(__xludf.DUMMYFUNCTION("""COMPUTED_VALUE"""),"ralph")</f>
        <v>ralph</v>
      </c>
      <c r="X1027" s="49" t="str">
        <f t="shared" si="3"/>
        <v>crucial,</v>
      </c>
      <c r="Y1027" s="49"/>
      <c r="Z1027" s="1" t="s">
        <v>2409</v>
      </c>
      <c r="AA1027" s="1" t="s">
        <v>1281</v>
      </c>
      <c r="AB1027" s="49" t="str">
        <f>IFERROR(__xludf.DUMMYFUNCTION("""COMPUTED_VALUE"""),"aims")</f>
        <v>aims</v>
      </c>
      <c r="AC1027" s="49"/>
      <c r="AD1027" s="49" t="str">
        <f>IFERROR(__xludf.DUMMYFUNCTION("""COMPUTED_VALUE"""),"sl")</f>
        <v>sl</v>
      </c>
      <c r="AE1027" s="49" t="str">
        <f>IFERROR(__xludf.DUMMYFUNCTION("""COMPUTED_VALUE"""),"adds")</f>
        <v>adds</v>
      </c>
      <c r="AF1027" s="49" t="str">
        <f t="shared" si="4"/>
        <v>hoping,</v>
      </c>
      <c r="AG1027" s="49"/>
      <c r="AH1027" s="1" t="s">
        <v>3463</v>
      </c>
      <c r="AI1027" s="1" t="s">
        <v>543</v>
      </c>
      <c r="AJ1027" s="6" t="str">
        <f>IFERROR(__xludf.DUMMYFUNCTION("""COMPUTED_VALUE"""),"enjoy")</f>
        <v>enjoy</v>
      </c>
      <c r="AK1027" s="49"/>
      <c r="AL1027" s="49"/>
      <c r="AM1027" s="49"/>
      <c r="AN1027" s="52" t="str">
        <f t="shared" si="5"/>
        <v>kevin,</v>
      </c>
    </row>
    <row r="1028">
      <c r="A1028" s="51"/>
      <c r="B1028" s="50" t="s">
        <v>4216</v>
      </c>
      <c r="C1028" s="50" t="s">
        <v>2127</v>
      </c>
      <c r="D1028" s="49" t="str">
        <f>IFERROR(__xludf.DUMMYFUNCTION("""COMPUTED_VALUE"""),"turned")</f>
        <v>turned</v>
      </c>
      <c r="E1028" s="49"/>
      <c r="F1028" s="49"/>
      <c r="G1028" s="49"/>
      <c r="H1028" s="54" t="str">
        <f t="shared" si="1"/>
        <v>advice,</v>
      </c>
      <c r="I1028" s="50"/>
      <c r="J1028" s="50" t="s">
        <v>2755</v>
      </c>
      <c r="K1028" s="50" t="s">
        <v>2337</v>
      </c>
      <c r="L1028" s="49" t="str">
        <f>IFERROR(__xludf.DUMMYFUNCTION("""COMPUTED_VALUE"""),"references")</f>
        <v>references</v>
      </c>
      <c r="M1028" s="49"/>
      <c r="N1028" s="49" t="str">
        <f>IFERROR(__xludf.DUMMYFUNCTION("""COMPUTED_VALUE"""),"nan")</f>
        <v>nan</v>
      </c>
      <c r="O1028" s="49" t="str">
        <f>IFERROR(__xludf.DUMMYFUNCTION("""COMPUTED_VALUE"""),"anchor")</f>
        <v>anchor</v>
      </c>
      <c r="P1028" s="49" t="str">
        <f t="shared" si="2"/>
        <v>situation,</v>
      </c>
      <c r="Q1028" s="49"/>
      <c r="R1028" s="50" t="s">
        <v>5654</v>
      </c>
      <c r="S1028" s="55" t="s">
        <v>3142</v>
      </c>
      <c r="T1028" s="49" t="str">
        <f>IFERROR(__xludf.DUMMYFUNCTION("""COMPUTED_VALUE"""),"brain")</f>
        <v>brain</v>
      </c>
      <c r="U1028" s="49"/>
      <c r="V1028" s="49"/>
      <c r="W1028" s="49" t="str">
        <f>IFERROR(__xludf.DUMMYFUNCTION("""COMPUTED_VALUE"""),"concludes")</f>
        <v>concludes</v>
      </c>
      <c r="X1028" s="49" t="str">
        <f t="shared" si="3"/>
        <v>believing,</v>
      </c>
      <c r="Y1028" s="49"/>
      <c r="Z1028" s="1" t="s">
        <v>221</v>
      </c>
      <c r="AA1028" s="1" t="s">
        <v>2731</v>
      </c>
      <c r="AB1028" s="49" t="str">
        <f>IFERROR(__xludf.DUMMYFUNCTION("""COMPUTED_VALUE"""),"paint")</f>
        <v>paint</v>
      </c>
      <c r="AC1028" s="49"/>
      <c r="AD1028" s="49" t="str">
        <f>IFERROR(__xludf.DUMMYFUNCTION("""COMPUTED_VALUE"""),"nan")</f>
        <v>nan</v>
      </c>
      <c r="AE1028" s="49" t="str">
        <f>IFERROR(__xludf.DUMMYFUNCTION("""COMPUTED_VALUE"""),"anchor")</f>
        <v>anchor</v>
      </c>
      <c r="AF1028" s="49" t="str">
        <f t="shared" si="4"/>
        <v>next,</v>
      </c>
      <c r="AG1028" s="49"/>
      <c r="AH1028" s="1" t="s">
        <v>397</v>
      </c>
      <c r="AI1028" s="1" t="s">
        <v>2047</v>
      </c>
      <c r="AJ1028" s="6" t="str">
        <f>IFERROR(__xludf.DUMMYFUNCTION("""COMPUTED_VALUE"""),"glance")</f>
        <v>glance</v>
      </c>
      <c r="AK1028" s="49"/>
      <c r="AL1028" s="49"/>
      <c r="AM1028" s="49"/>
      <c r="AN1028" s="52" t="str">
        <f t="shared" si="5"/>
        <v>usual,</v>
      </c>
    </row>
    <row r="1029">
      <c r="A1029" s="51"/>
      <c r="B1029" s="50" t="s">
        <v>1203</v>
      </c>
      <c r="C1029" s="50" t="s">
        <v>4814</v>
      </c>
      <c r="D1029" s="49" t="str">
        <f>IFERROR(__xludf.DUMMYFUNCTION("""COMPUTED_VALUE"""),"pile")</f>
        <v>pile</v>
      </c>
      <c r="E1029" s="49"/>
      <c r="F1029" s="49"/>
      <c r="G1029" s="49"/>
      <c r="H1029" s="54" t="str">
        <f t="shared" si="1"/>
        <v>mystery,</v>
      </c>
      <c r="I1029" s="50"/>
      <c r="J1029" s="50" t="s">
        <v>596</v>
      </c>
      <c r="K1029" s="50" t="s">
        <v>2339</v>
      </c>
      <c r="L1029" s="49" t="str">
        <f>IFERROR(__xludf.DUMMYFUNCTION("""COMPUTED_VALUE"""),"vulgar")</f>
        <v>vulgar</v>
      </c>
      <c r="M1029" s="49"/>
      <c r="N1029" s="49" t="str">
        <f>IFERROR(__xludf.DUMMYFUNCTION("""COMPUTED_VALUE"""),"lang")</f>
        <v>lang</v>
      </c>
      <c r="O1029" s="49" t="str">
        <f>IFERROR(__xludf.DUMMYFUNCTION("""COMPUTED_VALUE"""),"improvement")</f>
        <v>improvement</v>
      </c>
      <c r="P1029" s="49" t="str">
        <f t="shared" si="2"/>
        <v>intensity,</v>
      </c>
      <c r="Q1029" s="49"/>
      <c r="R1029" s="50" t="s">
        <v>2293</v>
      </c>
      <c r="S1029" s="55" t="s">
        <v>3894</v>
      </c>
      <c r="T1029" s="49" t="str">
        <f>IFERROR(__xludf.DUMMYFUNCTION("""COMPUTED_VALUE"""),"stale")</f>
        <v>stale</v>
      </c>
      <c r="U1029" s="49"/>
      <c r="V1029" s="49"/>
      <c r="W1029" s="49" t="str">
        <f>IFERROR(__xludf.DUMMYFUNCTION("""COMPUTED_VALUE"""),"control")</f>
        <v>control</v>
      </c>
      <c r="X1029" s="49" t="str">
        <f t="shared" si="3"/>
        <v>store,</v>
      </c>
      <c r="Y1029" s="49"/>
      <c r="Z1029" s="1" t="s">
        <v>4007</v>
      </c>
      <c r="AA1029" s="1" t="s">
        <v>2734</v>
      </c>
      <c r="AB1029" s="49" t="str">
        <f>IFERROR(__xludf.DUMMYFUNCTION("""COMPUTED_VALUE"""),"exquisite")</f>
        <v>exquisite</v>
      </c>
      <c r="AC1029" s="49"/>
      <c r="AD1029" s="49" t="str">
        <f>IFERROR(__xludf.DUMMYFUNCTION("""COMPUTED_VALUE"""),"lang")</f>
        <v>lang</v>
      </c>
      <c r="AE1029" s="49" t="str">
        <f>IFERROR(__xludf.DUMMYFUNCTION("""COMPUTED_VALUE"""),"improvement")</f>
        <v>improvement</v>
      </c>
      <c r="AF1029" s="49" t="str">
        <f t="shared" si="4"/>
        <v>condition,</v>
      </c>
      <c r="AG1029" s="49"/>
      <c r="AH1029" s="1" t="s">
        <v>3348</v>
      </c>
      <c r="AI1029" s="1" t="s">
        <v>2050</v>
      </c>
      <c r="AJ1029" s="6" t="str">
        <f>IFERROR(__xludf.DUMMYFUNCTION("""COMPUTED_VALUE"""),"wondering")</f>
        <v>wondering</v>
      </c>
      <c r="AK1029" s="49"/>
      <c r="AL1029" s="49"/>
      <c r="AM1029" s="49"/>
      <c r="AN1029" s="52" t="str">
        <f t="shared" si="5"/>
        <v>measure,</v>
      </c>
    </row>
    <row r="1030">
      <c r="A1030" s="51"/>
      <c r="B1030" s="50" t="s">
        <v>7311</v>
      </c>
      <c r="C1030" s="50" t="s">
        <v>2048</v>
      </c>
      <c r="D1030" s="49" t="str">
        <f>IFERROR(__xludf.DUMMYFUNCTION("""COMPUTED_VALUE"""),"period")</f>
        <v>period</v>
      </c>
      <c r="E1030" s="49"/>
      <c r="F1030" s="49"/>
      <c r="G1030" s="49"/>
      <c r="H1030" s="54" t="str">
        <f t="shared" si="1"/>
        <v>col,</v>
      </c>
      <c r="I1030" s="50"/>
      <c r="J1030" s="50" t="s">
        <v>5280</v>
      </c>
      <c r="K1030" s="50" t="s">
        <v>2344</v>
      </c>
      <c r="L1030" s="49" t="str">
        <f>IFERROR(__xludf.DUMMYFUNCTION("""COMPUTED_VALUE"""),"opera")</f>
        <v>opera</v>
      </c>
      <c r="M1030" s="49"/>
      <c r="N1030" s="49" t="str">
        <f>IFERROR(__xludf.DUMMYFUNCTION("""COMPUTED_VALUE"""),"techniques")</f>
        <v>techniques</v>
      </c>
      <c r="O1030" s="49" t="str">
        <f>IFERROR(__xludf.DUMMYFUNCTION("""COMPUTED_VALUE"""),"audrey")</f>
        <v>audrey</v>
      </c>
      <c r="P1030" s="49" t="str">
        <f t="shared" si="2"/>
        <v>unhappy,</v>
      </c>
      <c r="Q1030" s="49"/>
      <c r="R1030" s="50" t="s">
        <v>3903</v>
      </c>
      <c r="S1030" s="55" t="s">
        <v>1099</v>
      </c>
      <c r="T1030" s="49" t="str">
        <f>IFERROR(__xludf.DUMMYFUNCTION("""COMPUTED_VALUE"""),"compelling")</f>
        <v>compelling</v>
      </c>
      <c r="U1030" s="49"/>
      <c r="V1030" s="49"/>
      <c r="W1030" s="49" t="str">
        <f>IFERROR(__xludf.DUMMYFUNCTION("""COMPUTED_VALUE"""),"norton")</f>
        <v>norton</v>
      </c>
      <c r="X1030" s="49" t="str">
        <f t="shared" si="3"/>
        <v>disbelief,</v>
      </c>
      <c r="Y1030" s="49"/>
      <c r="Z1030" s="1" t="s">
        <v>3236</v>
      </c>
      <c r="AA1030" s="1" t="s">
        <v>928</v>
      </c>
      <c r="AB1030" s="49" t="str">
        <f>IFERROR(__xludf.DUMMYFUNCTION("""COMPUTED_VALUE"""),"dimensional")</f>
        <v>dimensional</v>
      </c>
      <c r="AC1030" s="49"/>
      <c r="AD1030" s="49" t="str">
        <f>IFERROR(__xludf.DUMMYFUNCTION("""COMPUTED_VALUE"""),"techniques")</f>
        <v>techniques</v>
      </c>
      <c r="AE1030" s="49" t="str">
        <f>IFERROR(__xludf.DUMMYFUNCTION("""COMPUTED_VALUE"""),"audrey")</f>
        <v>audrey</v>
      </c>
      <c r="AF1030" s="49" t="str">
        <f t="shared" si="4"/>
        <v>critical,</v>
      </c>
      <c r="AG1030" s="49"/>
      <c r="AH1030" s="1" t="s">
        <v>2788</v>
      </c>
      <c r="AI1030" s="1" t="s">
        <v>2127</v>
      </c>
      <c r="AJ1030" s="6" t="str">
        <f>IFERROR(__xludf.DUMMYFUNCTION("""COMPUTED_VALUE"""),"later")</f>
        <v>later</v>
      </c>
      <c r="AK1030" s="49"/>
      <c r="AL1030" s="49"/>
      <c r="AM1030" s="49"/>
      <c r="AN1030" s="52" t="str">
        <f t="shared" si="5"/>
        <v>tossed,</v>
      </c>
    </row>
    <row r="1031">
      <c r="A1031" s="51"/>
      <c r="B1031" s="50" t="s">
        <v>1146</v>
      </c>
      <c r="C1031" s="50" t="s">
        <v>2878</v>
      </c>
      <c r="D1031" s="49" t="str">
        <f>IFERROR(__xludf.DUMMYFUNCTION("""COMPUTED_VALUE"""),"tell")</f>
        <v>tell</v>
      </c>
      <c r="E1031" s="49"/>
      <c r="F1031" s="49"/>
      <c r="G1031" s="49"/>
      <c r="H1031" s="54" t="str">
        <f t="shared" si="1"/>
        <v>top,</v>
      </c>
      <c r="I1031" s="50"/>
      <c r="J1031" s="50" t="s">
        <v>2332</v>
      </c>
      <c r="K1031" s="50" t="s">
        <v>3340</v>
      </c>
      <c r="L1031" s="49" t="str">
        <f>IFERROR(__xludf.DUMMYFUNCTION("""COMPUTED_VALUE"""),"opaque")</f>
        <v>opaque</v>
      </c>
      <c r="M1031" s="49"/>
      <c r="N1031" s="49" t="str">
        <f>IFERROR(__xludf.DUMMYFUNCTION("""COMPUTED_VALUE"""),"neatly")</f>
        <v>neatly</v>
      </c>
      <c r="O1031" s="49" t="str">
        <f>IFERROR(__xludf.DUMMYFUNCTION("""COMPUTED_VALUE"""),"soldiers")</f>
        <v>soldiers</v>
      </c>
      <c r="P1031" s="49" t="str">
        <f t="shared" si="2"/>
        <v>frequently,</v>
      </c>
      <c r="Q1031" s="49"/>
      <c r="R1031" s="50" t="s">
        <v>352</v>
      </c>
      <c r="S1031" s="55" t="s">
        <v>4331</v>
      </c>
      <c r="T1031" s="49" t="str">
        <f>IFERROR(__xludf.DUMMYFUNCTION("""COMPUTED_VALUE"""),"bitter")</f>
        <v>bitter</v>
      </c>
      <c r="U1031" s="49"/>
      <c r="V1031" s="49"/>
      <c r="W1031" s="49" t="str">
        <f>IFERROR(__xludf.DUMMYFUNCTION("""COMPUTED_VALUE"""),"illuminating")</f>
        <v>illuminating</v>
      </c>
      <c r="X1031" s="49" t="str">
        <f t="shared" si="3"/>
        <v>haunting,</v>
      </c>
      <c r="Y1031" s="49"/>
      <c r="Z1031" s="1" t="s">
        <v>2404</v>
      </c>
      <c r="AA1031" s="1" t="s">
        <v>2639</v>
      </c>
      <c r="AB1031" s="49" t="str">
        <f>IFERROR(__xludf.DUMMYFUNCTION("""COMPUTED_VALUE"""),"distinguished")</f>
        <v>distinguished</v>
      </c>
      <c r="AC1031" s="49"/>
      <c r="AD1031" s="49" t="str">
        <f>IFERROR(__xludf.DUMMYFUNCTION("""COMPUTED_VALUE"""),"neatly")</f>
        <v>neatly</v>
      </c>
      <c r="AE1031" s="49" t="str">
        <f>IFERROR(__xludf.DUMMYFUNCTION("""COMPUTED_VALUE"""),"soldiers")</f>
        <v>soldiers</v>
      </c>
      <c r="AF1031" s="49" t="str">
        <f t="shared" si="4"/>
        <v>needs,</v>
      </c>
      <c r="AG1031" s="49"/>
      <c r="AH1031" s="1" t="s">
        <v>1151</v>
      </c>
      <c r="AI1031" s="1" t="s">
        <v>4814</v>
      </c>
      <c r="AJ1031" s="6" t="str">
        <f>IFERROR(__xludf.DUMMYFUNCTION("""COMPUTED_VALUE"""),"formed")</f>
        <v>formed</v>
      </c>
      <c r="AK1031" s="49"/>
      <c r="AL1031" s="49"/>
      <c r="AM1031" s="49"/>
      <c r="AN1031" s="52" t="str">
        <f t="shared" si="5"/>
        <v>city,</v>
      </c>
    </row>
    <row r="1032">
      <c r="A1032" s="51"/>
      <c r="B1032" s="50" t="s">
        <v>6836</v>
      </c>
      <c r="C1032" s="50">
        <v>48.0</v>
      </c>
      <c r="D1032" s="49" t="str">
        <f>IFERROR(__xludf.DUMMYFUNCTION("""COMPUTED_VALUE"""),"vietnam")</f>
        <v>vietnam</v>
      </c>
      <c r="E1032" s="49"/>
      <c r="F1032" s="49"/>
      <c r="G1032" s="49"/>
      <c r="H1032" s="54" t="str">
        <f t="shared" si="1"/>
        <v>association,</v>
      </c>
      <c r="I1032" s="50"/>
      <c r="J1032" s="50" t="s">
        <v>3313</v>
      </c>
      <c r="K1032" s="50" t="s">
        <v>557</v>
      </c>
      <c r="L1032" s="49" t="str">
        <f>IFERROR(__xludf.DUMMYFUNCTION("""COMPUTED_VALUE"""),"uneven")</f>
        <v>uneven</v>
      </c>
      <c r="M1032" s="49"/>
      <c r="N1032" s="49" t="str">
        <f>IFERROR(__xludf.DUMMYFUNCTION("""COMPUTED_VALUE"""),"regard")</f>
        <v>regard</v>
      </c>
      <c r="O1032" s="49" t="str">
        <f>IFERROR(__xludf.DUMMYFUNCTION("""COMPUTED_VALUE"""),"spiked")</f>
        <v>spiked</v>
      </c>
      <c r="P1032" s="49" t="str">
        <f t="shared" si="2"/>
        <v>stand,</v>
      </c>
      <c r="Q1032" s="49"/>
      <c r="R1032" s="50" t="s">
        <v>5464</v>
      </c>
      <c r="S1032" s="55" t="s">
        <v>508</v>
      </c>
      <c r="T1032" s="49" t="str">
        <f>IFERROR(__xludf.DUMMYFUNCTION("""COMPUTED_VALUE"""),"diane")</f>
        <v>diane</v>
      </c>
      <c r="U1032" s="49"/>
      <c r="V1032" s="49"/>
      <c r="W1032" s="49" t="str">
        <f>IFERROR(__xludf.DUMMYFUNCTION("""COMPUTED_VALUE"""),"jonah")</f>
        <v>jonah</v>
      </c>
      <c r="X1032" s="49" t="str">
        <f t="shared" si="3"/>
        <v>digital,</v>
      </c>
      <c r="Y1032" s="49"/>
      <c r="Z1032" s="1" t="s">
        <v>6384</v>
      </c>
      <c r="AA1032" s="1" t="s">
        <v>718</v>
      </c>
      <c r="AB1032" s="49" t="str">
        <f>IFERROR(__xludf.DUMMYFUNCTION("""COMPUTED_VALUE"""),"poetic")</f>
        <v>poetic</v>
      </c>
      <c r="AC1032" s="49"/>
      <c r="AD1032" s="49" t="str">
        <f>IFERROR(__xludf.DUMMYFUNCTION("""COMPUTED_VALUE"""),"regard")</f>
        <v>regard</v>
      </c>
      <c r="AE1032" s="49" t="str">
        <f>IFERROR(__xludf.DUMMYFUNCTION("""COMPUTED_VALUE"""),"spiked")</f>
        <v>spiked</v>
      </c>
      <c r="AF1032" s="49" t="str">
        <f t="shared" si="4"/>
        <v>slow,</v>
      </c>
      <c r="AG1032" s="49"/>
      <c r="AH1032" s="1" t="s">
        <v>668</v>
      </c>
      <c r="AI1032" s="1" t="s">
        <v>2878</v>
      </c>
      <c r="AJ1032" s="6" t="str">
        <f>IFERROR(__xludf.DUMMYFUNCTION("""COMPUTED_VALUE"""),"news")</f>
        <v>news</v>
      </c>
      <c r="AK1032" s="49"/>
      <c r="AL1032" s="49"/>
      <c r="AM1032" s="49"/>
      <c r="AN1032" s="52" t="str">
        <f t="shared" si="5"/>
        <v>become,</v>
      </c>
    </row>
    <row r="1033">
      <c r="A1033" s="51"/>
      <c r="B1033" s="50" t="s">
        <v>530</v>
      </c>
      <c r="C1033" s="50" t="s">
        <v>1249</v>
      </c>
      <c r="D1033" s="49" t="str">
        <f>IFERROR(__xludf.DUMMYFUNCTION("""COMPUTED_VALUE"""),"souls")</f>
        <v>souls</v>
      </c>
      <c r="E1033" s="49"/>
      <c r="F1033" s="49"/>
      <c r="G1033" s="49"/>
      <c r="H1033" s="54" t="str">
        <f t="shared" si="1"/>
        <v>problem,</v>
      </c>
      <c r="I1033" s="50"/>
      <c r="J1033" s="50" t="s">
        <v>4951</v>
      </c>
      <c r="K1033" s="50" t="s">
        <v>692</v>
      </c>
      <c r="L1033" s="49" t="str">
        <f>IFERROR(__xludf.DUMMYFUNCTION("""COMPUTED_VALUE"""),"punishment")</f>
        <v>punishment</v>
      </c>
      <c r="M1033" s="49"/>
      <c r="N1033" s="49" t="str">
        <f>IFERROR(__xludf.DUMMYFUNCTION("""COMPUTED_VALUE"""),"capt")</f>
        <v>capt</v>
      </c>
      <c r="O1033" s="49" t="str">
        <f>IFERROR(__xludf.DUMMYFUNCTION("""COMPUTED_VALUE"""),"textbook")</f>
        <v>textbook</v>
      </c>
      <c r="P1033" s="49" t="str">
        <f t="shared" si="2"/>
        <v>destruction,</v>
      </c>
      <c r="Q1033" s="49"/>
      <c r="R1033" s="50" t="s">
        <v>2131</v>
      </c>
      <c r="S1033" s="55" t="s">
        <v>2183</v>
      </c>
      <c r="T1033" s="49" t="str">
        <f>IFERROR(__xludf.DUMMYFUNCTION("""COMPUTED_VALUE"""),"photographed")</f>
        <v>photographed</v>
      </c>
      <c r="U1033" s="49"/>
      <c r="V1033" s="49"/>
      <c r="W1033" s="49" t="str">
        <f>IFERROR(__xludf.DUMMYFUNCTION("""COMPUTED_VALUE"""),"garden")</f>
        <v>garden</v>
      </c>
      <c r="X1033" s="49" t="str">
        <f t="shared" si="3"/>
        <v>stream,</v>
      </c>
      <c r="Y1033" s="49"/>
      <c r="Z1033" s="1" t="s">
        <v>2952</v>
      </c>
      <c r="AA1033" s="1" t="s">
        <v>1980</v>
      </c>
      <c r="AB1033" s="49" t="str">
        <f>IFERROR(__xludf.DUMMYFUNCTION("""COMPUTED_VALUE"""),"pulling")</f>
        <v>pulling</v>
      </c>
      <c r="AC1033" s="49"/>
      <c r="AD1033" s="49" t="str">
        <f>IFERROR(__xludf.DUMMYFUNCTION("""COMPUTED_VALUE"""),"capt")</f>
        <v>capt</v>
      </c>
      <c r="AE1033" s="49" t="str">
        <f>IFERROR(__xludf.DUMMYFUNCTION("""COMPUTED_VALUE"""),"textbook")</f>
        <v>textbook</v>
      </c>
      <c r="AF1033" s="49" t="str">
        <f t="shared" si="4"/>
        <v>friday,</v>
      </c>
      <c r="AG1033" s="49"/>
      <c r="AH1033" s="1" t="s">
        <v>340</v>
      </c>
      <c r="AI1033" s="1">
        <v>48.0</v>
      </c>
      <c r="AJ1033" s="6" t="str">
        <f>IFERROR(__xludf.DUMMYFUNCTION("""COMPUTED_VALUE"""),"strong")</f>
        <v>strong</v>
      </c>
      <c r="AK1033" s="49"/>
      <c r="AL1033" s="49"/>
      <c r="AM1033" s="49"/>
      <c r="AN1033" s="52" t="str">
        <f t="shared" si="5"/>
        <v>feel,</v>
      </c>
    </row>
    <row r="1034">
      <c r="A1034" s="51"/>
      <c r="B1034" s="50" t="s">
        <v>1725</v>
      </c>
      <c r="C1034" s="50" t="s">
        <v>2051</v>
      </c>
      <c r="D1034" s="49" t="str">
        <f>IFERROR(__xludf.DUMMYFUNCTION("""COMPUTED_VALUE"""),"hint")</f>
        <v>hint</v>
      </c>
      <c r="E1034" s="49"/>
      <c r="F1034" s="49"/>
      <c r="G1034" s="49"/>
      <c r="H1034" s="54" t="str">
        <f t="shared" si="1"/>
        <v>problems,</v>
      </c>
      <c r="I1034" s="50"/>
      <c r="J1034" s="50" t="s">
        <v>5136</v>
      </c>
      <c r="K1034" s="50" t="s">
        <v>3412</v>
      </c>
      <c r="L1034" s="49" t="str">
        <f>IFERROR(__xludf.DUMMYFUNCTION("""COMPUTED_VALUE"""),"numbers")</f>
        <v>numbers</v>
      </c>
      <c r="M1034" s="49"/>
      <c r="N1034" s="49" t="str">
        <f>IFERROR(__xludf.DUMMYFUNCTION("""COMPUTED_VALUE"""),"accessible")</f>
        <v>accessible</v>
      </c>
      <c r="O1034" s="49" t="str">
        <f>IFERROR(__xludf.DUMMYFUNCTION("""COMPUTED_VALUE"""),"barbed")</f>
        <v>barbed</v>
      </c>
      <c r="P1034" s="49" t="str">
        <f t="shared" si="2"/>
        <v>chain,</v>
      </c>
      <c r="Q1034" s="49"/>
      <c r="R1034" s="50" t="s">
        <v>7312</v>
      </c>
      <c r="S1034" s="55" t="s">
        <v>517</v>
      </c>
      <c r="T1034" s="49" t="str">
        <f>IFERROR(__xludf.DUMMYFUNCTION("""COMPUTED_VALUE"""),"crises")</f>
        <v>crises</v>
      </c>
      <c r="U1034" s="49"/>
      <c r="V1034" s="49"/>
      <c r="W1034" s="49" t="str">
        <f>IFERROR(__xludf.DUMMYFUNCTION("""COMPUTED_VALUE"""),"freud")</f>
        <v>freud</v>
      </c>
      <c r="X1034" s="49" t="str">
        <f t="shared" si="3"/>
        <v>tag,</v>
      </c>
      <c r="Y1034" s="49"/>
      <c r="Z1034" s="1" t="s">
        <v>1258</v>
      </c>
      <c r="AA1034" s="1" t="s">
        <v>727</v>
      </c>
      <c r="AB1034" s="49" t="str">
        <f>IFERROR(__xludf.DUMMYFUNCTION("""COMPUTED_VALUE"""),"endurance")</f>
        <v>endurance</v>
      </c>
      <c r="AC1034" s="49"/>
      <c r="AD1034" s="49" t="str">
        <f>IFERROR(__xludf.DUMMYFUNCTION("""COMPUTED_VALUE"""),"accessible")</f>
        <v>accessible</v>
      </c>
      <c r="AE1034" s="49" t="str">
        <f>IFERROR(__xludf.DUMMYFUNCTION("""COMPUTED_VALUE"""),"barbed")</f>
        <v>barbed</v>
      </c>
      <c r="AF1034" s="49" t="str">
        <f t="shared" si="4"/>
        <v>known,</v>
      </c>
      <c r="AG1034" s="49"/>
      <c r="AH1034" s="1" t="s">
        <v>1068</v>
      </c>
      <c r="AI1034" s="1" t="s">
        <v>1249</v>
      </c>
      <c r="AJ1034" s="6" t="str">
        <f>IFERROR(__xludf.DUMMYFUNCTION("""COMPUTED_VALUE"""),"academy")</f>
        <v>academy</v>
      </c>
      <c r="AK1034" s="49"/>
      <c r="AL1034" s="49"/>
      <c r="AM1034" s="49"/>
      <c r="AN1034" s="52" t="str">
        <f t="shared" si="5"/>
        <v>rock,</v>
      </c>
    </row>
    <row r="1035">
      <c r="A1035" s="51"/>
      <c r="B1035" s="50" t="s">
        <v>2703</v>
      </c>
      <c r="C1035" s="50" t="s">
        <v>3427</v>
      </c>
      <c r="D1035" s="49" t="str">
        <f>IFERROR(__xludf.DUMMYFUNCTION("""COMPUTED_VALUE"""),"ages")</f>
        <v>ages</v>
      </c>
      <c r="E1035" s="49"/>
      <c r="F1035" s="49"/>
      <c r="G1035" s="49"/>
      <c r="H1035" s="54" t="str">
        <f t="shared" si="1"/>
        <v>purpose,</v>
      </c>
      <c r="I1035" s="50"/>
      <c r="J1035" s="50" t="s">
        <v>95</v>
      </c>
      <c r="K1035" s="50" t="s">
        <v>2357</v>
      </c>
      <c r="L1035" s="49" t="str">
        <f>IFERROR(__xludf.DUMMYFUNCTION("""COMPUTED_VALUE"""),"adaptations")</f>
        <v>adaptations</v>
      </c>
      <c r="M1035" s="49"/>
      <c r="N1035" s="49" t="str">
        <f>IFERROR(__xludf.DUMMYFUNCTION("""COMPUTED_VALUE"""),"integrity")</f>
        <v>integrity</v>
      </c>
      <c r="O1035" s="49" t="str">
        <f>IFERROR(__xludf.DUMMYFUNCTION("""COMPUTED_VALUE"""),"operatic")</f>
        <v>operatic</v>
      </c>
      <c r="P1035" s="49" t="str">
        <f t="shared" si="2"/>
        <v>vivid,</v>
      </c>
      <c r="Q1035" s="49"/>
      <c r="R1035" s="50" t="s">
        <v>1873</v>
      </c>
      <c r="S1035" s="55" t="s">
        <v>2186</v>
      </c>
      <c r="T1035" s="49" t="str">
        <f>IFERROR(__xludf.DUMMYFUNCTION("""COMPUTED_VALUE"""),"nominated")</f>
        <v>nominated</v>
      </c>
      <c r="U1035" s="49"/>
      <c r="V1035" s="49"/>
      <c r="W1035" s="49" t="str">
        <f>IFERROR(__xludf.DUMMYFUNCTION("""COMPUTED_VALUE"""),"static")</f>
        <v>static</v>
      </c>
      <c r="X1035" s="49" t="str">
        <f t="shared" si="3"/>
        <v>numb,</v>
      </c>
      <c r="Y1035" s="49"/>
      <c r="Z1035" s="1" t="s">
        <v>567</v>
      </c>
      <c r="AA1035" s="1" t="s">
        <v>2648</v>
      </c>
      <c r="AB1035" s="49" t="str">
        <f>IFERROR(__xludf.DUMMYFUNCTION("""COMPUTED_VALUE"""),"conviction")</f>
        <v>conviction</v>
      </c>
      <c r="AC1035" s="49"/>
      <c r="AD1035" s="49" t="str">
        <f>IFERROR(__xludf.DUMMYFUNCTION("""COMPUTED_VALUE"""),"integrity")</f>
        <v>integrity</v>
      </c>
      <c r="AE1035" s="49" t="str">
        <f>IFERROR(__xludf.DUMMYFUNCTION("""COMPUTED_VALUE"""),"operatic")</f>
        <v>operatic</v>
      </c>
      <c r="AF1035" s="49" t="str">
        <f t="shared" si="4"/>
        <v>ambitious,</v>
      </c>
      <c r="AG1035" s="49"/>
      <c r="AH1035" s="1" t="s">
        <v>2005</v>
      </c>
      <c r="AI1035" s="1" t="s">
        <v>3427</v>
      </c>
      <c r="AJ1035" s="6" t="str">
        <f>IFERROR(__xludf.DUMMYFUNCTION("""COMPUTED_VALUE"""),"teacher")</f>
        <v>teacher</v>
      </c>
      <c r="AK1035" s="49"/>
      <c r="AL1035" s="49"/>
      <c r="AM1035" s="49"/>
      <c r="AN1035" s="52" t="str">
        <f t="shared" si="5"/>
        <v>probably,</v>
      </c>
    </row>
    <row r="1036">
      <c r="A1036" s="51"/>
      <c r="B1036" s="50" t="s">
        <v>2419</v>
      </c>
      <c r="C1036" s="50" t="s">
        <v>6430</v>
      </c>
      <c r="D1036" s="49" t="str">
        <f>IFERROR(__xludf.DUMMYFUNCTION("""COMPUTED_VALUE"""),"adventure")</f>
        <v>adventure</v>
      </c>
      <c r="E1036" s="49"/>
      <c r="F1036" s="49"/>
      <c r="G1036" s="49"/>
      <c r="H1036" s="54" t="str">
        <f t="shared" si="1"/>
        <v>providing,</v>
      </c>
      <c r="I1036" s="50"/>
      <c r="J1036" s="50" t="s">
        <v>1062</v>
      </c>
      <c r="K1036" s="50" t="s">
        <v>2361</v>
      </c>
      <c r="L1036" s="49" t="str">
        <f>IFERROR(__xludf.DUMMYFUNCTION("""COMPUTED_VALUE"""),"jackson")</f>
        <v>jackson</v>
      </c>
      <c r="M1036" s="49"/>
      <c r="N1036" s="49" t="str">
        <f>IFERROR(__xludf.DUMMYFUNCTION("""COMPUTED_VALUE"""),"freshman")</f>
        <v>freshman</v>
      </c>
      <c r="O1036" s="49">
        <f>IFERROR(__xludf.DUMMYFUNCTION("""COMPUTED_VALUE"""),51.0)</f>
        <v>51</v>
      </c>
      <c r="P1036" s="49" t="str">
        <f t="shared" si="2"/>
        <v>although,</v>
      </c>
      <c r="Q1036" s="49"/>
      <c r="R1036" s="50" t="s">
        <v>4657</v>
      </c>
      <c r="S1036" s="55" t="s">
        <v>971</v>
      </c>
      <c r="T1036" s="49" t="str">
        <f>IFERROR(__xludf.DUMMYFUNCTION("""COMPUTED_VALUE"""),"path")</f>
        <v>path</v>
      </c>
      <c r="U1036" s="49"/>
      <c r="V1036" s="49"/>
      <c r="W1036" s="49" t="str">
        <f>IFERROR(__xludf.DUMMYFUNCTION("""COMPUTED_VALUE"""),"unprecedented")</f>
        <v>unprecedented</v>
      </c>
      <c r="X1036" s="49" t="str">
        <f t="shared" si="3"/>
        <v>christianity,</v>
      </c>
      <c r="Y1036" s="49"/>
      <c r="Z1036" s="1" t="s">
        <v>4620</v>
      </c>
      <c r="AA1036" s="1" t="s">
        <v>1409</v>
      </c>
      <c r="AB1036" s="49" t="str">
        <f>IFERROR(__xludf.DUMMYFUNCTION("""COMPUTED_VALUE"""),"loneliness")</f>
        <v>loneliness</v>
      </c>
      <c r="AC1036" s="49"/>
      <c r="AD1036" s="49" t="str">
        <f>IFERROR(__xludf.DUMMYFUNCTION("""COMPUTED_VALUE"""),"freshman")</f>
        <v>freshman</v>
      </c>
      <c r="AE1036" s="49">
        <f>IFERROR(__xludf.DUMMYFUNCTION("""COMPUTED_VALUE"""),51.0)</f>
        <v>51</v>
      </c>
      <c r="AF1036" s="49" t="str">
        <f t="shared" si="4"/>
        <v>behavior,</v>
      </c>
      <c r="AG1036" s="49"/>
      <c r="AH1036" s="1" t="s">
        <v>6314</v>
      </c>
      <c r="AI1036" s="1" t="s">
        <v>6430</v>
      </c>
      <c r="AJ1036" s="6" t="str">
        <f>IFERROR(__xludf.DUMMYFUNCTION("""COMPUTED_VALUE"""),"steve")</f>
        <v>steve</v>
      </c>
      <c r="AK1036" s="49"/>
      <c r="AL1036" s="49"/>
      <c r="AM1036" s="49"/>
      <c r="AN1036" s="52" t="str">
        <f t="shared" si="5"/>
        <v>gone,</v>
      </c>
    </row>
    <row r="1037">
      <c r="A1037" s="51"/>
      <c r="B1037" s="50" t="s">
        <v>6812</v>
      </c>
      <c r="C1037" s="50" t="s">
        <v>1167</v>
      </c>
      <c r="D1037" s="49" t="str">
        <f>IFERROR(__xludf.DUMMYFUNCTION("""COMPUTED_VALUE"""),"regardless")</f>
        <v>regardless</v>
      </c>
      <c r="E1037" s="49"/>
      <c r="F1037" s="49"/>
      <c r="G1037" s="49"/>
      <c r="H1037" s="54" t="str">
        <f t="shared" si="1"/>
        <v>explain,</v>
      </c>
      <c r="I1037" s="50"/>
      <c r="J1037" s="50">
        <v>7.0</v>
      </c>
      <c r="K1037" s="50" t="s">
        <v>3913</v>
      </c>
      <c r="L1037" s="49" t="str">
        <f>IFERROR(__xludf.DUMMYFUNCTION("""COMPUTED_VALUE"""),"immersed")</f>
        <v>immersed</v>
      </c>
      <c r="M1037" s="49"/>
      <c r="N1037" s="49" t="str">
        <f>IFERROR(__xludf.DUMMYFUNCTION("""COMPUTED_VALUE"""),"laid")</f>
        <v>laid</v>
      </c>
      <c r="O1037" s="49" t="str">
        <f>IFERROR(__xludf.DUMMYFUNCTION("""COMPUTED_VALUE"""),"limbs")</f>
        <v>limbs</v>
      </c>
      <c r="P1037" s="49" t="str">
        <f t="shared" si="2"/>
        <v>7,</v>
      </c>
      <c r="Q1037" s="49"/>
      <c r="R1037" s="50" t="s">
        <v>2212</v>
      </c>
      <c r="S1037" s="55" t="s">
        <v>2195</v>
      </c>
      <c r="T1037" s="49" t="str">
        <f>IFERROR(__xludf.DUMMYFUNCTION("""COMPUTED_VALUE"""),"absorbing")</f>
        <v>absorbing</v>
      </c>
      <c r="U1037" s="49"/>
      <c r="V1037" s="49"/>
      <c r="W1037" s="49" t="str">
        <f>IFERROR(__xludf.DUMMYFUNCTION("""COMPUTED_VALUE"""),"sees")</f>
        <v>sees</v>
      </c>
      <c r="X1037" s="49" t="str">
        <f t="shared" si="3"/>
        <v>execution,</v>
      </c>
      <c r="Y1037" s="49"/>
      <c r="Z1037" s="1" t="s">
        <v>1364</v>
      </c>
      <c r="AA1037" s="1" t="s">
        <v>3911</v>
      </c>
      <c r="AB1037" s="49" t="str">
        <f>IFERROR(__xludf.DUMMYFUNCTION("""COMPUTED_VALUE"""),"emotionally")</f>
        <v>emotionally</v>
      </c>
      <c r="AC1037" s="49"/>
      <c r="AD1037" s="49" t="str">
        <f>IFERROR(__xludf.DUMMYFUNCTION("""COMPUTED_VALUE"""),"laid")</f>
        <v>laid</v>
      </c>
      <c r="AE1037" s="49" t="str">
        <f>IFERROR(__xludf.DUMMYFUNCTION("""COMPUTED_VALUE"""),"limbs")</f>
        <v>limbs</v>
      </c>
      <c r="AF1037" s="49" t="str">
        <f t="shared" si="4"/>
        <v>decent,</v>
      </c>
      <c r="AG1037" s="49"/>
      <c r="AH1037" s="1" t="s">
        <v>1072</v>
      </c>
      <c r="AI1037" s="1" t="s">
        <v>1167</v>
      </c>
      <c r="AJ1037" s="6" t="str">
        <f>IFERROR(__xludf.DUMMYFUNCTION("""COMPUTED_VALUE"""),"soccer")</f>
        <v>soccer</v>
      </c>
      <c r="AK1037" s="49"/>
      <c r="AL1037" s="49"/>
      <c r="AM1037" s="49"/>
      <c r="AN1037" s="52" t="str">
        <f t="shared" si="5"/>
        <v>fans,</v>
      </c>
    </row>
    <row r="1038">
      <c r="A1038" s="51"/>
      <c r="B1038" s="50" t="s">
        <v>2255</v>
      </c>
      <c r="C1038" s="50" t="s">
        <v>2888</v>
      </c>
      <c r="D1038" s="49" t="str">
        <f>IFERROR(__xludf.DUMMYFUNCTION("""COMPUTED_VALUE"""),"immediate")</f>
        <v>immediate</v>
      </c>
      <c r="E1038" s="49"/>
      <c r="F1038" s="49"/>
      <c r="G1038" s="49"/>
      <c r="H1038" s="54" t="str">
        <f t="shared" si="1"/>
        <v>hero,</v>
      </c>
      <c r="I1038" s="50"/>
      <c r="J1038" s="50">
        <v>6.0</v>
      </c>
      <c r="K1038" s="50" t="s">
        <v>3914</v>
      </c>
      <c r="L1038" s="49" t="str">
        <f>IFERROR(__xludf.DUMMYFUNCTION("""COMPUTED_VALUE"""),"context")</f>
        <v>context</v>
      </c>
      <c r="M1038" s="49"/>
      <c r="N1038" s="49" t="str">
        <f>IFERROR(__xludf.DUMMYFUNCTION("""COMPUTED_VALUE"""),"sami")</f>
        <v>sami</v>
      </c>
      <c r="O1038" s="49" t="str">
        <f>IFERROR(__xludf.DUMMYFUNCTION("""COMPUTED_VALUE"""),"suspend")</f>
        <v>suspend</v>
      </c>
      <c r="P1038" s="49" t="str">
        <f t="shared" si="2"/>
        <v>6,</v>
      </c>
      <c r="Q1038" s="49"/>
      <c r="R1038" s="50" t="s">
        <v>4686</v>
      </c>
      <c r="S1038" s="55" t="s">
        <v>6431</v>
      </c>
      <c r="T1038" s="49" t="str">
        <f>IFERROR(__xludf.DUMMYFUNCTION("""COMPUTED_VALUE"""),"reserved")</f>
        <v>reserved</v>
      </c>
      <c r="U1038" s="49"/>
      <c r="V1038" s="49"/>
      <c r="W1038" s="49" t="str">
        <f>IFERROR(__xludf.DUMMYFUNCTION("""COMPUTED_VALUE"""),"fencing")</f>
        <v>fencing</v>
      </c>
      <c r="X1038" s="49" t="str">
        <f t="shared" si="3"/>
        <v>christ,</v>
      </c>
      <c r="Y1038" s="49"/>
      <c r="Z1038" s="1" t="s">
        <v>1924</v>
      </c>
      <c r="AA1038" s="1" t="s">
        <v>1781</v>
      </c>
      <c r="AB1038" s="49" t="str">
        <f>IFERROR(__xludf.DUMMYFUNCTION("""COMPUTED_VALUE"""),"wry")</f>
        <v>wry</v>
      </c>
      <c r="AC1038" s="49"/>
      <c r="AD1038" s="49" t="str">
        <f>IFERROR(__xludf.DUMMYFUNCTION("""COMPUTED_VALUE"""),"sami")</f>
        <v>sami</v>
      </c>
      <c r="AE1038" s="49" t="str">
        <f>IFERROR(__xludf.DUMMYFUNCTION("""COMPUTED_VALUE"""),"suspend")</f>
        <v>suspend</v>
      </c>
      <c r="AF1038" s="49" t="str">
        <f t="shared" si="4"/>
        <v>ability,</v>
      </c>
      <c r="AG1038" s="49"/>
      <c r="AH1038" s="1" t="s">
        <v>1524</v>
      </c>
      <c r="AI1038" s="1" t="s">
        <v>2888</v>
      </c>
      <c r="AJ1038" s="6" t="str">
        <f>IFERROR(__xludf.DUMMYFUNCTION("""COMPUTED_VALUE"""),"dangerous")</f>
        <v>dangerous</v>
      </c>
      <c r="AK1038" s="49"/>
      <c r="AL1038" s="49"/>
      <c r="AM1038" s="49"/>
      <c r="AN1038" s="52" t="str">
        <f t="shared" si="5"/>
        <v>roll,</v>
      </c>
    </row>
    <row r="1039">
      <c r="A1039" s="51"/>
      <c r="B1039" s="50" t="s">
        <v>1802</v>
      </c>
      <c r="C1039" s="50" t="s">
        <v>2894</v>
      </c>
      <c r="D1039" s="49" t="str">
        <f>IFERROR(__xludf.DUMMYFUNCTION("""COMPUTED_VALUE"""),"worry")</f>
        <v>worry</v>
      </c>
      <c r="E1039" s="49"/>
      <c r="F1039" s="49"/>
      <c r="G1039" s="49"/>
      <c r="H1039" s="54" t="str">
        <f t="shared" si="1"/>
        <v>prove,</v>
      </c>
      <c r="I1039" s="50"/>
      <c r="J1039" s="50" t="s">
        <v>794</v>
      </c>
      <c r="K1039" s="50" t="s">
        <v>3001</v>
      </c>
      <c r="L1039" s="49" t="str">
        <f>IFERROR(__xludf.DUMMYFUNCTION("""COMPUTED_VALUE"""),"ad")</f>
        <v>ad</v>
      </c>
      <c r="M1039" s="49"/>
      <c r="N1039" s="49" t="str">
        <f>IFERROR(__xludf.DUMMYFUNCTION("""COMPUTED_VALUE"""),"immature")</f>
        <v>immature</v>
      </c>
      <c r="O1039" s="49" t="str">
        <f>IFERROR(__xludf.DUMMYFUNCTION("""COMPUTED_VALUE"""),"curling")</f>
        <v>curling</v>
      </c>
      <c r="P1039" s="49" t="str">
        <f t="shared" si="2"/>
        <v>charm,</v>
      </c>
      <c r="Q1039" s="49"/>
      <c r="R1039" s="50" t="s">
        <v>6838</v>
      </c>
      <c r="S1039" s="55" t="s">
        <v>2214</v>
      </c>
      <c r="T1039" s="49" t="str">
        <f>IFERROR(__xludf.DUMMYFUNCTION("""COMPUTED_VALUE"""),"illness")</f>
        <v>illness</v>
      </c>
      <c r="U1039" s="49"/>
      <c r="V1039" s="49"/>
      <c r="W1039" s="49" t="str">
        <f>IFERROR(__xludf.DUMMYFUNCTION("""COMPUTED_VALUE"""),"texture")</f>
        <v>texture</v>
      </c>
      <c r="X1039" s="49" t="str">
        <f t="shared" si="3"/>
        <v>unlimited,</v>
      </c>
      <c r="Y1039" s="49"/>
      <c r="Z1039" s="1" t="s">
        <v>6376</v>
      </c>
      <c r="AA1039" s="1" t="s">
        <v>3915</v>
      </c>
      <c r="AB1039" s="49" t="str">
        <f>IFERROR(__xludf.DUMMYFUNCTION("""COMPUTED_VALUE"""),"nomination")</f>
        <v>nomination</v>
      </c>
      <c r="AC1039" s="49"/>
      <c r="AD1039" s="49" t="str">
        <f>IFERROR(__xludf.DUMMYFUNCTION("""COMPUTED_VALUE"""),"immature")</f>
        <v>immature</v>
      </c>
      <c r="AE1039" s="49" t="str">
        <f>IFERROR(__xludf.DUMMYFUNCTION("""COMPUTED_VALUE"""),"curling")</f>
        <v>curling</v>
      </c>
      <c r="AF1039" s="49" t="str">
        <f t="shared" si="4"/>
        <v>avoid,</v>
      </c>
      <c r="AG1039" s="49"/>
      <c r="AH1039" s="1" t="s">
        <v>5294</v>
      </c>
      <c r="AI1039" s="1" t="s">
        <v>6432</v>
      </c>
      <c r="AJ1039" s="6" t="str">
        <f>IFERROR(__xludf.DUMMYFUNCTION("""COMPUTED_VALUE"""),"respect")</f>
        <v>respect</v>
      </c>
      <c r="AK1039" s="49"/>
      <c r="AL1039" s="49"/>
      <c r="AM1039" s="49"/>
      <c r="AN1039" s="52" t="str">
        <f t="shared" si="5"/>
        <v>rating,</v>
      </c>
    </row>
    <row r="1040">
      <c r="A1040" s="51"/>
      <c r="B1040" s="50" t="s">
        <v>7313</v>
      </c>
      <c r="C1040" s="50" t="s">
        <v>6432</v>
      </c>
      <c r="D1040" s="49" t="str">
        <f>IFERROR(__xludf.DUMMYFUNCTION("""COMPUTED_VALUE"""),"everyone")</f>
        <v>everyone</v>
      </c>
      <c r="E1040" s="49"/>
      <c r="F1040" s="49"/>
      <c r="G1040" s="49"/>
      <c r="H1040" s="54" t="str">
        <f t="shared" si="1"/>
        <v>ny,</v>
      </c>
      <c r="I1040" s="50"/>
      <c r="J1040" s="50" t="s">
        <v>2415</v>
      </c>
      <c r="K1040" s="50" t="s">
        <v>2120</v>
      </c>
      <c r="L1040" s="49" t="str">
        <f>IFERROR(__xludf.DUMMYFUNCTION("""COMPUTED_VALUE"""),"characterization")</f>
        <v>characterization</v>
      </c>
      <c r="M1040" s="49"/>
      <c r="N1040" s="49" t="str">
        <f>IFERROR(__xludf.DUMMYFUNCTION("""COMPUTED_VALUE"""),"belgium")</f>
        <v>belgium</v>
      </c>
      <c r="O1040" s="49" t="str">
        <f>IFERROR(__xludf.DUMMYFUNCTION("""COMPUTED_VALUE"""),"pbs")</f>
        <v>pbs</v>
      </c>
      <c r="P1040" s="49" t="str">
        <f t="shared" si="2"/>
        <v>unnecessary,</v>
      </c>
      <c r="Q1040" s="49"/>
      <c r="R1040" s="50" t="s">
        <v>6377</v>
      </c>
      <c r="S1040" s="55" t="s">
        <v>3362</v>
      </c>
      <c r="T1040" s="49" t="str">
        <f>IFERROR(__xludf.DUMMYFUNCTION("""COMPUTED_VALUE"""),"tones")</f>
        <v>tones</v>
      </c>
      <c r="U1040" s="49"/>
      <c r="V1040" s="49"/>
      <c r="W1040" s="49" t="str">
        <f>IFERROR(__xludf.DUMMYFUNCTION("""COMPUTED_VALUE"""),"knowing")</f>
        <v>knowing</v>
      </c>
      <c r="X1040" s="49" t="str">
        <f t="shared" si="3"/>
        <v>equally,</v>
      </c>
      <c r="Y1040" s="49"/>
      <c r="Z1040" s="1" t="s">
        <v>32</v>
      </c>
      <c r="AA1040" s="1" t="s">
        <v>2749</v>
      </c>
      <c r="AB1040" s="49" t="str">
        <f>IFERROR(__xludf.DUMMYFUNCTION("""COMPUTED_VALUE"""),"trademark")</f>
        <v>trademark</v>
      </c>
      <c r="AC1040" s="49"/>
      <c r="AD1040" s="49" t="str">
        <f>IFERROR(__xludf.DUMMYFUNCTION("""COMPUTED_VALUE"""),"belgium")</f>
        <v>belgium</v>
      </c>
      <c r="AE1040" s="49" t="str">
        <f>IFERROR(__xludf.DUMMYFUNCTION("""COMPUTED_VALUE"""),"pbs")</f>
        <v>pbs</v>
      </c>
      <c r="AF1040" s="49" t="str">
        <f t="shared" si="4"/>
        <v>wit,</v>
      </c>
      <c r="AG1040" s="49"/>
      <c r="AH1040" s="1" t="s">
        <v>1961</v>
      </c>
      <c r="AI1040" s="1" t="s">
        <v>3442</v>
      </c>
      <c r="AJ1040" s="6" t="str">
        <f>IFERROR(__xludf.DUMMYFUNCTION("""COMPUTED_VALUE"""),"obviously")</f>
        <v>obviously</v>
      </c>
      <c r="AK1040" s="49"/>
      <c r="AL1040" s="49"/>
      <c r="AM1040" s="49"/>
      <c r="AN1040" s="52" t="str">
        <f t="shared" si="5"/>
        <v>enjoy,</v>
      </c>
    </row>
    <row r="1041">
      <c r="A1041" s="51"/>
      <c r="B1041" s="50" t="s">
        <v>1653</v>
      </c>
      <c r="C1041" s="50" t="s">
        <v>3442</v>
      </c>
      <c r="D1041" s="49" t="str">
        <f>IFERROR(__xludf.DUMMYFUNCTION("""COMPUTED_VALUE"""),"convince")</f>
        <v>convince</v>
      </c>
      <c r="E1041" s="49"/>
      <c r="F1041" s="49"/>
      <c r="G1041" s="49"/>
      <c r="H1041" s="54" t="str">
        <f t="shared" si="1"/>
        <v>unfortunately,</v>
      </c>
      <c r="I1041" s="50"/>
      <c r="J1041" s="50" t="s">
        <v>2164</v>
      </c>
      <c r="K1041" s="50" t="s">
        <v>3922</v>
      </c>
      <c r="L1041" s="49" t="str">
        <f>IFERROR(__xludf.DUMMYFUNCTION("""COMPUTED_VALUE"""),"seek")</f>
        <v>seek</v>
      </c>
      <c r="M1041" s="49"/>
      <c r="N1041" s="49" t="str">
        <f>IFERROR(__xludf.DUMMYFUNCTION("""COMPUTED_VALUE"""),"portuguese")</f>
        <v>portuguese</v>
      </c>
      <c r="O1041" s="49" t="str">
        <f>IFERROR(__xludf.DUMMYFUNCTION("""COMPUTED_VALUE"""),"elephant")</f>
        <v>elephant</v>
      </c>
      <c r="P1041" s="49" t="str">
        <f t="shared" si="2"/>
        <v>allows,</v>
      </c>
      <c r="Q1041" s="49"/>
      <c r="R1041" s="50" t="s">
        <v>6125</v>
      </c>
      <c r="S1041" s="55" t="s">
        <v>526</v>
      </c>
      <c r="T1041" s="49" t="str">
        <f>IFERROR(__xludf.DUMMYFUNCTION("""COMPUTED_VALUE"""),"terminal")</f>
        <v>terminal</v>
      </c>
      <c r="U1041" s="49"/>
      <c r="V1041" s="49"/>
      <c r="W1041" s="49" t="str">
        <f>IFERROR(__xludf.DUMMYFUNCTION("""COMPUTED_VALUE"""),"derived")</f>
        <v>derived</v>
      </c>
      <c r="X1041" s="49" t="str">
        <f t="shared" si="3"/>
        <v>mob,</v>
      </c>
      <c r="Y1041" s="49"/>
      <c r="Z1041" s="1" t="s">
        <v>913</v>
      </c>
      <c r="AA1041" s="1" t="s">
        <v>3920</v>
      </c>
      <c r="AB1041" s="49" t="str">
        <f>IFERROR(__xludf.DUMMYFUNCTION("""COMPUTED_VALUE"""),"uncanny")</f>
        <v>uncanny</v>
      </c>
      <c r="AC1041" s="49"/>
      <c r="AD1041" s="49" t="str">
        <f>IFERROR(__xludf.DUMMYFUNCTION("""COMPUTED_VALUE"""),"portuguese")</f>
        <v>portuguese</v>
      </c>
      <c r="AE1041" s="49" t="str">
        <f>IFERROR(__xludf.DUMMYFUNCTION("""COMPUTED_VALUE"""),"elephant")</f>
        <v>elephant</v>
      </c>
      <c r="AF1041" s="49" t="str">
        <f t="shared" si="4"/>
        <v>tight,</v>
      </c>
      <c r="AG1041" s="49"/>
      <c r="AH1041" s="1" t="s">
        <v>6330</v>
      </c>
      <c r="AI1041" s="1" t="s">
        <v>2901</v>
      </c>
      <c r="AJ1041" s="6" t="str">
        <f>IFERROR(__xludf.DUMMYFUNCTION("""COMPUTED_VALUE"""),"formula")</f>
        <v>formula</v>
      </c>
      <c r="AK1041" s="49"/>
      <c r="AL1041" s="49"/>
      <c r="AM1041" s="49"/>
      <c r="AN1041" s="52" t="str">
        <f t="shared" si="5"/>
        <v>glance,</v>
      </c>
    </row>
    <row r="1042">
      <c r="A1042" s="51"/>
      <c r="B1042" s="50" t="s">
        <v>3686</v>
      </c>
      <c r="C1042" s="50" t="s">
        <v>2901</v>
      </c>
      <c r="D1042" s="49" t="str">
        <f>IFERROR(__xludf.DUMMYFUNCTION("""COMPUTED_VALUE"""),"documentary")</f>
        <v>documentary</v>
      </c>
      <c r="E1042" s="49"/>
      <c r="F1042" s="49"/>
      <c r="G1042" s="49"/>
      <c r="H1042" s="54" t="str">
        <f t="shared" si="1"/>
        <v>trapped,</v>
      </c>
      <c r="I1042" s="50"/>
      <c r="J1042" s="50" t="s">
        <v>1154</v>
      </c>
      <c r="K1042" s="50" t="s">
        <v>3420</v>
      </c>
      <c r="L1042" s="49" t="str">
        <f>IFERROR(__xludf.DUMMYFUNCTION("""COMPUTED_VALUE"""),"base")</f>
        <v>base</v>
      </c>
      <c r="M1042" s="49"/>
      <c r="N1042" s="49" t="str">
        <f>IFERROR(__xludf.DUMMYFUNCTION("""COMPUTED_VALUE"""),"yong")</f>
        <v>yong</v>
      </c>
      <c r="O1042" s="49" t="str">
        <f>IFERROR(__xludf.DUMMYFUNCTION("""COMPUTED_VALUE"""),"contradictory")</f>
        <v>contradictory</v>
      </c>
      <c r="P1042" s="49" t="str">
        <f t="shared" si="2"/>
        <v>lame,</v>
      </c>
      <c r="Q1042" s="49"/>
      <c r="R1042" s="50" t="s">
        <v>3781</v>
      </c>
      <c r="S1042" s="55" t="s">
        <v>6365</v>
      </c>
      <c r="T1042" s="49" t="str">
        <f>IFERROR(__xludf.DUMMYFUNCTION("""COMPUTED_VALUE"""),"profound")</f>
        <v>profound</v>
      </c>
      <c r="U1042" s="49"/>
      <c r="V1042" s="49"/>
      <c r="W1042" s="49" t="str">
        <f>IFERROR(__xludf.DUMMYFUNCTION("""COMPUTED_VALUE"""),"tormented")</f>
        <v>tormented</v>
      </c>
      <c r="X1042" s="49" t="str">
        <f t="shared" si="3"/>
        <v>expression,</v>
      </c>
      <c r="Y1042" s="49"/>
      <c r="Z1042" s="1" t="s">
        <v>553</v>
      </c>
      <c r="AA1042" s="1" t="s">
        <v>3923</v>
      </c>
      <c r="AB1042" s="49" t="str">
        <f>IFERROR(__xludf.DUMMYFUNCTION("""COMPUTED_VALUE"""),"tears")</f>
        <v>tears</v>
      </c>
      <c r="AC1042" s="49"/>
      <c r="AD1042" s="49" t="str">
        <f>IFERROR(__xludf.DUMMYFUNCTION("""COMPUTED_VALUE"""),"yong")</f>
        <v>yong</v>
      </c>
      <c r="AE1042" s="49" t="str">
        <f>IFERROR(__xludf.DUMMYFUNCTION("""COMPUTED_VALUE"""),"contradictory")</f>
        <v>contradictory</v>
      </c>
      <c r="AF1042" s="49" t="str">
        <f t="shared" si="4"/>
        <v>actors,</v>
      </c>
      <c r="AG1042" s="49"/>
      <c r="AH1042" s="1" t="s">
        <v>4719</v>
      </c>
      <c r="AI1042" s="1" t="s">
        <v>3071</v>
      </c>
      <c r="AJ1042" s="6" t="str">
        <f>IFERROR(__xludf.DUMMYFUNCTION("""COMPUTED_VALUE"""),"bears")</f>
        <v>bears</v>
      </c>
      <c r="AK1042" s="49"/>
      <c r="AL1042" s="49"/>
      <c r="AM1042" s="49"/>
      <c r="AN1042" s="52" t="str">
        <f t="shared" si="5"/>
        <v>wondering,</v>
      </c>
    </row>
    <row r="1043">
      <c r="A1043" s="51"/>
      <c r="B1043" s="50" t="s">
        <v>3587</v>
      </c>
      <c r="C1043" s="50" t="s">
        <v>3071</v>
      </c>
      <c r="D1043" s="49" t="str">
        <f>IFERROR(__xludf.DUMMYFUNCTION("""COMPUTED_VALUE"""),"edge")</f>
        <v>edge</v>
      </c>
      <c r="E1043" s="49"/>
      <c r="F1043" s="49"/>
      <c r="G1043" s="49"/>
      <c r="H1043" s="54" t="str">
        <f t="shared" si="1"/>
        <v>pronounced,</v>
      </c>
      <c r="I1043" s="50"/>
      <c r="J1043" s="50" t="s">
        <v>7314</v>
      </c>
      <c r="K1043" s="50" t="s">
        <v>3423</v>
      </c>
      <c r="L1043" s="49" t="str">
        <f>IFERROR(__xludf.DUMMYFUNCTION("""COMPUTED_VALUE"""),"retrospective")</f>
        <v>retrospective</v>
      </c>
      <c r="M1043" s="49"/>
      <c r="N1043" s="49" t="str">
        <f>IFERROR(__xludf.DUMMYFUNCTION("""COMPUTED_VALUE"""),"embedded")</f>
        <v>embedded</v>
      </c>
      <c r="O1043" s="49" t="str">
        <f>IFERROR(__xludf.DUMMYFUNCTION("""COMPUTED_VALUE"""),"endings")</f>
        <v>endings</v>
      </c>
      <c r="P1043" s="49" t="str">
        <f t="shared" si="2"/>
        <v>rod,</v>
      </c>
      <c r="Q1043" s="49"/>
      <c r="R1043" s="50" t="s">
        <v>1079</v>
      </c>
      <c r="S1043" s="55" t="s">
        <v>3693</v>
      </c>
      <c r="T1043" s="49" t="str">
        <f>IFERROR(__xludf.DUMMYFUNCTION("""COMPUTED_VALUE"""),"sharp")</f>
        <v>sharp</v>
      </c>
      <c r="U1043" s="49"/>
      <c r="V1043" s="49"/>
      <c r="W1043" s="49" t="str">
        <f>IFERROR(__xludf.DUMMYFUNCTION("""COMPUTED_VALUE"""),"victims")</f>
        <v>victims</v>
      </c>
      <c r="X1043" s="49" t="str">
        <f t="shared" si="3"/>
        <v>looked,</v>
      </c>
      <c r="Y1043" s="49"/>
      <c r="Z1043" s="1" t="s">
        <v>808</v>
      </c>
      <c r="AA1043" s="1" t="s">
        <v>2751</v>
      </c>
      <c r="AB1043" s="49" t="str">
        <f>IFERROR(__xludf.DUMMYFUNCTION("""COMPUTED_VALUE"""),"underlying")</f>
        <v>underlying</v>
      </c>
      <c r="AC1043" s="49"/>
      <c r="AD1043" s="49" t="str">
        <f>IFERROR(__xludf.DUMMYFUNCTION("""COMPUTED_VALUE"""),"embedded")</f>
        <v>embedded</v>
      </c>
      <c r="AE1043" s="49" t="str">
        <f>IFERROR(__xludf.DUMMYFUNCTION("""COMPUTED_VALUE"""),"endings")</f>
        <v>endings</v>
      </c>
      <c r="AF1043" s="49" t="str">
        <f t="shared" si="4"/>
        <v>ensemble,</v>
      </c>
      <c r="AG1043" s="49"/>
      <c r="AH1043" s="1" t="s">
        <v>273</v>
      </c>
      <c r="AI1043" s="1" t="s">
        <v>3451</v>
      </c>
      <c r="AJ1043" s="6" t="str">
        <f>IFERROR(__xludf.DUMMYFUNCTION("""COMPUTED_VALUE"""),"teach")</f>
        <v>teach</v>
      </c>
      <c r="AK1043" s="49"/>
      <c r="AL1043" s="49"/>
      <c r="AM1043" s="49"/>
      <c r="AN1043" s="52" t="str">
        <f t="shared" si="5"/>
        <v>later,</v>
      </c>
    </row>
    <row r="1044">
      <c r="A1044" s="51"/>
      <c r="B1044" s="50" t="s">
        <v>404</v>
      </c>
      <c r="C1044" s="50" t="s">
        <v>3451</v>
      </c>
      <c r="D1044" s="49" t="str">
        <f>IFERROR(__xludf.DUMMYFUNCTION("""COMPUTED_VALUE"""),"kills")</f>
        <v>kills</v>
      </c>
      <c r="E1044" s="49"/>
      <c r="F1044" s="49"/>
      <c r="G1044" s="49"/>
      <c r="H1044" s="54" t="str">
        <f t="shared" si="1"/>
        <v>side,</v>
      </c>
      <c r="I1044" s="50"/>
      <c r="J1044" s="50" t="s">
        <v>113</v>
      </c>
      <c r="K1044" s="50" t="s">
        <v>353</v>
      </c>
      <c r="L1044" s="49" t="str">
        <f>IFERROR(__xludf.DUMMYFUNCTION("""COMPUTED_VALUE"""),"collision")</f>
        <v>collision</v>
      </c>
      <c r="M1044" s="49"/>
      <c r="N1044" s="49" t="str">
        <f>IFERROR(__xludf.DUMMYFUNCTION("""COMPUTED_VALUE"""),"yours")</f>
        <v>yours</v>
      </c>
      <c r="O1044" s="49" t="str">
        <f>IFERROR(__xludf.DUMMYFUNCTION("""COMPUTED_VALUE"""),"approaches")</f>
        <v>approaches</v>
      </c>
      <c r="P1044" s="49" t="str">
        <f t="shared" si="2"/>
        <v>rather,</v>
      </c>
      <c r="Q1044" s="49"/>
      <c r="R1044" s="50" t="s">
        <v>5118</v>
      </c>
      <c r="S1044" s="55" t="s">
        <v>1763</v>
      </c>
      <c r="T1044" s="49" t="str">
        <f>IFERROR(__xludf.DUMMYFUNCTION("""COMPUTED_VALUE"""),"guest")</f>
        <v>guest</v>
      </c>
      <c r="U1044" s="49"/>
      <c r="V1044" s="49"/>
      <c r="W1044" s="49" t="str">
        <f>IFERROR(__xludf.DUMMYFUNCTION("""COMPUTED_VALUE"""),"proceedings")</f>
        <v>proceedings</v>
      </c>
      <c r="X1044" s="49" t="str">
        <f t="shared" si="3"/>
        <v>odd,</v>
      </c>
      <c r="Y1044" s="49"/>
      <c r="Z1044" s="1" t="s">
        <v>5193</v>
      </c>
      <c r="AA1044" s="1" t="s">
        <v>2753</v>
      </c>
      <c r="AB1044" s="49" t="str">
        <f>IFERROR(__xludf.DUMMYFUNCTION("""COMPUTED_VALUE"""),"fascination")</f>
        <v>fascination</v>
      </c>
      <c r="AC1044" s="49"/>
      <c r="AD1044" s="49" t="str">
        <f>IFERROR(__xludf.DUMMYFUNCTION("""COMPUTED_VALUE"""),"yours")</f>
        <v>yours</v>
      </c>
      <c r="AE1044" s="49" t="str">
        <f>IFERROR(__xludf.DUMMYFUNCTION("""COMPUTED_VALUE"""),"approaches")</f>
        <v>approaches</v>
      </c>
      <c r="AF1044" s="49" t="str">
        <f t="shared" si="4"/>
        <v>tricky,</v>
      </c>
      <c r="AG1044" s="49"/>
      <c r="AH1044" s="1" t="s">
        <v>1713</v>
      </c>
      <c r="AI1044" s="1" t="s">
        <v>2060</v>
      </c>
      <c r="AJ1044" s="6" t="str">
        <f>IFERROR(__xludf.DUMMYFUNCTION("""COMPUTED_VALUE"""),"between")</f>
        <v>between</v>
      </c>
      <c r="AK1044" s="49"/>
      <c r="AL1044" s="49"/>
      <c r="AM1044" s="49"/>
      <c r="AN1044" s="52" t="str">
        <f t="shared" si="5"/>
        <v>formed,</v>
      </c>
    </row>
    <row r="1045">
      <c r="A1045" s="51"/>
      <c r="B1045" s="50" t="s">
        <v>1365</v>
      </c>
      <c r="C1045" s="50" t="s">
        <v>2908</v>
      </c>
      <c r="D1045" s="49" t="str">
        <f>IFERROR(__xludf.DUMMYFUNCTION("""COMPUTED_VALUE"""),"ranks")</f>
        <v>ranks</v>
      </c>
      <c r="E1045" s="49"/>
      <c r="F1045" s="49"/>
      <c r="G1045" s="49"/>
      <c r="H1045" s="54" t="str">
        <f t="shared" si="1"/>
        <v>building,</v>
      </c>
      <c r="I1045" s="50"/>
      <c r="J1045" s="50" t="s">
        <v>5224</v>
      </c>
      <c r="K1045" s="50" t="s">
        <v>3932</v>
      </c>
      <c r="L1045" s="49" t="str">
        <f>IFERROR(__xludf.DUMMYFUNCTION("""COMPUTED_VALUE"""),"holiday")</f>
        <v>holiday</v>
      </c>
      <c r="M1045" s="49"/>
      <c r="N1045" s="49" t="str">
        <f>IFERROR(__xludf.DUMMYFUNCTION("""COMPUTED_VALUE"""),"perfection")</f>
        <v>perfection</v>
      </c>
      <c r="O1045" s="49" t="str">
        <f>IFERROR(__xludf.DUMMYFUNCTION("""COMPUTED_VALUE"""),"straining")</f>
        <v>straining</v>
      </c>
      <c r="P1045" s="49" t="str">
        <f t="shared" si="2"/>
        <v>prison,</v>
      </c>
      <c r="Q1045" s="49"/>
      <c r="R1045" s="50" t="s">
        <v>6577</v>
      </c>
      <c r="S1045" s="55" t="s">
        <v>1939</v>
      </c>
      <c r="T1045" s="49" t="str">
        <f>IFERROR(__xludf.DUMMYFUNCTION("""COMPUTED_VALUE"""),"refreshing")</f>
        <v>refreshing</v>
      </c>
      <c r="U1045" s="49"/>
      <c r="V1045" s="49"/>
      <c r="W1045" s="49" t="str">
        <f>IFERROR(__xludf.DUMMYFUNCTION("""COMPUTED_VALUE"""),"anchor")</f>
        <v>anchor</v>
      </c>
      <c r="X1045" s="49" t="str">
        <f t="shared" si="3"/>
        <v>trust,</v>
      </c>
      <c r="Y1045" s="49"/>
      <c r="Z1045" s="1" t="s">
        <v>4734</v>
      </c>
      <c r="AA1045" s="1" t="s">
        <v>3929</v>
      </c>
      <c r="AB1045" s="49" t="str">
        <f>IFERROR(__xludf.DUMMYFUNCTION("""COMPUTED_VALUE"""),"adventurous")</f>
        <v>adventurous</v>
      </c>
      <c r="AC1045" s="49"/>
      <c r="AD1045" s="49" t="str">
        <f>IFERROR(__xludf.DUMMYFUNCTION("""COMPUTED_VALUE"""),"perfection")</f>
        <v>perfection</v>
      </c>
      <c r="AE1045" s="49" t="str">
        <f>IFERROR(__xludf.DUMMYFUNCTION("""COMPUTED_VALUE"""),"straining")</f>
        <v>straining</v>
      </c>
      <c r="AF1045" s="49" t="str">
        <f t="shared" si="4"/>
        <v>novels,</v>
      </c>
      <c r="AG1045" s="49"/>
      <c r="AH1045" s="1" t="s">
        <v>4147</v>
      </c>
      <c r="AI1045" s="1" t="s">
        <v>1032</v>
      </c>
      <c r="AJ1045" s="6" t="str">
        <f>IFERROR(__xludf.DUMMYFUNCTION("""COMPUTED_VALUE"""),"bridge")</f>
        <v>bridge</v>
      </c>
      <c r="AK1045" s="49"/>
      <c r="AL1045" s="49"/>
      <c r="AM1045" s="49"/>
      <c r="AN1045" s="52" t="str">
        <f t="shared" si="5"/>
        <v>news,</v>
      </c>
    </row>
    <row r="1046">
      <c r="A1046" s="51"/>
      <c r="B1046" s="50" t="s">
        <v>3126</v>
      </c>
      <c r="C1046" s="50" t="s">
        <v>2060</v>
      </c>
      <c r="D1046" s="49" t="str">
        <f>IFERROR(__xludf.DUMMYFUNCTION("""COMPUTED_VALUE"""),"top")</f>
        <v>top</v>
      </c>
      <c r="E1046" s="49"/>
      <c r="F1046" s="49"/>
      <c r="G1046" s="49"/>
      <c r="H1046" s="54" t="str">
        <f t="shared" si="1"/>
        <v>battle,</v>
      </c>
      <c r="I1046" s="50"/>
      <c r="J1046" s="50" t="s">
        <v>2936</v>
      </c>
      <c r="K1046" s="50" t="s">
        <v>3426</v>
      </c>
      <c r="L1046" s="49" t="str">
        <f>IFERROR(__xludf.DUMMYFUNCTION("""COMPUTED_VALUE"""),"embrace")</f>
        <v>embrace</v>
      </c>
      <c r="M1046" s="49"/>
      <c r="N1046" s="49" t="str">
        <f>IFERROR(__xludf.DUMMYFUNCTION("""COMPUTED_VALUE"""),"array")</f>
        <v>array</v>
      </c>
      <c r="O1046" s="49">
        <f>IFERROR(__xludf.DUMMYFUNCTION("""COMPUTED_VALUE"""),50.0)</f>
        <v>50</v>
      </c>
      <c r="P1046" s="49" t="str">
        <f t="shared" si="2"/>
        <v>pay,</v>
      </c>
      <c r="Q1046" s="49"/>
      <c r="R1046" s="50" t="s">
        <v>4366</v>
      </c>
      <c r="S1046" s="55" t="s">
        <v>6433</v>
      </c>
      <c r="T1046" s="49" t="str">
        <f>IFERROR(__xludf.DUMMYFUNCTION("""COMPUTED_VALUE"""),"pleasures")</f>
        <v>pleasures</v>
      </c>
      <c r="U1046" s="49"/>
      <c r="V1046" s="49"/>
      <c r="W1046" s="49">
        <f>IFERROR(__xludf.DUMMYFUNCTION("""COMPUTED_VALUE"""),11.0)</f>
        <v>11</v>
      </c>
      <c r="X1046" s="49" t="str">
        <f t="shared" si="3"/>
        <v>delicate,</v>
      </c>
      <c r="Y1046" s="49"/>
      <c r="Z1046" s="1" t="s">
        <v>3648</v>
      </c>
      <c r="AA1046" s="1" t="s">
        <v>2759</v>
      </c>
      <c r="AB1046" s="49" t="str">
        <f>IFERROR(__xludf.DUMMYFUNCTION("""COMPUTED_VALUE"""),"despair")</f>
        <v>despair</v>
      </c>
      <c r="AC1046" s="49"/>
      <c r="AD1046" s="49" t="str">
        <f>IFERROR(__xludf.DUMMYFUNCTION("""COMPUTED_VALUE"""),"array")</f>
        <v>array</v>
      </c>
      <c r="AE1046" s="49">
        <f>IFERROR(__xludf.DUMMYFUNCTION("""COMPUTED_VALUE"""),50.0)</f>
        <v>50</v>
      </c>
      <c r="AF1046" s="49" t="str">
        <f t="shared" si="4"/>
        <v>letting,</v>
      </c>
      <c r="AG1046" s="49"/>
      <c r="AH1046" s="1" t="s">
        <v>1918</v>
      </c>
      <c r="AI1046" s="1" t="s">
        <v>2911</v>
      </c>
      <c r="AJ1046" s="6" t="str">
        <f>IFERROR(__xludf.DUMMYFUNCTION("""COMPUTED_VALUE"""),"african")</f>
        <v>african</v>
      </c>
      <c r="AK1046" s="49"/>
      <c r="AL1046" s="49"/>
      <c r="AM1046" s="49"/>
      <c r="AN1046" s="52" t="str">
        <f t="shared" si="5"/>
        <v>strong,</v>
      </c>
    </row>
    <row r="1047">
      <c r="A1047" s="51"/>
      <c r="B1047" s="50" t="s">
        <v>6504</v>
      </c>
      <c r="C1047" s="50" t="s">
        <v>1032</v>
      </c>
      <c r="D1047" s="49" t="str">
        <f>IFERROR(__xludf.DUMMYFUNCTION("""COMPUTED_VALUE"""),"courage")</f>
        <v>courage</v>
      </c>
      <c r="E1047" s="49"/>
      <c r="F1047" s="49"/>
      <c r="G1047" s="49"/>
      <c r="H1047" s="54" t="str">
        <f t="shared" si="1"/>
        <v>tried,</v>
      </c>
      <c r="I1047" s="50"/>
      <c r="J1047" s="50" t="s">
        <v>3371</v>
      </c>
      <c r="K1047" s="50" t="s">
        <v>3936</v>
      </c>
      <c r="L1047" s="49" t="str">
        <f>IFERROR(__xludf.DUMMYFUNCTION("""COMPUTED_VALUE"""),"worship")</f>
        <v>worship</v>
      </c>
      <c r="M1047" s="49"/>
      <c r="N1047" s="49" t="str">
        <f>IFERROR(__xludf.DUMMYFUNCTION("""COMPUTED_VALUE"""),"handling")</f>
        <v>handling</v>
      </c>
      <c r="O1047" s="49" t="str">
        <f>IFERROR(__xludf.DUMMYFUNCTION("""COMPUTED_VALUE"""),"strictly")</f>
        <v>strictly</v>
      </c>
      <c r="P1047" s="49" t="str">
        <f t="shared" si="2"/>
        <v>critically,</v>
      </c>
      <c r="Q1047" s="49"/>
      <c r="R1047" s="50" t="s">
        <v>2336</v>
      </c>
      <c r="S1047" s="55" t="s">
        <v>1619</v>
      </c>
      <c r="T1047" s="49" t="str">
        <f>IFERROR(__xludf.DUMMYFUNCTION("""COMPUTED_VALUE"""),"irresistible")</f>
        <v>irresistible</v>
      </c>
      <c r="U1047" s="49"/>
      <c r="V1047" s="49"/>
      <c r="W1047" s="49" t="str">
        <f>IFERROR(__xludf.DUMMYFUNCTION("""COMPUTED_VALUE"""),"audrey")</f>
        <v>audrey</v>
      </c>
      <c r="X1047" s="49" t="str">
        <f t="shared" si="3"/>
        <v>copies,</v>
      </c>
      <c r="Y1047" s="49"/>
      <c r="Z1047" s="1" t="s">
        <v>544</v>
      </c>
      <c r="AA1047" s="1" t="s">
        <v>2764</v>
      </c>
      <c r="AB1047" s="49" t="str">
        <f>IFERROR(__xludf.DUMMYFUNCTION("""COMPUTED_VALUE"""),"dazzling")</f>
        <v>dazzling</v>
      </c>
      <c r="AC1047" s="49"/>
      <c r="AD1047" s="49" t="str">
        <f>IFERROR(__xludf.DUMMYFUNCTION("""COMPUTED_VALUE"""),"handling")</f>
        <v>handling</v>
      </c>
      <c r="AE1047" s="49" t="str">
        <f>IFERROR(__xludf.DUMMYFUNCTION("""COMPUTED_VALUE"""),"strictly")</f>
        <v>strictly</v>
      </c>
      <c r="AF1047" s="49" t="str">
        <f t="shared" si="4"/>
        <v>real,</v>
      </c>
      <c r="AG1047" s="49"/>
      <c r="AH1047" s="1" t="s">
        <v>4998</v>
      </c>
      <c r="AI1047" s="1" t="s">
        <v>3677</v>
      </c>
      <c r="AJ1047" s="6" t="str">
        <f>IFERROR(__xludf.DUMMYFUNCTION("""COMPUTED_VALUE"""),"defeated")</f>
        <v>defeated</v>
      </c>
      <c r="AK1047" s="49"/>
      <c r="AL1047" s="49"/>
      <c r="AM1047" s="49"/>
      <c r="AN1047" s="52" t="str">
        <f t="shared" si="5"/>
        <v>academy,</v>
      </c>
    </row>
    <row r="1048">
      <c r="A1048" s="51"/>
      <c r="B1048" s="50" t="s">
        <v>1833</v>
      </c>
      <c r="C1048" s="50" t="s">
        <v>2911</v>
      </c>
      <c r="D1048" s="49" t="str">
        <f>IFERROR(__xludf.DUMMYFUNCTION("""COMPUTED_VALUE"""),"junior")</f>
        <v>junior</v>
      </c>
      <c r="E1048" s="49"/>
      <c r="F1048" s="49"/>
      <c r="G1048" s="49"/>
      <c r="H1048" s="54" t="str">
        <f t="shared" si="1"/>
        <v>deep,</v>
      </c>
      <c r="I1048" s="50"/>
      <c r="J1048" s="50" t="s">
        <v>1142</v>
      </c>
      <c r="K1048" s="50" t="s">
        <v>701</v>
      </c>
      <c r="L1048" s="49" t="str">
        <f>IFERROR(__xludf.DUMMYFUNCTION("""COMPUTED_VALUE"""),"70s")</f>
        <v>70s</v>
      </c>
      <c r="M1048" s="49"/>
      <c r="N1048" s="49" t="str">
        <f>IFERROR(__xludf.DUMMYFUNCTION("""COMPUTED_VALUE"""),"outdated")</f>
        <v>outdated</v>
      </c>
      <c r="O1048" s="49" t="str">
        <f>IFERROR(__xludf.DUMMYFUNCTION("""COMPUTED_VALUE"""),"sparks")</f>
        <v>sparks</v>
      </c>
      <c r="P1048" s="49" t="str">
        <f t="shared" si="2"/>
        <v>refuses,</v>
      </c>
      <c r="Q1048" s="49"/>
      <c r="R1048" s="50" t="s">
        <v>4106</v>
      </c>
      <c r="S1048" s="55" t="s">
        <v>2219</v>
      </c>
      <c r="T1048" s="49" t="str">
        <f>IFERROR(__xludf.DUMMYFUNCTION("""COMPUTED_VALUE"""),"receives")</f>
        <v>receives</v>
      </c>
      <c r="U1048" s="49"/>
      <c r="V1048" s="49"/>
      <c r="W1048" s="49" t="str">
        <f>IFERROR(__xludf.DUMMYFUNCTION("""COMPUTED_VALUE"""),"soldiers")</f>
        <v>soldiers</v>
      </c>
      <c r="X1048" s="49" t="str">
        <f t="shared" si="3"/>
        <v>finds,</v>
      </c>
      <c r="Y1048" s="49"/>
      <c r="Z1048" s="1" t="s">
        <v>789</v>
      </c>
      <c r="AA1048" s="1" t="s">
        <v>734</v>
      </c>
      <c r="AB1048" s="49" t="str">
        <f>IFERROR(__xludf.DUMMYFUNCTION("""COMPUTED_VALUE"""),"satisfying")</f>
        <v>satisfying</v>
      </c>
      <c r="AC1048" s="49"/>
      <c r="AD1048" s="49" t="str">
        <f>IFERROR(__xludf.DUMMYFUNCTION("""COMPUTED_VALUE"""),"outdated")</f>
        <v>outdated</v>
      </c>
      <c r="AE1048" s="49" t="str">
        <f>IFERROR(__xludf.DUMMYFUNCTION("""COMPUTED_VALUE"""),"sparks")</f>
        <v>sparks</v>
      </c>
      <c r="AF1048" s="49" t="str">
        <f t="shared" si="4"/>
        <v>ugly,</v>
      </c>
      <c r="AG1048" s="49"/>
      <c r="AH1048" s="1" t="s">
        <v>2747</v>
      </c>
      <c r="AI1048" s="1" t="s">
        <v>2925</v>
      </c>
      <c r="AJ1048" s="6" t="str">
        <f>IFERROR(__xludf.DUMMYFUNCTION("""COMPUTED_VALUE"""),"nature")</f>
        <v>nature</v>
      </c>
      <c r="AK1048" s="49"/>
      <c r="AL1048" s="49"/>
      <c r="AM1048" s="49"/>
      <c r="AN1048" s="52" t="str">
        <f t="shared" si="5"/>
        <v>teacher,</v>
      </c>
    </row>
    <row r="1049">
      <c r="A1049" s="51"/>
      <c r="B1049" s="50" t="s">
        <v>7177</v>
      </c>
      <c r="C1049" s="50" t="s">
        <v>2072</v>
      </c>
      <c r="D1049" s="49" t="str">
        <f>IFERROR(__xludf.DUMMYFUNCTION("""COMPUTED_VALUE"""),"graduated")</f>
        <v>graduated</v>
      </c>
      <c r="E1049" s="49"/>
      <c r="F1049" s="49"/>
      <c r="G1049" s="49"/>
      <c r="H1049" s="54" t="str">
        <f t="shared" si="1"/>
        <v>africa,</v>
      </c>
      <c r="I1049" s="50"/>
      <c r="J1049" s="50" t="s">
        <v>6932</v>
      </c>
      <c r="K1049" s="50" t="s">
        <v>3430</v>
      </c>
      <c r="L1049" s="49" t="str">
        <f>IFERROR(__xludf.DUMMYFUNCTION("""COMPUTED_VALUE"""),"era")</f>
        <v>era</v>
      </c>
      <c r="M1049" s="49"/>
      <c r="N1049" s="49" t="str">
        <f>IFERROR(__xludf.DUMMYFUNCTION("""COMPUTED_VALUE"""),"strongly")</f>
        <v>strongly</v>
      </c>
      <c r="O1049" s="49" t="str">
        <f>IFERROR(__xludf.DUMMYFUNCTION("""COMPUTED_VALUE"""),"intimidated")</f>
        <v>intimidated</v>
      </c>
      <c r="P1049" s="49" t="str">
        <f t="shared" si="2"/>
        <v>duty,</v>
      </c>
      <c r="Q1049" s="49"/>
      <c r="R1049" s="50" t="s">
        <v>4544</v>
      </c>
      <c r="S1049" s="55" t="s">
        <v>2200</v>
      </c>
      <c r="T1049" s="49" t="str">
        <f>IFERROR(__xludf.DUMMYFUNCTION("""COMPUTED_VALUE"""),"entirely")</f>
        <v>entirely</v>
      </c>
      <c r="U1049" s="49"/>
      <c r="V1049" s="49"/>
      <c r="W1049" s="49" t="str">
        <f>IFERROR(__xludf.DUMMYFUNCTION("""COMPUTED_VALUE"""),"lawrence")</f>
        <v>lawrence</v>
      </c>
      <c r="X1049" s="49" t="str">
        <f t="shared" si="3"/>
        <v>dying,</v>
      </c>
      <c r="Y1049" s="49"/>
      <c r="Z1049" s="1" t="s">
        <v>5403</v>
      </c>
      <c r="AA1049" s="1" t="s">
        <v>3939</v>
      </c>
      <c r="AB1049" s="49" t="str">
        <f>IFERROR(__xludf.DUMMYFUNCTION("""COMPUTED_VALUE"""),"remain")</f>
        <v>remain</v>
      </c>
      <c r="AC1049" s="49"/>
      <c r="AD1049" s="49" t="str">
        <f>IFERROR(__xludf.DUMMYFUNCTION("""COMPUTED_VALUE"""),"strongly")</f>
        <v>strongly</v>
      </c>
      <c r="AE1049" s="49" t="str">
        <f>IFERROR(__xludf.DUMMYFUNCTION("""COMPUTED_VALUE"""),"intimidated")</f>
        <v>intimidated</v>
      </c>
      <c r="AF1049" s="49" t="str">
        <f t="shared" si="4"/>
        <v>golden,</v>
      </c>
      <c r="AG1049" s="49"/>
      <c r="AH1049" s="1" t="s">
        <v>7315</v>
      </c>
      <c r="AI1049" s="1" t="s">
        <v>2081</v>
      </c>
      <c r="AJ1049" s="6" t="str">
        <f>IFERROR(__xludf.DUMMYFUNCTION("""COMPUTED_VALUE"""),"remember")</f>
        <v>remember</v>
      </c>
      <c r="AK1049" s="49"/>
      <c r="AL1049" s="49"/>
      <c r="AM1049" s="49"/>
      <c r="AN1049" s="52" t="str">
        <f t="shared" si="5"/>
        <v>exchange,</v>
      </c>
    </row>
    <row r="1050">
      <c r="A1050" s="51"/>
      <c r="B1050" s="50" t="s">
        <v>6571</v>
      </c>
      <c r="C1050" s="50" t="s">
        <v>3677</v>
      </c>
      <c r="D1050" s="49" t="str">
        <f>IFERROR(__xludf.DUMMYFUNCTION("""COMPUTED_VALUE"""),"target")</f>
        <v>target</v>
      </c>
      <c r="E1050" s="49"/>
      <c r="F1050" s="49"/>
      <c r="G1050" s="49"/>
      <c r="H1050" s="54" t="str">
        <f t="shared" si="1"/>
        <v>workers,</v>
      </c>
      <c r="I1050" s="50"/>
      <c r="J1050" s="50" t="s">
        <v>6355</v>
      </c>
      <c r="K1050" s="50" t="s">
        <v>1096</v>
      </c>
      <c r="L1050" s="49" t="str">
        <f>IFERROR(__xludf.DUMMYFUNCTION("""COMPUTED_VALUE"""),"scores")</f>
        <v>scores</v>
      </c>
      <c r="M1050" s="49"/>
      <c r="N1050" s="49" t="str">
        <f>IFERROR(__xludf.DUMMYFUNCTION("""COMPUTED_VALUE"""),"improper")</f>
        <v>improper</v>
      </c>
      <c r="O1050" s="49" t="str">
        <f>IFERROR(__xludf.DUMMYFUNCTION("""COMPUTED_VALUE"""),"cumulative")</f>
        <v>cumulative</v>
      </c>
      <c r="P1050" s="49" t="str">
        <f t="shared" si="2"/>
        <v>richard,</v>
      </c>
      <c r="Q1050" s="49"/>
      <c r="R1050" s="50" t="s">
        <v>3019</v>
      </c>
      <c r="S1050" s="55" t="s">
        <v>3916</v>
      </c>
      <c r="T1050" s="49" t="str">
        <f>IFERROR(__xludf.DUMMYFUNCTION("""COMPUTED_VALUE"""),"winner")</f>
        <v>winner</v>
      </c>
      <c r="U1050" s="49"/>
      <c r="V1050" s="49"/>
      <c r="W1050" s="49" t="str">
        <f>IFERROR(__xludf.DUMMYFUNCTION("""COMPUTED_VALUE"""),"textbook")</f>
        <v>textbook</v>
      </c>
      <c r="X1050" s="49" t="str">
        <f t="shared" si="3"/>
        <v>aging,</v>
      </c>
      <c r="Y1050" s="49"/>
      <c r="Z1050" s="1" t="s">
        <v>2855</v>
      </c>
      <c r="AA1050" s="1" t="s">
        <v>3943</v>
      </c>
      <c r="AB1050" s="49" t="str">
        <f>IFERROR(__xludf.DUMMYFUNCTION("""COMPUTED_VALUE"""),"yarn")</f>
        <v>yarn</v>
      </c>
      <c r="AC1050" s="49"/>
      <c r="AD1050" s="49" t="str">
        <f>IFERROR(__xludf.DUMMYFUNCTION("""COMPUTED_VALUE"""),"improper")</f>
        <v>improper</v>
      </c>
      <c r="AE1050" s="49" t="str">
        <f>IFERROR(__xludf.DUMMYFUNCTION("""COMPUTED_VALUE"""),"cumulative")</f>
        <v>cumulative</v>
      </c>
      <c r="AF1050" s="49" t="str">
        <f t="shared" si="4"/>
        <v>ups,</v>
      </c>
      <c r="AG1050" s="49"/>
      <c r="AH1050" s="1" t="s">
        <v>6783</v>
      </c>
      <c r="AI1050" s="1" t="s">
        <v>1456</v>
      </c>
      <c r="AJ1050" s="6" t="str">
        <f>IFERROR(__xludf.DUMMYFUNCTION("""COMPUTED_VALUE"""),"irish")</f>
        <v>irish</v>
      </c>
      <c r="AK1050" s="49"/>
      <c r="AL1050" s="49"/>
      <c r="AM1050" s="49"/>
      <c r="AN1050" s="52" t="str">
        <f t="shared" si="5"/>
        <v>steve,</v>
      </c>
    </row>
    <row r="1051">
      <c r="A1051" s="51"/>
      <c r="B1051" s="50" t="s">
        <v>3115</v>
      </c>
      <c r="C1051" s="50" t="s">
        <v>2925</v>
      </c>
      <c r="D1051" s="49" t="str">
        <f>IFERROR(__xludf.DUMMYFUNCTION("""COMPUTED_VALUE"""),"test")</f>
        <v>test</v>
      </c>
      <c r="E1051" s="49"/>
      <c r="F1051" s="49"/>
      <c r="G1051" s="49"/>
      <c r="H1051" s="54" t="str">
        <f t="shared" si="1"/>
        <v>hunter,</v>
      </c>
      <c r="I1051" s="50"/>
      <c r="J1051" s="50" t="s">
        <v>3205</v>
      </c>
      <c r="K1051" s="50" t="s">
        <v>2351</v>
      </c>
      <c r="L1051" s="49" t="str">
        <f>IFERROR(__xludf.DUMMYFUNCTION("""COMPUTED_VALUE"""),"shoot")</f>
        <v>shoot</v>
      </c>
      <c r="M1051" s="49"/>
      <c r="N1051" s="49">
        <f>IFERROR(__xludf.DUMMYFUNCTION("""COMPUTED_VALUE"""),103.0)</f>
        <v>103</v>
      </c>
      <c r="O1051" s="49" t="str">
        <f>IFERROR(__xludf.DUMMYFUNCTION("""COMPUTED_VALUE"""),"visionary")</f>
        <v>visionary</v>
      </c>
      <c r="P1051" s="49" t="str">
        <f t="shared" si="2"/>
        <v>superman,</v>
      </c>
      <c r="Q1051" s="49"/>
      <c r="R1051" s="50" t="s">
        <v>1059</v>
      </c>
      <c r="S1051" s="55" t="s">
        <v>2132</v>
      </c>
      <c r="T1051" s="49" t="str">
        <f>IFERROR(__xludf.DUMMYFUNCTION("""COMPUTED_VALUE"""),"luck")</f>
        <v>luck</v>
      </c>
      <c r="U1051" s="49"/>
      <c r="V1051" s="49"/>
      <c r="W1051" s="49" t="str">
        <f>IFERROR(__xludf.DUMMYFUNCTION("""COMPUTED_VALUE"""),"tied")</f>
        <v>tied</v>
      </c>
      <c r="X1051" s="49" t="str">
        <f t="shared" si="3"/>
        <v>harry,</v>
      </c>
      <c r="Y1051" s="49"/>
      <c r="Z1051" s="1" t="s">
        <v>3220</v>
      </c>
      <c r="AA1051" s="1" t="s">
        <v>744</v>
      </c>
      <c r="AB1051" s="49" t="str">
        <f>IFERROR(__xludf.DUMMYFUNCTION("""COMPUTED_VALUE"""),"rally")</f>
        <v>rally</v>
      </c>
      <c r="AC1051" s="49"/>
      <c r="AD1051" s="49">
        <f>IFERROR(__xludf.DUMMYFUNCTION("""COMPUTED_VALUE"""),103.0)</f>
        <v>103</v>
      </c>
      <c r="AE1051" s="49" t="str">
        <f>IFERROR(__xludf.DUMMYFUNCTION("""COMPUTED_VALUE"""),"visionary")</f>
        <v>visionary</v>
      </c>
      <c r="AF1051" s="49" t="str">
        <f t="shared" si="4"/>
        <v>blade,</v>
      </c>
      <c r="AG1051" s="49"/>
      <c r="AH1051" s="1" t="s">
        <v>4165</v>
      </c>
      <c r="AI1051" s="1" t="s">
        <v>3511</v>
      </c>
      <c r="AJ1051" s="6" t="str">
        <f>IFERROR(__xludf.DUMMYFUNCTION("""COMPUTED_VALUE"""),"build")</f>
        <v>build</v>
      </c>
      <c r="AK1051" s="49"/>
      <c r="AL1051" s="49"/>
      <c r="AM1051" s="49"/>
      <c r="AN1051" s="52" t="str">
        <f t="shared" si="5"/>
        <v>soccer,</v>
      </c>
    </row>
    <row r="1052">
      <c r="A1052" s="51"/>
      <c r="B1052" s="50" t="s">
        <v>2044</v>
      </c>
      <c r="C1052" s="50" t="s">
        <v>2928</v>
      </c>
      <c r="D1052" s="49" t="str">
        <f>IFERROR(__xludf.DUMMYFUNCTION("""COMPUTED_VALUE"""),"intellectual")</f>
        <v>intellectual</v>
      </c>
      <c r="E1052" s="49"/>
      <c r="F1052" s="49"/>
      <c r="G1052" s="49"/>
      <c r="H1052" s="54" t="str">
        <f t="shared" si="1"/>
        <v>thin,</v>
      </c>
      <c r="I1052" s="50"/>
      <c r="J1052" s="50" t="s">
        <v>643</v>
      </c>
      <c r="K1052" s="50" t="s">
        <v>788</v>
      </c>
      <c r="L1052" s="49" t="str">
        <f>IFERROR(__xludf.DUMMYFUNCTION("""COMPUTED_VALUE"""),"sweeping")</f>
        <v>sweeping</v>
      </c>
      <c r="M1052" s="49"/>
      <c r="N1052" s="49" t="str">
        <f>IFERROR(__xludf.DUMMYFUNCTION("""COMPUTED_VALUE"""),"casual")</f>
        <v>casual</v>
      </c>
      <c r="O1052" s="49" t="str">
        <f>IFERROR(__xludf.DUMMYFUNCTION("""COMPUTED_VALUE"""),"hammer")</f>
        <v>hammer</v>
      </c>
      <c r="P1052" s="49" t="str">
        <f t="shared" si="2"/>
        <v>faithful,</v>
      </c>
      <c r="Q1052" s="49"/>
      <c r="R1052" s="50" t="s">
        <v>5155</v>
      </c>
      <c r="S1052" s="55" t="s">
        <v>1982</v>
      </c>
      <c r="T1052" s="49" t="str">
        <f>IFERROR(__xludf.DUMMYFUNCTION("""COMPUTED_VALUE"""),"demonstrating")</f>
        <v>demonstrating</v>
      </c>
      <c r="U1052" s="49"/>
      <c r="V1052" s="49"/>
      <c r="W1052" s="49" t="str">
        <f>IFERROR(__xludf.DUMMYFUNCTION("""COMPUTED_VALUE"""),"operatic")</f>
        <v>operatic</v>
      </c>
      <c r="X1052" s="49" t="str">
        <f t="shared" si="3"/>
        <v>slowly,</v>
      </c>
      <c r="Y1052" s="49"/>
      <c r="Z1052" s="1" t="s">
        <v>719</v>
      </c>
      <c r="AA1052" s="1" t="s">
        <v>3947</v>
      </c>
      <c r="AB1052" s="49" t="str">
        <f>IFERROR(__xludf.DUMMYFUNCTION("""COMPUTED_VALUE"""),"richly")</f>
        <v>richly</v>
      </c>
      <c r="AC1052" s="49"/>
      <c r="AD1052" s="49" t="str">
        <f>IFERROR(__xludf.DUMMYFUNCTION("""COMPUTED_VALUE"""),"casual")</f>
        <v>casual</v>
      </c>
      <c r="AE1052" s="49" t="str">
        <f>IFERROR(__xludf.DUMMYFUNCTION("""COMPUTED_VALUE"""),"hammer")</f>
        <v>hammer</v>
      </c>
      <c r="AF1052" s="49" t="str">
        <f t="shared" si="4"/>
        <v>sexuality,</v>
      </c>
      <c r="AG1052" s="49"/>
      <c r="AH1052" s="1" t="s">
        <v>7316</v>
      </c>
      <c r="AI1052" s="1" t="s">
        <v>2087</v>
      </c>
      <c r="AJ1052" s="6" t="str">
        <f>IFERROR(__xludf.DUMMYFUNCTION("""COMPUTED_VALUE"""),"promise")</f>
        <v>promise</v>
      </c>
      <c r="AK1052" s="49"/>
      <c r="AL1052" s="49"/>
      <c r="AM1052" s="49"/>
      <c r="AN1052" s="52" t="str">
        <f t="shared" si="5"/>
        <v>walter,</v>
      </c>
    </row>
    <row r="1053">
      <c r="A1053" s="51"/>
      <c r="B1053" s="50" t="s">
        <v>935</v>
      </c>
      <c r="C1053" s="50" t="s">
        <v>2081</v>
      </c>
      <c r="D1053" s="49" t="str">
        <f>IFERROR(__xludf.DUMMYFUNCTION("""COMPUTED_VALUE"""),"must")</f>
        <v>must</v>
      </c>
      <c r="E1053" s="49"/>
      <c r="F1053" s="49"/>
      <c r="G1053" s="49"/>
      <c r="H1053" s="54" t="str">
        <f t="shared" si="1"/>
        <v>soundtrack,</v>
      </c>
      <c r="I1053" s="50"/>
      <c r="J1053" s="50" t="s">
        <v>45</v>
      </c>
      <c r="K1053" s="50" t="s">
        <v>799</v>
      </c>
      <c r="L1053" s="49" t="str">
        <f>IFERROR(__xludf.DUMMYFUNCTION("""COMPUTED_VALUE"""),"passionate")</f>
        <v>passionate</v>
      </c>
      <c r="M1053" s="49"/>
      <c r="N1053" s="49" t="str">
        <f>IFERROR(__xludf.DUMMYFUNCTION("""COMPUTED_VALUE"""),"exotic")</f>
        <v>exotic</v>
      </c>
      <c r="O1053" s="49" t="str">
        <f>IFERROR(__xludf.DUMMYFUNCTION("""COMPUTED_VALUE"""),"creed")</f>
        <v>creed</v>
      </c>
      <c r="P1053" s="49" t="str">
        <f t="shared" si="2"/>
        <v>contains,</v>
      </c>
      <c r="Q1053" s="49"/>
      <c r="R1053" s="50" t="s">
        <v>2267</v>
      </c>
      <c r="S1053" s="55" t="s">
        <v>3440</v>
      </c>
      <c r="T1053" s="49" t="str">
        <f>IFERROR(__xludf.DUMMYFUNCTION("""COMPUTED_VALUE"""),"ecological")</f>
        <v>ecological</v>
      </c>
      <c r="U1053" s="49"/>
      <c r="V1053" s="49"/>
      <c r="W1053" s="49" t="str">
        <f>IFERROR(__xludf.DUMMYFUNCTION("""COMPUTED_VALUE"""),"common")</f>
        <v>common</v>
      </c>
      <c r="X1053" s="49" t="str">
        <f t="shared" si="3"/>
        <v>seeing,</v>
      </c>
      <c r="Y1053" s="49"/>
      <c r="Z1053" s="1" t="s">
        <v>4190</v>
      </c>
      <c r="AA1053" s="1" t="s">
        <v>914</v>
      </c>
      <c r="AB1053" s="49" t="str">
        <f>IFERROR(__xludf.DUMMYFUNCTION("""COMPUTED_VALUE"""),"awakening")</f>
        <v>awakening</v>
      </c>
      <c r="AC1053" s="49"/>
      <c r="AD1053" s="49" t="str">
        <f>IFERROR(__xludf.DUMMYFUNCTION("""COMPUTED_VALUE"""),"exotic")</f>
        <v>exotic</v>
      </c>
      <c r="AE1053" s="49" t="str">
        <f>IFERROR(__xludf.DUMMYFUNCTION("""COMPUTED_VALUE"""),"creed")</f>
        <v>creed</v>
      </c>
      <c r="AF1053" s="49" t="str">
        <f t="shared" si="4"/>
        <v>fully,</v>
      </c>
      <c r="AG1053" s="49"/>
      <c r="AH1053" s="1" t="s">
        <v>5629</v>
      </c>
      <c r="AI1053" s="1" t="s">
        <v>1783</v>
      </c>
      <c r="AJ1053" s="6" t="str">
        <f>IFERROR(__xludf.DUMMYFUNCTION("""COMPUTED_VALUE"""),"hired")</f>
        <v>hired</v>
      </c>
      <c r="AK1053" s="49"/>
      <c r="AL1053" s="49"/>
      <c r="AM1053" s="49"/>
      <c r="AN1053" s="52" t="str">
        <f t="shared" si="5"/>
        <v>dangerous,</v>
      </c>
    </row>
    <row r="1054">
      <c r="A1054" s="51"/>
      <c r="B1054" s="50" t="s">
        <v>3015</v>
      </c>
      <c r="C1054" s="50" t="s">
        <v>3221</v>
      </c>
      <c r="D1054" s="49" t="str">
        <f>IFERROR(__xludf.DUMMYFUNCTION("""COMPUTED_VALUE"""),"growing")</f>
        <v>growing</v>
      </c>
      <c r="E1054" s="49"/>
      <c r="F1054" s="49"/>
      <c r="G1054" s="49"/>
      <c r="H1054" s="54" t="str">
        <f t="shared" si="1"/>
        <v>wonderful,</v>
      </c>
      <c r="I1054" s="50"/>
      <c r="J1054" s="50" t="s">
        <v>7300</v>
      </c>
      <c r="K1054" s="50" t="s">
        <v>2363</v>
      </c>
      <c r="L1054" s="49" t="str">
        <f>IFERROR(__xludf.DUMMYFUNCTION("""COMPUTED_VALUE"""),"dozen")</f>
        <v>dozen</v>
      </c>
      <c r="M1054" s="49"/>
      <c r="N1054" s="49" t="str">
        <f>IFERROR(__xludf.DUMMYFUNCTION("""COMPUTED_VALUE"""),"3d")</f>
        <v>3d</v>
      </c>
      <c r="O1054" s="49" t="str">
        <f>IFERROR(__xludf.DUMMYFUNCTION("""COMPUTED_VALUE"""),"ferrara")</f>
        <v>ferrara</v>
      </c>
      <c r="P1054" s="49" t="str">
        <f t="shared" si="2"/>
        <v>dismiss,</v>
      </c>
      <c r="Q1054" s="49"/>
      <c r="R1054" s="50" t="s">
        <v>28</v>
      </c>
      <c r="S1054" s="55" t="s">
        <v>2205</v>
      </c>
      <c r="T1054" s="49" t="str">
        <f>IFERROR(__xludf.DUMMYFUNCTION("""COMPUTED_VALUE"""),"growth")</f>
        <v>growth</v>
      </c>
      <c r="U1054" s="49"/>
      <c r="V1054" s="49"/>
      <c r="W1054" s="49" t="str">
        <f>IFERROR(__xludf.DUMMYFUNCTION("""COMPUTED_VALUE"""),"limbs")</f>
        <v>limbs</v>
      </c>
      <c r="X1054" s="49" t="str">
        <f t="shared" si="3"/>
        <v>superficial,</v>
      </c>
      <c r="Y1054" s="49"/>
      <c r="Z1054" s="1" t="s">
        <v>3566</v>
      </c>
      <c r="AA1054" s="1" t="s">
        <v>3951</v>
      </c>
      <c r="AB1054" s="49" t="str">
        <f>IFERROR(__xludf.DUMMYFUNCTION("""COMPUTED_VALUE"""),"heroic")</f>
        <v>heroic</v>
      </c>
      <c r="AC1054" s="49"/>
      <c r="AD1054" s="49" t="str">
        <f>IFERROR(__xludf.DUMMYFUNCTION("""COMPUTED_VALUE"""),"3d")</f>
        <v>3d</v>
      </c>
      <c r="AE1054" s="49" t="str">
        <f>IFERROR(__xludf.DUMMYFUNCTION("""COMPUTED_VALUE"""),"ferrara")</f>
        <v>ferrara</v>
      </c>
      <c r="AF1054" s="49" t="str">
        <f t="shared" si="4"/>
        <v>language,</v>
      </c>
      <c r="AG1054" s="49"/>
      <c r="AH1054" s="1" t="s">
        <v>1226</v>
      </c>
      <c r="AI1054" s="1" t="s">
        <v>6413</v>
      </c>
      <c r="AJ1054" s="6" t="str">
        <f>IFERROR(__xludf.DUMMYFUNCTION("""COMPUTED_VALUE"""),"delivered")</f>
        <v>delivered</v>
      </c>
      <c r="AK1054" s="49"/>
      <c r="AL1054" s="49"/>
      <c r="AM1054" s="49"/>
      <c r="AN1054" s="52" t="str">
        <f t="shared" si="5"/>
        <v>respect,</v>
      </c>
    </row>
    <row r="1055">
      <c r="A1055" s="51"/>
      <c r="B1055" s="50" t="s">
        <v>3550</v>
      </c>
      <c r="C1055" s="50" t="s">
        <v>3511</v>
      </c>
      <c r="D1055" s="49" t="str">
        <f>IFERROR(__xludf.DUMMYFUNCTION("""COMPUTED_VALUE"""),"believes")</f>
        <v>believes</v>
      </c>
      <c r="E1055" s="49"/>
      <c r="F1055" s="49"/>
      <c r="G1055" s="49"/>
      <c r="H1055" s="54" t="str">
        <f t="shared" si="1"/>
        <v>lion,</v>
      </c>
      <c r="I1055" s="50"/>
      <c r="J1055" s="50" t="s">
        <v>711</v>
      </c>
      <c r="K1055" s="50" t="s">
        <v>3958</v>
      </c>
      <c r="L1055" s="49" t="str">
        <f>IFERROR(__xludf.DUMMYFUNCTION("""COMPUTED_VALUE"""),"excess")</f>
        <v>excess</v>
      </c>
      <c r="M1055" s="49"/>
      <c r="N1055" s="49" t="str">
        <f>IFERROR(__xludf.DUMMYFUNCTION("""COMPUTED_VALUE"""),"arguments")</f>
        <v>arguments</v>
      </c>
      <c r="O1055" s="49" t="str">
        <f>IFERROR(__xludf.DUMMYFUNCTION("""COMPUTED_VALUE"""),"abel")</f>
        <v>abel</v>
      </c>
      <c r="P1055" s="49" t="str">
        <f t="shared" si="2"/>
        <v>family,</v>
      </c>
      <c r="Q1055" s="49"/>
      <c r="R1055" s="50" t="s">
        <v>2237</v>
      </c>
      <c r="S1055" s="55" t="s">
        <v>2247</v>
      </c>
      <c r="T1055" s="49" t="str">
        <f>IFERROR(__xludf.DUMMYFUNCTION("""COMPUTED_VALUE"""),"benefit")</f>
        <v>benefit</v>
      </c>
      <c r="U1055" s="49"/>
      <c r="V1055" s="49"/>
      <c r="W1055" s="49" t="str">
        <f>IFERROR(__xludf.DUMMYFUNCTION("""COMPUTED_VALUE"""),"suspend")</f>
        <v>suspend</v>
      </c>
      <c r="X1055" s="49" t="str">
        <f t="shared" si="3"/>
        <v>deeper,</v>
      </c>
      <c r="Y1055" s="49"/>
      <c r="Z1055" s="1" t="s">
        <v>598</v>
      </c>
      <c r="AA1055" s="1" t="s">
        <v>3955</v>
      </c>
      <c r="AB1055" s="49" t="str">
        <f>IFERROR(__xludf.DUMMYFUNCTION("""COMPUTED_VALUE"""),"courage")</f>
        <v>courage</v>
      </c>
      <c r="AC1055" s="49"/>
      <c r="AD1055" s="49" t="str">
        <f>IFERROR(__xludf.DUMMYFUNCTION("""COMPUTED_VALUE"""),"arguments")</f>
        <v>arguments</v>
      </c>
      <c r="AE1055" s="49" t="str">
        <f>IFERROR(__xludf.DUMMYFUNCTION("""COMPUTED_VALUE"""),"abel")</f>
        <v>abel</v>
      </c>
      <c r="AF1055" s="49" t="str">
        <f t="shared" si="4"/>
        <v>point,</v>
      </c>
      <c r="AG1055" s="49"/>
      <c r="AH1055" s="1" t="s">
        <v>6455</v>
      </c>
      <c r="AI1055" s="1" t="s">
        <v>2075</v>
      </c>
      <c r="AJ1055" s="6" t="str">
        <f>IFERROR(__xludf.DUMMYFUNCTION("""COMPUTED_VALUE"""),"ghost")</f>
        <v>ghost</v>
      </c>
      <c r="AK1055" s="49"/>
      <c r="AL1055" s="49"/>
      <c r="AM1055" s="49"/>
      <c r="AN1055" s="52" t="str">
        <f t="shared" si="5"/>
        <v>obviously,</v>
      </c>
    </row>
    <row r="1056">
      <c r="A1056" s="51"/>
      <c r="B1056" s="50" t="s">
        <v>7276</v>
      </c>
      <c r="C1056" s="50" t="s">
        <v>2087</v>
      </c>
      <c r="D1056" s="49" t="str">
        <f>IFERROR(__xludf.DUMMYFUNCTION("""COMPUTED_VALUE"""),"general")</f>
        <v>general</v>
      </c>
      <c r="E1056" s="49"/>
      <c r="F1056" s="49"/>
      <c r="G1056" s="49"/>
      <c r="H1056" s="54" t="str">
        <f t="shared" si="1"/>
        <v>rid,</v>
      </c>
      <c r="I1056" s="50"/>
      <c r="J1056" s="50" t="s">
        <v>1245</v>
      </c>
      <c r="K1056" s="50" t="s">
        <v>2371</v>
      </c>
      <c r="L1056" s="49" t="str">
        <f>IFERROR(__xludf.DUMMYFUNCTION("""COMPUTED_VALUE"""),"errors")</f>
        <v>errors</v>
      </c>
      <c r="M1056" s="49"/>
      <c r="N1056" s="49" t="str">
        <f>IFERROR(__xludf.DUMMYFUNCTION("""COMPUTED_VALUE"""),"finer")</f>
        <v>finer</v>
      </c>
      <c r="O1056" s="49" t="str">
        <f>IFERROR(__xludf.DUMMYFUNCTION("""COMPUTED_VALUE"""),"academy")</f>
        <v>academy</v>
      </c>
      <c r="P1056" s="49" t="str">
        <f t="shared" si="2"/>
        <v>bullock,</v>
      </c>
      <c r="Q1056" s="49"/>
      <c r="R1056" s="50" t="s">
        <v>2576</v>
      </c>
      <c r="S1056" s="55" t="s">
        <v>2216</v>
      </c>
      <c r="T1056" s="49" t="str">
        <f>IFERROR(__xludf.DUMMYFUNCTION("""COMPUTED_VALUE"""),"swallow")</f>
        <v>swallow</v>
      </c>
      <c r="U1056" s="49"/>
      <c r="V1056" s="49"/>
      <c r="W1056" s="49" t="str">
        <f>IFERROR(__xludf.DUMMYFUNCTION("""COMPUTED_VALUE"""),"honesty")</f>
        <v>honesty</v>
      </c>
      <c r="X1056" s="49" t="str">
        <f t="shared" si="3"/>
        <v>struggling,</v>
      </c>
      <c r="Y1056" s="49"/>
      <c r="Z1056" s="1" t="s">
        <v>2066</v>
      </c>
      <c r="AA1056" s="1" t="s">
        <v>753</v>
      </c>
      <c r="AB1056" s="49" t="str">
        <f>IFERROR(__xludf.DUMMYFUNCTION("""COMPUTED_VALUE"""),"wallace")</f>
        <v>wallace</v>
      </c>
      <c r="AC1056" s="49"/>
      <c r="AD1056" s="49" t="str">
        <f>IFERROR(__xludf.DUMMYFUNCTION("""COMPUTED_VALUE"""),"finer")</f>
        <v>finer</v>
      </c>
      <c r="AE1056" s="49" t="str">
        <f>IFERROR(__xludf.DUMMYFUNCTION("""COMPUTED_VALUE"""),"academy")</f>
        <v>academy</v>
      </c>
      <c r="AF1056" s="49" t="str">
        <f t="shared" si="4"/>
        <v>typical,</v>
      </c>
      <c r="AG1056" s="49"/>
      <c r="AH1056" s="1" t="s">
        <v>1640</v>
      </c>
      <c r="AI1056" s="1" t="s">
        <v>2082</v>
      </c>
      <c r="AJ1056" s="6" t="str">
        <f>IFERROR(__xludf.DUMMYFUNCTION("""COMPUTED_VALUE"""),"promised")</f>
        <v>promised</v>
      </c>
      <c r="AK1056" s="49"/>
      <c r="AL1056" s="49"/>
      <c r="AM1056" s="49"/>
      <c r="AN1056" s="52" t="str">
        <f t="shared" si="5"/>
        <v>formula,</v>
      </c>
    </row>
    <row r="1057">
      <c r="A1057" s="51"/>
      <c r="B1057" s="50" t="s">
        <v>94</v>
      </c>
      <c r="C1057" s="50" t="s">
        <v>2070</v>
      </c>
      <c r="D1057" s="49" t="str">
        <f>IFERROR(__xludf.DUMMYFUNCTION("""COMPUTED_VALUE"""),"filled")</f>
        <v>filled</v>
      </c>
      <c r="E1057" s="49"/>
      <c r="F1057" s="49"/>
      <c r="G1057" s="49"/>
      <c r="H1057" s="54" t="str">
        <f t="shared" si="1"/>
        <v>let,</v>
      </c>
      <c r="I1057" s="50"/>
      <c r="J1057" s="50" t="s">
        <v>2306</v>
      </c>
      <c r="K1057" s="50" t="s">
        <v>3963</v>
      </c>
      <c r="L1057" s="49" t="str">
        <f>IFERROR(__xludf.DUMMYFUNCTION("""COMPUTED_VALUE"""),"alive")</f>
        <v>alive</v>
      </c>
      <c r="M1057" s="49"/>
      <c r="N1057" s="49" t="str">
        <f>IFERROR(__xludf.DUMMYFUNCTION("""COMPUTED_VALUE"""),"pays")</f>
        <v>pays</v>
      </c>
      <c r="O1057" s="49" t="str">
        <f>IFERROR(__xludf.DUMMYFUNCTION("""COMPUTED_VALUE"""),"equation")</f>
        <v>equation</v>
      </c>
      <c r="P1057" s="49" t="str">
        <f t="shared" si="2"/>
        <v>spanning,</v>
      </c>
      <c r="Q1057" s="49"/>
      <c r="R1057" s="50" t="s">
        <v>4428</v>
      </c>
      <c r="S1057" s="55" t="s">
        <v>6435</v>
      </c>
      <c r="T1057" s="49" t="str">
        <f>IFERROR(__xludf.DUMMYFUNCTION("""COMPUTED_VALUE"""),"insult")</f>
        <v>insult</v>
      </c>
      <c r="U1057" s="49"/>
      <c r="V1057" s="49"/>
      <c r="W1057" s="49" t="str">
        <f>IFERROR(__xludf.DUMMYFUNCTION("""COMPUTED_VALUE"""),"efficient")</f>
        <v>efficient</v>
      </c>
      <c r="X1057" s="49" t="str">
        <f t="shared" si="3"/>
        <v>barely,</v>
      </c>
      <c r="Y1057" s="49"/>
      <c r="Z1057" s="1" t="s">
        <v>2581</v>
      </c>
      <c r="AA1057" s="1" t="s">
        <v>2670</v>
      </c>
      <c r="AB1057" s="49" t="str">
        <f>IFERROR(__xludf.DUMMYFUNCTION("""COMPUTED_VALUE"""),"exaggerated")</f>
        <v>exaggerated</v>
      </c>
      <c r="AC1057" s="49"/>
      <c r="AD1057" s="49" t="str">
        <f>IFERROR(__xludf.DUMMYFUNCTION("""COMPUTED_VALUE"""),"pays")</f>
        <v>pays</v>
      </c>
      <c r="AE1057" s="49" t="str">
        <f>IFERROR(__xludf.DUMMYFUNCTION("""COMPUTED_VALUE"""),"equation")</f>
        <v>equation</v>
      </c>
      <c r="AF1057" s="49" t="str">
        <f t="shared" si="4"/>
        <v>christian,</v>
      </c>
      <c r="AG1057" s="49"/>
      <c r="AH1057" s="1" t="s">
        <v>2819</v>
      </c>
      <c r="AI1057" s="1" t="s">
        <v>2198</v>
      </c>
      <c r="AJ1057" s="6" t="str">
        <f>IFERROR(__xludf.DUMMYFUNCTION("""COMPUTED_VALUE"""),"advice")</f>
        <v>advice</v>
      </c>
      <c r="AK1057" s="49"/>
      <c r="AL1057" s="49"/>
      <c r="AM1057" s="49"/>
      <c r="AN1057" s="52" t="str">
        <f t="shared" si="5"/>
        <v>bears,</v>
      </c>
    </row>
    <row r="1058">
      <c r="A1058" s="51"/>
      <c r="B1058" s="50" t="s">
        <v>578</v>
      </c>
      <c r="C1058" s="50" t="s">
        <v>878</v>
      </c>
      <c r="D1058" s="49" t="str">
        <f>IFERROR(__xludf.DUMMYFUNCTION("""COMPUTED_VALUE"""),"ill")</f>
        <v>ill</v>
      </c>
      <c r="E1058" s="49"/>
      <c r="F1058" s="49"/>
      <c r="G1058" s="49"/>
      <c r="H1058" s="54" t="str">
        <f t="shared" si="1"/>
        <v>knew,</v>
      </c>
      <c r="I1058" s="50"/>
      <c r="J1058" s="50" t="s">
        <v>2320</v>
      </c>
      <c r="K1058" s="50" t="s">
        <v>2365</v>
      </c>
      <c r="L1058" s="49" t="str">
        <f>IFERROR(__xludf.DUMMYFUNCTION("""COMPUTED_VALUE"""),"details")</f>
        <v>details</v>
      </c>
      <c r="M1058" s="49"/>
      <c r="N1058" s="49" t="str">
        <f>IFERROR(__xludf.DUMMYFUNCTION("""COMPUTED_VALUE"""),"harmon")</f>
        <v>harmon</v>
      </c>
      <c r="O1058" s="49" t="str">
        <f>IFERROR(__xludf.DUMMYFUNCTION("""COMPUTED_VALUE"""),"molina")</f>
        <v>molina</v>
      </c>
      <c r="P1058" s="49" t="str">
        <f t="shared" si="2"/>
        <v>sisters,</v>
      </c>
      <c r="Q1058" s="49"/>
      <c r="R1058" s="50" t="s">
        <v>5568</v>
      </c>
      <c r="S1058" s="55" t="s">
        <v>628</v>
      </c>
      <c r="T1058" s="49" t="str">
        <f>IFERROR(__xludf.DUMMYFUNCTION("""COMPUTED_VALUE"""),"literary")</f>
        <v>literary</v>
      </c>
      <c r="U1058" s="49"/>
      <c r="V1058" s="49"/>
      <c r="W1058" s="49" t="str">
        <f>IFERROR(__xludf.DUMMYFUNCTION("""COMPUTED_VALUE"""),"curling")</f>
        <v>curling</v>
      </c>
      <c r="X1058" s="49" t="str">
        <f t="shared" si="3"/>
        <v>robin,</v>
      </c>
      <c r="Y1058" s="49"/>
      <c r="Z1058" s="1" t="s">
        <v>4362</v>
      </c>
      <c r="AA1058" s="1" t="s">
        <v>2783</v>
      </c>
      <c r="AB1058" s="49" t="str">
        <f>IFERROR(__xludf.DUMMYFUNCTION("""COMPUTED_VALUE"""),"acclaim")</f>
        <v>acclaim</v>
      </c>
      <c r="AC1058" s="49"/>
      <c r="AD1058" s="49" t="str">
        <f>IFERROR(__xludf.DUMMYFUNCTION("""COMPUTED_VALUE"""),"harmon")</f>
        <v>harmon</v>
      </c>
      <c r="AE1058" s="49" t="str">
        <f>IFERROR(__xludf.DUMMYFUNCTION("""COMPUTED_VALUE"""),"molina")</f>
        <v>molina</v>
      </c>
      <c r="AF1058" s="49" t="str">
        <f t="shared" si="4"/>
        <v>rent,</v>
      </c>
      <c r="AG1058" s="49"/>
      <c r="AH1058" s="1" t="s">
        <v>3284</v>
      </c>
      <c r="AI1058" s="1" t="s">
        <v>297</v>
      </c>
      <c r="AJ1058" s="6" t="str">
        <f>IFERROR(__xludf.DUMMYFUNCTION("""COMPUTED_VALUE"""),"mystery")</f>
        <v>mystery</v>
      </c>
      <c r="AK1058" s="49"/>
      <c r="AL1058" s="49"/>
      <c r="AM1058" s="49"/>
      <c r="AN1058" s="52" t="str">
        <f t="shared" si="5"/>
        <v>teach,</v>
      </c>
    </row>
    <row r="1059">
      <c r="A1059" s="51"/>
      <c r="B1059" s="50" t="s">
        <v>1283</v>
      </c>
      <c r="C1059" s="50" t="s">
        <v>1783</v>
      </c>
      <c r="D1059" s="49" t="str">
        <f>IFERROR(__xludf.DUMMYFUNCTION("""COMPUTED_VALUE"""),"dealing")</f>
        <v>dealing</v>
      </c>
      <c r="E1059" s="49"/>
      <c r="F1059" s="49"/>
      <c r="G1059" s="49"/>
      <c r="H1059" s="54" t="str">
        <f t="shared" si="1"/>
        <v>give,</v>
      </c>
      <c r="I1059" s="50"/>
      <c r="J1059" s="50" t="s">
        <v>6693</v>
      </c>
      <c r="K1059" s="50" t="s">
        <v>2375</v>
      </c>
      <c r="L1059" s="49" t="str">
        <f>IFERROR(__xludf.DUMMYFUNCTION("""COMPUTED_VALUE"""),"maintain")</f>
        <v>maintain</v>
      </c>
      <c r="M1059" s="49"/>
      <c r="N1059" s="49" t="str">
        <f>IFERROR(__xludf.DUMMYFUNCTION("""COMPUTED_VALUE"""),"blazing")</f>
        <v>blazing</v>
      </c>
      <c r="O1059" s="49" t="str">
        <f>IFERROR(__xludf.DUMMYFUNCTION("""COMPUTED_VALUE"""),"kang")</f>
        <v>kang</v>
      </c>
      <c r="P1059" s="49" t="str">
        <f t="shared" si="2"/>
        <v>disappointed,</v>
      </c>
      <c r="Q1059" s="49"/>
      <c r="R1059" s="50" t="s">
        <v>285</v>
      </c>
      <c r="S1059" s="55" t="s">
        <v>882</v>
      </c>
      <c r="T1059" s="49" t="str">
        <f>IFERROR(__xludf.DUMMYFUNCTION("""COMPUTED_VALUE"""),"tunnels")</f>
        <v>tunnels</v>
      </c>
      <c r="U1059" s="49"/>
      <c r="V1059" s="49"/>
      <c r="W1059" s="49" t="str">
        <f>IFERROR(__xludf.DUMMYFUNCTION("""COMPUTED_VALUE"""),"pbs")</f>
        <v>pbs</v>
      </c>
      <c r="X1059" s="49" t="str">
        <f t="shared" si="3"/>
        <v>epic,</v>
      </c>
      <c r="Y1059" s="49"/>
      <c r="Z1059" s="1" t="s">
        <v>877</v>
      </c>
      <c r="AA1059" s="1" t="s">
        <v>3966</v>
      </c>
      <c r="AB1059" s="49" t="str">
        <f>IFERROR(__xludf.DUMMYFUNCTION("""COMPUTED_VALUE"""),"muddy")</f>
        <v>muddy</v>
      </c>
      <c r="AC1059" s="49"/>
      <c r="AD1059" s="49" t="str">
        <f>IFERROR(__xludf.DUMMYFUNCTION("""COMPUTED_VALUE"""),"blazing")</f>
        <v>blazing</v>
      </c>
      <c r="AE1059" s="49" t="str">
        <f>IFERROR(__xludf.DUMMYFUNCTION("""COMPUTED_VALUE"""),"kang")</f>
        <v>kang</v>
      </c>
      <c r="AF1059" s="49" t="str">
        <f t="shared" si="4"/>
        <v>college,</v>
      </c>
      <c r="AG1059" s="49"/>
      <c r="AH1059" s="1" t="s">
        <v>3400</v>
      </c>
      <c r="AI1059" s="1" t="s">
        <v>1561</v>
      </c>
      <c r="AJ1059" s="6" t="str">
        <f>IFERROR(__xludf.DUMMYFUNCTION("""COMPUTED_VALUE"""),"top")</f>
        <v>top</v>
      </c>
      <c r="AK1059" s="49"/>
      <c r="AL1059" s="49"/>
      <c r="AM1059" s="49"/>
      <c r="AN1059" s="52" t="str">
        <f t="shared" si="5"/>
        <v>between,</v>
      </c>
    </row>
    <row r="1060">
      <c r="A1060" s="51"/>
      <c r="B1060" s="50" t="s">
        <v>6340</v>
      </c>
      <c r="C1060" s="50" t="s">
        <v>6413</v>
      </c>
      <c r="D1060" s="49" t="str">
        <f>IFERROR(__xludf.DUMMYFUNCTION("""COMPUTED_VALUE"""),"observations")</f>
        <v>observations</v>
      </c>
      <c r="E1060" s="49"/>
      <c r="F1060" s="49"/>
      <c r="G1060" s="49"/>
      <c r="H1060" s="54" t="str">
        <f t="shared" si="1"/>
        <v>professional,</v>
      </c>
      <c r="I1060" s="50"/>
      <c r="J1060" s="50" t="s">
        <v>5291</v>
      </c>
      <c r="K1060" s="50" t="s">
        <v>3970</v>
      </c>
      <c r="L1060" s="49" t="str">
        <f>IFERROR(__xludf.DUMMYFUNCTION("""COMPUTED_VALUE"""),"gender")</f>
        <v>gender</v>
      </c>
      <c r="M1060" s="49"/>
      <c r="N1060" s="49" t="str">
        <f>IFERROR(__xludf.DUMMYFUNCTION("""COMPUTED_VALUE"""),"shirt")</f>
        <v>shirt</v>
      </c>
      <c r="O1060" s="49" t="str">
        <f>IFERROR(__xludf.DUMMYFUNCTION("""COMPUTED_VALUE"""),"salt")</f>
        <v>salt</v>
      </c>
      <c r="P1060" s="49" t="str">
        <f t="shared" si="2"/>
        <v>ed,</v>
      </c>
      <c r="Q1060" s="49"/>
      <c r="R1060" s="50" t="s">
        <v>2518</v>
      </c>
      <c r="S1060" s="55" t="s">
        <v>3188</v>
      </c>
      <c r="T1060" s="49" t="str">
        <f>IFERROR(__xludf.DUMMYFUNCTION("""COMPUTED_VALUE"""),"recognized")</f>
        <v>recognized</v>
      </c>
      <c r="U1060" s="49"/>
      <c r="V1060" s="49"/>
      <c r="W1060" s="49" t="str">
        <f>IFERROR(__xludf.DUMMYFUNCTION("""COMPUTED_VALUE"""),"elephant")</f>
        <v>elephant</v>
      </c>
      <c r="X1060" s="49" t="str">
        <f t="shared" si="3"/>
        <v>surprising,</v>
      </c>
      <c r="Y1060" s="49"/>
      <c r="Z1060" s="1" t="s">
        <v>6238</v>
      </c>
      <c r="AA1060" s="1" t="s">
        <v>762</v>
      </c>
      <c r="AB1060" s="49" t="str">
        <f>IFERROR(__xludf.DUMMYFUNCTION("""COMPUTED_VALUE"""),"thematic")</f>
        <v>thematic</v>
      </c>
      <c r="AC1060" s="49"/>
      <c r="AD1060" s="49" t="str">
        <f>IFERROR(__xludf.DUMMYFUNCTION("""COMPUTED_VALUE"""),"shirt")</f>
        <v>shirt</v>
      </c>
      <c r="AE1060" s="49" t="str">
        <f>IFERROR(__xludf.DUMMYFUNCTION("""COMPUTED_VALUE"""),"salt")</f>
        <v>salt</v>
      </c>
      <c r="AF1060" s="49" t="str">
        <f t="shared" si="4"/>
        <v>awful,</v>
      </c>
      <c r="AG1060" s="49"/>
      <c r="AH1060" s="1" t="s">
        <v>1388</v>
      </c>
      <c r="AI1060" s="1" t="s">
        <v>4469</v>
      </c>
      <c r="AJ1060" s="6" t="str">
        <f>IFERROR(__xludf.DUMMYFUNCTION("""COMPUTED_VALUE"""),"association")</f>
        <v>association</v>
      </c>
      <c r="AK1060" s="49"/>
      <c r="AL1060" s="49"/>
      <c r="AM1060" s="49"/>
      <c r="AN1060" s="52" t="str">
        <f t="shared" si="5"/>
        <v>bridge,</v>
      </c>
    </row>
    <row r="1061">
      <c r="A1061" s="51"/>
      <c r="B1061" s="50" t="s">
        <v>2063</v>
      </c>
      <c r="C1061" s="50" t="s">
        <v>2075</v>
      </c>
      <c r="D1061" s="49" t="str">
        <f>IFERROR(__xludf.DUMMYFUNCTION("""COMPUTED_VALUE"""),"mostly")</f>
        <v>mostly</v>
      </c>
      <c r="E1061" s="49"/>
      <c r="F1061" s="49"/>
      <c r="G1061" s="49"/>
      <c r="H1061" s="54" t="str">
        <f t="shared" si="1"/>
        <v>friends,</v>
      </c>
      <c r="I1061" s="50"/>
      <c r="J1061" s="50" t="s">
        <v>5283</v>
      </c>
      <c r="K1061" s="50" t="s">
        <v>2366</v>
      </c>
      <c r="L1061" s="49" t="str">
        <f>IFERROR(__xludf.DUMMYFUNCTION("""COMPUTED_VALUE"""),"study")</f>
        <v>study</v>
      </c>
      <c r="M1061" s="49"/>
      <c r="N1061" s="49" t="str">
        <f>IFERROR(__xludf.DUMMYFUNCTION("""COMPUTED_VALUE"""),"wherever")</f>
        <v>wherever</v>
      </c>
      <c r="O1061" s="49" t="str">
        <f>IFERROR(__xludf.DUMMYFUNCTION("""COMPUTED_VALUE"""),"trumpet")</f>
        <v>trumpet</v>
      </c>
      <c r="P1061" s="49" t="str">
        <f t="shared" si="2"/>
        <v>prospect,</v>
      </c>
      <c r="Q1061" s="49"/>
      <c r="R1061" s="50" t="s">
        <v>3782</v>
      </c>
      <c r="S1061" s="55" t="s">
        <v>4423</v>
      </c>
      <c r="T1061" s="49" t="str">
        <f>IFERROR(__xludf.DUMMYFUNCTION("""COMPUTED_VALUE"""),"designed")</f>
        <v>designed</v>
      </c>
      <c r="U1061" s="49"/>
      <c r="V1061" s="49"/>
      <c r="W1061" s="49" t="str">
        <f>IFERROR(__xludf.DUMMYFUNCTION("""COMPUTED_VALUE"""),"dreadful")</f>
        <v>dreadful</v>
      </c>
      <c r="X1061" s="49" t="str">
        <f t="shared" si="3"/>
        <v>target,</v>
      </c>
      <c r="Y1061" s="49"/>
      <c r="Z1061" s="1" t="s">
        <v>3918</v>
      </c>
      <c r="AA1061" s="1" t="s">
        <v>771</v>
      </c>
      <c r="AB1061" s="49" t="str">
        <f>IFERROR(__xludf.DUMMYFUNCTION("""COMPUTED_VALUE"""),"traditions")</f>
        <v>traditions</v>
      </c>
      <c r="AC1061" s="49"/>
      <c r="AD1061" s="49" t="str">
        <f>IFERROR(__xludf.DUMMYFUNCTION("""COMPUTED_VALUE"""),"wherever")</f>
        <v>wherever</v>
      </c>
      <c r="AE1061" s="49" t="str">
        <f>IFERROR(__xludf.DUMMYFUNCTION("""COMPUTED_VALUE"""),"trumpet")</f>
        <v>trumpet</v>
      </c>
      <c r="AF1061" s="49" t="str">
        <f t="shared" si="4"/>
        <v>saving,</v>
      </c>
      <c r="AG1061" s="49"/>
      <c r="AH1061" s="1" t="s">
        <v>1943</v>
      </c>
      <c r="AI1061" s="1" t="s">
        <v>3491</v>
      </c>
      <c r="AJ1061" s="6" t="str">
        <f>IFERROR(__xludf.DUMMYFUNCTION("""COMPUTED_VALUE"""),"problem")</f>
        <v>problem</v>
      </c>
      <c r="AK1061" s="49"/>
      <c r="AL1061" s="49"/>
      <c r="AM1061" s="49"/>
      <c r="AN1061" s="52" t="str">
        <f t="shared" si="5"/>
        <v>african,</v>
      </c>
    </row>
    <row r="1062">
      <c r="A1062" s="51"/>
      <c r="B1062" s="50" t="s">
        <v>6418</v>
      </c>
      <c r="C1062" s="50" t="s">
        <v>2082</v>
      </c>
      <c r="D1062" s="49" t="str">
        <f>IFERROR(__xludf.DUMMYFUNCTION("""COMPUTED_VALUE"""),"bore")</f>
        <v>bore</v>
      </c>
      <c r="E1062" s="49"/>
      <c r="F1062" s="49"/>
      <c r="G1062" s="49"/>
      <c r="H1062" s="54" t="str">
        <f t="shared" si="1"/>
        <v>perfect,</v>
      </c>
      <c r="I1062" s="50"/>
      <c r="J1062" s="50" t="s">
        <v>5323</v>
      </c>
      <c r="K1062" s="50" t="s">
        <v>2323</v>
      </c>
      <c r="L1062" s="49" t="str">
        <f>IFERROR(__xludf.DUMMYFUNCTION("""COMPUTED_VALUE"""),"library")</f>
        <v>library</v>
      </c>
      <c r="M1062" s="49"/>
      <c r="N1062" s="49" t="str">
        <f>IFERROR(__xludf.DUMMYFUNCTION("""COMPUTED_VALUE"""),"bout")</f>
        <v>bout</v>
      </c>
      <c r="O1062" s="49" t="str">
        <f>IFERROR(__xludf.DUMMYFUNCTION("""COMPUTED_VALUE"""),"arresting")</f>
        <v>arresting</v>
      </c>
      <c r="P1062" s="49" t="str">
        <f t="shared" si="2"/>
        <v>scare,</v>
      </c>
      <c r="Q1062" s="49"/>
      <c r="R1062" s="50" t="s">
        <v>977</v>
      </c>
      <c r="S1062" s="55" t="s">
        <v>2220</v>
      </c>
      <c r="T1062" s="49" t="str">
        <f>IFERROR(__xludf.DUMMYFUNCTION("""COMPUTED_VALUE"""),"creates")</f>
        <v>creates</v>
      </c>
      <c r="U1062" s="49"/>
      <c r="V1062" s="49"/>
      <c r="W1062" s="49" t="str">
        <f>IFERROR(__xludf.DUMMYFUNCTION("""COMPUTED_VALUE"""),"contradictory")</f>
        <v>contradictory</v>
      </c>
      <c r="X1062" s="49" t="str">
        <f t="shared" si="3"/>
        <v>superhuman,</v>
      </c>
      <c r="Y1062" s="49"/>
      <c r="Z1062" s="1" t="s">
        <v>800</v>
      </c>
      <c r="AA1062" s="1" t="s">
        <v>3974</v>
      </c>
      <c r="AB1062" s="49" t="str">
        <f>IFERROR(__xludf.DUMMYFUNCTION("""COMPUTED_VALUE"""),"daring")</f>
        <v>daring</v>
      </c>
      <c r="AC1062" s="49"/>
      <c r="AD1062" s="49" t="str">
        <f>IFERROR(__xludf.DUMMYFUNCTION("""COMPUTED_VALUE"""),"bout")</f>
        <v>bout</v>
      </c>
      <c r="AE1062" s="49" t="str">
        <f>IFERROR(__xludf.DUMMYFUNCTION("""COMPUTED_VALUE"""),"arresting")</f>
        <v>arresting</v>
      </c>
      <c r="AF1062" s="49" t="str">
        <f t="shared" si="4"/>
        <v>need,</v>
      </c>
      <c r="AG1062" s="49"/>
      <c r="AH1062" s="1" t="s">
        <v>5538</v>
      </c>
      <c r="AI1062" s="1" t="s">
        <v>2616</v>
      </c>
      <c r="AJ1062" s="6" t="str">
        <f>IFERROR(__xludf.DUMMYFUNCTION("""COMPUTED_VALUE"""),"problems")</f>
        <v>problems</v>
      </c>
      <c r="AK1062" s="49"/>
      <c r="AL1062" s="49"/>
      <c r="AM1062" s="49"/>
      <c r="AN1062" s="52" t="str">
        <f t="shared" si="5"/>
        <v>defeated,</v>
      </c>
    </row>
    <row r="1063">
      <c r="A1063" s="51"/>
      <c r="B1063" s="50" t="s">
        <v>2921</v>
      </c>
      <c r="C1063" s="50" t="s">
        <v>1561</v>
      </c>
      <c r="D1063" s="49" t="str">
        <f>IFERROR(__xludf.DUMMYFUNCTION("""COMPUTED_VALUE"""),"mix")</f>
        <v>mix</v>
      </c>
      <c r="E1063" s="49"/>
      <c r="F1063" s="49"/>
      <c r="G1063" s="49"/>
      <c r="H1063" s="54" t="str">
        <f t="shared" si="1"/>
        <v>wants,</v>
      </c>
      <c r="I1063" s="50"/>
      <c r="J1063" s="50" t="s">
        <v>1003</v>
      </c>
      <c r="K1063" s="50" t="s">
        <v>2373</v>
      </c>
      <c r="L1063" s="49" t="str">
        <f>IFERROR(__xludf.DUMMYFUNCTION("""COMPUTED_VALUE"""),"sparkling")</f>
        <v>sparkling</v>
      </c>
      <c r="M1063" s="49"/>
      <c r="N1063" s="49" t="str">
        <f>IFERROR(__xludf.DUMMYFUNCTION("""COMPUTED_VALUE"""),"edges")</f>
        <v>edges</v>
      </c>
      <c r="O1063" s="49" t="str">
        <f>IFERROR(__xludf.DUMMYFUNCTION("""COMPUTED_VALUE"""),"idol")</f>
        <v>idol</v>
      </c>
      <c r="P1063" s="49" t="str">
        <f t="shared" si="2"/>
        <v>hold,</v>
      </c>
      <c r="Q1063" s="49"/>
      <c r="R1063" s="50" t="s">
        <v>2736</v>
      </c>
      <c r="S1063" s="55" t="s">
        <v>2223</v>
      </c>
      <c r="T1063" s="49" t="str">
        <f>IFERROR(__xludf.DUMMYFUNCTION("""COMPUTED_VALUE"""),"champion")</f>
        <v>champion</v>
      </c>
      <c r="U1063" s="49"/>
      <c r="V1063" s="49"/>
      <c r="W1063" s="49" t="str">
        <f>IFERROR(__xludf.DUMMYFUNCTION("""COMPUTED_VALUE"""),"endings")</f>
        <v>endings</v>
      </c>
      <c r="X1063" s="49" t="str">
        <f t="shared" si="3"/>
        <v>economics,</v>
      </c>
      <c r="Y1063" s="49"/>
      <c r="Z1063" s="1" t="s">
        <v>6329</v>
      </c>
      <c r="AA1063" s="1" t="s">
        <v>2676</v>
      </c>
      <c r="AB1063" s="49" t="str">
        <f>IFERROR(__xludf.DUMMYFUNCTION("""COMPUTED_VALUE"""),"confident")</f>
        <v>confident</v>
      </c>
      <c r="AC1063" s="49"/>
      <c r="AD1063" s="49" t="str">
        <f>IFERROR(__xludf.DUMMYFUNCTION("""COMPUTED_VALUE"""),"edges")</f>
        <v>edges</v>
      </c>
      <c r="AE1063" s="49" t="str">
        <f>IFERROR(__xludf.DUMMYFUNCTION("""COMPUTED_VALUE"""),"idol")</f>
        <v>idol</v>
      </c>
      <c r="AF1063" s="49" t="str">
        <f t="shared" si="4"/>
        <v>able,</v>
      </c>
      <c r="AG1063" s="49"/>
      <c r="AH1063" s="1" t="s">
        <v>86</v>
      </c>
      <c r="AI1063" s="1" t="s">
        <v>2085</v>
      </c>
      <c r="AJ1063" s="6" t="str">
        <f>IFERROR(__xludf.DUMMYFUNCTION("""COMPUTED_VALUE"""),"purpose")</f>
        <v>purpose</v>
      </c>
      <c r="AK1063" s="49"/>
      <c r="AL1063" s="49"/>
      <c r="AM1063" s="49"/>
      <c r="AN1063" s="52" t="str">
        <f t="shared" si="5"/>
        <v>nature,</v>
      </c>
    </row>
    <row r="1064">
      <c r="A1064" s="51"/>
      <c r="B1064" s="50" t="s">
        <v>6723</v>
      </c>
      <c r="C1064" s="50" t="s">
        <v>4469</v>
      </c>
      <c r="D1064" s="49" t="str">
        <f>IFERROR(__xludf.DUMMYFUNCTION("""COMPUTED_VALUE"""),"suspect")</f>
        <v>suspect</v>
      </c>
      <c r="E1064" s="49"/>
      <c r="F1064" s="49"/>
      <c r="G1064" s="49"/>
      <c r="H1064" s="54" t="str">
        <f t="shared" si="1"/>
        <v>kate,</v>
      </c>
      <c r="I1064" s="50"/>
      <c r="J1064" s="50" t="s">
        <v>5051</v>
      </c>
      <c r="K1064" s="50" t="s">
        <v>566</v>
      </c>
      <c r="L1064" s="49" t="str">
        <f>IFERROR(__xludf.DUMMYFUNCTION("""COMPUTED_VALUE"""),"circumstances")</f>
        <v>circumstances</v>
      </c>
      <c r="M1064" s="49"/>
      <c r="N1064" s="49" t="str">
        <f>IFERROR(__xludf.DUMMYFUNCTION("""COMPUTED_VALUE"""),"exit")</f>
        <v>exit</v>
      </c>
      <c r="O1064" s="49" t="str">
        <f>IFERROR(__xludf.DUMMYFUNCTION("""COMPUTED_VALUE"""),"craven")</f>
        <v>craven</v>
      </c>
      <c r="P1064" s="49" t="str">
        <f t="shared" si="2"/>
        <v>conservative,</v>
      </c>
      <c r="Q1064" s="49"/>
      <c r="R1064" s="50" t="s">
        <v>645</v>
      </c>
      <c r="S1064" s="55" t="s">
        <v>6436</v>
      </c>
      <c r="T1064" s="49" t="str">
        <f>IFERROR(__xludf.DUMMYFUNCTION("""COMPUTED_VALUE"""),"safe")</f>
        <v>safe</v>
      </c>
      <c r="U1064" s="49"/>
      <c r="V1064" s="49"/>
      <c r="W1064" s="49" t="str">
        <f>IFERROR(__xludf.DUMMYFUNCTION("""COMPUTED_VALUE"""),"tongue")</f>
        <v>tongue</v>
      </c>
      <c r="X1064" s="49" t="str">
        <f t="shared" si="3"/>
        <v>moments,</v>
      </c>
      <c r="Y1064" s="49"/>
      <c r="Z1064" s="1" t="s">
        <v>6449</v>
      </c>
      <c r="AA1064" s="1" t="s">
        <v>778</v>
      </c>
      <c r="AB1064" s="49" t="str">
        <f>IFERROR(__xludf.DUMMYFUNCTION("""COMPUTED_VALUE"""),"precision")</f>
        <v>precision</v>
      </c>
      <c r="AC1064" s="49"/>
      <c r="AD1064" s="49" t="str">
        <f>IFERROR(__xludf.DUMMYFUNCTION("""COMPUTED_VALUE"""),"exit")</f>
        <v>exit</v>
      </c>
      <c r="AE1064" s="49" t="str">
        <f>IFERROR(__xludf.DUMMYFUNCTION("""COMPUTED_VALUE"""),"craven")</f>
        <v>craven</v>
      </c>
      <c r="AF1064" s="49" t="str">
        <f t="shared" si="4"/>
        <v>truly,</v>
      </c>
      <c r="AG1064" s="49"/>
      <c r="AH1064" s="1" t="s">
        <v>2300</v>
      </c>
      <c r="AI1064" s="1" t="s">
        <v>472</v>
      </c>
      <c r="AJ1064" s="6" t="str">
        <f>IFERROR(__xludf.DUMMYFUNCTION("""COMPUTED_VALUE"""),"providing")</f>
        <v>providing</v>
      </c>
      <c r="AK1064" s="49"/>
      <c r="AL1064" s="49"/>
      <c r="AM1064" s="49"/>
      <c r="AN1064" s="52" t="str">
        <f t="shared" si="5"/>
        <v>remember,</v>
      </c>
    </row>
    <row r="1065">
      <c r="A1065" s="51"/>
      <c r="B1065" s="50" t="s">
        <v>6988</v>
      </c>
      <c r="C1065" s="50" t="s">
        <v>3491</v>
      </c>
      <c r="D1065" s="49" t="str">
        <f>IFERROR(__xludf.DUMMYFUNCTION("""COMPUTED_VALUE"""),"universal")</f>
        <v>universal</v>
      </c>
      <c r="E1065" s="49"/>
      <c r="F1065" s="49"/>
      <c r="G1065" s="49"/>
      <c r="H1065" s="54" t="str">
        <f t="shared" si="1"/>
        <v>boss,</v>
      </c>
      <c r="I1065" s="50"/>
      <c r="J1065" s="50" t="s">
        <v>2538</v>
      </c>
      <c r="K1065" s="50" t="s">
        <v>2377</v>
      </c>
      <c r="L1065" s="49" t="str">
        <f>IFERROR(__xludf.DUMMYFUNCTION("""COMPUTED_VALUE"""),"effectively")</f>
        <v>effectively</v>
      </c>
      <c r="M1065" s="49"/>
      <c r="N1065" s="49" t="str">
        <f>IFERROR(__xludf.DUMMYFUNCTION("""COMPUTED_VALUE"""),"info")</f>
        <v>info</v>
      </c>
      <c r="O1065" s="49" t="str">
        <f>IFERROR(__xludf.DUMMYFUNCTION("""COMPUTED_VALUE"""),"eighth")</f>
        <v>eighth</v>
      </c>
      <c r="P1065" s="49" t="str">
        <f t="shared" si="2"/>
        <v>widow,</v>
      </c>
      <c r="Q1065" s="49"/>
      <c r="R1065" s="50" t="s">
        <v>5939</v>
      </c>
      <c r="S1065" s="55" t="s">
        <v>2226</v>
      </c>
      <c r="T1065" s="49" t="str">
        <f>IFERROR(__xludf.DUMMYFUNCTION("""COMPUTED_VALUE"""),"toilet")</f>
        <v>toilet</v>
      </c>
      <c r="U1065" s="49"/>
      <c r="V1065" s="49"/>
      <c r="W1065" s="49" t="str">
        <f>IFERROR(__xludf.DUMMYFUNCTION("""COMPUTED_VALUE"""),"approaches")</f>
        <v>approaches</v>
      </c>
      <c r="X1065" s="49" t="str">
        <f t="shared" si="3"/>
        <v>senses,</v>
      </c>
      <c r="Y1065" s="49"/>
      <c r="Z1065" s="1" t="s">
        <v>2348</v>
      </c>
      <c r="AA1065" s="1" t="s">
        <v>2801</v>
      </c>
      <c r="AB1065" s="49" t="str">
        <f>IFERROR(__xludf.DUMMYFUNCTION("""COMPUTED_VALUE"""),"plight")</f>
        <v>plight</v>
      </c>
      <c r="AC1065" s="49"/>
      <c r="AD1065" s="49" t="str">
        <f>IFERROR(__xludf.DUMMYFUNCTION("""COMPUTED_VALUE"""),"info")</f>
        <v>info</v>
      </c>
      <c r="AE1065" s="49" t="str">
        <f>IFERROR(__xludf.DUMMYFUNCTION("""COMPUTED_VALUE"""),"eighth")</f>
        <v>eighth</v>
      </c>
      <c r="AF1065" s="49" t="str">
        <f t="shared" si="4"/>
        <v>slightly,</v>
      </c>
      <c r="AG1065" s="49"/>
      <c r="AH1065" s="1" t="s">
        <v>4112</v>
      </c>
      <c r="AI1065" s="1" t="s">
        <v>3305</v>
      </c>
      <c r="AJ1065" s="6" t="str">
        <f>IFERROR(__xludf.DUMMYFUNCTION("""COMPUTED_VALUE"""),"explain")</f>
        <v>explain</v>
      </c>
      <c r="AK1065" s="49"/>
      <c r="AL1065" s="49"/>
      <c r="AM1065" s="49"/>
      <c r="AN1065" s="52" t="str">
        <f t="shared" si="5"/>
        <v>irish,</v>
      </c>
    </row>
    <row r="1066">
      <c r="A1066" s="51"/>
      <c r="B1066" s="50" t="s">
        <v>617</v>
      </c>
      <c r="C1066" s="50" t="s">
        <v>2616</v>
      </c>
      <c r="D1066" s="49" t="str">
        <f>IFERROR(__xludf.DUMMYFUNCTION("""COMPUTED_VALUE"""),"involving")</f>
        <v>involving</v>
      </c>
      <c r="E1066" s="49"/>
      <c r="F1066" s="49"/>
      <c r="G1066" s="49"/>
      <c r="H1066" s="54" t="str">
        <f t="shared" si="1"/>
        <v>smart,</v>
      </c>
      <c r="I1066" s="50"/>
      <c r="J1066" s="50" t="s">
        <v>2013</v>
      </c>
      <c r="K1066" s="50" t="s">
        <v>3979</v>
      </c>
      <c r="L1066" s="49" t="str">
        <f>IFERROR(__xludf.DUMMYFUNCTION("""COMPUTED_VALUE"""),"bold")</f>
        <v>bold</v>
      </c>
      <c r="M1066" s="49"/>
      <c r="N1066" s="49" t="str">
        <f>IFERROR(__xludf.DUMMYFUNCTION("""COMPUTED_VALUE"""),"cu")</f>
        <v>cu</v>
      </c>
      <c r="O1066" s="49" t="str">
        <f>IFERROR(__xludf.DUMMYFUNCTION("""COMPUTED_VALUE"""),"mick")</f>
        <v>mick</v>
      </c>
      <c r="P1066" s="49" t="str">
        <f t="shared" si="2"/>
        <v>gift,</v>
      </c>
      <c r="Q1066" s="49"/>
      <c r="R1066" s="50" t="s">
        <v>1619</v>
      </c>
      <c r="S1066" s="55" t="s">
        <v>2230</v>
      </c>
      <c r="T1066" s="49" t="str">
        <f>IFERROR(__xludf.DUMMYFUNCTION("""COMPUTED_VALUE"""),"won")</f>
        <v>won</v>
      </c>
      <c r="U1066" s="49"/>
      <c r="V1066" s="49"/>
      <c r="W1066" s="49" t="str">
        <f>IFERROR(__xludf.DUMMYFUNCTION("""COMPUTED_VALUE"""),"effortlessly")</f>
        <v>effortlessly</v>
      </c>
      <c r="X1066" s="49" t="str">
        <f t="shared" si="3"/>
        <v>major,</v>
      </c>
      <c r="Y1066" s="49"/>
      <c r="Z1066" s="1">
        <v>10.0</v>
      </c>
      <c r="AA1066" s="1" t="s">
        <v>1190</v>
      </c>
      <c r="AB1066" s="49" t="str">
        <f>IFERROR(__xludf.DUMMYFUNCTION("""COMPUTED_VALUE"""),"transparent")</f>
        <v>transparent</v>
      </c>
      <c r="AC1066" s="49"/>
      <c r="AD1066" s="49" t="str">
        <f>IFERROR(__xludf.DUMMYFUNCTION("""COMPUTED_VALUE"""),"cu")</f>
        <v>cu</v>
      </c>
      <c r="AE1066" s="49" t="str">
        <f>IFERROR(__xludf.DUMMYFUNCTION("""COMPUTED_VALUE"""),"mick")</f>
        <v>mick</v>
      </c>
      <c r="AF1066" s="49" t="str">
        <f t="shared" si="4"/>
        <v>10,</v>
      </c>
      <c r="AG1066" s="49"/>
      <c r="AH1066" s="1" t="s">
        <v>5366</v>
      </c>
      <c r="AI1066" s="1">
        <v>1989.0</v>
      </c>
      <c r="AJ1066" s="6" t="str">
        <f>IFERROR(__xludf.DUMMYFUNCTION("""COMPUTED_VALUE"""),"hero")</f>
        <v>hero</v>
      </c>
      <c r="AK1066" s="49"/>
      <c r="AL1066" s="49"/>
      <c r="AM1066" s="49"/>
      <c r="AN1066" s="52" t="str">
        <f t="shared" si="5"/>
        <v>build,</v>
      </c>
    </row>
    <row r="1067">
      <c r="A1067" s="51"/>
      <c r="B1067" s="50" t="s">
        <v>6871</v>
      </c>
      <c r="C1067" s="50" t="s">
        <v>2085</v>
      </c>
      <c r="D1067" s="49" t="str">
        <f>IFERROR(__xludf.DUMMYFUNCTION("""COMPUTED_VALUE"""),"efforts")</f>
        <v>efforts</v>
      </c>
      <c r="E1067" s="49"/>
      <c r="F1067" s="49"/>
      <c r="G1067" s="49"/>
      <c r="H1067" s="54" t="str">
        <f t="shared" si="1"/>
        <v>whenever,</v>
      </c>
      <c r="I1067" s="50"/>
      <c r="J1067" s="50" t="s">
        <v>4847</v>
      </c>
      <c r="K1067" s="50" t="s">
        <v>573</v>
      </c>
      <c r="L1067" s="49" t="str">
        <f>IFERROR(__xludf.DUMMYFUNCTION("""COMPUTED_VALUE"""),"blank")</f>
        <v>blank</v>
      </c>
      <c r="M1067" s="49"/>
      <c r="N1067" s="49" t="str">
        <f>IFERROR(__xludf.DUMMYFUNCTION("""COMPUTED_VALUE"""),"ar")</f>
        <v>ar</v>
      </c>
      <c r="O1067" s="49" t="str">
        <f>IFERROR(__xludf.DUMMYFUNCTION("""COMPUTED_VALUE"""),"relate")</f>
        <v>relate</v>
      </c>
      <c r="P1067" s="49" t="str">
        <f t="shared" si="2"/>
        <v>actions,</v>
      </c>
      <c r="Q1067" s="49"/>
      <c r="R1067" s="50" t="s">
        <v>6685</v>
      </c>
      <c r="S1067" s="55" t="s">
        <v>636</v>
      </c>
      <c r="T1067" s="49" t="str">
        <f>IFERROR(__xludf.DUMMYFUNCTION("""COMPUTED_VALUE"""),"waldo")</f>
        <v>waldo</v>
      </c>
      <c r="U1067" s="49"/>
      <c r="V1067" s="49"/>
      <c r="W1067" s="49" t="str">
        <f>IFERROR(__xludf.DUMMYFUNCTION("""COMPUTED_VALUE"""),"sparks")</f>
        <v>sparks</v>
      </c>
      <c r="X1067" s="49" t="str">
        <f t="shared" si="3"/>
        <v>hits,</v>
      </c>
      <c r="Y1067" s="49"/>
      <c r="Z1067" s="1" t="s">
        <v>3135</v>
      </c>
      <c r="AA1067" s="1" t="s">
        <v>3980</v>
      </c>
      <c r="AB1067" s="49" t="str">
        <f>IFERROR(__xludf.DUMMYFUNCTION("""COMPUTED_VALUE"""),"noticing")</f>
        <v>noticing</v>
      </c>
      <c r="AC1067" s="49"/>
      <c r="AD1067" s="49" t="str">
        <f>IFERROR(__xludf.DUMMYFUNCTION("""COMPUTED_VALUE"""),"ar")</f>
        <v>ar</v>
      </c>
      <c r="AE1067" s="49" t="str">
        <f>IFERROR(__xludf.DUMMYFUNCTION("""COMPUTED_VALUE"""),"relate")</f>
        <v>relate</v>
      </c>
      <c r="AF1067" s="49" t="str">
        <f t="shared" si="4"/>
        <v>lacks,</v>
      </c>
      <c r="AG1067" s="49"/>
      <c r="AH1067" s="1" t="s">
        <v>1617</v>
      </c>
      <c r="AI1067" s="1" t="s">
        <v>6437</v>
      </c>
      <c r="AJ1067" s="6" t="str">
        <f>IFERROR(__xludf.DUMMYFUNCTION("""COMPUTED_VALUE"""),"prove")</f>
        <v>prove</v>
      </c>
      <c r="AK1067" s="49"/>
      <c r="AL1067" s="49"/>
      <c r="AM1067" s="49"/>
      <c r="AN1067" s="52" t="str">
        <f t="shared" si="5"/>
        <v>promise,</v>
      </c>
    </row>
    <row r="1068">
      <c r="A1068" s="51"/>
      <c r="B1068" s="50" t="s">
        <v>5646</v>
      </c>
      <c r="C1068" s="50" t="s">
        <v>472</v>
      </c>
      <c r="D1068" s="49" t="str">
        <f>IFERROR(__xludf.DUMMYFUNCTION("""COMPUTED_VALUE"""),"liberal")</f>
        <v>liberal</v>
      </c>
      <c r="E1068" s="49"/>
      <c r="F1068" s="49"/>
      <c r="G1068" s="49"/>
      <c r="H1068" s="54" t="str">
        <f t="shared" si="1"/>
        <v>jennifer,</v>
      </c>
      <c r="I1068" s="50"/>
      <c r="J1068" s="50" t="s">
        <v>635</v>
      </c>
      <c r="K1068" s="50" t="s">
        <v>1114</v>
      </c>
      <c r="L1068" s="49" t="str">
        <f>IFERROR(__xludf.DUMMYFUNCTION("""COMPUTED_VALUE"""),"concern")</f>
        <v>concern</v>
      </c>
      <c r="M1068" s="49"/>
      <c r="N1068" s="49" t="str">
        <f>IFERROR(__xludf.DUMMYFUNCTION("""COMPUTED_VALUE"""),"significantly")</f>
        <v>significantly</v>
      </c>
      <c r="O1068" s="49" t="str">
        <f>IFERROR(__xludf.DUMMYFUNCTION("""COMPUTED_VALUE"""),"hewitt")</f>
        <v>hewitt</v>
      </c>
      <c r="P1068" s="49" t="str">
        <f t="shared" si="2"/>
        <v>intriguing,</v>
      </c>
      <c r="Q1068" s="49"/>
      <c r="R1068" s="50" t="s">
        <v>4015</v>
      </c>
      <c r="S1068" s="55" t="s">
        <v>1079</v>
      </c>
      <c r="T1068" s="49" t="str">
        <f>IFERROR(__xludf.DUMMYFUNCTION("""COMPUTED_VALUE"""),"relies")</f>
        <v>relies</v>
      </c>
      <c r="U1068" s="49"/>
      <c r="V1068" s="49"/>
      <c r="W1068" s="49" t="str">
        <f>IFERROR(__xludf.DUMMYFUNCTION("""COMPUTED_VALUE"""),"cumulative")</f>
        <v>cumulative</v>
      </c>
      <c r="X1068" s="49" t="str">
        <f t="shared" si="3"/>
        <v>conventional,</v>
      </c>
      <c r="Y1068" s="49"/>
      <c r="Z1068" s="1" t="s">
        <v>291</v>
      </c>
      <c r="AA1068" s="1" t="s">
        <v>294</v>
      </c>
      <c r="AB1068" s="49" t="str">
        <f>IFERROR(__xludf.DUMMYFUNCTION("""COMPUTED_VALUE"""),"rises")</f>
        <v>rises</v>
      </c>
      <c r="AC1068" s="49"/>
      <c r="AD1068" s="49" t="str">
        <f>IFERROR(__xludf.DUMMYFUNCTION("""COMPUTED_VALUE"""),"significantly")</f>
        <v>significantly</v>
      </c>
      <c r="AE1068" s="49" t="str">
        <f>IFERROR(__xludf.DUMMYFUNCTION("""COMPUTED_VALUE"""),"hewitt")</f>
        <v>hewitt</v>
      </c>
      <c r="AF1068" s="49" t="str">
        <f t="shared" si="4"/>
        <v>weaknesses,</v>
      </c>
      <c r="AG1068" s="49"/>
      <c r="AH1068" s="1" t="s">
        <v>6515</v>
      </c>
      <c r="AI1068" s="1" t="s">
        <v>3509</v>
      </c>
      <c r="AJ1068" s="6" t="str">
        <f>IFERROR(__xludf.DUMMYFUNCTION("""COMPUTED_VALUE"""),"unfortunately")</f>
        <v>unfortunately</v>
      </c>
      <c r="AK1068" s="49"/>
      <c r="AL1068" s="49"/>
      <c r="AM1068" s="49"/>
      <c r="AN1068" s="52" t="str">
        <f t="shared" si="5"/>
        <v>hired,</v>
      </c>
    </row>
    <row r="1069">
      <c r="A1069" s="51"/>
      <c r="B1069" s="50" t="s">
        <v>1783</v>
      </c>
      <c r="C1069" s="50" t="s">
        <v>3305</v>
      </c>
      <c r="D1069" s="49" t="str">
        <f>IFERROR(__xludf.DUMMYFUNCTION("""COMPUTED_VALUE"""),"designed")</f>
        <v>designed</v>
      </c>
      <c r="E1069" s="49"/>
      <c r="F1069" s="49"/>
      <c r="G1069" s="49"/>
      <c r="H1069" s="54" t="str">
        <f t="shared" si="1"/>
        <v>father,</v>
      </c>
      <c r="I1069" s="50"/>
      <c r="J1069" s="50" t="s">
        <v>1730</v>
      </c>
      <c r="K1069" s="50" t="s">
        <v>99</v>
      </c>
      <c r="L1069" s="49" t="str">
        <f>IFERROR(__xludf.DUMMYFUNCTION("""COMPUTED_VALUE"""),"chiefly")</f>
        <v>chiefly</v>
      </c>
      <c r="M1069" s="49"/>
      <c r="N1069" s="49" t="str">
        <f>IFERROR(__xludf.DUMMYFUNCTION("""COMPUTED_VALUE"""),"fest")</f>
        <v>fest</v>
      </c>
      <c r="O1069" s="49" t="str">
        <f>IFERROR(__xludf.DUMMYFUNCTION("""COMPUTED_VALUE"""),"inadequate")</f>
        <v>inadequate</v>
      </c>
      <c r="P1069" s="49" t="str">
        <f t="shared" si="2"/>
        <v>despite,</v>
      </c>
      <c r="Q1069" s="49"/>
      <c r="R1069" s="50" t="s">
        <v>1372</v>
      </c>
      <c r="S1069" s="55" t="s">
        <v>4491</v>
      </c>
      <c r="T1069" s="49" t="str">
        <f>IFERROR(__xludf.DUMMYFUNCTION("""COMPUTED_VALUE"""),"lush")</f>
        <v>lush</v>
      </c>
      <c r="U1069" s="49"/>
      <c r="V1069" s="49"/>
      <c r="W1069" s="49" t="str">
        <f>IFERROR(__xludf.DUMMYFUNCTION("""COMPUTED_VALUE"""),"abel")</f>
        <v>abel</v>
      </c>
      <c r="X1069" s="49" t="str">
        <f t="shared" si="3"/>
        <v>stock,</v>
      </c>
      <c r="Y1069" s="49"/>
      <c r="Z1069" s="1" t="s">
        <v>1091</v>
      </c>
      <c r="AA1069" s="1" t="s">
        <v>2807</v>
      </c>
      <c r="AB1069" s="49" t="str">
        <f>IFERROR(__xludf.DUMMYFUNCTION("""COMPUTED_VALUE"""),"horrors")</f>
        <v>horrors</v>
      </c>
      <c r="AC1069" s="49"/>
      <c r="AD1069" s="49" t="str">
        <f>IFERROR(__xludf.DUMMYFUNCTION("""COMPUTED_VALUE"""),"fest")</f>
        <v>fest</v>
      </c>
      <c r="AE1069" s="49" t="str">
        <f>IFERROR(__xludf.DUMMYFUNCTION("""COMPUTED_VALUE"""),"inadequate")</f>
        <v>inadequate</v>
      </c>
      <c r="AF1069" s="49" t="str">
        <f t="shared" si="4"/>
        <v>difference,</v>
      </c>
      <c r="AG1069" s="49"/>
      <c r="AH1069" s="1" t="s">
        <v>2547</v>
      </c>
      <c r="AI1069" s="1" t="s">
        <v>4857</v>
      </c>
      <c r="AJ1069" s="6" t="str">
        <f>IFERROR(__xludf.DUMMYFUNCTION("""COMPUTED_VALUE"""),"trapped")</f>
        <v>trapped</v>
      </c>
      <c r="AK1069" s="49"/>
      <c r="AL1069" s="49"/>
      <c r="AM1069" s="49"/>
      <c r="AN1069" s="52" t="str">
        <f t="shared" si="5"/>
        <v>delivered,</v>
      </c>
    </row>
    <row r="1070">
      <c r="A1070" s="51"/>
      <c r="B1070" s="50" t="s">
        <v>1614</v>
      </c>
      <c r="C1070" s="50">
        <v>1989.0</v>
      </c>
      <c r="D1070" s="49" t="str">
        <f>IFERROR(__xludf.DUMMYFUNCTION("""COMPUTED_VALUE"""),"edited")</f>
        <v>edited</v>
      </c>
      <c r="E1070" s="49"/>
      <c r="F1070" s="49"/>
      <c r="G1070" s="49"/>
      <c r="H1070" s="54" t="str">
        <f t="shared" si="1"/>
        <v>son,</v>
      </c>
      <c r="I1070" s="50"/>
      <c r="J1070" s="50" t="s">
        <v>882</v>
      </c>
      <c r="K1070" s="50" t="s">
        <v>2391</v>
      </c>
      <c r="L1070" s="49" t="str">
        <f>IFERROR(__xludf.DUMMYFUNCTION("""COMPUTED_VALUE"""),"lane")</f>
        <v>lane</v>
      </c>
      <c r="M1070" s="49"/>
      <c r="N1070" s="49" t="str">
        <f>IFERROR(__xludf.DUMMYFUNCTION("""COMPUTED_VALUE"""),"supermarket")</f>
        <v>supermarket</v>
      </c>
      <c r="O1070" s="49" t="str">
        <f>IFERROR(__xludf.DUMMYFUNCTION("""COMPUTED_VALUE"""),"giggle")</f>
        <v>giggle</v>
      </c>
      <c r="P1070" s="49" t="str">
        <f t="shared" si="2"/>
        <v>premise,</v>
      </c>
      <c r="Q1070" s="49"/>
      <c r="R1070" s="50" t="s">
        <v>2153</v>
      </c>
      <c r="S1070" s="55" t="s">
        <v>885</v>
      </c>
      <c r="T1070" s="49" t="str">
        <f>IFERROR(__xludf.DUMMYFUNCTION("""COMPUTED_VALUE"""),"demonstrates")</f>
        <v>demonstrates</v>
      </c>
      <c r="U1070" s="49"/>
      <c r="V1070" s="49"/>
      <c r="W1070" s="49" t="str">
        <f>IFERROR(__xludf.DUMMYFUNCTION("""COMPUTED_VALUE"""),"ferrara")</f>
        <v>ferrara</v>
      </c>
      <c r="X1070" s="49" t="str">
        <f t="shared" si="3"/>
        <v>gentle,</v>
      </c>
      <c r="Y1070" s="49"/>
      <c r="Z1070" s="1" t="s">
        <v>1304</v>
      </c>
      <c r="AA1070" s="1" t="s">
        <v>3985</v>
      </c>
      <c r="AB1070" s="49" t="str">
        <f>IFERROR(__xludf.DUMMYFUNCTION("""COMPUTED_VALUE"""),"establishes")</f>
        <v>establishes</v>
      </c>
      <c r="AC1070" s="49"/>
      <c r="AD1070" s="49" t="str">
        <f>IFERROR(__xludf.DUMMYFUNCTION("""COMPUTED_VALUE"""),"supermarket")</f>
        <v>supermarket</v>
      </c>
      <c r="AE1070" s="49" t="str">
        <f>IFERROR(__xludf.DUMMYFUNCTION("""COMPUTED_VALUE"""),"giggle")</f>
        <v>giggle</v>
      </c>
      <c r="AF1070" s="49" t="str">
        <f t="shared" si="4"/>
        <v>weak,</v>
      </c>
      <c r="AG1070" s="49"/>
      <c r="AH1070" s="1" t="s">
        <v>4509</v>
      </c>
      <c r="AI1070" s="1" t="s">
        <v>6438</v>
      </c>
      <c r="AJ1070" s="6" t="str">
        <f>IFERROR(__xludf.DUMMYFUNCTION("""COMPUTED_VALUE"""),"against")</f>
        <v>against</v>
      </c>
      <c r="AK1070" s="49"/>
      <c r="AL1070" s="49"/>
      <c r="AM1070" s="49"/>
      <c r="AN1070" s="52" t="str">
        <f t="shared" si="5"/>
        <v>ghost,</v>
      </c>
    </row>
    <row r="1071">
      <c r="A1071" s="51"/>
      <c r="B1071" s="50" t="s">
        <v>929</v>
      </c>
      <c r="C1071" s="50" t="s">
        <v>6437</v>
      </c>
      <c r="D1071" s="49" t="str">
        <f>IFERROR(__xludf.DUMMYFUNCTION("""COMPUTED_VALUE"""),"sequence")</f>
        <v>sequence</v>
      </c>
      <c r="E1071" s="49"/>
      <c r="F1071" s="49"/>
      <c r="G1071" s="49"/>
      <c r="H1071" s="54" t="str">
        <f t="shared" si="1"/>
        <v>voice,</v>
      </c>
      <c r="I1071" s="50"/>
      <c r="J1071" s="50" t="s">
        <v>5851</v>
      </c>
      <c r="K1071" s="50" t="s">
        <v>3989</v>
      </c>
      <c r="L1071" s="49" t="str">
        <f>IFERROR(__xludf.DUMMYFUNCTION("""COMPUTED_VALUE"""),"prevents")</f>
        <v>prevents</v>
      </c>
      <c r="M1071" s="49"/>
      <c r="N1071" s="49" t="str">
        <f>IFERROR(__xludf.DUMMYFUNCTION("""COMPUTED_VALUE"""),"wednesday")</f>
        <v>wednesday</v>
      </c>
      <c r="O1071" s="49" t="str">
        <f>IFERROR(__xludf.DUMMYFUNCTION("""COMPUTED_VALUE"""),"gang")</f>
        <v>gang</v>
      </c>
      <c r="P1071" s="49" t="str">
        <f t="shared" si="2"/>
        <v>portions,</v>
      </c>
      <c r="Q1071" s="49"/>
      <c r="R1071" s="50" t="s">
        <v>798</v>
      </c>
      <c r="S1071" s="55" t="s">
        <v>985</v>
      </c>
      <c r="T1071" s="49" t="str">
        <f>IFERROR(__xludf.DUMMYFUNCTION("""COMPUTED_VALUE"""),"beacon")</f>
        <v>beacon</v>
      </c>
      <c r="U1071" s="49"/>
      <c r="V1071" s="49"/>
      <c r="W1071" s="49" t="str">
        <f>IFERROR(__xludf.DUMMYFUNCTION("""COMPUTED_VALUE"""),"confused")</f>
        <v>confused</v>
      </c>
      <c r="X1071" s="49" t="str">
        <f t="shared" si="3"/>
        <v>slight,</v>
      </c>
      <c r="Y1071" s="49"/>
      <c r="Z1071" s="1" t="s">
        <v>3109</v>
      </c>
      <c r="AA1071" s="1" t="s">
        <v>3987</v>
      </c>
      <c r="AB1071" s="49" t="str">
        <f>IFERROR(__xludf.DUMMYFUNCTION("""COMPUTED_VALUE"""),"deliberate")</f>
        <v>deliberate</v>
      </c>
      <c r="AC1071" s="49"/>
      <c r="AD1071" s="49" t="str">
        <f>IFERROR(__xludf.DUMMYFUNCTION("""COMPUTED_VALUE"""),"wednesday")</f>
        <v>wednesday</v>
      </c>
      <c r="AE1071" s="49" t="str">
        <f>IFERROR(__xludf.DUMMYFUNCTION("""COMPUTED_VALUE"""),"gang")</f>
        <v>gang</v>
      </c>
      <c r="AF1071" s="49" t="str">
        <f t="shared" si="4"/>
        <v>famous,</v>
      </c>
      <c r="AG1071" s="49"/>
      <c r="AH1071" s="1" t="s">
        <v>6821</v>
      </c>
      <c r="AI1071" s="1" t="s">
        <v>2976</v>
      </c>
      <c r="AJ1071" s="6" t="str">
        <f>IFERROR(__xludf.DUMMYFUNCTION("""COMPUTED_VALUE"""),"side")</f>
        <v>side</v>
      </c>
      <c r="AK1071" s="49"/>
      <c r="AL1071" s="49"/>
      <c r="AM1071" s="49"/>
      <c r="AN1071" s="52" t="str">
        <f t="shared" si="5"/>
        <v>promised,</v>
      </c>
    </row>
    <row r="1072">
      <c r="A1072" s="51"/>
      <c r="B1072" s="50" t="s">
        <v>2988</v>
      </c>
      <c r="C1072" s="50" t="s">
        <v>4020</v>
      </c>
      <c r="D1072" s="49" t="str">
        <f>IFERROR(__xludf.DUMMYFUNCTION("""COMPUTED_VALUE"""),"badly")</f>
        <v>badly</v>
      </c>
      <c r="E1072" s="49"/>
      <c r="F1072" s="49"/>
      <c r="G1072" s="49"/>
      <c r="H1072" s="54" t="str">
        <f t="shared" si="1"/>
        <v>class,</v>
      </c>
      <c r="I1072" s="50"/>
      <c r="J1072" s="50" t="s">
        <v>1422</v>
      </c>
      <c r="K1072" s="50" t="s">
        <v>2395</v>
      </c>
      <c r="L1072" s="49" t="str">
        <f>IFERROR(__xludf.DUMMYFUNCTION("""COMPUTED_VALUE"""),"reacting")</f>
        <v>reacting</v>
      </c>
      <c r="M1072" s="49"/>
      <c r="N1072" s="49" t="str">
        <f>IFERROR(__xludf.DUMMYFUNCTION("""COMPUTED_VALUE"""),"gig")</f>
        <v>gig</v>
      </c>
      <c r="O1072" s="49" t="str">
        <f>IFERROR(__xludf.DUMMYFUNCTION("""COMPUTED_VALUE"""),"preserving")</f>
        <v>preserving</v>
      </c>
      <c r="P1072" s="49" t="str">
        <f t="shared" si="2"/>
        <v>dreadful,</v>
      </c>
      <c r="Q1072" s="49"/>
      <c r="R1072" s="50" t="s">
        <v>6420</v>
      </c>
      <c r="S1072" s="55" t="s">
        <v>3218</v>
      </c>
      <c r="T1072" s="49" t="str">
        <f>IFERROR(__xludf.DUMMYFUNCTION("""COMPUTED_VALUE"""),"sacrifice")</f>
        <v>sacrifice</v>
      </c>
      <c r="U1072" s="49"/>
      <c r="V1072" s="49"/>
      <c r="W1072" s="49" t="str">
        <f>IFERROR(__xludf.DUMMYFUNCTION("""COMPUTED_VALUE"""),"reliance")</f>
        <v>reliance</v>
      </c>
      <c r="X1072" s="49" t="str">
        <f t="shared" si="3"/>
        <v>opportunity,</v>
      </c>
      <c r="Y1072" s="49"/>
      <c r="Z1072" s="1" t="s">
        <v>5545</v>
      </c>
      <c r="AA1072" s="1" t="s">
        <v>3990</v>
      </c>
      <c r="AB1072" s="49" t="str">
        <f>IFERROR(__xludf.DUMMYFUNCTION("""COMPUTED_VALUE"""),"compassion")</f>
        <v>compassion</v>
      </c>
      <c r="AC1072" s="49"/>
      <c r="AD1072" s="49" t="str">
        <f>IFERROR(__xludf.DUMMYFUNCTION("""COMPUTED_VALUE"""),"gig")</f>
        <v>gig</v>
      </c>
      <c r="AE1072" s="49" t="str">
        <f>IFERROR(__xludf.DUMMYFUNCTION("""COMPUTED_VALUE"""),"preserving")</f>
        <v>preserving</v>
      </c>
      <c r="AF1072" s="49" t="str">
        <f t="shared" si="4"/>
        <v>efforts,</v>
      </c>
      <c r="AG1072" s="49"/>
      <c r="AH1072" s="1" t="s">
        <v>4216</v>
      </c>
      <c r="AI1072" s="1" t="s">
        <v>2973</v>
      </c>
      <c r="AJ1072" s="6" t="str">
        <f>IFERROR(__xludf.DUMMYFUNCTION("""COMPUTED_VALUE"""),"building")</f>
        <v>building</v>
      </c>
      <c r="AK1072" s="49"/>
      <c r="AL1072" s="49"/>
      <c r="AM1072" s="49"/>
      <c r="AN1072" s="52" t="str">
        <f t="shared" si="5"/>
        <v>advice,</v>
      </c>
    </row>
    <row r="1073">
      <c r="A1073" s="51"/>
      <c r="B1073" s="50" t="s">
        <v>1428</v>
      </c>
      <c r="C1073" s="50" t="s">
        <v>3509</v>
      </c>
      <c r="D1073" s="49" t="str">
        <f>IFERROR(__xludf.DUMMYFUNCTION("""COMPUTED_VALUE"""),"instead")</f>
        <v>instead</v>
      </c>
      <c r="E1073" s="49"/>
      <c r="F1073" s="49"/>
      <c r="G1073" s="49"/>
      <c r="H1073" s="54" t="str">
        <f t="shared" si="1"/>
        <v>read,</v>
      </c>
      <c r="I1073" s="50"/>
      <c r="J1073" s="50" t="s">
        <v>2497</v>
      </c>
      <c r="K1073" s="50" t="s">
        <v>3995</v>
      </c>
      <c r="L1073" s="49" t="str">
        <f>IFERROR(__xludf.DUMMYFUNCTION("""COMPUTED_VALUE"""),"athletes")</f>
        <v>athletes</v>
      </c>
      <c r="M1073" s="49"/>
      <c r="N1073" s="49" t="str">
        <f>IFERROR(__xludf.DUMMYFUNCTION("""COMPUTED_VALUE"""),"eng")</f>
        <v>eng</v>
      </c>
      <c r="O1073" s="49" t="str">
        <f>IFERROR(__xludf.DUMMYFUNCTION("""COMPUTED_VALUE"""),"superior")</f>
        <v>superior</v>
      </c>
      <c r="P1073" s="49" t="str">
        <f t="shared" si="2"/>
        <v>splendid,</v>
      </c>
      <c r="Q1073" s="49"/>
      <c r="R1073" s="50" t="s">
        <v>4510</v>
      </c>
      <c r="S1073" s="55" t="s">
        <v>2241</v>
      </c>
      <c r="T1073" s="49" t="str">
        <f>IFERROR(__xludf.DUMMYFUNCTION("""COMPUTED_VALUE"""),"mined")</f>
        <v>mined</v>
      </c>
      <c r="U1073" s="49"/>
      <c r="V1073" s="49"/>
      <c r="W1073" s="49" t="str">
        <f>IFERROR(__xludf.DUMMYFUNCTION("""COMPUTED_VALUE"""),"equation")</f>
        <v>equation</v>
      </c>
      <c r="X1073" s="49" t="str">
        <f t="shared" si="3"/>
        <v>giving,</v>
      </c>
      <c r="Y1073" s="49"/>
      <c r="Z1073" s="1" t="s">
        <v>3751</v>
      </c>
      <c r="AA1073" s="1" t="s">
        <v>3826</v>
      </c>
      <c r="AB1073" s="49" t="str">
        <f>IFERROR(__xludf.DUMMYFUNCTION("""COMPUTED_VALUE"""),"swinging")</f>
        <v>swinging</v>
      </c>
      <c r="AC1073" s="49"/>
      <c r="AD1073" s="49" t="str">
        <f>IFERROR(__xludf.DUMMYFUNCTION("""COMPUTED_VALUE"""),"eng")</f>
        <v>eng</v>
      </c>
      <c r="AE1073" s="49" t="str">
        <f>IFERROR(__xludf.DUMMYFUNCTION("""COMPUTED_VALUE"""),"superior")</f>
        <v>superior</v>
      </c>
      <c r="AF1073" s="49" t="str">
        <f t="shared" si="4"/>
        <v>walk,</v>
      </c>
      <c r="AG1073" s="49"/>
      <c r="AH1073" s="1" t="s">
        <v>1203</v>
      </c>
      <c r="AI1073" s="1" t="s">
        <v>892</v>
      </c>
      <c r="AJ1073" s="6" t="str">
        <f>IFERROR(__xludf.DUMMYFUNCTION("""COMPUTED_VALUE"""),"battle")</f>
        <v>battle</v>
      </c>
      <c r="AK1073" s="49"/>
      <c r="AL1073" s="49"/>
      <c r="AM1073" s="49"/>
      <c r="AN1073" s="52" t="str">
        <f t="shared" si="5"/>
        <v>mystery,</v>
      </c>
    </row>
    <row r="1074">
      <c r="A1074" s="51"/>
      <c r="B1074" s="50" t="s">
        <v>1471</v>
      </c>
      <c r="C1074" s="50" t="s">
        <v>4857</v>
      </c>
      <c r="D1074" s="49" t="str">
        <f>IFERROR(__xludf.DUMMYFUNCTION("""COMPUTED_VALUE"""),"check")</f>
        <v>check</v>
      </c>
      <c r="E1074" s="49"/>
      <c r="F1074" s="49"/>
      <c r="G1074" s="49"/>
      <c r="H1074" s="54" t="str">
        <f t="shared" si="1"/>
        <v>understand,</v>
      </c>
      <c r="I1074" s="50"/>
      <c r="J1074" s="50" t="s">
        <v>5267</v>
      </c>
      <c r="K1074" s="50" t="s">
        <v>3453</v>
      </c>
      <c r="L1074" s="49" t="str">
        <f>IFERROR(__xludf.DUMMYFUNCTION("""COMPUTED_VALUE"""),"sink")</f>
        <v>sink</v>
      </c>
      <c r="M1074" s="49"/>
      <c r="N1074" s="49" t="str">
        <f>IFERROR(__xludf.DUMMYFUNCTION("""COMPUTED_VALUE"""),"precise")</f>
        <v>precise</v>
      </c>
      <c r="O1074" s="49" t="str">
        <f>IFERROR(__xludf.DUMMYFUNCTION("""COMPUTED_VALUE"""),"lectures")</f>
        <v>lectures</v>
      </c>
      <c r="P1074" s="49" t="str">
        <f t="shared" si="2"/>
        <v>succeeded,</v>
      </c>
      <c r="Q1074" s="49"/>
      <c r="R1074" s="50" t="s">
        <v>2145</v>
      </c>
      <c r="S1074" s="55" t="s">
        <v>2237</v>
      </c>
      <c r="T1074" s="49" t="str">
        <f>IFERROR(__xludf.DUMMYFUNCTION("""COMPUTED_VALUE"""),"grace")</f>
        <v>grace</v>
      </c>
      <c r="U1074" s="49"/>
      <c r="V1074" s="49"/>
      <c r="W1074" s="49" t="str">
        <f>IFERROR(__xludf.DUMMYFUNCTION("""COMPUTED_VALUE"""),"molina")</f>
        <v>molina</v>
      </c>
      <c r="X1074" s="49" t="str">
        <f t="shared" si="3"/>
        <v>ticket,</v>
      </c>
      <c r="Y1074" s="49"/>
      <c r="Z1074" s="1" t="s">
        <v>66</v>
      </c>
      <c r="AA1074" s="1" t="s">
        <v>1591</v>
      </c>
      <c r="AB1074" s="49" t="str">
        <f>IFERROR(__xludf.DUMMYFUNCTION("""COMPUTED_VALUE"""),"wanting")</f>
        <v>wanting</v>
      </c>
      <c r="AC1074" s="49"/>
      <c r="AD1074" s="49" t="str">
        <f>IFERROR(__xludf.DUMMYFUNCTION("""COMPUTED_VALUE"""),"precise")</f>
        <v>precise</v>
      </c>
      <c r="AE1074" s="49" t="str">
        <f>IFERROR(__xludf.DUMMYFUNCTION("""COMPUTED_VALUE"""),"lectures")</f>
        <v>lectures</v>
      </c>
      <c r="AF1074" s="49" t="str">
        <f t="shared" si="4"/>
        <v>crude,</v>
      </c>
      <c r="AG1074" s="49"/>
      <c r="AH1074" s="1" t="s">
        <v>1146</v>
      </c>
      <c r="AI1074" s="1" t="s">
        <v>6439</v>
      </c>
      <c r="AJ1074" s="6" t="str">
        <f>IFERROR(__xludf.DUMMYFUNCTION("""COMPUTED_VALUE"""),"tried")</f>
        <v>tried</v>
      </c>
      <c r="AK1074" s="49"/>
      <c r="AL1074" s="49"/>
      <c r="AM1074" s="49"/>
      <c r="AN1074" s="52" t="str">
        <f t="shared" si="5"/>
        <v>top,</v>
      </c>
    </row>
    <row r="1075">
      <c r="A1075" s="51"/>
      <c r="B1075" s="50" t="s">
        <v>2726</v>
      </c>
      <c r="C1075" s="50" t="s">
        <v>6438</v>
      </c>
      <c r="D1075" s="49" t="str">
        <f>IFERROR(__xludf.DUMMYFUNCTION("""COMPUTED_VALUE"""),"dvd")</f>
        <v>dvd</v>
      </c>
      <c r="E1075" s="49"/>
      <c r="F1075" s="49"/>
      <c r="G1075" s="49"/>
      <c r="H1075" s="54" t="str">
        <f t="shared" si="1"/>
        <v>allow,</v>
      </c>
      <c r="I1075" s="50"/>
      <c r="J1075" s="50" t="s">
        <v>1825</v>
      </c>
      <c r="K1075" s="50" t="s">
        <v>83</v>
      </c>
      <c r="L1075" s="49" t="str">
        <f>IFERROR(__xludf.DUMMYFUNCTION("""COMPUTED_VALUE"""),"staring")</f>
        <v>staring</v>
      </c>
      <c r="M1075" s="49"/>
      <c r="N1075" s="49" t="str">
        <f>IFERROR(__xludf.DUMMYFUNCTION("""COMPUTED_VALUE"""),"mo")</f>
        <v>mo</v>
      </c>
      <c r="O1075" s="49" t="str">
        <f>IFERROR(__xludf.DUMMYFUNCTION("""COMPUTED_VALUE"""),"vh1")</f>
        <v>vh1</v>
      </c>
      <c r="P1075" s="49" t="str">
        <f t="shared" si="2"/>
        <v>species,</v>
      </c>
      <c r="Q1075" s="49"/>
      <c r="R1075" s="50" t="s">
        <v>3819</v>
      </c>
      <c r="S1075" s="55" t="s">
        <v>2243</v>
      </c>
      <c r="T1075" s="49" t="str">
        <f>IFERROR(__xludf.DUMMYFUNCTION("""COMPUTED_VALUE"""),"choice")</f>
        <v>choice</v>
      </c>
      <c r="U1075" s="49"/>
      <c r="V1075" s="49"/>
      <c r="W1075" s="49" t="str">
        <f>IFERROR(__xludf.DUMMYFUNCTION("""COMPUTED_VALUE"""),"kang")</f>
        <v>kang</v>
      </c>
      <c r="X1075" s="49" t="str">
        <f t="shared" si="3"/>
        <v>unless,</v>
      </c>
      <c r="Y1075" s="49"/>
      <c r="Z1075" s="1">
        <v>19.0</v>
      </c>
      <c r="AA1075" s="1" t="s">
        <v>2811</v>
      </c>
      <c r="AB1075" s="49" t="str">
        <f>IFERROR(__xludf.DUMMYFUNCTION("""COMPUTED_VALUE"""),"menacing")</f>
        <v>menacing</v>
      </c>
      <c r="AC1075" s="49"/>
      <c r="AD1075" s="49" t="str">
        <f>IFERROR(__xludf.DUMMYFUNCTION("""COMPUTED_VALUE"""),"mo")</f>
        <v>mo</v>
      </c>
      <c r="AE1075" s="49" t="str">
        <f>IFERROR(__xludf.DUMMYFUNCTION("""COMPUTED_VALUE"""),"vh1")</f>
        <v>vh1</v>
      </c>
      <c r="AF1075" s="49" t="str">
        <f t="shared" si="4"/>
        <v>19,</v>
      </c>
      <c r="AG1075" s="49"/>
      <c r="AH1075" s="1" t="s">
        <v>6836</v>
      </c>
      <c r="AI1075" s="1" t="s">
        <v>429</v>
      </c>
      <c r="AJ1075" s="6" t="str">
        <f>IFERROR(__xludf.DUMMYFUNCTION("""COMPUTED_VALUE"""),"deep")</f>
        <v>deep</v>
      </c>
      <c r="AK1075" s="49"/>
      <c r="AL1075" s="49"/>
      <c r="AM1075" s="49"/>
      <c r="AN1075" s="52" t="str">
        <f t="shared" si="5"/>
        <v>association,</v>
      </c>
    </row>
    <row r="1076">
      <c r="A1076" s="51"/>
      <c r="B1076" s="50" t="s">
        <v>4346</v>
      </c>
      <c r="C1076" s="50" t="s">
        <v>2976</v>
      </c>
      <c r="D1076" s="49" t="str">
        <f>IFERROR(__xludf.DUMMYFUNCTION("""COMPUTED_VALUE"""),"consider")</f>
        <v>consider</v>
      </c>
      <c r="E1076" s="49"/>
      <c r="F1076" s="49"/>
      <c r="G1076" s="49"/>
      <c r="H1076" s="54" t="str">
        <f t="shared" si="1"/>
        <v>honor,</v>
      </c>
      <c r="I1076" s="50"/>
      <c r="J1076" s="50" t="s">
        <v>1282</v>
      </c>
      <c r="K1076" s="50" t="s">
        <v>579</v>
      </c>
      <c r="L1076" s="49" t="str">
        <f>IFERROR(__xludf.DUMMYFUNCTION("""COMPUTED_VALUE"""),"precisely")</f>
        <v>precisely</v>
      </c>
      <c r="M1076" s="49"/>
      <c r="N1076" s="49" t="str">
        <f>IFERROR(__xludf.DUMMYFUNCTION("""COMPUTED_VALUE"""),"ate")</f>
        <v>ate</v>
      </c>
      <c r="O1076" s="49" t="str">
        <f>IFERROR(__xludf.DUMMYFUNCTION("""COMPUTED_VALUE"""),"terrorist")</f>
        <v>terrorist</v>
      </c>
      <c r="P1076" s="49" t="str">
        <f t="shared" si="2"/>
        <v>somehow,</v>
      </c>
      <c r="Q1076" s="49"/>
      <c r="R1076" s="50" t="s">
        <v>6728</v>
      </c>
      <c r="S1076" s="55" t="s">
        <v>154</v>
      </c>
      <c r="T1076" s="49" t="str">
        <f>IFERROR(__xludf.DUMMYFUNCTION("""COMPUTED_VALUE"""),"fit")</f>
        <v>fit</v>
      </c>
      <c r="U1076" s="49"/>
      <c r="V1076" s="49"/>
      <c r="W1076" s="49" t="str">
        <f>IFERROR(__xludf.DUMMYFUNCTION("""COMPUTED_VALUE"""),"hatred")</f>
        <v>hatred</v>
      </c>
      <c r="X1076" s="49" t="str">
        <f t="shared" si="3"/>
        <v>regret,</v>
      </c>
      <c r="Y1076" s="49"/>
      <c r="Z1076" s="1" t="s">
        <v>408</v>
      </c>
      <c r="AA1076" s="1" t="s">
        <v>4000</v>
      </c>
      <c r="AB1076" s="49"/>
      <c r="AC1076" s="49"/>
      <c r="AD1076" s="49" t="str">
        <f>IFERROR(__xludf.DUMMYFUNCTION("""COMPUTED_VALUE"""),"ate")</f>
        <v>ate</v>
      </c>
      <c r="AE1076" s="49" t="str">
        <f>IFERROR(__xludf.DUMMYFUNCTION("""COMPUTED_VALUE"""),"terrorist")</f>
        <v>terrorist</v>
      </c>
      <c r="AF1076" s="49" t="str">
        <f t="shared" si="4"/>
        <v>torture,</v>
      </c>
      <c r="AG1076" s="49"/>
      <c r="AH1076" s="1" t="s">
        <v>530</v>
      </c>
      <c r="AI1076" s="1" t="s">
        <v>3524</v>
      </c>
      <c r="AJ1076" s="6" t="str">
        <f>IFERROR(__xludf.DUMMYFUNCTION("""COMPUTED_VALUE"""),"workers")</f>
        <v>workers</v>
      </c>
      <c r="AK1076" s="49"/>
      <c r="AL1076" s="49"/>
      <c r="AM1076" s="49"/>
      <c r="AN1076" s="52" t="str">
        <f t="shared" si="5"/>
        <v>problem,</v>
      </c>
    </row>
    <row r="1077">
      <c r="A1077" s="51"/>
      <c r="B1077" s="50" t="s">
        <v>2820</v>
      </c>
      <c r="C1077" s="50" t="s">
        <v>2973</v>
      </c>
      <c r="D1077" s="49" t="str">
        <f>IFERROR(__xludf.DUMMYFUNCTION("""COMPUTED_VALUE"""),"ticket")</f>
        <v>ticket</v>
      </c>
      <c r="E1077" s="49"/>
      <c r="F1077" s="49"/>
      <c r="G1077" s="49"/>
      <c r="H1077" s="54" t="str">
        <f t="shared" si="1"/>
        <v>laughed,</v>
      </c>
      <c r="I1077" s="50"/>
      <c r="J1077" s="50" t="s">
        <v>7317</v>
      </c>
      <c r="K1077" s="50" t="s">
        <v>4004</v>
      </c>
      <c r="L1077" s="49" t="str">
        <f>IFERROR(__xludf.DUMMYFUNCTION("""COMPUTED_VALUE"""),"backlash")</f>
        <v>backlash</v>
      </c>
      <c r="M1077" s="49"/>
      <c r="N1077" s="49" t="str">
        <f>IFERROR(__xludf.DUMMYFUNCTION("""COMPUTED_VALUE"""),"stir")</f>
        <v>stir</v>
      </c>
      <c r="O1077" s="49" t="str">
        <f>IFERROR(__xludf.DUMMYFUNCTION("""COMPUTED_VALUE"""),"variation")</f>
        <v>variation</v>
      </c>
      <c r="P1077" s="49" t="str">
        <f t="shared" si="2"/>
        <v>mgm,</v>
      </c>
      <c r="Q1077" s="49"/>
      <c r="R1077" s="50" t="s">
        <v>3548</v>
      </c>
      <c r="S1077" s="55" t="s">
        <v>2374</v>
      </c>
      <c r="T1077" s="49" t="str">
        <f>IFERROR(__xludf.DUMMYFUNCTION("""COMPUTED_VALUE"""),"corner")</f>
        <v>corner</v>
      </c>
      <c r="U1077" s="49"/>
      <c r="V1077" s="49"/>
      <c r="W1077" s="49" t="str">
        <f>IFERROR(__xludf.DUMMYFUNCTION("""COMPUTED_VALUE"""),"arresting")</f>
        <v>arresting</v>
      </c>
      <c r="X1077" s="49" t="str">
        <f t="shared" si="3"/>
        <v>popcorn,</v>
      </c>
      <c r="Y1077" s="49"/>
      <c r="Z1077" s="1" t="s">
        <v>4857</v>
      </c>
      <c r="AA1077" s="1" t="s">
        <v>4001</v>
      </c>
      <c r="AB1077" s="49"/>
      <c r="AC1077" s="49"/>
      <c r="AD1077" s="49" t="str">
        <f>IFERROR(__xludf.DUMMYFUNCTION("""COMPUTED_VALUE"""),"stir")</f>
        <v>stir</v>
      </c>
      <c r="AE1077" s="49" t="str">
        <f>IFERROR(__xludf.DUMMYFUNCTION("""COMPUTED_VALUE"""),"variation")</f>
        <v>variation</v>
      </c>
      <c r="AF1077" s="49" t="str">
        <f t="shared" si="4"/>
        <v>seven,</v>
      </c>
      <c r="AG1077" s="49"/>
      <c r="AH1077" s="1" t="s">
        <v>1725</v>
      </c>
      <c r="AI1077" s="1" t="s">
        <v>2995</v>
      </c>
      <c r="AJ1077" s="6" t="str">
        <f>IFERROR(__xludf.DUMMYFUNCTION("""COMPUTED_VALUE"""),"hunter")</f>
        <v>hunter</v>
      </c>
      <c r="AK1077" s="49"/>
      <c r="AL1077" s="49"/>
      <c r="AM1077" s="49"/>
      <c r="AN1077" s="52" t="str">
        <f t="shared" si="5"/>
        <v>problems,</v>
      </c>
    </row>
    <row r="1078">
      <c r="A1078" s="51"/>
      <c r="B1078" s="50" t="s">
        <v>4251</v>
      </c>
      <c r="C1078" s="50" t="s">
        <v>892</v>
      </c>
      <c r="D1078" s="49" t="str">
        <f>IFERROR(__xludf.DUMMYFUNCTION("""COMPUTED_VALUE"""),"placed")</f>
        <v>placed</v>
      </c>
      <c r="E1078" s="49"/>
      <c r="F1078" s="49"/>
      <c r="G1078" s="49"/>
      <c r="H1078" s="54" t="str">
        <f t="shared" si="1"/>
        <v>message,</v>
      </c>
      <c r="I1078" s="50"/>
      <c r="J1078" s="50" t="s">
        <v>4692</v>
      </c>
      <c r="K1078" s="50" t="s">
        <v>2383</v>
      </c>
      <c r="L1078" s="49" t="str">
        <f>IFERROR(__xludf.DUMMYFUNCTION("""COMPUTED_VALUE"""),"hall")</f>
        <v>hall</v>
      </c>
      <c r="M1078" s="49"/>
      <c r="N1078" s="49" t="str">
        <f>IFERROR(__xludf.DUMMYFUNCTION("""COMPUTED_VALUE"""),"supreme")</f>
        <v>supreme</v>
      </c>
      <c r="O1078" s="49" t="str">
        <f>IFERROR(__xludf.DUMMYFUNCTION("""COMPUTED_VALUE"""),"stylized")</f>
        <v>stylized</v>
      </c>
      <c r="P1078" s="49" t="str">
        <f t="shared" si="2"/>
        <v>consider,</v>
      </c>
      <c r="Q1078" s="49"/>
      <c r="R1078" s="50" t="s">
        <v>4598</v>
      </c>
      <c r="S1078" s="55" t="s">
        <v>3215</v>
      </c>
      <c r="T1078" s="49" t="str">
        <f>IFERROR(__xludf.DUMMYFUNCTION("""COMPUTED_VALUE"""),"expects")</f>
        <v>expects</v>
      </c>
      <c r="U1078" s="49"/>
      <c r="V1078" s="49"/>
      <c r="W1078" s="49" t="str">
        <f>IFERROR(__xludf.DUMMYFUNCTION("""COMPUTED_VALUE"""),"idol")</f>
        <v>idol</v>
      </c>
      <c r="X1078" s="49" t="str">
        <f t="shared" si="3"/>
        <v>sneak,</v>
      </c>
      <c r="Y1078" s="49"/>
      <c r="Z1078" s="1" t="s">
        <v>2054</v>
      </c>
      <c r="AA1078" s="1" t="s">
        <v>2816</v>
      </c>
      <c r="AB1078" s="49"/>
      <c r="AC1078" s="49"/>
      <c r="AD1078" s="49" t="str">
        <f>IFERROR(__xludf.DUMMYFUNCTION("""COMPUTED_VALUE"""),"supreme")</f>
        <v>supreme</v>
      </c>
      <c r="AE1078" s="49" t="str">
        <f>IFERROR(__xludf.DUMMYFUNCTION("""COMPUTED_VALUE"""),"stylized")</f>
        <v>stylized</v>
      </c>
      <c r="AF1078" s="49" t="str">
        <f t="shared" si="4"/>
        <v>over,</v>
      </c>
      <c r="AG1078" s="49"/>
      <c r="AH1078" s="1" t="s">
        <v>2703</v>
      </c>
      <c r="AI1078" s="1" t="s">
        <v>3532</v>
      </c>
      <c r="AJ1078" s="6" t="str">
        <f>IFERROR(__xludf.DUMMYFUNCTION("""COMPUTED_VALUE"""),"thin")</f>
        <v>thin</v>
      </c>
      <c r="AK1078" s="49"/>
      <c r="AL1078" s="49"/>
      <c r="AM1078" s="49"/>
      <c r="AN1078" s="52" t="str">
        <f t="shared" si="5"/>
        <v>purpose,</v>
      </c>
    </row>
    <row r="1079">
      <c r="A1079" s="51"/>
      <c r="B1079" s="50" t="s">
        <v>4262</v>
      </c>
      <c r="C1079" s="50" t="s">
        <v>2982</v>
      </c>
      <c r="D1079" s="49" t="str">
        <f>IFERROR(__xludf.DUMMYFUNCTION("""COMPUTED_VALUE"""),"smart")</f>
        <v>smart</v>
      </c>
      <c r="E1079" s="49"/>
      <c r="F1079" s="49"/>
      <c r="G1079" s="49"/>
      <c r="H1079" s="54" t="str">
        <f t="shared" si="1"/>
        <v>matters,</v>
      </c>
      <c r="I1079" s="50"/>
      <c r="J1079" s="50" t="s">
        <v>2873</v>
      </c>
      <c r="K1079" s="50" t="s">
        <v>3458</v>
      </c>
      <c r="L1079" s="49" t="str">
        <f>IFERROR(__xludf.DUMMYFUNCTION("""COMPUTED_VALUE"""),"titular")</f>
        <v>titular</v>
      </c>
      <c r="M1079" s="49"/>
      <c r="N1079" s="49" t="str">
        <f>IFERROR(__xludf.DUMMYFUNCTION("""COMPUTED_VALUE"""),"paradox")</f>
        <v>paradox</v>
      </c>
      <c r="O1079" s="49" t="str">
        <f>IFERROR(__xludf.DUMMYFUNCTION("""COMPUTED_VALUE"""),"appropriated")</f>
        <v>appropriated</v>
      </c>
      <c r="P1079" s="49" t="str">
        <f t="shared" si="2"/>
        <v>bucks,</v>
      </c>
      <c r="Q1079" s="49"/>
      <c r="R1079" s="50" t="s">
        <v>1489</v>
      </c>
      <c r="S1079" s="55" t="s">
        <v>3733</v>
      </c>
      <c r="T1079" s="49" t="str">
        <f>IFERROR(__xludf.DUMMYFUNCTION("""COMPUTED_VALUE"""),"bond")</f>
        <v>bond</v>
      </c>
      <c r="U1079" s="49"/>
      <c r="V1079" s="49"/>
      <c r="W1079" s="49" t="str">
        <f>IFERROR(__xludf.DUMMYFUNCTION("""COMPUTED_VALUE"""),"adams")</f>
        <v>adams</v>
      </c>
      <c r="X1079" s="49" t="str">
        <f t="shared" si="3"/>
        <v>community,</v>
      </c>
      <c r="Y1079" s="49"/>
      <c r="Z1079" s="1" t="s">
        <v>1616</v>
      </c>
      <c r="AA1079" s="1" t="s">
        <v>2705</v>
      </c>
      <c r="AB1079" s="49"/>
      <c r="AC1079" s="49"/>
      <c r="AD1079" s="49" t="str">
        <f>IFERROR(__xludf.DUMMYFUNCTION("""COMPUTED_VALUE"""),"paradox")</f>
        <v>paradox</v>
      </c>
      <c r="AE1079" s="49" t="str">
        <f>IFERROR(__xludf.DUMMYFUNCTION("""COMPUTED_VALUE"""),"appropriated")</f>
        <v>appropriated</v>
      </c>
      <c r="AF1079" s="49" t="str">
        <f t="shared" si="4"/>
        <v>pure,</v>
      </c>
      <c r="AG1079" s="49"/>
      <c r="AH1079" s="1" t="s">
        <v>2419</v>
      </c>
      <c r="AI1079" s="1" t="s">
        <v>3748</v>
      </c>
      <c r="AJ1079" s="6" t="str">
        <f>IFERROR(__xludf.DUMMYFUNCTION("""COMPUTED_VALUE"""),"soundtrack")</f>
        <v>soundtrack</v>
      </c>
      <c r="AK1079" s="49"/>
      <c r="AL1079" s="49"/>
      <c r="AM1079" s="49"/>
      <c r="AN1079" s="52" t="str">
        <f t="shared" si="5"/>
        <v>providing,</v>
      </c>
    </row>
    <row r="1080">
      <c r="A1080" s="51"/>
      <c r="B1080" s="50" t="s">
        <v>4424</v>
      </c>
      <c r="C1080" s="50" t="s">
        <v>6439</v>
      </c>
      <c r="D1080" s="49" t="str">
        <f>IFERROR(__xludf.DUMMYFUNCTION("""COMPUTED_VALUE"""),"complicated")</f>
        <v>complicated</v>
      </c>
      <c r="E1080" s="49"/>
      <c r="F1080" s="49"/>
      <c r="G1080" s="49"/>
      <c r="H1080" s="54" t="str">
        <f t="shared" si="1"/>
        <v>returns,</v>
      </c>
      <c r="I1080" s="50"/>
      <c r="J1080" s="50" t="s">
        <v>6831</v>
      </c>
      <c r="K1080" s="50" t="s">
        <v>4011</v>
      </c>
      <c r="L1080" s="49" t="str">
        <f>IFERROR(__xludf.DUMMYFUNCTION("""COMPUTED_VALUE"""),"rendered")</f>
        <v>rendered</v>
      </c>
      <c r="M1080" s="49"/>
      <c r="N1080" s="49" t="str">
        <f>IFERROR(__xludf.DUMMYFUNCTION("""COMPUTED_VALUE"""),"rafael")</f>
        <v>rafael</v>
      </c>
      <c r="O1080" s="49" t="str">
        <f>IFERROR(__xludf.DUMMYFUNCTION("""COMPUTED_VALUE"""),"hilary")</f>
        <v>hilary</v>
      </c>
      <c r="P1080" s="49" t="str">
        <f t="shared" si="2"/>
        <v>escort,</v>
      </c>
      <c r="Q1080" s="49"/>
      <c r="R1080" s="50" t="s">
        <v>2505</v>
      </c>
      <c r="S1080" s="55" t="s">
        <v>643</v>
      </c>
      <c r="T1080" s="49" t="str">
        <f>IFERROR(__xludf.DUMMYFUNCTION("""COMPUTED_VALUE"""),"assassin")</f>
        <v>assassin</v>
      </c>
      <c r="U1080" s="49"/>
      <c r="V1080" s="49"/>
      <c r="W1080" s="49" t="str">
        <f>IFERROR(__xludf.DUMMYFUNCTION("""COMPUTED_VALUE"""),"craven")</f>
        <v>craven</v>
      </c>
      <c r="X1080" s="49" t="str">
        <f t="shared" si="3"/>
        <v>rate,</v>
      </c>
      <c r="Y1080" s="49"/>
      <c r="Z1080" s="1" t="s">
        <v>3027</v>
      </c>
      <c r="AA1080" s="1" t="s">
        <v>4008</v>
      </c>
      <c r="AB1080" s="49"/>
      <c r="AC1080" s="49"/>
      <c r="AD1080" s="49" t="str">
        <f>IFERROR(__xludf.DUMMYFUNCTION("""COMPUTED_VALUE"""),"rafael")</f>
        <v>rafael</v>
      </c>
      <c r="AE1080" s="49" t="str">
        <f>IFERROR(__xludf.DUMMYFUNCTION("""COMPUTED_VALUE"""),"hilary")</f>
        <v>hilary</v>
      </c>
      <c r="AF1080" s="49" t="str">
        <f t="shared" si="4"/>
        <v>edge,</v>
      </c>
      <c r="AG1080" s="49"/>
      <c r="AH1080" s="1" t="s">
        <v>6812</v>
      </c>
      <c r="AI1080" s="1" t="s">
        <v>2999</v>
      </c>
      <c r="AJ1080" s="6" t="str">
        <f>IFERROR(__xludf.DUMMYFUNCTION("""COMPUTED_VALUE"""),"wonderful")</f>
        <v>wonderful</v>
      </c>
      <c r="AK1080" s="49"/>
      <c r="AL1080" s="49"/>
      <c r="AM1080" s="49"/>
      <c r="AN1080" s="52" t="str">
        <f t="shared" si="5"/>
        <v>explain,</v>
      </c>
    </row>
    <row r="1081">
      <c r="A1081" s="51"/>
      <c r="B1081" s="50" t="s">
        <v>4046</v>
      </c>
      <c r="C1081" s="50" t="s">
        <v>6417</v>
      </c>
      <c r="D1081" s="49" t="str">
        <f>IFERROR(__xludf.DUMMYFUNCTION("""COMPUTED_VALUE"""),"live")</f>
        <v>live</v>
      </c>
      <c r="E1081" s="49"/>
      <c r="F1081" s="49"/>
      <c r="G1081" s="49"/>
      <c r="H1081" s="54" t="str">
        <f t="shared" si="1"/>
        <v>carol,</v>
      </c>
      <c r="I1081" s="50"/>
      <c r="J1081" s="50" t="s">
        <v>2190</v>
      </c>
      <c r="K1081" s="50" t="s">
        <v>2401</v>
      </c>
      <c r="L1081" s="49" t="str">
        <f>IFERROR(__xludf.DUMMYFUNCTION("""COMPUTED_VALUE"""),"sketch")</f>
        <v>sketch</v>
      </c>
      <c r="M1081" s="49"/>
      <c r="N1081" s="49" t="str">
        <f>IFERROR(__xludf.DUMMYFUNCTION("""COMPUTED_VALUE"""),"diego")</f>
        <v>diego</v>
      </c>
      <c r="O1081" s="49" t="str">
        <f>IFERROR(__xludf.DUMMYFUNCTION("""COMPUTED_VALUE"""),"birmingham")</f>
        <v>birmingham</v>
      </c>
      <c r="P1081" s="49" t="str">
        <f t="shared" si="2"/>
        <v>sheridan,</v>
      </c>
      <c r="Q1081" s="49"/>
      <c r="R1081" s="50" t="s">
        <v>1706</v>
      </c>
      <c r="S1081" s="55" t="s">
        <v>3976</v>
      </c>
      <c r="T1081" s="49" t="str">
        <f>IFERROR(__xludf.DUMMYFUNCTION("""COMPUTED_VALUE"""),"superb")</f>
        <v>superb</v>
      </c>
      <c r="U1081" s="49"/>
      <c r="V1081" s="49"/>
      <c r="W1081" s="49" t="str">
        <f>IFERROR(__xludf.DUMMYFUNCTION("""COMPUTED_VALUE"""),"until")</f>
        <v>until</v>
      </c>
      <c r="X1081" s="49" t="str">
        <f t="shared" si="3"/>
        <v>humanity,</v>
      </c>
      <c r="Y1081" s="49"/>
      <c r="Z1081" s="1" t="s">
        <v>6315</v>
      </c>
      <c r="AA1081" s="1" t="s">
        <v>777</v>
      </c>
      <c r="AB1081" s="49"/>
      <c r="AC1081" s="49"/>
      <c r="AD1081" s="49" t="str">
        <f>IFERROR(__xludf.DUMMYFUNCTION("""COMPUTED_VALUE"""),"diego")</f>
        <v>diego</v>
      </c>
      <c r="AE1081" s="49" t="str">
        <f>IFERROR(__xludf.DUMMYFUNCTION("""COMPUTED_VALUE"""),"birmingham")</f>
        <v>birmingham</v>
      </c>
      <c r="AF1081" s="49" t="str">
        <f t="shared" si="4"/>
        <v>completely,</v>
      </c>
      <c r="AG1081" s="49"/>
      <c r="AH1081" s="1" t="s">
        <v>2255</v>
      </c>
      <c r="AI1081" s="1" t="s">
        <v>3010</v>
      </c>
      <c r="AJ1081" s="6" t="str">
        <f>IFERROR(__xludf.DUMMYFUNCTION("""COMPUTED_VALUE"""),"lion")</f>
        <v>lion</v>
      </c>
      <c r="AK1081" s="49"/>
      <c r="AL1081" s="49"/>
      <c r="AM1081" s="49"/>
      <c r="AN1081" s="52" t="str">
        <f t="shared" si="5"/>
        <v>hero,</v>
      </c>
    </row>
    <row r="1082">
      <c r="A1082" s="51"/>
      <c r="B1082" s="50" t="s">
        <v>5287</v>
      </c>
      <c r="C1082" s="50" t="s">
        <v>429</v>
      </c>
      <c r="D1082" s="49" t="str">
        <f>IFERROR(__xludf.DUMMYFUNCTION("""COMPUTED_VALUE"""),"context")</f>
        <v>context</v>
      </c>
      <c r="E1082" s="49"/>
      <c r="F1082" s="49"/>
      <c r="G1082" s="49"/>
      <c r="H1082" s="54" t="str">
        <f t="shared" si="1"/>
        <v>trumpet,</v>
      </c>
      <c r="I1082" s="50"/>
      <c r="J1082" s="50" t="s">
        <v>1330</v>
      </c>
      <c r="K1082" s="50" t="s">
        <v>2385</v>
      </c>
      <c r="L1082" s="49" t="str">
        <f>IFERROR(__xludf.DUMMYFUNCTION("""COMPUTED_VALUE"""),"narrator")</f>
        <v>narrator</v>
      </c>
      <c r="M1082" s="49"/>
      <c r="N1082" s="49" t="str">
        <f>IFERROR(__xludf.DUMMYFUNCTION("""COMPUTED_VALUE"""),"steaming")</f>
        <v>steaming</v>
      </c>
      <c r="O1082" s="49" t="str">
        <f>IFERROR(__xludf.DUMMYFUNCTION("""COMPUTED_VALUE"""),"detention")</f>
        <v>detention</v>
      </c>
      <c r="P1082" s="49" t="str">
        <f t="shared" si="2"/>
        <v>run,</v>
      </c>
      <c r="Q1082" s="49"/>
      <c r="R1082" s="50" t="s">
        <v>6236</v>
      </c>
      <c r="S1082" s="55" t="s">
        <v>648</v>
      </c>
      <c r="T1082" s="49" t="str">
        <f>IFERROR(__xludf.DUMMYFUNCTION("""COMPUTED_VALUE"""),"marvel")</f>
        <v>marvel</v>
      </c>
      <c r="U1082" s="49"/>
      <c r="V1082" s="49"/>
      <c r="W1082" s="49" t="str">
        <f>IFERROR(__xludf.DUMMYFUNCTION("""COMPUTED_VALUE"""),"warriors")</f>
        <v>warriors</v>
      </c>
      <c r="X1082" s="49" t="str">
        <f t="shared" si="3"/>
        <v>amazing,</v>
      </c>
      <c r="Y1082" s="49"/>
      <c r="Z1082" s="1" t="s">
        <v>2155</v>
      </c>
      <c r="AA1082" s="1" t="s">
        <v>921</v>
      </c>
      <c r="AB1082" s="49"/>
      <c r="AC1082" s="49"/>
      <c r="AD1082" s="49" t="str">
        <f>IFERROR(__xludf.DUMMYFUNCTION("""COMPUTED_VALUE"""),"steaming")</f>
        <v>steaming</v>
      </c>
      <c r="AE1082" s="49" t="str">
        <f>IFERROR(__xludf.DUMMYFUNCTION("""COMPUTED_VALUE"""),"detention")</f>
        <v>detention</v>
      </c>
      <c r="AF1082" s="49" t="str">
        <f t="shared" si="4"/>
        <v>deals,</v>
      </c>
      <c r="AG1082" s="49"/>
      <c r="AH1082" s="1" t="s">
        <v>1802</v>
      </c>
      <c r="AI1082" s="1" t="s">
        <v>6440</v>
      </c>
      <c r="AJ1082" s="6" t="str">
        <f>IFERROR(__xludf.DUMMYFUNCTION("""COMPUTED_VALUE"""),"let")</f>
        <v>let</v>
      </c>
      <c r="AK1082" s="49"/>
      <c r="AL1082" s="49"/>
      <c r="AM1082" s="49"/>
      <c r="AN1082" s="52" t="str">
        <f t="shared" si="5"/>
        <v>prove,</v>
      </c>
    </row>
    <row r="1083">
      <c r="A1083" s="51"/>
      <c r="B1083" s="50" t="s">
        <v>221</v>
      </c>
      <c r="C1083" s="50" t="s">
        <v>3524</v>
      </c>
      <c r="D1083" s="49" t="str">
        <f>IFERROR(__xludf.DUMMYFUNCTION("""COMPUTED_VALUE"""),"deals")</f>
        <v>deals</v>
      </c>
      <c r="E1083" s="49"/>
      <c r="F1083" s="49"/>
      <c r="G1083" s="49"/>
      <c r="H1083" s="54" t="str">
        <f t="shared" si="1"/>
        <v>next,</v>
      </c>
      <c r="I1083" s="50"/>
      <c r="J1083" s="50" t="s">
        <v>1602</v>
      </c>
      <c r="K1083" s="50" t="s">
        <v>2388</v>
      </c>
      <c r="L1083" s="49" t="str">
        <f>IFERROR(__xludf.DUMMYFUNCTION("""COMPUTED_VALUE"""),"sum")</f>
        <v>sum</v>
      </c>
      <c r="M1083" s="49"/>
      <c r="N1083" s="49" t="str">
        <f>IFERROR(__xludf.DUMMYFUNCTION("""COMPUTED_VALUE"""),"convenient")</f>
        <v>convenient</v>
      </c>
      <c r="O1083" s="49" t="str">
        <f>IFERROR(__xludf.DUMMYFUNCTION("""COMPUTED_VALUE"""),"sensitivity")</f>
        <v>sensitivity</v>
      </c>
      <c r="P1083" s="49" t="str">
        <f t="shared" si="2"/>
        <v>fan,</v>
      </c>
      <c r="Q1083" s="49"/>
      <c r="R1083" s="50" t="s">
        <v>6980</v>
      </c>
      <c r="S1083" s="55" t="s">
        <v>3583</v>
      </c>
      <c r="T1083" s="49" t="str">
        <f>IFERROR(__xludf.DUMMYFUNCTION("""COMPUTED_VALUE"""),"complaint")</f>
        <v>complaint</v>
      </c>
      <c r="U1083" s="49"/>
      <c r="V1083" s="49"/>
      <c r="W1083" s="49" t="str">
        <f>IFERROR(__xludf.DUMMYFUNCTION("""COMPUTED_VALUE"""),"relate")</f>
        <v>relate</v>
      </c>
      <c r="X1083" s="49" t="str">
        <f t="shared" si="3"/>
        <v>advised,</v>
      </c>
      <c r="Y1083" s="49"/>
      <c r="Z1083" s="1" t="s">
        <v>1111</v>
      </c>
      <c r="AA1083" s="1" t="s">
        <v>2723</v>
      </c>
      <c r="AB1083" s="49"/>
      <c r="AC1083" s="49"/>
      <c r="AD1083" s="49" t="str">
        <f>IFERROR(__xludf.DUMMYFUNCTION("""COMPUTED_VALUE"""),"convenient")</f>
        <v>convenient</v>
      </c>
      <c r="AE1083" s="49" t="str">
        <f>IFERROR(__xludf.DUMMYFUNCTION("""COMPUTED_VALUE"""),"sensitivity")</f>
        <v>sensitivity</v>
      </c>
      <c r="AF1083" s="49" t="str">
        <f t="shared" si="4"/>
        <v>note,</v>
      </c>
      <c r="AG1083" s="49"/>
      <c r="AH1083" s="1" t="s">
        <v>1653</v>
      </c>
      <c r="AI1083" s="1" t="s">
        <v>6441</v>
      </c>
      <c r="AJ1083" s="6" t="str">
        <f>IFERROR(__xludf.DUMMYFUNCTION("""COMPUTED_VALUE"""),"knew")</f>
        <v>knew</v>
      </c>
      <c r="AK1083" s="49"/>
      <c r="AL1083" s="49"/>
      <c r="AM1083" s="49"/>
      <c r="AN1083" s="52" t="str">
        <f t="shared" si="5"/>
        <v>unfortunately,</v>
      </c>
    </row>
    <row r="1084">
      <c r="A1084" s="51"/>
      <c r="B1084" s="50" t="s">
        <v>625</v>
      </c>
      <c r="C1084" s="50" t="s">
        <v>2106</v>
      </c>
      <c r="D1084" s="49" t="str">
        <f>IFERROR(__xludf.DUMMYFUNCTION("""COMPUTED_VALUE"""),"aware")</f>
        <v>aware</v>
      </c>
      <c r="E1084" s="49"/>
      <c r="F1084" s="49"/>
      <c r="G1084" s="49"/>
      <c r="H1084" s="54" t="str">
        <f t="shared" si="1"/>
        <v>told,</v>
      </c>
      <c r="I1084" s="50"/>
      <c r="J1084" s="50" t="s">
        <v>4572</v>
      </c>
      <c r="K1084" s="50" t="s">
        <v>2405</v>
      </c>
      <c r="L1084" s="49" t="str">
        <f>IFERROR(__xludf.DUMMYFUNCTION("""COMPUTED_VALUE"""),"paxton")</f>
        <v>paxton</v>
      </c>
      <c r="M1084" s="49"/>
      <c r="N1084" s="49" t="str">
        <f>IFERROR(__xludf.DUMMYFUNCTION("""COMPUTED_VALUE"""),"privileged")</f>
        <v>privileged</v>
      </c>
      <c r="O1084" s="49" t="str">
        <f>IFERROR(__xludf.DUMMYFUNCTION("""COMPUTED_VALUE"""),"mojo")</f>
        <v>mojo</v>
      </c>
      <c r="P1084" s="49" t="str">
        <f t="shared" si="2"/>
        <v>seriously,</v>
      </c>
      <c r="Q1084" s="49"/>
      <c r="R1084" s="50" t="s">
        <v>7318</v>
      </c>
      <c r="S1084" s="55" t="s">
        <v>2253</v>
      </c>
      <c r="T1084" s="49" t="str">
        <f>IFERROR(__xludf.DUMMYFUNCTION("""COMPUTED_VALUE"""),"poetry")</f>
        <v>poetry</v>
      </c>
      <c r="U1084" s="49"/>
      <c r="V1084" s="49"/>
      <c r="W1084" s="49" t="str">
        <f>IFERROR(__xludf.DUMMYFUNCTION("""COMPUTED_VALUE"""),"accidental")</f>
        <v>accidental</v>
      </c>
      <c r="X1084" s="49" t="str">
        <f t="shared" si="3"/>
        <v>penn,</v>
      </c>
      <c r="Y1084" s="49"/>
      <c r="Z1084" s="1" t="s">
        <v>1220</v>
      </c>
      <c r="AA1084" s="1" t="s">
        <v>1426</v>
      </c>
      <c r="AB1084" s="49"/>
      <c r="AC1084" s="49"/>
      <c r="AD1084" s="49" t="str">
        <f>IFERROR(__xludf.DUMMYFUNCTION("""COMPUTED_VALUE"""),"privileged")</f>
        <v>privileged</v>
      </c>
      <c r="AE1084" s="49" t="str">
        <f>IFERROR(__xludf.DUMMYFUNCTION("""COMPUTED_VALUE"""),"mojo")</f>
        <v>mojo</v>
      </c>
      <c r="AF1084" s="49" t="str">
        <f t="shared" si="4"/>
        <v>em,</v>
      </c>
      <c r="AG1084" s="49"/>
      <c r="AH1084" s="1" t="s">
        <v>3686</v>
      </c>
      <c r="AI1084" s="1" t="s">
        <v>2100</v>
      </c>
      <c r="AJ1084" s="6" t="str">
        <f>IFERROR(__xludf.DUMMYFUNCTION("""COMPUTED_VALUE"""),"give")</f>
        <v>give</v>
      </c>
      <c r="AK1084" s="49"/>
      <c r="AL1084" s="49"/>
      <c r="AM1084" s="49"/>
      <c r="AN1084" s="52" t="str">
        <f t="shared" si="5"/>
        <v>trapped,</v>
      </c>
    </row>
    <row r="1085">
      <c r="A1085" s="51"/>
      <c r="B1085" s="50" t="s">
        <v>1190</v>
      </c>
      <c r="C1085" s="50" t="s">
        <v>2992</v>
      </c>
      <c r="D1085" s="49" t="str">
        <f>IFERROR(__xludf.DUMMYFUNCTION("""COMPUTED_VALUE"""),"pull")</f>
        <v>pull</v>
      </c>
      <c r="E1085" s="49"/>
      <c r="F1085" s="49"/>
      <c r="G1085" s="49"/>
      <c r="H1085" s="54" t="str">
        <f t="shared" si="1"/>
        <v>gave,</v>
      </c>
      <c r="I1085" s="50"/>
      <c r="J1085" s="50" t="s">
        <v>2865</v>
      </c>
      <c r="K1085" s="50" t="s">
        <v>3487</v>
      </c>
      <c r="L1085" s="49" t="str">
        <f>IFERROR(__xludf.DUMMYFUNCTION("""COMPUTED_VALUE"""),"jagger")</f>
        <v>jagger</v>
      </c>
      <c r="M1085" s="49"/>
      <c r="N1085" s="49" t="str">
        <f>IFERROR(__xludf.DUMMYFUNCTION("""COMPUTED_VALUE"""),"assurance")</f>
        <v>assurance</v>
      </c>
      <c r="O1085" s="49" t="str">
        <f>IFERROR(__xludf.DUMMYFUNCTION("""COMPUTED_VALUE"""),"utilizing")</f>
        <v>utilizing</v>
      </c>
      <c r="P1085" s="49" t="str">
        <f t="shared" si="2"/>
        <v>fears,</v>
      </c>
      <c r="Q1085" s="49"/>
      <c r="R1085" s="50" t="s">
        <v>2115</v>
      </c>
      <c r="S1085" s="55" t="s">
        <v>3751</v>
      </c>
      <c r="T1085" s="49" t="str">
        <f>IFERROR(__xludf.DUMMYFUNCTION("""COMPUTED_VALUE"""),"tug")</f>
        <v>tug</v>
      </c>
      <c r="U1085" s="49"/>
      <c r="V1085" s="49"/>
      <c r="W1085" s="49" t="str">
        <f>IFERROR(__xludf.DUMMYFUNCTION("""COMPUTED_VALUE"""),"hewitt")</f>
        <v>hewitt</v>
      </c>
      <c r="X1085" s="49" t="str">
        <f t="shared" si="3"/>
        <v>test,</v>
      </c>
      <c r="Y1085" s="49"/>
      <c r="Z1085" s="1" t="s">
        <v>234</v>
      </c>
      <c r="AA1085" s="1" t="s">
        <v>4018</v>
      </c>
      <c r="AB1085" s="49"/>
      <c r="AC1085" s="49"/>
      <c r="AD1085" s="49" t="str">
        <f>IFERROR(__xludf.DUMMYFUNCTION("""COMPUTED_VALUE"""),"assurance")</f>
        <v>assurance</v>
      </c>
      <c r="AE1085" s="49" t="str">
        <f>IFERROR(__xludf.DUMMYFUNCTION("""COMPUTED_VALUE"""),"utilizing")</f>
        <v>utilizing</v>
      </c>
      <c r="AF1085" s="49" t="str">
        <f t="shared" si="4"/>
        <v>small,</v>
      </c>
      <c r="AG1085" s="49"/>
      <c r="AH1085" s="1" t="s">
        <v>3675</v>
      </c>
      <c r="AI1085" s="1" t="s">
        <v>3027</v>
      </c>
      <c r="AJ1085" s="6" t="str">
        <f>IFERROR(__xludf.DUMMYFUNCTION("""COMPUTED_VALUE"""),"professional")</f>
        <v>professional</v>
      </c>
      <c r="AK1085" s="49"/>
      <c r="AL1085" s="49"/>
      <c r="AM1085" s="49"/>
      <c r="AN1085" s="52" t="str">
        <f t="shared" si="5"/>
        <v>against,</v>
      </c>
    </row>
    <row r="1086">
      <c r="A1086" s="51"/>
      <c r="B1086" s="50" t="s">
        <v>5934</v>
      </c>
      <c r="C1086" s="50" t="s">
        <v>2995</v>
      </c>
      <c r="D1086" s="49" t="str">
        <f>IFERROR(__xludf.DUMMYFUNCTION("""COMPUTED_VALUE"""),"ensemble")</f>
        <v>ensemble</v>
      </c>
      <c r="E1086" s="49"/>
      <c r="F1086" s="49"/>
      <c r="G1086" s="49"/>
      <c r="H1086" s="54" t="str">
        <f t="shared" si="1"/>
        <v>ran,</v>
      </c>
      <c r="I1086" s="50"/>
      <c r="J1086" s="50" t="s">
        <v>3651</v>
      </c>
      <c r="K1086" s="50" t="s">
        <v>658</v>
      </c>
      <c r="L1086" s="49" t="str">
        <f>IFERROR(__xludf.DUMMYFUNCTION("""COMPUTED_VALUE"""),"zhang")</f>
        <v>zhang</v>
      </c>
      <c r="M1086" s="49"/>
      <c r="N1086" s="49" t="str">
        <f>IFERROR(__xludf.DUMMYFUNCTION("""COMPUTED_VALUE"""),"denying")</f>
        <v>denying</v>
      </c>
      <c r="O1086" s="49" t="str">
        <f>IFERROR(__xludf.DUMMYFUNCTION("""COMPUTED_VALUE"""),"precision")</f>
        <v>precision</v>
      </c>
      <c r="P1086" s="49" t="str">
        <f t="shared" si="2"/>
        <v>reasons,</v>
      </c>
      <c r="Q1086" s="49"/>
      <c r="R1086" s="50" t="s">
        <v>658</v>
      </c>
      <c r="S1086" s="55" t="s">
        <v>2300</v>
      </c>
      <c r="T1086" s="49" t="str">
        <f>IFERROR(__xludf.DUMMYFUNCTION("""COMPUTED_VALUE"""),"eventually")</f>
        <v>eventually</v>
      </c>
      <c r="U1086" s="49"/>
      <c r="V1086" s="49"/>
      <c r="W1086" s="49" t="str">
        <f>IFERROR(__xludf.DUMMYFUNCTION("""COMPUTED_VALUE"""),"inadequate")</f>
        <v>inadequate</v>
      </c>
      <c r="X1086" s="49" t="str">
        <f t="shared" si="3"/>
        <v>constructed,</v>
      </c>
      <c r="Y1086" s="49"/>
      <c r="Z1086" s="1" t="s">
        <v>1652</v>
      </c>
      <c r="AA1086" s="1" t="s">
        <v>4022</v>
      </c>
      <c r="AB1086" s="49"/>
      <c r="AC1086" s="49"/>
      <c r="AD1086" s="49" t="str">
        <f>IFERROR(__xludf.DUMMYFUNCTION("""COMPUTED_VALUE"""),"denying")</f>
        <v>denying</v>
      </c>
      <c r="AE1086" s="49" t="str">
        <f>IFERROR(__xludf.DUMMYFUNCTION("""COMPUTED_VALUE"""),"precision")</f>
        <v>precision</v>
      </c>
      <c r="AF1086" s="49" t="str">
        <f t="shared" si="4"/>
        <v>scripts,</v>
      </c>
      <c r="AG1086" s="49"/>
      <c r="AH1086" s="1" t="s">
        <v>404</v>
      </c>
      <c r="AI1086" s="1" t="s">
        <v>3033</v>
      </c>
      <c r="AJ1086" s="6" t="str">
        <f>IFERROR(__xludf.DUMMYFUNCTION("""COMPUTED_VALUE"""),"friends")</f>
        <v>friends</v>
      </c>
      <c r="AK1086" s="49"/>
      <c r="AL1086" s="49"/>
      <c r="AM1086" s="49"/>
      <c r="AN1086" s="52" t="str">
        <f t="shared" si="5"/>
        <v>side,</v>
      </c>
    </row>
    <row r="1087">
      <c r="A1087" s="51"/>
      <c r="B1087" s="50" t="s">
        <v>4694</v>
      </c>
      <c r="C1087" s="50" t="s">
        <v>3532</v>
      </c>
      <c r="D1087" s="49" t="str">
        <f>IFERROR(__xludf.DUMMYFUNCTION("""COMPUTED_VALUE"""),"truly")</f>
        <v>truly</v>
      </c>
      <c r="E1087" s="49"/>
      <c r="F1087" s="49"/>
      <c r="G1087" s="49"/>
      <c r="H1087" s="54" t="str">
        <f t="shared" si="1"/>
        <v>independent,</v>
      </c>
      <c r="I1087" s="50"/>
      <c r="J1087" s="50" t="s">
        <v>2852</v>
      </c>
      <c r="K1087" s="50" t="s">
        <v>706</v>
      </c>
      <c r="L1087" s="49" t="str">
        <f>IFERROR(__xludf.DUMMYFUNCTION("""COMPUTED_VALUE"""),"noticeable")</f>
        <v>noticeable</v>
      </c>
      <c r="M1087" s="49"/>
      <c r="N1087" s="49" t="str">
        <f>IFERROR(__xludf.DUMMYFUNCTION("""COMPUTED_VALUE"""),"nickelodeon")</f>
        <v>nickelodeon</v>
      </c>
      <c r="O1087" s="49" t="str">
        <f>IFERROR(__xludf.DUMMYFUNCTION("""COMPUTED_VALUE"""),"aspirations")</f>
        <v>aspirations</v>
      </c>
      <c r="P1087" s="49" t="str">
        <f t="shared" si="2"/>
        <v>featuring,</v>
      </c>
      <c r="Q1087" s="49"/>
      <c r="R1087" s="50" t="s">
        <v>4236</v>
      </c>
      <c r="S1087" s="55" t="s">
        <v>975</v>
      </c>
      <c r="T1087" s="49" t="str">
        <f>IFERROR(__xludf.DUMMYFUNCTION("""COMPUTED_VALUE"""),"insane")</f>
        <v>insane</v>
      </c>
      <c r="U1087" s="49"/>
      <c r="V1087" s="49"/>
      <c r="W1087" s="49" t="str">
        <f>IFERROR(__xludf.DUMMYFUNCTION("""COMPUTED_VALUE"""),"preserving")</f>
        <v>preserving</v>
      </c>
      <c r="X1087" s="49" t="str">
        <f t="shared" si="3"/>
        <v>cops,</v>
      </c>
      <c r="Y1087" s="49"/>
      <c r="Z1087" s="1" t="s">
        <v>2888</v>
      </c>
      <c r="AA1087" s="1" t="s">
        <v>1111</v>
      </c>
      <c r="AB1087" s="49"/>
      <c r="AC1087" s="49"/>
      <c r="AD1087" s="49" t="str">
        <f>IFERROR(__xludf.DUMMYFUNCTION("""COMPUTED_VALUE"""),"nickelodeon")</f>
        <v>nickelodeon</v>
      </c>
      <c r="AE1087" s="49" t="str">
        <f>IFERROR(__xludf.DUMMYFUNCTION("""COMPUTED_VALUE"""),"aspirations")</f>
        <v>aspirations</v>
      </c>
      <c r="AF1087" s="49" t="str">
        <f t="shared" si="4"/>
        <v>success,</v>
      </c>
      <c r="AG1087" s="49"/>
      <c r="AH1087" s="1" t="s">
        <v>1365</v>
      </c>
      <c r="AI1087" s="1" t="s">
        <v>1146</v>
      </c>
      <c r="AJ1087" s="6" t="str">
        <f>IFERROR(__xludf.DUMMYFUNCTION("""COMPUTED_VALUE"""),"perfect")</f>
        <v>perfect</v>
      </c>
      <c r="AK1087" s="49"/>
      <c r="AL1087" s="49"/>
      <c r="AM1087" s="49"/>
      <c r="AN1087" s="52" t="str">
        <f t="shared" si="5"/>
        <v>building,</v>
      </c>
    </row>
    <row r="1088">
      <c r="A1088" s="51"/>
      <c r="B1088" s="50" t="s">
        <v>1120</v>
      </c>
      <c r="C1088" s="50" t="s">
        <v>3748</v>
      </c>
      <c r="D1088" s="49" t="str">
        <f>IFERROR(__xludf.DUMMYFUNCTION("""COMPUTED_VALUE"""),"painful")</f>
        <v>painful</v>
      </c>
      <c r="E1088" s="49"/>
      <c r="F1088" s="49"/>
      <c r="G1088" s="49"/>
      <c r="H1088" s="54" t="str">
        <f t="shared" si="1"/>
        <v>anyone,</v>
      </c>
      <c r="I1088" s="50"/>
      <c r="J1088" s="50" t="s">
        <v>3905</v>
      </c>
      <c r="K1088" s="50" t="s">
        <v>1242</v>
      </c>
      <c r="L1088" s="49" t="str">
        <f>IFERROR(__xludf.DUMMYFUNCTION("""COMPUTED_VALUE"""),"tendency")</f>
        <v>tendency</v>
      </c>
      <c r="M1088" s="49"/>
      <c r="N1088" s="49" t="str">
        <f>IFERROR(__xludf.DUMMYFUNCTION("""COMPUTED_VALUE"""),"decisions")</f>
        <v>decisions</v>
      </c>
      <c r="O1088" s="49" t="str">
        <f>IFERROR(__xludf.DUMMYFUNCTION("""COMPUTED_VALUE"""),"gay")</f>
        <v>gay</v>
      </c>
      <c r="P1088" s="49" t="str">
        <f t="shared" si="2"/>
        <v>figure,</v>
      </c>
      <c r="Q1088" s="49"/>
      <c r="R1088" s="50" t="s">
        <v>7319</v>
      </c>
      <c r="S1088" s="55" t="s">
        <v>533</v>
      </c>
      <c r="T1088" s="49" t="str">
        <f>IFERROR(__xludf.DUMMYFUNCTION("""COMPUTED_VALUE"""),"convinced")</f>
        <v>convinced</v>
      </c>
      <c r="U1088" s="49"/>
      <c r="V1088" s="49"/>
      <c r="W1088" s="49" t="str">
        <f>IFERROR(__xludf.DUMMYFUNCTION("""COMPUTED_VALUE"""),"lectures")</f>
        <v>lectures</v>
      </c>
      <c r="X1088" s="49" t="str">
        <f t="shared" si="3"/>
        <v>conceived,</v>
      </c>
      <c r="Y1088" s="49"/>
      <c r="Z1088" s="1" t="s">
        <v>1115</v>
      </c>
      <c r="AA1088" s="1" t="s">
        <v>2089</v>
      </c>
      <c r="AB1088" s="49"/>
      <c r="AC1088" s="49"/>
      <c r="AD1088" s="49" t="str">
        <f>IFERROR(__xludf.DUMMYFUNCTION("""COMPUTED_VALUE"""),"decisions")</f>
        <v>decisions</v>
      </c>
      <c r="AE1088" s="49" t="str">
        <f>IFERROR(__xludf.DUMMYFUNCTION("""COMPUTED_VALUE"""),"gay")</f>
        <v>gay</v>
      </c>
      <c r="AF1088" s="49" t="str">
        <f t="shared" si="4"/>
        <v>dim,</v>
      </c>
      <c r="AG1088" s="49"/>
      <c r="AH1088" s="1" t="s">
        <v>3126</v>
      </c>
      <c r="AI1088" s="1" t="s">
        <v>6442</v>
      </c>
      <c r="AJ1088" s="6" t="str">
        <f>IFERROR(__xludf.DUMMYFUNCTION("""COMPUTED_VALUE"""),"wants")</f>
        <v>wants</v>
      </c>
      <c r="AK1088" s="49"/>
      <c r="AL1088" s="49"/>
      <c r="AM1088" s="49"/>
      <c r="AN1088" s="52" t="str">
        <f t="shared" si="5"/>
        <v>battle,</v>
      </c>
    </row>
    <row r="1089">
      <c r="A1089" s="51"/>
      <c r="B1089" s="50" t="s">
        <v>1728</v>
      </c>
      <c r="C1089" s="50" t="s">
        <v>2999</v>
      </c>
      <c r="D1089" s="49" t="str">
        <f>IFERROR(__xludf.DUMMYFUNCTION("""COMPUTED_VALUE"""),"american")</f>
        <v>american</v>
      </c>
      <c r="E1089" s="49"/>
      <c r="F1089" s="49"/>
      <c r="G1089" s="49"/>
      <c r="H1089" s="54" t="str">
        <f t="shared" si="1"/>
        <v>complex,</v>
      </c>
      <c r="I1089" s="50"/>
      <c r="J1089" s="50" t="s">
        <v>3118</v>
      </c>
      <c r="K1089" s="50" t="s">
        <v>2408</v>
      </c>
      <c r="L1089" s="49" t="str">
        <f>IFERROR(__xludf.DUMMYFUNCTION("""COMPUTED_VALUE"""),"innocence")</f>
        <v>innocence</v>
      </c>
      <c r="M1089" s="49"/>
      <c r="N1089" s="49" t="str">
        <f>IFERROR(__xludf.DUMMYFUNCTION("""COMPUTED_VALUE"""),"tad")</f>
        <v>tad</v>
      </c>
      <c r="O1089" s="49" t="str">
        <f>IFERROR(__xludf.DUMMYFUNCTION("""COMPUTED_VALUE"""),"lesbian")</f>
        <v>lesbian</v>
      </c>
      <c r="P1089" s="49" t="str">
        <f t="shared" si="2"/>
        <v>raw,</v>
      </c>
      <c r="Q1089" s="49"/>
      <c r="R1089" s="50" t="s">
        <v>3854</v>
      </c>
      <c r="S1089" s="55" t="s">
        <v>2255</v>
      </c>
      <c r="T1089" s="49" t="str">
        <f>IFERROR(__xludf.DUMMYFUNCTION("""COMPUTED_VALUE"""),"morality")</f>
        <v>morality</v>
      </c>
      <c r="U1089" s="49"/>
      <c r="V1089" s="49"/>
      <c r="W1089" s="49" t="str">
        <f>IFERROR(__xludf.DUMMYFUNCTION("""COMPUTED_VALUE"""),"terrorist")</f>
        <v>terrorist</v>
      </c>
      <c r="X1089" s="49" t="str">
        <f t="shared" si="3"/>
        <v>executed,</v>
      </c>
      <c r="Y1089" s="49"/>
      <c r="Z1089" s="1" t="s">
        <v>2278</v>
      </c>
      <c r="AA1089" s="1" t="s">
        <v>786</v>
      </c>
      <c r="AB1089" s="49"/>
      <c r="AC1089" s="49"/>
      <c r="AD1089" s="49" t="str">
        <f>IFERROR(__xludf.DUMMYFUNCTION("""COMPUTED_VALUE"""),"tad")</f>
        <v>tad</v>
      </c>
      <c r="AE1089" s="49" t="str">
        <f>IFERROR(__xludf.DUMMYFUNCTION("""COMPUTED_VALUE"""),"lesbian")</f>
        <v>lesbian</v>
      </c>
      <c r="AF1089" s="49" t="str">
        <f t="shared" si="4"/>
        <v>sweet,</v>
      </c>
      <c r="AG1089" s="49"/>
      <c r="AH1089" s="1" t="s">
        <v>6504</v>
      </c>
      <c r="AI1089" s="1" t="s">
        <v>2130</v>
      </c>
      <c r="AJ1089" s="6" t="str">
        <f>IFERROR(__xludf.DUMMYFUNCTION("""COMPUTED_VALUE"""),"kate")</f>
        <v>kate</v>
      </c>
      <c r="AK1089" s="49"/>
      <c r="AL1089" s="49"/>
      <c r="AM1089" s="49"/>
      <c r="AN1089" s="52" t="str">
        <f t="shared" si="5"/>
        <v>tried,</v>
      </c>
    </row>
    <row r="1090">
      <c r="A1090" s="51"/>
      <c r="B1090" s="50" t="s">
        <v>6968</v>
      </c>
      <c r="C1090" s="50" t="s">
        <v>3010</v>
      </c>
      <c r="D1090" s="49" t="str">
        <f>IFERROR(__xludf.DUMMYFUNCTION("""COMPUTED_VALUE"""),"psychology")</f>
        <v>psychology</v>
      </c>
      <c r="E1090" s="49"/>
      <c r="F1090" s="49"/>
      <c r="G1090" s="49"/>
      <c r="H1090" s="54" t="str">
        <f t="shared" si="1"/>
        <v>secret,</v>
      </c>
      <c r="I1090" s="50"/>
      <c r="J1090" s="50" t="s">
        <v>3412</v>
      </c>
      <c r="K1090" s="50" t="s">
        <v>2411</v>
      </c>
      <c r="L1090" s="49" t="str">
        <f>IFERROR(__xludf.DUMMYFUNCTION("""COMPUTED_VALUE"""),"merits")</f>
        <v>merits</v>
      </c>
      <c r="M1090" s="49"/>
      <c r="N1090" s="49" t="str">
        <f>IFERROR(__xludf.DUMMYFUNCTION("""COMPUTED_VALUE"""),"uncommon")</f>
        <v>uncommon</v>
      </c>
      <c r="O1090" s="49" t="str">
        <f>IFERROR(__xludf.DUMMYFUNCTION("""COMPUTED_VALUE"""),"suspected")</f>
        <v>suspected</v>
      </c>
      <c r="P1090" s="49" t="str">
        <f t="shared" si="2"/>
        <v>compassionate,</v>
      </c>
      <c r="Q1090" s="49"/>
      <c r="R1090" s="50" t="s">
        <v>4172</v>
      </c>
      <c r="S1090" s="55" t="s">
        <v>6443</v>
      </c>
      <c r="T1090" s="49" t="str">
        <f>IFERROR(__xludf.DUMMYFUNCTION("""COMPUTED_VALUE"""),"candy")</f>
        <v>candy</v>
      </c>
      <c r="U1090" s="49"/>
      <c r="V1090" s="49"/>
      <c r="W1090" s="49" t="str">
        <f>IFERROR(__xludf.DUMMYFUNCTION("""COMPUTED_VALUE"""),"stylized")</f>
        <v>stylized</v>
      </c>
      <c r="X1090" s="49" t="str">
        <f t="shared" si="3"/>
        <v>george,</v>
      </c>
      <c r="Y1090" s="49"/>
      <c r="Z1090" s="1" t="s">
        <v>7293</v>
      </c>
      <c r="AA1090" s="1" t="s">
        <v>793</v>
      </c>
      <c r="AB1090" s="49"/>
      <c r="AC1090" s="49"/>
      <c r="AD1090" s="49" t="str">
        <f>IFERROR(__xludf.DUMMYFUNCTION("""COMPUTED_VALUE"""),"uncommon")</f>
        <v>uncommon</v>
      </c>
      <c r="AE1090" s="49" t="str">
        <f>IFERROR(__xludf.DUMMYFUNCTION("""COMPUTED_VALUE"""),"suspected")</f>
        <v>suspected</v>
      </c>
      <c r="AF1090" s="49" t="str">
        <f t="shared" si="4"/>
        <v>burger,</v>
      </c>
      <c r="AG1090" s="49"/>
      <c r="AH1090" s="1" t="s">
        <v>1833</v>
      </c>
      <c r="AI1090" s="1" t="s">
        <v>3782</v>
      </c>
      <c r="AJ1090" s="6" t="str">
        <f>IFERROR(__xludf.DUMMYFUNCTION("""COMPUTED_VALUE"""),"boss")</f>
        <v>boss</v>
      </c>
      <c r="AK1090" s="49"/>
      <c r="AL1090" s="49"/>
      <c r="AM1090" s="49"/>
      <c r="AN1090" s="52" t="str">
        <f t="shared" si="5"/>
        <v>deep,</v>
      </c>
    </row>
    <row r="1091">
      <c r="A1091" s="51"/>
      <c r="B1091" s="50" t="s">
        <v>6986</v>
      </c>
      <c r="C1091" s="50" t="s">
        <v>6440</v>
      </c>
      <c r="D1091" s="49" t="str">
        <f>IFERROR(__xludf.DUMMYFUNCTION("""COMPUTED_VALUE"""),"allows")</f>
        <v>allows</v>
      </c>
      <c r="E1091" s="49"/>
      <c r="F1091" s="49"/>
      <c r="G1091" s="49"/>
      <c r="H1091" s="54" t="str">
        <f t="shared" si="1"/>
        <v>border,</v>
      </c>
      <c r="I1091" s="50"/>
      <c r="J1091" s="50" t="s">
        <v>2246</v>
      </c>
      <c r="K1091" s="50" t="s">
        <v>4031</v>
      </c>
      <c r="L1091" s="49" t="str">
        <f>IFERROR(__xludf.DUMMYFUNCTION("""COMPUTED_VALUE"""),"relative")</f>
        <v>relative</v>
      </c>
      <c r="M1091" s="49"/>
      <c r="N1091" s="49" t="str">
        <f>IFERROR(__xludf.DUMMYFUNCTION("""COMPUTED_VALUE"""),"abc")</f>
        <v>abc</v>
      </c>
      <c r="O1091" s="49" t="str">
        <f>IFERROR(__xludf.DUMMYFUNCTION("""COMPUTED_VALUE"""),"condition")</f>
        <v>condition</v>
      </c>
      <c r="P1091" s="49" t="str">
        <f t="shared" si="2"/>
        <v>honest,</v>
      </c>
      <c r="Q1091" s="49"/>
      <c r="R1091" s="50" t="s">
        <v>3532</v>
      </c>
      <c r="S1091" s="55" t="s">
        <v>5963</v>
      </c>
      <c r="T1091" s="49" t="str">
        <f>IFERROR(__xludf.DUMMYFUNCTION("""COMPUTED_VALUE"""),"laughter")</f>
        <v>laughter</v>
      </c>
      <c r="U1091" s="49"/>
      <c r="V1091" s="49"/>
      <c r="W1091" s="49" t="str">
        <f>IFERROR(__xludf.DUMMYFUNCTION("""COMPUTED_VALUE"""),"appropriated")</f>
        <v>appropriated</v>
      </c>
      <c r="X1091" s="49" t="str">
        <f t="shared" si="3"/>
        <v>adventure,</v>
      </c>
      <c r="Y1091" s="49"/>
      <c r="Z1091" s="1" t="s">
        <v>1032</v>
      </c>
      <c r="AA1091" s="1" t="s">
        <v>801</v>
      </c>
      <c r="AB1091" s="49"/>
      <c r="AC1091" s="49"/>
      <c r="AD1091" s="49" t="str">
        <f>IFERROR(__xludf.DUMMYFUNCTION("""COMPUTED_VALUE"""),"abc")</f>
        <v>abc</v>
      </c>
      <c r="AE1091" s="49" t="str">
        <f>IFERROR(__xludf.DUMMYFUNCTION("""COMPUTED_VALUE"""),"condition")</f>
        <v>condition</v>
      </c>
      <c r="AF1091" s="49" t="str">
        <f t="shared" si="4"/>
        <v>bottom,</v>
      </c>
      <c r="AG1091" s="49"/>
      <c r="AH1091" s="1" t="s">
        <v>6571</v>
      </c>
      <c r="AI1091" s="1" t="s">
        <v>2115</v>
      </c>
      <c r="AJ1091" s="6" t="str">
        <f>IFERROR(__xludf.DUMMYFUNCTION("""COMPUTED_VALUE"""),"smart")</f>
        <v>smart</v>
      </c>
      <c r="AK1091" s="49"/>
      <c r="AL1091" s="49"/>
      <c r="AM1091" s="49"/>
      <c r="AN1091" s="52" t="str">
        <f t="shared" si="5"/>
        <v>workers,</v>
      </c>
    </row>
    <row r="1092">
      <c r="A1092" s="51"/>
      <c r="B1092" s="50" t="s">
        <v>4343</v>
      </c>
      <c r="C1092" s="50" t="s">
        <v>6441</v>
      </c>
      <c r="D1092" s="49" t="str">
        <f>IFERROR(__xludf.DUMMYFUNCTION("""COMPUTED_VALUE"""),"americans")</f>
        <v>americans</v>
      </c>
      <c r="E1092" s="49"/>
      <c r="F1092" s="49"/>
      <c r="G1092" s="49"/>
      <c r="H1092" s="54" t="str">
        <f t="shared" si="1"/>
        <v>guns,</v>
      </c>
      <c r="I1092" s="50"/>
      <c r="J1092" s="50" t="s">
        <v>2544</v>
      </c>
      <c r="K1092" s="50" t="s">
        <v>2066</v>
      </c>
      <c r="L1092" s="49" t="str">
        <f>IFERROR(__xludf.DUMMYFUNCTION("""COMPUTED_VALUE"""),"glorious")</f>
        <v>glorious</v>
      </c>
      <c r="M1092" s="49"/>
      <c r="N1092" s="49" t="str">
        <f>IFERROR(__xludf.DUMMYFUNCTION("""COMPUTED_VALUE"""),"du")</f>
        <v>du</v>
      </c>
      <c r="O1092" s="49" t="str">
        <f>IFERROR(__xludf.DUMMYFUNCTION("""COMPUTED_VALUE"""),"sought")</f>
        <v>sought</v>
      </c>
      <c r="P1092" s="49" t="str">
        <f t="shared" si="2"/>
        <v>towards,</v>
      </c>
      <c r="Q1092" s="49"/>
      <c r="R1092" s="50" t="s">
        <v>5384</v>
      </c>
      <c r="S1092" s="55" t="s">
        <v>2045</v>
      </c>
      <c r="T1092" s="49" t="str">
        <f>IFERROR(__xludf.DUMMYFUNCTION("""COMPUTED_VALUE"""),"laughing")</f>
        <v>laughing</v>
      </c>
      <c r="U1092" s="49"/>
      <c r="V1092" s="49"/>
      <c r="W1092" s="49" t="str">
        <f>IFERROR(__xludf.DUMMYFUNCTION("""COMPUTED_VALUE"""),"birmingham")</f>
        <v>birmingham</v>
      </c>
      <c r="X1092" s="49" t="str">
        <f t="shared" si="3"/>
        <v>motivated,</v>
      </c>
      <c r="Y1092" s="49"/>
      <c r="Z1092" s="1" t="s">
        <v>357</v>
      </c>
      <c r="AA1092" s="1" t="s">
        <v>934</v>
      </c>
      <c r="AB1092" s="49"/>
      <c r="AC1092" s="49"/>
      <c r="AD1092" s="49" t="str">
        <f>IFERROR(__xludf.DUMMYFUNCTION("""COMPUTED_VALUE"""),"du")</f>
        <v>du</v>
      </c>
      <c r="AE1092" s="49" t="str">
        <f>IFERROR(__xludf.DUMMYFUNCTION("""COMPUTED_VALUE"""),"sought")</f>
        <v>sought</v>
      </c>
      <c r="AF1092" s="49" t="str">
        <f t="shared" si="4"/>
        <v>come,</v>
      </c>
      <c r="AG1092" s="49"/>
      <c r="AH1092" s="1" t="s">
        <v>3115</v>
      </c>
      <c r="AI1092" s="1" t="s">
        <v>144</v>
      </c>
      <c r="AJ1092" s="6" t="str">
        <f>IFERROR(__xludf.DUMMYFUNCTION("""COMPUTED_VALUE"""),"whenever")</f>
        <v>whenever</v>
      </c>
      <c r="AK1092" s="49"/>
      <c r="AL1092" s="49"/>
      <c r="AM1092" s="49"/>
      <c r="AN1092" s="52" t="str">
        <f t="shared" si="5"/>
        <v>hunter,</v>
      </c>
    </row>
    <row r="1093">
      <c r="A1093" s="51"/>
      <c r="B1093" s="50" t="s">
        <v>2409</v>
      </c>
      <c r="C1093" s="50" t="s">
        <v>3014</v>
      </c>
      <c r="D1093" s="49" t="str">
        <f>IFERROR(__xludf.DUMMYFUNCTION("""COMPUTED_VALUE"""),"renowned")</f>
        <v>renowned</v>
      </c>
      <c r="E1093" s="49"/>
      <c r="F1093" s="49"/>
      <c r="G1093" s="49"/>
      <c r="H1093" s="54" t="str">
        <f t="shared" si="1"/>
        <v>hoping,</v>
      </c>
      <c r="I1093" s="50"/>
      <c r="J1093" s="50" t="s">
        <v>6610</v>
      </c>
      <c r="K1093" s="50" t="s">
        <v>2624</v>
      </c>
      <c r="L1093" s="49" t="str">
        <f>IFERROR(__xludf.DUMMYFUNCTION("""COMPUTED_VALUE"""),"history")</f>
        <v>history</v>
      </c>
      <c r="M1093" s="49"/>
      <c r="N1093" s="49">
        <f>IFERROR(__xludf.DUMMYFUNCTION("""COMPUTED_VALUE"""),84.0)</f>
        <v>84</v>
      </c>
      <c r="O1093" s="49" t="str">
        <f>IFERROR(__xludf.DUMMYFUNCTION("""COMPUTED_VALUE"""),"superhero")</f>
        <v>superhero</v>
      </c>
      <c r="P1093" s="49" t="str">
        <f t="shared" si="2"/>
        <v>coffee,</v>
      </c>
      <c r="Q1093" s="49"/>
      <c r="R1093" s="50" t="s">
        <v>2955</v>
      </c>
      <c r="S1093" s="55" t="s">
        <v>1002</v>
      </c>
      <c r="T1093" s="49" t="str">
        <f>IFERROR(__xludf.DUMMYFUNCTION("""COMPUTED_VALUE"""),"finish")</f>
        <v>finish</v>
      </c>
      <c r="U1093" s="49"/>
      <c r="V1093" s="49"/>
      <c r="W1093" s="49" t="str">
        <f>IFERROR(__xludf.DUMMYFUNCTION("""COMPUTED_VALUE"""),"disagree")</f>
        <v>disagree</v>
      </c>
      <c r="X1093" s="49" t="str">
        <f t="shared" si="3"/>
        <v>solid,</v>
      </c>
      <c r="Y1093" s="49"/>
      <c r="Z1093" s="1" t="s">
        <v>2822</v>
      </c>
      <c r="AA1093" s="1" t="s">
        <v>2831</v>
      </c>
      <c r="AB1093" s="49"/>
      <c r="AC1093" s="49"/>
      <c r="AD1093" s="49">
        <f>IFERROR(__xludf.DUMMYFUNCTION("""COMPUTED_VALUE"""),84.0)</f>
        <v>84</v>
      </c>
      <c r="AE1093" s="49" t="str">
        <f>IFERROR(__xludf.DUMMYFUNCTION("""COMPUTED_VALUE"""),"superhero")</f>
        <v>superhero</v>
      </c>
      <c r="AF1093" s="49" t="str">
        <f t="shared" si="4"/>
        <v>self,</v>
      </c>
      <c r="AG1093" s="49"/>
      <c r="AH1093" s="1" t="s">
        <v>2044</v>
      </c>
      <c r="AI1093" s="1" t="s">
        <v>6444</v>
      </c>
      <c r="AJ1093" s="6" t="str">
        <f>IFERROR(__xludf.DUMMYFUNCTION("""COMPUTED_VALUE"""),"jennifer")</f>
        <v>jennifer</v>
      </c>
      <c r="AK1093" s="49"/>
      <c r="AL1093" s="49"/>
      <c r="AM1093" s="49"/>
      <c r="AN1093" s="52" t="str">
        <f t="shared" si="5"/>
        <v>thin,</v>
      </c>
    </row>
    <row r="1094">
      <c r="A1094" s="51"/>
      <c r="B1094" s="50" t="s">
        <v>3813</v>
      </c>
      <c r="C1094" s="50" t="s">
        <v>2100</v>
      </c>
      <c r="D1094" s="49" t="str">
        <f>IFERROR(__xludf.DUMMYFUNCTION("""COMPUTED_VALUE"""),"receive")</f>
        <v>receive</v>
      </c>
      <c r="E1094" s="49"/>
      <c r="F1094" s="49"/>
      <c r="G1094" s="49"/>
      <c r="H1094" s="54" t="str">
        <f t="shared" si="1"/>
        <v>ethnic,</v>
      </c>
      <c r="I1094" s="50"/>
      <c r="J1094" s="50" t="s">
        <v>1065</v>
      </c>
      <c r="K1094" s="50" t="s">
        <v>713</v>
      </c>
      <c r="L1094" s="49" t="str">
        <f>IFERROR(__xludf.DUMMYFUNCTION("""COMPUTED_VALUE"""),"dramatically")</f>
        <v>dramatically</v>
      </c>
      <c r="M1094" s="49"/>
      <c r="N1094" s="49" t="str">
        <f>IFERROR(__xludf.DUMMYFUNCTION("""COMPUTED_VALUE"""),"flawless")</f>
        <v>flawless</v>
      </c>
      <c r="O1094" s="49" t="str">
        <f>IFERROR(__xludf.DUMMYFUNCTION("""COMPUTED_VALUE"""),"intellect")</f>
        <v>intellect</v>
      </c>
      <c r="P1094" s="49" t="str">
        <f t="shared" si="2"/>
        <v>sensitive,</v>
      </c>
      <c r="Q1094" s="49"/>
      <c r="R1094" s="50" t="s">
        <v>5079</v>
      </c>
      <c r="S1094" s="55" t="s">
        <v>6445</v>
      </c>
      <c r="T1094" s="49" t="str">
        <f>IFERROR(__xludf.DUMMYFUNCTION("""COMPUTED_VALUE"""),"wander")</f>
        <v>wander</v>
      </c>
      <c r="U1094" s="49"/>
      <c r="V1094" s="49"/>
      <c r="W1094" s="49" t="str">
        <f>IFERROR(__xludf.DUMMYFUNCTION("""COMPUTED_VALUE"""),"expecting")</f>
        <v>expecting</v>
      </c>
      <c r="X1094" s="49" t="str">
        <f t="shared" si="3"/>
        <v>garcia,</v>
      </c>
      <c r="Y1094" s="49"/>
      <c r="Z1094" s="1" t="s">
        <v>4445</v>
      </c>
      <c r="AA1094" s="1" t="s">
        <v>4033</v>
      </c>
      <c r="AB1094" s="49"/>
      <c r="AC1094" s="49"/>
      <c r="AD1094" s="49" t="str">
        <f>IFERROR(__xludf.DUMMYFUNCTION("""COMPUTED_VALUE"""),"flawless")</f>
        <v>flawless</v>
      </c>
      <c r="AE1094" s="49" t="str">
        <f>IFERROR(__xludf.DUMMYFUNCTION("""COMPUTED_VALUE"""),"intellect")</f>
        <v>intellect</v>
      </c>
      <c r="AF1094" s="49" t="str">
        <f t="shared" si="4"/>
        <v>child,</v>
      </c>
      <c r="AG1094" s="49"/>
      <c r="AH1094" s="1" t="s">
        <v>935</v>
      </c>
      <c r="AI1094" s="1" t="s">
        <v>2757</v>
      </c>
      <c r="AJ1094" s="6" t="str">
        <f>IFERROR(__xludf.DUMMYFUNCTION("""COMPUTED_VALUE"""),"b")</f>
        <v>b</v>
      </c>
      <c r="AK1094" s="49"/>
      <c r="AL1094" s="49"/>
      <c r="AM1094" s="49"/>
      <c r="AN1094" s="52" t="str">
        <f t="shared" si="5"/>
        <v>soundtrack,</v>
      </c>
    </row>
    <row r="1095">
      <c r="A1095" s="51"/>
      <c r="B1095" s="50" t="s">
        <v>345</v>
      </c>
      <c r="C1095" s="50" t="s">
        <v>3027</v>
      </c>
      <c r="D1095" s="49" t="str">
        <f>IFERROR(__xludf.DUMMYFUNCTION("""COMPUTED_VALUE"""),"rarely")</f>
        <v>rarely</v>
      </c>
      <c r="E1095" s="49"/>
      <c r="F1095" s="49"/>
      <c r="G1095" s="49"/>
      <c r="H1095" s="54" t="str">
        <f t="shared" si="1"/>
        <v>essentially,</v>
      </c>
      <c r="I1095" s="50"/>
      <c r="J1095" s="50" t="s">
        <v>1427</v>
      </c>
      <c r="K1095" s="50" t="s">
        <v>4038</v>
      </c>
      <c r="L1095" s="49" t="str">
        <f>IFERROR(__xludf.DUMMYFUNCTION("""COMPUTED_VALUE"""),"resemble")</f>
        <v>resemble</v>
      </c>
      <c r="M1095" s="49"/>
      <c r="N1095" s="49" t="str">
        <f>IFERROR(__xludf.DUMMYFUNCTION("""COMPUTED_VALUE"""),"gen")</f>
        <v>gen</v>
      </c>
      <c r="O1095" s="49" t="str">
        <f>IFERROR(__xludf.DUMMYFUNCTION("""COMPUTED_VALUE"""),"ants")</f>
        <v>ants</v>
      </c>
      <c r="P1095" s="49" t="str">
        <f t="shared" si="2"/>
        <v>kicking,</v>
      </c>
      <c r="Q1095" s="49"/>
      <c r="R1095" s="50" t="s">
        <v>6350</v>
      </c>
      <c r="S1095" s="55" t="s">
        <v>1007</v>
      </c>
      <c r="T1095" s="49" t="str">
        <f>IFERROR(__xludf.DUMMYFUNCTION("""COMPUTED_VALUE"""),"selection")</f>
        <v>selection</v>
      </c>
      <c r="U1095" s="49"/>
      <c r="V1095" s="49"/>
      <c r="W1095" s="49" t="str">
        <f>IFERROR(__xludf.DUMMYFUNCTION("""COMPUTED_VALUE"""),"sensitivity")</f>
        <v>sensitivity</v>
      </c>
      <c r="X1095" s="49" t="str">
        <f t="shared" si="3"/>
        <v>easy,</v>
      </c>
      <c r="Y1095" s="49"/>
      <c r="Z1095" s="1" t="s">
        <v>6501</v>
      </c>
      <c r="AA1095" s="1" t="s">
        <v>4035</v>
      </c>
      <c r="AB1095" s="49"/>
      <c r="AC1095" s="49"/>
      <c r="AD1095" s="49" t="str">
        <f>IFERROR(__xludf.DUMMYFUNCTION("""COMPUTED_VALUE"""),"gen")</f>
        <v>gen</v>
      </c>
      <c r="AE1095" s="49" t="str">
        <f>IFERROR(__xludf.DUMMYFUNCTION("""COMPUTED_VALUE"""),"ants")</f>
        <v>ants</v>
      </c>
      <c r="AF1095" s="49" t="str">
        <f t="shared" si="4"/>
        <v>somewhere,</v>
      </c>
      <c r="AG1095" s="49"/>
      <c r="AH1095" s="1" t="s">
        <v>3015</v>
      </c>
      <c r="AI1095" s="1" t="s">
        <v>6446</v>
      </c>
      <c r="AJ1095" s="6" t="str">
        <f>IFERROR(__xludf.DUMMYFUNCTION("""COMPUTED_VALUE"""),"e")</f>
        <v>e</v>
      </c>
      <c r="AK1095" s="49"/>
      <c r="AL1095" s="49"/>
      <c r="AM1095" s="49"/>
      <c r="AN1095" s="52" t="str">
        <f t="shared" si="5"/>
        <v>wonderful,</v>
      </c>
    </row>
    <row r="1096">
      <c r="A1096" s="51"/>
      <c r="B1096" s="50" t="s">
        <v>2160</v>
      </c>
      <c r="C1096" s="50" t="s">
        <v>588</v>
      </c>
      <c r="D1096" s="49" t="str">
        <f>IFERROR(__xludf.DUMMYFUNCTION("""COMPUTED_VALUE"""),"professionals")</f>
        <v>professionals</v>
      </c>
      <c r="E1096" s="49"/>
      <c r="F1096" s="49"/>
      <c r="G1096" s="49"/>
      <c r="H1096" s="54" t="str">
        <f t="shared" si="1"/>
        <v>painful,</v>
      </c>
      <c r="I1096" s="50"/>
      <c r="J1096" s="50" t="s">
        <v>742</v>
      </c>
      <c r="K1096" s="50" t="s">
        <v>2423</v>
      </c>
      <c r="L1096" s="49" t="str">
        <f>IFERROR(__xludf.DUMMYFUNCTION("""COMPUTED_VALUE"""),"pre")</f>
        <v>pre</v>
      </c>
      <c r="M1096" s="49"/>
      <c r="N1096" s="49" t="str">
        <f>IFERROR(__xludf.DUMMYFUNCTION("""COMPUTED_VALUE"""),"pulling")</f>
        <v>pulling</v>
      </c>
      <c r="O1096" s="49" t="str">
        <f>IFERROR(__xludf.DUMMYFUNCTION("""COMPUTED_VALUE"""),"kissing")</f>
        <v>kissing</v>
      </c>
      <c r="P1096" s="49" t="str">
        <f t="shared" si="2"/>
        <v>miss,</v>
      </c>
      <c r="Q1096" s="49"/>
      <c r="R1096" s="50" t="s">
        <v>4808</v>
      </c>
      <c r="S1096" s="55" t="s">
        <v>2266</v>
      </c>
      <c r="T1096" s="49" t="str">
        <f>IFERROR(__xludf.DUMMYFUNCTION("""COMPUTED_VALUE"""),"surely")</f>
        <v>surely</v>
      </c>
      <c r="U1096" s="49"/>
      <c r="V1096" s="49"/>
      <c r="W1096" s="49" t="str">
        <f>IFERROR(__xludf.DUMMYFUNCTION("""COMPUTED_VALUE"""),"shoots")</f>
        <v>shoots</v>
      </c>
      <c r="X1096" s="49" t="str">
        <f t="shared" si="3"/>
        <v>recycling,</v>
      </c>
      <c r="Y1096" s="49"/>
      <c r="Z1096" s="1" t="s">
        <v>876</v>
      </c>
      <c r="AA1096" s="1" t="s">
        <v>4039</v>
      </c>
      <c r="AB1096" s="49"/>
      <c r="AC1096" s="49"/>
      <c r="AD1096" s="49" t="str">
        <f>IFERROR(__xludf.DUMMYFUNCTION("""COMPUTED_VALUE"""),"pulling")</f>
        <v>pulling</v>
      </c>
      <c r="AE1096" s="49" t="str">
        <f>IFERROR(__xludf.DUMMYFUNCTION("""COMPUTED_VALUE"""),"kissing")</f>
        <v>kissing</v>
      </c>
      <c r="AF1096" s="49" t="str">
        <f t="shared" si="4"/>
        <v>wearing,</v>
      </c>
      <c r="AG1096" s="49"/>
      <c r="AH1096" s="1" t="s">
        <v>3550</v>
      </c>
      <c r="AI1096" s="1" t="s">
        <v>1233</v>
      </c>
      <c r="AJ1096" s="6" t="str">
        <f>IFERROR(__xludf.DUMMYFUNCTION("""COMPUTED_VALUE"""),"again")</f>
        <v>again</v>
      </c>
      <c r="AK1096" s="49"/>
      <c r="AL1096" s="49"/>
      <c r="AM1096" s="49"/>
      <c r="AN1096" s="52" t="str">
        <f t="shared" si="5"/>
        <v>lion,</v>
      </c>
    </row>
    <row r="1097">
      <c r="A1097" s="51"/>
      <c r="B1097" s="50" t="s">
        <v>1258</v>
      </c>
      <c r="C1097" s="50" t="s">
        <v>3033</v>
      </c>
      <c r="D1097" s="49" t="str">
        <f>IFERROR(__xludf.DUMMYFUNCTION("""COMPUTED_VALUE"""),"surprised")</f>
        <v>surprised</v>
      </c>
      <c r="E1097" s="49"/>
      <c r="F1097" s="49"/>
      <c r="G1097" s="49"/>
      <c r="H1097" s="54" t="str">
        <f t="shared" si="1"/>
        <v>known,</v>
      </c>
      <c r="I1097" s="50"/>
      <c r="J1097" s="50" t="s">
        <v>1125</v>
      </c>
      <c r="K1097" s="50" t="s">
        <v>4043</v>
      </c>
      <c r="L1097" s="49" t="str">
        <f>IFERROR(__xludf.DUMMYFUNCTION("""COMPUTED_VALUE"""),"unnamed")</f>
        <v>unnamed</v>
      </c>
      <c r="M1097" s="49"/>
      <c r="N1097" s="49">
        <f>IFERROR(__xludf.DUMMYFUNCTION("""COMPUTED_VALUE"""),91.0)</f>
        <v>91</v>
      </c>
      <c r="O1097" s="49" t="str">
        <f>IFERROR(__xludf.DUMMYFUNCTION("""COMPUTED_VALUE"""),"stuffing")</f>
        <v>stuffing</v>
      </c>
      <c r="P1097" s="49" t="str">
        <f t="shared" si="2"/>
        <v>tenth,</v>
      </c>
      <c r="Q1097" s="49"/>
      <c r="R1097" s="50" t="s">
        <v>799</v>
      </c>
      <c r="S1097" s="55" t="s">
        <v>2271</v>
      </c>
      <c r="T1097" s="49" t="str">
        <f>IFERROR(__xludf.DUMMYFUNCTION("""COMPUTED_VALUE"""),"embarrassment")</f>
        <v>embarrassment</v>
      </c>
      <c r="U1097" s="49"/>
      <c r="V1097" s="49"/>
      <c r="W1097" s="49" t="str">
        <f>IFERROR(__xludf.DUMMYFUNCTION("""COMPUTED_VALUE"""),"utilizing")</f>
        <v>utilizing</v>
      </c>
      <c r="X1097" s="49" t="str">
        <f t="shared" si="3"/>
        <v>n,</v>
      </c>
      <c r="Y1097" s="49"/>
      <c r="Z1097" s="1" t="s">
        <v>3006</v>
      </c>
      <c r="AA1097" s="1" t="s">
        <v>2692</v>
      </c>
      <c r="AB1097" s="49"/>
      <c r="AC1097" s="49"/>
      <c r="AD1097" s="49">
        <f>IFERROR(__xludf.DUMMYFUNCTION("""COMPUTED_VALUE"""),91.0)</f>
        <v>91</v>
      </c>
      <c r="AE1097" s="49" t="str">
        <f>IFERROR(__xludf.DUMMYFUNCTION("""COMPUTED_VALUE"""),"stuffing")</f>
        <v>stuffing</v>
      </c>
      <c r="AF1097" s="49" t="str">
        <f t="shared" si="4"/>
        <v>wild,</v>
      </c>
      <c r="AG1097" s="49"/>
      <c r="AH1097" s="1" t="s">
        <v>94</v>
      </c>
      <c r="AI1097" s="1" t="s">
        <v>2152</v>
      </c>
      <c r="AJ1097" s="6" t="str">
        <f>IFERROR(__xludf.DUMMYFUNCTION("""COMPUTED_VALUE"""),"father")</f>
        <v>father</v>
      </c>
      <c r="AK1097" s="49"/>
      <c r="AL1097" s="49"/>
      <c r="AM1097" s="49"/>
      <c r="AN1097" s="52" t="str">
        <f t="shared" si="5"/>
        <v>let,</v>
      </c>
    </row>
    <row r="1098">
      <c r="A1098" s="51"/>
      <c r="B1098" s="50" t="s">
        <v>2404</v>
      </c>
      <c r="C1098" s="50" t="s">
        <v>1146</v>
      </c>
      <c r="D1098" s="49" t="str">
        <f>IFERROR(__xludf.DUMMYFUNCTION("""COMPUTED_VALUE"""),"enjoyed")</f>
        <v>enjoyed</v>
      </c>
      <c r="E1098" s="49"/>
      <c r="F1098" s="49"/>
      <c r="G1098" s="49"/>
      <c r="H1098" s="54" t="str">
        <f t="shared" si="1"/>
        <v>needs,</v>
      </c>
      <c r="I1098" s="50"/>
      <c r="J1098" s="50" t="s">
        <v>1719</v>
      </c>
      <c r="K1098" s="50" t="s">
        <v>4045</v>
      </c>
      <c r="L1098" s="49" t="str">
        <f>IFERROR(__xludf.DUMMYFUNCTION("""COMPUTED_VALUE"""),"share")</f>
        <v>share</v>
      </c>
      <c r="M1098" s="49"/>
      <c r="N1098" s="49">
        <f>IFERROR(__xludf.DUMMYFUNCTION("""COMPUTED_VALUE"""),88.0)</f>
        <v>88</v>
      </c>
      <c r="O1098" s="49" t="str">
        <f>IFERROR(__xludf.DUMMYFUNCTION("""COMPUTED_VALUE"""),"defiance")</f>
        <v>defiance</v>
      </c>
      <c r="P1098" s="49" t="str">
        <f t="shared" si="2"/>
        <v>return,</v>
      </c>
      <c r="Q1098" s="49"/>
      <c r="R1098" s="50" t="s">
        <v>1353</v>
      </c>
      <c r="S1098" s="55" t="s">
        <v>3774</v>
      </c>
      <c r="T1098" s="49" t="str">
        <f>IFERROR(__xludf.DUMMYFUNCTION("""COMPUTED_VALUE"""),"naturally")</f>
        <v>naturally</v>
      </c>
      <c r="U1098" s="49"/>
      <c r="V1098" s="49"/>
      <c r="W1098" s="49" t="str">
        <f>IFERROR(__xludf.DUMMYFUNCTION("""COMPUTED_VALUE"""),"possibly")</f>
        <v>possibly</v>
      </c>
      <c r="X1098" s="49" t="str">
        <f t="shared" si="3"/>
        <v>water,</v>
      </c>
      <c r="Y1098" s="49"/>
      <c r="Z1098" s="1" t="s">
        <v>6300</v>
      </c>
      <c r="AA1098" s="1" t="s">
        <v>2700</v>
      </c>
      <c r="AB1098" s="49"/>
      <c r="AC1098" s="49"/>
      <c r="AD1098" s="49">
        <f>IFERROR(__xludf.DUMMYFUNCTION("""COMPUTED_VALUE"""),88.0)</f>
        <v>88</v>
      </c>
      <c r="AE1098" s="49" t="str">
        <f>IFERROR(__xludf.DUMMYFUNCTION("""COMPUTED_VALUE"""),"defiance")</f>
        <v>defiance</v>
      </c>
      <c r="AF1098" s="49" t="str">
        <f t="shared" si="4"/>
        <v>talented,</v>
      </c>
      <c r="AG1098" s="49"/>
      <c r="AH1098" s="1" t="s">
        <v>578</v>
      </c>
      <c r="AI1098" s="1" t="s">
        <v>3579</v>
      </c>
      <c r="AJ1098" s="6" t="str">
        <f>IFERROR(__xludf.DUMMYFUNCTION("""COMPUTED_VALUE"""),"once")</f>
        <v>once</v>
      </c>
      <c r="AK1098" s="49"/>
      <c r="AL1098" s="49"/>
      <c r="AM1098" s="49"/>
      <c r="AN1098" s="52" t="str">
        <f t="shared" si="5"/>
        <v>knew,</v>
      </c>
    </row>
    <row r="1099">
      <c r="A1099" s="51"/>
      <c r="B1099" s="50" t="s">
        <v>4303</v>
      </c>
      <c r="C1099" s="50" t="s">
        <v>420</v>
      </c>
      <c r="D1099" s="49" t="str">
        <f>IFERROR(__xludf.DUMMYFUNCTION("""COMPUTED_VALUE"""),"locations")</f>
        <v>locations</v>
      </c>
      <c r="E1099" s="49"/>
      <c r="F1099" s="49"/>
      <c r="G1099" s="49"/>
      <c r="H1099" s="54" t="str">
        <f t="shared" si="1"/>
        <v>traffic,</v>
      </c>
      <c r="I1099" s="50"/>
      <c r="J1099" s="50" t="s">
        <v>5581</v>
      </c>
      <c r="K1099" s="50" t="s">
        <v>2414</v>
      </c>
      <c r="L1099" s="49" t="str">
        <f>IFERROR(__xludf.DUMMYFUNCTION("""COMPUTED_VALUE"""),"territory")</f>
        <v>territory</v>
      </c>
      <c r="M1099" s="49"/>
      <c r="N1099" s="49" t="str">
        <f>IFERROR(__xludf.DUMMYFUNCTION("""COMPUTED_VALUE"""),"el")</f>
        <v>el</v>
      </c>
      <c r="O1099" s="49" t="str">
        <f>IFERROR(__xludf.DUMMYFUNCTION("""COMPUTED_VALUE"""),"pollution")</f>
        <v>pollution</v>
      </c>
      <c r="P1099" s="49" t="str">
        <f t="shared" si="2"/>
        <v>angel,</v>
      </c>
      <c r="Q1099" s="49"/>
      <c r="R1099" s="50" t="s">
        <v>2866</v>
      </c>
      <c r="S1099" s="55" t="s">
        <v>170</v>
      </c>
      <c r="T1099" s="49" t="str">
        <f>IFERROR(__xludf.DUMMYFUNCTION("""COMPUTED_VALUE"""),"outside")</f>
        <v>outside</v>
      </c>
      <c r="U1099" s="49"/>
      <c r="V1099" s="49"/>
      <c r="W1099" s="49" t="str">
        <f>IFERROR(__xludf.DUMMYFUNCTION("""COMPUTED_VALUE"""),"aspirations")</f>
        <v>aspirations</v>
      </c>
      <c r="X1099" s="49" t="str">
        <f t="shared" si="3"/>
        <v>serve,</v>
      </c>
      <c r="Y1099" s="49"/>
      <c r="Z1099" s="1" t="s">
        <v>905</v>
      </c>
      <c r="AA1099" s="1" t="s">
        <v>4046</v>
      </c>
      <c r="AB1099" s="49"/>
      <c r="AC1099" s="49"/>
      <c r="AD1099" s="49" t="str">
        <f>IFERROR(__xludf.DUMMYFUNCTION("""COMPUTED_VALUE"""),"el")</f>
        <v>el</v>
      </c>
      <c r="AE1099" s="49" t="str">
        <f>IFERROR(__xludf.DUMMYFUNCTION("""COMPUTED_VALUE"""),"pollution")</f>
        <v>pollution</v>
      </c>
      <c r="AF1099" s="49" t="str">
        <f t="shared" si="4"/>
        <v>noir,</v>
      </c>
      <c r="AG1099" s="49"/>
      <c r="AH1099" s="1" t="s">
        <v>1283</v>
      </c>
      <c r="AI1099" s="1" t="s">
        <v>6423</v>
      </c>
      <c r="AJ1099" s="6" t="str">
        <f>IFERROR(__xludf.DUMMYFUNCTION("""COMPUTED_VALUE"""),"son")</f>
        <v>son</v>
      </c>
      <c r="AK1099" s="49"/>
      <c r="AL1099" s="49"/>
      <c r="AM1099" s="49"/>
      <c r="AN1099" s="52" t="str">
        <f t="shared" si="5"/>
        <v>give,</v>
      </c>
    </row>
    <row r="1100">
      <c r="A1100" s="51"/>
      <c r="B1100" s="50" t="s">
        <v>6384</v>
      </c>
      <c r="C1100" s="50" t="s">
        <v>6442</v>
      </c>
      <c r="D1100" s="49" t="str">
        <f>IFERROR(__xludf.DUMMYFUNCTION("""COMPUTED_VALUE"""),"introduction")</f>
        <v>introduction</v>
      </c>
      <c r="E1100" s="49"/>
      <c r="F1100" s="49"/>
      <c r="G1100" s="49"/>
      <c r="H1100" s="54" t="str">
        <f t="shared" si="1"/>
        <v>slow,</v>
      </c>
      <c r="I1100" s="50"/>
      <c r="J1100" s="50" t="s">
        <v>6622</v>
      </c>
      <c r="K1100" s="50" t="s">
        <v>1857</v>
      </c>
      <c r="L1100" s="49" t="str">
        <f>IFERROR(__xludf.DUMMYFUNCTION("""COMPUTED_VALUE"""),"interaction")</f>
        <v>interaction</v>
      </c>
      <c r="M1100" s="49"/>
      <c r="N1100" s="49" t="str">
        <f>IFERROR(__xludf.DUMMYFUNCTION("""COMPUTED_VALUE"""),"tub")</f>
        <v>tub</v>
      </c>
      <c r="O1100" s="49" t="str">
        <f>IFERROR(__xludf.DUMMYFUNCTION("""COMPUTED_VALUE"""),"donna")</f>
        <v>donna</v>
      </c>
      <c r="P1100" s="49" t="str">
        <f t="shared" si="2"/>
        <v>heaven,</v>
      </c>
      <c r="Q1100" s="49"/>
      <c r="R1100" s="50" t="s">
        <v>225</v>
      </c>
      <c r="S1100" s="55" t="s">
        <v>3780</v>
      </c>
      <c r="T1100" s="49" t="str">
        <f>IFERROR(__xludf.DUMMYFUNCTION("""COMPUTED_VALUE"""),"recipe")</f>
        <v>recipe</v>
      </c>
      <c r="U1100" s="49"/>
      <c r="V1100" s="49"/>
      <c r="W1100" s="49" t="str">
        <f>IFERROR(__xludf.DUMMYFUNCTION("""COMPUTED_VALUE"""),"conservative")</f>
        <v>conservative</v>
      </c>
      <c r="X1100" s="49" t="str">
        <f t="shared" si="3"/>
        <v>viewers,</v>
      </c>
      <c r="Y1100" s="49"/>
      <c r="Z1100" s="1" t="s">
        <v>2879</v>
      </c>
      <c r="AA1100" s="1" t="s">
        <v>2851</v>
      </c>
      <c r="AB1100" s="49"/>
      <c r="AC1100" s="49"/>
      <c r="AD1100" s="49" t="str">
        <f>IFERROR(__xludf.DUMMYFUNCTION("""COMPUTED_VALUE"""),"tub")</f>
        <v>tub</v>
      </c>
      <c r="AE1100" s="49" t="str">
        <f>IFERROR(__xludf.DUMMYFUNCTION("""COMPUTED_VALUE"""),"donna")</f>
        <v>donna</v>
      </c>
      <c r="AF1100" s="49" t="str">
        <f t="shared" si="4"/>
        <v>directors,</v>
      </c>
      <c r="AG1100" s="49"/>
      <c r="AH1100" s="1" t="s">
        <v>6340</v>
      </c>
      <c r="AI1100" s="1" t="s">
        <v>6424</v>
      </c>
      <c r="AJ1100" s="6" t="str">
        <f>IFERROR(__xludf.DUMMYFUNCTION("""COMPUTED_VALUE"""),"voice")</f>
        <v>voice</v>
      </c>
      <c r="AK1100" s="49"/>
      <c r="AL1100" s="49"/>
      <c r="AM1100" s="49"/>
      <c r="AN1100" s="52" t="str">
        <f t="shared" si="5"/>
        <v>professional,</v>
      </c>
    </row>
    <row r="1101">
      <c r="A1101" s="51"/>
      <c r="B1101" s="50" t="s">
        <v>3236</v>
      </c>
      <c r="C1101" s="50" t="s">
        <v>2130</v>
      </c>
      <c r="D1101" s="49" t="str">
        <f>IFERROR(__xludf.DUMMYFUNCTION("""COMPUTED_VALUE"""),"parade")</f>
        <v>parade</v>
      </c>
      <c r="E1101" s="49"/>
      <c r="F1101" s="49"/>
      <c r="G1101" s="49"/>
      <c r="H1101" s="54" t="str">
        <f t="shared" si="1"/>
        <v>critical,</v>
      </c>
      <c r="I1101" s="50"/>
      <c r="J1101" s="50" t="s">
        <v>6767</v>
      </c>
      <c r="K1101" s="50" t="s">
        <v>2430</v>
      </c>
      <c r="L1101" s="49" t="str">
        <f>IFERROR(__xludf.DUMMYFUNCTION("""COMPUTED_VALUE"""),"crisp")</f>
        <v>crisp</v>
      </c>
      <c r="M1101" s="49"/>
      <c r="N1101" s="49" t="str">
        <f>IFERROR(__xludf.DUMMYFUNCTION("""COMPUTED_VALUE"""),"pains")</f>
        <v>pains</v>
      </c>
      <c r="O1101" s="49" t="str">
        <f>IFERROR(__xludf.DUMMYFUNCTION("""COMPUTED_VALUE"""),"chief")</f>
        <v>chief</v>
      </c>
      <c r="P1101" s="49" t="str">
        <f t="shared" si="2"/>
        <v>super,</v>
      </c>
      <c r="Q1101" s="49"/>
      <c r="R1101" s="50" t="s">
        <v>1818</v>
      </c>
      <c r="S1101" s="55" t="s">
        <v>1024</v>
      </c>
      <c r="T1101" s="49" t="str">
        <f>IFERROR(__xludf.DUMMYFUNCTION("""COMPUTED_VALUE"""),"pardon")</f>
        <v>pardon</v>
      </c>
      <c r="U1101" s="49"/>
      <c r="V1101" s="49"/>
      <c r="W1101" s="49" t="str">
        <f>IFERROR(__xludf.DUMMYFUNCTION("""COMPUTED_VALUE"""),"privy")</f>
        <v>privy</v>
      </c>
      <c r="X1101" s="49" t="str">
        <f t="shared" si="3"/>
        <v>color,</v>
      </c>
      <c r="Y1101" s="49"/>
      <c r="Z1101" s="1" t="s">
        <v>4024</v>
      </c>
      <c r="AA1101" s="1" t="s">
        <v>2853</v>
      </c>
      <c r="AB1101" s="49"/>
      <c r="AC1101" s="49"/>
      <c r="AD1101" s="49" t="str">
        <f>IFERROR(__xludf.DUMMYFUNCTION("""COMPUTED_VALUE"""),"pains")</f>
        <v>pains</v>
      </c>
      <c r="AE1101" s="49" t="str">
        <f>IFERROR(__xludf.DUMMYFUNCTION("""COMPUTED_VALUE"""),"chief")</f>
        <v>chief</v>
      </c>
      <c r="AF1101" s="49" t="str">
        <f t="shared" si="4"/>
        <v>particular,</v>
      </c>
      <c r="AG1101" s="49"/>
      <c r="AH1101" s="1" t="s">
        <v>2063</v>
      </c>
      <c r="AI1101" s="1" t="s">
        <v>3200</v>
      </c>
      <c r="AJ1101" s="6" t="str">
        <f>IFERROR(__xludf.DUMMYFUNCTION("""COMPUTED_VALUE"""),"class")</f>
        <v>class</v>
      </c>
      <c r="AK1101" s="49"/>
      <c r="AL1101" s="49"/>
      <c r="AM1101" s="49"/>
      <c r="AN1101" s="52" t="str">
        <f t="shared" si="5"/>
        <v>friends,</v>
      </c>
    </row>
    <row r="1102">
      <c r="A1102" s="51"/>
      <c r="B1102" s="50" t="s">
        <v>4007</v>
      </c>
      <c r="C1102" s="50" t="s">
        <v>3782</v>
      </c>
      <c r="D1102" s="49" t="str">
        <f>IFERROR(__xludf.DUMMYFUNCTION("""COMPUTED_VALUE"""),"offer")</f>
        <v>offer</v>
      </c>
      <c r="E1102" s="49"/>
      <c r="F1102" s="49"/>
      <c r="G1102" s="49"/>
      <c r="H1102" s="54" t="str">
        <f t="shared" si="1"/>
        <v>condition,</v>
      </c>
      <c r="I1102" s="50"/>
      <c r="J1102" s="50" t="s">
        <v>4463</v>
      </c>
      <c r="K1102" s="50" t="s">
        <v>4051</v>
      </c>
      <c r="L1102" s="49" t="str">
        <f>IFERROR(__xludf.DUMMYFUNCTION("""COMPUTED_VALUE"""),"plotting")</f>
        <v>plotting</v>
      </c>
      <c r="M1102" s="49"/>
      <c r="N1102" s="49" t="str">
        <f>IFERROR(__xludf.DUMMYFUNCTION("""COMPUTED_VALUE"""),"satisfying")</f>
        <v>satisfying</v>
      </c>
      <c r="O1102" s="49" t="str">
        <f>IFERROR(__xludf.DUMMYFUNCTION("""COMPUTED_VALUE"""),"impress")</f>
        <v>impress</v>
      </c>
      <c r="P1102" s="49" t="str">
        <f t="shared" si="2"/>
        <v>paul,</v>
      </c>
      <c r="Q1102" s="49"/>
      <c r="R1102" s="50" t="s">
        <v>1303</v>
      </c>
      <c r="S1102" s="55" t="s">
        <v>1014</v>
      </c>
      <c r="T1102" s="49" t="str">
        <f>IFERROR(__xludf.DUMMYFUNCTION("""COMPUTED_VALUE"""),"further")</f>
        <v>further</v>
      </c>
      <c r="U1102" s="49"/>
      <c r="V1102" s="49"/>
      <c r="W1102" s="49" t="str">
        <f>IFERROR(__xludf.DUMMYFUNCTION("""COMPUTED_VALUE"""),"superhero")</f>
        <v>superhero</v>
      </c>
      <c r="X1102" s="49" t="str">
        <f t="shared" si="3"/>
        <v>forgotten,</v>
      </c>
      <c r="Y1102" s="49"/>
      <c r="Z1102" s="1" t="s">
        <v>2189</v>
      </c>
      <c r="AA1102" s="1" t="s">
        <v>4049</v>
      </c>
      <c r="AB1102" s="49"/>
      <c r="AC1102" s="49"/>
      <c r="AD1102" s="49" t="str">
        <f>IFERROR(__xludf.DUMMYFUNCTION("""COMPUTED_VALUE"""),"satisfying")</f>
        <v>satisfying</v>
      </c>
      <c r="AE1102" s="49" t="str">
        <f>IFERROR(__xludf.DUMMYFUNCTION("""COMPUTED_VALUE"""),"impress")</f>
        <v>impress</v>
      </c>
      <c r="AF1102" s="49" t="str">
        <f t="shared" si="4"/>
        <v>instead,</v>
      </c>
      <c r="AG1102" s="49"/>
      <c r="AH1102" s="1" t="s">
        <v>6418</v>
      </c>
      <c r="AI1102" s="1" t="s">
        <v>615</v>
      </c>
      <c r="AJ1102" s="6" t="str">
        <f>IFERROR(__xludf.DUMMYFUNCTION("""COMPUTED_VALUE"""),"read")</f>
        <v>read</v>
      </c>
      <c r="AK1102" s="49"/>
      <c r="AL1102" s="49"/>
      <c r="AM1102" s="49"/>
      <c r="AN1102" s="52" t="str">
        <f t="shared" si="5"/>
        <v>perfect,</v>
      </c>
    </row>
    <row r="1103">
      <c r="A1103" s="51"/>
      <c r="B1103" s="50" t="s">
        <v>5964</v>
      </c>
      <c r="C1103" s="50" t="s">
        <v>2115</v>
      </c>
      <c r="D1103" s="49" t="str">
        <f>IFERROR(__xludf.DUMMYFUNCTION("""COMPUTED_VALUE"""),"forcing")</f>
        <v>forcing</v>
      </c>
      <c r="E1103" s="49"/>
      <c r="F1103" s="49"/>
      <c r="G1103" s="49"/>
      <c r="H1103" s="54" t="str">
        <f t="shared" si="1"/>
        <v>hey,</v>
      </c>
      <c r="I1103" s="50"/>
      <c r="J1103" s="50" t="s">
        <v>3608</v>
      </c>
      <c r="K1103" s="50" t="s">
        <v>586</v>
      </c>
      <c r="L1103" s="49" t="str">
        <f>IFERROR(__xludf.DUMMYFUNCTION("""COMPUTED_VALUE"""),"map")</f>
        <v>map</v>
      </c>
      <c r="M1103" s="49"/>
      <c r="N1103" s="49" t="str">
        <f>IFERROR(__xludf.DUMMYFUNCTION("""COMPUTED_VALUE"""),"corporate")</f>
        <v>corporate</v>
      </c>
      <c r="O1103" s="49" t="str">
        <f>IFERROR(__xludf.DUMMYFUNCTION("""COMPUTED_VALUE"""),"ne")</f>
        <v>ne</v>
      </c>
      <c r="P1103" s="49" t="str">
        <f t="shared" si="2"/>
        <v>possibilities,</v>
      </c>
      <c r="Q1103" s="49"/>
      <c r="R1103" s="50" t="s">
        <v>6866</v>
      </c>
      <c r="S1103" s="55" t="s">
        <v>2268</v>
      </c>
      <c r="T1103" s="49" t="str">
        <f>IFERROR(__xludf.DUMMYFUNCTION("""COMPUTED_VALUE"""),"spreads")</f>
        <v>spreads</v>
      </c>
      <c r="U1103" s="49"/>
      <c r="V1103" s="49"/>
      <c r="W1103" s="49" t="str">
        <f>IFERROR(__xludf.DUMMYFUNCTION("""COMPUTED_VALUE"""),"intellect")</f>
        <v>intellect</v>
      </c>
      <c r="X1103" s="49" t="str">
        <f t="shared" si="3"/>
        <v>trail,</v>
      </c>
      <c r="Y1103" s="49"/>
      <c r="Z1103" s="1" t="s">
        <v>4434</v>
      </c>
      <c r="AA1103" s="1" t="s">
        <v>1451</v>
      </c>
      <c r="AB1103" s="49"/>
      <c r="AC1103" s="49"/>
      <c r="AD1103" s="49" t="str">
        <f>IFERROR(__xludf.DUMMYFUNCTION("""COMPUTED_VALUE"""),"corporate")</f>
        <v>corporate</v>
      </c>
      <c r="AE1103" s="49" t="str">
        <f>IFERROR(__xludf.DUMMYFUNCTION("""COMPUTED_VALUE"""),"ne")</f>
        <v>ne</v>
      </c>
      <c r="AF1103" s="49" t="str">
        <f t="shared" si="4"/>
        <v>damage,</v>
      </c>
      <c r="AG1103" s="49"/>
      <c r="AH1103" s="1" t="s">
        <v>2921</v>
      </c>
      <c r="AI1103" s="1" t="s">
        <v>2137</v>
      </c>
      <c r="AJ1103" s="6" t="str">
        <f>IFERROR(__xludf.DUMMYFUNCTION("""COMPUTED_VALUE"""),"understand")</f>
        <v>understand</v>
      </c>
      <c r="AK1103" s="49"/>
      <c r="AL1103" s="49"/>
      <c r="AM1103" s="49"/>
      <c r="AN1103" s="52" t="str">
        <f t="shared" si="5"/>
        <v>wants,</v>
      </c>
    </row>
    <row r="1104">
      <c r="A1104" s="51"/>
      <c r="B1104" s="50" t="s">
        <v>2952</v>
      </c>
      <c r="C1104" s="50" t="s">
        <v>144</v>
      </c>
      <c r="D1104" s="49" t="str">
        <f>IFERROR(__xludf.DUMMYFUNCTION("""COMPUTED_VALUE"""),"marvel")</f>
        <v>marvel</v>
      </c>
      <c r="E1104" s="49"/>
      <c r="F1104" s="49"/>
      <c r="G1104" s="49"/>
      <c r="H1104" s="54" t="str">
        <f t="shared" si="1"/>
        <v>friday,</v>
      </c>
      <c r="I1104" s="50"/>
      <c r="J1104" s="50" t="s">
        <v>4484</v>
      </c>
      <c r="K1104" s="50" t="s">
        <v>2421</v>
      </c>
      <c r="L1104" s="49" t="str">
        <f>IFERROR(__xludf.DUMMYFUNCTION("""COMPUTED_VALUE"""),"ladder")</f>
        <v>ladder</v>
      </c>
      <c r="M1104" s="49"/>
      <c r="N1104" s="49" t="str">
        <f>IFERROR(__xludf.DUMMYFUNCTION("""COMPUTED_VALUE"""),"definite")</f>
        <v>definite</v>
      </c>
      <c r="O1104" s="49" t="str">
        <f>IFERROR(__xludf.DUMMYFUNCTION("""COMPUTED_VALUE"""),"solutions")</f>
        <v>solutions</v>
      </c>
      <c r="P1104" s="49" t="str">
        <f t="shared" si="2"/>
        <v>research,</v>
      </c>
      <c r="Q1104" s="49"/>
      <c r="R1104" s="50" t="s">
        <v>7111</v>
      </c>
      <c r="S1104" s="55" t="s">
        <v>3259</v>
      </c>
      <c r="T1104" s="49" t="str">
        <f>IFERROR(__xludf.DUMMYFUNCTION("""COMPUTED_VALUE"""),"heroes")</f>
        <v>heroes</v>
      </c>
      <c r="U1104" s="49"/>
      <c r="V1104" s="49"/>
      <c r="W1104" s="49" t="str">
        <f>IFERROR(__xludf.DUMMYFUNCTION("""COMPUTED_VALUE"""),"simultaneously")</f>
        <v>simultaneously</v>
      </c>
      <c r="X1104" s="49" t="str">
        <f t="shared" si="3"/>
        <v>pet,</v>
      </c>
      <c r="Y1104" s="49"/>
      <c r="Z1104" s="1" t="s">
        <v>4223</v>
      </c>
      <c r="AA1104" s="1" t="s">
        <v>4053</v>
      </c>
      <c r="AB1104" s="49"/>
      <c r="AC1104" s="49"/>
      <c r="AD1104" s="49" t="str">
        <f>IFERROR(__xludf.DUMMYFUNCTION("""COMPUTED_VALUE"""),"definite")</f>
        <v>definite</v>
      </c>
      <c r="AE1104" s="49" t="str">
        <f>IFERROR(__xludf.DUMMYFUNCTION("""COMPUTED_VALUE"""),"solutions")</f>
        <v>solutions</v>
      </c>
      <c r="AF1104" s="49" t="str">
        <f t="shared" si="4"/>
        <v>mention,</v>
      </c>
      <c r="AG1104" s="49"/>
      <c r="AH1104" s="1" t="s">
        <v>6723</v>
      </c>
      <c r="AI1104" s="1" t="s">
        <v>5545</v>
      </c>
      <c r="AJ1104" s="6" t="str">
        <f>IFERROR(__xludf.DUMMYFUNCTION("""COMPUTED_VALUE"""),"allow")</f>
        <v>allow</v>
      </c>
      <c r="AK1104" s="49"/>
      <c r="AL1104" s="49"/>
      <c r="AM1104" s="49"/>
      <c r="AN1104" s="52" t="str">
        <f t="shared" si="5"/>
        <v>kate,</v>
      </c>
    </row>
    <row r="1105">
      <c r="A1105" s="51"/>
      <c r="B1105" s="50" t="s">
        <v>3773</v>
      </c>
      <c r="C1105" s="50" t="s">
        <v>6444</v>
      </c>
      <c r="D1105" s="49" t="str">
        <f>IFERROR(__xludf.DUMMYFUNCTION("""COMPUTED_VALUE"""),"fantasy")</f>
        <v>fantasy</v>
      </c>
      <c r="E1105" s="49"/>
      <c r="F1105" s="49"/>
      <c r="G1105" s="49"/>
      <c r="H1105" s="54" t="str">
        <f t="shared" si="1"/>
        <v>monday,</v>
      </c>
      <c r="I1105" s="50"/>
      <c r="J1105" s="50" t="s">
        <v>2162</v>
      </c>
      <c r="K1105" s="50" t="s">
        <v>2454</v>
      </c>
      <c r="L1105" s="49" t="str">
        <f>IFERROR(__xludf.DUMMYFUNCTION("""COMPUTED_VALUE"""),"layers")</f>
        <v>layers</v>
      </c>
      <c r="M1105" s="49"/>
      <c r="N1105" s="49" t="str">
        <f>IFERROR(__xludf.DUMMYFUNCTION("""COMPUTED_VALUE"""),"playboy")</f>
        <v>playboy</v>
      </c>
      <c r="O1105" s="49" t="str">
        <f>IFERROR(__xludf.DUMMYFUNCTION("""COMPUTED_VALUE"""),"glucose")</f>
        <v>glucose</v>
      </c>
      <c r="P1105" s="49" t="str">
        <f t="shared" si="2"/>
        <v>working,</v>
      </c>
      <c r="Q1105" s="49"/>
      <c r="R1105" s="50" t="s">
        <v>3395</v>
      </c>
      <c r="S1105" s="55" t="s">
        <v>1029</v>
      </c>
      <c r="T1105" s="49" t="str">
        <f>IFERROR(__xludf.DUMMYFUNCTION("""COMPUTED_VALUE"""),"via")</f>
        <v>via</v>
      </c>
      <c r="U1105" s="49"/>
      <c r="V1105" s="49"/>
      <c r="W1105" s="49" t="str">
        <f>IFERROR(__xludf.DUMMYFUNCTION("""COMPUTED_VALUE"""),"stuffing")</f>
        <v>stuffing</v>
      </c>
      <c r="X1105" s="49" t="str">
        <f t="shared" si="3"/>
        <v>impressive,</v>
      </c>
      <c r="Y1105" s="49"/>
      <c r="Z1105" s="1" t="s">
        <v>5398</v>
      </c>
      <c r="AA1105" s="1" t="s">
        <v>1513</v>
      </c>
      <c r="AB1105" s="49"/>
      <c r="AC1105" s="49"/>
      <c r="AD1105" s="49" t="str">
        <f>IFERROR(__xludf.DUMMYFUNCTION("""COMPUTED_VALUE"""),"playboy")</f>
        <v>playboy</v>
      </c>
      <c r="AE1105" s="49" t="str">
        <f>IFERROR(__xludf.DUMMYFUNCTION("""COMPUTED_VALUE"""),"glucose")</f>
        <v>glucose</v>
      </c>
      <c r="AF1105" s="49" t="str">
        <f t="shared" si="4"/>
        <v>bruce,</v>
      </c>
      <c r="AG1105" s="49"/>
      <c r="AH1105" s="1" t="s">
        <v>6988</v>
      </c>
      <c r="AI1105" s="1" t="s">
        <v>3594</v>
      </c>
      <c r="AJ1105" s="6" t="str">
        <f>IFERROR(__xludf.DUMMYFUNCTION("""COMPUTED_VALUE"""),"honor")</f>
        <v>honor</v>
      </c>
      <c r="AK1105" s="49"/>
      <c r="AL1105" s="49"/>
      <c r="AM1105" s="49"/>
      <c r="AN1105" s="52" t="str">
        <f t="shared" si="5"/>
        <v>boss,</v>
      </c>
    </row>
    <row r="1106">
      <c r="A1106" s="51"/>
      <c r="B1106" s="50" t="s">
        <v>3621</v>
      </c>
      <c r="C1106" s="50" t="s">
        <v>2757</v>
      </c>
      <c r="D1106" s="49" t="str">
        <f>IFERROR(__xludf.DUMMYFUNCTION("""COMPUTED_VALUE"""),"pulls")</f>
        <v>pulls</v>
      </c>
      <c r="E1106" s="49"/>
      <c r="F1106" s="49"/>
      <c r="G1106" s="49"/>
      <c r="H1106" s="54" t="str">
        <f t="shared" si="1"/>
        <v>stretch,</v>
      </c>
      <c r="I1106" s="50"/>
      <c r="J1106" s="50" t="s">
        <v>3850</v>
      </c>
      <c r="K1106" s="50" t="s">
        <v>721</v>
      </c>
      <c r="L1106" s="49" t="str">
        <f>IFERROR(__xludf.DUMMYFUNCTION("""COMPUTED_VALUE"""),"seeks")</f>
        <v>seeks</v>
      </c>
      <c r="M1106" s="49"/>
      <c r="N1106" s="49" t="str">
        <f>IFERROR(__xludf.DUMMYFUNCTION("""COMPUTED_VALUE"""),"ga")</f>
        <v>ga</v>
      </c>
      <c r="O1106" s="49" t="str">
        <f>IFERROR(__xludf.DUMMYFUNCTION("""COMPUTED_VALUE"""),"atmospheric")</f>
        <v>atmospheric</v>
      </c>
      <c r="P1106" s="49" t="str">
        <f t="shared" si="2"/>
        <v>sexy,</v>
      </c>
      <c r="Q1106" s="49"/>
      <c r="R1106" s="50" t="s">
        <v>4456</v>
      </c>
      <c r="S1106" s="55" t="s">
        <v>2272</v>
      </c>
      <c r="T1106" s="49" t="str">
        <f>IFERROR(__xludf.DUMMYFUNCTION("""COMPUTED_VALUE"""),"destined")</f>
        <v>destined</v>
      </c>
      <c r="U1106" s="49"/>
      <c r="V1106" s="49"/>
      <c r="W1106" s="49" t="str">
        <f>IFERROR(__xludf.DUMMYFUNCTION("""COMPUTED_VALUE"""),"defiance")</f>
        <v>defiance</v>
      </c>
      <c r="X1106" s="49" t="str">
        <f t="shared" si="3"/>
        <v>terms,</v>
      </c>
      <c r="Y1106" s="49"/>
      <c r="Z1106" s="1" t="s">
        <v>2808</v>
      </c>
      <c r="AA1106" s="1" t="s">
        <v>2858</v>
      </c>
      <c r="AB1106" s="49"/>
      <c r="AC1106" s="49"/>
      <c r="AD1106" s="49" t="str">
        <f>IFERROR(__xludf.DUMMYFUNCTION("""COMPUTED_VALUE"""),"ga")</f>
        <v>ga</v>
      </c>
      <c r="AE1106" s="49" t="str">
        <f>IFERROR(__xludf.DUMMYFUNCTION("""COMPUTED_VALUE"""),"atmospheric")</f>
        <v>atmospheric</v>
      </c>
      <c r="AF1106" s="49" t="str">
        <f t="shared" si="4"/>
        <v>points,</v>
      </c>
      <c r="AG1106" s="49"/>
      <c r="AH1106" s="1" t="s">
        <v>617</v>
      </c>
      <c r="AI1106" s="1" t="s">
        <v>2142</v>
      </c>
      <c r="AJ1106" s="6" t="str">
        <f>IFERROR(__xludf.DUMMYFUNCTION("""COMPUTED_VALUE"""),"laughed")</f>
        <v>laughed</v>
      </c>
      <c r="AK1106" s="49"/>
      <c r="AL1106" s="49"/>
      <c r="AM1106" s="49"/>
      <c r="AN1106" s="52" t="str">
        <f t="shared" si="5"/>
        <v>smart,</v>
      </c>
    </row>
    <row r="1107">
      <c r="A1107" s="51"/>
      <c r="B1107" s="50" t="s">
        <v>7105</v>
      </c>
      <c r="C1107" s="50" t="s">
        <v>6446</v>
      </c>
      <c r="D1107" s="49" t="str">
        <f>IFERROR(__xludf.DUMMYFUNCTION("""COMPUTED_VALUE"""),"ally")</f>
        <v>ally</v>
      </c>
      <c r="E1107" s="49"/>
      <c r="F1107" s="49"/>
      <c r="G1107" s="49"/>
      <c r="H1107" s="54" t="str">
        <f t="shared" si="1"/>
        <v>everybody,</v>
      </c>
      <c r="I1107" s="50"/>
      <c r="J1107" s="50" t="s">
        <v>5299</v>
      </c>
      <c r="K1107" s="50" t="s">
        <v>738</v>
      </c>
      <c r="L1107" s="49" t="str">
        <f>IFERROR(__xludf.DUMMYFUNCTION("""COMPUTED_VALUE"""),"bag")</f>
        <v>bag</v>
      </c>
      <c r="M1107" s="49"/>
      <c r="N1107" s="49" t="str">
        <f>IFERROR(__xludf.DUMMYFUNCTION("""COMPUTED_VALUE"""),"placement")</f>
        <v>placement</v>
      </c>
      <c r="O1107" s="49" t="str">
        <f>IFERROR(__xludf.DUMMYFUNCTION("""COMPUTED_VALUE"""),"horizons")</f>
        <v>horizons</v>
      </c>
      <c r="P1107" s="49" t="str">
        <f t="shared" si="2"/>
        <v>mild,</v>
      </c>
      <c r="Q1107" s="49"/>
      <c r="R1107" s="50" t="s">
        <v>6322</v>
      </c>
      <c r="S1107" s="55" t="s">
        <v>747</v>
      </c>
      <c r="T1107" s="49" t="str">
        <f>IFERROR(__xludf.DUMMYFUNCTION("""COMPUTED_VALUE"""),"london")</f>
        <v>london</v>
      </c>
      <c r="U1107" s="49"/>
      <c r="V1107" s="49"/>
      <c r="W1107" s="49" t="str">
        <f>IFERROR(__xludf.DUMMYFUNCTION("""COMPUTED_VALUE"""),"pollution")</f>
        <v>pollution</v>
      </c>
      <c r="X1107" s="49" t="str">
        <f t="shared" si="3"/>
        <v>sea,</v>
      </c>
      <c r="Y1107" s="49"/>
      <c r="Z1107" s="1" t="s">
        <v>1338</v>
      </c>
      <c r="AA1107" s="1" t="s">
        <v>2860</v>
      </c>
      <c r="AB1107" s="49"/>
      <c r="AC1107" s="49"/>
      <c r="AD1107" s="49" t="str">
        <f>IFERROR(__xludf.DUMMYFUNCTION("""COMPUTED_VALUE"""),"placement")</f>
        <v>placement</v>
      </c>
      <c r="AE1107" s="49" t="str">
        <f>IFERROR(__xludf.DUMMYFUNCTION("""COMPUTED_VALUE"""),"horizons")</f>
        <v>horizons</v>
      </c>
      <c r="AF1107" s="49" t="str">
        <f t="shared" si="4"/>
        <v>several,</v>
      </c>
      <c r="AG1107" s="49"/>
      <c r="AH1107" s="1" t="s">
        <v>6871</v>
      </c>
      <c r="AI1107" s="1" t="s">
        <v>2165</v>
      </c>
      <c r="AJ1107" s="6" t="str">
        <f>IFERROR(__xludf.DUMMYFUNCTION("""COMPUTED_VALUE"""),"message")</f>
        <v>message</v>
      </c>
      <c r="AK1107" s="49"/>
      <c r="AL1107" s="49"/>
      <c r="AM1107" s="49"/>
      <c r="AN1107" s="52" t="str">
        <f t="shared" si="5"/>
        <v>whenever,</v>
      </c>
    </row>
    <row r="1108">
      <c r="A1108" s="51"/>
      <c r="B1108" s="50" t="s">
        <v>3494</v>
      </c>
      <c r="C1108" s="50" t="s">
        <v>1233</v>
      </c>
      <c r="D1108" s="49" t="str">
        <f>IFERROR(__xludf.DUMMYFUNCTION("""COMPUTED_VALUE"""),"sequences")</f>
        <v>sequences</v>
      </c>
      <c r="E1108" s="49"/>
      <c r="F1108" s="49"/>
      <c r="G1108" s="49"/>
      <c r="H1108" s="54" t="str">
        <f t="shared" si="1"/>
        <v>ai,</v>
      </c>
      <c r="I1108" s="50"/>
      <c r="J1108" s="50" t="s">
        <v>168</v>
      </c>
      <c r="K1108" s="50" t="s">
        <v>2440</v>
      </c>
      <c r="L1108" s="49" t="str">
        <f>IFERROR(__xludf.DUMMYFUNCTION("""COMPUTED_VALUE"""),"evelyn")</f>
        <v>evelyn</v>
      </c>
      <c r="M1108" s="49"/>
      <c r="N1108" s="49" t="str">
        <f>IFERROR(__xludf.DUMMYFUNCTION("""COMPUTED_VALUE"""),"pawn")</f>
        <v>pawn</v>
      </c>
      <c r="O1108" s="49" t="str">
        <f>IFERROR(__xludf.DUMMYFUNCTION("""COMPUTED_VALUE"""),"boredom")</f>
        <v>boredom</v>
      </c>
      <c r="P1108" s="49" t="str">
        <f t="shared" si="2"/>
        <v>roger,</v>
      </c>
      <c r="Q1108" s="49"/>
      <c r="R1108" s="50" t="s">
        <v>179</v>
      </c>
      <c r="S1108" s="55" t="s">
        <v>2277</v>
      </c>
      <c r="T1108" s="49" t="str">
        <f>IFERROR(__xludf.DUMMYFUNCTION("""COMPUTED_VALUE"""),"remembering")</f>
        <v>remembering</v>
      </c>
      <c r="U1108" s="49"/>
      <c r="V1108" s="49"/>
      <c r="W1108" s="49" t="str">
        <f>IFERROR(__xludf.DUMMYFUNCTION("""COMPUTED_VALUE"""),"achieving")</f>
        <v>achieving</v>
      </c>
      <c r="X1108" s="49" t="str">
        <f t="shared" si="3"/>
        <v>actress,</v>
      </c>
      <c r="Y1108" s="49"/>
      <c r="Z1108" s="1" t="s">
        <v>1484</v>
      </c>
      <c r="AA1108" s="1" t="s">
        <v>1458</v>
      </c>
      <c r="AB1108" s="49"/>
      <c r="AC1108" s="49"/>
      <c r="AD1108" s="49" t="str">
        <f>IFERROR(__xludf.DUMMYFUNCTION("""COMPUTED_VALUE"""),"pawn")</f>
        <v>pawn</v>
      </c>
      <c r="AE1108" s="49" t="str">
        <f>IFERROR(__xludf.DUMMYFUNCTION("""COMPUTED_VALUE"""),"boredom")</f>
        <v>boredom</v>
      </c>
      <c r="AF1108" s="49" t="str">
        <f t="shared" si="4"/>
        <v>air,</v>
      </c>
      <c r="AG1108" s="49"/>
      <c r="AH1108" s="1" t="s">
        <v>5646</v>
      </c>
      <c r="AI1108" s="1" t="s">
        <v>941</v>
      </c>
      <c r="AJ1108" s="6" t="str">
        <f>IFERROR(__xludf.DUMMYFUNCTION("""COMPUTED_VALUE"""),"matters")</f>
        <v>matters</v>
      </c>
      <c r="AK1108" s="49"/>
      <c r="AL1108" s="49"/>
      <c r="AM1108" s="49"/>
      <c r="AN1108" s="52" t="str">
        <f t="shared" si="5"/>
        <v>jennifer,</v>
      </c>
    </row>
    <row r="1109">
      <c r="A1109" s="51"/>
      <c r="B1109" s="50" t="s">
        <v>6876</v>
      </c>
      <c r="C1109" s="50" t="s">
        <v>2152</v>
      </c>
      <c r="D1109" s="49" t="str">
        <f>IFERROR(__xludf.DUMMYFUNCTION("""COMPUTED_VALUE"""),"result")</f>
        <v>result</v>
      </c>
      <c r="E1109" s="49"/>
      <c r="F1109" s="49"/>
      <c r="G1109" s="49"/>
      <c r="H1109" s="54" t="str">
        <f t="shared" si="1"/>
        <v>shown,</v>
      </c>
      <c r="I1109" s="50"/>
      <c r="J1109" s="50" t="s">
        <v>961</v>
      </c>
      <c r="K1109" s="50" t="s">
        <v>3527</v>
      </c>
      <c r="L1109" s="49" t="str">
        <f>IFERROR(__xludf.DUMMYFUNCTION("""COMPUTED_VALUE"""),"skill")</f>
        <v>skill</v>
      </c>
      <c r="M1109" s="49"/>
      <c r="N1109" s="49" t="str">
        <f>IFERROR(__xludf.DUMMYFUNCTION("""COMPUTED_VALUE"""),"beaten")</f>
        <v>beaten</v>
      </c>
      <c r="O1109" s="49" t="str">
        <f>IFERROR(__xludf.DUMMYFUNCTION("""COMPUTED_VALUE"""),"insistence")</f>
        <v>insistence</v>
      </c>
      <c r="P1109" s="49" t="str">
        <f t="shared" si="2"/>
        <v>savage,</v>
      </c>
      <c r="Q1109" s="49"/>
      <c r="R1109" s="50">
        <v>24.0</v>
      </c>
      <c r="S1109" s="55" t="s">
        <v>2825</v>
      </c>
      <c r="T1109" s="49" t="str">
        <f>IFERROR(__xludf.DUMMYFUNCTION("""COMPUTED_VALUE"""),"narrative")</f>
        <v>narrative</v>
      </c>
      <c r="U1109" s="49"/>
      <c r="V1109" s="49"/>
      <c r="W1109" s="49" t="str">
        <f>IFERROR(__xludf.DUMMYFUNCTION("""COMPUTED_VALUE"""),"chief")</f>
        <v>chief</v>
      </c>
      <c r="X1109" s="49" t="str">
        <f t="shared" si="3"/>
        <v>24,</v>
      </c>
      <c r="Y1109" s="49"/>
      <c r="Z1109" s="1" t="s">
        <v>2268</v>
      </c>
      <c r="AA1109" s="1" t="s">
        <v>4056</v>
      </c>
      <c r="AB1109" s="49"/>
      <c r="AC1109" s="49"/>
      <c r="AD1109" s="49" t="str">
        <f>IFERROR(__xludf.DUMMYFUNCTION("""COMPUTED_VALUE"""),"beaten")</f>
        <v>beaten</v>
      </c>
      <c r="AE1109" s="49" t="str">
        <f>IFERROR(__xludf.DUMMYFUNCTION("""COMPUTED_VALUE"""),"insistence")</f>
        <v>insistence</v>
      </c>
      <c r="AF1109" s="49" t="str">
        <f t="shared" si="4"/>
        <v>motion,</v>
      </c>
      <c r="AG1109" s="49"/>
      <c r="AH1109" s="1" t="s">
        <v>1189</v>
      </c>
      <c r="AI1109" s="1" t="s">
        <v>3084</v>
      </c>
      <c r="AJ1109" s="6" t="str">
        <f>IFERROR(__xludf.DUMMYFUNCTION("""COMPUTED_VALUE"""),"returns")</f>
        <v>returns</v>
      </c>
      <c r="AK1109" s="49"/>
      <c r="AL1109" s="49"/>
      <c r="AM1109" s="49"/>
      <c r="AN1109" s="52" t="str">
        <f t="shared" si="5"/>
        <v>b,</v>
      </c>
    </row>
    <row r="1110">
      <c r="A1110" s="51"/>
      <c r="B1110" s="50" t="s">
        <v>1924</v>
      </c>
      <c r="C1110" s="50" t="s">
        <v>3579</v>
      </c>
      <c r="D1110" s="49" t="str">
        <f>IFERROR(__xludf.DUMMYFUNCTION("""COMPUTED_VALUE"""),"parts")</f>
        <v>parts</v>
      </c>
      <c r="E1110" s="49"/>
      <c r="F1110" s="49"/>
      <c r="G1110" s="49"/>
      <c r="H1110" s="54" t="str">
        <f t="shared" si="1"/>
        <v>ability,</v>
      </c>
      <c r="I1110" s="50"/>
      <c r="J1110" s="50" t="s">
        <v>2004</v>
      </c>
      <c r="K1110" s="50" t="s">
        <v>2443</v>
      </c>
      <c r="L1110" s="49" t="str">
        <f>IFERROR(__xludf.DUMMYFUNCTION("""COMPUTED_VALUE"""),"subtle")</f>
        <v>subtle</v>
      </c>
      <c r="M1110" s="49"/>
      <c r="N1110" s="49" t="str">
        <f>IFERROR(__xludf.DUMMYFUNCTION("""COMPUTED_VALUE"""),"taps")</f>
        <v>taps</v>
      </c>
      <c r="O1110" s="49" t="str">
        <f>IFERROR(__xludf.DUMMYFUNCTION("""COMPUTED_VALUE"""),"titled")</f>
        <v>titled</v>
      </c>
      <c r="P1110" s="49" t="str">
        <f t="shared" si="2"/>
        <v>asks,</v>
      </c>
      <c r="Q1110" s="49"/>
      <c r="R1110" s="50" t="s">
        <v>962</v>
      </c>
      <c r="S1110" s="55" t="s">
        <v>655</v>
      </c>
      <c r="T1110" s="49" t="str">
        <f>IFERROR(__xludf.DUMMYFUNCTION("""COMPUTED_VALUE"""),"betrayal")</f>
        <v>betrayal</v>
      </c>
      <c r="U1110" s="49"/>
      <c r="V1110" s="49"/>
      <c r="W1110" s="49" t="str">
        <f>IFERROR(__xludf.DUMMYFUNCTION("""COMPUTED_VALUE"""),"glucose")</f>
        <v>glucose</v>
      </c>
      <c r="X1110" s="49" t="str">
        <f t="shared" si="3"/>
        <v>runs,</v>
      </c>
      <c r="Y1110" s="49"/>
      <c r="Z1110" s="1" t="s">
        <v>1368</v>
      </c>
      <c r="AA1110" s="1" t="s">
        <v>2720</v>
      </c>
      <c r="AB1110" s="49"/>
      <c r="AC1110" s="49"/>
      <c r="AD1110" s="49" t="str">
        <f>IFERROR(__xludf.DUMMYFUNCTION("""COMPUTED_VALUE"""),"taps")</f>
        <v>taps</v>
      </c>
      <c r="AE1110" s="49" t="str">
        <f>IFERROR(__xludf.DUMMYFUNCTION("""COMPUTED_VALUE"""),"titled")</f>
        <v>titled</v>
      </c>
      <c r="AF1110" s="49" t="str">
        <f t="shared" si="4"/>
        <v>impact,</v>
      </c>
      <c r="AG1110" s="49"/>
      <c r="AH1110" s="1" t="s">
        <v>6729</v>
      </c>
      <c r="AI1110" s="1" t="s">
        <v>2189</v>
      </c>
      <c r="AJ1110" s="6" t="str">
        <f>IFERROR(__xludf.DUMMYFUNCTION("""COMPUTED_VALUE"""),"next")</f>
        <v>next</v>
      </c>
      <c r="AK1110" s="49"/>
      <c r="AL1110" s="49"/>
      <c r="AM1110" s="49"/>
      <c r="AN1110" s="52" t="str">
        <f t="shared" si="5"/>
        <v>e,</v>
      </c>
    </row>
    <row r="1111">
      <c r="A1111" s="51"/>
      <c r="B1111" s="50" t="s">
        <v>913</v>
      </c>
      <c r="C1111" s="50" t="s">
        <v>6423</v>
      </c>
      <c r="D1111" s="49" t="str">
        <f>IFERROR(__xludf.DUMMYFUNCTION("""COMPUTED_VALUE"""),"sort")</f>
        <v>sort</v>
      </c>
      <c r="E1111" s="49"/>
      <c r="F1111" s="49"/>
      <c r="G1111" s="49"/>
      <c r="H1111" s="54" t="str">
        <f t="shared" si="1"/>
        <v>tight,</v>
      </c>
      <c r="I1111" s="50"/>
      <c r="J1111" s="50" t="s">
        <v>3005</v>
      </c>
      <c r="K1111" s="50" t="s">
        <v>4059</v>
      </c>
      <c r="L1111" s="49" t="str">
        <f>IFERROR(__xludf.DUMMYFUNCTION("""COMPUTED_VALUE"""),"realism")</f>
        <v>realism</v>
      </c>
      <c r="M1111" s="49"/>
      <c r="N1111" s="49" t="str">
        <f>IFERROR(__xludf.DUMMYFUNCTION("""COMPUTED_VALUE"""),"owed")</f>
        <v>owed</v>
      </c>
      <c r="O1111" s="49" t="str">
        <f>IFERROR(__xludf.DUMMYFUNCTION("""COMPUTED_VALUE"""),"turmoil")</f>
        <v>turmoil</v>
      </c>
      <c r="P1111" s="49" t="str">
        <f t="shared" si="2"/>
        <v>foul,</v>
      </c>
      <c r="Q1111" s="49"/>
      <c r="R1111" s="50" t="s">
        <v>3281</v>
      </c>
      <c r="S1111" s="55" t="s">
        <v>5977</v>
      </c>
      <c r="T1111" s="49" t="str">
        <f>IFERROR(__xludf.DUMMYFUNCTION("""COMPUTED_VALUE"""),"drawings")</f>
        <v>drawings</v>
      </c>
      <c r="U1111" s="49"/>
      <c r="V1111" s="49"/>
      <c r="W1111" s="49" t="str">
        <f>IFERROR(__xludf.DUMMYFUNCTION("""COMPUTED_VALUE"""),"believed")</f>
        <v>believed</v>
      </c>
      <c r="X1111" s="49" t="str">
        <f t="shared" si="3"/>
        <v>artists,</v>
      </c>
      <c r="Y1111" s="49"/>
      <c r="Z1111" s="1" t="s">
        <v>2605</v>
      </c>
      <c r="AA1111" s="1" t="s">
        <v>3098</v>
      </c>
      <c r="AB1111" s="49"/>
      <c r="AC1111" s="49"/>
      <c r="AD1111" s="49" t="str">
        <f>IFERROR(__xludf.DUMMYFUNCTION("""COMPUTED_VALUE"""),"owed")</f>
        <v>owed</v>
      </c>
      <c r="AE1111" s="49" t="str">
        <f>IFERROR(__xludf.DUMMYFUNCTION("""COMPUTED_VALUE"""),"turmoil")</f>
        <v>turmoil</v>
      </c>
      <c r="AF1111" s="49" t="str">
        <f t="shared" si="4"/>
        <v>freeman,</v>
      </c>
      <c r="AG1111" s="49"/>
      <c r="AH1111" s="1" t="s">
        <v>377</v>
      </c>
      <c r="AI1111" s="1" t="s">
        <v>2514</v>
      </c>
      <c r="AJ1111" s="6" t="str">
        <f>IFERROR(__xludf.DUMMYFUNCTION("""COMPUTED_VALUE"""),"told")</f>
        <v>told</v>
      </c>
      <c r="AK1111" s="49"/>
      <c r="AL1111" s="49"/>
      <c r="AM1111" s="49"/>
      <c r="AN1111" s="52" t="str">
        <f t="shared" si="5"/>
        <v>again,</v>
      </c>
    </row>
    <row r="1112">
      <c r="A1112" s="51"/>
      <c r="B1112" s="50" t="s">
        <v>6376</v>
      </c>
      <c r="C1112" s="50" t="s">
        <v>2147</v>
      </c>
      <c r="D1112" s="49" t="str">
        <f>IFERROR(__xludf.DUMMYFUNCTION("""COMPUTED_VALUE"""),"sum")</f>
        <v>sum</v>
      </c>
      <c r="E1112" s="49"/>
      <c r="F1112" s="49"/>
      <c r="G1112" s="49"/>
      <c r="H1112" s="54" t="str">
        <f t="shared" si="1"/>
        <v>avoid,</v>
      </c>
      <c r="I1112" s="50"/>
      <c r="J1112" s="50" t="s">
        <v>2374</v>
      </c>
      <c r="K1112" s="50" t="s">
        <v>2446</v>
      </c>
      <c r="L1112" s="49" t="str">
        <f>IFERROR(__xludf.DUMMYFUNCTION("""COMPUTED_VALUE"""),"slump")</f>
        <v>slump</v>
      </c>
      <c r="M1112" s="49"/>
      <c r="N1112" s="49" t="str">
        <f>IFERROR(__xludf.DUMMYFUNCTION("""COMPUTED_VALUE"""),"projection")</f>
        <v>projection</v>
      </c>
      <c r="O1112" s="49">
        <f>IFERROR(__xludf.DUMMYFUNCTION("""COMPUTED_VALUE"""),83.0)</f>
        <v>83</v>
      </c>
      <c r="P1112" s="49" t="str">
        <f t="shared" si="2"/>
        <v>constantly,</v>
      </c>
      <c r="Q1112" s="49"/>
      <c r="R1112" s="50" t="s">
        <v>4875</v>
      </c>
      <c r="S1112" s="55" t="s">
        <v>541</v>
      </c>
      <c r="T1112" s="49" t="str">
        <f>IFERROR(__xludf.DUMMYFUNCTION("""COMPUTED_VALUE"""),"inhabitants")</f>
        <v>inhabitants</v>
      </c>
      <c r="U1112" s="49"/>
      <c r="V1112" s="49"/>
      <c r="W1112" s="49" t="str">
        <f>IFERROR(__xludf.DUMMYFUNCTION("""COMPUTED_VALUE"""),"atmospheric")</f>
        <v>atmospheric</v>
      </c>
      <c r="X1112" s="49" t="str">
        <f t="shared" si="3"/>
        <v>inner,</v>
      </c>
      <c r="Y1112" s="49"/>
      <c r="Z1112" s="1" t="s">
        <v>4042</v>
      </c>
      <c r="AA1112" s="1" t="s">
        <v>318</v>
      </c>
      <c r="AB1112" s="49"/>
      <c r="AC1112" s="49"/>
      <c r="AD1112" s="49" t="str">
        <f>IFERROR(__xludf.DUMMYFUNCTION("""COMPUTED_VALUE"""),"projection")</f>
        <v>projection</v>
      </c>
      <c r="AE1112" s="49">
        <f>IFERROR(__xludf.DUMMYFUNCTION("""COMPUTED_VALUE"""),83.0)</f>
        <v>83</v>
      </c>
      <c r="AF1112" s="49" t="str">
        <f t="shared" si="4"/>
        <v>accurately,</v>
      </c>
      <c r="AG1112" s="49"/>
      <c r="AH1112" s="1" t="s">
        <v>1783</v>
      </c>
      <c r="AI1112" s="1" t="s">
        <v>2149</v>
      </c>
      <c r="AJ1112" s="6" t="str">
        <f>IFERROR(__xludf.DUMMYFUNCTION("""COMPUTED_VALUE"""),"gave")</f>
        <v>gave</v>
      </c>
      <c r="AK1112" s="49"/>
      <c r="AL1112" s="49"/>
      <c r="AM1112" s="49"/>
      <c r="AN1112" s="52" t="str">
        <f t="shared" si="5"/>
        <v>father,</v>
      </c>
    </row>
    <row r="1113">
      <c r="A1113" s="51"/>
      <c r="B1113" s="50" t="s">
        <v>4620</v>
      </c>
      <c r="C1113" s="50" t="s">
        <v>6424</v>
      </c>
      <c r="D1113" s="49" t="str">
        <f>IFERROR(__xludf.DUMMYFUNCTION("""COMPUTED_VALUE"""),"national")</f>
        <v>national</v>
      </c>
      <c r="E1113" s="49"/>
      <c r="F1113" s="49"/>
      <c r="G1113" s="49"/>
      <c r="H1113" s="54" t="str">
        <f t="shared" si="1"/>
        <v>behavior,</v>
      </c>
      <c r="I1113" s="50"/>
      <c r="J1113" s="50" t="s">
        <v>7304</v>
      </c>
      <c r="K1113" s="50" t="s">
        <v>1424</v>
      </c>
      <c r="L1113" s="49" t="str">
        <f>IFERROR(__xludf.DUMMYFUNCTION("""COMPUTED_VALUE"""),"expressing")</f>
        <v>expressing</v>
      </c>
      <c r="M1113" s="49"/>
      <c r="N1113" s="49" t="str">
        <f>IFERROR(__xludf.DUMMYFUNCTION("""COMPUTED_VALUE"""),"dangerously")</f>
        <v>dangerously</v>
      </c>
      <c r="O1113" s="49" t="str">
        <f>IFERROR(__xludf.DUMMYFUNCTION("""COMPUTED_VALUE"""),"hartley")</f>
        <v>hartley</v>
      </c>
      <c r="P1113" s="49" t="str">
        <f t="shared" si="2"/>
        <v>mouthed,</v>
      </c>
      <c r="Q1113" s="49"/>
      <c r="R1113" s="50" t="s">
        <v>4276</v>
      </c>
      <c r="S1113" s="55" t="s">
        <v>3804</v>
      </c>
      <c r="T1113" s="49" t="str">
        <f>IFERROR(__xludf.DUMMYFUNCTION("""COMPUTED_VALUE"""),"counterparts")</f>
        <v>counterparts</v>
      </c>
      <c r="U1113" s="49"/>
      <c r="V1113" s="49"/>
      <c r="W1113" s="49" t="str">
        <f>IFERROR(__xludf.DUMMYFUNCTION("""COMPUTED_VALUE"""),"horizons")</f>
        <v>horizons</v>
      </c>
      <c r="X1113" s="49" t="str">
        <f t="shared" si="3"/>
        <v>backdrop,</v>
      </c>
      <c r="Y1113" s="49"/>
      <c r="Z1113" s="1" t="s">
        <v>3093</v>
      </c>
      <c r="AA1113" s="1" t="s">
        <v>4062</v>
      </c>
      <c r="AB1113" s="49"/>
      <c r="AC1113" s="49"/>
      <c r="AD1113" s="49" t="str">
        <f>IFERROR(__xludf.DUMMYFUNCTION("""COMPUTED_VALUE"""),"dangerously")</f>
        <v>dangerously</v>
      </c>
      <c r="AE1113" s="49" t="str">
        <f>IFERROR(__xludf.DUMMYFUNCTION("""COMPUTED_VALUE"""),"hartley")</f>
        <v>hartley</v>
      </c>
      <c r="AF1113" s="49" t="str">
        <f t="shared" si="4"/>
        <v>disguise,</v>
      </c>
      <c r="AG1113" s="49"/>
      <c r="AH1113" s="1" t="s">
        <v>370</v>
      </c>
      <c r="AI1113" s="1" t="s">
        <v>4692</v>
      </c>
      <c r="AJ1113" s="6" t="str">
        <f>IFERROR(__xludf.DUMMYFUNCTION("""COMPUTED_VALUE"""),"ran")</f>
        <v>ran</v>
      </c>
      <c r="AK1113" s="49"/>
      <c r="AL1113" s="49"/>
      <c r="AM1113" s="49"/>
      <c r="AN1113" s="52" t="str">
        <f t="shared" si="5"/>
        <v>once,</v>
      </c>
    </row>
    <row r="1114">
      <c r="A1114" s="51"/>
      <c r="B1114" s="50" t="s">
        <v>3648</v>
      </c>
      <c r="C1114" s="50" t="s">
        <v>1560</v>
      </c>
      <c r="D1114" s="49" t="str">
        <f>IFERROR(__xludf.DUMMYFUNCTION("""COMPUTED_VALUE"""),"reduced")</f>
        <v>reduced</v>
      </c>
      <c r="E1114" s="49"/>
      <c r="F1114" s="49"/>
      <c r="G1114" s="49"/>
      <c r="H1114" s="54" t="str">
        <f t="shared" si="1"/>
        <v>letting,</v>
      </c>
      <c r="I1114" s="50"/>
      <c r="J1114" s="50" t="s">
        <v>4615</v>
      </c>
      <c r="K1114" s="50" t="s">
        <v>368</v>
      </c>
      <c r="L1114" s="49" t="str">
        <f>IFERROR(__xludf.DUMMYFUNCTION("""COMPUTED_VALUE"""),"pow")</f>
        <v>pow</v>
      </c>
      <c r="M1114" s="49"/>
      <c r="N1114" s="49" t="str">
        <f>IFERROR(__xludf.DUMMYFUNCTION("""COMPUTED_VALUE"""),"conditions")</f>
        <v>conditions</v>
      </c>
      <c r="O1114" s="49" t="str">
        <f>IFERROR(__xludf.DUMMYFUNCTION("""COMPUTED_VALUE"""),"resembling")</f>
        <v>resembling</v>
      </c>
      <c r="P1114" s="49" t="str">
        <f t="shared" si="2"/>
        <v>overly,</v>
      </c>
      <c r="Q1114" s="49"/>
      <c r="R1114" s="50" t="s">
        <v>1260</v>
      </c>
      <c r="S1114" s="55" t="s">
        <v>3808</v>
      </c>
      <c r="T1114" s="49">
        <f>IFERROR(__xludf.DUMMYFUNCTION("""COMPUTED_VALUE"""),1958.0)</f>
        <v>1958</v>
      </c>
      <c r="U1114" s="49"/>
      <c r="V1114" s="49"/>
      <c r="W1114" s="49" t="str">
        <f>IFERROR(__xludf.DUMMYFUNCTION("""COMPUTED_VALUE"""),"titled")</f>
        <v>titled</v>
      </c>
      <c r="X1114" s="49" t="str">
        <f t="shared" si="3"/>
        <v>cannes,</v>
      </c>
      <c r="Y1114" s="49"/>
      <c r="Z1114" s="1" t="s">
        <v>1236</v>
      </c>
      <c r="AA1114" s="1" t="s">
        <v>2729</v>
      </c>
      <c r="AB1114" s="49"/>
      <c r="AC1114" s="49"/>
      <c r="AD1114" s="49" t="str">
        <f>IFERROR(__xludf.DUMMYFUNCTION("""COMPUTED_VALUE"""),"conditions")</f>
        <v>conditions</v>
      </c>
      <c r="AE1114" s="49" t="str">
        <f>IFERROR(__xludf.DUMMYFUNCTION("""COMPUTED_VALUE"""),"resembling")</f>
        <v>resembling</v>
      </c>
      <c r="AF1114" s="49" t="str">
        <f t="shared" si="4"/>
        <v>represents,</v>
      </c>
      <c r="AG1114" s="49"/>
      <c r="AH1114" s="1" t="s">
        <v>1614</v>
      </c>
      <c r="AI1114" s="1" t="s">
        <v>2145</v>
      </c>
      <c r="AJ1114" s="6" t="str">
        <f>IFERROR(__xludf.DUMMYFUNCTION("""COMPUTED_VALUE"""),"independent")</f>
        <v>independent</v>
      </c>
      <c r="AK1114" s="49"/>
      <c r="AL1114" s="49"/>
      <c r="AM1114" s="49"/>
      <c r="AN1114" s="52" t="str">
        <f t="shared" si="5"/>
        <v>son,</v>
      </c>
    </row>
    <row r="1115">
      <c r="A1115" s="51"/>
      <c r="B1115" s="50" t="s">
        <v>553</v>
      </c>
      <c r="C1115" s="50" t="s">
        <v>3200</v>
      </c>
      <c r="D1115" s="49" t="str">
        <f>IFERROR(__xludf.DUMMYFUNCTION("""COMPUTED_VALUE"""),"factor")</f>
        <v>factor</v>
      </c>
      <c r="E1115" s="49"/>
      <c r="F1115" s="49"/>
      <c r="G1115" s="49"/>
      <c r="H1115" s="54" t="str">
        <f t="shared" si="1"/>
        <v>actors,</v>
      </c>
      <c r="I1115" s="50"/>
      <c r="J1115" s="50" t="s">
        <v>458</v>
      </c>
      <c r="K1115" s="50" t="s">
        <v>2451</v>
      </c>
      <c r="L1115" s="49" t="str">
        <f>IFERROR(__xludf.DUMMYFUNCTION("""COMPUTED_VALUE"""),"forged")</f>
        <v>forged</v>
      </c>
      <c r="M1115" s="49"/>
      <c r="N1115" s="49" t="str">
        <f>IFERROR(__xludf.DUMMYFUNCTION("""COMPUTED_VALUE"""),"doubts")</f>
        <v>doubts</v>
      </c>
      <c r="O1115" s="49" t="str">
        <f>IFERROR(__xludf.DUMMYFUNCTION("""COMPUTED_VALUE"""),"significance")</f>
        <v>significance</v>
      </c>
      <c r="P1115" s="49" t="str">
        <f t="shared" si="2"/>
        <v>above,</v>
      </c>
      <c r="Q1115" s="49"/>
      <c r="R1115" s="50" t="s">
        <v>2802</v>
      </c>
      <c r="S1115" s="55" t="s">
        <v>3813</v>
      </c>
      <c r="T1115" s="49" t="str">
        <f>IFERROR(__xludf.DUMMYFUNCTION("""COMPUTED_VALUE"""),"grown")</f>
        <v>grown</v>
      </c>
      <c r="U1115" s="49"/>
      <c r="V1115" s="49"/>
      <c r="W1115" s="49" t="str">
        <f>IFERROR(__xludf.DUMMYFUNCTION("""COMPUTED_VALUE"""),"baseball")</f>
        <v>baseball</v>
      </c>
      <c r="X1115" s="49" t="str">
        <f t="shared" si="3"/>
        <v>bride,</v>
      </c>
      <c r="Y1115" s="49"/>
      <c r="Z1115" s="1" t="s">
        <v>2258</v>
      </c>
      <c r="AA1115" s="1" t="s">
        <v>4066</v>
      </c>
      <c r="AB1115" s="49"/>
      <c r="AC1115" s="49"/>
      <c r="AD1115" s="49" t="str">
        <f>IFERROR(__xludf.DUMMYFUNCTION("""COMPUTED_VALUE"""),"doubts")</f>
        <v>doubts</v>
      </c>
      <c r="AE1115" s="49" t="str">
        <f>IFERROR(__xludf.DUMMYFUNCTION("""COMPUTED_VALUE"""),"significance")</f>
        <v>significance</v>
      </c>
      <c r="AF1115" s="49" t="str">
        <f t="shared" si="4"/>
        <v>keeps,</v>
      </c>
      <c r="AG1115" s="49"/>
      <c r="AH1115" s="1" t="s">
        <v>929</v>
      </c>
      <c r="AI1115" s="1" t="s">
        <v>6448</v>
      </c>
      <c r="AJ1115" s="6" t="str">
        <f>IFERROR(__xludf.DUMMYFUNCTION("""COMPUTED_VALUE"""),"anyone")</f>
        <v>anyone</v>
      </c>
      <c r="AK1115" s="49"/>
      <c r="AL1115" s="49"/>
      <c r="AM1115" s="49"/>
      <c r="AN1115" s="52" t="str">
        <f t="shared" si="5"/>
        <v>voice,</v>
      </c>
    </row>
    <row r="1116">
      <c r="A1116" s="51"/>
      <c r="B1116" s="50" t="s">
        <v>4734</v>
      </c>
      <c r="C1116" s="50" t="s">
        <v>3057</v>
      </c>
      <c r="D1116" s="49" t="str">
        <f>IFERROR(__xludf.DUMMYFUNCTION("""COMPUTED_VALUE"""),"released")</f>
        <v>released</v>
      </c>
      <c r="E1116" s="49"/>
      <c r="F1116" s="49"/>
      <c r="G1116" s="49"/>
      <c r="H1116" s="54" t="str">
        <f t="shared" si="1"/>
        <v>novels,</v>
      </c>
      <c r="I1116" s="50"/>
      <c r="J1116" s="50" t="s">
        <v>2461</v>
      </c>
      <c r="K1116" s="50" t="s">
        <v>2453</v>
      </c>
      <c r="L1116" s="49" t="str">
        <f>IFERROR(__xludf.DUMMYFUNCTION("""COMPUTED_VALUE"""),"vietnam")</f>
        <v>vietnam</v>
      </c>
      <c r="M1116" s="49"/>
      <c r="N1116" s="49" t="str">
        <f>IFERROR(__xludf.DUMMYFUNCTION("""COMPUTED_VALUE"""),"chi")</f>
        <v>chi</v>
      </c>
      <c r="O1116" s="49" t="str">
        <f>IFERROR(__xludf.DUMMYFUNCTION("""COMPUTED_VALUE"""),"anarchist")</f>
        <v>anarchist</v>
      </c>
      <c r="P1116" s="49" t="str">
        <f t="shared" si="2"/>
        <v>search,</v>
      </c>
      <c r="Q1116" s="49"/>
      <c r="R1116" s="50" t="s">
        <v>4386</v>
      </c>
      <c r="S1116" s="55" t="s">
        <v>649</v>
      </c>
      <c r="T1116" s="49" t="str">
        <f>IFERROR(__xludf.DUMMYFUNCTION("""COMPUTED_VALUE"""),"key")</f>
        <v>key</v>
      </c>
      <c r="U1116" s="49"/>
      <c r="V1116" s="49"/>
      <c r="W1116" s="49" t="str">
        <f>IFERROR(__xludf.DUMMYFUNCTION("""COMPUTED_VALUE"""),"turmoil")</f>
        <v>turmoil</v>
      </c>
      <c r="X1116" s="49" t="str">
        <f t="shared" si="3"/>
        <v>syrup,</v>
      </c>
      <c r="Y1116" s="49"/>
      <c r="Z1116" s="1" t="s">
        <v>896</v>
      </c>
      <c r="AA1116" s="1" t="s">
        <v>4068</v>
      </c>
      <c r="AB1116" s="49"/>
      <c r="AC1116" s="49"/>
      <c r="AD1116" s="49" t="str">
        <f>IFERROR(__xludf.DUMMYFUNCTION("""COMPUTED_VALUE"""),"chi")</f>
        <v>chi</v>
      </c>
      <c r="AE1116" s="49" t="str">
        <f>IFERROR(__xludf.DUMMYFUNCTION("""COMPUTED_VALUE"""),"anarchist")</f>
        <v>anarchist</v>
      </c>
      <c r="AF1116" s="49" t="str">
        <f t="shared" si="4"/>
        <v>five,</v>
      </c>
      <c r="AG1116" s="49"/>
      <c r="AH1116" s="1" t="s">
        <v>2988</v>
      </c>
      <c r="AI1116" s="1" t="s">
        <v>617</v>
      </c>
      <c r="AJ1116" s="6" t="str">
        <f>IFERROR(__xludf.DUMMYFUNCTION("""COMPUTED_VALUE"""),"complex")</f>
        <v>complex</v>
      </c>
      <c r="AK1116" s="49"/>
      <c r="AL1116" s="49"/>
      <c r="AM1116" s="49"/>
      <c r="AN1116" s="52" t="str">
        <f t="shared" si="5"/>
        <v>class,</v>
      </c>
    </row>
    <row r="1117">
      <c r="A1117" s="51"/>
      <c r="B1117" s="50" t="s">
        <v>4527</v>
      </c>
      <c r="C1117" s="50" t="s">
        <v>615</v>
      </c>
      <c r="D1117" s="49" t="str">
        <f>IFERROR(__xludf.DUMMYFUNCTION("""COMPUTED_VALUE"""),"major")</f>
        <v>major</v>
      </c>
      <c r="E1117" s="49"/>
      <c r="F1117" s="49"/>
      <c r="G1117" s="49"/>
      <c r="H1117" s="54" t="str">
        <f t="shared" si="1"/>
        <v>beast,</v>
      </c>
      <c r="I1117" s="50"/>
      <c r="J1117" s="50" t="s">
        <v>6721</v>
      </c>
      <c r="K1117" s="50" t="s">
        <v>3549</v>
      </c>
      <c r="L1117" s="49" t="str">
        <f>IFERROR(__xludf.DUMMYFUNCTION("""COMPUTED_VALUE"""),"marine")</f>
        <v>marine</v>
      </c>
      <c r="M1117" s="49"/>
      <c r="N1117" s="49" t="str">
        <f>IFERROR(__xludf.DUMMYFUNCTION("""COMPUTED_VALUE"""),"pizza")</f>
        <v>pizza</v>
      </c>
      <c r="O1117" s="49" t="str">
        <f>IFERROR(__xludf.DUMMYFUNCTION("""COMPUTED_VALUE"""),"urge")</f>
        <v>urge</v>
      </c>
      <c r="P1117" s="49" t="str">
        <f t="shared" si="2"/>
        <v>gold,</v>
      </c>
      <c r="Q1117" s="49"/>
      <c r="R1117" s="50" t="s">
        <v>5742</v>
      </c>
      <c r="S1117" s="55" t="s">
        <v>2292</v>
      </c>
      <c r="T1117" s="49" t="str">
        <f>IFERROR(__xludf.DUMMYFUNCTION("""COMPUTED_VALUE"""),"schemes")</f>
        <v>schemes</v>
      </c>
      <c r="U1117" s="49"/>
      <c r="V1117" s="49"/>
      <c r="W1117" s="49">
        <f>IFERROR(__xludf.DUMMYFUNCTION("""COMPUTED_VALUE"""),83.0)</f>
        <v>83</v>
      </c>
      <c r="X1117" s="49" t="str">
        <f t="shared" si="3"/>
        <v>cheek,</v>
      </c>
      <c r="Y1117" s="49"/>
      <c r="Z1117" s="1" t="s">
        <v>154</v>
      </c>
      <c r="AA1117" s="1" t="s">
        <v>1896</v>
      </c>
      <c r="AB1117" s="49"/>
      <c r="AC1117" s="49"/>
      <c r="AD1117" s="49" t="str">
        <f>IFERROR(__xludf.DUMMYFUNCTION("""COMPUTED_VALUE"""),"pizza")</f>
        <v>pizza</v>
      </c>
      <c r="AE1117" s="49" t="str">
        <f>IFERROR(__xludf.DUMMYFUNCTION("""COMPUTED_VALUE"""),"urge")</f>
        <v>urge</v>
      </c>
      <c r="AF1117" s="49" t="str">
        <f t="shared" si="4"/>
        <v>getting,</v>
      </c>
      <c r="AG1117" s="49"/>
      <c r="AH1117" s="1" t="s">
        <v>1428</v>
      </c>
      <c r="AI1117" s="1" t="s">
        <v>2438</v>
      </c>
      <c r="AJ1117" s="6" t="str">
        <f>IFERROR(__xludf.DUMMYFUNCTION("""COMPUTED_VALUE"""),"secret")</f>
        <v>secret</v>
      </c>
      <c r="AK1117" s="49"/>
      <c r="AL1117" s="49"/>
      <c r="AM1117" s="49"/>
      <c r="AN1117" s="52" t="str">
        <f t="shared" si="5"/>
        <v>read,</v>
      </c>
    </row>
    <row r="1118">
      <c r="A1118" s="51"/>
      <c r="B1118" s="50" t="s">
        <v>808</v>
      </c>
      <c r="C1118" s="50" t="s">
        <v>2137</v>
      </c>
      <c r="D1118" s="49" t="str">
        <f>IFERROR(__xludf.DUMMYFUNCTION("""COMPUTED_VALUE"""),"emerging")</f>
        <v>emerging</v>
      </c>
      <c r="E1118" s="49"/>
      <c r="F1118" s="49"/>
      <c r="G1118" s="49"/>
      <c r="H1118" s="54" t="str">
        <f t="shared" si="1"/>
        <v>ensemble,</v>
      </c>
      <c r="I1118" s="50"/>
      <c r="J1118" s="50" t="s">
        <v>861</v>
      </c>
      <c r="K1118" s="50" t="s">
        <v>594</v>
      </c>
      <c r="L1118" s="49" t="str">
        <f>IFERROR(__xludf.DUMMYFUNCTION("""COMPUTED_VALUE"""),"patience")</f>
        <v>patience</v>
      </c>
      <c r="M1118" s="49"/>
      <c r="N1118" s="49" t="str">
        <f>IFERROR(__xludf.DUMMYFUNCTION("""COMPUTED_VALUE"""),"satisfied")</f>
        <v>satisfied</v>
      </c>
      <c r="O1118" s="49" t="str">
        <f>IFERROR(__xludf.DUMMYFUNCTION("""COMPUTED_VALUE"""),"seductive")</f>
        <v>seductive</v>
      </c>
      <c r="P1118" s="49" t="str">
        <f t="shared" si="2"/>
        <v>touch,</v>
      </c>
      <c r="Q1118" s="49"/>
      <c r="R1118" s="50" t="s">
        <v>2752</v>
      </c>
      <c r="S1118" s="55" t="s">
        <v>665</v>
      </c>
      <c r="T1118" s="49" t="str">
        <f>IFERROR(__xludf.DUMMYFUNCTION("""COMPUTED_VALUE"""),"moved")</f>
        <v>moved</v>
      </c>
      <c r="U1118" s="49"/>
      <c r="V1118" s="49"/>
      <c r="W1118" s="49" t="str">
        <f>IFERROR(__xludf.DUMMYFUNCTION("""COMPUTED_VALUE"""),"resembling")</f>
        <v>resembling</v>
      </c>
      <c r="X1118" s="49" t="str">
        <f t="shared" si="3"/>
        <v>means,</v>
      </c>
      <c r="Y1118" s="49"/>
      <c r="Z1118" s="1" t="s">
        <v>1409</v>
      </c>
      <c r="AA1118" s="1" t="s">
        <v>2868</v>
      </c>
      <c r="AB1118" s="49"/>
      <c r="AC1118" s="49"/>
      <c r="AD1118" s="49" t="str">
        <f>IFERROR(__xludf.DUMMYFUNCTION("""COMPUTED_VALUE"""),"satisfied")</f>
        <v>satisfied</v>
      </c>
      <c r="AE1118" s="49" t="str">
        <f>IFERROR(__xludf.DUMMYFUNCTION("""COMPUTED_VALUE"""),"seductive")</f>
        <v>seductive</v>
      </c>
      <c r="AF1118" s="49" t="str">
        <f t="shared" si="4"/>
        <v>country,</v>
      </c>
      <c r="AG1118" s="49"/>
      <c r="AH1118" s="1" t="s">
        <v>1471</v>
      </c>
      <c r="AI1118" s="1" t="s">
        <v>2182</v>
      </c>
      <c r="AJ1118" s="6" t="str">
        <f>IFERROR(__xludf.DUMMYFUNCTION("""COMPUTED_VALUE"""),"border")</f>
        <v>border</v>
      </c>
      <c r="AK1118" s="49"/>
      <c r="AL1118" s="49"/>
      <c r="AM1118" s="49"/>
      <c r="AN1118" s="52" t="str">
        <f t="shared" si="5"/>
        <v>understand,</v>
      </c>
    </row>
    <row r="1119">
      <c r="A1119" s="51"/>
      <c r="B1119" s="50" t="s">
        <v>544</v>
      </c>
      <c r="C1119" s="50" t="s">
        <v>5545</v>
      </c>
      <c r="D1119" s="49" t="str">
        <f>IFERROR(__xludf.DUMMYFUNCTION("""COMPUTED_VALUE"""),"entity")</f>
        <v>entity</v>
      </c>
      <c r="E1119" s="49"/>
      <c r="F1119" s="49"/>
      <c r="G1119" s="49"/>
      <c r="H1119" s="54" t="str">
        <f t="shared" si="1"/>
        <v>real,</v>
      </c>
      <c r="I1119" s="50"/>
      <c r="J1119" s="50" t="s">
        <v>5714</v>
      </c>
      <c r="K1119" s="50" t="s">
        <v>1078</v>
      </c>
      <c r="L1119" s="49" t="str">
        <f>IFERROR(__xludf.DUMMYFUNCTION("""COMPUTED_VALUE"""),"portrait")</f>
        <v>portrait</v>
      </c>
      <c r="M1119" s="49"/>
      <c r="N1119" s="49" t="str">
        <f>IFERROR(__xludf.DUMMYFUNCTION("""COMPUTED_VALUE"""),"arrangements")</f>
        <v>arrangements</v>
      </c>
      <c r="O1119" s="49" t="str">
        <f>IFERROR(__xludf.DUMMYFUNCTION("""COMPUTED_VALUE"""),"meaningless")</f>
        <v>meaningless</v>
      </c>
      <c r="P1119" s="49" t="str">
        <f t="shared" si="2"/>
        <v>strokes,</v>
      </c>
      <c r="Q1119" s="49"/>
      <c r="R1119" s="50" t="s">
        <v>5671</v>
      </c>
      <c r="S1119" s="55" t="s">
        <v>2298</v>
      </c>
      <c r="T1119" s="49" t="str">
        <f>IFERROR(__xludf.DUMMYFUNCTION("""COMPUTED_VALUE"""),"content")</f>
        <v>content</v>
      </c>
      <c r="U1119" s="49"/>
      <c r="V1119" s="49"/>
      <c r="W1119" s="49" t="str">
        <f>IFERROR(__xludf.DUMMYFUNCTION("""COMPUTED_VALUE"""),"mandy")</f>
        <v>mandy</v>
      </c>
      <c r="X1119" s="49" t="str">
        <f t="shared" si="3"/>
        <v>deserved,</v>
      </c>
      <c r="Y1119" s="49"/>
      <c r="Z1119" s="1" t="s">
        <v>2503</v>
      </c>
      <c r="AA1119" s="1" t="s">
        <v>2874</v>
      </c>
      <c r="AB1119" s="49"/>
      <c r="AC1119" s="49"/>
      <c r="AD1119" s="49" t="str">
        <f>IFERROR(__xludf.DUMMYFUNCTION("""COMPUTED_VALUE"""),"arrangements")</f>
        <v>arrangements</v>
      </c>
      <c r="AE1119" s="49" t="str">
        <f>IFERROR(__xludf.DUMMYFUNCTION("""COMPUTED_VALUE"""),"meaningless")</f>
        <v>meaningless</v>
      </c>
      <c r="AF1119" s="49" t="str">
        <f t="shared" si="4"/>
        <v>basic,</v>
      </c>
      <c r="AG1119" s="49"/>
      <c r="AH1119" s="1" t="s">
        <v>2726</v>
      </c>
      <c r="AI1119" s="1" t="s">
        <v>3625</v>
      </c>
      <c r="AJ1119" s="6" t="str">
        <f>IFERROR(__xludf.DUMMYFUNCTION("""COMPUTED_VALUE"""),"guns")</f>
        <v>guns</v>
      </c>
      <c r="AK1119" s="49"/>
      <c r="AL1119" s="49"/>
      <c r="AM1119" s="49"/>
      <c r="AN1119" s="52" t="str">
        <f t="shared" si="5"/>
        <v>allow,</v>
      </c>
    </row>
    <row r="1120">
      <c r="A1120" s="51"/>
      <c r="B1120" s="50" t="s">
        <v>2620</v>
      </c>
      <c r="C1120" s="50" t="s">
        <v>3594</v>
      </c>
      <c r="D1120" s="49" t="str">
        <f>IFERROR(__xludf.DUMMYFUNCTION("""COMPUTED_VALUE"""),"audiences")</f>
        <v>audiences</v>
      </c>
      <c r="E1120" s="49"/>
      <c r="F1120" s="49"/>
      <c r="G1120" s="49"/>
      <c r="H1120" s="54" t="str">
        <f t="shared" si="1"/>
        <v>sister,</v>
      </c>
      <c r="I1120" s="50"/>
      <c r="J1120" s="50" t="s">
        <v>2833</v>
      </c>
      <c r="K1120" s="50" t="s">
        <v>4029</v>
      </c>
      <c r="L1120" s="49" t="str">
        <f>IFERROR(__xludf.DUMMYFUNCTION("""COMPUTED_VALUE"""),"wore")</f>
        <v>wore</v>
      </c>
      <c r="M1120" s="49"/>
      <c r="N1120" s="49" t="str">
        <f>IFERROR(__xludf.DUMMYFUNCTION("""COMPUTED_VALUE"""),"dusty")</f>
        <v>dusty</v>
      </c>
      <c r="O1120" s="49" t="str">
        <f>IFERROR(__xludf.DUMMYFUNCTION("""COMPUTED_VALUE"""),"leone")</f>
        <v>leone</v>
      </c>
      <c r="P1120" s="49" t="str">
        <f t="shared" si="2"/>
        <v>broad,</v>
      </c>
      <c r="Q1120" s="49"/>
      <c r="R1120" s="50" t="s">
        <v>3484</v>
      </c>
      <c r="S1120" s="55" t="s">
        <v>2295</v>
      </c>
      <c r="T1120" s="49" t="str">
        <f>IFERROR(__xludf.DUMMYFUNCTION("""COMPUTED_VALUE"""),"managed")</f>
        <v>managed</v>
      </c>
      <c r="U1120" s="49"/>
      <c r="V1120" s="49"/>
      <c r="W1120" s="49" t="str">
        <f>IFERROR(__xludf.DUMMYFUNCTION("""COMPUTED_VALUE"""),"anarchist")</f>
        <v>anarchist</v>
      </c>
      <c r="X1120" s="49" t="str">
        <f t="shared" si="3"/>
        <v>wet,</v>
      </c>
      <c r="Y1120" s="49"/>
      <c r="Z1120" s="1" t="s">
        <v>6554</v>
      </c>
      <c r="AA1120" s="1" t="s">
        <v>2871</v>
      </c>
      <c r="AB1120" s="49"/>
      <c r="AC1120" s="49"/>
      <c r="AD1120" s="49" t="str">
        <f>IFERROR(__xludf.DUMMYFUNCTION("""COMPUTED_VALUE"""),"dusty")</f>
        <v>dusty</v>
      </c>
      <c r="AE1120" s="49" t="str">
        <f>IFERROR(__xludf.DUMMYFUNCTION("""COMPUTED_VALUE"""),"leone")</f>
        <v>leone</v>
      </c>
      <c r="AF1120" s="49" t="str">
        <f t="shared" si="4"/>
        <v>spinning,</v>
      </c>
      <c r="AG1120" s="49"/>
      <c r="AH1120" s="1" t="s">
        <v>4346</v>
      </c>
      <c r="AI1120" s="1">
        <v>1.0</v>
      </c>
      <c r="AJ1120" s="6" t="str">
        <f>IFERROR(__xludf.DUMMYFUNCTION("""COMPUTED_VALUE"""),"hoping")</f>
        <v>hoping</v>
      </c>
      <c r="AK1120" s="49"/>
      <c r="AL1120" s="49"/>
      <c r="AM1120" s="49"/>
      <c r="AN1120" s="52" t="str">
        <f t="shared" si="5"/>
        <v>honor,</v>
      </c>
    </row>
    <row r="1121">
      <c r="A1121" s="51"/>
      <c r="B1121" s="50" t="s">
        <v>4659</v>
      </c>
      <c r="C1121" s="50" t="s">
        <v>4761</v>
      </c>
      <c r="D1121" s="49" t="str">
        <f>IFERROR(__xludf.DUMMYFUNCTION("""COMPUTED_VALUE"""),"brain")</f>
        <v>brain</v>
      </c>
      <c r="E1121" s="49"/>
      <c r="F1121" s="49"/>
      <c r="G1121" s="49"/>
      <c r="H1121" s="54" t="str">
        <f t="shared" si="1"/>
        <v>train,</v>
      </c>
      <c r="I1121" s="50"/>
      <c r="J1121" s="50" t="s">
        <v>3884</v>
      </c>
      <c r="K1121" s="50" t="s">
        <v>837</v>
      </c>
      <c r="L1121" s="49" t="str">
        <f>IFERROR(__xludf.DUMMYFUNCTION("""COMPUTED_VALUE"""),"require")</f>
        <v>require</v>
      </c>
      <c r="M1121" s="49"/>
      <c r="N1121" s="49" t="str">
        <f>IFERROR(__xludf.DUMMYFUNCTION("""COMPUTED_VALUE"""),"poke")</f>
        <v>poke</v>
      </c>
      <c r="O1121" s="49" t="str">
        <f>IFERROR(__xludf.DUMMYFUNCTION("""COMPUTED_VALUE"""),"newcomers")</f>
        <v>newcomers</v>
      </c>
      <c r="P1121" s="49" t="str">
        <f t="shared" si="2"/>
        <v>innovation,</v>
      </c>
      <c r="Q1121" s="49"/>
      <c r="R1121" s="50" t="s">
        <v>5885</v>
      </c>
      <c r="S1121" s="55" t="s">
        <v>2302</v>
      </c>
      <c r="T1121" s="49" t="str">
        <f>IFERROR(__xludf.DUMMYFUNCTION("""COMPUTED_VALUE"""),"contemporary")</f>
        <v>contemporary</v>
      </c>
      <c r="U1121" s="49"/>
      <c r="V1121" s="49"/>
      <c r="W1121" s="49" t="str">
        <f>IFERROR(__xludf.DUMMYFUNCTION("""COMPUTED_VALUE"""),"learn")</f>
        <v>learn</v>
      </c>
      <c r="X1121" s="49" t="str">
        <f t="shared" si="3"/>
        <v>ram,</v>
      </c>
      <c r="Y1121" s="49"/>
      <c r="Z1121" s="1" t="s">
        <v>6419</v>
      </c>
      <c r="AA1121" s="1" t="s">
        <v>4075</v>
      </c>
      <c r="AB1121" s="49"/>
      <c r="AC1121" s="49"/>
      <c r="AD1121" s="49" t="str">
        <f>IFERROR(__xludf.DUMMYFUNCTION("""COMPUTED_VALUE"""),"poke")</f>
        <v>poke</v>
      </c>
      <c r="AE1121" s="49" t="str">
        <f>IFERROR(__xludf.DUMMYFUNCTION("""COMPUTED_VALUE"""),"newcomers")</f>
        <v>newcomers</v>
      </c>
      <c r="AF1121" s="49" t="str">
        <f t="shared" si="4"/>
        <v>franchise,</v>
      </c>
      <c r="AG1121" s="49"/>
      <c r="AH1121" s="1" t="s">
        <v>2820</v>
      </c>
      <c r="AI1121" s="1" t="s">
        <v>4507</v>
      </c>
      <c r="AJ1121" s="6" t="str">
        <f>IFERROR(__xludf.DUMMYFUNCTION("""COMPUTED_VALUE"""),"ethnic")</f>
        <v>ethnic</v>
      </c>
      <c r="AK1121" s="49"/>
      <c r="AL1121" s="49"/>
      <c r="AM1121" s="49"/>
      <c r="AN1121" s="52" t="str">
        <f t="shared" si="5"/>
        <v>laughed,</v>
      </c>
    </row>
    <row r="1122">
      <c r="A1122" s="51"/>
      <c r="B1122" s="50" t="s">
        <v>5403</v>
      </c>
      <c r="C1122" s="50" t="s">
        <v>2142</v>
      </c>
      <c r="D1122" s="49" t="str">
        <f>IFERROR(__xludf.DUMMYFUNCTION("""COMPUTED_VALUE"""),"sign")</f>
        <v>sign</v>
      </c>
      <c r="E1122" s="49"/>
      <c r="F1122" s="49"/>
      <c r="G1122" s="49"/>
      <c r="H1122" s="54" t="str">
        <f t="shared" si="1"/>
        <v>golden,</v>
      </c>
      <c r="I1122" s="50"/>
      <c r="J1122" s="50" t="s">
        <v>1369</v>
      </c>
      <c r="K1122" s="50" t="s">
        <v>3556</v>
      </c>
      <c r="L1122" s="49">
        <f>IFERROR(__xludf.DUMMYFUNCTION("""COMPUTED_VALUE"""),94.0)</f>
        <v>94</v>
      </c>
      <c r="M1122" s="49"/>
      <c r="N1122" s="49" t="str">
        <f>IFERROR(__xludf.DUMMYFUNCTION("""COMPUTED_VALUE"""),"bread")</f>
        <v>bread</v>
      </c>
      <c r="O1122" s="49" t="str">
        <f>IFERROR(__xludf.DUMMYFUNCTION("""COMPUTED_VALUE"""),"allison")</f>
        <v>allison</v>
      </c>
      <c r="P1122" s="49" t="str">
        <f t="shared" si="2"/>
        <v>surprisingly,</v>
      </c>
      <c r="Q1122" s="49"/>
      <c r="R1122" s="50" t="s">
        <v>1035</v>
      </c>
      <c r="S1122" s="55" t="s">
        <v>2306</v>
      </c>
      <c r="T1122" s="49" t="str">
        <f>IFERROR(__xludf.DUMMYFUNCTION("""COMPUTED_VALUE"""),"recognize")</f>
        <v>recognize</v>
      </c>
      <c r="U1122" s="49"/>
      <c r="V1122" s="49"/>
      <c r="W1122" s="49" t="str">
        <f>IFERROR(__xludf.DUMMYFUNCTION("""COMPUTED_VALUE"""),"margin")</f>
        <v>margin</v>
      </c>
      <c r="X1122" s="49" t="str">
        <f t="shared" si="3"/>
        <v>recording,</v>
      </c>
      <c r="Y1122" s="49"/>
      <c r="Z1122" s="1" t="s">
        <v>1430</v>
      </c>
      <c r="AA1122" s="1" t="s">
        <v>1466</v>
      </c>
      <c r="AB1122" s="49"/>
      <c r="AC1122" s="49"/>
      <c r="AD1122" s="49" t="str">
        <f>IFERROR(__xludf.DUMMYFUNCTION("""COMPUTED_VALUE"""),"bread")</f>
        <v>bread</v>
      </c>
      <c r="AE1122" s="49" t="str">
        <f>IFERROR(__xludf.DUMMYFUNCTION("""COMPUTED_VALUE"""),"allison")</f>
        <v>allison</v>
      </c>
      <c r="AF1122" s="49" t="str">
        <f t="shared" si="4"/>
        <v>artist,</v>
      </c>
      <c r="AG1122" s="49"/>
      <c r="AH1122" s="1" t="s">
        <v>4251</v>
      </c>
      <c r="AI1122" s="1" t="s">
        <v>3111</v>
      </c>
      <c r="AJ1122" s="6" t="str">
        <f>IFERROR(__xludf.DUMMYFUNCTION("""COMPUTED_VALUE"""),"essentially")</f>
        <v>essentially</v>
      </c>
      <c r="AK1122" s="49"/>
      <c r="AL1122" s="49"/>
      <c r="AM1122" s="49"/>
      <c r="AN1122" s="52" t="str">
        <f t="shared" si="5"/>
        <v>message,</v>
      </c>
    </row>
    <row r="1123">
      <c r="A1123" s="51"/>
      <c r="B1123" s="50" t="s">
        <v>7166</v>
      </c>
      <c r="C1123" s="50" t="s">
        <v>2165</v>
      </c>
      <c r="D1123" s="49" t="str">
        <f>IFERROR(__xludf.DUMMYFUNCTION("""COMPUTED_VALUE"""),"buy")</f>
        <v>buy</v>
      </c>
      <c r="E1123" s="49"/>
      <c r="F1123" s="49"/>
      <c r="G1123" s="49"/>
      <c r="H1123" s="54" t="str">
        <f t="shared" si="1"/>
        <v>sky,</v>
      </c>
      <c r="I1123" s="50"/>
      <c r="J1123" s="50" t="s">
        <v>4083</v>
      </c>
      <c r="K1123" s="50" t="s">
        <v>2463</v>
      </c>
      <c r="L1123" s="49" t="str">
        <f>IFERROR(__xludf.DUMMYFUNCTION("""COMPUTED_VALUE"""),"pokemon")</f>
        <v>pokemon</v>
      </c>
      <c r="M1123" s="49"/>
      <c r="N1123" s="49" t="str">
        <f>IFERROR(__xludf.DUMMYFUNCTION("""COMPUTED_VALUE"""),"swinging")</f>
        <v>swinging</v>
      </c>
      <c r="O1123" s="49" t="str">
        <f>IFERROR(__xludf.DUMMYFUNCTION("""COMPUTED_VALUE"""),"cloudy")</f>
        <v>cloudy</v>
      </c>
      <c r="P1123" s="49" t="str">
        <f t="shared" si="2"/>
        <v>consistently,</v>
      </c>
      <c r="Q1123" s="49"/>
      <c r="R1123" s="50" t="s">
        <v>6594</v>
      </c>
      <c r="S1123" s="55" t="s">
        <v>3299</v>
      </c>
      <c r="T1123" s="49" t="str">
        <f>IFERROR(__xludf.DUMMYFUNCTION("""COMPUTED_VALUE"""),"aspects")</f>
        <v>aspects</v>
      </c>
      <c r="U1123" s="49"/>
      <c r="V1123" s="49"/>
      <c r="W1123" s="49" t="str">
        <f>IFERROR(__xludf.DUMMYFUNCTION("""COMPUTED_VALUE"""),"meaningless")</f>
        <v>meaningless</v>
      </c>
      <c r="X1123" s="49" t="str">
        <f t="shared" si="3"/>
        <v>disregard,</v>
      </c>
      <c r="Y1123" s="49"/>
      <c r="Z1123" s="1" t="s">
        <v>4184</v>
      </c>
      <c r="AA1123" s="1" t="s">
        <v>497</v>
      </c>
      <c r="AB1123" s="49"/>
      <c r="AC1123" s="49"/>
      <c r="AD1123" s="49" t="str">
        <f>IFERROR(__xludf.DUMMYFUNCTION("""COMPUTED_VALUE"""),"swinging")</f>
        <v>swinging</v>
      </c>
      <c r="AE1123" s="49" t="str">
        <f>IFERROR(__xludf.DUMMYFUNCTION("""COMPUTED_VALUE"""),"cloudy")</f>
        <v>cloudy</v>
      </c>
      <c r="AF1123" s="49" t="str">
        <f t="shared" si="4"/>
        <v>soul,</v>
      </c>
      <c r="AG1123" s="49"/>
      <c r="AH1123" s="1" t="s">
        <v>4262</v>
      </c>
      <c r="AI1123" s="1" t="s">
        <v>808</v>
      </c>
      <c r="AJ1123" s="6" t="str">
        <f>IFERROR(__xludf.DUMMYFUNCTION("""COMPUTED_VALUE"""),"known")</f>
        <v>known</v>
      </c>
      <c r="AK1123" s="49"/>
      <c r="AL1123" s="49"/>
      <c r="AM1123" s="49"/>
      <c r="AN1123" s="52" t="str">
        <f t="shared" si="5"/>
        <v>matters,</v>
      </c>
    </row>
    <row r="1124">
      <c r="A1124" s="51"/>
      <c r="B1124" s="50" t="s">
        <v>6995</v>
      </c>
      <c r="C1124" s="50" t="s">
        <v>941</v>
      </c>
      <c r="D1124" s="49" t="str">
        <f>IFERROR(__xludf.DUMMYFUNCTION("""COMPUTED_VALUE"""),"mile")</f>
        <v>mile</v>
      </c>
      <c r="E1124" s="49"/>
      <c r="F1124" s="49"/>
      <c r="G1124" s="49"/>
      <c r="H1124" s="54" t="str">
        <f t="shared" si="1"/>
        <v>eric,</v>
      </c>
      <c r="I1124" s="50"/>
      <c r="J1124" s="50" t="s">
        <v>55</v>
      </c>
      <c r="K1124" s="50" t="s">
        <v>737</v>
      </c>
      <c r="L1124" s="49" t="str">
        <f>IFERROR(__xludf.DUMMYFUNCTION("""COMPUTED_VALUE"""),"sophisticated")</f>
        <v>sophisticated</v>
      </c>
      <c r="M1124" s="49"/>
      <c r="N1124" s="49" t="str">
        <f>IFERROR(__xludf.DUMMYFUNCTION("""COMPUTED_VALUE"""),"counter")</f>
        <v>counter</v>
      </c>
      <c r="O1124" s="49" t="str">
        <f>IFERROR(__xludf.DUMMYFUNCTION("""COMPUTED_VALUE"""),"documentaries")</f>
        <v>documentaries</v>
      </c>
      <c r="P1124" s="49" t="str">
        <f t="shared" si="2"/>
        <v>succeeds,</v>
      </c>
      <c r="Q1124" s="49"/>
      <c r="R1124" s="50" t="s">
        <v>4788</v>
      </c>
      <c r="S1124" s="55" t="s">
        <v>3304</v>
      </c>
      <c r="T1124" s="49" t="str">
        <f>IFERROR(__xludf.DUMMYFUNCTION("""COMPUTED_VALUE"""),"prank")</f>
        <v>prank</v>
      </c>
      <c r="U1124" s="49"/>
      <c r="V1124" s="49"/>
      <c r="W1124" s="49" t="str">
        <f>IFERROR(__xludf.DUMMYFUNCTION("""COMPUTED_VALUE"""),"sugar")</f>
        <v>sugar</v>
      </c>
      <c r="X1124" s="49" t="str">
        <f t="shared" si="3"/>
        <v>cross,</v>
      </c>
      <c r="Y1124" s="49"/>
      <c r="Z1124" s="1" t="s">
        <v>6556</v>
      </c>
      <c r="AA1124" s="1" t="s">
        <v>2887</v>
      </c>
      <c r="AB1124" s="49"/>
      <c r="AC1124" s="49"/>
      <c r="AD1124" s="49" t="str">
        <f>IFERROR(__xludf.DUMMYFUNCTION("""COMPUTED_VALUE"""),"counter")</f>
        <v>counter</v>
      </c>
      <c r="AE1124" s="49" t="str">
        <f>IFERROR(__xludf.DUMMYFUNCTION("""COMPUTED_VALUE"""),"documentaries")</f>
        <v>documentaries</v>
      </c>
      <c r="AF1124" s="49" t="str">
        <f t="shared" si="4"/>
        <v>james,</v>
      </c>
      <c r="AG1124" s="49"/>
      <c r="AH1124" s="1" t="s">
        <v>4424</v>
      </c>
      <c r="AI1124" s="1" t="s">
        <v>6449</v>
      </c>
      <c r="AJ1124" s="6" t="str">
        <f>IFERROR(__xludf.DUMMYFUNCTION("""COMPUTED_VALUE"""),"needs")</f>
        <v>needs</v>
      </c>
      <c r="AK1124" s="49"/>
      <c r="AL1124" s="49"/>
      <c r="AM1124" s="49"/>
      <c r="AN1124" s="52" t="str">
        <f t="shared" si="5"/>
        <v>returns,</v>
      </c>
    </row>
    <row r="1125">
      <c r="A1125" s="51"/>
      <c r="B1125" s="50" t="s">
        <v>6889</v>
      </c>
      <c r="C1125" s="50" t="s">
        <v>3084</v>
      </c>
      <c r="D1125" s="49" t="str">
        <f>IFERROR(__xludf.DUMMYFUNCTION("""COMPUTED_VALUE"""),"strike")</f>
        <v>strike</v>
      </c>
      <c r="E1125" s="49"/>
      <c r="F1125" s="49"/>
      <c r="G1125" s="49"/>
      <c r="H1125" s="54" t="str">
        <f t="shared" si="1"/>
        <v>catherine,</v>
      </c>
      <c r="I1125" s="50"/>
      <c r="J1125" s="50" t="s">
        <v>1601</v>
      </c>
      <c r="K1125" s="50" t="s">
        <v>2467</v>
      </c>
      <c r="L1125" s="49" t="str">
        <f>IFERROR(__xludf.DUMMYFUNCTION("""COMPUTED_VALUE"""),"terror")</f>
        <v>terror</v>
      </c>
      <c r="M1125" s="49"/>
      <c r="N1125" s="49" t="str">
        <f>IFERROR(__xludf.DUMMYFUNCTION("""COMPUTED_VALUE"""),"garden")</f>
        <v>garden</v>
      </c>
      <c r="O1125" s="49" t="str">
        <f>IFERROR(__xludf.DUMMYFUNCTION("""COMPUTED_VALUE"""),"peas")</f>
        <v>peas</v>
      </c>
      <c r="P1125" s="49" t="str">
        <f t="shared" si="2"/>
        <v>failing,</v>
      </c>
      <c r="Q1125" s="49"/>
      <c r="R1125" s="50" t="s">
        <v>6176</v>
      </c>
      <c r="S1125" s="55" t="s">
        <v>4699</v>
      </c>
      <c r="T1125" s="49" t="str">
        <f>IFERROR(__xludf.DUMMYFUNCTION("""COMPUTED_VALUE"""),"birthday")</f>
        <v>birthday</v>
      </c>
      <c r="U1125" s="49"/>
      <c r="V1125" s="49"/>
      <c r="W1125" s="49" t="str">
        <f>IFERROR(__xludf.DUMMYFUNCTION("""COMPUTED_VALUE"""),"leone")</f>
        <v>leone</v>
      </c>
      <c r="X1125" s="49" t="str">
        <f t="shared" si="3"/>
        <v>unaware,</v>
      </c>
      <c r="Y1125" s="49"/>
      <c r="Z1125" s="1" t="s">
        <v>1762</v>
      </c>
      <c r="AA1125" s="1" t="s">
        <v>811</v>
      </c>
      <c r="AB1125" s="49"/>
      <c r="AC1125" s="49"/>
      <c r="AD1125" s="49" t="str">
        <f>IFERROR(__xludf.DUMMYFUNCTION("""COMPUTED_VALUE"""),"garden")</f>
        <v>garden</v>
      </c>
      <c r="AE1125" s="49" t="str">
        <f>IFERROR(__xludf.DUMMYFUNCTION("""COMPUTED_VALUE"""),"peas")</f>
        <v>peas</v>
      </c>
      <c r="AF1125" s="49" t="str">
        <f t="shared" si="4"/>
        <v>appear,</v>
      </c>
      <c r="AG1125" s="49"/>
      <c r="AH1125" s="1" t="s">
        <v>221</v>
      </c>
      <c r="AI1125" s="1" t="s">
        <v>863</v>
      </c>
      <c r="AJ1125" s="6" t="str">
        <f>IFERROR(__xludf.DUMMYFUNCTION("""COMPUTED_VALUE"""),"traffic")</f>
        <v>traffic</v>
      </c>
      <c r="AK1125" s="49"/>
      <c r="AL1125" s="49"/>
      <c r="AM1125" s="49"/>
      <c r="AN1125" s="52" t="str">
        <f t="shared" si="5"/>
        <v>next,</v>
      </c>
    </row>
    <row r="1126">
      <c r="A1126" s="51"/>
      <c r="B1126" s="50" t="s">
        <v>2919</v>
      </c>
      <c r="C1126" s="50" t="s">
        <v>2189</v>
      </c>
      <c r="D1126" s="49" t="str">
        <f>IFERROR(__xludf.DUMMYFUNCTION("""COMPUTED_VALUE"""),"nerve")</f>
        <v>nerve</v>
      </c>
      <c r="E1126" s="49"/>
      <c r="F1126" s="49"/>
      <c r="G1126" s="49"/>
      <c r="H1126" s="54" t="str">
        <f t="shared" si="1"/>
        <v>roberts,</v>
      </c>
      <c r="I1126" s="50"/>
      <c r="J1126" s="50" t="s">
        <v>2178</v>
      </c>
      <c r="K1126" s="50" t="s">
        <v>746</v>
      </c>
      <c r="L1126" s="49" t="str">
        <f>IFERROR(__xludf.DUMMYFUNCTION("""COMPUTED_VALUE"""),"spectacular")</f>
        <v>spectacular</v>
      </c>
      <c r="M1126" s="49"/>
      <c r="N1126" s="49" t="str">
        <f>IFERROR(__xludf.DUMMYFUNCTION("""COMPUTED_VALUE"""),"grandmother")</f>
        <v>grandmother</v>
      </c>
      <c r="O1126" s="49" t="str">
        <f>IFERROR(__xludf.DUMMYFUNCTION("""COMPUTED_VALUE"""),"mosque")</f>
        <v>mosque</v>
      </c>
      <c r="P1126" s="49" t="str">
        <f t="shared" si="2"/>
        <v>add,</v>
      </c>
      <c r="Q1126" s="49"/>
      <c r="R1126" s="50" t="s">
        <v>5491</v>
      </c>
      <c r="S1126" s="55" t="s">
        <v>674</v>
      </c>
      <c r="T1126" s="49" t="str">
        <f>IFERROR(__xludf.DUMMYFUNCTION("""COMPUTED_VALUE"""),"variety")</f>
        <v>variety</v>
      </c>
      <c r="U1126" s="49"/>
      <c r="V1126" s="49"/>
      <c r="W1126" s="49" t="str">
        <f>IFERROR(__xludf.DUMMYFUNCTION("""COMPUTED_VALUE"""),"cloudy")</f>
        <v>cloudy</v>
      </c>
      <c r="X1126" s="49" t="str">
        <f t="shared" si="3"/>
        <v>chen,</v>
      </c>
      <c r="Y1126" s="49"/>
      <c r="Z1126" s="1" t="s">
        <v>1077</v>
      </c>
      <c r="AA1126" s="1" t="s">
        <v>94</v>
      </c>
      <c r="AB1126" s="49"/>
      <c r="AC1126" s="49"/>
      <c r="AD1126" s="49" t="str">
        <f>IFERROR(__xludf.DUMMYFUNCTION("""COMPUTED_VALUE"""),"grandmother")</f>
        <v>grandmother</v>
      </c>
      <c r="AE1126" s="49" t="str">
        <f>IFERROR(__xludf.DUMMYFUNCTION("""COMPUTED_VALUE"""),"mosque")</f>
        <v>mosque</v>
      </c>
      <c r="AF1126" s="49" t="str">
        <f t="shared" si="4"/>
        <v>comic,</v>
      </c>
      <c r="AG1126" s="49"/>
      <c r="AH1126" s="1" t="s">
        <v>625</v>
      </c>
      <c r="AI1126" s="1" t="s">
        <v>2194</v>
      </c>
      <c r="AJ1126" s="6" t="str">
        <f>IFERROR(__xludf.DUMMYFUNCTION("""COMPUTED_VALUE"""),"slow")</f>
        <v>slow</v>
      </c>
      <c r="AK1126" s="49"/>
      <c r="AL1126" s="49"/>
      <c r="AM1126" s="49"/>
      <c r="AN1126" s="52" t="str">
        <f t="shared" si="5"/>
        <v>told,</v>
      </c>
    </row>
    <row r="1127">
      <c r="A1127" s="51"/>
      <c r="B1127" s="50" t="s">
        <v>789</v>
      </c>
      <c r="C1127" s="50" t="s">
        <v>2514</v>
      </c>
      <c r="D1127" s="49" t="str">
        <f>IFERROR(__xludf.DUMMYFUNCTION("""COMPUTED_VALUE"""),"execution")</f>
        <v>execution</v>
      </c>
      <c r="E1127" s="49"/>
      <c r="F1127" s="49"/>
      <c r="G1127" s="49"/>
      <c r="H1127" s="54" t="str">
        <f t="shared" si="1"/>
        <v>ugly,</v>
      </c>
      <c r="I1127" s="50"/>
      <c r="J1127" s="50" t="s">
        <v>1543</v>
      </c>
      <c r="K1127" s="50" t="s">
        <v>603</v>
      </c>
      <c r="L1127" s="49" t="str">
        <f>IFERROR(__xludf.DUMMYFUNCTION("""COMPUTED_VALUE"""),"professionals")</f>
        <v>professionals</v>
      </c>
      <c r="M1127" s="49"/>
      <c r="N1127" s="49" t="str">
        <f>IFERROR(__xludf.DUMMYFUNCTION("""COMPUTED_VALUE"""),"evenings")</f>
        <v>evenings</v>
      </c>
      <c r="O1127" s="49" t="str">
        <f>IFERROR(__xludf.DUMMYFUNCTION("""COMPUTED_VALUE"""),"queen")</f>
        <v>queen</v>
      </c>
      <c r="P1127" s="49" t="str">
        <f t="shared" si="2"/>
        <v>subject,</v>
      </c>
      <c r="Q1127" s="49"/>
      <c r="R1127" s="50" t="s">
        <v>4702</v>
      </c>
      <c r="S1127" s="55" t="s">
        <v>3311</v>
      </c>
      <c r="T1127" s="49" t="str">
        <f>IFERROR(__xludf.DUMMYFUNCTION("""COMPUTED_VALUE"""),"flair")</f>
        <v>flair</v>
      </c>
      <c r="U1127" s="49"/>
      <c r="V1127" s="49"/>
      <c r="W1127" s="49" t="str">
        <f>IFERROR(__xludf.DUMMYFUNCTION("""COMPUTED_VALUE"""),"documentaries")</f>
        <v>documentaries</v>
      </c>
      <c r="X1127" s="49" t="str">
        <f t="shared" si="3"/>
        <v>vs,</v>
      </c>
      <c r="Y1127" s="49"/>
      <c r="Z1127" s="1" t="s">
        <v>183</v>
      </c>
      <c r="AA1127" s="1" t="s">
        <v>951</v>
      </c>
      <c r="AB1127" s="49"/>
      <c r="AC1127" s="49"/>
      <c r="AD1127" s="49" t="str">
        <f>IFERROR(__xludf.DUMMYFUNCTION("""COMPUTED_VALUE"""),"evenings")</f>
        <v>evenings</v>
      </c>
      <c r="AE1127" s="49" t="str">
        <f>IFERROR(__xludf.DUMMYFUNCTION("""COMPUTED_VALUE"""),"queen")</f>
        <v>queen</v>
      </c>
      <c r="AF1127" s="49" t="str">
        <f t="shared" si="4"/>
        <v>sequel,</v>
      </c>
      <c r="AG1127" s="49"/>
      <c r="AH1127" s="1" t="s">
        <v>1190</v>
      </c>
      <c r="AI1127" s="1" t="s">
        <v>2164</v>
      </c>
      <c r="AJ1127" s="6" t="str">
        <f>IFERROR(__xludf.DUMMYFUNCTION("""COMPUTED_VALUE"""),"critical")</f>
        <v>critical</v>
      </c>
      <c r="AK1127" s="49"/>
      <c r="AL1127" s="49"/>
      <c r="AM1127" s="49"/>
      <c r="AN1127" s="52" t="str">
        <f t="shared" si="5"/>
        <v>gave,</v>
      </c>
    </row>
    <row r="1128">
      <c r="A1128" s="51"/>
      <c r="B1128" s="50" t="s">
        <v>598</v>
      </c>
      <c r="C1128" s="50" t="s">
        <v>2149</v>
      </c>
      <c r="D1128" s="49" t="str">
        <f>IFERROR(__xludf.DUMMYFUNCTION("""COMPUTED_VALUE"""),"bit")</f>
        <v>bit</v>
      </c>
      <c r="E1128" s="49"/>
      <c r="F1128" s="49"/>
      <c r="G1128" s="49"/>
      <c r="H1128" s="54" t="str">
        <f t="shared" si="1"/>
        <v>point,</v>
      </c>
      <c r="I1128" s="50"/>
      <c r="J1128" s="50" t="s">
        <v>4214</v>
      </c>
      <c r="K1128" s="50" t="s">
        <v>680</v>
      </c>
      <c r="L1128" s="49" t="str">
        <f>IFERROR(__xludf.DUMMYFUNCTION("""COMPUTED_VALUE"""),"pinnacle")</f>
        <v>pinnacle</v>
      </c>
      <c r="M1128" s="49"/>
      <c r="N1128" s="49"/>
      <c r="O1128" s="49" t="str">
        <f>IFERROR(__xludf.DUMMYFUNCTION("""COMPUTED_VALUE"""),"anne")</f>
        <v>anne</v>
      </c>
      <c r="P1128" s="49" t="str">
        <f t="shared" si="2"/>
        <v>jokes,</v>
      </c>
      <c r="Q1128" s="49"/>
      <c r="R1128" s="50" t="s">
        <v>2931</v>
      </c>
      <c r="S1128" s="55" t="s">
        <v>1094</v>
      </c>
      <c r="T1128" s="49" t="str">
        <f>IFERROR(__xludf.DUMMYFUNCTION("""COMPUTED_VALUE"""),"filmmaker")</f>
        <v>filmmaker</v>
      </c>
      <c r="U1128" s="49"/>
      <c r="V1128" s="49"/>
      <c r="W1128" s="49" t="str">
        <f>IFERROR(__xludf.DUMMYFUNCTION("""COMPUTED_VALUE"""),"peas")</f>
        <v>peas</v>
      </c>
      <c r="X1128" s="49" t="str">
        <f t="shared" si="3"/>
        <v>jolly,</v>
      </c>
      <c r="Y1128" s="49"/>
      <c r="Z1128" s="1" t="s">
        <v>3356</v>
      </c>
      <c r="AA1128" s="1" t="s">
        <v>4083</v>
      </c>
      <c r="AB1128" s="49"/>
      <c r="AC1128" s="49"/>
      <c r="AD1128" s="49"/>
      <c r="AE1128" s="49" t="str">
        <f>IFERROR(__xludf.DUMMYFUNCTION("""COMPUTED_VALUE"""),"anne")</f>
        <v>anne</v>
      </c>
      <c r="AF1128" s="49" t="str">
        <f t="shared" si="4"/>
        <v>move,</v>
      </c>
      <c r="AG1128" s="49"/>
      <c r="AH1128" s="1" t="s">
        <v>5934</v>
      </c>
      <c r="AI1128" s="1" t="s">
        <v>2202</v>
      </c>
      <c r="AJ1128" s="6" t="str">
        <f>IFERROR(__xludf.DUMMYFUNCTION("""COMPUTED_VALUE"""),"condition")</f>
        <v>condition</v>
      </c>
      <c r="AK1128" s="49"/>
      <c r="AL1128" s="49"/>
      <c r="AM1128" s="49"/>
      <c r="AN1128" s="52" t="str">
        <f t="shared" si="5"/>
        <v>ran,</v>
      </c>
    </row>
    <row r="1129">
      <c r="A1129" s="51"/>
      <c r="B1129" s="50" t="s">
        <v>3566</v>
      </c>
      <c r="C1129" s="50" t="s">
        <v>4692</v>
      </c>
      <c r="D1129" s="49" t="str">
        <f>IFERROR(__xludf.DUMMYFUNCTION("""COMPUTED_VALUE"""),"broken")</f>
        <v>broken</v>
      </c>
      <c r="E1129" s="49"/>
      <c r="F1129" s="49"/>
      <c r="G1129" s="49"/>
      <c r="H1129" s="54" t="str">
        <f t="shared" si="1"/>
        <v>language,</v>
      </c>
      <c r="I1129" s="50"/>
      <c r="J1129" s="50" t="s">
        <v>2578</v>
      </c>
      <c r="K1129" s="50" t="s">
        <v>1153</v>
      </c>
      <c r="L1129" s="49" t="str">
        <f>IFERROR(__xludf.DUMMYFUNCTION("""COMPUTED_VALUE"""),"daughters")</f>
        <v>daughters</v>
      </c>
      <c r="M1129" s="49"/>
      <c r="N1129" s="49"/>
      <c r="O1129" s="49" t="str">
        <f>IFERROR(__xludf.DUMMYFUNCTION("""COMPUTED_VALUE"""),"sway")</f>
        <v>sway</v>
      </c>
      <c r="P1129" s="49" t="str">
        <f t="shared" si="2"/>
        <v>miserable,</v>
      </c>
      <c r="Q1129" s="49"/>
      <c r="R1129" s="50" t="s">
        <v>4589</v>
      </c>
      <c r="S1129" s="55" t="s">
        <v>1052</v>
      </c>
      <c r="T1129" s="49" t="str">
        <f>IFERROR(__xludf.DUMMYFUNCTION("""COMPUTED_VALUE"""),"pleasant")</f>
        <v>pleasant</v>
      </c>
      <c r="U1129" s="49"/>
      <c r="V1129" s="49"/>
      <c r="W1129" s="49" t="str">
        <f>IFERROR(__xludf.DUMMYFUNCTION("""COMPUTED_VALUE"""),"mosque")</f>
        <v>mosque</v>
      </c>
      <c r="X1129" s="49" t="str">
        <f t="shared" si="3"/>
        <v>meets,</v>
      </c>
      <c r="Y1129" s="49"/>
      <c r="Z1129" s="1" t="s">
        <v>1207</v>
      </c>
      <c r="AA1129" s="1" t="s">
        <v>639</v>
      </c>
      <c r="AB1129" s="49"/>
      <c r="AC1129" s="49"/>
      <c r="AD1129" s="49"/>
      <c r="AE1129" s="49" t="str">
        <f>IFERROR(__xludf.DUMMYFUNCTION("""COMPUTED_VALUE"""),"sway")</f>
        <v>sway</v>
      </c>
      <c r="AF1129" s="49" t="str">
        <f t="shared" si="4"/>
        <v>shallow,</v>
      </c>
      <c r="AG1129" s="49"/>
      <c r="AH1129" s="1" t="s">
        <v>4694</v>
      </c>
      <c r="AI1129" s="1" t="s">
        <v>3652</v>
      </c>
      <c r="AJ1129" s="6" t="str">
        <f>IFERROR(__xludf.DUMMYFUNCTION("""COMPUTED_VALUE"""),"hey")</f>
        <v>hey</v>
      </c>
      <c r="AK1129" s="49"/>
      <c r="AL1129" s="49"/>
      <c r="AM1129" s="49"/>
      <c r="AN1129" s="52" t="str">
        <f t="shared" si="5"/>
        <v>independent,</v>
      </c>
    </row>
    <row r="1130">
      <c r="A1130" s="51"/>
      <c r="B1130" s="50" t="s">
        <v>2581</v>
      </c>
      <c r="C1130" s="50" t="s">
        <v>2145</v>
      </c>
      <c r="D1130" s="49" t="str">
        <f>IFERROR(__xludf.DUMMYFUNCTION("""COMPUTED_VALUE"""),"pianist")</f>
        <v>pianist</v>
      </c>
      <c r="E1130" s="49"/>
      <c r="F1130" s="49"/>
      <c r="G1130" s="49"/>
      <c r="H1130" s="54" t="str">
        <f t="shared" si="1"/>
        <v>christian,</v>
      </c>
      <c r="I1130" s="50"/>
      <c r="J1130" s="50" t="s">
        <v>115</v>
      </c>
      <c r="K1130" s="50" t="s">
        <v>612</v>
      </c>
      <c r="L1130" s="49" t="str">
        <f>IFERROR(__xludf.DUMMYFUNCTION("""COMPUTED_VALUE"""),"struggle")</f>
        <v>struggle</v>
      </c>
      <c r="M1130" s="49"/>
      <c r="N1130" s="49"/>
      <c r="O1130" s="49" t="str">
        <f>IFERROR(__xludf.DUMMYFUNCTION("""COMPUTED_VALUE"""),"sylvie")</f>
        <v>sylvie</v>
      </c>
      <c r="P1130" s="49" t="str">
        <f t="shared" si="2"/>
        <v>utterly,</v>
      </c>
      <c r="Q1130" s="49"/>
      <c r="R1130" s="50" t="s">
        <v>6387</v>
      </c>
      <c r="S1130" s="55" t="s">
        <v>2310</v>
      </c>
      <c r="T1130" s="49" t="str">
        <f>IFERROR(__xludf.DUMMYFUNCTION("""COMPUTED_VALUE"""),"arbitrary")</f>
        <v>arbitrary</v>
      </c>
      <c r="U1130" s="49"/>
      <c r="V1130" s="49"/>
      <c r="W1130" s="49" t="str">
        <f>IFERROR(__xludf.DUMMYFUNCTION("""COMPUTED_VALUE"""),"glimpse")</f>
        <v>glimpse</v>
      </c>
      <c r="X1130" s="49" t="str">
        <f t="shared" si="3"/>
        <v>heated,</v>
      </c>
      <c r="Y1130" s="49"/>
      <c r="Z1130" s="1" t="s">
        <v>3947</v>
      </c>
      <c r="AA1130" s="1" t="s">
        <v>2747</v>
      </c>
      <c r="AB1130" s="49"/>
      <c r="AC1130" s="49"/>
      <c r="AD1130" s="49"/>
      <c r="AE1130" s="49" t="str">
        <f>IFERROR(__xludf.DUMMYFUNCTION("""COMPUTED_VALUE"""),"sylvie")</f>
        <v>sylvie</v>
      </c>
      <c r="AF1130" s="49" t="str">
        <f t="shared" si="4"/>
        <v>artificial,</v>
      </c>
      <c r="AG1130" s="49"/>
      <c r="AH1130" s="1" t="s">
        <v>1120</v>
      </c>
      <c r="AI1130" s="1" t="s">
        <v>3656</v>
      </c>
      <c r="AJ1130" s="6" t="str">
        <f>IFERROR(__xludf.DUMMYFUNCTION("""COMPUTED_VALUE"""),"friday")</f>
        <v>friday</v>
      </c>
      <c r="AK1130" s="49"/>
      <c r="AL1130" s="49"/>
      <c r="AM1130" s="49"/>
      <c r="AN1130" s="52" t="str">
        <f t="shared" si="5"/>
        <v>anyone,</v>
      </c>
    </row>
    <row r="1131">
      <c r="A1131" s="51"/>
      <c r="B1131" s="50" t="s">
        <v>4190</v>
      </c>
      <c r="C1131" s="50" t="s">
        <v>6448</v>
      </c>
      <c r="D1131" s="49" t="str">
        <f>IFERROR(__xludf.DUMMYFUNCTION("""COMPUTED_VALUE"""),"surgeon")</f>
        <v>surgeon</v>
      </c>
      <c r="E1131" s="49"/>
      <c r="F1131" s="49"/>
      <c r="G1131" s="49"/>
      <c r="H1131" s="54" t="str">
        <f t="shared" si="1"/>
        <v>fully,</v>
      </c>
      <c r="I1131" s="50"/>
      <c r="J1131" s="50" t="s">
        <v>5579</v>
      </c>
      <c r="K1131" s="50" t="s">
        <v>4090</v>
      </c>
      <c r="L1131" s="49" t="str">
        <f>IFERROR(__xludf.DUMMYFUNCTION("""COMPUTED_VALUE"""),"philip")</f>
        <v>philip</v>
      </c>
      <c r="M1131" s="49"/>
      <c r="N1131" s="49"/>
      <c r="O1131" s="49" t="str">
        <f>IFERROR(__xludf.DUMMYFUNCTION("""COMPUTED_VALUE"""),"politically")</f>
        <v>politically</v>
      </c>
      <c r="P1131" s="49" t="str">
        <f t="shared" si="2"/>
        <v>appreciate,</v>
      </c>
      <c r="Q1131" s="49"/>
      <c r="R1131" s="50" t="s">
        <v>973</v>
      </c>
      <c r="S1131" s="55" t="s">
        <v>3847</v>
      </c>
      <c r="T1131" s="49" t="str">
        <f>IFERROR(__xludf.DUMMYFUNCTION("""COMPUTED_VALUE"""),"landmark")</f>
        <v>landmark</v>
      </c>
      <c r="U1131" s="49"/>
      <c r="V1131" s="49"/>
      <c r="W1131" s="49" t="str">
        <f>IFERROR(__xludf.DUMMYFUNCTION("""COMPUTED_VALUE"""),"anne")</f>
        <v>anne</v>
      </c>
      <c r="X1131" s="49" t="str">
        <f t="shared" si="3"/>
        <v>chuckle,</v>
      </c>
      <c r="Y1131" s="49"/>
      <c r="Z1131" s="1" t="s">
        <v>2152</v>
      </c>
      <c r="AA1131" s="1" t="s">
        <v>4088</v>
      </c>
      <c r="AB1131" s="49"/>
      <c r="AC1131" s="49"/>
      <c r="AD1131" s="49"/>
      <c r="AE1131" s="49" t="str">
        <f>IFERROR(__xludf.DUMMYFUNCTION("""COMPUTED_VALUE"""),"politically")</f>
        <v>politically</v>
      </c>
      <c r="AF1131" s="49" t="str">
        <f t="shared" si="4"/>
        <v>filled,</v>
      </c>
      <c r="AG1131" s="49"/>
      <c r="AH1131" s="1" t="s">
        <v>1728</v>
      </c>
      <c r="AI1131" s="1" t="s">
        <v>3657</v>
      </c>
      <c r="AJ1131" s="6" t="str">
        <f>IFERROR(__xludf.DUMMYFUNCTION("""COMPUTED_VALUE"""),"monday")</f>
        <v>monday</v>
      </c>
      <c r="AK1131" s="49"/>
      <c r="AL1131" s="49"/>
      <c r="AM1131" s="49"/>
      <c r="AN1131" s="52" t="str">
        <f t="shared" si="5"/>
        <v>complex,</v>
      </c>
    </row>
    <row r="1132">
      <c r="A1132" s="51"/>
      <c r="B1132" s="50" t="s">
        <v>4665</v>
      </c>
      <c r="C1132" s="50" t="s">
        <v>617</v>
      </c>
      <c r="D1132" s="49" t="str">
        <f>IFERROR(__xludf.DUMMYFUNCTION("""COMPUTED_VALUE"""),"represented")</f>
        <v>represented</v>
      </c>
      <c r="E1132" s="49"/>
      <c r="F1132" s="49"/>
      <c r="G1132" s="49"/>
      <c r="H1132" s="54" t="str">
        <f t="shared" si="1"/>
        <v>drug,</v>
      </c>
      <c r="I1132" s="50"/>
      <c r="J1132" s="50" t="s">
        <v>4634</v>
      </c>
      <c r="K1132" s="50" t="s">
        <v>302</v>
      </c>
      <c r="L1132" s="49" t="str">
        <f>IFERROR(__xludf.DUMMYFUNCTION("""COMPUTED_VALUE"""),"realm")</f>
        <v>realm</v>
      </c>
      <c r="M1132" s="49"/>
      <c r="N1132" s="49"/>
      <c r="O1132" s="49" t="str">
        <f>IFERROR(__xludf.DUMMYFUNCTION("""COMPUTED_VALUE"""),"eponymous")</f>
        <v>eponymous</v>
      </c>
      <c r="P1132" s="49" t="str">
        <f t="shared" si="2"/>
        <v>geared,</v>
      </c>
      <c r="Q1132" s="49"/>
      <c r="R1132" s="50" t="s">
        <v>3573</v>
      </c>
      <c r="S1132" s="55" t="s">
        <v>2312</v>
      </c>
      <c r="T1132" s="49" t="str">
        <f>IFERROR(__xludf.DUMMYFUNCTION("""COMPUTED_VALUE"""),"recycled")</f>
        <v>recycled</v>
      </c>
      <c r="U1132" s="49"/>
      <c r="V1132" s="49"/>
      <c r="W1132" s="49" t="str">
        <f>IFERROR(__xludf.DUMMYFUNCTION("""COMPUTED_VALUE"""),"loser")</f>
        <v>loser</v>
      </c>
      <c r="X1132" s="49" t="str">
        <f t="shared" si="3"/>
        <v>blockbuster,</v>
      </c>
      <c r="Y1132" s="49"/>
      <c r="Z1132" s="1" t="s">
        <v>741</v>
      </c>
      <c r="AA1132" s="1" t="s">
        <v>616</v>
      </c>
      <c r="AB1132" s="49"/>
      <c r="AC1132" s="49"/>
      <c r="AD1132" s="49"/>
      <c r="AE1132" s="49" t="str">
        <f>IFERROR(__xludf.DUMMYFUNCTION("""COMPUTED_VALUE"""),"eponymous")</f>
        <v>eponymous</v>
      </c>
      <c r="AF1132" s="49" t="str">
        <f t="shared" si="4"/>
        <v>step,</v>
      </c>
      <c r="AG1132" s="49"/>
      <c r="AH1132" s="1" t="s">
        <v>6968</v>
      </c>
      <c r="AI1132" s="1" t="s">
        <v>6450</v>
      </c>
      <c r="AJ1132" s="6" t="str">
        <f>IFERROR(__xludf.DUMMYFUNCTION("""COMPUTED_VALUE"""),"stretch")</f>
        <v>stretch</v>
      </c>
      <c r="AK1132" s="49"/>
      <c r="AL1132" s="49"/>
      <c r="AM1132" s="49"/>
      <c r="AN1132" s="52" t="str">
        <f t="shared" si="5"/>
        <v>secret,</v>
      </c>
    </row>
    <row r="1133">
      <c r="A1133" s="51"/>
      <c r="B1133" s="50" t="s">
        <v>2066</v>
      </c>
      <c r="C1133" s="50" t="s">
        <v>3101</v>
      </c>
      <c r="D1133" s="49" t="str">
        <f>IFERROR(__xludf.DUMMYFUNCTION("""COMPUTED_VALUE"""),"ship")</f>
        <v>ship</v>
      </c>
      <c r="E1133" s="49"/>
      <c r="F1133" s="49"/>
      <c r="G1133" s="49"/>
      <c r="H1133" s="54" t="str">
        <f t="shared" si="1"/>
        <v>typical,</v>
      </c>
      <c r="I1133" s="50"/>
      <c r="J1133" s="50" t="s">
        <v>5523</v>
      </c>
      <c r="K1133" s="50" t="s">
        <v>2988</v>
      </c>
      <c r="L1133" s="49" t="str">
        <f>IFERROR(__xludf.DUMMYFUNCTION("""COMPUTED_VALUE"""),"moral")</f>
        <v>moral</v>
      </c>
      <c r="M1133" s="49"/>
      <c r="N1133" s="49"/>
      <c r="O1133" s="49" t="str">
        <f>IFERROR(__xludf.DUMMYFUNCTION("""COMPUTED_VALUE"""),"mysteries")</f>
        <v>mysteries</v>
      </c>
      <c r="P1133" s="49" t="str">
        <f t="shared" si="2"/>
        <v>failed,</v>
      </c>
      <c r="Q1133" s="49"/>
      <c r="R1133" s="50" t="s">
        <v>678</v>
      </c>
      <c r="S1133" s="55" t="s">
        <v>2316</v>
      </c>
      <c r="T1133" s="49" t="str">
        <f>IFERROR(__xludf.DUMMYFUNCTION("""COMPUTED_VALUE"""),"midway")</f>
        <v>midway</v>
      </c>
      <c r="U1133" s="49"/>
      <c r="V1133" s="49"/>
      <c r="W1133" s="49" t="str">
        <f>IFERROR(__xludf.DUMMYFUNCTION("""COMPUTED_VALUE"""),"sylvie")</f>
        <v>sylvie</v>
      </c>
      <c r="X1133" s="49" t="str">
        <f t="shared" si="3"/>
        <v>deadly,</v>
      </c>
      <c r="Y1133" s="49"/>
      <c r="Z1133" s="1" t="s">
        <v>3146</v>
      </c>
      <c r="AA1133" s="1" t="s">
        <v>242</v>
      </c>
      <c r="AB1133" s="49"/>
      <c r="AC1133" s="49"/>
      <c r="AD1133" s="49"/>
      <c r="AE1133" s="49" t="str">
        <f>IFERROR(__xludf.DUMMYFUNCTION("""COMPUTED_VALUE"""),"mysteries")</f>
        <v>mysteries</v>
      </c>
      <c r="AF1133" s="49" t="str">
        <f t="shared" si="4"/>
        <v>fake,</v>
      </c>
      <c r="AG1133" s="49"/>
      <c r="AH1133" s="1" t="s">
        <v>6986</v>
      </c>
      <c r="AI1133" s="1" t="s">
        <v>3880</v>
      </c>
      <c r="AJ1133" s="6" t="str">
        <f>IFERROR(__xludf.DUMMYFUNCTION("""COMPUTED_VALUE"""),"shown")</f>
        <v>shown</v>
      </c>
      <c r="AK1133" s="49"/>
      <c r="AL1133" s="49"/>
      <c r="AM1133" s="49"/>
      <c r="AN1133" s="52" t="str">
        <f t="shared" si="5"/>
        <v>border,</v>
      </c>
    </row>
    <row r="1134">
      <c r="A1134" s="51"/>
      <c r="B1134" s="50" t="s">
        <v>3220</v>
      </c>
      <c r="C1134" s="50" t="s">
        <v>2438</v>
      </c>
      <c r="D1134" s="49">
        <f>IFERROR(__xludf.DUMMYFUNCTION("""COMPUTED_VALUE"""),10.0)</f>
        <v>10</v>
      </c>
      <c r="E1134" s="49"/>
      <c r="F1134" s="49"/>
      <c r="G1134" s="49"/>
      <c r="H1134" s="54" t="str">
        <f t="shared" si="1"/>
        <v>blade,</v>
      </c>
      <c r="I1134" s="50"/>
      <c r="J1134" s="50" t="s">
        <v>603</v>
      </c>
      <c r="K1134" s="50" t="s">
        <v>4093</v>
      </c>
      <c r="L1134" s="49" t="str">
        <f>IFERROR(__xludf.DUMMYFUNCTION("""COMPUTED_VALUE"""),"clocks")</f>
        <v>clocks</v>
      </c>
      <c r="M1134" s="49"/>
      <c r="N1134" s="49"/>
      <c r="O1134" s="49" t="str">
        <f>IFERROR(__xludf.DUMMYFUNCTION("""COMPUTED_VALUE"""),"lingered")</f>
        <v>lingered</v>
      </c>
      <c r="P1134" s="49" t="str">
        <f t="shared" si="2"/>
        <v>survival,</v>
      </c>
      <c r="Q1134" s="49"/>
      <c r="R1134" s="50" t="s">
        <v>7320</v>
      </c>
      <c r="S1134" s="55" t="s">
        <v>2196</v>
      </c>
      <c r="T1134" s="49" t="str">
        <f>IFERROR(__xludf.DUMMYFUNCTION("""COMPUTED_VALUE"""),"league")</f>
        <v>league</v>
      </c>
      <c r="U1134" s="49"/>
      <c r="V1134" s="49"/>
      <c r="W1134" s="49" t="str">
        <f>IFERROR(__xludf.DUMMYFUNCTION("""COMPUTED_VALUE"""),"politically")</f>
        <v>politically</v>
      </c>
      <c r="X1134" s="49" t="str">
        <f t="shared" si="3"/>
        <v>advertisement,</v>
      </c>
      <c r="Y1134" s="49"/>
      <c r="Z1134" s="1" t="s">
        <v>721</v>
      </c>
      <c r="AA1134" s="1" t="s">
        <v>1486</v>
      </c>
      <c r="AB1134" s="49"/>
      <c r="AC1134" s="49"/>
      <c r="AD1134" s="49"/>
      <c r="AE1134" s="49" t="str">
        <f>IFERROR(__xludf.DUMMYFUNCTION("""COMPUTED_VALUE"""),"lingered")</f>
        <v>lingered</v>
      </c>
      <c r="AF1134" s="49" t="str">
        <f t="shared" si="4"/>
        <v>fallen,</v>
      </c>
      <c r="AG1134" s="49"/>
      <c r="AH1134" s="1" t="s">
        <v>4343</v>
      </c>
      <c r="AI1134" s="1" t="s">
        <v>3663</v>
      </c>
      <c r="AJ1134" s="6" t="str">
        <f>IFERROR(__xludf.DUMMYFUNCTION("""COMPUTED_VALUE"""),"ability")</f>
        <v>ability</v>
      </c>
      <c r="AK1134" s="49"/>
      <c r="AL1134" s="49"/>
      <c r="AM1134" s="49"/>
      <c r="AN1134" s="52" t="str">
        <f t="shared" si="5"/>
        <v>guns,</v>
      </c>
    </row>
    <row r="1135">
      <c r="A1135" s="51"/>
      <c r="B1135" s="50">
        <v>10.0</v>
      </c>
      <c r="C1135" s="50" t="s">
        <v>2182</v>
      </c>
      <c r="D1135" s="49">
        <f>IFERROR(__xludf.DUMMYFUNCTION("""COMPUTED_VALUE"""),0.0)</f>
        <v>0</v>
      </c>
      <c r="E1135" s="49"/>
      <c r="F1135" s="49"/>
      <c r="G1135" s="49"/>
      <c r="H1135" s="54" t="str">
        <f t="shared" si="1"/>
        <v>10,</v>
      </c>
      <c r="I1135" s="50"/>
      <c r="J1135" s="50" t="s">
        <v>4499</v>
      </c>
      <c r="K1135" s="50" t="s">
        <v>2572</v>
      </c>
      <c r="L1135" s="49" t="str">
        <f>IFERROR(__xludf.DUMMYFUNCTION("""COMPUTED_VALUE"""),"embarrassed")</f>
        <v>embarrassed</v>
      </c>
      <c r="M1135" s="49"/>
      <c r="N1135" s="49"/>
      <c r="O1135" s="49" t="str">
        <f>IFERROR(__xludf.DUMMYFUNCTION("""COMPUTED_VALUE"""),"attackers")</f>
        <v>attackers</v>
      </c>
      <c r="P1135" s="49" t="str">
        <f t="shared" si="2"/>
        <v>beach,</v>
      </c>
      <c r="Q1135" s="49"/>
      <c r="R1135" s="50" t="s">
        <v>2924</v>
      </c>
      <c r="S1135" s="55" t="s">
        <v>3560</v>
      </c>
      <c r="T1135" s="49" t="str">
        <f>IFERROR(__xludf.DUMMYFUNCTION("""COMPUTED_VALUE"""),"players")</f>
        <v>players</v>
      </c>
      <c r="U1135" s="49"/>
      <c r="V1135" s="49"/>
      <c r="W1135" s="49" t="str">
        <f>IFERROR(__xludf.DUMMYFUNCTION("""COMPUTED_VALUE"""),"eponymous")</f>
        <v>eponymous</v>
      </c>
      <c r="X1135" s="49" t="str">
        <f t="shared" si="3"/>
        <v>gradually,</v>
      </c>
      <c r="Y1135" s="49"/>
      <c r="Z1135" s="1" t="s">
        <v>1815</v>
      </c>
      <c r="AA1135" s="1" t="s">
        <v>4094</v>
      </c>
      <c r="AB1135" s="49"/>
      <c r="AC1135" s="49"/>
      <c r="AD1135" s="49"/>
      <c r="AE1135" s="49" t="str">
        <f>IFERROR(__xludf.DUMMYFUNCTION("""COMPUTED_VALUE"""),"attackers")</f>
        <v>attackers</v>
      </c>
      <c r="AF1135" s="49" t="str">
        <f t="shared" si="4"/>
        <v>irony,</v>
      </c>
      <c r="AG1135" s="49"/>
      <c r="AH1135" s="1" t="s">
        <v>2409</v>
      </c>
      <c r="AI1135" s="1" t="s">
        <v>3894</v>
      </c>
      <c r="AJ1135" s="6" t="str">
        <f>IFERROR(__xludf.DUMMYFUNCTION("""COMPUTED_VALUE"""),"tight")</f>
        <v>tight</v>
      </c>
      <c r="AK1135" s="49"/>
      <c r="AL1135" s="49"/>
      <c r="AM1135" s="49"/>
      <c r="AN1135" s="52" t="str">
        <f t="shared" si="5"/>
        <v>hoping,</v>
      </c>
    </row>
    <row r="1136">
      <c r="A1136" s="51"/>
      <c r="B1136" s="50" t="s">
        <v>877</v>
      </c>
      <c r="C1136" s="50" t="s">
        <v>2155</v>
      </c>
      <c r="D1136" s="49" t="str">
        <f>IFERROR(__xludf.DUMMYFUNCTION("""COMPUTED_VALUE"""),"chase")</f>
        <v>chase</v>
      </c>
      <c r="E1136" s="49"/>
      <c r="F1136" s="49"/>
      <c r="G1136" s="49"/>
      <c r="H1136" s="54" t="str">
        <f t="shared" si="1"/>
        <v>college,</v>
      </c>
      <c r="I1136" s="50"/>
      <c r="J1136" s="50" t="s">
        <v>3087</v>
      </c>
      <c r="K1136" s="50" t="s">
        <v>477</v>
      </c>
      <c r="L1136" s="49" t="str">
        <f>IFERROR(__xludf.DUMMYFUNCTION("""COMPUTED_VALUE"""),"irritating")</f>
        <v>irritating</v>
      </c>
      <c r="M1136" s="49"/>
      <c r="N1136" s="49"/>
      <c r="O1136" s="49" t="str">
        <f>IFERROR(__xludf.DUMMYFUNCTION("""COMPUTED_VALUE"""),"anonymous")</f>
        <v>anonymous</v>
      </c>
      <c r="P1136" s="49" t="str">
        <f t="shared" si="2"/>
        <v>smoothly,</v>
      </c>
      <c r="Q1136" s="49"/>
      <c r="R1136" s="50" t="s">
        <v>3405</v>
      </c>
      <c r="S1136" s="55" t="s">
        <v>549</v>
      </c>
      <c r="T1136" s="49" t="str">
        <f>IFERROR(__xludf.DUMMYFUNCTION("""COMPUTED_VALUE"""),"flag")</f>
        <v>flag</v>
      </c>
      <c r="U1136" s="49"/>
      <c r="V1136" s="49"/>
      <c r="W1136" s="49" t="str">
        <f>IFERROR(__xludf.DUMMYFUNCTION("""COMPUTED_VALUE"""),"mysteries")</f>
        <v>mysteries</v>
      </c>
      <c r="X1136" s="49" t="str">
        <f t="shared" si="3"/>
        <v>task,</v>
      </c>
      <c r="Y1136" s="49"/>
      <c r="Z1136" s="1" t="s">
        <v>5064</v>
      </c>
      <c r="AA1136" s="1" t="s">
        <v>817</v>
      </c>
      <c r="AB1136" s="49"/>
      <c r="AC1136" s="49"/>
      <c r="AD1136" s="49"/>
      <c r="AE1136" s="49" t="str">
        <f>IFERROR(__xludf.DUMMYFUNCTION("""COMPUTED_VALUE"""),"anonymous")</f>
        <v>anonymous</v>
      </c>
      <c r="AF1136" s="49" t="str">
        <f t="shared" si="4"/>
        <v>fear,</v>
      </c>
      <c r="AG1136" s="49"/>
      <c r="AH1136" s="1" t="s">
        <v>3813</v>
      </c>
      <c r="AI1136" s="1" t="s">
        <v>1099</v>
      </c>
      <c r="AJ1136" s="6" t="str">
        <f>IFERROR(__xludf.DUMMYFUNCTION("""COMPUTED_VALUE"""),"avoid")</f>
        <v>avoid</v>
      </c>
      <c r="AK1136" s="49"/>
      <c r="AL1136" s="49"/>
      <c r="AM1136" s="49"/>
      <c r="AN1136" s="52" t="str">
        <f t="shared" si="5"/>
        <v>ethnic,</v>
      </c>
    </row>
    <row r="1137">
      <c r="A1137" s="51"/>
      <c r="B1137" s="50" t="s">
        <v>800</v>
      </c>
      <c r="C1137" s="50" t="s">
        <v>3625</v>
      </c>
      <c r="D1137" s="49" t="str">
        <f>IFERROR(__xludf.DUMMYFUNCTION("""COMPUTED_VALUE"""),"program")</f>
        <v>program</v>
      </c>
      <c r="E1137" s="49"/>
      <c r="F1137" s="49"/>
      <c r="G1137" s="49"/>
      <c r="H1137" s="54" t="str">
        <f t="shared" si="1"/>
        <v>need,</v>
      </c>
      <c r="I1137" s="50"/>
      <c r="J1137" s="50" t="s">
        <v>2894</v>
      </c>
      <c r="K1137" s="50" t="s">
        <v>1595</v>
      </c>
      <c r="L1137" s="49" t="str">
        <f>IFERROR(__xludf.DUMMYFUNCTION("""COMPUTED_VALUE"""),"elegant")</f>
        <v>elegant</v>
      </c>
      <c r="M1137" s="49"/>
      <c r="N1137" s="49"/>
      <c r="O1137" s="49" t="str">
        <f>IFERROR(__xludf.DUMMYFUNCTION("""COMPUTED_VALUE"""),"technologies")</f>
        <v>technologies</v>
      </c>
      <c r="P1137" s="49" t="str">
        <f t="shared" si="2"/>
        <v>unexpected,</v>
      </c>
      <c r="Q1137" s="49"/>
      <c r="R1137" s="50" t="s">
        <v>2096</v>
      </c>
      <c r="S1137" s="55" t="s">
        <v>2308</v>
      </c>
      <c r="T1137" s="49" t="str">
        <f>IFERROR(__xludf.DUMMYFUNCTION("""COMPUTED_VALUE"""),"spin")</f>
        <v>spin</v>
      </c>
      <c r="U1137" s="49"/>
      <c r="V1137" s="49"/>
      <c r="W1137" s="49" t="str">
        <f>IFERROR(__xludf.DUMMYFUNCTION("""COMPUTED_VALUE"""),"lodging")</f>
        <v>lodging</v>
      </c>
      <c r="X1137" s="49" t="str">
        <f t="shared" si="3"/>
        <v>deserves,</v>
      </c>
      <c r="Y1137" s="49"/>
      <c r="Z1137" s="1" t="s">
        <v>6563</v>
      </c>
      <c r="AA1137" s="1" t="s">
        <v>4098</v>
      </c>
      <c r="AB1137" s="49"/>
      <c r="AC1137" s="49"/>
      <c r="AD1137" s="49"/>
      <c r="AE1137" s="49" t="str">
        <f>IFERROR(__xludf.DUMMYFUNCTION("""COMPUTED_VALUE"""),"technologies")</f>
        <v>technologies</v>
      </c>
      <c r="AF1137" s="49" t="str">
        <f t="shared" si="4"/>
        <v>pathetic,</v>
      </c>
      <c r="AG1137" s="49"/>
      <c r="AH1137" s="1" t="s">
        <v>345</v>
      </c>
      <c r="AI1137" s="1" t="s">
        <v>3896</v>
      </c>
      <c r="AJ1137" s="6" t="str">
        <f>IFERROR(__xludf.DUMMYFUNCTION("""COMPUTED_VALUE"""),"behavior")</f>
        <v>behavior</v>
      </c>
      <c r="AK1137" s="49"/>
      <c r="AL1137" s="49"/>
      <c r="AM1137" s="49"/>
      <c r="AN1137" s="52" t="str">
        <f t="shared" si="5"/>
        <v>essentially,</v>
      </c>
    </row>
    <row r="1138">
      <c r="A1138" s="51"/>
      <c r="B1138" s="50" t="s">
        <v>6329</v>
      </c>
      <c r="C1138" s="50" t="s">
        <v>4507</v>
      </c>
      <c r="D1138" s="49" t="str">
        <f>IFERROR(__xludf.DUMMYFUNCTION("""COMPUTED_VALUE"""),"stewart")</f>
        <v>stewart</v>
      </c>
      <c r="E1138" s="49"/>
      <c r="F1138" s="49"/>
      <c r="G1138" s="49"/>
      <c r="H1138" s="54" t="str">
        <f t="shared" si="1"/>
        <v>able,</v>
      </c>
      <c r="I1138" s="50"/>
      <c r="J1138" s="50" t="s">
        <v>990</v>
      </c>
      <c r="K1138" s="50" t="s">
        <v>756</v>
      </c>
      <c r="L1138" s="49" t="str">
        <f>IFERROR(__xludf.DUMMYFUNCTION("""COMPUTED_VALUE"""),"charming")</f>
        <v>charming</v>
      </c>
      <c r="M1138" s="49"/>
      <c r="N1138" s="49"/>
      <c r="O1138" s="49" t="str">
        <f>IFERROR(__xludf.DUMMYFUNCTION("""COMPUTED_VALUE"""),"primitive")</f>
        <v>primitive</v>
      </c>
      <c r="P1138" s="49" t="str">
        <f t="shared" si="2"/>
        <v>ultimate,</v>
      </c>
      <c r="Q1138" s="49"/>
      <c r="R1138" s="50" t="s">
        <v>6532</v>
      </c>
      <c r="S1138" s="55" t="s">
        <v>5996</v>
      </c>
      <c r="T1138" s="49" t="str">
        <f>IFERROR(__xludf.DUMMYFUNCTION("""COMPUTED_VALUE"""),"dear")</f>
        <v>dear</v>
      </c>
      <c r="U1138" s="49"/>
      <c r="V1138" s="49"/>
      <c r="W1138" s="49" t="str">
        <f>IFERROR(__xludf.DUMMYFUNCTION("""COMPUTED_VALUE"""),"attackers")</f>
        <v>attackers</v>
      </c>
      <c r="X1138" s="49" t="str">
        <f t="shared" si="3"/>
        <v>elizabeth,</v>
      </c>
      <c r="Y1138" s="49"/>
      <c r="Z1138" s="1" t="s">
        <v>5120</v>
      </c>
      <c r="AA1138" s="1" t="s">
        <v>1494</v>
      </c>
      <c r="AB1138" s="49"/>
      <c r="AC1138" s="49"/>
      <c r="AD1138" s="49"/>
      <c r="AE1138" s="49" t="str">
        <f>IFERROR(__xludf.DUMMYFUNCTION("""COMPUTED_VALUE"""),"primitive")</f>
        <v>primitive</v>
      </c>
      <c r="AF1138" s="49" t="str">
        <f t="shared" si="4"/>
        <v>lead,</v>
      </c>
      <c r="AG1138" s="49"/>
      <c r="AH1138" s="1" t="s">
        <v>1258</v>
      </c>
      <c r="AI1138" s="1" t="s">
        <v>4331</v>
      </c>
      <c r="AJ1138" s="6" t="str">
        <f>IFERROR(__xludf.DUMMYFUNCTION("""COMPUTED_VALUE"""),"letting")</f>
        <v>letting</v>
      </c>
      <c r="AK1138" s="49"/>
      <c r="AL1138" s="49"/>
      <c r="AM1138" s="49"/>
      <c r="AN1138" s="52" t="str">
        <f t="shared" si="5"/>
        <v>known,</v>
      </c>
    </row>
    <row r="1139">
      <c r="A1139" s="51"/>
      <c r="B1139" s="50" t="s">
        <v>6982</v>
      </c>
      <c r="C1139" s="50" t="s">
        <v>3111</v>
      </c>
      <c r="D1139" s="49" t="str">
        <f>IFERROR(__xludf.DUMMYFUNCTION("""COMPUTED_VALUE"""),"martha")</f>
        <v>martha</v>
      </c>
      <c r="E1139" s="49"/>
      <c r="F1139" s="49"/>
      <c r="G1139" s="49"/>
      <c r="H1139" s="54" t="str">
        <f t="shared" si="1"/>
        <v>wrote,</v>
      </c>
      <c r="I1139" s="50"/>
      <c r="J1139" s="50" t="s">
        <v>1332</v>
      </c>
      <c r="K1139" s="50" t="s">
        <v>874</v>
      </c>
      <c r="L1139" s="49" t="str">
        <f>IFERROR(__xludf.DUMMYFUNCTION("""COMPUTED_VALUE"""),"parker")</f>
        <v>parker</v>
      </c>
      <c r="M1139" s="49"/>
      <c r="N1139" s="49"/>
      <c r="O1139" s="49" t="str">
        <f>IFERROR(__xludf.DUMMYFUNCTION("""COMPUTED_VALUE"""),"laurence")</f>
        <v>laurence</v>
      </c>
      <c r="P1139" s="49" t="str">
        <f t="shared" si="2"/>
        <v>devastation,</v>
      </c>
      <c r="Q1139" s="49"/>
      <c r="R1139" s="50" t="s">
        <v>4892</v>
      </c>
      <c r="S1139" s="55" t="s">
        <v>207</v>
      </c>
      <c r="T1139" s="49" t="str">
        <f>IFERROR(__xludf.DUMMYFUNCTION("""COMPUTED_VALUE"""),"successor")</f>
        <v>successor</v>
      </c>
      <c r="U1139" s="49"/>
      <c r="V1139" s="49"/>
      <c r="W1139" s="49" t="str">
        <f>IFERROR(__xludf.DUMMYFUNCTION("""COMPUTED_VALUE"""),"technologies")</f>
        <v>technologies</v>
      </c>
      <c r="X1139" s="49" t="str">
        <f t="shared" si="3"/>
        <v>eyelids,</v>
      </c>
      <c r="Y1139" s="49"/>
      <c r="Z1139" s="1" t="s">
        <v>2667</v>
      </c>
      <c r="AA1139" s="1" t="s">
        <v>2766</v>
      </c>
      <c r="AB1139" s="49"/>
      <c r="AC1139" s="49"/>
      <c r="AD1139" s="49"/>
      <c r="AE1139" s="49" t="str">
        <f>IFERROR(__xludf.DUMMYFUNCTION("""COMPUTED_VALUE"""),"laurence")</f>
        <v>laurence</v>
      </c>
      <c r="AF1139" s="49" t="str">
        <f t="shared" si="4"/>
        <v>testament,</v>
      </c>
      <c r="AG1139" s="49"/>
      <c r="AH1139" s="1" t="s">
        <v>2404</v>
      </c>
      <c r="AI1139" s="1" t="s">
        <v>2188</v>
      </c>
      <c r="AJ1139" s="6" t="str">
        <f>IFERROR(__xludf.DUMMYFUNCTION("""COMPUTED_VALUE"""),"actors")</f>
        <v>actors</v>
      </c>
      <c r="AK1139" s="49"/>
      <c r="AL1139" s="49"/>
      <c r="AM1139" s="49"/>
      <c r="AN1139" s="52" t="str">
        <f t="shared" si="5"/>
        <v>needs,</v>
      </c>
    </row>
    <row r="1140">
      <c r="A1140" s="51"/>
      <c r="B1140" s="50" t="s">
        <v>2348</v>
      </c>
      <c r="C1140" s="50" t="s">
        <v>808</v>
      </c>
      <c r="D1140" s="49" t="str">
        <f>IFERROR(__xludf.DUMMYFUNCTION("""COMPUTED_VALUE"""),"virtually")</f>
        <v>virtually</v>
      </c>
      <c r="E1140" s="49"/>
      <c r="F1140" s="49"/>
      <c r="G1140" s="49"/>
      <c r="H1140" s="54" t="str">
        <f t="shared" si="1"/>
        <v>slightly,</v>
      </c>
      <c r="I1140" s="50"/>
      <c r="J1140" s="50" t="s">
        <v>1329</v>
      </c>
      <c r="K1140" s="50" t="s">
        <v>1776</v>
      </c>
      <c r="L1140" s="49" t="str">
        <f>IFERROR(__xludf.DUMMYFUNCTION("""COMPUTED_VALUE"""),"essence")</f>
        <v>essence</v>
      </c>
      <c r="M1140" s="49"/>
      <c r="N1140" s="49"/>
      <c r="O1140" s="49" t="str">
        <f>IFERROR(__xludf.DUMMYFUNCTION("""COMPUTED_VALUE"""),"calculus")</f>
        <v>calculus</v>
      </c>
      <c r="P1140" s="49" t="str">
        <f t="shared" si="2"/>
        <v>sustain,</v>
      </c>
      <c r="Q1140" s="49"/>
      <c r="R1140" s="50" t="s">
        <v>589</v>
      </c>
      <c r="S1140" s="55" t="s">
        <v>1064</v>
      </c>
      <c r="T1140" s="49" t="str">
        <f>IFERROR(__xludf.DUMMYFUNCTION("""COMPUTED_VALUE"""),"abyss")</f>
        <v>abyss</v>
      </c>
      <c r="U1140" s="49"/>
      <c r="V1140" s="49"/>
      <c r="W1140" s="49" t="str">
        <f>IFERROR(__xludf.DUMMYFUNCTION("""COMPUTED_VALUE"""),"primitive")</f>
        <v>primitive</v>
      </c>
      <c r="X1140" s="49" t="str">
        <f t="shared" si="3"/>
        <v>pulse,</v>
      </c>
      <c r="Y1140" s="49"/>
      <c r="Z1140" s="1" t="s">
        <v>3261</v>
      </c>
      <c r="AA1140" s="1" t="s">
        <v>2919</v>
      </c>
      <c r="AB1140" s="49"/>
      <c r="AC1140" s="49"/>
      <c r="AD1140" s="49"/>
      <c r="AE1140" s="49" t="str">
        <f>IFERROR(__xludf.DUMMYFUNCTION("""COMPUTED_VALUE"""),"calculus")</f>
        <v>calculus</v>
      </c>
      <c r="AF1140" s="49" t="str">
        <f t="shared" si="4"/>
        <v>field,</v>
      </c>
      <c r="AG1140" s="49"/>
      <c r="AH1140" s="1" t="s">
        <v>4303</v>
      </c>
      <c r="AI1140" s="1" t="s">
        <v>2195</v>
      </c>
      <c r="AJ1140" s="6" t="str">
        <f>IFERROR(__xludf.DUMMYFUNCTION("""COMPUTED_VALUE"""),"novels")</f>
        <v>novels</v>
      </c>
      <c r="AK1140" s="49"/>
      <c r="AL1140" s="49"/>
      <c r="AM1140" s="49"/>
      <c r="AN1140" s="52" t="str">
        <f t="shared" si="5"/>
        <v>traffic,</v>
      </c>
    </row>
    <row r="1141">
      <c r="A1141" s="51"/>
      <c r="B1141" s="50">
        <v>95.0</v>
      </c>
      <c r="C1141" s="50" t="s">
        <v>6449</v>
      </c>
      <c r="D1141" s="49" t="str">
        <f>IFERROR(__xludf.DUMMYFUNCTION("""COMPUTED_VALUE"""),"looked")</f>
        <v>looked</v>
      </c>
      <c r="E1141" s="49"/>
      <c r="F1141" s="49"/>
      <c r="G1141" s="49"/>
      <c r="H1141" s="54" t="str">
        <f t="shared" si="1"/>
        <v>95,</v>
      </c>
      <c r="I1141" s="50"/>
      <c r="J1141" s="50" t="s">
        <v>6034</v>
      </c>
      <c r="K1141" s="50" t="s">
        <v>765</v>
      </c>
      <c r="L1141" s="49" t="str">
        <f>IFERROR(__xludf.DUMMYFUNCTION("""COMPUTED_VALUE"""),"demons")</f>
        <v>demons</v>
      </c>
      <c r="M1141" s="49"/>
      <c r="N1141" s="49"/>
      <c r="O1141" s="49" t="str">
        <f>IFERROR(__xludf.DUMMYFUNCTION("""COMPUTED_VALUE"""),"groan")</f>
        <v>groan</v>
      </c>
      <c r="P1141" s="49" t="str">
        <f t="shared" si="2"/>
        <v>lo,</v>
      </c>
      <c r="Q1141" s="49"/>
      <c r="R1141" s="50" t="s">
        <v>1026</v>
      </c>
      <c r="S1141" s="55" t="s">
        <v>1070</v>
      </c>
      <c r="T1141" s="49" t="str">
        <f>IFERROR(__xludf.DUMMYFUNCTION("""COMPUTED_VALUE"""),"accomplished")</f>
        <v>accomplished</v>
      </c>
      <c r="U1141" s="49"/>
      <c r="V1141" s="49"/>
      <c r="W1141" s="49" t="str">
        <f>IFERROR(__xludf.DUMMYFUNCTION("""COMPUTED_VALUE"""),"laurence")</f>
        <v>laurence</v>
      </c>
      <c r="X1141" s="49" t="str">
        <f t="shared" si="3"/>
        <v>eerie,</v>
      </c>
      <c r="Y1141" s="49"/>
      <c r="Z1141" s="1" t="s">
        <v>2464</v>
      </c>
      <c r="AA1141" s="1" t="s">
        <v>1501</v>
      </c>
      <c r="AB1141" s="49"/>
      <c r="AC1141" s="49"/>
      <c r="AD1141" s="49"/>
      <c r="AE1141" s="49" t="str">
        <f>IFERROR(__xludf.DUMMYFUNCTION("""COMPUTED_VALUE"""),"groan")</f>
        <v>groan</v>
      </c>
      <c r="AF1141" s="49" t="str">
        <f t="shared" si="4"/>
        <v>female,</v>
      </c>
      <c r="AG1141" s="49"/>
      <c r="AH1141" s="1" t="s">
        <v>6384</v>
      </c>
      <c r="AI1141" s="1" t="s">
        <v>3362</v>
      </c>
      <c r="AJ1141" s="6" t="str">
        <f>IFERROR(__xludf.DUMMYFUNCTION("""COMPUTED_VALUE"""),"beast")</f>
        <v>beast</v>
      </c>
      <c r="AK1141" s="49"/>
      <c r="AL1141" s="49"/>
      <c r="AM1141" s="49"/>
      <c r="AN1141" s="52" t="str">
        <f t="shared" si="5"/>
        <v>slow,</v>
      </c>
    </row>
    <row r="1142">
      <c r="A1142" s="51"/>
      <c r="B1142" s="50" t="s">
        <v>6449</v>
      </c>
      <c r="C1142" s="50" t="s">
        <v>2160</v>
      </c>
      <c r="D1142" s="49" t="str">
        <f>IFERROR(__xludf.DUMMYFUNCTION("""COMPUTED_VALUE"""),"production")</f>
        <v>production</v>
      </c>
      <c r="E1142" s="49"/>
      <c r="F1142" s="49"/>
      <c r="G1142" s="49"/>
      <c r="H1142" s="54" t="str">
        <f t="shared" si="1"/>
        <v>truly,</v>
      </c>
      <c r="I1142" s="50"/>
      <c r="J1142" s="50" t="s">
        <v>3077</v>
      </c>
      <c r="K1142" s="50" t="s">
        <v>1169</v>
      </c>
      <c r="L1142" s="49" t="str">
        <f>IFERROR(__xludf.DUMMYFUNCTION("""COMPUTED_VALUE"""),"dimension")</f>
        <v>dimension</v>
      </c>
      <c r="M1142" s="49"/>
      <c r="N1142" s="49"/>
      <c r="O1142" s="49" t="str">
        <f>IFERROR(__xludf.DUMMYFUNCTION("""COMPUTED_VALUE"""),"freddie")</f>
        <v>freddie</v>
      </c>
      <c r="P1142" s="49" t="str">
        <f t="shared" si="2"/>
        <v>gifford,</v>
      </c>
      <c r="Q1142" s="49"/>
      <c r="R1142" s="50" t="s">
        <v>407</v>
      </c>
      <c r="S1142" s="55" t="s">
        <v>2319</v>
      </c>
      <c r="T1142" s="49" t="str">
        <f>IFERROR(__xludf.DUMMYFUNCTION("""COMPUTED_VALUE"""),"submerged")</f>
        <v>submerged</v>
      </c>
      <c r="U1142" s="49"/>
      <c r="V1142" s="49"/>
      <c r="W1142" s="49" t="str">
        <f>IFERROR(__xludf.DUMMYFUNCTION("""COMPUTED_VALUE"""),"confined")</f>
        <v>confined</v>
      </c>
      <c r="X1142" s="49" t="str">
        <f t="shared" si="3"/>
        <v>room,</v>
      </c>
      <c r="Y1142" s="49"/>
      <c r="Z1142" s="1" t="s">
        <v>6658</v>
      </c>
      <c r="AA1142" s="1" t="s">
        <v>2927</v>
      </c>
      <c r="AB1142" s="49"/>
      <c r="AC1142" s="49"/>
      <c r="AD1142" s="49"/>
      <c r="AE1142" s="49" t="str">
        <f>IFERROR(__xludf.DUMMYFUNCTION("""COMPUTED_VALUE"""),"freddie")</f>
        <v>freddie</v>
      </c>
      <c r="AF1142" s="49" t="str">
        <f t="shared" si="4"/>
        <v>student,</v>
      </c>
      <c r="AG1142" s="49"/>
      <c r="AH1142" s="1" t="s">
        <v>3236</v>
      </c>
      <c r="AI1142" s="1" t="s">
        <v>6431</v>
      </c>
      <c r="AJ1142" s="6" t="str">
        <f>IFERROR(__xludf.DUMMYFUNCTION("""COMPUTED_VALUE"""),"ensemble")</f>
        <v>ensemble</v>
      </c>
      <c r="AK1142" s="49"/>
      <c r="AL1142" s="49"/>
      <c r="AM1142" s="49"/>
      <c r="AN1142" s="52" t="str">
        <f t="shared" si="5"/>
        <v>critical,</v>
      </c>
    </row>
    <row r="1143">
      <c r="A1143" s="51"/>
      <c r="B1143" s="50" t="s">
        <v>3918</v>
      </c>
      <c r="C1143" s="50" t="s">
        <v>863</v>
      </c>
      <c r="D1143" s="49" t="str">
        <f>IFERROR(__xludf.DUMMYFUNCTION("""COMPUTED_VALUE"""),"public")</f>
        <v>public</v>
      </c>
      <c r="E1143" s="49"/>
      <c r="F1143" s="49"/>
      <c r="G1143" s="49"/>
      <c r="H1143" s="54" t="str">
        <f t="shared" si="1"/>
        <v>saving,</v>
      </c>
      <c r="I1143" s="50"/>
      <c r="J1143" s="50" t="s">
        <v>2468</v>
      </c>
      <c r="K1143" s="50" t="s">
        <v>2457</v>
      </c>
      <c r="L1143" s="49" t="str">
        <f>IFERROR(__xludf.DUMMYFUNCTION("""COMPUTED_VALUE"""),"ready")</f>
        <v>ready</v>
      </c>
      <c r="M1143" s="49"/>
      <c r="N1143" s="49"/>
      <c r="O1143" s="49" t="str">
        <f>IFERROR(__xludf.DUMMYFUNCTION("""COMPUTED_VALUE"""),"harvard")</f>
        <v>harvard</v>
      </c>
      <c r="P1143" s="49" t="str">
        <f t="shared" si="2"/>
        <v>behold,</v>
      </c>
      <c r="Q1143" s="49"/>
      <c r="R1143" s="50" t="s">
        <v>3501</v>
      </c>
      <c r="S1143" s="55" t="s">
        <v>935</v>
      </c>
      <c r="T1143" s="49" t="str">
        <f>IFERROR(__xludf.DUMMYFUNCTION("""COMPUTED_VALUE"""),"stealing")</f>
        <v>stealing</v>
      </c>
      <c r="U1143" s="49"/>
      <c r="V1143" s="49"/>
      <c r="W1143" s="49" t="str">
        <f>IFERROR(__xludf.DUMMYFUNCTION("""COMPUTED_VALUE"""),"prevalent")</f>
        <v>prevalent</v>
      </c>
      <c r="X1143" s="49" t="str">
        <f t="shared" si="3"/>
        <v>shelf,</v>
      </c>
      <c r="Y1143" s="49"/>
      <c r="Z1143" s="1" t="s">
        <v>5014</v>
      </c>
      <c r="AA1143" s="1" t="s">
        <v>2930</v>
      </c>
      <c r="AB1143" s="49"/>
      <c r="AC1143" s="49"/>
      <c r="AD1143" s="49"/>
      <c r="AE1143" s="49" t="str">
        <f>IFERROR(__xludf.DUMMYFUNCTION("""COMPUTED_VALUE"""),"harvard")</f>
        <v>harvard</v>
      </c>
      <c r="AF1143" s="49" t="str">
        <f t="shared" si="4"/>
        <v>madonna,</v>
      </c>
      <c r="AG1143" s="49"/>
      <c r="AH1143" s="1" t="s">
        <v>4007</v>
      </c>
      <c r="AI1143" s="1" t="s">
        <v>2214</v>
      </c>
      <c r="AJ1143" s="6" t="str">
        <f>IFERROR(__xludf.DUMMYFUNCTION("""COMPUTED_VALUE"""),"real")</f>
        <v>real</v>
      </c>
      <c r="AK1143" s="49"/>
      <c r="AL1143" s="49"/>
      <c r="AM1143" s="49"/>
      <c r="AN1143" s="52" t="str">
        <f t="shared" si="5"/>
        <v>condition,</v>
      </c>
    </row>
    <row r="1144">
      <c r="A1144" s="51"/>
      <c r="B1144" s="50" t="s">
        <v>4362</v>
      </c>
      <c r="C1144" s="50" t="s">
        <v>2194</v>
      </c>
      <c r="D1144" s="49" t="str">
        <f>IFERROR(__xludf.DUMMYFUNCTION("""COMPUTED_VALUE"""),"destination")</f>
        <v>destination</v>
      </c>
      <c r="E1144" s="49"/>
      <c r="F1144" s="49"/>
      <c r="G1144" s="49"/>
      <c r="H1144" s="54" t="str">
        <f t="shared" si="1"/>
        <v>rent,</v>
      </c>
      <c r="I1144" s="50"/>
      <c r="J1144" s="50" t="s">
        <v>4102</v>
      </c>
      <c r="K1144" s="50" t="s">
        <v>4106</v>
      </c>
      <c r="L1144" s="49" t="str">
        <f>IFERROR(__xludf.DUMMYFUNCTION("""COMPUTED_VALUE"""),"sewage")</f>
        <v>sewage</v>
      </c>
      <c r="M1144" s="49"/>
      <c r="N1144" s="49"/>
      <c r="O1144" s="49" t="str">
        <f>IFERROR(__xludf.DUMMYFUNCTION("""COMPUTED_VALUE"""),"contender")</f>
        <v>contender</v>
      </c>
      <c r="P1144" s="49" t="str">
        <f t="shared" si="2"/>
        <v>learn,</v>
      </c>
      <c r="Q1144" s="49"/>
      <c r="R1144" s="50" t="s">
        <v>2737</v>
      </c>
      <c r="S1144" s="55">
        <v>20.0</v>
      </c>
      <c r="T1144" s="49" t="str">
        <f>IFERROR(__xludf.DUMMYFUNCTION("""COMPUTED_VALUE"""),"bed")</f>
        <v>bed</v>
      </c>
      <c r="U1144" s="49"/>
      <c r="V1144" s="49"/>
      <c r="W1144" s="49" t="str">
        <f>IFERROR(__xludf.DUMMYFUNCTION("""COMPUTED_VALUE"""),"newfoundland")</f>
        <v>newfoundland</v>
      </c>
      <c r="X1144" s="49" t="str">
        <f t="shared" si="3"/>
        <v>stories,</v>
      </c>
      <c r="Y1144" s="49"/>
      <c r="Z1144" s="1" t="s">
        <v>3543</v>
      </c>
      <c r="AA1144" s="1" t="s">
        <v>2934</v>
      </c>
      <c r="AB1144" s="49"/>
      <c r="AC1144" s="49"/>
      <c r="AD1144" s="49"/>
      <c r="AE1144" s="49" t="str">
        <f>IFERROR(__xludf.DUMMYFUNCTION("""COMPUTED_VALUE"""),"contender")</f>
        <v>contender</v>
      </c>
      <c r="AF1144" s="49" t="str">
        <f t="shared" si="4"/>
        <v>warning,</v>
      </c>
      <c r="AG1144" s="49"/>
      <c r="AH1144" s="1" t="s">
        <v>5964</v>
      </c>
      <c r="AI1144" s="1" t="s">
        <v>1582</v>
      </c>
      <c r="AJ1144" s="6" t="str">
        <f>IFERROR(__xludf.DUMMYFUNCTION("""COMPUTED_VALUE"""),"sister")</f>
        <v>sister</v>
      </c>
      <c r="AK1144" s="49"/>
      <c r="AL1144" s="49"/>
      <c r="AM1144" s="49"/>
      <c r="AN1144" s="52" t="str">
        <f t="shared" si="5"/>
        <v>hey,</v>
      </c>
    </row>
    <row r="1145">
      <c r="A1145" s="51"/>
      <c r="B1145" s="50" t="s">
        <v>6238</v>
      </c>
      <c r="C1145" s="50">
        <v>105.0</v>
      </c>
      <c r="D1145" s="49" t="str">
        <f>IFERROR(__xludf.DUMMYFUNCTION("""COMPUTED_VALUE"""),"getting")</f>
        <v>getting</v>
      </c>
      <c r="E1145" s="49"/>
      <c r="F1145" s="49"/>
      <c r="G1145" s="49"/>
      <c r="H1145" s="54" t="str">
        <f t="shared" si="1"/>
        <v>awful,</v>
      </c>
      <c r="I1145" s="50"/>
      <c r="J1145" s="50" t="s">
        <v>967</v>
      </c>
      <c r="K1145" s="50" t="s">
        <v>842</v>
      </c>
      <c r="L1145" s="49" t="str">
        <f>IFERROR(__xludf.DUMMYFUNCTION("""COMPUTED_VALUE"""),"effortlessly")</f>
        <v>effortlessly</v>
      </c>
      <c r="M1145" s="49"/>
      <c r="N1145" s="49"/>
      <c r="O1145" s="49" t="str">
        <f>IFERROR(__xludf.DUMMYFUNCTION("""COMPUTED_VALUE"""),"newfoundland")</f>
        <v>newfoundland</v>
      </c>
      <c r="P1145" s="49" t="str">
        <f t="shared" si="2"/>
        <v>shot,</v>
      </c>
      <c r="Q1145" s="49"/>
      <c r="R1145" s="50" t="s">
        <v>1561</v>
      </c>
      <c r="S1145" s="55" t="s">
        <v>2327</v>
      </c>
      <c r="T1145" s="49" t="str">
        <f>IFERROR(__xludf.DUMMYFUNCTION("""COMPUTED_VALUE"""),"brooding")</f>
        <v>brooding</v>
      </c>
      <c r="U1145" s="49"/>
      <c r="V1145" s="49"/>
      <c r="W1145" s="49" t="str">
        <f>IFERROR(__xludf.DUMMYFUNCTION("""COMPUTED_VALUE"""),"reynolds")</f>
        <v>reynolds</v>
      </c>
      <c r="X1145" s="49" t="str">
        <f t="shared" si="3"/>
        <v>office,</v>
      </c>
      <c r="Y1145" s="49"/>
      <c r="Z1145" s="1" t="s">
        <v>2132</v>
      </c>
      <c r="AA1145" s="1" t="s">
        <v>2939</v>
      </c>
      <c r="AB1145" s="49"/>
      <c r="AC1145" s="49"/>
      <c r="AD1145" s="49"/>
      <c r="AE1145" s="49" t="str">
        <f>IFERROR(__xludf.DUMMYFUNCTION("""COMPUTED_VALUE"""),"newfoundland")</f>
        <v>newfoundland</v>
      </c>
      <c r="AF1145" s="49" t="str">
        <f t="shared" si="4"/>
        <v>sign,</v>
      </c>
      <c r="AG1145" s="49"/>
      <c r="AH1145" s="1" t="s">
        <v>2952</v>
      </c>
      <c r="AI1145" s="1" t="s">
        <v>6365</v>
      </c>
      <c r="AJ1145" s="6" t="str">
        <f>IFERROR(__xludf.DUMMYFUNCTION("""COMPUTED_VALUE"""),"train")</f>
        <v>train</v>
      </c>
      <c r="AK1145" s="49"/>
      <c r="AL1145" s="49"/>
      <c r="AM1145" s="49"/>
      <c r="AN1145" s="52" t="str">
        <f t="shared" si="5"/>
        <v>friday,</v>
      </c>
    </row>
    <row r="1146">
      <c r="A1146" s="51"/>
      <c r="B1146" s="50" t="s">
        <v>3109</v>
      </c>
      <c r="C1146" s="50" t="s">
        <v>2164</v>
      </c>
      <c r="D1146" s="49" t="str">
        <f>IFERROR(__xludf.DUMMYFUNCTION("""COMPUTED_VALUE"""),"sides")</f>
        <v>sides</v>
      </c>
      <c r="E1146" s="49"/>
      <c r="F1146" s="49"/>
      <c r="G1146" s="49"/>
      <c r="H1146" s="54" t="str">
        <f t="shared" si="1"/>
        <v>famous,</v>
      </c>
      <c r="I1146" s="50"/>
      <c r="J1146" s="50" t="s">
        <v>975</v>
      </c>
      <c r="K1146" s="50" t="s">
        <v>3603</v>
      </c>
      <c r="L1146" s="49" t="str">
        <f>IFERROR(__xludf.DUMMYFUNCTION("""COMPUTED_VALUE"""),"locations")</f>
        <v>locations</v>
      </c>
      <c r="M1146" s="49"/>
      <c r="N1146" s="49"/>
      <c r="O1146" s="49" t="str">
        <f>IFERROR(__xludf.DUMMYFUNCTION("""COMPUTED_VALUE"""),"reynolds")</f>
        <v>reynolds</v>
      </c>
      <c r="P1146" s="49" t="str">
        <f t="shared" si="2"/>
        <v>bite,</v>
      </c>
      <c r="Q1146" s="49"/>
      <c r="R1146" s="50" t="s">
        <v>4666</v>
      </c>
      <c r="S1146" s="55" t="s">
        <v>3377</v>
      </c>
      <c r="T1146" s="49" t="str">
        <f>IFERROR(__xludf.DUMMYFUNCTION("""COMPUTED_VALUE"""),"joy")</f>
        <v>joy</v>
      </c>
      <c r="U1146" s="49"/>
      <c r="V1146" s="49"/>
      <c r="W1146" s="49" t="str">
        <f>IFERROR(__xludf.DUMMYFUNCTION("""COMPUTED_VALUE"""),"shapes")</f>
        <v>shapes</v>
      </c>
      <c r="X1146" s="49" t="str">
        <f t="shared" si="3"/>
        <v>campus,</v>
      </c>
      <c r="Y1146" s="49"/>
      <c r="Z1146" s="1" t="s">
        <v>2412</v>
      </c>
      <c r="AA1146" s="1" t="s">
        <v>1508</v>
      </c>
      <c r="AB1146" s="49"/>
      <c r="AC1146" s="49"/>
      <c r="AD1146" s="49"/>
      <c r="AE1146" s="49" t="str">
        <f>IFERROR(__xludf.DUMMYFUNCTION("""COMPUTED_VALUE"""),"reynolds")</f>
        <v>reynolds</v>
      </c>
      <c r="AF1146" s="49" t="str">
        <f t="shared" si="4"/>
        <v>money,</v>
      </c>
      <c r="AG1146" s="49"/>
      <c r="AH1146" s="1" t="s">
        <v>3773</v>
      </c>
      <c r="AI1146" s="1" t="s">
        <v>3693</v>
      </c>
      <c r="AJ1146" s="6" t="str">
        <f>IFERROR(__xludf.DUMMYFUNCTION("""COMPUTED_VALUE"""),"golden")</f>
        <v>golden</v>
      </c>
      <c r="AK1146" s="49"/>
      <c r="AL1146" s="49"/>
      <c r="AM1146" s="49"/>
      <c r="AN1146" s="52" t="str">
        <f t="shared" si="5"/>
        <v>monday,</v>
      </c>
    </row>
    <row r="1147">
      <c r="A1147" s="51"/>
      <c r="B1147" s="50" t="s">
        <v>5545</v>
      </c>
      <c r="C1147" s="50" t="s">
        <v>2202</v>
      </c>
      <c r="D1147" s="49" t="str">
        <f>IFERROR(__xludf.DUMMYFUNCTION("""COMPUTED_VALUE"""),"pulling")</f>
        <v>pulling</v>
      </c>
      <c r="E1147" s="49"/>
      <c r="F1147" s="49"/>
      <c r="G1147" s="49"/>
      <c r="H1147" s="54" t="str">
        <f t="shared" si="1"/>
        <v>efforts,</v>
      </c>
      <c r="I1147" s="50"/>
      <c r="J1147" s="50" t="s">
        <v>1066</v>
      </c>
      <c r="K1147" s="50" t="s">
        <v>4108</v>
      </c>
      <c r="L1147" s="49" t="str">
        <f>IFERROR(__xludf.DUMMYFUNCTION("""COMPUTED_VALUE"""),"stuart")</f>
        <v>stuart</v>
      </c>
      <c r="M1147" s="49"/>
      <c r="N1147" s="49"/>
      <c r="O1147" s="49" t="str">
        <f>IFERROR(__xludf.DUMMYFUNCTION("""COMPUTED_VALUE"""),"shapes")</f>
        <v>shapes</v>
      </c>
      <c r="P1147" s="49" t="str">
        <f t="shared" si="2"/>
        <v>sensual,</v>
      </c>
      <c r="Q1147" s="49"/>
      <c r="R1147" s="50" t="s">
        <v>7321</v>
      </c>
      <c r="S1147" s="55" t="s">
        <v>3296</v>
      </c>
      <c r="T1147" s="49" t="str">
        <f>IFERROR(__xludf.DUMMYFUNCTION("""COMPUTED_VALUE"""),"grab")</f>
        <v>grab</v>
      </c>
      <c r="U1147" s="49"/>
      <c r="V1147" s="49"/>
      <c r="W1147" s="49" t="str">
        <f>IFERROR(__xludf.DUMMYFUNCTION("""COMPUTED_VALUE"""),"aboriginal")</f>
        <v>aboriginal</v>
      </c>
      <c r="X1147" s="49" t="str">
        <f t="shared" si="3"/>
        <v>met,</v>
      </c>
      <c r="Y1147" s="49"/>
      <c r="Z1147" s="1" t="s">
        <v>775</v>
      </c>
      <c r="AA1147" s="1" t="s">
        <v>2945</v>
      </c>
      <c r="AB1147" s="49"/>
      <c r="AC1147" s="49"/>
      <c r="AD1147" s="49"/>
      <c r="AE1147" s="49" t="str">
        <f>IFERROR(__xludf.DUMMYFUNCTION("""COMPUTED_VALUE"""),"shapes")</f>
        <v>shapes</v>
      </c>
      <c r="AF1147" s="49" t="str">
        <f t="shared" si="4"/>
        <v>apparent,</v>
      </c>
      <c r="AG1147" s="49"/>
      <c r="AH1147" s="1" t="s">
        <v>3621</v>
      </c>
      <c r="AI1147" s="1" t="s">
        <v>6433</v>
      </c>
      <c r="AJ1147" s="6" t="str">
        <f>IFERROR(__xludf.DUMMYFUNCTION("""COMPUTED_VALUE"""),"eric")</f>
        <v>eric</v>
      </c>
      <c r="AK1147" s="49"/>
      <c r="AL1147" s="49"/>
      <c r="AM1147" s="49"/>
      <c r="AN1147" s="52" t="str">
        <f t="shared" si="5"/>
        <v>stretch,</v>
      </c>
    </row>
    <row r="1148">
      <c r="A1148" s="51"/>
      <c r="B1148" s="50" t="s">
        <v>1091</v>
      </c>
      <c r="C1148" s="50" t="s">
        <v>2199</v>
      </c>
      <c r="D1148" s="49" t="str">
        <f>IFERROR(__xludf.DUMMYFUNCTION("""COMPUTED_VALUE"""),"intense")</f>
        <v>intense</v>
      </c>
      <c r="E1148" s="49"/>
      <c r="F1148" s="49"/>
      <c r="G1148" s="49"/>
      <c r="H1148" s="54" t="str">
        <f t="shared" si="1"/>
        <v>difference,</v>
      </c>
      <c r="I1148" s="50"/>
      <c r="J1148" s="50" t="s">
        <v>4485</v>
      </c>
      <c r="K1148" s="50" t="s">
        <v>2489</v>
      </c>
      <c r="L1148" s="49" t="str">
        <f>IFERROR(__xludf.DUMMYFUNCTION("""COMPUTED_VALUE"""),"poem")</f>
        <v>poem</v>
      </c>
      <c r="M1148" s="49"/>
      <c r="N1148" s="49"/>
      <c r="O1148" s="49" t="str">
        <f>IFERROR(__xludf.DUMMYFUNCTION("""COMPUTED_VALUE"""),"aboriginal")</f>
        <v>aboriginal</v>
      </c>
      <c r="P1148" s="49" t="str">
        <f t="shared" si="2"/>
        <v>spent,</v>
      </c>
      <c r="Q1148" s="49"/>
      <c r="R1148" s="50" t="s">
        <v>4435</v>
      </c>
      <c r="S1148" s="55" t="s">
        <v>678</v>
      </c>
      <c r="T1148" s="49" t="str">
        <f>IFERROR(__xludf.DUMMYFUNCTION("""COMPUTED_VALUE"""),"delivers")</f>
        <v>delivers</v>
      </c>
      <c r="U1148" s="49"/>
      <c r="V1148" s="49"/>
      <c r="W1148" s="49" t="str">
        <f>IFERROR(__xludf.DUMMYFUNCTION("""COMPUTED_VALUE"""),"depleted")</f>
        <v>depleted</v>
      </c>
      <c r="X1148" s="49" t="str">
        <f t="shared" si="3"/>
        <v>con,</v>
      </c>
      <c r="Y1148" s="49"/>
      <c r="Z1148" s="1" t="s">
        <v>1525</v>
      </c>
      <c r="AA1148" s="1" t="s">
        <v>2949</v>
      </c>
      <c r="AB1148" s="49"/>
      <c r="AC1148" s="49"/>
      <c r="AD1148" s="49"/>
      <c r="AE1148" s="49" t="str">
        <f>IFERROR(__xludf.DUMMYFUNCTION("""COMPUTED_VALUE"""),"aboriginal")</f>
        <v>aboriginal</v>
      </c>
      <c r="AF1148" s="49" t="str">
        <f t="shared" si="4"/>
        <v>written,</v>
      </c>
      <c r="AG1148" s="49"/>
      <c r="AH1148" s="1" t="s">
        <v>6876</v>
      </c>
      <c r="AI1148" s="1" t="s">
        <v>1763</v>
      </c>
      <c r="AJ1148" s="6" t="str">
        <f>IFERROR(__xludf.DUMMYFUNCTION("""COMPUTED_VALUE"""),"catherine")</f>
        <v>catherine</v>
      </c>
      <c r="AK1148" s="49"/>
      <c r="AL1148" s="49"/>
      <c r="AM1148" s="49"/>
      <c r="AN1148" s="52" t="str">
        <f t="shared" si="5"/>
        <v>shown,</v>
      </c>
    </row>
    <row r="1149">
      <c r="A1149" s="51"/>
      <c r="B1149" s="50" t="s">
        <v>1304</v>
      </c>
      <c r="C1149" s="50" t="s">
        <v>3652</v>
      </c>
      <c r="D1149" s="49" t="str">
        <f>IFERROR(__xludf.DUMMYFUNCTION("""COMPUTED_VALUE"""),"deeper")</f>
        <v>deeper</v>
      </c>
      <c r="E1149" s="49"/>
      <c r="F1149" s="49"/>
      <c r="G1149" s="49"/>
      <c r="H1149" s="54" t="str">
        <f t="shared" si="1"/>
        <v>weak,</v>
      </c>
      <c r="I1149" s="50"/>
      <c r="J1149" s="50" t="s">
        <v>4298</v>
      </c>
      <c r="K1149" s="50" t="s">
        <v>3675</v>
      </c>
      <c r="L1149" s="49" t="str">
        <f>IFERROR(__xludf.DUMMYFUNCTION("""COMPUTED_VALUE"""),"riot")</f>
        <v>riot</v>
      </c>
      <c r="M1149" s="49"/>
      <c r="N1149" s="49"/>
      <c r="O1149" s="49" t="str">
        <f>IFERROR(__xludf.DUMMYFUNCTION("""COMPUTED_VALUE"""),"depleted")</f>
        <v>depleted</v>
      </c>
      <c r="P1149" s="49" t="str">
        <f t="shared" si="2"/>
        <v>range,</v>
      </c>
      <c r="Q1149" s="49"/>
      <c r="R1149" s="50" t="s">
        <v>444</v>
      </c>
      <c r="S1149" s="55" t="s">
        <v>2332</v>
      </c>
      <c r="T1149" s="49" t="str">
        <f>IFERROR(__xludf.DUMMYFUNCTION("""COMPUTED_VALUE"""),"oppressive")</f>
        <v>oppressive</v>
      </c>
      <c r="U1149" s="49"/>
      <c r="V1149" s="49"/>
      <c r="W1149" s="49" t="str">
        <f>IFERROR(__xludf.DUMMYFUNCTION("""COMPUTED_VALUE"""),"decomposition")</f>
        <v>decomposition</v>
      </c>
      <c r="X1149" s="49" t="str">
        <f t="shared" si="3"/>
        <v>introduces,</v>
      </c>
      <c r="Y1149" s="49"/>
      <c r="Z1149" s="1" t="s">
        <v>6284</v>
      </c>
      <c r="AA1149" s="1" t="s">
        <v>2953</v>
      </c>
      <c r="AB1149" s="49"/>
      <c r="AC1149" s="49"/>
      <c r="AD1149" s="49"/>
      <c r="AE1149" s="49" t="str">
        <f>IFERROR(__xludf.DUMMYFUNCTION("""COMPUTED_VALUE"""),"depleted")</f>
        <v>depleted</v>
      </c>
      <c r="AF1149" s="49" t="str">
        <f t="shared" si="4"/>
        <v>dirty,</v>
      </c>
      <c r="AG1149" s="49"/>
      <c r="AH1149" s="1" t="s">
        <v>1924</v>
      </c>
      <c r="AI1149" s="1" t="s">
        <v>1619</v>
      </c>
      <c r="AJ1149" s="6" t="str">
        <f>IFERROR(__xludf.DUMMYFUNCTION("""COMPUTED_VALUE"""),"roberts")</f>
        <v>roberts</v>
      </c>
      <c r="AK1149" s="49"/>
      <c r="AL1149" s="49"/>
      <c r="AM1149" s="49"/>
      <c r="AN1149" s="52" t="str">
        <f t="shared" si="5"/>
        <v>ability,</v>
      </c>
    </row>
    <row r="1150">
      <c r="A1150" s="51"/>
      <c r="B1150" s="50" t="s">
        <v>703</v>
      </c>
      <c r="C1150" s="50" t="s">
        <v>3656</v>
      </c>
      <c r="D1150" s="49" t="str">
        <f>IFERROR(__xludf.DUMMYFUNCTION("""COMPUTED_VALUE"""),"underneath")</f>
        <v>underneath</v>
      </c>
      <c r="E1150" s="49"/>
      <c r="F1150" s="49"/>
      <c r="G1150" s="49"/>
      <c r="H1150" s="54" t="str">
        <f t="shared" si="1"/>
        <v>club,</v>
      </c>
      <c r="I1150" s="50"/>
      <c r="J1150" s="50" t="s">
        <v>3362</v>
      </c>
      <c r="K1150" s="50" t="s">
        <v>3605</v>
      </c>
      <c r="L1150" s="49" t="str">
        <f>IFERROR(__xludf.DUMMYFUNCTION("""COMPUTED_VALUE"""),"humming")</f>
        <v>humming</v>
      </c>
      <c r="M1150" s="49"/>
      <c r="N1150" s="49"/>
      <c r="O1150" s="49" t="str">
        <f>IFERROR(__xludf.DUMMYFUNCTION("""COMPUTED_VALUE"""),"decomposition")</f>
        <v>decomposition</v>
      </c>
      <c r="P1150" s="49" t="str">
        <f t="shared" si="2"/>
        <v>parts,</v>
      </c>
      <c r="Q1150" s="49"/>
      <c r="R1150" s="50" t="s">
        <v>2194</v>
      </c>
      <c r="S1150" s="55" t="s">
        <v>1074</v>
      </c>
      <c r="T1150" s="49" t="str">
        <f>IFERROR(__xludf.DUMMYFUNCTION("""COMPUTED_VALUE"""),"shining")</f>
        <v>shining</v>
      </c>
      <c r="U1150" s="49"/>
      <c r="V1150" s="49"/>
      <c r="W1150" s="49" t="str">
        <f>IFERROR(__xludf.DUMMYFUNCTION("""COMPUTED_VALUE"""),"swaying")</f>
        <v>swaying</v>
      </c>
      <c r="X1150" s="49" t="str">
        <f t="shared" si="3"/>
        <v>psychology,</v>
      </c>
      <c r="Y1150" s="49"/>
      <c r="Z1150" s="1" t="s">
        <v>1214</v>
      </c>
      <c r="AA1150" s="1" t="b">
        <v>0</v>
      </c>
      <c r="AB1150" s="49"/>
      <c r="AC1150" s="49"/>
      <c r="AD1150" s="49"/>
      <c r="AE1150" s="49" t="str">
        <f>IFERROR(__xludf.DUMMYFUNCTION("""COMPUTED_VALUE"""),"decomposition")</f>
        <v>decomposition</v>
      </c>
      <c r="AF1150" s="49" t="str">
        <f t="shared" si="4"/>
        <v>change,</v>
      </c>
      <c r="AG1150" s="49"/>
      <c r="AH1150" s="1" t="s">
        <v>913</v>
      </c>
      <c r="AI1150" s="1" t="s">
        <v>3916</v>
      </c>
      <c r="AJ1150" s="6" t="str">
        <f>IFERROR(__xludf.DUMMYFUNCTION("""COMPUTED_VALUE"""),"point")</f>
        <v>point</v>
      </c>
      <c r="AK1150" s="49"/>
      <c r="AL1150" s="49"/>
      <c r="AM1150" s="49"/>
      <c r="AN1150" s="52" t="str">
        <f t="shared" si="5"/>
        <v>tight,</v>
      </c>
    </row>
    <row r="1151">
      <c r="A1151" s="51"/>
      <c r="B1151" s="50">
        <v>19.0</v>
      </c>
      <c r="C1151" s="50" t="s">
        <v>3657</v>
      </c>
      <c r="D1151" s="49" t="str">
        <f>IFERROR(__xludf.DUMMYFUNCTION("""COMPUTED_VALUE"""),"constantly")</f>
        <v>constantly</v>
      </c>
      <c r="E1151" s="49"/>
      <c r="F1151" s="49"/>
      <c r="G1151" s="49"/>
      <c r="H1151" s="54" t="str">
        <f t="shared" si="1"/>
        <v>19,</v>
      </c>
      <c r="I1151" s="50"/>
      <c r="J1151" s="50" t="s">
        <v>2623</v>
      </c>
      <c r="K1151" s="50" t="s">
        <v>4116</v>
      </c>
      <c r="L1151" s="49" t="str">
        <f>IFERROR(__xludf.DUMMYFUNCTION("""COMPUTED_VALUE"""),"glued")</f>
        <v>glued</v>
      </c>
      <c r="M1151" s="49"/>
      <c r="N1151" s="49"/>
      <c r="O1151" s="49" t="str">
        <f>IFERROR(__xludf.DUMMYFUNCTION("""COMPUTED_VALUE"""),"swaying")</f>
        <v>swaying</v>
      </c>
      <c r="P1151" s="49" t="str">
        <f t="shared" si="2"/>
        <v>suitable,</v>
      </c>
      <c r="Q1151" s="49"/>
      <c r="R1151" s="50" t="s">
        <v>2645</v>
      </c>
      <c r="S1151" s="55" t="s">
        <v>2342</v>
      </c>
      <c r="T1151" s="49" t="str">
        <f>IFERROR(__xludf.DUMMYFUNCTION("""COMPUTED_VALUE"""),"mid")</f>
        <v>mid</v>
      </c>
      <c r="U1151" s="49"/>
      <c r="V1151" s="49"/>
      <c r="W1151" s="49" t="str">
        <f>IFERROR(__xludf.DUMMYFUNCTION("""COMPUTED_VALUE"""),"gently")</f>
        <v>gently</v>
      </c>
      <c r="X1151" s="49" t="str">
        <f t="shared" si="3"/>
        <v>cover,</v>
      </c>
      <c r="Y1151" s="49"/>
      <c r="Z1151" s="1" t="s">
        <v>839</v>
      </c>
      <c r="AA1151" s="1" t="s">
        <v>4113</v>
      </c>
      <c r="AB1151" s="49"/>
      <c r="AC1151" s="49"/>
      <c r="AD1151" s="49"/>
      <c r="AE1151" s="49" t="str">
        <f>IFERROR(__xludf.DUMMYFUNCTION("""COMPUTED_VALUE"""),"swaying")</f>
        <v>swaying</v>
      </c>
      <c r="AF1151" s="49" t="str">
        <f t="shared" si="4"/>
        <v>gorgeous,</v>
      </c>
      <c r="AG1151" s="49"/>
      <c r="AH1151" s="1" t="s">
        <v>6376</v>
      </c>
      <c r="AI1151" s="1" t="s">
        <v>3174</v>
      </c>
      <c r="AJ1151" s="6" t="str">
        <f>IFERROR(__xludf.DUMMYFUNCTION("""COMPUTED_VALUE"""),"language")</f>
        <v>language</v>
      </c>
      <c r="AK1151" s="49"/>
      <c r="AL1151" s="49"/>
      <c r="AM1151" s="49"/>
      <c r="AN1151" s="52" t="str">
        <f t="shared" si="5"/>
        <v>avoid,</v>
      </c>
    </row>
    <row r="1152">
      <c r="A1152" s="51"/>
      <c r="B1152" s="50" t="s">
        <v>4857</v>
      </c>
      <c r="C1152" s="50" t="s">
        <v>3136</v>
      </c>
      <c r="D1152" s="49" t="str">
        <f>IFERROR(__xludf.DUMMYFUNCTION("""COMPUTED_VALUE"""),"numerous")</f>
        <v>numerous</v>
      </c>
      <c r="E1152" s="49"/>
      <c r="F1152" s="49"/>
      <c r="G1152" s="49"/>
      <c r="H1152" s="54" t="str">
        <f t="shared" si="1"/>
        <v>seven,</v>
      </c>
      <c r="I1152" s="50"/>
      <c r="J1152" s="50" t="s">
        <v>3134</v>
      </c>
      <c r="K1152" s="50" t="s">
        <v>3905</v>
      </c>
      <c r="L1152" s="49" t="str">
        <f>IFERROR(__xludf.DUMMYFUNCTION("""COMPUTED_VALUE"""),"throat")</f>
        <v>throat</v>
      </c>
      <c r="M1152" s="49"/>
      <c r="N1152" s="49"/>
      <c r="O1152" s="49" t="str">
        <f>IFERROR(__xludf.DUMMYFUNCTION("""COMPUTED_VALUE"""),"collected")</f>
        <v>collected</v>
      </c>
      <c r="P1152" s="49" t="str">
        <f t="shared" si="2"/>
        <v>abandon,</v>
      </c>
      <c r="Q1152" s="49"/>
      <c r="R1152" s="50" t="s">
        <v>1683</v>
      </c>
      <c r="S1152" s="55" t="s">
        <v>6452</v>
      </c>
      <c r="T1152" s="49" t="str">
        <f>IFERROR(__xludf.DUMMYFUNCTION("""COMPUTED_VALUE"""),"spiritual")</f>
        <v>spiritual</v>
      </c>
      <c r="U1152" s="49"/>
      <c r="V1152" s="49"/>
      <c r="W1152" s="49" t="str">
        <f>IFERROR(__xludf.DUMMYFUNCTION("""COMPUTED_VALUE"""),"forth")</f>
        <v>forth</v>
      </c>
      <c r="X1152" s="49" t="str">
        <f t="shared" si="3"/>
        <v>amount,</v>
      </c>
      <c r="Y1152" s="49"/>
      <c r="Z1152" s="1" t="s">
        <v>2060</v>
      </c>
      <c r="AA1152" s="1" t="s">
        <v>4117</v>
      </c>
      <c r="AB1152" s="49"/>
      <c r="AC1152" s="49"/>
      <c r="AD1152" s="49"/>
      <c r="AE1152" s="49" t="str">
        <f>IFERROR(__xludf.DUMMYFUNCTION("""COMPUTED_VALUE"""),"collected")</f>
        <v>collected</v>
      </c>
      <c r="AF1152" s="49" t="str">
        <f t="shared" si="4"/>
        <v>winning,</v>
      </c>
      <c r="AG1152" s="49"/>
      <c r="AH1152" s="1" t="s">
        <v>4620</v>
      </c>
      <c r="AI1152" s="1" t="s">
        <v>2132</v>
      </c>
      <c r="AJ1152" s="6" t="str">
        <f>IFERROR(__xludf.DUMMYFUNCTION("""COMPUTED_VALUE"""),"christian")</f>
        <v>christian</v>
      </c>
      <c r="AK1152" s="49"/>
      <c r="AL1152" s="49"/>
      <c r="AM1152" s="49"/>
      <c r="AN1152" s="52" t="str">
        <f t="shared" si="5"/>
        <v>behavior,</v>
      </c>
    </row>
    <row r="1153">
      <c r="A1153" s="51"/>
      <c r="B1153" s="50" t="s">
        <v>6315</v>
      </c>
      <c r="C1153" s="50" t="s">
        <v>6450</v>
      </c>
      <c r="D1153" s="49" t="str">
        <f>IFERROR(__xludf.DUMMYFUNCTION("""COMPUTED_VALUE"""),"upon")</f>
        <v>upon</v>
      </c>
      <c r="E1153" s="49"/>
      <c r="F1153" s="49"/>
      <c r="G1153" s="49"/>
      <c r="H1153" s="54" t="str">
        <f t="shared" si="1"/>
        <v>completely,</v>
      </c>
      <c r="I1153" s="50"/>
      <c r="J1153" s="50" t="s">
        <v>2591</v>
      </c>
      <c r="K1153" s="50" t="s">
        <v>2468</v>
      </c>
      <c r="L1153" s="49" t="str">
        <f>IFERROR(__xludf.DUMMYFUNCTION("""COMPUTED_VALUE"""),"eventual")</f>
        <v>eventual</v>
      </c>
      <c r="M1153" s="49"/>
      <c r="N1153" s="49"/>
      <c r="O1153" s="49" t="str">
        <f>IFERROR(__xludf.DUMMYFUNCTION("""COMPUTED_VALUE"""),"accompanying")</f>
        <v>accompanying</v>
      </c>
      <c r="P1153" s="49" t="str">
        <f t="shared" si="2"/>
        <v>natural,</v>
      </c>
      <c r="Q1153" s="49"/>
      <c r="R1153" s="50" t="s">
        <v>2068</v>
      </c>
      <c r="S1153" s="55" t="s">
        <v>3395</v>
      </c>
      <c r="T1153" s="49" t="str">
        <f>IFERROR(__xludf.DUMMYFUNCTION("""COMPUTED_VALUE"""),"losses")</f>
        <v>losses</v>
      </c>
      <c r="U1153" s="49"/>
      <c r="V1153" s="49"/>
      <c r="W1153" s="49" t="str">
        <f>IFERROR(__xludf.DUMMYFUNCTION("""COMPUTED_VALUE"""),"injuries")</f>
        <v>injuries</v>
      </c>
      <c r="X1153" s="49" t="str">
        <f t="shared" si="3"/>
        <v>antics,</v>
      </c>
      <c r="Y1153" s="49"/>
      <c r="Z1153" s="1" t="s">
        <v>1623</v>
      </c>
      <c r="AA1153" s="1" t="s">
        <v>4118</v>
      </c>
      <c r="AB1153" s="49"/>
      <c r="AC1153" s="49"/>
      <c r="AD1153" s="49"/>
      <c r="AE1153" s="49" t="str">
        <f>IFERROR(__xludf.DUMMYFUNCTION("""COMPUTED_VALUE"""),"accompanying")</f>
        <v>accompanying</v>
      </c>
      <c r="AF1153" s="49" t="str">
        <f t="shared" si="4"/>
        <v>view,</v>
      </c>
      <c r="AG1153" s="49"/>
      <c r="AH1153" s="1" t="s">
        <v>3648</v>
      </c>
      <c r="AI1153" s="1" t="s">
        <v>1982</v>
      </c>
      <c r="AJ1153" s="6" t="str">
        <f>IFERROR(__xludf.DUMMYFUNCTION("""COMPUTED_VALUE"""),"fully")</f>
        <v>fully</v>
      </c>
      <c r="AK1153" s="49"/>
      <c r="AL1153" s="49"/>
      <c r="AM1153" s="49"/>
      <c r="AN1153" s="52" t="str">
        <f t="shared" si="5"/>
        <v>letting,</v>
      </c>
    </row>
    <row r="1154">
      <c r="A1154" s="51"/>
      <c r="B1154" s="50" t="s">
        <v>3751</v>
      </c>
      <c r="C1154" s="50" t="s">
        <v>3880</v>
      </c>
      <c r="D1154" s="49" t="str">
        <f>IFERROR(__xludf.DUMMYFUNCTION("""COMPUTED_VALUE"""),"improved")</f>
        <v>improved</v>
      </c>
      <c r="E1154" s="49"/>
      <c r="F1154" s="49"/>
      <c r="G1154" s="49"/>
      <c r="H1154" s="54" t="str">
        <f t="shared" si="1"/>
        <v>walk,</v>
      </c>
      <c r="I1154" s="50"/>
      <c r="J1154" s="50" t="s">
        <v>2229</v>
      </c>
      <c r="K1154" s="50" t="s">
        <v>1177</v>
      </c>
      <c r="L1154" s="49" t="str">
        <f>IFERROR(__xludf.DUMMYFUNCTION("""COMPUTED_VALUE"""),"stein")</f>
        <v>stein</v>
      </c>
      <c r="M1154" s="49"/>
      <c r="N1154" s="49"/>
      <c r="O1154" s="49" t="str">
        <f>IFERROR(__xludf.DUMMYFUNCTION("""COMPUTED_VALUE"""),"injuries")</f>
        <v>injuries</v>
      </c>
      <c r="P1154" s="49" t="str">
        <f t="shared" si="2"/>
        <v>gifted,</v>
      </c>
      <c r="Q1154" s="49"/>
      <c r="R1154" s="50" t="s">
        <v>283</v>
      </c>
      <c r="S1154" s="55" t="s">
        <v>1659</v>
      </c>
      <c r="T1154" s="49" t="str">
        <f>IFERROR(__xludf.DUMMYFUNCTION("""COMPUTED_VALUE"""),"goose")</f>
        <v>goose</v>
      </c>
      <c r="U1154" s="49"/>
      <c r="V1154" s="49"/>
      <c r="W1154" s="49" t="str">
        <f>IFERROR(__xludf.DUMMYFUNCTION("""COMPUTED_VALUE"""),"accompanying")</f>
        <v>accompanying</v>
      </c>
      <c r="X1154" s="49" t="str">
        <f t="shared" si="3"/>
        <v>momentum,</v>
      </c>
      <c r="Y1154" s="49"/>
      <c r="Z1154" s="1" t="s">
        <v>2825</v>
      </c>
      <c r="AA1154" s="1" t="s">
        <v>4119</v>
      </c>
      <c r="AB1154" s="49"/>
      <c r="AC1154" s="49"/>
      <c r="AD1154" s="49"/>
      <c r="AE1154" s="49" t="str">
        <f>IFERROR(__xludf.DUMMYFUNCTION("""COMPUTED_VALUE"""),"injuries")</f>
        <v>injuries</v>
      </c>
      <c r="AF1154" s="49" t="str">
        <f t="shared" si="4"/>
        <v>score,</v>
      </c>
      <c r="AG1154" s="49"/>
      <c r="AH1154" s="1" t="s">
        <v>553</v>
      </c>
      <c r="AI1154" s="1" t="s">
        <v>3440</v>
      </c>
      <c r="AJ1154" s="6" t="str">
        <f>IFERROR(__xludf.DUMMYFUNCTION("""COMPUTED_VALUE"""),"drug")</f>
        <v>drug</v>
      </c>
      <c r="AK1154" s="49"/>
      <c r="AL1154" s="49"/>
      <c r="AM1154" s="49"/>
      <c r="AN1154" s="52" t="str">
        <f t="shared" si="5"/>
        <v>actors,</v>
      </c>
    </row>
    <row r="1155">
      <c r="A1155" s="51"/>
      <c r="B1155" s="50" t="s">
        <v>3027</v>
      </c>
      <c r="C1155" s="50" t="s">
        <v>3663</v>
      </c>
      <c r="D1155" s="49" t="str">
        <f>IFERROR(__xludf.DUMMYFUNCTION("""COMPUTED_VALUE"""),"thank")</f>
        <v>thank</v>
      </c>
      <c r="E1155" s="49"/>
      <c r="F1155" s="49"/>
      <c r="G1155" s="49"/>
      <c r="H1155" s="54" t="str">
        <f t="shared" si="1"/>
        <v>edge,</v>
      </c>
      <c r="I1155" s="50"/>
      <c r="J1155" s="50" t="s">
        <v>1756</v>
      </c>
      <c r="K1155" s="50" t="s">
        <v>2471</v>
      </c>
      <c r="L1155" s="49" t="str">
        <f>IFERROR(__xludf.DUMMYFUNCTION("""COMPUTED_VALUE"""),"cleansing")</f>
        <v>cleansing</v>
      </c>
      <c r="M1155" s="49"/>
      <c r="N1155" s="49"/>
      <c r="O1155" s="49" t="str">
        <f>IFERROR(__xludf.DUMMYFUNCTION("""COMPUTED_VALUE"""),"strategic")</f>
        <v>strategic</v>
      </c>
      <c r="P1155" s="49" t="str">
        <f t="shared" si="2"/>
        <v>complete,</v>
      </c>
      <c r="Q1155" s="49"/>
      <c r="R1155" s="50" t="s">
        <v>7322</v>
      </c>
      <c r="S1155" s="55" t="s">
        <v>2346</v>
      </c>
      <c r="T1155" s="49" t="str">
        <f>IFERROR(__xludf.DUMMYFUNCTION("""COMPUTED_VALUE"""),"spine")</f>
        <v>spine</v>
      </c>
      <c r="U1155" s="49"/>
      <c r="V1155" s="49"/>
      <c r="W1155" s="49" t="str">
        <f>IFERROR(__xludf.DUMMYFUNCTION("""COMPUTED_VALUE"""),"helm")</f>
        <v>helm</v>
      </c>
      <c r="X1155" s="49" t="str">
        <f t="shared" si="3"/>
        <v>lumber,</v>
      </c>
      <c r="Y1155" s="49"/>
      <c r="Z1155" s="1" t="s">
        <v>1491</v>
      </c>
      <c r="AA1155" s="1" t="s">
        <v>2962</v>
      </c>
      <c r="AB1155" s="49"/>
      <c r="AC1155" s="49"/>
      <c r="AD1155" s="49"/>
      <c r="AE1155" s="49" t="str">
        <f>IFERROR(__xludf.DUMMYFUNCTION("""COMPUTED_VALUE"""),"strategic")</f>
        <v>strategic</v>
      </c>
      <c r="AF1155" s="49" t="str">
        <f t="shared" si="4"/>
        <v>award,</v>
      </c>
      <c r="AG1155" s="49"/>
      <c r="AH1155" s="1" t="s">
        <v>4734</v>
      </c>
      <c r="AI1155" s="1" t="s">
        <v>2207</v>
      </c>
      <c r="AJ1155" s="6" t="str">
        <f>IFERROR(__xludf.DUMMYFUNCTION("""COMPUTED_VALUE"""),"typical")</f>
        <v>typical</v>
      </c>
      <c r="AK1155" s="49"/>
      <c r="AL1155" s="49"/>
      <c r="AM1155" s="49"/>
      <c r="AN1155" s="52" t="str">
        <f t="shared" si="5"/>
        <v>novels,</v>
      </c>
    </row>
    <row r="1156">
      <c r="A1156" s="51"/>
      <c r="B1156" s="50" t="s">
        <v>3982</v>
      </c>
      <c r="C1156" s="50" t="s">
        <v>3894</v>
      </c>
      <c r="D1156" s="49" t="str">
        <f>IFERROR(__xludf.DUMMYFUNCTION("""COMPUTED_VALUE"""),"walk")</f>
        <v>walk</v>
      </c>
      <c r="E1156" s="49"/>
      <c r="F1156" s="49"/>
      <c r="G1156" s="49"/>
      <c r="H1156" s="54" t="str">
        <f t="shared" si="1"/>
        <v>directly,</v>
      </c>
      <c r="I1156" s="50"/>
      <c r="J1156" s="50" t="s">
        <v>4513</v>
      </c>
      <c r="K1156" s="50" t="s">
        <v>3614</v>
      </c>
      <c r="L1156" s="49" t="str">
        <f>IFERROR(__xludf.DUMMYFUNCTION("""COMPUTED_VALUE"""),"wash")</f>
        <v>wash</v>
      </c>
      <c r="M1156" s="49"/>
      <c r="N1156" s="49"/>
      <c r="O1156" s="49" t="str">
        <f>IFERROR(__xludf.DUMMYFUNCTION("""COMPUTED_VALUE"""),"helm")</f>
        <v>helm</v>
      </c>
      <c r="P1156" s="49" t="str">
        <f t="shared" si="2"/>
        <v>segment,</v>
      </c>
      <c r="Q1156" s="49"/>
      <c r="R1156" s="50" t="s">
        <v>4980</v>
      </c>
      <c r="S1156" s="55" t="s">
        <v>2710</v>
      </c>
      <c r="T1156" s="49" t="str">
        <f>IFERROR(__xludf.DUMMYFUNCTION("""COMPUTED_VALUE"""),"wonders")</f>
        <v>wonders</v>
      </c>
      <c r="U1156" s="49"/>
      <c r="V1156" s="49"/>
      <c r="W1156" s="49" t="str">
        <f>IFERROR(__xludf.DUMMYFUNCTION("""COMPUTED_VALUE"""),"philosophers")</f>
        <v>philosophers</v>
      </c>
      <c r="X1156" s="49" t="str">
        <f t="shared" si="3"/>
        <v>unusual,</v>
      </c>
      <c r="Y1156" s="49"/>
      <c r="Z1156" s="1" t="s">
        <v>6173</v>
      </c>
      <c r="AA1156" s="1" t="s">
        <v>4015</v>
      </c>
      <c r="AB1156" s="49"/>
      <c r="AC1156" s="49"/>
      <c r="AD1156" s="49"/>
      <c r="AE1156" s="49" t="str">
        <f>IFERROR(__xludf.DUMMYFUNCTION("""COMPUTED_VALUE"""),"helm")</f>
        <v>helm</v>
      </c>
      <c r="AF1156" s="49" t="str">
        <f t="shared" si="4"/>
        <v>suffered,</v>
      </c>
      <c r="AG1156" s="49"/>
      <c r="AH1156" s="1" t="s">
        <v>4527</v>
      </c>
      <c r="AI1156" s="1" t="s">
        <v>2212</v>
      </c>
      <c r="AJ1156" s="6" t="str">
        <f>IFERROR(__xludf.DUMMYFUNCTION("""COMPUTED_VALUE"""),"blade")</f>
        <v>blade</v>
      </c>
      <c r="AK1156" s="49"/>
      <c r="AL1156" s="49"/>
      <c r="AM1156" s="49"/>
      <c r="AN1156" s="52" t="str">
        <f t="shared" si="5"/>
        <v>beast,</v>
      </c>
    </row>
    <row r="1157">
      <c r="A1157" s="51"/>
      <c r="B1157" s="50" t="s">
        <v>6450</v>
      </c>
      <c r="C1157" s="50" t="s">
        <v>1099</v>
      </c>
      <c r="D1157" s="49" t="str">
        <f>IFERROR(__xludf.DUMMYFUNCTION("""COMPUTED_VALUE"""),"remember")</f>
        <v>remember</v>
      </c>
      <c r="E1157" s="49"/>
      <c r="F1157" s="49"/>
      <c r="G1157" s="49"/>
      <c r="H1157" s="54" t="str">
        <f t="shared" si="1"/>
        <v>surprised,</v>
      </c>
      <c r="I1157" s="50"/>
      <c r="J1157" s="50" t="s">
        <v>3039</v>
      </c>
      <c r="K1157" s="50" t="s">
        <v>780</v>
      </c>
      <c r="L1157" s="49" t="str">
        <f>IFERROR(__xludf.DUMMYFUNCTION("""COMPUTED_VALUE"""),"discovery")</f>
        <v>discovery</v>
      </c>
      <c r="M1157" s="49"/>
      <c r="N1157" s="49"/>
      <c r="O1157" s="49" t="str">
        <f>IFERROR(__xludf.DUMMYFUNCTION("""COMPUTED_VALUE"""),"philosophers")</f>
        <v>philosophers</v>
      </c>
      <c r="P1157" s="49" t="str">
        <f t="shared" si="2"/>
        <v>intentions,</v>
      </c>
      <c r="Q1157" s="49"/>
      <c r="R1157" s="50" t="s">
        <v>1934</v>
      </c>
      <c r="S1157" s="55" t="s">
        <v>1081</v>
      </c>
      <c r="T1157" s="49" t="str">
        <f>IFERROR(__xludf.DUMMYFUNCTION("""COMPUTED_VALUE"""),"scenic")</f>
        <v>scenic</v>
      </c>
      <c r="U1157" s="49"/>
      <c r="V1157" s="49"/>
      <c r="W1157" s="49" t="str">
        <f>IFERROR(__xludf.DUMMYFUNCTION("""COMPUTED_VALUE"""),"ritchie")</f>
        <v>ritchie</v>
      </c>
      <c r="X1157" s="49" t="str">
        <f t="shared" si="3"/>
        <v>flavor,</v>
      </c>
      <c r="Y1157" s="49"/>
      <c r="Z1157" s="1" t="s">
        <v>2358</v>
      </c>
      <c r="AA1157" s="1" t="s">
        <v>4120</v>
      </c>
      <c r="AB1157" s="49"/>
      <c r="AC1157" s="49"/>
      <c r="AD1157" s="49"/>
      <c r="AE1157" s="49" t="str">
        <f>IFERROR(__xludf.DUMMYFUNCTION("""COMPUTED_VALUE"""),"philosophers")</f>
        <v>philosophers</v>
      </c>
      <c r="AF1157" s="49" t="str">
        <f t="shared" si="4"/>
        <v>moves,</v>
      </c>
      <c r="AG1157" s="49"/>
      <c r="AH1157" s="1" t="s">
        <v>808</v>
      </c>
      <c r="AI1157" s="1" t="s">
        <v>2247</v>
      </c>
      <c r="AJ1157" s="6">
        <f>IFERROR(__xludf.DUMMYFUNCTION("""COMPUTED_VALUE"""),10.0)</f>
        <v>10</v>
      </c>
      <c r="AK1157" s="49"/>
      <c r="AL1157" s="49"/>
      <c r="AM1157" s="49"/>
      <c r="AN1157" s="52" t="str">
        <f t="shared" si="5"/>
        <v>ensemble,</v>
      </c>
    </row>
    <row r="1158">
      <c r="A1158" s="51"/>
      <c r="B1158" s="50" t="s">
        <v>6808</v>
      </c>
      <c r="C1158" s="50" t="s">
        <v>3896</v>
      </c>
      <c r="D1158" s="49" t="str">
        <f>IFERROR(__xludf.DUMMYFUNCTION("""COMPUTED_VALUE"""),"bite")</f>
        <v>bite</v>
      </c>
      <c r="E1158" s="49"/>
      <c r="F1158" s="49"/>
      <c r="G1158" s="49"/>
      <c r="H1158" s="54" t="str">
        <f t="shared" si="1"/>
        <v>opinion,</v>
      </c>
      <c r="I1158" s="50"/>
      <c r="J1158" s="50" t="s">
        <v>158</v>
      </c>
      <c r="K1158" s="50" t="s">
        <v>2497</v>
      </c>
      <c r="L1158" s="49" t="str">
        <f>IFERROR(__xludf.DUMMYFUNCTION("""COMPUTED_VALUE"""),"vague")</f>
        <v>vague</v>
      </c>
      <c r="M1158" s="49"/>
      <c r="N1158" s="49"/>
      <c r="O1158" s="49" t="str">
        <f>IFERROR(__xludf.DUMMYFUNCTION("""COMPUTED_VALUE"""),"ritchie")</f>
        <v>ritchie</v>
      </c>
      <c r="P1158" s="49" t="str">
        <f t="shared" si="2"/>
        <v>cruel,</v>
      </c>
      <c r="Q1158" s="49"/>
      <c r="R1158" s="50" t="s">
        <v>4843</v>
      </c>
      <c r="S1158" s="55" t="s">
        <v>2337</v>
      </c>
      <c r="T1158" s="49" t="str">
        <f>IFERROR(__xludf.DUMMYFUNCTION("""COMPUTED_VALUE"""),"catches")</f>
        <v>catches</v>
      </c>
      <c r="U1158" s="49"/>
      <c r="V1158" s="49"/>
      <c r="W1158" s="49" t="str">
        <f>IFERROR(__xludf.DUMMYFUNCTION("""COMPUTED_VALUE"""),"hundreds")</f>
        <v>hundreds</v>
      </c>
      <c r="X1158" s="49" t="str">
        <f t="shared" si="3"/>
        <v>producer,</v>
      </c>
      <c r="Y1158" s="49"/>
      <c r="Z1158" s="1" t="s">
        <v>5370</v>
      </c>
      <c r="AA1158" s="1" t="s">
        <v>4121</v>
      </c>
      <c r="AB1158" s="49"/>
      <c r="AC1158" s="49"/>
      <c r="AD1158" s="49"/>
      <c r="AE1158" s="49" t="str">
        <f>IFERROR(__xludf.DUMMYFUNCTION("""COMPUTED_VALUE"""),"ritchie")</f>
        <v>ritchie</v>
      </c>
      <c r="AF1158" s="49" t="str">
        <f t="shared" si="4"/>
        <v>susan,</v>
      </c>
      <c r="AG1158" s="49"/>
      <c r="AH1158" s="1" t="s">
        <v>544</v>
      </c>
      <c r="AI1158" s="1" t="s">
        <v>6435</v>
      </c>
      <c r="AJ1158" s="6" t="str">
        <f>IFERROR(__xludf.DUMMYFUNCTION("""COMPUTED_VALUE"""),"college")</f>
        <v>college</v>
      </c>
      <c r="AK1158" s="49"/>
      <c r="AL1158" s="49"/>
      <c r="AM1158" s="49"/>
      <c r="AN1158" s="52" t="str">
        <f t="shared" si="5"/>
        <v>real,</v>
      </c>
    </row>
    <row r="1159">
      <c r="A1159" s="51"/>
      <c r="B1159" s="50" t="s">
        <v>1616</v>
      </c>
      <c r="C1159" s="50" t="s">
        <v>4331</v>
      </c>
      <c r="D1159" s="49" t="str">
        <f>IFERROR(__xludf.DUMMYFUNCTION("""COMPUTED_VALUE"""),"punishment")</f>
        <v>punishment</v>
      </c>
      <c r="E1159" s="49"/>
      <c r="F1159" s="49"/>
      <c r="G1159" s="49"/>
      <c r="H1159" s="54" t="str">
        <f t="shared" si="1"/>
        <v>pure,</v>
      </c>
      <c r="I1159" s="50"/>
      <c r="J1159" s="50" t="s">
        <v>7307</v>
      </c>
      <c r="K1159" s="50" t="s">
        <v>3269</v>
      </c>
      <c r="L1159" s="49" t="str">
        <f>IFERROR(__xludf.DUMMYFUNCTION("""COMPUTED_VALUE"""),"continuation")</f>
        <v>continuation</v>
      </c>
      <c r="M1159" s="49"/>
      <c r="N1159" s="49"/>
      <c r="O1159" s="49" t="str">
        <f>IFERROR(__xludf.DUMMYFUNCTION("""COMPUTED_VALUE"""),"extra")</f>
        <v>extra</v>
      </c>
      <c r="P1159" s="49" t="str">
        <f t="shared" si="2"/>
        <v>hearted,</v>
      </c>
      <c r="Q1159" s="49"/>
      <c r="R1159" s="50" t="s">
        <v>2902</v>
      </c>
      <c r="S1159" s="55" t="s">
        <v>3405</v>
      </c>
      <c r="T1159" s="49" t="str">
        <f>IFERROR(__xludf.DUMMYFUNCTION("""COMPUTED_VALUE"""),"dignity")</f>
        <v>dignity</v>
      </c>
      <c r="U1159" s="49"/>
      <c r="V1159" s="49"/>
      <c r="W1159" s="49" t="str">
        <f>IFERROR(__xludf.DUMMYFUNCTION("""COMPUTED_VALUE"""),"bonding")</f>
        <v>bonding</v>
      </c>
      <c r="X1159" s="49" t="str">
        <f t="shared" si="3"/>
        <v>information,</v>
      </c>
      <c r="Y1159" s="49"/>
      <c r="Z1159" s="1" t="s">
        <v>910</v>
      </c>
      <c r="AA1159" s="1" t="s">
        <v>2966</v>
      </c>
      <c r="AB1159" s="49"/>
      <c r="AC1159" s="49"/>
      <c r="AD1159" s="49"/>
      <c r="AE1159" s="49" t="str">
        <f>IFERROR(__xludf.DUMMYFUNCTION("""COMPUTED_VALUE"""),"extra")</f>
        <v>extra</v>
      </c>
      <c r="AF1159" s="49" t="str">
        <f t="shared" si="4"/>
        <v>piano,</v>
      </c>
      <c r="AG1159" s="49"/>
      <c r="AH1159" s="1" t="s">
        <v>2620</v>
      </c>
      <c r="AI1159" s="1" t="s">
        <v>2228</v>
      </c>
      <c r="AJ1159" s="6" t="str">
        <f>IFERROR(__xludf.DUMMYFUNCTION("""COMPUTED_VALUE"""),"need")</f>
        <v>need</v>
      </c>
      <c r="AK1159" s="49"/>
      <c r="AL1159" s="49"/>
      <c r="AM1159" s="49"/>
      <c r="AN1159" s="52" t="str">
        <f t="shared" si="5"/>
        <v>sister,</v>
      </c>
    </row>
    <row r="1160">
      <c r="A1160" s="51"/>
      <c r="B1160" s="50" t="s">
        <v>5594</v>
      </c>
      <c r="C1160" s="50" t="s">
        <v>2183</v>
      </c>
      <c r="D1160" s="49" t="str">
        <f>IFERROR(__xludf.DUMMYFUNCTION("""COMPUTED_VALUE"""),"soon")</f>
        <v>soon</v>
      </c>
      <c r="E1160" s="49"/>
      <c r="F1160" s="49"/>
      <c r="G1160" s="49"/>
      <c r="H1160" s="54" t="str">
        <f t="shared" si="1"/>
        <v>exception,</v>
      </c>
      <c r="I1160" s="50"/>
      <c r="J1160" s="50" t="s">
        <v>6311</v>
      </c>
      <c r="K1160" s="50" t="s">
        <v>626</v>
      </c>
      <c r="L1160" s="49" t="str">
        <f>IFERROR(__xludf.DUMMYFUNCTION("""COMPUTED_VALUE"""),"suicidal")</f>
        <v>suicidal</v>
      </c>
      <c r="M1160" s="49"/>
      <c r="N1160" s="49"/>
      <c r="O1160" s="49" t="str">
        <f>IFERROR(__xludf.DUMMYFUNCTION("""COMPUTED_VALUE"""),"checking")</f>
        <v>checking</v>
      </c>
      <c r="P1160" s="49" t="str">
        <f t="shared" si="2"/>
        <v>theatre,</v>
      </c>
      <c r="Q1160" s="49"/>
      <c r="R1160" s="50" t="s">
        <v>656</v>
      </c>
      <c r="S1160" s="55" t="s">
        <v>2344</v>
      </c>
      <c r="T1160" s="49" t="str">
        <f>IFERROR(__xludf.DUMMYFUNCTION("""COMPUTED_VALUE"""),"spite")</f>
        <v>spite</v>
      </c>
      <c r="U1160" s="49"/>
      <c r="V1160" s="49"/>
      <c r="W1160" s="49" t="str">
        <f>IFERROR(__xludf.DUMMYFUNCTION("""COMPUTED_VALUE"""),"disciplined")</f>
        <v>disciplined</v>
      </c>
      <c r="X1160" s="49" t="str">
        <f t="shared" si="3"/>
        <v>lyrical,</v>
      </c>
      <c r="Y1160" s="49"/>
      <c r="Z1160" s="1" t="s">
        <v>933</v>
      </c>
      <c r="AA1160" s="1" t="s">
        <v>2969</v>
      </c>
      <c r="AB1160" s="49"/>
      <c r="AC1160" s="49"/>
      <c r="AD1160" s="49"/>
      <c r="AE1160" s="49" t="str">
        <f>IFERROR(__xludf.DUMMYFUNCTION("""COMPUTED_VALUE"""),"checking")</f>
        <v>checking</v>
      </c>
      <c r="AF1160" s="49" t="str">
        <f t="shared" si="4"/>
        <v>starts,</v>
      </c>
      <c r="AG1160" s="49"/>
      <c r="AH1160" s="1" t="s">
        <v>4659</v>
      </c>
      <c r="AI1160" s="1" t="s">
        <v>4423</v>
      </c>
      <c r="AJ1160" s="6" t="str">
        <f>IFERROR(__xludf.DUMMYFUNCTION("""COMPUTED_VALUE"""),"able")</f>
        <v>able</v>
      </c>
      <c r="AK1160" s="49"/>
      <c r="AL1160" s="49"/>
      <c r="AM1160" s="49"/>
      <c r="AN1160" s="52" t="str">
        <f t="shared" si="5"/>
        <v>train,</v>
      </c>
    </row>
    <row r="1161">
      <c r="A1161" s="51"/>
      <c r="B1161" s="50" t="s">
        <v>408</v>
      </c>
      <c r="C1161" s="50" t="s">
        <v>2188</v>
      </c>
      <c r="D1161" s="49" t="str">
        <f>IFERROR(__xludf.DUMMYFUNCTION("""COMPUTED_VALUE"""),"hero")</f>
        <v>hero</v>
      </c>
      <c r="E1161" s="49"/>
      <c r="F1161" s="49"/>
      <c r="G1161" s="49"/>
      <c r="H1161" s="54" t="str">
        <f t="shared" si="1"/>
        <v>torture,</v>
      </c>
      <c r="I1161" s="50"/>
      <c r="J1161" s="50" t="s">
        <v>4379</v>
      </c>
      <c r="K1161" s="50" t="s">
        <v>633</v>
      </c>
      <c r="L1161" s="49" t="str">
        <f>IFERROR(__xludf.DUMMYFUNCTION("""COMPUTED_VALUE"""),"slender")</f>
        <v>slender</v>
      </c>
      <c r="M1161" s="49"/>
      <c r="N1161" s="49"/>
      <c r="O1161" s="49" t="str">
        <f>IFERROR(__xludf.DUMMYFUNCTION("""COMPUTED_VALUE"""),"bonding")</f>
        <v>bonding</v>
      </c>
      <c r="P1161" s="49" t="str">
        <f t="shared" si="2"/>
        <v>rotten,</v>
      </c>
      <c r="Q1161" s="49"/>
      <c r="R1161" s="50" t="s">
        <v>1011</v>
      </c>
      <c r="S1161" s="55" t="s">
        <v>3340</v>
      </c>
      <c r="T1161" s="49" t="str">
        <f>IFERROR(__xludf.DUMMYFUNCTION("""COMPUTED_VALUE"""),"degree")</f>
        <v>degree</v>
      </c>
      <c r="U1161" s="49"/>
      <c r="V1161" s="49"/>
      <c r="W1161" s="49" t="str">
        <f>IFERROR(__xludf.DUMMYFUNCTION("""COMPUTED_VALUE"""),"reminding")</f>
        <v>reminding</v>
      </c>
      <c r="X1161" s="49" t="str">
        <f t="shared" si="3"/>
        <v>insight,</v>
      </c>
      <c r="Y1161" s="49"/>
      <c r="Z1161" s="1" t="s">
        <v>2814</v>
      </c>
      <c r="AA1161" s="1" t="s">
        <v>2972</v>
      </c>
      <c r="AB1161" s="49"/>
      <c r="AC1161" s="49"/>
      <c r="AD1161" s="49"/>
      <c r="AE1161" s="49" t="str">
        <f>IFERROR(__xludf.DUMMYFUNCTION("""COMPUTED_VALUE"""),"bonding")</f>
        <v>bonding</v>
      </c>
      <c r="AF1161" s="49" t="str">
        <f t="shared" si="4"/>
        <v>hot,</v>
      </c>
      <c r="AG1161" s="49"/>
      <c r="AH1161" s="1" t="s">
        <v>5403</v>
      </c>
      <c r="AI1161" s="1">
        <v>10.0</v>
      </c>
      <c r="AJ1161" s="6" t="str">
        <f>IFERROR(__xludf.DUMMYFUNCTION("""COMPUTED_VALUE"""),"wrote")</f>
        <v>wrote</v>
      </c>
      <c r="AK1161" s="49"/>
      <c r="AL1161" s="49"/>
      <c r="AM1161" s="49"/>
      <c r="AN1161" s="52" t="str">
        <f t="shared" si="5"/>
        <v>golden,</v>
      </c>
    </row>
    <row r="1162">
      <c r="A1162" s="51"/>
      <c r="B1162" s="50" t="s">
        <v>2155</v>
      </c>
      <c r="C1162" s="50" t="s">
        <v>2186</v>
      </c>
      <c r="D1162" s="49" t="str">
        <f>IFERROR(__xludf.DUMMYFUNCTION("""COMPUTED_VALUE"""),"fiction")</f>
        <v>fiction</v>
      </c>
      <c r="E1162" s="49"/>
      <c r="F1162" s="49"/>
      <c r="G1162" s="49"/>
      <c r="H1162" s="54" t="str">
        <f t="shared" si="1"/>
        <v>deals,</v>
      </c>
      <c r="I1162" s="50"/>
      <c r="J1162" s="50" t="s">
        <v>941</v>
      </c>
      <c r="K1162" s="50" t="s">
        <v>311</v>
      </c>
      <c r="L1162" s="49" t="str">
        <f>IFERROR(__xludf.DUMMYFUNCTION("""COMPUTED_VALUE"""),"scattered")</f>
        <v>scattered</v>
      </c>
      <c r="M1162" s="49"/>
      <c r="N1162" s="49"/>
      <c r="O1162" s="49" t="str">
        <f>IFERROR(__xludf.DUMMYFUNCTION("""COMPUTED_VALUE"""),"miniseries")</f>
        <v>miniseries</v>
      </c>
      <c r="P1162" s="49" t="str">
        <f t="shared" si="2"/>
        <v>sequence,</v>
      </c>
      <c r="Q1162" s="49"/>
      <c r="R1162" s="50" t="s">
        <v>6879</v>
      </c>
      <c r="S1162" s="55" t="s">
        <v>1493</v>
      </c>
      <c r="T1162" s="49" t="str">
        <f>IFERROR(__xludf.DUMMYFUNCTION("""COMPUTED_VALUE"""),"aim")</f>
        <v>aim</v>
      </c>
      <c r="U1162" s="49"/>
      <c r="V1162" s="49"/>
      <c r="W1162" s="49" t="str">
        <f>IFERROR(__xludf.DUMMYFUNCTION("""COMPUTED_VALUE"""),"tightened")</f>
        <v>tightened</v>
      </c>
      <c r="X1162" s="49" t="str">
        <f t="shared" si="3"/>
        <v>downtown,</v>
      </c>
      <c r="Y1162" s="49"/>
      <c r="Z1162" s="1" t="s">
        <v>1564</v>
      </c>
      <c r="AA1162" s="1" t="s">
        <v>1522</v>
      </c>
      <c r="AB1162" s="49"/>
      <c r="AC1162" s="49"/>
      <c r="AD1162" s="49"/>
      <c r="AE1162" s="49" t="str">
        <f>IFERROR(__xludf.DUMMYFUNCTION("""COMPUTED_VALUE"""),"miniseries")</f>
        <v>miniseries</v>
      </c>
      <c r="AF1162" s="49" t="str">
        <f t="shared" si="4"/>
        <v>trying,</v>
      </c>
      <c r="AG1162" s="49"/>
      <c r="AH1162" s="1" t="s">
        <v>6995</v>
      </c>
      <c r="AI1162" s="1">
        <v>0.0</v>
      </c>
      <c r="AJ1162" s="6" t="str">
        <f>IFERROR(__xludf.DUMMYFUNCTION("""COMPUTED_VALUE"""),"below")</f>
        <v>below</v>
      </c>
      <c r="AK1162" s="49"/>
      <c r="AL1162" s="49"/>
      <c r="AM1162" s="49"/>
      <c r="AN1162" s="52" t="str">
        <f t="shared" si="5"/>
        <v>eric,</v>
      </c>
    </row>
    <row r="1163">
      <c r="A1163" s="51"/>
      <c r="B1163" s="50" t="s">
        <v>1803</v>
      </c>
      <c r="C1163" s="50" t="s">
        <v>3679</v>
      </c>
      <c r="D1163" s="49" t="str">
        <f>IFERROR(__xludf.DUMMYFUNCTION("""COMPUTED_VALUE"""),"keeps")</f>
        <v>keeps</v>
      </c>
      <c r="E1163" s="49"/>
      <c r="F1163" s="49"/>
      <c r="G1163" s="49"/>
      <c r="H1163" s="54" t="str">
        <f t="shared" si="1"/>
        <v>united,</v>
      </c>
      <c r="I1163" s="50"/>
      <c r="J1163" s="50" t="s">
        <v>2701</v>
      </c>
      <c r="K1163" s="50" t="s">
        <v>1201</v>
      </c>
      <c r="L1163" s="49" t="str">
        <f>IFERROR(__xludf.DUMMYFUNCTION("""COMPUTED_VALUE"""),"brains")</f>
        <v>brains</v>
      </c>
      <c r="M1163" s="49"/>
      <c r="N1163" s="49"/>
      <c r="O1163" s="49" t="str">
        <f>IFERROR(__xludf.DUMMYFUNCTION("""COMPUTED_VALUE"""),"governmental")</f>
        <v>governmental</v>
      </c>
      <c r="P1163" s="49" t="str">
        <f t="shared" si="2"/>
        <v>indication,</v>
      </c>
      <c r="Q1163" s="49"/>
      <c r="R1163" s="50" t="s">
        <v>1025</v>
      </c>
      <c r="S1163" s="55" t="s">
        <v>557</v>
      </c>
      <c r="T1163" s="49" t="str">
        <f>IFERROR(__xludf.DUMMYFUNCTION("""COMPUTED_VALUE"""),"ripe")</f>
        <v>ripe</v>
      </c>
      <c r="U1163" s="49"/>
      <c r="V1163" s="49"/>
      <c r="W1163" s="49" t="str">
        <f>IFERROR(__xludf.DUMMYFUNCTION("""COMPUTED_VALUE"""),"collaborative")</f>
        <v>collaborative</v>
      </c>
      <c r="X1163" s="49" t="str">
        <f t="shared" si="3"/>
        <v>ponder,</v>
      </c>
      <c r="Y1163" s="49"/>
      <c r="Z1163" s="1" t="s">
        <v>1440</v>
      </c>
      <c r="AA1163" s="1" t="s">
        <v>4127</v>
      </c>
      <c r="AB1163" s="49"/>
      <c r="AC1163" s="49"/>
      <c r="AD1163" s="49"/>
      <c r="AE1163" s="49" t="str">
        <f>IFERROR(__xludf.DUMMYFUNCTION("""COMPUTED_VALUE"""),"governmental")</f>
        <v>governmental</v>
      </c>
      <c r="AF1163" s="49" t="str">
        <f t="shared" si="4"/>
        <v>hate,</v>
      </c>
      <c r="AG1163" s="49"/>
      <c r="AH1163" s="1" t="s">
        <v>6889</v>
      </c>
      <c r="AI1163" s="1" t="s">
        <v>2220</v>
      </c>
      <c r="AJ1163" s="6" t="str">
        <f>IFERROR(__xludf.DUMMYFUNCTION("""COMPUTED_VALUE"""),"slightly")</f>
        <v>slightly</v>
      </c>
      <c r="AK1163" s="49"/>
      <c r="AL1163" s="49"/>
      <c r="AM1163" s="49"/>
      <c r="AN1163" s="52" t="str">
        <f t="shared" si="5"/>
        <v>catherine,</v>
      </c>
    </row>
    <row r="1164">
      <c r="A1164" s="51"/>
      <c r="B1164" s="50" t="s">
        <v>602</v>
      </c>
      <c r="C1164" s="50" t="s">
        <v>517</v>
      </c>
      <c r="D1164" s="49" t="str">
        <f>IFERROR(__xludf.DUMMYFUNCTION("""COMPUTED_VALUE"""),"today")</f>
        <v>today</v>
      </c>
      <c r="E1164" s="49"/>
      <c r="F1164" s="49"/>
      <c r="G1164" s="49"/>
      <c r="H1164" s="54" t="str">
        <f t="shared" si="1"/>
        <v>took,</v>
      </c>
      <c r="I1164" s="50"/>
      <c r="J1164" s="50" t="s">
        <v>7323</v>
      </c>
      <c r="K1164" s="50" t="s">
        <v>2561</v>
      </c>
      <c r="L1164" s="49" t="str">
        <f>IFERROR(__xludf.DUMMYFUNCTION("""COMPUTED_VALUE"""),"amused")</f>
        <v>amused</v>
      </c>
      <c r="M1164" s="49"/>
      <c r="N1164" s="49"/>
      <c r="O1164" s="49" t="str">
        <f>IFERROR(__xludf.DUMMYFUNCTION("""COMPUTED_VALUE"""),"disciplined")</f>
        <v>disciplined</v>
      </c>
      <c r="P1164" s="49" t="str">
        <f t="shared" si="2"/>
        <v>las,</v>
      </c>
      <c r="Q1164" s="49"/>
      <c r="R1164" s="50" t="s">
        <v>310</v>
      </c>
      <c r="S1164" s="55" t="s">
        <v>692</v>
      </c>
      <c r="T1164" s="49" t="str">
        <f>IFERROR(__xludf.DUMMYFUNCTION("""COMPUTED_VALUE"""),"mass")</f>
        <v>mass</v>
      </c>
      <c r="U1164" s="49"/>
      <c r="V1164" s="49"/>
      <c r="W1164" s="49" t="str">
        <f>IFERROR(__xludf.DUMMYFUNCTION("""COMPUTED_VALUE"""),"continuity")</f>
        <v>continuity</v>
      </c>
      <c r="X1164" s="49" t="str">
        <f t="shared" si="3"/>
        <v>existence,</v>
      </c>
      <c r="Y1164" s="49"/>
      <c r="Z1164" s="1" t="s">
        <v>2399</v>
      </c>
      <c r="AA1164" s="1" t="s">
        <v>2979</v>
      </c>
      <c r="AB1164" s="49"/>
      <c r="AC1164" s="49"/>
      <c r="AD1164" s="49"/>
      <c r="AE1164" s="49" t="str">
        <f>IFERROR(__xludf.DUMMYFUNCTION("""COMPUTED_VALUE"""),"disciplined")</f>
        <v>disciplined</v>
      </c>
      <c r="AF1164" s="49" t="str">
        <f t="shared" si="4"/>
        <v>scenario,</v>
      </c>
      <c r="AG1164" s="49"/>
      <c r="AH1164" s="1" t="s">
        <v>2919</v>
      </c>
      <c r="AI1164" s="1" t="s">
        <v>6436</v>
      </c>
      <c r="AJ1164" s="6" t="str">
        <f>IFERROR(__xludf.DUMMYFUNCTION("""COMPUTED_VALUE"""),"truly")</f>
        <v>truly</v>
      </c>
      <c r="AK1164" s="49"/>
      <c r="AL1164" s="49"/>
      <c r="AM1164" s="49"/>
      <c r="AN1164" s="52" t="str">
        <f t="shared" si="5"/>
        <v>roberts,</v>
      </c>
    </row>
    <row r="1165">
      <c r="A1165" s="51"/>
      <c r="B1165" s="50" t="s">
        <v>234</v>
      </c>
      <c r="C1165" s="50" t="s">
        <v>2195</v>
      </c>
      <c r="D1165" s="49" t="str">
        <f>IFERROR(__xludf.DUMMYFUNCTION("""COMPUTED_VALUE"""),"relevant")</f>
        <v>relevant</v>
      </c>
      <c r="E1165" s="49"/>
      <c r="F1165" s="49"/>
      <c r="G1165" s="49"/>
      <c r="H1165" s="54" t="str">
        <f t="shared" si="1"/>
        <v>small,</v>
      </c>
      <c r="I1165" s="50"/>
      <c r="J1165" s="50" t="s">
        <v>3656</v>
      </c>
      <c r="K1165" s="50" t="s">
        <v>3313</v>
      </c>
      <c r="L1165" s="49" t="str">
        <f>IFERROR(__xludf.DUMMYFUNCTION("""COMPUTED_VALUE"""),"zone")</f>
        <v>zone</v>
      </c>
      <c r="M1165" s="49"/>
      <c r="N1165" s="49"/>
      <c r="O1165" s="49" t="str">
        <f>IFERROR(__xludf.DUMMYFUNCTION("""COMPUTED_VALUE"""),"tightened")</f>
        <v>tightened</v>
      </c>
      <c r="P1165" s="49" t="str">
        <f t="shared" si="2"/>
        <v>receive,</v>
      </c>
      <c r="Q1165" s="49"/>
      <c r="R1165" s="50" t="s">
        <v>4148</v>
      </c>
      <c r="S1165" s="55" t="s">
        <v>3914</v>
      </c>
      <c r="T1165" s="49" t="str">
        <f>IFERROR(__xludf.DUMMYFUNCTION("""COMPUTED_VALUE"""),"chinese")</f>
        <v>chinese</v>
      </c>
      <c r="U1165" s="49"/>
      <c r="V1165" s="49"/>
      <c r="W1165" s="49" t="str">
        <f>IFERROR(__xludf.DUMMYFUNCTION("""COMPUTED_VALUE"""),"unit")</f>
        <v>unit</v>
      </c>
      <c r="X1165" s="49" t="str">
        <f t="shared" si="3"/>
        <v>explains,</v>
      </c>
      <c r="Y1165" s="49"/>
      <c r="Z1165" s="1" t="s">
        <v>1568</v>
      </c>
      <c r="AA1165" s="1" t="s">
        <v>2773</v>
      </c>
      <c r="AB1165" s="49"/>
      <c r="AC1165" s="49"/>
      <c r="AD1165" s="49"/>
      <c r="AE1165" s="49" t="str">
        <f>IFERROR(__xludf.DUMMYFUNCTION("""COMPUTED_VALUE"""),"tightened")</f>
        <v>tightened</v>
      </c>
      <c r="AF1165" s="49" t="str">
        <f t="shared" si="4"/>
        <v>attractive,</v>
      </c>
      <c r="AG1165" s="49"/>
      <c r="AH1165" s="1" t="s">
        <v>598</v>
      </c>
      <c r="AI1165" s="1" t="s">
        <v>3196</v>
      </c>
      <c r="AJ1165" s="6" t="str">
        <f>IFERROR(__xludf.DUMMYFUNCTION("""COMPUTED_VALUE"""),"saving")</f>
        <v>saving</v>
      </c>
      <c r="AK1165" s="49"/>
      <c r="AL1165" s="49"/>
      <c r="AM1165" s="49"/>
      <c r="AN1165" s="52" t="str">
        <f t="shared" si="5"/>
        <v>point,</v>
      </c>
    </row>
    <row r="1166">
      <c r="A1166" s="51"/>
      <c r="B1166" s="50" t="s">
        <v>357</v>
      </c>
      <c r="C1166" s="50" t="s">
        <v>3362</v>
      </c>
      <c r="D1166" s="49" t="str">
        <f>IFERROR(__xludf.DUMMYFUNCTION("""COMPUTED_VALUE"""),"grief")</f>
        <v>grief</v>
      </c>
      <c r="E1166" s="49"/>
      <c r="F1166" s="49"/>
      <c r="G1166" s="49"/>
      <c r="H1166" s="54" t="str">
        <f t="shared" si="1"/>
        <v>come,</v>
      </c>
      <c r="I1166" s="50"/>
      <c r="J1166" s="50" t="s">
        <v>2570</v>
      </c>
      <c r="K1166" s="50" t="s">
        <v>2393</v>
      </c>
      <c r="L1166" s="49" t="str">
        <f>IFERROR(__xludf.DUMMYFUNCTION("""COMPUTED_VALUE"""),"spade")</f>
        <v>spade</v>
      </c>
      <c r="M1166" s="49"/>
      <c r="N1166" s="49"/>
      <c r="O1166" s="49" t="str">
        <f>IFERROR(__xludf.DUMMYFUNCTION("""COMPUTED_VALUE"""),"collaborative")</f>
        <v>collaborative</v>
      </c>
      <c r="P1166" s="49" t="str">
        <f t="shared" si="2"/>
        <v>finally,</v>
      </c>
      <c r="Q1166" s="49"/>
      <c r="R1166" s="50" t="s">
        <v>3370</v>
      </c>
      <c r="S1166" s="55" t="s">
        <v>2361</v>
      </c>
      <c r="T1166" s="49" t="str">
        <f>IFERROR(__xludf.DUMMYFUNCTION("""COMPUTED_VALUE"""),"factor")</f>
        <v>factor</v>
      </c>
      <c r="U1166" s="49"/>
      <c r="V1166" s="49"/>
      <c r="W1166" s="49" t="str">
        <f>IFERROR(__xludf.DUMMYFUNCTION("""COMPUTED_VALUE"""),"ambrose")</f>
        <v>ambrose</v>
      </c>
      <c r="X1166" s="49" t="str">
        <f t="shared" si="3"/>
        <v>inviting,</v>
      </c>
      <c r="Y1166" s="49"/>
      <c r="Z1166" s="1" t="s">
        <v>1174</v>
      </c>
      <c r="AA1166" s="1" t="s">
        <v>2778</v>
      </c>
      <c r="AB1166" s="49"/>
      <c r="AC1166" s="49"/>
      <c r="AD1166" s="49"/>
      <c r="AE1166" s="49" t="str">
        <f>IFERROR(__xludf.DUMMYFUNCTION("""COMPUTED_VALUE"""),"collaborative")</f>
        <v>collaborative</v>
      </c>
      <c r="AF1166" s="49" t="str">
        <f t="shared" si="4"/>
        <v>yes,</v>
      </c>
      <c r="AG1166" s="49"/>
      <c r="AH1166" s="1" t="s">
        <v>3566</v>
      </c>
      <c r="AI1166" s="1" t="s">
        <v>2226</v>
      </c>
      <c r="AJ1166" s="6" t="str">
        <f>IFERROR(__xludf.DUMMYFUNCTION("""COMPUTED_VALUE"""),"famous")</f>
        <v>famous</v>
      </c>
      <c r="AK1166" s="49"/>
      <c r="AL1166" s="49"/>
      <c r="AM1166" s="49"/>
      <c r="AN1166" s="52" t="str">
        <f t="shared" si="5"/>
        <v>language,</v>
      </c>
    </row>
    <row r="1167">
      <c r="A1167" s="51"/>
      <c r="B1167" s="50" t="s">
        <v>5522</v>
      </c>
      <c r="C1167" s="50" t="s">
        <v>6431</v>
      </c>
      <c r="D1167" s="49" t="str">
        <f>IFERROR(__xludf.DUMMYFUNCTION("""COMPUTED_VALUE"""),"sad")</f>
        <v>sad</v>
      </c>
      <c r="E1167" s="49"/>
      <c r="F1167" s="49"/>
      <c r="G1167" s="49"/>
      <c r="H1167" s="54" t="str">
        <f t="shared" si="1"/>
        <v>southern,</v>
      </c>
      <c r="I1167" s="50"/>
      <c r="J1167" s="50" t="s">
        <v>7324</v>
      </c>
      <c r="K1167" s="50" t="s">
        <v>2483</v>
      </c>
      <c r="L1167" s="49" t="str">
        <f>IFERROR(__xludf.DUMMYFUNCTION("""COMPUTED_VALUE"""),"clarity")</f>
        <v>clarity</v>
      </c>
      <c r="M1167" s="49"/>
      <c r="N1167" s="49"/>
      <c r="O1167" s="49" t="str">
        <f>IFERROR(__xludf.DUMMYFUNCTION("""COMPUTED_VALUE"""),"continuity")</f>
        <v>continuity</v>
      </c>
      <c r="P1167" s="49" t="str">
        <f t="shared" si="2"/>
        <v>dam,</v>
      </c>
      <c r="Q1167" s="49"/>
      <c r="R1167" s="50" t="s">
        <v>4143</v>
      </c>
      <c r="S1167" s="55" t="s">
        <v>3913</v>
      </c>
      <c r="T1167" s="49" t="str">
        <f>IFERROR(__xludf.DUMMYFUNCTION("""COMPUTED_VALUE"""),"chill")</f>
        <v>chill</v>
      </c>
      <c r="U1167" s="49"/>
      <c r="V1167" s="49"/>
      <c r="W1167" s="49" t="str">
        <f>IFERROR(__xludf.DUMMYFUNCTION("""COMPUTED_VALUE"""),"leaps")</f>
        <v>leaps</v>
      </c>
      <c r="X1167" s="49" t="str">
        <f t="shared" si="3"/>
        <v>foot,</v>
      </c>
      <c r="Y1167" s="49"/>
      <c r="Z1167" s="1" t="s">
        <v>3856</v>
      </c>
      <c r="AA1167" s="1" t="s">
        <v>1528</v>
      </c>
      <c r="AB1167" s="49"/>
      <c r="AC1167" s="49"/>
      <c r="AD1167" s="49"/>
      <c r="AE1167" s="49" t="str">
        <f>IFERROR(__xludf.DUMMYFUNCTION("""COMPUTED_VALUE"""),"continuity")</f>
        <v>continuity</v>
      </c>
      <c r="AF1167" s="49" t="str">
        <f t="shared" si="4"/>
        <v>folks,</v>
      </c>
      <c r="AG1167" s="49"/>
      <c r="AH1167" s="1" t="s">
        <v>2581</v>
      </c>
      <c r="AI1167" s="1" t="s">
        <v>1079</v>
      </c>
      <c r="AJ1167" s="6" t="str">
        <f>IFERROR(__xludf.DUMMYFUNCTION("""COMPUTED_VALUE"""),"efforts")</f>
        <v>efforts</v>
      </c>
      <c r="AK1167" s="49"/>
      <c r="AL1167" s="49"/>
      <c r="AM1167" s="49"/>
      <c r="AN1167" s="52" t="str">
        <f t="shared" si="5"/>
        <v>christian,</v>
      </c>
    </row>
    <row r="1168">
      <c r="A1168" s="51"/>
      <c r="B1168" s="50" t="s">
        <v>4478</v>
      </c>
      <c r="C1168" s="50" t="s">
        <v>2214</v>
      </c>
      <c r="D1168" s="49" t="str">
        <f>IFERROR(__xludf.DUMMYFUNCTION("""COMPUTED_VALUE"""),"hong")</f>
        <v>hong</v>
      </c>
      <c r="E1168" s="49"/>
      <c r="F1168" s="49"/>
      <c r="G1168" s="49"/>
      <c r="H1168" s="54" t="str">
        <f t="shared" si="1"/>
        <v>ten,</v>
      </c>
      <c r="I1168" s="50"/>
      <c r="J1168" s="50" t="s">
        <v>1770</v>
      </c>
      <c r="K1168" s="50" t="s">
        <v>640</v>
      </c>
      <c r="L1168" s="49" t="str">
        <f>IFERROR(__xludf.DUMMYFUNCTION("""COMPUTED_VALUE"""),"places")</f>
        <v>places</v>
      </c>
      <c r="M1168" s="49"/>
      <c r="N1168" s="49"/>
      <c r="O1168" s="49" t="str">
        <f>IFERROR(__xludf.DUMMYFUNCTION("""COMPUTED_VALUE"""),"ambrose")</f>
        <v>ambrose</v>
      </c>
      <c r="P1168" s="49" t="str">
        <f t="shared" si="2"/>
        <v>remarkable,</v>
      </c>
      <c r="Q1168" s="49"/>
      <c r="R1168" s="50" t="s">
        <v>1864</v>
      </c>
      <c r="S1168" s="55" t="s">
        <v>404</v>
      </c>
      <c r="T1168" s="49" t="str">
        <f>IFERROR(__xludf.DUMMYFUNCTION("""COMPUTED_VALUE"""),"flesh")</f>
        <v>flesh</v>
      </c>
      <c r="U1168" s="49"/>
      <c r="V1168" s="49"/>
      <c r="W1168" s="49" t="str">
        <f>IFERROR(__xludf.DUMMYFUNCTION("""COMPUTED_VALUE"""),"til")</f>
        <v>til</v>
      </c>
      <c r="X1168" s="49" t="str">
        <f t="shared" si="3"/>
        <v>reach,</v>
      </c>
      <c r="Y1168" s="49"/>
      <c r="Z1168" s="1" t="s">
        <v>1020</v>
      </c>
      <c r="AA1168" s="1" t="s">
        <v>2990</v>
      </c>
      <c r="AB1168" s="49"/>
      <c r="AC1168" s="49"/>
      <c r="AD1168" s="49"/>
      <c r="AE1168" s="49" t="str">
        <f>IFERROR(__xludf.DUMMYFUNCTION("""COMPUTED_VALUE"""),"ambrose")</f>
        <v>ambrose</v>
      </c>
      <c r="AF1168" s="49" t="str">
        <f t="shared" si="4"/>
        <v>romance,</v>
      </c>
      <c r="AG1168" s="49"/>
      <c r="AH1168" s="1" t="s">
        <v>4190</v>
      </c>
      <c r="AI1168" s="1" t="s">
        <v>4491</v>
      </c>
      <c r="AJ1168" s="6" t="str">
        <f>IFERROR(__xludf.DUMMYFUNCTION("""COMPUTED_VALUE"""),"difference")</f>
        <v>difference</v>
      </c>
      <c r="AK1168" s="49"/>
      <c r="AL1168" s="49"/>
      <c r="AM1168" s="49"/>
      <c r="AN1168" s="52" t="str">
        <f t="shared" si="5"/>
        <v>fully,</v>
      </c>
    </row>
    <row r="1169">
      <c r="A1169" s="51"/>
      <c r="B1169" s="50" t="s">
        <v>4445</v>
      </c>
      <c r="C1169" s="50" t="s">
        <v>1582</v>
      </c>
      <c r="D1169" s="49" t="str">
        <f>IFERROR(__xludf.DUMMYFUNCTION("""COMPUTED_VALUE"""),"stanley")</f>
        <v>stanley</v>
      </c>
      <c r="E1169" s="49"/>
      <c r="F1169" s="49"/>
      <c r="G1169" s="49"/>
      <c r="H1169" s="54" t="str">
        <f t="shared" si="1"/>
        <v>child,</v>
      </c>
      <c r="I1169" s="50"/>
      <c r="J1169" s="50" t="s">
        <v>2220</v>
      </c>
      <c r="K1169" s="50" t="s">
        <v>3633</v>
      </c>
      <c r="L1169" s="49" t="str">
        <f>IFERROR(__xludf.DUMMYFUNCTION("""COMPUTED_VALUE"""),"hug")</f>
        <v>hug</v>
      </c>
      <c r="M1169" s="49"/>
      <c r="N1169" s="49"/>
      <c r="O1169" s="49" t="str">
        <f>IFERROR(__xludf.DUMMYFUNCTION("""COMPUTED_VALUE"""),"leaps")</f>
        <v>leaps</v>
      </c>
      <c r="P1169" s="49" t="str">
        <f t="shared" si="2"/>
        <v>chase,</v>
      </c>
      <c r="Q1169" s="49"/>
      <c r="R1169" s="50" t="s">
        <v>2769</v>
      </c>
      <c r="S1169" s="55" t="s">
        <v>3922</v>
      </c>
      <c r="T1169" s="49" t="str">
        <f>IFERROR(__xludf.DUMMYFUNCTION("""COMPUTED_VALUE"""),"drown")</f>
        <v>drown</v>
      </c>
      <c r="U1169" s="49"/>
      <c r="V1169" s="49"/>
      <c r="W1169" s="49" t="str">
        <f>IFERROR(__xludf.DUMMYFUNCTION("""COMPUTED_VALUE"""),"sexes")</f>
        <v>sexes</v>
      </c>
      <c r="X1169" s="49" t="str">
        <f t="shared" si="3"/>
        <v>god,</v>
      </c>
      <c r="Y1169" s="49"/>
      <c r="Z1169" s="1" t="s">
        <v>1444</v>
      </c>
      <c r="AA1169" s="1" t="s">
        <v>2785</v>
      </c>
      <c r="AB1169" s="49"/>
      <c r="AC1169" s="49"/>
      <c r="AD1169" s="49"/>
      <c r="AE1169" s="49" t="str">
        <f>IFERROR(__xludf.DUMMYFUNCTION("""COMPUTED_VALUE"""),"leaps")</f>
        <v>leaps</v>
      </c>
      <c r="AF1169" s="49" t="str">
        <f t="shared" si="4"/>
        <v>including,</v>
      </c>
      <c r="AG1169" s="49"/>
      <c r="AH1169" s="1" t="s">
        <v>4665</v>
      </c>
      <c r="AI1169" s="1" t="s">
        <v>885</v>
      </c>
      <c r="AJ1169" s="6" t="str">
        <f>IFERROR(__xludf.DUMMYFUNCTION("""COMPUTED_VALUE"""),"weak")</f>
        <v>weak</v>
      </c>
      <c r="AK1169" s="49"/>
      <c r="AL1169" s="49"/>
      <c r="AM1169" s="49"/>
      <c r="AN1169" s="52" t="str">
        <f t="shared" si="5"/>
        <v>drug,</v>
      </c>
    </row>
    <row r="1170">
      <c r="A1170" s="51"/>
      <c r="B1170" s="50" t="s">
        <v>2822</v>
      </c>
      <c r="C1170" s="50" t="s">
        <v>6365</v>
      </c>
      <c r="D1170" s="49" t="str">
        <f>IFERROR(__xludf.DUMMYFUNCTION("""COMPUTED_VALUE"""),"wore")</f>
        <v>wore</v>
      </c>
      <c r="E1170" s="49"/>
      <c r="F1170" s="49"/>
      <c r="G1170" s="49"/>
      <c r="H1170" s="54" t="str">
        <f t="shared" si="1"/>
        <v>self,</v>
      </c>
      <c r="I1170" s="50"/>
      <c r="J1170" s="50" t="s">
        <v>1703</v>
      </c>
      <c r="K1170" s="50" t="s">
        <v>2516</v>
      </c>
      <c r="L1170" s="49" t="str">
        <f>IFERROR(__xludf.DUMMYFUNCTION("""COMPUTED_VALUE"""),"accidental")</f>
        <v>accidental</v>
      </c>
      <c r="M1170" s="49"/>
      <c r="N1170" s="49"/>
      <c r="O1170" s="49" t="str">
        <f>IFERROR(__xludf.DUMMYFUNCTION("""COMPUTED_VALUE"""),"sexes")</f>
        <v>sexes</v>
      </c>
      <c r="P1170" s="49" t="str">
        <f t="shared" si="2"/>
        <v>tea,</v>
      </c>
      <c r="Q1170" s="49"/>
      <c r="R1170" s="50" t="s">
        <v>1669</v>
      </c>
      <c r="S1170" s="55" t="s">
        <v>3420</v>
      </c>
      <c r="T1170" s="49" t="str">
        <f>IFERROR(__xludf.DUMMYFUNCTION("""COMPUTED_VALUE"""),"exposition")</f>
        <v>exposition</v>
      </c>
      <c r="U1170" s="49"/>
      <c r="V1170" s="49"/>
      <c r="W1170" s="49" t="str">
        <f>IFERROR(__xludf.DUMMYFUNCTION("""COMPUTED_VALUE"""),"stretched")</f>
        <v>stretched</v>
      </c>
      <c r="X1170" s="49" t="str">
        <f t="shared" si="3"/>
        <v>heart,</v>
      </c>
      <c r="Y1170" s="49"/>
      <c r="Z1170" s="1" t="s">
        <v>2729</v>
      </c>
      <c r="AA1170" s="1" t="s">
        <v>4134</v>
      </c>
      <c r="AB1170" s="49"/>
      <c r="AC1170" s="49"/>
      <c r="AD1170" s="49"/>
      <c r="AE1170" s="49" t="str">
        <f>IFERROR(__xludf.DUMMYFUNCTION("""COMPUTED_VALUE"""),"sexes")</f>
        <v>sexes</v>
      </c>
      <c r="AF1170" s="49" t="str">
        <f t="shared" si="4"/>
        <v>strangely,</v>
      </c>
      <c r="AG1170" s="49"/>
      <c r="AH1170" s="1" t="s">
        <v>2066</v>
      </c>
      <c r="AI1170" s="1" t="s">
        <v>2333</v>
      </c>
      <c r="AJ1170" s="6" t="str">
        <f>IFERROR(__xludf.DUMMYFUNCTION("""COMPUTED_VALUE"""),"over")</f>
        <v>over</v>
      </c>
      <c r="AK1170" s="49"/>
      <c r="AL1170" s="49"/>
      <c r="AM1170" s="49"/>
      <c r="AN1170" s="52" t="str">
        <f t="shared" si="5"/>
        <v>typical,</v>
      </c>
    </row>
    <row r="1171">
      <c r="A1171" s="51"/>
      <c r="B1171" s="50" t="s">
        <v>2888</v>
      </c>
      <c r="C1171" s="50" t="s">
        <v>526</v>
      </c>
      <c r="D1171" s="49" t="str">
        <f>IFERROR(__xludf.DUMMYFUNCTION("""COMPUTED_VALUE"""),"motion")</f>
        <v>motion</v>
      </c>
      <c r="E1171" s="49"/>
      <c r="F1171" s="49"/>
      <c r="G1171" s="49"/>
      <c r="H1171" s="54" t="str">
        <f t="shared" si="1"/>
        <v>success,</v>
      </c>
      <c r="I1171" s="50"/>
      <c r="J1171" s="50" t="s">
        <v>4230</v>
      </c>
      <c r="K1171" s="50" t="s">
        <v>2490</v>
      </c>
      <c r="L1171" s="49" t="str">
        <f>IFERROR(__xludf.DUMMYFUNCTION("""COMPUTED_VALUE"""),"reminder")</f>
        <v>reminder</v>
      </c>
      <c r="M1171" s="49"/>
      <c r="N1171" s="49"/>
      <c r="O1171" s="49" t="str">
        <f>IFERROR(__xludf.DUMMYFUNCTION("""COMPUTED_VALUE"""),"rival")</f>
        <v>rival</v>
      </c>
      <c r="P1171" s="49" t="str">
        <f t="shared" si="2"/>
        <v>p,</v>
      </c>
      <c r="Q1171" s="49"/>
      <c r="R1171" s="50" t="s">
        <v>4541</v>
      </c>
      <c r="S1171" s="55" t="s">
        <v>353</v>
      </c>
      <c r="T1171" s="49" t="str">
        <f>IFERROR(__xludf.DUMMYFUNCTION("""COMPUTED_VALUE"""),"wall")</f>
        <v>wall</v>
      </c>
      <c r="U1171" s="49"/>
      <c r="V1171" s="49"/>
      <c r="W1171" s="49" t="str">
        <f>IFERROR(__xludf.DUMMYFUNCTION("""COMPUTED_VALUE"""),"brief")</f>
        <v>brief</v>
      </c>
      <c r="X1171" s="49" t="str">
        <f t="shared" si="3"/>
        <v>windows,</v>
      </c>
      <c r="Y1171" s="49"/>
      <c r="Z1171" s="1" t="s">
        <v>3221</v>
      </c>
      <c r="AA1171" s="1" t="s">
        <v>3293</v>
      </c>
      <c r="AB1171" s="49"/>
      <c r="AC1171" s="49"/>
      <c r="AD1171" s="49"/>
      <c r="AE1171" s="49" t="str">
        <f>IFERROR(__xludf.DUMMYFUNCTION("""COMPUTED_VALUE"""),"rival")</f>
        <v>rival</v>
      </c>
      <c r="AF1171" s="49" t="str">
        <f t="shared" si="4"/>
        <v>bother,</v>
      </c>
      <c r="AG1171" s="49"/>
      <c r="AH1171" s="1" t="s">
        <v>3220</v>
      </c>
      <c r="AI1171" s="1" t="s">
        <v>154</v>
      </c>
      <c r="AJ1171" s="6" t="str">
        <f>IFERROR(__xludf.DUMMYFUNCTION("""COMPUTED_VALUE"""),"club")</f>
        <v>club</v>
      </c>
      <c r="AK1171" s="49"/>
      <c r="AL1171" s="49"/>
      <c r="AM1171" s="49"/>
      <c r="AN1171" s="52" t="str">
        <f t="shared" si="5"/>
        <v>blade,</v>
      </c>
    </row>
    <row r="1172">
      <c r="A1172" s="51"/>
      <c r="B1172" s="50" t="s">
        <v>1111</v>
      </c>
      <c r="C1172" s="50" t="s">
        <v>3693</v>
      </c>
      <c r="D1172" s="49" t="str">
        <f>IFERROR(__xludf.DUMMYFUNCTION("""COMPUTED_VALUE"""),"food")</f>
        <v>food</v>
      </c>
      <c r="E1172" s="49"/>
      <c r="F1172" s="49"/>
      <c r="G1172" s="49"/>
      <c r="H1172" s="54" t="str">
        <f t="shared" si="1"/>
        <v>note,</v>
      </c>
      <c r="I1172" s="50"/>
      <c r="J1172" s="50" t="s">
        <v>6590</v>
      </c>
      <c r="K1172" s="50" t="s">
        <v>4136</v>
      </c>
      <c r="L1172" s="49" t="str">
        <f>IFERROR(__xludf.DUMMYFUNCTION("""COMPUTED_VALUE"""),"detached")</f>
        <v>detached</v>
      </c>
      <c r="M1172" s="49"/>
      <c r="N1172" s="49"/>
      <c r="O1172" s="49" t="str">
        <f>IFERROR(__xludf.DUMMYFUNCTION("""COMPUTED_VALUE"""),"ambition")</f>
        <v>ambition</v>
      </c>
      <c r="P1172" s="49" t="str">
        <f t="shared" si="2"/>
        <v>sin,</v>
      </c>
      <c r="Q1172" s="49"/>
      <c r="R1172" s="50" t="s">
        <v>887</v>
      </c>
      <c r="S1172" s="55" t="s">
        <v>701</v>
      </c>
      <c r="T1172" s="49" t="str">
        <f>IFERROR(__xludf.DUMMYFUNCTION("""COMPUTED_VALUE"""),"smile")</f>
        <v>smile</v>
      </c>
      <c r="U1172" s="49"/>
      <c r="V1172" s="49"/>
      <c r="W1172" s="49" t="str">
        <f>IFERROR(__xludf.DUMMYFUNCTION("""COMPUTED_VALUE"""),"malik")</f>
        <v>malik</v>
      </c>
      <c r="X1172" s="49" t="str">
        <f t="shared" si="3"/>
        <v>faith,</v>
      </c>
      <c r="Y1172" s="49"/>
      <c r="Z1172" s="1" t="s">
        <v>4494</v>
      </c>
      <c r="AA1172" s="1" t="s">
        <v>2998</v>
      </c>
      <c r="AB1172" s="49"/>
      <c r="AC1172" s="49"/>
      <c r="AD1172" s="49"/>
      <c r="AE1172" s="49" t="str">
        <f>IFERROR(__xludf.DUMMYFUNCTION("""COMPUTED_VALUE"""),"ambition")</f>
        <v>ambition</v>
      </c>
      <c r="AF1172" s="49" t="str">
        <f t="shared" si="4"/>
        <v>comparison,</v>
      </c>
      <c r="AG1172" s="49"/>
      <c r="AH1172" s="1">
        <v>10.0</v>
      </c>
      <c r="AI1172" s="1" t="s">
        <v>3215</v>
      </c>
      <c r="AJ1172" s="6" t="str">
        <f>IFERROR(__xludf.DUMMYFUNCTION("""COMPUTED_VALUE"""),"seven")</f>
        <v>seven</v>
      </c>
      <c r="AK1172" s="49"/>
      <c r="AL1172" s="49"/>
      <c r="AM1172" s="49"/>
      <c r="AN1172" s="52" t="str">
        <f t="shared" si="5"/>
        <v>10,</v>
      </c>
    </row>
    <row r="1173">
      <c r="A1173" s="51"/>
      <c r="B1173" s="50" t="s">
        <v>1032</v>
      </c>
      <c r="C1173" s="50" t="s">
        <v>1763</v>
      </c>
      <c r="D1173" s="49" t="str">
        <f>IFERROR(__xludf.DUMMYFUNCTION("""COMPUTED_VALUE"""),"instantly")</f>
        <v>instantly</v>
      </c>
      <c r="E1173" s="49"/>
      <c r="F1173" s="49"/>
      <c r="G1173" s="49"/>
      <c r="H1173" s="54" t="str">
        <f t="shared" si="1"/>
        <v>bottom,</v>
      </c>
      <c r="I1173" s="50"/>
      <c r="J1173" s="50" t="s">
        <v>2496</v>
      </c>
      <c r="K1173" s="50" t="s">
        <v>2521</v>
      </c>
      <c r="L1173" s="49" t="str">
        <f>IFERROR(__xludf.DUMMYFUNCTION("""COMPUTED_VALUE"""),"tragedy")</f>
        <v>tragedy</v>
      </c>
      <c r="M1173" s="49"/>
      <c r="N1173" s="49"/>
      <c r="O1173" s="49" t="str">
        <f>IFERROR(__xludf.DUMMYFUNCTION("""COMPUTED_VALUE"""),"abdul")</f>
        <v>abdul</v>
      </c>
      <c r="P1173" s="49" t="str">
        <f t="shared" si="2"/>
        <v>seats,</v>
      </c>
      <c r="Q1173" s="49"/>
      <c r="R1173" s="50" t="s">
        <v>2537</v>
      </c>
      <c r="S1173" s="55" t="s">
        <v>3936</v>
      </c>
      <c r="T1173" s="49" t="str">
        <f>IFERROR(__xludf.DUMMYFUNCTION("""COMPUTED_VALUE"""),"collapses")</f>
        <v>collapses</v>
      </c>
      <c r="U1173" s="49"/>
      <c r="V1173" s="49"/>
      <c r="W1173" s="49" t="str">
        <f>IFERROR(__xludf.DUMMYFUNCTION("""COMPUTED_VALUE"""),"abdul")</f>
        <v>abdul</v>
      </c>
      <c r="X1173" s="49" t="str">
        <f t="shared" si="3"/>
        <v>transformation,</v>
      </c>
      <c r="Y1173" s="49"/>
      <c r="Z1173" s="1" t="s">
        <v>3758</v>
      </c>
      <c r="AA1173" s="1" t="s">
        <v>963</v>
      </c>
      <c r="AB1173" s="49"/>
      <c r="AC1173" s="49"/>
      <c r="AD1173" s="49"/>
      <c r="AE1173" s="49" t="str">
        <f>IFERROR(__xludf.DUMMYFUNCTION("""COMPUTED_VALUE"""),"abdul")</f>
        <v>abdul</v>
      </c>
      <c r="AF1173" s="49" t="str">
        <f t="shared" si="4"/>
        <v>putting,</v>
      </c>
      <c r="AG1173" s="49"/>
      <c r="AH1173" s="1" t="s">
        <v>877</v>
      </c>
      <c r="AI1173" s="1" t="s">
        <v>3218</v>
      </c>
      <c r="AJ1173" s="6" t="str">
        <f>IFERROR(__xludf.DUMMYFUNCTION("""COMPUTED_VALUE"""),"completely")</f>
        <v>completely</v>
      </c>
      <c r="AK1173" s="49"/>
      <c r="AL1173" s="49"/>
      <c r="AM1173" s="49"/>
      <c r="AN1173" s="52" t="str">
        <f t="shared" si="5"/>
        <v>college,</v>
      </c>
    </row>
    <row r="1174">
      <c r="A1174" s="51"/>
      <c r="B1174" s="50" t="s">
        <v>2278</v>
      </c>
      <c r="C1174" s="50" t="s">
        <v>1619</v>
      </c>
      <c r="D1174" s="49" t="str">
        <f>IFERROR(__xludf.DUMMYFUNCTION("""COMPUTED_VALUE"""),"ends")</f>
        <v>ends</v>
      </c>
      <c r="E1174" s="49"/>
      <c r="F1174" s="49"/>
      <c r="G1174" s="49"/>
      <c r="H1174" s="54" t="str">
        <f t="shared" si="1"/>
        <v>sweet,</v>
      </c>
      <c r="I1174" s="50"/>
      <c r="J1174" s="50" t="s">
        <v>1333</v>
      </c>
      <c r="K1174" s="50" t="s">
        <v>1205</v>
      </c>
      <c r="L1174" s="49" t="str">
        <f>IFERROR(__xludf.DUMMYFUNCTION("""COMPUTED_VALUE"""),"clinical")</f>
        <v>clinical</v>
      </c>
      <c r="M1174" s="49"/>
      <c r="N1174" s="49"/>
      <c r="O1174" s="49" t="str">
        <f>IFERROR(__xludf.DUMMYFUNCTION("""COMPUTED_VALUE"""),"malik")</f>
        <v>malik</v>
      </c>
      <c r="P1174" s="49" t="str">
        <f t="shared" si="2"/>
        <v>urban,</v>
      </c>
      <c r="Q1174" s="49"/>
      <c r="R1174" s="50" t="s">
        <v>3343</v>
      </c>
      <c r="S1174" s="55" t="s">
        <v>6454</v>
      </c>
      <c r="T1174" s="49" t="str">
        <f>IFERROR(__xludf.DUMMYFUNCTION("""COMPUTED_VALUE"""),"forster")</f>
        <v>forster</v>
      </c>
      <c r="U1174" s="49"/>
      <c r="V1174" s="49"/>
      <c r="W1174" s="49" t="str">
        <f>IFERROR(__xludf.DUMMYFUNCTION("""COMPUTED_VALUE"""),"ernest")</f>
        <v>ernest</v>
      </c>
      <c r="X1174" s="49" t="str">
        <f t="shared" si="3"/>
        <v>arrogance,</v>
      </c>
      <c r="Y1174" s="49"/>
      <c r="Z1174" s="1" t="s">
        <v>4231</v>
      </c>
      <c r="AA1174" s="1" t="s">
        <v>832</v>
      </c>
      <c r="AB1174" s="49"/>
      <c r="AC1174" s="49"/>
      <c r="AD1174" s="49"/>
      <c r="AE1174" s="49" t="str">
        <f>IFERROR(__xludf.DUMMYFUNCTION("""COMPUTED_VALUE"""),"malik")</f>
        <v>malik</v>
      </c>
      <c r="AF1174" s="49" t="str">
        <f t="shared" si="4"/>
        <v>rising,</v>
      </c>
      <c r="AG1174" s="49"/>
      <c r="AH1174" s="1" t="s">
        <v>800</v>
      </c>
      <c r="AI1174" s="1" t="s">
        <v>2243</v>
      </c>
      <c r="AJ1174" s="6" t="str">
        <f>IFERROR(__xludf.DUMMYFUNCTION("""COMPUTED_VALUE"""),"walk")</f>
        <v>walk</v>
      </c>
      <c r="AK1174" s="49"/>
      <c r="AL1174" s="49"/>
      <c r="AM1174" s="49"/>
      <c r="AN1174" s="52" t="str">
        <f t="shared" si="5"/>
        <v>need,</v>
      </c>
    </row>
    <row r="1175">
      <c r="A1175" s="51"/>
      <c r="B1175" s="50" t="s">
        <v>6837</v>
      </c>
      <c r="C1175" s="50" t="s">
        <v>1939</v>
      </c>
      <c r="D1175" s="49" t="str">
        <f>IFERROR(__xludf.DUMMYFUNCTION("""COMPUTED_VALUE"""),"type")</f>
        <v>type</v>
      </c>
      <c r="E1175" s="49"/>
      <c r="F1175" s="49"/>
      <c r="G1175" s="49"/>
      <c r="H1175" s="54" t="str">
        <f t="shared" si="1"/>
        <v>joint,</v>
      </c>
      <c r="I1175" s="50"/>
      <c r="J1175" s="50" t="s">
        <v>1356</v>
      </c>
      <c r="K1175" s="50" t="s">
        <v>2493</v>
      </c>
      <c r="L1175" s="49" t="str">
        <f>IFERROR(__xludf.DUMMYFUNCTION("""COMPUTED_VALUE"""),"dramas")</f>
        <v>dramas</v>
      </c>
      <c r="M1175" s="49"/>
      <c r="N1175" s="49"/>
      <c r="O1175" s="49" t="str">
        <f>IFERROR(__xludf.DUMMYFUNCTION("""COMPUTED_VALUE"""),"ernest")</f>
        <v>ernest</v>
      </c>
      <c r="P1175" s="49" t="str">
        <f t="shared" si="2"/>
        <v>wears,</v>
      </c>
      <c r="Q1175" s="49"/>
      <c r="R1175" s="50" t="s">
        <v>6333</v>
      </c>
      <c r="S1175" s="55" t="s">
        <v>3430</v>
      </c>
      <c r="T1175" s="49" t="str">
        <f>IFERROR(__xludf.DUMMYFUNCTION("""COMPUTED_VALUE"""),"undead")</f>
        <v>undead</v>
      </c>
      <c r="U1175" s="49"/>
      <c r="V1175" s="49"/>
      <c r="W1175" s="49" t="str">
        <f>IFERROR(__xludf.DUMMYFUNCTION("""COMPUTED_VALUE"""),"abbott")</f>
        <v>abbott</v>
      </c>
      <c r="X1175" s="49" t="str">
        <f t="shared" si="3"/>
        <v>save,</v>
      </c>
      <c r="Y1175" s="49"/>
      <c r="Z1175" s="1" t="s">
        <v>74</v>
      </c>
      <c r="AA1175" s="1" t="s">
        <v>838</v>
      </c>
      <c r="AB1175" s="49"/>
      <c r="AC1175" s="49"/>
      <c r="AD1175" s="49"/>
      <c r="AE1175" s="49" t="str">
        <f>IFERROR(__xludf.DUMMYFUNCTION("""COMPUTED_VALUE"""),"ernest")</f>
        <v>ernest</v>
      </c>
      <c r="AF1175" s="49" t="str">
        <f t="shared" si="4"/>
        <v>storyline,</v>
      </c>
      <c r="AG1175" s="49"/>
      <c r="AH1175" s="1" t="s">
        <v>6329</v>
      </c>
      <c r="AI1175" s="1" t="s">
        <v>2237</v>
      </c>
      <c r="AJ1175" s="6" t="str">
        <f>IFERROR(__xludf.DUMMYFUNCTION("""COMPUTED_VALUE"""),"edge")</f>
        <v>edge</v>
      </c>
      <c r="AK1175" s="49"/>
      <c r="AL1175" s="49"/>
      <c r="AM1175" s="49"/>
      <c r="AN1175" s="52" t="str">
        <f t="shared" si="5"/>
        <v>able,</v>
      </c>
    </row>
    <row r="1176">
      <c r="A1176" s="51"/>
      <c r="B1176" s="50" t="s">
        <v>876</v>
      </c>
      <c r="C1176" s="50" t="s">
        <v>2219</v>
      </c>
      <c r="D1176" s="49" t="str">
        <f>IFERROR(__xludf.DUMMYFUNCTION("""COMPUTED_VALUE"""),"presents")</f>
        <v>presents</v>
      </c>
      <c r="E1176" s="49"/>
      <c r="F1176" s="49"/>
      <c r="G1176" s="49"/>
      <c r="H1176" s="54" t="str">
        <f t="shared" si="1"/>
        <v>wearing,</v>
      </c>
      <c r="I1176" s="50"/>
      <c r="J1176" s="50" t="s">
        <v>6820</v>
      </c>
      <c r="K1176" s="50" t="s">
        <v>2180</v>
      </c>
      <c r="L1176" s="49" t="str">
        <f>IFERROR(__xludf.DUMMYFUNCTION("""COMPUTED_VALUE"""),"showcases")</f>
        <v>showcases</v>
      </c>
      <c r="M1176" s="49"/>
      <c r="N1176" s="49"/>
      <c r="O1176" s="49" t="str">
        <f>IFERROR(__xludf.DUMMYFUNCTION("""COMPUTED_VALUE"""),"abbott")</f>
        <v>abbott</v>
      </c>
      <c r="P1176" s="49" t="str">
        <f t="shared" si="2"/>
        <v>guess,</v>
      </c>
      <c r="Q1176" s="49"/>
      <c r="R1176" s="50" t="s">
        <v>7325</v>
      </c>
      <c r="S1176" s="55" t="s">
        <v>1096</v>
      </c>
      <c r="T1176" s="49" t="str">
        <f>IFERROR(__xludf.DUMMYFUNCTION("""COMPUTED_VALUE"""),"ian")</f>
        <v>ian</v>
      </c>
      <c r="U1176" s="49"/>
      <c r="V1176" s="49"/>
      <c r="W1176" s="49" t="str">
        <f>IFERROR(__xludf.DUMMYFUNCTION("""COMPUTED_VALUE"""),"gel")</f>
        <v>gel</v>
      </c>
      <c r="X1176" s="49" t="str">
        <f t="shared" si="3"/>
        <v>poster,</v>
      </c>
      <c r="Y1176" s="49"/>
      <c r="Z1176" s="1" t="s">
        <v>3040</v>
      </c>
      <c r="AA1176" s="1" t="s">
        <v>2792</v>
      </c>
      <c r="AB1176" s="49"/>
      <c r="AC1176" s="49"/>
      <c r="AD1176" s="49"/>
      <c r="AE1176" s="49" t="str">
        <f>IFERROR(__xludf.DUMMYFUNCTION("""COMPUTED_VALUE"""),"abbott")</f>
        <v>abbott</v>
      </c>
      <c r="AF1176" s="49" t="str">
        <f t="shared" si="4"/>
        <v>created,</v>
      </c>
      <c r="AG1176" s="49"/>
      <c r="AH1176" s="1" t="s">
        <v>6982</v>
      </c>
      <c r="AI1176" s="1" t="s">
        <v>3733</v>
      </c>
      <c r="AJ1176" s="6" t="str">
        <f>IFERROR(__xludf.DUMMYFUNCTION("""COMPUTED_VALUE"""),"directly")</f>
        <v>directly</v>
      </c>
      <c r="AK1176" s="49"/>
      <c r="AL1176" s="49"/>
      <c r="AM1176" s="49"/>
      <c r="AN1176" s="52" t="str">
        <f t="shared" si="5"/>
        <v>wrote,</v>
      </c>
    </row>
    <row r="1177">
      <c r="A1177" s="51"/>
      <c r="B1177" s="50" t="s">
        <v>6501</v>
      </c>
      <c r="C1177" s="50" t="s">
        <v>2200</v>
      </c>
      <c r="D1177" s="49" t="str">
        <f>IFERROR(__xludf.DUMMYFUNCTION("""COMPUTED_VALUE"""),"score")</f>
        <v>score</v>
      </c>
      <c r="E1177" s="49"/>
      <c r="F1177" s="49"/>
      <c r="G1177" s="49"/>
      <c r="H1177" s="54" t="str">
        <f t="shared" si="1"/>
        <v>somewhere,</v>
      </c>
      <c r="I1177" s="50"/>
      <c r="J1177" s="50" t="s">
        <v>4662</v>
      </c>
      <c r="K1177" s="50" t="s">
        <v>4141</v>
      </c>
      <c r="L1177" s="49" t="str">
        <f>IFERROR(__xludf.DUMMYFUNCTION("""COMPUTED_VALUE"""),"chuckles")</f>
        <v>chuckles</v>
      </c>
      <c r="M1177" s="49"/>
      <c r="N1177" s="49"/>
      <c r="O1177" s="49" t="str">
        <f>IFERROR(__xludf.DUMMYFUNCTION("""COMPUTED_VALUE"""),"tapestry")</f>
        <v>tapestry</v>
      </c>
      <c r="P1177" s="49" t="str">
        <f t="shared" si="2"/>
        <v>realizing,</v>
      </c>
      <c r="Q1177" s="49"/>
      <c r="R1177" s="50" t="s">
        <v>3879</v>
      </c>
      <c r="S1177" s="55" t="s">
        <v>6456</v>
      </c>
      <c r="T1177" s="49" t="str">
        <f>IFERROR(__xludf.DUMMYFUNCTION("""COMPUTED_VALUE"""),"older")</f>
        <v>older</v>
      </c>
      <c r="U1177" s="49"/>
      <c r="V1177" s="49"/>
      <c r="W1177" s="49" t="str">
        <f>IFERROR(__xludf.DUMMYFUNCTION("""COMPUTED_VALUE"""),"noticeably")</f>
        <v>noticeably</v>
      </c>
      <c r="X1177" s="49" t="str">
        <f t="shared" si="3"/>
        <v>enormous,</v>
      </c>
      <c r="Y1177" s="49"/>
      <c r="Z1177" s="1" t="s">
        <v>3789</v>
      </c>
      <c r="AA1177" s="1" t="s">
        <v>273</v>
      </c>
      <c r="AB1177" s="49"/>
      <c r="AC1177" s="49"/>
      <c r="AD1177" s="49"/>
      <c r="AE1177" s="49" t="str">
        <f>IFERROR(__xludf.DUMMYFUNCTION("""COMPUTED_VALUE"""),"tapestry")</f>
        <v>tapestry</v>
      </c>
      <c r="AF1177" s="49" t="str">
        <f t="shared" si="4"/>
        <v>japanese,</v>
      </c>
      <c r="AG1177" s="49"/>
      <c r="AH1177" s="1" t="s">
        <v>6503</v>
      </c>
      <c r="AI1177" s="1" t="s">
        <v>2374</v>
      </c>
      <c r="AJ1177" s="6" t="str">
        <f>IFERROR(__xludf.DUMMYFUNCTION("""COMPUTED_VALUE"""),"surprised")</f>
        <v>surprised</v>
      </c>
      <c r="AK1177" s="49"/>
      <c r="AL1177" s="49"/>
      <c r="AM1177" s="49"/>
      <c r="AN1177" s="52" t="str">
        <f t="shared" si="5"/>
        <v>below,</v>
      </c>
    </row>
    <row r="1178">
      <c r="A1178" s="51"/>
      <c r="B1178" s="50" t="s">
        <v>7061</v>
      </c>
      <c r="C1178" s="50" t="s">
        <v>3916</v>
      </c>
      <c r="D1178" s="49" t="str">
        <f>IFERROR(__xludf.DUMMYFUNCTION("""COMPUTED_VALUE"""),"capable")</f>
        <v>capable</v>
      </c>
      <c r="E1178" s="49"/>
      <c r="F1178" s="49"/>
      <c r="G1178" s="49"/>
      <c r="H1178" s="54" t="str">
        <f t="shared" si="1"/>
        <v>pregnant,</v>
      </c>
      <c r="I1178" s="50"/>
      <c r="J1178" s="50" t="s">
        <v>2922</v>
      </c>
      <c r="K1178" s="50" t="s">
        <v>3649</v>
      </c>
      <c r="L1178" s="49" t="str">
        <f>IFERROR(__xludf.DUMMYFUNCTION("""COMPUTED_VALUE"""),"forth")</f>
        <v>forth</v>
      </c>
      <c r="M1178" s="49"/>
      <c r="N1178" s="49"/>
      <c r="O1178" s="49" t="str">
        <f>IFERROR(__xludf.DUMMYFUNCTION("""COMPUTED_VALUE"""),"mischievous")</f>
        <v>mischievous</v>
      </c>
      <c r="P1178" s="49" t="str">
        <f t="shared" si="2"/>
        <v>reading,</v>
      </c>
      <c r="Q1178" s="49"/>
      <c r="R1178" s="50" t="s">
        <v>5318</v>
      </c>
      <c r="S1178" s="55" t="s">
        <v>2351</v>
      </c>
      <c r="T1178" s="49" t="str">
        <f>IFERROR(__xludf.DUMMYFUNCTION("""COMPUTED_VALUE"""),"alternative")</f>
        <v>alternative</v>
      </c>
      <c r="U1178" s="49"/>
      <c r="V1178" s="49"/>
      <c r="W1178" s="49" t="str">
        <f>IFERROR(__xludf.DUMMYFUNCTION("""COMPUTED_VALUE"""),"roles")</f>
        <v>roles</v>
      </c>
      <c r="X1178" s="49" t="str">
        <f t="shared" si="3"/>
        <v>patch,</v>
      </c>
      <c r="Y1178" s="49"/>
      <c r="Z1178" s="1" t="s">
        <v>1312</v>
      </c>
      <c r="AA1178" s="1" t="s">
        <v>4142</v>
      </c>
      <c r="AB1178" s="49"/>
      <c r="AC1178" s="49"/>
      <c r="AD1178" s="49"/>
      <c r="AE1178" s="49" t="str">
        <f>IFERROR(__xludf.DUMMYFUNCTION("""COMPUTED_VALUE"""),"mischievous")</f>
        <v>mischievous</v>
      </c>
      <c r="AF1178" s="49" t="str">
        <f t="shared" si="4"/>
        <v>commentary,</v>
      </c>
      <c r="AG1178" s="49"/>
      <c r="AH1178" s="1" t="s">
        <v>2348</v>
      </c>
      <c r="AI1178" s="1" t="s">
        <v>3976</v>
      </c>
      <c r="AJ1178" s="6" t="str">
        <f>IFERROR(__xludf.DUMMYFUNCTION("""COMPUTED_VALUE"""),"opinion")</f>
        <v>opinion</v>
      </c>
      <c r="AK1178" s="49"/>
      <c r="AL1178" s="49"/>
      <c r="AM1178" s="49"/>
      <c r="AN1178" s="52" t="str">
        <f t="shared" si="5"/>
        <v>slightly,</v>
      </c>
    </row>
    <row r="1179">
      <c r="A1179" s="51"/>
      <c r="B1179" s="50" t="s">
        <v>1220</v>
      </c>
      <c r="C1179" s="50" t="s">
        <v>3174</v>
      </c>
      <c r="D1179" s="49" t="str">
        <f>IFERROR(__xludf.DUMMYFUNCTION("""COMPUTED_VALUE"""),"planet")</f>
        <v>planet</v>
      </c>
      <c r="E1179" s="49"/>
      <c r="F1179" s="49"/>
      <c r="G1179" s="49"/>
      <c r="H1179" s="54" t="str">
        <f t="shared" si="1"/>
        <v>em,</v>
      </c>
      <c r="I1179" s="50"/>
      <c r="J1179" s="50" t="s">
        <v>261</v>
      </c>
      <c r="K1179" s="50" t="s">
        <v>4146</v>
      </c>
      <c r="L1179" s="49" t="str">
        <f>IFERROR(__xludf.DUMMYFUNCTION("""COMPUTED_VALUE"""),"anatomical")</f>
        <v>anatomical</v>
      </c>
      <c r="M1179" s="49"/>
      <c r="N1179" s="49"/>
      <c r="O1179" s="49" t="str">
        <f>IFERROR(__xludf.DUMMYFUNCTION("""COMPUTED_VALUE"""),"ambiguity")</f>
        <v>ambiguity</v>
      </c>
      <c r="P1179" s="49" t="str">
        <f t="shared" si="2"/>
        <v>sit,</v>
      </c>
      <c r="Q1179" s="49"/>
      <c r="R1179" s="50" t="s">
        <v>1982</v>
      </c>
      <c r="S1179" s="55" t="s">
        <v>788</v>
      </c>
      <c r="T1179" s="49" t="str">
        <f>IFERROR(__xludf.DUMMYFUNCTION("""COMPUTED_VALUE"""),"extravagant")</f>
        <v>extravagant</v>
      </c>
      <c r="U1179" s="49"/>
      <c r="V1179" s="49"/>
      <c r="W1179" s="49" t="str">
        <f>IFERROR(__xludf.DUMMYFUNCTION("""COMPUTED_VALUE"""),"mischievous")</f>
        <v>mischievous</v>
      </c>
      <c r="X1179" s="49" t="str">
        <f t="shared" si="3"/>
        <v>buy,</v>
      </c>
      <c r="Y1179" s="49"/>
      <c r="Z1179" s="1" t="s">
        <v>3417</v>
      </c>
      <c r="AA1179" s="1" t="s">
        <v>4145</v>
      </c>
      <c r="AB1179" s="49"/>
      <c r="AC1179" s="49"/>
      <c r="AD1179" s="49"/>
      <c r="AE1179" s="49" t="str">
        <f>IFERROR(__xludf.DUMMYFUNCTION("""COMPUTED_VALUE"""),"ambiguity")</f>
        <v>ambiguity</v>
      </c>
      <c r="AF1179" s="49" t="str">
        <f t="shared" si="4"/>
        <v>fancy,</v>
      </c>
      <c r="AG1179" s="49"/>
      <c r="AH1179" s="1" t="s">
        <v>6449</v>
      </c>
      <c r="AI1179" s="1" t="s">
        <v>3583</v>
      </c>
      <c r="AJ1179" s="6" t="str">
        <f>IFERROR(__xludf.DUMMYFUNCTION("""COMPUTED_VALUE"""),"pure")</f>
        <v>pure</v>
      </c>
      <c r="AK1179" s="49"/>
      <c r="AL1179" s="49"/>
      <c r="AM1179" s="49"/>
      <c r="AN1179" s="52" t="str">
        <f t="shared" si="5"/>
        <v>truly,</v>
      </c>
    </row>
    <row r="1180">
      <c r="A1180" s="51"/>
      <c r="B1180" s="50" t="s">
        <v>3766</v>
      </c>
      <c r="C1180" s="50" t="s">
        <v>2132</v>
      </c>
      <c r="D1180" s="49" t="str">
        <f>IFERROR(__xludf.DUMMYFUNCTION("""COMPUTED_VALUE"""),"machines")</f>
        <v>machines</v>
      </c>
      <c r="E1180" s="49"/>
      <c r="F1180" s="49"/>
      <c r="G1180" s="49"/>
      <c r="H1180" s="54" t="str">
        <f t="shared" si="1"/>
        <v>glasses,</v>
      </c>
      <c r="I1180" s="50"/>
      <c r="J1180" s="50" t="s">
        <v>3845</v>
      </c>
      <c r="K1180" s="50" t="s">
        <v>1643</v>
      </c>
      <c r="L1180" s="49" t="str">
        <f>IFERROR(__xludf.DUMMYFUNCTION("""COMPUTED_VALUE"""),"expose")</f>
        <v>expose</v>
      </c>
      <c r="M1180" s="49"/>
      <c r="N1180" s="49"/>
      <c r="O1180" s="49" t="str">
        <f>IFERROR(__xludf.DUMMYFUNCTION("""COMPUTED_VALUE"""),"symbolic")</f>
        <v>symbolic</v>
      </c>
      <c r="P1180" s="49" t="str">
        <f t="shared" si="2"/>
        <v>handle,</v>
      </c>
      <c r="Q1180" s="49"/>
      <c r="R1180" s="50" t="s">
        <v>1185</v>
      </c>
      <c r="S1180" s="55" t="s">
        <v>6380</v>
      </c>
      <c r="T1180" s="49" t="str">
        <f>IFERROR(__xludf.DUMMYFUNCTION("""COMPUTED_VALUE"""),"weight")</f>
        <v>weight</v>
      </c>
      <c r="U1180" s="49"/>
      <c r="V1180" s="49"/>
      <c r="W1180" s="49" t="str">
        <f>IFERROR(__xludf.DUMMYFUNCTION("""COMPUTED_VALUE"""),"ambiguity")</f>
        <v>ambiguity</v>
      </c>
      <c r="X1180" s="49" t="str">
        <f t="shared" si="3"/>
        <v>dubious,</v>
      </c>
      <c r="Y1180" s="49"/>
      <c r="Z1180" s="1" t="s">
        <v>4716</v>
      </c>
      <c r="AA1180" s="1" t="s">
        <v>3013</v>
      </c>
      <c r="AB1180" s="49"/>
      <c r="AC1180" s="49"/>
      <c r="AD1180" s="49"/>
      <c r="AE1180" s="49" t="str">
        <f>IFERROR(__xludf.DUMMYFUNCTION("""COMPUTED_VALUE"""),"symbolic")</f>
        <v>symbolic</v>
      </c>
      <c r="AF1180" s="49" t="str">
        <f t="shared" si="4"/>
        <v>proportions,</v>
      </c>
      <c r="AG1180" s="49"/>
      <c r="AH1180" s="1" t="s">
        <v>3918</v>
      </c>
      <c r="AI1180" s="1" t="s">
        <v>3747</v>
      </c>
      <c r="AJ1180" s="6" t="str">
        <f>IFERROR(__xludf.DUMMYFUNCTION("""COMPUTED_VALUE"""),"exception")</f>
        <v>exception</v>
      </c>
      <c r="AK1180" s="49"/>
      <c r="AL1180" s="49"/>
      <c r="AM1180" s="49"/>
      <c r="AN1180" s="52" t="str">
        <f t="shared" si="5"/>
        <v>saving,</v>
      </c>
    </row>
    <row r="1181">
      <c r="A1181" s="51"/>
      <c r="B1181" s="50" t="s">
        <v>6525</v>
      </c>
      <c r="C1181" s="50" t="s">
        <v>1982</v>
      </c>
      <c r="D1181" s="49" t="str">
        <f>IFERROR(__xludf.DUMMYFUNCTION("""COMPUTED_VALUE"""),"contest")</f>
        <v>contest</v>
      </c>
      <c r="E1181" s="49"/>
      <c r="F1181" s="49"/>
      <c r="G1181" s="49"/>
      <c r="H1181" s="54" t="str">
        <f t="shared" si="1"/>
        <v>sally,</v>
      </c>
      <c r="I1181" s="50"/>
      <c r="J1181" s="50" t="s">
        <v>4460</v>
      </c>
      <c r="K1181" s="50" t="s">
        <v>4150</v>
      </c>
      <c r="L1181" s="49" t="str">
        <f>IFERROR(__xludf.DUMMYFUNCTION("""COMPUTED_VALUE"""),"splash")</f>
        <v>splash</v>
      </c>
      <c r="M1181" s="49"/>
      <c r="N1181" s="49"/>
      <c r="O1181" s="49" t="str">
        <f>IFERROR(__xludf.DUMMYFUNCTION("""COMPUTED_VALUE"""),"assert")</f>
        <v>assert</v>
      </c>
      <c r="P1181" s="49" t="str">
        <f t="shared" si="2"/>
        <v>shape,</v>
      </c>
      <c r="Q1181" s="49"/>
      <c r="R1181" s="50" t="s">
        <v>2165</v>
      </c>
      <c r="S1181" s="55" t="s">
        <v>799</v>
      </c>
      <c r="T1181" s="49" t="str">
        <f>IFERROR(__xludf.DUMMYFUNCTION("""COMPUTED_VALUE"""),"san")</f>
        <v>san</v>
      </c>
      <c r="U1181" s="49"/>
      <c r="V1181" s="49"/>
      <c r="W1181" s="49" t="str">
        <f>IFERROR(__xludf.DUMMYFUNCTION("""COMPUTED_VALUE"""),"symbolic")</f>
        <v>symbolic</v>
      </c>
      <c r="X1181" s="49" t="str">
        <f t="shared" si="3"/>
        <v>edited,</v>
      </c>
      <c r="Y1181" s="49"/>
      <c r="Z1181" s="1" t="s">
        <v>981</v>
      </c>
      <c r="AA1181" s="1" t="s">
        <v>4148</v>
      </c>
      <c r="AB1181" s="49"/>
      <c r="AC1181" s="49"/>
      <c r="AD1181" s="49"/>
      <c r="AE1181" s="49" t="str">
        <f>IFERROR(__xludf.DUMMYFUNCTION("""COMPUTED_VALUE"""),"assert")</f>
        <v>assert</v>
      </c>
      <c r="AF1181" s="49" t="str">
        <f t="shared" si="4"/>
        <v>exploitation,</v>
      </c>
      <c r="AG1181" s="49"/>
      <c r="AH1181" s="1" t="s">
        <v>5864</v>
      </c>
      <c r="AI1181" s="1" t="s">
        <v>6457</v>
      </c>
      <c r="AJ1181" s="6" t="str">
        <f>IFERROR(__xludf.DUMMYFUNCTION("""COMPUTED_VALUE"""),"united")</f>
        <v>united</v>
      </c>
      <c r="AK1181" s="49"/>
      <c r="AL1181" s="49"/>
      <c r="AM1181" s="49"/>
      <c r="AN1181" s="52" t="str">
        <f t="shared" si="5"/>
        <v>australian,</v>
      </c>
    </row>
    <row r="1182">
      <c r="A1182" s="51"/>
      <c r="B1182" s="50" t="s">
        <v>4024</v>
      </c>
      <c r="C1182" s="50" t="s">
        <v>3440</v>
      </c>
      <c r="D1182" s="49" t="str">
        <f>IFERROR(__xludf.DUMMYFUNCTION("""COMPUTED_VALUE"""),"ethnic")</f>
        <v>ethnic</v>
      </c>
      <c r="E1182" s="49"/>
      <c r="F1182" s="49"/>
      <c r="G1182" s="49"/>
      <c r="H1182" s="54" t="str">
        <f t="shared" si="1"/>
        <v>particular,</v>
      </c>
      <c r="I1182" s="50"/>
      <c r="J1182" s="50" t="s">
        <v>2039</v>
      </c>
      <c r="K1182" s="50" t="s">
        <v>2524</v>
      </c>
      <c r="L1182" s="49" t="str">
        <f>IFERROR(__xludf.DUMMYFUNCTION("""COMPUTED_VALUE"""),"wear")</f>
        <v>wear</v>
      </c>
      <c r="M1182" s="49"/>
      <c r="N1182" s="49"/>
      <c r="O1182" s="49" t="str">
        <f>IFERROR(__xludf.DUMMYFUNCTION("""COMPUTED_VALUE"""),"freedom")</f>
        <v>freedom</v>
      </c>
      <c r="P1182" s="49" t="str">
        <f t="shared" si="2"/>
        <v>cut,</v>
      </c>
      <c r="Q1182" s="49"/>
      <c r="R1182" s="50" t="s">
        <v>7326</v>
      </c>
      <c r="S1182" s="55" t="s">
        <v>2363</v>
      </c>
      <c r="T1182" s="49" t="str">
        <f>IFERROR(__xludf.DUMMYFUNCTION("""COMPUTED_VALUE"""),"villain")</f>
        <v>villain</v>
      </c>
      <c r="U1182" s="49"/>
      <c r="V1182" s="49"/>
      <c r="W1182" s="49" t="str">
        <f>IFERROR(__xludf.DUMMYFUNCTION("""COMPUTED_VALUE"""),"downhill")</f>
        <v>downhill</v>
      </c>
      <c r="X1182" s="49" t="str">
        <f t="shared" si="3"/>
        <v>largest,</v>
      </c>
      <c r="Y1182" s="49"/>
      <c r="Z1182" s="1" t="s">
        <v>1357</v>
      </c>
      <c r="AA1182" s="1" t="s">
        <v>4151</v>
      </c>
      <c r="AB1182" s="49"/>
      <c r="AC1182" s="49"/>
      <c r="AD1182" s="49"/>
      <c r="AE1182" s="49" t="str">
        <f>IFERROR(__xludf.DUMMYFUNCTION("""COMPUTED_VALUE"""),"freedom")</f>
        <v>freedom</v>
      </c>
      <c r="AF1182" s="49" t="str">
        <f t="shared" si="4"/>
        <v>company,</v>
      </c>
      <c r="AG1182" s="49"/>
      <c r="AH1182" s="1" t="s">
        <v>3109</v>
      </c>
      <c r="AI1182" s="1" t="s">
        <v>3751</v>
      </c>
      <c r="AJ1182" s="6" t="str">
        <f>IFERROR(__xludf.DUMMYFUNCTION("""COMPUTED_VALUE"""),"took")</f>
        <v>took</v>
      </c>
      <c r="AK1182" s="49"/>
      <c r="AL1182" s="49"/>
      <c r="AM1182" s="49"/>
      <c r="AN1182" s="52" t="str">
        <f t="shared" si="5"/>
        <v>famous,</v>
      </c>
    </row>
    <row r="1183">
      <c r="A1183" s="51"/>
      <c r="B1183" s="50" t="s">
        <v>3006</v>
      </c>
      <c r="C1183" s="50" t="s">
        <v>2207</v>
      </c>
      <c r="D1183" s="49" t="str">
        <f>IFERROR(__xludf.DUMMYFUNCTION("""COMPUTED_VALUE"""),"environment")</f>
        <v>environment</v>
      </c>
      <c r="E1183" s="49"/>
      <c r="F1183" s="49"/>
      <c r="G1183" s="49"/>
      <c r="H1183" s="54" t="str">
        <f t="shared" si="1"/>
        <v>wild,</v>
      </c>
      <c r="I1183" s="50"/>
      <c r="J1183" s="50" t="s">
        <v>4142</v>
      </c>
      <c r="K1183" s="50" t="s">
        <v>4153</v>
      </c>
      <c r="L1183" s="49" t="str">
        <f>IFERROR(__xludf.DUMMYFUNCTION("""COMPUTED_VALUE"""),"evade")</f>
        <v>evade</v>
      </c>
      <c r="M1183" s="49"/>
      <c r="N1183" s="49"/>
      <c r="O1183" s="49" t="str">
        <f>IFERROR(__xludf.DUMMYFUNCTION("""COMPUTED_VALUE"""),"russell")</f>
        <v>russell</v>
      </c>
      <c r="P1183" s="49" t="str">
        <f t="shared" si="2"/>
        <v>jonathan,</v>
      </c>
      <c r="Q1183" s="49"/>
      <c r="R1183" s="50" t="s">
        <v>4121</v>
      </c>
      <c r="S1183" s="55" t="s">
        <v>3958</v>
      </c>
      <c r="T1183" s="49" t="str">
        <f>IFERROR(__xludf.DUMMYFUNCTION("""COMPUTED_VALUE"""),"genuinely")</f>
        <v>genuinely</v>
      </c>
      <c r="U1183" s="49"/>
      <c r="V1183" s="49"/>
      <c r="W1183" s="49" t="str">
        <f>IFERROR(__xludf.DUMMYFUNCTION("""COMPUTED_VALUE"""),"lean")</f>
        <v>lean</v>
      </c>
      <c r="X1183" s="49" t="str">
        <f t="shared" si="3"/>
        <v>rage,</v>
      </c>
      <c r="Y1183" s="49"/>
      <c r="Z1183" s="1" t="s">
        <v>3206</v>
      </c>
      <c r="AA1183" s="1" t="s">
        <v>968</v>
      </c>
      <c r="AB1183" s="49"/>
      <c r="AC1183" s="49"/>
      <c r="AD1183" s="49"/>
      <c r="AE1183" s="49" t="str">
        <f>IFERROR(__xludf.DUMMYFUNCTION("""COMPUTED_VALUE"""),"russell")</f>
        <v>russell</v>
      </c>
      <c r="AF1183" s="49" t="str">
        <f t="shared" si="4"/>
        <v>land,</v>
      </c>
      <c r="AG1183" s="49"/>
      <c r="AH1183" s="1" t="s">
        <v>5545</v>
      </c>
      <c r="AI1183" s="1" t="s">
        <v>2300</v>
      </c>
      <c r="AJ1183" s="6" t="str">
        <f>IFERROR(__xludf.DUMMYFUNCTION("""COMPUTED_VALUE"""),"small")</f>
        <v>small</v>
      </c>
      <c r="AK1183" s="49"/>
      <c r="AL1183" s="49"/>
      <c r="AM1183" s="49"/>
      <c r="AN1183" s="52" t="str">
        <f t="shared" si="5"/>
        <v>efforts,</v>
      </c>
    </row>
    <row r="1184">
      <c r="A1184" s="51"/>
      <c r="B1184" s="50" t="s">
        <v>4869</v>
      </c>
      <c r="C1184" s="50" t="s">
        <v>2205</v>
      </c>
      <c r="D1184" s="49" t="str">
        <f>IFERROR(__xludf.DUMMYFUNCTION("""COMPUTED_VALUE"""),"know")</f>
        <v>know</v>
      </c>
      <c r="E1184" s="49"/>
      <c r="F1184" s="49"/>
      <c r="G1184" s="49"/>
      <c r="H1184" s="54" t="str">
        <f t="shared" si="1"/>
        <v>proved,</v>
      </c>
      <c r="I1184" s="50"/>
      <c r="J1184" s="50" t="s">
        <v>696</v>
      </c>
      <c r="K1184" s="50" t="s">
        <v>259</v>
      </c>
      <c r="L1184" s="49" t="str">
        <f>IFERROR(__xludf.DUMMYFUNCTION("""COMPUTED_VALUE"""),"hitting")</f>
        <v>hitting</v>
      </c>
      <c r="M1184" s="49"/>
      <c r="N1184" s="49"/>
      <c r="O1184" s="49" t="str">
        <f>IFERROR(__xludf.DUMMYFUNCTION("""COMPUTED_VALUE"""),"donovan")</f>
        <v>donovan</v>
      </c>
      <c r="P1184" s="49" t="str">
        <f t="shared" si="2"/>
        <v>obvious,</v>
      </c>
      <c r="Q1184" s="49"/>
      <c r="R1184" s="50" t="s">
        <v>2331</v>
      </c>
      <c r="S1184" s="55" t="s">
        <v>2371</v>
      </c>
      <c r="T1184" s="49" t="str">
        <f>IFERROR(__xludf.DUMMYFUNCTION("""COMPUTED_VALUE"""),"scares")</f>
        <v>scares</v>
      </c>
      <c r="U1184" s="49"/>
      <c r="V1184" s="49"/>
      <c r="W1184" s="49" t="str">
        <f>IFERROR(__xludf.DUMMYFUNCTION("""COMPUTED_VALUE"""),"pleas")</f>
        <v>pleas</v>
      </c>
      <c r="X1184" s="49" t="str">
        <f t="shared" si="3"/>
        <v>intact,</v>
      </c>
      <c r="Y1184" s="49"/>
      <c r="Z1184" s="1" t="s">
        <v>6705</v>
      </c>
      <c r="AA1184" s="1" t="s">
        <v>973</v>
      </c>
      <c r="AB1184" s="49"/>
      <c r="AC1184" s="49"/>
      <c r="AD1184" s="49"/>
      <c r="AE1184" s="49" t="str">
        <f>IFERROR(__xludf.DUMMYFUNCTION("""COMPUTED_VALUE"""),"donovan")</f>
        <v>donovan</v>
      </c>
      <c r="AF1184" s="49" t="str">
        <f t="shared" si="4"/>
        <v>creature,</v>
      </c>
      <c r="AG1184" s="49"/>
      <c r="AH1184" s="1" t="s">
        <v>1091</v>
      </c>
      <c r="AI1184" s="1" t="s">
        <v>975</v>
      </c>
      <c r="AJ1184" s="6" t="str">
        <f>IFERROR(__xludf.DUMMYFUNCTION("""COMPUTED_VALUE"""),"come")</f>
        <v>come</v>
      </c>
      <c r="AK1184" s="49"/>
      <c r="AL1184" s="49"/>
      <c r="AM1184" s="49"/>
      <c r="AN1184" s="52" t="str">
        <f t="shared" si="5"/>
        <v>difference,</v>
      </c>
    </row>
    <row r="1185">
      <c r="A1185" s="51"/>
      <c r="B1185" s="50" t="s">
        <v>2879</v>
      </c>
      <c r="C1185" s="50" t="s">
        <v>2212</v>
      </c>
      <c r="D1185" s="49" t="str">
        <f>IFERROR(__xludf.DUMMYFUNCTION("""COMPUTED_VALUE"""),"journey")</f>
        <v>journey</v>
      </c>
      <c r="E1185" s="49"/>
      <c r="F1185" s="49"/>
      <c r="G1185" s="49"/>
      <c r="H1185" s="54" t="str">
        <f t="shared" si="1"/>
        <v>directors,</v>
      </c>
      <c r="I1185" s="50"/>
      <c r="J1185" s="50" t="s">
        <v>682</v>
      </c>
      <c r="K1185" s="50" t="s">
        <v>1218</v>
      </c>
      <c r="L1185" s="49" t="str">
        <f>IFERROR(__xludf.DUMMYFUNCTION("""COMPUTED_VALUE"""),"targeted")</f>
        <v>targeted</v>
      </c>
      <c r="M1185" s="49"/>
      <c r="N1185" s="49"/>
      <c r="O1185" s="49" t="str">
        <f>IFERROR(__xludf.DUMMYFUNCTION("""COMPUTED_VALUE"""),"irwin")</f>
        <v>irwin</v>
      </c>
      <c r="P1185" s="49" t="str">
        <f t="shared" si="2"/>
        <v>kitchen,</v>
      </c>
      <c r="Q1185" s="49"/>
      <c r="R1185" s="50" t="s">
        <v>7090</v>
      </c>
      <c r="S1185" s="55" t="s">
        <v>6458</v>
      </c>
      <c r="T1185" s="49" t="str">
        <f>IFERROR(__xludf.DUMMYFUNCTION("""COMPUTED_VALUE"""),"corn")</f>
        <v>corn</v>
      </c>
      <c r="U1185" s="49"/>
      <c r="V1185" s="49"/>
      <c r="W1185" s="49" t="str">
        <f>IFERROR(__xludf.DUMMYFUNCTION("""COMPUTED_VALUE"""),"procedural")</f>
        <v>procedural</v>
      </c>
      <c r="X1185" s="49" t="str">
        <f t="shared" si="3"/>
        <v>doc,</v>
      </c>
      <c r="Y1185" s="49"/>
      <c r="Z1185" s="1" t="s">
        <v>3271</v>
      </c>
      <c r="AA1185" s="1" t="s">
        <v>4155</v>
      </c>
      <c r="AB1185" s="49"/>
      <c r="AC1185" s="49"/>
      <c r="AD1185" s="49"/>
      <c r="AE1185" s="49" t="str">
        <f>IFERROR(__xludf.DUMMYFUNCTION("""COMPUTED_VALUE"""),"irwin")</f>
        <v>irwin</v>
      </c>
      <c r="AF1185" s="49" t="str">
        <f t="shared" si="4"/>
        <v>loud,</v>
      </c>
      <c r="AG1185" s="49"/>
      <c r="AH1185" s="1" t="s">
        <v>1304</v>
      </c>
      <c r="AI1185" s="1" t="s">
        <v>2257</v>
      </c>
      <c r="AJ1185" s="6" t="str">
        <f>IFERROR(__xludf.DUMMYFUNCTION("""COMPUTED_VALUE"""),"southern")</f>
        <v>southern</v>
      </c>
      <c r="AK1185" s="49"/>
      <c r="AL1185" s="49"/>
      <c r="AM1185" s="49"/>
      <c r="AN1185" s="52" t="str">
        <f t="shared" si="5"/>
        <v>weak,</v>
      </c>
    </row>
    <row r="1186">
      <c r="A1186" s="51"/>
      <c r="B1186" s="50" t="s">
        <v>4780</v>
      </c>
      <c r="C1186" s="50" t="s">
        <v>2247</v>
      </c>
      <c r="D1186" s="49" t="str">
        <f>IFERROR(__xludf.DUMMYFUNCTION("""COMPUTED_VALUE"""),"holly")</f>
        <v>holly</v>
      </c>
      <c r="E1186" s="49"/>
      <c r="F1186" s="49"/>
      <c r="G1186" s="49"/>
      <c r="H1186" s="54" t="str">
        <f t="shared" si="1"/>
        <v>artistic,</v>
      </c>
      <c r="I1186" s="50"/>
      <c r="J1186" s="50" t="s">
        <v>4269</v>
      </c>
      <c r="K1186" s="50" t="s">
        <v>561</v>
      </c>
      <c r="L1186" s="49" t="str">
        <f>IFERROR(__xludf.DUMMYFUNCTION("""COMPUTED_VALUE"""),"mill")</f>
        <v>mill</v>
      </c>
      <c r="M1186" s="49"/>
      <c r="N1186" s="49"/>
      <c r="O1186" s="49" t="str">
        <f>IFERROR(__xludf.DUMMYFUNCTION("""COMPUTED_VALUE"""),"procedural")</f>
        <v>procedural</v>
      </c>
      <c r="P1186" s="49" t="str">
        <f t="shared" si="2"/>
        <v>definitive,</v>
      </c>
      <c r="Q1186" s="49"/>
      <c r="R1186" s="50" t="s">
        <v>2176</v>
      </c>
      <c r="S1186" s="55" t="s">
        <v>2375</v>
      </c>
      <c r="T1186" s="49" t="str">
        <f>IFERROR(__xludf.DUMMYFUNCTION("""COMPUTED_VALUE"""),"icon")</f>
        <v>icon</v>
      </c>
      <c r="U1186" s="49"/>
      <c r="V1186" s="49"/>
      <c r="W1186" s="49" t="str">
        <f>IFERROR(__xludf.DUMMYFUNCTION("""COMPUTED_VALUE"""),"schneider")</f>
        <v>schneider</v>
      </c>
      <c r="X1186" s="49" t="str">
        <f t="shared" si="3"/>
        <v>includes,</v>
      </c>
      <c r="Y1186" s="49"/>
      <c r="Z1186" s="1" t="s">
        <v>3595</v>
      </c>
      <c r="AA1186" s="1" t="s">
        <v>4157</v>
      </c>
      <c r="AB1186" s="49"/>
      <c r="AC1186" s="49"/>
      <c r="AD1186" s="49"/>
      <c r="AE1186" s="49" t="str">
        <f>IFERROR(__xludf.DUMMYFUNCTION("""COMPUTED_VALUE"""),"procedural")</f>
        <v>procedural</v>
      </c>
      <c r="AF1186" s="49" t="str">
        <f t="shared" si="4"/>
        <v>suffer,</v>
      </c>
      <c r="AG1186" s="49"/>
      <c r="AH1186" s="1" t="s">
        <v>2054</v>
      </c>
      <c r="AI1186" s="1" t="s">
        <v>1902</v>
      </c>
      <c r="AJ1186" s="6" t="str">
        <f>IFERROR(__xludf.DUMMYFUNCTION("""COMPUTED_VALUE"""),"ten")</f>
        <v>ten</v>
      </c>
      <c r="AK1186" s="49"/>
      <c r="AL1186" s="49"/>
      <c r="AM1186" s="49"/>
      <c r="AN1186" s="52" t="str">
        <f t="shared" si="5"/>
        <v>over,</v>
      </c>
    </row>
    <row r="1187">
      <c r="A1187" s="51"/>
      <c r="B1187" s="50" t="s">
        <v>5795</v>
      </c>
      <c r="C1187" s="50" t="s">
        <v>6435</v>
      </c>
      <c r="D1187" s="49" t="str">
        <f>IFERROR(__xludf.DUMMYFUNCTION("""COMPUTED_VALUE"""),"degree")</f>
        <v>degree</v>
      </c>
      <c r="E1187" s="49"/>
      <c r="F1187" s="49"/>
      <c r="G1187" s="49"/>
      <c r="H1187" s="54" t="str">
        <f t="shared" si="1"/>
        <v>classified,</v>
      </c>
      <c r="I1187" s="50"/>
      <c r="J1187" s="50" t="s">
        <v>3812</v>
      </c>
      <c r="K1187" s="50" t="s">
        <v>2537</v>
      </c>
      <c r="L1187" s="49" t="str">
        <f>IFERROR(__xludf.DUMMYFUNCTION("""COMPUTED_VALUE"""),"groundbreaking")</f>
        <v>groundbreaking</v>
      </c>
      <c r="M1187" s="49"/>
      <c r="N1187" s="49"/>
      <c r="O1187" s="49" t="str">
        <f>IFERROR(__xludf.DUMMYFUNCTION("""COMPUTED_VALUE"""),"train")</f>
        <v>train</v>
      </c>
      <c r="P1187" s="49" t="str">
        <f t="shared" si="2"/>
        <v>meaning,</v>
      </c>
      <c r="Q1187" s="49"/>
      <c r="R1187" s="50" t="s">
        <v>5195</v>
      </c>
      <c r="S1187" s="55" t="s">
        <v>2366</v>
      </c>
      <c r="T1187" s="49" t="str">
        <f>IFERROR(__xludf.DUMMYFUNCTION("""COMPUTED_VALUE"""),"adolescent")</f>
        <v>adolescent</v>
      </c>
      <c r="U1187" s="49"/>
      <c r="V1187" s="49"/>
      <c r="W1187" s="49" t="str">
        <f>IFERROR(__xludf.DUMMYFUNCTION("""COMPUTED_VALUE"""),"crypt")</f>
        <v>crypt</v>
      </c>
      <c r="X1187" s="49" t="str">
        <f t="shared" si="3"/>
        <v>captain,</v>
      </c>
      <c r="Y1187" s="49"/>
      <c r="Z1187" s="1" t="s">
        <v>4302</v>
      </c>
      <c r="AA1187" s="1" t="s">
        <v>4158</v>
      </c>
      <c r="AB1187" s="49"/>
      <c r="AC1187" s="49"/>
      <c r="AD1187" s="49"/>
      <c r="AE1187" s="49" t="str">
        <f>IFERROR(__xludf.DUMMYFUNCTION("""COMPUTED_VALUE"""),"train")</f>
        <v>train</v>
      </c>
      <c r="AF1187" s="49" t="str">
        <f t="shared" si="4"/>
        <v>remake,</v>
      </c>
      <c r="AG1187" s="49"/>
      <c r="AH1187" s="1" t="s">
        <v>703</v>
      </c>
      <c r="AI1187" s="1" t="s">
        <v>2255</v>
      </c>
      <c r="AJ1187" s="6" t="str">
        <f>IFERROR(__xludf.DUMMYFUNCTION("""COMPUTED_VALUE"""),"child")</f>
        <v>child</v>
      </c>
      <c r="AK1187" s="49"/>
      <c r="AL1187" s="49"/>
      <c r="AM1187" s="49"/>
      <c r="AN1187" s="52" t="str">
        <f t="shared" si="5"/>
        <v>club,</v>
      </c>
    </row>
    <row r="1188">
      <c r="A1188" s="51"/>
      <c r="B1188" s="50" t="s">
        <v>3912</v>
      </c>
      <c r="C1188" s="50" t="s">
        <v>2216</v>
      </c>
      <c r="D1188" s="49" t="str">
        <f>IFERROR(__xludf.DUMMYFUNCTION("""COMPUTED_VALUE"""),"name")</f>
        <v>name</v>
      </c>
      <c r="E1188" s="49"/>
      <c r="F1188" s="49"/>
      <c r="G1188" s="49"/>
      <c r="H1188" s="54" t="str">
        <f t="shared" si="1"/>
        <v>veteran,</v>
      </c>
      <c r="I1188" s="50"/>
      <c r="J1188" s="50" t="s">
        <v>2678</v>
      </c>
      <c r="K1188" s="50" t="s">
        <v>2538</v>
      </c>
      <c r="L1188" s="49" t="str">
        <f>IFERROR(__xludf.DUMMYFUNCTION("""COMPUTED_VALUE"""),"metropolitan")</f>
        <v>metropolitan</v>
      </c>
      <c r="M1188" s="49"/>
      <c r="N1188" s="49"/>
      <c r="O1188" s="49" t="str">
        <f>IFERROR(__xludf.DUMMYFUNCTION("""COMPUTED_VALUE"""),"schneider")</f>
        <v>schneider</v>
      </c>
      <c r="P1188" s="49" t="str">
        <f t="shared" si="2"/>
        <v>exciting,</v>
      </c>
      <c r="Q1188" s="49"/>
      <c r="R1188" s="50" t="s">
        <v>3407</v>
      </c>
      <c r="S1188" s="55" t="s">
        <v>2323</v>
      </c>
      <c r="T1188" s="49" t="str">
        <f>IFERROR(__xludf.DUMMYFUNCTION("""COMPUTED_VALUE"""),"oliver")</f>
        <v>oliver</v>
      </c>
      <c r="U1188" s="49"/>
      <c r="V1188" s="49"/>
      <c r="W1188" s="49" t="str">
        <f>IFERROR(__xludf.DUMMYFUNCTION("""COMPUTED_VALUE"""),"peek")</f>
        <v>peek</v>
      </c>
      <c r="X1188" s="49" t="str">
        <f t="shared" si="3"/>
        <v>gang,</v>
      </c>
      <c r="Y1188" s="49"/>
      <c r="Z1188" s="1" t="s">
        <v>1060</v>
      </c>
      <c r="AA1188" s="1" t="s">
        <v>844</v>
      </c>
      <c r="AB1188" s="49"/>
      <c r="AC1188" s="49"/>
      <c r="AD1188" s="49"/>
      <c r="AE1188" s="49" t="str">
        <f>IFERROR(__xludf.DUMMYFUNCTION("""COMPUTED_VALUE"""),"schneider")</f>
        <v>schneider</v>
      </c>
      <c r="AF1188" s="49" t="str">
        <f t="shared" si="4"/>
        <v>amounts,</v>
      </c>
      <c r="AG1188" s="49"/>
      <c r="AH1188" s="1">
        <v>19.0</v>
      </c>
      <c r="AI1188" s="1" t="s">
        <v>5963</v>
      </c>
      <c r="AJ1188" s="6" t="str">
        <f>IFERROR(__xludf.DUMMYFUNCTION("""COMPUTED_VALUE"""),"self")</f>
        <v>self</v>
      </c>
      <c r="AK1188" s="49"/>
      <c r="AL1188" s="49"/>
      <c r="AM1188" s="49"/>
      <c r="AN1188" s="52" t="str">
        <f t="shared" si="5"/>
        <v>19,</v>
      </c>
    </row>
    <row r="1189">
      <c r="A1189" s="51"/>
      <c r="B1189" s="50" t="s">
        <v>6652</v>
      </c>
      <c r="C1189" s="50" t="s">
        <v>3925</v>
      </c>
      <c r="D1189" s="49" t="str">
        <f>IFERROR(__xludf.DUMMYFUNCTION("""COMPUTED_VALUE"""),"gives")</f>
        <v>gives</v>
      </c>
      <c r="E1189" s="49"/>
      <c r="F1189" s="49"/>
      <c r="G1189" s="49"/>
      <c r="H1189" s="54" t="str">
        <f t="shared" si="1"/>
        <v>maintaining,</v>
      </c>
      <c r="I1189" s="50"/>
      <c r="J1189" s="50" t="s">
        <v>3082</v>
      </c>
      <c r="K1189" s="50" t="s">
        <v>4163</v>
      </c>
      <c r="L1189" s="49" t="str">
        <f>IFERROR(__xludf.DUMMYFUNCTION("""COMPUTED_VALUE"""),"panic")</f>
        <v>panic</v>
      </c>
      <c r="M1189" s="49"/>
      <c r="N1189" s="49"/>
      <c r="O1189" s="49" t="str">
        <f>IFERROR(__xludf.DUMMYFUNCTION("""COMPUTED_VALUE"""),"crypt")</f>
        <v>crypt</v>
      </c>
      <c r="P1189" s="49" t="str">
        <f t="shared" si="2"/>
        <v>afraid,</v>
      </c>
      <c r="Q1189" s="49"/>
      <c r="R1189" s="50" t="s">
        <v>1054</v>
      </c>
      <c r="S1189" s="55" t="s">
        <v>566</v>
      </c>
      <c r="T1189" s="49" t="str">
        <f>IFERROR(__xludf.DUMMYFUNCTION("""COMPUTED_VALUE"""),"purely")</f>
        <v>purely</v>
      </c>
      <c r="U1189" s="49"/>
      <c r="V1189" s="49"/>
      <c r="W1189" s="49" t="str">
        <f>IFERROR(__xludf.DUMMYFUNCTION("""COMPUTED_VALUE"""),"protagonist")</f>
        <v>protagonist</v>
      </c>
      <c r="X1189" s="49" t="str">
        <f t="shared" si="3"/>
        <v>sensation,</v>
      </c>
      <c r="Y1189" s="49"/>
      <c r="Z1189" s="1" t="s">
        <v>1088</v>
      </c>
      <c r="AA1189" s="1" t="s">
        <v>1765</v>
      </c>
      <c r="AB1189" s="49"/>
      <c r="AC1189" s="49"/>
      <c r="AD1189" s="49"/>
      <c r="AE1189" s="49" t="str">
        <f>IFERROR(__xludf.DUMMYFUNCTION("""COMPUTED_VALUE"""),"crypt")</f>
        <v>crypt</v>
      </c>
      <c r="AF1189" s="49" t="str">
        <f t="shared" si="4"/>
        <v>affair,</v>
      </c>
      <c r="AG1189" s="49"/>
      <c r="AH1189" s="1" t="s">
        <v>4857</v>
      </c>
      <c r="AI1189" s="1" t="s">
        <v>2258</v>
      </c>
      <c r="AJ1189" s="6" t="str">
        <f>IFERROR(__xludf.DUMMYFUNCTION("""COMPUTED_VALUE"""),"success")</f>
        <v>success</v>
      </c>
      <c r="AK1189" s="49"/>
      <c r="AL1189" s="49"/>
      <c r="AM1189" s="49"/>
      <c r="AN1189" s="52" t="str">
        <f t="shared" si="5"/>
        <v>seven,</v>
      </c>
    </row>
    <row r="1190">
      <c r="A1190" s="51"/>
      <c r="B1190" s="50" t="s">
        <v>1338</v>
      </c>
      <c r="C1190" s="50" t="s">
        <v>2228</v>
      </c>
      <c r="D1190" s="49" t="str">
        <f>IFERROR(__xludf.DUMMYFUNCTION("""COMPUTED_VALUE"""),"enterprise")</f>
        <v>enterprise</v>
      </c>
      <c r="E1190" s="49"/>
      <c r="F1190" s="49"/>
      <c r="G1190" s="49"/>
      <c r="H1190" s="54" t="str">
        <f t="shared" si="1"/>
        <v>several,</v>
      </c>
      <c r="I1190" s="50"/>
      <c r="J1190" s="50" t="s">
        <v>6050</v>
      </c>
      <c r="K1190" s="50" t="s">
        <v>4165</v>
      </c>
      <c r="L1190" s="49" t="str">
        <f>IFERROR(__xludf.DUMMYFUNCTION("""COMPUTED_VALUE"""),"pencil")</f>
        <v>pencil</v>
      </c>
      <c r="M1190" s="49"/>
      <c r="N1190" s="49"/>
      <c r="O1190" s="49" t="str">
        <f>IFERROR(__xludf.DUMMYFUNCTION("""COMPUTED_VALUE"""),"mist")</f>
        <v>mist</v>
      </c>
      <c r="P1190" s="49" t="str">
        <f t="shared" si="2"/>
        <v>don,</v>
      </c>
      <c r="Q1190" s="49"/>
      <c r="R1190" s="50" t="s">
        <v>1695</v>
      </c>
      <c r="S1190" s="55" t="s">
        <v>573</v>
      </c>
      <c r="T1190" s="49" t="str">
        <f>IFERROR(__xludf.DUMMYFUNCTION("""COMPUTED_VALUE"""),"subjects")</f>
        <v>subjects</v>
      </c>
      <c r="U1190" s="49"/>
      <c r="V1190" s="49"/>
      <c r="W1190" s="49" t="str">
        <f>IFERROR(__xludf.DUMMYFUNCTION("""COMPUTED_VALUE"""),"patriotic")</f>
        <v>patriotic</v>
      </c>
      <c r="X1190" s="49" t="str">
        <f t="shared" si="3"/>
        <v>examines,</v>
      </c>
      <c r="Y1190" s="49"/>
      <c r="Z1190" s="1" t="s">
        <v>2322</v>
      </c>
      <c r="AA1190" s="1" t="s">
        <v>1362</v>
      </c>
      <c r="AB1190" s="49"/>
      <c r="AC1190" s="49"/>
      <c r="AD1190" s="49"/>
      <c r="AE1190" s="49" t="str">
        <f>IFERROR(__xludf.DUMMYFUNCTION("""COMPUTED_VALUE"""),"mist")</f>
        <v>mist</v>
      </c>
      <c r="AF1190" s="49" t="str">
        <f t="shared" si="4"/>
        <v>low,</v>
      </c>
      <c r="AG1190" s="49"/>
      <c r="AH1190" s="1" t="s">
        <v>6315</v>
      </c>
      <c r="AI1190" s="1" t="s">
        <v>2045</v>
      </c>
      <c r="AJ1190" s="6" t="str">
        <f>IFERROR(__xludf.DUMMYFUNCTION("""COMPUTED_VALUE"""),"note")</f>
        <v>note</v>
      </c>
      <c r="AK1190" s="49"/>
      <c r="AL1190" s="49"/>
      <c r="AM1190" s="49"/>
      <c r="AN1190" s="52" t="str">
        <f t="shared" si="5"/>
        <v>completely,</v>
      </c>
    </row>
    <row r="1191">
      <c r="A1191" s="51"/>
      <c r="B1191" s="50" t="s">
        <v>1484</v>
      </c>
      <c r="C1191" s="50" t="s">
        <v>4423</v>
      </c>
      <c r="D1191" s="49" t="str">
        <f>IFERROR(__xludf.DUMMYFUNCTION("""COMPUTED_VALUE"""),"say")</f>
        <v>say</v>
      </c>
      <c r="E1191" s="49"/>
      <c r="F1191" s="49"/>
      <c r="G1191" s="49"/>
      <c r="H1191" s="54" t="str">
        <f t="shared" si="1"/>
        <v>air,</v>
      </c>
      <c r="I1191" s="50"/>
      <c r="J1191" s="50" t="s">
        <v>532</v>
      </c>
      <c r="K1191" s="50" t="s">
        <v>4167</v>
      </c>
      <c r="L1191" s="49" t="str">
        <f>IFERROR(__xludf.DUMMYFUNCTION("""COMPUTED_VALUE"""),"barrel")</f>
        <v>barrel</v>
      </c>
      <c r="M1191" s="49"/>
      <c r="N1191" s="49"/>
      <c r="O1191" s="49" t="str">
        <f>IFERROR(__xludf.DUMMYFUNCTION("""COMPUTED_VALUE"""),"peek")</f>
        <v>peek</v>
      </c>
      <c r="P1191" s="49" t="str">
        <f t="shared" si="2"/>
        <v>half,</v>
      </c>
      <c r="Q1191" s="49"/>
      <c r="R1191" s="50" t="s">
        <v>4213</v>
      </c>
      <c r="S1191" s="55" t="s">
        <v>1114</v>
      </c>
      <c r="T1191" s="49" t="str">
        <f>IFERROR(__xludf.DUMMYFUNCTION("""COMPUTED_VALUE"""),"taboo")</f>
        <v>taboo</v>
      </c>
      <c r="U1191" s="49"/>
      <c r="V1191" s="49"/>
      <c r="W1191" s="49" t="str">
        <f>IFERROR(__xludf.DUMMYFUNCTION("""COMPUTED_VALUE"""),"yiddish")</f>
        <v>yiddish</v>
      </c>
      <c r="X1191" s="49" t="str">
        <f t="shared" si="3"/>
        <v>creek,</v>
      </c>
      <c r="Y1191" s="49"/>
      <c r="Z1191" s="1" t="s">
        <v>550</v>
      </c>
      <c r="AA1191" s="1" t="s">
        <v>4166</v>
      </c>
      <c r="AB1191" s="49"/>
      <c r="AC1191" s="49"/>
      <c r="AD1191" s="49"/>
      <c r="AE1191" s="49" t="str">
        <f>IFERROR(__xludf.DUMMYFUNCTION("""COMPUTED_VALUE"""),"peek")</f>
        <v>peek</v>
      </c>
      <c r="AF1191" s="49" t="str">
        <f t="shared" si="4"/>
        <v>sequels,</v>
      </c>
      <c r="AG1191" s="49"/>
      <c r="AH1191" s="1" t="s">
        <v>3751</v>
      </c>
      <c r="AI1191" s="1" t="s">
        <v>5604</v>
      </c>
      <c r="AJ1191" s="6" t="str">
        <f>IFERROR(__xludf.DUMMYFUNCTION("""COMPUTED_VALUE"""),"bottom")</f>
        <v>bottom</v>
      </c>
      <c r="AK1191" s="49"/>
      <c r="AL1191" s="49"/>
      <c r="AM1191" s="49"/>
      <c r="AN1191" s="52" t="str">
        <f t="shared" si="5"/>
        <v>walk,</v>
      </c>
    </row>
    <row r="1192">
      <c r="A1192" s="51"/>
      <c r="B1192" s="50" t="s">
        <v>2189</v>
      </c>
      <c r="C1192" s="50">
        <v>10.0</v>
      </c>
      <c r="D1192" s="49" t="str">
        <f>IFERROR(__xludf.DUMMYFUNCTION("""COMPUTED_VALUE"""),"movements")</f>
        <v>movements</v>
      </c>
      <c r="E1192" s="49"/>
      <c r="F1192" s="49"/>
      <c r="G1192" s="49"/>
      <c r="H1192" s="54" t="str">
        <f t="shared" si="1"/>
        <v>instead,</v>
      </c>
      <c r="I1192" s="50"/>
      <c r="J1192" s="50" t="s">
        <v>6119</v>
      </c>
      <c r="K1192" s="50" t="s">
        <v>4168</v>
      </c>
      <c r="L1192" s="49" t="str">
        <f>IFERROR(__xludf.DUMMYFUNCTION("""COMPUTED_VALUE"""),"parrot")</f>
        <v>parrot</v>
      </c>
      <c r="M1192" s="49"/>
      <c r="N1192" s="49"/>
      <c r="O1192" s="49" t="str">
        <f>IFERROR(__xludf.DUMMYFUNCTION("""COMPUTED_VALUE"""),"patriotic")</f>
        <v>patriotic</v>
      </c>
      <c r="P1192" s="49" t="str">
        <f t="shared" si="2"/>
        <v>mel,</v>
      </c>
      <c r="Q1192" s="49"/>
      <c r="R1192" s="50" t="s">
        <v>353</v>
      </c>
      <c r="S1192" s="55" t="s">
        <v>99</v>
      </c>
      <c r="T1192" s="49" t="str">
        <f>IFERROR(__xludf.DUMMYFUNCTION("""COMPUTED_VALUE"""),"card")</f>
        <v>card</v>
      </c>
      <c r="U1192" s="49"/>
      <c r="V1192" s="49"/>
      <c r="W1192" s="49" t="str">
        <f>IFERROR(__xludf.DUMMYFUNCTION("""COMPUTED_VALUE"""),"burst")</f>
        <v>burst</v>
      </c>
      <c r="X1192" s="49" t="str">
        <f t="shared" si="3"/>
        <v>provocative,</v>
      </c>
      <c r="Y1192" s="49"/>
      <c r="Z1192" s="1" t="s">
        <v>3826</v>
      </c>
      <c r="AA1192" s="1" t="s">
        <v>849</v>
      </c>
      <c r="AB1192" s="49"/>
      <c r="AC1192" s="49"/>
      <c r="AD1192" s="49"/>
      <c r="AE1192" s="49" t="str">
        <f>IFERROR(__xludf.DUMMYFUNCTION("""COMPUTED_VALUE"""),"patriotic")</f>
        <v>patriotic</v>
      </c>
      <c r="AF1192" s="49" t="str">
        <f t="shared" si="4"/>
        <v>connection,</v>
      </c>
      <c r="AG1192" s="49"/>
      <c r="AH1192" s="1" t="s">
        <v>3027</v>
      </c>
      <c r="AI1192" s="1" t="s">
        <v>6445</v>
      </c>
      <c r="AJ1192" s="6" t="str">
        <f>IFERROR(__xludf.DUMMYFUNCTION("""COMPUTED_VALUE"""),"sweet")</f>
        <v>sweet</v>
      </c>
      <c r="AK1192" s="49"/>
      <c r="AL1192" s="49"/>
      <c r="AM1192" s="49"/>
      <c r="AN1192" s="52" t="str">
        <f t="shared" si="5"/>
        <v>edge,</v>
      </c>
    </row>
    <row r="1193">
      <c r="A1193" s="51"/>
      <c r="B1193" s="50" t="s">
        <v>2808</v>
      </c>
      <c r="C1193" s="50">
        <v>0.0</v>
      </c>
      <c r="D1193" s="49" t="str">
        <f>IFERROR(__xludf.DUMMYFUNCTION("""COMPUTED_VALUE"""),"dare")</f>
        <v>dare</v>
      </c>
      <c r="E1193" s="49"/>
      <c r="F1193" s="49"/>
      <c r="G1193" s="49"/>
      <c r="H1193" s="54" t="str">
        <f t="shared" si="1"/>
        <v>points,</v>
      </c>
      <c r="I1193" s="50"/>
      <c r="J1193" s="50" t="s">
        <v>2536</v>
      </c>
      <c r="K1193" s="50" t="s">
        <v>4170</v>
      </c>
      <c r="L1193" s="49" t="str">
        <f>IFERROR(__xludf.DUMMYFUNCTION("""COMPUTED_VALUE"""),"diversion")</f>
        <v>diversion</v>
      </c>
      <c r="M1193" s="49"/>
      <c r="N1193" s="49"/>
      <c r="O1193" s="49" t="str">
        <f>IFERROR(__xludf.DUMMYFUNCTION("""COMPUTED_VALUE"""),"aesthetics")</f>
        <v>aesthetics</v>
      </c>
      <c r="P1193" s="49" t="str">
        <f t="shared" si="2"/>
        <v>homicide,</v>
      </c>
      <c r="Q1193" s="49"/>
      <c r="R1193" s="50" t="s">
        <v>3055</v>
      </c>
      <c r="S1193" s="55" t="s">
        <v>4282</v>
      </c>
      <c r="T1193" s="49" t="str">
        <f>IFERROR(__xludf.DUMMYFUNCTION("""COMPUTED_VALUE"""),"adolescents")</f>
        <v>adolescents</v>
      </c>
      <c r="U1193" s="49"/>
      <c r="V1193" s="49"/>
      <c r="W1193" s="49" t="str">
        <f>IFERROR(__xludf.DUMMYFUNCTION("""COMPUTED_VALUE"""),"sub")</f>
        <v>sub</v>
      </c>
      <c r="X1193" s="49" t="str">
        <f t="shared" si="3"/>
        <v>holds,</v>
      </c>
      <c r="Y1193" s="49"/>
      <c r="Z1193" s="1" t="s">
        <v>5425</v>
      </c>
      <c r="AA1193" s="1" t="s">
        <v>4169</v>
      </c>
      <c r="AB1193" s="49"/>
      <c r="AC1193" s="49"/>
      <c r="AD1193" s="49"/>
      <c r="AE1193" s="49" t="str">
        <f>IFERROR(__xludf.DUMMYFUNCTION("""COMPUTED_VALUE"""),"aesthetics")</f>
        <v>aesthetics</v>
      </c>
      <c r="AF1193" s="49" t="str">
        <f t="shared" si="4"/>
        <v>post,</v>
      </c>
      <c r="AG1193" s="49"/>
      <c r="AH1193" s="1" t="s">
        <v>3982</v>
      </c>
      <c r="AI1193" s="1" t="s">
        <v>3774</v>
      </c>
      <c r="AJ1193" s="6" t="str">
        <f>IFERROR(__xludf.DUMMYFUNCTION("""COMPUTED_VALUE"""),"joint")</f>
        <v>joint</v>
      </c>
      <c r="AK1193" s="49"/>
      <c r="AL1193" s="49"/>
      <c r="AM1193" s="49"/>
      <c r="AN1193" s="52" t="str">
        <f t="shared" si="5"/>
        <v>directly,</v>
      </c>
    </row>
    <row r="1194">
      <c r="A1194" s="51"/>
      <c r="B1194" s="50" t="s">
        <v>6509</v>
      </c>
      <c r="C1194" s="50" t="s">
        <v>2220</v>
      </c>
      <c r="D1194" s="49" t="str">
        <f>IFERROR(__xludf.DUMMYFUNCTION("""COMPUTED_VALUE"""),"particularly")</f>
        <v>particularly</v>
      </c>
      <c r="E1194" s="49"/>
      <c r="F1194" s="49"/>
      <c r="G1194" s="49"/>
      <c r="H1194" s="54" t="str">
        <f t="shared" si="1"/>
        <v>forward,</v>
      </c>
      <c r="I1194" s="50"/>
      <c r="J1194" s="50" t="s">
        <v>897</v>
      </c>
      <c r="K1194" s="50" t="s">
        <v>4172</v>
      </c>
      <c r="L1194" s="49" t="str">
        <f>IFERROR(__xludf.DUMMYFUNCTION("""COMPUTED_VALUE"""),"clause")</f>
        <v>clause</v>
      </c>
      <c r="M1194" s="49"/>
      <c r="N1194" s="49"/>
      <c r="O1194" s="49" t="str">
        <f>IFERROR(__xludf.DUMMYFUNCTION("""COMPUTED_VALUE"""),"yiddish")</f>
        <v>yiddish</v>
      </c>
      <c r="P1194" s="49" t="str">
        <f t="shared" si="2"/>
        <v>portrayed,</v>
      </c>
      <c r="Q1194" s="49"/>
      <c r="R1194" s="50" t="s">
        <v>5397</v>
      </c>
      <c r="S1194" s="55" t="s">
        <v>2391</v>
      </c>
      <c r="T1194" s="49" t="str">
        <f>IFERROR(__xludf.DUMMYFUNCTION("""COMPUTED_VALUE"""),"references")</f>
        <v>references</v>
      </c>
      <c r="U1194" s="49"/>
      <c r="V1194" s="49"/>
      <c r="W1194" s="49" t="str">
        <f>IFERROR(__xludf.DUMMYFUNCTION("""COMPUTED_VALUE"""),"annals")</f>
        <v>annals</v>
      </c>
      <c r="X1194" s="49" t="str">
        <f t="shared" si="3"/>
        <v>columbia,</v>
      </c>
      <c r="Y1194" s="49"/>
      <c r="Z1194" s="1" t="s">
        <v>4036</v>
      </c>
      <c r="AA1194" s="1" t="s">
        <v>1573</v>
      </c>
      <c r="AB1194" s="49"/>
      <c r="AC1194" s="49"/>
      <c r="AD1194" s="49"/>
      <c r="AE1194" s="49" t="str">
        <f>IFERROR(__xludf.DUMMYFUNCTION("""COMPUTED_VALUE"""),"yiddish")</f>
        <v>yiddish</v>
      </c>
      <c r="AF1194" s="49" t="str">
        <f t="shared" si="4"/>
        <v>budget,</v>
      </c>
      <c r="AG1194" s="49"/>
      <c r="AH1194" s="1" t="s">
        <v>6450</v>
      </c>
      <c r="AI1194" s="1" t="s">
        <v>1007</v>
      </c>
      <c r="AJ1194" s="6" t="str">
        <f>IFERROR(__xludf.DUMMYFUNCTION("""COMPUTED_VALUE"""),"wearing")</f>
        <v>wearing</v>
      </c>
      <c r="AK1194" s="49"/>
      <c r="AL1194" s="49"/>
      <c r="AM1194" s="49"/>
      <c r="AN1194" s="52" t="str">
        <f t="shared" si="5"/>
        <v>surprised,</v>
      </c>
    </row>
    <row r="1195">
      <c r="A1195" s="51"/>
      <c r="B1195" s="50" t="s">
        <v>4512</v>
      </c>
      <c r="C1195" s="50" t="s">
        <v>6436</v>
      </c>
      <c r="D1195" s="49" t="str">
        <f>IFERROR(__xludf.DUMMYFUNCTION("""COMPUTED_VALUE"""),"greater")</f>
        <v>greater</v>
      </c>
      <c r="E1195" s="49"/>
      <c r="F1195" s="49"/>
      <c r="G1195" s="49"/>
      <c r="H1195" s="54" t="str">
        <f t="shared" si="1"/>
        <v>answer,</v>
      </c>
      <c r="I1195" s="50"/>
      <c r="J1195" s="50" t="s">
        <v>80</v>
      </c>
      <c r="K1195" s="50" t="s">
        <v>1289</v>
      </c>
      <c r="L1195" s="49" t="str">
        <f>IFERROR(__xludf.DUMMYFUNCTION("""COMPUTED_VALUE"""),"toss")</f>
        <v>toss</v>
      </c>
      <c r="M1195" s="49"/>
      <c r="N1195" s="49"/>
      <c r="O1195" s="49" t="str">
        <f>IFERROR(__xludf.DUMMYFUNCTION("""COMPUTED_VALUE"""),"bouncing")</f>
        <v>bouncing</v>
      </c>
      <c r="P1195" s="49" t="str">
        <f t="shared" si="2"/>
        <v>emotional,</v>
      </c>
      <c r="Q1195" s="49"/>
      <c r="R1195" s="50" t="s">
        <v>7044</v>
      </c>
      <c r="S1195" s="55" t="s">
        <v>2395</v>
      </c>
      <c r="T1195" s="49" t="str">
        <f>IFERROR(__xludf.DUMMYFUNCTION("""COMPUTED_VALUE"""),"adult")</f>
        <v>adult</v>
      </c>
      <c r="U1195" s="49"/>
      <c r="V1195" s="49"/>
      <c r="W1195" s="49" t="str">
        <f>IFERROR(__xludf.DUMMYFUNCTION("""COMPUTED_VALUE"""),"forceful")</f>
        <v>forceful</v>
      </c>
      <c r="X1195" s="49" t="str">
        <f t="shared" si="3"/>
        <v>crystal,</v>
      </c>
      <c r="Y1195" s="49"/>
      <c r="Z1195" s="1" t="s">
        <v>6619</v>
      </c>
      <c r="AA1195" s="1" t="s">
        <v>4173</v>
      </c>
      <c r="AB1195" s="49"/>
      <c r="AC1195" s="49"/>
      <c r="AD1195" s="49"/>
      <c r="AE1195" s="49" t="str">
        <f>IFERROR(__xludf.DUMMYFUNCTION("""COMPUTED_VALUE"""),"bouncing")</f>
        <v>bouncing</v>
      </c>
      <c r="AF1195" s="49" t="str">
        <f t="shared" si="4"/>
        <v>ground,</v>
      </c>
      <c r="AG1195" s="49"/>
      <c r="AH1195" s="1" t="s">
        <v>6808</v>
      </c>
      <c r="AI1195" s="1" t="s">
        <v>170</v>
      </c>
      <c r="AJ1195" s="6" t="str">
        <f>IFERROR(__xludf.DUMMYFUNCTION("""COMPUTED_VALUE"""),"somewhere")</f>
        <v>somewhere</v>
      </c>
      <c r="AK1195" s="49"/>
      <c r="AL1195" s="49"/>
      <c r="AM1195" s="49"/>
      <c r="AN1195" s="52" t="str">
        <f t="shared" si="5"/>
        <v>opinion,</v>
      </c>
    </row>
    <row r="1196">
      <c r="A1196" s="51"/>
      <c r="B1196" s="50" t="s">
        <v>4434</v>
      </c>
      <c r="C1196" s="50" t="s">
        <v>3196</v>
      </c>
      <c r="D1196" s="49" t="str">
        <f>IFERROR(__xludf.DUMMYFUNCTION("""COMPUTED_VALUE"""),"evolution")</f>
        <v>evolution</v>
      </c>
      <c r="E1196" s="49"/>
      <c r="F1196" s="49"/>
      <c r="G1196" s="49"/>
      <c r="H1196" s="54" t="str">
        <f t="shared" si="1"/>
        <v>damage,</v>
      </c>
      <c r="I1196" s="50"/>
      <c r="J1196" s="50" t="s">
        <v>2705</v>
      </c>
      <c r="K1196" s="50" t="s">
        <v>4175</v>
      </c>
      <c r="L1196" s="49" t="str">
        <f>IFERROR(__xludf.DUMMYFUNCTION("""COMPUTED_VALUE"""),"shudder")</f>
        <v>shudder</v>
      </c>
      <c r="M1196" s="49"/>
      <c r="N1196" s="49"/>
      <c r="O1196" s="49" t="str">
        <f>IFERROR(__xludf.DUMMYFUNCTION("""COMPUTED_VALUE"""),"practiced")</f>
        <v>practiced</v>
      </c>
      <c r="P1196" s="49" t="str">
        <f t="shared" si="2"/>
        <v>nor,</v>
      </c>
      <c r="Q1196" s="49"/>
      <c r="R1196" s="50" t="s">
        <v>1051</v>
      </c>
      <c r="S1196" s="55" t="s">
        <v>579</v>
      </c>
      <c r="T1196" s="49" t="str">
        <f>IFERROR(__xludf.DUMMYFUNCTION("""COMPUTED_VALUE"""),"vulgar")</f>
        <v>vulgar</v>
      </c>
      <c r="U1196" s="49"/>
      <c r="V1196" s="49"/>
      <c r="W1196" s="49" t="str">
        <f>IFERROR(__xludf.DUMMYFUNCTION("""COMPUTED_VALUE"""),"innovations")</f>
        <v>innovations</v>
      </c>
      <c r="X1196" s="49" t="str">
        <f t="shared" si="3"/>
        <v>sly,</v>
      </c>
      <c r="Y1196" s="49"/>
      <c r="Z1196" s="1" t="s">
        <v>1002</v>
      </c>
      <c r="AA1196" s="1" t="s">
        <v>666</v>
      </c>
      <c r="AB1196" s="49"/>
      <c r="AC1196" s="49"/>
      <c r="AD1196" s="49"/>
      <c r="AE1196" s="49" t="str">
        <f>IFERROR(__xludf.DUMMYFUNCTION("""COMPUTED_VALUE"""),"practiced")</f>
        <v>practiced</v>
      </c>
      <c r="AF1196" s="49" t="str">
        <f t="shared" si="4"/>
        <v>tackles,</v>
      </c>
      <c r="AG1196" s="49"/>
      <c r="AH1196" s="1" t="s">
        <v>1616</v>
      </c>
      <c r="AI1196" s="1" t="s">
        <v>3011</v>
      </c>
      <c r="AJ1196" s="6" t="str">
        <f>IFERROR(__xludf.DUMMYFUNCTION("""COMPUTED_VALUE"""),"pregnant")</f>
        <v>pregnant</v>
      </c>
      <c r="AK1196" s="49"/>
      <c r="AL1196" s="49"/>
      <c r="AM1196" s="49"/>
      <c r="AN1196" s="52" t="str">
        <f t="shared" si="5"/>
        <v>pure,</v>
      </c>
    </row>
    <row r="1197">
      <c r="A1197" s="51"/>
      <c r="B1197" s="50" t="s">
        <v>1368</v>
      </c>
      <c r="C1197" s="50" t="s">
        <v>2223</v>
      </c>
      <c r="D1197" s="49" t="str">
        <f>IFERROR(__xludf.DUMMYFUNCTION("""COMPUTED_VALUE"""),"tired")</f>
        <v>tired</v>
      </c>
      <c r="E1197" s="49"/>
      <c r="F1197" s="49"/>
      <c r="G1197" s="49"/>
      <c r="H1197" s="54" t="str">
        <f t="shared" si="1"/>
        <v>impact,</v>
      </c>
      <c r="I1197" s="50"/>
      <c r="J1197" s="50" t="s">
        <v>2031</v>
      </c>
      <c r="K1197" s="50" t="s">
        <v>3669</v>
      </c>
      <c r="L1197" s="49" t="str">
        <f>IFERROR(__xludf.DUMMYFUNCTION("""COMPUTED_VALUE"""),"mature")</f>
        <v>mature</v>
      </c>
      <c r="M1197" s="49"/>
      <c r="N1197" s="49"/>
      <c r="O1197" s="49" t="str">
        <f>IFERROR(__xludf.DUMMYFUNCTION("""COMPUTED_VALUE"""),"annals")</f>
        <v>annals</v>
      </c>
      <c r="P1197" s="49" t="str">
        <f t="shared" si="2"/>
        <v>bunch,</v>
      </c>
      <c r="Q1197" s="49"/>
      <c r="R1197" s="50" t="s">
        <v>4596</v>
      </c>
      <c r="S1197" s="55" t="s">
        <v>2383</v>
      </c>
      <c r="T1197" s="49" t="str">
        <f>IFERROR(__xludf.DUMMYFUNCTION("""COMPUTED_VALUE"""),"opera")</f>
        <v>opera</v>
      </c>
      <c r="U1197" s="49"/>
      <c r="V1197" s="49"/>
      <c r="W1197" s="49" t="str">
        <f>IFERROR(__xludf.DUMMYFUNCTION("""COMPUTED_VALUE"""),"formal")</f>
        <v>formal</v>
      </c>
      <c r="X1197" s="49" t="str">
        <f t="shared" si="3"/>
        <v>pipe,</v>
      </c>
      <c r="Y1197" s="49"/>
      <c r="Z1197" s="1" t="s">
        <v>3304</v>
      </c>
      <c r="AA1197" s="1" t="s">
        <v>4176</v>
      </c>
      <c r="AB1197" s="49"/>
      <c r="AC1197" s="49"/>
      <c r="AD1197" s="49"/>
      <c r="AE1197" s="49" t="str">
        <f>IFERROR(__xludf.DUMMYFUNCTION("""COMPUTED_VALUE"""),"annals")</f>
        <v>annals</v>
      </c>
      <c r="AF1197" s="49" t="str">
        <f t="shared" si="4"/>
        <v>holly,</v>
      </c>
      <c r="AG1197" s="49"/>
      <c r="AH1197" s="1" t="s">
        <v>5594</v>
      </c>
      <c r="AI1197" s="1" t="s">
        <v>2268</v>
      </c>
      <c r="AJ1197" s="6" t="str">
        <f>IFERROR(__xludf.DUMMYFUNCTION("""COMPUTED_VALUE"""),"em")</f>
        <v>em</v>
      </c>
      <c r="AK1197" s="49"/>
      <c r="AL1197" s="49"/>
      <c r="AM1197" s="49"/>
      <c r="AN1197" s="52" t="str">
        <f t="shared" si="5"/>
        <v>exception,</v>
      </c>
    </row>
    <row r="1198">
      <c r="A1198" s="51"/>
      <c r="B1198" s="50" t="s">
        <v>2268</v>
      </c>
      <c r="C1198" s="50" t="s">
        <v>2226</v>
      </c>
      <c r="D1198" s="49" t="str">
        <f>IFERROR(__xludf.DUMMYFUNCTION("""COMPUTED_VALUE"""),"mark")</f>
        <v>mark</v>
      </c>
      <c r="E1198" s="49"/>
      <c r="F1198" s="49"/>
      <c r="G1198" s="49"/>
      <c r="H1198" s="54" t="str">
        <f t="shared" si="1"/>
        <v>motion,</v>
      </c>
      <c r="I1198" s="50"/>
      <c r="J1198" s="50" t="s">
        <v>5345</v>
      </c>
      <c r="K1198" s="50" t="s">
        <v>2502</v>
      </c>
      <c r="L1198" s="49" t="str">
        <f>IFERROR(__xludf.DUMMYFUNCTION("""COMPUTED_VALUE"""),"raised")</f>
        <v>raised</v>
      </c>
      <c r="M1198" s="49"/>
      <c r="N1198" s="49"/>
      <c r="O1198" s="49" t="str">
        <f>IFERROR(__xludf.DUMMYFUNCTION("""COMPUTED_VALUE"""),"forceful")</f>
        <v>forceful</v>
      </c>
      <c r="P1198" s="49" t="str">
        <f t="shared" si="2"/>
        <v>horse,</v>
      </c>
      <c r="Q1198" s="49"/>
      <c r="R1198" s="50" t="s">
        <v>7327</v>
      </c>
      <c r="S1198" s="55" t="s">
        <v>4138</v>
      </c>
      <c r="T1198" s="49" t="str">
        <f>IFERROR(__xludf.DUMMYFUNCTION("""COMPUTED_VALUE"""),"stunning")</f>
        <v>stunning</v>
      </c>
      <c r="U1198" s="49"/>
      <c r="V1198" s="49"/>
      <c r="W1198" s="49" t="str">
        <f>IFERROR(__xludf.DUMMYFUNCTION("""COMPUTED_VALUE"""),"replaced")</f>
        <v>replaced</v>
      </c>
      <c r="X1198" s="49" t="str">
        <f t="shared" si="3"/>
        <v>scary,</v>
      </c>
      <c r="Y1198" s="49"/>
      <c r="Z1198" s="1" t="s">
        <v>1235</v>
      </c>
      <c r="AA1198" s="1" t="s">
        <v>982</v>
      </c>
      <c r="AB1198" s="49"/>
      <c r="AC1198" s="49"/>
      <c r="AD1198" s="49"/>
      <c r="AE1198" s="49" t="str">
        <f>IFERROR(__xludf.DUMMYFUNCTION("""COMPUTED_VALUE"""),"forceful")</f>
        <v>forceful</v>
      </c>
      <c r="AF1198" s="49" t="str">
        <f t="shared" si="4"/>
        <v>spark,</v>
      </c>
      <c r="AG1198" s="49"/>
      <c r="AH1198" s="1" t="s">
        <v>1803</v>
      </c>
      <c r="AI1198" s="1" t="s">
        <v>702</v>
      </c>
      <c r="AJ1198" s="6" t="str">
        <f>IFERROR(__xludf.DUMMYFUNCTION("""COMPUTED_VALUE"""),"glasses")</f>
        <v>glasses</v>
      </c>
      <c r="AK1198" s="49"/>
      <c r="AL1198" s="49"/>
      <c r="AM1198" s="49"/>
      <c r="AN1198" s="52" t="str">
        <f t="shared" si="5"/>
        <v>united,</v>
      </c>
    </row>
    <row r="1199">
      <c r="A1199" s="51"/>
      <c r="B1199" s="50" t="s">
        <v>6804</v>
      </c>
      <c r="C1199" s="50" t="s">
        <v>2230</v>
      </c>
      <c r="D1199" s="49" t="str">
        <f>IFERROR(__xludf.DUMMYFUNCTION("""COMPUTED_VALUE"""),"skin")</f>
        <v>skin</v>
      </c>
      <c r="E1199" s="49"/>
      <c r="F1199" s="49"/>
      <c r="G1199" s="49"/>
      <c r="H1199" s="54" t="str">
        <f t="shared" si="1"/>
        <v>fly,</v>
      </c>
      <c r="I1199" s="50"/>
      <c r="J1199" s="50" t="s">
        <v>2900</v>
      </c>
      <c r="K1199" s="50" t="s">
        <v>774</v>
      </c>
      <c r="L1199" s="49" t="str">
        <f>IFERROR(__xludf.DUMMYFUNCTION("""COMPUTED_VALUE"""),"smarter")</f>
        <v>smarter</v>
      </c>
      <c r="M1199" s="49"/>
      <c r="N1199" s="49"/>
      <c r="O1199" s="49" t="str">
        <f>IFERROR(__xludf.DUMMYFUNCTION("""COMPUTED_VALUE"""),"innovations")</f>
        <v>innovations</v>
      </c>
      <c r="P1199" s="49" t="str">
        <f t="shared" si="2"/>
        <v>separation,</v>
      </c>
      <c r="Q1199" s="49"/>
      <c r="R1199" s="50" t="s">
        <v>7328</v>
      </c>
      <c r="S1199" s="55" t="s">
        <v>4011</v>
      </c>
      <c r="T1199" s="49" t="str">
        <f>IFERROR(__xludf.DUMMYFUNCTION("""COMPUTED_VALUE"""),"uneven")</f>
        <v>uneven</v>
      </c>
      <c r="U1199" s="49"/>
      <c r="V1199" s="49"/>
      <c r="W1199" s="49" t="str">
        <f>IFERROR(__xludf.DUMMYFUNCTION("""COMPUTED_VALUE"""),"executives")</f>
        <v>executives</v>
      </c>
      <c r="X1199" s="49" t="str">
        <f t="shared" si="3"/>
        <v>dropping,</v>
      </c>
      <c r="Y1199" s="49"/>
      <c r="Z1199" s="1" t="s">
        <v>249</v>
      </c>
      <c r="AA1199" s="1" t="s">
        <v>4180</v>
      </c>
      <c r="AB1199" s="49"/>
      <c r="AC1199" s="49"/>
      <c r="AD1199" s="49"/>
      <c r="AE1199" s="49" t="str">
        <f>IFERROR(__xludf.DUMMYFUNCTION("""COMPUTED_VALUE"""),"innovations")</f>
        <v>innovations</v>
      </c>
      <c r="AF1199" s="49" t="str">
        <f t="shared" si="4"/>
        <v>personal,</v>
      </c>
      <c r="AG1199" s="49"/>
      <c r="AH1199" s="1" t="s">
        <v>602</v>
      </c>
      <c r="AI1199" s="1" t="s">
        <v>6371</v>
      </c>
      <c r="AJ1199" s="6" t="str">
        <f>IFERROR(__xludf.DUMMYFUNCTION("""COMPUTED_VALUE"""),"particular")</f>
        <v>particular</v>
      </c>
      <c r="AK1199" s="49"/>
      <c r="AL1199" s="49"/>
      <c r="AM1199" s="49"/>
      <c r="AN1199" s="52" t="str">
        <f t="shared" si="5"/>
        <v>took,</v>
      </c>
    </row>
    <row r="1200">
      <c r="A1200" s="51"/>
      <c r="B1200" s="50" t="s">
        <v>4223</v>
      </c>
      <c r="C1200" s="50" t="s">
        <v>1079</v>
      </c>
      <c r="D1200" s="49" t="str">
        <f>IFERROR(__xludf.DUMMYFUNCTION("""COMPUTED_VALUE"""),"perhaps")</f>
        <v>perhaps</v>
      </c>
      <c r="E1200" s="49"/>
      <c r="F1200" s="49"/>
      <c r="G1200" s="49"/>
      <c r="H1200" s="54" t="str">
        <f t="shared" si="1"/>
        <v>mention,</v>
      </c>
      <c r="I1200" s="50"/>
      <c r="J1200" s="50" t="s">
        <v>396</v>
      </c>
      <c r="K1200" s="50" t="s">
        <v>2546</v>
      </c>
      <c r="L1200" s="49" t="str">
        <f>IFERROR(__xludf.DUMMYFUNCTION("""COMPUTED_VALUE"""),"rumor")</f>
        <v>rumor</v>
      </c>
      <c r="M1200" s="49"/>
      <c r="N1200" s="49"/>
      <c r="O1200" s="49" t="str">
        <f>IFERROR(__xludf.DUMMYFUNCTION("""COMPUTED_VALUE"""),"despair")</f>
        <v>despair</v>
      </c>
      <c r="P1200" s="49" t="str">
        <f t="shared" si="2"/>
        <v>situations,</v>
      </c>
      <c r="Q1200" s="49"/>
      <c r="R1200" s="50" t="s">
        <v>6294</v>
      </c>
      <c r="S1200" s="55" t="s">
        <v>2385</v>
      </c>
      <c r="T1200" s="49" t="str">
        <f>IFERROR(__xludf.DUMMYFUNCTION("""COMPUTED_VALUE"""),"numbers")</f>
        <v>numbers</v>
      </c>
      <c r="U1200" s="49"/>
      <c r="V1200" s="49"/>
      <c r="W1200" s="49" t="str">
        <f>IFERROR(__xludf.DUMMYFUNCTION("""COMPUTED_VALUE"""),"hoped")</f>
        <v>hoped</v>
      </c>
      <c r="X1200" s="49" t="str">
        <f t="shared" si="3"/>
        <v>driving,</v>
      </c>
      <c r="Y1200" s="49"/>
      <c r="Z1200" s="1" t="s">
        <v>3677</v>
      </c>
      <c r="AA1200" s="1" t="s">
        <v>4182</v>
      </c>
      <c r="AB1200" s="49"/>
      <c r="AC1200" s="49"/>
      <c r="AD1200" s="49"/>
      <c r="AE1200" s="49" t="str">
        <f>IFERROR(__xludf.DUMMYFUNCTION("""COMPUTED_VALUE"""),"despair")</f>
        <v>despair</v>
      </c>
      <c r="AF1200" s="49" t="str">
        <f t="shared" si="4"/>
        <v>feeling,</v>
      </c>
      <c r="AG1200" s="49"/>
      <c r="AH1200" s="1" t="s">
        <v>234</v>
      </c>
      <c r="AI1200" s="1" t="s">
        <v>3792</v>
      </c>
      <c r="AJ1200" s="6" t="str">
        <f>IFERROR(__xludf.DUMMYFUNCTION("""COMPUTED_VALUE"""),"wild")</f>
        <v>wild</v>
      </c>
      <c r="AK1200" s="49"/>
      <c r="AL1200" s="49"/>
      <c r="AM1200" s="49"/>
      <c r="AN1200" s="52" t="str">
        <f t="shared" si="5"/>
        <v>small,</v>
      </c>
    </row>
    <row r="1201">
      <c r="A1201" s="51"/>
      <c r="B1201" s="50" t="s">
        <v>7106</v>
      </c>
      <c r="C1201" s="50" t="s">
        <v>4491</v>
      </c>
      <c r="D1201" s="49" t="str">
        <f>IFERROR(__xludf.DUMMYFUNCTION("""COMPUTED_VALUE"""),"escape")</f>
        <v>escape</v>
      </c>
      <c r="E1201" s="49"/>
      <c r="F1201" s="49"/>
      <c r="G1201" s="49"/>
      <c r="H1201" s="54" t="str">
        <f t="shared" si="1"/>
        <v>occur,</v>
      </c>
      <c r="I1201" s="50"/>
      <c r="J1201" s="50" t="s">
        <v>3903</v>
      </c>
      <c r="K1201" s="50" t="s">
        <v>820</v>
      </c>
      <c r="L1201" s="49" t="str">
        <f>IFERROR(__xludf.DUMMYFUNCTION("""COMPUTED_VALUE"""),"fiercely")</f>
        <v>fiercely</v>
      </c>
      <c r="M1201" s="49"/>
      <c r="N1201" s="49"/>
      <c r="O1201" s="49" t="str">
        <f>IFERROR(__xludf.DUMMYFUNCTION("""COMPUTED_VALUE"""),"executives")</f>
        <v>executives</v>
      </c>
      <c r="P1201" s="49" t="str">
        <f t="shared" si="2"/>
        <v>disbelief,</v>
      </c>
      <c r="Q1201" s="49"/>
      <c r="R1201" s="50" t="s">
        <v>2077</v>
      </c>
      <c r="S1201" s="55" t="s">
        <v>6460</v>
      </c>
      <c r="T1201" s="49" t="str">
        <f>IFERROR(__xludf.DUMMYFUNCTION("""COMPUTED_VALUE"""),"massive")</f>
        <v>massive</v>
      </c>
      <c r="U1201" s="49"/>
      <c r="V1201" s="49"/>
      <c r="W1201" s="49" t="str">
        <f>IFERROR(__xludf.DUMMYFUNCTION("""COMPUTED_VALUE"""),"mothers")</f>
        <v>mothers</v>
      </c>
      <c r="X1201" s="49" t="str">
        <f t="shared" si="3"/>
        <v>troubled,</v>
      </c>
      <c r="Y1201" s="49"/>
      <c r="Z1201" s="1" t="s">
        <v>2524</v>
      </c>
      <c r="AA1201" s="1" t="s">
        <v>1579</v>
      </c>
      <c r="AB1201" s="49"/>
      <c r="AC1201" s="49"/>
      <c r="AD1201" s="49"/>
      <c r="AE1201" s="49" t="str">
        <f>IFERROR(__xludf.DUMMYFUNCTION("""COMPUTED_VALUE"""),"executives")</f>
        <v>executives</v>
      </c>
      <c r="AF1201" s="49" t="str">
        <f t="shared" si="4"/>
        <v>unlike,</v>
      </c>
      <c r="AG1201" s="49"/>
      <c r="AH1201" s="1" t="s">
        <v>357</v>
      </c>
      <c r="AI1201" s="1" t="s">
        <v>1830</v>
      </c>
      <c r="AJ1201" s="6" t="str">
        <f>IFERROR(__xludf.DUMMYFUNCTION("""COMPUTED_VALUE"""),"proved")</f>
        <v>proved</v>
      </c>
      <c r="AK1201" s="49"/>
      <c r="AL1201" s="49"/>
      <c r="AM1201" s="49"/>
      <c r="AN1201" s="52" t="str">
        <f t="shared" si="5"/>
        <v>come,</v>
      </c>
    </row>
    <row r="1202">
      <c r="A1202" s="51"/>
      <c r="B1202" s="50" t="s">
        <v>5398</v>
      </c>
      <c r="C1202" s="50" t="s">
        <v>885</v>
      </c>
      <c r="D1202" s="49" t="str">
        <f>IFERROR(__xludf.DUMMYFUNCTION("""COMPUTED_VALUE"""),"happen")</f>
        <v>happen</v>
      </c>
      <c r="E1202" s="49"/>
      <c r="F1202" s="49"/>
      <c r="G1202" s="49"/>
      <c r="H1202" s="54" t="str">
        <f t="shared" si="1"/>
        <v>bruce,</v>
      </c>
      <c r="I1202" s="50"/>
      <c r="J1202" s="50" t="s">
        <v>6650</v>
      </c>
      <c r="K1202" s="50" t="s">
        <v>3680</v>
      </c>
      <c r="L1202" s="49" t="str">
        <f>IFERROR(__xludf.DUMMYFUNCTION("""COMPUTED_VALUE"""),"smack")</f>
        <v>smack</v>
      </c>
      <c r="M1202" s="49"/>
      <c r="N1202" s="49"/>
      <c r="O1202" s="49" t="str">
        <f>IFERROR(__xludf.DUMMYFUNCTION("""COMPUTED_VALUE"""),"hoped")</f>
        <v>hoped</v>
      </c>
      <c r="P1202" s="49" t="str">
        <f t="shared" si="2"/>
        <v>ignore,</v>
      </c>
      <c r="Q1202" s="49"/>
      <c r="R1202" s="50" t="s">
        <v>99</v>
      </c>
      <c r="S1202" s="55" t="s">
        <v>2401</v>
      </c>
      <c r="T1202" s="49" t="str">
        <f>IFERROR(__xludf.DUMMYFUNCTION("""COMPUTED_VALUE"""),"childhood")</f>
        <v>childhood</v>
      </c>
      <c r="U1202" s="49"/>
      <c r="V1202" s="49"/>
      <c r="W1202" s="49" t="str">
        <f>IFERROR(__xludf.DUMMYFUNCTION("""COMPUTED_VALUE"""),"illustrating")</f>
        <v>illustrating</v>
      </c>
      <c r="X1202" s="49" t="str">
        <f t="shared" si="3"/>
        <v>grounded,</v>
      </c>
      <c r="Y1202" s="49"/>
      <c r="Z1202" s="1" t="s">
        <v>5262</v>
      </c>
      <c r="AA1202" s="1" t="s">
        <v>4186</v>
      </c>
      <c r="AB1202" s="49"/>
      <c r="AC1202" s="49"/>
      <c r="AD1202" s="49"/>
      <c r="AE1202" s="49" t="str">
        <f>IFERROR(__xludf.DUMMYFUNCTION("""COMPUTED_VALUE"""),"hoped")</f>
        <v>hoped</v>
      </c>
      <c r="AF1202" s="49" t="str">
        <f t="shared" si="4"/>
        <v>turning,</v>
      </c>
      <c r="AG1202" s="49"/>
      <c r="AH1202" s="1" t="s">
        <v>5522</v>
      </c>
      <c r="AI1202" s="1" t="s">
        <v>2272</v>
      </c>
      <c r="AJ1202" s="6" t="str">
        <f>IFERROR(__xludf.DUMMYFUNCTION("""COMPUTED_VALUE"""),"directors")</f>
        <v>directors</v>
      </c>
      <c r="AK1202" s="49"/>
      <c r="AL1202" s="49"/>
      <c r="AM1202" s="49"/>
      <c r="AN1202" s="52" t="str">
        <f t="shared" si="5"/>
        <v>southern,</v>
      </c>
    </row>
    <row r="1203">
      <c r="A1203" s="51"/>
      <c r="B1203" s="50" t="s">
        <v>3565</v>
      </c>
      <c r="C1203" s="50" t="s">
        <v>2333</v>
      </c>
      <c r="D1203" s="49" t="str">
        <f>IFERROR(__xludf.DUMMYFUNCTION("""COMPUTED_VALUE"""),"jim")</f>
        <v>jim</v>
      </c>
      <c r="E1203" s="49"/>
      <c r="F1203" s="49"/>
      <c r="G1203" s="49"/>
      <c r="H1203" s="54" t="str">
        <f t="shared" si="1"/>
        <v>element,</v>
      </c>
      <c r="I1203" s="50"/>
      <c r="J1203" s="50" t="s">
        <v>2293</v>
      </c>
      <c r="K1203" s="50" t="s">
        <v>2506</v>
      </c>
      <c r="L1203" s="49" t="str">
        <f>IFERROR(__xludf.DUMMYFUNCTION("""COMPUTED_VALUE"""),"crack")</f>
        <v>crack</v>
      </c>
      <c r="M1203" s="49"/>
      <c r="N1203" s="49"/>
      <c r="O1203" s="49" t="str">
        <f>IFERROR(__xludf.DUMMYFUNCTION("""COMPUTED_VALUE"""),"chronicles")</f>
        <v>chronicles</v>
      </c>
      <c r="P1203" s="49" t="str">
        <f t="shared" si="2"/>
        <v>store,</v>
      </c>
      <c r="Q1203" s="49"/>
      <c r="R1203" s="50" t="s">
        <v>4281</v>
      </c>
      <c r="S1203" s="55" t="s">
        <v>2405</v>
      </c>
      <c r="T1203" s="49" t="str">
        <f>IFERROR(__xludf.DUMMYFUNCTION("""COMPUTED_VALUE"""),"social")</f>
        <v>social</v>
      </c>
      <c r="U1203" s="49"/>
      <c r="V1203" s="49"/>
      <c r="W1203" s="49" t="str">
        <f>IFERROR(__xludf.DUMMYFUNCTION("""COMPUTED_VALUE"""),"commended")</f>
        <v>commended</v>
      </c>
      <c r="X1203" s="49" t="str">
        <f t="shared" si="3"/>
        <v>adults,</v>
      </c>
      <c r="Y1203" s="49"/>
      <c r="Z1203" s="1" t="s">
        <v>5211</v>
      </c>
      <c r="AA1203" s="1" t="s">
        <v>986</v>
      </c>
      <c r="AB1203" s="49"/>
      <c r="AC1203" s="49"/>
      <c r="AD1203" s="49"/>
      <c r="AE1203" s="49" t="str">
        <f>IFERROR(__xludf.DUMMYFUNCTION("""COMPUTED_VALUE"""),"chronicles")</f>
        <v>chronicles</v>
      </c>
      <c r="AF1203" s="49" t="str">
        <f t="shared" si="4"/>
        <v>shame,</v>
      </c>
      <c r="AG1203" s="49"/>
      <c r="AH1203" s="1" t="s">
        <v>4478</v>
      </c>
      <c r="AI1203" s="1" t="s">
        <v>2825</v>
      </c>
      <c r="AJ1203" s="6" t="str">
        <f>IFERROR(__xludf.DUMMYFUNCTION("""COMPUTED_VALUE"""),"artistic")</f>
        <v>artistic</v>
      </c>
      <c r="AK1203" s="49"/>
      <c r="AL1203" s="49"/>
      <c r="AM1203" s="49"/>
      <c r="AN1203" s="52" t="str">
        <f t="shared" si="5"/>
        <v>ten,</v>
      </c>
    </row>
    <row r="1204">
      <c r="A1204" s="51"/>
      <c r="B1204" s="50" t="s">
        <v>5716</v>
      </c>
      <c r="C1204" s="50" t="s">
        <v>154</v>
      </c>
      <c r="D1204" s="49" t="str">
        <f>IFERROR(__xludf.DUMMYFUNCTION("""COMPUTED_VALUE"""),"flame")</f>
        <v>flame</v>
      </c>
      <c r="E1204" s="49"/>
      <c r="F1204" s="49"/>
      <c r="G1204" s="49"/>
      <c r="H1204" s="54" t="str">
        <f t="shared" si="1"/>
        <v>destroy,</v>
      </c>
      <c r="I1204" s="50"/>
      <c r="J1204" s="50" t="s">
        <v>7329</v>
      </c>
      <c r="K1204" s="50" t="s">
        <v>2510</v>
      </c>
      <c r="L1204" s="49" t="str">
        <f>IFERROR(__xludf.DUMMYFUNCTION("""COMPUTED_VALUE"""),"discipline")</f>
        <v>discipline</v>
      </c>
      <c r="M1204" s="49"/>
      <c r="N1204" s="49"/>
      <c r="O1204" s="49" t="str">
        <f>IFERROR(__xludf.DUMMYFUNCTION("""COMPUTED_VALUE"""),"clint")</f>
        <v>clint</v>
      </c>
      <c r="P1204" s="49" t="str">
        <f t="shared" si="2"/>
        <v>shout,</v>
      </c>
      <c r="Q1204" s="49"/>
      <c r="R1204" s="50" t="s">
        <v>5032</v>
      </c>
      <c r="S1204" s="55" t="s">
        <v>3487</v>
      </c>
      <c r="T1204" s="49" t="str">
        <f>IFERROR(__xludf.DUMMYFUNCTION("""COMPUTED_VALUE"""),"mountain")</f>
        <v>mountain</v>
      </c>
      <c r="U1204" s="49"/>
      <c r="V1204" s="49"/>
      <c r="W1204" s="49" t="str">
        <f>IFERROR(__xludf.DUMMYFUNCTION("""COMPUTED_VALUE"""),"michele")</f>
        <v>michele</v>
      </c>
      <c r="X1204" s="49" t="str">
        <f t="shared" si="3"/>
        <v>youth,</v>
      </c>
      <c r="Y1204" s="49"/>
      <c r="Z1204" s="1" t="s">
        <v>2456</v>
      </c>
      <c r="AA1204" s="1" t="s">
        <v>3045</v>
      </c>
      <c r="AB1204" s="49"/>
      <c r="AC1204" s="49"/>
      <c r="AD1204" s="49"/>
      <c r="AE1204" s="49" t="str">
        <f>IFERROR(__xludf.DUMMYFUNCTION("""COMPUTED_VALUE"""),"clint")</f>
        <v>clint</v>
      </c>
      <c r="AF1204" s="49" t="str">
        <f t="shared" si="4"/>
        <v>persona,</v>
      </c>
      <c r="AG1204" s="49"/>
      <c r="AH1204" s="1" t="s">
        <v>4445</v>
      </c>
      <c r="AI1204" s="1" t="s">
        <v>655</v>
      </c>
      <c r="AJ1204" s="6" t="str">
        <f>IFERROR(__xludf.DUMMYFUNCTION("""COMPUTED_VALUE"""),"classified")</f>
        <v>classified</v>
      </c>
      <c r="AK1204" s="49"/>
      <c r="AL1204" s="49"/>
      <c r="AM1204" s="49"/>
      <c r="AN1204" s="52" t="str">
        <f t="shared" si="5"/>
        <v>child,</v>
      </c>
    </row>
    <row r="1205">
      <c r="A1205" s="51"/>
      <c r="B1205" s="50" t="s">
        <v>896</v>
      </c>
      <c r="C1205" s="50" t="s">
        <v>3215</v>
      </c>
      <c r="D1205" s="49" t="str">
        <f>IFERROR(__xludf.DUMMYFUNCTION("""COMPUTED_VALUE"""),"last")</f>
        <v>last</v>
      </c>
      <c r="E1205" s="49"/>
      <c r="F1205" s="49"/>
      <c r="G1205" s="49"/>
      <c r="H1205" s="54" t="str">
        <f t="shared" si="1"/>
        <v>five,</v>
      </c>
      <c r="I1205" s="50"/>
      <c r="J1205" s="50" t="s">
        <v>6740</v>
      </c>
      <c r="K1205" s="50" t="s">
        <v>4190</v>
      </c>
      <c r="L1205" s="49" t="str">
        <f>IFERROR(__xludf.DUMMYFUNCTION("""COMPUTED_VALUE"""),"scientists")</f>
        <v>scientists</v>
      </c>
      <c r="M1205" s="49"/>
      <c r="N1205" s="49"/>
      <c r="O1205" s="49" t="str">
        <f>IFERROR(__xludf.DUMMYFUNCTION("""COMPUTED_VALUE"""),"elbows")</f>
        <v>elbows</v>
      </c>
      <c r="P1205" s="49" t="str">
        <f t="shared" si="2"/>
        <v>saved,</v>
      </c>
      <c r="Q1205" s="49"/>
      <c r="R1205" s="50" t="s">
        <v>4663</v>
      </c>
      <c r="S1205" s="55" t="s">
        <v>706</v>
      </c>
      <c r="T1205" s="49" t="str">
        <f>IFERROR(__xludf.DUMMYFUNCTION("""COMPUTED_VALUE"""),"literally")</f>
        <v>literally</v>
      </c>
      <c r="U1205" s="49"/>
      <c r="V1205" s="49"/>
      <c r="W1205" s="49" t="str">
        <f>IFERROR(__xludf.DUMMYFUNCTION("""COMPUTED_VALUE"""),"bitterly")</f>
        <v>bitterly</v>
      </c>
      <c r="X1205" s="49" t="str">
        <f t="shared" si="3"/>
        <v>notes,</v>
      </c>
      <c r="Y1205" s="49"/>
      <c r="Z1205" s="1" t="s">
        <v>6365</v>
      </c>
      <c r="AA1205" s="1" t="s">
        <v>4189</v>
      </c>
      <c r="AB1205" s="49"/>
      <c r="AC1205" s="49"/>
      <c r="AD1205" s="49"/>
      <c r="AE1205" s="49" t="str">
        <f>IFERROR(__xludf.DUMMYFUNCTION("""COMPUTED_VALUE"""),"elbows")</f>
        <v>elbows</v>
      </c>
      <c r="AF1205" s="49" t="str">
        <f t="shared" si="4"/>
        <v>reduced,</v>
      </c>
      <c r="AG1205" s="49"/>
      <c r="AH1205" s="1" t="s">
        <v>2822</v>
      </c>
      <c r="AI1205" s="1" t="s">
        <v>3804</v>
      </c>
      <c r="AJ1205" s="6" t="str">
        <f>IFERROR(__xludf.DUMMYFUNCTION("""COMPUTED_VALUE"""),"several")</f>
        <v>several</v>
      </c>
      <c r="AK1205" s="49"/>
      <c r="AL1205" s="49"/>
      <c r="AM1205" s="49"/>
      <c r="AN1205" s="52" t="str">
        <f t="shared" si="5"/>
        <v>self,</v>
      </c>
    </row>
    <row r="1206">
      <c r="A1206" s="51"/>
      <c r="B1206" s="50" t="s">
        <v>1821</v>
      </c>
      <c r="C1206" s="50" t="s">
        <v>3218</v>
      </c>
      <c r="D1206" s="49" t="str">
        <f>IFERROR(__xludf.DUMMYFUNCTION("""COMPUTED_VALUE"""),"escaped")</f>
        <v>escaped</v>
      </c>
      <c r="E1206" s="49"/>
      <c r="F1206" s="49"/>
      <c r="G1206" s="49"/>
      <c r="H1206" s="54" t="str">
        <f t="shared" si="1"/>
        <v>president,</v>
      </c>
      <c r="I1206" s="50"/>
      <c r="J1206" s="50" t="s">
        <v>352</v>
      </c>
      <c r="K1206" s="50" t="s">
        <v>4193</v>
      </c>
      <c r="L1206" s="49" t="str">
        <f>IFERROR(__xludf.DUMMYFUNCTION("""COMPUTED_VALUE"""),"exposure")</f>
        <v>exposure</v>
      </c>
      <c r="M1206" s="49"/>
      <c r="N1206" s="49"/>
      <c r="O1206" s="49" t="str">
        <f>IFERROR(__xludf.DUMMYFUNCTION("""COMPUTED_VALUE"""),"commended")</f>
        <v>commended</v>
      </c>
      <c r="P1206" s="49" t="str">
        <f t="shared" si="2"/>
        <v>haunting,</v>
      </c>
      <c r="Q1206" s="49"/>
      <c r="R1206" s="50" t="s">
        <v>5361</v>
      </c>
      <c r="S1206" s="55" t="s">
        <v>658</v>
      </c>
      <c r="T1206" s="49" t="str">
        <f>IFERROR(__xludf.DUMMYFUNCTION("""COMPUTED_VALUE"""),"keeping")</f>
        <v>keeping</v>
      </c>
      <c r="U1206" s="49"/>
      <c r="V1206" s="49"/>
      <c r="W1206" s="49" t="str">
        <f>IFERROR(__xludf.DUMMYFUNCTION("""COMPUTED_VALUE"""),"admitting")</f>
        <v>admitting</v>
      </c>
      <c r="X1206" s="49" t="str">
        <f t="shared" si="3"/>
        <v>anticipated,</v>
      </c>
      <c r="Y1206" s="49"/>
      <c r="Z1206" s="1" t="s">
        <v>2473</v>
      </c>
      <c r="AA1206" s="1" t="s">
        <v>4191</v>
      </c>
      <c r="AB1206" s="49"/>
      <c r="AC1206" s="49"/>
      <c r="AD1206" s="49"/>
      <c r="AE1206" s="49" t="str">
        <f>IFERROR(__xludf.DUMMYFUNCTION("""COMPUTED_VALUE"""),"commended")</f>
        <v>commended</v>
      </c>
      <c r="AF1206" s="49" t="str">
        <f t="shared" si="4"/>
        <v>eddie,</v>
      </c>
      <c r="AG1206" s="49"/>
      <c r="AH1206" s="1" t="s">
        <v>2888</v>
      </c>
      <c r="AI1206" s="1" t="s">
        <v>6461</v>
      </c>
      <c r="AJ1206" s="6" t="str">
        <f>IFERROR(__xludf.DUMMYFUNCTION("""COMPUTED_VALUE"""),"air")</f>
        <v>air</v>
      </c>
      <c r="AK1206" s="49"/>
      <c r="AL1206" s="49"/>
      <c r="AM1206" s="49"/>
      <c r="AN1206" s="52" t="str">
        <f t="shared" si="5"/>
        <v>success,</v>
      </c>
    </row>
    <row r="1207">
      <c r="A1207" s="51"/>
      <c r="B1207" s="50" t="s">
        <v>1409</v>
      </c>
      <c r="C1207" s="50" t="s">
        <v>2243</v>
      </c>
      <c r="D1207" s="49" t="str">
        <f>IFERROR(__xludf.DUMMYFUNCTION("""COMPUTED_VALUE"""),"dug")</f>
        <v>dug</v>
      </c>
      <c r="E1207" s="49"/>
      <c r="F1207" s="49"/>
      <c r="G1207" s="49"/>
      <c r="H1207" s="54" t="str">
        <f t="shared" si="1"/>
        <v>country,</v>
      </c>
      <c r="I1207" s="50"/>
      <c r="J1207" s="50" t="s">
        <v>7330</v>
      </c>
      <c r="K1207" s="50" t="s">
        <v>2513</v>
      </c>
      <c r="L1207" s="49" t="str">
        <f>IFERROR(__xludf.DUMMYFUNCTION("""COMPUTED_VALUE"""),"interpretation")</f>
        <v>interpretation</v>
      </c>
      <c r="M1207" s="49"/>
      <c r="N1207" s="49"/>
      <c r="O1207" s="49" t="str">
        <f>IFERROR(__xludf.DUMMYFUNCTION("""COMPUTED_VALUE"""),"illustrating")</f>
        <v>illustrating</v>
      </c>
      <c r="P1207" s="49" t="str">
        <f t="shared" si="2"/>
        <v>boo,</v>
      </c>
      <c r="Q1207" s="49"/>
      <c r="R1207" s="50" t="s">
        <v>3193</v>
      </c>
      <c r="S1207" s="55" t="s">
        <v>1242</v>
      </c>
      <c r="T1207" s="49" t="str">
        <f>IFERROR(__xludf.DUMMYFUNCTION("""COMPUTED_VALUE"""),"roy")</f>
        <v>roy</v>
      </c>
      <c r="U1207" s="49"/>
      <c r="V1207" s="49"/>
      <c r="W1207" s="49" t="str">
        <f>IFERROR(__xludf.DUMMYFUNCTION("""COMPUTED_VALUE"""),"athlete")</f>
        <v>athlete</v>
      </c>
      <c r="X1207" s="49" t="str">
        <f t="shared" si="3"/>
        <v>funky,</v>
      </c>
      <c r="Y1207" s="49"/>
      <c r="Z1207" s="1" t="s">
        <v>5339</v>
      </c>
      <c r="AA1207" s="1" t="s">
        <v>992</v>
      </c>
      <c r="AB1207" s="49"/>
      <c r="AC1207" s="49"/>
      <c r="AD1207" s="49"/>
      <c r="AE1207" s="49" t="str">
        <f>IFERROR(__xludf.DUMMYFUNCTION("""COMPUTED_VALUE"""),"illustrating")</f>
        <v>illustrating</v>
      </c>
      <c r="AF1207" s="49" t="str">
        <f t="shared" si="4"/>
        <v>hack,</v>
      </c>
      <c r="AG1207" s="49"/>
      <c r="AH1207" s="1" t="s">
        <v>1111</v>
      </c>
      <c r="AI1207" s="1" t="s">
        <v>5719</v>
      </c>
      <c r="AJ1207" s="6" t="str">
        <f>IFERROR(__xludf.DUMMYFUNCTION("""COMPUTED_VALUE"""),"instead")</f>
        <v>instead</v>
      </c>
      <c r="AK1207" s="49"/>
      <c r="AL1207" s="49"/>
      <c r="AM1207" s="49"/>
      <c r="AN1207" s="52" t="str">
        <f t="shared" si="5"/>
        <v>note,</v>
      </c>
    </row>
    <row r="1208">
      <c r="A1208" s="51"/>
      <c r="B1208" s="50" t="s">
        <v>154</v>
      </c>
      <c r="C1208" s="50" t="s">
        <v>2237</v>
      </c>
      <c r="D1208" s="49" t="str">
        <f>IFERROR(__xludf.DUMMYFUNCTION("""COMPUTED_VALUE"""),"inspired")</f>
        <v>inspired</v>
      </c>
      <c r="E1208" s="49"/>
      <c r="F1208" s="49"/>
      <c r="G1208" s="49"/>
      <c r="H1208" s="54" t="str">
        <f t="shared" si="1"/>
        <v>getting,</v>
      </c>
      <c r="I1208" s="50"/>
      <c r="J1208" s="50" t="s">
        <v>2131</v>
      </c>
      <c r="K1208" s="50" t="s">
        <v>2522</v>
      </c>
      <c r="L1208" s="49" t="str">
        <f>IFERROR(__xludf.DUMMYFUNCTION("""COMPUTED_VALUE"""),"yearning")</f>
        <v>yearning</v>
      </c>
      <c r="M1208" s="49"/>
      <c r="N1208" s="49"/>
      <c r="O1208" s="49" t="str">
        <f>IFERROR(__xludf.DUMMYFUNCTION("""COMPUTED_VALUE"""),"matters")</f>
        <v>matters</v>
      </c>
      <c r="P1208" s="49" t="str">
        <f t="shared" si="2"/>
        <v>stream,</v>
      </c>
      <c r="Q1208" s="49"/>
      <c r="R1208" s="50" t="s">
        <v>3489</v>
      </c>
      <c r="S1208" s="55" t="s">
        <v>2399</v>
      </c>
      <c r="T1208" s="49" t="str">
        <f>IFERROR(__xludf.DUMMYFUNCTION("""COMPUTED_VALUE"""),"ad")</f>
        <v>ad</v>
      </c>
      <c r="U1208" s="49"/>
      <c r="V1208" s="49"/>
      <c r="W1208" s="49" t="str">
        <f>IFERROR(__xludf.DUMMYFUNCTION("""COMPUTED_VALUE"""),"ambiguous")</f>
        <v>ambiguous</v>
      </c>
      <c r="X1208" s="49" t="str">
        <f t="shared" si="3"/>
        <v>inconsistent,</v>
      </c>
      <c r="Y1208" s="49"/>
      <c r="Z1208" s="1" t="s">
        <v>2471</v>
      </c>
      <c r="AA1208" s="1" t="s">
        <v>2542</v>
      </c>
      <c r="AB1208" s="49"/>
      <c r="AC1208" s="49"/>
      <c r="AD1208" s="49"/>
      <c r="AE1208" s="49" t="str">
        <f>IFERROR(__xludf.DUMMYFUNCTION("""COMPUTED_VALUE"""),"matters")</f>
        <v>matters</v>
      </c>
      <c r="AF1208" s="49" t="str">
        <f t="shared" si="4"/>
        <v>murphy,</v>
      </c>
      <c r="AG1208" s="49"/>
      <c r="AH1208" s="1" t="s">
        <v>1032</v>
      </c>
      <c r="AI1208" s="1" t="s">
        <v>3813</v>
      </c>
      <c r="AJ1208" s="6" t="str">
        <f>IFERROR(__xludf.DUMMYFUNCTION("""COMPUTED_VALUE"""),"points")</f>
        <v>points</v>
      </c>
      <c r="AK1208" s="49"/>
      <c r="AL1208" s="49"/>
      <c r="AM1208" s="49"/>
      <c r="AN1208" s="52" t="str">
        <f t="shared" si="5"/>
        <v>bottom,</v>
      </c>
    </row>
    <row r="1209">
      <c r="A1209" s="51"/>
      <c r="B1209" s="50" t="s">
        <v>1816</v>
      </c>
      <c r="C1209" s="50" t="s">
        <v>3733</v>
      </c>
      <c r="D1209" s="49" t="str">
        <f>IFERROR(__xludf.DUMMYFUNCTION("""COMPUTED_VALUE"""),"techniques")</f>
        <v>techniques</v>
      </c>
      <c r="E1209" s="49"/>
      <c r="F1209" s="49"/>
      <c r="G1209" s="49"/>
      <c r="H1209" s="54" t="str">
        <f t="shared" si="1"/>
        <v>plans,</v>
      </c>
      <c r="I1209" s="50"/>
      <c r="J1209" s="50" t="s">
        <v>4657</v>
      </c>
      <c r="K1209" s="50" t="s">
        <v>2526</v>
      </c>
      <c r="L1209" s="49" t="str">
        <f>IFERROR(__xludf.DUMMYFUNCTION("""COMPUTED_VALUE"""),"cia")</f>
        <v>cia</v>
      </c>
      <c r="M1209" s="49"/>
      <c r="N1209" s="49"/>
      <c r="O1209" s="49" t="str">
        <f>IFERROR(__xludf.DUMMYFUNCTION("""COMPUTED_VALUE"""),"cop")</f>
        <v>cop</v>
      </c>
      <c r="P1209" s="49" t="str">
        <f t="shared" si="2"/>
        <v>christianity,</v>
      </c>
      <c r="Q1209" s="49"/>
      <c r="R1209" s="50" t="s">
        <v>2243</v>
      </c>
      <c r="S1209" s="55" t="s">
        <v>2408</v>
      </c>
      <c r="T1209" s="49" t="str">
        <f>IFERROR(__xludf.DUMMYFUNCTION("""COMPUTED_VALUE"""),"randall")</f>
        <v>randall</v>
      </c>
      <c r="U1209" s="49"/>
      <c r="V1209" s="49"/>
      <c r="W1209" s="49" t="str">
        <f>IFERROR(__xludf.DUMMYFUNCTION("""COMPUTED_VALUE"""),"expose")</f>
        <v>expose</v>
      </c>
      <c r="X1209" s="49" t="str">
        <f t="shared" si="3"/>
        <v>intense,</v>
      </c>
      <c r="Y1209" s="49"/>
      <c r="Z1209" s="1" t="s">
        <v>2344</v>
      </c>
      <c r="AA1209" s="1" t="s">
        <v>854</v>
      </c>
      <c r="AB1209" s="49"/>
      <c r="AC1209" s="49"/>
      <c r="AD1209" s="49"/>
      <c r="AE1209" s="49" t="str">
        <f>IFERROR(__xludf.DUMMYFUNCTION("""COMPUTED_VALUE"""),"cop")</f>
        <v>cop</v>
      </c>
      <c r="AF1209" s="49" t="str">
        <f t="shared" si="4"/>
        <v>impossible,</v>
      </c>
      <c r="AG1209" s="49"/>
      <c r="AH1209" s="1" t="s">
        <v>2278</v>
      </c>
      <c r="AI1209" s="1" t="s">
        <v>6462</v>
      </c>
      <c r="AJ1209" s="6" t="str">
        <f>IFERROR(__xludf.DUMMYFUNCTION("""COMPUTED_VALUE"""),"forward")</f>
        <v>forward</v>
      </c>
      <c r="AK1209" s="49"/>
      <c r="AL1209" s="49"/>
      <c r="AM1209" s="49"/>
      <c r="AN1209" s="52" t="str">
        <f t="shared" si="5"/>
        <v>sweet,</v>
      </c>
    </row>
    <row r="1210">
      <c r="A1210" s="51"/>
      <c r="B1210" s="50" t="s">
        <v>3757</v>
      </c>
      <c r="C1210" s="50" t="s">
        <v>2374</v>
      </c>
      <c r="D1210" s="49" t="str">
        <f>IFERROR(__xludf.DUMMYFUNCTION("""COMPUTED_VALUE"""),"attempt")</f>
        <v>attempt</v>
      </c>
      <c r="E1210" s="49"/>
      <c r="F1210" s="49"/>
      <c r="G1210" s="49"/>
      <c r="H1210" s="54" t="str">
        <f t="shared" si="1"/>
        <v>morgan,</v>
      </c>
      <c r="I1210" s="50"/>
      <c r="J1210" s="50" t="s">
        <v>2212</v>
      </c>
      <c r="K1210" s="50" t="s">
        <v>654</v>
      </c>
      <c r="L1210" s="49" t="str">
        <f>IFERROR(__xludf.DUMMYFUNCTION("""COMPUTED_VALUE"""),"brutality")</f>
        <v>brutality</v>
      </c>
      <c r="M1210" s="49"/>
      <c r="N1210" s="49"/>
      <c r="O1210" s="49" t="str">
        <f>IFERROR(__xludf.DUMMYFUNCTION("""COMPUTED_VALUE"""),"michele")</f>
        <v>michele</v>
      </c>
      <c r="P1210" s="49" t="str">
        <f t="shared" si="2"/>
        <v>execution,</v>
      </c>
      <c r="Q1210" s="49"/>
      <c r="R1210" s="50" t="s">
        <v>1156</v>
      </c>
      <c r="S1210" s="55" t="s">
        <v>3499</v>
      </c>
      <c r="T1210" s="49" t="str">
        <f>IFERROR(__xludf.DUMMYFUNCTION("""COMPUTED_VALUE"""),"characterization")</f>
        <v>characterization</v>
      </c>
      <c r="U1210" s="49"/>
      <c r="V1210" s="49"/>
      <c r="W1210" s="49" t="str">
        <f>IFERROR(__xludf.DUMMYFUNCTION("""COMPUTED_VALUE"""),"screenwriter")</f>
        <v>screenwriter</v>
      </c>
      <c r="X1210" s="49" t="str">
        <f t="shared" si="3"/>
        <v>resume,</v>
      </c>
      <c r="Y1210" s="49"/>
      <c r="Z1210" s="1" t="s">
        <v>5149</v>
      </c>
      <c r="AA1210" s="1" t="s">
        <v>2821</v>
      </c>
      <c r="AB1210" s="49"/>
      <c r="AC1210" s="49"/>
      <c r="AD1210" s="49"/>
      <c r="AE1210" s="49" t="str">
        <f>IFERROR(__xludf.DUMMYFUNCTION("""COMPUTED_VALUE"""),"michele")</f>
        <v>michele</v>
      </c>
      <c r="AF1210" s="49" t="str">
        <f t="shared" si="4"/>
        <v>technical,</v>
      </c>
      <c r="AG1210" s="49"/>
      <c r="AH1210" s="1" t="s">
        <v>6837</v>
      </c>
      <c r="AI1210" s="1" t="s">
        <v>73</v>
      </c>
      <c r="AJ1210" s="6" t="str">
        <f>IFERROR(__xludf.DUMMYFUNCTION("""COMPUTED_VALUE"""),"answer")</f>
        <v>answer</v>
      </c>
      <c r="AK1210" s="49"/>
      <c r="AL1210" s="49"/>
      <c r="AM1210" s="49"/>
      <c r="AN1210" s="52" t="str">
        <f t="shared" si="5"/>
        <v>joint,</v>
      </c>
    </row>
    <row r="1211">
      <c r="A1211" s="51"/>
      <c r="B1211" s="50" t="s">
        <v>1236</v>
      </c>
      <c r="C1211" s="50" t="s">
        <v>3976</v>
      </c>
      <c r="D1211" s="49" t="str">
        <f>IFERROR(__xludf.DUMMYFUNCTION("""COMPUTED_VALUE"""),"unsuccessful")</f>
        <v>unsuccessful</v>
      </c>
      <c r="E1211" s="49"/>
      <c r="F1211" s="49"/>
      <c r="G1211" s="49"/>
      <c r="H1211" s="54" t="str">
        <f t="shared" si="1"/>
        <v>represents,</v>
      </c>
      <c r="I1211" s="50"/>
      <c r="J1211" s="50" t="s">
        <v>5931</v>
      </c>
      <c r="K1211" s="50" t="s">
        <v>1118</v>
      </c>
      <c r="L1211" s="49" t="str">
        <f>IFERROR(__xludf.DUMMYFUNCTION("""COMPUTED_VALUE"""),"mouth")</f>
        <v>mouth</v>
      </c>
      <c r="M1211" s="49"/>
      <c r="N1211" s="49"/>
      <c r="O1211" s="49" t="str">
        <f>IFERROR(__xludf.DUMMYFUNCTION("""COMPUTED_VALUE"""),"bitterly")</f>
        <v>bitterly</v>
      </c>
      <c r="P1211" s="49" t="str">
        <f t="shared" si="2"/>
        <v>proof,</v>
      </c>
      <c r="Q1211" s="49"/>
      <c r="R1211" s="50" t="s">
        <v>4030</v>
      </c>
      <c r="S1211" s="55" t="s">
        <v>2411</v>
      </c>
      <c r="T1211" s="49" t="str">
        <f>IFERROR(__xludf.DUMMYFUNCTION("""COMPUTED_VALUE"""),"largely")</f>
        <v>largely</v>
      </c>
      <c r="U1211" s="49"/>
      <c r="V1211" s="49"/>
      <c r="W1211" s="49" t="str">
        <f>IFERROR(__xludf.DUMMYFUNCTION("""COMPUTED_VALUE"""),"enigma")</f>
        <v>enigma</v>
      </c>
      <c r="X1211" s="49" t="str">
        <f t="shared" si="3"/>
        <v>impress,</v>
      </c>
      <c r="Y1211" s="49"/>
      <c r="Z1211" s="1" t="s">
        <v>1732</v>
      </c>
      <c r="AA1211" s="1" t="s">
        <v>3048</v>
      </c>
      <c r="AB1211" s="49"/>
      <c r="AC1211" s="49"/>
      <c r="AD1211" s="49"/>
      <c r="AE1211" s="49" t="str">
        <f>IFERROR(__xludf.DUMMYFUNCTION("""COMPUTED_VALUE"""),"bitterly")</f>
        <v>bitterly</v>
      </c>
      <c r="AF1211" s="49" t="str">
        <f t="shared" si="4"/>
        <v>de,</v>
      </c>
      <c r="AG1211" s="49"/>
      <c r="AH1211" s="1" t="s">
        <v>876</v>
      </c>
      <c r="AI1211" s="1" t="s">
        <v>2295</v>
      </c>
      <c r="AJ1211" s="6" t="str">
        <f>IFERROR(__xludf.DUMMYFUNCTION("""COMPUTED_VALUE"""),"damage")</f>
        <v>damage</v>
      </c>
      <c r="AK1211" s="49"/>
      <c r="AL1211" s="49"/>
      <c r="AM1211" s="49"/>
      <c r="AN1211" s="52" t="str">
        <f t="shared" si="5"/>
        <v>wearing,</v>
      </c>
    </row>
    <row r="1212">
      <c r="A1212" s="51"/>
      <c r="B1212" s="50" t="s">
        <v>2258</v>
      </c>
      <c r="C1212" s="50" t="s">
        <v>3583</v>
      </c>
      <c r="D1212" s="49" t="str">
        <f>IFERROR(__xludf.DUMMYFUNCTION("""COMPUTED_VALUE"""),"soundtrack")</f>
        <v>soundtrack</v>
      </c>
      <c r="E1212" s="49"/>
      <c r="F1212" s="49"/>
      <c r="G1212" s="49"/>
      <c r="H1212" s="54" t="str">
        <f t="shared" si="1"/>
        <v>keeps,</v>
      </c>
      <c r="I1212" s="50"/>
      <c r="J1212" s="50" t="s">
        <v>4704</v>
      </c>
      <c r="K1212" s="50" t="s">
        <v>661</v>
      </c>
      <c r="L1212" s="49" t="str">
        <f>IFERROR(__xludf.DUMMYFUNCTION("""COMPUTED_VALUE"""),"operative")</f>
        <v>operative</v>
      </c>
      <c r="M1212" s="49"/>
      <c r="N1212" s="49"/>
      <c r="O1212" s="49" t="str">
        <f>IFERROR(__xludf.DUMMYFUNCTION("""COMPUTED_VALUE"""),"athlete")</f>
        <v>athlete</v>
      </c>
      <c r="P1212" s="49" t="str">
        <f t="shared" si="2"/>
        <v>swear,</v>
      </c>
      <c r="Q1212" s="49"/>
      <c r="R1212" s="50" t="s">
        <v>5907</v>
      </c>
      <c r="S1212" s="55" t="s">
        <v>713</v>
      </c>
      <c r="T1212" s="49" t="str">
        <f>IFERROR(__xludf.DUMMYFUNCTION("""COMPUTED_VALUE"""),"italian")</f>
        <v>italian</v>
      </c>
      <c r="U1212" s="49"/>
      <c r="V1212" s="49"/>
      <c r="W1212" s="49" t="str">
        <f>IFERROR(__xludf.DUMMYFUNCTION("""COMPUTED_VALUE"""),"kazan")</f>
        <v>kazan</v>
      </c>
      <c r="X1212" s="49" t="str">
        <f t="shared" si="3"/>
        <v>childish,</v>
      </c>
      <c r="Y1212" s="49"/>
      <c r="Z1212" s="1" t="s">
        <v>829</v>
      </c>
      <c r="AA1212" s="1" t="s">
        <v>637</v>
      </c>
      <c r="AB1212" s="49"/>
      <c r="AC1212" s="49"/>
      <c r="AD1212" s="49"/>
      <c r="AE1212" s="49" t="str">
        <f>IFERROR(__xludf.DUMMYFUNCTION("""COMPUTED_VALUE"""),"athlete")</f>
        <v>athlete</v>
      </c>
      <c r="AF1212" s="49" t="str">
        <f t="shared" si="4"/>
        <v>bring,</v>
      </c>
      <c r="AG1212" s="49"/>
      <c r="AH1212" s="1" t="s">
        <v>6501</v>
      </c>
      <c r="AI1212" s="1" t="s">
        <v>4699</v>
      </c>
      <c r="AJ1212" s="6" t="str">
        <f>IFERROR(__xludf.DUMMYFUNCTION("""COMPUTED_VALUE"""),"impact")</f>
        <v>impact</v>
      </c>
      <c r="AK1212" s="49"/>
      <c r="AL1212" s="49"/>
      <c r="AM1212" s="49"/>
      <c r="AN1212" s="52" t="str">
        <f t="shared" si="5"/>
        <v>somewhere,</v>
      </c>
    </row>
    <row r="1213">
      <c r="A1213" s="51"/>
      <c r="B1213" s="50" t="s">
        <v>5003</v>
      </c>
      <c r="C1213" s="50" t="s">
        <v>3747</v>
      </c>
      <c r="D1213" s="49">
        <f>IFERROR(__xludf.DUMMYFUNCTION("""COMPUTED_VALUE"""),20.0)</f>
        <v>20</v>
      </c>
      <c r="E1213" s="49"/>
      <c r="F1213" s="49"/>
      <c r="G1213" s="49"/>
      <c r="H1213" s="54" t="str">
        <f t="shared" si="1"/>
        <v>prevention,</v>
      </c>
      <c r="I1213" s="50"/>
      <c r="J1213" s="50" t="s">
        <v>621</v>
      </c>
      <c r="K1213" s="50" t="s">
        <v>2531</v>
      </c>
      <c r="L1213" s="49" t="str">
        <f>IFERROR(__xludf.DUMMYFUNCTION("""COMPUTED_VALUE"""),"misses")</f>
        <v>misses</v>
      </c>
      <c r="M1213" s="49"/>
      <c r="N1213" s="49"/>
      <c r="O1213" s="49" t="str">
        <f>IFERROR(__xludf.DUMMYFUNCTION("""COMPUTED_VALUE"""),"ambiguous")</f>
        <v>ambiguous</v>
      </c>
      <c r="P1213" s="49" t="str">
        <f t="shared" si="2"/>
        <v>believe,</v>
      </c>
      <c r="Q1213" s="49"/>
      <c r="R1213" s="50" t="s">
        <v>5664</v>
      </c>
      <c r="S1213" s="55" t="s">
        <v>4038</v>
      </c>
      <c r="T1213" s="49" t="str">
        <f>IFERROR(__xludf.DUMMYFUNCTION("""COMPUTED_VALUE"""),"achievement")</f>
        <v>achievement</v>
      </c>
      <c r="U1213" s="49"/>
      <c r="V1213" s="49"/>
      <c r="W1213" s="49" t="str">
        <f>IFERROR(__xludf.DUMMYFUNCTION("""COMPUTED_VALUE"""),"reversal")</f>
        <v>reversal</v>
      </c>
      <c r="X1213" s="49" t="str">
        <f t="shared" si="3"/>
        <v>dumped,</v>
      </c>
      <c r="Y1213" s="49"/>
      <c r="Z1213" s="1" t="s">
        <v>769</v>
      </c>
      <c r="AA1213" s="1" t="s">
        <v>2826</v>
      </c>
      <c r="AB1213" s="49"/>
      <c r="AC1213" s="49"/>
      <c r="AD1213" s="49"/>
      <c r="AE1213" s="49" t="str">
        <f>IFERROR(__xludf.DUMMYFUNCTION("""COMPUTED_VALUE"""),"ambiguous")</f>
        <v>ambiguous</v>
      </c>
      <c r="AF1213" s="49" t="str">
        <f t="shared" si="4"/>
        <v>uses,</v>
      </c>
      <c r="AG1213" s="49"/>
      <c r="AH1213" s="1" t="s">
        <v>7061</v>
      </c>
      <c r="AI1213" s="1" t="s">
        <v>1094</v>
      </c>
      <c r="AJ1213" s="6" t="str">
        <f>IFERROR(__xludf.DUMMYFUNCTION("""COMPUTED_VALUE"""),"motion")</f>
        <v>motion</v>
      </c>
      <c r="AK1213" s="49"/>
      <c r="AL1213" s="49"/>
      <c r="AM1213" s="49"/>
      <c r="AN1213" s="52" t="str">
        <f t="shared" si="5"/>
        <v>pregnant,</v>
      </c>
    </row>
    <row r="1214">
      <c r="A1214" s="51"/>
      <c r="B1214" s="50" t="s">
        <v>6556</v>
      </c>
      <c r="C1214" s="50" t="s">
        <v>6457</v>
      </c>
      <c r="D1214" s="49" t="str">
        <f>IFERROR(__xludf.DUMMYFUNCTION("""COMPUTED_VALUE"""),"quality")</f>
        <v>quality</v>
      </c>
      <c r="E1214" s="49"/>
      <c r="F1214" s="49"/>
      <c r="G1214" s="49"/>
      <c r="H1214" s="54" t="str">
        <f t="shared" si="1"/>
        <v>james,</v>
      </c>
      <c r="I1214" s="50"/>
      <c r="J1214" s="50" t="s">
        <v>5382</v>
      </c>
      <c r="K1214" s="50" t="s">
        <v>1241</v>
      </c>
      <c r="L1214" s="49" t="str">
        <f>IFERROR(__xludf.DUMMYFUNCTION("""COMPUTED_VALUE"""),"prolific")</f>
        <v>prolific</v>
      </c>
      <c r="M1214" s="49"/>
      <c r="N1214" s="49"/>
      <c r="O1214" s="49" t="str">
        <f>IFERROR(__xludf.DUMMYFUNCTION("""COMPUTED_VALUE"""),"combat")</f>
        <v>combat</v>
      </c>
      <c r="P1214" s="49" t="str">
        <f t="shared" si="2"/>
        <v>gut,</v>
      </c>
      <c r="Q1214" s="49"/>
      <c r="R1214" s="50" t="s">
        <v>1016</v>
      </c>
      <c r="S1214" s="55" t="s">
        <v>4045</v>
      </c>
      <c r="T1214" s="49" t="str">
        <f>IFERROR(__xludf.DUMMYFUNCTION("""COMPUTED_VALUE"""),"holiday")</f>
        <v>holiday</v>
      </c>
      <c r="U1214" s="49"/>
      <c r="V1214" s="49"/>
      <c r="W1214" s="49" t="str">
        <f>IFERROR(__xludf.DUMMYFUNCTION("""COMPUTED_VALUE"""),"framing")</f>
        <v>framing</v>
      </c>
      <c r="X1214" s="49" t="str">
        <f t="shared" si="3"/>
        <v>damned,</v>
      </c>
      <c r="Y1214" s="49"/>
      <c r="Z1214" s="1" t="s">
        <v>75</v>
      </c>
      <c r="AA1214" s="1" t="s">
        <v>2355</v>
      </c>
      <c r="AB1214" s="49"/>
      <c r="AC1214" s="49"/>
      <c r="AD1214" s="49"/>
      <c r="AE1214" s="49" t="str">
        <f>IFERROR(__xludf.DUMMYFUNCTION("""COMPUTED_VALUE"""),"combat")</f>
        <v>combat</v>
      </c>
      <c r="AF1214" s="49" t="str">
        <f t="shared" si="4"/>
        <v>conspiracy,</v>
      </c>
      <c r="AG1214" s="49"/>
      <c r="AH1214" s="1" t="s">
        <v>1220</v>
      </c>
      <c r="AI1214" s="1" t="s">
        <v>4040</v>
      </c>
      <c r="AJ1214" s="6" t="str">
        <f>IFERROR(__xludf.DUMMYFUNCTION("""COMPUTED_VALUE"""),"fly")</f>
        <v>fly</v>
      </c>
      <c r="AK1214" s="49"/>
      <c r="AL1214" s="49"/>
      <c r="AM1214" s="49"/>
      <c r="AN1214" s="52" t="str">
        <f t="shared" si="5"/>
        <v>em,</v>
      </c>
    </row>
    <row r="1215">
      <c r="A1215" s="51"/>
      <c r="B1215" s="50" t="s">
        <v>3356</v>
      </c>
      <c r="C1215" s="50" t="s">
        <v>3751</v>
      </c>
      <c r="D1215" s="49" t="str">
        <f>IFERROR(__xludf.DUMMYFUNCTION("""COMPUTED_VALUE"""),"otherwise")</f>
        <v>otherwise</v>
      </c>
      <c r="E1215" s="49"/>
      <c r="F1215" s="49"/>
      <c r="G1215" s="49"/>
      <c r="H1215" s="54" t="str">
        <f t="shared" si="1"/>
        <v>move,</v>
      </c>
      <c r="I1215" s="50"/>
      <c r="J1215" s="50" t="s">
        <v>627</v>
      </c>
      <c r="K1215" s="50" t="s">
        <v>1245</v>
      </c>
      <c r="L1215" s="49" t="str">
        <f>IFERROR(__xludf.DUMMYFUNCTION("""COMPUTED_VALUE"""),"feat")</f>
        <v>feat</v>
      </c>
      <c r="M1215" s="49"/>
      <c r="N1215" s="49"/>
      <c r="O1215" s="49" t="str">
        <f>IFERROR(__xludf.DUMMYFUNCTION("""COMPUTED_VALUE"""),"enigma")</f>
        <v>enigma</v>
      </c>
      <c r="P1215" s="49" t="str">
        <f t="shared" si="2"/>
        <v>parody,</v>
      </c>
      <c r="Q1215" s="49"/>
      <c r="R1215" s="50" t="s">
        <v>6543</v>
      </c>
      <c r="S1215" s="55" t="s">
        <v>6463</v>
      </c>
      <c r="T1215" s="49" t="str">
        <f>IFERROR(__xludf.DUMMYFUNCTION("""COMPUTED_VALUE"""),"embrace")</f>
        <v>embrace</v>
      </c>
      <c r="U1215" s="49"/>
      <c r="V1215" s="49"/>
      <c r="W1215" s="49" t="str">
        <f>IFERROR(__xludf.DUMMYFUNCTION("""COMPUTED_VALUE"""),"brooks")</f>
        <v>brooks</v>
      </c>
      <c r="X1215" s="49" t="str">
        <f t="shared" si="3"/>
        <v>separate,</v>
      </c>
      <c r="Y1215" s="49"/>
      <c r="Z1215" s="1" t="s">
        <v>1622</v>
      </c>
      <c r="AA1215" s="1" t="s">
        <v>693</v>
      </c>
      <c r="AB1215" s="49"/>
      <c r="AC1215" s="49"/>
      <c r="AD1215" s="49"/>
      <c r="AE1215" s="49" t="str">
        <f>IFERROR(__xludf.DUMMYFUNCTION("""COMPUTED_VALUE"""),"enigma")</f>
        <v>enigma</v>
      </c>
      <c r="AF1215" s="49" t="str">
        <f t="shared" si="4"/>
        <v>match,</v>
      </c>
      <c r="AG1215" s="49"/>
      <c r="AH1215" s="1" t="s">
        <v>3766</v>
      </c>
      <c r="AI1215" s="1" t="s">
        <v>2304</v>
      </c>
      <c r="AJ1215" s="6" t="str">
        <f>IFERROR(__xludf.DUMMYFUNCTION("""COMPUTED_VALUE"""),"mention")</f>
        <v>mention</v>
      </c>
      <c r="AK1215" s="49"/>
      <c r="AL1215" s="49"/>
      <c r="AM1215" s="49"/>
      <c r="AN1215" s="52" t="str">
        <f t="shared" si="5"/>
        <v>glasses,</v>
      </c>
    </row>
    <row r="1216">
      <c r="A1216" s="51"/>
      <c r="B1216" s="50" t="s">
        <v>1430</v>
      </c>
      <c r="C1216" s="50" t="s">
        <v>2300</v>
      </c>
      <c r="D1216" s="49" t="str">
        <f>IFERROR(__xludf.DUMMYFUNCTION("""COMPUTED_VALUE"""),"twist")</f>
        <v>twist</v>
      </c>
      <c r="E1216" s="49"/>
      <c r="F1216" s="49"/>
      <c r="G1216" s="49"/>
      <c r="H1216" s="54" t="str">
        <f t="shared" si="1"/>
        <v>artist,</v>
      </c>
      <c r="I1216" s="50"/>
      <c r="J1216" s="50" t="s">
        <v>1079</v>
      </c>
      <c r="K1216" s="50" t="s">
        <v>4203</v>
      </c>
      <c r="L1216" s="49" t="str">
        <f>IFERROR(__xludf.DUMMYFUNCTION("""COMPUTED_VALUE"""),"paranormal")</f>
        <v>paranormal</v>
      </c>
      <c r="M1216" s="49"/>
      <c r="N1216" s="49"/>
      <c r="O1216" s="49" t="str">
        <f>IFERROR(__xludf.DUMMYFUNCTION("""COMPUTED_VALUE"""),"screenwriter")</f>
        <v>screenwriter</v>
      </c>
      <c r="P1216" s="49" t="str">
        <f t="shared" si="2"/>
        <v>looked,</v>
      </c>
      <c r="Q1216" s="49"/>
      <c r="R1216" s="50" t="s">
        <v>1096</v>
      </c>
      <c r="S1216" s="55" t="s">
        <v>1632</v>
      </c>
      <c r="T1216" s="49" t="str">
        <f>IFERROR(__xludf.DUMMYFUNCTION("""COMPUTED_VALUE"""),"graphic")</f>
        <v>graphic</v>
      </c>
      <c r="U1216" s="49"/>
      <c r="V1216" s="49"/>
      <c r="W1216" s="49" t="str">
        <f>IFERROR(__xludf.DUMMYFUNCTION("""COMPUTED_VALUE"""),"hopeful")</f>
        <v>hopeful</v>
      </c>
      <c r="X1216" s="49" t="str">
        <f t="shared" si="3"/>
        <v>discourse,</v>
      </c>
      <c r="Y1216" s="49"/>
      <c r="Z1216" s="1" t="s">
        <v>5086</v>
      </c>
      <c r="AA1216" s="1" t="s">
        <v>859</v>
      </c>
      <c r="AB1216" s="49"/>
      <c r="AC1216" s="49"/>
      <c r="AD1216" s="49"/>
      <c r="AE1216" s="49" t="str">
        <f>IFERROR(__xludf.DUMMYFUNCTION("""COMPUTED_VALUE"""),"screenwriter")</f>
        <v>screenwriter</v>
      </c>
      <c r="AF1216" s="49" t="str">
        <f t="shared" si="4"/>
        <v>sadly,</v>
      </c>
      <c r="AG1216" s="49"/>
      <c r="AH1216" s="1" t="s">
        <v>4024</v>
      </c>
      <c r="AI1216" s="1" t="s">
        <v>816</v>
      </c>
      <c r="AJ1216" s="6" t="str">
        <f>IFERROR(__xludf.DUMMYFUNCTION("""COMPUTED_VALUE"""),"bruce")</f>
        <v>bruce</v>
      </c>
      <c r="AK1216" s="49"/>
      <c r="AL1216" s="49"/>
      <c r="AM1216" s="49"/>
      <c r="AN1216" s="52" t="str">
        <f t="shared" si="5"/>
        <v>particular,</v>
      </c>
    </row>
    <row r="1217">
      <c r="A1217" s="51"/>
      <c r="B1217" s="50" t="s">
        <v>1762</v>
      </c>
      <c r="C1217" s="50" t="s">
        <v>975</v>
      </c>
      <c r="D1217" s="49" t="str">
        <f>IFERROR(__xludf.DUMMYFUNCTION("""COMPUTED_VALUE"""),"concepts")</f>
        <v>concepts</v>
      </c>
      <c r="E1217" s="49"/>
      <c r="F1217" s="49"/>
      <c r="G1217" s="49"/>
      <c r="H1217" s="54" t="str">
        <f t="shared" si="1"/>
        <v>appear,</v>
      </c>
      <c r="I1217" s="50"/>
      <c r="J1217" s="50" t="s">
        <v>5118</v>
      </c>
      <c r="K1217" s="50" t="s">
        <v>2560</v>
      </c>
      <c r="L1217" s="49" t="str">
        <f>IFERROR(__xludf.DUMMYFUNCTION("""COMPUTED_VALUE"""),"avid")</f>
        <v>avid</v>
      </c>
      <c r="M1217" s="49"/>
      <c r="N1217" s="49"/>
      <c r="O1217" s="49" t="str">
        <f>IFERROR(__xludf.DUMMYFUNCTION("""COMPUTED_VALUE"""),"reversal")</f>
        <v>reversal</v>
      </c>
      <c r="P1217" s="49" t="str">
        <f t="shared" si="2"/>
        <v>odd,</v>
      </c>
      <c r="Q1217" s="49"/>
      <c r="R1217" s="50">
        <v>9.0</v>
      </c>
      <c r="S1217" s="55" t="s">
        <v>81</v>
      </c>
      <c r="T1217" s="49" t="str">
        <f>IFERROR(__xludf.DUMMYFUNCTION("""COMPUTED_VALUE"""),"marked")</f>
        <v>marked</v>
      </c>
      <c r="U1217" s="49"/>
      <c r="V1217" s="49"/>
      <c r="W1217" s="49" t="str">
        <f>IFERROR(__xludf.DUMMYFUNCTION("""COMPUTED_VALUE"""),"flowers")</f>
        <v>flowers</v>
      </c>
      <c r="X1217" s="49" t="str">
        <f t="shared" si="3"/>
        <v>9,</v>
      </c>
      <c r="Y1217" s="49"/>
      <c r="Z1217" s="1" t="s">
        <v>2041</v>
      </c>
      <c r="AA1217" s="1" t="s">
        <v>2836</v>
      </c>
      <c r="AB1217" s="49"/>
      <c r="AC1217" s="49"/>
      <c r="AD1217" s="49"/>
      <c r="AE1217" s="49" t="str">
        <f>IFERROR(__xludf.DUMMYFUNCTION("""COMPUTED_VALUE"""),"reversal")</f>
        <v>reversal</v>
      </c>
      <c r="AF1217" s="49" t="str">
        <f t="shared" si="4"/>
        <v>involved,</v>
      </c>
      <c r="AG1217" s="49"/>
      <c r="AH1217" s="1" t="s">
        <v>3006</v>
      </c>
      <c r="AI1217" s="1" t="s">
        <v>3315</v>
      </c>
      <c r="AJ1217" s="6" t="str">
        <f>IFERROR(__xludf.DUMMYFUNCTION("""COMPUTED_VALUE"""),"element")</f>
        <v>element</v>
      </c>
      <c r="AK1217" s="49"/>
      <c r="AL1217" s="49"/>
      <c r="AM1217" s="49"/>
      <c r="AN1217" s="52" t="str">
        <f t="shared" si="5"/>
        <v>wild,</v>
      </c>
    </row>
    <row r="1218">
      <c r="A1218" s="51"/>
      <c r="B1218" s="50" t="s">
        <v>2503</v>
      </c>
      <c r="C1218" s="50" t="s">
        <v>2257</v>
      </c>
      <c r="D1218" s="49" t="str">
        <f>IFERROR(__xludf.DUMMYFUNCTION("""COMPUTED_VALUE"""),"load")</f>
        <v>load</v>
      </c>
      <c r="E1218" s="49"/>
      <c r="F1218" s="49"/>
      <c r="G1218" s="49"/>
      <c r="H1218" s="54" t="str">
        <f t="shared" si="1"/>
        <v>basic,</v>
      </c>
      <c r="I1218" s="50"/>
      <c r="J1218" s="50" t="s">
        <v>4366</v>
      </c>
      <c r="K1218" s="50" t="s">
        <v>2563</v>
      </c>
      <c r="L1218" s="49" t="str">
        <f>IFERROR(__xludf.DUMMYFUNCTION("""COMPUTED_VALUE"""),"paranoid")</f>
        <v>paranoid</v>
      </c>
      <c r="M1218" s="49"/>
      <c r="N1218" s="49"/>
      <c r="O1218" s="49" t="str">
        <f>IFERROR(__xludf.DUMMYFUNCTION("""COMPUTED_VALUE"""),"kazan")</f>
        <v>kazan</v>
      </c>
      <c r="P1218" s="49" t="str">
        <f t="shared" si="2"/>
        <v>delicate,</v>
      </c>
      <c r="Q1218" s="49"/>
      <c r="R1218" s="50" t="s">
        <v>5314</v>
      </c>
      <c r="S1218" s="55" t="s">
        <v>1857</v>
      </c>
      <c r="T1218" s="49" t="str">
        <f>IFERROR(__xludf.DUMMYFUNCTION("""COMPUTED_VALUE"""),"von")</f>
        <v>von</v>
      </c>
      <c r="U1218" s="49"/>
      <c r="V1218" s="49"/>
      <c r="W1218" s="49" t="str">
        <f>IFERROR(__xludf.DUMMYFUNCTION("""COMPUTED_VALUE"""),"al")</f>
        <v>al</v>
      </c>
      <c r="X1218" s="49" t="str">
        <f t="shared" si="3"/>
        <v>voting,</v>
      </c>
      <c r="Y1218" s="49"/>
      <c r="Z1218" s="1" t="s">
        <v>83</v>
      </c>
      <c r="AA1218" s="1" t="s">
        <v>2839</v>
      </c>
      <c r="AB1218" s="49"/>
      <c r="AC1218" s="49"/>
      <c r="AD1218" s="49"/>
      <c r="AE1218" s="49" t="str">
        <f>IFERROR(__xludf.DUMMYFUNCTION("""COMPUTED_VALUE"""),"kazan")</f>
        <v>kazan</v>
      </c>
      <c r="AF1218" s="49" t="str">
        <f t="shared" si="4"/>
        <v>place,</v>
      </c>
      <c r="AG1218" s="49"/>
      <c r="AH1218" s="1" t="s">
        <v>4869</v>
      </c>
      <c r="AI1218" s="1" t="s">
        <v>3325</v>
      </c>
      <c r="AJ1218" s="6" t="str">
        <f>IFERROR(__xludf.DUMMYFUNCTION("""COMPUTED_VALUE"""),"destroy")</f>
        <v>destroy</v>
      </c>
      <c r="AK1218" s="49"/>
      <c r="AL1218" s="49"/>
      <c r="AM1218" s="49"/>
      <c r="AN1218" s="52" t="str">
        <f t="shared" si="5"/>
        <v>proved,</v>
      </c>
    </row>
    <row r="1219">
      <c r="A1219" s="51"/>
      <c r="B1219" s="50" t="s">
        <v>4184</v>
      </c>
      <c r="C1219" s="50" t="s">
        <v>1902</v>
      </c>
      <c r="D1219" s="49" t="str">
        <f>IFERROR(__xludf.DUMMYFUNCTION("""COMPUTED_VALUE"""),"properties")</f>
        <v>properties</v>
      </c>
      <c r="E1219" s="49"/>
      <c r="F1219" s="49"/>
      <c r="G1219" s="49"/>
      <c r="H1219" s="54" t="str">
        <f t="shared" si="1"/>
        <v>soul,</v>
      </c>
      <c r="I1219" s="50"/>
      <c r="J1219" s="50" t="s">
        <v>4741</v>
      </c>
      <c r="K1219" s="50" t="s">
        <v>3711</v>
      </c>
      <c r="L1219" s="49" t="str">
        <f>IFERROR(__xludf.DUMMYFUNCTION("""COMPUTED_VALUE"""),"devotion")</f>
        <v>devotion</v>
      </c>
      <c r="M1219" s="49"/>
      <c r="N1219" s="49"/>
      <c r="O1219" s="49" t="str">
        <f>IFERROR(__xludf.DUMMYFUNCTION("""COMPUTED_VALUE"""),"lifeless")</f>
        <v>lifeless</v>
      </c>
      <c r="P1219" s="49" t="str">
        <f t="shared" si="2"/>
        <v>expected,</v>
      </c>
      <c r="Q1219" s="49"/>
      <c r="R1219" s="50" t="s">
        <v>3272</v>
      </c>
      <c r="S1219" s="55" t="s">
        <v>1151</v>
      </c>
      <c r="T1219" s="49" t="str">
        <f>IFERROR(__xludf.DUMMYFUNCTION("""COMPUTED_VALUE"""),"perfectly")</f>
        <v>perfectly</v>
      </c>
      <c r="U1219" s="49"/>
      <c r="V1219" s="49"/>
      <c r="W1219" s="49" t="str">
        <f>IFERROR(__xludf.DUMMYFUNCTION("""COMPUTED_VALUE"""),"mechanical")</f>
        <v>mechanical</v>
      </c>
      <c r="X1219" s="49" t="str">
        <f t="shared" si="3"/>
        <v>thinks,</v>
      </c>
      <c r="Y1219" s="49"/>
      <c r="Z1219" s="1" t="s">
        <v>5381</v>
      </c>
      <c r="AA1219" s="1" t="s">
        <v>4205</v>
      </c>
      <c r="AB1219" s="49"/>
      <c r="AC1219" s="49"/>
      <c r="AD1219" s="49"/>
      <c r="AE1219" s="49" t="str">
        <f>IFERROR(__xludf.DUMMYFUNCTION("""COMPUTED_VALUE"""),"lifeless")</f>
        <v>lifeless</v>
      </c>
      <c r="AF1219" s="49" t="str">
        <f t="shared" si="4"/>
        <v>dressed,</v>
      </c>
      <c r="AG1219" s="49"/>
      <c r="AH1219" s="1" t="s">
        <v>2879</v>
      </c>
      <c r="AI1219" s="1" t="s">
        <v>3847</v>
      </c>
      <c r="AJ1219" s="6" t="str">
        <f>IFERROR(__xludf.DUMMYFUNCTION("""COMPUTED_VALUE"""),"five")</f>
        <v>five</v>
      </c>
      <c r="AK1219" s="49"/>
      <c r="AL1219" s="49"/>
      <c r="AM1219" s="49"/>
      <c r="AN1219" s="52" t="str">
        <f t="shared" si="5"/>
        <v>directors,</v>
      </c>
    </row>
    <row r="1220">
      <c r="A1220" s="51"/>
      <c r="B1220" s="50" t="s">
        <v>1077</v>
      </c>
      <c r="C1220" s="50" t="s">
        <v>2255</v>
      </c>
      <c r="D1220" s="49" t="str">
        <f>IFERROR(__xludf.DUMMYFUNCTION("""COMPUTED_VALUE"""),"nba")</f>
        <v>nba</v>
      </c>
      <c r="E1220" s="49"/>
      <c r="F1220" s="49"/>
      <c r="G1220" s="49"/>
      <c r="H1220" s="54" t="str">
        <f t="shared" si="1"/>
        <v>comic,</v>
      </c>
      <c r="I1220" s="50"/>
      <c r="J1220" s="50" t="s">
        <v>1294</v>
      </c>
      <c r="K1220" s="50" t="s">
        <v>3713</v>
      </c>
      <c r="L1220" s="49" t="str">
        <f>IFERROR(__xludf.DUMMYFUNCTION("""COMPUTED_VALUE"""),"indian")</f>
        <v>indian</v>
      </c>
      <c r="M1220" s="49"/>
      <c r="N1220" s="49"/>
      <c r="O1220" s="49" t="str">
        <f>IFERROR(__xludf.DUMMYFUNCTION("""COMPUTED_VALUE"""),"framing")</f>
        <v>framing</v>
      </c>
      <c r="P1220" s="49" t="str">
        <f t="shared" si="2"/>
        <v>exercise,</v>
      </c>
      <c r="Q1220" s="49"/>
      <c r="R1220" s="50" t="s">
        <v>2533</v>
      </c>
      <c r="S1220" s="55" t="s">
        <v>2430</v>
      </c>
      <c r="T1220" s="49" t="str">
        <f>IFERROR(__xludf.DUMMYFUNCTION("""COMPUTED_VALUE"""),"70s")</f>
        <v>70s</v>
      </c>
      <c r="U1220" s="49"/>
      <c r="V1220" s="49"/>
      <c r="W1220" s="49" t="str">
        <f>IFERROR(__xludf.DUMMYFUNCTION("""COMPUTED_VALUE"""),"compatible")</f>
        <v>compatible</v>
      </c>
      <c r="X1220" s="49" t="str">
        <f t="shared" si="3"/>
        <v>egypt,</v>
      </c>
      <c r="Y1220" s="49"/>
      <c r="Z1220" s="1" t="s">
        <v>2116</v>
      </c>
      <c r="AA1220" s="1" t="s">
        <v>3548</v>
      </c>
      <c r="AB1220" s="49"/>
      <c r="AC1220" s="49"/>
      <c r="AD1220" s="49"/>
      <c r="AE1220" s="49" t="str">
        <f>IFERROR(__xludf.DUMMYFUNCTION("""COMPUTED_VALUE"""),"framing")</f>
        <v>framing</v>
      </c>
      <c r="AF1220" s="49" t="str">
        <f t="shared" si="4"/>
        <v>sleep,</v>
      </c>
      <c r="AG1220" s="49"/>
      <c r="AH1220" s="1" t="s">
        <v>4780</v>
      </c>
      <c r="AI1220" s="1" t="s">
        <v>2310</v>
      </c>
      <c r="AJ1220" s="6" t="str">
        <f>IFERROR(__xludf.DUMMYFUNCTION("""COMPUTED_VALUE"""),"president")</f>
        <v>president</v>
      </c>
      <c r="AK1220" s="49"/>
      <c r="AL1220" s="49"/>
      <c r="AM1220" s="49"/>
      <c r="AN1220" s="52" t="str">
        <f t="shared" si="5"/>
        <v>artistic,</v>
      </c>
    </row>
    <row r="1221">
      <c r="A1221" s="51"/>
      <c r="B1221" s="50" t="s">
        <v>6419</v>
      </c>
      <c r="C1221" s="50" t="s">
        <v>5963</v>
      </c>
      <c r="D1221" s="49" t="str">
        <f>IFERROR(__xludf.DUMMYFUNCTION("""COMPUTED_VALUE"""),"paper")</f>
        <v>paper</v>
      </c>
      <c r="E1221" s="49"/>
      <c r="F1221" s="49"/>
      <c r="G1221" s="49"/>
      <c r="H1221" s="54" t="str">
        <f t="shared" si="1"/>
        <v>franchise,</v>
      </c>
      <c r="I1221" s="50"/>
      <c r="J1221" s="50" t="s">
        <v>6360</v>
      </c>
      <c r="K1221" s="50" t="s">
        <v>2320</v>
      </c>
      <c r="L1221" s="49" t="str">
        <f>IFERROR(__xludf.DUMMYFUNCTION("""COMPUTED_VALUE"""),"maneuvers")</f>
        <v>maneuvers</v>
      </c>
      <c r="M1221" s="49"/>
      <c r="N1221" s="49"/>
      <c r="O1221" s="49" t="str">
        <f>IFERROR(__xludf.DUMMYFUNCTION("""COMPUTED_VALUE"""),"spreads")</f>
        <v>spreads</v>
      </c>
      <c r="P1221" s="49" t="str">
        <f t="shared" si="2"/>
        <v>leaving,</v>
      </c>
      <c r="Q1221" s="49"/>
      <c r="R1221" s="50" t="s">
        <v>4618</v>
      </c>
      <c r="S1221" s="55" t="s">
        <v>3150</v>
      </c>
      <c r="T1221" s="49" t="str">
        <f>IFERROR(__xludf.DUMMYFUNCTION("""COMPUTED_VALUE"""),"sucker")</f>
        <v>sucker</v>
      </c>
      <c r="U1221" s="49"/>
      <c r="V1221" s="49"/>
      <c r="W1221" s="49" t="str">
        <f>IFERROR(__xludf.DUMMYFUNCTION("""COMPUTED_VALUE"""),"depiction")</f>
        <v>depiction</v>
      </c>
      <c r="X1221" s="49" t="str">
        <f t="shared" si="3"/>
        <v>rewards,</v>
      </c>
      <c r="Y1221" s="49"/>
      <c r="Z1221" s="1" t="s">
        <v>4038</v>
      </c>
      <c r="AA1221" s="1" t="s">
        <v>1666</v>
      </c>
      <c r="AB1221" s="49"/>
      <c r="AC1221" s="49"/>
      <c r="AD1221" s="49"/>
      <c r="AE1221" s="49" t="str">
        <f>IFERROR(__xludf.DUMMYFUNCTION("""COMPUTED_VALUE"""),"spreads")</f>
        <v>spreads</v>
      </c>
      <c r="AF1221" s="49" t="str">
        <f t="shared" si="4"/>
        <v>dance,</v>
      </c>
      <c r="AG1221" s="49"/>
      <c r="AH1221" s="1" t="s">
        <v>5795</v>
      </c>
      <c r="AI1221" s="1" t="s">
        <v>2312</v>
      </c>
      <c r="AJ1221" s="6" t="str">
        <f>IFERROR(__xludf.DUMMYFUNCTION("""COMPUTED_VALUE"""),"country")</f>
        <v>country</v>
      </c>
      <c r="AK1221" s="49"/>
      <c r="AL1221" s="49"/>
      <c r="AM1221" s="49"/>
      <c r="AN1221" s="52" t="str">
        <f t="shared" si="5"/>
        <v>classified,</v>
      </c>
    </row>
    <row r="1222">
      <c r="A1222" s="51"/>
      <c r="B1222" s="50" t="s">
        <v>3242</v>
      </c>
      <c r="C1222" s="50" t="s">
        <v>2258</v>
      </c>
      <c r="D1222" s="49" t="str">
        <f>IFERROR(__xludf.DUMMYFUNCTION("""COMPUTED_VALUE"""),"existed")</f>
        <v>existed</v>
      </c>
      <c r="E1222" s="49"/>
      <c r="F1222" s="49"/>
      <c r="G1222" s="49"/>
      <c r="H1222" s="54" t="str">
        <f t="shared" si="1"/>
        <v>framework,</v>
      </c>
      <c r="I1222" s="50"/>
      <c r="J1222" s="50" t="s">
        <v>3156</v>
      </c>
      <c r="K1222" s="50" t="s">
        <v>4210</v>
      </c>
      <c r="L1222" s="49" t="str">
        <f>IFERROR(__xludf.DUMMYFUNCTION("""COMPUTED_VALUE"""),"reveals")</f>
        <v>reveals</v>
      </c>
      <c r="M1222" s="49"/>
      <c r="N1222" s="49"/>
      <c r="O1222" s="49" t="str">
        <f>IFERROR(__xludf.DUMMYFUNCTION("""COMPUTED_VALUE"""),"alternately")</f>
        <v>alternately</v>
      </c>
      <c r="P1222" s="49" t="str">
        <f t="shared" si="2"/>
        <v>realizes,</v>
      </c>
      <c r="Q1222" s="49"/>
      <c r="R1222" s="50" t="s">
        <v>2397</v>
      </c>
      <c r="S1222" s="55" t="s">
        <v>586</v>
      </c>
      <c r="T1222" s="49" t="str">
        <f>IFERROR(__xludf.DUMMYFUNCTION("""COMPUTED_VALUE"""),"scores")</f>
        <v>scores</v>
      </c>
      <c r="U1222" s="49"/>
      <c r="V1222" s="49"/>
      <c r="W1222" s="49" t="str">
        <f>IFERROR(__xludf.DUMMYFUNCTION("""COMPUTED_VALUE"""),"japan")</f>
        <v>japan</v>
      </c>
      <c r="X1222" s="49" t="str">
        <f t="shared" si="3"/>
        <v>screenings,</v>
      </c>
      <c r="Y1222" s="49"/>
      <c r="Z1222" s="1" t="s">
        <v>760</v>
      </c>
      <c r="AA1222" s="1" t="s">
        <v>4209</v>
      </c>
      <c r="AB1222" s="49"/>
      <c r="AC1222" s="49"/>
      <c r="AD1222" s="49"/>
      <c r="AE1222" s="49" t="str">
        <f>IFERROR(__xludf.DUMMYFUNCTION("""COMPUTED_VALUE"""),"alternately")</f>
        <v>alternately</v>
      </c>
      <c r="AF1222" s="49" t="str">
        <f t="shared" si="4"/>
        <v>seems,</v>
      </c>
      <c r="AG1222" s="49"/>
      <c r="AH1222" s="1" t="s">
        <v>1338</v>
      </c>
      <c r="AI1222" s="1" t="s">
        <v>3853</v>
      </c>
      <c r="AJ1222" s="6" t="str">
        <f>IFERROR(__xludf.DUMMYFUNCTION("""COMPUTED_VALUE"""),"getting")</f>
        <v>getting</v>
      </c>
      <c r="AK1222" s="49"/>
      <c r="AL1222" s="49"/>
      <c r="AM1222" s="49"/>
      <c r="AN1222" s="52" t="str">
        <f t="shared" si="5"/>
        <v>several,</v>
      </c>
    </row>
    <row r="1223">
      <c r="A1223" s="51"/>
      <c r="B1223" s="50" t="s">
        <v>3571</v>
      </c>
      <c r="C1223" s="50" t="s">
        <v>2045</v>
      </c>
      <c r="D1223" s="49" t="str">
        <f>IFERROR(__xludf.DUMMYFUNCTION("""COMPUTED_VALUE"""),"layers")</f>
        <v>layers</v>
      </c>
      <c r="E1223" s="49"/>
      <c r="F1223" s="49"/>
      <c r="G1223" s="49"/>
      <c r="H1223" s="54" t="str">
        <f t="shared" si="1"/>
        <v>directions,</v>
      </c>
      <c r="I1223" s="50"/>
      <c r="J1223" s="50" t="s">
        <v>5001</v>
      </c>
      <c r="K1223" s="50" t="s">
        <v>1252</v>
      </c>
      <c r="L1223" s="49" t="str">
        <f>IFERROR(__xludf.DUMMYFUNCTION("""COMPUTED_VALUE"""),"unexpectedly")</f>
        <v>unexpectedly</v>
      </c>
      <c r="M1223" s="49"/>
      <c r="N1223" s="49"/>
      <c r="O1223" s="49" t="str">
        <f>IFERROR(__xludf.DUMMYFUNCTION("""COMPUTED_VALUE"""),"hopeful")</f>
        <v>hopeful</v>
      </c>
      <c r="P1223" s="49" t="str">
        <f t="shared" si="2"/>
        <v>bodies,</v>
      </c>
      <c r="Q1223" s="49"/>
      <c r="R1223" s="50" t="s">
        <v>6655</v>
      </c>
      <c r="S1223" s="55" t="s">
        <v>2454</v>
      </c>
      <c r="T1223" s="49" t="str">
        <f>IFERROR(__xludf.DUMMYFUNCTION("""COMPUTED_VALUE"""),"heavyweight")</f>
        <v>heavyweight</v>
      </c>
      <c r="U1223" s="49"/>
      <c r="V1223" s="49"/>
      <c r="W1223" s="49" t="str">
        <f>IFERROR(__xludf.DUMMYFUNCTION("""COMPUTED_VALUE"""),"embraced")</f>
        <v>embraced</v>
      </c>
      <c r="X1223" s="49" t="str">
        <f t="shared" si="3"/>
        <v>denied,</v>
      </c>
      <c r="Y1223" s="49"/>
      <c r="Z1223" s="1" t="s">
        <v>2760</v>
      </c>
      <c r="AA1223" s="1" t="s">
        <v>3078</v>
      </c>
      <c r="AB1223" s="49"/>
      <c r="AC1223" s="49"/>
      <c r="AD1223" s="49"/>
      <c r="AE1223" s="49" t="str">
        <f>IFERROR(__xludf.DUMMYFUNCTION("""COMPUTED_VALUE"""),"hopeful")</f>
        <v>hopeful</v>
      </c>
      <c r="AF1223" s="49" t="str">
        <f t="shared" si="4"/>
        <v>responsible,</v>
      </c>
      <c r="AG1223" s="49"/>
      <c r="AH1223" s="1" t="s">
        <v>1484</v>
      </c>
      <c r="AI1223" s="1" t="s">
        <v>3560</v>
      </c>
      <c r="AJ1223" s="6" t="str">
        <f>IFERROR(__xludf.DUMMYFUNCTION("""COMPUTED_VALUE"""),"plans")</f>
        <v>plans</v>
      </c>
      <c r="AK1223" s="49"/>
      <c r="AL1223" s="49"/>
      <c r="AM1223" s="49"/>
      <c r="AN1223" s="52" t="str">
        <f t="shared" si="5"/>
        <v>air,</v>
      </c>
    </row>
    <row r="1224">
      <c r="A1224" s="51"/>
      <c r="B1224" s="50" t="s">
        <v>183</v>
      </c>
      <c r="C1224" s="50" t="s">
        <v>5604</v>
      </c>
      <c r="D1224" s="49" t="str">
        <f>IFERROR(__xludf.DUMMYFUNCTION("""COMPUTED_VALUE"""),"deadly")</f>
        <v>deadly</v>
      </c>
      <c r="E1224" s="49"/>
      <c r="F1224" s="49"/>
      <c r="G1224" s="49"/>
      <c r="H1224" s="54" t="str">
        <f t="shared" si="1"/>
        <v>sequel,</v>
      </c>
      <c r="I1224" s="50"/>
      <c r="J1224" s="50" t="s">
        <v>888</v>
      </c>
      <c r="K1224" s="50" t="s">
        <v>3716</v>
      </c>
      <c r="L1224" s="49" t="str">
        <f>IFERROR(__xludf.DUMMYFUNCTION("""COMPUTED_VALUE"""),"breath")</f>
        <v>breath</v>
      </c>
      <c r="M1224" s="49"/>
      <c r="N1224" s="49"/>
      <c r="O1224" s="49" t="str">
        <f>IFERROR(__xludf.DUMMYFUNCTION("""COMPUTED_VALUE"""),"apparatus")</f>
        <v>apparatus</v>
      </c>
      <c r="P1224" s="49" t="str">
        <f t="shared" si="2"/>
        <v>beauty,</v>
      </c>
      <c r="Q1224" s="49"/>
      <c r="R1224" s="50" t="s">
        <v>5293</v>
      </c>
      <c r="S1224" s="55" t="s">
        <v>2421</v>
      </c>
      <c r="T1224" s="49" t="str">
        <f>IFERROR(__xludf.DUMMYFUNCTION("""COMPUTED_VALUE"""),"shoot")</f>
        <v>shoot</v>
      </c>
      <c r="U1224" s="49"/>
      <c r="V1224" s="49"/>
      <c r="W1224" s="49" t="str">
        <f>IFERROR(__xludf.DUMMYFUNCTION("""COMPUTED_VALUE"""),"realities")</f>
        <v>realities</v>
      </c>
      <c r="X1224" s="49" t="str">
        <f t="shared" si="3"/>
        <v>dedicated,</v>
      </c>
      <c r="Y1224" s="49"/>
      <c r="Z1224" s="1" t="s">
        <v>997</v>
      </c>
      <c r="AA1224" s="1" t="s">
        <v>286</v>
      </c>
      <c r="AB1224" s="49"/>
      <c r="AC1224" s="49"/>
      <c r="AD1224" s="49"/>
      <c r="AE1224" s="49" t="str">
        <f>IFERROR(__xludf.DUMMYFUNCTION("""COMPUTED_VALUE"""),"apparatus")</f>
        <v>apparatus</v>
      </c>
      <c r="AF1224" s="49" t="str">
        <f t="shared" si="4"/>
        <v>spectacle,</v>
      </c>
      <c r="AG1224" s="49"/>
      <c r="AH1224" s="1" t="s">
        <v>2189</v>
      </c>
      <c r="AI1224" s="1" t="s">
        <v>2196</v>
      </c>
      <c r="AJ1224" s="6" t="str">
        <f>IFERROR(__xludf.DUMMYFUNCTION("""COMPUTED_VALUE"""),"morgan")</f>
        <v>morgan</v>
      </c>
      <c r="AK1224" s="49"/>
      <c r="AL1224" s="49"/>
      <c r="AM1224" s="49"/>
      <c r="AN1224" s="52" t="str">
        <f t="shared" si="5"/>
        <v>instead,</v>
      </c>
    </row>
    <row r="1225">
      <c r="A1225" s="51"/>
      <c r="B1225" s="50" t="s">
        <v>6554</v>
      </c>
      <c r="C1225" s="50" t="s">
        <v>927</v>
      </c>
      <c r="D1225" s="49" t="str">
        <f>IFERROR(__xludf.DUMMYFUNCTION("""COMPUTED_VALUE"""),"frequently")</f>
        <v>frequently</v>
      </c>
      <c r="E1225" s="49"/>
      <c r="F1225" s="49"/>
      <c r="G1225" s="49"/>
      <c r="H1225" s="54" t="str">
        <f t="shared" si="1"/>
        <v>spinning,</v>
      </c>
      <c r="I1225" s="50"/>
      <c r="J1225" s="50" t="s">
        <v>1275</v>
      </c>
      <c r="K1225" s="50" t="s">
        <v>2569</v>
      </c>
      <c r="L1225" s="49" t="str">
        <f>IFERROR(__xludf.DUMMYFUNCTION("""COMPUTED_VALUE"""),"awe")</f>
        <v>awe</v>
      </c>
      <c r="M1225" s="49"/>
      <c r="N1225" s="49"/>
      <c r="O1225" s="49" t="str">
        <f>IFERROR(__xludf.DUMMYFUNCTION("""COMPUTED_VALUE"""),"mechanical")</f>
        <v>mechanical</v>
      </c>
      <c r="P1225" s="49" t="str">
        <f t="shared" si="2"/>
        <v>offering,</v>
      </c>
      <c r="Q1225" s="49"/>
      <c r="R1225" s="50" t="s">
        <v>1363</v>
      </c>
      <c r="S1225" s="55" t="s">
        <v>721</v>
      </c>
      <c r="T1225" s="49" t="str">
        <f>IFERROR(__xludf.DUMMYFUNCTION("""COMPUTED_VALUE"""),"sweeping")</f>
        <v>sweeping</v>
      </c>
      <c r="U1225" s="49"/>
      <c r="V1225" s="49"/>
      <c r="W1225" s="49" t="str">
        <f>IFERROR(__xludf.DUMMYFUNCTION("""COMPUTED_VALUE"""),"aids")</f>
        <v>aids</v>
      </c>
      <c r="X1225" s="49" t="str">
        <f t="shared" si="3"/>
        <v>stay,</v>
      </c>
      <c r="Y1225" s="49"/>
      <c r="Z1225" s="1" t="s">
        <v>2362</v>
      </c>
      <c r="AA1225" s="1" t="s">
        <v>864</v>
      </c>
      <c r="AB1225" s="49"/>
      <c r="AC1225" s="49"/>
      <c r="AD1225" s="49"/>
      <c r="AE1225" s="49" t="str">
        <f>IFERROR(__xludf.DUMMYFUNCTION("""COMPUTED_VALUE"""),"mechanical")</f>
        <v>mechanical</v>
      </c>
      <c r="AF1225" s="49" t="str">
        <f t="shared" si="4"/>
        <v>computer,</v>
      </c>
      <c r="AG1225" s="49"/>
      <c r="AH1225" s="1" t="s">
        <v>2808</v>
      </c>
      <c r="AI1225" s="1" t="s">
        <v>3336</v>
      </c>
      <c r="AJ1225" s="6" t="str">
        <f>IFERROR(__xludf.DUMMYFUNCTION("""COMPUTED_VALUE"""),"represents")</f>
        <v>represents</v>
      </c>
      <c r="AK1225" s="49"/>
      <c r="AL1225" s="49"/>
      <c r="AM1225" s="49"/>
      <c r="AN1225" s="52" t="str">
        <f t="shared" si="5"/>
        <v>points,</v>
      </c>
    </row>
    <row r="1226">
      <c r="A1226" s="51"/>
      <c r="B1226" s="50" t="s">
        <v>3261</v>
      </c>
      <c r="C1226" s="50" t="s">
        <v>6445</v>
      </c>
      <c r="D1226" s="49" t="str">
        <f>IFERROR(__xludf.DUMMYFUNCTION("""COMPUTED_VALUE"""),"striking")</f>
        <v>striking</v>
      </c>
      <c r="E1226" s="49"/>
      <c r="F1226" s="49"/>
      <c r="G1226" s="49"/>
      <c r="H1226" s="54" t="str">
        <f t="shared" si="1"/>
        <v>field,</v>
      </c>
      <c r="I1226" s="50"/>
      <c r="J1226" s="50" t="s">
        <v>3001</v>
      </c>
      <c r="K1226" s="50" t="s">
        <v>2574</v>
      </c>
      <c r="L1226" s="49" t="str">
        <f>IFERROR(__xludf.DUMMYFUNCTION("""COMPUTED_VALUE"""),"encompasses")</f>
        <v>encompasses</v>
      </c>
      <c r="M1226" s="49"/>
      <c r="N1226" s="49"/>
      <c r="O1226" s="49" t="str">
        <f>IFERROR(__xludf.DUMMYFUNCTION("""COMPUTED_VALUE"""),"compatible")</f>
        <v>compatible</v>
      </c>
      <c r="P1226" s="49" t="str">
        <f t="shared" si="2"/>
        <v>eastern,</v>
      </c>
      <c r="Q1226" s="49"/>
      <c r="R1226" s="50" t="s">
        <v>1955</v>
      </c>
      <c r="S1226" s="55" t="s">
        <v>728</v>
      </c>
      <c r="T1226" s="49" t="str">
        <f>IFERROR(__xludf.DUMMYFUNCTION("""COMPUTED_VALUE"""),"passionate")</f>
        <v>passionate</v>
      </c>
      <c r="U1226" s="49"/>
      <c r="V1226" s="49"/>
      <c r="W1226" s="49" t="str">
        <f>IFERROR(__xludf.DUMMYFUNCTION("""COMPUTED_VALUE"""),"harlem")</f>
        <v>harlem</v>
      </c>
      <c r="X1226" s="49" t="str">
        <f t="shared" si="3"/>
        <v>bar,</v>
      </c>
      <c r="Y1226" s="49"/>
      <c r="Z1226" s="1" t="s">
        <v>3939</v>
      </c>
      <c r="AA1226" s="1" t="s">
        <v>1855</v>
      </c>
      <c r="AB1226" s="49"/>
      <c r="AC1226" s="49"/>
      <c r="AD1226" s="49"/>
      <c r="AE1226" s="49" t="str">
        <f>IFERROR(__xludf.DUMMYFUNCTION("""COMPUTED_VALUE"""),"compatible")</f>
        <v>compatible</v>
      </c>
      <c r="AF1226" s="49" t="str">
        <f t="shared" si="4"/>
        <v>trade,</v>
      </c>
      <c r="AG1226" s="49"/>
      <c r="AH1226" s="1" t="s">
        <v>6509</v>
      </c>
      <c r="AI1226" s="1" t="s">
        <v>2184</v>
      </c>
      <c r="AJ1226" s="6" t="str">
        <f>IFERROR(__xludf.DUMMYFUNCTION("""COMPUTED_VALUE"""),"keeps")</f>
        <v>keeps</v>
      </c>
      <c r="AK1226" s="49"/>
      <c r="AL1226" s="49"/>
      <c r="AM1226" s="49"/>
      <c r="AN1226" s="52" t="str">
        <f t="shared" si="5"/>
        <v>forward,</v>
      </c>
    </row>
    <row r="1227">
      <c r="A1227" s="51"/>
      <c r="B1227" s="50" t="s">
        <v>5120</v>
      </c>
      <c r="C1227" s="50" t="s">
        <v>3774</v>
      </c>
      <c r="D1227" s="49" t="str">
        <f>IFERROR(__xludf.DUMMYFUNCTION("""COMPUTED_VALUE"""),"impressive")</f>
        <v>impressive</v>
      </c>
      <c r="E1227" s="49"/>
      <c r="F1227" s="49"/>
      <c r="G1227" s="49"/>
      <c r="H1227" s="54" t="str">
        <f t="shared" si="1"/>
        <v>lead,</v>
      </c>
      <c r="I1227" s="50"/>
      <c r="J1227" s="50" t="s">
        <v>5155</v>
      </c>
      <c r="K1227" s="50" t="s">
        <v>363</v>
      </c>
      <c r="L1227" s="49" t="str">
        <f>IFERROR(__xludf.DUMMYFUNCTION("""COMPUTED_VALUE"""),"gaping")</f>
        <v>gaping</v>
      </c>
      <c r="M1227" s="49"/>
      <c r="N1227" s="49"/>
      <c r="O1227" s="49" t="str">
        <f>IFERROR(__xludf.DUMMYFUNCTION("""COMPUTED_VALUE"""),"embraced")</f>
        <v>embraced</v>
      </c>
      <c r="P1227" s="49" t="str">
        <f t="shared" si="2"/>
        <v>slowly,</v>
      </c>
      <c r="Q1227" s="49"/>
      <c r="R1227" s="50" t="s">
        <v>4174</v>
      </c>
      <c r="S1227" s="55" t="s">
        <v>738</v>
      </c>
      <c r="T1227" s="49" t="str">
        <f>IFERROR(__xludf.DUMMYFUNCTION("""COMPUTED_VALUE"""),"private")</f>
        <v>private</v>
      </c>
      <c r="U1227" s="49"/>
      <c r="V1227" s="49"/>
      <c r="W1227" s="49" t="str">
        <f>IFERROR(__xludf.DUMMYFUNCTION("""COMPUTED_VALUE"""),"repetition")</f>
        <v>repetition</v>
      </c>
      <c r="X1227" s="49" t="str">
        <f t="shared" si="3"/>
        <v>cult,</v>
      </c>
      <c r="Y1227" s="49"/>
      <c r="Z1227" s="1" t="s">
        <v>3639</v>
      </c>
      <c r="AA1227" s="1" t="s">
        <v>3055</v>
      </c>
      <c r="AB1227" s="49"/>
      <c r="AC1227" s="49"/>
      <c r="AD1227" s="49"/>
      <c r="AE1227" s="49" t="str">
        <f>IFERROR(__xludf.DUMMYFUNCTION("""COMPUTED_VALUE"""),"embraced")</f>
        <v>embraced</v>
      </c>
      <c r="AF1227" s="49" t="str">
        <f t="shared" si="4"/>
        <v>wise,</v>
      </c>
      <c r="AG1227" s="49"/>
      <c r="AH1227" s="1" t="s">
        <v>4512</v>
      </c>
      <c r="AI1227" s="1" t="s">
        <v>6464</v>
      </c>
      <c r="AJ1227" s="6" t="str">
        <f>IFERROR(__xludf.DUMMYFUNCTION("""COMPUTED_VALUE"""),"james")</f>
        <v>james</v>
      </c>
      <c r="AK1227" s="49"/>
      <c r="AL1227" s="49"/>
      <c r="AM1227" s="49"/>
      <c r="AN1227" s="52" t="str">
        <f t="shared" si="5"/>
        <v>answer,</v>
      </c>
    </row>
    <row r="1228">
      <c r="A1228" s="51"/>
      <c r="B1228" s="50" t="s">
        <v>2464</v>
      </c>
      <c r="C1228" s="50" t="s">
        <v>1007</v>
      </c>
      <c r="D1228" s="49" t="str">
        <f>IFERROR(__xludf.DUMMYFUNCTION("""COMPUTED_VALUE"""),"king")</f>
        <v>king</v>
      </c>
      <c r="E1228" s="49"/>
      <c r="F1228" s="49"/>
      <c r="G1228" s="49"/>
      <c r="H1228" s="54" t="str">
        <f t="shared" si="1"/>
        <v>female,</v>
      </c>
      <c r="I1228" s="50"/>
      <c r="J1228" s="50" t="s">
        <v>2237</v>
      </c>
      <c r="K1228" s="50" t="s">
        <v>1260</v>
      </c>
      <c r="L1228" s="49">
        <f>IFERROR(__xludf.DUMMYFUNCTION("""COMPUTED_VALUE"""),1984.0)</f>
        <v>1984</v>
      </c>
      <c r="M1228" s="49"/>
      <c r="N1228" s="49"/>
      <c r="O1228" s="49" t="str">
        <f>IFERROR(__xludf.DUMMYFUNCTION("""COMPUTED_VALUE"""),"realities")</f>
        <v>realities</v>
      </c>
      <c r="P1228" s="49" t="str">
        <f t="shared" si="2"/>
        <v>deeper,</v>
      </c>
      <c r="Q1228" s="49"/>
      <c r="R1228" s="50" t="s">
        <v>2974</v>
      </c>
      <c r="S1228" s="55" t="s">
        <v>3527</v>
      </c>
      <c r="T1228" s="49" t="str">
        <f>IFERROR(__xludf.DUMMYFUNCTION("""COMPUTED_VALUE"""),"gender")</f>
        <v>gender</v>
      </c>
      <c r="U1228" s="49"/>
      <c r="V1228" s="49"/>
      <c r="W1228" s="49" t="str">
        <f>IFERROR(__xludf.DUMMYFUNCTION("""COMPUTED_VALUE"""),"etched")</f>
        <v>etched</v>
      </c>
      <c r="X1228" s="49" t="str">
        <f t="shared" si="3"/>
        <v>license,</v>
      </c>
      <c r="Y1228" s="49"/>
      <c r="Z1228" s="1" t="s">
        <v>2795</v>
      </c>
      <c r="AA1228" s="1" t="s">
        <v>1621</v>
      </c>
      <c r="AB1228" s="49"/>
      <c r="AC1228" s="49"/>
      <c r="AD1228" s="49"/>
      <c r="AE1228" s="49" t="str">
        <f>IFERROR(__xludf.DUMMYFUNCTION("""COMPUTED_VALUE"""),"realities")</f>
        <v>realities</v>
      </c>
      <c r="AF1228" s="49" t="str">
        <f t="shared" si="4"/>
        <v>wan,</v>
      </c>
      <c r="AG1228" s="49"/>
      <c r="AH1228" s="1" t="s">
        <v>4434</v>
      </c>
      <c r="AI1228" s="1" t="s">
        <v>207</v>
      </c>
      <c r="AJ1228" s="6" t="str">
        <f>IFERROR(__xludf.DUMMYFUNCTION("""COMPUTED_VALUE"""),"move")</f>
        <v>move</v>
      </c>
      <c r="AK1228" s="49"/>
      <c r="AL1228" s="49"/>
      <c r="AM1228" s="49"/>
      <c r="AN1228" s="52" t="str">
        <f t="shared" si="5"/>
        <v>damage,</v>
      </c>
    </row>
    <row r="1229">
      <c r="A1229" s="51"/>
      <c r="B1229" s="50" t="s">
        <v>2328</v>
      </c>
      <c r="C1229" s="50" t="s">
        <v>3011</v>
      </c>
      <c r="D1229" s="49" t="str">
        <f>IFERROR(__xludf.DUMMYFUNCTION("""COMPUTED_VALUE"""),"middle")</f>
        <v>middle</v>
      </c>
      <c r="E1229" s="49"/>
      <c r="F1229" s="49"/>
      <c r="G1229" s="49"/>
      <c r="H1229" s="54" t="str">
        <f t="shared" si="1"/>
        <v>walked,</v>
      </c>
      <c r="I1229" s="50"/>
      <c r="J1229" s="50" t="s">
        <v>2532</v>
      </c>
      <c r="K1229" s="50" t="s">
        <v>2540</v>
      </c>
      <c r="L1229" s="49" t="str">
        <f>IFERROR(__xludf.DUMMYFUNCTION("""COMPUTED_VALUE"""),"associated")</f>
        <v>associated</v>
      </c>
      <c r="M1229" s="49"/>
      <c r="N1229" s="49"/>
      <c r="O1229" s="49" t="str">
        <f>IFERROR(__xludf.DUMMYFUNCTION("""COMPUTED_VALUE"""),"harlem")</f>
        <v>harlem</v>
      </c>
      <c r="P1229" s="49" t="str">
        <f t="shared" si="2"/>
        <v>searching,</v>
      </c>
      <c r="Q1229" s="49"/>
      <c r="R1229" s="50" t="s">
        <v>2735</v>
      </c>
      <c r="S1229" s="55" t="s">
        <v>2446</v>
      </c>
      <c r="T1229" s="49" t="str">
        <f>IFERROR(__xludf.DUMMYFUNCTION("""COMPUTED_VALUE"""),"library")</f>
        <v>library</v>
      </c>
      <c r="U1229" s="49"/>
      <c r="V1229" s="49"/>
      <c r="W1229" s="49" t="str">
        <f>IFERROR(__xludf.DUMMYFUNCTION("""COMPUTED_VALUE"""),"agile")</f>
        <v>agile</v>
      </c>
      <c r="X1229" s="49" t="str">
        <f t="shared" si="3"/>
        <v>chance,</v>
      </c>
      <c r="Y1229" s="49"/>
      <c r="Z1229" s="1" t="s">
        <v>3943</v>
      </c>
      <c r="AA1229" s="1" t="s">
        <v>3095</v>
      </c>
      <c r="AB1229" s="49"/>
      <c r="AC1229" s="49"/>
      <c r="AD1229" s="49"/>
      <c r="AE1229" s="49" t="str">
        <f>IFERROR(__xludf.DUMMYFUNCTION("""COMPUTED_VALUE"""),"harlem")</f>
        <v>harlem</v>
      </c>
      <c r="AF1229" s="49" t="str">
        <f t="shared" si="4"/>
        <v>episode,</v>
      </c>
      <c r="AG1229" s="49"/>
      <c r="AH1229" s="1" t="s">
        <v>1368</v>
      </c>
      <c r="AI1229" s="1" t="s">
        <v>2321</v>
      </c>
      <c r="AJ1229" s="6" t="str">
        <f>IFERROR(__xludf.DUMMYFUNCTION("""COMPUTED_VALUE"""),"artist")</f>
        <v>artist</v>
      </c>
      <c r="AK1229" s="49"/>
      <c r="AL1229" s="49"/>
      <c r="AM1229" s="49"/>
      <c r="AN1229" s="52" t="str">
        <f t="shared" si="5"/>
        <v>impact,</v>
      </c>
    </row>
    <row r="1230">
      <c r="A1230" s="51"/>
      <c r="B1230" s="50" t="s">
        <v>6658</v>
      </c>
      <c r="C1230" s="50" t="s">
        <v>2268</v>
      </c>
      <c r="D1230" s="49" t="str">
        <f>IFERROR(__xludf.DUMMYFUNCTION("""COMPUTED_VALUE"""),"strongly")</f>
        <v>strongly</v>
      </c>
      <c r="E1230" s="49"/>
      <c r="F1230" s="49"/>
      <c r="G1230" s="49"/>
      <c r="H1230" s="54" t="str">
        <f t="shared" si="1"/>
        <v>student,</v>
      </c>
      <c r="I1230" s="50"/>
      <c r="J1230" s="50" t="s">
        <v>6699</v>
      </c>
      <c r="K1230" s="50" t="s">
        <v>1266</v>
      </c>
      <c r="L1230" s="49" t="str">
        <f>IFERROR(__xludf.DUMMYFUNCTION("""COMPUTED_VALUE"""),"nazi")</f>
        <v>nazi</v>
      </c>
      <c r="M1230" s="49"/>
      <c r="N1230" s="49"/>
      <c r="O1230" s="49">
        <f>IFERROR(__xludf.DUMMYFUNCTION("""COMPUTED_VALUE"""),1986.0)</f>
        <v>1986</v>
      </c>
      <c r="P1230" s="49" t="str">
        <f t="shared" si="2"/>
        <v>month,</v>
      </c>
      <c r="Q1230" s="49"/>
      <c r="R1230" s="50" t="s">
        <v>3925</v>
      </c>
      <c r="S1230" s="55" t="s">
        <v>4842</v>
      </c>
      <c r="T1230" s="49" t="str">
        <f>IFERROR(__xludf.DUMMYFUNCTION("""COMPUTED_VALUE"""),"acceptable")</f>
        <v>acceptable</v>
      </c>
      <c r="U1230" s="49"/>
      <c r="V1230" s="49"/>
      <c r="W1230" s="49" t="str">
        <f>IFERROR(__xludf.DUMMYFUNCTION("""COMPUTED_VALUE"""),"proficient")</f>
        <v>proficient</v>
      </c>
      <c r="X1230" s="49" t="str">
        <f t="shared" si="3"/>
        <v>surgeon,</v>
      </c>
      <c r="Y1230" s="49"/>
      <c r="Z1230" s="1" t="s">
        <v>5796</v>
      </c>
      <c r="AA1230" s="1" t="s">
        <v>4217</v>
      </c>
      <c r="AB1230" s="49"/>
      <c r="AC1230" s="49"/>
      <c r="AD1230" s="49"/>
      <c r="AE1230" s="49">
        <f>IFERROR(__xludf.DUMMYFUNCTION("""COMPUTED_VALUE"""),1986.0)</f>
        <v>1986</v>
      </c>
      <c r="AF1230" s="49" t="str">
        <f t="shared" si="4"/>
        <v>wars,</v>
      </c>
      <c r="AG1230" s="49"/>
      <c r="AH1230" s="1" t="s">
        <v>2268</v>
      </c>
      <c r="AI1230" s="1" t="s">
        <v>6465</v>
      </c>
      <c r="AJ1230" s="6" t="str">
        <f>IFERROR(__xludf.DUMMYFUNCTION("""COMPUTED_VALUE"""),"appear")</f>
        <v>appear</v>
      </c>
      <c r="AK1230" s="49"/>
      <c r="AL1230" s="49"/>
      <c r="AM1230" s="49"/>
      <c r="AN1230" s="52" t="str">
        <f t="shared" si="5"/>
        <v>motion,</v>
      </c>
    </row>
    <row r="1231">
      <c r="A1231" s="51"/>
      <c r="B1231" s="50" t="s">
        <v>741</v>
      </c>
      <c r="C1231" s="50" t="s">
        <v>702</v>
      </c>
      <c r="D1231" s="49" t="str">
        <f>IFERROR(__xludf.DUMMYFUNCTION("""COMPUTED_VALUE"""),"act")</f>
        <v>act</v>
      </c>
      <c r="E1231" s="49"/>
      <c r="F1231" s="49"/>
      <c r="G1231" s="49"/>
      <c r="H1231" s="54" t="str">
        <f t="shared" si="1"/>
        <v>step,</v>
      </c>
      <c r="I1231" s="50"/>
      <c r="J1231" s="50" t="s">
        <v>4940</v>
      </c>
      <c r="K1231" s="50" t="s">
        <v>4219</v>
      </c>
      <c r="L1231" s="49" t="str">
        <f>IFERROR(__xludf.DUMMYFUNCTION("""COMPUTED_VALUE"""),"solemn")</f>
        <v>solemn</v>
      </c>
      <c r="M1231" s="49"/>
      <c r="N1231" s="49"/>
      <c r="O1231" s="49" t="str">
        <f>IFERROR(__xludf.DUMMYFUNCTION("""COMPUTED_VALUE"""),"anywhere")</f>
        <v>anywhere</v>
      </c>
      <c r="P1231" s="49" t="str">
        <f t="shared" si="2"/>
        <v>belt,</v>
      </c>
      <c r="Q1231" s="49"/>
      <c r="R1231" s="50" t="s">
        <v>2125</v>
      </c>
      <c r="S1231" s="55" t="s">
        <v>3535</v>
      </c>
      <c r="T1231" s="49" t="str">
        <f>IFERROR(__xludf.DUMMYFUNCTION("""COMPUTED_VALUE"""),"glossy")</f>
        <v>glossy</v>
      </c>
      <c r="U1231" s="49"/>
      <c r="V1231" s="49"/>
      <c r="W1231" s="49" t="str">
        <f>IFERROR(__xludf.DUMMYFUNCTION("""COMPUTED_VALUE"""),"tuck")</f>
        <v>tuck</v>
      </c>
      <c r="X1231" s="49" t="str">
        <f t="shared" si="3"/>
        <v>arts,</v>
      </c>
      <c r="Y1231" s="49"/>
      <c r="Z1231" s="1" t="s">
        <v>2472</v>
      </c>
      <c r="AA1231" s="1" t="s">
        <v>4218</v>
      </c>
      <c r="AB1231" s="49"/>
      <c r="AC1231" s="49"/>
      <c r="AD1231" s="49"/>
      <c r="AE1231" s="49" t="str">
        <f>IFERROR(__xludf.DUMMYFUNCTION("""COMPUTED_VALUE"""),"anywhere")</f>
        <v>anywhere</v>
      </c>
      <c r="AF1231" s="49" t="str">
        <f t="shared" si="4"/>
        <v>queen,</v>
      </c>
      <c r="AG1231" s="49"/>
      <c r="AH1231" s="1" t="s">
        <v>6804</v>
      </c>
      <c r="AI1231" s="1" t="s">
        <v>2317</v>
      </c>
      <c r="AJ1231" s="6" t="str">
        <f>IFERROR(__xludf.DUMMYFUNCTION("""COMPUTED_VALUE"""),"basic")</f>
        <v>basic</v>
      </c>
      <c r="AK1231" s="49"/>
      <c r="AL1231" s="49"/>
      <c r="AM1231" s="49"/>
      <c r="AN1231" s="52" t="str">
        <f t="shared" si="5"/>
        <v>fly,</v>
      </c>
    </row>
    <row r="1232">
      <c r="A1232" s="51"/>
      <c r="B1232" s="50" t="s">
        <v>2152</v>
      </c>
      <c r="C1232" s="50" t="s">
        <v>6371</v>
      </c>
      <c r="D1232" s="49" t="str">
        <f>IFERROR(__xludf.DUMMYFUNCTION("""COMPUTED_VALUE"""),"jewish")</f>
        <v>jewish</v>
      </c>
      <c r="E1232" s="49"/>
      <c r="F1232" s="49"/>
      <c r="G1232" s="49"/>
      <c r="H1232" s="54" t="str">
        <f t="shared" si="1"/>
        <v>filled,</v>
      </c>
      <c r="I1232" s="50"/>
      <c r="J1232" s="50" t="s">
        <v>1377</v>
      </c>
      <c r="K1232" s="50" t="s">
        <v>4221</v>
      </c>
      <c r="L1232" s="49" t="str">
        <f>IFERROR(__xludf.DUMMYFUNCTION("""COMPUTED_VALUE"""),"ballistic")</f>
        <v>ballistic</v>
      </c>
      <c r="M1232" s="49"/>
      <c r="N1232" s="49"/>
      <c r="O1232" s="49" t="str">
        <f>IFERROR(__xludf.DUMMYFUNCTION("""COMPUTED_VALUE"""),"fide")</f>
        <v>fide</v>
      </c>
      <c r="P1232" s="49" t="str">
        <f t="shared" si="2"/>
        <v>makeup,</v>
      </c>
      <c r="Q1232" s="49"/>
      <c r="R1232" s="50" t="s">
        <v>2698</v>
      </c>
      <c r="S1232" s="55" t="s">
        <v>3586</v>
      </c>
      <c r="T1232" s="49" t="str">
        <f>IFERROR(__xludf.DUMMYFUNCTION("""COMPUTED_VALUE"""),"sparkling")</f>
        <v>sparkling</v>
      </c>
      <c r="U1232" s="49"/>
      <c r="V1232" s="49"/>
      <c r="W1232" s="49" t="str">
        <f>IFERROR(__xludf.DUMMYFUNCTION("""COMPUTED_VALUE"""),"symbols")</f>
        <v>symbols</v>
      </c>
      <c r="X1232" s="49" t="str">
        <f t="shared" si="3"/>
        <v>legacy,</v>
      </c>
      <c r="Y1232" s="49"/>
      <c r="Z1232" s="1" t="s">
        <v>3323</v>
      </c>
      <c r="AA1232" s="1" t="s">
        <v>3100</v>
      </c>
      <c r="AB1232" s="49"/>
      <c r="AC1232" s="49"/>
      <c r="AD1232" s="49"/>
      <c r="AE1232" s="49" t="str">
        <f>IFERROR(__xludf.DUMMYFUNCTION("""COMPUTED_VALUE"""),"fide")</f>
        <v>fide</v>
      </c>
      <c r="AF1232" s="49" t="str">
        <f t="shared" si="4"/>
        <v>simple,</v>
      </c>
      <c r="AG1232" s="49"/>
      <c r="AH1232" s="1" t="s">
        <v>4223</v>
      </c>
      <c r="AI1232" s="1" t="s">
        <v>6466</v>
      </c>
      <c r="AJ1232" s="6" t="str">
        <f>IFERROR(__xludf.DUMMYFUNCTION("""COMPUTED_VALUE"""),"soul")</f>
        <v>soul</v>
      </c>
      <c r="AK1232" s="49"/>
      <c r="AL1232" s="49"/>
      <c r="AM1232" s="49"/>
      <c r="AN1232" s="52" t="str">
        <f t="shared" si="5"/>
        <v>mention,</v>
      </c>
    </row>
    <row r="1233">
      <c r="A1233" s="51"/>
      <c r="B1233" s="50" t="s">
        <v>5064</v>
      </c>
      <c r="C1233" s="50" t="s">
        <v>3792</v>
      </c>
      <c r="D1233" s="49" t="str">
        <f>IFERROR(__xludf.DUMMYFUNCTION("""COMPUTED_VALUE"""),"combination")</f>
        <v>combination</v>
      </c>
      <c r="E1233" s="49"/>
      <c r="F1233" s="49"/>
      <c r="G1233" s="49"/>
      <c r="H1233" s="54" t="str">
        <f t="shared" si="1"/>
        <v>fear,</v>
      </c>
      <c r="I1233" s="50"/>
      <c r="J1233" s="50" t="s">
        <v>2576</v>
      </c>
      <c r="K1233" s="50" t="s">
        <v>4224</v>
      </c>
      <c r="L1233" s="49" t="str">
        <f>IFERROR(__xludf.DUMMYFUNCTION("""COMPUTED_VALUE"""),"cheer")</f>
        <v>cheer</v>
      </c>
      <c r="M1233" s="49"/>
      <c r="N1233" s="49"/>
      <c r="O1233" s="49" t="str">
        <f>IFERROR(__xludf.DUMMYFUNCTION("""COMPUTED_VALUE"""),"repetition")</f>
        <v>repetition</v>
      </c>
      <c r="P1233" s="49" t="str">
        <f t="shared" si="2"/>
        <v>struggling,</v>
      </c>
      <c r="Q1233" s="49"/>
      <c r="R1233" s="50" t="s">
        <v>7331</v>
      </c>
      <c r="S1233" s="55" t="s">
        <v>368</v>
      </c>
      <c r="T1233" s="49" t="str">
        <f>IFERROR(__xludf.DUMMYFUNCTION("""COMPUTED_VALUE"""),"capability")</f>
        <v>capability</v>
      </c>
      <c r="U1233" s="49"/>
      <c r="V1233" s="49"/>
      <c r="W1233" s="49" t="str">
        <f>IFERROR(__xludf.DUMMYFUNCTION("""COMPUTED_VALUE"""),"denial")</f>
        <v>denial</v>
      </c>
      <c r="X1233" s="49" t="str">
        <f t="shared" si="3"/>
        <v>inter,</v>
      </c>
      <c r="Y1233" s="49"/>
      <c r="Z1233" s="1" t="s">
        <v>3469</v>
      </c>
      <c r="AA1233" s="1" t="s">
        <v>4222</v>
      </c>
      <c r="AB1233" s="49"/>
      <c r="AC1233" s="49"/>
      <c r="AD1233" s="49"/>
      <c r="AE1233" s="49" t="str">
        <f>IFERROR(__xludf.DUMMYFUNCTION("""COMPUTED_VALUE"""),"repetition")</f>
        <v>repetition</v>
      </c>
      <c r="AF1233" s="49" t="str">
        <f t="shared" si="4"/>
        <v>sound,</v>
      </c>
      <c r="AG1233" s="49"/>
      <c r="AH1233" s="1" t="s">
        <v>5398</v>
      </c>
      <c r="AI1233" s="1" t="s">
        <v>1070</v>
      </c>
      <c r="AJ1233" s="6" t="str">
        <f>IFERROR(__xludf.DUMMYFUNCTION("""COMPUTED_VALUE"""),"comic")</f>
        <v>comic</v>
      </c>
      <c r="AK1233" s="49"/>
      <c r="AL1233" s="49"/>
      <c r="AM1233" s="49"/>
      <c r="AN1233" s="52" t="str">
        <f t="shared" si="5"/>
        <v>bruce,</v>
      </c>
    </row>
    <row r="1234">
      <c r="A1234" s="51"/>
      <c r="B1234" s="50" t="s">
        <v>4587</v>
      </c>
      <c r="C1234" s="50" t="s">
        <v>1830</v>
      </c>
      <c r="D1234" s="49" t="str">
        <f>IFERROR(__xludf.DUMMYFUNCTION("""COMPUTED_VALUE"""),"grandmother")</f>
        <v>grandmother</v>
      </c>
      <c r="E1234" s="49"/>
      <c r="F1234" s="49"/>
      <c r="G1234" s="49"/>
      <c r="H1234" s="54" t="str">
        <f t="shared" si="1"/>
        <v>ring,</v>
      </c>
      <c r="I1234" s="50"/>
      <c r="J1234" s="50" t="s">
        <v>285</v>
      </c>
      <c r="K1234" s="50" t="s">
        <v>2541</v>
      </c>
      <c r="L1234" s="49" t="str">
        <f>IFERROR(__xludf.DUMMYFUNCTION("""COMPUTED_VALUE"""),"rewarded")</f>
        <v>rewarded</v>
      </c>
      <c r="M1234" s="49"/>
      <c r="N1234" s="49"/>
      <c r="O1234" s="49" t="str">
        <f>IFERROR(__xludf.DUMMYFUNCTION("""COMPUTED_VALUE"""),"rivalry")</f>
        <v>rivalry</v>
      </c>
      <c r="P1234" s="49" t="str">
        <f t="shared" si="2"/>
        <v>epic,</v>
      </c>
      <c r="Q1234" s="49"/>
      <c r="R1234" s="50" t="s">
        <v>1412</v>
      </c>
      <c r="S1234" s="55" t="s">
        <v>4206</v>
      </c>
      <c r="T1234" s="49" t="str">
        <f>IFERROR(__xludf.DUMMYFUNCTION("""COMPUTED_VALUE"""),"accept")</f>
        <v>accept</v>
      </c>
      <c r="U1234" s="49"/>
      <c r="V1234" s="49"/>
      <c r="W1234" s="49" t="str">
        <f>IFERROR(__xludf.DUMMYFUNCTION("""COMPUTED_VALUE"""),"factors")</f>
        <v>factors</v>
      </c>
      <c r="X1234" s="49" t="str">
        <f t="shared" si="3"/>
        <v>loosely,</v>
      </c>
      <c r="Y1234" s="49"/>
      <c r="Z1234" s="1" t="s">
        <v>2630</v>
      </c>
      <c r="AA1234" s="1" t="s">
        <v>3107</v>
      </c>
      <c r="AB1234" s="49"/>
      <c r="AC1234" s="49"/>
      <c r="AD1234" s="49"/>
      <c r="AE1234" s="49" t="str">
        <f>IFERROR(__xludf.DUMMYFUNCTION("""COMPUTED_VALUE"""),"rivalry")</f>
        <v>rivalry</v>
      </c>
      <c r="AF1234" s="49" t="str">
        <f t="shared" si="4"/>
        <v>spirit,</v>
      </c>
      <c r="AG1234" s="49"/>
      <c r="AH1234" s="1" t="s">
        <v>3565</v>
      </c>
      <c r="AI1234" s="1" t="s">
        <v>2319</v>
      </c>
      <c r="AJ1234" s="6" t="str">
        <f>IFERROR(__xludf.DUMMYFUNCTION("""COMPUTED_VALUE"""),"franchise")</f>
        <v>franchise</v>
      </c>
      <c r="AK1234" s="49"/>
      <c r="AL1234" s="49"/>
      <c r="AM1234" s="49"/>
      <c r="AN1234" s="52" t="str">
        <f t="shared" si="5"/>
        <v>element,</v>
      </c>
    </row>
    <row r="1235">
      <c r="A1235" s="51"/>
      <c r="B1235" s="50" t="s">
        <v>2187</v>
      </c>
      <c r="C1235" s="50" t="s">
        <v>2272</v>
      </c>
      <c r="D1235" s="49" t="str">
        <f>IFERROR(__xludf.DUMMYFUNCTION("""COMPUTED_VALUE"""),"bill")</f>
        <v>bill</v>
      </c>
      <c r="E1235" s="49"/>
      <c r="F1235" s="49"/>
      <c r="G1235" s="49"/>
      <c r="H1235" s="54" t="str">
        <f t="shared" si="1"/>
        <v>conversation,</v>
      </c>
      <c r="I1235" s="50"/>
      <c r="J1235" s="50" t="s">
        <v>2020</v>
      </c>
      <c r="K1235" s="50" t="s">
        <v>3728</v>
      </c>
      <c r="L1235" s="49" t="str">
        <f>IFERROR(__xludf.DUMMYFUNCTION("""COMPUTED_VALUE"""),"afternoon")</f>
        <v>afternoon</v>
      </c>
      <c r="M1235" s="49"/>
      <c r="N1235" s="49"/>
      <c r="O1235" s="49" t="str">
        <f>IFERROR(__xludf.DUMMYFUNCTION("""COMPUTED_VALUE"""),"etched")</f>
        <v>etched</v>
      </c>
      <c r="P1235" s="49" t="str">
        <f t="shared" si="2"/>
        <v>bright,</v>
      </c>
      <c r="Q1235" s="49"/>
      <c r="R1235" s="50" t="s">
        <v>5040</v>
      </c>
      <c r="S1235" s="55" t="s">
        <v>2451</v>
      </c>
      <c r="T1235" s="49" t="str">
        <f>IFERROR(__xludf.DUMMYFUNCTION("""COMPUTED_VALUE"""),"parade")</f>
        <v>parade</v>
      </c>
      <c r="U1235" s="49"/>
      <c r="V1235" s="49"/>
      <c r="W1235" s="49" t="str">
        <f>IFERROR(__xludf.DUMMYFUNCTION("""COMPUTED_VALUE"""),"levy")</f>
        <v>levy</v>
      </c>
      <c r="X1235" s="49" t="str">
        <f t="shared" si="3"/>
        <v>arrives,</v>
      </c>
      <c r="Y1235" s="49"/>
      <c r="Z1235" s="1" t="s">
        <v>4422</v>
      </c>
      <c r="AA1235" s="1" t="s">
        <v>1627</v>
      </c>
      <c r="AB1235" s="49"/>
      <c r="AC1235" s="49"/>
      <c r="AD1235" s="49"/>
      <c r="AE1235" s="49" t="str">
        <f>IFERROR(__xludf.DUMMYFUNCTION("""COMPUTED_VALUE"""),"etched")</f>
        <v>etched</v>
      </c>
      <c r="AF1235" s="49" t="str">
        <f t="shared" si="4"/>
        <v>sorority,</v>
      </c>
      <c r="AG1235" s="49"/>
      <c r="AH1235" s="1" t="s">
        <v>5716</v>
      </c>
      <c r="AI1235" s="1" t="s">
        <v>4060</v>
      </c>
      <c r="AJ1235" s="6" t="str">
        <f>IFERROR(__xludf.DUMMYFUNCTION("""COMPUTED_VALUE"""),"framework")</f>
        <v>framework</v>
      </c>
      <c r="AK1235" s="49"/>
      <c r="AL1235" s="49"/>
      <c r="AM1235" s="49"/>
      <c r="AN1235" s="52" t="str">
        <f t="shared" si="5"/>
        <v>destroy,</v>
      </c>
    </row>
    <row r="1236">
      <c r="A1236" s="51"/>
      <c r="B1236" s="50" t="s">
        <v>721</v>
      </c>
      <c r="C1236" s="50" t="s">
        <v>2825</v>
      </c>
      <c r="D1236" s="49" t="str">
        <f>IFERROR(__xludf.DUMMYFUNCTION("""COMPUTED_VALUE"""),"animation")</f>
        <v>animation</v>
      </c>
      <c r="E1236" s="49"/>
      <c r="F1236" s="49"/>
      <c r="G1236" s="49"/>
      <c r="H1236" s="54" t="str">
        <f t="shared" si="1"/>
        <v>fallen,</v>
      </c>
      <c r="I1236" s="50"/>
      <c r="J1236" s="50" t="s">
        <v>1167</v>
      </c>
      <c r="K1236" s="50" t="s">
        <v>4228</v>
      </c>
      <c r="L1236" s="49" t="str">
        <f>IFERROR(__xludf.DUMMYFUNCTION("""COMPUTED_VALUE"""),"draws")</f>
        <v>draws</v>
      </c>
      <c r="M1236" s="49"/>
      <c r="N1236" s="49"/>
      <c r="O1236" s="49" t="str">
        <f>IFERROR(__xludf.DUMMYFUNCTION("""COMPUTED_VALUE"""),"agile")</f>
        <v>agile</v>
      </c>
      <c r="P1236" s="49" t="str">
        <f t="shared" si="2"/>
        <v>busy,</v>
      </c>
      <c r="Q1236" s="49"/>
      <c r="R1236" s="50" t="s">
        <v>840</v>
      </c>
      <c r="S1236" s="55" t="s">
        <v>2432</v>
      </c>
      <c r="T1236" s="49" t="str">
        <f>IFERROR(__xludf.DUMMYFUNCTION("""COMPUTED_VALUE"""),"tool")</f>
        <v>tool</v>
      </c>
      <c r="U1236" s="49"/>
      <c r="V1236" s="49"/>
      <c r="W1236" s="49" t="str">
        <f>IFERROR(__xludf.DUMMYFUNCTION("""COMPUTED_VALUE"""),"stroked")</f>
        <v>stroked</v>
      </c>
      <c r="X1236" s="49" t="str">
        <f t="shared" si="3"/>
        <v>graceful,</v>
      </c>
      <c r="Y1236" s="49"/>
      <c r="Z1236" s="1" t="s">
        <v>1223</v>
      </c>
      <c r="AA1236" s="1" t="s">
        <v>4226</v>
      </c>
      <c r="AB1236" s="49"/>
      <c r="AC1236" s="49"/>
      <c r="AD1236" s="49"/>
      <c r="AE1236" s="49" t="str">
        <f>IFERROR(__xludf.DUMMYFUNCTION("""COMPUTED_VALUE"""),"agile")</f>
        <v>agile</v>
      </c>
      <c r="AF1236" s="49" t="str">
        <f t="shared" si="4"/>
        <v>open,</v>
      </c>
      <c r="AG1236" s="49"/>
      <c r="AH1236" s="1" t="s">
        <v>896</v>
      </c>
      <c r="AI1236" s="1" t="s">
        <v>935</v>
      </c>
      <c r="AJ1236" s="6" t="str">
        <f>IFERROR(__xludf.DUMMYFUNCTION("""COMPUTED_VALUE"""),"directions")</f>
        <v>directions</v>
      </c>
      <c r="AK1236" s="49"/>
      <c r="AL1236" s="49"/>
      <c r="AM1236" s="49"/>
      <c r="AN1236" s="52" t="str">
        <f t="shared" si="5"/>
        <v>five,</v>
      </c>
    </row>
    <row r="1237">
      <c r="A1237" s="51"/>
      <c r="B1237" s="50" t="s">
        <v>906</v>
      </c>
      <c r="C1237" s="50" t="s">
        <v>655</v>
      </c>
      <c r="D1237" s="49" t="str">
        <f>IFERROR(__xludf.DUMMYFUNCTION("""COMPUTED_VALUE"""),"task")</f>
        <v>task</v>
      </c>
      <c r="E1237" s="49"/>
      <c r="F1237" s="49"/>
      <c r="G1237" s="49"/>
      <c r="H1237" s="54" t="str">
        <f t="shared" si="1"/>
        <v>asleep,</v>
      </c>
      <c r="I1237" s="50"/>
      <c r="J1237" s="50" t="s">
        <v>951</v>
      </c>
      <c r="K1237" s="50" t="s">
        <v>4230</v>
      </c>
      <c r="L1237" s="49" t="str">
        <f>IFERROR(__xludf.DUMMYFUNCTION("""COMPUTED_VALUE"""),"reliance")</f>
        <v>reliance</v>
      </c>
      <c r="M1237" s="49"/>
      <c r="N1237" s="49"/>
      <c r="O1237" s="49" t="str">
        <f>IFERROR(__xludf.DUMMYFUNCTION("""COMPUTED_VALUE"""),"tuck")</f>
        <v>tuck</v>
      </c>
      <c r="P1237" s="49" t="str">
        <f t="shared" si="2"/>
        <v>lavish,</v>
      </c>
      <c r="Q1237" s="49"/>
      <c r="R1237" s="50" t="s">
        <v>2638</v>
      </c>
      <c r="S1237" s="55" t="s">
        <v>4212</v>
      </c>
      <c r="T1237" s="49" t="str">
        <f>IFERROR(__xludf.DUMMYFUNCTION("""COMPUTED_VALUE"""),"blank")</f>
        <v>blank</v>
      </c>
      <c r="U1237" s="49"/>
      <c r="V1237" s="49"/>
      <c r="W1237" s="49" t="str">
        <f>IFERROR(__xludf.DUMMYFUNCTION("""COMPUTED_VALUE"""),"vin")</f>
        <v>vin</v>
      </c>
      <c r="X1237" s="49" t="str">
        <f t="shared" si="3"/>
        <v>olympic,</v>
      </c>
      <c r="Y1237" s="49"/>
      <c r="Z1237" s="1" t="s">
        <v>1309</v>
      </c>
      <c r="AA1237" s="1" t="s">
        <v>2862</v>
      </c>
      <c r="AB1237" s="49"/>
      <c r="AC1237" s="49"/>
      <c r="AD1237" s="49"/>
      <c r="AE1237" s="49" t="str">
        <f>IFERROR(__xludf.DUMMYFUNCTION("""COMPUTED_VALUE"""),"tuck")</f>
        <v>tuck</v>
      </c>
      <c r="AF1237" s="49" t="str">
        <f t="shared" si="4"/>
        <v>actresses,</v>
      </c>
      <c r="AG1237" s="49"/>
      <c r="AH1237" s="1" t="s">
        <v>1821</v>
      </c>
      <c r="AI1237" s="1">
        <v>20.0</v>
      </c>
      <c r="AJ1237" s="6" t="str">
        <f>IFERROR(__xludf.DUMMYFUNCTION("""COMPUTED_VALUE"""),"field")</f>
        <v>field</v>
      </c>
      <c r="AK1237" s="49"/>
      <c r="AL1237" s="49"/>
      <c r="AM1237" s="49"/>
      <c r="AN1237" s="52" t="str">
        <f t="shared" si="5"/>
        <v>president,</v>
      </c>
    </row>
    <row r="1238">
      <c r="A1238" s="51"/>
      <c r="B1238" s="50" t="s">
        <v>4701</v>
      </c>
      <c r="C1238" s="50" t="s">
        <v>3804</v>
      </c>
      <c r="D1238" s="49" t="str">
        <f>IFERROR(__xludf.DUMMYFUNCTION("""COMPUTED_VALUE"""),"impossible")</f>
        <v>impossible</v>
      </c>
      <c r="E1238" s="49"/>
      <c r="F1238" s="49"/>
      <c r="G1238" s="49"/>
      <c r="H1238" s="54" t="str">
        <f t="shared" si="1"/>
        <v>intent,</v>
      </c>
      <c r="I1238" s="50"/>
      <c r="J1238" s="50" t="s">
        <v>3782</v>
      </c>
      <c r="K1238" s="50" t="s">
        <v>2580</v>
      </c>
      <c r="L1238" s="49">
        <f>IFERROR(__xludf.DUMMYFUNCTION("""COMPUTED_VALUE"""),30.0)</f>
        <v>30</v>
      </c>
      <c r="M1238" s="49"/>
      <c r="N1238" s="49"/>
      <c r="O1238" s="49" t="str">
        <f>IFERROR(__xludf.DUMMYFUNCTION("""COMPUTED_VALUE"""),"symbols")</f>
        <v>symbols</v>
      </c>
      <c r="P1238" s="49" t="str">
        <f t="shared" si="2"/>
        <v>target,</v>
      </c>
      <c r="Q1238" s="49"/>
      <c r="R1238" s="50" t="s">
        <v>3825</v>
      </c>
      <c r="S1238" s="55" t="s">
        <v>2453</v>
      </c>
      <c r="T1238" s="49" t="str">
        <f>IFERROR(__xludf.DUMMYFUNCTION("""COMPUTED_VALUE"""),"occasional")</f>
        <v>occasional</v>
      </c>
      <c r="U1238" s="49"/>
      <c r="V1238" s="49"/>
      <c r="W1238" s="49" t="str">
        <f>IFERROR(__xludf.DUMMYFUNCTION("""COMPUTED_VALUE"""),"banged")</f>
        <v>banged</v>
      </c>
      <c r="X1238" s="49" t="str">
        <f t="shared" si="3"/>
        <v>weep,</v>
      </c>
      <c r="Y1238" s="49"/>
      <c r="Z1238" s="1" t="s">
        <v>1898</v>
      </c>
      <c r="AA1238" s="1" t="s">
        <v>4231</v>
      </c>
      <c r="AB1238" s="49"/>
      <c r="AC1238" s="49"/>
      <c r="AD1238" s="49"/>
      <c r="AE1238" s="49" t="str">
        <f>IFERROR(__xludf.DUMMYFUNCTION("""COMPUTED_VALUE"""),"symbols")</f>
        <v>symbols</v>
      </c>
      <c r="AF1238" s="49" t="str">
        <f t="shared" si="4"/>
        <v>die,</v>
      </c>
      <c r="AG1238" s="49"/>
      <c r="AH1238" s="1" t="s">
        <v>1409</v>
      </c>
      <c r="AI1238" s="1" t="s">
        <v>791</v>
      </c>
      <c r="AJ1238" s="6" t="str">
        <f>IFERROR(__xludf.DUMMYFUNCTION("""COMPUTED_VALUE"""),"lead")</f>
        <v>lead</v>
      </c>
      <c r="AK1238" s="49"/>
      <c r="AL1238" s="49"/>
      <c r="AM1238" s="49"/>
      <c r="AN1238" s="52" t="str">
        <f t="shared" si="5"/>
        <v>country,</v>
      </c>
    </row>
    <row r="1239">
      <c r="A1239" s="51"/>
      <c r="B1239" s="50" t="s">
        <v>2529</v>
      </c>
      <c r="C1239" s="50" t="s">
        <v>6461</v>
      </c>
      <c r="D1239" s="49" t="str">
        <f>IFERROR(__xludf.DUMMYFUNCTION("""COMPUTED_VALUE"""),"faster")</f>
        <v>faster</v>
      </c>
      <c r="E1239" s="49"/>
      <c r="F1239" s="49"/>
      <c r="G1239" s="49"/>
      <c r="H1239" s="54" t="str">
        <f t="shared" si="1"/>
        <v>dollar,</v>
      </c>
      <c r="I1239" s="50"/>
      <c r="J1239" s="50" t="s">
        <v>3527</v>
      </c>
      <c r="K1239" s="50" t="s">
        <v>4236</v>
      </c>
      <c r="L1239" s="49" t="str">
        <f>IFERROR(__xludf.DUMMYFUNCTION("""COMPUTED_VALUE"""),"incarnation")</f>
        <v>incarnation</v>
      </c>
      <c r="M1239" s="49"/>
      <c r="N1239" s="49"/>
      <c r="O1239" s="49" t="str">
        <f>IFERROR(__xludf.DUMMYFUNCTION("""COMPUTED_VALUE"""),"denial")</f>
        <v>denial</v>
      </c>
      <c r="P1239" s="49" t="str">
        <f t="shared" si="2"/>
        <v>tolerate,</v>
      </c>
      <c r="Q1239" s="49"/>
      <c r="R1239" s="50" t="s">
        <v>1215</v>
      </c>
      <c r="S1239" s="55" t="s">
        <v>6389</v>
      </c>
      <c r="T1239" s="49" t="str">
        <f>IFERROR(__xludf.DUMMYFUNCTION("""COMPUTED_VALUE"""),"releases")</f>
        <v>releases</v>
      </c>
      <c r="U1239" s="49"/>
      <c r="V1239" s="49"/>
      <c r="W1239" s="49" t="str">
        <f>IFERROR(__xludf.DUMMYFUNCTION("""COMPUTED_VALUE"""),"furiously")</f>
        <v>furiously</v>
      </c>
      <c r="X1239" s="49" t="str">
        <f t="shared" si="3"/>
        <v>fine,</v>
      </c>
      <c r="Y1239" s="49"/>
      <c r="Z1239" s="1" t="s">
        <v>1836</v>
      </c>
      <c r="AA1239" s="1" t="s">
        <v>3115</v>
      </c>
      <c r="AB1239" s="49"/>
      <c r="AC1239" s="49"/>
      <c r="AD1239" s="49"/>
      <c r="AE1239" s="49" t="str">
        <f>IFERROR(__xludf.DUMMYFUNCTION("""COMPUTED_VALUE"""),"denial")</f>
        <v>denial</v>
      </c>
      <c r="AF1239" s="49" t="str">
        <f t="shared" si="4"/>
        <v>surprise,</v>
      </c>
      <c r="AG1239" s="49"/>
      <c r="AH1239" s="1" t="s">
        <v>154</v>
      </c>
      <c r="AI1239" s="1" t="s">
        <v>2274</v>
      </c>
      <c r="AJ1239" s="6" t="str">
        <f>IFERROR(__xludf.DUMMYFUNCTION("""COMPUTED_VALUE"""),"female")</f>
        <v>female</v>
      </c>
      <c r="AK1239" s="49"/>
      <c r="AL1239" s="49"/>
      <c r="AM1239" s="49"/>
      <c r="AN1239" s="52" t="str">
        <f t="shared" si="5"/>
        <v>getting,</v>
      </c>
    </row>
    <row r="1240">
      <c r="A1240" s="51"/>
      <c r="B1240" s="50" t="s">
        <v>3947</v>
      </c>
      <c r="C1240" s="50" t="s">
        <v>5719</v>
      </c>
      <c r="D1240" s="49" t="str">
        <f>IFERROR(__xludf.DUMMYFUNCTION("""COMPUTED_VALUE"""),"detail")</f>
        <v>detail</v>
      </c>
      <c r="E1240" s="49"/>
      <c r="F1240" s="49"/>
      <c r="G1240" s="49"/>
      <c r="H1240" s="54" t="str">
        <f t="shared" si="1"/>
        <v>artificial,</v>
      </c>
      <c r="I1240" s="50"/>
      <c r="J1240" s="50" t="s">
        <v>6984</v>
      </c>
      <c r="K1240" s="50" t="s">
        <v>3736</v>
      </c>
      <c r="L1240" s="49" t="str">
        <f>IFERROR(__xludf.DUMMYFUNCTION("""COMPUTED_VALUE"""),"exceeds")</f>
        <v>exceeds</v>
      </c>
      <c r="M1240" s="49"/>
      <c r="N1240" s="49"/>
      <c r="O1240" s="49" t="str">
        <f>IFERROR(__xludf.DUMMYFUNCTION("""COMPUTED_VALUE"""),"factors")</f>
        <v>factors</v>
      </c>
      <c r="P1240" s="49" t="str">
        <f t="shared" si="2"/>
        <v>farm,</v>
      </c>
      <c r="Q1240" s="49"/>
      <c r="R1240" s="50" t="s">
        <v>6695</v>
      </c>
      <c r="S1240" s="55" t="s">
        <v>594</v>
      </c>
      <c r="T1240" s="49" t="str">
        <f>IFERROR(__xludf.DUMMYFUNCTION("""COMPUTED_VALUE"""),"explode")</f>
        <v>explode</v>
      </c>
      <c r="U1240" s="49"/>
      <c r="V1240" s="49"/>
      <c r="W1240" s="49" t="str">
        <f>IFERROR(__xludf.DUMMYFUNCTION("""COMPUTED_VALUE"""),"posthumously")</f>
        <v>posthumously</v>
      </c>
      <c r="X1240" s="49" t="str">
        <f t="shared" si="3"/>
        <v>realized,</v>
      </c>
      <c r="Y1240" s="49"/>
      <c r="Z1240" s="1" t="s">
        <v>3597</v>
      </c>
      <c r="AA1240" s="1" t="s">
        <v>4237</v>
      </c>
      <c r="AB1240" s="49"/>
      <c r="AC1240" s="49"/>
      <c r="AD1240" s="49"/>
      <c r="AE1240" s="49" t="str">
        <f>IFERROR(__xludf.DUMMYFUNCTION("""COMPUTED_VALUE"""),"factors")</f>
        <v>factors</v>
      </c>
      <c r="AF1240" s="49" t="str">
        <f t="shared" si="4"/>
        <v>coming,</v>
      </c>
      <c r="AG1240" s="49"/>
      <c r="AH1240" s="1" t="s">
        <v>1816</v>
      </c>
      <c r="AI1240" s="1" t="s">
        <v>2327</v>
      </c>
      <c r="AJ1240" s="6" t="str">
        <f>IFERROR(__xludf.DUMMYFUNCTION("""COMPUTED_VALUE"""),"walked")</f>
        <v>walked</v>
      </c>
      <c r="AK1240" s="49"/>
      <c r="AL1240" s="49"/>
      <c r="AM1240" s="49"/>
      <c r="AN1240" s="52" t="str">
        <f t="shared" si="5"/>
        <v>plans,</v>
      </c>
    </row>
    <row r="1241">
      <c r="A1241" s="51"/>
      <c r="B1241" s="50" t="s">
        <v>3146</v>
      </c>
      <c r="C1241" s="50" t="s">
        <v>6467</v>
      </c>
      <c r="D1241" s="49" t="str">
        <f>IFERROR(__xludf.DUMMYFUNCTION("""COMPUTED_VALUE"""),"church")</f>
        <v>church</v>
      </c>
      <c r="E1241" s="49"/>
      <c r="F1241" s="49"/>
      <c r="G1241" s="49"/>
      <c r="H1241" s="54" t="str">
        <f t="shared" si="1"/>
        <v>fake,</v>
      </c>
      <c r="I1241" s="50"/>
      <c r="J1241" s="50" t="s">
        <v>645</v>
      </c>
      <c r="K1241" s="50" t="s">
        <v>1059</v>
      </c>
      <c r="L1241" s="49" t="str">
        <f>IFERROR(__xludf.DUMMYFUNCTION("""COMPUTED_VALUE"""),"breathe")</f>
        <v>breathe</v>
      </c>
      <c r="M1241" s="49"/>
      <c r="N1241" s="49"/>
      <c r="O1241" s="49" t="str">
        <f>IFERROR(__xludf.DUMMYFUNCTION("""COMPUTED_VALUE"""),"resistance")</f>
        <v>resistance</v>
      </c>
      <c r="P1241" s="49" t="str">
        <f t="shared" si="2"/>
        <v>moments,</v>
      </c>
      <c r="Q1241" s="49"/>
      <c r="R1241" s="50" t="s">
        <v>708</v>
      </c>
      <c r="S1241" s="55" t="s">
        <v>137</v>
      </c>
      <c r="T1241" s="49" t="str">
        <f>IFERROR(__xludf.DUMMYFUNCTION("""COMPUTED_VALUE"""),"lane")</f>
        <v>lane</v>
      </c>
      <c r="U1241" s="49"/>
      <c r="V1241" s="49"/>
      <c r="W1241" s="49" t="str">
        <f>IFERROR(__xludf.DUMMYFUNCTION("""COMPUTED_VALUE"""),"published")</f>
        <v>published</v>
      </c>
      <c r="X1241" s="49" t="str">
        <f t="shared" si="3"/>
        <v>beautifully,</v>
      </c>
      <c r="Y1241" s="49"/>
      <c r="Z1241" s="1" t="s">
        <v>7292</v>
      </c>
      <c r="AA1241" s="1" t="s">
        <v>1010</v>
      </c>
      <c r="AB1241" s="49"/>
      <c r="AC1241" s="49"/>
      <c r="AD1241" s="49"/>
      <c r="AE1241" s="49" t="str">
        <f>IFERROR(__xludf.DUMMYFUNCTION("""COMPUTED_VALUE"""),"resistance")</f>
        <v>resistance</v>
      </c>
      <c r="AF1241" s="49" t="str">
        <f t="shared" si="4"/>
        <v>cleaner,</v>
      </c>
      <c r="AG1241" s="49"/>
      <c r="AH1241" s="1" t="s">
        <v>3757</v>
      </c>
      <c r="AI1241" s="1" t="s">
        <v>5454</v>
      </c>
      <c r="AJ1241" s="6" t="str">
        <f>IFERROR(__xludf.DUMMYFUNCTION("""COMPUTED_VALUE"""),"student")</f>
        <v>student</v>
      </c>
      <c r="AK1241" s="49"/>
      <c r="AL1241" s="49"/>
      <c r="AM1241" s="49"/>
      <c r="AN1241" s="52" t="str">
        <f t="shared" si="5"/>
        <v>morgan,</v>
      </c>
    </row>
    <row r="1242">
      <c r="A1242" s="51"/>
      <c r="B1242" s="50" t="s">
        <v>1207</v>
      </c>
      <c r="C1242" s="50" t="s">
        <v>3813</v>
      </c>
      <c r="D1242" s="49" t="str">
        <f>IFERROR(__xludf.DUMMYFUNCTION("""COMPUTED_VALUE"""),"creating")</f>
        <v>creating</v>
      </c>
      <c r="E1242" s="49"/>
      <c r="F1242" s="49"/>
      <c r="G1242" s="49"/>
      <c r="H1242" s="54" t="str">
        <f t="shared" si="1"/>
        <v>shallow,</v>
      </c>
      <c r="I1242" s="50"/>
      <c r="J1242" s="50" t="s">
        <v>7332</v>
      </c>
      <c r="K1242" s="50" t="s">
        <v>1271</v>
      </c>
      <c r="L1242" s="49" t="str">
        <f>IFERROR(__xludf.DUMMYFUNCTION("""COMPUTED_VALUE"""),"celebrated")</f>
        <v>celebrated</v>
      </c>
      <c r="M1242" s="49"/>
      <c r="N1242" s="49"/>
      <c r="O1242" s="49" t="str">
        <f>IFERROR(__xludf.DUMMYFUNCTION("""COMPUTED_VALUE"""),"levy")</f>
        <v>levy</v>
      </c>
      <c r="P1242" s="49" t="str">
        <f t="shared" si="2"/>
        <v>dire,</v>
      </c>
      <c r="Q1242" s="49"/>
      <c r="R1242" s="50" t="s">
        <v>4571</v>
      </c>
      <c r="S1242" s="55" t="s">
        <v>3556</v>
      </c>
      <c r="T1242" s="49" t="str">
        <f>IFERROR(__xludf.DUMMYFUNCTION("""COMPUTED_VALUE"""),"chiefly")</f>
        <v>chiefly</v>
      </c>
      <c r="U1242" s="49"/>
      <c r="V1242" s="49"/>
      <c r="W1242" s="49" t="str">
        <f>IFERROR(__xludf.DUMMYFUNCTION("""COMPUTED_VALUE"""),"overwhelmed")</f>
        <v>overwhelmed</v>
      </c>
      <c r="X1242" s="49" t="str">
        <f t="shared" si="3"/>
        <v>memory,</v>
      </c>
      <c r="Y1242" s="49"/>
      <c r="Z1242" s="1" t="s">
        <v>2609</v>
      </c>
      <c r="AA1242" s="1" t="s">
        <v>870</v>
      </c>
      <c r="AB1242" s="49"/>
      <c r="AC1242" s="49"/>
      <c r="AD1242" s="49"/>
      <c r="AE1242" s="49" t="str">
        <f>IFERROR(__xludf.DUMMYFUNCTION("""COMPUTED_VALUE"""),"levy")</f>
        <v>levy</v>
      </c>
      <c r="AF1242" s="49" t="str">
        <f t="shared" si="4"/>
        <v>fish,</v>
      </c>
      <c r="AG1242" s="49"/>
      <c r="AH1242" s="1" t="s">
        <v>1236</v>
      </c>
      <c r="AI1242" s="1" t="s">
        <v>2329</v>
      </c>
      <c r="AJ1242" s="6" t="str">
        <f>IFERROR(__xludf.DUMMYFUNCTION("""COMPUTED_VALUE"""),"step")</f>
        <v>step</v>
      </c>
      <c r="AK1242" s="49"/>
      <c r="AL1242" s="49"/>
      <c r="AM1242" s="49"/>
      <c r="AN1242" s="52" t="str">
        <f t="shared" si="5"/>
        <v>represents,</v>
      </c>
    </row>
    <row r="1243">
      <c r="A1243" s="51"/>
      <c r="B1243" s="50" t="s">
        <v>2667</v>
      </c>
      <c r="C1243" s="50" t="s">
        <v>6462</v>
      </c>
      <c r="D1243" s="49" t="str">
        <f>IFERROR(__xludf.DUMMYFUNCTION("""COMPUTED_VALUE"""),"fall")</f>
        <v>fall</v>
      </c>
      <c r="E1243" s="49"/>
      <c r="F1243" s="49"/>
      <c r="G1243" s="49"/>
      <c r="H1243" s="54" t="str">
        <f t="shared" si="1"/>
        <v>testament,</v>
      </c>
      <c r="I1243" s="50"/>
      <c r="J1243" s="50" t="s">
        <v>2153</v>
      </c>
      <c r="K1243" s="50" t="s">
        <v>2586</v>
      </c>
      <c r="L1243" s="49" t="str">
        <f>IFERROR(__xludf.DUMMYFUNCTION("""COMPUTED_VALUE"""),"runner")</f>
        <v>runner</v>
      </c>
      <c r="M1243" s="49"/>
      <c r="N1243" s="49"/>
      <c r="O1243" s="49" t="str">
        <f>IFERROR(__xludf.DUMMYFUNCTION("""COMPUTED_VALUE"""),"championship")</f>
        <v>championship</v>
      </c>
      <c r="P1243" s="49" t="str">
        <f t="shared" si="2"/>
        <v>gentle,</v>
      </c>
      <c r="Q1243" s="49"/>
      <c r="R1243" s="50" t="s">
        <v>4407</v>
      </c>
      <c r="S1243" s="55" t="s">
        <v>5916</v>
      </c>
      <c r="T1243" s="49" t="str">
        <f>IFERROR(__xludf.DUMMYFUNCTION("""COMPUTED_VALUE"""),"doomed")</f>
        <v>doomed</v>
      </c>
      <c r="U1243" s="49"/>
      <c r="V1243" s="49"/>
      <c r="W1243" s="49" t="str">
        <f>IFERROR(__xludf.DUMMYFUNCTION("""COMPUTED_VALUE"""),"canon")</f>
        <v>canon</v>
      </c>
      <c r="X1243" s="49" t="str">
        <f t="shared" si="3"/>
        <v>belly,</v>
      </c>
      <c r="Y1243" s="49"/>
      <c r="Z1243" s="1" t="s">
        <v>636</v>
      </c>
      <c r="AA1243" s="1" t="s">
        <v>4240</v>
      </c>
      <c r="AB1243" s="49"/>
      <c r="AC1243" s="49"/>
      <c r="AD1243" s="49"/>
      <c r="AE1243" s="49" t="str">
        <f>IFERROR(__xludf.DUMMYFUNCTION("""COMPUTED_VALUE"""),"championship")</f>
        <v>championship</v>
      </c>
      <c r="AF1243" s="49" t="str">
        <f t="shared" si="4"/>
        <v>clever,</v>
      </c>
      <c r="AG1243" s="49"/>
      <c r="AH1243" s="1" t="s">
        <v>2258</v>
      </c>
      <c r="AI1243" s="1" t="s">
        <v>3296</v>
      </c>
      <c r="AJ1243" s="6" t="str">
        <f>IFERROR(__xludf.DUMMYFUNCTION("""COMPUTED_VALUE"""),"filled")</f>
        <v>filled</v>
      </c>
      <c r="AK1243" s="49"/>
      <c r="AL1243" s="49"/>
      <c r="AM1243" s="49"/>
      <c r="AN1243" s="52" t="str">
        <f t="shared" si="5"/>
        <v>keeps,</v>
      </c>
    </row>
    <row r="1244">
      <c r="A1244" s="51"/>
      <c r="B1244" s="50" t="s">
        <v>1525</v>
      </c>
      <c r="C1244" s="50" t="s">
        <v>73</v>
      </c>
      <c r="D1244" s="49" t="str">
        <f>IFERROR(__xludf.DUMMYFUNCTION("""COMPUTED_VALUE"""),"featuring")</f>
        <v>featuring</v>
      </c>
      <c r="E1244" s="49"/>
      <c r="F1244" s="49"/>
      <c r="G1244" s="49"/>
      <c r="H1244" s="54" t="str">
        <f t="shared" si="1"/>
        <v>written,</v>
      </c>
      <c r="I1244" s="50"/>
      <c r="J1244" s="50" t="s">
        <v>4015</v>
      </c>
      <c r="K1244" s="50" t="s">
        <v>2589</v>
      </c>
      <c r="L1244" s="49" t="str">
        <f>IFERROR(__xludf.DUMMYFUNCTION("""COMPUTED_VALUE"""),"shadowy")</f>
        <v>shadowy</v>
      </c>
      <c r="M1244" s="49"/>
      <c r="N1244" s="49"/>
      <c r="O1244" s="49" t="str">
        <f>IFERROR(__xludf.DUMMYFUNCTION("""COMPUTED_VALUE"""),"stroked")</f>
        <v>stroked</v>
      </c>
      <c r="P1244" s="49" t="str">
        <f t="shared" si="2"/>
        <v>conventional,</v>
      </c>
      <c r="Q1244" s="49"/>
      <c r="R1244" s="50" t="s">
        <v>4182</v>
      </c>
      <c r="S1244" s="55" t="s">
        <v>1577</v>
      </c>
      <c r="T1244" s="49" t="str">
        <f>IFERROR(__xludf.DUMMYFUNCTION("""COMPUTED_VALUE"""),"allowing")</f>
        <v>allowing</v>
      </c>
      <c r="U1244" s="49"/>
      <c r="V1244" s="49"/>
      <c r="W1244" s="49" t="str">
        <f>IFERROR(__xludf.DUMMYFUNCTION("""COMPUTED_VALUE"""),"capturing")</f>
        <v>capturing</v>
      </c>
      <c r="X1244" s="49" t="str">
        <f t="shared" si="3"/>
        <v>forced,</v>
      </c>
      <c r="Y1244" s="49"/>
      <c r="Z1244" s="1" t="s">
        <v>4449</v>
      </c>
      <c r="AA1244" s="1" t="s">
        <v>4242</v>
      </c>
      <c r="AB1244" s="49"/>
      <c r="AC1244" s="49"/>
      <c r="AD1244" s="49"/>
      <c r="AE1244" s="49" t="str">
        <f>IFERROR(__xludf.DUMMYFUNCTION("""COMPUTED_VALUE"""),"stroked")</f>
        <v>stroked</v>
      </c>
      <c r="AF1244" s="49" t="str">
        <f t="shared" si="4"/>
        <v>tank,</v>
      </c>
      <c r="AG1244" s="49"/>
      <c r="AH1244" s="1" t="s">
        <v>6556</v>
      </c>
      <c r="AI1244" s="1" t="s">
        <v>3421</v>
      </c>
      <c r="AJ1244" s="6" t="str">
        <f>IFERROR(__xludf.DUMMYFUNCTION("""COMPUTED_VALUE"""),"fear")</f>
        <v>fear</v>
      </c>
      <c r="AK1244" s="49"/>
      <c r="AL1244" s="49"/>
      <c r="AM1244" s="49"/>
      <c r="AN1244" s="52" t="str">
        <f t="shared" si="5"/>
        <v>james,</v>
      </c>
    </row>
    <row r="1245">
      <c r="A1245" s="51"/>
      <c r="B1245" s="50" t="s">
        <v>1214</v>
      </c>
      <c r="C1245" s="50" t="s">
        <v>2295</v>
      </c>
      <c r="D1245" s="49" t="str">
        <f>IFERROR(__xludf.DUMMYFUNCTION("""COMPUTED_VALUE"""),"grace")</f>
        <v>grace</v>
      </c>
      <c r="E1245" s="49"/>
      <c r="F1245" s="49"/>
      <c r="G1245" s="49"/>
      <c r="H1245" s="54" t="str">
        <f t="shared" si="1"/>
        <v>change,</v>
      </c>
      <c r="I1245" s="50"/>
      <c r="J1245" s="50" t="s">
        <v>7333</v>
      </c>
      <c r="K1245" s="50" t="s">
        <v>4247</v>
      </c>
      <c r="L1245" s="49" t="str">
        <f>IFERROR(__xludf.DUMMYFUNCTION("""COMPUTED_VALUE"""),"optimistic")</f>
        <v>optimistic</v>
      </c>
      <c r="M1245" s="49"/>
      <c r="N1245" s="49"/>
      <c r="O1245" s="49" t="str">
        <f>IFERROR(__xludf.DUMMYFUNCTION("""COMPUTED_VALUE"""),"vin")</f>
        <v>vin</v>
      </c>
      <c r="P1245" s="49" t="str">
        <f t="shared" si="2"/>
        <v>alec,</v>
      </c>
      <c r="Q1245" s="49"/>
      <c r="R1245" s="50" t="s">
        <v>1698</v>
      </c>
      <c r="S1245" s="55" t="s">
        <v>2741</v>
      </c>
      <c r="T1245" s="49" t="str">
        <f>IFERROR(__xludf.DUMMYFUNCTION("""COMPUTED_VALUE"""),"term")</f>
        <v>term</v>
      </c>
      <c r="U1245" s="49"/>
      <c r="V1245" s="49"/>
      <c r="W1245" s="49" t="str">
        <f>IFERROR(__xludf.DUMMYFUNCTION("""COMPUTED_VALUE"""),"fantasies")</f>
        <v>fantasies</v>
      </c>
      <c r="X1245" s="49" t="str">
        <f t="shared" si="3"/>
        <v>fat,</v>
      </c>
      <c r="Y1245" s="49"/>
      <c r="Z1245" s="1" t="s">
        <v>3049</v>
      </c>
      <c r="AA1245" s="1" t="s">
        <v>1017</v>
      </c>
      <c r="AB1245" s="49"/>
      <c r="AC1245" s="49"/>
      <c r="AD1245" s="49"/>
      <c r="AE1245" s="49" t="str">
        <f>IFERROR(__xludf.DUMMYFUNCTION("""COMPUTED_VALUE"""),"vin")</f>
        <v>vin</v>
      </c>
      <c r="AF1245" s="49" t="str">
        <f t="shared" si="4"/>
        <v>humorous,</v>
      </c>
      <c r="AG1245" s="49"/>
      <c r="AH1245" s="1" t="s">
        <v>3356</v>
      </c>
      <c r="AI1245" s="1" t="s">
        <v>2332</v>
      </c>
      <c r="AJ1245" s="6" t="str">
        <f>IFERROR(__xludf.DUMMYFUNCTION("""COMPUTED_VALUE"""),"ring")</f>
        <v>ring</v>
      </c>
      <c r="AK1245" s="49"/>
      <c r="AL1245" s="49"/>
      <c r="AM1245" s="49"/>
      <c r="AN1245" s="52" t="str">
        <f t="shared" si="5"/>
        <v>move,</v>
      </c>
    </row>
    <row r="1246">
      <c r="A1246" s="51"/>
      <c r="B1246" s="50" t="s">
        <v>2412</v>
      </c>
      <c r="C1246" s="50" t="s">
        <v>3304</v>
      </c>
      <c r="D1246" s="49" t="str">
        <f>IFERROR(__xludf.DUMMYFUNCTION("""COMPUTED_VALUE"""),"side")</f>
        <v>side</v>
      </c>
      <c r="E1246" s="49"/>
      <c r="F1246" s="49"/>
      <c r="G1246" s="49"/>
      <c r="H1246" s="54" t="str">
        <f t="shared" si="1"/>
        <v>money,</v>
      </c>
      <c r="I1246" s="50"/>
      <c r="J1246" s="50" t="s">
        <v>44</v>
      </c>
      <c r="K1246" s="50" t="s">
        <v>2592</v>
      </c>
      <c r="L1246" s="49" t="str">
        <f>IFERROR(__xludf.DUMMYFUNCTION("""COMPUTED_VALUE"""),"terrific")</f>
        <v>terrific</v>
      </c>
      <c r="M1246" s="49"/>
      <c r="N1246" s="49"/>
      <c r="O1246" s="49" t="str">
        <f>IFERROR(__xludf.DUMMYFUNCTION("""COMPUTED_VALUE"""),"furiously")</f>
        <v>furiously</v>
      </c>
      <c r="P1246" s="49" t="str">
        <f t="shared" si="2"/>
        <v>feminist,</v>
      </c>
      <c r="Q1246" s="49"/>
      <c r="R1246" s="50" t="s">
        <v>2817</v>
      </c>
      <c r="S1246" s="55" t="s">
        <v>737</v>
      </c>
      <c r="T1246" s="49" t="str">
        <f>IFERROR(__xludf.DUMMYFUNCTION("""COMPUTED_VALUE"""),"backlash")</f>
        <v>backlash</v>
      </c>
      <c r="U1246" s="49"/>
      <c r="V1246" s="49"/>
      <c r="W1246" s="49" t="str">
        <f>IFERROR(__xludf.DUMMYFUNCTION("""COMPUTED_VALUE"""),"metaphysical")</f>
        <v>metaphysical</v>
      </c>
      <c r="X1246" s="49" t="str">
        <f t="shared" si="3"/>
        <v>debt,</v>
      </c>
      <c r="Y1246" s="49"/>
      <c r="Z1246" s="1" t="s">
        <v>1256</v>
      </c>
      <c r="AA1246" s="1" t="s">
        <v>4248</v>
      </c>
      <c r="AB1246" s="49"/>
      <c r="AC1246" s="49"/>
      <c r="AD1246" s="49"/>
      <c r="AE1246" s="49" t="str">
        <f>IFERROR(__xludf.DUMMYFUNCTION("""COMPUTED_VALUE"""),"furiously")</f>
        <v>furiously</v>
      </c>
      <c r="AF1246" s="49" t="str">
        <f t="shared" si="4"/>
        <v>produced,</v>
      </c>
      <c r="AG1246" s="49"/>
      <c r="AH1246" s="1" t="s">
        <v>1430</v>
      </c>
      <c r="AI1246" s="1" t="s">
        <v>1659</v>
      </c>
      <c r="AJ1246" s="6" t="str">
        <f>IFERROR(__xludf.DUMMYFUNCTION("""COMPUTED_VALUE"""),"conversation")</f>
        <v>conversation</v>
      </c>
      <c r="AK1246" s="49"/>
      <c r="AL1246" s="49"/>
      <c r="AM1246" s="49"/>
      <c r="AN1246" s="52" t="str">
        <f t="shared" si="5"/>
        <v>artist,</v>
      </c>
    </row>
    <row r="1247">
      <c r="A1247" s="51"/>
      <c r="B1247" s="50" t="s">
        <v>2132</v>
      </c>
      <c r="C1247" s="50" t="s">
        <v>3299</v>
      </c>
      <c r="D1247" s="49" t="str">
        <f>IFERROR(__xludf.DUMMYFUNCTION("""COMPUTED_VALUE"""),"eastern")</f>
        <v>eastern</v>
      </c>
      <c r="E1247" s="49"/>
      <c r="F1247" s="49"/>
      <c r="G1247" s="49"/>
      <c r="H1247" s="54" t="str">
        <f t="shared" si="1"/>
        <v>sign,</v>
      </c>
      <c r="I1247" s="50"/>
      <c r="J1247" s="50" t="s">
        <v>3548</v>
      </c>
      <c r="K1247" s="50" t="s">
        <v>1958</v>
      </c>
      <c r="L1247" s="49" t="str">
        <f>IFERROR(__xludf.DUMMYFUNCTION("""COMPUTED_VALUE"""),"pedestrian")</f>
        <v>pedestrian</v>
      </c>
      <c r="M1247" s="49"/>
      <c r="N1247" s="49"/>
      <c r="O1247" s="49" t="str">
        <f>IFERROR(__xludf.DUMMYFUNCTION("""COMPUTED_VALUE"""),"banged")</f>
        <v>banged</v>
      </c>
      <c r="P1247" s="49" t="str">
        <f t="shared" si="2"/>
        <v>popcorn,</v>
      </c>
      <c r="Q1247" s="49"/>
      <c r="R1247" s="50" t="s">
        <v>6826</v>
      </c>
      <c r="S1247" s="55" t="s">
        <v>2437</v>
      </c>
      <c r="T1247" s="49" t="str">
        <f>IFERROR(__xludf.DUMMYFUNCTION("""COMPUTED_VALUE"""),"hall")</f>
        <v>hall</v>
      </c>
      <c r="U1247" s="49"/>
      <c r="V1247" s="49"/>
      <c r="W1247" s="49" t="str">
        <f>IFERROR(__xludf.DUMMYFUNCTION("""COMPUTED_VALUE"""),"canadians")</f>
        <v>canadians</v>
      </c>
      <c r="X1247" s="49" t="str">
        <f t="shared" si="3"/>
        <v>lying,</v>
      </c>
      <c r="Y1247" s="49"/>
      <c r="Z1247" s="1" t="s">
        <v>2889</v>
      </c>
      <c r="AA1247" s="1" t="s">
        <v>1026</v>
      </c>
      <c r="AB1247" s="49"/>
      <c r="AC1247" s="49"/>
      <c r="AD1247" s="49"/>
      <c r="AE1247" s="49" t="str">
        <f>IFERROR(__xludf.DUMMYFUNCTION("""COMPUTED_VALUE"""),"banged")</f>
        <v>banged</v>
      </c>
      <c r="AF1247" s="49" t="str">
        <f t="shared" si="4"/>
        <v>creative,</v>
      </c>
      <c r="AG1247" s="49"/>
      <c r="AH1247" s="1" t="s">
        <v>1762</v>
      </c>
      <c r="AI1247" s="1" t="s">
        <v>2710</v>
      </c>
      <c r="AJ1247" s="6" t="str">
        <f>IFERROR(__xludf.DUMMYFUNCTION("""COMPUTED_VALUE"""),"fallen")</f>
        <v>fallen</v>
      </c>
      <c r="AK1247" s="49"/>
      <c r="AL1247" s="49"/>
      <c r="AM1247" s="49"/>
      <c r="AN1247" s="52" t="str">
        <f t="shared" si="5"/>
        <v>appear,</v>
      </c>
    </row>
    <row r="1248">
      <c r="A1248" s="51"/>
      <c r="B1248" s="50" t="s">
        <v>3543</v>
      </c>
      <c r="C1248" s="50" t="s">
        <v>4699</v>
      </c>
      <c r="D1248" s="49" t="str">
        <f>IFERROR(__xludf.DUMMYFUNCTION("""COMPUTED_VALUE"""),"neither")</f>
        <v>neither</v>
      </c>
      <c r="E1248" s="49"/>
      <c r="F1248" s="49"/>
      <c r="G1248" s="49"/>
      <c r="H1248" s="54" t="str">
        <f t="shared" si="1"/>
        <v>warning,</v>
      </c>
      <c r="I1248" s="50"/>
      <c r="J1248" s="50" t="s">
        <v>2145</v>
      </c>
      <c r="K1248" s="50" t="s">
        <v>1278</v>
      </c>
      <c r="L1248" s="49" t="str">
        <f>IFERROR(__xludf.DUMMYFUNCTION("""COMPUTED_VALUE"""),"dismay")</f>
        <v>dismay</v>
      </c>
      <c r="M1248" s="49"/>
      <c r="N1248" s="49"/>
      <c r="O1248" s="49" t="str">
        <f>IFERROR(__xludf.DUMMYFUNCTION("""COMPUTED_VALUE"""),"posthumously")</f>
        <v>posthumously</v>
      </c>
      <c r="P1248" s="49" t="str">
        <f t="shared" si="2"/>
        <v>ticket,</v>
      </c>
      <c r="Q1248" s="49"/>
      <c r="R1248" s="50" t="s">
        <v>2722</v>
      </c>
      <c r="S1248" s="55" t="s">
        <v>4232</v>
      </c>
      <c r="T1248" s="49" t="str">
        <f>IFERROR(__xludf.DUMMYFUNCTION("""COMPUTED_VALUE"""),"feathers")</f>
        <v>feathers</v>
      </c>
      <c r="U1248" s="49"/>
      <c r="V1248" s="49"/>
      <c r="W1248" s="49" t="str">
        <f>IFERROR(__xludf.DUMMYFUNCTION("""COMPUTED_VALUE"""),"calculated")</f>
        <v>calculated</v>
      </c>
      <c r="X1248" s="49" t="str">
        <f t="shared" si="3"/>
        <v>leaves,</v>
      </c>
      <c r="Y1248" s="49"/>
      <c r="Z1248" s="1" t="s">
        <v>1015</v>
      </c>
      <c r="AA1248" s="1" t="s">
        <v>67</v>
      </c>
      <c r="AB1248" s="49"/>
      <c r="AC1248" s="49"/>
      <c r="AD1248" s="49"/>
      <c r="AE1248" s="49" t="str">
        <f>IFERROR(__xludf.DUMMYFUNCTION("""COMPUTED_VALUE"""),"posthumously")</f>
        <v>posthumously</v>
      </c>
      <c r="AF1248" s="49" t="str">
        <f t="shared" si="4"/>
        <v>translation,</v>
      </c>
      <c r="AG1248" s="49"/>
      <c r="AH1248" s="1" t="s">
        <v>2503</v>
      </c>
      <c r="AI1248" s="1" t="s">
        <v>6469</v>
      </c>
      <c r="AJ1248" s="6" t="str">
        <f>IFERROR(__xludf.DUMMYFUNCTION("""COMPUTED_VALUE"""),"asleep")</f>
        <v>asleep</v>
      </c>
      <c r="AK1248" s="49"/>
      <c r="AL1248" s="49"/>
      <c r="AM1248" s="49"/>
      <c r="AN1248" s="52" t="str">
        <f t="shared" si="5"/>
        <v>basic,</v>
      </c>
    </row>
    <row r="1249">
      <c r="A1249" s="51"/>
      <c r="B1249" s="50" t="s">
        <v>6284</v>
      </c>
      <c r="C1249" s="50" t="s">
        <v>1094</v>
      </c>
      <c r="D1249" s="49" t="str">
        <f>IFERROR(__xludf.DUMMYFUNCTION("""COMPUTED_VALUE"""),"mean")</f>
        <v>mean</v>
      </c>
      <c r="E1249" s="49"/>
      <c r="F1249" s="49"/>
      <c r="G1249" s="49"/>
      <c r="H1249" s="54" t="str">
        <f t="shared" si="1"/>
        <v>dirty,</v>
      </c>
      <c r="I1249" s="50"/>
      <c r="J1249" s="50" t="s">
        <v>4598</v>
      </c>
      <c r="K1249" s="50" t="s">
        <v>1285</v>
      </c>
      <c r="L1249" s="49" t="str">
        <f>IFERROR(__xludf.DUMMYFUNCTION("""COMPUTED_VALUE"""),"represented")</f>
        <v>represented</v>
      </c>
      <c r="M1249" s="49"/>
      <c r="N1249" s="49"/>
      <c r="O1249" s="49" t="str">
        <f>IFERROR(__xludf.DUMMYFUNCTION("""COMPUTED_VALUE"""),"published")</f>
        <v>published</v>
      </c>
      <c r="P1249" s="49" t="str">
        <f t="shared" si="2"/>
        <v>sneak,</v>
      </c>
      <c r="Q1249" s="49"/>
      <c r="R1249" s="50" t="s">
        <v>7334</v>
      </c>
      <c r="S1249" s="55" t="s">
        <v>2467</v>
      </c>
      <c r="T1249" s="49" t="str">
        <f>IFERROR(__xludf.DUMMYFUNCTION("""COMPUTED_VALUE"""),"myth")</f>
        <v>myth</v>
      </c>
      <c r="U1249" s="49"/>
      <c r="V1249" s="49"/>
      <c r="W1249" s="49" t="str">
        <f>IFERROR(__xludf.DUMMYFUNCTION("""COMPUTED_VALUE"""),"psychotic")</f>
        <v>psychotic</v>
      </c>
      <c r="X1249" s="49" t="str">
        <f t="shared" si="3"/>
        <v>benjamin,</v>
      </c>
      <c r="Y1249" s="49"/>
      <c r="Z1249" s="1" t="s">
        <v>510</v>
      </c>
      <c r="AA1249" s="1" t="s">
        <v>1030</v>
      </c>
      <c r="AB1249" s="49"/>
      <c r="AC1249" s="49"/>
      <c r="AD1249" s="49"/>
      <c r="AE1249" s="49" t="str">
        <f>IFERROR(__xludf.DUMMYFUNCTION("""COMPUTED_VALUE"""),"published")</f>
        <v>published</v>
      </c>
      <c r="AF1249" s="49" t="str">
        <f t="shared" si="4"/>
        <v>enduring,</v>
      </c>
      <c r="AG1249" s="49"/>
      <c r="AH1249" s="1" t="s">
        <v>4184</v>
      </c>
      <c r="AI1249" s="1" t="s">
        <v>6470</v>
      </c>
      <c r="AJ1249" s="6" t="str">
        <f>IFERROR(__xludf.DUMMYFUNCTION("""COMPUTED_VALUE"""),"intent")</f>
        <v>intent</v>
      </c>
      <c r="AK1249" s="49"/>
      <c r="AL1249" s="49"/>
      <c r="AM1249" s="49"/>
      <c r="AN1249" s="52" t="str">
        <f t="shared" si="5"/>
        <v>soul,</v>
      </c>
    </row>
    <row r="1250">
      <c r="A1250" s="51"/>
      <c r="B1250" s="50" t="s">
        <v>775</v>
      </c>
      <c r="C1250" s="50" t="s">
        <v>4040</v>
      </c>
      <c r="D1250" s="49" t="str">
        <f>IFERROR(__xludf.DUMMYFUNCTION("""COMPUTED_VALUE"""),"longest")</f>
        <v>longest</v>
      </c>
      <c r="E1250" s="49"/>
      <c r="F1250" s="49"/>
      <c r="G1250" s="49"/>
      <c r="H1250" s="54" t="str">
        <f t="shared" si="1"/>
        <v>apparent,</v>
      </c>
      <c r="I1250" s="50"/>
      <c r="J1250" s="50" t="s">
        <v>3760</v>
      </c>
      <c r="K1250" s="50" t="s">
        <v>2140</v>
      </c>
      <c r="L1250" s="49" t="str">
        <f>IFERROR(__xludf.DUMMYFUNCTION("""COMPUTED_VALUE"""),"thrill")</f>
        <v>thrill</v>
      </c>
      <c r="M1250" s="49"/>
      <c r="N1250" s="49"/>
      <c r="O1250" s="49" t="str">
        <f>IFERROR(__xludf.DUMMYFUNCTION("""COMPUTED_VALUE"""),"canon")</f>
        <v>canon</v>
      </c>
      <c r="P1250" s="49" t="str">
        <f t="shared" si="2"/>
        <v>quickly,</v>
      </c>
      <c r="Q1250" s="49"/>
      <c r="R1250" s="50" t="s">
        <v>7335</v>
      </c>
      <c r="S1250" s="55" t="s">
        <v>603</v>
      </c>
      <c r="T1250" s="49" t="str">
        <f>IFERROR(__xludf.DUMMYFUNCTION("""COMPUTED_VALUE"""),"rendered")</f>
        <v>rendered</v>
      </c>
      <c r="U1250" s="49"/>
      <c r="V1250" s="49"/>
      <c r="W1250" s="49" t="str">
        <f>IFERROR(__xludf.DUMMYFUNCTION("""COMPUTED_VALUE"""),"cabins")</f>
        <v>cabins</v>
      </c>
      <c r="X1250" s="49" t="str">
        <f t="shared" si="3"/>
        <v>usher,</v>
      </c>
      <c r="Y1250" s="49"/>
      <c r="Z1250" s="1">
        <v>20.0</v>
      </c>
      <c r="AA1250" s="1" t="s">
        <v>886</v>
      </c>
      <c r="AB1250" s="49"/>
      <c r="AC1250" s="49"/>
      <c r="AD1250" s="49"/>
      <c r="AE1250" s="49" t="str">
        <f>IFERROR(__xludf.DUMMYFUNCTION("""COMPUTED_VALUE"""),"canon")</f>
        <v>canon</v>
      </c>
      <c r="AF1250" s="49" t="str">
        <f t="shared" si="4"/>
        <v>20,</v>
      </c>
      <c r="AG1250" s="49"/>
      <c r="AH1250" s="1" t="s">
        <v>1077</v>
      </c>
      <c r="AI1250" s="1" t="s">
        <v>6471</v>
      </c>
      <c r="AJ1250" s="6" t="str">
        <f>IFERROR(__xludf.DUMMYFUNCTION("""COMPUTED_VALUE"""),"dollar")</f>
        <v>dollar</v>
      </c>
      <c r="AK1250" s="49"/>
      <c r="AL1250" s="49"/>
      <c r="AM1250" s="49"/>
      <c r="AN1250" s="52" t="str">
        <f t="shared" si="5"/>
        <v>comic,</v>
      </c>
    </row>
    <row r="1251">
      <c r="A1251" s="51"/>
      <c r="B1251" s="50" t="s">
        <v>1491</v>
      </c>
      <c r="C1251" s="50" t="s">
        <v>2304</v>
      </c>
      <c r="D1251" s="49" t="str">
        <f>IFERROR(__xludf.DUMMYFUNCTION("""COMPUTED_VALUE"""),"literally")</f>
        <v>literally</v>
      </c>
      <c r="E1251" s="49"/>
      <c r="F1251" s="49"/>
      <c r="G1251" s="49"/>
      <c r="H1251" s="54" t="str">
        <f t="shared" si="1"/>
        <v>award,</v>
      </c>
      <c r="I1251" s="50"/>
      <c r="J1251" s="50" t="s">
        <v>3819</v>
      </c>
      <c r="K1251" s="50" t="s">
        <v>2549</v>
      </c>
      <c r="L1251" s="49" t="str">
        <f>IFERROR(__xludf.DUMMYFUNCTION("""COMPUTED_VALUE"""),"reckless")</f>
        <v>reckless</v>
      </c>
      <c r="M1251" s="49"/>
      <c r="N1251" s="49"/>
      <c r="O1251" s="49" t="str">
        <f>IFERROR(__xludf.DUMMYFUNCTION("""COMPUTED_VALUE"""),"flesh")</f>
        <v>flesh</v>
      </c>
      <c r="P1251" s="49" t="str">
        <f t="shared" si="2"/>
        <v>unless,</v>
      </c>
      <c r="Q1251" s="49"/>
      <c r="R1251" s="50" t="s">
        <v>4270</v>
      </c>
      <c r="S1251" s="55" t="s">
        <v>1153</v>
      </c>
      <c r="T1251" s="49" t="str">
        <f>IFERROR(__xludf.DUMMYFUNCTION("""COMPUTED_VALUE"""),"vh1")</f>
        <v>vh1</v>
      </c>
      <c r="U1251" s="49"/>
      <c r="V1251" s="49"/>
      <c r="W1251" s="49" t="str">
        <f>IFERROR(__xludf.DUMMYFUNCTION("""COMPUTED_VALUE"""),"astronauts")</f>
        <v>astronauts</v>
      </c>
      <c r="X1251" s="49" t="str">
        <f t="shared" si="3"/>
        <v>burning,</v>
      </c>
      <c r="Y1251" s="49"/>
      <c r="Z1251" s="1" t="s">
        <v>4212</v>
      </c>
      <c r="AA1251" s="1" t="s">
        <v>4255</v>
      </c>
      <c r="AB1251" s="49"/>
      <c r="AC1251" s="49"/>
      <c r="AD1251" s="49"/>
      <c r="AE1251" s="49" t="str">
        <f>IFERROR(__xludf.DUMMYFUNCTION("""COMPUTED_VALUE"""),"flesh")</f>
        <v>flesh</v>
      </c>
      <c r="AF1251" s="49" t="str">
        <f t="shared" si="4"/>
        <v>evident,</v>
      </c>
      <c r="AG1251" s="49"/>
      <c r="AH1251" s="1" t="s">
        <v>6419</v>
      </c>
      <c r="AI1251" s="1" t="s">
        <v>6473</v>
      </c>
      <c r="AJ1251" s="6" t="str">
        <f>IFERROR(__xludf.DUMMYFUNCTION("""COMPUTED_VALUE"""),"written")</f>
        <v>written</v>
      </c>
      <c r="AK1251" s="49"/>
      <c r="AL1251" s="49"/>
      <c r="AM1251" s="49"/>
      <c r="AN1251" s="52" t="str">
        <f t="shared" si="5"/>
        <v>franchise,</v>
      </c>
    </row>
    <row r="1252">
      <c r="A1252" s="51"/>
      <c r="B1252" s="50">
        <v>1995.0</v>
      </c>
      <c r="C1252" s="50" t="s">
        <v>816</v>
      </c>
      <c r="D1252" s="49" t="str">
        <f>IFERROR(__xludf.DUMMYFUNCTION("""COMPUTED_VALUE"""),"stops")</f>
        <v>stops</v>
      </c>
      <c r="E1252" s="49"/>
      <c r="F1252" s="49"/>
      <c r="G1252" s="49"/>
      <c r="H1252" s="54" t="str">
        <f t="shared" si="1"/>
        <v>1995,</v>
      </c>
      <c r="I1252" s="50"/>
      <c r="J1252" s="50" t="s">
        <v>6236</v>
      </c>
      <c r="K1252" s="50" t="s">
        <v>4256</v>
      </c>
      <c r="L1252" s="49" t="str">
        <f>IFERROR(__xludf.DUMMYFUNCTION("""COMPUTED_VALUE"""),"poet")</f>
        <v>poet</v>
      </c>
      <c r="M1252" s="49"/>
      <c r="N1252" s="49"/>
      <c r="O1252" s="49" t="str">
        <f>IFERROR(__xludf.DUMMYFUNCTION("""COMPUTED_VALUE"""),"drastic")</f>
        <v>drastic</v>
      </c>
      <c r="P1252" s="49" t="str">
        <f t="shared" si="2"/>
        <v>amazing,</v>
      </c>
      <c r="Q1252" s="49"/>
      <c r="R1252" s="50" t="s">
        <v>3965</v>
      </c>
      <c r="S1252" s="55" t="s">
        <v>6237</v>
      </c>
      <c r="T1252" s="49" t="str">
        <f>IFERROR(__xludf.DUMMYFUNCTION("""COMPUTED_VALUE"""),"paxton")</f>
        <v>paxton</v>
      </c>
      <c r="U1252" s="49"/>
      <c r="V1252" s="49"/>
      <c r="W1252" s="49" t="str">
        <f>IFERROR(__xludf.DUMMYFUNCTION("""COMPUTED_VALUE"""),"dimensions")</f>
        <v>dimensions</v>
      </c>
      <c r="X1252" s="49" t="str">
        <f t="shared" si="3"/>
        <v>concerned,</v>
      </c>
      <c r="Y1252" s="49"/>
      <c r="Z1252" s="1" t="s">
        <v>2201</v>
      </c>
      <c r="AA1252" s="1" t="s">
        <v>2872</v>
      </c>
      <c r="AB1252" s="49"/>
      <c r="AC1252" s="49"/>
      <c r="AD1252" s="49"/>
      <c r="AE1252" s="49" t="str">
        <f>IFERROR(__xludf.DUMMYFUNCTION("""COMPUTED_VALUE"""),"drastic")</f>
        <v>drastic</v>
      </c>
      <c r="AF1252" s="49" t="str">
        <f t="shared" si="4"/>
        <v>person,</v>
      </c>
      <c r="AG1252" s="49"/>
      <c r="AH1252" s="1" t="s">
        <v>3242</v>
      </c>
      <c r="AI1252" s="1" t="s">
        <v>6474</v>
      </c>
      <c r="AJ1252" s="6" t="str">
        <f>IFERROR(__xludf.DUMMYFUNCTION("""COMPUTED_VALUE"""),"change")</f>
        <v>change</v>
      </c>
      <c r="AK1252" s="49"/>
      <c r="AL1252" s="49"/>
      <c r="AM1252" s="49"/>
      <c r="AN1252" s="52" t="str">
        <f t="shared" si="5"/>
        <v>framework,</v>
      </c>
    </row>
    <row r="1253">
      <c r="A1253" s="51"/>
      <c r="B1253" s="50">
        <v>1994.0</v>
      </c>
      <c r="C1253" s="50" t="s">
        <v>3315</v>
      </c>
      <c r="D1253" s="49" t="str">
        <f>IFERROR(__xludf.DUMMYFUNCTION("""COMPUTED_VALUE"""),"sharp")</f>
        <v>sharp</v>
      </c>
      <c r="E1253" s="49"/>
      <c r="F1253" s="49"/>
      <c r="G1253" s="49"/>
      <c r="H1253" s="54" t="str">
        <f t="shared" si="1"/>
        <v>1994,</v>
      </c>
      <c r="I1253" s="50"/>
      <c r="J1253" s="50" t="s">
        <v>2310</v>
      </c>
      <c r="K1253" s="50" t="s">
        <v>2602</v>
      </c>
      <c r="L1253" s="49" t="str">
        <f>IFERROR(__xludf.DUMMYFUNCTION("""COMPUTED_VALUE"""),"triumph")</f>
        <v>triumph</v>
      </c>
      <c r="M1253" s="49"/>
      <c r="N1253" s="49"/>
      <c r="O1253" s="49" t="str">
        <f>IFERROR(__xludf.DUMMYFUNCTION("""COMPUTED_VALUE"""),"capturing")</f>
        <v>capturing</v>
      </c>
      <c r="P1253" s="49" t="str">
        <f t="shared" si="2"/>
        <v>evolution,</v>
      </c>
      <c r="Q1253" s="49"/>
      <c r="R1253" s="50" t="s">
        <v>4327</v>
      </c>
      <c r="S1253" s="55" t="s">
        <v>6475</v>
      </c>
      <c r="T1253" s="49" t="str">
        <f>IFERROR(__xludf.DUMMYFUNCTION("""COMPUTED_VALUE"""),"jagger")</f>
        <v>jagger</v>
      </c>
      <c r="U1253" s="49"/>
      <c r="V1253" s="49"/>
      <c r="W1253" s="49" t="str">
        <f>IFERROR(__xludf.DUMMYFUNCTION("""COMPUTED_VALUE"""),"portraying")</f>
        <v>portraying</v>
      </c>
      <c r="X1253" s="49" t="str">
        <f t="shared" si="3"/>
        <v>singular,</v>
      </c>
      <c r="Y1253" s="49"/>
      <c r="Z1253" s="1" t="s">
        <v>2634</v>
      </c>
      <c r="AA1253" s="1" t="s">
        <v>2875</v>
      </c>
      <c r="AB1253" s="49"/>
      <c r="AC1253" s="49"/>
      <c r="AD1253" s="49"/>
      <c r="AE1253" s="49" t="str">
        <f>IFERROR(__xludf.DUMMYFUNCTION("""COMPUTED_VALUE"""),"capturing")</f>
        <v>capturing</v>
      </c>
      <c r="AF1253" s="49" t="str">
        <f t="shared" si="4"/>
        <v>medium,</v>
      </c>
      <c r="AG1253" s="49"/>
      <c r="AH1253" s="1" t="s">
        <v>3571</v>
      </c>
      <c r="AI1253" s="1" t="s">
        <v>3461</v>
      </c>
      <c r="AJ1253" s="6" t="str">
        <f>IFERROR(__xludf.DUMMYFUNCTION("""COMPUTED_VALUE"""),"money")</f>
        <v>money</v>
      </c>
      <c r="AK1253" s="49"/>
      <c r="AL1253" s="49"/>
      <c r="AM1253" s="49"/>
      <c r="AN1253" s="52" t="str">
        <f t="shared" si="5"/>
        <v>directions,</v>
      </c>
    </row>
    <row r="1254">
      <c r="A1254" s="51"/>
      <c r="B1254" s="50" t="s">
        <v>6011</v>
      </c>
      <c r="C1254" s="50" t="s">
        <v>3842</v>
      </c>
      <c r="D1254" s="49" t="str">
        <f>IFERROR(__xludf.DUMMYFUNCTION("""COMPUTED_VALUE"""),"edges")</f>
        <v>edges</v>
      </c>
      <c r="E1254" s="49"/>
      <c r="F1254" s="49"/>
      <c r="G1254" s="49"/>
      <c r="H1254" s="54" t="str">
        <f t="shared" si="1"/>
        <v>sat,</v>
      </c>
      <c r="I1254" s="50"/>
      <c r="J1254" s="50" t="s">
        <v>1489</v>
      </c>
      <c r="K1254" s="50" t="s">
        <v>2605</v>
      </c>
      <c r="L1254" s="49" t="str">
        <f>IFERROR(__xludf.DUMMYFUNCTION("""COMPUTED_VALUE"""),"delivery")</f>
        <v>delivery</v>
      </c>
      <c r="M1254" s="49"/>
      <c r="N1254" s="49"/>
      <c r="O1254" s="49" t="str">
        <f>IFERROR(__xludf.DUMMYFUNCTION("""COMPUTED_VALUE"""),"fantasies")</f>
        <v>fantasies</v>
      </c>
      <c r="P1254" s="49" t="str">
        <f t="shared" si="2"/>
        <v>community,</v>
      </c>
      <c r="Q1254" s="49"/>
      <c r="R1254" s="50" t="s">
        <v>2904</v>
      </c>
      <c r="S1254" s="55" t="s">
        <v>4214</v>
      </c>
      <c r="T1254" s="49" t="str">
        <f>IFERROR(__xludf.DUMMYFUNCTION("""COMPUTED_VALUE"""),"suited")</f>
        <v>suited</v>
      </c>
      <c r="U1254" s="49"/>
      <c r="V1254" s="49"/>
      <c r="W1254" s="49" t="str">
        <f>IFERROR(__xludf.DUMMYFUNCTION("""COMPUTED_VALUE"""),"revenge")</f>
        <v>revenge</v>
      </c>
      <c r="X1254" s="49" t="str">
        <f t="shared" si="3"/>
        <v>lingering,</v>
      </c>
      <c r="Y1254" s="49"/>
      <c r="Z1254" s="1" t="s">
        <v>1279</v>
      </c>
      <c r="AA1254" s="1" t="s">
        <v>1042</v>
      </c>
      <c r="AB1254" s="49"/>
      <c r="AC1254" s="49"/>
      <c r="AD1254" s="49"/>
      <c r="AE1254" s="49" t="str">
        <f>IFERROR(__xludf.DUMMYFUNCTION("""COMPUTED_VALUE"""),"fantasies")</f>
        <v>fantasies</v>
      </c>
      <c r="AF1254" s="49" t="str">
        <f t="shared" si="4"/>
        <v>filmed,</v>
      </c>
      <c r="AG1254" s="49"/>
      <c r="AH1254" s="1" t="s">
        <v>3261</v>
      </c>
      <c r="AI1254" s="1" t="s">
        <v>2339</v>
      </c>
      <c r="AJ1254" s="6" t="str">
        <f>IFERROR(__xludf.DUMMYFUNCTION("""COMPUTED_VALUE"""),"sign")</f>
        <v>sign</v>
      </c>
      <c r="AK1254" s="49"/>
      <c r="AL1254" s="49"/>
      <c r="AM1254" s="49"/>
      <c r="AN1254" s="52" t="str">
        <f t="shared" si="5"/>
        <v>field,</v>
      </c>
    </row>
    <row r="1255">
      <c r="A1255" s="51"/>
      <c r="B1255" s="50" t="s">
        <v>6684</v>
      </c>
      <c r="C1255" s="50" t="s">
        <v>3325</v>
      </c>
      <c r="D1255" s="49" t="str">
        <f>IFERROR(__xludf.DUMMYFUNCTION("""COMPUTED_VALUE"""),"distinctive")</f>
        <v>distinctive</v>
      </c>
      <c r="E1255" s="49"/>
      <c r="F1255" s="49"/>
      <c r="G1255" s="49"/>
      <c r="H1255" s="54" t="str">
        <f t="shared" si="1"/>
        <v>featured,</v>
      </c>
      <c r="I1255" s="50"/>
      <c r="J1255" s="50" t="s">
        <v>4402</v>
      </c>
      <c r="K1255" s="50" t="s">
        <v>1846</v>
      </c>
      <c r="L1255" s="49" t="str">
        <f>IFERROR(__xludf.DUMMYFUNCTION("""COMPUTED_VALUE"""),"timely")</f>
        <v>timely</v>
      </c>
      <c r="M1255" s="49"/>
      <c r="N1255" s="49"/>
      <c r="O1255" s="49" t="str">
        <f>IFERROR(__xludf.DUMMYFUNCTION("""COMPUTED_VALUE"""),"metaphysical")</f>
        <v>metaphysical</v>
      </c>
      <c r="P1255" s="49" t="str">
        <f t="shared" si="2"/>
        <v>moore,</v>
      </c>
      <c r="Q1255" s="49"/>
      <c r="R1255" s="50" t="s">
        <v>3059</v>
      </c>
      <c r="S1255" s="55" t="s">
        <v>612</v>
      </c>
      <c r="T1255" s="49" t="str">
        <f>IFERROR(__xludf.DUMMYFUNCTION("""COMPUTED_VALUE"""),"w")</f>
        <v>w</v>
      </c>
      <c r="U1255" s="49"/>
      <c r="V1255" s="49"/>
      <c r="W1255" s="49" t="str">
        <f>IFERROR(__xludf.DUMMYFUNCTION("""COMPUTED_VALUE"""),"ham")</f>
        <v>ham</v>
      </c>
      <c r="X1255" s="49" t="str">
        <f t="shared" si="3"/>
        <v>grew,</v>
      </c>
      <c r="Y1255" s="49"/>
      <c r="Z1255" s="1" t="s">
        <v>2661</v>
      </c>
      <c r="AA1255" s="1" t="s">
        <v>1652</v>
      </c>
      <c r="AB1255" s="49"/>
      <c r="AC1255" s="49"/>
      <c r="AD1255" s="49"/>
      <c r="AE1255" s="49" t="str">
        <f>IFERROR(__xludf.DUMMYFUNCTION("""COMPUTED_VALUE"""),"metaphysical")</f>
        <v>metaphysical</v>
      </c>
      <c r="AF1255" s="49" t="str">
        <f t="shared" si="4"/>
        <v>stage,</v>
      </c>
      <c r="AG1255" s="49"/>
      <c r="AH1255" s="1" t="s">
        <v>5120</v>
      </c>
      <c r="AI1255" s="1" t="s">
        <v>3405</v>
      </c>
      <c r="AJ1255" s="6" t="str">
        <f>IFERROR(__xludf.DUMMYFUNCTION("""COMPUTED_VALUE"""),"warning")</f>
        <v>warning</v>
      </c>
      <c r="AK1255" s="49"/>
      <c r="AL1255" s="49"/>
      <c r="AM1255" s="49"/>
      <c r="AN1255" s="52" t="str">
        <f t="shared" si="5"/>
        <v>lead,</v>
      </c>
    </row>
    <row r="1256">
      <c r="A1256" s="51"/>
      <c r="B1256" s="50" t="s">
        <v>2060</v>
      </c>
      <c r="C1256" s="50" t="s">
        <v>3847</v>
      </c>
      <c r="D1256" s="49" t="str">
        <f>IFERROR(__xludf.DUMMYFUNCTION("""COMPUTED_VALUE"""),"reserved")</f>
        <v>reserved</v>
      </c>
      <c r="E1256" s="49"/>
      <c r="F1256" s="49"/>
      <c r="G1256" s="49"/>
      <c r="H1256" s="54" t="str">
        <f t="shared" si="1"/>
        <v>winning,</v>
      </c>
      <c r="I1256" s="50"/>
      <c r="J1256" s="50" t="s">
        <v>6884</v>
      </c>
      <c r="K1256" s="50" t="s">
        <v>3757</v>
      </c>
      <c r="L1256" s="49" t="str">
        <f>IFERROR(__xludf.DUMMYFUNCTION("""COMPUTED_VALUE"""),"debate")</f>
        <v>debate</v>
      </c>
      <c r="M1256" s="49"/>
      <c r="N1256" s="49"/>
      <c r="O1256" s="49" t="str">
        <f>IFERROR(__xludf.DUMMYFUNCTION("""COMPUTED_VALUE"""),"echoes")</f>
        <v>echoes</v>
      </c>
      <c r="P1256" s="49" t="str">
        <f t="shared" si="2"/>
        <v>discover,</v>
      </c>
      <c r="Q1256" s="49"/>
      <c r="R1256" s="50" t="s">
        <v>4578</v>
      </c>
      <c r="S1256" s="55" t="s">
        <v>4090</v>
      </c>
      <c r="T1256" s="49">
        <f>IFERROR(__xludf.DUMMYFUNCTION("""COMPUTED_VALUE"""),25.0)</f>
        <v>25</v>
      </c>
      <c r="U1256" s="49"/>
      <c r="V1256" s="49"/>
      <c r="W1256" s="49" t="str">
        <f>IFERROR(__xludf.DUMMYFUNCTION("""COMPUTED_VALUE"""),"sundance")</f>
        <v>sundance</v>
      </c>
      <c r="X1256" s="49" t="str">
        <f t="shared" si="3"/>
        <v>secretary,</v>
      </c>
      <c r="Y1256" s="49"/>
      <c r="Z1256" s="1" t="s">
        <v>7336</v>
      </c>
      <c r="AA1256" s="1" t="s">
        <v>3134</v>
      </c>
      <c r="AB1256" s="49"/>
      <c r="AC1256" s="49"/>
      <c r="AD1256" s="49"/>
      <c r="AE1256" s="49" t="str">
        <f>IFERROR(__xludf.DUMMYFUNCTION("""COMPUTED_VALUE"""),"echoes")</f>
        <v>echoes</v>
      </c>
      <c r="AF1256" s="49" t="str">
        <f t="shared" si="4"/>
        <v>incredibly,</v>
      </c>
      <c r="AG1256" s="49"/>
      <c r="AH1256" s="1" t="s">
        <v>2464</v>
      </c>
      <c r="AI1256" s="1" t="s">
        <v>2344</v>
      </c>
      <c r="AJ1256" s="6" t="str">
        <f>IFERROR(__xludf.DUMMYFUNCTION("""COMPUTED_VALUE"""),"dirty")</f>
        <v>dirty</v>
      </c>
      <c r="AK1256" s="49"/>
      <c r="AL1256" s="49"/>
      <c r="AM1256" s="49"/>
      <c r="AN1256" s="52" t="str">
        <f t="shared" si="5"/>
        <v>female,</v>
      </c>
    </row>
    <row r="1257">
      <c r="A1257" s="51"/>
      <c r="B1257" s="50" t="s">
        <v>1623</v>
      </c>
      <c r="C1257" s="50" t="s">
        <v>2310</v>
      </c>
      <c r="D1257" s="49" t="str">
        <f>IFERROR(__xludf.DUMMYFUNCTION("""COMPUTED_VALUE"""),"dated")</f>
        <v>dated</v>
      </c>
      <c r="E1257" s="49"/>
      <c r="F1257" s="49"/>
      <c r="G1257" s="49"/>
      <c r="H1257" s="54" t="str">
        <f t="shared" si="1"/>
        <v>view,</v>
      </c>
      <c r="I1257" s="50"/>
      <c r="J1257" s="50" t="s">
        <v>1706</v>
      </c>
      <c r="K1257" s="50" t="s">
        <v>3768</v>
      </c>
      <c r="L1257" s="49" t="str">
        <f>IFERROR(__xludf.DUMMYFUNCTION("""COMPUTED_VALUE"""),"viewed")</f>
        <v>viewed</v>
      </c>
      <c r="M1257" s="49"/>
      <c r="N1257" s="49"/>
      <c r="O1257" s="49" t="str">
        <f>IFERROR(__xludf.DUMMYFUNCTION("""COMPUTED_VALUE"""),"jordan")</f>
        <v>jordan</v>
      </c>
      <c r="P1257" s="49" t="str">
        <f t="shared" si="2"/>
        <v>humanity,</v>
      </c>
      <c r="Q1257" s="49"/>
      <c r="R1257" s="50" t="s">
        <v>1892</v>
      </c>
      <c r="S1257" s="55" t="s">
        <v>302</v>
      </c>
      <c r="T1257" s="49" t="str">
        <f>IFERROR(__xludf.DUMMYFUNCTION("""COMPUTED_VALUE"""),"zhang")</f>
        <v>zhang</v>
      </c>
      <c r="U1257" s="49"/>
      <c r="V1257" s="49"/>
      <c r="W1257" s="49" t="str">
        <f>IFERROR(__xludf.DUMMYFUNCTION("""COMPUTED_VALUE"""),"phillip")</f>
        <v>phillip</v>
      </c>
      <c r="X1257" s="49" t="str">
        <f t="shared" si="3"/>
        <v>pie,</v>
      </c>
      <c r="Y1257" s="49"/>
      <c r="Z1257" s="1" t="s">
        <v>64</v>
      </c>
      <c r="AA1257" s="1" t="s">
        <v>2879</v>
      </c>
      <c r="AB1257" s="49"/>
      <c r="AC1257" s="49"/>
      <c r="AD1257" s="49"/>
      <c r="AE1257" s="49" t="str">
        <f>IFERROR(__xludf.DUMMYFUNCTION("""COMPUTED_VALUE"""),"jordan")</f>
        <v>jordan</v>
      </c>
      <c r="AF1257" s="49" t="str">
        <f t="shared" si="4"/>
        <v>weaving,</v>
      </c>
      <c r="AG1257" s="49"/>
      <c r="AH1257" s="1" t="s">
        <v>2328</v>
      </c>
      <c r="AI1257" s="1" t="s">
        <v>3984</v>
      </c>
      <c r="AJ1257" s="6" t="str">
        <f>IFERROR(__xludf.DUMMYFUNCTION("""COMPUTED_VALUE"""),"apparent")</f>
        <v>apparent</v>
      </c>
      <c r="AK1257" s="49"/>
      <c r="AL1257" s="49"/>
      <c r="AM1257" s="49"/>
      <c r="AN1257" s="52" t="str">
        <f t="shared" si="5"/>
        <v>walked,</v>
      </c>
    </row>
    <row r="1258">
      <c r="A1258" s="51"/>
      <c r="B1258" s="50" t="s">
        <v>2825</v>
      </c>
      <c r="C1258" s="50" t="s">
        <v>2312</v>
      </c>
      <c r="D1258" s="49" t="str">
        <f>IFERROR(__xludf.DUMMYFUNCTION("""COMPUTED_VALUE"""),"desperate")</f>
        <v>desperate</v>
      </c>
      <c r="E1258" s="49"/>
      <c r="F1258" s="49"/>
      <c r="G1258" s="49"/>
      <c r="H1258" s="54" t="str">
        <f t="shared" si="1"/>
        <v>score,</v>
      </c>
      <c r="I1258" s="50"/>
      <c r="J1258" s="50" t="s">
        <v>2115</v>
      </c>
      <c r="K1258" s="50" t="s">
        <v>2554</v>
      </c>
      <c r="L1258" s="49" t="str">
        <f>IFERROR(__xludf.DUMMYFUNCTION("""COMPUTED_VALUE"""),"painting")</f>
        <v>painting</v>
      </c>
      <c r="M1258" s="49"/>
      <c r="N1258" s="49"/>
      <c r="O1258" s="49" t="str">
        <f>IFERROR(__xludf.DUMMYFUNCTION("""COMPUTED_VALUE"""),"canadians")</f>
        <v>canadians</v>
      </c>
      <c r="P1258" s="49" t="str">
        <f t="shared" si="2"/>
        <v>test,</v>
      </c>
      <c r="Q1258" s="49"/>
      <c r="R1258" s="50" t="s">
        <v>3503</v>
      </c>
      <c r="S1258" s="55" t="s">
        <v>2988</v>
      </c>
      <c r="T1258" s="49" t="str">
        <f>IFERROR(__xludf.DUMMYFUNCTION("""COMPUTED_VALUE"""),"noticeable")</f>
        <v>noticeable</v>
      </c>
      <c r="U1258" s="49"/>
      <c r="V1258" s="49"/>
      <c r="W1258" s="49" t="str">
        <f>IFERROR(__xludf.DUMMYFUNCTION("""COMPUTED_VALUE"""),"skyscraper")</f>
        <v>skyscraper</v>
      </c>
      <c r="X1258" s="49" t="str">
        <f t="shared" si="3"/>
        <v>ambition,</v>
      </c>
      <c r="Y1258" s="49"/>
      <c r="Z1258" s="1" t="s">
        <v>6304</v>
      </c>
      <c r="AA1258" s="1" t="s">
        <v>1661</v>
      </c>
      <c r="AB1258" s="49"/>
      <c r="AC1258" s="49"/>
      <c r="AD1258" s="49"/>
      <c r="AE1258" s="49" t="str">
        <f>IFERROR(__xludf.DUMMYFUNCTION("""COMPUTED_VALUE"""),"canadians")</f>
        <v>canadians</v>
      </c>
      <c r="AF1258" s="49" t="str">
        <f t="shared" si="4"/>
        <v>absolute,</v>
      </c>
      <c r="AG1258" s="49"/>
      <c r="AH1258" s="1" t="s">
        <v>6658</v>
      </c>
      <c r="AI1258" s="1" t="s">
        <v>3340</v>
      </c>
      <c r="AJ1258" s="6" t="str">
        <f>IFERROR(__xludf.DUMMYFUNCTION("""COMPUTED_VALUE"""),"award")</f>
        <v>award</v>
      </c>
      <c r="AK1258" s="49"/>
      <c r="AL1258" s="49"/>
      <c r="AM1258" s="49"/>
      <c r="AN1258" s="52" t="str">
        <f t="shared" si="5"/>
        <v>student,</v>
      </c>
    </row>
    <row r="1259">
      <c r="A1259" s="51"/>
      <c r="B1259" s="50" t="s">
        <v>6390</v>
      </c>
      <c r="C1259" s="50" t="s">
        <v>3853</v>
      </c>
      <c r="D1259" s="49" t="str">
        <f>IFERROR(__xludf.DUMMYFUNCTION("""COMPUTED_VALUE"""),"week")</f>
        <v>week</v>
      </c>
      <c r="E1259" s="49"/>
      <c r="F1259" s="49"/>
      <c r="G1259" s="49"/>
      <c r="H1259" s="54" t="str">
        <f t="shared" si="1"/>
        <v>cable,</v>
      </c>
      <c r="I1259" s="50"/>
      <c r="J1259" s="50" t="s">
        <v>4236</v>
      </c>
      <c r="K1259" s="50" t="s">
        <v>3764</v>
      </c>
      <c r="L1259" s="49" t="str">
        <f>IFERROR(__xludf.DUMMYFUNCTION("""COMPUTED_VALUE"""),"darling")</f>
        <v>darling</v>
      </c>
      <c r="M1259" s="49"/>
      <c r="N1259" s="49"/>
      <c r="O1259" s="49" t="str">
        <f>IFERROR(__xludf.DUMMYFUNCTION("""COMPUTED_VALUE"""),"rally")</f>
        <v>rally</v>
      </c>
      <c r="P1259" s="49" t="str">
        <f t="shared" si="2"/>
        <v>cops,</v>
      </c>
      <c r="Q1259" s="49"/>
      <c r="R1259" s="50" t="s">
        <v>7337</v>
      </c>
      <c r="S1259" s="55" t="s">
        <v>3582</v>
      </c>
      <c r="T1259" s="49" t="str">
        <f>IFERROR(__xludf.DUMMYFUNCTION("""COMPUTED_VALUE"""),"tendency")</f>
        <v>tendency</v>
      </c>
      <c r="U1259" s="49"/>
      <c r="V1259" s="49"/>
      <c r="W1259" s="49" t="str">
        <f>IFERROR(__xludf.DUMMYFUNCTION("""COMPUTED_VALUE"""),"jersey")</f>
        <v>jersey</v>
      </c>
      <c r="X1259" s="49" t="str">
        <f t="shared" si="3"/>
        <v>thumb,</v>
      </c>
      <c r="Y1259" s="49"/>
      <c r="Z1259" s="1" t="s">
        <v>4168</v>
      </c>
      <c r="AA1259" s="1" t="s">
        <v>1820</v>
      </c>
      <c r="AB1259" s="49"/>
      <c r="AC1259" s="49"/>
      <c r="AD1259" s="49"/>
      <c r="AE1259" s="49" t="str">
        <f>IFERROR(__xludf.DUMMYFUNCTION("""COMPUTED_VALUE"""),"rally")</f>
        <v>rally</v>
      </c>
      <c r="AF1259" s="49" t="str">
        <f t="shared" si="4"/>
        <v>festival,</v>
      </c>
      <c r="AG1259" s="49"/>
      <c r="AH1259" s="1" t="s">
        <v>741</v>
      </c>
      <c r="AI1259" s="1" t="s">
        <v>1493</v>
      </c>
      <c r="AJ1259" s="6" t="str">
        <f>IFERROR(__xludf.DUMMYFUNCTION("""COMPUTED_VALUE"""),"sat")</f>
        <v>sat</v>
      </c>
      <c r="AK1259" s="49"/>
      <c r="AL1259" s="49"/>
      <c r="AM1259" s="49"/>
      <c r="AN1259" s="52" t="str">
        <f t="shared" si="5"/>
        <v>step,</v>
      </c>
    </row>
    <row r="1260">
      <c r="A1260" s="51"/>
      <c r="B1260" s="50" t="s">
        <v>839</v>
      </c>
      <c r="C1260" s="50" t="s">
        <v>3560</v>
      </c>
      <c r="D1260" s="49" t="str">
        <f>IFERROR(__xludf.DUMMYFUNCTION("""COMPUTED_VALUE"""),"safe")</f>
        <v>safe</v>
      </c>
      <c r="E1260" s="49"/>
      <c r="F1260" s="49"/>
      <c r="G1260" s="49"/>
      <c r="H1260" s="54" t="str">
        <f t="shared" si="1"/>
        <v>gorgeous,</v>
      </c>
      <c r="I1260" s="50"/>
      <c r="J1260" s="50" t="s">
        <v>3364</v>
      </c>
      <c r="K1260" s="50" t="s">
        <v>671</v>
      </c>
      <c r="L1260" s="49" t="str">
        <f>IFERROR(__xludf.DUMMYFUNCTION("""COMPUTED_VALUE"""),"distant")</f>
        <v>distant</v>
      </c>
      <c r="M1260" s="49"/>
      <c r="N1260" s="49"/>
      <c r="O1260" s="49" t="str">
        <f>IFERROR(__xludf.DUMMYFUNCTION("""COMPUTED_VALUE"""),"psychotic")</f>
        <v>psychotic</v>
      </c>
      <c r="P1260" s="49" t="str">
        <f t="shared" si="2"/>
        <v>twist,</v>
      </c>
      <c r="Q1260" s="49"/>
      <c r="R1260" s="50" t="s">
        <v>6976</v>
      </c>
      <c r="S1260" s="55" t="s">
        <v>3576</v>
      </c>
      <c r="T1260" s="49" t="str">
        <f>IFERROR(__xludf.DUMMYFUNCTION("""COMPUTED_VALUE"""),"pitched")</f>
        <v>pitched</v>
      </c>
      <c r="U1260" s="49"/>
      <c r="V1260" s="49"/>
      <c r="W1260" s="49" t="str">
        <f>IFERROR(__xludf.DUMMYFUNCTION("""COMPUTED_VALUE"""),"clouds")</f>
        <v>clouds</v>
      </c>
      <c r="X1260" s="49" t="str">
        <f t="shared" si="3"/>
        <v>pushed,</v>
      </c>
      <c r="Y1260" s="49"/>
      <c r="Z1260" s="1" t="s">
        <v>1609</v>
      </c>
      <c r="AA1260" s="1" t="s">
        <v>2890</v>
      </c>
      <c r="AB1260" s="49"/>
      <c r="AC1260" s="49"/>
      <c r="AD1260" s="49"/>
      <c r="AE1260" s="49" t="str">
        <f>IFERROR(__xludf.DUMMYFUNCTION("""COMPUTED_VALUE"""),"psychotic")</f>
        <v>psychotic</v>
      </c>
      <c r="AF1260" s="49" t="str">
        <f t="shared" si="4"/>
        <v>international,</v>
      </c>
      <c r="AG1260" s="49"/>
      <c r="AH1260" s="1" t="s">
        <v>2152</v>
      </c>
      <c r="AI1260" s="1" t="s">
        <v>5497</v>
      </c>
      <c r="AJ1260" s="6" t="str">
        <f>IFERROR(__xludf.DUMMYFUNCTION("""COMPUTED_VALUE"""),"featured")</f>
        <v>featured</v>
      </c>
      <c r="AK1260" s="49"/>
      <c r="AL1260" s="49"/>
      <c r="AM1260" s="49"/>
      <c r="AN1260" s="52" t="str">
        <f t="shared" si="5"/>
        <v>filled,</v>
      </c>
    </row>
    <row r="1261">
      <c r="A1261" s="51"/>
      <c r="B1261" s="50" t="s">
        <v>910</v>
      </c>
      <c r="C1261" s="50" t="s">
        <v>2196</v>
      </c>
      <c r="D1261" s="49" t="str">
        <f>IFERROR(__xludf.DUMMYFUNCTION("""COMPUTED_VALUE"""),"discipline")</f>
        <v>discipline</v>
      </c>
      <c r="E1261" s="49"/>
      <c r="F1261" s="49"/>
      <c r="G1261" s="49"/>
      <c r="H1261" s="54" t="str">
        <f t="shared" si="1"/>
        <v>piano,</v>
      </c>
      <c r="I1261" s="50"/>
      <c r="J1261" s="50" t="s">
        <v>3904</v>
      </c>
      <c r="K1261" s="50" t="s">
        <v>2614</v>
      </c>
      <c r="L1261" s="49" t="str">
        <f>IFERROR(__xludf.DUMMYFUNCTION("""COMPUTED_VALUE"""),"vulnerable")</f>
        <v>vulnerable</v>
      </c>
      <c r="M1261" s="49"/>
      <c r="N1261" s="49"/>
      <c r="O1261" s="49" t="str">
        <f>IFERROR(__xludf.DUMMYFUNCTION("""COMPUTED_VALUE"""),"cabins")</f>
        <v>cabins</v>
      </c>
      <c r="P1261" s="49" t="str">
        <f t="shared" si="2"/>
        <v>pocket,</v>
      </c>
      <c r="Q1261" s="49"/>
      <c r="R1261" s="50" t="s">
        <v>7338</v>
      </c>
      <c r="S1261" s="55" t="s">
        <v>4912</v>
      </c>
      <c r="T1261" s="49" t="str">
        <f>IFERROR(__xludf.DUMMYFUNCTION("""COMPUTED_VALUE"""),"merits")</f>
        <v>merits</v>
      </c>
      <c r="U1261" s="49"/>
      <c r="V1261" s="49"/>
      <c r="W1261" s="49" t="str">
        <f>IFERROR(__xludf.DUMMYFUNCTION("""COMPUTED_VALUE"""),"narration")</f>
        <v>narration</v>
      </c>
      <c r="X1261" s="49" t="str">
        <f t="shared" si="3"/>
        <v>whatsoever,</v>
      </c>
      <c r="Y1261" s="49"/>
      <c r="Z1261" s="1" t="s">
        <v>610</v>
      </c>
      <c r="AA1261" s="1" t="s">
        <v>1674</v>
      </c>
      <c r="AB1261" s="49"/>
      <c r="AC1261" s="49"/>
      <c r="AD1261" s="49"/>
      <c r="AE1261" s="49" t="str">
        <f>IFERROR(__xludf.DUMMYFUNCTION("""COMPUTED_VALUE"""),"cabins")</f>
        <v>cabins</v>
      </c>
      <c r="AF1261" s="49" t="str">
        <f t="shared" si="4"/>
        <v>wait,</v>
      </c>
      <c r="AG1261" s="49"/>
      <c r="AH1261" s="1" t="s">
        <v>5064</v>
      </c>
      <c r="AI1261" s="1" t="s">
        <v>3410</v>
      </c>
      <c r="AJ1261" s="6" t="str">
        <f>IFERROR(__xludf.DUMMYFUNCTION("""COMPUTED_VALUE"""),"winning")</f>
        <v>winning</v>
      </c>
      <c r="AK1261" s="49"/>
      <c r="AL1261" s="49"/>
      <c r="AM1261" s="49"/>
      <c r="AN1261" s="52" t="str">
        <f t="shared" si="5"/>
        <v>fear,</v>
      </c>
    </row>
    <row r="1262">
      <c r="A1262" s="51"/>
      <c r="B1262" s="50" t="s">
        <v>6173</v>
      </c>
      <c r="C1262" s="50" t="s">
        <v>3336</v>
      </c>
      <c r="D1262" s="49" t="str">
        <f>IFERROR(__xludf.DUMMYFUNCTION("""COMPUTED_VALUE"""),"jackson")</f>
        <v>jackson</v>
      </c>
      <c r="E1262" s="49"/>
      <c r="F1262" s="49"/>
      <c r="G1262" s="49"/>
      <c r="H1262" s="54" t="str">
        <f t="shared" si="1"/>
        <v>suffered,</v>
      </c>
      <c r="I1262" s="50"/>
      <c r="J1262" s="50" t="s">
        <v>2046</v>
      </c>
      <c r="K1262" s="50" t="s">
        <v>660</v>
      </c>
      <c r="L1262" s="49" t="str">
        <f>IFERROR(__xludf.DUMMYFUNCTION("""COMPUTED_VALUE"""),"happening")</f>
        <v>happening</v>
      </c>
      <c r="M1262" s="49"/>
      <c r="N1262" s="49"/>
      <c r="O1262" s="49" t="str">
        <f>IFERROR(__xludf.DUMMYFUNCTION("""COMPUTED_VALUE"""),"astronauts")</f>
        <v>astronauts</v>
      </c>
      <c r="P1262" s="49" t="str">
        <f t="shared" si="2"/>
        <v>brutal,</v>
      </c>
      <c r="Q1262" s="49"/>
      <c r="R1262" s="50" t="s">
        <v>5191</v>
      </c>
      <c r="S1262" s="55" t="s">
        <v>2572</v>
      </c>
      <c r="T1262" s="49" t="str">
        <f>IFERROR(__xludf.DUMMYFUNCTION("""COMPUTED_VALUE"""),"dramatically")</f>
        <v>dramatically</v>
      </c>
      <c r="U1262" s="49"/>
      <c r="V1262" s="49"/>
      <c r="W1262" s="49" t="str">
        <f>IFERROR(__xludf.DUMMYFUNCTION("""COMPUTED_VALUE"""),"prolonged")</f>
        <v>prolonged</v>
      </c>
      <c r="X1262" s="49" t="str">
        <f t="shared" si="3"/>
        <v>sticks,</v>
      </c>
      <c r="Y1262" s="49"/>
      <c r="Z1262" s="1" t="s">
        <v>2406</v>
      </c>
      <c r="AA1262" s="1" t="s">
        <v>1679</v>
      </c>
      <c r="AB1262" s="49"/>
      <c r="AC1262" s="49"/>
      <c r="AD1262" s="49"/>
      <c r="AE1262" s="49" t="str">
        <f>IFERROR(__xludf.DUMMYFUNCTION("""COMPUTED_VALUE"""),"astronauts")</f>
        <v>astronauts</v>
      </c>
      <c r="AF1262" s="49" t="str">
        <f t="shared" si="4"/>
        <v>grow,</v>
      </c>
      <c r="AG1262" s="49"/>
      <c r="AH1262" s="1" t="s">
        <v>4587</v>
      </c>
      <c r="AI1262" s="1" t="s">
        <v>3914</v>
      </c>
      <c r="AJ1262" s="6" t="str">
        <f>IFERROR(__xludf.DUMMYFUNCTION("""COMPUTED_VALUE"""),"view")</f>
        <v>view</v>
      </c>
      <c r="AK1262" s="49"/>
      <c r="AL1262" s="49"/>
      <c r="AM1262" s="49"/>
      <c r="AN1262" s="52" t="str">
        <f t="shared" si="5"/>
        <v>ring,</v>
      </c>
    </row>
    <row r="1263">
      <c r="A1263" s="51"/>
      <c r="B1263" s="50" t="s">
        <v>933</v>
      </c>
      <c r="C1263" s="50" t="s">
        <v>2184</v>
      </c>
      <c r="D1263" s="49" t="str">
        <f>IFERROR(__xludf.DUMMYFUNCTION("""COMPUTED_VALUE"""),"samuel")</f>
        <v>samuel</v>
      </c>
      <c r="E1263" s="49"/>
      <c r="F1263" s="49"/>
      <c r="G1263" s="49"/>
      <c r="H1263" s="54" t="str">
        <f t="shared" si="1"/>
        <v>starts,</v>
      </c>
      <c r="I1263" s="50"/>
      <c r="J1263" s="50" t="s">
        <v>3854</v>
      </c>
      <c r="K1263" s="50" t="s">
        <v>840</v>
      </c>
      <c r="L1263" s="49" t="str">
        <f>IFERROR(__xludf.DUMMYFUNCTION("""COMPUTED_VALUE"""),"charismatic")</f>
        <v>charismatic</v>
      </c>
      <c r="M1263" s="49"/>
      <c r="N1263" s="49"/>
      <c r="O1263" s="49" t="str">
        <f>IFERROR(__xludf.DUMMYFUNCTION("""COMPUTED_VALUE"""),"dimensions")</f>
        <v>dimensions</v>
      </c>
      <c r="P1263" s="49" t="str">
        <f t="shared" si="2"/>
        <v>executed,</v>
      </c>
      <c r="Q1263" s="49"/>
      <c r="R1263" s="50" t="s">
        <v>4557</v>
      </c>
      <c r="S1263" s="55" t="s">
        <v>848</v>
      </c>
      <c r="T1263" s="49" t="str">
        <f>IFERROR(__xludf.DUMMYFUNCTION("""COMPUTED_VALUE"""),"glorious")</f>
        <v>glorious</v>
      </c>
      <c r="U1263" s="49"/>
      <c r="V1263" s="49"/>
      <c r="W1263" s="49" t="str">
        <f>IFERROR(__xludf.DUMMYFUNCTION("""COMPUTED_VALUE"""),"record")</f>
        <v>record</v>
      </c>
      <c r="X1263" s="49" t="str">
        <f t="shared" si="3"/>
        <v>tricks,</v>
      </c>
      <c r="Y1263" s="49"/>
      <c r="Z1263" s="1" t="s">
        <v>4609</v>
      </c>
      <c r="AA1263" s="1" t="s">
        <v>4267</v>
      </c>
      <c r="AB1263" s="49"/>
      <c r="AC1263" s="49"/>
      <c r="AD1263" s="49"/>
      <c r="AE1263" s="49" t="str">
        <f>IFERROR(__xludf.DUMMYFUNCTION("""COMPUTED_VALUE"""),"dimensions")</f>
        <v>dimensions</v>
      </c>
      <c r="AF1263" s="49" t="str">
        <f t="shared" si="4"/>
        <v>lifetime,</v>
      </c>
      <c r="AG1263" s="49"/>
      <c r="AH1263" s="1" t="s">
        <v>2187</v>
      </c>
      <c r="AI1263" s="1" t="s">
        <v>2852</v>
      </c>
      <c r="AJ1263" s="6" t="str">
        <f>IFERROR(__xludf.DUMMYFUNCTION("""COMPUTED_VALUE"""),"score")</f>
        <v>score</v>
      </c>
      <c r="AK1263" s="49"/>
      <c r="AL1263" s="49"/>
      <c r="AM1263" s="49"/>
      <c r="AN1263" s="52" t="str">
        <f t="shared" si="5"/>
        <v>conversation,</v>
      </c>
    </row>
    <row r="1264">
      <c r="A1264" s="51"/>
      <c r="B1264" s="50" t="s">
        <v>2358</v>
      </c>
      <c r="C1264" s="50" t="s">
        <v>6464</v>
      </c>
      <c r="D1264" s="49" t="str">
        <f>IFERROR(__xludf.DUMMYFUNCTION("""COMPUTED_VALUE"""),"saying")</f>
        <v>saying</v>
      </c>
      <c r="E1264" s="49"/>
      <c r="F1264" s="49"/>
      <c r="G1264" s="49"/>
      <c r="H1264" s="54" t="str">
        <f t="shared" si="1"/>
        <v>moves,</v>
      </c>
      <c r="I1264" s="50"/>
      <c r="J1264" s="50" t="s">
        <v>3532</v>
      </c>
      <c r="K1264" s="50" t="s">
        <v>1478</v>
      </c>
      <c r="L1264" s="49" t="str">
        <f>IFERROR(__xludf.DUMMYFUNCTION("""COMPUTED_VALUE"""),"focused")</f>
        <v>focused</v>
      </c>
      <c r="M1264" s="49"/>
      <c r="N1264" s="49"/>
      <c r="O1264" s="49" t="str">
        <f>IFERROR(__xludf.DUMMYFUNCTION("""COMPUTED_VALUE"""),"duly")</f>
        <v>duly</v>
      </c>
      <c r="P1264" s="49" t="str">
        <f t="shared" si="2"/>
        <v>adventure,</v>
      </c>
      <c r="Q1264" s="49"/>
      <c r="R1264" s="50" t="s">
        <v>4577</v>
      </c>
      <c r="S1264" s="55" t="s">
        <v>4702</v>
      </c>
      <c r="T1264" s="49" t="str">
        <f>IFERROR(__xludf.DUMMYFUNCTION("""COMPUTED_VALUE"""),"history")</f>
        <v>history</v>
      </c>
      <c r="U1264" s="49"/>
      <c r="V1264" s="49"/>
      <c r="W1264" s="49" t="str">
        <f>IFERROR(__xludf.DUMMYFUNCTION("""COMPUTED_VALUE"""),"junk")</f>
        <v>junk</v>
      </c>
      <c r="X1264" s="49" t="str">
        <f t="shared" si="3"/>
        <v>barry,</v>
      </c>
      <c r="Y1264" s="49"/>
      <c r="Z1264" s="1" t="s">
        <v>737</v>
      </c>
      <c r="AA1264" s="1" t="s">
        <v>347</v>
      </c>
      <c r="AB1264" s="49"/>
      <c r="AC1264" s="49"/>
      <c r="AD1264" s="49"/>
      <c r="AE1264" s="49" t="str">
        <f>IFERROR(__xludf.DUMMYFUNCTION("""COMPUTED_VALUE"""),"duly")</f>
        <v>duly</v>
      </c>
      <c r="AF1264" s="49" t="str">
        <f t="shared" si="4"/>
        <v>remarkably,</v>
      </c>
      <c r="AG1264" s="49"/>
      <c r="AH1264" s="1" t="s">
        <v>721</v>
      </c>
      <c r="AI1264" s="1" t="s">
        <v>3913</v>
      </c>
      <c r="AJ1264" s="6" t="str">
        <f>IFERROR(__xludf.DUMMYFUNCTION("""COMPUTED_VALUE"""),"cable")</f>
        <v>cable</v>
      </c>
      <c r="AK1264" s="49"/>
      <c r="AL1264" s="49"/>
      <c r="AM1264" s="49"/>
      <c r="AN1264" s="52" t="str">
        <f t="shared" si="5"/>
        <v>fallen,</v>
      </c>
    </row>
    <row r="1265">
      <c r="A1265" s="51"/>
      <c r="B1265" s="50" t="s">
        <v>5370</v>
      </c>
      <c r="C1265" s="50" t="s">
        <v>5150</v>
      </c>
      <c r="D1265" s="49" t="str">
        <f>IFERROR(__xludf.DUMMYFUNCTION("""COMPUTED_VALUE"""),"boy")</f>
        <v>boy</v>
      </c>
      <c r="E1265" s="49"/>
      <c r="F1265" s="49"/>
      <c r="G1265" s="49"/>
      <c r="H1265" s="54" t="str">
        <f t="shared" si="1"/>
        <v>susan,</v>
      </c>
      <c r="I1265" s="50"/>
      <c r="J1265" s="50" t="s">
        <v>5079</v>
      </c>
      <c r="K1265" s="50" t="s">
        <v>676</v>
      </c>
      <c r="L1265" s="49" t="str">
        <f>IFERROR(__xludf.DUMMYFUNCTION("""COMPUTED_VALUE"""),"replaced")</f>
        <v>replaced</v>
      </c>
      <c r="M1265" s="49"/>
      <c r="N1265" s="49"/>
      <c r="O1265" s="49" t="str">
        <f>IFERROR(__xludf.DUMMYFUNCTION("""COMPUTED_VALUE"""),"launching")</f>
        <v>launching</v>
      </c>
      <c r="P1265" s="49" t="str">
        <f t="shared" si="2"/>
        <v>garcia,</v>
      </c>
      <c r="Q1265" s="49"/>
      <c r="R1265" s="50" t="s">
        <v>3389</v>
      </c>
      <c r="S1265" s="55" t="s">
        <v>1595</v>
      </c>
      <c r="T1265" s="49" t="str">
        <f>IFERROR(__xludf.DUMMYFUNCTION("""COMPUTED_VALUE"""),"pre")</f>
        <v>pre</v>
      </c>
      <c r="U1265" s="49"/>
      <c r="V1265" s="49"/>
      <c r="W1265" s="49" t="str">
        <f>IFERROR(__xludf.DUMMYFUNCTION("""COMPUTED_VALUE"""),"rejected")</f>
        <v>rejected</v>
      </c>
      <c r="X1265" s="49" t="str">
        <f t="shared" si="3"/>
        <v>venture,</v>
      </c>
      <c r="Y1265" s="49"/>
      <c r="Z1265" s="1" t="s">
        <v>3024</v>
      </c>
      <c r="AA1265" s="1" t="s">
        <v>3158</v>
      </c>
      <c r="AB1265" s="49"/>
      <c r="AC1265" s="49"/>
      <c r="AD1265" s="49"/>
      <c r="AE1265" s="49" t="str">
        <f>IFERROR(__xludf.DUMMYFUNCTION("""COMPUTED_VALUE"""),"launching")</f>
        <v>launching</v>
      </c>
      <c r="AF1265" s="49" t="str">
        <f t="shared" si="4"/>
        <v>interested,</v>
      </c>
      <c r="AG1265" s="49"/>
      <c r="AH1265" s="1" t="s">
        <v>906</v>
      </c>
      <c r="AI1265" s="1" t="s">
        <v>404</v>
      </c>
      <c r="AJ1265" s="6" t="str">
        <f>IFERROR(__xludf.DUMMYFUNCTION("""COMPUTED_VALUE"""),"piano")</f>
        <v>piano</v>
      </c>
      <c r="AK1265" s="49"/>
      <c r="AL1265" s="49"/>
      <c r="AM1265" s="49"/>
      <c r="AN1265" s="52" t="str">
        <f t="shared" si="5"/>
        <v>asleep,</v>
      </c>
    </row>
    <row r="1266">
      <c r="A1266" s="51"/>
      <c r="B1266" s="50" t="s">
        <v>7339</v>
      </c>
      <c r="C1266" s="50" t="s">
        <v>207</v>
      </c>
      <c r="D1266" s="49" t="str">
        <f>IFERROR(__xludf.DUMMYFUNCTION("""COMPUTED_VALUE"""),"aims")</f>
        <v>aims</v>
      </c>
      <c r="E1266" s="49"/>
      <c r="F1266" s="49"/>
      <c r="G1266" s="49"/>
      <c r="H1266" s="54" t="str">
        <f t="shared" si="1"/>
        <v>wire,</v>
      </c>
      <c r="I1266" s="50"/>
      <c r="J1266" s="50" t="s">
        <v>4932</v>
      </c>
      <c r="K1266" s="50" t="s">
        <v>2625</v>
      </c>
      <c r="L1266" s="49" t="str">
        <f>IFERROR(__xludf.DUMMYFUNCTION("""COMPUTED_VALUE"""),"grin")</f>
        <v>grin</v>
      </c>
      <c r="M1266" s="49"/>
      <c r="N1266" s="49"/>
      <c r="O1266" s="49" t="str">
        <f>IFERROR(__xludf.DUMMYFUNCTION("""COMPUTED_VALUE"""),"rigid")</f>
        <v>rigid</v>
      </c>
      <c r="P1266" s="49" t="str">
        <f t="shared" si="2"/>
        <v>disappointment,</v>
      </c>
      <c r="Q1266" s="49"/>
      <c r="R1266" s="50" t="s">
        <v>1745</v>
      </c>
      <c r="S1266" s="55" t="s">
        <v>4794</v>
      </c>
      <c r="T1266" s="49" t="str">
        <f>IFERROR(__xludf.DUMMYFUNCTION("""COMPUTED_VALUE"""),"resemble")</f>
        <v>resemble</v>
      </c>
      <c r="U1266" s="49"/>
      <c r="V1266" s="49"/>
      <c r="W1266" s="49" t="str">
        <f>IFERROR(__xludf.DUMMYFUNCTION("""COMPUTED_VALUE"""),"perform")</f>
        <v>perform</v>
      </c>
      <c r="X1266" s="49" t="str">
        <f t="shared" si="3"/>
        <v>imagination,</v>
      </c>
      <c r="Y1266" s="49"/>
      <c r="Z1266" s="1" t="s">
        <v>875</v>
      </c>
      <c r="AA1266" s="1" t="s">
        <v>4269</v>
      </c>
      <c r="AB1266" s="49"/>
      <c r="AC1266" s="49"/>
      <c r="AD1266" s="49"/>
      <c r="AE1266" s="49" t="str">
        <f>IFERROR(__xludf.DUMMYFUNCTION("""COMPUTED_VALUE"""),"rigid")</f>
        <v>rigid</v>
      </c>
      <c r="AF1266" s="49" t="str">
        <f t="shared" si="4"/>
        <v>engaging,</v>
      </c>
      <c r="AG1266" s="49"/>
      <c r="AH1266" s="1" t="s">
        <v>4701</v>
      </c>
      <c r="AI1266" s="1" t="s">
        <v>3001</v>
      </c>
      <c r="AJ1266" s="6" t="str">
        <f>IFERROR(__xludf.DUMMYFUNCTION("""COMPUTED_VALUE"""),"starts")</f>
        <v>starts</v>
      </c>
      <c r="AK1266" s="49"/>
      <c r="AL1266" s="49"/>
      <c r="AM1266" s="49"/>
      <c r="AN1266" s="52" t="str">
        <f t="shared" si="5"/>
        <v>intent,</v>
      </c>
    </row>
    <row r="1267">
      <c r="A1267" s="51"/>
      <c r="B1267" s="50" t="s">
        <v>5779</v>
      </c>
      <c r="C1267" s="50" t="s">
        <v>2321</v>
      </c>
      <c r="D1267" s="49" t="str">
        <f>IFERROR(__xludf.DUMMYFUNCTION("""COMPUTED_VALUE"""),"sounding")</f>
        <v>sounding</v>
      </c>
      <c r="E1267" s="49"/>
      <c r="F1267" s="49"/>
      <c r="G1267" s="49"/>
      <c r="H1267" s="54" t="str">
        <f t="shared" si="1"/>
        <v>lonely,</v>
      </c>
      <c r="I1267" s="50"/>
      <c r="J1267" s="50" t="s">
        <v>4496</v>
      </c>
      <c r="K1267" s="50" t="s">
        <v>3786</v>
      </c>
      <c r="L1267" s="49" t="str">
        <f>IFERROR(__xludf.DUMMYFUNCTION("""COMPUTED_VALUE"""),"energetic")</f>
        <v>energetic</v>
      </c>
      <c r="M1267" s="49"/>
      <c r="N1267" s="49"/>
      <c r="O1267" s="49" t="str">
        <f>IFERROR(__xludf.DUMMYFUNCTION("""COMPUTED_VALUE"""),"portraying")</f>
        <v>portraying</v>
      </c>
      <c r="P1267" s="49" t="str">
        <f t="shared" si="2"/>
        <v>attach,</v>
      </c>
      <c r="Q1267" s="49"/>
      <c r="R1267" s="50" t="s">
        <v>3464</v>
      </c>
      <c r="S1267" s="55" t="s">
        <v>3789</v>
      </c>
      <c r="T1267" s="49" t="str">
        <f>IFERROR(__xludf.DUMMYFUNCTION("""COMPUTED_VALUE"""),"answers")</f>
        <v>answers</v>
      </c>
      <c r="U1267" s="49"/>
      <c r="V1267" s="49"/>
      <c r="W1267" s="49" t="str">
        <f>IFERROR(__xludf.DUMMYFUNCTION("""COMPUTED_VALUE"""),"flatly")</f>
        <v>flatly</v>
      </c>
      <c r="X1267" s="49" t="str">
        <f t="shared" si="3"/>
        <v>technique,</v>
      </c>
      <c r="Y1267" s="49"/>
      <c r="Z1267" s="1" t="s">
        <v>2075</v>
      </c>
      <c r="AA1267" s="1" t="s">
        <v>4270</v>
      </c>
      <c r="AB1267" s="49"/>
      <c r="AC1267" s="49"/>
      <c r="AD1267" s="49"/>
      <c r="AE1267" s="49" t="str">
        <f>IFERROR(__xludf.DUMMYFUNCTION("""COMPUTED_VALUE"""),"portraying")</f>
        <v>portraying</v>
      </c>
      <c r="AF1267" s="49" t="str">
        <f t="shared" si="4"/>
        <v>tension,</v>
      </c>
      <c r="AG1267" s="49"/>
      <c r="AH1267" s="1" t="s">
        <v>2529</v>
      </c>
      <c r="AI1267" s="1" t="s">
        <v>3420</v>
      </c>
      <c r="AJ1267" s="6" t="str">
        <f>IFERROR(__xludf.DUMMYFUNCTION("""COMPUTED_VALUE"""),"moves")</f>
        <v>moves</v>
      </c>
      <c r="AK1267" s="49"/>
      <c r="AL1267" s="49"/>
      <c r="AM1267" s="49"/>
      <c r="AN1267" s="52" t="str">
        <f t="shared" si="5"/>
        <v>dollar,</v>
      </c>
    </row>
    <row r="1268">
      <c r="A1268" s="51"/>
      <c r="B1268" s="50" t="s">
        <v>1444</v>
      </c>
      <c r="C1268" s="50" t="s">
        <v>3347</v>
      </c>
      <c r="D1268" s="49" t="str">
        <f>IFERROR(__xludf.DUMMYFUNCTION("""COMPUTED_VALUE"""),"close")</f>
        <v>close</v>
      </c>
      <c r="E1268" s="49"/>
      <c r="F1268" s="49"/>
      <c r="G1268" s="49"/>
      <c r="H1268" s="54" t="str">
        <f t="shared" si="1"/>
        <v>including,</v>
      </c>
      <c r="I1268" s="50"/>
      <c r="J1268" s="50" t="s">
        <v>6350</v>
      </c>
      <c r="K1268" s="50" t="s">
        <v>850</v>
      </c>
      <c r="L1268" s="49" t="str">
        <f>IFERROR(__xludf.DUMMYFUNCTION("""COMPUTED_VALUE"""),"delight")</f>
        <v>delight</v>
      </c>
      <c r="M1268" s="49"/>
      <c r="N1268" s="49"/>
      <c r="O1268" s="49" t="str">
        <f>IFERROR(__xludf.DUMMYFUNCTION("""COMPUTED_VALUE"""),"disease")</f>
        <v>disease</v>
      </c>
      <c r="P1268" s="49" t="str">
        <f t="shared" si="2"/>
        <v>easy,</v>
      </c>
      <c r="Q1268" s="49"/>
      <c r="R1268" s="50" t="s">
        <v>5311</v>
      </c>
      <c r="S1268" s="55" t="s">
        <v>2449</v>
      </c>
      <c r="T1268" s="49" t="str">
        <f>IFERROR(__xludf.DUMMYFUNCTION("""COMPUTED_VALUE"""),"skin")</f>
        <v>skin</v>
      </c>
      <c r="U1268" s="49"/>
      <c r="V1268" s="49"/>
      <c r="W1268" s="49" t="str">
        <f>IFERROR(__xludf.DUMMYFUNCTION("""COMPUTED_VALUE"""),"kendall")</f>
        <v>kendall</v>
      </c>
      <c r="X1268" s="49" t="str">
        <f t="shared" si="3"/>
        <v>sessions,</v>
      </c>
      <c r="Y1268" s="49"/>
      <c r="Z1268" s="1" t="s">
        <v>6472</v>
      </c>
      <c r="AA1268" s="1" t="s">
        <v>1054</v>
      </c>
      <c r="AB1268" s="49"/>
      <c r="AC1268" s="49"/>
      <c r="AD1268" s="49"/>
      <c r="AE1268" s="49" t="str">
        <f>IFERROR(__xludf.DUMMYFUNCTION("""COMPUTED_VALUE"""),"disease")</f>
        <v>disease</v>
      </c>
      <c r="AF1268" s="49" t="str">
        <f t="shared" si="4"/>
        <v>dragged,</v>
      </c>
      <c r="AG1268" s="49"/>
      <c r="AH1268" s="1" t="s">
        <v>1525</v>
      </c>
      <c r="AI1268" s="1" t="s">
        <v>3426</v>
      </c>
      <c r="AJ1268" s="6" t="str">
        <f>IFERROR(__xludf.DUMMYFUNCTION("""COMPUTED_VALUE"""),"susan")</f>
        <v>susan</v>
      </c>
      <c r="AK1268" s="49"/>
      <c r="AL1268" s="49"/>
      <c r="AM1268" s="49"/>
      <c r="AN1268" s="52" t="str">
        <f t="shared" si="5"/>
        <v>written,</v>
      </c>
    </row>
    <row r="1269">
      <c r="A1269" s="51"/>
      <c r="B1269" s="50" t="s">
        <v>3857</v>
      </c>
      <c r="C1269" s="50" t="s">
        <v>2317</v>
      </c>
      <c r="D1269" s="49" t="str">
        <f>IFERROR(__xludf.DUMMYFUNCTION("""COMPUTED_VALUE"""),"visual")</f>
        <v>visual</v>
      </c>
      <c r="E1269" s="49"/>
      <c r="F1269" s="49"/>
      <c r="G1269" s="49"/>
      <c r="H1269" s="54" t="str">
        <f t="shared" si="1"/>
        <v>support,</v>
      </c>
      <c r="I1269" s="50"/>
      <c r="J1269" s="50" t="s">
        <v>2955</v>
      </c>
      <c r="K1269" s="50" t="s">
        <v>3793</v>
      </c>
      <c r="L1269" s="49" t="str">
        <f>IFERROR(__xludf.DUMMYFUNCTION("""COMPUTED_VALUE"""),"privy")</f>
        <v>privy</v>
      </c>
      <c r="M1269" s="49"/>
      <c r="N1269" s="49"/>
      <c r="O1269" s="49" t="str">
        <f>IFERROR(__xludf.DUMMYFUNCTION("""COMPUTED_VALUE"""),"classification")</f>
        <v>classification</v>
      </c>
      <c r="P1269" s="49" t="str">
        <f t="shared" si="2"/>
        <v>solid,</v>
      </c>
      <c r="Q1269" s="49"/>
      <c r="R1269" s="50" t="s">
        <v>2407</v>
      </c>
      <c r="S1269" s="55">
        <v>140.0</v>
      </c>
      <c r="T1269" s="49" t="str">
        <f>IFERROR(__xludf.DUMMYFUNCTION("""COMPUTED_VALUE"""),"competent")</f>
        <v>competent</v>
      </c>
      <c r="U1269" s="49"/>
      <c r="V1269" s="49"/>
      <c r="W1269" s="49" t="str">
        <f>IFERROR(__xludf.DUMMYFUNCTION("""COMPUTED_VALUE"""),"principles")</f>
        <v>principles</v>
      </c>
      <c r="X1269" s="49" t="str">
        <f t="shared" si="3"/>
        <v>surreal,</v>
      </c>
      <c r="Y1269" s="49"/>
      <c r="Z1269" s="1" t="s">
        <v>185</v>
      </c>
      <c r="AA1269" s="1" t="s">
        <v>1058</v>
      </c>
      <c r="AB1269" s="49"/>
      <c r="AC1269" s="49"/>
      <c r="AD1269" s="49"/>
      <c r="AE1269" s="49" t="str">
        <f>IFERROR(__xludf.DUMMYFUNCTION("""COMPUTED_VALUE"""),"classification")</f>
        <v>classification</v>
      </c>
      <c r="AF1269" s="49" t="str">
        <f t="shared" si="4"/>
        <v>tragic,</v>
      </c>
      <c r="AG1269" s="49"/>
      <c r="AH1269" s="1" t="s">
        <v>1214</v>
      </c>
      <c r="AI1269" s="1" t="s">
        <v>701</v>
      </c>
      <c r="AJ1269" s="6" t="str">
        <f>IFERROR(__xludf.DUMMYFUNCTION("""COMPUTED_VALUE"""),"`")</f>
        <v>`</v>
      </c>
      <c r="AK1269" s="49"/>
      <c r="AL1269" s="49"/>
      <c r="AM1269" s="49"/>
      <c r="AN1269" s="52" t="str">
        <f t="shared" si="5"/>
        <v>change,</v>
      </c>
    </row>
    <row r="1270">
      <c r="A1270" s="51"/>
      <c r="B1270" s="50" t="s">
        <v>1564</v>
      </c>
      <c r="C1270" s="50" t="s">
        <v>6466</v>
      </c>
      <c r="D1270" s="49" t="str">
        <f>IFERROR(__xludf.DUMMYFUNCTION("""COMPUTED_VALUE"""),"moral")</f>
        <v>moral</v>
      </c>
      <c r="E1270" s="49"/>
      <c r="F1270" s="49"/>
      <c r="G1270" s="49"/>
      <c r="H1270" s="54" t="str">
        <f t="shared" si="1"/>
        <v>trying,</v>
      </c>
      <c r="I1270" s="50"/>
      <c r="J1270" s="50" t="s">
        <v>5533</v>
      </c>
      <c r="K1270" s="50" t="s">
        <v>589</v>
      </c>
      <c r="L1270" s="49" t="str">
        <f>IFERROR(__xludf.DUMMYFUNCTION("""COMPUTED_VALUE"""),"legally")</f>
        <v>legally</v>
      </c>
      <c r="M1270" s="49"/>
      <c r="N1270" s="49"/>
      <c r="O1270" s="49" t="str">
        <f>IFERROR(__xludf.DUMMYFUNCTION("""COMPUTED_VALUE"""),"ham")</f>
        <v>ham</v>
      </c>
      <c r="P1270" s="49" t="str">
        <f t="shared" si="2"/>
        <v>minded,</v>
      </c>
      <c r="Q1270" s="49"/>
      <c r="R1270" s="50" t="s">
        <v>3495</v>
      </c>
      <c r="S1270" s="55" t="s">
        <v>1169</v>
      </c>
      <c r="T1270" s="49" t="str">
        <f>IFERROR(__xludf.DUMMYFUNCTION("""COMPUTED_VALUE"""),"share")</f>
        <v>share</v>
      </c>
      <c r="U1270" s="49"/>
      <c r="V1270" s="49"/>
      <c r="W1270" s="49" t="str">
        <f>IFERROR(__xludf.DUMMYFUNCTION("""COMPUTED_VALUE"""),"smackdown")</f>
        <v>smackdown</v>
      </c>
      <c r="X1270" s="49" t="str">
        <f t="shared" si="3"/>
        <v>inevitable,</v>
      </c>
      <c r="Y1270" s="49"/>
      <c r="Z1270" s="1" t="s">
        <v>2567</v>
      </c>
      <c r="AA1270" s="1" t="s">
        <v>3163</v>
      </c>
      <c r="AB1270" s="49"/>
      <c r="AC1270" s="49"/>
      <c r="AD1270" s="49"/>
      <c r="AE1270" s="49" t="str">
        <f>IFERROR(__xludf.DUMMYFUNCTION("""COMPUTED_VALUE"""),"ham")</f>
        <v>ham</v>
      </c>
      <c r="AF1270" s="49" t="str">
        <f t="shared" si="4"/>
        <v>guessing,</v>
      </c>
      <c r="AG1270" s="49"/>
      <c r="AH1270" s="1" t="s">
        <v>2412</v>
      </c>
      <c r="AI1270" s="1" t="s">
        <v>6454</v>
      </c>
      <c r="AJ1270" s="6" t="str">
        <f>IFERROR(__xludf.DUMMYFUNCTION("""COMPUTED_VALUE"""),"including")</f>
        <v>including</v>
      </c>
      <c r="AK1270" s="49"/>
      <c r="AL1270" s="49"/>
      <c r="AM1270" s="49"/>
      <c r="AN1270" s="52" t="str">
        <f t="shared" si="5"/>
        <v>money,</v>
      </c>
    </row>
    <row r="1271">
      <c r="A1271" s="51"/>
      <c r="B1271" s="50" t="s">
        <v>1174</v>
      </c>
      <c r="C1271" s="50" t="s">
        <v>1070</v>
      </c>
      <c r="D1271" s="49" t="str">
        <f>IFERROR(__xludf.DUMMYFUNCTION("""COMPUTED_VALUE"""),"social")</f>
        <v>social</v>
      </c>
      <c r="E1271" s="49"/>
      <c r="F1271" s="49"/>
      <c r="G1271" s="49"/>
      <c r="H1271" s="54" t="str">
        <f t="shared" si="1"/>
        <v>yes,</v>
      </c>
      <c r="I1271" s="50"/>
      <c r="J1271" s="50" t="s">
        <v>4808</v>
      </c>
      <c r="K1271" s="50" t="s">
        <v>2564</v>
      </c>
      <c r="L1271" s="49" t="str">
        <f>IFERROR(__xludf.DUMMYFUNCTION("""COMPUTED_VALUE"""),"cutting")</f>
        <v>cutting</v>
      </c>
      <c r="M1271" s="49"/>
      <c r="N1271" s="49"/>
      <c r="O1271" s="49" t="str">
        <f>IFERROR(__xludf.DUMMYFUNCTION("""COMPUTED_VALUE"""),"smirk")</f>
        <v>smirk</v>
      </c>
      <c r="P1271" s="49" t="str">
        <f t="shared" si="2"/>
        <v>recycling,</v>
      </c>
      <c r="Q1271" s="49"/>
      <c r="R1271" s="50" t="s">
        <v>2646</v>
      </c>
      <c r="S1271" s="55" t="s">
        <v>2457</v>
      </c>
      <c r="T1271" s="49" t="str">
        <f>IFERROR(__xludf.DUMMYFUNCTION("""COMPUTED_VALUE"""),"unnamed")</f>
        <v>unnamed</v>
      </c>
      <c r="U1271" s="49"/>
      <c r="V1271" s="49"/>
      <c r="W1271" s="49" t="str">
        <f>IFERROR(__xludf.DUMMYFUNCTION("""COMPUTED_VALUE"""),"atrocities")</f>
        <v>atrocities</v>
      </c>
      <c r="X1271" s="49" t="str">
        <f t="shared" si="3"/>
        <v>master,</v>
      </c>
      <c r="Y1271" s="49"/>
      <c r="Z1271" s="1" t="s">
        <v>2211</v>
      </c>
      <c r="AA1271" s="1" t="s">
        <v>897</v>
      </c>
      <c r="AB1271" s="49"/>
      <c r="AC1271" s="49"/>
      <c r="AD1271" s="49"/>
      <c r="AE1271" s="49" t="str">
        <f>IFERROR(__xludf.DUMMYFUNCTION("""COMPUTED_VALUE"""),"smirk")</f>
        <v>smirk</v>
      </c>
      <c r="AF1271" s="49" t="str">
        <f t="shared" si="4"/>
        <v>technically,</v>
      </c>
      <c r="AG1271" s="49"/>
      <c r="AH1271" s="1" t="s">
        <v>2132</v>
      </c>
      <c r="AI1271" s="1" t="s">
        <v>3936</v>
      </c>
      <c r="AJ1271" s="6" t="str">
        <f>IFERROR(__xludf.DUMMYFUNCTION("""COMPUTED_VALUE"""),"support")</f>
        <v>support</v>
      </c>
      <c r="AK1271" s="49"/>
      <c r="AL1271" s="49"/>
      <c r="AM1271" s="49"/>
      <c r="AN1271" s="52" t="str">
        <f t="shared" si="5"/>
        <v>sign,</v>
      </c>
    </row>
    <row r="1272">
      <c r="A1272" s="51"/>
      <c r="B1272" s="50" t="s">
        <v>2814</v>
      </c>
      <c r="C1272" s="50" t="s">
        <v>2319</v>
      </c>
      <c r="D1272" s="49" t="str">
        <f>IFERROR(__xludf.DUMMYFUNCTION("""COMPUTED_VALUE"""),"frank")</f>
        <v>frank</v>
      </c>
      <c r="E1272" s="49"/>
      <c r="F1272" s="49"/>
      <c r="G1272" s="49"/>
      <c r="H1272" s="54" t="str">
        <f t="shared" si="1"/>
        <v>hot,</v>
      </c>
      <c r="I1272" s="50"/>
      <c r="J1272" s="50" t="s">
        <v>3985</v>
      </c>
      <c r="K1272" s="50" t="s">
        <v>2633</v>
      </c>
      <c r="L1272" s="49" t="str">
        <f>IFERROR(__xludf.DUMMYFUNCTION("""COMPUTED_VALUE"""),"breakthrough")</f>
        <v>breakthrough</v>
      </c>
      <c r="M1272" s="49"/>
      <c r="N1272" s="49"/>
      <c r="O1272" s="49" t="str">
        <f>IFERROR(__xludf.DUMMYFUNCTION("""COMPUTED_VALUE"""),"phillip")</f>
        <v>phillip</v>
      </c>
      <c r="P1272" s="49" t="str">
        <f t="shared" si="2"/>
        <v>offers,</v>
      </c>
      <c r="Q1272" s="49"/>
      <c r="R1272" s="50" t="s">
        <v>262</v>
      </c>
      <c r="S1272" s="55" t="s">
        <v>4106</v>
      </c>
      <c r="T1272" s="49" t="str">
        <f>IFERROR(__xludf.DUMMYFUNCTION("""COMPUTED_VALUE"""),"goofy")</f>
        <v>goofy</v>
      </c>
      <c r="U1272" s="49"/>
      <c r="V1272" s="49"/>
      <c r="W1272" s="49" t="str">
        <f>IFERROR(__xludf.DUMMYFUNCTION("""COMPUTED_VALUE"""),"mythology")</f>
        <v>mythology</v>
      </c>
      <c r="X1272" s="49" t="str">
        <f t="shared" si="3"/>
        <v>advantage,</v>
      </c>
      <c r="Y1272" s="49"/>
      <c r="Z1272" s="1" t="s">
        <v>6759</v>
      </c>
      <c r="AA1272" s="1" t="s">
        <v>901</v>
      </c>
      <c r="AB1272" s="49"/>
      <c r="AC1272" s="49"/>
      <c r="AD1272" s="49"/>
      <c r="AE1272" s="49" t="str">
        <f>IFERROR(__xludf.DUMMYFUNCTION("""COMPUTED_VALUE"""),"phillip")</f>
        <v>phillip</v>
      </c>
      <c r="AF1272" s="49" t="str">
        <f t="shared" si="4"/>
        <v>incredible,</v>
      </c>
      <c r="AG1272" s="49"/>
      <c r="AH1272" s="1" t="s">
        <v>3543</v>
      </c>
      <c r="AI1272" s="1" t="s">
        <v>3430</v>
      </c>
      <c r="AJ1272" s="6" t="str">
        <f>IFERROR(__xludf.DUMMYFUNCTION("""COMPUTED_VALUE"""),"trying")</f>
        <v>trying</v>
      </c>
      <c r="AK1272" s="49"/>
      <c r="AL1272" s="49"/>
      <c r="AM1272" s="49"/>
      <c r="AN1272" s="52" t="str">
        <f t="shared" si="5"/>
        <v>warning,</v>
      </c>
    </row>
    <row r="1273">
      <c r="A1273" s="51"/>
      <c r="B1273" s="50" t="s">
        <v>2429</v>
      </c>
      <c r="C1273" s="50" t="s">
        <v>4060</v>
      </c>
      <c r="D1273" s="49" t="str">
        <f>IFERROR(__xludf.DUMMYFUNCTION("""COMPUTED_VALUE"""),"place")</f>
        <v>place</v>
      </c>
      <c r="E1273" s="49"/>
      <c r="F1273" s="49"/>
      <c r="G1273" s="49"/>
      <c r="H1273" s="54" t="str">
        <f t="shared" si="1"/>
        <v>previously,</v>
      </c>
      <c r="I1273" s="50"/>
      <c r="J1273" s="50" t="s">
        <v>799</v>
      </c>
      <c r="K1273" s="50" t="s">
        <v>2567</v>
      </c>
      <c r="L1273" s="49" t="str">
        <f>IFERROR(__xludf.DUMMYFUNCTION("""COMPUTED_VALUE"""),"gaze")</f>
        <v>gaze</v>
      </c>
      <c r="M1273" s="49"/>
      <c r="N1273" s="49"/>
      <c r="O1273" s="49" t="str">
        <f>IFERROR(__xludf.DUMMYFUNCTION("""COMPUTED_VALUE"""),"skyscraper")</f>
        <v>skyscraper</v>
      </c>
      <c r="P1273" s="49" t="str">
        <f t="shared" si="2"/>
        <v>n,</v>
      </c>
      <c r="Q1273" s="49"/>
      <c r="R1273" s="50" t="s">
        <v>233</v>
      </c>
      <c r="S1273" s="55" t="s">
        <v>842</v>
      </c>
      <c r="T1273" s="49" t="str">
        <f>IFERROR(__xludf.DUMMYFUNCTION("""COMPUTED_VALUE"""),"territory")</f>
        <v>territory</v>
      </c>
      <c r="U1273" s="49"/>
      <c r="V1273" s="49"/>
      <c r="W1273" s="49" t="str">
        <f>IFERROR(__xludf.DUMMYFUNCTION("""COMPUTED_VALUE"""),"benefited")</f>
        <v>benefited</v>
      </c>
      <c r="X1273" s="49" t="str">
        <f t="shared" si="3"/>
        <v>spirits,</v>
      </c>
      <c r="Y1273" s="49"/>
      <c r="Z1273" s="1" t="s">
        <v>3419</v>
      </c>
      <c r="AA1273" s="1" t="s">
        <v>1531</v>
      </c>
      <c r="AB1273" s="49"/>
      <c r="AC1273" s="49"/>
      <c r="AD1273" s="49"/>
      <c r="AE1273" s="49" t="str">
        <f>IFERROR(__xludf.DUMMYFUNCTION("""COMPUTED_VALUE"""),"skyscraper")</f>
        <v>skyscraper</v>
      </c>
      <c r="AF1273" s="49" t="str">
        <f t="shared" si="4"/>
        <v>christmas,</v>
      </c>
      <c r="AG1273" s="49"/>
      <c r="AH1273" s="1" t="s">
        <v>6284</v>
      </c>
      <c r="AI1273" s="1" t="s">
        <v>6476</v>
      </c>
      <c r="AJ1273" s="6" t="str">
        <f>IFERROR(__xludf.DUMMYFUNCTION("""COMPUTED_VALUE"""),"yes")</f>
        <v>yes</v>
      </c>
      <c r="AK1273" s="49"/>
      <c r="AL1273" s="49"/>
      <c r="AM1273" s="49"/>
      <c r="AN1273" s="52" t="str">
        <f t="shared" si="5"/>
        <v>dirty,</v>
      </c>
    </row>
    <row r="1274">
      <c r="A1274" s="51"/>
      <c r="B1274" s="50" t="s">
        <v>1440</v>
      </c>
      <c r="C1274" s="50" t="s">
        <v>935</v>
      </c>
      <c r="D1274" s="49" t="str">
        <f>IFERROR(__xludf.DUMMYFUNCTION("""COMPUTED_VALUE"""),"democracy")</f>
        <v>democracy</v>
      </c>
      <c r="E1274" s="49"/>
      <c r="F1274" s="49"/>
      <c r="G1274" s="49"/>
      <c r="H1274" s="54" t="str">
        <f t="shared" si="1"/>
        <v>hate,</v>
      </c>
      <c r="I1274" s="50"/>
      <c r="J1274" s="50" t="s">
        <v>6967</v>
      </c>
      <c r="K1274" s="50" t="s">
        <v>2571</v>
      </c>
      <c r="L1274" s="49" t="str">
        <f>IFERROR(__xludf.DUMMYFUNCTION("""COMPUTED_VALUE"""),"beings")</f>
        <v>beings</v>
      </c>
      <c r="M1274" s="49"/>
      <c r="N1274" s="49"/>
      <c r="O1274" s="49" t="str">
        <f>IFERROR(__xludf.DUMMYFUNCTION("""COMPUTED_VALUE"""),"clouds")</f>
        <v>clouds</v>
      </c>
      <c r="P1274" s="49" t="str">
        <f t="shared" si="2"/>
        <v>y,</v>
      </c>
      <c r="Q1274" s="49"/>
      <c r="R1274" s="50" t="s">
        <v>4200</v>
      </c>
      <c r="S1274" s="55" t="s">
        <v>3603</v>
      </c>
      <c r="T1274" s="49" t="str">
        <f>IFERROR(__xludf.DUMMYFUNCTION("""COMPUTED_VALUE"""),"crisp")</f>
        <v>crisp</v>
      </c>
      <c r="U1274" s="49"/>
      <c r="V1274" s="49"/>
      <c r="W1274" s="49" t="str">
        <f>IFERROR(__xludf.DUMMYFUNCTION("""COMPUTED_VALUE"""),"snap")</f>
        <v>snap</v>
      </c>
      <c r="X1274" s="49" t="str">
        <f t="shared" si="3"/>
        <v>burn,</v>
      </c>
      <c r="Y1274" s="49"/>
      <c r="Z1274" s="1" t="s">
        <v>4588</v>
      </c>
      <c r="AA1274" s="1" t="s">
        <v>783</v>
      </c>
      <c r="AB1274" s="49"/>
      <c r="AC1274" s="49"/>
      <c r="AD1274" s="49"/>
      <c r="AE1274" s="49" t="str">
        <f>IFERROR(__xludf.DUMMYFUNCTION("""COMPUTED_VALUE"""),"clouds")</f>
        <v>clouds</v>
      </c>
      <c r="AF1274" s="49" t="str">
        <f t="shared" si="4"/>
        <v>worked,</v>
      </c>
      <c r="AG1274" s="49"/>
      <c r="AH1274" s="1" t="s">
        <v>775</v>
      </c>
      <c r="AI1274" s="1" t="s">
        <v>6477</v>
      </c>
      <c r="AJ1274" s="6" t="str">
        <f>IFERROR(__xludf.DUMMYFUNCTION("""COMPUTED_VALUE"""),"hot")</f>
        <v>hot</v>
      </c>
      <c r="AK1274" s="49"/>
      <c r="AL1274" s="49"/>
      <c r="AM1274" s="49"/>
      <c r="AN1274" s="52" t="str">
        <f t="shared" si="5"/>
        <v>apparent,</v>
      </c>
    </row>
    <row r="1275">
      <c r="A1275" s="51"/>
      <c r="B1275" s="50" t="s">
        <v>1020</v>
      </c>
      <c r="C1275" s="50">
        <v>20.0</v>
      </c>
      <c r="D1275" s="49" t="str">
        <f>IFERROR(__xludf.DUMMYFUNCTION("""COMPUTED_VALUE"""),"island")</f>
        <v>island</v>
      </c>
      <c r="E1275" s="49"/>
      <c r="F1275" s="49"/>
      <c r="G1275" s="49"/>
      <c r="H1275" s="54" t="str">
        <f t="shared" si="1"/>
        <v>romance,</v>
      </c>
      <c r="I1275" s="50"/>
      <c r="J1275" s="50" t="s">
        <v>2866</v>
      </c>
      <c r="K1275" s="50" t="s">
        <v>667</v>
      </c>
      <c r="L1275" s="49" t="str">
        <f>IFERROR(__xludf.DUMMYFUNCTION("""COMPUTED_VALUE"""),"clinic")</f>
        <v>clinic</v>
      </c>
      <c r="M1275" s="49"/>
      <c r="N1275" s="49"/>
      <c r="O1275" s="49" t="str">
        <f>IFERROR(__xludf.DUMMYFUNCTION("""COMPUTED_VALUE"""),"narration")</f>
        <v>narration</v>
      </c>
      <c r="P1275" s="49" t="str">
        <f t="shared" si="2"/>
        <v>serve,</v>
      </c>
      <c r="Q1275" s="49"/>
      <c r="R1275" s="50" t="s">
        <v>2430</v>
      </c>
      <c r="S1275" s="55" t="s">
        <v>2098</v>
      </c>
      <c r="T1275" s="49" t="str">
        <f>IFERROR(__xludf.DUMMYFUNCTION("""COMPUTED_VALUE"""),"map")</f>
        <v>map</v>
      </c>
      <c r="U1275" s="49"/>
      <c r="V1275" s="49"/>
      <c r="W1275" s="49">
        <f>IFERROR(__xludf.DUMMYFUNCTION("""COMPUTED_VALUE"""),1938.0)</f>
        <v>1938</v>
      </c>
      <c r="X1275" s="49" t="str">
        <f t="shared" si="3"/>
        <v>repetitive,</v>
      </c>
      <c r="Y1275" s="49"/>
      <c r="Z1275" s="1" t="s">
        <v>1951</v>
      </c>
      <c r="AA1275" s="1">
        <v>30.0</v>
      </c>
      <c r="AB1275" s="49"/>
      <c r="AC1275" s="49"/>
      <c r="AD1275" s="49"/>
      <c r="AE1275" s="49" t="str">
        <f>IFERROR(__xludf.DUMMYFUNCTION("""COMPUTED_VALUE"""),"narration")</f>
        <v>narration</v>
      </c>
      <c r="AF1275" s="49" t="str">
        <f t="shared" si="4"/>
        <v>talent,</v>
      </c>
      <c r="AG1275" s="49"/>
      <c r="AH1275" s="1" t="s">
        <v>1491</v>
      </c>
      <c r="AI1275" s="1" t="s">
        <v>2359</v>
      </c>
      <c r="AJ1275" s="6" t="str">
        <f>IFERROR(__xludf.DUMMYFUNCTION("""COMPUTED_VALUE"""),"previously")</f>
        <v>previously</v>
      </c>
      <c r="AK1275" s="49"/>
      <c r="AL1275" s="49"/>
      <c r="AM1275" s="49"/>
      <c r="AN1275" s="52" t="str">
        <f t="shared" si="5"/>
        <v>award,</v>
      </c>
    </row>
    <row r="1276">
      <c r="A1276" s="51"/>
      <c r="B1276" s="50" t="s">
        <v>1568</v>
      </c>
      <c r="C1276" s="50" t="s">
        <v>791</v>
      </c>
      <c r="D1276" s="49" t="str">
        <f>IFERROR(__xludf.DUMMYFUNCTION("""COMPUTED_VALUE"""),"contemporary")</f>
        <v>contemporary</v>
      </c>
      <c r="E1276" s="49"/>
      <c r="F1276" s="49"/>
      <c r="G1276" s="49"/>
      <c r="H1276" s="54" t="str">
        <f t="shared" si="1"/>
        <v>attractive,</v>
      </c>
      <c r="I1276" s="50"/>
      <c r="J1276" s="50" t="s">
        <v>1818</v>
      </c>
      <c r="K1276" s="50" t="s">
        <v>2576</v>
      </c>
      <c r="L1276" s="49" t="str">
        <f>IFERROR(__xludf.DUMMYFUNCTION("""COMPUTED_VALUE"""),"labor")</f>
        <v>labor</v>
      </c>
      <c r="M1276" s="49"/>
      <c r="N1276" s="49"/>
      <c r="O1276" s="49" t="str">
        <f>IFERROR(__xludf.DUMMYFUNCTION("""COMPUTED_VALUE"""),"prolonged")</f>
        <v>prolonged</v>
      </c>
      <c r="P1276" s="49" t="str">
        <f t="shared" si="2"/>
        <v>color,</v>
      </c>
      <c r="Q1276" s="49"/>
      <c r="R1276" s="50" t="s">
        <v>5859</v>
      </c>
      <c r="S1276" s="55" t="s">
        <v>2489</v>
      </c>
      <c r="T1276" s="49" t="str">
        <f>IFERROR(__xludf.DUMMYFUNCTION("""COMPUTED_VALUE"""),"layers")</f>
        <v>layers</v>
      </c>
      <c r="U1276" s="49"/>
      <c r="V1276" s="49"/>
      <c r="W1276" s="49" t="str">
        <f>IFERROR(__xludf.DUMMYFUNCTION("""COMPUTED_VALUE"""),"holden")</f>
        <v>holden</v>
      </c>
      <c r="X1276" s="49" t="str">
        <f t="shared" si="3"/>
        <v>steals,</v>
      </c>
      <c r="Y1276" s="49"/>
      <c r="Z1276" s="1" t="s">
        <v>833</v>
      </c>
      <c r="AA1276" s="1" t="s">
        <v>1066</v>
      </c>
      <c r="AB1276" s="49"/>
      <c r="AC1276" s="49"/>
      <c r="AD1276" s="49"/>
      <c r="AE1276" s="49" t="str">
        <f>IFERROR(__xludf.DUMMYFUNCTION("""COMPUTED_VALUE"""),"prolonged")</f>
        <v>prolonged</v>
      </c>
      <c r="AF1276" s="49" t="str">
        <f t="shared" si="4"/>
        <v>million,</v>
      </c>
      <c r="AG1276" s="49"/>
      <c r="AH1276" s="1" t="s">
        <v>6011</v>
      </c>
      <c r="AI1276" s="1" t="s">
        <v>799</v>
      </c>
      <c r="AJ1276" s="6" t="str">
        <f>IFERROR(__xludf.DUMMYFUNCTION("""COMPUTED_VALUE"""),"hate")</f>
        <v>hate</v>
      </c>
      <c r="AK1276" s="49"/>
      <c r="AL1276" s="49"/>
      <c r="AM1276" s="49"/>
      <c r="AN1276" s="52" t="str">
        <f t="shared" si="5"/>
        <v>sat,</v>
      </c>
    </row>
    <row r="1277">
      <c r="A1277" s="51"/>
      <c r="B1277" s="50" t="s">
        <v>806</v>
      </c>
      <c r="C1277" s="50" t="s">
        <v>2274</v>
      </c>
      <c r="D1277" s="49" t="str">
        <f>IFERROR(__xludf.DUMMYFUNCTION("""COMPUTED_VALUE"""),"adult")</f>
        <v>adult</v>
      </c>
      <c r="E1277" s="49"/>
      <c r="F1277" s="49"/>
      <c r="G1277" s="49"/>
      <c r="H1277" s="54" t="str">
        <f t="shared" si="1"/>
        <v>six,</v>
      </c>
      <c r="I1277" s="50"/>
      <c r="J1277" s="50" t="s">
        <v>1303</v>
      </c>
      <c r="K1277" s="50" t="s">
        <v>4279</v>
      </c>
      <c r="L1277" s="49" t="str">
        <f>IFERROR(__xludf.DUMMYFUNCTION("""COMPUTED_VALUE"""),"aware")</f>
        <v>aware</v>
      </c>
      <c r="M1277" s="49"/>
      <c r="N1277" s="49"/>
      <c r="O1277" s="49" t="str">
        <f>IFERROR(__xludf.DUMMYFUNCTION("""COMPUTED_VALUE"""),"opened")</f>
        <v>opened</v>
      </c>
      <c r="P1277" s="49" t="str">
        <f t="shared" si="2"/>
        <v>forgotten,</v>
      </c>
      <c r="Q1277" s="49"/>
      <c r="R1277" s="50" t="s">
        <v>6811</v>
      </c>
      <c r="S1277" s="55" t="s">
        <v>2080</v>
      </c>
      <c r="T1277" s="49" t="str">
        <f>IFERROR(__xludf.DUMMYFUNCTION("""COMPUTED_VALUE"""),"bag")</f>
        <v>bag</v>
      </c>
      <c r="U1277" s="49"/>
      <c r="V1277" s="49"/>
      <c r="W1277" s="49" t="str">
        <f>IFERROR(__xludf.DUMMYFUNCTION("""COMPUTED_VALUE"""),"wince")</f>
        <v>wince</v>
      </c>
      <c r="X1277" s="49" t="str">
        <f t="shared" si="3"/>
        <v>sucked,</v>
      </c>
      <c r="Y1277" s="49"/>
      <c r="Z1277" s="1" t="s">
        <v>7295</v>
      </c>
      <c r="AA1277" s="1" t="s">
        <v>714</v>
      </c>
      <c r="AB1277" s="49"/>
      <c r="AC1277" s="49"/>
      <c r="AD1277" s="49"/>
      <c r="AE1277" s="49" t="str">
        <f>IFERROR(__xludf.DUMMYFUNCTION("""COMPUTED_VALUE"""),"opened")</f>
        <v>opened</v>
      </c>
      <c r="AF1277" s="49" t="str">
        <f t="shared" si="4"/>
        <v>multi,</v>
      </c>
      <c r="AG1277" s="49"/>
      <c r="AH1277" s="1" t="s">
        <v>6684</v>
      </c>
      <c r="AI1277" s="1" t="s">
        <v>631</v>
      </c>
      <c r="AJ1277" s="6" t="str">
        <f>IFERROR(__xludf.DUMMYFUNCTION("""COMPUTED_VALUE"""),"romance")</f>
        <v>romance</v>
      </c>
      <c r="AK1277" s="49"/>
      <c r="AL1277" s="49"/>
      <c r="AM1277" s="49"/>
      <c r="AN1277" s="52" t="str">
        <f t="shared" si="5"/>
        <v>featured,</v>
      </c>
    </row>
    <row r="1278">
      <c r="A1278" s="51"/>
      <c r="B1278" s="50" t="s">
        <v>4231</v>
      </c>
      <c r="C1278" s="50" t="s">
        <v>3364</v>
      </c>
      <c r="D1278" s="49" t="str">
        <f>IFERROR(__xludf.DUMMYFUNCTION("""COMPUTED_VALUE"""),"dreams")</f>
        <v>dreams</v>
      </c>
      <c r="E1278" s="49"/>
      <c r="F1278" s="49"/>
      <c r="G1278" s="49"/>
      <c r="H1278" s="54" t="str">
        <f t="shared" si="1"/>
        <v>rising,</v>
      </c>
      <c r="I1278" s="50"/>
      <c r="J1278" s="50" t="s">
        <v>6974</v>
      </c>
      <c r="K1278" s="50" t="s">
        <v>866</v>
      </c>
      <c r="L1278" s="49" t="str">
        <f>IFERROR(__xludf.DUMMYFUNCTION("""COMPUTED_VALUE"""),"ordinary")</f>
        <v>ordinary</v>
      </c>
      <c r="M1278" s="49"/>
      <c r="N1278" s="49"/>
      <c r="O1278" s="49" t="str">
        <f>IFERROR(__xludf.DUMMYFUNCTION("""COMPUTED_VALUE"""),"literal")</f>
        <v>literal</v>
      </c>
      <c r="P1278" s="49" t="str">
        <f t="shared" si="2"/>
        <v>outer,</v>
      </c>
      <c r="Q1278" s="49"/>
      <c r="R1278" s="50" t="s">
        <v>7340</v>
      </c>
      <c r="S1278" s="55" t="s">
        <v>3675</v>
      </c>
      <c r="T1278" s="49" t="str">
        <f>IFERROR(__xludf.DUMMYFUNCTION("""COMPUTED_VALUE"""),"masses")</f>
        <v>masses</v>
      </c>
      <c r="U1278" s="49"/>
      <c r="V1278" s="49"/>
      <c r="W1278" s="49" t="str">
        <f>IFERROR(__xludf.DUMMYFUNCTION("""COMPUTED_VALUE"""),"leaping")</f>
        <v>leaping</v>
      </c>
      <c r="X1278" s="49" t="str">
        <f t="shared" si="3"/>
        <v>iconic,</v>
      </c>
      <c r="Y1278" s="49"/>
      <c r="Z1278" s="1" t="s">
        <v>1596</v>
      </c>
      <c r="AA1278" s="1" t="s">
        <v>2912</v>
      </c>
      <c r="AB1278" s="49"/>
      <c r="AC1278" s="49"/>
      <c r="AD1278" s="49"/>
      <c r="AE1278" s="49" t="str">
        <f>IFERROR(__xludf.DUMMYFUNCTION("""COMPUTED_VALUE"""),"literal")</f>
        <v>literal</v>
      </c>
      <c r="AF1278" s="49" t="str">
        <f t="shared" si="4"/>
        <v>age,</v>
      </c>
      <c r="AG1278" s="49"/>
      <c r="AH1278" s="1" t="s">
        <v>2060</v>
      </c>
      <c r="AI1278" s="1" t="s">
        <v>3958</v>
      </c>
      <c r="AJ1278" s="6" t="str">
        <f>IFERROR(__xludf.DUMMYFUNCTION("""COMPUTED_VALUE"""),"six")</f>
        <v>six</v>
      </c>
      <c r="AK1278" s="49"/>
      <c r="AL1278" s="49"/>
      <c r="AM1278" s="49"/>
      <c r="AN1278" s="52" t="str">
        <f t="shared" si="5"/>
        <v>winning,</v>
      </c>
    </row>
    <row r="1279">
      <c r="A1279" s="51"/>
      <c r="B1279" s="50" t="s">
        <v>3758</v>
      </c>
      <c r="C1279" s="50" t="s">
        <v>2330</v>
      </c>
      <c r="D1279" s="49" t="str">
        <f>IFERROR(__xludf.DUMMYFUNCTION("""COMPUTED_VALUE"""),"spy")</f>
        <v>spy</v>
      </c>
      <c r="E1279" s="49"/>
      <c r="F1279" s="49"/>
      <c r="G1279" s="49"/>
      <c r="H1279" s="54" t="str">
        <f t="shared" si="1"/>
        <v>putting,</v>
      </c>
      <c r="I1279" s="50"/>
      <c r="J1279" s="50" t="s">
        <v>3794</v>
      </c>
      <c r="K1279" s="50" t="s">
        <v>862</v>
      </c>
      <c r="L1279" s="49" t="str">
        <f>IFERROR(__xludf.DUMMYFUNCTION("""COMPUTED_VALUE"""),"mendes")</f>
        <v>mendes</v>
      </c>
      <c r="M1279" s="49"/>
      <c r="N1279" s="49"/>
      <c r="O1279" s="49" t="str">
        <f>IFERROR(__xludf.DUMMYFUNCTION("""COMPUTED_VALUE"""),"richly")</f>
        <v>richly</v>
      </c>
      <c r="P1279" s="49" t="str">
        <f t="shared" si="2"/>
        <v>kinda,</v>
      </c>
      <c r="Q1279" s="49"/>
      <c r="R1279" s="50" t="s">
        <v>3737</v>
      </c>
      <c r="S1279" s="55" t="s">
        <v>2468</v>
      </c>
      <c r="T1279" s="49" t="str">
        <f>IFERROR(__xludf.DUMMYFUNCTION("""COMPUTED_VALUE"""),"evelyn")</f>
        <v>evelyn</v>
      </c>
      <c r="U1279" s="49"/>
      <c r="V1279" s="49"/>
      <c r="W1279" s="49" t="str">
        <f>IFERROR(__xludf.DUMMYFUNCTION("""COMPUTED_VALUE"""),"nicolas")</f>
        <v>nicolas</v>
      </c>
      <c r="X1279" s="49" t="str">
        <f t="shared" si="3"/>
        <v>sleek,</v>
      </c>
      <c r="Y1279" s="49"/>
      <c r="Z1279" s="1" t="s">
        <v>3685</v>
      </c>
      <c r="AA1279" s="1" t="s">
        <v>3180</v>
      </c>
      <c r="AB1279" s="49"/>
      <c r="AC1279" s="49"/>
      <c r="AD1279" s="49"/>
      <c r="AE1279" s="49" t="str">
        <f>IFERROR(__xludf.DUMMYFUNCTION("""COMPUTED_VALUE"""),"richly")</f>
        <v>richly</v>
      </c>
      <c r="AF1279" s="49" t="str">
        <f t="shared" si="4"/>
        <v>product,</v>
      </c>
      <c r="AG1279" s="49"/>
      <c r="AH1279" s="1" t="s">
        <v>1623</v>
      </c>
      <c r="AI1279" s="1" t="s">
        <v>6458</v>
      </c>
      <c r="AJ1279" s="6" t="str">
        <f>IFERROR(__xludf.DUMMYFUNCTION("""COMPUTED_VALUE"""),"rising")</f>
        <v>rising</v>
      </c>
      <c r="AK1279" s="49"/>
      <c r="AL1279" s="49"/>
      <c r="AM1279" s="49"/>
      <c r="AN1279" s="52" t="str">
        <f t="shared" si="5"/>
        <v>view,</v>
      </c>
    </row>
    <row r="1280">
      <c r="A1280" s="51"/>
      <c r="B1280" s="50" t="s">
        <v>1419</v>
      </c>
      <c r="C1280" s="50" t="s">
        <v>2327</v>
      </c>
      <c r="D1280" s="49" t="str">
        <f>IFERROR(__xludf.DUMMYFUNCTION("""COMPUTED_VALUE"""),"kevin")</f>
        <v>kevin</v>
      </c>
      <c r="E1280" s="49"/>
      <c r="F1280" s="49"/>
      <c r="G1280" s="49"/>
      <c r="H1280" s="54" t="str">
        <f t="shared" si="1"/>
        <v>exact,</v>
      </c>
      <c r="I1280" s="50"/>
      <c r="J1280" s="50" t="s">
        <v>4456</v>
      </c>
      <c r="K1280" s="50" t="s">
        <v>2644</v>
      </c>
      <c r="L1280" s="49" t="str">
        <f>IFERROR(__xludf.DUMMYFUNCTION("""COMPUTED_VALUE"""),"significant")</f>
        <v>significant</v>
      </c>
      <c r="M1280" s="49"/>
      <c r="N1280" s="49"/>
      <c r="O1280" s="49" t="str">
        <f>IFERROR(__xludf.DUMMYFUNCTION("""COMPUTED_VALUE"""),"flatly")</f>
        <v>flatly</v>
      </c>
      <c r="P1280" s="49" t="str">
        <f t="shared" si="2"/>
        <v>terms,</v>
      </c>
      <c r="Q1280" s="49"/>
      <c r="R1280" s="50" t="s">
        <v>6461</v>
      </c>
      <c r="S1280" s="55" t="s">
        <v>6478</v>
      </c>
      <c r="T1280" s="49" t="str">
        <f>IFERROR(__xludf.DUMMYFUNCTION("""COMPUTED_VALUE"""),"acted")</f>
        <v>acted</v>
      </c>
      <c r="U1280" s="49"/>
      <c r="V1280" s="49"/>
      <c r="W1280" s="49" t="str">
        <f>IFERROR(__xludf.DUMMYFUNCTION("""COMPUTED_VALUE"""),"erratic")</f>
        <v>erratic</v>
      </c>
      <c r="X1280" s="49" t="str">
        <f t="shared" si="3"/>
        <v>machines,</v>
      </c>
      <c r="Y1280" s="49"/>
      <c r="Z1280" s="1" t="s">
        <v>679</v>
      </c>
      <c r="AA1280" s="1" t="s">
        <v>2914</v>
      </c>
      <c r="AB1280" s="49"/>
      <c r="AC1280" s="49"/>
      <c r="AD1280" s="49"/>
      <c r="AE1280" s="49" t="str">
        <f>IFERROR(__xludf.DUMMYFUNCTION("""COMPUTED_VALUE"""),"flatly")</f>
        <v>flatly</v>
      </c>
      <c r="AF1280" s="49" t="str">
        <f t="shared" si="4"/>
        <v>mixed,</v>
      </c>
      <c r="AG1280" s="49"/>
      <c r="AH1280" s="1" t="s">
        <v>2825</v>
      </c>
      <c r="AI1280" s="1" t="s">
        <v>2365</v>
      </c>
      <c r="AJ1280" s="6" t="str">
        <f>IFERROR(__xludf.DUMMYFUNCTION("""COMPUTED_VALUE"""),"putting")</f>
        <v>putting</v>
      </c>
      <c r="AK1280" s="49"/>
      <c r="AL1280" s="49"/>
      <c r="AM1280" s="49"/>
      <c r="AN1280" s="52" t="str">
        <f t="shared" si="5"/>
        <v>score,</v>
      </c>
    </row>
    <row r="1281">
      <c r="A1281" s="51"/>
      <c r="B1281" s="50" t="s">
        <v>4494</v>
      </c>
      <c r="C1281" s="50" t="s">
        <v>5454</v>
      </c>
      <c r="D1281" s="49" t="str">
        <f>IFERROR(__xludf.DUMMYFUNCTION("""COMPUTED_VALUE"""),"episodes")</f>
        <v>episodes</v>
      </c>
      <c r="E1281" s="49"/>
      <c r="F1281" s="49"/>
      <c r="G1281" s="49"/>
      <c r="H1281" s="54" t="str">
        <f t="shared" si="1"/>
        <v>comparison,</v>
      </c>
      <c r="I1281" s="50"/>
      <c r="J1281" s="50" t="s">
        <v>5410</v>
      </c>
      <c r="K1281" s="50" t="s">
        <v>3814</v>
      </c>
      <c r="L1281" s="49" t="str">
        <f>IFERROR(__xludf.DUMMYFUNCTION("""COMPUTED_VALUE"""),"blanket")</f>
        <v>blanket</v>
      </c>
      <c r="M1281" s="49"/>
      <c r="N1281" s="49"/>
      <c r="O1281" s="49" t="str">
        <f>IFERROR(__xludf.DUMMYFUNCTION("""COMPUTED_VALUE"""),"kendall")</f>
        <v>kendall</v>
      </c>
      <c r="P1281" s="49" t="str">
        <f t="shared" si="2"/>
        <v>verbal,</v>
      </c>
      <c r="Q1281" s="49"/>
      <c r="R1281" s="50" t="s">
        <v>3941</v>
      </c>
      <c r="S1281" s="55" t="s">
        <v>3614</v>
      </c>
      <c r="T1281" s="49" t="str">
        <f>IFERROR(__xludf.DUMMYFUNCTION("""COMPUTED_VALUE"""),"relic")</f>
        <v>relic</v>
      </c>
      <c r="U1281" s="49"/>
      <c r="V1281" s="49"/>
      <c r="W1281" s="49" t="str">
        <f>IFERROR(__xludf.DUMMYFUNCTION("""COMPUTED_VALUE"""),"confronting")</f>
        <v>confronting</v>
      </c>
      <c r="X1281" s="49" t="str">
        <f t="shared" si="3"/>
        <v>seconds,</v>
      </c>
      <c r="Y1281" s="49"/>
      <c r="Z1281" s="1" t="s">
        <v>257</v>
      </c>
      <c r="AA1281" s="1" t="s">
        <v>1383</v>
      </c>
      <c r="AB1281" s="49"/>
      <c r="AC1281" s="49"/>
      <c r="AD1281" s="49"/>
      <c r="AE1281" s="49" t="str">
        <f>IFERROR(__xludf.DUMMYFUNCTION("""COMPUTED_VALUE"""),"kendall")</f>
        <v>kendall</v>
      </c>
      <c r="AF1281" s="49" t="str">
        <f t="shared" si="4"/>
        <v>suspense,</v>
      </c>
      <c r="AG1281" s="49"/>
      <c r="AH1281" s="1" t="s">
        <v>6390</v>
      </c>
      <c r="AI1281" s="1" t="s">
        <v>3963</v>
      </c>
      <c r="AJ1281" s="6" t="str">
        <f>IFERROR(__xludf.DUMMYFUNCTION("""COMPUTED_VALUE"""),"exact")</f>
        <v>exact</v>
      </c>
      <c r="AK1281" s="49"/>
      <c r="AL1281" s="49"/>
      <c r="AM1281" s="49"/>
      <c r="AN1281" s="52" t="str">
        <f t="shared" si="5"/>
        <v>cable,</v>
      </c>
    </row>
    <row r="1282">
      <c r="A1282" s="51"/>
      <c r="B1282" s="50" t="s">
        <v>3221</v>
      </c>
      <c r="C1282" s="50" t="s">
        <v>2329</v>
      </c>
      <c r="D1282" s="49" t="str">
        <f>IFERROR(__xludf.DUMMYFUNCTION("""COMPUTED_VALUE"""),"generation")</f>
        <v>generation</v>
      </c>
      <c r="E1282" s="49"/>
      <c r="F1282" s="49"/>
      <c r="G1282" s="49"/>
      <c r="H1282" s="54" t="str">
        <f t="shared" si="1"/>
        <v>bother,</v>
      </c>
      <c r="I1282" s="50"/>
      <c r="J1282" s="50" t="s">
        <v>6505</v>
      </c>
      <c r="K1282" s="50" t="s">
        <v>3816</v>
      </c>
      <c r="L1282" s="49" t="str">
        <f>IFERROR(__xludf.DUMMYFUNCTION("""COMPUTED_VALUE"""),"dash")</f>
        <v>dash</v>
      </c>
      <c r="M1282" s="49"/>
      <c r="N1282" s="49"/>
      <c r="O1282" s="49" t="str">
        <f>IFERROR(__xludf.DUMMYFUNCTION("""COMPUTED_VALUE"""),"principles")</f>
        <v>principles</v>
      </c>
      <c r="P1282" s="49" t="str">
        <f t="shared" si="2"/>
        <v>violently,</v>
      </c>
      <c r="Q1282" s="49"/>
      <c r="R1282" s="50" t="s">
        <v>5059</v>
      </c>
      <c r="S1282" s="55" t="s">
        <v>780</v>
      </c>
      <c r="T1282" s="49" t="str">
        <f>IFERROR(__xludf.DUMMYFUNCTION("""COMPUTED_VALUE"""),"subtle")</f>
        <v>subtle</v>
      </c>
      <c r="U1282" s="49"/>
      <c r="V1282" s="49"/>
      <c r="W1282" s="49" t="str">
        <f>IFERROR(__xludf.DUMMYFUNCTION("""COMPUTED_VALUE"""),"paranoia")</f>
        <v>paranoia</v>
      </c>
      <c r="X1282" s="49" t="str">
        <f t="shared" si="3"/>
        <v>naked,</v>
      </c>
      <c r="Y1282" s="49"/>
      <c r="Z1282" s="1" t="s">
        <v>1694</v>
      </c>
      <c r="AA1282" s="1" t="s">
        <v>4078</v>
      </c>
      <c r="AB1282" s="49"/>
      <c r="AC1282" s="49"/>
      <c r="AD1282" s="49"/>
      <c r="AE1282" s="49" t="str">
        <f>IFERROR(__xludf.DUMMYFUNCTION("""COMPUTED_VALUE"""),"principles")</f>
        <v>principles</v>
      </c>
      <c r="AF1282" s="49" t="str">
        <f t="shared" si="4"/>
        <v>jason,</v>
      </c>
      <c r="AG1282" s="49"/>
      <c r="AH1282" s="1" t="s">
        <v>910</v>
      </c>
      <c r="AI1282" s="1" t="s">
        <v>6479</v>
      </c>
      <c r="AJ1282" s="6" t="str">
        <f>IFERROR(__xludf.DUMMYFUNCTION("""COMPUTED_VALUE"""),"comparison")</f>
        <v>comparison</v>
      </c>
      <c r="AK1282" s="49"/>
      <c r="AL1282" s="49"/>
      <c r="AM1282" s="49"/>
      <c r="AN1282" s="52" t="str">
        <f t="shared" si="5"/>
        <v>piano,</v>
      </c>
    </row>
    <row r="1283">
      <c r="A1283" s="51"/>
      <c r="B1283" s="50" t="s">
        <v>74</v>
      </c>
      <c r="C1283" s="50" t="s">
        <v>3296</v>
      </c>
      <c r="D1283" s="49" t="str">
        <f>IFERROR(__xludf.DUMMYFUNCTION("""COMPUTED_VALUE"""),"khan")</f>
        <v>khan</v>
      </c>
      <c r="E1283" s="49"/>
      <c r="F1283" s="49"/>
      <c r="G1283" s="49"/>
      <c r="H1283" s="54" t="str">
        <f t="shared" si="1"/>
        <v>storyline,</v>
      </c>
      <c r="I1283" s="50"/>
      <c r="J1283" s="50" t="s">
        <v>962</v>
      </c>
      <c r="K1283" s="50" t="s">
        <v>4284</v>
      </c>
      <c r="L1283" s="49" t="str">
        <f>IFERROR(__xludf.DUMMYFUNCTION("""COMPUTED_VALUE"""),"mixture")</f>
        <v>mixture</v>
      </c>
      <c r="M1283" s="49"/>
      <c r="N1283" s="49"/>
      <c r="O1283" s="49" t="str">
        <f>IFERROR(__xludf.DUMMYFUNCTION("""COMPUTED_VALUE"""),"smackdown")</f>
        <v>smackdown</v>
      </c>
      <c r="P1283" s="49" t="str">
        <f t="shared" si="2"/>
        <v>runs,</v>
      </c>
      <c r="Q1283" s="49"/>
      <c r="R1283" s="50" t="s">
        <v>1311</v>
      </c>
      <c r="S1283" s="55" t="s">
        <v>2497</v>
      </c>
      <c r="T1283" s="49" t="str">
        <f>IFERROR(__xludf.DUMMYFUNCTION("""COMPUTED_VALUE"""),"distinctive")</f>
        <v>distinctive</v>
      </c>
      <c r="U1283" s="49"/>
      <c r="V1283" s="49"/>
      <c r="W1283" s="49" t="str">
        <f>IFERROR(__xludf.DUMMYFUNCTION("""COMPUTED_VALUE"""),"phenomenon")</f>
        <v>phenomenon</v>
      </c>
      <c r="X1283" s="49" t="str">
        <f t="shared" si="3"/>
        <v>laugh,</v>
      </c>
      <c r="Y1283" s="49"/>
      <c r="Z1283" s="1" t="s">
        <v>651</v>
      </c>
      <c r="AA1283" s="1" t="s">
        <v>3184</v>
      </c>
      <c r="AB1283" s="49"/>
      <c r="AC1283" s="49"/>
      <c r="AD1283" s="49"/>
      <c r="AE1283" s="49" t="str">
        <f>IFERROR(__xludf.DUMMYFUNCTION("""COMPUTED_VALUE"""),"smackdown")</f>
        <v>smackdown</v>
      </c>
      <c r="AF1283" s="49" t="str">
        <f t="shared" si="4"/>
        <v>standard,</v>
      </c>
      <c r="AG1283" s="49"/>
      <c r="AH1283" s="1" t="s">
        <v>933</v>
      </c>
      <c r="AI1283" s="1" t="s">
        <v>2733</v>
      </c>
      <c r="AJ1283" s="6" t="str">
        <f>IFERROR(__xludf.DUMMYFUNCTION("""COMPUTED_VALUE"""),"company")</f>
        <v>company</v>
      </c>
      <c r="AK1283" s="49"/>
      <c r="AL1283" s="49"/>
      <c r="AM1283" s="49"/>
      <c r="AN1283" s="52" t="str">
        <f t="shared" si="5"/>
        <v>starts,</v>
      </c>
    </row>
    <row r="1284">
      <c r="A1284" s="51"/>
      <c r="B1284" s="50" t="s">
        <v>1357</v>
      </c>
      <c r="C1284" s="50" t="s">
        <v>3421</v>
      </c>
      <c r="D1284" s="49" t="str">
        <f>IFERROR(__xludf.DUMMYFUNCTION("""COMPUTED_VALUE"""),"truck")</f>
        <v>truck</v>
      </c>
      <c r="E1284" s="49"/>
      <c r="F1284" s="49"/>
      <c r="G1284" s="49"/>
      <c r="H1284" s="54" t="str">
        <f t="shared" si="1"/>
        <v>company,</v>
      </c>
      <c r="I1284" s="50"/>
      <c r="J1284" s="50">
        <v>24.0</v>
      </c>
      <c r="K1284" s="50" t="s">
        <v>4288</v>
      </c>
      <c r="L1284" s="49" t="str">
        <f>IFERROR(__xludf.DUMMYFUNCTION("""COMPUTED_VALUE"""),"rely")</f>
        <v>rely</v>
      </c>
      <c r="M1284" s="49"/>
      <c r="N1284" s="49"/>
      <c r="O1284" s="49" t="str">
        <f>IFERROR(__xludf.DUMMYFUNCTION("""COMPUTED_VALUE"""),"atrocities")</f>
        <v>atrocities</v>
      </c>
      <c r="P1284" s="49" t="str">
        <f t="shared" si="2"/>
        <v>24,</v>
      </c>
      <c r="Q1284" s="49"/>
      <c r="R1284" s="50" t="s">
        <v>3642</v>
      </c>
      <c r="S1284" s="55" t="s">
        <v>3739</v>
      </c>
      <c r="T1284" s="49" t="str">
        <f>IFERROR(__xludf.DUMMYFUNCTION("""COMPUTED_VALUE"""),"restraint")</f>
        <v>restraint</v>
      </c>
      <c r="U1284" s="49"/>
      <c r="V1284" s="49"/>
      <c r="W1284" s="49" t="str">
        <f>IFERROR(__xludf.DUMMYFUNCTION("""COMPUTED_VALUE"""),"viewpoint")</f>
        <v>viewpoint</v>
      </c>
      <c r="X1284" s="49" t="str">
        <f t="shared" si="3"/>
        <v>basis,</v>
      </c>
      <c r="Y1284" s="49"/>
      <c r="Z1284" s="1" t="s">
        <v>1360</v>
      </c>
      <c r="AA1284" s="1" t="s">
        <v>4285</v>
      </c>
      <c r="AB1284" s="49"/>
      <c r="AC1284" s="49"/>
      <c r="AD1284" s="49"/>
      <c r="AE1284" s="49" t="str">
        <f>IFERROR(__xludf.DUMMYFUNCTION("""COMPUTED_VALUE"""),"atrocities")</f>
        <v>atrocities</v>
      </c>
      <c r="AF1284" s="49" t="str">
        <f t="shared" si="4"/>
        <v>questions,</v>
      </c>
      <c r="AG1284" s="49"/>
      <c r="AH1284" s="1" t="s">
        <v>2358</v>
      </c>
      <c r="AI1284" s="1" t="s">
        <v>2323</v>
      </c>
      <c r="AJ1284" s="6" t="str">
        <f>IFERROR(__xludf.DUMMYFUNCTION("""COMPUTED_VALUE"""),"land")</f>
        <v>land</v>
      </c>
      <c r="AK1284" s="49"/>
      <c r="AL1284" s="49"/>
      <c r="AM1284" s="49"/>
      <c r="AN1284" s="52" t="str">
        <f t="shared" si="5"/>
        <v>moves,</v>
      </c>
    </row>
    <row r="1285">
      <c r="A1285" s="51"/>
      <c r="B1285" s="50" t="s">
        <v>3206</v>
      </c>
      <c r="C1285" s="50" t="s">
        <v>3377</v>
      </c>
      <c r="D1285" s="49" t="str">
        <f>IFERROR(__xludf.DUMMYFUNCTION("""COMPUTED_VALUE"""),"grows")</f>
        <v>grows</v>
      </c>
      <c r="E1285" s="49"/>
      <c r="F1285" s="49"/>
      <c r="G1285" s="49"/>
      <c r="H1285" s="54" t="str">
        <f t="shared" si="1"/>
        <v>land,</v>
      </c>
      <c r="I1285" s="50"/>
      <c r="J1285" s="50" t="s">
        <v>5534</v>
      </c>
      <c r="K1285" s="50" t="s">
        <v>880</v>
      </c>
      <c r="L1285" s="49" t="str">
        <f>IFERROR(__xludf.DUMMYFUNCTION("""COMPUTED_VALUE"""),"substances")</f>
        <v>substances</v>
      </c>
      <c r="M1285" s="49"/>
      <c r="N1285" s="49"/>
      <c r="O1285" s="49" t="str">
        <f>IFERROR(__xludf.DUMMYFUNCTION("""COMPUTED_VALUE"""),"mythology")</f>
        <v>mythology</v>
      </c>
      <c r="P1285" s="49" t="str">
        <f t="shared" si="2"/>
        <v>molly,</v>
      </c>
      <c r="Q1285" s="49"/>
      <c r="R1285" s="50" t="s">
        <v>1182</v>
      </c>
      <c r="S1285" s="55" t="s">
        <v>3269</v>
      </c>
      <c r="T1285" s="49" t="str">
        <f>IFERROR(__xludf.DUMMYFUNCTION("""COMPUTED_VALUE"""),"slump")</f>
        <v>slump</v>
      </c>
      <c r="U1285" s="49"/>
      <c r="V1285" s="49"/>
      <c r="W1285" s="49" t="str">
        <f>IFERROR(__xludf.DUMMYFUNCTION("""COMPUTED_VALUE"""),"diary")</f>
        <v>diary</v>
      </c>
      <c r="X1285" s="49" t="str">
        <f t="shared" si="3"/>
        <v>front,</v>
      </c>
      <c r="Y1285" s="49"/>
      <c r="Z1285" s="1" t="s">
        <v>3451</v>
      </c>
      <c r="AA1285" s="1" t="s">
        <v>2917</v>
      </c>
      <c r="AB1285" s="49"/>
      <c r="AC1285" s="49"/>
      <c r="AD1285" s="49"/>
      <c r="AE1285" s="49" t="str">
        <f>IFERROR(__xludf.DUMMYFUNCTION("""COMPUTED_VALUE"""),"mythology")</f>
        <v>mythology</v>
      </c>
      <c r="AF1285" s="49" t="str">
        <f t="shared" si="4"/>
        <v>lives,</v>
      </c>
      <c r="AG1285" s="49"/>
      <c r="AH1285" s="1" t="s">
        <v>5370</v>
      </c>
      <c r="AI1285" s="1" t="s">
        <v>2366</v>
      </c>
      <c r="AJ1285" s="6" t="str">
        <f>IFERROR(__xludf.DUMMYFUNCTION("""COMPUTED_VALUE"""),"created")</f>
        <v>created</v>
      </c>
      <c r="AK1285" s="49"/>
      <c r="AL1285" s="49"/>
      <c r="AM1285" s="49"/>
      <c r="AN1285" s="52" t="str">
        <f t="shared" si="5"/>
        <v>susan,</v>
      </c>
    </row>
    <row r="1286">
      <c r="A1286" s="51"/>
      <c r="B1286" s="50" t="s">
        <v>3040</v>
      </c>
      <c r="C1286" s="50" t="s">
        <v>678</v>
      </c>
      <c r="D1286" s="49" t="str">
        <f>IFERROR(__xludf.DUMMYFUNCTION("""COMPUTED_VALUE"""),"constructed")</f>
        <v>constructed</v>
      </c>
      <c r="E1286" s="49"/>
      <c r="F1286" s="49"/>
      <c r="G1286" s="49"/>
      <c r="H1286" s="54" t="str">
        <f t="shared" si="1"/>
        <v>created,</v>
      </c>
      <c r="I1286" s="50"/>
      <c r="J1286" s="50" t="s">
        <v>3281</v>
      </c>
      <c r="K1286" s="50" t="s">
        <v>3821</v>
      </c>
      <c r="L1286" s="49" t="str">
        <f>IFERROR(__xludf.DUMMYFUNCTION("""COMPUTED_VALUE"""),"imaginative")</f>
        <v>imaginative</v>
      </c>
      <c r="M1286" s="49"/>
      <c r="N1286" s="49"/>
      <c r="O1286" s="49" t="str">
        <f>IFERROR(__xludf.DUMMYFUNCTION("""COMPUTED_VALUE"""),"benefited")</f>
        <v>benefited</v>
      </c>
      <c r="P1286" s="49" t="str">
        <f t="shared" si="2"/>
        <v>artists,</v>
      </c>
      <c r="Q1286" s="49"/>
      <c r="R1286" s="50" t="s">
        <v>6305</v>
      </c>
      <c r="S1286" s="55" t="s">
        <v>633</v>
      </c>
      <c r="T1286" s="49" t="str">
        <f>IFERROR(__xludf.DUMMYFUNCTION("""COMPUTED_VALUE"""),"forged")</f>
        <v>forged</v>
      </c>
      <c r="U1286" s="49"/>
      <c r="V1286" s="49"/>
      <c r="W1286" s="49" t="str">
        <f>IFERROR(__xludf.DUMMYFUNCTION("""COMPUTED_VALUE"""),"mild")</f>
        <v>mild</v>
      </c>
      <c r="X1286" s="49" t="str">
        <f t="shared" si="3"/>
        <v>marginal,</v>
      </c>
      <c r="Y1286" s="49"/>
      <c r="Z1286" s="1" t="s">
        <v>6256</v>
      </c>
      <c r="AA1286" s="1" t="s">
        <v>3192</v>
      </c>
      <c r="AB1286" s="49"/>
      <c r="AC1286" s="49"/>
      <c r="AD1286" s="49"/>
      <c r="AE1286" s="49" t="str">
        <f>IFERROR(__xludf.DUMMYFUNCTION("""COMPUTED_VALUE"""),"benefited")</f>
        <v>benefited</v>
      </c>
      <c r="AF1286" s="49" t="str">
        <f t="shared" si="4"/>
        <v>fresh,</v>
      </c>
      <c r="AG1286" s="49"/>
      <c r="AH1286" s="1" t="s">
        <v>7339</v>
      </c>
      <c r="AI1286" s="1" t="s">
        <v>2377</v>
      </c>
      <c r="AJ1286" s="6" t="str">
        <f>IFERROR(__xludf.DUMMYFUNCTION("""COMPUTED_VALUE"""),"track")</f>
        <v>track</v>
      </c>
      <c r="AK1286" s="49"/>
      <c r="AL1286" s="49"/>
      <c r="AM1286" s="49"/>
      <c r="AN1286" s="52" t="str">
        <f t="shared" si="5"/>
        <v>wire,</v>
      </c>
    </row>
    <row r="1287">
      <c r="A1287" s="51"/>
      <c r="B1287" s="50" t="s">
        <v>6154</v>
      </c>
      <c r="C1287" s="50" t="s">
        <v>2332</v>
      </c>
      <c r="D1287" s="49" t="str">
        <f>IFERROR(__xludf.DUMMYFUNCTION("""COMPUTED_VALUE"""),"impressed")</f>
        <v>impressed</v>
      </c>
      <c r="E1287" s="49"/>
      <c r="F1287" s="49"/>
      <c r="G1287" s="49"/>
      <c r="H1287" s="54" t="str">
        <f t="shared" si="1"/>
        <v>track,</v>
      </c>
      <c r="I1287" s="50"/>
      <c r="J1287" s="50" t="s">
        <v>4206</v>
      </c>
      <c r="K1287" s="50" t="s">
        <v>1308</v>
      </c>
      <c r="L1287" s="49" t="str">
        <f>IFERROR(__xludf.DUMMYFUNCTION("""COMPUTED_VALUE"""),"thoughtful")</f>
        <v>thoughtful</v>
      </c>
      <c r="M1287" s="49"/>
      <c r="N1287" s="49"/>
      <c r="O1287" s="49" t="str">
        <f>IFERROR(__xludf.DUMMYFUNCTION("""COMPUTED_VALUE"""),"directs")</f>
        <v>directs</v>
      </c>
      <c r="P1287" s="49" t="str">
        <f t="shared" si="2"/>
        <v>vision,</v>
      </c>
      <c r="Q1287" s="49"/>
      <c r="R1287" s="50" t="s">
        <v>802</v>
      </c>
      <c r="S1287" s="55" t="s">
        <v>626</v>
      </c>
      <c r="T1287" s="49" t="str">
        <f>IFERROR(__xludf.DUMMYFUNCTION("""COMPUTED_VALUE"""),"pow")</f>
        <v>pow</v>
      </c>
      <c r="U1287" s="49"/>
      <c r="V1287" s="49"/>
      <c r="W1287" s="49" t="str">
        <f>IFERROR(__xludf.DUMMYFUNCTION("""COMPUTED_VALUE"""),"fuels")</f>
        <v>fuels</v>
      </c>
      <c r="X1287" s="49" t="str">
        <f t="shared" si="3"/>
        <v>collapse,</v>
      </c>
      <c r="Y1287" s="49"/>
      <c r="Z1287" s="1" t="s">
        <v>792</v>
      </c>
      <c r="AA1287" s="1" t="s">
        <v>2101</v>
      </c>
      <c r="AB1287" s="49"/>
      <c r="AC1287" s="49"/>
      <c r="AD1287" s="49"/>
      <c r="AE1287" s="49" t="str">
        <f>IFERROR(__xludf.DUMMYFUNCTION("""COMPUTED_VALUE"""),"directs")</f>
        <v>directs</v>
      </c>
      <c r="AF1287" s="49" t="str">
        <f t="shared" si="4"/>
        <v>street,</v>
      </c>
      <c r="AG1287" s="49"/>
      <c r="AH1287" s="1" t="s">
        <v>7341</v>
      </c>
      <c r="AI1287" s="1" t="s">
        <v>4282</v>
      </c>
      <c r="AJ1287" s="6">
        <f>IFERROR(__xludf.DUMMYFUNCTION("""COMPUTED_VALUE"""),40.0)</f>
        <v>40</v>
      </c>
      <c r="AK1287" s="49"/>
      <c r="AL1287" s="49"/>
      <c r="AM1287" s="49"/>
      <c r="AN1287" s="52" t="str">
        <f t="shared" si="5"/>
        <v>relocated,</v>
      </c>
    </row>
    <row r="1288">
      <c r="A1288" s="51"/>
      <c r="B1288" s="50">
        <v>40.0</v>
      </c>
      <c r="C1288" s="50" t="s">
        <v>685</v>
      </c>
      <c r="D1288" s="49" t="str">
        <f>IFERROR(__xludf.DUMMYFUNCTION("""COMPUTED_VALUE"""),"skill")</f>
        <v>skill</v>
      </c>
      <c r="E1288" s="49"/>
      <c r="F1288" s="49"/>
      <c r="G1288" s="49"/>
      <c r="H1288" s="54" t="str">
        <f t="shared" si="1"/>
        <v>40,</v>
      </c>
      <c r="I1288" s="50"/>
      <c r="J1288" s="50" t="s">
        <v>4875</v>
      </c>
      <c r="K1288" s="50" t="s">
        <v>1316</v>
      </c>
      <c r="L1288" s="49" t="str">
        <f>IFERROR(__xludf.DUMMYFUNCTION("""COMPUTED_VALUE"""),"meaningful")</f>
        <v>meaningful</v>
      </c>
      <c r="M1288" s="49"/>
      <c r="N1288" s="49"/>
      <c r="O1288" s="49" t="str">
        <f>IFERROR(__xludf.DUMMYFUNCTION("""COMPUTED_VALUE"""),"snap")</f>
        <v>snap</v>
      </c>
      <c r="P1288" s="49" t="str">
        <f t="shared" si="2"/>
        <v>inner,</v>
      </c>
      <c r="Q1288" s="49"/>
      <c r="R1288" s="50" t="s">
        <v>4997</v>
      </c>
      <c r="S1288" s="55" t="s">
        <v>311</v>
      </c>
      <c r="T1288" s="49" t="str">
        <f>IFERROR(__xludf.DUMMYFUNCTION("""COMPUTED_VALUE"""),"expressing")</f>
        <v>expressing</v>
      </c>
      <c r="U1288" s="49"/>
      <c r="V1288" s="49"/>
      <c r="W1288" s="49" t="str">
        <f>IFERROR(__xludf.DUMMYFUNCTION("""COMPUTED_VALUE"""),"freighter")</f>
        <v>freighter</v>
      </c>
      <c r="X1288" s="49" t="str">
        <f t="shared" si="3"/>
        <v>sincerely,</v>
      </c>
      <c r="Y1288" s="49"/>
      <c r="Z1288" s="1" t="s">
        <v>4391</v>
      </c>
      <c r="AA1288" s="1" t="s">
        <v>1076</v>
      </c>
      <c r="AB1288" s="49"/>
      <c r="AC1288" s="49"/>
      <c r="AD1288" s="49"/>
      <c r="AE1288" s="49" t="str">
        <f>IFERROR(__xludf.DUMMYFUNCTION("""COMPUTED_VALUE"""),"snap")</f>
        <v>snap</v>
      </c>
      <c r="AF1288" s="49" t="str">
        <f t="shared" si="4"/>
        <v>allen,</v>
      </c>
      <c r="AG1288" s="49"/>
      <c r="AH1288" s="1" t="s">
        <v>5648</v>
      </c>
      <c r="AI1288" s="1" t="s">
        <v>3989</v>
      </c>
      <c r="AJ1288" s="6" t="str">
        <f>IFERROR(__xludf.DUMMYFUNCTION("""COMPUTED_VALUE"""),"japanese")</f>
        <v>japanese</v>
      </c>
      <c r="AK1288" s="49"/>
      <c r="AL1288" s="49"/>
      <c r="AM1288" s="49"/>
      <c r="AN1288" s="52" t="str">
        <f t="shared" si="5"/>
        <v>`,</v>
      </c>
    </row>
    <row r="1289">
      <c r="A1289" s="51"/>
      <c r="B1289" s="50" t="s">
        <v>3789</v>
      </c>
      <c r="C1289" s="50" t="s">
        <v>3395</v>
      </c>
      <c r="D1289" s="49" t="str">
        <f>IFERROR(__xludf.DUMMYFUNCTION("""COMPUTED_VALUE"""),"determined")</f>
        <v>determined</v>
      </c>
      <c r="E1289" s="49"/>
      <c r="F1289" s="49"/>
      <c r="G1289" s="49"/>
      <c r="H1289" s="54" t="str">
        <f t="shared" si="1"/>
        <v>japanese,</v>
      </c>
      <c r="I1289" s="50"/>
      <c r="J1289" s="50" t="s">
        <v>4276</v>
      </c>
      <c r="K1289" s="50" t="s">
        <v>2584</v>
      </c>
      <c r="L1289" s="49" t="str">
        <f>IFERROR(__xludf.DUMMYFUNCTION("""COMPUTED_VALUE"""),"suggests")</f>
        <v>suggests</v>
      </c>
      <c r="M1289" s="49"/>
      <c r="N1289" s="49"/>
      <c r="O1289" s="49" t="str">
        <f>IFERROR(__xludf.DUMMYFUNCTION("""COMPUTED_VALUE"""),"extravagant")</f>
        <v>extravagant</v>
      </c>
      <c r="P1289" s="49" t="str">
        <f t="shared" si="2"/>
        <v>backdrop,</v>
      </c>
      <c r="Q1289" s="49"/>
      <c r="R1289" s="50" t="s">
        <v>3999</v>
      </c>
      <c r="S1289" s="55" t="s">
        <v>1201</v>
      </c>
      <c r="T1289" s="49" t="str">
        <f>IFERROR(__xludf.DUMMYFUNCTION("""COMPUTED_VALUE"""),"east")</f>
        <v>east</v>
      </c>
      <c r="U1289" s="49"/>
      <c r="V1289" s="49"/>
      <c r="W1289" s="49" t="str">
        <f>IFERROR(__xludf.DUMMYFUNCTION("""COMPUTED_VALUE"""),"stretches")</f>
        <v>stretches</v>
      </c>
      <c r="X1289" s="49" t="str">
        <f t="shared" si="3"/>
        <v>charms,</v>
      </c>
      <c r="Y1289" s="49"/>
      <c r="Z1289" s="1" t="s">
        <v>4161</v>
      </c>
      <c r="AA1289" s="1" t="s">
        <v>4293</v>
      </c>
      <c r="AB1289" s="49"/>
      <c r="AC1289" s="49"/>
      <c r="AD1289" s="49"/>
      <c r="AE1289" s="49" t="str">
        <f>IFERROR(__xludf.DUMMYFUNCTION("""COMPUTED_VALUE"""),"extravagant")</f>
        <v>extravagant</v>
      </c>
      <c r="AF1289" s="49" t="str">
        <f t="shared" si="4"/>
        <v>word,</v>
      </c>
      <c r="AG1289" s="49"/>
      <c r="AH1289" s="1" t="s">
        <v>1444</v>
      </c>
      <c r="AI1289" s="1" t="s">
        <v>83</v>
      </c>
      <c r="AJ1289" s="6" t="str">
        <f>IFERROR(__xludf.DUMMYFUNCTION("""COMPUTED_VALUE"""),"flight")</f>
        <v>flight</v>
      </c>
      <c r="AK1289" s="49"/>
      <c r="AL1289" s="49"/>
      <c r="AM1289" s="49"/>
      <c r="AN1289" s="52" t="str">
        <f t="shared" si="5"/>
        <v>including,</v>
      </c>
    </row>
    <row r="1290">
      <c r="A1290" s="51"/>
      <c r="B1290" s="50" t="s">
        <v>4297</v>
      </c>
      <c r="C1290" s="50" t="s">
        <v>1659</v>
      </c>
      <c r="D1290" s="49" t="str">
        <f>IFERROR(__xludf.DUMMYFUNCTION("""COMPUTED_VALUE"""),"vampire")</f>
        <v>vampire</v>
      </c>
      <c r="E1290" s="49"/>
      <c r="F1290" s="49"/>
      <c r="G1290" s="49"/>
      <c r="H1290" s="54" t="str">
        <f t="shared" si="1"/>
        <v>flight,</v>
      </c>
      <c r="I1290" s="50"/>
      <c r="J1290" s="50" t="s">
        <v>1866</v>
      </c>
      <c r="K1290" s="50" t="s">
        <v>2581</v>
      </c>
      <c r="L1290" s="49" t="str">
        <f>IFERROR(__xludf.DUMMYFUNCTION("""COMPUTED_VALUE"""),"homosexual")</f>
        <v>homosexual</v>
      </c>
      <c r="M1290" s="49"/>
      <c r="N1290" s="49"/>
      <c r="O1290" s="49" t="str">
        <f>IFERROR(__xludf.DUMMYFUNCTION("""COMPUTED_VALUE"""),"swings")</f>
        <v>swings</v>
      </c>
      <c r="P1290" s="49" t="str">
        <f t="shared" si="2"/>
        <v>pilot,</v>
      </c>
      <c r="Q1290" s="49"/>
      <c r="R1290" s="50" t="s">
        <v>144</v>
      </c>
      <c r="S1290" s="55" t="s">
        <v>6480</v>
      </c>
      <c r="T1290" s="49" t="str">
        <f>IFERROR(__xludf.DUMMYFUNCTION("""COMPUTED_VALUE"""),"marine")</f>
        <v>marine</v>
      </c>
      <c r="U1290" s="49"/>
      <c r="V1290" s="49"/>
      <c r="W1290" s="49" t="str">
        <f>IFERROR(__xludf.DUMMYFUNCTION("""COMPUTED_VALUE"""),"ecstasy")</f>
        <v>ecstasy</v>
      </c>
      <c r="X1290" s="49" t="str">
        <f t="shared" si="3"/>
        <v>intellectual,</v>
      </c>
      <c r="Y1290" s="49"/>
      <c r="Z1290" s="1" t="s">
        <v>7308</v>
      </c>
      <c r="AA1290" s="1" t="s">
        <v>3195</v>
      </c>
      <c r="AB1290" s="49"/>
      <c r="AC1290" s="49"/>
      <c r="AD1290" s="49"/>
      <c r="AE1290" s="49" t="str">
        <f>IFERROR(__xludf.DUMMYFUNCTION("""COMPUTED_VALUE"""),"swings")</f>
        <v>swings</v>
      </c>
      <c r="AF1290" s="49" t="str">
        <f t="shared" si="4"/>
        <v>basement,</v>
      </c>
      <c r="AG1290" s="49"/>
      <c r="AH1290" s="1" t="s">
        <v>3857</v>
      </c>
      <c r="AI1290" s="1" t="s">
        <v>2395</v>
      </c>
      <c r="AJ1290" s="6" t="str">
        <f>IFERROR(__xludf.DUMMYFUNCTION("""COMPUTED_VALUE"""),"thirty")</f>
        <v>thirty</v>
      </c>
      <c r="AK1290" s="49"/>
      <c r="AL1290" s="49"/>
      <c r="AM1290" s="49"/>
      <c r="AN1290" s="52" t="str">
        <f t="shared" si="5"/>
        <v>support,</v>
      </c>
    </row>
    <row r="1291">
      <c r="A1291" s="51"/>
      <c r="B1291" s="50" t="s">
        <v>6747</v>
      </c>
      <c r="C1291" s="50" t="s">
        <v>2710</v>
      </c>
      <c r="D1291" s="49" t="str">
        <f>IFERROR(__xludf.DUMMYFUNCTION("""COMPUTED_VALUE"""),"accent")</f>
        <v>accent</v>
      </c>
      <c r="E1291" s="49"/>
      <c r="F1291" s="49"/>
      <c r="G1291" s="49"/>
      <c r="H1291" s="54" t="str">
        <f t="shared" si="1"/>
        <v>thirty,</v>
      </c>
      <c r="I1291" s="50"/>
      <c r="J1291" s="50" t="s">
        <v>604</v>
      </c>
      <c r="K1291" s="50" t="s">
        <v>1321</v>
      </c>
      <c r="L1291" s="49" t="str">
        <f>IFERROR(__xludf.DUMMYFUNCTION("""COMPUTED_VALUE"""),"dickens")</f>
        <v>dickens</v>
      </c>
      <c r="M1291" s="49"/>
      <c r="N1291" s="49"/>
      <c r="O1291" s="49">
        <f>IFERROR(__xludf.DUMMYFUNCTION("""COMPUTED_VALUE"""),1938.0)</f>
        <v>1938</v>
      </c>
      <c r="P1291" s="49" t="str">
        <f t="shared" si="2"/>
        <v>lynch,</v>
      </c>
      <c r="Q1291" s="49"/>
      <c r="R1291" s="50" t="s">
        <v>250</v>
      </c>
      <c r="S1291" s="55" t="s">
        <v>2561</v>
      </c>
      <c r="T1291" s="49" t="str">
        <f>IFERROR(__xludf.DUMMYFUNCTION("""COMPUTED_VALUE"""),"portrait")</f>
        <v>portrait</v>
      </c>
      <c r="U1291" s="49"/>
      <c r="V1291" s="49"/>
      <c r="W1291" s="49" t="str">
        <f>IFERROR(__xludf.DUMMYFUNCTION("""COMPUTED_VALUE"""),"stalked")</f>
        <v>stalked</v>
      </c>
      <c r="X1291" s="49" t="str">
        <f t="shared" si="3"/>
        <v>portrayal,</v>
      </c>
      <c r="Y1291" s="49"/>
      <c r="Z1291" s="1" t="s">
        <v>2741</v>
      </c>
      <c r="AA1291" s="1" t="s">
        <v>3198</v>
      </c>
      <c r="AB1291" s="49"/>
      <c r="AC1291" s="49"/>
      <c r="AD1291" s="49"/>
      <c r="AE1291" s="49">
        <f>IFERROR(__xludf.DUMMYFUNCTION("""COMPUTED_VALUE"""),1938.0)</f>
        <v>1938</v>
      </c>
      <c r="AF1291" s="49" t="str">
        <f t="shared" si="4"/>
        <v>cheese,</v>
      </c>
      <c r="AG1291" s="49"/>
      <c r="AH1291" s="1" t="s">
        <v>1564</v>
      </c>
      <c r="AI1291" s="1" t="s">
        <v>4140</v>
      </c>
      <c r="AJ1291" s="6" t="str">
        <f>IFERROR(__xludf.DUMMYFUNCTION("""COMPUTED_VALUE"""),"nuclear")</f>
        <v>nuclear</v>
      </c>
      <c r="AK1291" s="49"/>
      <c r="AL1291" s="49"/>
      <c r="AM1291" s="49"/>
      <c r="AN1291" s="52" t="str">
        <f t="shared" si="5"/>
        <v>trying,</v>
      </c>
    </row>
    <row r="1292">
      <c r="A1292" s="51"/>
      <c r="B1292" s="50" t="s">
        <v>4023</v>
      </c>
      <c r="C1292" s="50" t="s">
        <v>6469</v>
      </c>
      <c r="D1292" s="49" t="str">
        <f>IFERROR(__xludf.DUMMYFUNCTION("""COMPUTED_VALUE"""),"heavy")</f>
        <v>heavy</v>
      </c>
      <c r="E1292" s="49"/>
      <c r="F1292" s="49"/>
      <c r="G1292" s="49"/>
      <c r="H1292" s="54" t="str">
        <f t="shared" si="1"/>
        <v>nuclear,</v>
      </c>
      <c r="I1292" s="50"/>
      <c r="J1292" s="50" t="s">
        <v>5911</v>
      </c>
      <c r="K1292" s="50" t="s">
        <v>2656</v>
      </c>
      <c r="L1292" s="49" t="str">
        <f>IFERROR(__xludf.DUMMYFUNCTION("""COMPUTED_VALUE"""),"pun")</f>
        <v>pun</v>
      </c>
      <c r="M1292" s="49"/>
      <c r="N1292" s="49"/>
      <c r="O1292" s="49" t="str">
        <f>IFERROR(__xludf.DUMMYFUNCTION("""COMPUTED_VALUE"""),"holden")</f>
        <v>holden</v>
      </c>
      <c r="P1292" s="49" t="str">
        <f t="shared" si="2"/>
        <v>nick,</v>
      </c>
      <c r="Q1292" s="49"/>
      <c r="R1292" s="50" t="s">
        <v>1871</v>
      </c>
      <c r="S1292" s="55" t="s">
        <v>3313</v>
      </c>
      <c r="T1292" s="49" t="str">
        <f>IFERROR(__xludf.DUMMYFUNCTION("""COMPUTED_VALUE"""),"losing")</f>
        <v>losing</v>
      </c>
      <c r="U1292" s="49"/>
      <c r="V1292" s="49"/>
      <c r="W1292" s="49" t="str">
        <f>IFERROR(__xludf.DUMMYFUNCTION("""COMPUTED_VALUE"""),"bug")</f>
        <v>bug</v>
      </c>
      <c r="X1292" s="49" t="str">
        <f t="shared" si="3"/>
        <v>blend,</v>
      </c>
      <c r="Y1292" s="49"/>
      <c r="Z1292" s="1" t="s">
        <v>1624</v>
      </c>
      <c r="AA1292" s="1" t="s">
        <v>2921</v>
      </c>
      <c r="AB1292" s="49"/>
      <c r="AC1292" s="49"/>
      <c r="AD1292" s="49"/>
      <c r="AE1292" s="49" t="str">
        <f>IFERROR(__xludf.DUMMYFUNCTION("""COMPUTED_VALUE"""),"holden")</f>
        <v>holden</v>
      </c>
      <c r="AF1292" s="49" t="str">
        <f t="shared" si="4"/>
        <v>directs,</v>
      </c>
      <c r="AG1292" s="49"/>
      <c r="AH1292" s="1" t="s">
        <v>1174</v>
      </c>
      <c r="AI1292" s="1" t="s">
        <v>4138</v>
      </c>
      <c r="AJ1292" s="6" t="str">
        <f>IFERROR(__xludf.DUMMYFUNCTION("""COMPUTED_VALUE"""),"testing")</f>
        <v>testing</v>
      </c>
      <c r="AK1292" s="49"/>
      <c r="AL1292" s="49"/>
      <c r="AM1292" s="49"/>
      <c r="AN1292" s="52" t="str">
        <f t="shared" si="5"/>
        <v>yes,</v>
      </c>
    </row>
    <row r="1293">
      <c r="A1293" s="51"/>
      <c r="B1293" s="50" t="s">
        <v>5824</v>
      </c>
      <c r="C1293" s="50" t="s">
        <v>6470</v>
      </c>
      <c r="D1293" s="49" t="str">
        <f>IFERROR(__xludf.DUMMYFUNCTION("""COMPUTED_VALUE"""),"typical")</f>
        <v>typical</v>
      </c>
      <c r="E1293" s="49"/>
      <c r="F1293" s="49"/>
      <c r="G1293" s="49"/>
      <c r="H1293" s="54" t="str">
        <f t="shared" si="1"/>
        <v>testing,</v>
      </c>
      <c r="I1293" s="50"/>
      <c r="J1293" s="50" t="s">
        <v>2802</v>
      </c>
      <c r="K1293" s="50" t="s">
        <v>2660</v>
      </c>
      <c r="L1293" s="49" t="str">
        <f>IFERROR(__xludf.DUMMYFUNCTION("""COMPUTED_VALUE"""),"logical")</f>
        <v>logical</v>
      </c>
      <c r="M1293" s="49"/>
      <c r="N1293" s="49"/>
      <c r="O1293" s="49" t="str">
        <f>IFERROR(__xludf.DUMMYFUNCTION("""COMPUTED_VALUE"""),"wince")</f>
        <v>wince</v>
      </c>
      <c r="P1293" s="49" t="str">
        <f t="shared" si="2"/>
        <v>bride,</v>
      </c>
      <c r="Q1293" s="49"/>
      <c r="R1293" s="50" t="s">
        <v>3606</v>
      </c>
      <c r="S1293" s="55" t="s">
        <v>6481</v>
      </c>
      <c r="T1293" s="49">
        <f>IFERROR(__xludf.DUMMYFUNCTION("""COMPUTED_VALUE"""),94.0)</f>
        <v>94</v>
      </c>
      <c r="U1293" s="49"/>
      <c r="V1293" s="49"/>
      <c r="W1293" s="49" t="str">
        <f>IFERROR(__xludf.DUMMYFUNCTION("""COMPUTED_VALUE"""),"emphasizes")</f>
        <v>emphasizes</v>
      </c>
      <c r="X1293" s="49" t="str">
        <f t="shared" si="3"/>
        <v>unique,</v>
      </c>
      <c r="Y1293" s="49"/>
      <c r="Z1293" s="1" t="s">
        <v>6425</v>
      </c>
      <c r="AA1293" s="1" t="s">
        <v>1943</v>
      </c>
      <c r="AB1293" s="49"/>
      <c r="AC1293" s="49"/>
      <c r="AD1293" s="49"/>
      <c r="AE1293" s="49" t="str">
        <f>IFERROR(__xludf.DUMMYFUNCTION("""COMPUTED_VALUE"""),"wince")</f>
        <v>wince</v>
      </c>
      <c r="AF1293" s="49" t="str">
        <f t="shared" si="4"/>
        <v>rip,</v>
      </c>
      <c r="AG1293" s="49"/>
      <c r="AH1293" s="1" t="s">
        <v>2814</v>
      </c>
      <c r="AI1293" s="1" t="s">
        <v>2383</v>
      </c>
      <c r="AJ1293" s="6" t="str">
        <f>IFERROR(__xludf.DUMMYFUNCTION("""COMPUTED_VALUE"""),"adding")</f>
        <v>adding</v>
      </c>
      <c r="AK1293" s="49"/>
      <c r="AL1293" s="49"/>
      <c r="AM1293" s="49"/>
      <c r="AN1293" s="52" t="str">
        <f t="shared" si="5"/>
        <v>hot,</v>
      </c>
    </row>
    <row r="1294">
      <c r="A1294" s="51"/>
      <c r="B1294" s="50" t="s">
        <v>2885</v>
      </c>
      <c r="C1294" s="50" t="s">
        <v>6471</v>
      </c>
      <c r="D1294" s="49" t="str">
        <f>IFERROR(__xludf.DUMMYFUNCTION("""COMPUTED_VALUE"""),"disaster")</f>
        <v>disaster</v>
      </c>
      <c r="E1294" s="49"/>
      <c r="F1294" s="49"/>
      <c r="G1294" s="49"/>
      <c r="H1294" s="54" t="str">
        <f t="shared" si="1"/>
        <v>adding,</v>
      </c>
      <c r="I1294" s="50"/>
      <c r="J1294" s="50" t="s">
        <v>3484</v>
      </c>
      <c r="K1294" s="50" t="s">
        <v>2665</v>
      </c>
      <c r="L1294" s="49" t="str">
        <f>IFERROR(__xludf.DUMMYFUNCTION("""COMPUTED_VALUE"""),"darkly")</f>
        <v>darkly</v>
      </c>
      <c r="M1294" s="49"/>
      <c r="N1294" s="49"/>
      <c r="O1294" s="49" t="str">
        <f>IFERROR(__xludf.DUMMYFUNCTION("""COMPUTED_VALUE"""),"leaping")</f>
        <v>leaping</v>
      </c>
      <c r="P1294" s="49" t="str">
        <f t="shared" si="2"/>
        <v>wet,</v>
      </c>
      <c r="Q1294" s="49"/>
      <c r="R1294" s="50" t="s">
        <v>1102</v>
      </c>
      <c r="S1294" s="55" t="s">
        <v>2393</v>
      </c>
      <c r="T1294" s="49" t="str">
        <f>IFERROR(__xludf.DUMMYFUNCTION("""COMPUTED_VALUE"""),"terror")</f>
        <v>terror</v>
      </c>
      <c r="U1294" s="49"/>
      <c r="V1294" s="49"/>
      <c r="W1294" s="49" t="str">
        <f>IFERROR(__xludf.DUMMYFUNCTION("""COMPUTED_VALUE"""),"murders")</f>
        <v>murders</v>
      </c>
      <c r="X1294" s="49" t="str">
        <f t="shared" si="3"/>
        <v>carried,</v>
      </c>
      <c r="Y1294" s="49"/>
      <c r="Z1294" s="1" t="s">
        <v>6686</v>
      </c>
      <c r="AA1294" s="1" t="s">
        <v>4298</v>
      </c>
      <c r="AB1294" s="49"/>
      <c r="AC1294" s="49"/>
      <c r="AD1294" s="49"/>
      <c r="AE1294" s="49" t="str">
        <f>IFERROR(__xludf.DUMMYFUNCTION("""COMPUTED_VALUE"""),"leaping")</f>
        <v>leaping</v>
      </c>
      <c r="AF1294" s="49" t="str">
        <f t="shared" si="4"/>
        <v>tom,</v>
      </c>
      <c r="AG1294" s="49"/>
      <c r="AH1294" s="1" t="s">
        <v>2429</v>
      </c>
      <c r="AI1294" s="1" t="s">
        <v>3460</v>
      </c>
      <c r="AJ1294" s="6" t="str">
        <f>IFERROR(__xludf.DUMMYFUNCTION("""COMPUTED_VALUE"""),"emerged")</f>
        <v>emerged</v>
      </c>
      <c r="AK1294" s="49"/>
      <c r="AL1294" s="49"/>
      <c r="AM1294" s="49"/>
      <c r="AN1294" s="52" t="str">
        <f t="shared" si="5"/>
        <v>previously,</v>
      </c>
    </row>
    <row r="1295">
      <c r="A1295" s="51"/>
      <c r="B1295" s="50" t="s">
        <v>6797</v>
      </c>
      <c r="C1295" s="50" t="s">
        <v>6473</v>
      </c>
      <c r="D1295" s="49" t="str">
        <f>IFERROR(__xludf.DUMMYFUNCTION("""COMPUTED_VALUE"""),"dance")</f>
        <v>dance</v>
      </c>
      <c r="E1295" s="49"/>
      <c r="F1295" s="49"/>
      <c r="G1295" s="49"/>
      <c r="H1295" s="54" t="str">
        <f t="shared" si="1"/>
        <v>emerged,</v>
      </c>
      <c r="I1295" s="50"/>
      <c r="J1295" s="50" t="s">
        <v>3076</v>
      </c>
      <c r="K1295" s="50" t="s">
        <v>730</v>
      </c>
      <c r="L1295" s="49" t="str">
        <f>IFERROR(__xludf.DUMMYFUNCTION("""COMPUTED_VALUE"""),"harmless")</f>
        <v>harmless</v>
      </c>
      <c r="M1295" s="49"/>
      <c r="N1295" s="49"/>
      <c r="O1295" s="49" t="str">
        <f>IFERROR(__xludf.DUMMYFUNCTION("""COMPUTED_VALUE"""),"traits")</f>
        <v>traits</v>
      </c>
      <c r="P1295" s="49" t="str">
        <f t="shared" si="2"/>
        <v>tongue,</v>
      </c>
      <c r="Q1295" s="49"/>
      <c r="R1295" s="50" t="s">
        <v>2625</v>
      </c>
      <c r="S1295" s="55" t="s">
        <v>796</v>
      </c>
      <c r="T1295" s="49" t="str">
        <f>IFERROR(__xludf.DUMMYFUNCTION("""COMPUTED_VALUE"""),"spectacular")</f>
        <v>spectacular</v>
      </c>
      <c r="U1295" s="49"/>
      <c r="V1295" s="49"/>
      <c r="W1295" s="49" t="str">
        <f>IFERROR(__xludf.DUMMYFUNCTION("""COMPUTED_VALUE"""),"serial")</f>
        <v>serial</v>
      </c>
      <c r="X1295" s="49" t="str">
        <f t="shared" si="3"/>
        <v>resist,</v>
      </c>
      <c r="Y1295" s="49"/>
      <c r="Z1295" s="1" t="s">
        <v>2534</v>
      </c>
      <c r="AA1295" s="1" t="s">
        <v>4301</v>
      </c>
      <c r="AB1295" s="49"/>
      <c r="AC1295" s="49"/>
      <c r="AD1295" s="49"/>
      <c r="AE1295" s="49" t="str">
        <f>IFERROR(__xludf.DUMMYFUNCTION("""COMPUTED_VALUE"""),"traits")</f>
        <v>traits</v>
      </c>
      <c r="AF1295" s="49" t="str">
        <f t="shared" si="4"/>
        <v>modern,</v>
      </c>
      <c r="AG1295" s="49"/>
      <c r="AH1295" s="1" t="s">
        <v>1440</v>
      </c>
      <c r="AI1295" s="1" t="s">
        <v>3463</v>
      </c>
      <c r="AJ1295" s="6" t="str">
        <f>IFERROR(__xludf.DUMMYFUNCTION("""COMPUTED_VALUE"""),"creature")</f>
        <v>creature</v>
      </c>
      <c r="AK1295" s="49"/>
      <c r="AL1295" s="49"/>
      <c r="AM1295" s="49"/>
      <c r="AN1295" s="52" t="str">
        <f t="shared" si="5"/>
        <v>hate,</v>
      </c>
    </row>
    <row r="1296">
      <c r="A1296" s="51"/>
      <c r="B1296" s="50" t="s">
        <v>6705</v>
      </c>
      <c r="C1296" s="50" t="s">
        <v>6474</v>
      </c>
      <c r="D1296" s="49" t="str">
        <f>IFERROR(__xludf.DUMMYFUNCTION("""COMPUTED_VALUE"""),"lady")</f>
        <v>lady</v>
      </c>
      <c r="E1296" s="49"/>
      <c r="F1296" s="49"/>
      <c r="G1296" s="49"/>
      <c r="H1296" s="54" t="str">
        <f t="shared" si="1"/>
        <v>creature,</v>
      </c>
      <c r="I1296" s="50"/>
      <c r="J1296" s="50" t="s">
        <v>7342</v>
      </c>
      <c r="K1296" s="50" t="s">
        <v>4305</v>
      </c>
      <c r="L1296" s="49" t="str">
        <f>IFERROR(__xludf.DUMMYFUNCTION("""COMPUTED_VALUE"""),"inspiring")</f>
        <v>inspiring</v>
      </c>
      <c r="M1296" s="49"/>
      <c r="N1296" s="49"/>
      <c r="O1296" s="49" t="str">
        <f>IFERROR(__xludf.DUMMYFUNCTION("""COMPUTED_VALUE"""),"gore")</f>
        <v>gore</v>
      </c>
      <c r="P1296" s="49" t="str">
        <f t="shared" si="2"/>
        <v>generous,</v>
      </c>
      <c r="Q1296" s="49"/>
      <c r="R1296" s="50" t="s">
        <v>835</v>
      </c>
      <c r="S1296" s="55" t="s">
        <v>2483</v>
      </c>
      <c r="T1296" s="49" t="str">
        <f>IFERROR(__xludf.DUMMYFUNCTION("""COMPUTED_VALUE"""),"virtually")</f>
        <v>virtually</v>
      </c>
      <c r="U1296" s="49"/>
      <c r="V1296" s="49"/>
      <c r="W1296" s="49" t="str">
        <f>IFERROR(__xludf.DUMMYFUNCTION("""COMPUTED_VALUE"""),"conception")</f>
        <v>conception</v>
      </c>
      <c r="X1296" s="49" t="str">
        <f t="shared" si="3"/>
        <v>powers,</v>
      </c>
      <c r="Y1296" s="49"/>
      <c r="Z1296" s="1" t="s">
        <v>2327</v>
      </c>
      <c r="AA1296" s="1" t="s">
        <v>4302</v>
      </c>
      <c r="AB1296" s="49"/>
      <c r="AC1296" s="49"/>
      <c r="AD1296" s="49"/>
      <c r="AE1296" s="49" t="str">
        <f>IFERROR(__xludf.DUMMYFUNCTION("""COMPUTED_VALUE"""),"gore")</f>
        <v>gore</v>
      </c>
      <c r="AF1296" s="49" t="str">
        <f t="shared" si="4"/>
        <v>load,</v>
      </c>
      <c r="AG1296" s="49"/>
      <c r="AH1296" s="1" t="s">
        <v>1020</v>
      </c>
      <c r="AI1296" s="1" t="s">
        <v>2385</v>
      </c>
      <c r="AJ1296" s="6" t="str">
        <f>IFERROR(__xludf.DUMMYFUNCTION("""COMPUTED_VALUE"""),"partly")</f>
        <v>partly</v>
      </c>
      <c r="AK1296" s="49"/>
      <c r="AL1296" s="49"/>
      <c r="AM1296" s="49"/>
      <c r="AN1296" s="52" t="str">
        <f t="shared" si="5"/>
        <v>romance,</v>
      </c>
    </row>
    <row r="1297">
      <c r="A1297" s="51"/>
      <c r="B1297" s="50" t="s">
        <v>5038</v>
      </c>
      <c r="C1297" s="50" t="s">
        <v>1081</v>
      </c>
      <c r="D1297" s="49" t="str">
        <f>IFERROR(__xludf.DUMMYFUNCTION("""COMPUTED_VALUE"""),"duke")</f>
        <v>duke</v>
      </c>
      <c r="E1297" s="49"/>
      <c r="F1297" s="49"/>
      <c r="G1297" s="49"/>
      <c r="H1297" s="54" t="str">
        <f t="shared" si="1"/>
        <v>partly,</v>
      </c>
      <c r="I1297" s="50"/>
      <c r="J1297" s="50" t="s">
        <v>5671</v>
      </c>
      <c r="K1297" s="50" t="s">
        <v>2594</v>
      </c>
      <c r="L1297" s="49" t="str">
        <f>IFERROR(__xludf.DUMMYFUNCTION("""COMPUTED_VALUE"""),"sorrow")</f>
        <v>sorrow</v>
      </c>
      <c r="M1297" s="49"/>
      <c r="N1297" s="49"/>
      <c r="O1297" s="49" t="str">
        <f>IFERROR(__xludf.DUMMYFUNCTION("""COMPUTED_VALUE"""),"nicolas")</f>
        <v>nicolas</v>
      </c>
      <c r="P1297" s="49" t="str">
        <f t="shared" si="2"/>
        <v>deserved,</v>
      </c>
      <c r="Q1297" s="49"/>
      <c r="R1297" s="50" t="s">
        <v>4353</v>
      </c>
      <c r="S1297" s="55" t="s">
        <v>640</v>
      </c>
      <c r="T1297" s="49" t="str">
        <f>IFERROR(__xludf.DUMMYFUNCTION("""COMPUTED_VALUE"""),"pinnacle")</f>
        <v>pinnacle</v>
      </c>
      <c r="U1297" s="49"/>
      <c r="V1297" s="49"/>
      <c r="W1297" s="49" t="str">
        <f>IFERROR(__xludf.DUMMYFUNCTION("""COMPUTED_VALUE"""),"accomplishment")</f>
        <v>accomplishment</v>
      </c>
      <c r="X1297" s="49" t="str">
        <f t="shared" si="3"/>
        <v>redemption,</v>
      </c>
      <c r="Y1297" s="49"/>
      <c r="Z1297" s="1" t="s">
        <v>885</v>
      </c>
      <c r="AA1297" s="1" t="s">
        <v>4306</v>
      </c>
      <c r="AB1297" s="49"/>
      <c r="AC1297" s="49"/>
      <c r="AD1297" s="49"/>
      <c r="AE1297" s="49" t="str">
        <f>IFERROR(__xludf.DUMMYFUNCTION("""COMPUTED_VALUE"""),"nicolas")</f>
        <v>nicolas</v>
      </c>
      <c r="AF1297" s="49" t="str">
        <f t="shared" si="4"/>
        <v>public,</v>
      </c>
      <c r="AG1297" s="49"/>
      <c r="AH1297" s="1" t="s">
        <v>806</v>
      </c>
      <c r="AI1297" s="1" t="s">
        <v>2388</v>
      </c>
      <c r="AJ1297" s="6" t="str">
        <f>IFERROR(__xludf.DUMMYFUNCTION("""COMPUTED_VALUE"""),"raymond")</f>
        <v>raymond</v>
      </c>
      <c r="AK1297" s="49"/>
      <c r="AL1297" s="49"/>
      <c r="AM1297" s="49"/>
      <c r="AN1297" s="52" t="str">
        <f t="shared" si="5"/>
        <v>six,</v>
      </c>
    </row>
    <row r="1298">
      <c r="A1298" s="51"/>
      <c r="B1298" s="50" t="s">
        <v>5858</v>
      </c>
      <c r="C1298" s="50" t="s">
        <v>3461</v>
      </c>
      <c r="D1298" s="49" t="str">
        <f>IFERROR(__xludf.DUMMYFUNCTION("""COMPUTED_VALUE"""),"city")</f>
        <v>city</v>
      </c>
      <c r="E1298" s="49"/>
      <c r="F1298" s="49"/>
      <c r="G1298" s="49"/>
      <c r="H1298" s="54" t="str">
        <f t="shared" si="1"/>
        <v>raymond,</v>
      </c>
      <c r="I1298" s="50"/>
      <c r="J1298" s="50" t="s">
        <v>5742</v>
      </c>
      <c r="K1298" s="50" t="s">
        <v>690</v>
      </c>
      <c r="L1298" s="49" t="str">
        <f>IFERROR(__xludf.DUMMYFUNCTION("""COMPUTED_VALUE"""),"stylistic")</f>
        <v>stylistic</v>
      </c>
      <c r="M1298" s="49"/>
      <c r="N1298" s="49"/>
      <c r="O1298" s="49" t="str">
        <f>IFERROR(__xludf.DUMMYFUNCTION("""COMPUTED_VALUE"""),"confronting")</f>
        <v>confronting</v>
      </c>
      <c r="P1298" s="49" t="str">
        <f t="shared" si="2"/>
        <v>cheek,</v>
      </c>
      <c r="Q1298" s="49"/>
      <c r="R1298" s="50" t="s">
        <v>2282</v>
      </c>
      <c r="S1298" s="55" t="s">
        <v>3633</v>
      </c>
      <c r="T1298" s="49" t="str">
        <f>IFERROR(__xludf.DUMMYFUNCTION("""COMPUTED_VALUE"""),"upbeat")</f>
        <v>upbeat</v>
      </c>
      <c r="U1298" s="49"/>
      <c r="V1298" s="49"/>
      <c r="W1298" s="49" t="str">
        <f>IFERROR(__xludf.DUMMYFUNCTION("""COMPUTED_VALUE"""),"sonny")</f>
        <v>sonny</v>
      </c>
      <c r="X1298" s="49" t="str">
        <f t="shared" si="3"/>
        <v>accomplish,</v>
      </c>
      <c r="Y1298" s="49"/>
      <c r="Z1298" s="1" t="s">
        <v>6463</v>
      </c>
      <c r="AA1298" s="1" t="s">
        <v>4310</v>
      </c>
      <c r="AB1298" s="49"/>
      <c r="AC1298" s="49"/>
      <c r="AD1298" s="49"/>
      <c r="AE1298" s="49" t="str">
        <f>IFERROR(__xludf.DUMMYFUNCTION("""COMPUTED_VALUE"""),"confronting")</f>
        <v>confronting</v>
      </c>
      <c r="AF1298" s="49" t="str">
        <f t="shared" si="4"/>
        <v>ah,</v>
      </c>
      <c r="AG1298" s="49"/>
      <c r="AH1298" s="1" t="s">
        <v>4231</v>
      </c>
      <c r="AI1298" s="1" t="s">
        <v>3466</v>
      </c>
      <c r="AJ1298" s="6" t="str">
        <f>IFERROR(__xludf.DUMMYFUNCTION("""COMPUTED_VALUE"""),"married")</f>
        <v>married</v>
      </c>
      <c r="AK1298" s="49"/>
      <c r="AL1298" s="49"/>
      <c r="AM1298" s="49"/>
      <c r="AN1298" s="52" t="str">
        <f t="shared" si="5"/>
        <v>rising,</v>
      </c>
    </row>
    <row r="1299">
      <c r="A1299" s="51"/>
      <c r="B1299" s="50" t="s">
        <v>1312</v>
      </c>
      <c r="C1299" s="50" t="s">
        <v>2339</v>
      </c>
      <c r="D1299" s="49" t="str">
        <f>IFERROR(__xludf.DUMMYFUNCTION("""COMPUTED_VALUE"""),"york")</f>
        <v>york</v>
      </c>
      <c r="E1299" s="49"/>
      <c r="F1299" s="49"/>
      <c r="G1299" s="49"/>
      <c r="H1299" s="54" t="str">
        <f t="shared" si="1"/>
        <v>commentary,</v>
      </c>
      <c r="I1299" s="50"/>
      <c r="J1299" s="50" t="s">
        <v>294</v>
      </c>
      <c r="K1299" s="50" t="s">
        <v>698</v>
      </c>
      <c r="L1299" s="49" t="str">
        <f>IFERROR(__xludf.DUMMYFUNCTION("""COMPUTED_VALUE"""),"revelation")</f>
        <v>revelation</v>
      </c>
      <c r="M1299" s="49"/>
      <c r="N1299" s="49"/>
      <c r="O1299" s="49" t="str">
        <f>IFERROR(__xludf.DUMMYFUNCTION("""COMPUTED_VALUE"""),"paranoia")</f>
        <v>paranoia</v>
      </c>
      <c r="P1299" s="49" t="str">
        <f t="shared" si="2"/>
        <v>friendship,</v>
      </c>
      <c r="Q1299" s="49"/>
      <c r="R1299" s="50" t="s">
        <v>702</v>
      </c>
      <c r="S1299" s="55" t="s">
        <v>4207</v>
      </c>
      <c r="T1299" s="49" t="str">
        <f>IFERROR(__xludf.DUMMYFUNCTION("""COMPUTED_VALUE"""),"baked")</f>
        <v>baked</v>
      </c>
      <c r="U1299" s="49"/>
      <c r="V1299" s="49"/>
      <c r="W1299" s="49" t="str">
        <f>IFERROR(__xludf.DUMMYFUNCTION("""COMPUTED_VALUE"""),"station")</f>
        <v>station</v>
      </c>
      <c r="X1299" s="49" t="str">
        <f t="shared" si="3"/>
        <v>food,</v>
      </c>
      <c r="Y1299" s="49"/>
      <c r="Z1299" s="1" t="s">
        <v>2218</v>
      </c>
      <c r="AA1299" s="1" t="s">
        <v>4312</v>
      </c>
      <c r="AB1299" s="49"/>
      <c r="AC1299" s="49"/>
      <c r="AD1299" s="49"/>
      <c r="AE1299" s="49" t="str">
        <f>IFERROR(__xludf.DUMMYFUNCTION("""COMPUTED_VALUE"""),"paranoia")</f>
        <v>paranoia</v>
      </c>
      <c r="AF1299" s="49" t="str">
        <f t="shared" si="4"/>
        <v>taste,</v>
      </c>
      <c r="AG1299" s="49"/>
      <c r="AH1299" s="1" t="s">
        <v>3758</v>
      </c>
      <c r="AI1299" s="1" t="s">
        <v>6482</v>
      </c>
      <c r="AJ1299" s="6" t="str">
        <f>IFERROR(__xludf.DUMMYFUNCTION("""COMPUTED_VALUE"""),"stephen")</f>
        <v>stephen</v>
      </c>
      <c r="AK1299" s="49"/>
      <c r="AL1299" s="49"/>
      <c r="AM1299" s="49"/>
      <c r="AN1299" s="52" t="str">
        <f t="shared" si="5"/>
        <v>putting,</v>
      </c>
    </row>
    <row r="1300">
      <c r="A1300" s="51"/>
      <c r="B1300" s="50" t="s">
        <v>7060</v>
      </c>
      <c r="C1300" s="50" t="s">
        <v>3405</v>
      </c>
      <c r="D1300" s="49" t="str">
        <f>IFERROR(__xludf.DUMMYFUNCTION("""COMPUTED_VALUE"""),"past")</f>
        <v>past</v>
      </c>
      <c r="E1300" s="49"/>
      <c r="F1300" s="49"/>
      <c r="G1300" s="49"/>
      <c r="H1300" s="54" t="str">
        <f t="shared" si="1"/>
        <v>married,</v>
      </c>
      <c r="I1300" s="50"/>
      <c r="J1300" s="50" t="s">
        <v>1035</v>
      </c>
      <c r="K1300" s="50" t="s">
        <v>2600</v>
      </c>
      <c r="L1300" s="49" t="str">
        <f>IFERROR(__xludf.DUMMYFUNCTION("""COMPUTED_VALUE"""),"partnership")</f>
        <v>partnership</v>
      </c>
      <c r="M1300" s="49"/>
      <c r="N1300" s="49"/>
      <c r="O1300" s="49" t="str">
        <f>IFERROR(__xludf.DUMMYFUNCTION("""COMPUTED_VALUE"""),"viewpoint")</f>
        <v>viewpoint</v>
      </c>
      <c r="P1300" s="49" t="str">
        <f t="shared" si="2"/>
        <v>recording,</v>
      </c>
      <c r="Q1300" s="49"/>
      <c r="R1300" s="50" t="s">
        <v>2908</v>
      </c>
      <c r="S1300" s="55" t="s">
        <v>2516</v>
      </c>
      <c r="T1300" s="49" t="str">
        <f>IFERROR(__xludf.DUMMYFUNCTION("""COMPUTED_VALUE"""),"alternating")</f>
        <v>alternating</v>
      </c>
      <c r="U1300" s="49"/>
      <c r="V1300" s="49"/>
      <c r="W1300" s="49" t="str">
        <f>IFERROR(__xludf.DUMMYFUNCTION("""COMPUTED_VALUE"""),"delicately")</f>
        <v>delicately</v>
      </c>
      <c r="X1300" s="49" t="str">
        <f t="shared" si="3"/>
        <v>frustration,</v>
      </c>
      <c r="Y1300" s="49"/>
      <c r="Z1300" s="1" t="s">
        <v>175</v>
      </c>
      <c r="AA1300" s="1" t="s">
        <v>4313</v>
      </c>
      <c r="AB1300" s="49"/>
      <c r="AC1300" s="49"/>
      <c r="AD1300" s="49"/>
      <c r="AE1300" s="49" t="str">
        <f>IFERROR(__xludf.DUMMYFUNCTION("""COMPUTED_VALUE"""),"viewpoint")</f>
        <v>viewpoint</v>
      </c>
      <c r="AF1300" s="49" t="str">
        <f t="shared" si="4"/>
        <v>wisdom,</v>
      </c>
      <c r="AG1300" s="49"/>
      <c r="AH1300" s="1" t="s">
        <v>1419</v>
      </c>
      <c r="AI1300" s="1" t="s">
        <v>3092</v>
      </c>
      <c r="AJ1300" s="6" t="str">
        <f>IFERROR(__xludf.DUMMYFUNCTION("""COMPUTED_VALUE"""),"loud")</f>
        <v>loud</v>
      </c>
      <c r="AK1300" s="49"/>
      <c r="AL1300" s="49"/>
      <c r="AM1300" s="49"/>
      <c r="AN1300" s="52" t="str">
        <f t="shared" si="5"/>
        <v>exact,</v>
      </c>
    </row>
    <row r="1301">
      <c r="A1301" s="51"/>
      <c r="B1301" s="50" t="s">
        <v>1661</v>
      </c>
      <c r="C1301" s="50" t="s">
        <v>2344</v>
      </c>
      <c r="D1301" s="49" t="str">
        <f>IFERROR(__xludf.DUMMYFUNCTION("""COMPUTED_VALUE"""),"chinese")</f>
        <v>chinese</v>
      </c>
      <c r="E1301" s="49"/>
      <c r="F1301" s="49"/>
      <c r="G1301" s="49"/>
      <c r="H1301" s="54" t="str">
        <f t="shared" si="1"/>
        <v>stephen,</v>
      </c>
      <c r="I1301" s="50"/>
      <c r="J1301" s="50" t="s">
        <v>3234</v>
      </c>
      <c r="K1301" s="50" t="s">
        <v>4317</v>
      </c>
      <c r="L1301" s="49" t="str">
        <f>IFERROR(__xludf.DUMMYFUNCTION("""COMPUTED_VALUE"""),"ambitions")</f>
        <v>ambitions</v>
      </c>
      <c r="M1301" s="49"/>
      <c r="N1301" s="49"/>
      <c r="O1301" s="49" t="str">
        <f>IFERROR(__xludf.DUMMYFUNCTION("""COMPUTED_VALUE"""),"leap")</f>
        <v>leap</v>
      </c>
      <c r="P1301" s="49" t="str">
        <f t="shared" si="2"/>
        <v>stopped,</v>
      </c>
      <c r="Q1301" s="49"/>
      <c r="R1301" s="50" t="s">
        <v>4219</v>
      </c>
      <c r="S1301" s="55" t="s">
        <v>2488</v>
      </c>
      <c r="T1301" s="49" t="str">
        <f>IFERROR(__xludf.DUMMYFUNCTION("""COMPUTED_VALUE"""),"smash")</f>
        <v>smash</v>
      </c>
      <c r="U1301" s="49"/>
      <c r="V1301" s="49"/>
      <c r="W1301" s="49" t="str">
        <f>IFERROR(__xludf.DUMMYFUNCTION("""COMPUTED_VALUE"""),"hearing")</f>
        <v>hearing</v>
      </c>
      <c r="X1301" s="49" t="str">
        <f t="shared" si="3"/>
        <v>relegated,</v>
      </c>
      <c r="Y1301" s="49"/>
      <c r="Z1301" s="1" t="s">
        <v>954</v>
      </c>
      <c r="AA1301" s="1" t="s">
        <v>2931</v>
      </c>
      <c r="AB1301" s="49"/>
      <c r="AC1301" s="49"/>
      <c r="AD1301" s="49"/>
      <c r="AE1301" s="49" t="str">
        <f>IFERROR(__xludf.DUMMYFUNCTION("""COMPUTED_VALUE"""),"leap")</f>
        <v>leap</v>
      </c>
      <c r="AF1301" s="49" t="str">
        <f t="shared" si="4"/>
        <v>hear,</v>
      </c>
      <c r="AG1301" s="49"/>
      <c r="AH1301" s="1" t="s">
        <v>4494</v>
      </c>
      <c r="AI1301" s="1" t="s">
        <v>5234</v>
      </c>
      <c r="AJ1301" s="6" t="str">
        <f>IFERROR(__xludf.DUMMYFUNCTION("""COMPUTED_VALUE"""),"affair")</f>
        <v>affair</v>
      </c>
      <c r="AK1301" s="49"/>
      <c r="AL1301" s="49"/>
      <c r="AM1301" s="49"/>
      <c r="AN1301" s="52" t="str">
        <f t="shared" si="5"/>
        <v>comparison,</v>
      </c>
    </row>
    <row r="1302">
      <c r="A1302" s="51"/>
      <c r="B1302" s="50" t="s">
        <v>3271</v>
      </c>
      <c r="C1302" s="50" t="s">
        <v>3984</v>
      </c>
      <c r="D1302" s="49" t="str">
        <f>IFERROR(__xludf.DUMMYFUNCTION("""COMPUTED_VALUE"""),"replace")</f>
        <v>replace</v>
      </c>
      <c r="E1302" s="49"/>
      <c r="F1302" s="49"/>
      <c r="G1302" s="49"/>
      <c r="H1302" s="54" t="str">
        <f t="shared" si="1"/>
        <v>loud,</v>
      </c>
      <c r="I1302" s="50"/>
      <c r="J1302" s="50" t="s">
        <v>5885</v>
      </c>
      <c r="K1302" s="50" t="s">
        <v>4321</v>
      </c>
      <c r="L1302" s="49" t="str">
        <f>IFERROR(__xludf.DUMMYFUNCTION("""COMPUTED_VALUE"""),"modest")</f>
        <v>modest</v>
      </c>
      <c r="M1302" s="49"/>
      <c r="N1302" s="49"/>
      <c r="O1302" s="49" t="str">
        <f>IFERROR(__xludf.DUMMYFUNCTION("""COMPUTED_VALUE"""),"fuels")</f>
        <v>fuels</v>
      </c>
      <c r="P1302" s="49" t="str">
        <f t="shared" si="2"/>
        <v>ram,</v>
      </c>
      <c r="Q1302" s="49"/>
      <c r="R1302" s="50" t="s">
        <v>2807</v>
      </c>
      <c r="S1302" s="55" t="s">
        <v>2490</v>
      </c>
      <c r="T1302" s="49" t="str">
        <f>IFERROR(__xludf.DUMMYFUNCTION("""COMPUTED_VALUE"""),"electric")</f>
        <v>electric</v>
      </c>
      <c r="U1302" s="49"/>
      <c r="V1302" s="49"/>
      <c r="W1302" s="49" t="str">
        <f>IFERROR(__xludf.DUMMYFUNCTION("""COMPUTED_VALUE"""),"memoir")</f>
        <v>memoir</v>
      </c>
      <c r="X1302" s="49" t="str">
        <f t="shared" si="3"/>
        <v>constant,</v>
      </c>
      <c r="Y1302" s="49"/>
      <c r="Z1302" s="1" t="s">
        <v>3661</v>
      </c>
      <c r="AA1302" s="1" t="s">
        <v>4318</v>
      </c>
      <c r="AB1302" s="49"/>
      <c r="AC1302" s="49"/>
      <c r="AD1302" s="49"/>
      <c r="AE1302" s="49" t="str">
        <f>IFERROR(__xludf.DUMMYFUNCTION("""COMPUTED_VALUE"""),"fuels")</f>
        <v>fuels</v>
      </c>
      <c r="AF1302" s="49" t="str">
        <f t="shared" si="4"/>
        <v>sense,</v>
      </c>
      <c r="AG1302" s="49"/>
      <c r="AH1302" s="1" t="s">
        <v>1357</v>
      </c>
      <c r="AI1302" s="1" t="s">
        <v>658</v>
      </c>
      <c r="AJ1302" s="6" t="str">
        <f>IFERROR(__xludf.DUMMYFUNCTION("""COMPUTED_VALUE"""),"ground")</f>
        <v>ground</v>
      </c>
      <c r="AK1302" s="49"/>
      <c r="AL1302" s="49"/>
      <c r="AM1302" s="49"/>
      <c r="AN1302" s="52" t="str">
        <f t="shared" si="5"/>
        <v>company,</v>
      </c>
    </row>
    <row r="1303">
      <c r="A1303" s="51"/>
      <c r="B1303" s="50" t="s">
        <v>1088</v>
      </c>
      <c r="C1303" s="50" t="s">
        <v>3340</v>
      </c>
      <c r="D1303" s="49" t="str">
        <f>IFERROR(__xludf.DUMMYFUNCTION("""COMPUTED_VALUE"""),"ah")</f>
        <v>ah</v>
      </c>
      <c r="E1303" s="49"/>
      <c r="F1303" s="49"/>
      <c r="G1303" s="49"/>
      <c r="H1303" s="54" t="str">
        <f t="shared" si="1"/>
        <v>affair,</v>
      </c>
      <c r="I1303" s="50"/>
      <c r="J1303" s="50" t="s">
        <v>2450</v>
      </c>
      <c r="K1303" s="50" t="s">
        <v>1340</v>
      </c>
      <c r="L1303" s="49" t="str">
        <f>IFERROR(__xludf.DUMMYFUNCTION("""COMPUTED_VALUE"""),"instincts")</f>
        <v>instincts</v>
      </c>
      <c r="M1303" s="49"/>
      <c r="N1303" s="49"/>
      <c r="O1303" s="49" t="str">
        <f>IFERROR(__xludf.DUMMYFUNCTION("""COMPUTED_VALUE"""),"freighter")</f>
        <v>freighter</v>
      </c>
      <c r="P1303" s="49" t="str">
        <f t="shared" si="2"/>
        <v>dish,</v>
      </c>
      <c r="Q1303" s="49"/>
      <c r="R1303" s="50" t="s">
        <v>7343</v>
      </c>
      <c r="S1303" s="55" t="s">
        <v>733</v>
      </c>
      <c r="T1303" s="49" t="str">
        <f>IFERROR(__xludf.DUMMYFUNCTION("""COMPUTED_VALUE"""),"knowledge")</f>
        <v>knowledge</v>
      </c>
      <c r="U1303" s="49"/>
      <c r="V1303" s="49"/>
      <c r="W1303" s="49" t="str">
        <f>IFERROR(__xludf.DUMMYFUNCTION("""COMPUTED_VALUE"""),"scarcely")</f>
        <v>scarcely</v>
      </c>
      <c r="X1303" s="49" t="str">
        <f t="shared" si="3"/>
        <v>ghetto,</v>
      </c>
      <c r="Y1303" s="49"/>
      <c r="Z1303" s="1" t="s">
        <v>2671</v>
      </c>
      <c r="AA1303" s="1" t="s">
        <v>2565</v>
      </c>
      <c r="AB1303" s="49"/>
      <c r="AC1303" s="49"/>
      <c r="AD1303" s="49"/>
      <c r="AE1303" s="49" t="str">
        <f>IFERROR(__xludf.DUMMYFUNCTION("""COMPUTED_VALUE"""),"freighter")</f>
        <v>freighter</v>
      </c>
      <c r="AF1303" s="49" t="str">
        <f t="shared" si="4"/>
        <v>smoking,</v>
      </c>
      <c r="AG1303" s="49"/>
      <c r="AH1303" s="1" t="s">
        <v>3206</v>
      </c>
      <c r="AI1303" s="1" t="s">
        <v>2403</v>
      </c>
      <c r="AJ1303" s="6" t="str">
        <f>IFERROR(__xludf.DUMMYFUNCTION("""COMPUTED_VALUE"""),"low")</f>
        <v>low</v>
      </c>
      <c r="AK1303" s="49"/>
      <c r="AL1303" s="49"/>
      <c r="AM1303" s="49"/>
      <c r="AN1303" s="52" t="str">
        <f t="shared" si="5"/>
        <v>land,</v>
      </c>
    </row>
    <row r="1304">
      <c r="A1304" s="51"/>
      <c r="B1304" s="50" t="s">
        <v>1060</v>
      </c>
      <c r="C1304" s="50" t="s">
        <v>1493</v>
      </c>
      <c r="D1304" s="49" t="str">
        <f>IFERROR(__xludf.DUMMYFUNCTION("""COMPUTED_VALUE"""),"providing")</f>
        <v>providing</v>
      </c>
      <c r="E1304" s="49"/>
      <c r="F1304" s="49"/>
      <c r="G1304" s="49"/>
      <c r="H1304" s="54" t="str">
        <f t="shared" si="1"/>
        <v>amounts,</v>
      </c>
      <c r="I1304" s="50"/>
      <c r="J1304" s="50" t="s">
        <v>7344</v>
      </c>
      <c r="K1304" s="50" t="s">
        <v>2679</v>
      </c>
      <c r="L1304" s="49" t="str">
        <f>IFERROR(__xludf.DUMMYFUNCTION("""COMPUTED_VALUE"""),"potent")</f>
        <v>potent</v>
      </c>
      <c r="M1304" s="49"/>
      <c r="N1304" s="49"/>
      <c r="O1304" s="49" t="str">
        <f>IFERROR(__xludf.DUMMYFUNCTION("""COMPUTED_VALUE"""),"stretches")</f>
        <v>stretches</v>
      </c>
      <c r="P1304" s="49" t="str">
        <f t="shared" si="2"/>
        <v>fifteen,</v>
      </c>
      <c r="Q1304" s="49"/>
      <c r="R1304" s="50" t="s">
        <v>6471</v>
      </c>
      <c r="S1304" s="55" t="s">
        <v>2521</v>
      </c>
      <c r="T1304" s="49" t="str">
        <f>IFERROR(__xludf.DUMMYFUNCTION("""COMPUTED_VALUE"""),"realm")</f>
        <v>realm</v>
      </c>
      <c r="U1304" s="49"/>
      <c r="V1304" s="49"/>
      <c r="W1304" s="49" t="str">
        <f>IFERROR(__xludf.DUMMYFUNCTION("""COMPUTED_VALUE"""),"bouquet")</f>
        <v>bouquet</v>
      </c>
      <c r="X1304" s="49" t="str">
        <f t="shared" si="3"/>
        <v>jewish,</v>
      </c>
      <c r="Y1304" s="49"/>
      <c r="Z1304" s="1" t="s">
        <v>3666</v>
      </c>
      <c r="AA1304" s="1" t="s">
        <v>4324</v>
      </c>
      <c r="AB1304" s="49"/>
      <c r="AC1304" s="49"/>
      <c r="AD1304" s="49"/>
      <c r="AE1304" s="49" t="str">
        <f>IFERROR(__xludf.DUMMYFUNCTION("""COMPUTED_VALUE"""),"stretches")</f>
        <v>stretches</v>
      </c>
      <c r="AF1304" s="49" t="str">
        <f t="shared" si="4"/>
        <v>thick,</v>
      </c>
      <c r="AG1304" s="49"/>
      <c r="AH1304" s="1" t="s">
        <v>3040</v>
      </c>
      <c r="AI1304" s="1" t="s">
        <v>2411</v>
      </c>
      <c r="AJ1304" s="6" t="str">
        <f>IFERROR(__xludf.DUMMYFUNCTION("""COMPUTED_VALUE"""),"post")</f>
        <v>post</v>
      </c>
      <c r="AK1304" s="49"/>
      <c r="AL1304" s="49"/>
      <c r="AM1304" s="49"/>
      <c r="AN1304" s="52" t="str">
        <f t="shared" si="5"/>
        <v>created,</v>
      </c>
    </row>
    <row r="1305">
      <c r="A1305" s="51"/>
      <c r="B1305" s="50" t="s">
        <v>3595</v>
      </c>
      <c r="C1305" s="50" t="s">
        <v>5497</v>
      </c>
      <c r="D1305" s="49" t="str">
        <f>IFERROR(__xludf.DUMMYFUNCTION("""COMPUTED_VALUE"""),"fill")</f>
        <v>fill</v>
      </c>
      <c r="E1305" s="49"/>
      <c r="F1305" s="49"/>
      <c r="G1305" s="49"/>
      <c r="H1305" s="54" t="str">
        <f t="shared" si="1"/>
        <v>suffer,</v>
      </c>
      <c r="I1305" s="50"/>
      <c r="J1305" s="50" t="s">
        <v>4788</v>
      </c>
      <c r="K1305" s="50" t="s">
        <v>2604</v>
      </c>
      <c r="L1305" s="49" t="str">
        <f>IFERROR(__xludf.DUMMYFUNCTION("""COMPUTED_VALUE"""),"weary")</f>
        <v>weary</v>
      </c>
      <c r="M1305" s="49"/>
      <c r="N1305" s="49"/>
      <c r="O1305" s="49" t="str">
        <f>IFERROR(__xludf.DUMMYFUNCTION("""COMPUTED_VALUE"""),"ecstasy")</f>
        <v>ecstasy</v>
      </c>
      <c r="P1305" s="49" t="str">
        <f t="shared" si="2"/>
        <v>cross,</v>
      </c>
      <c r="Q1305" s="49"/>
      <c r="R1305" s="50" t="s">
        <v>1541</v>
      </c>
      <c r="S1305" s="55" t="s">
        <v>4299</v>
      </c>
      <c r="T1305" s="49" t="str">
        <f>IFERROR(__xludf.DUMMYFUNCTION("""COMPUTED_VALUE"""),"recognizable")</f>
        <v>recognizable</v>
      </c>
      <c r="U1305" s="49"/>
      <c r="V1305" s="49"/>
      <c r="W1305" s="49" t="str">
        <f>IFERROR(__xludf.DUMMYFUNCTION("""COMPUTED_VALUE"""),"cure")</f>
        <v>cure</v>
      </c>
      <c r="X1305" s="49" t="str">
        <f t="shared" si="3"/>
        <v>single,</v>
      </c>
      <c r="Y1305" s="49"/>
      <c r="Z1305" s="1" t="s">
        <v>2875</v>
      </c>
      <c r="AA1305" s="1" t="s">
        <v>3211</v>
      </c>
      <c r="AB1305" s="49"/>
      <c r="AC1305" s="49"/>
      <c r="AD1305" s="49"/>
      <c r="AE1305" s="49" t="str">
        <f>IFERROR(__xludf.DUMMYFUNCTION("""COMPUTED_VALUE"""),"ecstasy")</f>
        <v>ecstasy</v>
      </c>
      <c r="AF1305" s="49" t="str">
        <f t="shared" si="4"/>
        <v>strength,</v>
      </c>
      <c r="AG1305" s="49"/>
      <c r="AH1305" s="1" t="s">
        <v>6154</v>
      </c>
      <c r="AI1305" s="1" t="s">
        <v>2408</v>
      </c>
      <c r="AJ1305" s="6" t="str">
        <f>IFERROR(__xludf.DUMMYFUNCTION("""COMPUTED_VALUE"""),"similar")</f>
        <v>similar</v>
      </c>
      <c r="AK1305" s="49"/>
      <c r="AL1305" s="49"/>
      <c r="AM1305" s="49"/>
      <c r="AN1305" s="52" t="str">
        <f t="shared" si="5"/>
        <v>track,</v>
      </c>
    </row>
    <row r="1306">
      <c r="A1306" s="51"/>
      <c r="B1306" s="50" t="s">
        <v>3970</v>
      </c>
      <c r="C1306" s="50" t="s">
        <v>3410</v>
      </c>
      <c r="D1306" s="49" t="str">
        <f>IFERROR(__xludf.DUMMYFUNCTION("""COMPUTED_VALUE"""),"adventures")</f>
        <v>adventures</v>
      </c>
      <c r="E1306" s="49"/>
      <c r="F1306" s="49"/>
      <c r="G1306" s="49"/>
      <c r="H1306" s="54" t="str">
        <f t="shared" si="1"/>
        <v>sounding,</v>
      </c>
      <c r="I1306" s="50"/>
      <c r="J1306" s="50" t="s">
        <v>4367</v>
      </c>
      <c r="K1306" s="50" t="s">
        <v>4327</v>
      </c>
      <c r="L1306" s="49" t="str">
        <f>IFERROR(__xludf.DUMMYFUNCTION("""COMPUTED_VALUE"""),"splitting")</f>
        <v>splitting</v>
      </c>
      <c r="M1306" s="49"/>
      <c r="N1306" s="49"/>
      <c r="O1306" s="49" t="str">
        <f>IFERROR(__xludf.DUMMYFUNCTION("""COMPUTED_VALUE"""),"stalked")</f>
        <v>stalked</v>
      </c>
      <c r="P1306" s="49" t="str">
        <f t="shared" si="2"/>
        <v>japan,</v>
      </c>
      <c r="Q1306" s="49"/>
      <c r="R1306" s="50" t="s">
        <v>7345</v>
      </c>
      <c r="S1306" s="55" t="s">
        <v>6393</v>
      </c>
      <c r="T1306" s="49" t="str">
        <f>IFERROR(__xludf.DUMMYFUNCTION("""COMPUTED_VALUE"""),"elegant")</f>
        <v>elegant</v>
      </c>
      <c r="U1306" s="49"/>
      <c r="V1306" s="49"/>
      <c r="W1306" s="49" t="str">
        <f>IFERROR(__xludf.DUMMYFUNCTION("""COMPUTED_VALUE"""),"expressive")</f>
        <v>expressive</v>
      </c>
      <c r="X1306" s="49" t="str">
        <f t="shared" si="3"/>
        <v>jazz,</v>
      </c>
      <c r="Y1306" s="49"/>
      <c r="Z1306" s="1" t="s">
        <v>6361</v>
      </c>
      <c r="AA1306" s="1" t="s">
        <v>4326</v>
      </c>
      <c r="AB1306" s="49"/>
      <c r="AC1306" s="49"/>
      <c r="AD1306" s="49"/>
      <c r="AE1306" s="49" t="str">
        <f>IFERROR(__xludf.DUMMYFUNCTION("""COMPUTED_VALUE"""),"stalked")</f>
        <v>stalked</v>
      </c>
      <c r="AF1306" s="49" t="str">
        <f t="shared" si="4"/>
        <v>plenty,</v>
      </c>
      <c r="AG1306" s="49"/>
      <c r="AH1306" s="1">
        <v>40.0</v>
      </c>
      <c r="AI1306" s="1" t="s">
        <v>2624</v>
      </c>
      <c r="AJ1306" s="6">
        <f>IFERROR(__xludf.DUMMYFUNCTION("""COMPUTED_VALUE"""),1989.0)</f>
        <v>1989</v>
      </c>
      <c r="AK1306" s="49"/>
      <c r="AL1306" s="49"/>
      <c r="AM1306" s="49"/>
      <c r="AN1306" s="52" t="str">
        <f t="shared" si="5"/>
        <v>40,</v>
      </c>
    </row>
    <row r="1307">
      <c r="A1307" s="51"/>
      <c r="B1307" s="50" t="s">
        <v>6619</v>
      </c>
      <c r="C1307" s="50" t="s">
        <v>3914</v>
      </c>
      <c r="D1307" s="49" t="str">
        <f>IFERROR(__xludf.DUMMYFUNCTION("""COMPUTED_VALUE"""),"news")</f>
        <v>news</v>
      </c>
      <c r="E1307" s="49"/>
      <c r="F1307" s="49"/>
      <c r="G1307" s="49"/>
      <c r="H1307" s="54" t="str">
        <f t="shared" si="1"/>
        <v>ground,</v>
      </c>
      <c r="I1307" s="50"/>
      <c r="J1307" s="50" t="s">
        <v>2931</v>
      </c>
      <c r="K1307" s="50" t="s">
        <v>704</v>
      </c>
      <c r="L1307" s="49" t="str">
        <f>IFERROR(__xludf.DUMMYFUNCTION("""COMPUTED_VALUE"""),"dismissed")</f>
        <v>dismissed</v>
      </c>
      <c r="M1307" s="49"/>
      <c r="N1307" s="49"/>
      <c r="O1307" s="49" t="str">
        <f>IFERROR(__xludf.DUMMYFUNCTION("""COMPUTED_VALUE"""),"emphasizes")</f>
        <v>emphasizes</v>
      </c>
      <c r="P1307" s="49" t="str">
        <f t="shared" si="2"/>
        <v>jolly,</v>
      </c>
      <c r="Q1307" s="49"/>
      <c r="R1307" s="50" t="s">
        <v>814</v>
      </c>
      <c r="S1307" s="55" t="s">
        <v>2180</v>
      </c>
      <c r="T1307" s="49" t="str">
        <f>IFERROR(__xludf.DUMMYFUNCTION("""COMPUTED_VALUE"""),"charming")</f>
        <v>charming</v>
      </c>
      <c r="U1307" s="49"/>
      <c r="V1307" s="49"/>
      <c r="W1307" s="49" t="str">
        <f>IFERROR(__xludf.DUMMYFUNCTION("""COMPUTED_VALUE"""),"provoked")</f>
        <v>provoked</v>
      </c>
      <c r="X1307" s="49" t="str">
        <f t="shared" si="3"/>
        <v>directing,</v>
      </c>
      <c r="Y1307" s="49"/>
      <c r="Z1307" s="1" t="s">
        <v>284</v>
      </c>
      <c r="AA1307" s="1" t="s">
        <v>3214</v>
      </c>
      <c r="AB1307" s="49"/>
      <c r="AC1307" s="49"/>
      <c r="AD1307" s="49"/>
      <c r="AE1307" s="49" t="str">
        <f>IFERROR(__xludf.DUMMYFUNCTION("""COMPUTED_VALUE"""),"emphasizes")</f>
        <v>emphasizes</v>
      </c>
      <c r="AF1307" s="49" t="str">
        <f t="shared" si="4"/>
        <v>theme,</v>
      </c>
      <c r="AG1307" s="49"/>
      <c r="AH1307" s="1" t="s">
        <v>3789</v>
      </c>
      <c r="AI1307" s="1" t="s">
        <v>2066</v>
      </c>
      <c r="AJ1307" s="6" t="str">
        <f>IFERROR(__xludf.DUMMYFUNCTION("""COMPUTED_VALUE"""),"sam")</f>
        <v>sam</v>
      </c>
      <c r="AK1307" s="49"/>
      <c r="AL1307" s="49"/>
      <c r="AM1307" s="49"/>
      <c r="AN1307" s="52" t="str">
        <f t="shared" si="5"/>
        <v>japanese,</v>
      </c>
    </row>
    <row r="1308">
      <c r="A1308" s="51"/>
      <c r="B1308" s="50" t="s">
        <v>2322</v>
      </c>
      <c r="C1308" s="50" t="s">
        <v>2852</v>
      </c>
      <c r="D1308" s="49" t="str">
        <f>IFERROR(__xludf.DUMMYFUNCTION("""COMPUTED_VALUE"""),"previous")</f>
        <v>previous</v>
      </c>
      <c r="E1308" s="49"/>
      <c r="F1308" s="49"/>
      <c r="G1308" s="49"/>
      <c r="H1308" s="54" t="str">
        <f t="shared" si="1"/>
        <v>low,</v>
      </c>
      <c r="I1308" s="50"/>
      <c r="J1308" s="50" t="s">
        <v>5491</v>
      </c>
      <c r="K1308" s="50" t="s">
        <v>4329</v>
      </c>
      <c r="L1308" s="49" t="str">
        <f>IFERROR(__xludf.DUMMYFUNCTION("""COMPUTED_VALUE"""),"parental")</f>
        <v>parental</v>
      </c>
      <c r="M1308" s="49"/>
      <c r="N1308" s="49"/>
      <c r="O1308" s="49" t="str">
        <f>IFERROR(__xludf.DUMMYFUNCTION("""COMPUTED_VALUE"""),"murders")</f>
        <v>murders</v>
      </c>
      <c r="P1308" s="49" t="str">
        <f t="shared" si="2"/>
        <v>chen,</v>
      </c>
      <c r="Q1308" s="49"/>
      <c r="R1308" s="50" t="s">
        <v>6410</v>
      </c>
      <c r="S1308" s="55" t="s">
        <v>4311</v>
      </c>
      <c r="T1308" s="49" t="str">
        <f>IFERROR(__xludf.DUMMYFUNCTION("""COMPUTED_VALUE"""),"faced")</f>
        <v>faced</v>
      </c>
      <c r="U1308" s="49"/>
      <c r="V1308" s="49"/>
      <c r="W1308" s="49" t="str">
        <f>IFERROR(__xludf.DUMMYFUNCTION("""COMPUTED_VALUE"""),"tenor")</f>
        <v>tenor</v>
      </c>
      <c r="X1308" s="49" t="str">
        <f t="shared" si="3"/>
        <v>mysterious,</v>
      </c>
      <c r="Y1308" s="49"/>
      <c r="Z1308" s="1" t="s">
        <v>674</v>
      </c>
      <c r="AA1308" s="1" t="s">
        <v>1727</v>
      </c>
      <c r="AB1308" s="49"/>
      <c r="AC1308" s="49"/>
      <c r="AD1308" s="49"/>
      <c r="AE1308" s="49" t="str">
        <f>IFERROR(__xludf.DUMMYFUNCTION("""COMPUTED_VALUE"""),"murders")</f>
        <v>murders</v>
      </c>
      <c r="AF1308" s="49" t="str">
        <f t="shared" si="4"/>
        <v>emerge,</v>
      </c>
      <c r="AG1308" s="49"/>
      <c r="AH1308" s="1" t="s">
        <v>4297</v>
      </c>
      <c r="AI1308" s="1" t="s">
        <v>4177</v>
      </c>
      <c r="AJ1308" s="6" t="str">
        <f>IFERROR(__xludf.DUMMYFUNCTION("""COMPUTED_VALUE"""),"connection")</f>
        <v>connection</v>
      </c>
      <c r="AK1308" s="49"/>
      <c r="AL1308" s="49"/>
      <c r="AM1308" s="49"/>
      <c r="AN1308" s="52" t="str">
        <f t="shared" si="5"/>
        <v>flight,</v>
      </c>
    </row>
    <row r="1309">
      <c r="A1309" s="51"/>
      <c r="B1309" s="50" t="s">
        <v>5425</v>
      </c>
      <c r="C1309" s="50" t="s">
        <v>3913</v>
      </c>
      <c r="D1309" s="49" t="str">
        <f>IFERROR(__xludf.DUMMYFUNCTION("""COMPUTED_VALUE"""),"fallen")</f>
        <v>fallen</v>
      </c>
      <c r="E1309" s="49"/>
      <c r="F1309" s="49"/>
      <c r="G1309" s="49"/>
      <c r="H1309" s="54" t="str">
        <f t="shared" si="1"/>
        <v>post,</v>
      </c>
      <c r="I1309" s="50"/>
      <c r="J1309" s="50" t="s">
        <v>511</v>
      </c>
      <c r="K1309" s="50" t="s">
        <v>889</v>
      </c>
      <c r="L1309" s="49" t="str">
        <f>IFERROR(__xludf.DUMMYFUNCTION("""COMPUTED_VALUE"""),"crossover")</f>
        <v>crossover</v>
      </c>
      <c r="M1309" s="49"/>
      <c r="N1309" s="49"/>
      <c r="O1309" s="49" t="str">
        <f>IFERROR(__xludf.DUMMYFUNCTION("""COMPUTED_VALUE"""),"serial")</f>
        <v>serial</v>
      </c>
      <c r="P1309" s="49" t="str">
        <f t="shared" si="2"/>
        <v>affection,</v>
      </c>
      <c r="Q1309" s="49"/>
      <c r="R1309" s="50" t="s">
        <v>1381</v>
      </c>
      <c r="S1309" s="55" t="s">
        <v>1643</v>
      </c>
      <c r="T1309" s="49" t="str">
        <f>IFERROR(__xludf.DUMMYFUNCTION("""COMPUTED_VALUE"""),"essence")</f>
        <v>essence</v>
      </c>
      <c r="U1309" s="49"/>
      <c r="V1309" s="49"/>
      <c r="W1309" s="49" t="str">
        <f>IFERROR(__xludf.DUMMYFUNCTION("""COMPUTED_VALUE"""),"mourning")</f>
        <v>mourning</v>
      </c>
      <c r="X1309" s="49" t="str">
        <f t="shared" si="3"/>
        <v>emerges,</v>
      </c>
      <c r="Y1309" s="49"/>
      <c r="Z1309" s="1" t="s">
        <v>4299</v>
      </c>
      <c r="AA1309" s="1" t="s">
        <v>4330</v>
      </c>
      <c r="AB1309" s="49"/>
      <c r="AC1309" s="49"/>
      <c r="AD1309" s="49"/>
      <c r="AE1309" s="49" t="str">
        <f>IFERROR(__xludf.DUMMYFUNCTION("""COMPUTED_VALUE"""),"serial")</f>
        <v>serial</v>
      </c>
      <c r="AF1309" s="49" t="str">
        <f t="shared" si="4"/>
        <v>begin,</v>
      </c>
      <c r="AG1309" s="49"/>
      <c r="AH1309" s="1" t="s">
        <v>6747</v>
      </c>
      <c r="AI1309" s="1" t="s">
        <v>4038</v>
      </c>
      <c r="AJ1309" s="6" t="str">
        <f>IFERROR(__xludf.DUMMYFUNCTION("""COMPUTED_VALUE"""),"budget")</f>
        <v>budget</v>
      </c>
      <c r="AK1309" s="49"/>
      <c r="AL1309" s="49"/>
      <c r="AM1309" s="49"/>
      <c r="AN1309" s="52" t="str">
        <f t="shared" si="5"/>
        <v>thirty,</v>
      </c>
    </row>
    <row r="1310">
      <c r="A1310" s="51"/>
      <c r="B1310" s="50" t="s">
        <v>1442</v>
      </c>
      <c r="C1310" s="50" t="s">
        <v>404</v>
      </c>
      <c r="D1310" s="49" t="str">
        <f>IFERROR(__xludf.DUMMYFUNCTION("""COMPUTED_VALUE"""),"spell")</f>
        <v>spell</v>
      </c>
      <c r="E1310" s="49"/>
      <c r="F1310" s="49"/>
      <c r="G1310" s="49"/>
      <c r="H1310" s="54" t="str">
        <f t="shared" si="1"/>
        <v>similar,</v>
      </c>
      <c r="I1310" s="50"/>
      <c r="J1310" s="50" t="s">
        <v>3632</v>
      </c>
      <c r="K1310" s="50" t="s">
        <v>2682</v>
      </c>
      <c r="L1310" s="49" t="str">
        <f>IFERROR(__xludf.DUMMYFUNCTION("""COMPUTED_VALUE"""),"gregory")</f>
        <v>gregory</v>
      </c>
      <c r="M1310" s="49"/>
      <c r="N1310" s="49"/>
      <c r="O1310" s="49" t="str">
        <f>IFERROR(__xludf.DUMMYFUNCTION("""COMPUTED_VALUE"""),"conception")</f>
        <v>conception</v>
      </c>
      <c r="P1310" s="49" t="str">
        <f t="shared" si="2"/>
        <v>c,</v>
      </c>
      <c r="Q1310" s="49"/>
      <c r="R1310" s="50" t="s">
        <v>2163</v>
      </c>
      <c r="S1310" s="55" t="s">
        <v>3760</v>
      </c>
      <c r="T1310" s="49" t="str">
        <f>IFERROR(__xludf.DUMMYFUNCTION("""COMPUTED_VALUE"""),"presented")</f>
        <v>presented</v>
      </c>
      <c r="U1310" s="49"/>
      <c r="V1310" s="49"/>
      <c r="W1310" s="49" t="str">
        <f>IFERROR(__xludf.DUMMYFUNCTION("""COMPUTED_VALUE"""),"adultery")</f>
        <v>adultery</v>
      </c>
      <c r="X1310" s="49" t="str">
        <f t="shared" si="3"/>
        <v>blue,</v>
      </c>
      <c r="Y1310" s="49"/>
      <c r="Z1310" s="1" t="s">
        <v>6549</v>
      </c>
      <c r="AA1310" s="1" t="s">
        <v>3220</v>
      </c>
      <c r="AB1310" s="49"/>
      <c r="AC1310" s="49"/>
      <c r="AD1310" s="49"/>
      <c r="AE1310" s="49" t="str">
        <f>IFERROR(__xludf.DUMMYFUNCTION("""COMPUTED_VALUE"""),"conception")</f>
        <v>conception</v>
      </c>
      <c r="AF1310" s="49" t="str">
        <f t="shared" si="4"/>
        <v>falling,</v>
      </c>
      <c r="AG1310" s="49"/>
      <c r="AH1310" s="1" t="s">
        <v>4023</v>
      </c>
      <c r="AI1310" s="1" t="s">
        <v>4045</v>
      </c>
      <c r="AJ1310" s="6" t="str">
        <f>IFERROR(__xludf.DUMMYFUNCTION("""COMPUTED_VALUE"""),"popularity")</f>
        <v>popularity</v>
      </c>
      <c r="AK1310" s="49"/>
      <c r="AL1310" s="49"/>
      <c r="AM1310" s="49"/>
      <c r="AN1310" s="52" t="str">
        <f t="shared" si="5"/>
        <v>nuclear,</v>
      </c>
    </row>
    <row r="1311">
      <c r="A1311" s="51"/>
      <c r="B1311" s="50">
        <v>1989.0</v>
      </c>
      <c r="C1311" s="50" t="s">
        <v>3001</v>
      </c>
      <c r="D1311" s="49" t="str">
        <f>IFERROR(__xludf.DUMMYFUNCTION("""COMPUTED_VALUE"""),"historic")</f>
        <v>historic</v>
      </c>
      <c r="E1311" s="49"/>
      <c r="F1311" s="49"/>
      <c r="G1311" s="49"/>
      <c r="H1311" s="54" t="str">
        <f t="shared" si="1"/>
        <v>1989,</v>
      </c>
      <c r="I1311" s="50"/>
      <c r="J1311" s="50" t="s">
        <v>3573</v>
      </c>
      <c r="K1311" s="50" t="s">
        <v>3850</v>
      </c>
      <c r="L1311" s="49" t="str">
        <f>IFERROR(__xludf.DUMMYFUNCTION("""COMPUTED_VALUE"""),"racist")</f>
        <v>racist</v>
      </c>
      <c r="M1311" s="49"/>
      <c r="N1311" s="49"/>
      <c r="O1311" s="49" t="str">
        <f>IFERROR(__xludf.DUMMYFUNCTION("""COMPUTED_VALUE"""),"breathing")</f>
        <v>breathing</v>
      </c>
      <c r="P1311" s="49" t="str">
        <f t="shared" si="2"/>
        <v>blockbuster,</v>
      </c>
      <c r="Q1311" s="49"/>
      <c r="R1311" s="50" t="s">
        <v>3330</v>
      </c>
      <c r="S1311" s="55" t="s">
        <v>3655</v>
      </c>
      <c r="T1311" s="49" t="str">
        <f>IFERROR(__xludf.DUMMYFUNCTION("""COMPUTED_VALUE"""),"journalism")</f>
        <v>journalism</v>
      </c>
      <c r="U1311" s="49"/>
      <c r="V1311" s="49"/>
      <c r="W1311" s="49" t="str">
        <f>IFERROR(__xludf.DUMMYFUNCTION("""COMPUTED_VALUE"""),"rampant")</f>
        <v>rampant</v>
      </c>
      <c r="X1311" s="49" t="str">
        <f t="shared" si="3"/>
        <v>dawn,</v>
      </c>
      <c r="Y1311" s="49"/>
      <c r="Z1311" s="1" t="s">
        <v>4247</v>
      </c>
      <c r="AA1311" s="1" t="s">
        <v>4333</v>
      </c>
      <c r="AB1311" s="49"/>
      <c r="AC1311" s="49"/>
      <c r="AD1311" s="49"/>
      <c r="AE1311" s="49" t="str">
        <f>IFERROR(__xludf.DUMMYFUNCTION("""COMPUTED_VALUE"""),"breathing")</f>
        <v>breathing</v>
      </c>
      <c r="AF1311" s="49" t="str">
        <f t="shared" si="4"/>
        <v>hearts,</v>
      </c>
      <c r="AG1311" s="49"/>
      <c r="AH1311" s="1" t="s">
        <v>5824</v>
      </c>
      <c r="AI1311" s="1" t="s">
        <v>4043</v>
      </c>
      <c r="AJ1311" s="6" t="str">
        <f>IFERROR(__xludf.DUMMYFUNCTION("""COMPUTED_VALUE"""),"detective")</f>
        <v>detective</v>
      </c>
      <c r="AK1311" s="49"/>
      <c r="AL1311" s="49"/>
      <c r="AM1311" s="49"/>
      <c r="AN1311" s="52" t="str">
        <f t="shared" si="5"/>
        <v>testing,</v>
      </c>
    </row>
    <row r="1312">
      <c r="A1312" s="51"/>
      <c r="B1312" s="50" t="s">
        <v>7346</v>
      </c>
      <c r="C1312" s="50" t="s">
        <v>3420</v>
      </c>
      <c r="D1312" s="49" t="str">
        <f>IFERROR(__xludf.DUMMYFUNCTION("""COMPUTED_VALUE"""),"scandal")</f>
        <v>scandal</v>
      </c>
      <c r="E1312" s="49"/>
      <c r="F1312" s="49"/>
      <c r="G1312" s="49"/>
      <c r="H1312" s="54" t="str">
        <f t="shared" si="1"/>
        <v>los,</v>
      </c>
      <c r="I1312" s="50"/>
      <c r="J1312" s="50" t="s">
        <v>6387</v>
      </c>
      <c r="K1312" s="50" t="s">
        <v>2671</v>
      </c>
      <c r="L1312" s="49" t="str">
        <f>IFERROR(__xludf.DUMMYFUNCTION("""COMPUTED_VALUE"""),"circle")</f>
        <v>circle</v>
      </c>
      <c r="M1312" s="49"/>
      <c r="N1312" s="49"/>
      <c r="O1312" s="49" t="str">
        <f>IFERROR(__xludf.DUMMYFUNCTION("""COMPUTED_VALUE"""),"sonny")</f>
        <v>sonny</v>
      </c>
      <c r="P1312" s="49" t="str">
        <f t="shared" si="2"/>
        <v>heated,</v>
      </c>
      <c r="Q1312" s="49"/>
      <c r="R1312" s="50" t="s">
        <v>3296</v>
      </c>
      <c r="S1312" s="55" t="s">
        <v>259</v>
      </c>
      <c r="T1312" s="49" t="str">
        <f>IFERROR(__xludf.DUMMYFUNCTION("""COMPUTED_VALUE"""),"connect")</f>
        <v>connect</v>
      </c>
      <c r="U1312" s="49"/>
      <c r="V1312" s="49"/>
      <c r="W1312" s="49" t="str">
        <f>IFERROR(__xludf.DUMMYFUNCTION("""COMPUTED_VALUE"""),"kingsley")</f>
        <v>kingsley</v>
      </c>
      <c r="X1312" s="49" t="str">
        <f t="shared" si="3"/>
        <v>paper,</v>
      </c>
      <c r="Y1312" s="49"/>
      <c r="Z1312" s="1" t="s">
        <v>5428</v>
      </c>
      <c r="AA1312" s="1" t="s">
        <v>3222</v>
      </c>
      <c r="AB1312" s="49"/>
      <c r="AC1312" s="49"/>
      <c r="AD1312" s="49"/>
      <c r="AE1312" s="49" t="str">
        <f>IFERROR(__xludf.DUMMYFUNCTION("""COMPUTED_VALUE"""),"sonny")</f>
        <v>sonny</v>
      </c>
      <c r="AF1312" s="49" t="str">
        <f t="shared" si="4"/>
        <v>curious,</v>
      </c>
      <c r="AG1312" s="49"/>
      <c r="AH1312" s="1" t="s">
        <v>2885</v>
      </c>
      <c r="AI1312" s="1" t="s">
        <v>1151</v>
      </c>
      <c r="AJ1312" s="6" t="str">
        <f>IFERROR(__xludf.DUMMYFUNCTION("""COMPUTED_VALUE"""),"feeling")</f>
        <v>feeling</v>
      </c>
      <c r="AK1312" s="49"/>
      <c r="AL1312" s="49"/>
      <c r="AM1312" s="49"/>
      <c r="AN1312" s="52" t="str">
        <f t="shared" si="5"/>
        <v>adding,</v>
      </c>
    </row>
    <row r="1313">
      <c r="A1313" s="51"/>
      <c r="B1313" s="50" t="s">
        <v>6750</v>
      </c>
      <c r="C1313" s="50" t="s">
        <v>3426</v>
      </c>
      <c r="D1313" s="49" t="str">
        <f>IFERROR(__xludf.DUMMYFUNCTION("""COMPUTED_VALUE"""),"cool")</f>
        <v>cool</v>
      </c>
      <c r="E1313" s="49"/>
      <c r="F1313" s="49"/>
      <c r="G1313" s="49"/>
      <c r="H1313" s="54" t="str">
        <f t="shared" si="1"/>
        <v>sam,</v>
      </c>
      <c r="I1313" s="50"/>
      <c r="J1313" s="50" t="s">
        <v>7347</v>
      </c>
      <c r="K1313" s="50" t="s">
        <v>4338</v>
      </c>
      <c r="L1313" s="49" t="str">
        <f>IFERROR(__xludf.DUMMYFUNCTION("""COMPUTED_VALUE"""),"sake")</f>
        <v>sake</v>
      </c>
      <c r="M1313" s="49"/>
      <c r="N1313" s="49"/>
      <c r="O1313" s="49" t="str">
        <f>IFERROR(__xludf.DUMMYFUNCTION("""COMPUTED_VALUE"""),"delicately")</f>
        <v>delicately</v>
      </c>
      <c r="P1313" s="49" t="str">
        <f t="shared" si="2"/>
        <v>capital,</v>
      </c>
      <c r="Q1313" s="49"/>
      <c r="R1313" s="50" t="s">
        <v>4929</v>
      </c>
      <c r="S1313" s="55" t="s">
        <v>561</v>
      </c>
      <c r="T1313" s="49" t="str">
        <f>IFERROR(__xludf.DUMMYFUNCTION("""COMPUTED_VALUE"""),"dimension")</f>
        <v>dimension</v>
      </c>
      <c r="U1313" s="49"/>
      <c r="V1313" s="49"/>
      <c r="W1313" s="49" t="str">
        <f>IFERROR(__xludf.DUMMYFUNCTION("""COMPUTED_VALUE"""),"molly")</f>
        <v>molly</v>
      </c>
      <c r="X1313" s="49" t="str">
        <f t="shared" si="3"/>
        <v>drawing,</v>
      </c>
      <c r="Y1313" s="49"/>
      <c r="Z1313" s="1" t="s">
        <v>4158</v>
      </c>
      <c r="AA1313" s="1" t="s">
        <v>4337</v>
      </c>
      <c r="AB1313" s="49"/>
      <c r="AC1313" s="49"/>
      <c r="AD1313" s="49"/>
      <c r="AE1313" s="49" t="str">
        <f>IFERROR(__xludf.DUMMYFUNCTION("""COMPUTED_VALUE"""),"delicately")</f>
        <v>delicately</v>
      </c>
      <c r="AF1313" s="49" t="str">
        <f t="shared" si="4"/>
        <v>songs,</v>
      </c>
      <c r="AG1313" s="49"/>
      <c r="AH1313" s="1" t="s">
        <v>6797</v>
      </c>
      <c r="AI1313" s="1" t="s">
        <v>1632</v>
      </c>
      <c r="AJ1313" s="6" t="str">
        <f>IFERROR(__xludf.DUMMYFUNCTION("""COMPUTED_VALUE"""),"personal")</f>
        <v>personal</v>
      </c>
      <c r="AK1313" s="49"/>
      <c r="AL1313" s="49"/>
      <c r="AM1313" s="49"/>
      <c r="AN1313" s="52" t="str">
        <f t="shared" si="5"/>
        <v>emerged,</v>
      </c>
    </row>
    <row r="1314">
      <c r="A1314" s="51"/>
      <c r="B1314" s="50" t="s">
        <v>3826</v>
      </c>
      <c r="C1314" s="50" t="s">
        <v>701</v>
      </c>
      <c r="D1314" s="49" t="str">
        <f>IFERROR(__xludf.DUMMYFUNCTION("""COMPUTED_VALUE"""),"packed")</f>
        <v>packed</v>
      </c>
      <c r="E1314" s="49"/>
      <c r="F1314" s="49"/>
      <c r="G1314" s="49"/>
      <c r="H1314" s="54" t="str">
        <f t="shared" si="1"/>
        <v>connection,</v>
      </c>
      <c r="I1314" s="50"/>
      <c r="J1314" s="50" t="s">
        <v>4773</v>
      </c>
      <c r="K1314" s="50" t="s">
        <v>2687</v>
      </c>
      <c r="L1314" s="49" t="str">
        <f>IFERROR(__xludf.DUMMYFUNCTION("""COMPUTED_VALUE"""),"realistic")</f>
        <v>realistic</v>
      </c>
      <c r="M1314" s="49"/>
      <c r="N1314" s="49"/>
      <c r="O1314" s="49" t="str">
        <f>IFERROR(__xludf.DUMMYFUNCTION("""COMPUTED_VALUE"""),"memoir")</f>
        <v>memoir</v>
      </c>
      <c r="P1314" s="49" t="str">
        <f t="shared" si="2"/>
        <v>weave,</v>
      </c>
      <c r="Q1314" s="49"/>
      <c r="R1314" s="50" t="s">
        <v>5254</v>
      </c>
      <c r="S1314" s="55" t="s">
        <v>1218</v>
      </c>
      <c r="T1314" s="49" t="str">
        <f>IFERROR(__xludf.DUMMYFUNCTION("""COMPUTED_VALUE"""),"demons")</f>
        <v>demons</v>
      </c>
      <c r="U1314" s="49"/>
      <c r="V1314" s="49"/>
      <c r="W1314" s="49" t="str">
        <f>IFERROR(__xludf.DUMMYFUNCTION("""COMPUTED_VALUE"""),"beasts")</f>
        <v>beasts</v>
      </c>
      <c r="X1314" s="49" t="str">
        <f t="shared" si="3"/>
        <v>ideal,</v>
      </c>
      <c r="Y1314" s="49"/>
      <c r="Z1314" s="1" t="s">
        <v>350</v>
      </c>
      <c r="AA1314" s="1" t="s">
        <v>3226</v>
      </c>
      <c r="AB1314" s="49"/>
      <c r="AC1314" s="49"/>
      <c r="AD1314" s="49"/>
      <c r="AE1314" s="49" t="str">
        <f>IFERROR(__xludf.DUMMYFUNCTION("""COMPUTED_VALUE"""),"memoir")</f>
        <v>memoir</v>
      </c>
      <c r="AF1314" s="49" t="str">
        <f t="shared" si="4"/>
        <v>take,</v>
      </c>
      <c r="AG1314" s="49"/>
      <c r="AH1314" s="1" t="s">
        <v>6705</v>
      </c>
      <c r="AI1314" s="1" t="s">
        <v>81</v>
      </c>
      <c r="AJ1314" s="6" t="str">
        <f>IFERROR(__xludf.DUMMYFUNCTION("""COMPUTED_VALUE"""),"turning")</f>
        <v>turning</v>
      </c>
      <c r="AK1314" s="49"/>
      <c r="AL1314" s="49"/>
      <c r="AM1314" s="49"/>
      <c r="AN1314" s="52" t="str">
        <f t="shared" si="5"/>
        <v>creature,</v>
      </c>
    </row>
    <row r="1315">
      <c r="A1315" s="51"/>
      <c r="B1315" s="50" t="s">
        <v>4036</v>
      </c>
      <c r="C1315" s="50" t="s">
        <v>6454</v>
      </c>
      <c r="D1315" s="49" t="str">
        <f>IFERROR(__xludf.DUMMYFUNCTION("""COMPUTED_VALUE"""),"except")</f>
        <v>except</v>
      </c>
      <c r="E1315" s="49"/>
      <c r="F1315" s="49"/>
      <c r="G1315" s="49"/>
      <c r="H1315" s="54" t="str">
        <f t="shared" si="1"/>
        <v>budget,</v>
      </c>
      <c r="I1315" s="50"/>
      <c r="J1315" s="50" t="s">
        <v>2180</v>
      </c>
      <c r="K1315" s="50" t="s">
        <v>712</v>
      </c>
      <c r="L1315" s="49" t="str">
        <f>IFERROR(__xludf.DUMMYFUNCTION("""COMPUTED_VALUE"""),"aids")</f>
        <v>aids</v>
      </c>
      <c r="M1315" s="49"/>
      <c r="N1315" s="49"/>
      <c r="O1315" s="49" t="str">
        <f>IFERROR(__xludf.DUMMYFUNCTION("""COMPUTED_VALUE"""),"sublime")</f>
        <v>sublime</v>
      </c>
      <c r="P1315" s="49" t="str">
        <f t="shared" si="2"/>
        <v>thinking,</v>
      </c>
      <c r="Q1315" s="49"/>
      <c r="R1315" s="50" t="s">
        <v>2363</v>
      </c>
      <c r="S1315" s="55" t="s">
        <v>2537</v>
      </c>
      <c r="T1315" s="49" t="str">
        <f>IFERROR(__xludf.DUMMYFUNCTION("""COMPUTED_VALUE"""),"poem")</f>
        <v>poem</v>
      </c>
      <c r="U1315" s="49"/>
      <c r="V1315" s="49"/>
      <c r="W1315" s="49" t="str">
        <f>IFERROR(__xludf.DUMMYFUNCTION("""COMPUTED_VALUE"""),"shear")</f>
        <v>shear</v>
      </c>
      <c r="X1315" s="49" t="str">
        <f t="shared" si="3"/>
        <v>blown,</v>
      </c>
      <c r="Y1315" s="49"/>
      <c r="Z1315" s="1" t="s">
        <v>2398</v>
      </c>
      <c r="AA1315" s="1" t="s">
        <v>4342</v>
      </c>
      <c r="AB1315" s="49"/>
      <c r="AC1315" s="49"/>
      <c r="AD1315" s="49"/>
      <c r="AE1315" s="49" t="str">
        <f>IFERROR(__xludf.DUMMYFUNCTION("""COMPUTED_VALUE"""),"sublime")</f>
        <v>sublime</v>
      </c>
      <c r="AF1315" s="49" t="str">
        <f t="shared" si="4"/>
        <v>thanks,</v>
      </c>
      <c r="AG1315" s="49"/>
      <c r="AH1315" s="1" t="s">
        <v>5038</v>
      </c>
      <c r="AI1315" s="1" t="s">
        <v>1857</v>
      </c>
      <c r="AJ1315" s="6" t="str">
        <f>IFERROR(__xludf.DUMMYFUNCTION("""COMPUTED_VALUE"""),"unlike")</f>
        <v>unlike</v>
      </c>
      <c r="AK1315" s="49"/>
      <c r="AL1315" s="49"/>
      <c r="AM1315" s="49"/>
      <c r="AN1315" s="52" t="str">
        <f t="shared" si="5"/>
        <v>partly,</v>
      </c>
    </row>
    <row r="1316">
      <c r="A1316" s="51"/>
      <c r="B1316" s="50" t="s">
        <v>1512</v>
      </c>
      <c r="C1316" s="50" t="s">
        <v>3936</v>
      </c>
      <c r="D1316" s="49" t="str">
        <f>IFERROR(__xludf.DUMMYFUNCTION("""COMPUTED_VALUE"""),"handled")</f>
        <v>handled</v>
      </c>
      <c r="E1316" s="49"/>
      <c r="F1316" s="49"/>
      <c r="G1316" s="49"/>
      <c r="H1316" s="54" t="str">
        <f t="shared" si="1"/>
        <v>popularity,</v>
      </c>
      <c r="I1316" s="50"/>
      <c r="J1316" s="50" t="s">
        <v>1496</v>
      </c>
      <c r="K1316" s="50" t="s">
        <v>4346</v>
      </c>
      <c r="L1316" s="49" t="str">
        <f>IFERROR(__xludf.DUMMYFUNCTION("""COMPUTED_VALUE"""),"plotted")</f>
        <v>plotted</v>
      </c>
      <c r="M1316" s="49"/>
      <c r="N1316" s="49"/>
      <c r="O1316" s="49" t="str">
        <f>IFERROR(__xludf.DUMMYFUNCTION("""COMPUTED_VALUE"""),"scarcely")</f>
        <v>scarcely</v>
      </c>
      <c r="P1316" s="49" t="str">
        <f t="shared" si="2"/>
        <v>achieving,</v>
      </c>
      <c r="Q1316" s="49"/>
      <c r="R1316" s="50" t="s">
        <v>4878</v>
      </c>
      <c r="S1316" s="55" t="s">
        <v>4163</v>
      </c>
      <c r="T1316" s="49" t="str">
        <f>IFERROR(__xludf.DUMMYFUNCTION("""COMPUTED_VALUE"""),"rape")</f>
        <v>rape</v>
      </c>
      <c r="U1316" s="49"/>
      <c r="V1316" s="49"/>
      <c r="W1316" s="49" t="str">
        <f>IFERROR(__xludf.DUMMYFUNCTION("""COMPUTED_VALUE"""),"volatile")</f>
        <v>volatile</v>
      </c>
      <c r="X1316" s="49" t="str">
        <f t="shared" si="3"/>
        <v>cares,</v>
      </c>
      <c r="Y1316" s="49"/>
      <c r="Z1316" s="1" t="s">
        <v>950</v>
      </c>
      <c r="AA1316" s="1" t="s">
        <v>911</v>
      </c>
      <c r="AB1316" s="49"/>
      <c r="AC1316" s="49"/>
      <c r="AD1316" s="49"/>
      <c r="AE1316" s="49" t="str">
        <f>IFERROR(__xludf.DUMMYFUNCTION("""COMPUTED_VALUE"""),"scarcely")</f>
        <v>scarcely</v>
      </c>
      <c r="AF1316" s="49" t="str">
        <f t="shared" si="4"/>
        <v>whether,</v>
      </c>
      <c r="AG1316" s="49"/>
      <c r="AH1316" s="1" t="s">
        <v>5858</v>
      </c>
      <c r="AI1316" s="1" t="s">
        <v>6483</v>
      </c>
      <c r="AJ1316" s="6" t="str">
        <f>IFERROR(__xludf.DUMMYFUNCTION("""COMPUTED_VALUE"""),"jon")</f>
        <v>jon</v>
      </c>
      <c r="AK1316" s="49"/>
      <c r="AL1316" s="49"/>
      <c r="AM1316" s="49"/>
      <c r="AN1316" s="52" t="str">
        <f t="shared" si="5"/>
        <v>raymond,</v>
      </c>
    </row>
    <row r="1317">
      <c r="A1317" s="51"/>
      <c r="B1317" s="50" t="s">
        <v>3983</v>
      </c>
      <c r="C1317" s="50" t="s">
        <v>3430</v>
      </c>
      <c r="D1317" s="49" t="str">
        <f>IFERROR(__xludf.DUMMYFUNCTION("""COMPUTED_VALUE"""),"upper")</f>
        <v>upper</v>
      </c>
      <c r="E1317" s="49"/>
      <c r="F1317" s="49"/>
      <c r="G1317" s="49"/>
      <c r="H1317" s="54" t="str">
        <f t="shared" si="1"/>
        <v>detective,</v>
      </c>
      <c r="I1317" s="50"/>
      <c r="J1317" s="50" t="s">
        <v>678</v>
      </c>
      <c r="K1317" s="50" t="s">
        <v>2695</v>
      </c>
      <c r="L1317" s="49" t="str">
        <f>IFERROR(__xludf.DUMMYFUNCTION("""COMPUTED_VALUE"""),"densely")</f>
        <v>densely</v>
      </c>
      <c r="M1317" s="49"/>
      <c r="N1317" s="49"/>
      <c r="O1317" s="49" t="str">
        <f>IFERROR(__xludf.DUMMYFUNCTION("""COMPUTED_VALUE"""),"expressive")</f>
        <v>expressive</v>
      </c>
      <c r="P1317" s="49" t="str">
        <f t="shared" si="2"/>
        <v>deadly,</v>
      </c>
      <c r="Q1317" s="49"/>
      <c r="R1317" s="50" t="s">
        <v>2166</v>
      </c>
      <c r="S1317" s="55" t="s">
        <v>4407</v>
      </c>
      <c r="T1317" s="49" t="str">
        <f>IFERROR(__xludf.DUMMYFUNCTION("""COMPUTED_VALUE"""),"davis")</f>
        <v>davis</v>
      </c>
      <c r="U1317" s="49"/>
      <c r="V1317" s="49"/>
      <c r="W1317" s="49" t="str">
        <f>IFERROR(__xludf.DUMMYFUNCTION("""COMPUTED_VALUE"""),"fiery")</f>
        <v>fiery</v>
      </c>
      <c r="X1317" s="49" t="str">
        <f t="shared" si="3"/>
        <v>ride,</v>
      </c>
      <c r="Y1317" s="49"/>
      <c r="Z1317" s="1" t="s">
        <v>1478</v>
      </c>
      <c r="AA1317" s="1" t="s">
        <v>4347</v>
      </c>
      <c r="AB1317" s="49"/>
      <c r="AC1317" s="49"/>
      <c r="AD1317" s="49"/>
      <c r="AE1317" s="49" t="str">
        <f>IFERROR(__xludf.DUMMYFUNCTION("""COMPUTED_VALUE"""),"expressive")</f>
        <v>expressive</v>
      </c>
      <c r="AF1317" s="49" t="str">
        <f t="shared" si="4"/>
        <v>season,</v>
      </c>
      <c r="AG1317" s="49"/>
      <c r="AH1317" s="1" t="s">
        <v>7060</v>
      </c>
      <c r="AI1317" s="1" t="s">
        <v>6463</v>
      </c>
      <c r="AJ1317" s="6" t="str">
        <f>IFERROR(__xludf.DUMMYFUNCTION("""COMPUTED_VALUE"""),"allowed")</f>
        <v>allowed</v>
      </c>
      <c r="AK1317" s="49"/>
      <c r="AL1317" s="49"/>
      <c r="AM1317" s="49"/>
      <c r="AN1317" s="52" t="str">
        <f t="shared" si="5"/>
        <v>married,</v>
      </c>
    </row>
    <row r="1318">
      <c r="A1318" s="51"/>
      <c r="B1318" s="50" t="s">
        <v>1939</v>
      </c>
      <c r="C1318" s="50" t="s">
        <v>6476</v>
      </c>
      <c r="D1318" s="49" t="str">
        <f>IFERROR(__xludf.DUMMYFUNCTION("""COMPUTED_VALUE"""),"vision")</f>
        <v>vision</v>
      </c>
      <c r="E1318" s="49"/>
      <c r="F1318" s="49"/>
      <c r="G1318" s="49"/>
      <c r="H1318" s="54" t="str">
        <f t="shared" si="1"/>
        <v>emerging,</v>
      </c>
      <c r="I1318" s="50"/>
      <c r="J1318" s="50" t="s">
        <v>2924</v>
      </c>
      <c r="K1318" s="50" t="s">
        <v>2698</v>
      </c>
      <c r="L1318" s="49" t="str">
        <f>IFERROR(__xludf.DUMMYFUNCTION("""COMPUTED_VALUE"""),"harvesting")</f>
        <v>harvesting</v>
      </c>
      <c r="M1318" s="49"/>
      <c r="N1318" s="49"/>
      <c r="O1318" s="49" t="str">
        <f>IFERROR(__xludf.DUMMYFUNCTION("""COMPUTED_VALUE"""),"provoked")</f>
        <v>provoked</v>
      </c>
      <c r="P1318" s="49" t="str">
        <f t="shared" si="2"/>
        <v>gradually,</v>
      </c>
      <c r="Q1318" s="49"/>
      <c r="R1318" s="50" t="s">
        <v>1945</v>
      </c>
      <c r="S1318" s="55" t="s">
        <v>2538</v>
      </c>
      <c r="T1318" s="49" t="str">
        <f>IFERROR(__xludf.DUMMYFUNCTION("""COMPUTED_VALUE"""),"topic")</f>
        <v>topic</v>
      </c>
      <c r="U1318" s="49"/>
      <c r="V1318" s="49"/>
      <c r="W1318" s="49" t="str">
        <f>IFERROR(__xludf.DUMMYFUNCTION("""COMPUTED_VALUE"""),"resolutions")</f>
        <v>resolutions</v>
      </c>
      <c r="X1318" s="49" t="str">
        <f t="shared" si="3"/>
        <v>lower,</v>
      </c>
      <c r="Y1318" s="49"/>
      <c r="Z1318" s="1" t="s">
        <v>1894</v>
      </c>
      <c r="AA1318" s="1" t="s">
        <v>3827</v>
      </c>
      <c r="AB1318" s="49"/>
      <c r="AC1318" s="49"/>
      <c r="AD1318" s="49"/>
      <c r="AE1318" s="49" t="str">
        <f>IFERROR(__xludf.DUMMYFUNCTION("""COMPUTED_VALUE"""),"provoked")</f>
        <v>provoked</v>
      </c>
      <c r="AF1318" s="49" t="str">
        <f t="shared" si="4"/>
        <v>welcome,</v>
      </c>
      <c r="AG1318" s="49"/>
      <c r="AH1318" s="1" t="s">
        <v>1661</v>
      </c>
      <c r="AI1318" s="1" t="s">
        <v>2419</v>
      </c>
      <c r="AJ1318" s="6" t="str">
        <f>IFERROR(__xludf.DUMMYFUNCTION("""COMPUTED_VALUE"""),"shoulders")</f>
        <v>shoulders</v>
      </c>
      <c r="AK1318" s="49"/>
      <c r="AL1318" s="49"/>
      <c r="AM1318" s="49"/>
      <c r="AN1318" s="52" t="str">
        <f t="shared" si="5"/>
        <v>stephen,</v>
      </c>
    </row>
    <row r="1319">
      <c r="A1319" s="51"/>
      <c r="B1319" s="50" t="s">
        <v>3677</v>
      </c>
      <c r="C1319" s="50" t="s">
        <v>2351</v>
      </c>
      <c r="D1319" s="49" t="str">
        <f>IFERROR(__xludf.DUMMYFUNCTION("""COMPUTED_VALUE"""),"clearly")</f>
        <v>clearly</v>
      </c>
      <c r="E1319" s="49"/>
      <c r="F1319" s="49"/>
      <c r="G1319" s="49"/>
      <c r="H1319" s="54" t="str">
        <f t="shared" si="1"/>
        <v>feeling,</v>
      </c>
      <c r="I1319" s="50"/>
      <c r="J1319" s="50" t="s">
        <v>29</v>
      </c>
      <c r="K1319" s="50" t="s">
        <v>1355</v>
      </c>
      <c r="L1319" s="49" t="b">
        <f>IFERROR(__xludf.DUMMYFUNCTION("""COMPUTED_VALUE"""),FALSE)</f>
        <v>0</v>
      </c>
      <c r="M1319" s="49"/>
      <c r="N1319" s="49"/>
      <c r="O1319" s="49" t="str">
        <f>IFERROR(__xludf.DUMMYFUNCTION("""COMPUTED_VALUE"""),"breaking")</f>
        <v>breaking</v>
      </c>
      <c r="P1319" s="49" t="str">
        <f t="shared" si="2"/>
        <v>bleak,</v>
      </c>
      <c r="Q1319" s="49"/>
      <c r="R1319" s="50" t="s">
        <v>5577</v>
      </c>
      <c r="S1319" s="55" t="s">
        <v>4165</v>
      </c>
      <c r="T1319" s="49" t="str">
        <f>IFERROR(__xludf.DUMMYFUNCTION("""COMPUTED_VALUE"""),"sane")</f>
        <v>sane</v>
      </c>
      <c r="U1319" s="49"/>
      <c r="V1319" s="49"/>
      <c r="W1319" s="49" t="str">
        <f>IFERROR(__xludf.DUMMYFUNCTION("""COMPUTED_VALUE"""),"bow")</f>
        <v>bow</v>
      </c>
      <c r="X1319" s="49" t="str">
        <f t="shared" si="3"/>
        <v>neighborhood,</v>
      </c>
      <c r="Y1319" s="49"/>
      <c r="Z1319" s="1" t="s">
        <v>2343</v>
      </c>
      <c r="AA1319" s="1" t="s">
        <v>1741</v>
      </c>
      <c r="AB1319" s="49"/>
      <c r="AC1319" s="49"/>
      <c r="AD1319" s="49"/>
      <c r="AE1319" s="49" t="str">
        <f>IFERROR(__xludf.DUMMYFUNCTION("""COMPUTED_VALUE"""),"breaking")</f>
        <v>breaking</v>
      </c>
      <c r="AF1319" s="49" t="str">
        <f t="shared" si="4"/>
        <v>beginning,</v>
      </c>
      <c r="AG1319" s="49"/>
      <c r="AH1319" s="1" t="s">
        <v>3271</v>
      </c>
      <c r="AI1319" s="1" t="s">
        <v>3150</v>
      </c>
      <c r="AJ1319" s="6" t="str">
        <f>IFERROR(__xludf.DUMMYFUNCTION("""COMPUTED_VALUE"""),"holy")</f>
        <v>holy</v>
      </c>
      <c r="AK1319" s="49"/>
      <c r="AL1319" s="49"/>
      <c r="AM1319" s="49"/>
      <c r="AN1319" s="52" t="str">
        <f t="shared" si="5"/>
        <v>loud,</v>
      </c>
    </row>
    <row r="1320">
      <c r="A1320" s="51"/>
      <c r="B1320" s="50" t="s">
        <v>249</v>
      </c>
      <c r="C1320" s="50" t="s">
        <v>6456</v>
      </c>
      <c r="D1320" s="49" t="str">
        <f>IFERROR(__xludf.DUMMYFUNCTION("""COMPUTED_VALUE"""),"poverty")</f>
        <v>poverty</v>
      </c>
      <c r="E1320" s="49"/>
      <c r="F1320" s="49"/>
      <c r="G1320" s="49"/>
      <c r="H1320" s="54" t="str">
        <f t="shared" si="1"/>
        <v>personal,</v>
      </c>
      <c r="I1320" s="50"/>
      <c r="J1320" s="50" t="s">
        <v>2056</v>
      </c>
      <c r="K1320" s="50" t="s">
        <v>898</v>
      </c>
      <c r="L1320" s="49" t="str">
        <f>IFERROR(__xludf.DUMMYFUNCTION("""COMPUTED_VALUE"""),"foundation")</f>
        <v>foundation</v>
      </c>
      <c r="M1320" s="49"/>
      <c r="N1320" s="49"/>
      <c r="O1320" s="49" t="str">
        <f>IFERROR(__xludf.DUMMYFUNCTION("""COMPUTED_VALUE"""),"tenor")</f>
        <v>tenor</v>
      </c>
      <c r="P1320" s="49" t="str">
        <f t="shared" si="2"/>
        <v>desperately,</v>
      </c>
      <c r="Q1320" s="49"/>
      <c r="R1320" s="50" t="s">
        <v>7100</v>
      </c>
      <c r="S1320" s="55" t="s">
        <v>4167</v>
      </c>
      <c r="T1320" s="49" t="str">
        <f>IFERROR(__xludf.DUMMYFUNCTION("""COMPUTED_VALUE"""),"soap")</f>
        <v>soap</v>
      </c>
      <c r="U1320" s="49"/>
      <c r="V1320" s="49"/>
      <c r="W1320" s="49" t="str">
        <f>IFERROR(__xludf.DUMMYFUNCTION("""COMPUTED_VALUE"""),"rhetoric")</f>
        <v>rhetoric</v>
      </c>
      <c r="X1320" s="49" t="str">
        <f t="shared" si="3"/>
        <v>crash,</v>
      </c>
      <c r="Y1320" s="49"/>
      <c r="Z1320" s="1" t="s">
        <v>1328</v>
      </c>
      <c r="AA1320" s="1" t="s">
        <v>2946</v>
      </c>
      <c r="AB1320" s="49"/>
      <c r="AC1320" s="49"/>
      <c r="AD1320" s="49"/>
      <c r="AE1320" s="49" t="str">
        <f>IFERROR(__xludf.DUMMYFUNCTION("""COMPUTED_VALUE"""),"tenor")</f>
        <v>tenor</v>
      </c>
      <c r="AF1320" s="49" t="str">
        <f t="shared" si="4"/>
        <v>directorial,</v>
      </c>
      <c r="AG1320" s="49"/>
      <c r="AH1320" s="1" t="s">
        <v>1088</v>
      </c>
      <c r="AI1320" s="1" t="s">
        <v>4051</v>
      </c>
      <c r="AJ1320" s="6" t="str">
        <f>IFERROR(__xludf.DUMMYFUNCTION("""COMPUTED_VALUE"""),"reduced")</f>
        <v>reduced</v>
      </c>
      <c r="AK1320" s="49"/>
      <c r="AL1320" s="49"/>
      <c r="AM1320" s="49"/>
      <c r="AN1320" s="52" t="str">
        <f t="shared" si="5"/>
        <v>affair,</v>
      </c>
    </row>
    <row r="1321">
      <c r="A1321" s="51"/>
      <c r="B1321" s="50" t="s">
        <v>5262</v>
      </c>
      <c r="C1321" s="50" t="s">
        <v>6477</v>
      </c>
      <c r="D1321" s="49" t="str">
        <f>IFERROR(__xludf.DUMMYFUNCTION("""COMPUTED_VALUE"""),"spite")</f>
        <v>spite</v>
      </c>
      <c r="E1321" s="49"/>
      <c r="F1321" s="49"/>
      <c r="G1321" s="49"/>
      <c r="H1321" s="54" t="str">
        <f t="shared" si="1"/>
        <v>turning,</v>
      </c>
      <c r="I1321" s="50"/>
      <c r="J1321" s="50" t="s">
        <v>964</v>
      </c>
      <c r="K1321" s="50" t="s">
        <v>2608</v>
      </c>
      <c r="L1321" s="49" t="str">
        <f>IFERROR(__xludf.DUMMYFUNCTION("""COMPUTED_VALUE"""),"concentration")</f>
        <v>concentration</v>
      </c>
      <c r="M1321" s="49"/>
      <c r="N1321" s="49"/>
      <c r="O1321" s="49" t="str">
        <f>IFERROR(__xludf.DUMMYFUNCTION("""COMPUTED_VALUE"""),"mourning")</f>
        <v>mourning</v>
      </c>
      <c r="P1321" s="49" t="str">
        <f t="shared" si="2"/>
        <v>musical,</v>
      </c>
      <c r="Q1321" s="49"/>
      <c r="R1321" s="50" t="s">
        <v>3340</v>
      </c>
      <c r="S1321" s="55" t="s">
        <v>4168</v>
      </c>
      <c r="T1321" s="49" t="str">
        <f>IFERROR(__xludf.DUMMYFUNCTION("""COMPUTED_VALUE"""),"turkey")</f>
        <v>turkey</v>
      </c>
      <c r="U1321" s="49"/>
      <c r="V1321" s="49"/>
      <c r="W1321" s="49" t="str">
        <f>IFERROR(__xludf.DUMMYFUNCTION("""COMPUTED_VALUE"""),"haynes")</f>
        <v>haynes</v>
      </c>
      <c r="X1321" s="49" t="str">
        <f t="shared" si="3"/>
        <v>detail,</v>
      </c>
      <c r="Y1321" s="49"/>
      <c r="Z1321" s="1" t="s">
        <v>764</v>
      </c>
      <c r="AA1321" s="1" t="s">
        <v>4349</v>
      </c>
      <c r="AB1321" s="49"/>
      <c r="AC1321" s="49"/>
      <c r="AD1321" s="49"/>
      <c r="AE1321" s="49" t="str">
        <f>IFERROR(__xludf.DUMMYFUNCTION("""COMPUTED_VALUE"""),"mourning")</f>
        <v>mourning</v>
      </c>
      <c r="AF1321" s="49" t="str">
        <f t="shared" si="4"/>
        <v>dog,</v>
      </c>
      <c r="AG1321" s="49"/>
      <c r="AH1321" s="1" t="s">
        <v>6619</v>
      </c>
      <c r="AI1321" s="1" t="s">
        <v>4147</v>
      </c>
      <c r="AJ1321" s="6" t="str">
        <f>IFERROR(__xludf.DUMMYFUNCTION("""COMPUTED_VALUE"""),"performing")</f>
        <v>performing</v>
      </c>
      <c r="AK1321" s="49"/>
      <c r="AL1321" s="49"/>
      <c r="AM1321" s="49"/>
      <c r="AN1321" s="52" t="str">
        <f t="shared" si="5"/>
        <v>ground,</v>
      </c>
    </row>
    <row r="1322">
      <c r="A1322" s="51"/>
      <c r="B1322" s="50" t="s">
        <v>2524</v>
      </c>
      <c r="C1322" s="50" t="s">
        <v>2359</v>
      </c>
      <c r="D1322" s="49" t="str">
        <f>IFERROR(__xludf.DUMMYFUNCTION("""COMPUTED_VALUE"""),"head")</f>
        <v>head</v>
      </c>
      <c r="E1322" s="49"/>
      <c r="F1322" s="49"/>
      <c r="G1322" s="49"/>
      <c r="H1322" s="54" t="str">
        <f t="shared" si="1"/>
        <v>unlike,</v>
      </c>
      <c r="I1322" s="50"/>
      <c r="J1322" s="50" t="s">
        <v>4352</v>
      </c>
      <c r="K1322" s="50" t="s">
        <v>4351</v>
      </c>
      <c r="L1322" s="49" t="str">
        <f>IFERROR(__xludf.DUMMYFUNCTION("""COMPUTED_VALUE"""),"jerking")</f>
        <v>jerking</v>
      </c>
      <c r="M1322" s="49"/>
      <c r="N1322" s="49"/>
      <c r="O1322" s="49" t="str">
        <f>IFERROR(__xludf.DUMMYFUNCTION("""COMPUTED_VALUE"""),"adultery")</f>
        <v>adultery</v>
      </c>
      <c r="P1322" s="49" t="str">
        <f t="shared" si="2"/>
        <v>bumps,</v>
      </c>
      <c r="Q1322" s="49"/>
      <c r="R1322" s="50" t="s">
        <v>3169</v>
      </c>
      <c r="S1322" s="55" t="s">
        <v>6394</v>
      </c>
      <c r="T1322" s="49" t="str">
        <f>IFERROR(__xludf.DUMMYFUNCTION("""COMPUTED_VALUE"""),"inhabit")</f>
        <v>inhabit</v>
      </c>
      <c r="U1322" s="49"/>
      <c r="V1322" s="49"/>
      <c r="W1322" s="49" t="str">
        <f>IFERROR(__xludf.DUMMYFUNCTION("""COMPUTED_VALUE"""),"overwhelming")</f>
        <v>overwhelming</v>
      </c>
      <c r="X1322" s="49" t="str">
        <f t="shared" si="3"/>
        <v>hazy,</v>
      </c>
      <c r="Y1322" s="49"/>
      <c r="Z1322" s="1" t="s">
        <v>2102</v>
      </c>
      <c r="AA1322" s="1" t="s">
        <v>1083</v>
      </c>
      <c r="AB1322" s="49"/>
      <c r="AC1322" s="49"/>
      <c r="AD1322" s="49"/>
      <c r="AE1322" s="49" t="str">
        <f>IFERROR(__xludf.DUMMYFUNCTION("""COMPUTED_VALUE"""),"adultery")</f>
        <v>adultery</v>
      </c>
      <c r="AF1322" s="49" t="str">
        <f t="shared" si="4"/>
        <v>oscar,</v>
      </c>
      <c r="AG1322" s="49"/>
      <c r="AH1322" s="1" t="s">
        <v>2322</v>
      </c>
      <c r="AI1322" s="1" t="s">
        <v>2454</v>
      </c>
      <c r="AJ1322" s="6" t="str">
        <f>IFERROR(__xludf.DUMMYFUNCTION("""COMPUTED_VALUE"""),"breathing")</f>
        <v>breathing</v>
      </c>
      <c r="AK1322" s="49"/>
      <c r="AL1322" s="49"/>
      <c r="AM1322" s="49"/>
      <c r="AN1322" s="52" t="str">
        <f t="shared" si="5"/>
        <v>low,</v>
      </c>
    </row>
    <row r="1323">
      <c r="A1323" s="51"/>
      <c r="B1323" s="50" t="s">
        <v>4580</v>
      </c>
      <c r="C1323" s="50" t="s">
        <v>631</v>
      </c>
      <c r="D1323" s="49" t="str">
        <f>IFERROR(__xludf.DUMMYFUNCTION("""COMPUTED_VALUE"""),"order")</f>
        <v>order</v>
      </c>
      <c r="E1323" s="49"/>
      <c r="F1323" s="49"/>
      <c r="G1323" s="49"/>
      <c r="H1323" s="54" t="str">
        <f t="shared" si="1"/>
        <v>jon,</v>
      </c>
      <c r="I1323" s="50"/>
      <c r="J1323" s="50" t="s">
        <v>2364</v>
      </c>
      <c r="K1323" s="50" t="s">
        <v>4353</v>
      </c>
      <c r="L1323" s="49" t="str">
        <f>IFERROR(__xludf.DUMMYFUNCTION("""COMPUTED_VALUE"""),"connected")</f>
        <v>connected</v>
      </c>
      <c r="M1323" s="49"/>
      <c r="N1323" s="49"/>
      <c r="O1323" s="49" t="str">
        <f>IFERROR(__xludf.DUMMYFUNCTION("""COMPUTED_VALUE"""),"rampant")</f>
        <v>rampant</v>
      </c>
      <c r="P1323" s="49" t="str">
        <f t="shared" si="2"/>
        <v>camera,</v>
      </c>
      <c r="Q1323" s="49"/>
      <c r="R1323" s="50" t="s">
        <v>7348</v>
      </c>
      <c r="S1323" s="55" t="s">
        <v>4172</v>
      </c>
      <c r="T1323" s="49" t="str">
        <f>IFERROR(__xludf.DUMMYFUNCTION("""COMPUTED_VALUE"""),"obstacles")</f>
        <v>obstacles</v>
      </c>
      <c r="U1323" s="49"/>
      <c r="V1323" s="49"/>
      <c r="W1323" s="49" t="str">
        <f>IFERROR(__xludf.DUMMYFUNCTION("""COMPUTED_VALUE"""),"wartime")</f>
        <v>wartime</v>
      </c>
      <c r="X1323" s="49" t="str">
        <f t="shared" si="3"/>
        <v>mimic,</v>
      </c>
      <c r="Y1323" s="49"/>
      <c r="Z1323" s="1" t="s">
        <v>6152</v>
      </c>
      <c r="AA1323" s="1" t="s">
        <v>3233</v>
      </c>
      <c r="AB1323" s="49"/>
      <c r="AC1323" s="49"/>
      <c r="AD1323" s="49"/>
      <c r="AE1323" s="49" t="str">
        <f>IFERROR(__xludf.DUMMYFUNCTION("""COMPUTED_VALUE"""),"rampant")</f>
        <v>rampant</v>
      </c>
      <c r="AF1323" s="49" t="str">
        <f t="shared" si="4"/>
        <v>wide,</v>
      </c>
      <c r="AG1323" s="49"/>
      <c r="AH1323" s="1" t="s">
        <v>5425</v>
      </c>
      <c r="AI1323" s="1" t="s">
        <v>721</v>
      </c>
      <c r="AJ1323" s="6" t="str">
        <f>IFERROR(__xludf.DUMMYFUNCTION("""COMPUTED_VALUE"""),"eddie")</f>
        <v>eddie</v>
      </c>
      <c r="AK1323" s="49"/>
      <c r="AL1323" s="49"/>
      <c r="AM1323" s="49"/>
      <c r="AN1323" s="52" t="str">
        <f t="shared" si="5"/>
        <v>post,</v>
      </c>
    </row>
    <row r="1324">
      <c r="A1324" s="51"/>
      <c r="B1324" s="50" t="s">
        <v>3304</v>
      </c>
      <c r="C1324" s="50" t="s">
        <v>3958</v>
      </c>
      <c r="D1324" s="49" t="str">
        <f>IFERROR(__xludf.DUMMYFUNCTION("""COMPUTED_VALUE"""),"taken")</f>
        <v>taken</v>
      </c>
      <c r="E1324" s="49"/>
      <c r="F1324" s="49"/>
      <c r="G1324" s="49"/>
      <c r="H1324" s="54" t="str">
        <f t="shared" si="1"/>
        <v>holly,</v>
      </c>
      <c r="I1324" s="50"/>
      <c r="J1324" s="50" t="s">
        <v>1026</v>
      </c>
      <c r="K1324" s="50" t="s">
        <v>2618</v>
      </c>
      <c r="L1324" s="49" t="str">
        <f>IFERROR(__xludf.DUMMYFUNCTION("""COMPUTED_VALUE"""),"costly")</f>
        <v>costly</v>
      </c>
      <c r="M1324" s="49"/>
      <c r="N1324" s="49"/>
      <c r="O1324" s="49" t="str">
        <f>IFERROR(__xludf.DUMMYFUNCTION("""COMPUTED_VALUE"""),"kingsley")</f>
        <v>kingsley</v>
      </c>
      <c r="P1324" s="49" t="str">
        <f t="shared" si="2"/>
        <v>eerie,</v>
      </c>
      <c r="Q1324" s="49"/>
      <c r="R1324" s="50" t="s">
        <v>3406</v>
      </c>
      <c r="S1324" s="55" t="s">
        <v>1289</v>
      </c>
      <c r="T1324" s="49" t="str">
        <f>IFERROR(__xludf.DUMMYFUNCTION("""COMPUTED_VALUE"""),"humming")</f>
        <v>humming</v>
      </c>
      <c r="U1324" s="49"/>
      <c r="V1324" s="49"/>
      <c r="W1324" s="49" t="str">
        <f>IFERROR(__xludf.DUMMYFUNCTION("""COMPUTED_VALUE"""),"spiral")</f>
        <v>spiral</v>
      </c>
      <c r="X1324" s="49" t="str">
        <f t="shared" si="3"/>
        <v>frightening,</v>
      </c>
      <c r="Y1324" s="49"/>
      <c r="Z1324" s="1" t="s">
        <v>4687</v>
      </c>
      <c r="AA1324" s="1" t="s">
        <v>4354</v>
      </c>
      <c r="AB1324" s="49"/>
      <c r="AC1324" s="49"/>
      <c r="AD1324" s="49"/>
      <c r="AE1324" s="49" t="str">
        <f>IFERROR(__xludf.DUMMYFUNCTION("""COMPUTED_VALUE"""),"kingsley")</f>
        <v>kingsley</v>
      </c>
      <c r="AF1324" s="49" t="str">
        <f t="shared" si="4"/>
        <v>web,</v>
      </c>
      <c r="AG1324" s="49"/>
      <c r="AH1324" s="1" t="s">
        <v>1442</v>
      </c>
      <c r="AI1324" s="1" t="s">
        <v>2421</v>
      </c>
      <c r="AJ1324" s="6" t="str">
        <f>IFERROR(__xludf.DUMMYFUNCTION("""COMPUTED_VALUE"""),"gods")</f>
        <v>gods</v>
      </c>
      <c r="AK1324" s="49"/>
      <c r="AL1324" s="49"/>
      <c r="AM1324" s="49"/>
      <c r="AN1324" s="52" t="str">
        <f t="shared" si="5"/>
        <v>similar,</v>
      </c>
    </row>
    <row r="1325">
      <c r="A1325" s="51"/>
      <c r="B1325" s="50" t="s">
        <v>3445</v>
      </c>
      <c r="C1325" s="50" t="s">
        <v>2371</v>
      </c>
      <c r="D1325" s="49" t="str">
        <f>IFERROR(__xludf.DUMMYFUNCTION("""COMPUTED_VALUE"""),"kill")</f>
        <v>kill</v>
      </c>
      <c r="E1325" s="49"/>
      <c r="F1325" s="49"/>
      <c r="G1325" s="49"/>
      <c r="H1325" s="54" t="str">
        <f t="shared" si="1"/>
        <v>allowed,</v>
      </c>
      <c r="I1325" s="50"/>
      <c r="J1325" s="50" t="s">
        <v>2519</v>
      </c>
      <c r="K1325" s="50" t="s">
        <v>2714</v>
      </c>
      <c r="L1325" s="49" t="str">
        <f>IFERROR(__xludf.DUMMYFUNCTION("""COMPUTED_VALUE"""),"reduces")</f>
        <v>reduces</v>
      </c>
      <c r="M1325" s="49"/>
      <c r="N1325" s="49"/>
      <c r="O1325" s="49" t="str">
        <f>IFERROR(__xludf.DUMMYFUNCTION("""COMPUTED_VALUE"""),"modeled")</f>
        <v>modeled</v>
      </c>
      <c r="P1325" s="49" t="str">
        <f t="shared" si="2"/>
        <v>required,</v>
      </c>
      <c r="Q1325" s="49"/>
      <c r="R1325" s="50" t="s">
        <v>5460</v>
      </c>
      <c r="S1325" s="55" t="s">
        <v>3671</v>
      </c>
      <c r="T1325" s="49" t="str">
        <f>IFERROR(__xludf.DUMMYFUNCTION("""COMPUTED_VALUE"""),"glued")</f>
        <v>glued</v>
      </c>
      <c r="U1325" s="49"/>
      <c r="V1325" s="49"/>
      <c r="W1325" s="49" t="str">
        <f>IFERROR(__xludf.DUMMYFUNCTION("""COMPUTED_VALUE"""),"downward")</f>
        <v>downward</v>
      </c>
      <c r="X1325" s="49" t="str">
        <f t="shared" si="3"/>
        <v>j,</v>
      </c>
      <c r="Y1325" s="49"/>
      <c r="Z1325" s="1" t="s">
        <v>3847</v>
      </c>
      <c r="AA1325" s="1" t="s">
        <v>4357</v>
      </c>
      <c r="AB1325" s="49"/>
      <c r="AC1325" s="49"/>
      <c r="AD1325" s="49"/>
      <c r="AE1325" s="49" t="str">
        <f>IFERROR(__xludf.DUMMYFUNCTION("""COMPUTED_VALUE"""),"modeled")</f>
        <v>modeled</v>
      </c>
      <c r="AF1325" s="49" t="str">
        <f t="shared" si="4"/>
        <v>greater,</v>
      </c>
      <c r="AG1325" s="49"/>
      <c r="AH1325" s="1">
        <v>1989.0</v>
      </c>
      <c r="AI1325" s="1" t="s">
        <v>4059</v>
      </c>
      <c r="AJ1325" s="6" t="str">
        <f>IFERROR(__xludf.DUMMYFUNCTION("""COMPUTED_VALUE"""),"murphy")</f>
        <v>murphy</v>
      </c>
      <c r="AK1325" s="49"/>
      <c r="AL1325" s="49"/>
      <c r="AM1325" s="49"/>
      <c r="AN1325" s="52" t="str">
        <f t="shared" si="5"/>
        <v>1989,</v>
      </c>
    </row>
    <row r="1326">
      <c r="A1326" s="51"/>
      <c r="B1326" s="50" t="s">
        <v>7349</v>
      </c>
      <c r="C1326" s="50" t="s">
        <v>2365</v>
      </c>
      <c r="D1326" s="49" t="str">
        <f>IFERROR(__xludf.DUMMYFUNCTION("""COMPUTED_VALUE"""),"hour")</f>
        <v>hour</v>
      </c>
      <c r="E1326" s="49"/>
      <c r="F1326" s="49"/>
      <c r="G1326" s="49"/>
      <c r="H1326" s="54" t="str">
        <f t="shared" si="1"/>
        <v>doctor,</v>
      </c>
      <c r="I1326" s="50"/>
      <c r="J1326" s="50" t="s">
        <v>5620</v>
      </c>
      <c r="K1326" s="50" t="s">
        <v>2231</v>
      </c>
      <c r="L1326" s="49" t="str">
        <f>IFERROR(__xludf.DUMMYFUNCTION("""COMPUTED_VALUE"""),"minority")</f>
        <v>minority</v>
      </c>
      <c r="M1326" s="49"/>
      <c r="N1326" s="49"/>
      <c r="O1326" s="49" t="str">
        <f>IFERROR(__xludf.DUMMYFUNCTION("""COMPUTED_VALUE"""),"puff")</f>
        <v>puff</v>
      </c>
      <c r="P1326" s="49" t="str">
        <f t="shared" si="2"/>
        <v>scratching,</v>
      </c>
      <c r="Q1326" s="49"/>
      <c r="R1326" s="50" t="s">
        <v>5744</v>
      </c>
      <c r="S1326" s="55" t="s">
        <v>2502</v>
      </c>
      <c r="T1326" s="49" t="str">
        <f>IFERROR(__xludf.DUMMYFUNCTION("""COMPUTED_VALUE"""),"throat")</f>
        <v>throat</v>
      </c>
      <c r="U1326" s="49"/>
      <c r="V1326" s="49"/>
      <c r="W1326" s="49" t="str">
        <f>IFERROR(__xludf.DUMMYFUNCTION("""COMPUTED_VALUE"""),"teens")</f>
        <v>teens</v>
      </c>
      <c r="X1326" s="49" t="str">
        <f t="shared" si="3"/>
        <v>crossroads,</v>
      </c>
      <c r="Y1326" s="49"/>
      <c r="Z1326" s="1" t="s">
        <v>2925</v>
      </c>
      <c r="AA1326" s="1" t="s">
        <v>2957</v>
      </c>
      <c r="AB1326" s="49"/>
      <c r="AC1326" s="49"/>
      <c r="AD1326" s="49"/>
      <c r="AE1326" s="49" t="str">
        <f>IFERROR(__xludf.DUMMYFUNCTION("""COMPUTED_VALUE"""),"puff")</f>
        <v>puff</v>
      </c>
      <c r="AF1326" s="49" t="str">
        <f t="shared" si="4"/>
        <v>guilty,</v>
      </c>
      <c r="AG1326" s="49"/>
      <c r="AH1326" s="1" t="s">
        <v>6750</v>
      </c>
      <c r="AI1326" s="1" t="s">
        <v>4842</v>
      </c>
      <c r="AJ1326" s="6" t="str">
        <f>IFERROR(__xludf.DUMMYFUNCTION("""COMPUTED_VALUE"""),"de")</f>
        <v>de</v>
      </c>
      <c r="AK1326" s="49"/>
      <c r="AL1326" s="49"/>
      <c r="AM1326" s="49"/>
      <c r="AN1326" s="52" t="str">
        <f t="shared" si="5"/>
        <v>sam,</v>
      </c>
    </row>
    <row r="1327">
      <c r="A1327" s="51"/>
      <c r="B1327" s="50" t="s">
        <v>3130</v>
      </c>
      <c r="C1327" s="50" t="s">
        <v>3963</v>
      </c>
      <c r="D1327" s="49" t="str">
        <f>IFERROR(__xludf.DUMMYFUNCTION("""COMPUTED_VALUE"""),"shoot")</f>
        <v>shoot</v>
      </c>
      <c r="E1327" s="49"/>
      <c r="F1327" s="49"/>
      <c r="G1327" s="49"/>
      <c r="H1327" s="54" t="str">
        <f t="shared" si="1"/>
        <v>shoulders,</v>
      </c>
      <c r="I1327" s="50"/>
      <c r="J1327" s="50" t="s">
        <v>3501</v>
      </c>
      <c r="K1327" s="50" t="s">
        <v>3871</v>
      </c>
      <c r="L1327" s="49" t="str">
        <f>IFERROR(__xludf.DUMMYFUNCTION("""COMPUTED_VALUE"""),"engineering")</f>
        <v>engineering</v>
      </c>
      <c r="M1327" s="49"/>
      <c r="N1327" s="49"/>
      <c r="O1327" s="49" t="str">
        <f>IFERROR(__xludf.DUMMYFUNCTION("""COMPUTED_VALUE"""),"successfully")</f>
        <v>successfully</v>
      </c>
      <c r="P1327" s="49" t="str">
        <f t="shared" si="2"/>
        <v>shelf,</v>
      </c>
      <c r="Q1327" s="49"/>
      <c r="R1327" s="50" t="s">
        <v>3291</v>
      </c>
      <c r="S1327" s="55" t="s">
        <v>774</v>
      </c>
      <c r="T1327" s="49" t="str">
        <f>IFERROR(__xludf.DUMMYFUNCTION("""COMPUTED_VALUE"""),"medicine")</f>
        <v>medicine</v>
      </c>
      <c r="U1327" s="49"/>
      <c r="V1327" s="49"/>
      <c r="W1327" s="49" t="str">
        <f>IFERROR(__xludf.DUMMYFUNCTION("""COMPUTED_VALUE"""),"whimper")</f>
        <v>whimper</v>
      </c>
      <c r="X1327" s="49" t="str">
        <f t="shared" si="3"/>
        <v>intimate,</v>
      </c>
      <c r="Y1327" s="49"/>
      <c r="Z1327" s="1" t="s">
        <v>1451</v>
      </c>
      <c r="AA1327" s="1" t="s">
        <v>1090</v>
      </c>
      <c r="AB1327" s="49"/>
      <c r="AC1327" s="49"/>
      <c r="AD1327" s="49"/>
      <c r="AE1327" s="49" t="str">
        <f>IFERROR(__xludf.DUMMYFUNCTION("""COMPUTED_VALUE"""),"successfully")</f>
        <v>successfully</v>
      </c>
      <c r="AF1327" s="49" t="str">
        <f t="shared" si="4"/>
        <v>crimes,</v>
      </c>
      <c r="AG1327" s="49"/>
      <c r="AH1327" s="1" t="s">
        <v>3826</v>
      </c>
      <c r="AI1327" s="1" t="s">
        <v>3535</v>
      </c>
      <c r="AJ1327" s="6" t="str">
        <f>IFERROR(__xludf.DUMMYFUNCTION("""COMPUTED_VALUE"""),"place")</f>
        <v>place</v>
      </c>
      <c r="AK1327" s="49"/>
      <c r="AL1327" s="49"/>
      <c r="AM1327" s="49"/>
      <c r="AN1327" s="52" t="str">
        <f t="shared" si="5"/>
        <v>connection,</v>
      </c>
    </row>
    <row r="1328">
      <c r="A1328" s="51"/>
      <c r="B1328" s="50" t="s">
        <v>6922</v>
      </c>
      <c r="C1328" s="50" t="s">
        <v>6479</v>
      </c>
      <c r="D1328" s="49" t="str">
        <f>IFERROR(__xludf.DUMMYFUNCTION("""COMPUTED_VALUE"""),"determine")</f>
        <v>determine</v>
      </c>
      <c r="E1328" s="49"/>
      <c r="F1328" s="49"/>
      <c r="G1328" s="49"/>
      <c r="H1328" s="54" t="str">
        <f t="shared" si="1"/>
        <v>holy,</v>
      </c>
      <c r="I1328" s="50"/>
      <c r="J1328" s="50" t="s">
        <v>4666</v>
      </c>
      <c r="K1328" s="50" t="s">
        <v>1359</v>
      </c>
      <c r="L1328" s="49" t="str">
        <f>IFERROR(__xludf.DUMMYFUNCTION("""COMPUTED_VALUE"""),"fool")</f>
        <v>fool</v>
      </c>
      <c r="M1328" s="49"/>
      <c r="N1328" s="49"/>
      <c r="O1328" s="49">
        <f>IFERROR(__xludf.DUMMYFUNCTION("""COMPUTED_VALUE"""),60.0)</f>
        <v>60</v>
      </c>
      <c r="P1328" s="49" t="str">
        <f t="shared" si="2"/>
        <v>campus,</v>
      </c>
      <c r="Q1328" s="49"/>
      <c r="R1328" s="50" t="s">
        <v>3710</v>
      </c>
      <c r="S1328" s="55" t="s">
        <v>2546</v>
      </c>
      <c r="T1328" s="49" t="str">
        <f>IFERROR(__xludf.DUMMYFUNCTION("""COMPUTED_VALUE"""),"address")</f>
        <v>address</v>
      </c>
      <c r="U1328" s="49"/>
      <c r="V1328" s="49"/>
      <c r="W1328" s="49" t="str">
        <f>IFERROR(__xludf.DUMMYFUNCTION("""COMPUTED_VALUE"""),"permitting")</f>
        <v>permitting</v>
      </c>
      <c r="X1328" s="49" t="str">
        <f t="shared" si="3"/>
        <v>bear,</v>
      </c>
      <c r="Y1328" s="49"/>
      <c r="Z1328" s="1" t="s">
        <v>6380</v>
      </c>
      <c r="AA1328" s="1" t="s">
        <v>3236</v>
      </c>
      <c r="AB1328" s="49"/>
      <c r="AC1328" s="49"/>
      <c r="AD1328" s="49"/>
      <c r="AE1328" s="49">
        <f>IFERROR(__xludf.DUMMYFUNCTION("""COMPUTED_VALUE"""),60.0)</f>
        <v>60</v>
      </c>
      <c r="AF1328" s="49" t="str">
        <f t="shared" si="4"/>
        <v>makers,</v>
      </c>
      <c r="AG1328" s="49"/>
      <c r="AH1328" s="1" t="s">
        <v>4036</v>
      </c>
      <c r="AI1328" s="1" t="s">
        <v>3888</v>
      </c>
      <c r="AJ1328" s="6" t="str">
        <f>IFERROR(__xludf.DUMMYFUNCTION("""COMPUTED_VALUE"""),"match")</f>
        <v>match</v>
      </c>
      <c r="AK1328" s="49"/>
      <c r="AL1328" s="49"/>
      <c r="AM1328" s="49"/>
      <c r="AN1328" s="52" t="str">
        <f t="shared" si="5"/>
        <v>budget,</v>
      </c>
    </row>
    <row r="1329">
      <c r="A1329" s="51"/>
      <c r="B1329" s="50" t="s">
        <v>6365</v>
      </c>
      <c r="C1329" s="50" t="s">
        <v>2733</v>
      </c>
      <c r="D1329" s="49" t="str">
        <f>IFERROR(__xludf.DUMMYFUNCTION("""COMPUTED_VALUE"""),"following")</f>
        <v>following</v>
      </c>
      <c r="E1329" s="49"/>
      <c r="F1329" s="49"/>
      <c r="G1329" s="49"/>
      <c r="H1329" s="54" t="str">
        <f t="shared" si="1"/>
        <v>reduced,</v>
      </c>
      <c r="I1329" s="50"/>
      <c r="J1329" s="50" t="s">
        <v>1561</v>
      </c>
      <c r="K1329" s="50" t="s">
        <v>2623</v>
      </c>
      <c r="L1329" s="49" t="str">
        <f>IFERROR(__xludf.DUMMYFUNCTION("""COMPUTED_VALUE"""),"forum")</f>
        <v>forum</v>
      </c>
      <c r="M1329" s="49"/>
      <c r="N1329" s="49"/>
      <c r="O1329" s="49" t="str">
        <f>IFERROR(__xludf.DUMMYFUNCTION("""COMPUTED_VALUE"""),"shear")</f>
        <v>shear</v>
      </c>
      <c r="P1329" s="49" t="str">
        <f t="shared" si="2"/>
        <v>office,</v>
      </c>
      <c r="Q1329" s="49"/>
      <c r="R1329" s="50" t="s">
        <v>5153</v>
      </c>
      <c r="S1329" s="55" t="s">
        <v>820</v>
      </c>
      <c r="T1329" s="49" t="str">
        <f>IFERROR(__xludf.DUMMYFUNCTION("""COMPUTED_VALUE"""),"honestly")</f>
        <v>honestly</v>
      </c>
      <c r="U1329" s="49"/>
      <c r="V1329" s="49"/>
      <c r="W1329" s="49" t="str">
        <f>IFERROR(__xludf.DUMMYFUNCTION("""COMPUTED_VALUE"""),"repeatedly")</f>
        <v>repeatedly</v>
      </c>
      <c r="X1329" s="49" t="str">
        <f t="shared" si="3"/>
        <v>carved,</v>
      </c>
      <c r="Y1329" s="49"/>
      <c r="Z1329" s="1" t="s">
        <v>3313</v>
      </c>
      <c r="AA1329" s="1" t="s">
        <v>3485</v>
      </c>
      <c r="AB1329" s="49"/>
      <c r="AC1329" s="49"/>
      <c r="AD1329" s="49"/>
      <c r="AE1329" s="49" t="str">
        <f>IFERROR(__xludf.DUMMYFUNCTION("""COMPUTED_VALUE"""),"shear")</f>
        <v>shear</v>
      </c>
      <c r="AF1329" s="49" t="str">
        <f t="shared" si="4"/>
        <v>stand,</v>
      </c>
      <c r="AG1329" s="49"/>
      <c r="AH1329" s="1" t="s">
        <v>1512</v>
      </c>
      <c r="AI1329" s="1" t="s">
        <v>3541</v>
      </c>
      <c r="AJ1329" s="6" t="str">
        <f>IFERROR(__xludf.DUMMYFUNCTION("""COMPUTED_VALUE"""),"involved")</f>
        <v>involved</v>
      </c>
      <c r="AK1329" s="49"/>
      <c r="AL1329" s="49"/>
      <c r="AM1329" s="49"/>
      <c r="AN1329" s="52" t="str">
        <f t="shared" si="5"/>
        <v>popularity,</v>
      </c>
    </row>
    <row r="1330">
      <c r="A1330" s="51"/>
      <c r="B1330" s="50" t="s">
        <v>4558</v>
      </c>
      <c r="C1330" s="50" t="s">
        <v>2375</v>
      </c>
      <c r="D1330" s="49" t="str">
        <f>IFERROR(__xludf.DUMMYFUNCTION("""COMPUTED_VALUE"""),"murder")</f>
        <v>murder</v>
      </c>
      <c r="E1330" s="49"/>
      <c r="F1330" s="49"/>
      <c r="G1330" s="49"/>
      <c r="H1330" s="54" t="str">
        <f t="shared" si="1"/>
        <v>performing,</v>
      </c>
      <c r="I1330" s="50"/>
      <c r="J1330" s="50" t="s">
        <v>1657</v>
      </c>
      <c r="K1330" s="50" t="s">
        <v>4251</v>
      </c>
      <c r="L1330" s="49" t="str">
        <f>IFERROR(__xludf.DUMMYFUNCTION("""COMPUTED_VALUE"""),"pack")</f>
        <v>pack</v>
      </c>
      <c r="M1330" s="49"/>
      <c r="N1330" s="49"/>
      <c r="O1330" s="49" t="str">
        <f>IFERROR(__xludf.DUMMYFUNCTION("""COMPUTED_VALUE"""),"volatile")</f>
        <v>volatile</v>
      </c>
      <c r="P1330" s="49" t="str">
        <f t="shared" si="2"/>
        <v>wrapped,</v>
      </c>
      <c r="Q1330" s="49"/>
      <c r="R1330" s="50" t="s">
        <v>489</v>
      </c>
      <c r="S1330" s="55" t="s">
        <v>4190</v>
      </c>
      <c r="T1330" s="49" t="str">
        <f>IFERROR(__xludf.DUMMYFUNCTION("""COMPUTED_VALUE"""),"eventual")</f>
        <v>eventual</v>
      </c>
      <c r="U1330" s="49"/>
      <c r="V1330" s="49"/>
      <c r="W1330" s="49" t="str">
        <f>IFERROR(__xludf.DUMMYFUNCTION("""COMPUTED_VALUE"""),"stopped")</f>
        <v>stopped</v>
      </c>
      <c r="X1330" s="49" t="str">
        <f t="shared" si="3"/>
        <v>abuse,</v>
      </c>
      <c r="Y1330" s="49"/>
      <c r="Z1330" s="1" t="s">
        <v>596</v>
      </c>
      <c r="AA1330" s="1" t="s">
        <v>4363</v>
      </c>
      <c r="AB1330" s="49"/>
      <c r="AC1330" s="49"/>
      <c r="AD1330" s="49"/>
      <c r="AE1330" s="49" t="str">
        <f>IFERROR(__xludf.DUMMYFUNCTION("""COMPUTED_VALUE"""),"volatile")</f>
        <v>volatile</v>
      </c>
      <c r="AF1330" s="49" t="str">
        <f t="shared" si="4"/>
        <v>intensity,</v>
      </c>
      <c r="AG1330" s="49"/>
      <c r="AH1330" s="1" t="s">
        <v>3983</v>
      </c>
      <c r="AI1330" s="1" t="s">
        <v>4206</v>
      </c>
      <c r="AJ1330" s="6" t="str">
        <f>IFERROR(__xludf.DUMMYFUNCTION("""COMPUTED_VALUE"""),"bring")</f>
        <v>bring</v>
      </c>
      <c r="AK1330" s="49"/>
      <c r="AL1330" s="49"/>
      <c r="AM1330" s="49"/>
      <c r="AN1330" s="52" t="str">
        <f t="shared" si="5"/>
        <v>detective,</v>
      </c>
    </row>
    <row r="1331">
      <c r="A1331" s="51"/>
      <c r="B1331" s="50" t="s">
        <v>5475</v>
      </c>
      <c r="C1331" s="50" t="s">
        <v>3970</v>
      </c>
      <c r="D1331" s="49" t="str">
        <f>IFERROR(__xludf.DUMMYFUNCTION("""COMPUTED_VALUE"""),"matthew")</f>
        <v>matthew</v>
      </c>
      <c r="E1331" s="49"/>
      <c r="F1331" s="49"/>
      <c r="G1331" s="49"/>
      <c r="H1331" s="54" t="str">
        <f t="shared" si="1"/>
        <v>breathing,</v>
      </c>
      <c r="I1331" s="50"/>
      <c r="J1331" s="50" t="s">
        <v>4435</v>
      </c>
      <c r="K1331" s="50" t="s">
        <v>4366</v>
      </c>
      <c r="L1331" s="49" t="str">
        <f>IFERROR(__xludf.DUMMYFUNCTION("""COMPUTED_VALUE"""),"redundant")</f>
        <v>redundant</v>
      </c>
      <c r="M1331" s="49"/>
      <c r="N1331" s="49"/>
      <c r="O1331" s="49" t="str">
        <f>IFERROR(__xludf.DUMMYFUNCTION("""COMPUTED_VALUE"""),"notorious")</f>
        <v>notorious</v>
      </c>
      <c r="P1331" s="49" t="str">
        <f t="shared" si="2"/>
        <v>con,</v>
      </c>
      <c r="Q1331" s="49"/>
      <c r="R1331" s="50" t="s">
        <v>7350</v>
      </c>
      <c r="S1331" s="55" t="s">
        <v>4193</v>
      </c>
      <c r="T1331" s="49" t="str">
        <f>IFERROR(__xludf.DUMMYFUNCTION("""COMPUTED_VALUE"""),"nouvelle")</f>
        <v>nouvelle</v>
      </c>
      <c r="U1331" s="49"/>
      <c r="V1331" s="49"/>
      <c r="W1331" s="49" t="str">
        <f>IFERROR(__xludf.DUMMYFUNCTION("""COMPUTED_VALUE"""),"omitted")</f>
        <v>omitted</v>
      </c>
      <c r="X1331" s="49" t="str">
        <f t="shared" si="3"/>
        <v>rude,</v>
      </c>
      <c r="Y1331" s="49"/>
      <c r="Z1331" s="1" t="s">
        <v>890</v>
      </c>
      <c r="AA1331" s="1" t="s">
        <v>3284</v>
      </c>
      <c r="AB1331" s="49"/>
      <c r="AC1331" s="49"/>
      <c r="AD1331" s="49"/>
      <c r="AE1331" s="49" t="str">
        <f>IFERROR(__xludf.DUMMYFUNCTION("""COMPUTED_VALUE"""),"notorious")</f>
        <v>notorious</v>
      </c>
      <c r="AF1331" s="49" t="str">
        <f t="shared" si="4"/>
        <v>effective,</v>
      </c>
      <c r="AG1331" s="49"/>
      <c r="AH1331" s="1" t="s">
        <v>3677</v>
      </c>
      <c r="AI1331" s="1" t="s">
        <v>6389</v>
      </c>
      <c r="AJ1331" s="6" t="str">
        <f>IFERROR(__xludf.DUMMYFUNCTION("""COMPUTED_VALUE"""),"peace")</f>
        <v>peace</v>
      </c>
      <c r="AK1331" s="49"/>
      <c r="AL1331" s="49"/>
      <c r="AM1331" s="49"/>
      <c r="AN1331" s="52" t="str">
        <f t="shared" si="5"/>
        <v>feeling,</v>
      </c>
    </row>
    <row r="1332">
      <c r="A1332" s="51"/>
      <c r="B1332" s="50" t="s">
        <v>2473</v>
      </c>
      <c r="C1332" s="50" t="s">
        <v>2323</v>
      </c>
      <c r="D1332" s="49" t="str">
        <f>IFERROR(__xludf.DUMMYFUNCTION("""COMPUTED_VALUE"""),"cheese")</f>
        <v>cheese</v>
      </c>
      <c r="E1332" s="49"/>
      <c r="F1332" s="49"/>
      <c r="G1332" s="49"/>
      <c r="H1332" s="54" t="str">
        <f t="shared" si="1"/>
        <v>eddie,</v>
      </c>
      <c r="I1332" s="50"/>
      <c r="J1332" s="50" t="s">
        <v>444</v>
      </c>
      <c r="K1332" s="50" t="s">
        <v>1367</v>
      </c>
      <c r="L1332" s="49" t="str">
        <f>IFERROR(__xludf.DUMMYFUNCTION("""COMPUTED_VALUE"""),"ordeal")</f>
        <v>ordeal</v>
      </c>
      <c r="M1332" s="49"/>
      <c r="N1332" s="49"/>
      <c r="O1332" s="49" t="str">
        <f>IFERROR(__xludf.DUMMYFUNCTION("""COMPUTED_VALUE"""),"indefinitely")</f>
        <v>indefinitely</v>
      </c>
      <c r="P1332" s="49" t="str">
        <f t="shared" si="2"/>
        <v>introduces,</v>
      </c>
      <c r="Q1332" s="49"/>
      <c r="R1332" s="50" t="s">
        <v>2557</v>
      </c>
      <c r="S1332" s="55" t="s">
        <v>2522</v>
      </c>
      <c r="T1332" s="49" t="str">
        <f>IFERROR(__xludf.DUMMYFUNCTION("""COMPUTED_VALUE"""),"wash")</f>
        <v>wash</v>
      </c>
      <c r="U1332" s="49"/>
      <c r="V1332" s="49"/>
      <c r="W1332" s="49" t="str">
        <f>IFERROR(__xludf.DUMMYFUNCTION("""COMPUTED_VALUE"""),"isabelle")</f>
        <v>isabelle</v>
      </c>
      <c r="X1332" s="49" t="str">
        <f t="shared" si="3"/>
        <v>deserve,</v>
      </c>
      <c r="Y1332" s="49"/>
      <c r="Z1332" s="1" t="s">
        <v>116</v>
      </c>
      <c r="AA1332" s="1" t="s">
        <v>1671</v>
      </c>
      <c r="AB1332" s="49"/>
      <c r="AC1332" s="49"/>
      <c r="AD1332" s="49"/>
      <c r="AE1332" s="49" t="str">
        <f>IFERROR(__xludf.DUMMYFUNCTION("""COMPUTED_VALUE"""),"indefinitely")</f>
        <v>indefinitely</v>
      </c>
      <c r="AF1332" s="49" t="str">
        <f t="shared" si="4"/>
        <v>emotions,</v>
      </c>
      <c r="AG1332" s="49"/>
      <c r="AH1332" s="1" t="s">
        <v>249</v>
      </c>
      <c r="AI1332" s="1" t="s">
        <v>2453</v>
      </c>
      <c r="AJ1332" s="6" t="str">
        <f>IFERROR(__xludf.DUMMYFUNCTION("""COMPUTED_VALUE"""),"uses")</f>
        <v>uses</v>
      </c>
      <c r="AK1332" s="49"/>
      <c r="AL1332" s="49"/>
      <c r="AM1332" s="49"/>
      <c r="AN1332" s="52" t="str">
        <f t="shared" si="5"/>
        <v>personal,</v>
      </c>
    </row>
    <row r="1333">
      <c r="A1333" s="51"/>
      <c r="B1333" s="50" t="s">
        <v>6719</v>
      </c>
      <c r="C1333" s="50" t="s">
        <v>2366</v>
      </c>
      <c r="D1333" s="49" t="str">
        <f>IFERROR(__xludf.DUMMYFUNCTION("""COMPUTED_VALUE"""),"chosen")</f>
        <v>chosen</v>
      </c>
      <c r="E1333" s="49"/>
      <c r="F1333" s="49"/>
      <c r="G1333" s="49"/>
      <c r="H1333" s="54" t="str">
        <f t="shared" si="1"/>
        <v>gods,</v>
      </c>
      <c r="I1333" s="50"/>
      <c r="J1333" s="50" t="s">
        <v>2645</v>
      </c>
      <c r="K1333" s="50" t="s">
        <v>1312</v>
      </c>
      <c r="L1333" s="49" t="str">
        <f>IFERROR(__xludf.DUMMYFUNCTION("""COMPUTED_VALUE"""),"adrenaline")</f>
        <v>adrenaline</v>
      </c>
      <c r="M1333" s="49"/>
      <c r="N1333" s="49"/>
      <c r="O1333" s="49" t="str">
        <f>IFERROR(__xludf.DUMMYFUNCTION("""COMPUTED_VALUE"""),"jar")</f>
        <v>jar</v>
      </c>
      <c r="P1333" s="49" t="str">
        <f t="shared" si="2"/>
        <v>cover,</v>
      </c>
      <c r="Q1333" s="49"/>
      <c r="R1333" s="50" t="s">
        <v>7351</v>
      </c>
      <c r="S1333" s="55" t="s">
        <v>654</v>
      </c>
      <c r="T1333" s="49" t="str">
        <f>IFERROR(__xludf.DUMMYFUNCTION("""COMPUTED_VALUE"""),"idiots")</f>
        <v>idiots</v>
      </c>
      <c r="U1333" s="49"/>
      <c r="V1333" s="49"/>
      <c r="W1333" s="49" t="str">
        <f>IFERROR(__xludf.DUMMYFUNCTION("""COMPUTED_VALUE"""),"unnoticed")</f>
        <v>unnoticed</v>
      </c>
      <c r="X1333" s="49" t="str">
        <f t="shared" si="3"/>
        <v>greasy,</v>
      </c>
      <c r="Y1333" s="49"/>
      <c r="Z1333" s="1" t="s">
        <v>2332</v>
      </c>
      <c r="AA1333" s="1" t="s">
        <v>4125</v>
      </c>
      <c r="AB1333" s="49"/>
      <c r="AC1333" s="49"/>
      <c r="AD1333" s="49"/>
      <c r="AE1333" s="49" t="str">
        <f>IFERROR(__xludf.DUMMYFUNCTION("""COMPUTED_VALUE"""),"jar")</f>
        <v>jar</v>
      </c>
      <c r="AF1333" s="49" t="str">
        <f t="shared" si="4"/>
        <v>frequently,</v>
      </c>
      <c r="AG1333" s="49"/>
      <c r="AH1333" s="1" t="s">
        <v>5262</v>
      </c>
      <c r="AI1333" s="1" t="s">
        <v>837</v>
      </c>
      <c r="AJ1333" s="6" t="str">
        <f>IFERROR(__xludf.DUMMYFUNCTION("""COMPUTED_VALUE"""),"technical")</f>
        <v>technical</v>
      </c>
      <c r="AK1333" s="49"/>
      <c r="AL1333" s="49"/>
      <c r="AM1333" s="49"/>
      <c r="AN1333" s="52" t="str">
        <f t="shared" si="5"/>
        <v>turning,</v>
      </c>
    </row>
    <row r="1334">
      <c r="A1334" s="51"/>
      <c r="B1334" s="50" t="s">
        <v>2471</v>
      </c>
      <c r="C1334" s="50" t="s">
        <v>2377</v>
      </c>
      <c r="D1334" s="49" t="str">
        <f>IFERROR(__xludf.DUMMYFUNCTION("""COMPUTED_VALUE"""),"topic")</f>
        <v>topic</v>
      </c>
      <c r="E1334" s="49"/>
      <c r="F1334" s="49"/>
      <c r="G1334" s="49"/>
      <c r="H1334" s="54" t="str">
        <f t="shared" si="1"/>
        <v>murphy,</v>
      </c>
      <c r="I1334" s="50"/>
      <c r="J1334" s="50" t="s">
        <v>3934</v>
      </c>
      <c r="K1334" s="50" t="s">
        <v>3884</v>
      </c>
      <c r="L1334" s="49" t="str">
        <f>IFERROR(__xludf.DUMMYFUNCTION("""COMPUTED_VALUE"""),"bits")</f>
        <v>bits</v>
      </c>
      <c r="M1334" s="49"/>
      <c r="N1334" s="49"/>
      <c r="O1334" s="49" t="str">
        <f>IFERROR(__xludf.DUMMYFUNCTION("""COMPUTED_VALUE"""),"resolutions")</f>
        <v>resolutions</v>
      </c>
      <c r="P1334" s="49" t="str">
        <f t="shared" si="2"/>
        <v>grave,</v>
      </c>
      <c r="Q1334" s="49"/>
      <c r="R1334" s="50" t="s">
        <v>7352</v>
      </c>
      <c r="S1334" s="55" t="s">
        <v>4813</v>
      </c>
      <c r="T1334" s="49" t="str">
        <f>IFERROR(__xludf.DUMMYFUNCTION("""COMPUTED_VALUE"""),"q")</f>
        <v>q</v>
      </c>
      <c r="U1334" s="49"/>
      <c r="V1334" s="49"/>
      <c r="W1334" s="49" t="str">
        <f>IFERROR(__xludf.DUMMYFUNCTION("""COMPUTED_VALUE"""),"turbulent")</f>
        <v>turbulent</v>
      </c>
      <c r="X1334" s="49" t="str">
        <f t="shared" si="3"/>
        <v>cradle,</v>
      </c>
      <c r="Y1334" s="49"/>
      <c r="Z1334" s="1" t="s">
        <v>2755</v>
      </c>
      <c r="AA1334" s="1" t="s">
        <v>3240</v>
      </c>
      <c r="AB1334" s="49"/>
      <c r="AC1334" s="49"/>
      <c r="AD1334" s="49"/>
      <c r="AE1334" s="49" t="str">
        <f>IFERROR(__xludf.DUMMYFUNCTION("""COMPUTED_VALUE"""),"resolutions")</f>
        <v>resolutions</v>
      </c>
      <c r="AF1334" s="49" t="str">
        <f t="shared" si="4"/>
        <v>situation,</v>
      </c>
      <c r="AG1334" s="49"/>
      <c r="AH1334" s="1" t="s">
        <v>2524</v>
      </c>
      <c r="AI1334" s="1" t="s">
        <v>246</v>
      </c>
      <c r="AJ1334" s="6" t="str">
        <f>IFERROR(__xludf.DUMMYFUNCTION("""COMPUTED_VALUE"""),"bought")</f>
        <v>bought</v>
      </c>
      <c r="AK1334" s="49"/>
      <c r="AL1334" s="49"/>
      <c r="AM1334" s="49"/>
      <c r="AN1334" s="52" t="str">
        <f t="shared" si="5"/>
        <v>unlike,</v>
      </c>
    </row>
    <row r="1335">
      <c r="A1335" s="51"/>
      <c r="B1335" s="50" t="s">
        <v>5211</v>
      </c>
      <c r="C1335" s="50" t="s">
        <v>4282</v>
      </c>
      <c r="D1335" s="49" t="str">
        <f>IFERROR(__xludf.DUMMYFUNCTION("""COMPUTED_VALUE"""),"survival")</f>
        <v>survival</v>
      </c>
      <c r="E1335" s="49"/>
      <c r="F1335" s="49"/>
      <c r="G1335" s="49"/>
      <c r="H1335" s="54" t="str">
        <f t="shared" si="1"/>
        <v>shame,</v>
      </c>
      <c r="I1335" s="50"/>
      <c r="J1335" s="50" t="s">
        <v>991</v>
      </c>
      <c r="K1335" s="50" t="s">
        <v>1375</v>
      </c>
      <c r="L1335" s="49" t="str">
        <f>IFERROR(__xludf.DUMMYFUNCTION("""COMPUTED_VALUE"""),"chest")</f>
        <v>chest</v>
      </c>
      <c r="M1335" s="49"/>
      <c r="N1335" s="49"/>
      <c r="O1335" s="49" t="str">
        <f>IFERROR(__xludf.DUMMYFUNCTION("""COMPUTED_VALUE"""),"choreographed")</f>
        <v>choreographed</v>
      </c>
      <c r="P1335" s="49" t="str">
        <f t="shared" si="2"/>
        <v>core,</v>
      </c>
      <c r="Q1335" s="49"/>
      <c r="R1335" s="50" t="s">
        <v>2434</v>
      </c>
      <c r="S1335" s="55" t="s">
        <v>1118</v>
      </c>
      <c r="T1335" s="49" t="str">
        <f>IFERROR(__xludf.DUMMYFUNCTION("""COMPUTED_VALUE"""),"continuation")</f>
        <v>continuation</v>
      </c>
      <c r="U1335" s="49"/>
      <c r="V1335" s="49"/>
      <c r="W1335" s="49" t="str">
        <f>IFERROR(__xludf.DUMMYFUNCTION("""COMPUTED_VALUE"""),"twenty")</f>
        <v>twenty</v>
      </c>
      <c r="X1335" s="49" t="str">
        <f t="shared" si="3"/>
        <v>genuine,</v>
      </c>
      <c r="Y1335" s="49"/>
      <c r="Z1335" s="1" t="s">
        <v>1885</v>
      </c>
      <c r="AA1335" s="1" t="s">
        <v>1746</v>
      </c>
      <c r="AB1335" s="49"/>
      <c r="AC1335" s="49"/>
      <c r="AD1335" s="49"/>
      <c r="AE1335" s="49" t="str">
        <f>IFERROR(__xludf.DUMMYFUNCTION("""COMPUTED_VALUE"""),"choreographed")</f>
        <v>choreographed</v>
      </c>
      <c r="AF1335" s="49" t="str">
        <f t="shared" si="4"/>
        <v>speak,</v>
      </c>
      <c r="AG1335" s="49"/>
      <c r="AH1335" s="1" t="s">
        <v>4580</v>
      </c>
      <c r="AI1335" s="1" t="s">
        <v>137</v>
      </c>
      <c r="AJ1335" s="6" t="str">
        <f>IFERROR(__xludf.DUMMYFUNCTION("""COMPUTED_VALUE"""),"dressed")</f>
        <v>dressed</v>
      </c>
      <c r="AK1335" s="49"/>
      <c r="AL1335" s="49"/>
      <c r="AM1335" s="49"/>
      <c r="AN1335" s="52" t="str">
        <f t="shared" si="5"/>
        <v>jon,</v>
      </c>
    </row>
    <row r="1336">
      <c r="A1336" s="51"/>
      <c r="B1336" s="50" t="s">
        <v>1732</v>
      </c>
      <c r="C1336" s="50" t="s">
        <v>3989</v>
      </c>
      <c r="D1336" s="49" t="str">
        <f>IFERROR(__xludf.DUMMYFUNCTION("""COMPUTED_VALUE"""),"psychological")</f>
        <v>psychological</v>
      </c>
      <c r="E1336" s="49"/>
      <c r="F1336" s="49"/>
      <c r="G1336" s="49"/>
      <c r="H1336" s="54" t="str">
        <f t="shared" si="1"/>
        <v>de,</v>
      </c>
      <c r="I1336" s="50"/>
      <c r="J1336" s="50" t="s">
        <v>2068</v>
      </c>
      <c r="K1336" s="50" t="s">
        <v>3893</v>
      </c>
      <c r="L1336" s="49" t="str">
        <f>IFERROR(__xludf.DUMMYFUNCTION("""COMPUTED_VALUE"""),"dare")</f>
        <v>dare</v>
      </c>
      <c r="M1336" s="49"/>
      <c r="N1336" s="49"/>
      <c r="O1336" s="49" t="str">
        <f>IFERROR(__xludf.DUMMYFUNCTION("""COMPUTED_VALUE"""),"promotion")</f>
        <v>promotion</v>
      </c>
      <c r="P1336" s="49" t="str">
        <f t="shared" si="2"/>
        <v>antics,</v>
      </c>
      <c r="Q1336" s="49"/>
      <c r="R1336" s="50" t="s">
        <v>7353</v>
      </c>
      <c r="S1336" s="55" t="s">
        <v>661</v>
      </c>
      <c r="T1336" s="49" t="str">
        <f>IFERROR(__xludf.DUMMYFUNCTION("""COMPUTED_VALUE"""),"understanding")</f>
        <v>understanding</v>
      </c>
      <c r="U1336" s="49"/>
      <c r="V1336" s="49"/>
      <c r="W1336" s="49" t="str">
        <f>IFERROR(__xludf.DUMMYFUNCTION("""COMPUTED_VALUE"""),"entry")</f>
        <v>entry</v>
      </c>
      <c r="X1336" s="49" t="str">
        <f t="shared" si="3"/>
        <v>delicious,</v>
      </c>
      <c r="Y1336" s="49"/>
      <c r="Z1336" s="1" t="s">
        <v>95</v>
      </c>
      <c r="AA1336" s="1" t="s">
        <v>4375</v>
      </c>
      <c r="AB1336" s="49"/>
      <c r="AC1336" s="49"/>
      <c r="AD1336" s="49"/>
      <c r="AE1336" s="49" t="str">
        <f>IFERROR(__xludf.DUMMYFUNCTION("""COMPUTED_VALUE"""),"promotion")</f>
        <v>promotion</v>
      </c>
      <c r="AF1336" s="49" t="str">
        <f t="shared" si="4"/>
        <v>vivid,</v>
      </c>
      <c r="AG1336" s="49"/>
      <c r="AH1336" s="1" t="s">
        <v>3445</v>
      </c>
      <c r="AI1336" s="1" t="s">
        <v>4029</v>
      </c>
      <c r="AJ1336" s="6" t="str">
        <f>IFERROR(__xludf.DUMMYFUNCTION("""COMPUTED_VALUE"""),"impossible")</f>
        <v>impossible</v>
      </c>
      <c r="AK1336" s="49"/>
      <c r="AL1336" s="49"/>
      <c r="AM1336" s="49"/>
      <c r="AN1336" s="52" t="str">
        <f t="shared" si="5"/>
        <v>allowed,</v>
      </c>
    </row>
    <row r="1337">
      <c r="A1337" s="51"/>
      <c r="B1337" s="50" t="s">
        <v>83</v>
      </c>
      <c r="C1337" s="50" t="s">
        <v>83</v>
      </c>
      <c r="D1337" s="49" t="str">
        <f>IFERROR(__xludf.DUMMYFUNCTION("""COMPUTED_VALUE"""),"exist")</f>
        <v>exist</v>
      </c>
      <c r="E1337" s="49"/>
      <c r="F1337" s="49"/>
      <c r="G1337" s="49"/>
      <c r="H1337" s="54" t="str">
        <f t="shared" si="1"/>
        <v>place,</v>
      </c>
      <c r="I1337" s="50"/>
      <c r="J1337" s="50" t="s">
        <v>4188</v>
      </c>
      <c r="K1337" s="50" t="s">
        <v>4378</v>
      </c>
      <c r="L1337" s="49" t="str">
        <f>IFERROR(__xludf.DUMMYFUNCTION("""COMPUTED_VALUE"""),"sadness")</f>
        <v>sadness</v>
      </c>
      <c r="M1337" s="49"/>
      <c r="N1337" s="49"/>
      <c r="O1337" s="49" t="str">
        <f>IFERROR(__xludf.DUMMYFUNCTION("""COMPUTED_VALUE"""),"bow")</f>
        <v>bow</v>
      </c>
      <c r="P1337" s="49" t="str">
        <f t="shared" si="2"/>
        <v>animal,</v>
      </c>
      <c r="Q1337" s="49"/>
      <c r="R1337" s="50" t="s">
        <v>5683</v>
      </c>
      <c r="S1337" s="55" t="s">
        <v>1241</v>
      </c>
      <c r="T1337" s="49" t="str">
        <f>IFERROR(__xludf.DUMMYFUNCTION("""COMPUTED_VALUE"""),"governmental")</f>
        <v>governmental</v>
      </c>
      <c r="U1337" s="49"/>
      <c r="V1337" s="49"/>
      <c r="W1337" s="49" t="str">
        <f>IFERROR(__xludf.DUMMYFUNCTION("""COMPUTED_VALUE"""),"cinderella")</f>
        <v>cinderella</v>
      </c>
      <c r="X1337" s="49" t="str">
        <f t="shared" si="3"/>
        <v>magical,</v>
      </c>
      <c r="Y1337" s="49"/>
      <c r="Z1337" s="1" t="s">
        <v>726</v>
      </c>
      <c r="AA1337" s="1" t="s">
        <v>2963</v>
      </c>
      <c r="AB1337" s="49"/>
      <c r="AC1337" s="49"/>
      <c r="AD1337" s="49"/>
      <c r="AE1337" s="49" t="str">
        <f>IFERROR(__xludf.DUMMYFUNCTION("""COMPUTED_VALUE"""),"bow")</f>
        <v>bow</v>
      </c>
      <c r="AF1337" s="49" t="str">
        <f t="shared" si="4"/>
        <v>away,</v>
      </c>
      <c r="AG1337" s="49"/>
      <c r="AH1337" s="1" t="s">
        <v>3130</v>
      </c>
      <c r="AI1337" s="1" t="s">
        <v>1078</v>
      </c>
      <c r="AJ1337" s="6" t="str">
        <f>IFERROR(__xludf.DUMMYFUNCTION("""COMPUTED_VALUE"""),"rick")</f>
        <v>rick</v>
      </c>
      <c r="AK1337" s="49"/>
      <c r="AL1337" s="49"/>
      <c r="AM1337" s="49"/>
      <c r="AN1337" s="52" t="str">
        <f t="shared" si="5"/>
        <v>shoulders,</v>
      </c>
    </row>
    <row r="1338">
      <c r="A1338" s="51"/>
      <c r="B1338" s="50" t="s">
        <v>1622</v>
      </c>
      <c r="C1338" s="50" t="s">
        <v>2395</v>
      </c>
      <c r="D1338" s="49" t="str">
        <f>IFERROR(__xludf.DUMMYFUNCTION("""COMPUTED_VALUE"""),"bones")</f>
        <v>bones</v>
      </c>
      <c r="E1338" s="49"/>
      <c r="F1338" s="49"/>
      <c r="G1338" s="49"/>
      <c r="H1338" s="54" t="str">
        <f t="shared" si="1"/>
        <v>match,</v>
      </c>
      <c r="I1338" s="50"/>
      <c r="J1338" s="50" t="s">
        <v>2416</v>
      </c>
      <c r="K1338" s="50" t="s">
        <v>2731</v>
      </c>
      <c r="L1338" s="49" t="str">
        <f>IFERROR(__xludf.DUMMYFUNCTION("""COMPUTED_VALUE"""),"satirical")</f>
        <v>satirical</v>
      </c>
      <c r="M1338" s="49"/>
      <c r="N1338" s="49"/>
      <c r="O1338" s="49" t="str">
        <f>IFERROR(__xludf.DUMMYFUNCTION("""COMPUTED_VALUE"""),"rhetoric")</f>
        <v>rhetoric</v>
      </c>
      <c r="P1338" s="49" t="str">
        <f t="shared" si="2"/>
        <v>generating,</v>
      </c>
      <c r="Q1338" s="49"/>
      <c r="R1338" s="50" t="s">
        <v>574</v>
      </c>
      <c r="S1338" s="55" t="s">
        <v>2560</v>
      </c>
      <c r="T1338" s="49" t="str">
        <f>IFERROR(__xludf.DUMMYFUNCTION("""COMPUTED_VALUE"""),"suicidal")</f>
        <v>suicidal</v>
      </c>
      <c r="U1338" s="49"/>
      <c r="V1338" s="49"/>
      <c r="W1338" s="49" t="str">
        <f>IFERROR(__xludf.DUMMYFUNCTION("""COMPUTED_VALUE"""),"pants")</f>
        <v>pants</v>
      </c>
      <c r="X1338" s="49" t="str">
        <f t="shared" si="3"/>
        <v>exploit,</v>
      </c>
      <c r="Y1338" s="49"/>
      <c r="Z1338" s="1" t="s">
        <v>1417</v>
      </c>
      <c r="AA1338" s="1" t="s">
        <v>4379</v>
      </c>
      <c r="AB1338" s="49"/>
      <c r="AC1338" s="49"/>
      <c r="AD1338" s="49"/>
      <c r="AE1338" s="49" t="str">
        <f>IFERROR(__xludf.DUMMYFUNCTION("""COMPUTED_VALUE"""),"rhetoric")</f>
        <v>rhetoric</v>
      </c>
      <c r="AF1338" s="49" t="str">
        <f t="shared" si="4"/>
        <v>honesty,</v>
      </c>
      <c r="AG1338" s="49"/>
      <c r="AH1338" s="1" t="s">
        <v>6922</v>
      </c>
      <c r="AI1338" s="1" t="s">
        <v>3556</v>
      </c>
      <c r="AJ1338" s="6" t="str">
        <f>IFERROR(__xludf.DUMMYFUNCTION("""COMPUTED_VALUE"""),"dance")</f>
        <v>dance</v>
      </c>
      <c r="AK1338" s="49"/>
      <c r="AL1338" s="49"/>
      <c r="AM1338" s="49"/>
      <c r="AN1338" s="52" t="str">
        <f t="shared" si="5"/>
        <v>holy,</v>
      </c>
    </row>
    <row r="1339">
      <c r="A1339" s="51"/>
      <c r="B1339" s="50" t="s">
        <v>2041</v>
      </c>
      <c r="C1339" s="50" t="s">
        <v>3453</v>
      </c>
      <c r="D1339" s="49" t="str">
        <f>IFERROR(__xludf.DUMMYFUNCTION("""COMPUTED_VALUE"""),"bare")</f>
        <v>bare</v>
      </c>
      <c r="E1339" s="49"/>
      <c r="F1339" s="49"/>
      <c r="G1339" s="49"/>
      <c r="H1339" s="54" t="str">
        <f t="shared" si="1"/>
        <v>involved,</v>
      </c>
      <c r="I1339" s="50"/>
      <c r="J1339" s="50" t="s">
        <v>7322</v>
      </c>
      <c r="K1339" s="50" t="s">
        <v>1281</v>
      </c>
      <c r="L1339" s="49" t="str">
        <f>IFERROR(__xludf.DUMMYFUNCTION("""COMPUTED_VALUE"""),"betrayed")</f>
        <v>betrayed</v>
      </c>
      <c r="M1339" s="49"/>
      <c r="N1339" s="49"/>
      <c r="O1339" s="49" t="str">
        <f>IFERROR(__xludf.DUMMYFUNCTION("""COMPUTED_VALUE"""),"haynes")</f>
        <v>haynes</v>
      </c>
      <c r="P1339" s="49" t="str">
        <f t="shared" si="2"/>
        <v>lumber,</v>
      </c>
      <c r="Q1339" s="49"/>
      <c r="R1339" s="50" t="s">
        <v>4204</v>
      </c>
      <c r="S1339" s="55" t="s">
        <v>2563</v>
      </c>
      <c r="T1339" s="49" t="str">
        <f>IFERROR(__xludf.DUMMYFUNCTION("""COMPUTED_VALUE"""),"slender")</f>
        <v>slender</v>
      </c>
      <c r="U1339" s="49"/>
      <c r="V1339" s="49"/>
      <c r="W1339" s="49" t="str">
        <f>IFERROR(__xludf.DUMMYFUNCTION("""COMPUTED_VALUE"""),"harrison")</f>
        <v>harrison</v>
      </c>
      <c r="X1339" s="49" t="str">
        <f t="shared" si="3"/>
        <v>championship,</v>
      </c>
      <c r="Y1339" s="49"/>
      <c r="Z1339" s="1" t="s">
        <v>3613</v>
      </c>
      <c r="AA1339" s="1" t="s">
        <v>4380</v>
      </c>
      <c r="AB1339" s="49"/>
      <c r="AC1339" s="49"/>
      <c r="AD1339" s="49"/>
      <c r="AE1339" s="49" t="str">
        <f>IFERROR(__xludf.DUMMYFUNCTION("""COMPUTED_VALUE"""),"haynes")</f>
        <v>haynes</v>
      </c>
      <c r="AF1339" s="49" t="str">
        <f t="shared" si="4"/>
        <v>finding,</v>
      </c>
      <c r="AG1339" s="49"/>
      <c r="AH1339" s="1" t="s">
        <v>6365</v>
      </c>
      <c r="AI1339" s="1" t="s">
        <v>5916</v>
      </c>
      <c r="AJ1339" s="6" t="str">
        <f>IFERROR(__xludf.DUMMYFUNCTION("""COMPUTED_VALUE"""),"responsible")</f>
        <v>responsible</v>
      </c>
      <c r="AK1339" s="49"/>
      <c r="AL1339" s="49"/>
      <c r="AM1339" s="49"/>
      <c r="AN1339" s="52" t="str">
        <f t="shared" si="5"/>
        <v>reduced,</v>
      </c>
    </row>
    <row r="1340">
      <c r="A1340" s="51"/>
      <c r="B1340" s="50" t="s">
        <v>7118</v>
      </c>
      <c r="C1340" s="50" t="s">
        <v>4140</v>
      </c>
      <c r="D1340" s="49" t="str">
        <f>IFERROR(__xludf.DUMMYFUNCTION("""COMPUTED_VALUE"""),"police")</f>
        <v>police</v>
      </c>
      <c r="E1340" s="49"/>
      <c r="F1340" s="49"/>
      <c r="G1340" s="49"/>
      <c r="H1340" s="54" t="str">
        <f t="shared" si="1"/>
        <v>mission,</v>
      </c>
      <c r="I1340" s="50"/>
      <c r="J1340" s="50" t="s">
        <v>2633</v>
      </c>
      <c r="K1340" s="50" t="s">
        <v>4384</v>
      </c>
      <c r="L1340" s="49" t="str">
        <f>IFERROR(__xludf.DUMMYFUNCTION("""COMPUTED_VALUE"""),"verve")</f>
        <v>verve</v>
      </c>
      <c r="M1340" s="49"/>
      <c r="N1340" s="49"/>
      <c r="O1340" s="49" t="str">
        <f>IFERROR(__xludf.DUMMYFUNCTION("""COMPUTED_VALUE"""),"notable")</f>
        <v>notable</v>
      </c>
      <c r="P1340" s="49" t="str">
        <f t="shared" si="2"/>
        <v>cynical,</v>
      </c>
      <c r="Q1340" s="49"/>
      <c r="R1340" s="50" t="s">
        <v>7354</v>
      </c>
      <c r="S1340" s="55" t="s">
        <v>3713</v>
      </c>
      <c r="T1340" s="49" t="str">
        <f>IFERROR(__xludf.DUMMYFUNCTION("""COMPUTED_VALUE"""),"assembled")</f>
        <v>assembled</v>
      </c>
      <c r="U1340" s="49"/>
      <c r="V1340" s="49"/>
      <c r="W1340" s="49" t="str">
        <f>IFERROR(__xludf.DUMMYFUNCTION("""COMPUTED_VALUE"""),"banquet")</f>
        <v>banquet</v>
      </c>
      <c r="X1340" s="49" t="str">
        <f t="shared" si="3"/>
        <v>ted,</v>
      </c>
      <c r="Y1340" s="49"/>
      <c r="Z1340" s="1" t="s">
        <v>1062</v>
      </c>
      <c r="AA1340" s="1" t="s">
        <v>4382</v>
      </c>
      <c r="AB1340" s="49"/>
      <c r="AC1340" s="49"/>
      <c r="AD1340" s="49"/>
      <c r="AE1340" s="49" t="str">
        <f>IFERROR(__xludf.DUMMYFUNCTION("""COMPUTED_VALUE"""),"notable")</f>
        <v>notable</v>
      </c>
      <c r="AF1340" s="49" t="str">
        <f t="shared" si="4"/>
        <v>although,</v>
      </c>
      <c r="AG1340" s="49"/>
      <c r="AH1340" s="1" t="s">
        <v>4558</v>
      </c>
      <c r="AI1340" s="1" t="s">
        <v>1577</v>
      </c>
      <c r="AJ1340" s="6" t="str">
        <f>IFERROR(__xludf.DUMMYFUNCTION("""COMPUTED_VALUE"""),"sleep")</f>
        <v>sleep</v>
      </c>
      <c r="AK1340" s="49"/>
      <c r="AL1340" s="49"/>
      <c r="AM1340" s="49"/>
      <c r="AN1340" s="52" t="str">
        <f t="shared" si="5"/>
        <v>performing,</v>
      </c>
    </row>
    <row r="1341">
      <c r="A1341" s="51"/>
      <c r="B1341" s="50" t="s">
        <v>829</v>
      </c>
      <c r="C1341" s="50" t="s">
        <v>4138</v>
      </c>
      <c r="D1341" s="49" t="str">
        <f>IFERROR(__xludf.DUMMYFUNCTION("""COMPUTED_VALUE"""),"class")</f>
        <v>class</v>
      </c>
      <c r="E1341" s="49"/>
      <c r="F1341" s="49"/>
      <c r="G1341" s="49"/>
      <c r="H1341" s="54" t="str">
        <f t="shared" si="1"/>
        <v>bring,</v>
      </c>
      <c r="I1341" s="50"/>
      <c r="J1341" s="50" t="s">
        <v>2902</v>
      </c>
      <c r="K1341" s="50" t="s">
        <v>4388</v>
      </c>
      <c r="L1341" s="49" t="str">
        <f>IFERROR(__xludf.DUMMYFUNCTION("""COMPUTED_VALUE"""),"pageant")</f>
        <v>pageant</v>
      </c>
      <c r="M1341" s="49"/>
      <c r="N1341" s="49"/>
      <c r="O1341" s="49" t="str">
        <f>IFERROR(__xludf.DUMMYFUNCTION("""COMPUTED_VALUE"""),"wartime")</f>
        <v>wartime</v>
      </c>
      <c r="P1341" s="49" t="str">
        <f t="shared" si="2"/>
        <v>information,</v>
      </c>
      <c r="Q1341" s="49"/>
      <c r="R1341" s="50" t="s">
        <v>5050</v>
      </c>
      <c r="S1341" s="55" t="s">
        <v>3711</v>
      </c>
      <c r="T1341" s="49" t="str">
        <f>IFERROR(__xludf.DUMMYFUNCTION("""COMPUTED_VALUE"""),"amused")</f>
        <v>amused</v>
      </c>
      <c r="U1341" s="49"/>
      <c r="V1341" s="49"/>
      <c r="W1341" s="49" t="str">
        <f>IFERROR(__xludf.DUMMYFUNCTION("""COMPUTED_VALUE"""),"evolve")</f>
        <v>evolve</v>
      </c>
      <c r="X1341" s="49" t="str">
        <f t="shared" si="3"/>
        <v>sweat,</v>
      </c>
      <c r="Y1341" s="49"/>
      <c r="Z1341" s="1" t="s">
        <v>6702</v>
      </c>
      <c r="AA1341" s="1" t="s">
        <v>4385</v>
      </c>
      <c r="AB1341" s="49"/>
      <c r="AC1341" s="49"/>
      <c r="AD1341" s="49"/>
      <c r="AE1341" s="49" t="str">
        <f>IFERROR(__xludf.DUMMYFUNCTION("""COMPUTED_VALUE"""),"wartime")</f>
        <v>wartime</v>
      </c>
      <c r="AF1341" s="49" t="str">
        <f t="shared" si="4"/>
        <v>snow,</v>
      </c>
      <c r="AG1341" s="49"/>
      <c r="AH1341" s="1" t="s">
        <v>5475</v>
      </c>
      <c r="AI1341" s="1" t="s">
        <v>2463</v>
      </c>
      <c r="AJ1341" s="6" t="str">
        <f>IFERROR(__xludf.DUMMYFUNCTION("""COMPUTED_VALUE"""),"seems")</f>
        <v>seems</v>
      </c>
      <c r="AK1341" s="49"/>
      <c r="AL1341" s="49"/>
      <c r="AM1341" s="49"/>
      <c r="AN1341" s="52" t="str">
        <f t="shared" si="5"/>
        <v>breathing,</v>
      </c>
    </row>
    <row r="1342">
      <c r="A1342" s="51"/>
      <c r="B1342" s="50" t="s">
        <v>5019</v>
      </c>
      <c r="C1342" s="50" t="s">
        <v>2383</v>
      </c>
      <c r="D1342" s="49" t="str">
        <f>IFERROR(__xludf.DUMMYFUNCTION("""COMPUTED_VALUE"""),"routine")</f>
        <v>routine</v>
      </c>
      <c r="E1342" s="49"/>
      <c r="F1342" s="49"/>
      <c r="G1342" s="49"/>
      <c r="H1342" s="54" t="str">
        <f t="shared" si="1"/>
        <v>peace,</v>
      </c>
      <c r="I1342" s="50"/>
      <c r="J1342" s="50" t="s">
        <v>4843</v>
      </c>
      <c r="K1342" s="50" t="s">
        <v>2734</v>
      </c>
      <c r="L1342" s="49" t="str">
        <f>IFERROR(__xludf.DUMMYFUNCTION("""COMPUTED_VALUE"""),"scandal")</f>
        <v>scandal</v>
      </c>
      <c r="M1342" s="49"/>
      <c r="N1342" s="49"/>
      <c r="O1342" s="49" t="str">
        <f>IFERROR(__xludf.DUMMYFUNCTION("""COMPUTED_VALUE"""),"downward")</f>
        <v>downward</v>
      </c>
      <c r="P1342" s="49" t="str">
        <f t="shared" si="2"/>
        <v>producer,</v>
      </c>
      <c r="Q1342" s="49"/>
      <c r="R1342" s="50" t="s">
        <v>5513</v>
      </c>
      <c r="S1342" s="55" t="s">
        <v>2320</v>
      </c>
      <c r="T1342" s="49" t="str">
        <f>IFERROR(__xludf.DUMMYFUNCTION("""COMPUTED_VALUE"""),"push")</f>
        <v>push</v>
      </c>
      <c r="U1342" s="49"/>
      <c r="V1342" s="49"/>
      <c r="W1342" s="49" t="str">
        <f>IFERROR(__xludf.DUMMYFUNCTION("""COMPUTED_VALUE"""),"jumps")</f>
        <v>jumps</v>
      </c>
      <c r="X1342" s="49" t="str">
        <f t="shared" si="3"/>
        <v>carl,</v>
      </c>
      <c r="Y1342" s="49"/>
      <c r="Z1342" s="1" t="s">
        <v>2415</v>
      </c>
      <c r="AA1342" s="1" t="s">
        <v>3246</v>
      </c>
      <c r="AB1342" s="49"/>
      <c r="AC1342" s="49"/>
      <c r="AD1342" s="49"/>
      <c r="AE1342" s="49" t="str">
        <f>IFERROR(__xludf.DUMMYFUNCTION("""COMPUTED_VALUE"""),"downward")</f>
        <v>downward</v>
      </c>
      <c r="AF1342" s="49" t="str">
        <f t="shared" si="4"/>
        <v>unnecessary,</v>
      </c>
      <c r="AG1342" s="49"/>
      <c r="AH1342" s="1" t="s">
        <v>2473</v>
      </c>
      <c r="AI1342" s="1" t="s">
        <v>3561</v>
      </c>
      <c r="AJ1342" s="6" t="str">
        <f>IFERROR(__xludf.DUMMYFUNCTION("""COMPUTED_VALUE"""),"memories")</f>
        <v>memories</v>
      </c>
      <c r="AK1342" s="49"/>
      <c r="AL1342" s="49"/>
      <c r="AM1342" s="49"/>
      <c r="AN1342" s="52" t="str">
        <f t="shared" si="5"/>
        <v>eddie,</v>
      </c>
    </row>
    <row r="1343">
      <c r="A1343" s="51"/>
      <c r="B1343" s="50" t="s">
        <v>769</v>
      </c>
      <c r="C1343" s="50" t="s">
        <v>3460</v>
      </c>
      <c r="D1343" s="49" t="str">
        <f>IFERROR(__xludf.DUMMYFUNCTION("""COMPUTED_VALUE"""),"race")</f>
        <v>race</v>
      </c>
      <c r="E1343" s="49"/>
      <c r="F1343" s="49"/>
      <c r="G1343" s="49"/>
      <c r="H1343" s="54" t="str">
        <f t="shared" si="1"/>
        <v>uses,</v>
      </c>
      <c r="I1343" s="50"/>
      <c r="J1343" s="50" t="s">
        <v>6473</v>
      </c>
      <c r="K1343" s="50" t="s">
        <v>1929</v>
      </c>
      <c r="L1343" s="49" t="str">
        <f>IFERROR(__xludf.DUMMYFUNCTION("""COMPUTED_VALUE"""),"adequately")</f>
        <v>adequately</v>
      </c>
      <c r="M1343" s="49"/>
      <c r="N1343" s="49"/>
      <c r="O1343" s="49" t="str">
        <f>IFERROR(__xludf.DUMMYFUNCTION("""COMPUTED_VALUE"""),"spiral")</f>
        <v>spiral</v>
      </c>
      <c r="P1343" s="49" t="str">
        <f t="shared" si="2"/>
        <v>combination,</v>
      </c>
      <c r="Q1343" s="49"/>
      <c r="R1343" s="50" t="s">
        <v>2642</v>
      </c>
      <c r="S1343" s="55" t="s">
        <v>1252</v>
      </c>
      <c r="T1343" s="49" t="str">
        <f>IFERROR(__xludf.DUMMYFUNCTION("""COMPUTED_VALUE"""),"subjected")</f>
        <v>subjected</v>
      </c>
      <c r="U1343" s="49"/>
      <c r="V1343" s="49"/>
      <c r="W1343" s="49" t="str">
        <f>IFERROR(__xludf.DUMMYFUNCTION("""COMPUTED_VALUE"""),"engages")</f>
        <v>engages</v>
      </c>
      <c r="X1343" s="49" t="str">
        <f t="shared" si="3"/>
        <v>straight,</v>
      </c>
      <c r="Y1343" s="49"/>
      <c r="Z1343" s="1" t="s">
        <v>794</v>
      </c>
      <c r="AA1343" s="1" t="s">
        <v>2970</v>
      </c>
      <c r="AB1343" s="49"/>
      <c r="AC1343" s="49"/>
      <c r="AD1343" s="49"/>
      <c r="AE1343" s="49" t="str">
        <f>IFERROR(__xludf.DUMMYFUNCTION("""COMPUTED_VALUE"""),"spiral")</f>
        <v>spiral</v>
      </c>
      <c r="AF1343" s="49" t="str">
        <f t="shared" si="4"/>
        <v>charm,</v>
      </c>
      <c r="AG1343" s="49"/>
      <c r="AH1343" s="1" t="s">
        <v>6719</v>
      </c>
      <c r="AI1343" s="1" t="s">
        <v>4232</v>
      </c>
      <c r="AJ1343" s="6" t="str">
        <f>IFERROR(__xludf.DUMMYFUNCTION("""COMPUTED_VALUE"""),"shadows")</f>
        <v>shadows</v>
      </c>
      <c r="AK1343" s="49"/>
      <c r="AL1343" s="49"/>
      <c r="AM1343" s="49"/>
      <c r="AN1343" s="52" t="str">
        <f t="shared" si="5"/>
        <v>gods,</v>
      </c>
    </row>
    <row r="1344">
      <c r="A1344" s="51"/>
      <c r="B1344" s="50" t="s">
        <v>5149</v>
      </c>
      <c r="C1344" s="50" t="s">
        <v>4004</v>
      </c>
      <c r="D1344" s="49" t="str">
        <f>IFERROR(__xludf.DUMMYFUNCTION("""COMPUTED_VALUE"""),"nonetheless")</f>
        <v>nonetheless</v>
      </c>
      <c r="E1344" s="49"/>
      <c r="F1344" s="49"/>
      <c r="G1344" s="49"/>
      <c r="H1344" s="54" t="str">
        <f t="shared" si="1"/>
        <v>technical,</v>
      </c>
      <c r="I1344" s="50"/>
      <c r="J1344" s="50" t="s">
        <v>4058</v>
      </c>
      <c r="K1344" s="50" t="s">
        <v>4391</v>
      </c>
      <c r="L1344" s="49" t="str">
        <f>IFERROR(__xludf.DUMMYFUNCTION("""COMPUTED_VALUE"""),"radical")</f>
        <v>radical</v>
      </c>
      <c r="M1344" s="49"/>
      <c r="N1344" s="49"/>
      <c r="O1344" s="49" t="str">
        <f>IFERROR(__xludf.DUMMYFUNCTION("""COMPUTED_VALUE"""),"teens")</f>
        <v>teens</v>
      </c>
      <c r="P1344" s="49" t="str">
        <f t="shared" si="2"/>
        <v>glimpse,</v>
      </c>
      <c r="Q1344" s="49"/>
      <c r="R1344" s="50" t="s">
        <v>2127</v>
      </c>
      <c r="S1344" s="55" t="s">
        <v>6485</v>
      </c>
      <c r="T1344" s="49" t="str">
        <f>IFERROR(__xludf.DUMMYFUNCTION("""COMPUTED_VALUE"""),"clarity")</f>
        <v>clarity</v>
      </c>
      <c r="U1344" s="49"/>
      <c r="V1344" s="49"/>
      <c r="W1344" s="49" t="str">
        <f>IFERROR(__xludf.DUMMYFUNCTION("""COMPUTED_VALUE"""),"walt")</f>
        <v>walt</v>
      </c>
      <c r="X1344" s="49" t="str">
        <f t="shared" si="3"/>
        <v>pain,</v>
      </c>
      <c r="Y1344" s="49"/>
      <c r="Z1344" s="1" t="s">
        <v>1154</v>
      </c>
      <c r="AA1344" s="1" t="s">
        <v>4390</v>
      </c>
      <c r="AB1344" s="49"/>
      <c r="AC1344" s="49"/>
      <c r="AD1344" s="49"/>
      <c r="AE1344" s="49" t="str">
        <f>IFERROR(__xludf.DUMMYFUNCTION("""COMPUTED_VALUE"""),"teens")</f>
        <v>teens</v>
      </c>
      <c r="AF1344" s="49" t="str">
        <f t="shared" si="4"/>
        <v>lame,</v>
      </c>
      <c r="AG1344" s="49"/>
      <c r="AH1344" s="1" t="s">
        <v>7355</v>
      </c>
      <c r="AI1344" s="1" t="s">
        <v>603</v>
      </c>
      <c r="AJ1344" s="6" t="str">
        <f>IFERROR(__xludf.DUMMYFUNCTION("""COMPUTED_VALUE"""),"everywhere")</f>
        <v>everywhere</v>
      </c>
      <c r="AK1344" s="49"/>
      <c r="AL1344" s="49"/>
      <c r="AM1344" s="49"/>
      <c r="AN1344" s="52" t="str">
        <f t="shared" si="5"/>
        <v>metro,</v>
      </c>
    </row>
    <row r="1345">
      <c r="A1345" s="51"/>
      <c r="B1345" s="50" t="s">
        <v>6692</v>
      </c>
      <c r="C1345" s="50" t="s">
        <v>3463</v>
      </c>
      <c r="D1345" s="49" t="str">
        <f>IFERROR(__xludf.DUMMYFUNCTION("""COMPUTED_VALUE"""),"tiger")</f>
        <v>tiger</v>
      </c>
      <c r="E1345" s="49"/>
      <c r="F1345" s="49"/>
      <c r="G1345" s="49"/>
      <c r="H1345" s="54" t="str">
        <f t="shared" si="1"/>
        <v>bought,</v>
      </c>
      <c r="I1345" s="50"/>
      <c r="J1345" s="50" t="s">
        <v>1926</v>
      </c>
      <c r="K1345" s="50" t="s">
        <v>902</v>
      </c>
      <c r="L1345" s="49" t="str">
        <f>IFERROR(__xludf.DUMMYFUNCTION("""COMPUTED_VALUE"""),"fisher")</f>
        <v>fisher</v>
      </c>
      <c r="M1345" s="49"/>
      <c r="N1345" s="49"/>
      <c r="O1345" s="49" t="str">
        <f>IFERROR(__xludf.DUMMYFUNCTION("""COMPUTED_VALUE"""),"terrified")</f>
        <v>terrified</v>
      </c>
      <c r="P1345" s="49" t="str">
        <f t="shared" si="2"/>
        <v>lovely,</v>
      </c>
      <c r="Q1345" s="49"/>
      <c r="R1345" s="50" t="s">
        <v>7356</v>
      </c>
      <c r="S1345" s="55" t="s">
        <v>2569</v>
      </c>
      <c r="T1345" s="49" t="str">
        <f>IFERROR(__xludf.DUMMYFUNCTION("""COMPUTED_VALUE"""),"excited")</f>
        <v>excited</v>
      </c>
      <c r="U1345" s="49"/>
      <c r="V1345" s="49"/>
      <c r="W1345" s="49" t="str">
        <f>IFERROR(__xludf.DUMMYFUNCTION("""COMPUTED_VALUE"""),"willie")</f>
        <v>willie</v>
      </c>
      <c r="X1345" s="49" t="str">
        <f t="shared" si="3"/>
        <v>eats,</v>
      </c>
      <c r="Y1345" s="49"/>
      <c r="Z1345" s="1" t="s">
        <v>2164</v>
      </c>
      <c r="AA1345" s="1" t="s">
        <v>4392</v>
      </c>
      <c r="AB1345" s="49"/>
      <c r="AC1345" s="49"/>
      <c r="AD1345" s="49"/>
      <c r="AE1345" s="49" t="str">
        <f>IFERROR(__xludf.DUMMYFUNCTION("""COMPUTED_VALUE"""),"terrified")</f>
        <v>terrified</v>
      </c>
      <c r="AF1345" s="49" t="str">
        <f t="shared" si="4"/>
        <v>allows,</v>
      </c>
      <c r="AG1345" s="49"/>
      <c r="AH1345" s="1" t="s">
        <v>2471</v>
      </c>
      <c r="AI1345" s="1" t="s">
        <v>6486</v>
      </c>
      <c r="AJ1345" s="6" t="str">
        <f>IFERROR(__xludf.DUMMYFUNCTION("""COMPUTED_VALUE"""),"julie")</f>
        <v>julie</v>
      </c>
      <c r="AK1345" s="49"/>
      <c r="AL1345" s="49"/>
      <c r="AM1345" s="49"/>
      <c r="AN1345" s="52" t="str">
        <f t="shared" si="5"/>
        <v>murphy,</v>
      </c>
    </row>
    <row r="1346">
      <c r="A1346" s="51"/>
      <c r="B1346" s="50" t="s">
        <v>5381</v>
      </c>
      <c r="C1346" s="50" t="s">
        <v>2385</v>
      </c>
      <c r="D1346" s="49" t="str">
        <f>IFERROR(__xludf.DUMMYFUNCTION("""COMPUTED_VALUE"""),"cheap")</f>
        <v>cheap</v>
      </c>
      <c r="E1346" s="49"/>
      <c r="F1346" s="49"/>
      <c r="G1346" s="49"/>
      <c r="H1346" s="54" t="str">
        <f t="shared" si="1"/>
        <v>dressed,</v>
      </c>
      <c r="I1346" s="50"/>
      <c r="J1346" s="50" t="s">
        <v>1011</v>
      </c>
      <c r="K1346" s="50" t="s">
        <v>213</v>
      </c>
      <c r="L1346" s="49" t="str">
        <f>IFERROR(__xludf.DUMMYFUNCTION("""COMPUTED_VALUE"""),"shine")</f>
        <v>shine</v>
      </c>
      <c r="M1346" s="49"/>
      <c r="N1346" s="49"/>
      <c r="O1346" s="49" t="str">
        <f>IFERROR(__xludf.DUMMYFUNCTION("""COMPUTED_VALUE"""),"whimper")</f>
        <v>whimper</v>
      </c>
      <c r="P1346" s="49" t="str">
        <f t="shared" si="2"/>
        <v>insight,</v>
      </c>
      <c r="Q1346" s="49"/>
      <c r="R1346" s="50" t="s">
        <v>5922</v>
      </c>
      <c r="S1346" s="55" t="s">
        <v>3723</v>
      </c>
      <c r="T1346" s="49" t="str">
        <f>IFERROR(__xludf.DUMMYFUNCTION("""COMPUTED_VALUE"""),"lighting")</f>
        <v>lighting</v>
      </c>
      <c r="U1346" s="49"/>
      <c r="V1346" s="49"/>
      <c r="W1346" s="49" t="str">
        <f>IFERROR(__xludf.DUMMYFUNCTION("""COMPUTED_VALUE"""),"deepest")</f>
        <v>deepest</v>
      </c>
      <c r="X1346" s="49" t="str">
        <f t="shared" si="3"/>
        <v>mercy,</v>
      </c>
      <c r="Y1346" s="49"/>
      <c r="Z1346" s="1" t="s">
        <v>3144</v>
      </c>
      <c r="AA1346" s="1" t="s">
        <v>3250</v>
      </c>
      <c r="AB1346" s="49"/>
      <c r="AC1346" s="49"/>
      <c r="AD1346" s="49"/>
      <c r="AE1346" s="49" t="str">
        <f>IFERROR(__xludf.DUMMYFUNCTION("""COMPUTED_VALUE"""),"whimper")</f>
        <v>whimper</v>
      </c>
      <c r="AF1346" s="49" t="str">
        <f t="shared" si="4"/>
        <v>alone,</v>
      </c>
      <c r="AG1346" s="49"/>
      <c r="AH1346" s="1" t="s">
        <v>1732</v>
      </c>
      <c r="AI1346" s="1" t="s">
        <v>3562</v>
      </c>
      <c r="AJ1346" s="6" t="str">
        <f>IFERROR(__xludf.DUMMYFUNCTION("""COMPUTED_VALUE"""),"episode")</f>
        <v>episode</v>
      </c>
      <c r="AK1346" s="49"/>
      <c r="AL1346" s="49"/>
      <c r="AM1346" s="49"/>
      <c r="AN1346" s="52" t="str">
        <f t="shared" si="5"/>
        <v>de,</v>
      </c>
    </row>
    <row r="1347">
      <c r="A1347" s="51"/>
      <c r="B1347" s="50" t="s">
        <v>2344</v>
      </c>
      <c r="C1347" s="50" t="s">
        <v>2388</v>
      </c>
      <c r="D1347" s="49" t="str">
        <f>IFERROR(__xludf.DUMMYFUNCTION("""COMPUTED_VALUE"""),"started")</f>
        <v>started</v>
      </c>
      <c r="E1347" s="49"/>
      <c r="F1347" s="49"/>
      <c r="G1347" s="49"/>
      <c r="H1347" s="54" t="str">
        <f t="shared" si="1"/>
        <v>impossible,</v>
      </c>
      <c r="I1347" s="50"/>
      <c r="J1347" s="50" t="s">
        <v>1025</v>
      </c>
      <c r="K1347" s="50" t="s">
        <v>2636</v>
      </c>
      <c r="L1347" s="49" t="str">
        <f>IFERROR(__xludf.DUMMYFUNCTION("""COMPUTED_VALUE"""),"devices")</f>
        <v>devices</v>
      </c>
      <c r="M1347" s="49"/>
      <c r="N1347" s="49"/>
      <c r="O1347" s="49" t="str">
        <f>IFERROR(__xludf.DUMMYFUNCTION("""COMPUTED_VALUE"""),"tract")</f>
        <v>tract</v>
      </c>
      <c r="P1347" s="49" t="str">
        <f t="shared" si="2"/>
        <v>ponder,</v>
      </c>
      <c r="Q1347" s="49"/>
      <c r="R1347" s="50" t="s">
        <v>210</v>
      </c>
      <c r="S1347" s="55" t="s">
        <v>363</v>
      </c>
      <c r="T1347" s="49" t="str">
        <f>IFERROR(__xludf.DUMMYFUNCTION("""COMPUTED_VALUE"""),"chuckles")</f>
        <v>chuckles</v>
      </c>
      <c r="U1347" s="49"/>
      <c r="V1347" s="49"/>
      <c r="W1347" s="49" t="str">
        <f>IFERROR(__xludf.DUMMYFUNCTION("""COMPUTED_VALUE"""),"overlapping")</f>
        <v>overlapping</v>
      </c>
      <c r="X1347" s="49" t="str">
        <f t="shared" si="3"/>
        <v>submarine,</v>
      </c>
      <c r="Y1347" s="49"/>
      <c r="Z1347" s="1" t="s">
        <v>2936</v>
      </c>
      <c r="AA1347" s="1" t="s">
        <v>919</v>
      </c>
      <c r="AB1347" s="49"/>
      <c r="AC1347" s="49"/>
      <c r="AD1347" s="49"/>
      <c r="AE1347" s="49" t="str">
        <f>IFERROR(__xludf.DUMMYFUNCTION("""COMPUTED_VALUE"""),"tract")</f>
        <v>tract</v>
      </c>
      <c r="AF1347" s="49" t="str">
        <f t="shared" si="4"/>
        <v>pay,</v>
      </c>
      <c r="AG1347" s="49"/>
      <c r="AH1347" s="1" t="s">
        <v>83</v>
      </c>
      <c r="AI1347" s="1" t="s">
        <v>6475</v>
      </c>
      <c r="AJ1347" s="6" t="str">
        <f>IFERROR(__xludf.DUMMYFUNCTION("""COMPUTED_VALUE"""),"queen")</f>
        <v>queen</v>
      </c>
      <c r="AK1347" s="49"/>
      <c r="AL1347" s="49"/>
      <c r="AM1347" s="49"/>
      <c r="AN1347" s="52" t="str">
        <f t="shared" si="5"/>
        <v>place,</v>
      </c>
    </row>
    <row r="1348">
      <c r="A1348" s="51"/>
      <c r="B1348" s="50" t="s">
        <v>6864</v>
      </c>
      <c r="C1348" s="50" t="s">
        <v>3466</v>
      </c>
      <c r="D1348" s="49" t="str">
        <f>IFERROR(__xludf.DUMMYFUNCTION("""COMPUTED_VALUE"""),"wanted")</f>
        <v>wanted</v>
      </c>
      <c r="E1348" s="49"/>
      <c r="F1348" s="49"/>
      <c r="G1348" s="49"/>
      <c r="H1348" s="54" t="str">
        <f t="shared" si="1"/>
        <v>rick,</v>
      </c>
      <c r="I1348" s="50"/>
      <c r="J1348" s="50" t="s">
        <v>3394</v>
      </c>
      <c r="K1348" s="50" t="s">
        <v>2642</v>
      </c>
      <c r="L1348" s="49" t="str">
        <f>IFERROR(__xludf.DUMMYFUNCTION("""COMPUTED_VALUE"""),"keel")</f>
        <v>keel</v>
      </c>
      <c r="M1348" s="49"/>
      <c r="N1348" s="49"/>
      <c r="O1348" s="49" t="str">
        <f>IFERROR(__xludf.DUMMYFUNCTION("""COMPUTED_VALUE"""),"paradigm")</f>
        <v>paradigm</v>
      </c>
      <c r="P1348" s="49" t="str">
        <f t="shared" si="2"/>
        <v>hop,</v>
      </c>
      <c r="Q1348" s="49"/>
      <c r="R1348" s="50" t="s">
        <v>1853</v>
      </c>
      <c r="S1348" s="55" t="s">
        <v>1260</v>
      </c>
      <c r="T1348" s="49" t="str">
        <f>IFERROR(__xludf.DUMMYFUNCTION("""COMPUTED_VALUE"""),"scratches")</f>
        <v>scratches</v>
      </c>
      <c r="U1348" s="49"/>
      <c r="V1348" s="49"/>
      <c r="W1348" s="49" t="str">
        <f>IFERROR(__xludf.DUMMYFUNCTION("""COMPUTED_VALUE"""),"collateral")</f>
        <v>collateral</v>
      </c>
      <c r="X1348" s="49" t="str">
        <f t="shared" si="3"/>
        <v>loose,</v>
      </c>
      <c r="Y1348" s="49"/>
      <c r="Z1348" s="1" t="s">
        <v>113</v>
      </c>
      <c r="AA1348" s="1" t="s">
        <v>925</v>
      </c>
      <c r="AB1348" s="49"/>
      <c r="AC1348" s="49"/>
      <c r="AD1348" s="49"/>
      <c r="AE1348" s="49" t="str">
        <f>IFERROR(__xludf.DUMMYFUNCTION("""COMPUTED_VALUE"""),"paradigm")</f>
        <v>paradigm</v>
      </c>
      <c r="AF1348" s="49" t="str">
        <f t="shared" si="4"/>
        <v>rather,</v>
      </c>
      <c r="AG1348" s="49"/>
      <c r="AH1348" s="1" t="s">
        <v>1622</v>
      </c>
      <c r="AI1348" s="1" t="s">
        <v>6487</v>
      </c>
      <c r="AJ1348" s="6" t="str">
        <f>IFERROR(__xludf.DUMMYFUNCTION("""COMPUTED_VALUE"""),"opening")</f>
        <v>opening</v>
      </c>
      <c r="AK1348" s="49"/>
      <c r="AL1348" s="49"/>
      <c r="AM1348" s="49"/>
      <c r="AN1348" s="52" t="str">
        <f t="shared" si="5"/>
        <v>match,</v>
      </c>
    </row>
    <row r="1349">
      <c r="A1349" s="51"/>
      <c r="B1349" s="50" t="s">
        <v>75</v>
      </c>
      <c r="C1349" s="50" t="s">
        <v>6482</v>
      </c>
      <c r="D1349" s="49" t="str">
        <f>IFERROR(__xludf.DUMMYFUNCTION("""COMPUTED_VALUE"""),"hanging")</f>
        <v>hanging</v>
      </c>
      <c r="E1349" s="49"/>
      <c r="F1349" s="49"/>
      <c r="G1349" s="49"/>
      <c r="H1349" s="54" t="str">
        <f t="shared" si="1"/>
        <v>conspiracy,</v>
      </c>
      <c r="I1349" s="50"/>
      <c r="J1349" s="50" t="s">
        <v>2945</v>
      </c>
      <c r="K1349" s="50" t="s">
        <v>823</v>
      </c>
      <c r="L1349" s="49" t="str">
        <f>IFERROR(__xludf.DUMMYFUNCTION("""COMPUTED_VALUE"""),"rejected")</f>
        <v>rejected</v>
      </c>
      <c r="M1349" s="49"/>
      <c r="N1349" s="49"/>
      <c r="O1349" s="49" t="str">
        <f>IFERROR(__xludf.DUMMYFUNCTION("""COMPUTED_VALUE"""),"permitting")</f>
        <v>permitting</v>
      </c>
      <c r="P1349" s="49" t="str">
        <f t="shared" si="2"/>
        <v>certain,</v>
      </c>
      <c r="Q1349" s="49"/>
      <c r="R1349" s="50" t="s">
        <v>6963</v>
      </c>
      <c r="S1349" s="55" t="s">
        <v>2540</v>
      </c>
      <c r="T1349" s="49" t="str">
        <f>IFERROR(__xludf.DUMMYFUNCTION("""COMPUTED_VALUE"""),"anatomical")</f>
        <v>anatomical</v>
      </c>
      <c r="U1349" s="49"/>
      <c r="V1349" s="49"/>
      <c r="W1349" s="49" t="str">
        <f>IFERROR(__xludf.DUMMYFUNCTION("""COMPUTED_VALUE"""),"specific")</f>
        <v>specific</v>
      </c>
      <c r="X1349" s="49" t="str">
        <f t="shared" si="3"/>
        <v>trained,</v>
      </c>
      <c r="Y1349" s="49"/>
      <c r="Z1349" s="1" t="s">
        <v>643</v>
      </c>
      <c r="AA1349" s="1" t="s">
        <v>3263</v>
      </c>
      <c r="AB1349" s="49"/>
      <c r="AC1349" s="49"/>
      <c r="AD1349" s="49"/>
      <c r="AE1349" s="49" t="str">
        <f>IFERROR(__xludf.DUMMYFUNCTION("""COMPUTED_VALUE"""),"permitting")</f>
        <v>permitting</v>
      </c>
      <c r="AF1349" s="49" t="str">
        <f t="shared" si="4"/>
        <v>faithful,</v>
      </c>
      <c r="AG1349" s="49"/>
      <c r="AH1349" s="1" t="s">
        <v>2041</v>
      </c>
      <c r="AI1349" s="1" t="s">
        <v>2988</v>
      </c>
      <c r="AJ1349" s="6" t="str">
        <f>IFERROR(__xludf.DUMMYFUNCTION("""COMPUTED_VALUE"""),"trade")</f>
        <v>trade</v>
      </c>
      <c r="AK1349" s="49"/>
      <c r="AL1349" s="49"/>
      <c r="AM1349" s="49"/>
      <c r="AN1349" s="52" t="str">
        <f t="shared" si="5"/>
        <v>involved,</v>
      </c>
    </row>
    <row r="1350">
      <c r="A1350" s="51"/>
      <c r="B1350" s="50" t="s">
        <v>743</v>
      </c>
      <c r="C1350" s="50" t="s">
        <v>3092</v>
      </c>
      <c r="D1350" s="49" t="str">
        <f>IFERROR(__xludf.DUMMYFUNCTION("""COMPUTED_VALUE"""),"starring")</f>
        <v>starring</v>
      </c>
      <c r="E1350" s="49"/>
      <c r="F1350" s="49"/>
      <c r="G1350" s="49"/>
      <c r="H1350" s="54" t="str">
        <f t="shared" si="1"/>
        <v>local,</v>
      </c>
      <c r="I1350" s="50"/>
      <c r="J1350" s="50" t="s">
        <v>7357</v>
      </c>
      <c r="K1350" s="50" t="s">
        <v>718</v>
      </c>
      <c r="L1350" s="49" t="str">
        <f>IFERROR(__xludf.DUMMYFUNCTION("""COMPUTED_VALUE"""),"complicated")</f>
        <v>complicated</v>
      </c>
      <c r="M1350" s="49"/>
      <c r="N1350" s="49"/>
      <c r="O1350" s="49">
        <f>IFERROR(__xludf.DUMMYFUNCTION("""COMPUTED_VALUE"""),66.0)</f>
        <v>66</v>
      </c>
      <c r="P1350" s="49" t="str">
        <f t="shared" si="2"/>
        <v>pounding,</v>
      </c>
      <c r="Q1350" s="49"/>
      <c r="R1350" s="50" t="s">
        <v>4961</v>
      </c>
      <c r="S1350" s="55" t="s">
        <v>1266</v>
      </c>
      <c r="T1350" s="49" t="str">
        <f>IFERROR(__xludf.DUMMYFUNCTION("""COMPUTED_VALUE"""),"excitement")</f>
        <v>excitement</v>
      </c>
      <c r="U1350" s="49"/>
      <c r="V1350" s="49"/>
      <c r="W1350" s="49" t="str">
        <f>IFERROR(__xludf.DUMMYFUNCTION("""COMPUTED_VALUE"""),"mattered")</f>
        <v>mattered</v>
      </c>
      <c r="X1350" s="49" t="str">
        <f t="shared" si="3"/>
        <v>fellow,</v>
      </c>
      <c r="Y1350" s="49"/>
      <c r="Z1350" s="1" t="s">
        <v>4376</v>
      </c>
      <c r="AA1350" s="1" t="s">
        <v>3267</v>
      </c>
      <c r="AB1350" s="49"/>
      <c r="AC1350" s="49"/>
      <c r="AD1350" s="49"/>
      <c r="AE1350" s="49">
        <f>IFERROR(__xludf.DUMMYFUNCTION("""COMPUTED_VALUE"""),66.0)</f>
        <v>66</v>
      </c>
      <c r="AF1350" s="49" t="str">
        <f t="shared" si="4"/>
        <v>worthy,</v>
      </c>
      <c r="AG1350" s="49"/>
      <c r="AH1350" s="1" t="s">
        <v>829</v>
      </c>
      <c r="AI1350" s="1" t="s">
        <v>4912</v>
      </c>
      <c r="AJ1350" s="6" t="str">
        <f>IFERROR(__xludf.DUMMYFUNCTION("""COMPUTED_VALUE"""),"computer")</f>
        <v>computer</v>
      </c>
      <c r="AK1350" s="49"/>
      <c r="AL1350" s="49"/>
      <c r="AM1350" s="49"/>
      <c r="AN1350" s="52" t="str">
        <f t="shared" si="5"/>
        <v>bring,</v>
      </c>
    </row>
    <row r="1351">
      <c r="A1351" s="51"/>
      <c r="B1351" s="50" t="s">
        <v>4038</v>
      </c>
      <c r="C1351" s="50" t="s">
        <v>5234</v>
      </c>
      <c r="D1351" s="49" t="str">
        <f>IFERROR(__xludf.DUMMYFUNCTION("""COMPUTED_VALUE"""),"vs")</f>
        <v>vs</v>
      </c>
      <c r="E1351" s="49"/>
      <c r="F1351" s="49"/>
      <c r="G1351" s="49"/>
      <c r="H1351" s="54" t="str">
        <f t="shared" si="1"/>
        <v>dance,</v>
      </c>
      <c r="I1351" s="50"/>
      <c r="J1351" s="50" t="s">
        <v>6879</v>
      </c>
      <c r="K1351" s="50" t="s">
        <v>1980</v>
      </c>
      <c r="L1351" s="49" t="str">
        <f>IFERROR(__xludf.DUMMYFUNCTION("""COMPUTED_VALUE"""),"longest")</f>
        <v>longest</v>
      </c>
      <c r="M1351" s="49"/>
      <c r="N1351" s="49"/>
      <c r="O1351" s="49" t="str">
        <f>IFERROR(__xludf.DUMMYFUNCTION("""COMPUTED_VALUE"""),"omitted")</f>
        <v>omitted</v>
      </c>
      <c r="P1351" s="49" t="str">
        <f t="shared" si="2"/>
        <v>downtown,</v>
      </c>
      <c r="Q1351" s="49"/>
      <c r="R1351" s="50" t="s">
        <v>6706</v>
      </c>
      <c r="S1351" s="55" t="s">
        <v>4219</v>
      </c>
      <c r="T1351" s="49" t="str">
        <f>IFERROR(__xludf.DUMMYFUNCTION("""COMPUTED_VALUE"""),"splash")</f>
        <v>splash</v>
      </c>
      <c r="U1351" s="49"/>
      <c r="V1351" s="49"/>
      <c r="W1351" s="49" t="str">
        <f>IFERROR(__xludf.DUMMYFUNCTION("""COMPUTED_VALUE"""),"stills")</f>
        <v>stills</v>
      </c>
      <c r="X1351" s="49" t="str">
        <f t="shared" si="3"/>
        <v>bathroom,</v>
      </c>
      <c r="Y1351" s="49"/>
      <c r="Z1351" s="1" t="s">
        <v>45</v>
      </c>
      <c r="AA1351" s="1" t="s">
        <v>4395</v>
      </c>
      <c r="AB1351" s="49"/>
      <c r="AC1351" s="49"/>
      <c r="AD1351" s="49"/>
      <c r="AE1351" s="49" t="str">
        <f>IFERROR(__xludf.DUMMYFUNCTION("""COMPUTED_VALUE"""),"omitted")</f>
        <v>omitted</v>
      </c>
      <c r="AF1351" s="49" t="str">
        <f t="shared" si="4"/>
        <v>contains,</v>
      </c>
      <c r="AG1351" s="49"/>
      <c r="AH1351" s="1" t="s">
        <v>5019</v>
      </c>
      <c r="AI1351" s="1" t="s">
        <v>6488</v>
      </c>
      <c r="AJ1351" s="6" t="str">
        <f>IFERROR(__xludf.DUMMYFUNCTION("""COMPUTED_VALUE"""),"simple")</f>
        <v>simple</v>
      </c>
      <c r="AK1351" s="49"/>
      <c r="AL1351" s="49"/>
      <c r="AM1351" s="49"/>
      <c r="AN1351" s="52" t="str">
        <f t="shared" si="5"/>
        <v>peace,</v>
      </c>
    </row>
    <row r="1352">
      <c r="A1352" s="51"/>
      <c r="B1352" s="50" t="s">
        <v>2760</v>
      </c>
      <c r="C1352" s="50" t="s">
        <v>658</v>
      </c>
      <c r="D1352" s="49" t="str">
        <f>IFERROR(__xludf.DUMMYFUNCTION("""COMPUTED_VALUE"""),"round")</f>
        <v>round</v>
      </c>
      <c r="E1352" s="49"/>
      <c r="F1352" s="49"/>
      <c r="G1352" s="49"/>
      <c r="H1352" s="54" t="str">
        <f t="shared" si="1"/>
        <v>responsible,</v>
      </c>
      <c r="I1352" s="50"/>
      <c r="J1352" s="50" t="s">
        <v>310</v>
      </c>
      <c r="K1352" s="50" t="s">
        <v>4399</v>
      </c>
      <c r="L1352" s="49" t="str">
        <f>IFERROR(__xludf.DUMMYFUNCTION("""COMPUTED_VALUE"""),"pushes")</f>
        <v>pushes</v>
      </c>
      <c r="M1352" s="49"/>
      <c r="N1352" s="49"/>
      <c r="O1352" s="49" t="str">
        <f>IFERROR(__xludf.DUMMYFUNCTION("""COMPUTED_VALUE"""),"biting")</f>
        <v>biting</v>
      </c>
      <c r="P1352" s="49" t="str">
        <f t="shared" si="2"/>
        <v>existence,</v>
      </c>
      <c r="Q1352" s="49"/>
      <c r="R1352" s="50" t="s">
        <v>3195</v>
      </c>
      <c r="S1352" s="55" t="s">
        <v>6489</v>
      </c>
      <c r="T1352" s="49" t="str">
        <f>IFERROR(__xludf.DUMMYFUNCTION("""COMPUTED_VALUE"""),"wear")</f>
        <v>wear</v>
      </c>
      <c r="U1352" s="49"/>
      <c r="V1352" s="49"/>
      <c r="W1352" s="49" t="str">
        <f>IFERROR(__xludf.DUMMYFUNCTION("""COMPUTED_VALUE"""),"grasp")</f>
        <v>grasp</v>
      </c>
      <c r="X1352" s="49" t="str">
        <f t="shared" si="3"/>
        <v>manage,</v>
      </c>
      <c r="Y1352" s="49"/>
      <c r="Z1352" s="1" t="s">
        <v>6355</v>
      </c>
      <c r="AA1352" s="1" t="s">
        <v>947</v>
      </c>
      <c r="AB1352" s="49"/>
      <c r="AC1352" s="49"/>
      <c r="AD1352" s="49"/>
      <c r="AE1352" s="49" t="str">
        <f>IFERROR(__xludf.DUMMYFUNCTION("""COMPUTED_VALUE"""),"biting")</f>
        <v>biting</v>
      </c>
      <c r="AF1352" s="49" t="str">
        <f t="shared" si="4"/>
        <v>richard,</v>
      </c>
      <c r="AG1352" s="49"/>
      <c r="AH1352" s="1" t="s">
        <v>769</v>
      </c>
      <c r="AI1352" s="1" t="s">
        <v>620</v>
      </c>
      <c r="AJ1352" s="6" t="str">
        <f>IFERROR(__xludf.DUMMYFUNCTION("""COMPUTED_VALUE"""),"yellow")</f>
        <v>yellow</v>
      </c>
      <c r="AK1352" s="49"/>
      <c r="AL1352" s="49"/>
      <c r="AM1352" s="49"/>
      <c r="AN1352" s="52" t="str">
        <f t="shared" si="5"/>
        <v>uses,</v>
      </c>
    </row>
    <row r="1353">
      <c r="A1353" s="51"/>
      <c r="B1353" s="50" t="s">
        <v>2116</v>
      </c>
      <c r="C1353" s="50" t="s">
        <v>2403</v>
      </c>
      <c r="D1353" s="49" t="str">
        <f>IFERROR(__xludf.DUMMYFUNCTION("""COMPUTED_VALUE"""),"morning")</f>
        <v>morning</v>
      </c>
      <c r="E1353" s="49"/>
      <c r="F1353" s="49"/>
      <c r="G1353" s="49"/>
      <c r="H1353" s="54" t="str">
        <f t="shared" si="1"/>
        <v>sleep,</v>
      </c>
      <c r="I1353" s="50"/>
      <c r="J1353" s="50" t="s">
        <v>862</v>
      </c>
      <c r="K1353" s="50" t="s">
        <v>4400</v>
      </c>
      <c r="L1353" s="49" t="str">
        <f>IFERROR(__xludf.DUMMYFUNCTION("""COMPUTED_VALUE"""),"manhattan")</f>
        <v>manhattan</v>
      </c>
      <c r="M1353" s="49"/>
      <c r="N1353" s="49"/>
      <c r="O1353" s="49" t="str">
        <f>IFERROR(__xludf.DUMMYFUNCTION("""COMPUTED_VALUE"""),"isabelle")</f>
        <v>isabelle</v>
      </c>
      <c r="P1353" s="49" t="str">
        <f t="shared" si="2"/>
        <v>builds,</v>
      </c>
      <c r="Q1353" s="49"/>
      <c r="R1353" s="50" t="s">
        <v>1307</v>
      </c>
      <c r="S1353" s="55" t="s">
        <v>4224</v>
      </c>
      <c r="T1353" s="49" t="str">
        <f>IFERROR(__xludf.DUMMYFUNCTION("""COMPUTED_VALUE"""),"evade")</f>
        <v>evade</v>
      </c>
      <c r="U1353" s="49"/>
      <c r="V1353" s="49"/>
      <c r="W1353" s="49" t="str">
        <f>IFERROR(__xludf.DUMMYFUNCTION("""COMPUTED_VALUE"""),"rattling")</f>
        <v>rattling</v>
      </c>
      <c r="X1353" s="49" t="str">
        <f t="shared" si="3"/>
        <v>central,</v>
      </c>
      <c r="Y1353" s="49"/>
      <c r="Z1353" s="1" t="s">
        <v>1245</v>
      </c>
      <c r="AA1353" s="1" t="s">
        <v>2983</v>
      </c>
      <c r="AB1353" s="49"/>
      <c r="AC1353" s="49"/>
      <c r="AD1353" s="49"/>
      <c r="AE1353" s="49" t="str">
        <f>IFERROR(__xludf.DUMMYFUNCTION("""COMPUTED_VALUE"""),"isabelle")</f>
        <v>isabelle</v>
      </c>
      <c r="AF1353" s="49" t="str">
        <f t="shared" si="4"/>
        <v>bullock,</v>
      </c>
      <c r="AG1353" s="49"/>
      <c r="AH1353" s="1" t="s">
        <v>5149</v>
      </c>
      <c r="AI1353" s="1" t="s">
        <v>848</v>
      </c>
      <c r="AJ1353" s="6" t="str">
        <f>IFERROR(__xludf.DUMMYFUNCTION("""COMPUTED_VALUE"""),"wars")</f>
        <v>wars</v>
      </c>
      <c r="AK1353" s="49"/>
      <c r="AL1353" s="49"/>
      <c r="AM1353" s="49"/>
      <c r="AN1353" s="52" t="str">
        <f t="shared" si="5"/>
        <v>technical,</v>
      </c>
    </row>
    <row r="1354">
      <c r="A1354" s="51"/>
      <c r="B1354" s="50" t="s">
        <v>760</v>
      </c>
      <c r="C1354" s="50" t="s">
        <v>706</v>
      </c>
      <c r="D1354" s="49" t="str">
        <f>IFERROR(__xludf.DUMMYFUNCTION("""COMPUTED_VALUE"""),"japanese")</f>
        <v>japanese</v>
      </c>
      <c r="E1354" s="49"/>
      <c r="F1354" s="49"/>
      <c r="G1354" s="49"/>
      <c r="H1354" s="54" t="str">
        <f t="shared" si="1"/>
        <v>seems,</v>
      </c>
      <c r="I1354" s="50"/>
      <c r="J1354" s="50" t="s">
        <v>3370</v>
      </c>
      <c r="K1354" s="50" t="s">
        <v>4402</v>
      </c>
      <c r="L1354" s="49" t="str">
        <f>IFERROR(__xludf.DUMMYFUNCTION("""COMPUTED_VALUE"""),"creations")</f>
        <v>creations</v>
      </c>
      <c r="M1354" s="49"/>
      <c r="N1354" s="49"/>
      <c r="O1354" s="49" t="str">
        <f>IFERROR(__xludf.DUMMYFUNCTION("""COMPUTED_VALUE"""),"severe")</f>
        <v>severe</v>
      </c>
      <c r="P1354" s="49" t="str">
        <f t="shared" si="2"/>
        <v>inviting,</v>
      </c>
      <c r="Q1354" s="49"/>
      <c r="R1354" s="50" t="s">
        <v>6806</v>
      </c>
      <c r="S1354" s="55" t="s">
        <v>4228</v>
      </c>
      <c r="T1354" s="49" t="str">
        <f>IFERROR(__xludf.DUMMYFUNCTION("""COMPUTED_VALUE"""),"illustrates")</f>
        <v>illustrates</v>
      </c>
      <c r="U1354" s="49"/>
      <c r="V1354" s="49"/>
      <c r="W1354" s="49" t="str">
        <f>IFERROR(__xludf.DUMMYFUNCTION("""COMPUTED_VALUE"""),"insignificant")</f>
        <v>insignificant</v>
      </c>
      <c r="X1354" s="49" t="str">
        <f t="shared" si="3"/>
        <v>dropped,</v>
      </c>
      <c r="Y1354" s="49"/>
      <c r="Z1354" s="1" t="s">
        <v>1506</v>
      </c>
      <c r="AA1354" s="1" t="s">
        <v>535</v>
      </c>
      <c r="AB1354" s="49"/>
      <c r="AC1354" s="49"/>
      <c r="AD1354" s="49"/>
      <c r="AE1354" s="49" t="str">
        <f>IFERROR(__xludf.DUMMYFUNCTION("""COMPUTED_VALUE"""),"severe")</f>
        <v>severe</v>
      </c>
      <c r="AF1354" s="49" t="str">
        <f t="shared" si="4"/>
        <v>children,</v>
      </c>
      <c r="AG1354" s="49"/>
      <c r="AH1354" s="1" t="s">
        <v>6692</v>
      </c>
      <c r="AI1354" s="1" t="s">
        <v>2774</v>
      </c>
      <c r="AJ1354" s="6" t="str">
        <f>IFERROR(__xludf.DUMMYFUNCTION("""COMPUTED_VALUE"""),"supplies")</f>
        <v>supplies</v>
      </c>
      <c r="AK1354" s="49"/>
      <c r="AL1354" s="49"/>
      <c r="AM1354" s="49"/>
      <c r="AN1354" s="52" t="str">
        <f t="shared" si="5"/>
        <v>bought,</v>
      </c>
    </row>
    <row r="1355">
      <c r="A1355" s="51"/>
      <c r="B1355" s="50" t="s">
        <v>1876</v>
      </c>
      <c r="C1355" s="50" t="s">
        <v>2411</v>
      </c>
      <c r="D1355" s="49" t="str">
        <f>IFERROR(__xludf.DUMMYFUNCTION("""COMPUTED_VALUE"""),"names")</f>
        <v>names</v>
      </c>
      <c r="E1355" s="49"/>
      <c r="F1355" s="49"/>
      <c r="G1355" s="49"/>
      <c r="H1355" s="54" t="str">
        <f t="shared" si="1"/>
        <v>lights,</v>
      </c>
      <c r="I1355" s="50"/>
      <c r="J1355" s="50" t="s">
        <v>1864</v>
      </c>
      <c r="K1355" s="50" t="s">
        <v>2500</v>
      </c>
      <c r="L1355" s="49" t="str">
        <f>IFERROR(__xludf.DUMMYFUNCTION("""COMPUTED_VALUE"""),"fashioned")</f>
        <v>fashioned</v>
      </c>
      <c r="M1355" s="49"/>
      <c r="N1355" s="49"/>
      <c r="O1355" s="49" t="str">
        <f>IFERROR(__xludf.DUMMYFUNCTION("""COMPUTED_VALUE"""),"unnoticed")</f>
        <v>unnoticed</v>
      </c>
      <c r="P1355" s="49" t="str">
        <f t="shared" si="2"/>
        <v>reach,</v>
      </c>
      <c r="Q1355" s="49"/>
      <c r="R1355" s="50" t="s">
        <v>2631</v>
      </c>
      <c r="S1355" s="55" t="s">
        <v>2112</v>
      </c>
      <c r="T1355" s="49" t="str">
        <f>IFERROR(__xludf.DUMMYFUNCTION("""COMPUTED_VALUE"""),"uncertain")</f>
        <v>uncertain</v>
      </c>
      <c r="U1355" s="49"/>
      <c r="V1355" s="49"/>
      <c r="W1355" s="49" t="str">
        <f>IFERROR(__xludf.DUMMYFUNCTION("""COMPUTED_VALUE"""),"horribly")</f>
        <v>horribly</v>
      </c>
      <c r="X1355" s="49" t="str">
        <f t="shared" si="3"/>
        <v>device,</v>
      </c>
      <c r="Y1355" s="49"/>
      <c r="Z1355" s="1" t="s">
        <v>2628</v>
      </c>
      <c r="AA1355" s="1" t="s">
        <v>3279</v>
      </c>
      <c r="AB1355" s="49"/>
      <c r="AC1355" s="49"/>
      <c r="AD1355" s="49"/>
      <c r="AE1355" s="49" t="str">
        <f>IFERROR(__xludf.DUMMYFUNCTION("""COMPUTED_VALUE"""),"unnoticed")</f>
        <v>unnoticed</v>
      </c>
      <c r="AF1355" s="49" t="str">
        <f t="shared" si="4"/>
        <v>magic,</v>
      </c>
      <c r="AG1355" s="49"/>
      <c r="AH1355" s="1" t="s">
        <v>5381</v>
      </c>
      <c r="AI1355" s="1" t="s">
        <v>2444</v>
      </c>
      <c r="AJ1355" s="6" t="str">
        <f>IFERROR(__xludf.DUMMYFUNCTION("""COMPUTED_VALUE"""),"lucas")</f>
        <v>lucas</v>
      </c>
      <c r="AK1355" s="49"/>
      <c r="AL1355" s="49"/>
      <c r="AM1355" s="49"/>
      <c r="AN1355" s="52" t="str">
        <f t="shared" si="5"/>
        <v>dressed,</v>
      </c>
    </row>
    <row r="1356">
      <c r="A1356" s="51"/>
      <c r="B1356" s="50" t="s">
        <v>6660</v>
      </c>
      <c r="C1356" s="50" t="s">
        <v>2408</v>
      </c>
      <c r="D1356" s="49" t="str">
        <f>IFERROR(__xludf.DUMMYFUNCTION("""COMPUTED_VALUE"""),"saturday")</f>
        <v>saturday</v>
      </c>
      <c r="E1356" s="49"/>
      <c r="F1356" s="49"/>
      <c r="G1356" s="49"/>
      <c r="H1356" s="54" t="str">
        <f t="shared" si="1"/>
        <v>memories,</v>
      </c>
      <c r="I1356" s="50"/>
      <c r="J1356" s="50" t="s">
        <v>4143</v>
      </c>
      <c r="K1356" s="50" t="s">
        <v>727</v>
      </c>
      <c r="L1356" s="49" t="str">
        <f>IFERROR(__xludf.DUMMYFUNCTION("""COMPUTED_VALUE"""),"poverty")</f>
        <v>poverty</v>
      </c>
      <c r="M1356" s="49"/>
      <c r="N1356" s="49"/>
      <c r="O1356" s="49" t="str">
        <f>IFERROR(__xludf.DUMMYFUNCTION("""COMPUTED_VALUE"""),"turbulent")</f>
        <v>turbulent</v>
      </c>
      <c r="P1356" s="49" t="str">
        <f t="shared" si="2"/>
        <v>foot,</v>
      </c>
      <c r="Q1356" s="49"/>
      <c r="R1356" s="50" t="s">
        <v>222</v>
      </c>
      <c r="S1356" s="55" t="s">
        <v>826</v>
      </c>
      <c r="T1356" s="49" t="str">
        <f>IFERROR(__xludf.DUMMYFUNCTION("""COMPUTED_VALUE"""),"targeted")</f>
        <v>targeted</v>
      </c>
      <c r="U1356" s="49"/>
      <c r="V1356" s="49"/>
      <c r="W1356" s="49" t="str">
        <f>IFERROR(__xludf.DUMMYFUNCTION("""COMPUTED_VALUE"""),"explores")</f>
        <v>explores</v>
      </c>
      <c r="X1356" s="49" t="str">
        <f t="shared" si="3"/>
        <v>subordinate,</v>
      </c>
      <c r="Y1356" s="49"/>
      <c r="Z1356" s="1" t="s">
        <v>711</v>
      </c>
      <c r="AA1356" s="1" t="s">
        <v>4405</v>
      </c>
      <c r="AB1356" s="49"/>
      <c r="AC1356" s="49"/>
      <c r="AD1356" s="49"/>
      <c r="AE1356" s="49" t="str">
        <f>IFERROR(__xludf.DUMMYFUNCTION("""COMPUTED_VALUE"""),"turbulent")</f>
        <v>turbulent</v>
      </c>
      <c r="AF1356" s="49" t="str">
        <f t="shared" si="4"/>
        <v>family,</v>
      </c>
      <c r="AG1356" s="49"/>
      <c r="AH1356" s="1" t="s">
        <v>2344</v>
      </c>
      <c r="AI1356" s="1" t="s">
        <v>4702</v>
      </c>
      <c r="AJ1356" s="6" t="str">
        <f>IFERROR(__xludf.DUMMYFUNCTION("""COMPUTED_VALUE"""),"open")</f>
        <v>open</v>
      </c>
      <c r="AK1356" s="49"/>
      <c r="AL1356" s="49"/>
      <c r="AM1356" s="49"/>
      <c r="AN1356" s="52" t="str">
        <f t="shared" si="5"/>
        <v>impossible,</v>
      </c>
    </row>
    <row r="1357">
      <c r="A1357" s="51"/>
      <c r="B1357" s="50" t="s">
        <v>5807</v>
      </c>
      <c r="C1357" s="50" t="s">
        <v>4171</v>
      </c>
      <c r="D1357" s="49" t="str">
        <f>IFERROR(__xludf.DUMMYFUNCTION("""COMPUTED_VALUE"""),"begins")</f>
        <v>begins</v>
      </c>
      <c r="E1357" s="49"/>
      <c r="F1357" s="49"/>
      <c r="G1357" s="49"/>
      <c r="H1357" s="54" t="str">
        <f t="shared" si="1"/>
        <v>shadows,</v>
      </c>
      <c r="I1357" s="50"/>
      <c r="J1357" s="50" t="s">
        <v>1777</v>
      </c>
      <c r="K1357" s="50" t="s">
        <v>4408</v>
      </c>
      <c r="L1357" s="49" t="str">
        <f>IFERROR(__xludf.DUMMYFUNCTION("""COMPUTED_VALUE"""),"forefront")</f>
        <v>forefront</v>
      </c>
      <c r="M1357" s="49"/>
      <c r="N1357" s="49"/>
      <c r="O1357" s="49" t="str">
        <f>IFERROR(__xludf.DUMMYFUNCTION("""COMPUTED_VALUE"""),"prince")</f>
        <v>prince</v>
      </c>
      <c r="P1357" s="49" t="str">
        <f t="shared" si="2"/>
        <v>serious,</v>
      </c>
      <c r="Q1357" s="49"/>
      <c r="R1357" s="50" t="s">
        <v>3058</v>
      </c>
      <c r="S1357" s="55" t="s">
        <v>2580</v>
      </c>
      <c r="T1357" s="49" t="str">
        <f>IFERROR(__xludf.DUMMYFUNCTION("""COMPUTED_VALUE"""),"suck")</f>
        <v>suck</v>
      </c>
      <c r="U1357" s="49"/>
      <c r="V1357" s="49"/>
      <c r="W1357" s="49" t="str">
        <f>IFERROR(__xludf.DUMMYFUNCTION("""COMPUTED_VALUE"""),"horse")</f>
        <v>horse</v>
      </c>
      <c r="X1357" s="49" t="str">
        <f t="shared" si="3"/>
        <v>please,</v>
      </c>
      <c r="Y1357" s="49"/>
      <c r="Z1357" s="1" t="s">
        <v>347</v>
      </c>
      <c r="AA1357" s="1" t="s">
        <v>1132</v>
      </c>
      <c r="AB1357" s="49"/>
      <c r="AC1357" s="49"/>
      <c r="AD1357" s="49"/>
      <c r="AE1357" s="49" t="str">
        <f>IFERROR(__xludf.DUMMYFUNCTION("""COMPUTED_VALUE"""),"prince")</f>
        <v>prince</v>
      </c>
      <c r="AF1357" s="49" t="str">
        <f t="shared" si="4"/>
        <v>hollow,</v>
      </c>
      <c r="AG1357" s="49"/>
      <c r="AH1357" s="1" t="s">
        <v>6864</v>
      </c>
      <c r="AI1357" s="1" t="s">
        <v>4794</v>
      </c>
      <c r="AJ1357" s="6" t="str">
        <f>IFERROR(__xludf.DUMMYFUNCTION("""COMPUTED_VALUE"""),"sound")</f>
        <v>sound</v>
      </c>
      <c r="AK1357" s="49"/>
      <c r="AL1357" s="49"/>
      <c r="AM1357" s="49"/>
      <c r="AN1357" s="52" t="str">
        <f t="shared" si="5"/>
        <v>rick,</v>
      </c>
    </row>
    <row r="1358">
      <c r="A1358" s="51"/>
      <c r="B1358" s="50" t="s">
        <v>7043</v>
      </c>
      <c r="C1358" s="50" t="s">
        <v>2624</v>
      </c>
      <c r="D1358" s="49" t="str">
        <f>IFERROR(__xludf.DUMMYFUNCTION("""COMPUTED_VALUE"""),"fell")</f>
        <v>fell</v>
      </c>
      <c r="E1358" s="49"/>
      <c r="F1358" s="49"/>
      <c r="G1358" s="49"/>
      <c r="H1358" s="54" t="str">
        <f t="shared" si="1"/>
        <v>everywhere,</v>
      </c>
      <c r="I1358" s="50"/>
      <c r="J1358" s="50" t="s">
        <v>3719</v>
      </c>
      <c r="K1358" s="50" t="s">
        <v>2648</v>
      </c>
      <c r="L1358" s="49" t="str">
        <f>IFERROR(__xludf.DUMMYFUNCTION("""COMPUTED_VALUE"""),"delightful")</f>
        <v>delightful</v>
      </c>
      <c r="M1358" s="49"/>
      <c r="N1358" s="49"/>
      <c r="O1358" s="49" t="str">
        <f>IFERROR(__xludf.DUMMYFUNCTION("""COMPUTED_VALUE"""),"racial")</f>
        <v>racial</v>
      </c>
      <c r="P1358" s="49" t="str">
        <f t="shared" si="2"/>
        <v>hopes,</v>
      </c>
      <c r="Q1358" s="49"/>
      <c r="R1358" s="50" t="s">
        <v>6291</v>
      </c>
      <c r="S1358" s="55" t="s">
        <v>4236</v>
      </c>
      <c r="T1358" s="49" t="str">
        <f>IFERROR(__xludf.DUMMYFUNCTION("""COMPUTED_VALUE"""),"mill")</f>
        <v>mill</v>
      </c>
      <c r="U1358" s="49"/>
      <c r="V1358" s="49"/>
      <c r="W1358" s="49" t="str">
        <f>IFERROR(__xludf.DUMMYFUNCTION("""COMPUTED_VALUE"""),"torpedo")</f>
        <v>torpedo</v>
      </c>
      <c r="X1358" s="49" t="str">
        <f t="shared" si="3"/>
        <v>dry,</v>
      </c>
      <c r="Y1358" s="49"/>
      <c r="Z1358" s="1" t="s">
        <v>5323</v>
      </c>
      <c r="AA1358" s="1" t="s">
        <v>4409</v>
      </c>
      <c r="AB1358" s="49"/>
      <c r="AC1358" s="49"/>
      <c r="AD1358" s="49"/>
      <c r="AE1358" s="49" t="str">
        <f>IFERROR(__xludf.DUMMYFUNCTION("""COMPUTED_VALUE"""),"racial")</f>
        <v>racial</v>
      </c>
      <c r="AF1358" s="49" t="str">
        <f t="shared" si="4"/>
        <v>scare,</v>
      </c>
      <c r="AG1358" s="49"/>
      <c r="AH1358" s="1" t="s">
        <v>4038</v>
      </c>
      <c r="AI1358" s="1" t="s">
        <v>477</v>
      </c>
      <c r="AJ1358" s="6" t="str">
        <f>IFERROR(__xludf.DUMMYFUNCTION("""COMPUTED_VALUE"""),"closed")</f>
        <v>closed</v>
      </c>
      <c r="AK1358" s="49"/>
      <c r="AL1358" s="49"/>
      <c r="AM1358" s="49"/>
      <c r="AN1358" s="52" t="str">
        <f t="shared" si="5"/>
        <v>dance,</v>
      </c>
    </row>
    <row r="1359">
      <c r="A1359" s="51"/>
      <c r="B1359" s="50" t="s">
        <v>6704</v>
      </c>
      <c r="C1359" s="50" t="s">
        <v>2066</v>
      </c>
      <c r="D1359" s="49" t="str">
        <f>IFERROR(__xludf.DUMMYFUNCTION("""COMPUTED_VALUE"""),"british")</f>
        <v>british</v>
      </c>
      <c r="E1359" s="49"/>
      <c r="F1359" s="49"/>
      <c r="G1359" s="49"/>
      <c r="H1359" s="54" t="str">
        <f t="shared" si="1"/>
        <v>julie,</v>
      </c>
      <c r="I1359" s="50"/>
      <c r="J1359" s="50" t="s">
        <v>2812</v>
      </c>
      <c r="K1359" s="50" t="s">
        <v>3911</v>
      </c>
      <c r="L1359" s="49" t="str">
        <f>IFERROR(__xludf.DUMMYFUNCTION("""COMPUTED_VALUE"""),"pink")</f>
        <v>pink</v>
      </c>
      <c r="M1359" s="49"/>
      <c r="N1359" s="49"/>
      <c r="O1359" s="49" t="str">
        <f>IFERROR(__xludf.DUMMYFUNCTION("""COMPUTED_VALUE"""),"pants")</f>
        <v>pants</v>
      </c>
      <c r="P1359" s="49" t="str">
        <f t="shared" si="2"/>
        <v>trace,</v>
      </c>
      <c r="Q1359" s="49"/>
      <c r="R1359" s="50" t="s">
        <v>3624</v>
      </c>
      <c r="S1359" s="55" t="s">
        <v>1271</v>
      </c>
      <c r="T1359" s="49" t="str">
        <f>IFERROR(__xludf.DUMMYFUNCTION("""COMPUTED_VALUE"""),"groundbreaking")</f>
        <v>groundbreaking</v>
      </c>
      <c r="U1359" s="49"/>
      <c r="V1359" s="49"/>
      <c r="W1359" s="49" t="str">
        <f>IFERROR(__xludf.DUMMYFUNCTION("""COMPUTED_VALUE"""),"ridley")</f>
        <v>ridley</v>
      </c>
      <c r="X1359" s="49" t="str">
        <f t="shared" si="3"/>
        <v>stays,</v>
      </c>
      <c r="Y1359" s="49"/>
      <c r="Z1359" s="1" t="s">
        <v>6693</v>
      </c>
      <c r="AA1359" s="1" t="s">
        <v>707</v>
      </c>
      <c r="AB1359" s="49"/>
      <c r="AC1359" s="49"/>
      <c r="AD1359" s="49"/>
      <c r="AE1359" s="49" t="str">
        <f>IFERROR(__xludf.DUMMYFUNCTION("""COMPUTED_VALUE"""),"pants")</f>
        <v>pants</v>
      </c>
      <c r="AF1359" s="49" t="str">
        <f t="shared" si="4"/>
        <v>disappointed,</v>
      </c>
      <c r="AG1359" s="49"/>
      <c r="AH1359" s="1" t="s">
        <v>2760</v>
      </c>
      <c r="AI1359" s="1" t="s">
        <v>3789</v>
      </c>
      <c r="AJ1359" s="6" t="str">
        <f>IFERROR(__xludf.DUMMYFUNCTION("""COMPUTED_VALUE"""),"coming")</f>
        <v>coming</v>
      </c>
      <c r="AK1359" s="49"/>
      <c r="AL1359" s="49"/>
      <c r="AM1359" s="49"/>
      <c r="AN1359" s="52" t="str">
        <f t="shared" si="5"/>
        <v>responsible,</v>
      </c>
    </row>
    <row r="1360">
      <c r="A1360" s="51"/>
      <c r="B1360" s="50" t="s">
        <v>3237</v>
      </c>
      <c r="C1360" s="50" t="s">
        <v>6490</v>
      </c>
      <c r="D1360" s="49" t="str">
        <f>IFERROR(__xludf.DUMMYFUNCTION("""COMPUTED_VALUE"""),"actor")</f>
        <v>actor</v>
      </c>
      <c r="E1360" s="49"/>
      <c r="F1360" s="49"/>
      <c r="G1360" s="49"/>
      <c r="H1360" s="54" t="str">
        <f t="shared" si="1"/>
        <v>hook,</v>
      </c>
      <c r="I1360" s="50"/>
      <c r="J1360" s="50" t="s">
        <v>3343</v>
      </c>
      <c r="K1360" s="50" t="s">
        <v>1781</v>
      </c>
      <c r="L1360" s="49" t="str">
        <f>IFERROR(__xludf.DUMMYFUNCTION("""COMPUTED_VALUE"""),"monstrous")</f>
        <v>monstrous</v>
      </c>
      <c r="M1360" s="49"/>
      <c r="N1360" s="49"/>
      <c r="O1360" s="49" t="str">
        <f>IFERROR(__xludf.DUMMYFUNCTION("""COMPUTED_VALUE"""),"harrison")</f>
        <v>harrison</v>
      </c>
      <c r="P1360" s="49" t="str">
        <f t="shared" si="2"/>
        <v>arrogance,</v>
      </c>
      <c r="Q1360" s="49"/>
      <c r="R1360" s="50" t="s">
        <v>4816</v>
      </c>
      <c r="S1360" s="55" t="s">
        <v>2586</v>
      </c>
      <c r="T1360" s="49" t="str">
        <f>IFERROR(__xludf.DUMMYFUNCTION("""COMPUTED_VALUE"""),"metropolitan")</f>
        <v>metropolitan</v>
      </c>
      <c r="U1360" s="49"/>
      <c r="V1360" s="49"/>
      <c r="W1360" s="49" t="str">
        <f>IFERROR(__xludf.DUMMYFUNCTION("""COMPUTED_VALUE"""),"malcolm")</f>
        <v>malcolm</v>
      </c>
      <c r="X1360" s="49" t="str">
        <f t="shared" si="3"/>
        <v>wicked,</v>
      </c>
      <c r="Y1360" s="49"/>
      <c r="Z1360" s="1" t="s">
        <v>7358</v>
      </c>
      <c r="AA1360" s="1" t="s">
        <v>2996</v>
      </c>
      <c r="AB1360" s="49"/>
      <c r="AC1360" s="49"/>
      <c r="AD1360" s="49"/>
      <c r="AE1360" s="49" t="str">
        <f>IFERROR(__xludf.DUMMYFUNCTION("""COMPUTED_VALUE"""),"harrison")</f>
        <v>harrison</v>
      </c>
      <c r="AF1360" s="49" t="str">
        <f t="shared" si="4"/>
        <v>nasty,</v>
      </c>
      <c r="AG1360" s="49"/>
      <c r="AH1360" s="1" t="s">
        <v>2116</v>
      </c>
      <c r="AI1360" s="1" t="s">
        <v>3927</v>
      </c>
      <c r="AJ1360" s="6" t="str">
        <f>IFERROR(__xludf.DUMMYFUNCTION("""COMPUTED_VALUE"""),"die")</f>
        <v>die</v>
      </c>
      <c r="AK1360" s="49"/>
      <c r="AL1360" s="49"/>
      <c r="AM1360" s="49"/>
      <c r="AN1360" s="52" t="str">
        <f t="shared" si="5"/>
        <v>sleep,</v>
      </c>
    </row>
    <row r="1361">
      <c r="A1361" s="51"/>
      <c r="B1361" s="50" t="s">
        <v>3943</v>
      </c>
      <c r="C1361" s="50" t="s">
        <v>4177</v>
      </c>
      <c r="D1361" s="49" t="str">
        <f>IFERROR(__xludf.DUMMYFUNCTION("""COMPUTED_VALUE"""),"nevertheless")</f>
        <v>nevertheless</v>
      </c>
      <c r="E1361" s="49"/>
      <c r="F1361" s="49"/>
      <c r="G1361" s="49"/>
      <c r="H1361" s="54" t="str">
        <f t="shared" si="1"/>
        <v>episode,</v>
      </c>
      <c r="I1361" s="50"/>
      <c r="J1361" s="50" t="s">
        <v>2769</v>
      </c>
      <c r="K1361" s="50" t="s">
        <v>2749</v>
      </c>
      <c r="L1361" s="49" t="str">
        <f>IFERROR(__xludf.DUMMYFUNCTION("""COMPUTED_VALUE"""),"nicely")</f>
        <v>nicely</v>
      </c>
      <c r="M1361" s="49"/>
      <c r="N1361" s="49"/>
      <c r="O1361" s="49" t="str">
        <f>IFERROR(__xludf.DUMMYFUNCTION("""COMPUTED_VALUE"""),"banquet")</f>
        <v>banquet</v>
      </c>
      <c r="P1361" s="49" t="str">
        <f t="shared" si="2"/>
        <v>god,</v>
      </c>
      <c r="Q1361" s="49"/>
      <c r="R1361" s="50" t="s">
        <v>1903</v>
      </c>
      <c r="S1361" s="55" t="s">
        <v>2589</v>
      </c>
      <c r="T1361" s="49" t="str">
        <f>IFERROR(__xludf.DUMMYFUNCTION("""COMPUTED_VALUE"""),"panic")</f>
        <v>panic</v>
      </c>
      <c r="U1361" s="49"/>
      <c r="V1361" s="49"/>
      <c r="W1361" s="49" t="str">
        <f>IFERROR(__xludf.DUMMYFUNCTION("""COMPUTED_VALUE"""),"roman")</f>
        <v>roman</v>
      </c>
      <c r="X1361" s="49" t="str">
        <f t="shared" si="3"/>
        <v>stepmother,</v>
      </c>
      <c r="Y1361" s="49"/>
      <c r="Z1361" s="1" t="s">
        <v>7359</v>
      </c>
      <c r="AA1361" s="1" t="s">
        <v>3294</v>
      </c>
      <c r="AB1361" s="49"/>
      <c r="AC1361" s="49"/>
      <c r="AD1361" s="49"/>
      <c r="AE1361" s="49" t="str">
        <f>IFERROR(__xludf.DUMMYFUNCTION("""COMPUTED_VALUE"""),"banquet")</f>
        <v>banquet</v>
      </c>
      <c r="AF1361" s="49" t="str">
        <f t="shared" si="4"/>
        <v>ultra,</v>
      </c>
      <c r="AG1361" s="49"/>
      <c r="AH1361" s="1" t="s">
        <v>760</v>
      </c>
      <c r="AI1361" s="1" t="s">
        <v>1595</v>
      </c>
      <c r="AJ1361" s="6" t="str">
        <f>IFERROR(__xludf.DUMMYFUNCTION("""COMPUTED_VALUE"""),"box")</f>
        <v>box</v>
      </c>
      <c r="AK1361" s="49"/>
      <c r="AL1361" s="49"/>
      <c r="AM1361" s="49"/>
      <c r="AN1361" s="52" t="str">
        <f t="shared" si="5"/>
        <v>seems,</v>
      </c>
    </row>
    <row r="1362">
      <c r="A1362" s="51"/>
      <c r="B1362" s="50" t="s">
        <v>2472</v>
      </c>
      <c r="C1362" s="50" t="s">
        <v>4038</v>
      </c>
      <c r="D1362" s="49" t="str">
        <f>IFERROR(__xludf.DUMMYFUNCTION("""COMPUTED_VALUE"""),"coming")</f>
        <v>coming</v>
      </c>
      <c r="E1362" s="49"/>
      <c r="F1362" s="49"/>
      <c r="G1362" s="49"/>
      <c r="H1362" s="54" t="str">
        <f t="shared" si="1"/>
        <v>queen,</v>
      </c>
      <c r="I1362" s="50"/>
      <c r="J1362" s="50" t="s">
        <v>1669</v>
      </c>
      <c r="K1362" s="50" t="s">
        <v>3915</v>
      </c>
      <c r="L1362" s="49" t="str">
        <f>IFERROR(__xludf.DUMMYFUNCTION("""COMPUTED_VALUE"""),"holm")</f>
        <v>holm</v>
      </c>
      <c r="M1362" s="49"/>
      <c r="N1362" s="49"/>
      <c r="O1362" s="49" t="str">
        <f>IFERROR(__xludf.DUMMYFUNCTION("""COMPUTED_VALUE"""),"evolve")</f>
        <v>evolve</v>
      </c>
      <c r="P1362" s="49" t="str">
        <f t="shared" si="2"/>
        <v>heart,</v>
      </c>
      <c r="Q1362" s="49"/>
      <c r="R1362" s="50" t="s">
        <v>672</v>
      </c>
      <c r="S1362" s="55" t="s">
        <v>4406</v>
      </c>
      <c r="T1362" s="49" t="str">
        <f>IFERROR(__xludf.DUMMYFUNCTION("""COMPUTED_VALUE"""),"resident")</f>
        <v>resident</v>
      </c>
      <c r="U1362" s="49"/>
      <c r="V1362" s="49"/>
      <c r="W1362" s="49" t="str">
        <f>IFERROR(__xludf.DUMMYFUNCTION("""COMPUTED_VALUE"""),"iran")</f>
        <v>iran</v>
      </c>
      <c r="X1362" s="49" t="str">
        <f t="shared" si="3"/>
        <v>isolation,</v>
      </c>
      <c r="Y1362" s="49"/>
      <c r="Z1362" s="1" t="s">
        <v>4954</v>
      </c>
      <c r="AA1362" s="1" t="s">
        <v>4417</v>
      </c>
      <c r="AB1362" s="49"/>
      <c r="AC1362" s="49"/>
      <c r="AD1362" s="49"/>
      <c r="AE1362" s="49" t="str">
        <f>IFERROR(__xludf.DUMMYFUNCTION("""COMPUTED_VALUE"""),"evolve")</f>
        <v>evolve</v>
      </c>
      <c r="AF1362" s="49" t="str">
        <f t="shared" si="4"/>
        <v>missing,</v>
      </c>
      <c r="AG1362" s="49"/>
      <c r="AH1362" s="1" t="s">
        <v>6660</v>
      </c>
      <c r="AI1362" s="1" t="s">
        <v>2449</v>
      </c>
      <c r="AJ1362" s="6" t="str">
        <f>IFERROR(__xludf.DUMMYFUNCTION("""COMPUTED_VALUE"""),"spirit")</f>
        <v>spirit</v>
      </c>
      <c r="AK1362" s="49"/>
      <c r="AL1362" s="49"/>
      <c r="AM1362" s="49"/>
      <c r="AN1362" s="52" t="str">
        <f t="shared" si="5"/>
        <v>memories,</v>
      </c>
    </row>
    <row r="1363">
      <c r="A1363" s="51"/>
      <c r="B1363" s="50" t="s">
        <v>2647</v>
      </c>
      <c r="C1363" s="50" t="s">
        <v>713</v>
      </c>
      <c r="D1363" s="49" t="str">
        <f>IFERROR(__xludf.DUMMYFUNCTION("""COMPUTED_VALUE"""),"finds")</f>
        <v>finds</v>
      </c>
      <c r="E1363" s="49"/>
      <c r="F1363" s="49"/>
      <c r="G1363" s="49"/>
      <c r="H1363" s="54" t="str">
        <f t="shared" si="1"/>
        <v>opening,</v>
      </c>
      <c r="I1363" s="50"/>
      <c r="J1363" s="50" t="s">
        <v>2217</v>
      </c>
      <c r="K1363" s="50" t="s">
        <v>4420</v>
      </c>
      <c r="L1363" s="49" t="str">
        <f>IFERROR(__xludf.DUMMYFUNCTION("""COMPUTED_VALUE"""),"miracle")</f>
        <v>miracle</v>
      </c>
      <c r="M1363" s="49"/>
      <c r="N1363" s="49"/>
      <c r="O1363" s="49" t="str">
        <f>IFERROR(__xludf.DUMMYFUNCTION("""COMPUTED_VALUE"""),"jumps")</f>
        <v>jumps</v>
      </c>
      <c r="P1363" s="49" t="str">
        <f t="shared" si="2"/>
        <v>positive,</v>
      </c>
      <c r="Q1363" s="49"/>
      <c r="R1363" s="50" t="s">
        <v>7360</v>
      </c>
      <c r="S1363" s="55" t="s">
        <v>2592</v>
      </c>
      <c r="T1363" s="49" t="str">
        <f>IFERROR(__xludf.DUMMYFUNCTION("""COMPUTED_VALUE"""),"pencil")</f>
        <v>pencil</v>
      </c>
      <c r="U1363" s="49"/>
      <c r="V1363" s="49"/>
      <c r="W1363" s="49" t="str">
        <f>IFERROR(__xludf.DUMMYFUNCTION("""COMPUTED_VALUE"""),"streamed")</f>
        <v>streamed</v>
      </c>
      <c r="X1363" s="49" t="str">
        <f t="shared" si="3"/>
        <v>thumping,</v>
      </c>
      <c r="Y1363" s="49"/>
      <c r="Z1363" s="1" t="s">
        <v>1522</v>
      </c>
      <c r="AA1363" s="1" t="s">
        <v>4418</v>
      </c>
      <c r="AB1363" s="49"/>
      <c r="AC1363" s="49"/>
      <c r="AD1363" s="49"/>
      <c r="AE1363" s="49" t="str">
        <f>IFERROR(__xludf.DUMMYFUNCTION("""COMPUTED_VALUE"""),"jumps")</f>
        <v>jumps</v>
      </c>
      <c r="AF1363" s="49" t="str">
        <f t="shared" si="4"/>
        <v>testimony,</v>
      </c>
      <c r="AG1363" s="49"/>
      <c r="AH1363" s="1" t="s">
        <v>5807</v>
      </c>
      <c r="AI1363" s="1" t="s">
        <v>6491</v>
      </c>
      <c r="AJ1363" s="6" t="str">
        <f>IFERROR(__xludf.DUMMYFUNCTION("""COMPUTED_VALUE"""),"surprise")</f>
        <v>surprise</v>
      </c>
      <c r="AK1363" s="49"/>
      <c r="AL1363" s="49"/>
      <c r="AM1363" s="49"/>
      <c r="AN1363" s="52" t="str">
        <f t="shared" si="5"/>
        <v>shadows,</v>
      </c>
    </row>
    <row r="1364">
      <c r="A1364" s="51"/>
      <c r="B1364" s="50" t="s">
        <v>3939</v>
      </c>
      <c r="C1364" s="50" t="s">
        <v>4045</v>
      </c>
      <c r="D1364" s="49" t="str">
        <f>IFERROR(__xludf.DUMMYFUNCTION("""COMPUTED_VALUE"""),"nicholas")</f>
        <v>nicholas</v>
      </c>
      <c r="E1364" s="49"/>
      <c r="F1364" s="49"/>
      <c r="G1364" s="49"/>
      <c r="H1364" s="54" t="str">
        <f t="shared" si="1"/>
        <v>trade,</v>
      </c>
      <c r="I1364" s="50"/>
      <c r="J1364" s="50" t="s">
        <v>5189</v>
      </c>
      <c r="K1364" s="50" t="s">
        <v>3920</v>
      </c>
      <c r="L1364" s="49" t="str">
        <f>IFERROR(__xludf.DUMMYFUNCTION("""COMPUTED_VALUE"""),"characteristic")</f>
        <v>characteristic</v>
      </c>
      <c r="M1364" s="49"/>
      <c r="N1364" s="49"/>
      <c r="O1364" s="49" t="str">
        <f>IFERROR(__xludf.DUMMYFUNCTION("""COMPUTED_VALUE"""),"walt")</f>
        <v>walt</v>
      </c>
      <c r="P1364" s="49" t="str">
        <f t="shared" si="2"/>
        <v>believer,</v>
      </c>
      <c r="Q1364" s="49"/>
      <c r="R1364" s="50" t="s">
        <v>7361</v>
      </c>
      <c r="S1364" s="55" t="s">
        <v>1958</v>
      </c>
      <c r="T1364" s="49" t="str">
        <f>IFERROR(__xludf.DUMMYFUNCTION("""COMPUTED_VALUE"""),"santa")</f>
        <v>santa</v>
      </c>
      <c r="U1364" s="49"/>
      <c r="V1364" s="49"/>
      <c r="W1364" s="49" t="str">
        <f>IFERROR(__xludf.DUMMYFUNCTION("""COMPUTED_VALUE"""),"facades")</f>
        <v>facades</v>
      </c>
      <c r="X1364" s="49" t="str">
        <f t="shared" si="3"/>
        <v>disco,</v>
      </c>
      <c r="Y1364" s="49"/>
      <c r="Z1364" s="1" t="s">
        <v>5051</v>
      </c>
      <c r="AA1364" s="1" t="s">
        <v>1772</v>
      </c>
      <c r="AB1364" s="49"/>
      <c r="AC1364" s="49"/>
      <c r="AD1364" s="49"/>
      <c r="AE1364" s="49" t="str">
        <f>IFERROR(__xludf.DUMMYFUNCTION("""COMPUTED_VALUE"""),"walt")</f>
        <v>walt</v>
      </c>
      <c r="AF1364" s="49" t="str">
        <f t="shared" si="4"/>
        <v>conservative,</v>
      </c>
      <c r="AG1364" s="49"/>
      <c r="AH1364" s="1" t="s">
        <v>7043</v>
      </c>
      <c r="AI1364" s="1" t="s">
        <v>1776</v>
      </c>
      <c r="AJ1364" s="6" t="str">
        <f>IFERROR(__xludf.DUMMYFUNCTION("""COMPUTED_VALUE"""),"produced")</f>
        <v>produced</v>
      </c>
      <c r="AK1364" s="49"/>
      <c r="AL1364" s="49"/>
      <c r="AM1364" s="49"/>
      <c r="AN1364" s="52" t="str">
        <f t="shared" si="5"/>
        <v>everywhere,</v>
      </c>
    </row>
    <row r="1365">
      <c r="A1365" s="51"/>
      <c r="B1365" s="50" t="s">
        <v>2362</v>
      </c>
      <c r="C1365" s="50" t="s">
        <v>4043</v>
      </c>
      <c r="D1365" s="49" t="str">
        <f>IFERROR(__xludf.DUMMYFUNCTION("""COMPUTED_VALUE"""),"pack")</f>
        <v>pack</v>
      </c>
      <c r="E1365" s="49"/>
      <c r="F1365" s="49"/>
      <c r="G1365" s="49"/>
      <c r="H1365" s="54" t="str">
        <f t="shared" si="1"/>
        <v>computer,</v>
      </c>
      <c r="I1365" s="50"/>
      <c r="J1365" s="50" t="s">
        <v>4340</v>
      </c>
      <c r="K1365" s="50" t="s">
        <v>2652</v>
      </c>
      <c r="L1365" s="49" t="str">
        <f>IFERROR(__xludf.DUMMYFUNCTION("""COMPUTED_VALUE"""),"fearless")</f>
        <v>fearless</v>
      </c>
      <c r="M1365" s="49"/>
      <c r="N1365" s="49"/>
      <c r="O1365" s="49" t="str">
        <f>IFERROR(__xludf.DUMMYFUNCTION("""COMPUTED_VALUE"""),"steamboat")</f>
        <v>steamboat</v>
      </c>
      <c r="P1365" s="49" t="str">
        <f t="shared" si="2"/>
        <v>shooting,</v>
      </c>
      <c r="Q1365" s="49"/>
      <c r="R1365" s="50" t="s">
        <v>6717</v>
      </c>
      <c r="S1365" s="55" t="s">
        <v>1278</v>
      </c>
      <c r="T1365" s="49" t="str">
        <f>IFERROR(__xludf.DUMMYFUNCTION("""COMPUTED_VALUE"""),"diversion")</f>
        <v>diversion</v>
      </c>
      <c r="U1365" s="49"/>
      <c r="V1365" s="49"/>
      <c r="W1365" s="49" t="str">
        <f>IFERROR(__xludf.DUMMYFUNCTION("""COMPUTED_VALUE"""),"anchors")</f>
        <v>anchors</v>
      </c>
      <c r="X1365" s="49" t="str">
        <f t="shared" si="3"/>
        <v>easier,</v>
      </c>
      <c r="Y1365" s="49"/>
      <c r="Z1365" s="1" t="s">
        <v>1003</v>
      </c>
      <c r="AA1365" s="1" t="s">
        <v>4422</v>
      </c>
      <c r="AB1365" s="49"/>
      <c r="AC1365" s="49"/>
      <c r="AD1365" s="49"/>
      <c r="AE1365" s="49" t="str">
        <f>IFERROR(__xludf.DUMMYFUNCTION("""COMPUTED_VALUE"""),"steamboat")</f>
        <v>steamboat</v>
      </c>
      <c r="AF1365" s="49" t="str">
        <f t="shared" si="4"/>
        <v>hold,</v>
      </c>
      <c r="AG1365" s="49"/>
      <c r="AH1365" s="1" t="s">
        <v>6704</v>
      </c>
      <c r="AI1365" s="1" t="s">
        <v>874</v>
      </c>
      <c r="AJ1365" s="6" t="str">
        <f>IFERROR(__xludf.DUMMYFUNCTION("""COMPUTED_VALUE"""),"fish")</f>
        <v>fish</v>
      </c>
      <c r="AK1365" s="49"/>
      <c r="AL1365" s="49"/>
      <c r="AM1365" s="49"/>
      <c r="AN1365" s="52" t="str">
        <f t="shared" si="5"/>
        <v>julie,</v>
      </c>
    </row>
    <row r="1366">
      <c r="A1366" s="51"/>
      <c r="B1366" s="50" t="s">
        <v>3323</v>
      </c>
      <c r="C1366" s="50" t="s">
        <v>1151</v>
      </c>
      <c r="D1366" s="49" t="str">
        <f>IFERROR(__xludf.DUMMYFUNCTION("""COMPUTED_VALUE"""),"dogs")</f>
        <v>dogs</v>
      </c>
      <c r="E1366" s="49"/>
      <c r="F1366" s="49"/>
      <c r="G1366" s="49"/>
      <c r="H1366" s="54" t="str">
        <f t="shared" si="1"/>
        <v>simple,</v>
      </c>
      <c r="I1366" s="50"/>
      <c r="J1366" s="50" t="s">
        <v>6777</v>
      </c>
      <c r="K1366" s="50" t="s">
        <v>2751</v>
      </c>
      <c r="L1366" s="49" t="str">
        <f>IFERROR(__xludf.DUMMYFUNCTION("""COMPUTED_VALUE"""),"taut")</f>
        <v>taut</v>
      </c>
      <c r="M1366" s="49"/>
      <c r="N1366" s="49"/>
      <c r="O1366" s="49" t="str">
        <f>IFERROR(__xludf.DUMMYFUNCTION("""COMPUTED_VALUE"""),"willie")</f>
        <v>willie</v>
      </c>
      <c r="P1366" s="49" t="str">
        <f t="shared" si="2"/>
        <v>bomb,</v>
      </c>
      <c r="Q1366" s="49"/>
      <c r="R1366" s="50" t="s">
        <v>3444</v>
      </c>
      <c r="S1366" s="55" t="s">
        <v>1285</v>
      </c>
      <c r="T1366" s="49" t="str">
        <f>IFERROR(__xludf.DUMMYFUNCTION("""COMPUTED_VALUE"""),"triangle")</f>
        <v>triangle</v>
      </c>
      <c r="U1366" s="49"/>
      <c r="V1366" s="49"/>
      <c r="W1366" s="49" t="str">
        <f>IFERROR(__xludf.DUMMYFUNCTION("""COMPUTED_VALUE"""),"patting")</f>
        <v>patting</v>
      </c>
      <c r="X1366" s="49" t="str">
        <f t="shared" si="3"/>
        <v>pick,</v>
      </c>
      <c r="Y1366" s="49"/>
      <c r="Z1366" s="1" t="s">
        <v>3173</v>
      </c>
      <c r="AA1366" s="1" t="s">
        <v>3307</v>
      </c>
      <c r="AB1366" s="49"/>
      <c r="AC1366" s="49"/>
      <c r="AD1366" s="49"/>
      <c r="AE1366" s="49" t="str">
        <f>IFERROR(__xludf.DUMMYFUNCTION("""COMPUTED_VALUE"""),"willie")</f>
        <v>willie</v>
      </c>
      <c r="AF1366" s="49" t="str">
        <f t="shared" si="4"/>
        <v>wife,</v>
      </c>
      <c r="AG1366" s="49"/>
      <c r="AH1366" s="1" t="s">
        <v>3943</v>
      </c>
      <c r="AI1366" s="1" t="s">
        <v>6492</v>
      </c>
      <c r="AJ1366" s="6" t="str">
        <f>IFERROR(__xludf.DUMMYFUNCTION("""COMPUTED_VALUE"""),"tank")</f>
        <v>tank</v>
      </c>
      <c r="AK1366" s="49"/>
      <c r="AL1366" s="49"/>
      <c r="AM1366" s="49"/>
      <c r="AN1366" s="52" t="str">
        <f t="shared" si="5"/>
        <v>episode,</v>
      </c>
    </row>
    <row r="1367">
      <c r="A1367" s="51"/>
      <c r="B1367" s="50" t="s">
        <v>6853</v>
      </c>
      <c r="C1367" s="50" t="s">
        <v>1632</v>
      </c>
      <c r="D1367" s="49" t="str">
        <f>IFERROR(__xludf.DUMMYFUNCTION("""COMPUTED_VALUE"""),"biggest")</f>
        <v>biggest</v>
      </c>
      <c r="E1367" s="49"/>
      <c r="F1367" s="49"/>
      <c r="G1367" s="49"/>
      <c r="H1367" s="54" t="str">
        <f t="shared" si="1"/>
        <v>yellow,</v>
      </c>
      <c r="I1367" s="50"/>
      <c r="J1367" s="50" t="s">
        <v>887</v>
      </c>
      <c r="K1367" s="50" t="s">
        <v>2753</v>
      </c>
      <c r="L1367" s="49" t="str">
        <f>IFERROR(__xludf.DUMMYFUNCTION("""COMPUTED_VALUE"""),"risks")</f>
        <v>risks</v>
      </c>
      <c r="M1367" s="49"/>
      <c r="N1367" s="49"/>
      <c r="O1367" s="49" t="str">
        <f>IFERROR(__xludf.DUMMYFUNCTION("""COMPUTED_VALUE"""),"discontent")</f>
        <v>discontent</v>
      </c>
      <c r="P1367" s="49" t="str">
        <f t="shared" si="2"/>
        <v>faith,</v>
      </c>
      <c r="Q1367" s="49"/>
      <c r="R1367" s="50" t="s">
        <v>727</v>
      </c>
      <c r="S1367" s="55" t="s">
        <v>2140</v>
      </c>
      <c r="T1367" s="49" t="str">
        <f>IFERROR(__xludf.DUMMYFUNCTION("""COMPUTED_VALUE"""),"lacking")</f>
        <v>lacking</v>
      </c>
      <c r="U1367" s="49"/>
      <c r="V1367" s="49"/>
      <c r="W1367" s="49" t="str">
        <f>IFERROR(__xludf.DUMMYFUNCTION("""COMPUTED_VALUE"""),"heroic")</f>
        <v>heroic</v>
      </c>
      <c r="X1367" s="49" t="str">
        <f t="shared" si="3"/>
        <v>diaz,</v>
      </c>
      <c r="Y1367" s="49"/>
      <c r="Z1367" s="1" t="s">
        <v>1097</v>
      </c>
      <c r="AA1367" s="1" t="s">
        <v>940</v>
      </c>
      <c r="AB1367" s="49"/>
      <c r="AC1367" s="49"/>
      <c r="AD1367" s="49"/>
      <c r="AE1367" s="49" t="str">
        <f>IFERROR(__xludf.DUMMYFUNCTION("""COMPUTED_VALUE"""),"discontent")</f>
        <v>discontent</v>
      </c>
      <c r="AF1367" s="49" t="str">
        <f t="shared" si="4"/>
        <v>lack,</v>
      </c>
      <c r="AG1367" s="49"/>
      <c r="AH1367" s="1" t="s">
        <v>2472</v>
      </c>
      <c r="AI1367" s="1" t="s">
        <v>3597</v>
      </c>
      <c r="AJ1367" s="6" t="str">
        <f>IFERROR(__xludf.DUMMYFUNCTION("""COMPUTED_VALUE"""),"dates")</f>
        <v>dates</v>
      </c>
      <c r="AK1367" s="49"/>
      <c r="AL1367" s="49"/>
      <c r="AM1367" s="49"/>
      <c r="AN1367" s="52" t="str">
        <f t="shared" si="5"/>
        <v>queen,</v>
      </c>
    </row>
    <row r="1368">
      <c r="A1368" s="51"/>
      <c r="B1368" s="50" t="s">
        <v>5796</v>
      </c>
      <c r="C1368" s="50" t="s">
        <v>81</v>
      </c>
      <c r="D1368" s="49" t="str">
        <f>IFERROR(__xludf.DUMMYFUNCTION("""COMPUTED_VALUE"""),"couple")</f>
        <v>couple</v>
      </c>
      <c r="E1368" s="49"/>
      <c r="F1368" s="49"/>
      <c r="G1368" s="49"/>
      <c r="H1368" s="54" t="str">
        <f t="shared" si="1"/>
        <v>wars,</v>
      </c>
      <c r="I1368" s="50"/>
      <c r="J1368" s="50" t="s">
        <v>4541</v>
      </c>
      <c r="K1368" s="50" t="s">
        <v>3929</v>
      </c>
      <c r="L1368" s="49" t="str">
        <f>IFERROR(__xludf.DUMMYFUNCTION("""COMPUTED_VALUE"""),"retains")</f>
        <v>retains</v>
      </c>
      <c r="M1368" s="49"/>
      <c r="N1368" s="49"/>
      <c r="O1368" s="49" t="str">
        <f>IFERROR(__xludf.DUMMYFUNCTION("""COMPUTED_VALUE"""),"deepest")</f>
        <v>deepest</v>
      </c>
      <c r="P1368" s="49" t="str">
        <f t="shared" si="2"/>
        <v>windows,</v>
      </c>
      <c r="Q1368" s="49"/>
      <c r="R1368" s="50" t="s">
        <v>4117</v>
      </c>
      <c r="S1368" s="55" t="s">
        <v>2762</v>
      </c>
      <c r="T1368" s="49" t="str">
        <f>IFERROR(__xludf.DUMMYFUNCTION("""COMPUTED_VALUE"""),"mature")</f>
        <v>mature</v>
      </c>
      <c r="U1368" s="49"/>
      <c r="V1368" s="49"/>
      <c r="W1368" s="49" t="str">
        <f>IFERROR(__xludf.DUMMYFUNCTION("""COMPUTED_VALUE"""),"hicks")</f>
        <v>hicks</v>
      </c>
      <c r="X1368" s="49" t="str">
        <f t="shared" si="3"/>
        <v>peculiar,</v>
      </c>
      <c r="Y1368" s="49"/>
      <c r="Z1368" s="1" t="s">
        <v>1825</v>
      </c>
      <c r="AA1368" s="1" t="s">
        <v>1784</v>
      </c>
      <c r="AB1368" s="49"/>
      <c r="AC1368" s="49"/>
      <c r="AD1368" s="49"/>
      <c r="AE1368" s="49" t="str">
        <f>IFERROR(__xludf.DUMMYFUNCTION("""COMPUTED_VALUE"""),"deepest")</f>
        <v>deepest</v>
      </c>
      <c r="AF1368" s="49" t="str">
        <f t="shared" si="4"/>
        <v>species,</v>
      </c>
      <c r="AG1368" s="49"/>
      <c r="AH1368" s="1" t="s">
        <v>2647</v>
      </c>
      <c r="AI1368" s="1" t="s">
        <v>4106</v>
      </c>
      <c r="AJ1368" s="6" t="str">
        <f>IFERROR(__xludf.DUMMYFUNCTION("""COMPUTED_VALUE"""),"raise")</f>
        <v>raise</v>
      </c>
      <c r="AK1368" s="49"/>
      <c r="AL1368" s="49"/>
      <c r="AM1368" s="49"/>
      <c r="AN1368" s="52" t="str">
        <f t="shared" si="5"/>
        <v>opening,</v>
      </c>
    </row>
    <row r="1369">
      <c r="A1369" s="51"/>
      <c r="B1369" s="50" t="s">
        <v>7014</v>
      </c>
      <c r="C1369" s="50" t="s">
        <v>1857</v>
      </c>
      <c r="D1369" s="49" t="str">
        <f>IFERROR(__xludf.DUMMYFUNCTION("""COMPUTED_VALUE"""),"stuck")</f>
        <v>stuck</v>
      </c>
      <c r="E1369" s="49"/>
      <c r="F1369" s="49"/>
      <c r="G1369" s="49"/>
      <c r="H1369" s="54" t="str">
        <f t="shared" si="1"/>
        <v>supplies,</v>
      </c>
      <c r="I1369" s="50"/>
      <c r="J1369" s="50" t="s">
        <v>5318</v>
      </c>
      <c r="K1369" s="50" t="s">
        <v>4428</v>
      </c>
      <c r="L1369" s="49" t="str">
        <f>IFERROR(__xludf.DUMMYFUNCTION("""COMPUTED_VALUE"""),"depict")</f>
        <v>depict</v>
      </c>
      <c r="M1369" s="49"/>
      <c r="N1369" s="49"/>
      <c r="O1369" s="49" t="str">
        <f>IFERROR(__xludf.DUMMYFUNCTION("""COMPUTED_VALUE"""),"evans")</f>
        <v>evans</v>
      </c>
      <c r="P1369" s="49" t="str">
        <f t="shared" si="2"/>
        <v>patch,</v>
      </c>
      <c r="Q1369" s="49"/>
      <c r="R1369" s="50" t="s">
        <v>1247</v>
      </c>
      <c r="S1369" s="55" t="s">
        <v>3752</v>
      </c>
      <c r="T1369" s="49" t="str">
        <f>IFERROR(__xludf.DUMMYFUNCTION("""COMPUTED_VALUE"""),"smarter")</f>
        <v>smarter</v>
      </c>
      <c r="U1369" s="49"/>
      <c r="V1369" s="49"/>
      <c r="W1369" s="49" t="str">
        <f>IFERROR(__xludf.DUMMYFUNCTION("""COMPUTED_VALUE"""),"sprung")</f>
        <v>sprung</v>
      </c>
      <c r="X1369" s="49" t="str">
        <f t="shared" si="3"/>
        <v>total,</v>
      </c>
      <c r="Y1369" s="49"/>
      <c r="Z1369" s="1" t="s">
        <v>635</v>
      </c>
      <c r="AA1369" s="1" t="s">
        <v>4426</v>
      </c>
      <c r="AB1369" s="49"/>
      <c r="AC1369" s="49"/>
      <c r="AD1369" s="49"/>
      <c r="AE1369" s="49" t="str">
        <f>IFERROR(__xludf.DUMMYFUNCTION("""COMPUTED_VALUE"""),"evans")</f>
        <v>evans</v>
      </c>
      <c r="AF1369" s="49" t="str">
        <f t="shared" si="4"/>
        <v>intriguing,</v>
      </c>
      <c r="AG1369" s="49"/>
      <c r="AH1369" s="1" t="s">
        <v>3939</v>
      </c>
      <c r="AI1369" s="1" t="s">
        <v>1169</v>
      </c>
      <c r="AJ1369" s="6" t="str">
        <f>IFERROR(__xludf.DUMMYFUNCTION("""COMPUTED_VALUE"""),"replace")</f>
        <v>replace</v>
      </c>
      <c r="AK1369" s="49"/>
      <c r="AL1369" s="49"/>
      <c r="AM1369" s="49"/>
      <c r="AN1369" s="52" t="str">
        <f t="shared" si="5"/>
        <v>trade,</v>
      </c>
    </row>
    <row r="1370">
      <c r="A1370" s="51"/>
      <c r="B1370" s="50" t="s">
        <v>5563</v>
      </c>
      <c r="C1370" s="50" t="s">
        <v>6483</v>
      </c>
      <c r="D1370" s="49" t="str">
        <f>IFERROR(__xludf.DUMMYFUNCTION("""COMPUTED_VALUE"""),"practically")</f>
        <v>practically</v>
      </c>
      <c r="E1370" s="49"/>
      <c r="F1370" s="49"/>
      <c r="G1370" s="49"/>
      <c r="H1370" s="54" t="str">
        <f t="shared" si="1"/>
        <v>lucas,</v>
      </c>
      <c r="I1370" s="50"/>
      <c r="J1370" s="50" t="s">
        <v>3879</v>
      </c>
      <c r="K1370" s="50" t="s">
        <v>4432</v>
      </c>
      <c r="L1370" s="49" t="str">
        <f>IFERROR(__xludf.DUMMYFUNCTION("""COMPUTED_VALUE"""),"legal")</f>
        <v>legal</v>
      </c>
      <c r="M1370" s="49"/>
      <c r="N1370" s="49"/>
      <c r="O1370" s="49" t="str">
        <f>IFERROR(__xludf.DUMMYFUNCTION("""COMPUTED_VALUE"""),"overlapping")</f>
        <v>overlapping</v>
      </c>
      <c r="P1370" s="49" t="str">
        <f t="shared" si="2"/>
        <v>enormous,</v>
      </c>
      <c r="Q1370" s="49"/>
      <c r="R1370" s="50" t="s">
        <v>4033</v>
      </c>
      <c r="S1370" s="55" t="s">
        <v>2549</v>
      </c>
      <c r="T1370" s="49" t="str">
        <f>IFERROR(__xludf.DUMMYFUNCTION("""COMPUTED_VALUE"""),"rumor")</f>
        <v>rumor</v>
      </c>
      <c r="U1370" s="49"/>
      <c r="V1370" s="49"/>
      <c r="W1370" s="49" t="str">
        <f>IFERROR(__xludf.DUMMYFUNCTION("""COMPUTED_VALUE"""),"california")</f>
        <v>california</v>
      </c>
      <c r="X1370" s="49" t="str">
        <f t="shared" si="3"/>
        <v>memorable,</v>
      </c>
      <c r="Y1370" s="49"/>
      <c r="Z1370" s="1" t="s">
        <v>2497</v>
      </c>
      <c r="AA1370" s="1" t="s">
        <v>2340</v>
      </c>
      <c r="AB1370" s="49"/>
      <c r="AC1370" s="49"/>
      <c r="AD1370" s="49"/>
      <c r="AE1370" s="49" t="str">
        <f>IFERROR(__xludf.DUMMYFUNCTION("""COMPUTED_VALUE"""),"overlapping")</f>
        <v>overlapping</v>
      </c>
      <c r="AF1370" s="49" t="str">
        <f t="shared" si="4"/>
        <v>splendid,</v>
      </c>
      <c r="AG1370" s="49"/>
      <c r="AH1370" s="1" t="s">
        <v>2362</v>
      </c>
      <c r="AI1370" s="1" t="s">
        <v>3603</v>
      </c>
      <c r="AJ1370" s="6" t="str">
        <f>IFERROR(__xludf.DUMMYFUNCTION("""COMPUTED_VALUE"""),"staying")</f>
        <v>staying</v>
      </c>
      <c r="AK1370" s="49"/>
      <c r="AL1370" s="49"/>
      <c r="AM1370" s="49"/>
      <c r="AN1370" s="52" t="str">
        <f t="shared" si="5"/>
        <v>computer,</v>
      </c>
    </row>
    <row r="1371">
      <c r="A1371" s="51"/>
      <c r="B1371" s="50" t="s">
        <v>3639</v>
      </c>
      <c r="C1371" s="50" t="s">
        <v>6463</v>
      </c>
      <c r="D1371" s="49" t="str">
        <f>IFERROR(__xludf.DUMMYFUNCTION("""COMPUTED_VALUE"""),"members")</f>
        <v>members</v>
      </c>
      <c r="E1371" s="49"/>
      <c r="F1371" s="49"/>
      <c r="G1371" s="49"/>
      <c r="H1371" s="54" t="str">
        <f t="shared" si="1"/>
        <v>wise,</v>
      </c>
      <c r="I1371" s="50"/>
      <c r="J1371" s="50" t="s">
        <v>1185</v>
      </c>
      <c r="K1371" s="50" t="s">
        <v>2759</v>
      </c>
      <c r="L1371" s="49" t="str">
        <f>IFERROR(__xludf.DUMMYFUNCTION("""COMPUTED_VALUE"""),"resonance")</f>
        <v>resonance</v>
      </c>
      <c r="M1371" s="49"/>
      <c r="N1371" s="49"/>
      <c r="O1371" s="49" t="str">
        <f>IFERROR(__xludf.DUMMYFUNCTION("""COMPUTED_VALUE"""),"collateral")</f>
        <v>collateral</v>
      </c>
      <c r="P1371" s="49" t="str">
        <f t="shared" si="2"/>
        <v>dubious,</v>
      </c>
      <c r="Q1371" s="49"/>
      <c r="R1371" s="50" t="s">
        <v>103</v>
      </c>
      <c r="S1371" s="55" t="s">
        <v>834</v>
      </c>
      <c r="T1371" s="49" t="str">
        <f>IFERROR(__xludf.DUMMYFUNCTION("""COMPUTED_VALUE"""),"fiercely")</f>
        <v>fiercely</v>
      </c>
      <c r="U1371" s="49"/>
      <c r="V1371" s="49"/>
      <c r="W1371" s="49" t="str">
        <f>IFERROR(__xludf.DUMMYFUNCTION("""COMPUTED_VALUE"""),"chord")</f>
        <v>chord</v>
      </c>
      <c r="X1371" s="49" t="str">
        <f t="shared" si="3"/>
        <v>service,</v>
      </c>
      <c r="Y1371" s="49"/>
      <c r="Z1371" s="1" t="s">
        <v>1422</v>
      </c>
      <c r="AA1371" s="1" t="s">
        <v>948</v>
      </c>
      <c r="AB1371" s="49"/>
      <c r="AC1371" s="49"/>
      <c r="AD1371" s="49"/>
      <c r="AE1371" s="49" t="str">
        <f>IFERROR(__xludf.DUMMYFUNCTION("""COMPUTED_VALUE"""),"collateral")</f>
        <v>collateral</v>
      </c>
      <c r="AF1371" s="49" t="str">
        <f t="shared" si="4"/>
        <v>dreadful,</v>
      </c>
      <c r="AG1371" s="49"/>
      <c r="AH1371" s="1" t="s">
        <v>3323</v>
      </c>
      <c r="AI1371" s="1" t="s">
        <v>2098</v>
      </c>
      <c r="AJ1371" s="6">
        <f>IFERROR(__xludf.DUMMYFUNCTION("""COMPUTED_VALUE"""),20.0)</f>
        <v>20</v>
      </c>
      <c r="AK1371" s="49"/>
      <c r="AL1371" s="49"/>
      <c r="AM1371" s="49"/>
      <c r="AN1371" s="52" t="str">
        <f t="shared" si="5"/>
        <v>simple,</v>
      </c>
    </row>
    <row r="1372">
      <c r="A1372" s="51"/>
      <c r="B1372" s="50" t="s">
        <v>1223</v>
      </c>
      <c r="C1372" s="50" t="s">
        <v>2419</v>
      </c>
      <c r="D1372" s="49" t="str">
        <f>IFERROR(__xludf.DUMMYFUNCTION("""COMPUTED_VALUE"""),"figure")</f>
        <v>figure</v>
      </c>
      <c r="E1372" s="49"/>
      <c r="F1372" s="49"/>
      <c r="G1372" s="49"/>
      <c r="H1372" s="54" t="str">
        <f t="shared" si="1"/>
        <v>open,</v>
      </c>
      <c r="I1372" s="50"/>
      <c r="J1372" s="50" t="s">
        <v>4312</v>
      </c>
      <c r="K1372" s="50" t="s">
        <v>2764</v>
      </c>
      <c r="L1372" s="49" t="str">
        <f>IFERROR(__xludf.DUMMYFUNCTION("""COMPUTED_VALUE"""),"parent")</f>
        <v>parent</v>
      </c>
      <c r="M1372" s="49"/>
      <c r="N1372" s="49"/>
      <c r="O1372" s="49" t="str">
        <f>IFERROR(__xludf.DUMMYFUNCTION("""COMPUTED_VALUE"""),"skinny")</f>
        <v>skinny</v>
      </c>
      <c r="P1372" s="49" t="str">
        <f t="shared" si="2"/>
        <v>rise,</v>
      </c>
      <c r="Q1372" s="49"/>
      <c r="R1372" s="50" t="s">
        <v>3629</v>
      </c>
      <c r="S1372" s="55" t="s">
        <v>4256</v>
      </c>
      <c r="T1372" s="49" t="str">
        <f>IFERROR(__xludf.DUMMYFUNCTION("""COMPUTED_VALUE"""),"reverse")</f>
        <v>reverse</v>
      </c>
      <c r="U1372" s="49"/>
      <c r="V1372" s="49"/>
      <c r="W1372" s="49" t="str">
        <f>IFERROR(__xludf.DUMMYFUNCTION("""COMPUTED_VALUE"""),"chronicle")</f>
        <v>chronicle</v>
      </c>
      <c r="X1372" s="49" t="str">
        <f t="shared" si="3"/>
        <v>guts,</v>
      </c>
      <c r="Y1372" s="49"/>
      <c r="Z1372" s="1" t="s">
        <v>4671</v>
      </c>
      <c r="AA1372" s="1" t="s">
        <v>4434</v>
      </c>
      <c r="AB1372" s="49"/>
      <c r="AC1372" s="49"/>
      <c r="AD1372" s="49"/>
      <c r="AE1372" s="49" t="str">
        <f>IFERROR(__xludf.DUMMYFUNCTION("""COMPUTED_VALUE"""),"skinny")</f>
        <v>skinny</v>
      </c>
      <c r="AF1372" s="49" t="str">
        <f t="shared" si="4"/>
        <v>text,</v>
      </c>
      <c r="AG1372" s="49"/>
      <c r="AH1372" s="1" t="s">
        <v>6853</v>
      </c>
      <c r="AI1372" s="1" t="s">
        <v>4108</v>
      </c>
      <c r="AJ1372" s="6" t="str">
        <f>IFERROR(__xludf.DUMMYFUNCTION("""COMPUTED_VALUE"""),"opened")</f>
        <v>opened</v>
      </c>
      <c r="AK1372" s="49"/>
      <c r="AL1372" s="49"/>
      <c r="AM1372" s="49"/>
      <c r="AN1372" s="52" t="str">
        <f t="shared" si="5"/>
        <v>yellow,</v>
      </c>
    </row>
    <row r="1373">
      <c r="A1373" s="51"/>
      <c r="B1373" s="50" t="s">
        <v>3469</v>
      </c>
      <c r="C1373" s="50" t="s">
        <v>3150</v>
      </c>
      <c r="D1373" s="49" t="str">
        <f>IFERROR(__xludf.DUMMYFUNCTION("""COMPUTED_VALUE"""),"variety")</f>
        <v>variety</v>
      </c>
      <c r="E1373" s="49"/>
      <c r="F1373" s="49"/>
      <c r="G1373" s="49"/>
      <c r="H1373" s="54" t="str">
        <f t="shared" si="1"/>
        <v>sound,</v>
      </c>
      <c r="I1373" s="50"/>
      <c r="J1373" s="50" t="s">
        <v>1629</v>
      </c>
      <c r="K1373" s="50" t="s">
        <v>734</v>
      </c>
      <c r="L1373" s="49" t="str">
        <f>IFERROR(__xludf.DUMMYFUNCTION("""COMPUTED_VALUE"""),"hail")</f>
        <v>hail</v>
      </c>
      <c r="M1373" s="49"/>
      <c r="N1373" s="49"/>
      <c r="O1373" s="49" t="str">
        <f>IFERROR(__xludf.DUMMYFUNCTION("""COMPUTED_VALUE"""),"archive")</f>
        <v>archive</v>
      </c>
      <c r="P1373" s="49" t="str">
        <f t="shared" si="2"/>
        <v>phenomenon,</v>
      </c>
      <c r="Q1373" s="49"/>
      <c r="R1373" s="50" t="s">
        <v>7362</v>
      </c>
      <c r="S1373" s="55" t="s">
        <v>2602</v>
      </c>
      <c r="T1373" s="49" t="str">
        <f>IFERROR(__xludf.DUMMYFUNCTION("""COMPUTED_VALUE"""),"discipline")</f>
        <v>discipline</v>
      </c>
      <c r="U1373" s="49"/>
      <c r="V1373" s="49"/>
      <c r="W1373" s="49" t="str">
        <f>IFERROR(__xludf.DUMMYFUNCTION("""COMPUTED_VALUE"""),"vaudeville")</f>
        <v>vaudeville</v>
      </c>
      <c r="X1373" s="49" t="str">
        <f t="shared" si="3"/>
        <v>turner,</v>
      </c>
      <c r="Y1373" s="49"/>
      <c r="Z1373" s="1" t="s">
        <v>1730</v>
      </c>
      <c r="AA1373" s="1" t="s">
        <v>1798</v>
      </c>
      <c r="AB1373" s="49"/>
      <c r="AC1373" s="49"/>
      <c r="AD1373" s="49"/>
      <c r="AE1373" s="49" t="str">
        <f>IFERROR(__xludf.DUMMYFUNCTION("""COMPUTED_VALUE"""),"archive")</f>
        <v>archive</v>
      </c>
      <c r="AF1373" s="49" t="str">
        <f t="shared" si="4"/>
        <v>despite,</v>
      </c>
      <c r="AG1373" s="49"/>
      <c r="AH1373" s="1" t="s">
        <v>5796</v>
      </c>
      <c r="AI1373" s="1" t="s">
        <v>2489</v>
      </c>
      <c r="AJ1373" s="6" t="str">
        <f>IFERROR(__xludf.DUMMYFUNCTION("""COMPUTED_VALUE"""),"person")</f>
        <v>person</v>
      </c>
      <c r="AK1373" s="49"/>
      <c r="AL1373" s="49"/>
      <c r="AM1373" s="49"/>
      <c r="AN1373" s="52" t="str">
        <f t="shared" si="5"/>
        <v>wars,</v>
      </c>
    </row>
    <row r="1374">
      <c r="A1374" s="51"/>
      <c r="B1374" s="50" t="s">
        <v>6682</v>
      </c>
      <c r="C1374" s="50" t="s">
        <v>4051</v>
      </c>
      <c r="D1374" s="49" t="str">
        <f>IFERROR(__xludf.DUMMYFUNCTION("""COMPUTED_VALUE"""),"aged")</f>
        <v>aged</v>
      </c>
      <c r="E1374" s="49"/>
      <c r="F1374" s="49"/>
      <c r="G1374" s="49"/>
      <c r="H1374" s="54" t="str">
        <f t="shared" si="1"/>
        <v>closed,</v>
      </c>
      <c r="I1374" s="50"/>
      <c r="J1374" s="50" t="s">
        <v>2176</v>
      </c>
      <c r="K1374" s="50" t="s">
        <v>4437</v>
      </c>
      <c r="L1374" s="49" t="str">
        <f>IFERROR(__xludf.DUMMYFUNCTION("""COMPUTED_VALUE"""),"composed")</f>
        <v>composed</v>
      </c>
      <c r="M1374" s="49"/>
      <c r="N1374" s="49"/>
      <c r="O1374" s="49" t="str">
        <f>IFERROR(__xludf.DUMMYFUNCTION("""COMPUTED_VALUE"""),"thumbs")</f>
        <v>thumbs</v>
      </c>
      <c r="P1374" s="49" t="str">
        <f t="shared" si="2"/>
        <v>includes,</v>
      </c>
      <c r="Q1374" s="49"/>
      <c r="R1374" s="50" t="s">
        <v>5183</v>
      </c>
      <c r="S1374" s="55" t="s">
        <v>2605</v>
      </c>
      <c r="T1374" s="49" t="str">
        <f>IFERROR(__xludf.DUMMYFUNCTION("""COMPUTED_VALUE"""),"journalist")</f>
        <v>journalist</v>
      </c>
      <c r="U1374" s="49"/>
      <c r="V1374" s="49"/>
      <c r="W1374" s="49" t="str">
        <f>IFERROR(__xludf.DUMMYFUNCTION("""COMPUTED_VALUE"""),"couch")</f>
        <v>couch</v>
      </c>
      <c r="X1374" s="49" t="str">
        <f t="shared" si="3"/>
        <v>timing,</v>
      </c>
      <c r="Y1374" s="49"/>
      <c r="Z1374" s="1" t="s">
        <v>1282</v>
      </c>
      <c r="AA1374" s="1" t="s">
        <v>4436</v>
      </c>
      <c r="AB1374" s="49"/>
      <c r="AC1374" s="49"/>
      <c r="AD1374" s="49"/>
      <c r="AE1374" s="49" t="str">
        <f>IFERROR(__xludf.DUMMYFUNCTION("""COMPUTED_VALUE"""),"thumbs")</f>
        <v>thumbs</v>
      </c>
      <c r="AF1374" s="49" t="str">
        <f t="shared" si="4"/>
        <v>somehow,</v>
      </c>
      <c r="AG1374" s="49"/>
      <c r="AH1374" s="1" t="s">
        <v>7014</v>
      </c>
      <c r="AI1374" s="1" t="s">
        <v>2080</v>
      </c>
      <c r="AJ1374" s="6" t="str">
        <f>IFERROR(__xludf.DUMMYFUNCTION("""COMPUTED_VALUE"""),"stage")</f>
        <v>stage</v>
      </c>
      <c r="AK1374" s="49"/>
      <c r="AL1374" s="49"/>
      <c r="AM1374" s="49"/>
      <c r="AN1374" s="52" t="str">
        <f t="shared" si="5"/>
        <v>supplies,</v>
      </c>
    </row>
    <row r="1375">
      <c r="A1375" s="51"/>
      <c r="B1375" s="50" t="s">
        <v>3597</v>
      </c>
      <c r="C1375" s="50" t="s">
        <v>4147</v>
      </c>
      <c r="D1375" s="49" t="str">
        <f>IFERROR(__xludf.DUMMYFUNCTION("""COMPUTED_VALUE"""),"eddie")</f>
        <v>eddie</v>
      </c>
      <c r="E1375" s="49"/>
      <c r="F1375" s="49"/>
      <c r="G1375" s="49"/>
      <c r="H1375" s="54" t="str">
        <f t="shared" si="1"/>
        <v>coming,</v>
      </c>
      <c r="I1375" s="50"/>
      <c r="J1375" s="50" t="s">
        <v>4590</v>
      </c>
      <c r="K1375" s="50" t="s">
        <v>2769</v>
      </c>
      <c r="L1375" s="49" t="str">
        <f>IFERROR(__xludf.DUMMYFUNCTION("""COMPUTED_VALUE"""),"stirring")</f>
        <v>stirring</v>
      </c>
      <c r="M1375" s="49"/>
      <c r="N1375" s="49"/>
      <c r="O1375" s="49" t="str">
        <f>IFERROR(__xludf.DUMMYFUNCTION("""COMPUTED_VALUE"""),"specific")</f>
        <v>specific</v>
      </c>
      <c r="P1375" s="49" t="str">
        <f t="shared" si="2"/>
        <v>visit,</v>
      </c>
      <c r="Q1375" s="49"/>
      <c r="R1375" s="50" t="s">
        <v>6032</v>
      </c>
      <c r="S1375" s="55" t="s">
        <v>3757</v>
      </c>
      <c r="T1375" s="49" t="str">
        <f>IFERROR(__xludf.DUMMYFUNCTION("""COMPUTED_VALUE"""),"slap")</f>
        <v>slap</v>
      </c>
      <c r="U1375" s="49"/>
      <c r="V1375" s="49"/>
      <c r="W1375" s="49" t="str">
        <f>IFERROR(__xludf.DUMMYFUNCTION("""COMPUTED_VALUE"""),"flowering")</f>
        <v>flowering</v>
      </c>
      <c r="X1375" s="49" t="str">
        <f t="shared" si="3"/>
        <v>acquire,</v>
      </c>
      <c r="Y1375" s="49"/>
      <c r="Z1375" s="1" t="s">
        <v>882</v>
      </c>
      <c r="AA1375" s="1" t="s">
        <v>4438</v>
      </c>
      <c r="AB1375" s="49"/>
      <c r="AC1375" s="49"/>
      <c r="AD1375" s="49"/>
      <c r="AE1375" s="49" t="str">
        <f>IFERROR(__xludf.DUMMYFUNCTION("""COMPUTED_VALUE"""),"specific")</f>
        <v>specific</v>
      </c>
      <c r="AF1375" s="49" t="str">
        <f t="shared" si="4"/>
        <v>premise,</v>
      </c>
      <c r="AG1375" s="49"/>
      <c r="AH1375" s="1" t="s">
        <v>5563</v>
      </c>
      <c r="AI1375" s="1" t="s">
        <v>3675</v>
      </c>
      <c r="AJ1375" s="6" t="str">
        <f>IFERROR(__xludf.DUMMYFUNCTION("""COMPUTED_VALUE"""),"medium")</f>
        <v>medium</v>
      </c>
      <c r="AK1375" s="49"/>
      <c r="AL1375" s="49"/>
      <c r="AM1375" s="49"/>
      <c r="AN1375" s="52" t="str">
        <f t="shared" si="5"/>
        <v>lucas,</v>
      </c>
    </row>
    <row r="1376">
      <c r="A1376" s="51"/>
      <c r="B1376" s="50" t="s">
        <v>1898</v>
      </c>
      <c r="C1376" s="50" t="s">
        <v>2454</v>
      </c>
      <c r="D1376" s="49" t="str">
        <f>IFERROR(__xludf.DUMMYFUNCTION("""COMPUTED_VALUE"""),"murphy")</f>
        <v>murphy</v>
      </c>
      <c r="E1376" s="49"/>
      <c r="F1376" s="49"/>
      <c r="G1376" s="49"/>
      <c r="H1376" s="54" t="str">
        <f t="shared" si="1"/>
        <v>die,</v>
      </c>
      <c r="I1376" s="50"/>
      <c r="J1376" s="50" t="s">
        <v>2331</v>
      </c>
      <c r="K1376" s="50" t="s">
        <v>2772</v>
      </c>
      <c r="L1376" s="49" t="str">
        <f>IFERROR(__xludf.DUMMYFUNCTION("""COMPUTED_VALUE"""),"calm")</f>
        <v>calm</v>
      </c>
      <c r="M1376" s="49"/>
      <c r="N1376" s="49"/>
      <c r="O1376" s="49" t="str">
        <f>IFERROR(__xludf.DUMMYFUNCTION("""COMPUTED_VALUE"""),"stills")</f>
        <v>stills</v>
      </c>
      <c r="P1376" s="49" t="str">
        <f t="shared" si="2"/>
        <v>intact,</v>
      </c>
      <c r="Q1376" s="49"/>
      <c r="R1376" s="50" t="s">
        <v>460</v>
      </c>
      <c r="S1376" s="55" t="s">
        <v>5568</v>
      </c>
      <c r="T1376" s="49" t="str">
        <f>IFERROR(__xludf.DUMMYFUNCTION("""COMPUTED_VALUE"""),"confidence")</f>
        <v>confidence</v>
      </c>
      <c r="U1376" s="49"/>
      <c r="V1376" s="49"/>
      <c r="W1376" s="49" t="str">
        <f>IFERROR(__xludf.DUMMYFUNCTION("""COMPUTED_VALUE"""),"testosterone")</f>
        <v>testosterone</v>
      </c>
      <c r="X1376" s="49" t="str">
        <f t="shared" si="3"/>
        <v>predecessor,</v>
      </c>
      <c r="Y1376" s="49"/>
      <c r="Z1376" s="1" t="s">
        <v>2200</v>
      </c>
      <c r="AA1376" s="1" t="s">
        <v>3335</v>
      </c>
      <c r="AB1376" s="49"/>
      <c r="AC1376" s="49"/>
      <c r="AD1376" s="49"/>
      <c r="AE1376" s="49" t="str">
        <f>IFERROR(__xludf.DUMMYFUNCTION("""COMPUTED_VALUE"""),"stills")</f>
        <v>stills</v>
      </c>
      <c r="AF1376" s="49" t="str">
        <f t="shared" si="4"/>
        <v>audiences,</v>
      </c>
      <c r="AG1376" s="49"/>
      <c r="AH1376" s="1" t="s">
        <v>1223</v>
      </c>
      <c r="AI1376" s="1" t="s">
        <v>3605</v>
      </c>
      <c r="AJ1376" s="6" t="str">
        <f>IFERROR(__xludf.DUMMYFUNCTION("""COMPUTED_VALUE"""),"translation")</f>
        <v>translation</v>
      </c>
      <c r="AK1376" s="49"/>
      <c r="AL1376" s="49"/>
      <c r="AM1376" s="49"/>
      <c r="AN1376" s="52" t="str">
        <f t="shared" si="5"/>
        <v>open,</v>
      </c>
    </row>
    <row r="1377">
      <c r="A1377" s="51"/>
      <c r="B1377" s="50" t="s">
        <v>4469</v>
      </c>
      <c r="C1377" s="50" t="s">
        <v>721</v>
      </c>
      <c r="D1377" s="49" t="str">
        <f>IFERROR(__xludf.DUMMYFUNCTION("""COMPUTED_VALUE"""),"host")</f>
        <v>host</v>
      </c>
      <c r="E1377" s="49"/>
      <c r="F1377" s="49"/>
      <c r="G1377" s="49"/>
      <c r="H1377" s="54" t="str">
        <f t="shared" si="1"/>
        <v>box,</v>
      </c>
      <c r="I1377" s="50"/>
      <c r="J1377" s="50" t="s">
        <v>1051</v>
      </c>
      <c r="K1377" s="50" t="s">
        <v>2775</v>
      </c>
      <c r="L1377" s="49" t="str">
        <f>IFERROR(__xludf.DUMMYFUNCTION("""COMPUTED_VALUE"""),"suffering")</f>
        <v>suffering</v>
      </c>
      <c r="M1377" s="49"/>
      <c r="N1377" s="49"/>
      <c r="O1377" s="49" t="str">
        <f>IFERROR(__xludf.DUMMYFUNCTION("""COMPUTED_VALUE"""),"rattling")</f>
        <v>rattling</v>
      </c>
      <c r="P1377" s="49" t="str">
        <f t="shared" si="2"/>
        <v>sly,</v>
      </c>
      <c r="Q1377" s="49"/>
      <c r="R1377" s="50" t="s">
        <v>1890</v>
      </c>
      <c r="S1377" s="55" t="s">
        <v>4444</v>
      </c>
      <c r="T1377" s="49" t="str">
        <f>IFERROR(__xludf.DUMMYFUNCTION("""COMPUTED_VALUE"""),"dust")</f>
        <v>dust</v>
      </c>
      <c r="U1377" s="49"/>
      <c r="V1377" s="49"/>
      <c r="W1377" s="49" t="str">
        <f>IFERROR(__xludf.DUMMYFUNCTION("""COMPUTED_VALUE"""),"serials")</f>
        <v>serials</v>
      </c>
      <c r="X1377" s="49" t="str">
        <f t="shared" si="3"/>
        <v>satisfactory,</v>
      </c>
      <c r="Y1377" s="49"/>
      <c r="Z1377" s="1" t="s">
        <v>2673</v>
      </c>
      <c r="AA1377" s="1" t="s">
        <v>4441</v>
      </c>
      <c r="AB1377" s="49"/>
      <c r="AC1377" s="49"/>
      <c r="AD1377" s="49"/>
      <c r="AE1377" s="49" t="str">
        <f>IFERROR(__xludf.DUMMYFUNCTION("""COMPUTED_VALUE"""),"rattling")</f>
        <v>rattling</v>
      </c>
      <c r="AF1377" s="49" t="str">
        <f t="shared" si="4"/>
        <v>jones,</v>
      </c>
      <c r="AG1377" s="49"/>
      <c r="AH1377" s="1" t="s">
        <v>3469</v>
      </c>
      <c r="AI1377" s="1" t="s">
        <v>1420</v>
      </c>
      <c r="AJ1377" s="6" t="str">
        <f>IFERROR(__xludf.DUMMYFUNCTION("""COMPUTED_VALUE"""),"creative")</f>
        <v>creative</v>
      </c>
      <c r="AK1377" s="49"/>
      <c r="AL1377" s="49"/>
      <c r="AM1377" s="49"/>
      <c r="AN1377" s="52" t="str">
        <f t="shared" si="5"/>
        <v>sound,</v>
      </c>
    </row>
    <row r="1378">
      <c r="A1378" s="51"/>
      <c r="B1378" s="50" t="s">
        <v>2630</v>
      </c>
      <c r="C1378" s="50" t="s">
        <v>2421</v>
      </c>
      <c r="D1378" s="49" t="str">
        <f>IFERROR(__xludf.DUMMYFUNCTION("""COMPUTED_VALUE"""),"marked")</f>
        <v>marked</v>
      </c>
      <c r="E1378" s="49"/>
      <c r="F1378" s="49"/>
      <c r="G1378" s="49"/>
      <c r="H1378" s="54" t="str">
        <f t="shared" si="1"/>
        <v>spirit,</v>
      </c>
      <c r="I1378" s="50"/>
      <c r="J1378" s="50" t="s">
        <v>7044</v>
      </c>
      <c r="K1378" s="50" t="s">
        <v>3943</v>
      </c>
      <c r="L1378" s="49" t="str">
        <f>IFERROR(__xludf.DUMMYFUNCTION("""COMPUTED_VALUE"""),"dvd")</f>
        <v>dvd</v>
      </c>
      <c r="M1378" s="49"/>
      <c r="N1378" s="49"/>
      <c r="O1378" s="49" t="str">
        <f>IFERROR(__xludf.DUMMYFUNCTION("""COMPUTED_VALUE"""),"maiden")</f>
        <v>maiden</v>
      </c>
      <c r="P1378" s="49" t="str">
        <f t="shared" si="2"/>
        <v>crystal,</v>
      </c>
      <c r="Q1378" s="49"/>
      <c r="R1378" s="50" t="s">
        <v>4018</v>
      </c>
      <c r="S1378" s="55" t="s">
        <v>2554</v>
      </c>
      <c r="T1378" s="49" t="str">
        <f>IFERROR(__xludf.DUMMYFUNCTION("""COMPUTED_VALUE"""),"exposure")</f>
        <v>exposure</v>
      </c>
      <c r="U1378" s="49"/>
      <c r="V1378" s="49"/>
      <c r="W1378" s="49" t="str">
        <f>IFERROR(__xludf.DUMMYFUNCTION("""COMPUTED_VALUE"""),"jolted")</f>
        <v>jolted</v>
      </c>
      <c r="X1378" s="49" t="str">
        <f t="shared" si="3"/>
        <v>encouraging,</v>
      </c>
      <c r="Y1378" s="49"/>
      <c r="Z1378" s="1" t="s">
        <v>1330</v>
      </c>
      <c r="AA1378" s="1" t="s">
        <v>1810</v>
      </c>
      <c r="AB1378" s="49"/>
      <c r="AC1378" s="49"/>
      <c r="AD1378" s="49"/>
      <c r="AE1378" s="49" t="str">
        <f>IFERROR(__xludf.DUMMYFUNCTION("""COMPUTED_VALUE"""),"maiden")</f>
        <v>maiden</v>
      </c>
      <c r="AF1378" s="49" t="str">
        <f t="shared" si="4"/>
        <v>run,</v>
      </c>
      <c r="AG1378" s="49"/>
      <c r="AH1378" s="1" t="s">
        <v>6682</v>
      </c>
      <c r="AI1378" s="1" t="s">
        <v>3905</v>
      </c>
      <c r="AJ1378" s="6" t="str">
        <f>IFERROR(__xludf.DUMMYFUNCTION("""COMPUTED_VALUE"""),"filmed")</f>
        <v>filmed</v>
      </c>
      <c r="AK1378" s="49"/>
      <c r="AL1378" s="49"/>
      <c r="AM1378" s="49"/>
      <c r="AN1378" s="52" t="str">
        <f t="shared" si="5"/>
        <v>closed,</v>
      </c>
    </row>
    <row r="1379">
      <c r="A1379" s="51"/>
      <c r="B1379" s="50" t="s">
        <v>1836</v>
      </c>
      <c r="C1379" s="50" t="s">
        <v>4059</v>
      </c>
      <c r="D1379" s="49" t="str">
        <f>IFERROR(__xludf.DUMMYFUNCTION("""COMPUTED_VALUE"""),"door")</f>
        <v>door</v>
      </c>
      <c r="E1379" s="49"/>
      <c r="F1379" s="49"/>
      <c r="G1379" s="49"/>
      <c r="H1379" s="54" t="str">
        <f t="shared" si="1"/>
        <v>surprise,</v>
      </c>
      <c r="I1379" s="50"/>
      <c r="J1379" s="50" t="s">
        <v>353</v>
      </c>
      <c r="K1379" s="50" t="s">
        <v>744</v>
      </c>
      <c r="L1379" s="49" t="str">
        <f>IFERROR(__xludf.DUMMYFUNCTION("""COMPUTED_VALUE"""),"inclination")</f>
        <v>inclination</v>
      </c>
      <c r="M1379" s="49"/>
      <c r="N1379" s="49"/>
      <c r="O1379" s="49" t="str">
        <f>IFERROR(__xludf.DUMMYFUNCTION("""COMPUTED_VALUE"""),"insignificant")</f>
        <v>insignificant</v>
      </c>
      <c r="P1379" s="49" t="str">
        <f t="shared" si="2"/>
        <v>provocative,</v>
      </c>
      <c r="Q1379" s="49"/>
      <c r="R1379" s="50" t="s">
        <v>6737</v>
      </c>
      <c r="S1379" s="55" t="s">
        <v>3764</v>
      </c>
      <c r="T1379" s="49" t="str">
        <f>IFERROR(__xludf.DUMMYFUNCTION("""COMPUTED_VALUE"""),"charge")</f>
        <v>charge</v>
      </c>
      <c r="U1379" s="49"/>
      <c r="V1379" s="49"/>
      <c r="W1379" s="49" t="str">
        <f>IFERROR(__xludf.DUMMYFUNCTION("""COMPUTED_VALUE"""),"cousin")</f>
        <v>cousin</v>
      </c>
      <c r="X1379" s="49" t="str">
        <f t="shared" si="3"/>
        <v>students,</v>
      </c>
      <c r="Y1379" s="49"/>
      <c r="Z1379" s="1" t="s">
        <v>3853</v>
      </c>
      <c r="AA1379" s="1" t="s">
        <v>3016</v>
      </c>
      <c r="AB1379" s="49"/>
      <c r="AC1379" s="49"/>
      <c r="AD1379" s="49"/>
      <c r="AE1379" s="49" t="str">
        <f>IFERROR(__xludf.DUMMYFUNCTION("""COMPUTED_VALUE"""),"insignificant")</f>
        <v>insignificant</v>
      </c>
      <c r="AF1379" s="49" t="str">
        <f t="shared" si="4"/>
        <v>mark,</v>
      </c>
      <c r="AG1379" s="49"/>
      <c r="AH1379" s="1" t="s">
        <v>3597</v>
      </c>
      <c r="AI1379" s="1" t="s">
        <v>6478</v>
      </c>
      <c r="AJ1379" s="6" t="str">
        <f>IFERROR(__xludf.DUMMYFUNCTION("""COMPUTED_VALUE"""),"international")</f>
        <v>international</v>
      </c>
      <c r="AK1379" s="49"/>
      <c r="AL1379" s="49"/>
      <c r="AM1379" s="49"/>
      <c r="AN1379" s="52" t="str">
        <f t="shared" si="5"/>
        <v>coming,</v>
      </c>
    </row>
    <row r="1380">
      <c r="A1380" s="51"/>
      <c r="B1380" s="50" t="s">
        <v>7363</v>
      </c>
      <c r="C1380" s="50" t="s">
        <v>2443</v>
      </c>
      <c r="D1380" s="49" t="str">
        <f>IFERROR(__xludf.DUMMYFUNCTION("""COMPUTED_VALUE"""),"selection")</f>
        <v>selection</v>
      </c>
      <c r="E1380" s="49"/>
      <c r="F1380" s="49"/>
      <c r="G1380" s="49"/>
      <c r="H1380" s="54" t="str">
        <f t="shared" si="1"/>
        <v>massacre,</v>
      </c>
      <c r="I1380" s="50"/>
      <c r="J1380" s="50" t="s">
        <v>3055</v>
      </c>
      <c r="K1380" s="50" t="s">
        <v>3947</v>
      </c>
      <c r="L1380" s="49" t="str">
        <f>IFERROR(__xludf.DUMMYFUNCTION("""COMPUTED_VALUE"""),"humane")</f>
        <v>humane</v>
      </c>
      <c r="M1380" s="49"/>
      <c r="N1380" s="49"/>
      <c r="O1380" s="49" t="str">
        <f>IFERROR(__xludf.DUMMYFUNCTION("""COMPUTED_VALUE"""),"examines")</f>
        <v>examines</v>
      </c>
      <c r="P1380" s="49" t="str">
        <f t="shared" si="2"/>
        <v>holds,</v>
      </c>
      <c r="Q1380" s="49"/>
      <c r="R1380" s="50" t="s">
        <v>3916</v>
      </c>
      <c r="S1380" s="55" t="s">
        <v>671</v>
      </c>
      <c r="T1380" s="49" t="str">
        <f>IFERROR(__xludf.DUMMYFUNCTION("""COMPUTED_VALUE"""),"yearning")</f>
        <v>yearning</v>
      </c>
      <c r="U1380" s="49"/>
      <c r="V1380" s="49"/>
      <c r="W1380" s="49" t="str">
        <f>IFERROR(__xludf.DUMMYFUNCTION("""COMPUTED_VALUE"""),"masculine")</f>
        <v>masculine</v>
      </c>
      <c r="X1380" s="49" t="str">
        <f t="shared" si="3"/>
        <v>brain,</v>
      </c>
      <c r="Y1380" s="49"/>
      <c r="Z1380" s="1" t="s">
        <v>5530</v>
      </c>
      <c r="AA1380" s="1" t="s">
        <v>4447</v>
      </c>
      <c r="AB1380" s="49"/>
      <c r="AC1380" s="49"/>
      <c r="AD1380" s="49"/>
      <c r="AE1380" s="49" t="str">
        <f>IFERROR(__xludf.DUMMYFUNCTION("""COMPUTED_VALUE"""),"examines")</f>
        <v>examines</v>
      </c>
      <c r="AF1380" s="49" t="str">
        <f t="shared" si="4"/>
        <v>chief,</v>
      </c>
      <c r="AG1380" s="49"/>
      <c r="AH1380" s="1" t="s">
        <v>1898</v>
      </c>
      <c r="AI1380" s="1" t="s">
        <v>3392</v>
      </c>
      <c r="AJ1380" s="6" t="str">
        <f>IFERROR(__xludf.DUMMYFUNCTION("""COMPUTED_VALUE"""),"australia")</f>
        <v>australia</v>
      </c>
      <c r="AK1380" s="49"/>
      <c r="AL1380" s="49"/>
      <c r="AM1380" s="49"/>
      <c r="AN1380" s="52" t="str">
        <f t="shared" si="5"/>
        <v>die,</v>
      </c>
    </row>
    <row r="1381">
      <c r="A1381" s="51"/>
      <c r="B1381" s="50" t="s">
        <v>1256</v>
      </c>
      <c r="C1381" s="50" t="s">
        <v>3535</v>
      </c>
      <c r="D1381" s="49" t="str">
        <f>IFERROR(__xludf.DUMMYFUNCTION("""COMPUTED_VALUE"""),"impression")</f>
        <v>impression</v>
      </c>
      <c r="E1381" s="49"/>
      <c r="F1381" s="49"/>
      <c r="G1381" s="49"/>
      <c r="H1381" s="54" t="str">
        <f t="shared" si="1"/>
        <v>produced,</v>
      </c>
      <c r="I1381" s="50"/>
      <c r="J1381" s="50" t="s">
        <v>2073</v>
      </c>
      <c r="K1381" s="50" t="s">
        <v>4272</v>
      </c>
      <c r="L1381" s="49" t="str">
        <f>IFERROR(__xludf.DUMMYFUNCTION("""COMPUTED_VALUE"""),"extraordinary")</f>
        <v>extraordinary</v>
      </c>
      <c r="M1381" s="49"/>
      <c r="N1381" s="49"/>
      <c r="O1381" s="49" t="str">
        <f>IFERROR(__xludf.DUMMYFUNCTION("""COMPUTED_VALUE"""),"tense")</f>
        <v>tense</v>
      </c>
      <c r="P1381" s="49" t="str">
        <f t="shared" si="2"/>
        <v>trouble,</v>
      </c>
      <c r="Q1381" s="49"/>
      <c r="R1381" s="50" t="s">
        <v>376</v>
      </c>
      <c r="S1381" s="55" t="s">
        <v>2614</v>
      </c>
      <c r="T1381" s="49" t="str">
        <f>IFERROR(__xludf.DUMMYFUNCTION("""COMPUTED_VALUE"""),"interpretation")</f>
        <v>interpretation</v>
      </c>
      <c r="U1381" s="49"/>
      <c r="V1381" s="49"/>
      <c r="W1381" s="49" t="str">
        <f>IFERROR(__xludf.DUMMYFUNCTION("""COMPUTED_VALUE"""),"lecture")</f>
        <v>lecture</v>
      </c>
      <c r="X1381" s="49" t="str">
        <f t="shared" si="3"/>
        <v>intelligent,</v>
      </c>
      <c r="Y1381" s="49"/>
      <c r="Z1381" s="1" t="s">
        <v>3659</v>
      </c>
      <c r="AA1381" s="1" t="s">
        <v>3019</v>
      </c>
      <c r="AB1381" s="49"/>
      <c r="AC1381" s="49"/>
      <c r="AD1381" s="49"/>
      <c r="AE1381" s="49" t="str">
        <f>IFERROR(__xludf.DUMMYFUNCTION("""COMPUTED_VALUE"""),"tense")</f>
        <v>tense</v>
      </c>
      <c r="AF1381" s="49" t="str">
        <f t="shared" si="4"/>
        <v>extra,</v>
      </c>
      <c r="AG1381" s="49"/>
      <c r="AH1381" s="1" t="s">
        <v>4469</v>
      </c>
      <c r="AI1381" s="1" t="s">
        <v>2473</v>
      </c>
      <c r="AJ1381" s="6" t="str">
        <f>IFERROR(__xludf.DUMMYFUNCTION("""COMPUTED_VALUE"""),"festival")</f>
        <v>festival</v>
      </c>
      <c r="AK1381" s="49"/>
      <c r="AL1381" s="49"/>
      <c r="AM1381" s="49"/>
      <c r="AN1381" s="52" t="str">
        <f t="shared" si="5"/>
        <v>box,</v>
      </c>
    </row>
    <row r="1382">
      <c r="A1382" s="51"/>
      <c r="B1382" s="50" t="s">
        <v>2609</v>
      </c>
      <c r="C1382" s="50" t="s">
        <v>1424</v>
      </c>
      <c r="D1382" s="49" t="str">
        <f>IFERROR(__xludf.DUMMYFUNCTION("""COMPUTED_VALUE"""),"stand")</f>
        <v>stand</v>
      </c>
      <c r="E1382" s="49"/>
      <c r="F1382" s="49"/>
      <c r="G1382" s="49"/>
      <c r="H1382" s="54" t="str">
        <f t="shared" si="1"/>
        <v>fish,</v>
      </c>
      <c r="I1382" s="50"/>
      <c r="J1382" s="50" t="s">
        <v>4004</v>
      </c>
      <c r="K1382" s="50" t="s">
        <v>3951</v>
      </c>
      <c r="L1382" s="49" t="str">
        <f>IFERROR(__xludf.DUMMYFUNCTION("""COMPUTED_VALUE"""),"damaged")</f>
        <v>damaged</v>
      </c>
      <c r="M1382" s="49"/>
      <c r="N1382" s="49"/>
      <c r="O1382" s="49" t="str">
        <f>IFERROR(__xludf.DUMMYFUNCTION("""COMPUTED_VALUE"""),"explores")</f>
        <v>explores</v>
      </c>
      <c r="P1382" s="49" t="str">
        <f t="shared" si="2"/>
        <v>spy,</v>
      </c>
      <c r="Q1382" s="49"/>
      <c r="R1382" s="50" t="s">
        <v>6437</v>
      </c>
      <c r="S1382" s="55" t="s">
        <v>4884</v>
      </c>
      <c r="T1382" s="49" t="str">
        <f>IFERROR(__xludf.DUMMYFUNCTION("""COMPUTED_VALUE"""),"object")</f>
        <v>object</v>
      </c>
      <c r="U1382" s="49"/>
      <c r="V1382" s="49"/>
      <c r="W1382" s="49" t="str">
        <f>IFERROR(__xludf.DUMMYFUNCTION("""COMPUTED_VALUE"""),"humanist")</f>
        <v>humanist</v>
      </c>
      <c r="X1382" s="49" t="str">
        <f t="shared" si="3"/>
        <v>loved,</v>
      </c>
      <c r="Y1382" s="49"/>
      <c r="Z1382" s="1" t="s">
        <v>6334</v>
      </c>
      <c r="AA1382" s="1" t="s">
        <v>3342</v>
      </c>
      <c r="AB1382" s="49"/>
      <c r="AC1382" s="49"/>
      <c r="AD1382" s="49"/>
      <c r="AE1382" s="49" t="str">
        <f>IFERROR(__xludf.DUMMYFUNCTION("""COMPUTED_VALUE"""),"explores")</f>
        <v>explores</v>
      </c>
      <c r="AF1382" s="49" t="str">
        <f t="shared" si="4"/>
        <v>chances,</v>
      </c>
      <c r="AG1382" s="49"/>
      <c r="AH1382" s="1" t="s">
        <v>2630</v>
      </c>
      <c r="AI1382" s="1" t="s">
        <v>2471</v>
      </c>
      <c r="AJ1382" s="6">
        <f>IFERROR(__xludf.DUMMYFUNCTION("""COMPUTED_VALUE"""),1986.0)</f>
        <v>1986</v>
      </c>
      <c r="AK1382" s="49"/>
      <c r="AL1382" s="49"/>
      <c r="AM1382" s="49"/>
      <c r="AN1382" s="52" t="str">
        <f t="shared" si="5"/>
        <v>spirit,</v>
      </c>
    </row>
    <row r="1383">
      <c r="A1383" s="51"/>
      <c r="B1383" s="50" t="s">
        <v>4449</v>
      </c>
      <c r="C1383" s="50" t="s">
        <v>3888</v>
      </c>
      <c r="D1383" s="49" t="str">
        <f>IFERROR(__xludf.DUMMYFUNCTION("""COMPUTED_VALUE"""),"childhood")</f>
        <v>childhood</v>
      </c>
      <c r="E1383" s="49"/>
      <c r="F1383" s="49"/>
      <c r="G1383" s="49"/>
      <c r="H1383" s="54" t="str">
        <f t="shared" si="1"/>
        <v>tank,</v>
      </c>
      <c r="I1383" s="50"/>
      <c r="J1383" s="50" t="s">
        <v>4596</v>
      </c>
      <c r="K1383" s="50" t="s">
        <v>3955</v>
      </c>
      <c r="L1383" s="49" t="str">
        <f>IFERROR(__xludf.DUMMYFUNCTION("""COMPUTED_VALUE"""),"circuit")</f>
        <v>circuit</v>
      </c>
      <c r="M1383" s="49"/>
      <c r="N1383" s="49"/>
      <c r="O1383" s="49" t="str">
        <f>IFERROR(__xludf.DUMMYFUNCTION("""COMPUTED_VALUE"""),"string")</f>
        <v>string</v>
      </c>
      <c r="P1383" s="49" t="str">
        <f t="shared" si="2"/>
        <v>pipe,</v>
      </c>
      <c r="Q1383" s="49"/>
      <c r="R1383" s="50" t="s">
        <v>1380</v>
      </c>
      <c r="S1383" s="55" t="s">
        <v>840</v>
      </c>
      <c r="T1383" s="49" t="str">
        <f>IFERROR(__xludf.DUMMYFUNCTION("""COMPUTED_VALUE"""),"solo")</f>
        <v>solo</v>
      </c>
      <c r="U1383" s="49"/>
      <c r="V1383" s="49"/>
      <c r="W1383" s="49" t="str">
        <f>IFERROR(__xludf.DUMMYFUNCTION("""COMPUTED_VALUE"""),"und")</f>
        <v>und</v>
      </c>
      <c r="X1383" s="49" t="str">
        <f t="shared" si="3"/>
        <v>stale,</v>
      </c>
      <c r="Y1383" s="49"/>
      <c r="Z1383" s="1" t="s">
        <v>3623</v>
      </c>
      <c r="AA1383" s="1" t="s">
        <v>3345</v>
      </c>
      <c r="AB1383" s="49"/>
      <c r="AC1383" s="49"/>
      <c r="AD1383" s="49"/>
      <c r="AE1383" s="49" t="str">
        <f>IFERROR(__xludf.DUMMYFUNCTION("""COMPUTED_VALUE"""),"string")</f>
        <v>string</v>
      </c>
      <c r="AF1383" s="49" t="str">
        <f t="shared" si="4"/>
        <v>pool,</v>
      </c>
      <c r="AG1383" s="49"/>
      <c r="AH1383" s="1" t="s">
        <v>1836</v>
      </c>
      <c r="AI1383" s="1" t="s">
        <v>3269</v>
      </c>
      <c r="AJ1383" s="6" t="str">
        <f>IFERROR(__xludf.DUMMYFUNCTION("""COMPUTED_VALUE"""),"rules")</f>
        <v>rules</v>
      </c>
      <c r="AK1383" s="49"/>
      <c r="AL1383" s="49"/>
      <c r="AM1383" s="49"/>
      <c r="AN1383" s="52" t="str">
        <f t="shared" si="5"/>
        <v>surprise,</v>
      </c>
    </row>
    <row r="1384">
      <c r="A1384" s="51"/>
      <c r="B1384" s="50" t="s">
        <v>2525</v>
      </c>
      <c r="C1384" s="50" t="s">
        <v>3586</v>
      </c>
      <c r="D1384" s="49" t="str">
        <f>IFERROR(__xludf.DUMMYFUNCTION("""COMPUTED_VALUE"""),"perfectly")</f>
        <v>perfectly</v>
      </c>
      <c r="E1384" s="49"/>
      <c r="F1384" s="49"/>
      <c r="G1384" s="49"/>
      <c r="H1384" s="54" t="str">
        <f t="shared" si="1"/>
        <v>dates,</v>
      </c>
      <c r="I1384" s="50"/>
      <c r="J1384" s="50" t="s">
        <v>6294</v>
      </c>
      <c r="K1384" s="50" t="s">
        <v>753</v>
      </c>
      <c r="L1384" s="49" t="str">
        <f>IFERROR(__xludf.DUMMYFUNCTION("""COMPUTED_VALUE"""),"freaks")</f>
        <v>freaks</v>
      </c>
      <c r="M1384" s="49"/>
      <c r="N1384" s="49"/>
      <c r="O1384" s="49" t="str">
        <f>IFERROR(__xludf.DUMMYFUNCTION("""COMPUTED_VALUE"""),"steals")</f>
        <v>steals</v>
      </c>
      <c r="P1384" s="49" t="str">
        <f t="shared" si="2"/>
        <v>driving,</v>
      </c>
      <c r="Q1384" s="49"/>
      <c r="R1384" s="50" t="s">
        <v>5837</v>
      </c>
      <c r="S1384" s="55" t="s">
        <v>846</v>
      </c>
      <c r="T1384" s="49" t="str">
        <f>IFERROR(__xludf.DUMMYFUNCTION("""COMPUTED_VALUE"""),"determine")</f>
        <v>determine</v>
      </c>
      <c r="U1384" s="49"/>
      <c r="V1384" s="49"/>
      <c r="W1384" s="49" t="str">
        <f>IFERROR(__xludf.DUMMYFUNCTION("""COMPUTED_VALUE"""),"adaptations")</f>
        <v>adaptations</v>
      </c>
      <c r="X1384" s="49" t="str">
        <f t="shared" si="3"/>
        <v>reached,</v>
      </c>
      <c r="Y1384" s="49"/>
      <c r="Z1384" s="1" t="s">
        <v>4572</v>
      </c>
      <c r="AA1384" s="1" t="s">
        <v>3351</v>
      </c>
      <c r="AB1384" s="49"/>
      <c r="AC1384" s="49"/>
      <c r="AD1384" s="49"/>
      <c r="AE1384" s="49" t="str">
        <f>IFERROR(__xludf.DUMMYFUNCTION("""COMPUTED_VALUE"""),"steals")</f>
        <v>steals</v>
      </c>
      <c r="AF1384" s="49" t="str">
        <f t="shared" si="4"/>
        <v>seriously,</v>
      </c>
      <c r="AG1384" s="49"/>
      <c r="AH1384" s="1" t="s">
        <v>1256</v>
      </c>
      <c r="AI1384" s="1" t="s">
        <v>3739</v>
      </c>
      <c r="AJ1384" s="6" t="str">
        <f>IFERROR(__xludf.DUMMYFUNCTION("""COMPUTED_VALUE"""),"wait")</f>
        <v>wait</v>
      </c>
      <c r="AK1384" s="49"/>
      <c r="AL1384" s="49"/>
      <c r="AM1384" s="49"/>
      <c r="AN1384" s="52" t="str">
        <f t="shared" si="5"/>
        <v>produced,</v>
      </c>
    </row>
    <row r="1385">
      <c r="A1385" s="51"/>
      <c r="B1385" s="50" t="s">
        <v>3559</v>
      </c>
      <c r="C1385" s="50" t="s">
        <v>3541</v>
      </c>
      <c r="D1385" s="49" t="str">
        <f>IFERROR(__xludf.DUMMYFUNCTION("""COMPUTED_VALUE"""),"attitude")</f>
        <v>attitude</v>
      </c>
      <c r="E1385" s="49"/>
      <c r="F1385" s="49"/>
      <c r="G1385" s="49"/>
      <c r="H1385" s="54" t="str">
        <f t="shared" si="1"/>
        <v>raise,</v>
      </c>
      <c r="I1385" s="50"/>
      <c r="J1385" s="50" t="s">
        <v>4256</v>
      </c>
      <c r="K1385" s="50" t="s">
        <v>4455</v>
      </c>
      <c r="L1385" s="49" t="str">
        <f>IFERROR(__xludf.DUMMYFUNCTION("""COMPUTED_VALUE"""),"format")</f>
        <v>format</v>
      </c>
      <c r="M1385" s="49"/>
      <c r="N1385" s="49"/>
      <c r="O1385" s="49" t="str">
        <f>IFERROR(__xludf.DUMMYFUNCTION("""COMPUTED_VALUE"""),"reinforcement")</f>
        <v>reinforcement</v>
      </c>
      <c r="P1385" s="49" t="str">
        <f t="shared" si="2"/>
        <v>accents,</v>
      </c>
      <c r="Q1385" s="49"/>
      <c r="R1385" s="50" t="s">
        <v>87</v>
      </c>
      <c r="S1385" s="55" t="s">
        <v>3781</v>
      </c>
      <c r="T1385" s="49" t="str">
        <f>IFERROR(__xludf.DUMMYFUNCTION("""COMPUTED_VALUE"""),"prolific")</f>
        <v>prolific</v>
      </c>
      <c r="U1385" s="49"/>
      <c r="V1385" s="49"/>
      <c r="W1385" s="49">
        <f>IFERROR(__xludf.DUMMYFUNCTION("""COMPUTED_VALUE"""),2.0)</f>
        <v>2</v>
      </c>
      <c r="X1385" s="49" t="str">
        <f t="shared" si="3"/>
        <v>compelling,</v>
      </c>
      <c r="Y1385" s="49"/>
      <c r="Z1385" s="1" t="s">
        <v>1631</v>
      </c>
      <c r="AA1385" s="1" t="s">
        <v>766</v>
      </c>
      <c r="AB1385" s="49"/>
      <c r="AC1385" s="49"/>
      <c r="AD1385" s="49"/>
      <c r="AE1385" s="49" t="str">
        <f>IFERROR(__xludf.DUMMYFUNCTION("""COMPUTED_VALUE"""),"reinforcement")</f>
        <v>reinforcement</v>
      </c>
      <c r="AF1385" s="49" t="str">
        <f t="shared" si="4"/>
        <v>table,</v>
      </c>
      <c r="AG1385" s="49"/>
      <c r="AH1385" s="1" t="s">
        <v>2609</v>
      </c>
      <c r="AI1385" s="1" t="s">
        <v>924</v>
      </c>
      <c r="AJ1385" s="6" t="str">
        <f>IFERROR(__xludf.DUMMYFUNCTION("""COMPUTED_VALUE"""),"arthur")</f>
        <v>arthur</v>
      </c>
      <c r="AK1385" s="49"/>
      <c r="AL1385" s="49"/>
      <c r="AM1385" s="49"/>
      <c r="AN1385" s="52" t="str">
        <f t="shared" si="5"/>
        <v>fish,</v>
      </c>
    </row>
    <row r="1386">
      <c r="A1386" s="51"/>
      <c r="B1386" s="50" t="s">
        <v>6483</v>
      </c>
      <c r="C1386" s="50" t="s">
        <v>4206</v>
      </c>
      <c r="D1386" s="49" t="str">
        <f>IFERROR(__xludf.DUMMYFUNCTION("""COMPUTED_VALUE"""),"writer")</f>
        <v>writer</v>
      </c>
      <c r="E1386" s="49"/>
      <c r="F1386" s="49"/>
      <c r="G1386" s="49"/>
      <c r="H1386" s="54" t="str">
        <f t="shared" si="1"/>
        <v>replace,</v>
      </c>
      <c r="I1386" s="50"/>
      <c r="J1386" s="50" t="s">
        <v>4922</v>
      </c>
      <c r="K1386" s="50" t="s">
        <v>2783</v>
      </c>
      <c r="L1386" s="49" t="str">
        <f>IFERROR(__xludf.DUMMYFUNCTION("""COMPUTED_VALUE"""),"tendencies")</f>
        <v>tendencies</v>
      </c>
      <c r="M1386" s="49"/>
      <c r="N1386" s="49"/>
      <c r="O1386" s="49" t="str">
        <f>IFERROR(__xludf.DUMMYFUNCTION("""COMPUTED_VALUE"""),"distinguish")</f>
        <v>distinguish</v>
      </c>
      <c r="P1386" s="49" t="str">
        <f t="shared" si="2"/>
        <v>1950s,</v>
      </c>
      <c r="Q1386" s="49"/>
      <c r="R1386" s="50" t="s">
        <v>5187</v>
      </c>
      <c r="S1386" s="55" t="s">
        <v>676</v>
      </c>
      <c r="T1386" s="49" t="str">
        <f>IFERROR(__xludf.DUMMYFUNCTION("""COMPUTED_VALUE"""),"feat")</f>
        <v>feat</v>
      </c>
      <c r="U1386" s="49"/>
      <c r="V1386" s="49"/>
      <c r="W1386" s="49" t="str">
        <f>IFERROR(__xludf.DUMMYFUNCTION("""COMPUTED_VALUE"""),"impulse")</f>
        <v>impulse</v>
      </c>
      <c r="X1386" s="49" t="str">
        <f t="shared" si="3"/>
        <v>bitter,</v>
      </c>
      <c r="Y1386" s="49"/>
      <c r="Z1386" s="1" t="s">
        <v>4497</v>
      </c>
      <c r="AA1386" s="1" t="s">
        <v>279</v>
      </c>
      <c r="AB1386" s="49"/>
      <c r="AC1386" s="49"/>
      <c r="AD1386" s="49"/>
      <c r="AE1386" s="49" t="str">
        <f>IFERROR(__xludf.DUMMYFUNCTION("""COMPUTED_VALUE"""),"distinguish")</f>
        <v>distinguish</v>
      </c>
      <c r="AF1386" s="49" t="str">
        <f t="shared" si="4"/>
        <v>chris,</v>
      </c>
      <c r="AG1386" s="49"/>
      <c r="AH1386" s="1" t="s">
        <v>4449</v>
      </c>
      <c r="AI1386" s="1" t="s">
        <v>1201</v>
      </c>
      <c r="AJ1386" s="6" t="str">
        <f>IFERROR(__xludf.DUMMYFUNCTION("""COMPUTED_VALUE"""),"learned")</f>
        <v>learned</v>
      </c>
      <c r="AK1386" s="49"/>
      <c r="AL1386" s="49"/>
      <c r="AM1386" s="49"/>
      <c r="AN1386" s="52" t="str">
        <f t="shared" si="5"/>
        <v>tank,</v>
      </c>
    </row>
    <row r="1387">
      <c r="A1387" s="51"/>
      <c r="B1387" s="50" t="s">
        <v>3418</v>
      </c>
      <c r="C1387" s="50" t="s">
        <v>6389</v>
      </c>
      <c r="D1387" s="49" t="str">
        <f>IFERROR(__xludf.DUMMYFUNCTION("""COMPUTED_VALUE"""),"michael")</f>
        <v>michael</v>
      </c>
      <c r="E1387" s="49"/>
      <c r="F1387" s="49"/>
      <c r="G1387" s="49"/>
      <c r="H1387" s="54" t="str">
        <f t="shared" si="1"/>
        <v>staying,</v>
      </c>
      <c r="I1387" s="50"/>
      <c r="J1387" s="50" t="s">
        <v>2077</v>
      </c>
      <c r="K1387" s="50" t="s">
        <v>2787</v>
      </c>
      <c r="L1387" s="49" t="str">
        <f>IFERROR(__xludf.DUMMYFUNCTION("""COMPUTED_VALUE"""),"affecting")</f>
        <v>affecting</v>
      </c>
      <c r="M1387" s="49"/>
      <c r="N1387" s="49"/>
      <c r="O1387" s="49" t="str">
        <f>IFERROR(__xludf.DUMMYFUNCTION("""COMPUTED_VALUE"""),"exploit")</f>
        <v>exploit</v>
      </c>
      <c r="P1387" s="49" t="str">
        <f t="shared" si="2"/>
        <v>troubled,</v>
      </c>
      <c r="Q1387" s="49"/>
      <c r="R1387" s="50" t="s">
        <v>6351</v>
      </c>
      <c r="S1387" s="55" t="s">
        <v>3786</v>
      </c>
      <c r="T1387" s="49" t="str">
        <f>IFERROR(__xludf.DUMMYFUNCTION("""COMPUTED_VALUE"""),"succeed")</f>
        <v>succeed</v>
      </c>
      <c r="U1387" s="49"/>
      <c r="V1387" s="49"/>
      <c r="W1387" s="49" t="str">
        <f>IFERROR(__xludf.DUMMYFUNCTION("""COMPUTED_VALUE"""),"satin")</f>
        <v>satin</v>
      </c>
      <c r="X1387" s="49" t="str">
        <f t="shared" si="3"/>
        <v>diane,</v>
      </c>
      <c r="Y1387" s="49"/>
      <c r="Z1387" s="1" t="s">
        <v>1602</v>
      </c>
      <c r="AA1387" s="1">
        <v>15.0</v>
      </c>
      <c r="AB1387" s="49"/>
      <c r="AC1387" s="49"/>
      <c r="AD1387" s="49"/>
      <c r="AE1387" s="49" t="str">
        <f>IFERROR(__xludf.DUMMYFUNCTION("""COMPUTED_VALUE"""),"exploit")</f>
        <v>exploit</v>
      </c>
      <c r="AF1387" s="49" t="str">
        <f t="shared" si="4"/>
        <v>fan,</v>
      </c>
      <c r="AG1387" s="49"/>
      <c r="AH1387" s="1" t="s">
        <v>2525</v>
      </c>
      <c r="AI1387" s="1" t="s">
        <v>6493</v>
      </c>
      <c r="AJ1387" s="6" t="str">
        <f>IFERROR(__xludf.DUMMYFUNCTION("""COMPUTED_VALUE"""),"di")</f>
        <v>di</v>
      </c>
      <c r="AK1387" s="49"/>
      <c r="AL1387" s="49"/>
      <c r="AM1387" s="49"/>
      <c r="AN1387" s="52" t="str">
        <f t="shared" si="5"/>
        <v>dates,</v>
      </c>
    </row>
    <row r="1388">
      <c r="A1388" s="51"/>
      <c r="B1388" s="50" t="s">
        <v>7364</v>
      </c>
      <c r="C1388" s="50" t="s">
        <v>2453</v>
      </c>
      <c r="D1388" s="49" t="str">
        <f>IFERROR(__xludf.DUMMYFUNCTION("""COMPUTED_VALUE"""),"stomach")</f>
        <v>stomach</v>
      </c>
      <c r="E1388" s="49"/>
      <c r="F1388" s="49"/>
      <c r="G1388" s="49"/>
      <c r="H1388" s="54" t="str">
        <f t="shared" si="1"/>
        <v>custom,</v>
      </c>
      <c r="I1388" s="50"/>
      <c r="J1388" s="50" t="s">
        <v>2624</v>
      </c>
      <c r="K1388" s="50" t="s">
        <v>3966</v>
      </c>
      <c r="L1388" s="49" t="str">
        <f>IFERROR(__xludf.DUMMYFUNCTION("""COMPUTED_VALUE"""),"tender")</f>
        <v>tender</v>
      </c>
      <c r="M1388" s="49"/>
      <c r="N1388" s="49"/>
      <c r="O1388" s="49" t="str">
        <f>IFERROR(__xludf.DUMMYFUNCTION("""COMPUTED_VALUE"""),"malcolm")</f>
        <v>malcolm</v>
      </c>
      <c r="P1388" s="49" t="str">
        <f t="shared" si="2"/>
        <v>heavy,</v>
      </c>
      <c r="Q1388" s="49"/>
      <c r="R1388" s="50" t="s">
        <v>1392</v>
      </c>
      <c r="S1388" s="55" t="s">
        <v>2625</v>
      </c>
      <c r="T1388" s="49" t="str">
        <f>IFERROR(__xludf.DUMMYFUNCTION("""COMPUTED_VALUE"""),"paranormal")</f>
        <v>paranormal</v>
      </c>
      <c r="U1388" s="49"/>
      <c r="V1388" s="49"/>
      <c r="W1388" s="49" t="str">
        <f>IFERROR(__xludf.DUMMYFUNCTION("""COMPUTED_VALUE"""),"ingredients")</f>
        <v>ingredients</v>
      </c>
      <c r="X1388" s="49" t="str">
        <f t="shared" si="3"/>
        <v>photographed,</v>
      </c>
      <c r="Y1388" s="49"/>
      <c r="Z1388" s="1" t="s">
        <v>2865</v>
      </c>
      <c r="AA1388" s="1" t="s">
        <v>4458</v>
      </c>
      <c r="AB1388" s="49"/>
      <c r="AC1388" s="49"/>
      <c r="AD1388" s="49"/>
      <c r="AE1388" s="49" t="str">
        <f>IFERROR(__xludf.DUMMYFUNCTION("""COMPUTED_VALUE"""),"malcolm")</f>
        <v>malcolm</v>
      </c>
      <c r="AF1388" s="49" t="str">
        <f t="shared" si="4"/>
        <v>fears,</v>
      </c>
      <c r="AG1388" s="49"/>
      <c r="AH1388" s="1" t="s">
        <v>3559</v>
      </c>
      <c r="AI1388" s="1" t="s">
        <v>6480</v>
      </c>
      <c r="AJ1388" s="6" t="str">
        <f>IFERROR(__xludf.DUMMYFUNCTION("""COMPUTED_VALUE"""),"grow")</f>
        <v>grow</v>
      </c>
      <c r="AK1388" s="49"/>
      <c r="AL1388" s="49"/>
      <c r="AM1388" s="49"/>
      <c r="AN1388" s="52" t="str">
        <f t="shared" si="5"/>
        <v>raise,</v>
      </c>
      <c r="AR1388" s="10"/>
      <c r="AS1388" s="10"/>
      <c r="AT1388" s="10"/>
    </row>
    <row r="1389">
      <c r="A1389" s="51"/>
      <c r="B1389" s="50">
        <v>20.0</v>
      </c>
      <c r="C1389" s="50" t="s">
        <v>2432</v>
      </c>
      <c r="D1389" s="49" t="str">
        <f>IFERROR(__xludf.DUMMYFUNCTION("""COMPUTED_VALUE"""),"moved")</f>
        <v>moved</v>
      </c>
      <c r="E1389" s="49"/>
      <c r="F1389" s="49"/>
      <c r="G1389" s="49"/>
      <c r="H1389" s="54" t="str">
        <f t="shared" si="1"/>
        <v>20,</v>
      </c>
      <c r="I1389" s="50"/>
      <c r="J1389" s="50" t="s">
        <v>3875</v>
      </c>
      <c r="K1389" s="50" t="s">
        <v>762</v>
      </c>
      <c r="L1389" s="49" t="str">
        <f>IFERROR(__xludf.DUMMYFUNCTION("""COMPUTED_VALUE"""),"embracing")</f>
        <v>embracing</v>
      </c>
      <c r="M1389" s="49"/>
      <c r="N1389" s="49"/>
      <c r="O1389" s="49" t="str">
        <f>IFERROR(__xludf.DUMMYFUNCTION("""COMPUTED_VALUE"""),"ridley")</f>
        <v>ridley</v>
      </c>
      <c r="P1389" s="49" t="str">
        <f t="shared" si="2"/>
        <v>victims,</v>
      </c>
      <c r="Q1389" s="49"/>
      <c r="R1389" s="50" t="s">
        <v>2953</v>
      </c>
      <c r="S1389" s="55" t="s">
        <v>6494</v>
      </c>
      <c r="T1389" s="49" t="str">
        <f>IFERROR(__xludf.DUMMYFUNCTION("""COMPUTED_VALUE"""),"rivals")</f>
        <v>rivals</v>
      </c>
      <c r="U1389" s="49"/>
      <c r="V1389" s="49"/>
      <c r="W1389" s="49" t="str">
        <f>IFERROR(__xludf.DUMMYFUNCTION("""COMPUTED_VALUE"""),"integrated")</f>
        <v>integrated</v>
      </c>
      <c r="X1389" s="49" t="str">
        <f t="shared" si="3"/>
        <v>crises,</v>
      </c>
      <c r="Y1389" s="49"/>
      <c r="Z1389" s="1" t="s">
        <v>4183</v>
      </c>
      <c r="AA1389" s="1" t="s">
        <v>3358</v>
      </c>
      <c r="AB1389" s="49"/>
      <c r="AC1389" s="49"/>
      <c r="AD1389" s="49"/>
      <c r="AE1389" s="49" t="str">
        <f>IFERROR(__xludf.DUMMYFUNCTION("""COMPUTED_VALUE"""),"ridley")</f>
        <v>ridley</v>
      </c>
      <c r="AF1389" s="49" t="str">
        <f t="shared" si="4"/>
        <v>crap,</v>
      </c>
      <c r="AG1389" s="49"/>
      <c r="AH1389" s="1" t="s">
        <v>6483</v>
      </c>
      <c r="AI1389" s="1" t="s">
        <v>3313</v>
      </c>
      <c r="AJ1389" s="6" t="str">
        <f>IFERROR(__xludf.DUMMYFUNCTION("""COMPUTED_VALUE"""),"refers")</f>
        <v>refers</v>
      </c>
      <c r="AK1389" s="49"/>
      <c r="AL1389" s="49"/>
      <c r="AM1389" s="49"/>
      <c r="AN1389" s="52" t="str">
        <f t="shared" si="5"/>
        <v>replace,</v>
      </c>
    </row>
    <row r="1390">
      <c r="A1390" s="51"/>
      <c r="B1390" s="50" t="s">
        <v>1269</v>
      </c>
      <c r="C1390" s="50" t="s">
        <v>837</v>
      </c>
      <c r="D1390" s="49" t="str">
        <f>IFERROR(__xludf.DUMMYFUNCTION("""COMPUTED_VALUE"""),"ultimately")</f>
        <v>ultimately</v>
      </c>
      <c r="E1390" s="49"/>
      <c r="F1390" s="49"/>
      <c r="G1390" s="49"/>
      <c r="H1390" s="54" t="str">
        <f t="shared" si="1"/>
        <v>opened,</v>
      </c>
      <c r="I1390" s="50"/>
      <c r="J1390" s="50" t="s">
        <v>6962</v>
      </c>
      <c r="K1390" s="50" t="s">
        <v>771</v>
      </c>
      <c r="L1390" s="49" t="str">
        <f>IFERROR(__xludf.DUMMYFUNCTION("""COMPUTED_VALUE"""),"olivier")</f>
        <v>olivier</v>
      </c>
      <c r="M1390" s="49"/>
      <c r="N1390" s="49"/>
      <c r="O1390" s="49" t="str">
        <f>IFERROR(__xludf.DUMMYFUNCTION("""COMPUTED_VALUE"""),"roman")</f>
        <v>roman</v>
      </c>
      <c r="P1390" s="49" t="str">
        <f t="shared" si="2"/>
        <v>k,</v>
      </c>
      <c r="Q1390" s="49"/>
      <c r="R1390" s="50" t="s">
        <v>2730</v>
      </c>
      <c r="S1390" s="55" t="s">
        <v>589</v>
      </c>
      <c r="T1390" s="49" t="str">
        <f>IFERROR(__xludf.DUMMYFUNCTION("""COMPUTED_VALUE"""),"avid")</f>
        <v>avid</v>
      </c>
      <c r="U1390" s="49"/>
      <c r="V1390" s="49"/>
      <c r="W1390" s="49" t="str">
        <f>IFERROR(__xludf.DUMMYFUNCTION("""COMPUTED_VALUE"""),"baird")</f>
        <v>baird</v>
      </c>
      <c r="X1390" s="49" t="str">
        <f t="shared" si="3"/>
        <v>nominated,</v>
      </c>
      <c r="Y1390" s="49"/>
      <c r="Z1390" s="1" t="s">
        <v>1664</v>
      </c>
      <c r="AA1390" s="1" t="s">
        <v>3355</v>
      </c>
      <c r="AB1390" s="49"/>
      <c r="AC1390" s="49"/>
      <c r="AD1390" s="49"/>
      <c r="AE1390" s="49" t="str">
        <f>IFERROR(__xludf.DUMMYFUNCTION("""COMPUTED_VALUE"""),"roman")</f>
        <v>roman</v>
      </c>
      <c r="AF1390" s="49" t="str">
        <f t="shared" si="4"/>
        <v>channel,</v>
      </c>
      <c r="AG1390" s="49"/>
      <c r="AH1390" s="1" t="s">
        <v>3418</v>
      </c>
      <c r="AI1390" s="1" t="s">
        <v>2393</v>
      </c>
      <c r="AJ1390" s="6" t="str">
        <f>IFERROR(__xludf.DUMMYFUNCTION("""COMPUTED_VALUE"""),"gary")</f>
        <v>gary</v>
      </c>
      <c r="AK1390" s="49"/>
      <c r="AL1390" s="49"/>
      <c r="AM1390" s="49"/>
      <c r="AN1390" s="52" t="str">
        <f t="shared" si="5"/>
        <v>staying,</v>
      </c>
    </row>
    <row r="1391">
      <c r="A1391" s="51"/>
      <c r="B1391" s="50" t="s">
        <v>7365</v>
      </c>
      <c r="C1391" s="50" t="s">
        <v>246</v>
      </c>
      <c r="D1391" s="49" t="str">
        <f>IFERROR(__xludf.DUMMYFUNCTION("""COMPUTED_VALUE"""),"dynamic")</f>
        <v>dynamic</v>
      </c>
      <c r="E1391" s="49"/>
      <c r="F1391" s="49"/>
      <c r="G1391" s="49"/>
      <c r="H1391" s="54" t="str">
        <f t="shared" si="1"/>
        <v>canada,</v>
      </c>
      <c r="I1391" s="50"/>
      <c r="J1391" s="50" t="s">
        <v>3031</v>
      </c>
      <c r="K1391" s="50" t="s">
        <v>3974</v>
      </c>
      <c r="L1391" s="49" t="str">
        <f>IFERROR(__xludf.DUMMYFUNCTION("""COMPUTED_VALUE"""),"lobby")</f>
        <v>lobby</v>
      </c>
      <c r="M1391" s="49"/>
      <c r="N1391" s="49"/>
      <c r="O1391" s="49" t="str">
        <f>IFERROR(__xludf.DUMMYFUNCTION("""COMPUTED_VALUE"""),"holocaust")</f>
        <v>holocaust</v>
      </c>
      <c r="P1391" s="49" t="str">
        <f t="shared" si="2"/>
        <v>treat,</v>
      </c>
      <c r="Q1391" s="49"/>
      <c r="R1391" s="50" t="s">
        <v>6335</v>
      </c>
      <c r="S1391" s="55" t="s">
        <v>2289</v>
      </c>
      <c r="T1391" s="49" t="str">
        <f>IFERROR(__xludf.DUMMYFUNCTION("""COMPUTED_VALUE"""),"maneuvers")</f>
        <v>maneuvers</v>
      </c>
      <c r="U1391" s="49"/>
      <c r="V1391" s="49"/>
      <c r="W1391" s="49" t="str">
        <f>IFERROR(__xludf.DUMMYFUNCTION("""COMPUTED_VALUE"""),"extant")</f>
        <v>extant</v>
      </c>
      <c r="X1391" s="49" t="str">
        <f t="shared" si="3"/>
        <v>path,</v>
      </c>
      <c r="Y1391" s="49"/>
      <c r="Z1391" s="1" t="s">
        <v>3905</v>
      </c>
      <c r="AA1391" s="1" t="s">
        <v>4394</v>
      </c>
      <c r="AB1391" s="49"/>
      <c r="AC1391" s="49"/>
      <c r="AD1391" s="49"/>
      <c r="AE1391" s="49" t="str">
        <f>IFERROR(__xludf.DUMMYFUNCTION("""COMPUTED_VALUE"""),"holocaust")</f>
        <v>holocaust</v>
      </c>
      <c r="AF1391" s="49" t="str">
        <f t="shared" si="4"/>
        <v>figure,</v>
      </c>
      <c r="AG1391" s="49"/>
      <c r="AH1391" s="1">
        <v>20.0</v>
      </c>
      <c r="AI1391" s="1" t="s">
        <v>6481</v>
      </c>
      <c r="AJ1391" s="6" t="str">
        <f>IFERROR(__xludf.DUMMYFUNCTION("""COMPUTED_VALUE"""),"russell")</f>
        <v>russell</v>
      </c>
      <c r="AK1391" s="49"/>
      <c r="AL1391" s="49"/>
      <c r="AM1391" s="49"/>
      <c r="AN1391" s="52" t="str">
        <f t="shared" si="5"/>
        <v>20,</v>
      </c>
    </row>
    <row r="1392">
      <c r="A1392" s="51"/>
      <c r="B1392" s="50" t="s">
        <v>2201</v>
      </c>
      <c r="C1392" s="50" t="s">
        <v>137</v>
      </c>
      <c r="D1392" s="49" t="str">
        <f>IFERROR(__xludf.DUMMYFUNCTION("""COMPUTED_VALUE"""),"four")</f>
        <v>four</v>
      </c>
      <c r="E1392" s="49"/>
      <c r="F1392" s="49"/>
      <c r="G1392" s="49"/>
      <c r="H1392" s="54" t="str">
        <f t="shared" si="1"/>
        <v>person,</v>
      </c>
      <c r="I1392" s="50"/>
      <c r="J1392" s="50" t="s">
        <v>572</v>
      </c>
      <c r="K1392" s="50" t="s">
        <v>4463</v>
      </c>
      <c r="L1392" s="49" t="str">
        <f>IFERROR(__xludf.DUMMYFUNCTION("""COMPUTED_VALUE"""),"rouge")</f>
        <v>rouge</v>
      </c>
      <c r="M1392" s="49"/>
      <c r="N1392" s="49"/>
      <c r="O1392" s="49" t="str">
        <f>IFERROR(__xludf.DUMMYFUNCTION("""COMPUTED_VALUE"""),"streamed")</f>
        <v>streamed</v>
      </c>
      <c r="P1392" s="49" t="str">
        <f t="shared" si="2"/>
        <v>river,</v>
      </c>
      <c r="Q1392" s="49"/>
      <c r="R1392" s="50" t="s">
        <v>3738</v>
      </c>
      <c r="S1392" s="55" t="s">
        <v>2564</v>
      </c>
      <c r="T1392" s="49" t="str">
        <f>IFERROR(__xludf.DUMMYFUNCTION("""COMPUTED_VALUE"""),"reveals")</f>
        <v>reveals</v>
      </c>
      <c r="U1392" s="49"/>
      <c r="V1392" s="49"/>
      <c r="W1392" s="49" t="str">
        <f>IFERROR(__xludf.DUMMYFUNCTION("""COMPUTED_VALUE"""),"characterized")</f>
        <v>characterized</v>
      </c>
      <c r="X1392" s="49" t="str">
        <f t="shared" si="3"/>
        <v>variation,</v>
      </c>
      <c r="Y1392" s="49"/>
      <c r="Z1392" s="1" t="s">
        <v>2246</v>
      </c>
      <c r="AA1392" s="1" t="s">
        <v>1822</v>
      </c>
      <c r="AB1392" s="49"/>
      <c r="AC1392" s="49"/>
      <c r="AD1392" s="49"/>
      <c r="AE1392" s="49" t="str">
        <f>IFERROR(__xludf.DUMMYFUNCTION("""COMPUTED_VALUE"""),"streamed")</f>
        <v>streamed</v>
      </c>
      <c r="AF1392" s="49" t="str">
        <f t="shared" si="4"/>
        <v>honest,</v>
      </c>
      <c r="AG1392" s="49"/>
      <c r="AH1392" s="1" t="s">
        <v>1269</v>
      </c>
      <c r="AI1392" s="1" t="s">
        <v>6495</v>
      </c>
      <c r="AJ1392" s="6" t="str">
        <f>IFERROR(__xludf.DUMMYFUNCTION("""COMPUTED_VALUE"""),"seattle")</f>
        <v>seattle</v>
      </c>
      <c r="AK1392" s="49"/>
      <c r="AL1392" s="49"/>
      <c r="AM1392" s="49"/>
      <c r="AN1392" s="52" t="str">
        <f t="shared" si="5"/>
        <v>opened,</v>
      </c>
    </row>
    <row r="1393">
      <c r="A1393" s="51"/>
      <c r="B1393" s="50" t="s">
        <v>2661</v>
      </c>
      <c r="C1393" s="50" t="s">
        <v>4029</v>
      </c>
      <c r="D1393" s="49" t="str">
        <f>IFERROR(__xludf.DUMMYFUNCTION("""COMPUTED_VALUE"""),"begin")</f>
        <v>begin</v>
      </c>
      <c r="E1393" s="49"/>
      <c r="F1393" s="49"/>
      <c r="G1393" s="49"/>
      <c r="H1393" s="54" t="str">
        <f t="shared" si="1"/>
        <v>stage,</v>
      </c>
      <c r="I1393" s="50"/>
      <c r="J1393" s="50" t="s">
        <v>1350</v>
      </c>
      <c r="K1393" s="50" t="s">
        <v>2673</v>
      </c>
      <c r="L1393" s="49" t="str">
        <f>IFERROR(__xludf.DUMMYFUNCTION("""COMPUTED_VALUE"""),"pity")</f>
        <v>pity</v>
      </c>
      <c r="M1393" s="49"/>
      <c r="N1393" s="49"/>
      <c r="O1393" s="49" t="str">
        <f>IFERROR(__xludf.DUMMYFUNCTION("""COMPUTED_VALUE"""),"iran")</f>
        <v>iran</v>
      </c>
      <c r="P1393" s="49" t="str">
        <f t="shared" si="2"/>
        <v>center,</v>
      </c>
      <c r="Q1393" s="49"/>
      <c r="R1393" s="50" t="s">
        <v>311</v>
      </c>
      <c r="S1393" s="55" t="s">
        <v>5116</v>
      </c>
      <c r="T1393" s="49" t="str">
        <f>IFERROR(__xludf.DUMMYFUNCTION("""COMPUTED_VALUE"""),"desperation")</f>
        <v>desperation</v>
      </c>
      <c r="U1393" s="49"/>
      <c r="V1393" s="49"/>
      <c r="W1393" s="49" t="str">
        <f>IFERROR(__xludf.DUMMYFUNCTION("""COMPUTED_VALUE"""),"bronze")</f>
        <v>bronze</v>
      </c>
      <c r="X1393" s="49" t="str">
        <f t="shared" si="3"/>
        <v>absorbing,</v>
      </c>
      <c r="Y1393" s="49"/>
      <c r="Z1393" s="1" t="s">
        <v>6610</v>
      </c>
      <c r="AA1393" s="1" t="s">
        <v>686</v>
      </c>
      <c r="AB1393" s="49"/>
      <c r="AC1393" s="49"/>
      <c r="AD1393" s="49"/>
      <c r="AE1393" s="49" t="str">
        <f>IFERROR(__xludf.DUMMYFUNCTION("""COMPUTED_VALUE"""),"iran")</f>
        <v>iran</v>
      </c>
      <c r="AF1393" s="49" t="str">
        <f t="shared" si="4"/>
        <v>coffee,</v>
      </c>
      <c r="AG1393" s="49"/>
      <c r="AH1393" s="1" t="s">
        <v>7365</v>
      </c>
      <c r="AI1393" s="1" t="s">
        <v>2483</v>
      </c>
      <c r="AJ1393" s="6" t="str">
        <f>IFERROR(__xludf.DUMMYFUNCTION("""COMPUTED_VALUE"""),"lifetime")</f>
        <v>lifetime</v>
      </c>
      <c r="AK1393" s="49"/>
      <c r="AL1393" s="49"/>
      <c r="AM1393" s="49"/>
      <c r="AN1393" s="52" t="str">
        <f t="shared" si="5"/>
        <v>canada,</v>
      </c>
    </row>
    <row r="1394">
      <c r="A1394" s="51"/>
      <c r="B1394" s="50" t="s">
        <v>7366</v>
      </c>
      <c r="C1394" s="50" t="s">
        <v>1078</v>
      </c>
      <c r="D1394" s="49" t="str">
        <f>IFERROR(__xludf.DUMMYFUNCTION("""COMPUTED_VALUE"""),"jack")</f>
        <v>jack</v>
      </c>
      <c r="E1394" s="49"/>
      <c r="F1394" s="49"/>
      <c r="G1394" s="49"/>
      <c r="H1394" s="54" t="str">
        <f t="shared" si="1"/>
        <v>canadian,</v>
      </c>
      <c r="I1394" s="50"/>
      <c r="J1394" s="50" t="s">
        <v>3193</v>
      </c>
      <c r="K1394" s="50" t="s">
        <v>778</v>
      </c>
      <c r="L1394" s="49" t="str">
        <f>IFERROR(__xludf.DUMMYFUNCTION("""COMPUTED_VALUE"""),"speculation")</f>
        <v>speculation</v>
      </c>
      <c r="M1394" s="49"/>
      <c r="N1394" s="49"/>
      <c r="O1394" s="49" t="str">
        <f>IFERROR(__xludf.DUMMYFUNCTION("""COMPUTED_VALUE"""),"facades")</f>
        <v>facades</v>
      </c>
      <c r="P1394" s="49" t="str">
        <f t="shared" si="2"/>
        <v>funky,</v>
      </c>
      <c r="Q1394" s="49"/>
      <c r="R1394" s="50" t="s">
        <v>6456</v>
      </c>
      <c r="S1394" s="55" t="s">
        <v>6497</v>
      </c>
      <c r="T1394" s="49" t="str">
        <f>IFERROR(__xludf.DUMMYFUNCTION("""COMPUTED_VALUE"""),"unexpectedly")</f>
        <v>unexpectedly</v>
      </c>
      <c r="U1394" s="49"/>
      <c r="V1394" s="49"/>
      <c r="W1394" s="49" t="str">
        <f>IFERROR(__xludf.DUMMYFUNCTION("""COMPUTED_VALUE"""),"cardiac")</f>
        <v>cardiac</v>
      </c>
      <c r="X1394" s="49" t="str">
        <f t="shared" si="3"/>
        <v>reserved,</v>
      </c>
      <c r="Y1394" s="49"/>
      <c r="Z1394" s="1" t="s">
        <v>1065</v>
      </c>
      <c r="AA1394" s="1" t="s">
        <v>4466</v>
      </c>
      <c r="AB1394" s="49"/>
      <c r="AC1394" s="49"/>
      <c r="AD1394" s="49"/>
      <c r="AE1394" s="49" t="str">
        <f>IFERROR(__xludf.DUMMYFUNCTION("""COMPUTED_VALUE"""),"facades")</f>
        <v>facades</v>
      </c>
      <c r="AF1394" s="49" t="str">
        <f t="shared" si="4"/>
        <v>sensitive,</v>
      </c>
      <c r="AG1394" s="49"/>
      <c r="AH1394" s="1" t="s">
        <v>2201</v>
      </c>
      <c r="AI1394" s="1" t="s">
        <v>4207</v>
      </c>
      <c r="AJ1394" s="6" t="str">
        <f>IFERROR(__xludf.DUMMYFUNCTION("""COMPUTED_VALUE"""),"absolute")</f>
        <v>absolute</v>
      </c>
      <c r="AK1394" s="49"/>
      <c r="AL1394" s="49"/>
      <c r="AM1394" s="49"/>
      <c r="AN1394" s="52" t="str">
        <f t="shared" si="5"/>
        <v>person,</v>
      </c>
    </row>
    <row r="1395">
      <c r="A1395" s="51"/>
      <c r="B1395" s="50" t="s">
        <v>2634</v>
      </c>
      <c r="C1395" s="50" t="s">
        <v>3556</v>
      </c>
      <c r="D1395" s="49" t="str">
        <f>IFERROR(__xludf.DUMMYFUNCTION("""COMPUTED_VALUE"""),"thinking")</f>
        <v>thinking</v>
      </c>
      <c r="E1395" s="49"/>
      <c r="F1395" s="49"/>
      <c r="G1395" s="49"/>
      <c r="H1395" s="54" t="str">
        <f t="shared" si="1"/>
        <v>medium,</v>
      </c>
      <c r="I1395" s="50"/>
      <c r="J1395" s="50" t="s">
        <v>5346</v>
      </c>
      <c r="K1395" s="50" t="s">
        <v>2676</v>
      </c>
      <c r="L1395" s="49" t="str">
        <f>IFERROR(__xludf.DUMMYFUNCTION("""COMPUTED_VALUE"""),"prose")</f>
        <v>prose</v>
      </c>
      <c r="M1395" s="49"/>
      <c r="N1395" s="49"/>
      <c r="O1395" s="49" t="str">
        <f>IFERROR(__xludf.DUMMYFUNCTION("""COMPUTED_VALUE"""),"anchors")</f>
        <v>anchors</v>
      </c>
      <c r="P1395" s="49" t="str">
        <f t="shared" si="2"/>
        <v>perform,</v>
      </c>
      <c r="Q1395" s="49"/>
      <c r="R1395" s="50" t="s">
        <v>3589</v>
      </c>
      <c r="S1395" s="55" t="s">
        <v>3402</v>
      </c>
      <c r="T1395" s="49" t="str">
        <f>IFERROR(__xludf.DUMMYFUNCTION("""COMPUTED_VALUE"""),"encompasses")</f>
        <v>encompasses</v>
      </c>
      <c r="U1395" s="49"/>
      <c r="V1395" s="49"/>
      <c r="W1395" s="49" t="str">
        <f>IFERROR(__xludf.DUMMYFUNCTION("""COMPUTED_VALUE"""),"menace")</f>
        <v>menace</v>
      </c>
      <c r="X1395" s="49" t="str">
        <f t="shared" si="3"/>
        <v>illness,</v>
      </c>
      <c r="Y1395" s="49"/>
      <c r="Z1395" s="1" t="s">
        <v>3118</v>
      </c>
      <c r="AA1395" s="1" t="s">
        <v>1130</v>
      </c>
      <c r="AB1395" s="49"/>
      <c r="AC1395" s="49"/>
      <c r="AD1395" s="49"/>
      <c r="AE1395" s="49" t="str">
        <f>IFERROR(__xludf.DUMMYFUNCTION("""COMPUTED_VALUE"""),"anchors")</f>
        <v>anchors</v>
      </c>
      <c r="AF1395" s="49" t="str">
        <f t="shared" si="4"/>
        <v>raw,</v>
      </c>
      <c r="AG1395" s="49"/>
      <c r="AH1395" s="1" t="s">
        <v>2661</v>
      </c>
      <c r="AI1395" s="1" t="s">
        <v>4292</v>
      </c>
      <c r="AJ1395" s="6" t="str">
        <f>IFERROR(__xludf.DUMMYFUNCTION("""COMPUTED_VALUE"""),"interested")</f>
        <v>interested</v>
      </c>
      <c r="AK1395" s="49"/>
      <c r="AL1395" s="49"/>
      <c r="AM1395" s="49"/>
      <c r="AN1395" s="52" t="str">
        <f t="shared" si="5"/>
        <v>stage,</v>
      </c>
    </row>
    <row r="1396">
      <c r="A1396" s="51"/>
      <c r="B1396" s="50" t="s">
        <v>1015</v>
      </c>
      <c r="C1396" s="50" t="s">
        <v>5916</v>
      </c>
      <c r="D1396" s="49" t="str">
        <f>IFERROR(__xludf.DUMMYFUNCTION("""COMPUTED_VALUE"""),"helped")</f>
        <v>helped</v>
      </c>
      <c r="E1396" s="49"/>
      <c r="F1396" s="49"/>
      <c r="G1396" s="49"/>
      <c r="H1396" s="54" t="str">
        <f t="shared" si="1"/>
        <v>translation,</v>
      </c>
      <c r="I1396" s="50"/>
      <c r="J1396" s="50" t="s">
        <v>1790</v>
      </c>
      <c r="K1396" s="50" t="s">
        <v>2801</v>
      </c>
      <c r="L1396" s="49" t="str">
        <f>IFERROR(__xludf.DUMMYFUNCTION("""COMPUTED_VALUE"""),"backstage")</f>
        <v>backstage</v>
      </c>
      <c r="M1396" s="49"/>
      <c r="N1396" s="49"/>
      <c r="O1396" s="49" t="str">
        <f>IFERROR(__xludf.DUMMYFUNCTION("""COMPUTED_VALUE"""),"expects")</f>
        <v>expects</v>
      </c>
      <c r="P1396" s="49" t="str">
        <f t="shared" si="2"/>
        <v>song,</v>
      </c>
      <c r="Q1396" s="49"/>
      <c r="R1396" s="50" t="s">
        <v>2436</v>
      </c>
      <c r="S1396" s="55" t="s">
        <v>2435</v>
      </c>
      <c r="T1396" s="49" t="str">
        <f>IFERROR(__xludf.DUMMYFUNCTION("""COMPUTED_VALUE"""),"gaping")</f>
        <v>gaping</v>
      </c>
      <c r="U1396" s="49"/>
      <c r="V1396" s="49"/>
      <c r="W1396" s="49" t="str">
        <f>IFERROR(__xludf.DUMMYFUNCTION("""COMPUTED_VALUE"""),"phantom")</f>
        <v>phantom</v>
      </c>
      <c r="X1396" s="49" t="str">
        <f t="shared" si="3"/>
        <v>tones,</v>
      </c>
      <c r="Y1396" s="49"/>
      <c r="Z1396" s="1" t="s">
        <v>1427</v>
      </c>
      <c r="AA1396" s="1" t="s">
        <v>3372</v>
      </c>
      <c r="AB1396" s="49"/>
      <c r="AC1396" s="49"/>
      <c r="AD1396" s="49"/>
      <c r="AE1396" s="49" t="str">
        <f>IFERROR(__xludf.DUMMYFUNCTION("""COMPUTED_VALUE"""),"expects")</f>
        <v>expects</v>
      </c>
      <c r="AF1396" s="49" t="str">
        <f t="shared" si="4"/>
        <v>kicking,</v>
      </c>
      <c r="AG1396" s="49"/>
      <c r="AH1396" s="1" t="s">
        <v>2634</v>
      </c>
      <c r="AI1396" s="1" t="s">
        <v>733</v>
      </c>
      <c r="AJ1396" s="6" t="str">
        <f>IFERROR(__xludf.DUMMYFUNCTION("""COMPUTED_VALUE"""),"lucky")</f>
        <v>lucky</v>
      </c>
      <c r="AK1396" s="49"/>
      <c r="AL1396" s="49"/>
      <c r="AM1396" s="49"/>
      <c r="AN1396" s="52" t="str">
        <f t="shared" si="5"/>
        <v>medium,</v>
      </c>
    </row>
    <row r="1397">
      <c r="A1397" s="51"/>
      <c r="B1397" s="50" t="s">
        <v>2889</v>
      </c>
      <c r="C1397" s="50" t="s">
        <v>1577</v>
      </c>
      <c r="D1397" s="49" t="str">
        <f>IFERROR(__xludf.DUMMYFUNCTION("""COMPUTED_VALUE"""),"agent")</f>
        <v>agent</v>
      </c>
      <c r="E1397" s="49"/>
      <c r="F1397" s="49"/>
      <c r="G1397" s="49"/>
      <c r="H1397" s="54" t="str">
        <f t="shared" si="1"/>
        <v>creative,</v>
      </c>
      <c r="I1397" s="50"/>
      <c r="J1397" s="50" t="s">
        <v>4020</v>
      </c>
      <c r="K1397" s="50" t="s">
        <v>3980</v>
      </c>
      <c r="L1397" s="49" t="str">
        <f>IFERROR(__xludf.DUMMYFUNCTION("""COMPUTED_VALUE"""),"revealing")</f>
        <v>revealing</v>
      </c>
      <c r="M1397" s="49"/>
      <c r="N1397" s="49"/>
      <c r="O1397" s="49" t="str">
        <f>IFERROR(__xludf.DUMMYFUNCTION("""COMPUTED_VALUE"""),"gloom")</f>
        <v>gloom</v>
      </c>
      <c r="P1397" s="49" t="str">
        <f t="shared" si="2"/>
        <v>prefer,</v>
      </c>
      <c r="Q1397" s="49"/>
      <c r="R1397" s="50" t="s">
        <v>4300</v>
      </c>
      <c r="S1397" s="55" t="s">
        <v>2571</v>
      </c>
      <c r="T1397" s="49" t="str">
        <f>IFERROR(__xludf.DUMMYFUNCTION("""COMPUTED_VALUE"""),"surrounding")</f>
        <v>surrounding</v>
      </c>
      <c r="U1397" s="49"/>
      <c r="V1397" s="49"/>
      <c r="W1397" s="49" t="str">
        <f>IFERROR(__xludf.DUMMYFUNCTION("""COMPUTED_VALUE"""),"relying")</f>
        <v>relying</v>
      </c>
      <c r="X1397" s="49" t="str">
        <f t="shared" si="3"/>
        <v>terminal,</v>
      </c>
      <c r="Y1397" s="49"/>
      <c r="Z1397" s="1" t="s">
        <v>4285</v>
      </c>
      <c r="AA1397" s="1" t="s">
        <v>3380</v>
      </c>
      <c r="AB1397" s="49"/>
      <c r="AC1397" s="49"/>
      <c r="AD1397" s="49"/>
      <c r="AE1397" s="49" t="str">
        <f>IFERROR(__xludf.DUMMYFUNCTION("""COMPUTED_VALUE"""),"gloom")</f>
        <v>gloom</v>
      </c>
      <c r="AF1397" s="49" t="str">
        <f t="shared" si="4"/>
        <v>innocent,</v>
      </c>
      <c r="AG1397" s="49"/>
      <c r="AH1397" s="1" t="s">
        <v>1015</v>
      </c>
      <c r="AI1397" s="1" t="s">
        <v>2490</v>
      </c>
      <c r="AJ1397" s="6" t="str">
        <f>IFERROR(__xludf.DUMMYFUNCTION("""COMPUTED_VALUE"""),"tension")</f>
        <v>tension</v>
      </c>
      <c r="AK1397" s="49"/>
      <c r="AL1397" s="49"/>
      <c r="AM1397" s="49"/>
      <c r="AN1397" s="52" t="str">
        <f t="shared" si="5"/>
        <v>translation,</v>
      </c>
    </row>
    <row r="1398">
      <c r="A1398" s="51"/>
      <c r="B1398" s="50" t="s">
        <v>1279</v>
      </c>
      <c r="C1398" s="50" t="s">
        <v>2463</v>
      </c>
      <c r="D1398" s="49" t="str">
        <f>IFERROR(__xludf.DUMMYFUNCTION("""COMPUTED_VALUE"""),"falls")</f>
        <v>falls</v>
      </c>
      <c r="E1398" s="49"/>
      <c r="F1398" s="49"/>
      <c r="G1398" s="49"/>
      <c r="H1398" s="54" t="str">
        <f t="shared" si="1"/>
        <v>filmed,</v>
      </c>
      <c r="I1398" s="50"/>
      <c r="J1398" s="50" t="s">
        <v>3564</v>
      </c>
      <c r="K1398" s="50" t="s">
        <v>294</v>
      </c>
      <c r="L1398" s="49" t="str">
        <f>IFERROR(__xludf.DUMMYFUNCTION("""COMPUTED_VALUE"""),"haute")</f>
        <v>haute</v>
      </c>
      <c r="M1398" s="49"/>
      <c r="N1398" s="49"/>
      <c r="O1398" s="49" t="str">
        <f>IFERROR(__xludf.DUMMYFUNCTION("""COMPUTED_VALUE"""),"dizzy")</f>
        <v>dizzy</v>
      </c>
      <c r="P1398" s="49" t="str">
        <f t="shared" si="2"/>
        <v>develop,</v>
      </c>
      <c r="Q1398" s="49"/>
      <c r="R1398" s="50" t="s">
        <v>5132</v>
      </c>
      <c r="S1398" s="55" t="s">
        <v>667</v>
      </c>
      <c r="T1398" s="49" t="str">
        <f>IFERROR(__xludf.DUMMYFUNCTION("""COMPUTED_VALUE"""),"solemn")</f>
        <v>solemn</v>
      </c>
      <c r="U1398" s="49"/>
      <c r="V1398" s="49"/>
      <c r="W1398" s="49" t="str">
        <f>IFERROR(__xludf.DUMMYFUNCTION("""COMPUTED_VALUE"""),"yank")</f>
        <v>yank</v>
      </c>
      <c r="X1398" s="49" t="str">
        <f t="shared" si="3"/>
        <v>sober,</v>
      </c>
      <c r="Y1398" s="49"/>
      <c r="Z1398" s="1" t="s">
        <v>1665</v>
      </c>
      <c r="AA1398" s="1" t="s">
        <v>1262</v>
      </c>
      <c r="AB1398" s="49"/>
      <c r="AC1398" s="49"/>
      <c r="AD1398" s="49"/>
      <c r="AE1398" s="49" t="str">
        <f>IFERROR(__xludf.DUMMYFUNCTION("""COMPUTED_VALUE"""),"dizzy")</f>
        <v>dizzy</v>
      </c>
      <c r="AF1398" s="49" t="str">
        <f t="shared" si="4"/>
        <v>turn,</v>
      </c>
      <c r="AG1398" s="49"/>
      <c r="AH1398" s="1" t="s">
        <v>2889</v>
      </c>
      <c r="AI1398" s="1" t="s">
        <v>6498</v>
      </c>
      <c r="AJ1398" s="6">
        <f>IFERROR(__xludf.DUMMYFUNCTION("""COMPUTED_VALUE"""),5.0)</f>
        <v>5</v>
      </c>
      <c r="AK1398" s="49"/>
      <c r="AL1398" s="49"/>
      <c r="AM1398" s="49"/>
      <c r="AN1398" s="52" t="str">
        <f t="shared" si="5"/>
        <v>creative,</v>
      </c>
    </row>
    <row r="1399">
      <c r="A1399" s="51"/>
      <c r="B1399" s="50" t="s">
        <v>1609</v>
      </c>
      <c r="C1399" s="50" t="s">
        <v>3561</v>
      </c>
      <c r="D1399" s="49" t="str">
        <f>IFERROR(__xludf.DUMMYFUNCTION("""COMPUTED_VALUE"""),"ryan")</f>
        <v>ryan</v>
      </c>
      <c r="E1399" s="49"/>
      <c r="F1399" s="49"/>
      <c r="G1399" s="49"/>
      <c r="H1399" s="54" t="str">
        <f t="shared" si="1"/>
        <v>international,</v>
      </c>
      <c r="I1399" s="50"/>
      <c r="J1399" s="50" t="s">
        <v>3489</v>
      </c>
      <c r="K1399" s="50" t="s">
        <v>2804</v>
      </c>
      <c r="L1399" s="49" t="str">
        <f>IFERROR(__xludf.DUMMYFUNCTION("""COMPUTED_VALUE"""),"predecessors")</f>
        <v>predecessors</v>
      </c>
      <c r="M1399" s="49"/>
      <c r="N1399" s="49"/>
      <c r="O1399" s="49" t="str">
        <f>IFERROR(__xludf.DUMMYFUNCTION("""COMPUTED_VALUE"""),"hideous")</f>
        <v>hideous</v>
      </c>
      <c r="P1399" s="49" t="str">
        <f t="shared" si="2"/>
        <v>inconsistent,</v>
      </c>
      <c r="Q1399" s="49"/>
      <c r="R1399" s="50" t="s">
        <v>1178</v>
      </c>
      <c r="S1399" s="55" t="s">
        <v>2576</v>
      </c>
      <c r="T1399" s="49" t="str">
        <f>IFERROR(__xludf.DUMMYFUNCTION("""COMPUTED_VALUE"""),"ballistic")</f>
        <v>ballistic</v>
      </c>
      <c r="U1399" s="49"/>
      <c r="V1399" s="49"/>
      <c r="W1399" s="49" t="str">
        <f>IFERROR(__xludf.DUMMYFUNCTION("""COMPUTED_VALUE"""),"intro")</f>
        <v>intro</v>
      </c>
      <c r="X1399" s="49" t="str">
        <f t="shared" si="3"/>
        <v>profound,</v>
      </c>
      <c r="Y1399" s="49"/>
      <c r="Z1399" s="1" t="s">
        <v>742</v>
      </c>
      <c r="AA1399" s="1" t="s">
        <v>3385</v>
      </c>
      <c r="AB1399" s="49"/>
      <c r="AC1399" s="49"/>
      <c r="AD1399" s="49"/>
      <c r="AE1399" s="49" t="str">
        <f>IFERROR(__xludf.DUMMYFUNCTION("""COMPUTED_VALUE"""),"hideous")</f>
        <v>hideous</v>
      </c>
      <c r="AF1399" s="49" t="str">
        <f t="shared" si="4"/>
        <v>miss,</v>
      </c>
      <c r="AG1399" s="49"/>
      <c r="AH1399" s="1" t="s">
        <v>1279</v>
      </c>
      <c r="AI1399" s="1" t="s">
        <v>1205</v>
      </c>
      <c r="AJ1399" s="6" t="str">
        <f>IFERROR(__xludf.DUMMYFUNCTION("""COMPUTED_VALUE"""),"million")</f>
        <v>million</v>
      </c>
      <c r="AK1399" s="49"/>
      <c r="AL1399" s="49"/>
      <c r="AM1399" s="49"/>
      <c r="AN1399" s="52" t="str">
        <f t="shared" si="5"/>
        <v>filmed,</v>
      </c>
    </row>
    <row r="1400">
      <c r="A1400" s="51"/>
      <c r="B1400" s="50" t="s">
        <v>3386</v>
      </c>
      <c r="C1400" s="50" t="s">
        <v>2741</v>
      </c>
      <c r="D1400" s="49" t="str">
        <f>IFERROR(__xludf.DUMMYFUNCTION("""COMPUTED_VALUE"""),"changing")</f>
        <v>changing</v>
      </c>
      <c r="E1400" s="49"/>
      <c r="F1400" s="49"/>
      <c r="G1400" s="49"/>
      <c r="H1400" s="54" t="str">
        <f t="shared" si="1"/>
        <v>australia,</v>
      </c>
      <c r="I1400" s="50"/>
      <c r="J1400" s="50" t="s">
        <v>1016</v>
      </c>
      <c r="K1400" s="50" t="s">
        <v>2807</v>
      </c>
      <c r="L1400" s="49" t="str">
        <f>IFERROR(__xludf.DUMMYFUNCTION("""COMPUTED_VALUE"""),"landscape")</f>
        <v>landscape</v>
      </c>
      <c r="M1400" s="49"/>
      <c r="N1400" s="49"/>
      <c r="O1400" s="49" t="str">
        <f>IFERROR(__xludf.DUMMYFUNCTION("""COMPUTED_VALUE"""),"patting")</f>
        <v>patting</v>
      </c>
      <c r="P1400" s="49" t="str">
        <f t="shared" si="2"/>
        <v>damned,</v>
      </c>
      <c r="Q1400" s="49"/>
      <c r="R1400" s="50" t="s">
        <v>3430</v>
      </c>
      <c r="S1400" s="55" t="s">
        <v>4279</v>
      </c>
      <c r="T1400" s="49" t="str">
        <f>IFERROR(__xludf.DUMMYFUNCTION("""COMPUTED_VALUE"""),"distance")</f>
        <v>distance</v>
      </c>
      <c r="U1400" s="49"/>
      <c r="V1400" s="49"/>
      <c r="W1400" s="49" t="str">
        <f>IFERROR(__xludf.DUMMYFUNCTION("""COMPUTED_VALUE"""),"sufficiently")</f>
        <v>sufficiently</v>
      </c>
      <c r="X1400" s="49" t="str">
        <f t="shared" si="3"/>
        <v>sharp,</v>
      </c>
      <c r="Y1400" s="49"/>
      <c r="Z1400" s="1" t="s">
        <v>6622</v>
      </c>
      <c r="AA1400" s="1" t="s">
        <v>4472</v>
      </c>
      <c r="AB1400" s="49"/>
      <c r="AC1400" s="49"/>
      <c r="AD1400" s="49"/>
      <c r="AE1400" s="49" t="str">
        <f>IFERROR(__xludf.DUMMYFUNCTION("""COMPUTED_VALUE"""),"patting")</f>
        <v>patting</v>
      </c>
      <c r="AF1400" s="49" t="str">
        <f t="shared" si="4"/>
        <v>heaven,</v>
      </c>
      <c r="AG1400" s="49"/>
      <c r="AH1400" s="1" t="s">
        <v>1609</v>
      </c>
      <c r="AI1400" s="1" t="s">
        <v>4299</v>
      </c>
      <c r="AJ1400" s="6" t="str">
        <f>IFERROR(__xludf.DUMMYFUNCTION("""COMPUTED_VALUE"""),"worked")</f>
        <v>worked</v>
      </c>
      <c r="AK1400" s="49"/>
      <c r="AL1400" s="49"/>
      <c r="AM1400" s="49"/>
      <c r="AN1400" s="52" t="str">
        <f t="shared" si="5"/>
        <v>international,</v>
      </c>
    </row>
    <row r="1401">
      <c r="A1401" s="51"/>
      <c r="B1401" s="50" t="s">
        <v>4168</v>
      </c>
      <c r="C1401" s="50" t="s">
        <v>4232</v>
      </c>
      <c r="D1401" s="49" t="str">
        <f>IFERROR(__xludf.DUMMYFUNCTION("""COMPUTED_VALUE"""),"cia")</f>
        <v>cia</v>
      </c>
      <c r="E1401" s="49"/>
      <c r="F1401" s="49"/>
      <c r="G1401" s="49"/>
      <c r="H1401" s="54" t="str">
        <f t="shared" si="1"/>
        <v>festival,</v>
      </c>
      <c r="I1401" s="50"/>
      <c r="J1401" s="50" t="s">
        <v>2308</v>
      </c>
      <c r="K1401" s="50" t="s">
        <v>2680</v>
      </c>
      <c r="L1401" s="49" t="str">
        <f>IFERROR(__xludf.DUMMYFUNCTION("""COMPUTED_VALUE"""),"fuse")</f>
        <v>fuse</v>
      </c>
      <c r="M1401" s="49"/>
      <c r="N1401" s="49"/>
      <c r="O1401" s="49" t="str">
        <f>IFERROR(__xludf.DUMMYFUNCTION("""COMPUTED_VALUE"""),"yielded")</f>
        <v>yielded</v>
      </c>
      <c r="P1401" s="49" t="str">
        <f t="shared" si="2"/>
        <v>treats,</v>
      </c>
      <c r="Q1401" s="49"/>
      <c r="R1401" s="50" t="s">
        <v>2440</v>
      </c>
      <c r="S1401" s="55" t="s">
        <v>866</v>
      </c>
      <c r="T1401" s="49" t="str">
        <f>IFERROR(__xludf.DUMMYFUNCTION("""COMPUTED_VALUE"""),"rewarded")</f>
        <v>rewarded</v>
      </c>
      <c r="U1401" s="49"/>
      <c r="V1401" s="49"/>
      <c r="W1401" s="49" t="str">
        <f>IFERROR(__xludf.DUMMYFUNCTION("""COMPUTED_VALUE"""),"manifesto")</f>
        <v>manifesto</v>
      </c>
      <c r="X1401" s="49" t="str">
        <f t="shared" si="3"/>
        <v>dose,</v>
      </c>
      <c r="Y1401" s="49"/>
      <c r="Z1401" s="1" t="s">
        <v>5401</v>
      </c>
      <c r="AA1401" s="1" t="s">
        <v>964</v>
      </c>
      <c r="AB1401" s="49"/>
      <c r="AC1401" s="49"/>
      <c r="AD1401" s="49"/>
      <c r="AE1401" s="49" t="str">
        <f>IFERROR(__xludf.DUMMYFUNCTION("""COMPUTED_VALUE"""),"yielded")</f>
        <v>yielded</v>
      </c>
      <c r="AF1401" s="49" t="str">
        <f t="shared" si="4"/>
        <v>win,</v>
      </c>
      <c r="AG1401" s="49"/>
      <c r="AH1401" s="1" t="s">
        <v>3386</v>
      </c>
      <c r="AI1401" s="1" t="s">
        <v>4307</v>
      </c>
      <c r="AJ1401" s="6" t="str">
        <f>IFERROR(__xludf.DUMMYFUNCTION("""COMPUTED_VALUE"""),"christmas")</f>
        <v>christmas</v>
      </c>
      <c r="AK1401" s="49"/>
      <c r="AL1401" s="49"/>
      <c r="AM1401" s="49"/>
      <c r="AN1401" s="52" t="str">
        <f t="shared" si="5"/>
        <v>australia,</v>
      </c>
    </row>
    <row r="1402">
      <c r="A1402" s="51"/>
      <c r="B1402" s="50">
        <v>1986.0</v>
      </c>
      <c r="C1402" s="50" t="s">
        <v>2437</v>
      </c>
      <c r="D1402" s="49" t="str">
        <f>IFERROR(__xludf.DUMMYFUNCTION("""COMPUTED_VALUE"""),"precious")</f>
        <v>precious</v>
      </c>
      <c r="E1402" s="49"/>
      <c r="F1402" s="49"/>
      <c r="G1402" s="49"/>
      <c r="H1402" s="54" t="str">
        <f t="shared" si="1"/>
        <v>1986,</v>
      </c>
      <c r="I1402" s="50"/>
      <c r="J1402" s="50" t="s">
        <v>7367</v>
      </c>
      <c r="K1402" s="50" t="s">
        <v>3990</v>
      </c>
      <c r="L1402" s="49" t="str">
        <f>IFERROR(__xludf.DUMMYFUNCTION("""COMPUTED_VALUE"""),"intensely")</f>
        <v>intensely</v>
      </c>
      <c r="M1402" s="49"/>
      <c r="N1402" s="49"/>
      <c r="O1402" s="49" t="str">
        <f>IFERROR(__xludf.DUMMYFUNCTION("""COMPUTED_VALUE"""),"myth")</f>
        <v>myth</v>
      </c>
      <c r="P1402" s="49" t="str">
        <f t="shared" si="2"/>
        <v>ass,</v>
      </c>
      <c r="Q1402" s="49"/>
      <c r="R1402" s="50" t="s">
        <v>3438</v>
      </c>
      <c r="S1402" s="55" t="s">
        <v>873</v>
      </c>
      <c r="T1402" s="49" t="str">
        <f>IFERROR(__xludf.DUMMYFUNCTION("""COMPUTED_VALUE"""),"draws")</f>
        <v>draws</v>
      </c>
      <c r="U1402" s="49"/>
      <c r="V1402" s="49"/>
      <c r="W1402" s="49" t="str">
        <f>IFERROR(__xludf.DUMMYFUNCTION("""COMPUTED_VALUE"""),"topical")</f>
        <v>topical</v>
      </c>
      <c r="X1402" s="49" t="str">
        <f t="shared" si="3"/>
        <v>credit,</v>
      </c>
      <c r="Y1402" s="49"/>
      <c r="Z1402" s="1" t="s">
        <v>1719</v>
      </c>
      <c r="AA1402" s="1" t="s">
        <v>3391</v>
      </c>
      <c r="AB1402" s="49"/>
      <c r="AC1402" s="49"/>
      <c r="AD1402" s="49"/>
      <c r="AE1402" s="49" t="str">
        <f>IFERROR(__xludf.DUMMYFUNCTION("""COMPUTED_VALUE"""),"myth")</f>
        <v>myth</v>
      </c>
      <c r="AF1402" s="49" t="str">
        <f t="shared" si="4"/>
        <v>return,</v>
      </c>
      <c r="AG1402" s="49"/>
      <c r="AH1402" s="1" t="s">
        <v>4168</v>
      </c>
      <c r="AI1402" s="1" t="s">
        <v>2180</v>
      </c>
      <c r="AJ1402" s="6">
        <f>IFERROR(__xludf.DUMMYFUNCTION("""COMPUTED_VALUE"""),75.0)</f>
        <v>75</v>
      </c>
      <c r="AK1402" s="49"/>
      <c r="AL1402" s="49"/>
      <c r="AM1402" s="49"/>
      <c r="AN1402" s="52" t="str">
        <f t="shared" si="5"/>
        <v>festival,</v>
      </c>
    </row>
    <row r="1403">
      <c r="A1403" s="51"/>
      <c r="B1403" s="50" t="s">
        <v>4077</v>
      </c>
      <c r="C1403" s="50" t="s">
        <v>603</v>
      </c>
      <c r="D1403" s="49" t="str">
        <f>IFERROR(__xludf.DUMMYFUNCTION("""COMPUTED_VALUE"""),"dead")</f>
        <v>dead</v>
      </c>
      <c r="E1403" s="49"/>
      <c r="F1403" s="49"/>
      <c r="G1403" s="49"/>
      <c r="H1403" s="54" t="str">
        <f t="shared" si="1"/>
        <v>rules,</v>
      </c>
      <c r="I1403" s="50"/>
      <c r="J1403" s="50" t="s">
        <v>5172</v>
      </c>
      <c r="K1403" s="50" t="s">
        <v>1591</v>
      </c>
      <c r="L1403" s="49" t="str">
        <f>IFERROR(__xludf.DUMMYFUNCTION("""COMPUTED_VALUE"""),"companion")</f>
        <v>companion</v>
      </c>
      <c r="M1403" s="49"/>
      <c r="N1403" s="49"/>
      <c r="O1403" s="49" t="str">
        <f>IFERROR(__xludf.DUMMYFUNCTION("""COMPUTED_VALUE"""),"hicks")</f>
        <v>hicks</v>
      </c>
      <c r="P1403" s="49" t="str">
        <f t="shared" si="2"/>
        <v>centered,</v>
      </c>
      <c r="Q1403" s="49"/>
      <c r="R1403" s="50" t="s">
        <v>3436</v>
      </c>
      <c r="S1403" s="55" t="s">
        <v>4488</v>
      </c>
      <c r="T1403" s="49" t="str">
        <f>IFERROR(__xludf.DUMMYFUNCTION("""COMPUTED_VALUE"""),"holocaust")</f>
        <v>holocaust</v>
      </c>
      <c r="U1403" s="49"/>
      <c r="V1403" s="49"/>
      <c r="W1403" s="49" t="str">
        <f>IFERROR(__xludf.DUMMYFUNCTION("""COMPUTED_VALUE"""),"relating")</f>
        <v>relating</v>
      </c>
      <c r="X1403" s="49" t="str">
        <f t="shared" si="3"/>
        <v>guest,</v>
      </c>
      <c r="Y1403" s="49"/>
      <c r="Z1403" s="1" t="s">
        <v>4484</v>
      </c>
      <c r="AA1403" s="1" t="s">
        <v>3039</v>
      </c>
      <c r="AB1403" s="49"/>
      <c r="AC1403" s="49"/>
      <c r="AD1403" s="49"/>
      <c r="AE1403" s="49" t="str">
        <f>IFERROR(__xludf.DUMMYFUNCTION("""COMPUTED_VALUE"""),"hicks")</f>
        <v>hicks</v>
      </c>
      <c r="AF1403" s="49" t="str">
        <f t="shared" si="4"/>
        <v>research,</v>
      </c>
      <c r="AG1403" s="49"/>
      <c r="AH1403" s="1">
        <v>1986.0</v>
      </c>
      <c r="AI1403" s="1" t="s">
        <v>6499</v>
      </c>
      <c r="AJ1403" s="6" t="str">
        <f>IFERROR(__xludf.DUMMYFUNCTION("""COMPUTED_VALUE"""),"talent")</f>
        <v>talent</v>
      </c>
      <c r="AK1403" s="49"/>
      <c r="AL1403" s="49"/>
      <c r="AM1403" s="49"/>
      <c r="AN1403" s="52" t="str">
        <f t="shared" si="5"/>
        <v>1986,</v>
      </c>
    </row>
    <row r="1404">
      <c r="A1404" s="51"/>
      <c r="B1404" s="50" t="s">
        <v>610</v>
      </c>
      <c r="C1404" s="50" t="s">
        <v>680</v>
      </c>
      <c r="D1404" s="49" t="str">
        <f>IFERROR(__xludf.DUMMYFUNCTION("""COMPUTED_VALUE"""),"quickly")</f>
        <v>quickly</v>
      </c>
      <c r="E1404" s="49"/>
      <c r="F1404" s="49"/>
      <c r="G1404" s="49"/>
      <c r="H1404" s="54" t="str">
        <f t="shared" si="1"/>
        <v>wait,</v>
      </c>
      <c r="I1404" s="50"/>
      <c r="J1404" s="50" t="s">
        <v>5253</v>
      </c>
      <c r="K1404" s="50" t="s">
        <v>4477</v>
      </c>
      <c r="L1404" s="49" t="str">
        <f>IFERROR(__xludf.DUMMYFUNCTION("""COMPUTED_VALUE"""),"fleeing")</f>
        <v>fleeing</v>
      </c>
      <c r="M1404" s="49"/>
      <c r="N1404" s="49"/>
      <c r="O1404" s="49" t="str">
        <f>IFERROR(__xludf.DUMMYFUNCTION("""COMPUTED_VALUE"""),"hatfield")</f>
        <v>hatfield</v>
      </c>
      <c r="P1404" s="49" t="str">
        <f t="shared" si="2"/>
        <v>breaks,</v>
      </c>
      <c r="Q1404" s="49"/>
      <c r="R1404" s="50" t="s">
        <v>3780</v>
      </c>
      <c r="S1404" s="55" t="s">
        <v>3816</v>
      </c>
      <c r="T1404" s="49" t="str">
        <f>IFERROR(__xludf.DUMMYFUNCTION("""COMPUTED_VALUE"""),"combat")</f>
        <v>combat</v>
      </c>
      <c r="U1404" s="49"/>
      <c r="V1404" s="49"/>
      <c r="W1404" s="49" t="str">
        <f>IFERROR(__xludf.DUMMYFUNCTION("""COMPUTED_VALUE"""),"prepare")</f>
        <v>prepare</v>
      </c>
      <c r="X1404" s="49" t="str">
        <f t="shared" si="3"/>
        <v>refreshing,</v>
      </c>
      <c r="Y1404" s="49"/>
      <c r="Z1404" s="1" t="s">
        <v>3608</v>
      </c>
      <c r="AA1404" s="1" t="s">
        <v>1835</v>
      </c>
      <c r="AB1404" s="49"/>
      <c r="AC1404" s="49"/>
      <c r="AD1404" s="49"/>
      <c r="AE1404" s="49" t="str">
        <f>IFERROR(__xludf.DUMMYFUNCTION("""COMPUTED_VALUE"""),"hatfield")</f>
        <v>hatfield</v>
      </c>
      <c r="AF1404" s="49" t="str">
        <f t="shared" si="4"/>
        <v>possibilities,</v>
      </c>
      <c r="AG1404" s="49"/>
      <c r="AH1404" s="1" t="s">
        <v>4077</v>
      </c>
      <c r="AI1404" s="1" t="s">
        <v>6393</v>
      </c>
      <c r="AJ1404" s="6" t="str">
        <f>IFERROR(__xludf.DUMMYFUNCTION("""COMPUTED_VALUE"""),"strip")</f>
        <v>strip</v>
      </c>
      <c r="AK1404" s="49"/>
      <c r="AL1404" s="49"/>
      <c r="AM1404" s="49"/>
      <c r="AN1404" s="52" t="str">
        <f t="shared" si="5"/>
        <v>rules,</v>
      </c>
    </row>
    <row r="1405">
      <c r="A1405" s="51"/>
      <c r="B1405" s="50" t="s">
        <v>6572</v>
      </c>
      <c r="C1405" s="50" t="s">
        <v>6486</v>
      </c>
      <c r="D1405" s="49" t="str">
        <f>IFERROR(__xludf.DUMMYFUNCTION("""COMPUTED_VALUE"""),"unlike")</f>
        <v>unlike</v>
      </c>
      <c r="E1405" s="49"/>
      <c r="F1405" s="49"/>
      <c r="G1405" s="49"/>
      <c r="H1405" s="54" t="str">
        <f t="shared" si="1"/>
        <v>arthur,</v>
      </c>
      <c r="I1405" s="50"/>
      <c r="J1405" s="50" t="s">
        <v>3450</v>
      </c>
      <c r="K1405" s="50" t="s">
        <v>3413</v>
      </c>
      <c r="L1405" s="49" t="str">
        <f>IFERROR(__xludf.DUMMYFUNCTION("""COMPUTED_VALUE"""),"educational")</f>
        <v>educational</v>
      </c>
      <c r="M1405" s="49"/>
      <c r="N1405" s="49"/>
      <c r="O1405" s="49" t="str">
        <f>IFERROR(__xludf.DUMMYFUNCTION("""COMPUTED_VALUE"""),"sprung")</f>
        <v>sprung</v>
      </c>
      <c r="P1405" s="49" t="str">
        <f t="shared" si="2"/>
        <v>bid,</v>
      </c>
      <c r="Q1405" s="49"/>
      <c r="R1405" s="50" t="s">
        <v>720</v>
      </c>
      <c r="S1405" s="55" t="s">
        <v>6406</v>
      </c>
      <c r="T1405" s="49" t="str">
        <f>IFERROR(__xludf.DUMMYFUNCTION("""COMPUTED_VALUE"""),"invest")</f>
        <v>invest</v>
      </c>
      <c r="U1405" s="49"/>
      <c r="V1405" s="49"/>
      <c r="W1405" s="49" t="str">
        <f>IFERROR(__xludf.DUMMYFUNCTION("""COMPUTED_VALUE"""),"wanderers")</f>
        <v>wanderers</v>
      </c>
      <c r="X1405" s="49" t="str">
        <f t="shared" si="3"/>
        <v>pleasures,</v>
      </c>
      <c r="Y1405" s="49"/>
      <c r="Z1405" s="1" t="s">
        <v>2732</v>
      </c>
      <c r="AA1405" s="1" t="s">
        <v>1841</v>
      </c>
      <c r="AB1405" s="49"/>
      <c r="AC1405" s="49"/>
      <c r="AD1405" s="49"/>
      <c r="AE1405" s="49" t="str">
        <f>IFERROR(__xludf.DUMMYFUNCTION("""COMPUTED_VALUE"""),"sprung")</f>
        <v>sprung</v>
      </c>
      <c r="AF1405" s="49" t="str">
        <f t="shared" si="4"/>
        <v>brought,</v>
      </c>
      <c r="AG1405" s="49"/>
      <c r="AH1405" s="1" t="s">
        <v>610</v>
      </c>
      <c r="AI1405" s="1" t="s">
        <v>4311</v>
      </c>
      <c r="AJ1405" s="6" t="str">
        <f>IFERROR(__xludf.DUMMYFUNCTION("""COMPUTED_VALUE"""),"age")</f>
        <v>age</v>
      </c>
      <c r="AK1405" s="49"/>
      <c r="AL1405" s="49"/>
      <c r="AM1405" s="49"/>
      <c r="AN1405" s="52" t="str">
        <f t="shared" si="5"/>
        <v>wait,</v>
      </c>
    </row>
    <row r="1406">
      <c r="A1406" s="51"/>
      <c r="B1406" s="50" t="s">
        <v>3945</v>
      </c>
      <c r="C1406" s="50" t="s">
        <v>3562</v>
      </c>
      <c r="D1406" s="49" t="str">
        <f>IFERROR(__xludf.DUMMYFUNCTION("""COMPUTED_VALUE"""),"nice")</f>
        <v>nice</v>
      </c>
      <c r="E1406" s="49"/>
      <c r="F1406" s="49"/>
      <c r="G1406" s="49"/>
      <c r="H1406" s="54" t="str">
        <f t="shared" si="1"/>
        <v>learned,</v>
      </c>
      <c r="I1406" s="50"/>
      <c r="J1406" s="50">
        <v>9.0</v>
      </c>
      <c r="K1406" s="50" t="s">
        <v>2811</v>
      </c>
      <c r="L1406" s="49" t="str">
        <f>IFERROR(__xludf.DUMMYFUNCTION("""COMPUTED_VALUE"""),"broader")</f>
        <v>broader</v>
      </c>
      <c r="M1406" s="49"/>
      <c r="N1406" s="49"/>
      <c r="O1406" s="49" t="str">
        <f>IFERROR(__xludf.DUMMYFUNCTION("""COMPUTED_VALUE"""),"expressions")</f>
        <v>expressions</v>
      </c>
      <c r="P1406" s="49" t="str">
        <f t="shared" si="2"/>
        <v>9,</v>
      </c>
      <c r="Q1406" s="49"/>
      <c r="R1406" s="50" t="s">
        <v>6627</v>
      </c>
      <c r="S1406" s="55" t="s">
        <v>2579</v>
      </c>
      <c r="T1406" s="49" t="str">
        <f>IFERROR(__xludf.DUMMYFUNCTION("""COMPUTED_VALUE"""),"cry")</f>
        <v>cry</v>
      </c>
      <c r="U1406" s="49"/>
      <c r="V1406" s="49"/>
      <c r="W1406" s="49" t="str">
        <f>IFERROR(__xludf.DUMMYFUNCTION("""COMPUTED_VALUE"""),"equilibrium")</f>
        <v>equilibrium</v>
      </c>
      <c r="X1406" s="49" t="str">
        <f t="shared" si="3"/>
        <v>mike,</v>
      </c>
      <c r="Y1406" s="49"/>
      <c r="Z1406" s="1" t="s">
        <v>2162</v>
      </c>
      <c r="AA1406" s="1" t="s">
        <v>3403</v>
      </c>
      <c r="AB1406" s="49"/>
      <c r="AC1406" s="49"/>
      <c r="AD1406" s="49"/>
      <c r="AE1406" s="49" t="str">
        <f>IFERROR(__xludf.DUMMYFUNCTION("""COMPUTED_VALUE"""),"expressions")</f>
        <v>expressions</v>
      </c>
      <c r="AF1406" s="49" t="str">
        <f t="shared" si="4"/>
        <v>working,</v>
      </c>
      <c r="AG1406" s="49"/>
      <c r="AH1406" s="1" t="s">
        <v>6572</v>
      </c>
      <c r="AI1406" s="1" t="s">
        <v>4146</v>
      </c>
      <c r="AJ1406" s="6" t="str">
        <f>IFERROR(__xludf.DUMMYFUNCTION("""COMPUTED_VALUE"""),"standard")</f>
        <v>standard</v>
      </c>
      <c r="AK1406" s="49"/>
      <c r="AL1406" s="49"/>
      <c r="AM1406" s="49"/>
      <c r="AN1406" s="52" t="str">
        <f t="shared" si="5"/>
        <v>arthur,</v>
      </c>
    </row>
    <row r="1407">
      <c r="A1407" s="51"/>
      <c r="B1407" s="50" t="s">
        <v>6888</v>
      </c>
      <c r="C1407" s="50" t="s">
        <v>6475</v>
      </c>
      <c r="D1407" s="49" t="str">
        <f>IFERROR(__xludf.DUMMYFUNCTION("""COMPUTED_VALUE"""),"drawn")</f>
        <v>drawn</v>
      </c>
      <c r="E1407" s="49"/>
      <c r="F1407" s="49"/>
      <c r="G1407" s="49"/>
      <c r="H1407" s="54" t="str">
        <f t="shared" si="1"/>
        <v>di,</v>
      </c>
      <c r="I1407" s="50"/>
      <c r="J1407" s="50" t="s">
        <v>1096</v>
      </c>
      <c r="K1407" s="50" t="s">
        <v>4000</v>
      </c>
      <c r="L1407" s="49" t="str">
        <f>IFERROR(__xludf.DUMMYFUNCTION("""COMPUTED_VALUE"""),"wildlife")</f>
        <v>wildlife</v>
      </c>
      <c r="M1407" s="49"/>
      <c r="N1407" s="49"/>
      <c r="O1407" s="49" t="str">
        <f>IFERROR(__xludf.DUMMYFUNCTION("""COMPUTED_VALUE"""),"award")</f>
        <v>award</v>
      </c>
      <c r="P1407" s="49" t="str">
        <f t="shared" si="2"/>
        <v>discourse,</v>
      </c>
      <c r="Q1407" s="49"/>
      <c r="R1407" s="50" t="s">
        <v>1562</v>
      </c>
      <c r="S1407" s="55" t="s">
        <v>4284</v>
      </c>
      <c r="T1407" s="49" t="str">
        <f>IFERROR(__xludf.DUMMYFUNCTION("""COMPUTED_VALUE"""),"incarnation")</f>
        <v>incarnation</v>
      </c>
      <c r="U1407" s="49"/>
      <c r="V1407" s="49"/>
      <c r="W1407" s="49" t="str">
        <f>IFERROR(__xludf.DUMMYFUNCTION("""COMPUTED_VALUE"""),"calculating")</f>
        <v>calculating</v>
      </c>
      <c r="X1407" s="49" t="str">
        <f t="shared" si="3"/>
        <v>overcome,</v>
      </c>
      <c r="Y1407" s="49"/>
      <c r="Z1407" s="1" t="s">
        <v>4463</v>
      </c>
      <c r="AA1407" s="1" t="s">
        <v>4480</v>
      </c>
      <c r="AB1407" s="49"/>
      <c r="AC1407" s="49"/>
      <c r="AD1407" s="49"/>
      <c r="AE1407" s="49" t="str">
        <f>IFERROR(__xludf.DUMMYFUNCTION("""COMPUTED_VALUE"""),"award")</f>
        <v>award</v>
      </c>
      <c r="AF1407" s="49" t="str">
        <f t="shared" si="4"/>
        <v>paul,</v>
      </c>
      <c r="AG1407" s="49"/>
      <c r="AH1407" s="1" t="s">
        <v>3945</v>
      </c>
      <c r="AI1407" s="1" t="s">
        <v>2493</v>
      </c>
      <c r="AJ1407" s="6" t="str">
        <f>IFERROR(__xludf.DUMMYFUNCTION("""COMPUTED_VALUE"""),"mixed")</f>
        <v>mixed</v>
      </c>
      <c r="AK1407" s="49"/>
      <c r="AL1407" s="49"/>
      <c r="AM1407" s="49"/>
      <c r="AN1407" s="52" t="str">
        <f t="shared" si="5"/>
        <v>learned,</v>
      </c>
    </row>
    <row r="1408">
      <c r="A1408" s="51"/>
      <c r="B1408" s="50" t="s">
        <v>2406</v>
      </c>
      <c r="C1408" s="50" t="s">
        <v>612</v>
      </c>
      <c r="D1408" s="49" t="str">
        <f>IFERROR(__xludf.DUMMYFUNCTION("""COMPUTED_VALUE"""),"dancing")</f>
        <v>dancing</v>
      </c>
      <c r="E1408" s="49"/>
      <c r="F1408" s="49"/>
      <c r="G1408" s="49"/>
      <c r="H1408" s="54" t="str">
        <f t="shared" si="1"/>
        <v>grow,</v>
      </c>
      <c r="I1408" s="50"/>
      <c r="J1408" s="50" t="s">
        <v>3034</v>
      </c>
      <c r="K1408" s="50" t="s">
        <v>2816</v>
      </c>
      <c r="L1408" s="49" t="str">
        <f>IFERROR(__xludf.DUMMYFUNCTION("""COMPUTED_VALUE"""),"spare")</f>
        <v>spare</v>
      </c>
      <c r="M1408" s="49"/>
      <c r="N1408" s="49"/>
      <c r="O1408" s="49" t="str">
        <f>IFERROR(__xludf.DUMMYFUNCTION("""COMPUTED_VALUE"""),"appearing")</f>
        <v>appearing</v>
      </c>
      <c r="P1408" s="49" t="str">
        <f t="shared" si="2"/>
        <v>level,</v>
      </c>
      <c r="Q1408" s="49"/>
      <c r="R1408" s="50" t="s">
        <v>5661</v>
      </c>
      <c r="S1408" s="55" t="s">
        <v>4288</v>
      </c>
      <c r="T1408" s="49" t="str">
        <f>IFERROR(__xludf.DUMMYFUNCTION("""COMPUTED_VALUE"""),"breathe")</f>
        <v>breathe</v>
      </c>
      <c r="U1408" s="49"/>
      <c r="V1408" s="49"/>
      <c r="W1408" s="49">
        <f>IFERROR(__xludf.DUMMYFUNCTION("""COMPUTED_VALUE"""),295.0)</f>
        <v>295</v>
      </c>
      <c r="X1408" s="49" t="str">
        <f t="shared" si="3"/>
        <v>jealous,</v>
      </c>
      <c r="Y1408" s="49"/>
      <c r="Z1408" s="1" t="s">
        <v>6767</v>
      </c>
      <c r="AA1408" s="1" t="s">
        <v>187</v>
      </c>
      <c r="AB1408" s="49"/>
      <c r="AC1408" s="49"/>
      <c r="AD1408" s="49"/>
      <c r="AE1408" s="49" t="str">
        <f>IFERROR(__xludf.DUMMYFUNCTION("""COMPUTED_VALUE"""),"appearing")</f>
        <v>appearing</v>
      </c>
      <c r="AF1408" s="49" t="str">
        <f t="shared" si="4"/>
        <v>super,</v>
      </c>
      <c r="AG1408" s="49"/>
      <c r="AH1408" s="1" t="s">
        <v>6888</v>
      </c>
      <c r="AI1408" s="1" t="s">
        <v>4150</v>
      </c>
      <c r="AJ1408" s="6" t="str">
        <f>IFERROR(__xludf.DUMMYFUNCTION("""COMPUTED_VALUE"""),"product")</f>
        <v>product</v>
      </c>
      <c r="AK1408" s="49"/>
      <c r="AL1408" s="49"/>
      <c r="AM1408" s="49"/>
      <c r="AN1408" s="52" t="str">
        <f t="shared" si="5"/>
        <v>di,</v>
      </c>
    </row>
    <row r="1409">
      <c r="A1409" s="51"/>
      <c r="B1409" s="50" t="s">
        <v>5850</v>
      </c>
      <c r="C1409" s="50" t="s">
        <v>6487</v>
      </c>
      <c r="D1409" s="49" t="str">
        <f>IFERROR(__xludf.DUMMYFUNCTION("""COMPUTED_VALUE"""),"belly")</f>
        <v>belly</v>
      </c>
      <c r="E1409" s="49"/>
      <c r="F1409" s="49"/>
      <c r="G1409" s="49"/>
      <c r="H1409" s="54" t="str">
        <f t="shared" si="1"/>
        <v>refers,</v>
      </c>
      <c r="I1409" s="50"/>
      <c r="J1409" s="50" t="s">
        <v>2533</v>
      </c>
      <c r="K1409" s="50" t="s">
        <v>2819</v>
      </c>
      <c r="L1409" s="49" t="str">
        <f>IFERROR(__xludf.DUMMYFUNCTION("""COMPUTED_VALUE"""),"retiring")</f>
        <v>retiring</v>
      </c>
      <c r="M1409" s="49"/>
      <c r="N1409" s="49"/>
      <c r="O1409" s="49" t="str">
        <f>IFERROR(__xludf.DUMMYFUNCTION("""COMPUTED_VALUE"""),"televised")</f>
        <v>televised</v>
      </c>
      <c r="P1409" s="49" t="str">
        <f t="shared" si="2"/>
        <v>egypt,</v>
      </c>
      <c r="Q1409" s="49"/>
      <c r="R1409" s="50" t="s">
        <v>3791</v>
      </c>
      <c r="S1409" s="55" t="s">
        <v>880</v>
      </c>
      <c r="T1409" s="49" t="str">
        <f>IFERROR(__xludf.DUMMYFUNCTION("""COMPUTED_VALUE"""),"claim")</f>
        <v>claim</v>
      </c>
      <c r="U1409" s="49"/>
      <c r="V1409" s="49"/>
      <c r="W1409" s="49" t="str">
        <f>IFERROR(__xludf.DUMMYFUNCTION("""COMPUTED_VALUE"""),"turf")</f>
        <v>turf</v>
      </c>
      <c r="X1409" s="49" t="str">
        <f t="shared" si="3"/>
        <v>irresistible,</v>
      </c>
      <c r="Y1409" s="49"/>
      <c r="Z1409" s="1" t="s">
        <v>963</v>
      </c>
      <c r="AA1409" s="1" t="s">
        <v>3406</v>
      </c>
      <c r="AB1409" s="49"/>
      <c r="AC1409" s="49"/>
      <c r="AD1409" s="49"/>
      <c r="AE1409" s="49" t="str">
        <f>IFERROR(__xludf.DUMMYFUNCTION("""COMPUTED_VALUE"""),"televised")</f>
        <v>televised</v>
      </c>
      <c r="AF1409" s="49" t="str">
        <f t="shared" si="4"/>
        <v>sympathetic,</v>
      </c>
      <c r="AG1409" s="49"/>
      <c r="AH1409" s="1" t="s">
        <v>2406</v>
      </c>
      <c r="AI1409" s="1" t="s">
        <v>3760</v>
      </c>
      <c r="AJ1409" s="6" t="str">
        <f>IFERROR(__xludf.DUMMYFUNCTION("""COMPUTED_VALUE"""),"jason")</f>
        <v>jason</v>
      </c>
      <c r="AK1409" s="49"/>
      <c r="AL1409" s="49"/>
      <c r="AM1409" s="49"/>
      <c r="AN1409" s="52" t="str">
        <f t="shared" si="5"/>
        <v>grow,</v>
      </c>
    </row>
    <row r="1410">
      <c r="A1410" s="51"/>
      <c r="B1410" s="50" t="s">
        <v>6649</v>
      </c>
      <c r="C1410" s="50" t="s">
        <v>2988</v>
      </c>
      <c r="D1410" s="49" t="str">
        <f>IFERROR(__xludf.DUMMYFUNCTION("""COMPUTED_VALUE"""),"widow")</f>
        <v>widow</v>
      </c>
      <c r="E1410" s="49"/>
      <c r="F1410" s="49"/>
      <c r="G1410" s="49"/>
      <c r="H1410" s="54" t="str">
        <f t="shared" si="1"/>
        <v>gary,</v>
      </c>
      <c r="I1410" s="50"/>
      <c r="J1410" s="50" t="s">
        <v>4068</v>
      </c>
      <c r="K1410" s="50" t="s">
        <v>4485</v>
      </c>
      <c r="L1410" s="49" t="str">
        <f>IFERROR(__xludf.DUMMYFUNCTION("""COMPUTED_VALUE"""),"documented")</f>
        <v>documented</v>
      </c>
      <c r="M1410" s="49"/>
      <c r="N1410" s="49"/>
      <c r="O1410" s="49" t="str">
        <f>IFERROR(__xludf.DUMMYFUNCTION("""COMPUTED_VALUE"""),"chord")</f>
        <v>chord</v>
      </c>
      <c r="P1410" s="49" t="str">
        <f t="shared" si="2"/>
        <v>liberties,</v>
      </c>
      <c r="Q1410" s="49"/>
      <c r="R1410" s="50" t="s">
        <v>2240</v>
      </c>
      <c r="S1410" s="55" t="s">
        <v>3821</v>
      </c>
      <c r="T1410" s="49" t="str">
        <f>IFERROR(__xludf.DUMMYFUNCTION("""COMPUTED_VALUE"""),"celebrated")</f>
        <v>celebrated</v>
      </c>
      <c r="U1410" s="49"/>
      <c r="V1410" s="49"/>
      <c r="W1410" s="49" t="str">
        <f>IFERROR(__xludf.DUMMYFUNCTION("""COMPUTED_VALUE"""),"fingered")</f>
        <v>fingered</v>
      </c>
      <c r="X1410" s="49" t="str">
        <f t="shared" si="3"/>
        <v>receives,</v>
      </c>
      <c r="Y1410" s="49"/>
      <c r="Z1410" s="1" t="s">
        <v>3850</v>
      </c>
      <c r="AA1410" s="1" t="s">
        <v>3043</v>
      </c>
      <c r="AB1410" s="49"/>
      <c r="AC1410" s="49"/>
      <c r="AD1410" s="49"/>
      <c r="AE1410" s="49" t="str">
        <f>IFERROR(__xludf.DUMMYFUNCTION("""COMPUTED_VALUE"""),"chord")</f>
        <v>chord</v>
      </c>
      <c r="AF1410" s="49" t="str">
        <f t="shared" si="4"/>
        <v>sexy,</v>
      </c>
      <c r="AG1410" s="49"/>
      <c r="AH1410" s="1" t="s">
        <v>5850</v>
      </c>
      <c r="AI1410" s="1" t="s">
        <v>2524</v>
      </c>
      <c r="AJ1410" s="6" t="str">
        <f>IFERROR(__xludf.DUMMYFUNCTION("""COMPUTED_VALUE"""),"besides")</f>
        <v>besides</v>
      </c>
      <c r="AK1410" s="49"/>
      <c r="AL1410" s="49"/>
      <c r="AM1410" s="49"/>
      <c r="AN1410" s="52" t="str">
        <f t="shared" si="5"/>
        <v>refers,</v>
      </c>
    </row>
    <row r="1411">
      <c r="A1411" s="51"/>
      <c r="B1411" s="50" t="s">
        <v>4131</v>
      </c>
      <c r="C1411" s="50" t="s">
        <v>3582</v>
      </c>
      <c r="D1411" s="49" t="str">
        <f>IFERROR(__xludf.DUMMYFUNCTION("""COMPUTED_VALUE"""),"transformation")</f>
        <v>transformation</v>
      </c>
      <c r="E1411" s="49"/>
      <c r="F1411" s="49"/>
      <c r="G1411" s="49"/>
      <c r="H1411" s="54" t="str">
        <f t="shared" si="1"/>
        <v>russell,</v>
      </c>
      <c r="I1411" s="50"/>
      <c r="J1411" s="50" t="s">
        <v>3272</v>
      </c>
      <c r="K1411" s="50" t="s">
        <v>4008</v>
      </c>
      <c r="L1411" s="49" t="str">
        <f>IFERROR(__xludf.DUMMYFUNCTION("""COMPUTED_VALUE"""),"reside")</f>
        <v>reside</v>
      </c>
      <c r="M1411" s="49"/>
      <c r="N1411" s="49"/>
      <c r="O1411" s="49" t="str">
        <f>IFERROR(__xludf.DUMMYFUNCTION("""COMPUTED_VALUE"""),"morals")</f>
        <v>morals</v>
      </c>
      <c r="P1411" s="49" t="str">
        <f t="shared" si="2"/>
        <v>thinks,</v>
      </c>
      <c r="Q1411" s="49"/>
      <c r="R1411" s="50" t="s">
        <v>1082</v>
      </c>
      <c r="S1411" s="55" t="s">
        <v>1316</v>
      </c>
      <c r="T1411" s="49" t="str">
        <f>IFERROR(__xludf.DUMMYFUNCTION("""COMPUTED_VALUE"""),"shadowy")</f>
        <v>shadowy</v>
      </c>
      <c r="U1411" s="49"/>
      <c r="V1411" s="49"/>
      <c r="W1411" s="49" t="str">
        <f>IFERROR(__xludf.DUMMYFUNCTION("""COMPUTED_VALUE"""),"loving")</f>
        <v>loving</v>
      </c>
      <c r="X1411" s="49" t="str">
        <f t="shared" si="3"/>
        <v>entirely,</v>
      </c>
      <c r="Y1411" s="49"/>
      <c r="Z1411" s="1" t="s">
        <v>5299</v>
      </c>
      <c r="AA1411" s="1" t="s">
        <v>1136</v>
      </c>
      <c r="AB1411" s="49"/>
      <c r="AC1411" s="49"/>
      <c r="AD1411" s="49"/>
      <c r="AE1411" s="49" t="str">
        <f>IFERROR(__xludf.DUMMYFUNCTION("""COMPUTED_VALUE"""),"morals")</f>
        <v>morals</v>
      </c>
      <c r="AF1411" s="49" t="str">
        <f t="shared" si="4"/>
        <v>mild,</v>
      </c>
      <c r="AG1411" s="49"/>
      <c r="AH1411" s="1" t="s">
        <v>6649</v>
      </c>
      <c r="AI1411" s="1" t="s">
        <v>4315</v>
      </c>
      <c r="AJ1411" s="6" t="str">
        <f>IFERROR(__xludf.DUMMYFUNCTION("""COMPUTED_VALUE"""),"street")</f>
        <v>street</v>
      </c>
      <c r="AK1411" s="49"/>
      <c r="AL1411" s="49"/>
      <c r="AM1411" s="49"/>
      <c r="AN1411" s="52" t="str">
        <f t="shared" si="5"/>
        <v>gary,</v>
      </c>
    </row>
    <row r="1412">
      <c r="A1412" s="51"/>
      <c r="B1412" s="50" t="s">
        <v>6751</v>
      </c>
      <c r="C1412" s="50" t="s">
        <v>4912</v>
      </c>
      <c r="D1412" s="49" t="str">
        <f>IFERROR(__xludf.DUMMYFUNCTION("""COMPUTED_VALUE"""),"soccer")</f>
        <v>soccer</v>
      </c>
      <c r="E1412" s="49"/>
      <c r="F1412" s="49"/>
      <c r="G1412" s="49"/>
      <c r="H1412" s="54" t="str">
        <f t="shared" si="1"/>
        <v>seattle,</v>
      </c>
      <c r="I1412" s="50"/>
      <c r="J1412" s="50" t="s">
        <v>4618</v>
      </c>
      <c r="K1412" s="50" t="s">
        <v>777</v>
      </c>
      <c r="L1412" s="49" t="str">
        <f>IFERROR(__xludf.DUMMYFUNCTION("""COMPUTED_VALUE"""),"sundance")</f>
        <v>sundance</v>
      </c>
      <c r="M1412" s="49"/>
      <c r="N1412" s="49"/>
      <c r="O1412" s="49" t="str">
        <f>IFERROR(__xludf.DUMMYFUNCTION("""COMPUTED_VALUE"""),"chronicle")</f>
        <v>chronicle</v>
      </c>
      <c r="P1412" s="49" t="str">
        <f t="shared" si="2"/>
        <v>rewards,</v>
      </c>
      <c r="Q1412" s="49"/>
      <c r="R1412" s="50" t="s">
        <v>5811</v>
      </c>
      <c r="S1412" s="55" t="s">
        <v>1308</v>
      </c>
      <c r="T1412" s="49" t="str">
        <f>IFERROR(__xludf.DUMMYFUNCTION("""COMPUTED_VALUE"""),"optimistic")</f>
        <v>optimistic</v>
      </c>
      <c r="U1412" s="49"/>
      <c r="V1412" s="49"/>
      <c r="W1412" s="49" t="str">
        <f>IFERROR(__xludf.DUMMYFUNCTION("""COMPUTED_VALUE"""),"amassed")</f>
        <v>amassed</v>
      </c>
      <c r="X1412" s="49" t="str">
        <f t="shared" si="3"/>
        <v>winner,</v>
      </c>
      <c r="Y1412" s="49"/>
      <c r="Z1412" s="1" t="s">
        <v>3075</v>
      </c>
      <c r="AA1412" s="1" t="s">
        <v>608</v>
      </c>
      <c r="AB1412" s="49"/>
      <c r="AC1412" s="49"/>
      <c r="AD1412" s="49"/>
      <c r="AE1412" s="49" t="str">
        <f>IFERROR(__xludf.DUMMYFUNCTION("""COMPUTED_VALUE"""),"chronicle")</f>
        <v>chronicle</v>
      </c>
      <c r="AF1412" s="49" t="str">
        <f t="shared" si="4"/>
        <v>gangster,</v>
      </c>
      <c r="AG1412" s="49"/>
      <c r="AH1412" s="1" t="s">
        <v>4131</v>
      </c>
      <c r="AI1412" s="1" t="s">
        <v>4153</v>
      </c>
      <c r="AJ1412" s="6" t="str">
        <f>IFERROR(__xludf.DUMMYFUNCTION("""COMPUTED_VALUE"""),"word")</f>
        <v>word</v>
      </c>
      <c r="AK1412" s="49"/>
      <c r="AL1412" s="49"/>
      <c r="AM1412" s="49"/>
      <c r="AN1412" s="52" t="str">
        <f t="shared" si="5"/>
        <v>russell,</v>
      </c>
    </row>
    <row r="1413">
      <c r="A1413" s="51"/>
      <c r="B1413" s="50" t="s">
        <v>4609</v>
      </c>
      <c r="C1413" s="50" t="s">
        <v>4093</v>
      </c>
      <c r="D1413" s="49" t="str">
        <f>IFERROR(__xludf.DUMMYFUNCTION("""COMPUTED_VALUE"""),"festival")</f>
        <v>festival</v>
      </c>
      <c r="E1413" s="49"/>
      <c r="F1413" s="49"/>
      <c r="G1413" s="49"/>
      <c r="H1413" s="54" t="str">
        <f t="shared" si="1"/>
        <v>lifetime,</v>
      </c>
      <c r="I1413" s="50"/>
      <c r="J1413" s="50" t="s">
        <v>2958</v>
      </c>
      <c r="K1413" s="50" t="s">
        <v>921</v>
      </c>
      <c r="L1413" s="49" t="str">
        <f>IFERROR(__xludf.DUMMYFUNCTION("""COMPUTED_VALUE"""),"wherein")</f>
        <v>wherein</v>
      </c>
      <c r="M1413" s="49"/>
      <c r="N1413" s="49"/>
      <c r="O1413" s="49" t="str">
        <f>IFERROR(__xludf.DUMMYFUNCTION("""COMPUTED_VALUE"""),"vaudeville")</f>
        <v>vaudeville</v>
      </c>
      <c r="P1413" s="49" t="str">
        <f t="shared" si="2"/>
        <v>angelina,</v>
      </c>
      <c r="Q1413" s="49"/>
      <c r="R1413" s="50" t="s">
        <v>5180</v>
      </c>
      <c r="S1413" s="55" t="s">
        <v>2584</v>
      </c>
      <c r="T1413" s="49" t="str">
        <f>IFERROR(__xludf.DUMMYFUNCTION("""COMPUTED_VALUE"""),"pushing")</f>
        <v>pushing</v>
      </c>
      <c r="U1413" s="49"/>
      <c r="V1413" s="49"/>
      <c r="W1413" s="49" t="str">
        <f>IFERROR(__xludf.DUMMYFUNCTION("""COMPUTED_VALUE"""),"curiously")</f>
        <v>curiously</v>
      </c>
      <c r="X1413" s="49" t="str">
        <f t="shared" si="3"/>
        <v>design,</v>
      </c>
      <c r="Y1413" s="49"/>
      <c r="Z1413" s="1" t="s">
        <v>1466</v>
      </c>
      <c r="AA1413" s="1" t="s">
        <v>4490</v>
      </c>
      <c r="AB1413" s="49"/>
      <c r="AC1413" s="49"/>
      <c r="AD1413" s="49"/>
      <c r="AE1413" s="49" t="str">
        <f>IFERROR(__xludf.DUMMYFUNCTION("""COMPUTED_VALUE"""),"vaudeville")</f>
        <v>vaudeville</v>
      </c>
      <c r="AF1413" s="49" t="str">
        <f t="shared" si="4"/>
        <v>hopkins,</v>
      </c>
      <c r="AG1413" s="49"/>
      <c r="AH1413" s="1" t="s">
        <v>6751</v>
      </c>
      <c r="AI1413" s="1" t="s">
        <v>4163</v>
      </c>
      <c r="AJ1413" s="6" t="str">
        <f>IFERROR(__xludf.DUMMYFUNCTION("""COMPUTED_VALUE"""),"lives")</f>
        <v>lives</v>
      </c>
      <c r="AK1413" s="49"/>
      <c r="AL1413" s="49"/>
      <c r="AM1413" s="49"/>
      <c r="AN1413" s="52" t="str">
        <f t="shared" si="5"/>
        <v>seattle,</v>
      </c>
    </row>
    <row r="1414">
      <c r="A1414" s="51"/>
      <c r="B1414" s="50" t="s">
        <v>6304</v>
      </c>
      <c r="C1414" s="50" t="s">
        <v>6488</v>
      </c>
      <c r="D1414" s="49" t="str">
        <f>IFERROR(__xludf.DUMMYFUNCTION("""COMPUTED_VALUE"""),"george")</f>
        <v>george</v>
      </c>
      <c r="E1414" s="49"/>
      <c r="F1414" s="49"/>
      <c r="G1414" s="49"/>
      <c r="H1414" s="54" t="str">
        <f t="shared" si="1"/>
        <v>absolute,</v>
      </c>
      <c r="I1414" s="50"/>
      <c r="J1414" s="50" t="s">
        <v>1880</v>
      </c>
      <c r="K1414" s="50" t="s">
        <v>1426</v>
      </c>
      <c r="L1414" s="49" t="str">
        <f>IFERROR(__xludf.DUMMYFUNCTION("""COMPUTED_VALUE"""),"glass")</f>
        <v>glass</v>
      </c>
      <c r="M1414" s="49"/>
      <c r="N1414" s="49"/>
      <c r="O1414" s="49" t="str">
        <f>IFERROR(__xludf.DUMMYFUNCTION("""COMPUTED_VALUE"""),"flowering")</f>
        <v>flowering</v>
      </c>
      <c r="P1414" s="49" t="str">
        <f t="shared" si="2"/>
        <v>twice,</v>
      </c>
      <c r="Q1414" s="49"/>
      <c r="R1414" s="50" t="s">
        <v>7368</v>
      </c>
      <c r="S1414" s="55" t="s">
        <v>6500</v>
      </c>
      <c r="T1414" s="49" t="str">
        <f>IFERROR(__xludf.DUMMYFUNCTION("""COMPUTED_VALUE"""),"reportedly")</f>
        <v>reportedly</v>
      </c>
      <c r="U1414" s="49"/>
      <c r="V1414" s="49"/>
      <c r="W1414" s="49" t="str">
        <f>IFERROR(__xludf.DUMMYFUNCTION("""COMPUTED_VALUE"""),"luther")</f>
        <v>luther</v>
      </c>
      <c r="X1414" s="49" t="str">
        <f t="shared" si="3"/>
        <v>claws,</v>
      </c>
      <c r="Y1414" s="49"/>
      <c r="Z1414" s="1" t="s">
        <v>2004</v>
      </c>
      <c r="AA1414" s="1" t="s">
        <v>521</v>
      </c>
      <c r="AB1414" s="49"/>
      <c r="AC1414" s="49"/>
      <c r="AD1414" s="49"/>
      <c r="AE1414" s="49" t="str">
        <f>IFERROR(__xludf.DUMMYFUNCTION("""COMPUTED_VALUE"""),"flowering")</f>
        <v>flowering</v>
      </c>
      <c r="AF1414" s="49" t="str">
        <f t="shared" si="4"/>
        <v>asks,</v>
      </c>
      <c r="AG1414" s="49"/>
      <c r="AH1414" s="1" t="s">
        <v>4609</v>
      </c>
      <c r="AI1414" s="1" t="s">
        <v>4178</v>
      </c>
      <c r="AJ1414" s="6" t="str">
        <f>IFERROR(__xludf.DUMMYFUNCTION("""COMPUTED_VALUE"""),"questions")</f>
        <v>questions</v>
      </c>
      <c r="AK1414" s="49"/>
      <c r="AL1414" s="49"/>
      <c r="AM1414" s="49"/>
      <c r="AN1414" s="52" t="str">
        <f t="shared" si="5"/>
        <v>lifetime,</v>
      </c>
    </row>
    <row r="1415">
      <c r="A1415" s="51"/>
      <c r="B1415" s="50" t="s">
        <v>1507</v>
      </c>
      <c r="C1415" s="50" t="s">
        <v>2572</v>
      </c>
      <c r="D1415" s="49" t="str">
        <f>IFERROR(__xludf.DUMMYFUNCTION("""COMPUTED_VALUE"""),"ray")</f>
        <v>ray</v>
      </c>
      <c r="E1415" s="49"/>
      <c r="F1415" s="49"/>
      <c r="G1415" s="49"/>
      <c r="H1415" s="54" t="str">
        <f t="shared" si="1"/>
        <v>tucker,</v>
      </c>
      <c r="I1415" s="50"/>
      <c r="J1415" s="50" t="s">
        <v>2397</v>
      </c>
      <c r="K1415" s="50" t="s">
        <v>4018</v>
      </c>
      <c r="L1415" s="49" t="str">
        <f>IFERROR(__xludf.DUMMYFUNCTION("""COMPUTED_VALUE"""),"classify")</f>
        <v>classify</v>
      </c>
      <c r="M1415" s="49"/>
      <c r="N1415" s="49"/>
      <c r="O1415" s="49" t="str">
        <f>IFERROR(__xludf.DUMMYFUNCTION("""COMPUTED_VALUE"""),"testosterone")</f>
        <v>testosterone</v>
      </c>
      <c r="P1415" s="49" t="str">
        <f t="shared" si="2"/>
        <v>screenings,</v>
      </c>
      <c r="Q1415" s="49"/>
      <c r="R1415" s="50" t="s">
        <v>6653</v>
      </c>
      <c r="S1415" s="55" t="s">
        <v>5184</v>
      </c>
      <c r="T1415" s="49" t="str">
        <f>IFERROR(__xludf.DUMMYFUNCTION("""COMPUTED_VALUE"""),"showcase")</f>
        <v>showcase</v>
      </c>
      <c r="U1415" s="49"/>
      <c r="V1415" s="49"/>
      <c r="W1415" s="49" t="str">
        <f>IFERROR(__xludf.DUMMYFUNCTION("""COMPUTED_VALUE"""),"byron")</f>
        <v>byron</v>
      </c>
      <c r="X1415" s="49" t="str">
        <f t="shared" si="3"/>
        <v>luck,</v>
      </c>
      <c r="Y1415" s="49"/>
      <c r="Z1415" s="1" t="s">
        <v>168</v>
      </c>
      <c r="AA1415" s="1" t="s">
        <v>1142</v>
      </c>
      <c r="AB1415" s="49"/>
      <c r="AC1415" s="49"/>
      <c r="AD1415" s="49"/>
      <c r="AE1415" s="49" t="str">
        <f>IFERROR(__xludf.DUMMYFUNCTION("""COMPUTED_VALUE"""),"testosterone")</f>
        <v>testosterone</v>
      </c>
      <c r="AF1415" s="49" t="str">
        <f t="shared" si="4"/>
        <v>roger,</v>
      </c>
      <c r="AG1415" s="49"/>
      <c r="AH1415" s="1" t="s">
        <v>7369</v>
      </c>
      <c r="AI1415" s="1" t="s">
        <v>4407</v>
      </c>
      <c r="AJ1415" s="6" t="str">
        <f>IFERROR(__xludf.DUMMYFUNCTION("""COMPUTED_VALUE"""),"fresh")</f>
        <v>fresh</v>
      </c>
      <c r="AK1415" s="49"/>
      <c r="AL1415" s="49"/>
      <c r="AM1415" s="49"/>
      <c r="AN1415" s="52" t="str">
        <f t="shared" si="5"/>
        <v>attending,</v>
      </c>
    </row>
    <row r="1416">
      <c r="A1416" s="51"/>
      <c r="B1416" s="50" t="s">
        <v>3024</v>
      </c>
      <c r="C1416" s="50" t="s">
        <v>620</v>
      </c>
      <c r="D1416" s="49" t="str">
        <f>IFERROR(__xludf.DUMMYFUNCTION("""COMPUTED_VALUE"""),"billy")</f>
        <v>billy</v>
      </c>
      <c r="E1416" s="49"/>
      <c r="F1416" s="49"/>
      <c r="G1416" s="49"/>
      <c r="H1416" s="54" t="str">
        <f t="shared" si="1"/>
        <v>interested,</v>
      </c>
      <c r="I1416" s="50"/>
      <c r="J1416" s="50" t="s">
        <v>5293</v>
      </c>
      <c r="K1416" s="50" t="s">
        <v>1111</v>
      </c>
      <c r="L1416" s="49" t="str">
        <f>IFERROR(__xludf.DUMMYFUNCTION("""COMPUTED_VALUE"""),"sporadic")</f>
        <v>sporadic</v>
      </c>
      <c r="M1416" s="49"/>
      <c r="N1416" s="49"/>
      <c r="O1416" s="49" t="str">
        <f>IFERROR(__xludf.DUMMYFUNCTION("""COMPUTED_VALUE"""),"evolved")</f>
        <v>evolved</v>
      </c>
      <c r="P1416" s="49" t="str">
        <f t="shared" si="2"/>
        <v>dedicated,</v>
      </c>
      <c r="Q1416" s="49"/>
      <c r="R1416" s="50" t="s">
        <v>1426</v>
      </c>
      <c r="S1416" s="55" t="s">
        <v>2656</v>
      </c>
      <c r="T1416" s="49" t="str">
        <f>IFERROR(__xludf.DUMMYFUNCTION("""COMPUTED_VALUE"""),"reckless")</f>
        <v>reckless</v>
      </c>
      <c r="U1416" s="49"/>
      <c r="V1416" s="49"/>
      <c r="W1416" s="49" t="str">
        <f>IFERROR(__xludf.DUMMYFUNCTION("""COMPUTED_VALUE"""),"doctorate")</f>
        <v>doctorate</v>
      </c>
      <c r="X1416" s="49" t="str">
        <f t="shared" si="3"/>
        <v>demonstrating,</v>
      </c>
      <c r="Y1416" s="49"/>
      <c r="Z1416" s="1" t="s">
        <v>6605</v>
      </c>
      <c r="AA1416" s="1" t="s">
        <v>3047</v>
      </c>
      <c r="AB1416" s="49"/>
      <c r="AC1416" s="49"/>
      <c r="AD1416" s="49"/>
      <c r="AE1416" s="49" t="str">
        <f>IFERROR(__xludf.DUMMYFUNCTION("""COMPUTED_VALUE"""),"evolved")</f>
        <v>evolved</v>
      </c>
      <c r="AF1416" s="49" t="str">
        <f t="shared" si="4"/>
        <v>anthony,</v>
      </c>
      <c r="AG1416" s="49"/>
      <c r="AH1416" s="1" t="s">
        <v>6304</v>
      </c>
      <c r="AI1416" s="1" t="s">
        <v>2538</v>
      </c>
      <c r="AJ1416" s="6" t="str">
        <f>IFERROR(__xludf.DUMMYFUNCTION("""COMPUTED_VALUE"""),"allen")</f>
        <v>allen</v>
      </c>
      <c r="AK1416" s="49"/>
      <c r="AL1416" s="49"/>
      <c r="AM1416" s="49"/>
      <c r="AN1416" s="52" t="str">
        <f t="shared" si="5"/>
        <v>absolute,</v>
      </c>
    </row>
    <row r="1417">
      <c r="A1417" s="51"/>
      <c r="B1417" s="50" t="s">
        <v>4920</v>
      </c>
      <c r="C1417" s="50" t="s">
        <v>848</v>
      </c>
      <c r="D1417" s="49" t="str">
        <f>IFERROR(__xludf.DUMMYFUNCTION("""COMPUTED_VALUE"""),"terry")</f>
        <v>terry</v>
      </c>
      <c r="E1417" s="49"/>
      <c r="F1417" s="49"/>
      <c r="G1417" s="49"/>
      <c r="H1417" s="54" t="str">
        <f t="shared" si="1"/>
        <v>lucky,</v>
      </c>
      <c r="I1417" s="50"/>
      <c r="J1417" s="50" t="s">
        <v>1363</v>
      </c>
      <c r="K1417" s="50" t="s">
        <v>2089</v>
      </c>
      <c r="L1417" s="49" t="str">
        <f>IFERROR(__xludf.DUMMYFUNCTION("""COMPUTED_VALUE"""),"spirituality")</f>
        <v>spirituality</v>
      </c>
      <c r="M1417" s="49"/>
      <c r="N1417" s="49"/>
      <c r="O1417" s="49" t="str">
        <f>IFERROR(__xludf.DUMMYFUNCTION("""COMPUTED_VALUE"""),"serials")</f>
        <v>serials</v>
      </c>
      <c r="P1417" s="49" t="str">
        <f t="shared" si="2"/>
        <v>stay,</v>
      </c>
      <c r="Q1417" s="49"/>
      <c r="R1417" s="50" t="s">
        <v>1359</v>
      </c>
      <c r="S1417" s="55" t="s">
        <v>1321</v>
      </c>
      <c r="T1417" s="49" t="str">
        <f>IFERROR(__xludf.DUMMYFUNCTION("""COMPUTED_VALUE"""),"thirteen")</f>
        <v>thirteen</v>
      </c>
      <c r="U1417" s="49"/>
      <c r="V1417" s="49"/>
      <c r="W1417" s="49" t="str">
        <f>IFERROR(__xludf.DUMMYFUNCTION("""COMPUTED_VALUE"""),"analytical")</f>
        <v>analytical</v>
      </c>
      <c r="X1417" s="49" t="str">
        <f t="shared" si="3"/>
        <v>ecological,</v>
      </c>
      <c r="Y1417" s="49"/>
      <c r="Z1417" s="1" t="s">
        <v>3005</v>
      </c>
      <c r="AA1417" s="1" t="s">
        <v>3414</v>
      </c>
      <c r="AB1417" s="49"/>
      <c r="AC1417" s="49"/>
      <c r="AD1417" s="49"/>
      <c r="AE1417" s="49" t="str">
        <f>IFERROR(__xludf.DUMMYFUNCTION("""COMPUTED_VALUE"""),"serials")</f>
        <v>serials</v>
      </c>
      <c r="AF1417" s="49" t="str">
        <f t="shared" si="4"/>
        <v>foul,</v>
      </c>
      <c r="AG1417" s="49"/>
      <c r="AH1417" s="1" t="s">
        <v>3024</v>
      </c>
      <c r="AI1417" s="1" t="s">
        <v>4165</v>
      </c>
      <c r="AJ1417" s="6" t="str">
        <f>IFERROR(__xludf.DUMMYFUNCTION("""COMPUTED_VALUE"""),"sentence")</f>
        <v>sentence</v>
      </c>
      <c r="AK1417" s="49"/>
      <c r="AL1417" s="49"/>
      <c r="AM1417" s="49"/>
      <c r="AN1417" s="52" t="str">
        <f t="shared" si="5"/>
        <v>interested,</v>
      </c>
    </row>
    <row r="1418">
      <c r="A1418" s="51"/>
      <c r="B1418" s="50" t="s">
        <v>2075</v>
      </c>
      <c r="C1418" s="50" t="s">
        <v>2774</v>
      </c>
      <c r="D1418" s="49" t="str">
        <f>IFERROR(__xludf.DUMMYFUNCTION("""COMPUTED_VALUE"""),"desired")</f>
        <v>desired</v>
      </c>
      <c r="E1418" s="49"/>
      <c r="F1418" s="49"/>
      <c r="G1418" s="49"/>
      <c r="H1418" s="54" t="str">
        <f t="shared" si="1"/>
        <v>tension,</v>
      </c>
      <c r="I1418" s="50"/>
      <c r="J1418" s="50" t="s">
        <v>5330</v>
      </c>
      <c r="K1418" s="50" t="s">
        <v>4497</v>
      </c>
      <c r="L1418" s="49" t="str">
        <f>IFERROR(__xludf.DUMMYFUNCTION("""COMPUTED_VALUE"""),"delivering")</f>
        <v>delivering</v>
      </c>
      <c r="M1418" s="49"/>
      <c r="N1418" s="49"/>
      <c r="O1418" s="49" t="str">
        <f>IFERROR(__xludf.DUMMYFUNCTION("""COMPUTED_VALUE"""),"jolted")</f>
        <v>jolted</v>
      </c>
      <c r="P1418" s="49" t="str">
        <f t="shared" si="2"/>
        <v>craft,</v>
      </c>
      <c r="Q1418" s="49"/>
      <c r="R1418" s="50" t="s">
        <v>7370</v>
      </c>
      <c r="S1418" s="55" t="s">
        <v>4506</v>
      </c>
      <c r="T1418" s="49" t="str">
        <f>IFERROR(__xludf.DUMMYFUNCTION("""COMPUTED_VALUE"""),"poet")</f>
        <v>poet</v>
      </c>
      <c r="U1418" s="49"/>
      <c r="V1418" s="49"/>
      <c r="W1418" s="49" t="str">
        <f>IFERROR(__xludf.DUMMYFUNCTION("""COMPUTED_VALUE"""),"transforms")</f>
        <v>transforms</v>
      </c>
      <c r="X1418" s="49" t="str">
        <f t="shared" si="3"/>
        <v>educate,</v>
      </c>
      <c r="Y1418" s="49"/>
      <c r="Z1418" s="1" t="s">
        <v>2374</v>
      </c>
      <c r="AA1418" s="1" t="s">
        <v>4495</v>
      </c>
      <c r="AB1418" s="49"/>
      <c r="AC1418" s="49"/>
      <c r="AD1418" s="49"/>
      <c r="AE1418" s="49" t="str">
        <f>IFERROR(__xludf.DUMMYFUNCTION("""COMPUTED_VALUE"""),"jolted")</f>
        <v>jolted</v>
      </c>
      <c r="AF1418" s="49" t="str">
        <f t="shared" si="4"/>
        <v>constantly,</v>
      </c>
      <c r="AG1418" s="49"/>
      <c r="AH1418" s="1" t="s">
        <v>4920</v>
      </c>
      <c r="AI1418" s="1" t="s">
        <v>4168</v>
      </c>
      <c r="AJ1418" s="6" t="str">
        <f>IFERROR(__xludf.DUMMYFUNCTION("""COMPUTED_VALUE"""),"tom")</f>
        <v>tom</v>
      </c>
      <c r="AK1418" s="49"/>
      <c r="AL1418" s="49"/>
      <c r="AM1418" s="49"/>
      <c r="AN1418" s="52" t="str">
        <f t="shared" si="5"/>
        <v>lucky,</v>
      </c>
    </row>
    <row r="1419">
      <c r="A1419" s="51"/>
      <c r="B1419" s="50" t="s">
        <v>6472</v>
      </c>
      <c r="C1419" s="50" t="s">
        <v>2444</v>
      </c>
      <c r="D1419" s="49" t="str">
        <f>IFERROR(__xludf.DUMMYFUNCTION("""COMPUTED_VALUE"""),"properly")</f>
        <v>properly</v>
      </c>
      <c r="E1419" s="49"/>
      <c r="F1419" s="49"/>
      <c r="G1419" s="49"/>
      <c r="H1419" s="54" t="str">
        <f t="shared" si="1"/>
        <v>dragged,</v>
      </c>
      <c r="I1419" s="50"/>
      <c r="J1419" s="50" t="s">
        <v>3069</v>
      </c>
      <c r="K1419" s="50" t="s">
        <v>2688</v>
      </c>
      <c r="L1419" s="49" t="str">
        <f>IFERROR(__xludf.DUMMYFUNCTION("""COMPUTED_VALUE"""),"stalking")</f>
        <v>stalking</v>
      </c>
      <c r="M1419" s="49"/>
      <c r="N1419" s="49"/>
      <c r="O1419" s="49" t="str">
        <f>IFERROR(__xludf.DUMMYFUNCTION("""COMPUTED_VALUE"""),"kaufman")</f>
        <v>kaufman</v>
      </c>
      <c r="P1419" s="49" t="str">
        <f t="shared" si="2"/>
        <v>sands,</v>
      </c>
      <c r="Q1419" s="49"/>
      <c r="R1419" s="50" t="s">
        <v>7371</v>
      </c>
      <c r="S1419" s="55" t="s">
        <v>6501</v>
      </c>
      <c r="T1419" s="49" t="str">
        <f>IFERROR(__xludf.DUMMYFUNCTION("""COMPUTED_VALUE"""),"rough")</f>
        <v>rough</v>
      </c>
      <c r="U1419" s="49"/>
      <c r="V1419" s="49"/>
      <c r="W1419" s="49" t="str">
        <f>IFERROR(__xludf.DUMMYFUNCTION("""COMPUTED_VALUE"""),"undertaking")</f>
        <v>undertaking</v>
      </c>
      <c r="X1419" s="49" t="str">
        <f t="shared" si="3"/>
        <v>es,</v>
      </c>
      <c r="Y1419" s="49"/>
      <c r="Z1419" s="1" t="s">
        <v>4615</v>
      </c>
      <c r="AA1419" s="1" t="s">
        <v>4498</v>
      </c>
      <c r="AB1419" s="49"/>
      <c r="AC1419" s="49"/>
      <c r="AD1419" s="49"/>
      <c r="AE1419" s="49" t="str">
        <f>IFERROR(__xludf.DUMMYFUNCTION("""COMPUTED_VALUE"""),"kaufman")</f>
        <v>kaufman</v>
      </c>
      <c r="AF1419" s="49" t="str">
        <f t="shared" si="4"/>
        <v>overly,</v>
      </c>
      <c r="AG1419" s="49"/>
      <c r="AH1419" s="1" t="s">
        <v>2075</v>
      </c>
      <c r="AI1419" s="1" t="s">
        <v>4172</v>
      </c>
      <c r="AJ1419" s="6" t="str">
        <f>IFERROR(__xludf.DUMMYFUNCTION("""COMPUTED_VALUE"""),"dad")</f>
        <v>dad</v>
      </c>
      <c r="AK1419" s="49"/>
      <c r="AL1419" s="49"/>
      <c r="AM1419" s="49"/>
      <c r="AN1419" s="52" t="str">
        <f t="shared" si="5"/>
        <v>tension,</v>
      </c>
    </row>
    <row r="1420">
      <c r="A1420" s="51"/>
      <c r="B1420" s="50" t="s">
        <v>833</v>
      </c>
      <c r="C1420" s="50" t="s">
        <v>4702</v>
      </c>
      <c r="D1420" s="49" t="str">
        <f>IFERROR(__xludf.DUMMYFUNCTION("""COMPUTED_VALUE"""),"totally")</f>
        <v>totally</v>
      </c>
      <c r="E1420" s="49"/>
      <c r="F1420" s="49"/>
      <c r="G1420" s="49"/>
      <c r="H1420" s="54" t="str">
        <f t="shared" si="1"/>
        <v>million,</v>
      </c>
      <c r="I1420" s="50"/>
      <c r="J1420" s="50" t="s">
        <v>2735</v>
      </c>
      <c r="K1420" s="50" t="s">
        <v>4500</v>
      </c>
      <c r="L1420" s="49" t="str">
        <f>IFERROR(__xludf.DUMMYFUNCTION("""COMPUTED_VALUE"""),"treasure")</f>
        <v>treasure</v>
      </c>
      <c r="M1420" s="49"/>
      <c r="N1420" s="49"/>
      <c r="O1420" s="49" t="str">
        <f>IFERROR(__xludf.DUMMYFUNCTION("""COMPUTED_VALUE"""),"masculine")</f>
        <v>masculine</v>
      </c>
      <c r="P1420" s="49" t="str">
        <f t="shared" si="2"/>
        <v>chance,</v>
      </c>
      <c r="Q1420" s="49"/>
      <c r="R1420" s="50" t="s">
        <v>2706</v>
      </c>
      <c r="S1420" s="55" t="s">
        <v>4503</v>
      </c>
      <c r="T1420" s="49" t="str">
        <f>IFERROR(__xludf.DUMMYFUNCTION("""COMPUTED_VALUE"""),"triumph")</f>
        <v>triumph</v>
      </c>
      <c r="U1420" s="49"/>
      <c r="V1420" s="49"/>
      <c r="W1420" s="49" t="str">
        <f>IFERROR(__xludf.DUMMYFUNCTION("""COMPUTED_VALUE"""),"iq")</f>
        <v>iq</v>
      </c>
      <c r="X1420" s="49" t="str">
        <f t="shared" si="3"/>
        <v>growth,</v>
      </c>
      <c r="Y1420" s="49"/>
      <c r="Z1420" s="1" t="s">
        <v>4684</v>
      </c>
      <c r="AA1420" s="1" t="s">
        <v>956</v>
      </c>
      <c r="AB1420" s="49"/>
      <c r="AC1420" s="49"/>
      <c r="AD1420" s="49"/>
      <c r="AE1420" s="49" t="str">
        <f>IFERROR(__xludf.DUMMYFUNCTION("""COMPUTED_VALUE"""),"masculine")</f>
        <v>masculine</v>
      </c>
      <c r="AF1420" s="49" t="str">
        <f t="shared" si="4"/>
        <v>staged,</v>
      </c>
      <c r="AG1420" s="49"/>
      <c r="AH1420" s="7">
        <v>35.0</v>
      </c>
      <c r="AI1420" s="1" t="s">
        <v>5252</v>
      </c>
      <c r="AJ1420" s="6" t="str">
        <f>IFERROR(__xludf.DUMMYFUNCTION("""COMPUTED_VALUE"""),"public")</f>
        <v>public</v>
      </c>
      <c r="AK1420" s="49"/>
      <c r="AL1420" s="49"/>
      <c r="AM1420" s="49"/>
      <c r="AN1420" s="52" t="str">
        <f t="shared" si="5"/>
        <v>35,</v>
      </c>
    </row>
    <row r="1421">
      <c r="A1421" s="51"/>
      <c r="B1421" s="50" t="s">
        <v>4588</v>
      </c>
      <c r="C1421" s="50" t="s">
        <v>4794</v>
      </c>
      <c r="D1421" s="49" t="str">
        <f>IFERROR(__xludf.DUMMYFUNCTION("""COMPUTED_VALUE"""),"tried")</f>
        <v>tried</v>
      </c>
      <c r="E1421" s="49"/>
      <c r="F1421" s="49"/>
      <c r="G1421" s="49"/>
      <c r="H1421" s="54" t="str">
        <f t="shared" si="1"/>
        <v>worked,</v>
      </c>
      <c r="I1421" s="50"/>
      <c r="J1421" s="50" t="s">
        <v>451</v>
      </c>
      <c r="K1421" s="50" t="s">
        <v>786</v>
      </c>
      <c r="L1421" s="49" t="str">
        <f>IFERROR(__xludf.DUMMYFUNCTION("""COMPUTED_VALUE"""),"finely")</f>
        <v>finely</v>
      </c>
      <c r="M1421" s="49"/>
      <c r="N1421" s="49"/>
      <c r="O1421" s="49" t="str">
        <f>IFERROR(__xludf.DUMMYFUNCTION("""COMPUTED_VALUE"""),"humanist")</f>
        <v>humanist</v>
      </c>
      <c r="P1421" s="49" t="str">
        <f t="shared" si="2"/>
        <v>projects,</v>
      </c>
      <c r="Q1421" s="49"/>
      <c r="R1421" s="50" t="s">
        <v>6744</v>
      </c>
      <c r="S1421" s="55" t="s">
        <v>2660</v>
      </c>
      <c r="T1421" s="49" t="str">
        <f>IFERROR(__xludf.DUMMYFUNCTION("""COMPUTED_VALUE"""),"bath")</f>
        <v>bath</v>
      </c>
      <c r="U1421" s="49"/>
      <c r="V1421" s="49"/>
      <c r="W1421" s="49" t="str">
        <f>IFERROR(__xludf.DUMMYFUNCTION("""COMPUTED_VALUE"""),"effectively")</f>
        <v>effectively</v>
      </c>
      <c r="X1421" s="49" t="str">
        <f t="shared" si="3"/>
        <v>fail,</v>
      </c>
      <c r="Y1421" s="49"/>
      <c r="Z1421" s="1" t="s">
        <v>5714</v>
      </c>
      <c r="AA1421" s="1" t="s">
        <v>3050</v>
      </c>
      <c r="AB1421" s="49"/>
      <c r="AC1421" s="49"/>
      <c r="AD1421" s="49"/>
      <c r="AE1421" s="49" t="str">
        <f>IFERROR(__xludf.DUMMYFUNCTION("""COMPUTED_VALUE"""),"humanist")</f>
        <v>humanist</v>
      </c>
      <c r="AF1421" s="49" t="str">
        <f t="shared" si="4"/>
        <v>strokes,</v>
      </c>
      <c r="AG1421" s="49"/>
      <c r="AH1421" s="1">
        <v>5.0</v>
      </c>
      <c r="AI1421" s="1" t="s">
        <v>6502</v>
      </c>
      <c r="AJ1421" s="6" t="str">
        <f>IFERROR(__xludf.DUMMYFUNCTION("""COMPUTED_VALUE"""),"modern")</f>
        <v>modern</v>
      </c>
      <c r="AK1421" s="49"/>
      <c r="AL1421" s="49"/>
      <c r="AM1421" s="49"/>
      <c r="AN1421" s="52" t="str">
        <f t="shared" si="5"/>
        <v>5,</v>
      </c>
    </row>
    <row r="1422">
      <c r="A1422" s="51"/>
      <c r="B1422" s="50" t="s">
        <v>3419</v>
      </c>
      <c r="C1422" s="50" t="s">
        <v>477</v>
      </c>
      <c r="D1422" s="49" t="str">
        <f>IFERROR(__xludf.DUMMYFUNCTION("""COMPUTED_VALUE"""),"french")</f>
        <v>french</v>
      </c>
      <c r="E1422" s="49"/>
      <c r="F1422" s="49"/>
      <c r="G1422" s="49"/>
      <c r="H1422" s="54" t="str">
        <f t="shared" si="1"/>
        <v>christmas,</v>
      </c>
      <c r="I1422" s="50"/>
      <c r="J1422" s="50" t="s">
        <v>1272</v>
      </c>
      <c r="K1422" s="50" t="s">
        <v>793</v>
      </c>
      <c r="L1422" s="49" t="str">
        <f>IFERROR(__xludf.DUMMYFUNCTION("""COMPUTED_VALUE"""),"balancing")</f>
        <v>balancing</v>
      </c>
      <c r="M1422" s="49"/>
      <c r="N1422" s="49"/>
      <c r="O1422" s="49" t="str">
        <f>IFERROR(__xludf.DUMMYFUNCTION("""COMPUTED_VALUE"""),"satin")</f>
        <v>satin</v>
      </c>
      <c r="P1422" s="49" t="str">
        <f t="shared" si="2"/>
        <v>martial,</v>
      </c>
      <c r="Q1422" s="49"/>
      <c r="R1422" s="50" t="s">
        <v>4873</v>
      </c>
      <c r="S1422" s="55" t="s">
        <v>6503</v>
      </c>
      <c r="T1422" s="49" t="str">
        <f>IFERROR(__xludf.DUMMYFUNCTION("""COMPUTED_VALUE"""),"considerable")</f>
        <v>considerable</v>
      </c>
      <c r="U1422" s="49"/>
      <c r="V1422" s="49"/>
      <c r="W1422" s="49" t="str">
        <f>IFERROR(__xludf.DUMMYFUNCTION("""COMPUTED_VALUE"""),"proof")</f>
        <v>proof</v>
      </c>
      <c r="X1422" s="49" t="str">
        <f t="shared" si="3"/>
        <v>benefit,</v>
      </c>
      <c r="Y1422" s="49"/>
      <c r="Z1422" s="1" t="s">
        <v>3884</v>
      </c>
      <c r="AA1422" s="1" t="s">
        <v>1852</v>
      </c>
      <c r="AB1422" s="49"/>
      <c r="AC1422" s="49"/>
      <c r="AD1422" s="49"/>
      <c r="AE1422" s="49" t="str">
        <f>IFERROR(__xludf.DUMMYFUNCTION("""COMPUTED_VALUE"""),"satin")</f>
        <v>satin</v>
      </c>
      <c r="AF1422" s="49" t="str">
        <f t="shared" si="4"/>
        <v>innovation,</v>
      </c>
      <c r="AG1422" s="49"/>
      <c r="AH1422" s="1" t="s">
        <v>833</v>
      </c>
      <c r="AI1422" s="1" t="s">
        <v>6394</v>
      </c>
      <c r="AJ1422" s="6" t="str">
        <f>IFERROR(__xludf.DUMMYFUNCTION("""COMPUTED_VALUE"""),"hear")</f>
        <v>hear</v>
      </c>
      <c r="AK1422" s="49"/>
      <c r="AL1422" s="49"/>
      <c r="AM1422" s="49"/>
      <c r="AN1422" s="52" t="str">
        <f t="shared" si="5"/>
        <v>million,</v>
      </c>
    </row>
    <row r="1423">
      <c r="A1423" s="51"/>
      <c r="B1423" s="50">
        <v>75.0</v>
      </c>
      <c r="C1423" s="50" t="s">
        <v>3789</v>
      </c>
      <c r="D1423" s="49" t="str">
        <f>IFERROR(__xludf.DUMMYFUNCTION("""COMPUTED_VALUE"""),"wonder")</f>
        <v>wonder</v>
      </c>
      <c r="E1423" s="49"/>
      <c r="F1423" s="49"/>
      <c r="G1423" s="49"/>
      <c r="H1423" s="54" t="str">
        <f t="shared" si="1"/>
        <v>75,</v>
      </c>
      <c r="I1423" s="50"/>
      <c r="J1423" s="50" t="s">
        <v>688</v>
      </c>
      <c r="K1423" s="50" t="s">
        <v>801</v>
      </c>
      <c r="L1423" s="49" t="str">
        <f>IFERROR(__xludf.DUMMYFUNCTION("""COMPUTED_VALUE"""),"capture")</f>
        <v>capture</v>
      </c>
      <c r="M1423" s="49"/>
      <c r="N1423" s="49"/>
      <c r="O1423" s="49" t="str">
        <f>IFERROR(__xludf.DUMMYFUNCTION("""COMPUTED_VALUE"""),"ripe")</f>
        <v>ripe</v>
      </c>
      <c r="P1423" s="49" t="str">
        <f t="shared" si="2"/>
        <v>images,</v>
      </c>
      <c r="Q1423" s="49"/>
      <c r="R1423" s="50" t="s">
        <v>5756</v>
      </c>
      <c r="S1423" s="55" t="s">
        <v>730</v>
      </c>
      <c r="T1423" s="49" t="str">
        <f>IFERROR(__xludf.DUMMYFUNCTION("""COMPUTED_VALUE"""),"timely")</f>
        <v>timely</v>
      </c>
      <c r="U1423" s="49"/>
      <c r="V1423" s="49"/>
      <c r="W1423" s="49" t="str">
        <f>IFERROR(__xludf.DUMMYFUNCTION("""COMPUTED_VALUE"""),"concentration")</f>
        <v>concentration</v>
      </c>
      <c r="X1423" s="49" t="str">
        <f t="shared" si="3"/>
        <v>swallow,</v>
      </c>
      <c r="Y1423" s="49"/>
      <c r="Z1423" s="1" t="s">
        <v>4083</v>
      </c>
      <c r="AA1423" s="1" t="s">
        <v>4505</v>
      </c>
      <c r="AB1423" s="49"/>
      <c r="AC1423" s="49"/>
      <c r="AD1423" s="49"/>
      <c r="AE1423" s="49" t="str">
        <f>IFERROR(__xludf.DUMMYFUNCTION("""COMPUTED_VALUE"""),"ripe")</f>
        <v>ripe</v>
      </c>
      <c r="AF1423" s="49" t="str">
        <f t="shared" si="4"/>
        <v>consistently,</v>
      </c>
      <c r="AG1423" s="49"/>
      <c r="AH1423" s="1" t="s">
        <v>4588</v>
      </c>
      <c r="AI1423" s="1" t="s">
        <v>4651</v>
      </c>
      <c r="AJ1423" s="6" t="str">
        <f>IFERROR(__xludf.DUMMYFUNCTION("""COMPUTED_VALUE"""),"sense")</f>
        <v>sense</v>
      </c>
      <c r="AK1423" s="49"/>
      <c r="AL1423" s="49"/>
      <c r="AM1423" s="49"/>
      <c r="AN1423" s="52" t="str">
        <f t="shared" si="5"/>
        <v>worked,</v>
      </c>
    </row>
    <row r="1424">
      <c r="A1424" s="51"/>
      <c r="B1424" s="50" t="s">
        <v>1951</v>
      </c>
      <c r="C1424" s="50" t="s">
        <v>3927</v>
      </c>
      <c r="D1424" s="49" t="str">
        <f>IFERROR(__xludf.DUMMYFUNCTION("""COMPUTED_VALUE"""),"developed")</f>
        <v>developed</v>
      </c>
      <c r="E1424" s="49"/>
      <c r="F1424" s="49"/>
      <c r="G1424" s="49"/>
      <c r="H1424" s="54" t="str">
        <f t="shared" si="1"/>
        <v>talent,</v>
      </c>
      <c r="I1424" s="50"/>
      <c r="J1424" s="50" t="s">
        <v>2698</v>
      </c>
      <c r="K1424" s="50" t="s">
        <v>2503</v>
      </c>
      <c r="L1424" s="49" t="str">
        <f>IFERROR(__xludf.DUMMYFUNCTION("""COMPUTED_VALUE"""),"sincere")</f>
        <v>sincere</v>
      </c>
      <c r="M1424" s="49"/>
      <c r="N1424" s="49"/>
      <c r="O1424" s="49" t="str">
        <f>IFERROR(__xludf.DUMMYFUNCTION("""COMPUTED_VALUE"""),"integrated")</f>
        <v>integrated</v>
      </c>
      <c r="P1424" s="49" t="str">
        <f t="shared" si="2"/>
        <v>legacy,</v>
      </c>
      <c r="Q1424" s="49"/>
      <c r="R1424" s="50" t="s">
        <v>1718</v>
      </c>
      <c r="S1424" s="55" t="s">
        <v>4305</v>
      </c>
      <c r="T1424" s="49" t="str">
        <f>IFERROR(__xludf.DUMMYFUNCTION("""COMPUTED_VALUE"""),"smug")</f>
        <v>smug</v>
      </c>
      <c r="U1424" s="49"/>
      <c r="V1424" s="49"/>
      <c r="W1424" s="49" t="str">
        <f>IFERROR(__xludf.DUMMYFUNCTION("""COMPUTED_VALUE"""),"mistaken")</f>
        <v>mistaken</v>
      </c>
      <c r="X1424" s="49" t="str">
        <f t="shared" si="3"/>
        <v>insult,</v>
      </c>
      <c r="Y1424" s="49"/>
      <c r="Z1424" s="1" t="s">
        <v>2833</v>
      </c>
      <c r="AA1424" s="1" t="s">
        <v>4508</v>
      </c>
      <c r="AB1424" s="49"/>
      <c r="AC1424" s="49"/>
      <c r="AD1424" s="49"/>
      <c r="AE1424" s="49" t="str">
        <f>IFERROR(__xludf.DUMMYFUNCTION("""COMPUTED_VALUE"""),"integrated")</f>
        <v>integrated</v>
      </c>
      <c r="AF1424" s="49" t="str">
        <f t="shared" si="4"/>
        <v>broad,</v>
      </c>
      <c r="AG1424" s="49"/>
      <c r="AH1424" s="1" t="s">
        <v>3419</v>
      </c>
      <c r="AI1424" s="1" t="s">
        <v>2259</v>
      </c>
      <c r="AJ1424" s="6" t="str">
        <f>IFERROR(__xludf.DUMMYFUNCTION("""COMPUTED_VALUE"""),"literature")</f>
        <v>literature</v>
      </c>
      <c r="AK1424" s="49"/>
      <c r="AL1424" s="49"/>
      <c r="AM1424" s="49"/>
      <c r="AN1424" s="52" t="str">
        <f t="shared" si="5"/>
        <v>christmas,</v>
      </c>
    </row>
    <row r="1425">
      <c r="A1425" s="51"/>
      <c r="B1425" s="50" t="s">
        <v>6782</v>
      </c>
      <c r="C1425" s="50" t="s">
        <v>1595</v>
      </c>
      <c r="D1425" s="49" t="str">
        <f>IFERROR(__xludf.DUMMYFUNCTION("""COMPUTED_VALUE"""),"fully")</f>
        <v>fully</v>
      </c>
      <c r="E1425" s="49"/>
      <c r="F1425" s="49"/>
      <c r="G1425" s="49"/>
      <c r="H1425" s="54" t="str">
        <f t="shared" si="1"/>
        <v>strip,</v>
      </c>
      <c r="I1425" s="50"/>
      <c r="J1425" s="50" t="s">
        <v>1412</v>
      </c>
      <c r="K1425" s="50" t="s">
        <v>2831</v>
      </c>
      <c r="L1425" s="49" t="str">
        <f>IFERROR(__xludf.DUMMYFUNCTION("""COMPUTED_VALUE"""),"ceremonies")</f>
        <v>ceremonies</v>
      </c>
      <c r="M1425" s="49"/>
      <c r="N1425" s="49"/>
      <c r="O1425" s="49" t="str">
        <f>IFERROR(__xludf.DUMMYFUNCTION("""COMPUTED_VALUE"""),"speculative")</f>
        <v>speculative</v>
      </c>
      <c r="P1425" s="49" t="str">
        <f t="shared" si="2"/>
        <v>loosely,</v>
      </c>
      <c r="Q1425" s="49"/>
      <c r="R1425" s="50" t="s">
        <v>456</v>
      </c>
      <c r="S1425" s="55" t="s">
        <v>2027</v>
      </c>
      <c r="T1425" s="49" t="str">
        <f>IFERROR(__xludf.DUMMYFUNCTION("""COMPUTED_VALUE"""),"viewed")</f>
        <v>viewed</v>
      </c>
      <c r="U1425" s="49"/>
      <c r="V1425" s="49"/>
      <c r="W1425" s="49" t="str">
        <f>IFERROR(__xludf.DUMMYFUNCTION("""COMPUTED_VALUE"""),"lawyers")</f>
        <v>lawyers</v>
      </c>
      <c r="X1425" s="49" t="str">
        <f t="shared" si="3"/>
        <v>literary,</v>
      </c>
      <c r="Y1425" s="49"/>
      <c r="Z1425" s="1" t="s">
        <v>1369</v>
      </c>
      <c r="AA1425" s="1" t="s">
        <v>1159</v>
      </c>
      <c r="AB1425" s="49"/>
      <c r="AC1425" s="49"/>
      <c r="AD1425" s="49"/>
      <c r="AE1425" s="49" t="str">
        <f>IFERROR(__xludf.DUMMYFUNCTION("""COMPUTED_VALUE"""),"speculative")</f>
        <v>speculative</v>
      </c>
      <c r="AF1425" s="49" t="str">
        <f t="shared" si="4"/>
        <v>surprisingly,</v>
      </c>
      <c r="AG1425" s="49"/>
      <c r="AH1425" s="1">
        <v>75.0</v>
      </c>
      <c r="AI1425" s="1" t="s">
        <v>6504</v>
      </c>
      <c r="AJ1425" s="6" t="str">
        <f>IFERROR(__xludf.DUMMYFUNCTION("""COMPUTED_VALUE"""),"taste")</f>
        <v>taste</v>
      </c>
      <c r="AK1425" s="49"/>
      <c r="AL1425" s="49"/>
      <c r="AM1425" s="49"/>
      <c r="AN1425" s="52" t="str">
        <f t="shared" si="5"/>
        <v>75,</v>
      </c>
    </row>
    <row r="1426">
      <c r="A1426" s="51"/>
      <c r="B1426" s="50" t="s">
        <v>6759</v>
      </c>
      <c r="C1426" s="50" t="s">
        <v>2449</v>
      </c>
      <c r="D1426" s="49" t="str">
        <f>IFERROR(__xludf.DUMMYFUNCTION("""COMPUTED_VALUE"""),"waters")</f>
        <v>waters</v>
      </c>
      <c r="E1426" s="49"/>
      <c r="F1426" s="49"/>
      <c r="G1426" s="49"/>
      <c r="H1426" s="54" t="str">
        <f t="shared" si="1"/>
        <v>incredible,</v>
      </c>
      <c r="I1426" s="50"/>
      <c r="J1426" s="50" t="s">
        <v>7372</v>
      </c>
      <c r="K1426" s="50" t="s">
        <v>934</v>
      </c>
      <c r="L1426" s="49" t="str">
        <f>IFERROR(__xludf.DUMMYFUNCTION("""COMPUTED_VALUE"""),"misunderstanding")</f>
        <v>misunderstanding</v>
      </c>
      <c r="M1426" s="49"/>
      <c r="N1426" s="49"/>
      <c r="O1426" s="49" t="str">
        <f>IFERROR(__xludf.DUMMYFUNCTION("""COMPUTED_VALUE"""),"successes")</f>
        <v>successes</v>
      </c>
      <c r="P1426" s="49" t="str">
        <f t="shared" si="2"/>
        <v>slug,</v>
      </c>
      <c r="Q1426" s="49"/>
      <c r="R1426" s="50" t="s">
        <v>4071</v>
      </c>
      <c r="S1426" s="55" t="s">
        <v>2594</v>
      </c>
      <c r="T1426" s="49" t="str">
        <f>IFERROR(__xludf.DUMMYFUNCTION("""COMPUTED_VALUE"""),"teddy")</f>
        <v>teddy</v>
      </c>
      <c r="U1426" s="49"/>
      <c r="V1426" s="49"/>
      <c r="W1426" s="49" t="str">
        <f>IFERROR(__xludf.DUMMYFUNCTION("""COMPUTED_VALUE"""),"stakes")</f>
        <v>stakes</v>
      </c>
      <c r="X1426" s="49" t="str">
        <f t="shared" si="3"/>
        <v>tunnels,</v>
      </c>
      <c r="Y1426" s="49"/>
      <c r="Z1426" s="1" t="s">
        <v>3325</v>
      </c>
      <c r="AA1426" s="1" t="s">
        <v>3053</v>
      </c>
      <c r="AB1426" s="49"/>
      <c r="AC1426" s="49"/>
      <c r="AD1426" s="49"/>
      <c r="AE1426" s="49" t="str">
        <f>IFERROR(__xludf.DUMMYFUNCTION("""COMPUTED_VALUE"""),"successes")</f>
        <v>successes</v>
      </c>
      <c r="AF1426" s="49" t="str">
        <f t="shared" si="4"/>
        <v>particularly,</v>
      </c>
      <c r="AG1426" s="49"/>
      <c r="AH1426" s="1" t="s">
        <v>1951</v>
      </c>
      <c r="AI1426" s="1" t="s">
        <v>1289</v>
      </c>
      <c r="AJ1426" s="6" t="str">
        <f>IFERROR(__xludf.DUMMYFUNCTION("""COMPUTED_VALUE"""),"ah")</f>
        <v>ah</v>
      </c>
      <c r="AK1426" s="49"/>
      <c r="AL1426" s="49"/>
      <c r="AM1426" s="49"/>
      <c r="AN1426" s="52" t="str">
        <f t="shared" si="5"/>
        <v>talent,</v>
      </c>
    </row>
    <row r="1427">
      <c r="A1427" s="51"/>
      <c r="B1427" s="50" t="s">
        <v>1596</v>
      </c>
      <c r="C1427" s="50" t="s">
        <v>6491</v>
      </c>
      <c r="D1427" s="49" t="str">
        <f>IFERROR(__xludf.DUMMYFUNCTION("""COMPUTED_VALUE"""),"todd")</f>
        <v>todd</v>
      </c>
      <c r="E1427" s="49"/>
      <c r="F1427" s="49"/>
      <c r="G1427" s="49"/>
      <c r="H1427" s="54" t="str">
        <f t="shared" si="1"/>
        <v>age,</v>
      </c>
      <c r="I1427" s="50"/>
      <c r="J1427" s="50" t="s">
        <v>3355</v>
      </c>
      <c r="K1427" s="50" t="s">
        <v>4033</v>
      </c>
      <c r="L1427" s="49" t="str">
        <f>IFERROR(__xludf.DUMMYFUNCTION("""COMPUTED_VALUE"""),"moody")</f>
        <v>moody</v>
      </c>
      <c r="M1427" s="49"/>
      <c r="N1427" s="49"/>
      <c r="O1427" s="49" t="str">
        <f>IFERROR(__xludf.DUMMYFUNCTION("""COMPUTED_VALUE"""),"baird")</f>
        <v>baird</v>
      </c>
      <c r="P1427" s="49" t="str">
        <f t="shared" si="2"/>
        <v>depression,</v>
      </c>
      <c r="Q1427" s="49"/>
      <c r="R1427" s="50" t="s">
        <v>1668</v>
      </c>
      <c r="S1427" s="55" t="s">
        <v>690</v>
      </c>
      <c r="T1427" s="49" t="str">
        <f>IFERROR(__xludf.DUMMYFUNCTION("""COMPUTED_VALUE"""),"painting")</f>
        <v>painting</v>
      </c>
      <c r="U1427" s="49"/>
      <c r="V1427" s="49"/>
      <c r="W1427" s="49" t="str">
        <f>IFERROR(__xludf.DUMMYFUNCTION("""COMPUTED_VALUE"""),"er")</f>
        <v>er</v>
      </c>
      <c r="X1427" s="49" t="str">
        <f t="shared" si="3"/>
        <v>transformed,</v>
      </c>
      <c r="Y1427" s="49"/>
      <c r="Z1427" s="1" t="s">
        <v>458</v>
      </c>
      <c r="AA1427" s="1" t="s">
        <v>2108</v>
      </c>
      <c r="AB1427" s="49"/>
      <c r="AC1427" s="49"/>
      <c r="AD1427" s="49"/>
      <c r="AE1427" s="49" t="str">
        <f>IFERROR(__xludf.DUMMYFUNCTION("""COMPUTED_VALUE"""),"baird")</f>
        <v>baird</v>
      </c>
      <c r="AF1427" s="49" t="str">
        <f t="shared" si="4"/>
        <v>above,</v>
      </c>
      <c r="AG1427" s="49"/>
      <c r="AH1427" s="1" t="s">
        <v>6782</v>
      </c>
      <c r="AI1427" s="1" t="s">
        <v>3669</v>
      </c>
      <c r="AJ1427" s="6" t="str">
        <f>IFERROR(__xludf.DUMMYFUNCTION("""COMPUTED_VALUE"""),"load")</f>
        <v>load</v>
      </c>
      <c r="AK1427" s="49"/>
      <c r="AL1427" s="49"/>
      <c r="AM1427" s="49"/>
      <c r="AN1427" s="52" t="str">
        <f t="shared" si="5"/>
        <v>strip,</v>
      </c>
    </row>
    <row r="1428">
      <c r="A1428" s="51"/>
      <c r="B1428" s="50" t="s">
        <v>651</v>
      </c>
      <c r="C1428" s="50" t="s">
        <v>1776</v>
      </c>
      <c r="D1428" s="49" t="str">
        <f>IFERROR(__xludf.DUMMYFUNCTION("""COMPUTED_VALUE"""),"vincent")</f>
        <v>vincent</v>
      </c>
      <c r="E1428" s="49"/>
      <c r="F1428" s="49"/>
      <c r="G1428" s="49"/>
      <c r="H1428" s="54" t="str">
        <f t="shared" si="1"/>
        <v>standard,</v>
      </c>
      <c r="I1428" s="50"/>
      <c r="J1428" s="50" t="s">
        <v>5895</v>
      </c>
      <c r="K1428" s="50" t="s">
        <v>4039</v>
      </c>
      <c r="L1428" s="49" t="str">
        <f>IFERROR(__xludf.DUMMYFUNCTION("""COMPUTED_VALUE"""),"depiction")</f>
        <v>depiction</v>
      </c>
      <c r="M1428" s="49"/>
      <c r="N1428" s="49"/>
      <c r="O1428" s="49" t="str">
        <f>IFERROR(__xludf.DUMMYFUNCTION("""COMPUTED_VALUE"""),"extant")</f>
        <v>extant</v>
      </c>
      <c r="P1428" s="49" t="str">
        <f t="shared" si="2"/>
        <v>cousin,</v>
      </c>
      <c r="Q1428" s="49"/>
      <c r="R1428" s="50" t="s">
        <v>6712</v>
      </c>
      <c r="S1428" s="55" t="s">
        <v>698</v>
      </c>
      <c r="T1428" s="49" t="str">
        <f>IFERROR(__xludf.DUMMYFUNCTION("""COMPUTED_VALUE"""),"wonderland")</f>
        <v>wonderland</v>
      </c>
      <c r="U1428" s="49"/>
      <c r="V1428" s="49"/>
      <c r="W1428" s="49" t="str">
        <f>IFERROR(__xludf.DUMMYFUNCTION("""COMPUTED_VALUE"""),"mud")</f>
        <v>mud</v>
      </c>
      <c r="X1428" s="49" t="str">
        <f t="shared" si="3"/>
        <v>recognized,</v>
      </c>
      <c r="Y1428" s="49"/>
      <c r="Z1428" s="1" t="s">
        <v>861</v>
      </c>
      <c r="AA1428" s="1" t="s">
        <v>4514</v>
      </c>
      <c r="AB1428" s="49"/>
      <c r="AC1428" s="49"/>
      <c r="AD1428" s="49"/>
      <c r="AE1428" s="49" t="str">
        <f>IFERROR(__xludf.DUMMYFUNCTION("""COMPUTED_VALUE"""),"extant")</f>
        <v>extant</v>
      </c>
      <c r="AF1428" s="49" t="str">
        <f t="shared" si="4"/>
        <v>touch,</v>
      </c>
      <c r="AG1428" s="49"/>
      <c r="AH1428" s="1" t="s">
        <v>1596</v>
      </c>
      <c r="AI1428" s="1" t="s">
        <v>2506</v>
      </c>
      <c r="AJ1428" s="6" t="str">
        <f>IFERROR(__xludf.DUMMYFUNCTION("""COMPUTED_VALUE"""),"host")</f>
        <v>host</v>
      </c>
      <c r="AK1428" s="49"/>
      <c r="AL1428" s="49"/>
      <c r="AM1428" s="49"/>
      <c r="AN1428" s="52" t="str">
        <f t="shared" si="5"/>
        <v>age,</v>
      </c>
    </row>
    <row r="1429">
      <c r="A1429" s="51"/>
      <c r="B1429" s="50" t="s">
        <v>679</v>
      </c>
      <c r="C1429" s="50" t="s">
        <v>874</v>
      </c>
      <c r="D1429" s="49" t="str">
        <f>IFERROR(__xludf.DUMMYFUNCTION("""COMPUTED_VALUE"""),"charlotte")</f>
        <v>charlotte</v>
      </c>
      <c r="E1429" s="49"/>
      <c r="F1429" s="49"/>
      <c r="G1429" s="49"/>
      <c r="H1429" s="54" t="str">
        <f t="shared" si="1"/>
        <v>mixed,</v>
      </c>
      <c r="I1429" s="50"/>
      <c r="J1429" s="50" t="s">
        <v>5040</v>
      </c>
      <c r="K1429" s="50" t="s">
        <v>2835</v>
      </c>
      <c r="L1429" s="49" t="str">
        <f>IFERROR(__xludf.DUMMYFUNCTION("""COMPUTED_VALUE"""),"tortured")</f>
        <v>tortured</v>
      </c>
      <c r="M1429" s="49"/>
      <c r="N1429" s="49"/>
      <c r="O1429" s="49" t="str">
        <f>IFERROR(__xludf.DUMMYFUNCTION("""COMPUTED_VALUE"""),"post")</f>
        <v>post</v>
      </c>
      <c r="P1429" s="49" t="str">
        <f t="shared" si="2"/>
        <v>arrives,</v>
      </c>
      <c r="Q1429" s="49"/>
      <c r="R1429" s="50" t="s">
        <v>2142</v>
      </c>
      <c r="S1429" s="55" t="s">
        <v>1340</v>
      </c>
      <c r="T1429" s="49" t="str">
        <f>IFERROR(__xludf.DUMMYFUNCTION("""COMPUTED_VALUE"""),"brit")</f>
        <v>brit</v>
      </c>
      <c r="U1429" s="49"/>
      <c r="V1429" s="49"/>
      <c r="W1429" s="49" t="str">
        <f>IFERROR(__xludf.DUMMYFUNCTION("""COMPUTED_VALUE"""),"guiding")</f>
        <v>guiding</v>
      </c>
      <c r="X1429" s="49" t="str">
        <f t="shared" si="3"/>
        <v>designed,</v>
      </c>
      <c r="Y1429" s="49"/>
      <c r="Z1429" s="1" t="s">
        <v>2461</v>
      </c>
      <c r="AA1429" s="1" t="s">
        <v>3054</v>
      </c>
      <c r="AB1429" s="49"/>
      <c r="AC1429" s="49"/>
      <c r="AD1429" s="49"/>
      <c r="AE1429" s="49" t="str">
        <f>IFERROR(__xludf.DUMMYFUNCTION("""COMPUTED_VALUE"""),"post")</f>
        <v>post</v>
      </c>
      <c r="AF1429" s="49" t="str">
        <f t="shared" si="4"/>
        <v>search,</v>
      </c>
      <c r="AG1429" s="49"/>
      <c r="AH1429" s="1" t="s">
        <v>651</v>
      </c>
      <c r="AI1429" s="1" t="s">
        <v>4190</v>
      </c>
      <c r="AJ1429" s="6" t="str">
        <f>IFERROR(__xludf.DUMMYFUNCTION("""COMPUTED_VALUE"""),"strength")</f>
        <v>strength</v>
      </c>
      <c r="AK1429" s="49"/>
      <c r="AL1429" s="49"/>
      <c r="AM1429" s="49"/>
      <c r="AN1429" s="52" t="str">
        <f t="shared" si="5"/>
        <v>standard,</v>
      </c>
    </row>
    <row r="1430">
      <c r="A1430" s="51"/>
      <c r="B1430" s="50" t="s">
        <v>3685</v>
      </c>
      <c r="C1430" s="50" t="s">
        <v>6492</v>
      </c>
      <c r="D1430" s="49" t="str">
        <f>IFERROR(__xludf.DUMMYFUNCTION("""COMPUTED_VALUE"""),"reasonable")</f>
        <v>reasonable</v>
      </c>
      <c r="E1430" s="49"/>
      <c r="F1430" s="49"/>
      <c r="G1430" s="49"/>
      <c r="H1430" s="54" t="str">
        <f t="shared" si="1"/>
        <v>product,</v>
      </c>
      <c r="I1430" s="50"/>
      <c r="J1430" s="50" t="s">
        <v>840</v>
      </c>
      <c r="K1430" s="50" t="s">
        <v>2696</v>
      </c>
      <c r="L1430" s="49" t="str">
        <f>IFERROR(__xludf.DUMMYFUNCTION("""COMPUTED_VALUE"""),"duration")</f>
        <v>duration</v>
      </c>
      <c r="M1430" s="49"/>
      <c r="N1430" s="49"/>
      <c r="O1430" s="49" t="str">
        <f>IFERROR(__xludf.DUMMYFUNCTION("""COMPUTED_VALUE"""),"bronze")</f>
        <v>bronze</v>
      </c>
      <c r="P1430" s="49" t="str">
        <f t="shared" si="2"/>
        <v>graceful,</v>
      </c>
      <c r="Q1430" s="49"/>
      <c r="R1430" s="50" t="s">
        <v>4210</v>
      </c>
      <c r="S1430" s="55" t="s">
        <v>2604</v>
      </c>
      <c r="T1430" s="49" t="str">
        <f>IFERROR(__xludf.DUMMYFUNCTION("""COMPUTED_VALUE"""),"asset")</f>
        <v>asset</v>
      </c>
      <c r="U1430" s="49"/>
      <c r="V1430" s="49"/>
      <c r="W1430" s="49" t="str">
        <f>IFERROR(__xludf.DUMMYFUNCTION("""COMPUTED_VALUE"""),"chases")</f>
        <v>chases</v>
      </c>
      <c r="X1430" s="49" t="str">
        <f t="shared" si="3"/>
        <v>mildly,</v>
      </c>
      <c r="Y1430" s="49"/>
      <c r="Z1430" s="1" t="s">
        <v>2038</v>
      </c>
      <c r="AA1430" s="1" t="s">
        <v>1165</v>
      </c>
      <c r="AB1430" s="49"/>
      <c r="AC1430" s="49"/>
      <c r="AD1430" s="49"/>
      <c r="AE1430" s="49" t="str">
        <f>IFERROR(__xludf.DUMMYFUNCTION("""COMPUTED_VALUE"""),"bronze")</f>
        <v>bronze</v>
      </c>
      <c r="AF1430" s="49" t="str">
        <f t="shared" si="4"/>
        <v>straightforward,</v>
      </c>
      <c r="AG1430" s="49"/>
      <c r="AH1430" s="1" t="s">
        <v>679</v>
      </c>
      <c r="AI1430" s="1" t="s">
        <v>3682</v>
      </c>
      <c r="AJ1430" s="6" t="str">
        <f>IFERROR(__xludf.DUMMYFUNCTION("""COMPUTED_VALUE"""),"thick")</f>
        <v>thick</v>
      </c>
      <c r="AK1430" s="49"/>
      <c r="AL1430" s="49"/>
      <c r="AM1430" s="49"/>
      <c r="AN1430" s="52" t="str">
        <f t="shared" si="5"/>
        <v>mixed,</v>
      </c>
    </row>
    <row r="1431">
      <c r="A1431" s="51"/>
      <c r="B1431" s="50" t="s">
        <v>1694</v>
      </c>
      <c r="C1431" s="50">
        <v>140.0</v>
      </c>
      <c r="D1431" s="49" t="str">
        <f>IFERROR(__xludf.DUMMYFUNCTION("""COMPUTED_VALUE"""),"qualify")</f>
        <v>qualify</v>
      </c>
      <c r="E1431" s="49"/>
      <c r="F1431" s="49"/>
      <c r="G1431" s="49"/>
      <c r="H1431" s="54" t="str">
        <f t="shared" si="1"/>
        <v>jason,</v>
      </c>
      <c r="I1431" s="50"/>
      <c r="J1431" s="50" t="s">
        <v>2085</v>
      </c>
      <c r="K1431" s="50" t="s">
        <v>2838</v>
      </c>
      <c r="L1431" s="49" t="str">
        <f>IFERROR(__xludf.DUMMYFUNCTION("""COMPUTED_VALUE"""),"proud")</f>
        <v>proud</v>
      </c>
      <c r="M1431" s="49"/>
      <c r="N1431" s="49"/>
      <c r="O1431" s="49" t="str">
        <f>IFERROR(__xludf.DUMMYFUNCTION("""COMPUTED_VALUE"""),"cardiac")</f>
        <v>cardiac</v>
      </c>
      <c r="P1431" s="49" t="str">
        <f t="shared" si="2"/>
        <v>extended,</v>
      </c>
      <c r="Q1431" s="49"/>
      <c r="R1431" s="50" t="s">
        <v>5264</v>
      </c>
      <c r="S1431" s="55" t="s">
        <v>618</v>
      </c>
      <c r="T1431" s="49" t="str">
        <f>IFERROR(__xludf.DUMMYFUNCTION("""COMPUTED_VALUE"""),"darling")</f>
        <v>darling</v>
      </c>
      <c r="U1431" s="49"/>
      <c r="V1431" s="49"/>
      <c r="W1431" s="49" t="str">
        <f>IFERROR(__xludf.DUMMYFUNCTION("""COMPUTED_VALUE"""),"tucker")</f>
        <v>tucker</v>
      </c>
      <c r="X1431" s="49" t="str">
        <f t="shared" si="3"/>
        <v>disease,</v>
      </c>
      <c r="Y1431" s="49"/>
      <c r="Z1431" s="1" t="s">
        <v>1233</v>
      </c>
      <c r="AA1431" s="1" t="s">
        <v>1483</v>
      </c>
      <c r="AB1431" s="49"/>
      <c r="AC1431" s="49"/>
      <c r="AD1431" s="49"/>
      <c r="AE1431" s="49" t="str">
        <f>IFERROR(__xludf.DUMMYFUNCTION("""COMPUTED_VALUE"""),"cardiac")</f>
        <v>cardiac</v>
      </c>
      <c r="AF1431" s="49" t="str">
        <f t="shared" si="4"/>
        <v>general,</v>
      </c>
      <c r="AG1431" s="49"/>
      <c r="AH1431" s="1" t="s">
        <v>3685</v>
      </c>
      <c r="AI1431" s="1" t="s">
        <v>4355</v>
      </c>
      <c r="AJ1431" s="6" t="str">
        <f>IFERROR(__xludf.DUMMYFUNCTION("""COMPUTED_VALUE"""),"theme")</f>
        <v>theme</v>
      </c>
      <c r="AK1431" s="49"/>
      <c r="AL1431" s="49"/>
      <c r="AM1431" s="49"/>
      <c r="AN1431" s="52" t="str">
        <f t="shared" si="5"/>
        <v>product,</v>
      </c>
    </row>
    <row r="1432">
      <c r="A1432" s="51"/>
      <c r="B1432" s="50" t="s">
        <v>3741</v>
      </c>
      <c r="C1432" s="50" t="s">
        <v>3597</v>
      </c>
      <c r="D1432" s="49" t="str">
        <f>IFERROR(__xludf.DUMMYFUNCTION("""COMPUTED_VALUE"""),"nationwide")</f>
        <v>nationwide</v>
      </c>
      <c r="E1432" s="49"/>
      <c r="F1432" s="49"/>
      <c r="G1432" s="49"/>
      <c r="H1432" s="54" t="str">
        <f t="shared" si="1"/>
        <v>besides,</v>
      </c>
      <c r="I1432" s="50"/>
      <c r="J1432" s="50" t="s">
        <v>1215</v>
      </c>
      <c r="K1432" s="50" t="s">
        <v>2842</v>
      </c>
      <c r="L1432" s="49" t="str">
        <f>IFERROR(__xludf.DUMMYFUNCTION("""COMPUTED_VALUE"""),"sunshine")</f>
        <v>sunshine</v>
      </c>
      <c r="M1432" s="49"/>
      <c r="N1432" s="49"/>
      <c r="O1432" s="49" t="str">
        <f>IFERROR(__xludf.DUMMYFUNCTION("""COMPUTED_VALUE"""),"marquis")</f>
        <v>marquis</v>
      </c>
      <c r="P1432" s="49" t="str">
        <f t="shared" si="2"/>
        <v>fine,</v>
      </c>
      <c r="Q1432" s="49"/>
      <c r="R1432" s="50" t="s">
        <v>921</v>
      </c>
      <c r="S1432" s="55" t="s">
        <v>4327</v>
      </c>
      <c r="T1432" s="49" t="str">
        <f>IFERROR(__xludf.DUMMYFUNCTION("""COMPUTED_VALUE"""),"swim")</f>
        <v>swim</v>
      </c>
      <c r="U1432" s="49"/>
      <c r="V1432" s="49"/>
      <c r="W1432" s="49" t="str">
        <f>IFERROR(__xludf.DUMMYFUNCTION("""COMPUTED_VALUE"""),"attempted")</f>
        <v>attempted</v>
      </c>
      <c r="X1432" s="49" t="str">
        <f t="shared" si="3"/>
        <v>creates,</v>
      </c>
      <c r="Y1432" s="49"/>
      <c r="Z1432" s="1" t="s">
        <v>4214</v>
      </c>
      <c r="AA1432" s="1" t="s">
        <v>961</v>
      </c>
      <c r="AB1432" s="49"/>
      <c r="AC1432" s="49"/>
      <c r="AD1432" s="49"/>
      <c r="AE1432" s="49" t="str">
        <f>IFERROR(__xludf.DUMMYFUNCTION("""COMPUTED_VALUE"""),"marquis")</f>
        <v>marquis</v>
      </c>
      <c r="AF1432" s="49" t="str">
        <f t="shared" si="4"/>
        <v>jokes,</v>
      </c>
      <c r="AG1432" s="49"/>
      <c r="AH1432" s="1" t="s">
        <v>1694</v>
      </c>
      <c r="AI1432" s="1" t="s">
        <v>4193</v>
      </c>
      <c r="AJ1432" s="6" t="str">
        <f>IFERROR(__xludf.DUMMYFUNCTION("""COMPUTED_VALUE"""),"plenty")</f>
        <v>plenty</v>
      </c>
      <c r="AK1432" s="49"/>
      <c r="AL1432" s="49"/>
      <c r="AM1432" s="49"/>
      <c r="AN1432" s="52" t="str">
        <f t="shared" si="5"/>
        <v>jason,</v>
      </c>
    </row>
    <row r="1433">
      <c r="A1433" s="51"/>
      <c r="B1433" s="50" t="s">
        <v>7295</v>
      </c>
      <c r="C1433" s="50" t="s">
        <v>4106</v>
      </c>
      <c r="D1433" s="49" t="str">
        <f>IFERROR(__xludf.DUMMYFUNCTION("""COMPUTED_VALUE"""),"followed")</f>
        <v>followed</v>
      </c>
      <c r="E1433" s="49"/>
      <c r="F1433" s="49"/>
      <c r="G1433" s="49"/>
      <c r="H1433" s="54" t="str">
        <f t="shared" si="1"/>
        <v>multi,</v>
      </c>
      <c r="I1433" s="50"/>
      <c r="J1433" s="50" t="s">
        <v>3825</v>
      </c>
      <c r="K1433" s="50" t="s">
        <v>4519</v>
      </c>
      <c r="L1433" s="49" t="str">
        <f>IFERROR(__xludf.DUMMYFUNCTION("""COMPUTED_VALUE"""),"confined")</f>
        <v>confined</v>
      </c>
      <c r="M1433" s="49"/>
      <c r="N1433" s="49"/>
      <c r="O1433" s="49" t="str">
        <f>IFERROR(__xludf.DUMMYFUNCTION("""COMPUTED_VALUE"""),"menace")</f>
        <v>menace</v>
      </c>
      <c r="P1433" s="49" t="str">
        <f t="shared" si="2"/>
        <v>weep,</v>
      </c>
      <c r="Q1433" s="49"/>
      <c r="R1433" s="50" t="s">
        <v>894</v>
      </c>
      <c r="S1433" s="55" t="s">
        <v>704</v>
      </c>
      <c r="T1433" s="49" t="str">
        <f>IFERROR(__xludf.DUMMYFUNCTION("""COMPUTED_VALUE"""),"focused")</f>
        <v>focused</v>
      </c>
      <c r="U1433" s="49"/>
      <c r="V1433" s="49"/>
      <c r="W1433" s="49" t="str">
        <f>IFERROR(__xludf.DUMMYFUNCTION("""COMPUTED_VALUE"""),"italics")</f>
        <v>italics</v>
      </c>
      <c r="X1433" s="49" t="str">
        <f t="shared" si="3"/>
        <v>champion,</v>
      </c>
      <c r="Y1433" s="49"/>
      <c r="Z1433" s="1" t="s">
        <v>1991</v>
      </c>
      <c r="AA1433" s="1" t="s">
        <v>4518</v>
      </c>
      <c r="AB1433" s="49"/>
      <c r="AC1433" s="49"/>
      <c r="AD1433" s="49"/>
      <c r="AE1433" s="49" t="str">
        <f>IFERROR(__xludf.DUMMYFUNCTION("""COMPUTED_VALUE"""),"menace")</f>
        <v>menace</v>
      </c>
      <c r="AF1433" s="49" t="str">
        <f t="shared" si="4"/>
        <v>try,</v>
      </c>
      <c r="AG1433" s="49"/>
      <c r="AH1433" s="1" t="s">
        <v>3741</v>
      </c>
      <c r="AI1433" s="1" t="s">
        <v>2513</v>
      </c>
      <c r="AJ1433" s="6" t="str">
        <f>IFERROR(__xludf.DUMMYFUNCTION("""COMPUTED_VALUE"""),"begin")</f>
        <v>begin</v>
      </c>
      <c r="AK1433" s="49"/>
      <c r="AL1433" s="49"/>
      <c r="AM1433" s="49"/>
      <c r="AN1433" s="52" t="str">
        <f t="shared" si="5"/>
        <v>besides,</v>
      </c>
    </row>
    <row r="1434">
      <c r="A1434" s="51"/>
      <c r="B1434" s="50" t="s">
        <v>4877</v>
      </c>
      <c r="C1434" s="50" t="s">
        <v>1169</v>
      </c>
      <c r="D1434" s="49" t="str">
        <f>IFERROR(__xludf.DUMMYFUNCTION("""COMPUTED_VALUE"""),"wake")</f>
        <v>wake</v>
      </c>
      <c r="E1434" s="49"/>
      <c r="F1434" s="49"/>
      <c r="G1434" s="49"/>
      <c r="H1434" s="54" t="str">
        <f t="shared" si="1"/>
        <v>kurt,</v>
      </c>
      <c r="I1434" s="50"/>
      <c r="J1434" s="50" t="s">
        <v>708</v>
      </c>
      <c r="K1434" s="50" t="s">
        <v>2700</v>
      </c>
      <c r="L1434" s="49" t="str">
        <f>IFERROR(__xludf.DUMMYFUNCTION("""COMPUTED_VALUE"""),"labeled")</f>
        <v>labeled</v>
      </c>
      <c r="M1434" s="49"/>
      <c r="N1434" s="49"/>
      <c r="O1434" s="49" t="str">
        <f>IFERROR(__xludf.DUMMYFUNCTION("""COMPUTED_VALUE"""),"phantom")</f>
        <v>phantom</v>
      </c>
      <c r="P1434" s="49" t="str">
        <f t="shared" si="2"/>
        <v>beautifully,</v>
      </c>
      <c r="Q1434" s="49"/>
      <c r="R1434" s="50" t="s">
        <v>7373</v>
      </c>
      <c r="S1434" s="55" t="s">
        <v>4329</v>
      </c>
      <c r="T1434" s="49" t="str">
        <f>IFERROR(__xludf.DUMMYFUNCTION("""COMPUTED_VALUE"""),"grin")</f>
        <v>grin</v>
      </c>
      <c r="U1434" s="49"/>
      <c r="V1434" s="49"/>
      <c r="W1434" s="49" t="str">
        <f>IFERROR(__xludf.DUMMYFUNCTION("""COMPUTED_VALUE"""),"consuming")</f>
        <v>consuming</v>
      </c>
      <c r="X1434" s="49" t="str">
        <f t="shared" si="3"/>
        <v>uno,</v>
      </c>
      <c r="Y1434" s="49"/>
      <c r="Z1434" s="1" t="s">
        <v>2178</v>
      </c>
      <c r="AA1434" s="1" t="s">
        <v>4520</v>
      </c>
      <c r="AB1434" s="49"/>
      <c r="AC1434" s="49"/>
      <c r="AD1434" s="49"/>
      <c r="AE1434" s="49" t="str">
        <f>IFERROR(__xludf.DUMMYFUNCTION("""COMPUTED_VALUE"""),"phantom")</f>
        <v>phantom</v>
      </c>
      <c r="AF1434" s="49" t="str">
        <f t="shared" si="4"/>
        <v>add,</v>
      </c>
      <c r="AG1434" s="49"/>
      <c r="AH1434" s="1" t="s">
        <v>792</v>
      </c>
      <c r="AI1434" s="1" t="s">
        <v>6506</v>
      </c>
      <c r="AJ1434" s="6" t="str">
        <f>IFERROR(__xludf.DUMMYFUNCTION("""COMPUTED_VALUE"""),"falling")</f>
        <v>falling</v>
      </c>
      <c r="AK1434" s="49"/>
      <c r="AL1434" s="49"/>
      <c r="AM1434" s="49"/>
      <c r="AN1434" s="52" t="str">
        <f t="shared" si="5"/>
        <v>street,</v>
      </c>
    </row>
    <row r="1435">
      <c r="A1435" s="51"/>
      <c r="B1435" s="50" t="s">
        <v>792</v>
      </c>
      <c r="C1435" s="50" t="s">
        <v>3603</v>
      </c>
      <c r="D1435" s="49" t="str">
        <f>IFERROR(__xludf.DUMMYFUNCTION("""COMPUTED_VALUE"""),"healing")</f>
        <v>healing</v>
      </c>
      <c r="E1435" s="49"/>
      <c r="F1435" s="49"/>
      <c r="G1435" s="49"/>
      <c r="H1435" s="54" t="str">
        <f t="shared" si="1"/>
        <v>street,</v>
      </c>
      <c r="I1435" s="50"/>
      <c r="J1435" s="50" t="s">
        <v>2638</v>
      </c>
      <c r="K1435" s="50" t="s">
        <v>4522</v>
      </c>
      <c r="L1435" s="49" t="str">
        <f>IFERROR(__xludf.DUMMYFUNCTION("""COMPUTED_VALUE"""),"edition")</f>
        <v>edition</v>
      </c>
      <c r="M1435" s="49"/>
      <c r="N1435" s="49"/>
      <c r="O1435" s="49" t="str">
        <f>IFERROR(__xludf.DUMMYFUNCTION("""COMPUTED_VALUE"""),"nerves")</f>
        <v>nerves</v>
      </c>
      <c r="P1435" s="49" t="str">
        <f t="shared" si="2"/>
        <v>olympic,</v>
      </c>
      <c r="Q1435" s="49"/>
      <c r="R1435" s="50" t="s">
        <v>3958</v>
      </c>
      <c r="S1435" s="55" t="s">
        <v>889</v>
      </c>
      <c r="T1435" s="49" t="str">
        <f>IFERROR(__xludf.DUMMYFUNCTION("""COMPUTED_VALUE"""),"energetic")</f>
        <v>energetic</v>
      </c>
      <c r="U1435" s="49"/>
      <c r="V1435" s="49"/>
      <c r="W1435" s="49" t="str">
        <f>IFERROR(__xludf.DUMMYFUNCTION("""COMPUTED_VALUE"""),"c")</f>
        <v>c</v>
      </c>
      <c r="X1435" s="49" t="str">
        <f t="shared" si="3"/>
        <v>safe,</v>
      </c>
      <c r="Y1435" s="49"/>
      <c r="Z1435" s="1" t="s">
        <v>55</v>
      </c>
      <c r="AA1435" s="1" t="s">
        <v>4521</v>
      </c>
      <c r="AB1435" s="49"/>
      <c r="AC1435" s="49"/>
      <c r="AD1435" s="49"/>
      <c r="AE1435" s="49" t="str">
        <f>IFERROR(__xludf.DUMMYFUNCTION("""COMPUTED_VALUE"""),"nerves")</f>
        <v>nerves</v>
      </c>
      <c r="AF1435" s="49" t="str">
        <f t="shared" si="4"/>
        <v>succeeds,</v>
      </c>
      <c r="AG1435" s="49"/>
      <c r="AH1435" s="1" t="s">
        <v>4161</v>
      </c>
      <c r="AI1435" s="1" t="s">
        <v>3687</v>
      </c>
      <c r="AJ1435" s="6" t="str">
        <f>IFERROR(__xludf.DUMMYFUNCTION("""COMPUTED_VALUE"""),"passes")</f>
        <v>passes</v>
      </c>
      <c r="AK1435" s="49"/>
      <c r="AL1435" s="49"/>
      <c r="AM1435" s="49"/>
      <c r="AN1435" s="52" t="str">
        <f t="shared" si="5"/>
        <v>word,</v>
      </c>
    </row>
    <row r="1436">
      <c r="A1436" s="51"/>
      <c r="B1436" s="50" t="s">
        <v>4161</v>
      </c>
      <c r="C1436" s="50" t="s">
        <v>2098</v>
      </c>
      <c r="D1436" s="49" t="str">
        <f>IFERROR(__xludf.DUMMYFUNCTION("""COMPUTED_VALUE"""),"nelson")</f>
        <v>nelson</v>
      </c>
      <c r="E1436" s="49"/>
      <c r="F1436" s="49"/>
      <c r="G1436" s="49"/>
      <c r="H1436" s="54" t="str">
        <f t="shared" si="1"/>
        <v>word,</v>
      </c>
      <c r="I1436" s="50"/>
      <c r="J1436" s="50" t="s">
        <v>4571</v>
      </c>
      <c r="K1436" s="50" t="s">
        <v>4525</v>
      </c>
      <c r="L1436" s="49" t="str">
        <f>IFERROR(__xludf.DUMMYFUNCTION("""COMPUTED_VALUE"""),"structured")</f>
        <v>structured</v>
      </c>
      <c r="M1436" s="49"/>
      <c r="N1436" s="49"/>
      <c r="O1436" s="49" t="str">
        <f>IFERROR(__xludf.DUMMYFUNCTION("""COMPUTED_VALUE"""),"relying")</f>
        <v>relying</v>
      </c>
      <c r="P1436" s="49" t="str">
        <f t="shared" si="2"/>
        <v>memory,</v>
      </c>
      <c r="Q1436" s="49"/>
      <c r="R1436" s="50" t="s">
        <v>6512</v>
      </c>
      <c r="S1436" s="55" t="s">
        <v>3850</v>
      </c>
      <c r="T1436" s="49" t="str">
        <f>IFERROR(__xludf.DUMMYFUNCTION("""COMPUTED_VALUE"""),"delight")</f>
        <v>delight</v>
      </c>
      <c r="U1436" s="49"/>
      <c r="V1436" s="49"/>
      <c r="W1436" s="49" t="str">
        <f>IFERROR(__xludf.DUMMYFUNCTION("""COMPUTED_VALUE"""),"attach")</f>
        <v>attach</v>
      </c>
      <c r="X1436" s="49" t="str">
        <f t="shared" si="3"/>
        <v>daily,</v>
      </c>
      <c r="Y1436" s="49"/>
      <c r="Z1436" s="1" t="s">
        <v>1543</v>
      </c>
      <c r="AA1436" s="1" t="s">
        <v>3128</v>
      </c>
      <c r="AB1436" s="49"/>
      <c r="AC1436" s="49"/>
      <c r="AD1436" s="49"/>
      <c r="AE1436" s="49" t="str">
        <f>IFERROR(__xludf.DUMMYFUNCTION("""COMPUTED_VALUE"""),"relying")</f>
        <v>relying</v>
      </c>
      <c r="AF1436" s="49" t="str">
        <f t="shared" si="4"/>
        <v>subject,</v>
      </c>
      <c r="AG1436" s="49"/>
      <c r="AH1436" s="1" t="s">
        <v>3451</v>
      </c>
      <c r="AI1436" s="1" t="s">
        <v>3697</v>
      </c>
      <c r="AJ1436" s="6" t="str">
        <f>IFERROR(__xludf.DUMMYFUNCTION("""COMPUTED_VALUE"""),"take")</f>
        <v>take</v>
      </c>
      <c r="AK1436" s="49"/>
      <c r="AL1436" s="49"/>
      <c r="AM1436" s="49"/>
      <c r="AN1436" s="52" t="str">
        <f t="shared" si="5"/>
        <v>lives,</v>
      </c>
    </row>
    <row r="1437">
      <c r="A1437" s="51"/>
      <c r="B1437" s="50" t="s">
        <v>3451</v>
      </c>
      <c r="C1437" s="50" t="s">
        <v>4108</v>
      </c>
      <c r="D1437" s="49" t="str">
        <f>IFERROR(__xludf.DUMMYFUNCTION("""COMPUTED_VALUE"""),"desire")</f>
        <v>desire</v>
      </c>
      <c r="E1437" s="49"/>
      <c r="F1437" s="49"/>
      <c r="G1437" s="49"/>
      <c r="H1437" s="54" t="str">
        <f t="shared" si="1"/>
        <v>lives,</v>
      </c>
      <c r="I1437" s="50"/>
      <c r="J1437" s="50" t="s">
        <v>4407</v>
      </c>
      <c r="K1437" s="50" t="s">
        <v>2704</v>
      </c>
      <c r="L1437" s="49" t="str">
        <f>IFERROR(__xludf.DUMMYFUNCTION("""COMPUTED_VALUE"""),"casts")</f>
        <v>casts</v>
      </c>
      <c r="M1437" s="49"/>
      <c r="N1437" s="49"/>
      <c r="O1437" s="49" t="str">
        <f>IFERROR(__xludf.DUMMYFUNCTION("""COMPUTED_VALUE"""),"yank")</f>
        <v>yank</v>
      </c>
      <c r="P1437" s="49" t="str">
        <f t="shared" si="2"/>
        <v>belly,</v>
      </c>
      <c r="Q1437" s="49"/>
      <c r="R1437" s="50" t="s">
        <v>4629</v>
      </c>
      <c r="S1437" s="55" t="s">
        <v>2682</v>
      </c>
      <c r="T1437" s="49" t="str">
        <f>IFERROR(__xludf.DUMMYFUNCTION("""COMPUTED_VALUE"""),"gaze")</f>
        <v>gaze</v>
      </c>
      <c r="U1437" s="49"/>
      <c r="V1437" s="49"/>
      <c r="W1437" s="49" t="str">
        <f>IFERROR(__xludf.DUMMYFUNCTION("""COMPUTED_VALUE"""),"empowerment")</f>
        <v>empowerment</v>
      </c>
      <c r="X1437" s="49" t="str">
        <f t="shared" si="3"/>
        <v>clue,</v>
      </c>
      <c r="Y1437" s="49"/>
      <c r="Z1437" s="1" t="s">
        <v>1601</v>
      </c>
      <c r="AA1437" s="1">
        <v>86.0</v>
      </c>
      <c r="AB1437" s="49"/>
      <c r="AC1437" s="49"/>
      <c r="AD1437" s="49"/>
      <c r="AE1437" s="49" t="str">
        <f>IFERROR(__xludf.DUMMYFUNCTION("""COMPUTED_VALUE"""),"yank")</f>
        <v>yank</v>
      </c>
      <c r="AF1437" s="49" t="str">
        <f t="shared" si="4"/>
        <v>failing,</v>
      </c>
      <c r="AG1437" s="49"/>
      <c r="AH1437" s="1" t="s">
        <v>1360</v>
      </c>
      <c r="AI1437" s="1" t="s">
        <v>4813</v>
      </c>
      <c r="AJ1437" s="6" t="str">
        <f>IFERROR(__xludf.DUMMYFUNCTION("""COMPUTED_VALUE"""),"songs")</f>
        <v>songs</v>
      </c>
      <c r="AK1437" s="49"/>
      <c r="AL1437" s="49"/>
      <c r="AM1437" s="49"/>
      <c r="AN1437" s="52" t="str">
        <f t="shared" si="5"/>
        <v>questions,</v>
      </c>
    </row>
    <row r="1438">
      <c r="A1438" s="51"/>
      <c r="B1438" s="50" t="s">
        <v>1360</v>
      </c>
      <c r="C1438" s="50" t="s">
        <v>2489</v>
      </c>
      <c r="D1438" s="49" t="str">
        <f>IFERROR(__xludf.DUMMYFUNCTION("""COMPUTED_VALUE"""),"possibility")</f>
        <v>possibility</v>
      </c>
      <c r="E1438" s="49"/>
      <c r="F1438" s="49"/>
      <c r="G1438" s="49"/>
      <c r="H1438" s="54" t="str">
        <f t="shared" si="1"/>
        <v>questions,</v>
      </c>
      <c r="I1438" s="50"/>
      <c r="J1438" s="50" t="s">
        <v>7023</v>
      </c>
      <c r="K1438" s="50" t="s">
        <v>2851</v>
      </c>
      <c r="L1438" s="49" t="str">
        <f>IFERROR(__xludf.DUMMYFUNCTION("""COMPUTED_VALUE"""),"ache")</f>
        <v>ache</v>
      </c>
      <c r="M1438" s="49"/>
      <c r="N1438" s="49"/>
      <c r="O1438" s="49" t="str">
        <f>IFERROR(__xludf.DUMMYFUNCTION("""COMPUTED_VALUE"""),"choke")</f>
        <v>choke</v>
      </c>
      <c r="P1438" s="49" t="str">
        <f t="shared" si="2"/>
        <v>ok,</v>
      </c>
      <c r="Q1438" s="49"/>
      <c r="R1438" s="50" t="s">
        <v>4715</v>
      </c>
      <c r="S1438" s="55" t="s">
        <v>1372</v>
      </c>
      <c r="T1438" s="49" t="str">
        <f>IFERROR(__xludf.DUMMYFUNCTION("""COMPUTED_VALUE"""),"beings")</f>
        <v>beings</v>
      </c>
      <c r="U1438" s="49"/>
      <c r="V1438" s="49"/>
      <c r="W1438" s="49" t="str">
        <f>IFERROR(__xludf.DUMMYFUNCTION("""COMPUTED_VALUE"""),"established")</f>
        <v>established</v>
      </c>
      <c r="X1438" s="49" t="str">
        <f t="shared" si="3"/>
        <v>toilet,</v>
      </c>
      <c r="Y1438" s="49"/>
      <c r="Z1438" s="1" t="s">
        <v>4616</v>
      </c>
      <c r="AA1438" s="1" t="s">
        <v>3994</v>
      </c>
      <c r="AB1438" s="49"/>
      <c r="AC1438" s="49"/>
      <c r="AD1438" s="49"/>
      <c r="AE1438" s="49" t="str">
        <f>IFERROR(__xludf.DUMMYFUNCTION("""COMPUTED_VALUE"""),"choke")</f>
        <v>choke</v>
      </c>
      <c r="AF1438" s="49" t="str">
        <f t="shared" si="4"/>
        <v>woody,</v>
      </c>
      <c r="AG1438" s="49"/>
      <c r="AH1438" s="1" t="s">
        <v>6256</v>
      </c>
      <c r="AI1438" s="1" t="s">
        <v>3699</v>
      </c>
      <c r="AJ1438" s="6" t="str">
        <f>IFERROR(__xludf.DUMMYFUNCTION("""COMPUTED_VALUE"""),"whether")</f>
        <v>whether</v>
      </c>
      <c r="AK1438" s="49"/>
      <c r="AL1438" s="49"/>
      <c r="AM1438" s="49"/>
      <c r="AN1438" s="52" t="str">
        <f t="shared" si="5"/>
        <v>fresh,</v>
      </c>
    </row>
    <row r="1439">
      <c r="A1439" s="51"/>
      <c r="B1439" s="50" t="s">
        <v>6256</v>
      </c>
      <c r="C1439" s="50" t="s">
        <v>2080</v>
      </c>
      <c r="D1439" s="49" t="str">
        <f>IFERROR(__xludf.DUMMYFUNCTION("""COMPUTED_VALUE"""),"argument")</f>
        <v>argument</v>
      </c>
      <c r="E1439" s="49"/>
      <c r="F1439" s="49"/>
      <c r="G1439" s="49"/>
      <c r="H1439" s="54" t="str">
        <f t="shared" si="1"/>
        <v>fresh,</v>
      </c>
      <c r="I1439" s="50"/>
      <c r="J1439" s="50" t="s">
        <v>2826</v>
      </c>
      <c r="K1439" s="50" t="s">
        <v>4530</v>
      </c>
      <c r="L1439" s="49" t="str">
        <f>IFERROR(__xludf.DUMMYFUNCTION("""COMPUTED_VALUE"""),"bracing")</f>
        <v>bracing</v>
      </c>
      <c r="M1439" s="49"/>
      <c r="N1439" s="49"/>
      <c r="O1439" s="49" t="str">
        <f>IFERROR(__xludf.DUMMYFUNCTION("""COMPUTED_VALUE"""),"leash")</f>
        <v>leash</v>
      </c>
      <c r="P1439" s="49" t="str">
        <f t="shared" si="2"/>
        <v>status,</v>
      </c>
      <c r="Q1439" s="49"/>
      <c r="R1439" s="50" t="s">
        <v>2643</v>
      </c>
      <c r="S1439" s="55" t="s">
        <v>2671</v>
      </c>
      <c r="T1439" s="49" t="str">
        <f>IFERROR(__xludf.DUMMYFUNCTION("""COMPUTED_VALUE"""),"exasperated")</f>
        <v>exasperated</v>
      </c>
      <c r="U1439" s="49"/>
      <c r="V1439" s="49"/>
      <c r="W1439" s="49" t="str">
        <f>IFERROR(__xludf.DUMMYFUNCTION("""COMPUTED_VALUE"""),"murderer")</f>
        <v>murderer</v>
      </c>
      <c r="X1439" s="49" t="str">
        <f t="shared" si="3"/>
        <v>won,</v>
      </c>
      <c r="Y1439" s="49"/>
      <c r="Z1439" s="1" t="s">
        <v>3260</v>
      </c>
      <c r="AA1439" s="1" t="s">
        <v>1872</v>
      </c>
      <c r="AB1439" s="49"/>
      <c r="AC1439" s="49"/>
      <c r="AD1439" s="49"/>
      <c r="AE1439" s="49" t="str">
        <f>IFERROR(__xludf.DUMMYFUNCTION("""COMPUTED_VALUE"""),"leash")</f>
        <v>leash</v>
      </c>
      <c r="AF1439" s="49" t="str">
        <f t="shared" si="4"/>
        <v>martin,</v>
      </c>
      <c r="AG1439" s="49"/>
      <c r="AH1439" s="1" t="s">
        <v>4391</v>
      </c>
      <c r="AI1439" s="1" t="s">
        <v>1637</v>
      </c>
      <c r="AJ1439" s="6" t="str">
        <f>IFERROR(__xludf.DUMMYFUNCTION("""COMPUTED_VALUE"""),"thanks")</f>
        <v>thanks</v>
      </c>
      <c r="AK1439" s="49"/>
      <c r="AL1439" s="49"/>
      <c r="AM1439" s="49"/>
      <c r="AN1439" s="52" t="str">
        <f t="shared" si="5"/>
        <v>allen,</v>
      </c>
    </row>
    <row r="1440">
      <c r="A1440" s="51"/>
      <c r="B1440" s="50" t="s">
        <v>4391</v>
      </c>
      <c r="C1440" s="50" t="s">
        <v>3605</v>
      </c>
      <c r="D1440" s="49" t="str">
        <f>IFERROR(__xludf.DUMMYFUNCTION("""COMPUTED_VALUE"""),"sisters")</f>
        <v>sisters</v>
      </c>
      <c r="E1440" s="49"/>
      <c r="F1440" s="49"/>
      <c r="G1440" s="49"/>
      <c r="H1440" s="54" t="str">
        <f t="shared" si="1"/>
        <v>allen,</v>
      </c>
      <c r="I1440" s="50"/>
      <c r="J1440" s="50" t="s">
        <v>3880</v>
      </c>
      <c r="K1440" s="50" t="s">
        <v>4046</v>
      </c>
      <c r="L1440" s="49" t="str">
        <f>IFERROR(__xludf.DUMMYFUNCTION("""COMPUTED_VALUE"""),"observations")</f>
        <v>observations</v>
      </c>
      <c r="M1440" s="49"/>
      <c r="N1440" s="49"/>
      <c r="O1440" s="49" t="str">
        <f>IFERROR(__xludf.DUMMYFUNCTION("""COMPUTED_VALUE"""),"intro")</f>
        <v>intro</v>
      </c>
      <c r="P1440" s="49" t="str">
        <f t="shared" si="2"/>
        <v>enjoyed,</v>
      </c>
      <c r="Q1440" s="49"/>
      <c r="R1440" s="50" t="s">
        <v>4889</v>
      </c>
      <c r="S1440" s="55" t="s">
        <v>712</v>
      </c>
      <c r="T1440" s="49" t="str">
        <f>IFERROR(__xludf.DUMMYFUNCTION("""COMPUTED_VALUE"""),"labor")</f>
        <v>labor</v>
      </c>
      <c r="U1440" s="49"/>
      <c r="V1440" s="49"/>
      <c r="W1440" s="49" t="str">
        <f>IFERROR(__xludf.DUMMYFUNCTION("""COMPUTED_VALUE"""),"passions")</f>
        <v>passions</v>
      </c>
      <c r="X1440" s="49" t="str">
        <f t="shared" si="3"/>
        <v>waldo,</v>
      </c>
      <c r="Y1440" s="49"/>
      <c r="Z1440" s="1" t="s">
        <v>2578</v>
      </c>
      <c r="AA1440" s="1" t="s">
        <v>4531</v>
      </c>
      <c r="AB1440" s="49"/>
      <c r="AC1440" s="49"/>
      <c r="AD1440" s="49"/>
      <c r="AE1440" s="49" t="str">
        <f>IFERROR(__xludf.DUMMYFUNCTION("""COMPUTED_VALUE"""),"intro")</f>
        <v>intro</v>
      </c>
      <c r="AF1440" s="49" t="str">
        <f t="shared" si="4"/>
        <v>miserable,</v>
      </c>
      <c r="AG1440" s="49"/>
      <c r="AH1440" s="1" t="s">
        <v>5395</v>
      </c>
      <c r="AI1440" s="1" t="s">
        <v>3702</v>
      </c>
      <c r="AJ1440" s="6" t="str">
        <f>IFERROR(__xludf.DUMMYFUNCTION("""COMPUTED_VALUE"""),"nose")</f>
        <v>nose</v>
      </c>
      <c r="AK1440" s="49"/>
      <c r="AL1440" s="49"/>
      <c r="AM1440" s="49"/>
      <c r="AN1440" s="52" t="str">
        <f t="shared" si="5"/>
        <v>twin,</v>
      </c>
    </row>
    <row r="1441">
      <c r="A1441" s="51"/>
      <c r="B1441" s="50" t="s">
        <v>5395</v>
      </c>
      <c r="C1441" s="50" t="s">
        <v>2465</v>
      </c>
      <c r="D1441" s="49" t="str">
        <f>IFERROR(__xludf.DUMMYFUNCTION("""COMPUTED_VALUE"""),"quiet")</f>
        <v>quiet</v>
      </c>
      <c r="E1441" s="49"/>
      <c r="F1441" s="49"/>
      <c r="G1441" s="49"/>
      <c r="H1441" s="54" t="str">
        <f t="shared" si="1"/>
        <v>twin,</v>
      </c>
      <c r="I1441" s="50"/>
      <c r="J1441" s="50" t="s">
        <v>1487</v>
      </c>
      <c r="K1441" s="50" t="s">
        <v>2853</v>
      </c>
      <c r="L1441" s="49" t="str">
        <f>IFERROR(__xludf.DUMMYFUNCTION("""COMPUTED_VALUE"""),"intimacy")</f>
        <v>intimacy</v>
      </c>
      <c r="M1441" s="49"/>
      <c r="N1441" s="49"/>
      <c r="O1441" s="49" t="str">
        <f>IFERROR(__xludf.DUMMYFUNCTION("""COMPUTED_VALUE"""),"manifesto")</f>
        <v>manifesto</v>
      </c>
      <c r="P1441" s="49" t="str">
        <f t="shared" si="2"/>
        <v>moving,</v>
      </c>
      <c r="Q1441" s="49"/>
      <c r="R1441" s="50" t="s">
        <v>7374</v>
      </c>
      <c r="S1441" s="55" t="s">
        <v>6507</v>
      </c>
      <c r="T1441" s="49" t="str">
        <f>IFERROR(__xludf.DUMMYFUNCTION("""COMPUTED_VALUE"""),"spotlight")</f>
        <v>spotlight</v>
      </c>
      <c r="U1441" s="49"/>
      <c r="V1441" s="49"/>
      <c r="W1441" s="49" t="str">
        <f>IFERROR(__xludf.DUMMYFUNCTION("""COMPUTED_VALUE"""),"seduce")</f>
        <v>seduce</v>
      </c>
      <c r="X1441" s="49" t="str">
        <f t="shared" si="3"/>
        <v>traveler,</v>
      </c>
      <c r="Y1441" s="49"/>
      <c r="Z1441" s="1" t="s">
        <v>5579</v>
      </c>
      <c r="AA1441" s="1" t="s">
        <v>4533</v>
      </c>
      <c r="AB1441" s="49"/>
      <c r="AC1441" s="49"/>
      <c r="AD1441" s="49"/>
      <c r="AE1441" s="49" t="str">
        <f>IFERROR(__xludf.DUMMYFUNCTION("""COMPUTED_VALUE"""),"manifesto")</f>
        <v>manifesto</v>
      </c>
      <c r="AF1441" s="49" t="str">
        <f t="shared" si="4"/>
        <v>appreciate,</v>
      </c>
      <c r="AG1441" s="49"/>
      <c r="AH1441" s="1" t="s">
        <v>1985</v>
      </c>
      <c r="AI1441" s="1" t="s">
        <v>6508</v>
      </c>
      <c r="AJ1441" s="6" t="str">
        <f>IFERROR(__xludf.DUMMYFUNCTION("""COMPUTED_VALUE"""),"blow")</f>
        <v>blow</v>
      </c>
      <c r="AK1441" s="49"/>
      <c r="AL1441" s="49"/>
      <c r="AM1441" s="49"/>
      <c r="AN1441" s="52" t="str">
        <f t="shared" si="5"/>
        <v>sentence,</v>
      </c>
    </row>
    <row r="1442">
      <c r="A1442" s="51"/>
      <c r="B1442" s="50" t="s">
        <v>1985</v>
      </c>
      <c r="C1442" s="50" t="s">
        <v>1420</v>
      </c>
      <c r="D1442" s="49" t="str">
        <f>IFERROR(__xludf.DUMMYFUNCTION("""COMPUTED_VALUE"""),"lopez")</f>
        <v>lopez</v>
      </c>
      <c r="E1442" s="49"/>
      <c r="F1442" s="49"/>
      <c r="G1442" s="49"/>
      <c r="H1442" s="54" t="str">
        <f t="shared" si="1"/>
        <v>sentence,</v>
      </c>
      <c r="I1442" s="50"/>
      <c r="J1442" s="50" t="s">
        <v>2817</v>
      </c>
      <c r="K1442" s="50" t="s">
        <v>3685</v>
      </c>
      <c r="L1442" s="49" t="str">
        <f>IFERROR(__xludf.DUMMYFUNCTION("""COMPUTED_VALUE"""),"garnered")</f>
        <v>garnered</v>
      </c>
      <c r="M1442" s="49"/>
      <c r="N1442" s="49"/>
      <c r="O1442" s="49" t="str">
        <f>IFERROR(__xludf.DUMMYFUNCTION("""COMPUTED_VALUE"""),"topical")</f>
        <v>topical</v>
      </c>
      <c r="P1442" s="49" t="str">
        <f t="shared" si="2"/>
        <v>debt,</v>
      </c>
      <c r="Q1442" s="49"/>
      <c r="R1442" s="50" t="s">
        <v>7375</v>
      </c>
      <c r="S1442" s="55" t="s">
        <v>2695</v>
      </c>
      <c r="T1442" s="49" t="str">
        <f>IFERROR(__xludf.DUMMYFUNCTION("""COMPUTED_VALUE"""),"mendes")</f>
        <v>mendes</v>
      </c>
      <c r="U1442" s="49"/>
      <c r="V1442" s="49"/>
      <c r="W1442" s="49" t="str">
        <f>IFERROR(__xludf.DUMMYFUNCTION("""COMPUTED_VALUE"""),"tidal")</f>
        <v>tidal</v>
      </c>
      <c r="X1442" s="49" t="str">
        <f t="shared" si="3"/>
        <v>comical,</v>
      </c>
      <c r="Y1442" s="49"/>
      <c r="Z1442" s="1" t="s">
        <v>115</v>
      </c>
      <c r="AA1442" s="1" t="s">
        <v>4534</v>
      </c>
      <c r="AB1442" s="49"/>
      <c r="AC1442" s="49"/>
      <c r="AD1442" s="49"/>
      <c r="AE1442" s="49" t="str">
        <f>IFERROR(__xludf.DUMMYFUNCTION("""COMPUTED_VALUE"""),"topical")</f>
        <v>topical</v>
      </c>
      <c r="AF1442" s="49" t="str">
        <f t="shared" si="4"/>
        <v>utterly,</v>
      </c>
      <c r="AG1442" s="49"/>
      <c r="AH1442" s="1" t="s">
        <v>6686</v>
      </c>
      <c r="AI1442" s="1" t="s">
        <v>2320</v>
      </c>
      <c r="AJ1442" s="6" t="str">
        <f>IFERROR(__xludf.DUMMYFUNCTION("""COMPUTED_VALUE"""),"nobody")</f>
        <v>nobody</v>
      </c>
      <c r="AK1442" s="49"/>
      <c r="AL1442" s="49"/>
      <c r="AM1442" s="49"/>
      <c r="AN1442" s="52" t="str">
        <f t="shared" si="5"/>
        <v>tom,</v>
      </c>
    </row>
    <row r="1443">
      <c r="A1443" s="51"/>
      <c r="B1443" s="50" t="s">
        <v>7376</v>
      </c>
      <c r="C1443" s="50" t="s">
        <v>3905</v>
      </c>
      <c r="D1443" s="49" t="str">
        <f>IFERROR(__xludf.DUMMYFUNCTION("""COMPUTED_VALUE"""),"relationships")</f>
        <v>relationships</v>
      </c>
      <c r="E1443" s="49"/>
      <c r="F1443" s="49"/>
      <c r="G1443" s="49"/>
      <c r="H1443" s="54" t="str">
        <f t="shared" si="1"/>
        <v>bitch,</v>
      </c>
      <c r="I1443" s="50"/>
      <c r="J1443" s="50" t="s">
        <v>4182</v>
      </c>
      <c r="K1443" s="50" t="s">
        <v>1451</v>
      </c>
      <c r="L1443" s="49" t="str">
        <f>IFERROR(__xludf.DUMMYFUNCTION("""COMPUTED_VALUE"""),"consequences")</f>
        <v>consequences</v>
      </c>
      <c r="M1443" s="49"/>
      <c r="N1443" s="49"/>
      <c r="O1443" s="49" t="str">
        <f>IFERROR(__xludf.DUMMYFUNCTION("""COMPUTED_VALUE"""),"background")</f>
        <v>background</v>
      </c>
      <c r="P1443" s="49" t="str">
        <f t="shared" si="2"/>
        <v>forced,</v>
      </c>
      <c r="Q1443" s="49"/>
      <c r="R1443" s="50" t="s">
        <v>4676</v>
      </c>
      <c r="S1443" s="55" t="s">
        <v>1355</v>
      </c>
      <c r="T1443" s="49" t="str">
        <f>IFERROR(__xludf.DUMMYFUNCTION("""COMPUTED_VALUE"""),"blanket")</f>
        <v>blanket</v>
      </c>
      <c r="U1443" s="49"/>
      <c r="V1443" s="49"/>
      <c r="W1443" s="49" t="str">
        <f>IFERROR(__xludf.DUMMYFUNCTION("""COMPUTED_VALUE"""),"segment")</f>
        <v>segment</v>
      </c>
      <c r="X1443" s="49" t="str">
        <f t="shared" si="3"/>
        <v>relies,</v>
      </c>
      <c r="Y1443" s="49"/>
      <c r="Z1443" s="1" t="s">
        <v>2894</v>
      </c>
      <c r="AA1443" s="1" t="s">
        <v>4535</v>
      </c>
      <c r="AB1443" s="49"/>
      <c r="AC1443" s="49"/>
      <c r="AD1443" s="49"/>
      <c r="AE1443" s="49" t="str">
        <f>IFERROR(__xludf.DUMMYFUNCTION("""COMPUTED_VALUE"""),"background")</f>
        <v>background</v>
      </c>
      <c r="AF1443" s="49" t="str">
        <f t="shared" si="4"/>
        <v>unexpected,</v>
      </c>
      <c r="AG1443" s="49"/>
      <c r="AH1443" s="1" t="s">
        <v>7377</v>
      </c>
      <c r="AI1443" s="1" t="s">
        <v>6485</v>
      </c>
      <c r="AJ1443" s="6" t="str">
        <f>IFERROR(__xludf.DUMMYFUNCTION("""COMPUTED_VALUE"""),"season")</f>
        <v>season</v>
      </c>
      <c r="AK1443" s="49"/>
      <c r="AL1443" s="49"/>
      <c r="AM1443" s="49"/>
      <c r="AN1443" s="52" t="str">
        <f t="shared" si="5"/>
        <v>mom,</v>
      </c>
    </row>
    <row r="1444">
      <c r="A1444" s="51"/>
      <c r="B1444" s="50" t="s">
        <v>3385</v>
      </c>
      <c r="C1444" s="50" t="s">
        <v>6478</v>
      </c>
      <c r="D1444" s="49" t="str">
        <f>IFERROR(__xludf.DUMMYFUNCTION("""COMPUTED_VALUE"""),"focused")</f>
        <v>focused</v>
      </c>
      <c r="E1444" s="49"/>
      <c r="F1444" s="49"/>
      <c r="G1444" s="49"/>
      <c r="H1444" s="54" t="str">
        <f t="shared" si="1"/>
        <v>hughes,</v>
      </c>
      <c r="I1444" s="50"/>
      <c r="J1444" s="50" t="s">
        <v>7378</v>
      </c>
      <c r="K1444" s="50" t="s">
        <v>2858</v>
      </c>
      <c r="L1444" s="49" t="str">
        <f>IFERROR(__xludf.DUMMYFUNCTION("""COMPUTED_VALUE"""),"inactive")</f>
        <v>inactive</v>
      </c>
      <c r="M1444" s="49"/>
      <c r="N1444" s="49"/>
      <c r="O1444" s="49" t="str">
        <f>IFERROR(__xludf.DUMMYFUNCTION("""COMPUTED_VALUE"""),"duel")</f>
        <v>duel</v>
      </c>
      <c r="P1444" s="49" t="str">
        <f t="shared" si="2"/>
        <v>knife,</v>
      </c>
      <c r="Q1444" s="49"/>
      <c r="R1444" s="50" t="s">
        <v>7379</v>
      </c>
      <c r="S1444" s="55" t="s">
        <v>898</v>
      </c>
      <c r="T1444" s="49" t="str">
        <f>IFERROR(__xludf.DUMMYFUNCTION("""COMPUTED_VALUE"""),"innovative")</f>
        <v>innovative</v>
      </c>
      <c r="U1444" s="49"/>
      <c r="V1444" s="49"/>
      <c r="W1444" s="49" t="str">
        <f>IFERROR(__xludf.DUMMYFUNCTION("""COMPUTED_VALUE"""),"sticky")</f>
        <v>sticky</v>
      </c>
      <c r="X1444" s="49" t="str">
        <f t="shared" si="3"/>
        <v>pistol,</v>
      </c>
      <c r="Y1444" s="49"/>
      <c r="Z1444" s="1" t="s">
        <v>603</v>
      </c>
      <c r="AA1444" s="1" t="s">
        <v>1877</v>
      </c>
      <c r="AB1444" s="49"/>
      <c r="AC1444" s="49"/>
      <c r="AD1444" s="49"/>
      <c r="AE1444" s="49" t="str">
        <f>IFERROR(__xludf.DUMMYFUNCTION("""COMPUTED_VALUE"""),"duel")</f>
        <v>duel</v>
      </c>
      <c r="AF1444" s="49" t="str">
        <f t="shared" si="4"/>
        <v>survival,</v>
      </c>
      <c r="AG1444" s="49"/>
      <c r="AH1444" s="1" t="s">
        <v>5517</v>
      </c>
      <c r="AI1444" s="1" t="s">
        <v>3716</v>
      </c>
      <c r="AJ1444" s="6">
        <f>IFERROR(__xludf.DUMMYFUNCTION("""COMPUTED_VALUE"""),1997.0)</f>
        <v>1997</v>
      </c>
      <c r="AK1444" s="49"/>
      <c r="AL1444" s="49"/>
      <c r="AM1444" s="49"/>
      <c r="AN1444" s="52" t="str">
        <f t="shared" si="5"/>
        <v>dad,</v>
      </c>
    </row>
    <row r="1445">
      <c r="A1445" s="51"/>
      <c r="B1445" s="50" t="s">
        <v>6686</v>
      </c>
      <c r="C1445" s="50" t="s">
        <v>3392</v>
      </c>
      <c r="D1445" s="49" t="str">
        <f>IFERROR(__xludf.DUMMYFUNCTION("""COMPUTED_VALUE"""),"forward")</f>
        <v>forward</v>
      </c>
      <c r="E1445" s="49"/>
      <c r="F1445" s="49"/>
      <c r="G1445" s="49"/>
      <c r="H1445" s="54" t="str">
        <f t="shared" si="1"/>
        <v>tom,</v>
      </c>
      <c r="I1445" s="50"/>
      <c r="J1445" s="50" t="s">
        <v>7380</v>
      </c>
      <c r="K1445" s="50" t="s">
        <v>4053</v>
      </c>
      <c r="L1445" s="49" t="str">
        <f>IFERROR(__xludf.DUMMYFUNCTION("""COMPUTED_VALUE"""),"classical")</f>
        <v>classical</v>
      </c>
      <c r="M1445" s="49"/>
      <c r="N1445" s="49"/>
      <c r="O1445" s="49" t="str">
        <f>IFERROR(__xludf.DUMMYFUNCTION("""COMPUTED_VALUE"""),"swiftly")</f>
        <v>swiftly</v>
      </c>
      <c r="P1445" s="49" t="str">
        <f t="shared" si="2"/>
        <v>arch,</v>
      </c>
      <c r="Q1445" s="49"/>
      <c r="R1445" s="50" t="s">
        <v>4723</v>
      </c>
      <c r="S1445" s="55" t="s">
        <v>3370</v>
      </c>
      <c r="T1445" s="49" t="str">
        <f>IFERROR(__xludf.DUMMYFUNCTION("""COMPUTED_VALUE"""),"dash")</f>
        <v>dash</v>
      </c>
      <c r="U1445" s="49"/>
      <c r="V1445" s="49"/>
      <c r="W1445" s="49" t="str">
        <f>IFERROR(__xludf.DUMMYFUNCTION("""COMPUTED_VALUE"""),"vittorio")</f>
        <v>vittorio</v>
      </c>
      <c r="X1445" s="49" t="str">
        <f t="shared" si="3"/>
        <v>variant,</v>
      </c>
      <c r="Y1445" s="49"/>
      <c r="Z1445" s="1" t="s">
        <v>990</v>
      </c>
      <c r="AA1445" s="1" t="s">
        <v>1882</v>
      </c>
      <c r="AB1445" s="49"/>
      <c r="AC1445" s="49"/>
      <c r="AD1445" s="49"/>
      <c r="AE1445" s="49" t="str">
        <f>IFERROR(__xludf.DUMMYFUNCTION("""COMPUTED_VALUE"""),"swiftly")</f>
        <v>swiftly</v>
      </c>
      <c r="AF1445" s="49" t="str">
        <f t="shared" si="4"/>
        <v>ultimate,</v>
      </c>
      <c r="AG1445" s="49"/>
      <c r="AH1445" s="1" t="s">
        <v>7381</v>
      </c>
      <c r="AI1445" s="1" t="s">
        <v>363</v>
      </c>
      <c r="AJ1445" s="6" t="str">
        <f>IFERROR(__xludf.DUMMYFUNCTION("""COMPUTED_VALUE"""),"competition")</f>
        <v>competition</v>
      </c>
      <c r="AK1445" s="49"/>
      <c r="AL1445" s="49"/>
      <c r="AM1445" s="49"/>
      <c r="AN1445" s="52" t="str">
        <f t="shared" si="5"/>
        <v>factory,</v>
      </c>
    </row>
    <row r="1446">
      <c r="A1446" s="51"/>
      <c r="B1446" s="50" t="s">
        <v>5517</v>
      </c>
      <c r="C1446" s="50" t="s">
        <v>2473</v>
      </c>
      <c r="D1446" s="49" t="str">
        <f>IFERROR(__xludf.DUMMYFUNCTION("""COMPUTED_VALUE"""),"relegated")</f>
        <v>relegated</v>
      </c>
      <c r="E1446" s="49"/>
      <c r="F1446" s="49"/>
      <c r="G1446" s="49"/>
      <c r="H1446" s="54" t="str">
        <f t="shared" si="1"/>
        <v>dad,</v>
      </c>
      <c r="I1446" s="50"/>
      <c r="J1446" s="50" t="s">
        <v>4270</v>
      </c>
      <c r="K1446" s="50" t="s">
        <v>2860</v>
      </c>
      <c r="L1446" s="49" t="str">
        <f>IFERROR(__xludf.DUMMYFUNCTION("""COMPUTED_VALUE"""),"rural")</f>
        <v>rural</v>
      </c>
      <c r="M1446" s="49"/>
      <c r="N1446" s="49"/>
      <c r="O1446" s="49" t="str">
        <f>IFERROR(__xludf.DUMMYFUNCTION("""COMPUTED_VALUE"""),"traffic")</f>
        <v>traffic</v>
      </c>
      <c r="P1446" s="49" t="str">
        <f t="shared" si="2"/>
        <v>burning,</v>
      </c>
      <c r="Q1446" s="49"/>
      <c r="R1446" s="50" t="s">
        <v>4978</v>
      </c>
      <c r="S1446" s="55" t="s">
        <v>2608</v>
      </c>
      <c r="T1446" s="49" t="str">
        <f>IFERROR(__xludf.DUMMYFUNCTION("""COMPUTED_VALUE"""),"mixture")</f>
        <v>mixture</v>
      </c>
      <c r="U1446" s="49"/>
      <c r="V1446" s="49"/>
      <c r="W1446" s="49" t="str">
        <f>IFERROR(__xludf.DUMMYFUNCTION("""COMPUTED_VALUE"""),"microscope")</f>
        <v>microscope</v>
      </c>
      <c r="X1446" s="49" t="str">
        <f t="shared" si="3"/>
        <v>extent,</v>
      </c>
      <c r="Y1446" s="49"/>
      <c r="Z1446" s="1" t="s">
        <v>1677</v>
      </c>
      <c r="AA1446" s="1" t="s">
        <v>3439</v>
      </c>
      <c r="AB1446" s="49"/>
      <c r="AC1446" s="49"/>
      <c r="AD1446" s="49"/>
      <c r="AE1446" s="49" t="str">
        <f>IFERROR(__xludf.DUMMYFUNCTION("""COMPUTED_VALUE"""),"traffic")</f>
        <v>traffic</v>
      </c>
      <c r="AF1446" s="49" t="str">
        <f t="shared" si="4"/>
        <v>state,</v>
      </c>
      <c r="AG1446" s="49"/>
      <c r="AH1446" s="1" t="s">
        <v>885</v>
      </c>
      <c r="AI1446" s="1" t="s">
        <v>2540</v>
      </c>
      <c r="AJ1446" s="6" t="str">
        <f>IFERROR(__xludf.DUMMYFUNCTION("""COMPUTED_VALUE"""),"press")</f>
        <v>press</v>
      </c>
      <c r="AK1446" s="49"/>
      <c r="AL1446" s="49"/>
      <c r="AM1446" s="49"/>
      <c r="AN1446" s="52" t="str">
        <f t="shared" si="5"/>
        <v>public,</v>
      </c>
    </row>
    <row r="1447">
      <c r="A1447" s="51"/>
      <c r="B1447" s="50" t="s">
        <v>6061</v>
      </c>
      <c r="C1447" s="50" t="s">
        <v>2471</v>
      </c>
      <c r="D1447" s="49" t="str">
        <f>IFERROR(__xludf.DUMMYFUNCTION("""COMPUTED_VALUE"""),"atmosphere")</f>
        <v>atmosphere</v>
      </c>
      <c r="E1447" s="49"/>
      <c r="F1447" s="49"/>
      <c r="G1447" s="49"/>
      <c r="H1447" s="54" t="str">
        <f t="shared" si="1"/>
        <v>torn,</v>
      </c>
      <c r="I1447" s="50"/>
      <c r="J1447" s="50" t="s">
        <v>5124</v>
      </c>
      <c r="K1447" s="50" t="s">
        <v>1458</v>
      </c>
      <c r="L1447" s="49" t="str">
        <f>IFERROR(__xludf.DUMMYFUNCTION("""COMPUTED_VALUE"""),"weighted")</f>
        <v>weighted</v>
      </c>
      <c r="M1447" s="49"/>
      <c r="N1447" s="49"/>
      <c r="O1447" s="49" t="str">
        <f>IFERROR(__xludf.DUMMYFUNCTION("""COMPUTED_VALUE"""),"wanderers")</f>
        <v>wanderers</v>
      </c>
      <c r="P1447" s="49" t="str">
        <f t="shared" si="2"/>
        <v>lines,</v>
      </c>
      <c r="Q1447" s="49"/>
      <c r="R1447" s="50" t="s">
        <v>3188</v>
      </c>
      <c r="S1447" s="55" t="s">
        <v>4351</v>
      </c>
      <c r="T1447" s="49" t="str">
        <f>IFERROR(__xludf.DUMMYFUNCTION("""COMPUTED_VALUE"""),"insurance")</f>
        <v>insurance</v>
      </c>
      <c r="U1447" s="49"/>
      <c r="V1447" s="49"/>
      <c r="W1447" s="49" t="str">
        <f>IFERROR(__xludf.DUMMYFUNCTION("""COMPUTED_VALUE"""),"purity")</f>
        <v>purity</v>
      </c>
      <c r="X1447" s="49" t="str">
        <f t="shared" si="3"/>
        <v>lush,</v>
      </c>
      <c r="Y1447" s="49"/>
      <c r="Z1447" s="1" t="s">
        <v>4499</v>
      </c>
      <c r="AA1447" s="1" t="s">
        <v>4289</v>
      </c>
      <c r="AB1447" s="49"/>
      <c r="AC1447" s="49"/>
      <c r="AD1447" s="49"/>
      <c r="AE1447" s="49" t="str">
        <f>IFERROR(__xludf.DUMMYFUNCTION("""COMPUTED_VALUE"""),"wanderers")</f>
        <v>wanderers</v>
      </c>
      <c r="AF1447" s="49" t="str">
        <f t="shared" si="4"/>
        <v>beach,</v>
      </c>
      <c r="AG1447" s="49"/>
      <c r="AH1447" s="1" t="s">
        <v>2534</v>
      </c>
      <c r="AI1447" s="1" t="s">
        <v>6509</v>
      </c>
      <c r="AJ1447" s="6" t="str">
        <f>IFERROR(__xludf.DUMMYFUNCTION("""COMPUTED_VALUE"""),"beginning")</f>
        <v>beginning</v>
      </c>
      <c r="AK1447" s="49"/>
      <c r="AL1447" s="49"/>
      <c r="AM1447" s="49"/>
      <c r="AN1447" s="52" t="str">
        <f t="shared" si="5"/>
        <v>modern,</v>
      </c>
    </row>
    <row r="1448">
      <c r="A1448" s="51"/>
      <c r="B1448" s="50" t="s">
        <v>7308</v>
      </c>
      <c r="C1448" s="50" t="s">
        <v>3269</v>
      </c>
      <c r="D1448" s="49" t="str">
        <f>IFERROR(__xludf.DUMMYFUNCTION("""COMPUTED_VALUE"""),"jesse")</f>
        <v>jesse</v>
      </c>
      <c r="E1448" s="49"/>
      <c r="F1448" s="49"/>
      <c r="G1448" s="49"/>
      <c r="H1448" s="54" t="str">
        <f t="shared" si="1"/>
        <v>basement,</v>
      </c>
      <c r="I1448" s="50"/>
      <c r="J1448" s="50" t="s">
        <v>5322</v>
      </c>
      <c r="K1448" s="50" t="s">
        <v>2715</v>
      </c>
      <c r="L1448" s="49" t="str">
        <f>IFERROR(__xludf.DUMMYFUNCTION("""COMPUTED_VALUE"""),"problematic")</f>
        <v>problematic</v>
      </c>
      <c r="M1448" s="49"/>
      <c r="N1448" s="49"/>
      <c r="O1448" s="49" t="str">
        <f>IFERROR(__xludf.DUMMYFUNCTION("""COMPUTED_VALUE"""),"equilibrium")</f>
        <v>equilibrium</v>
      </c>
      <c r="P1448" s="49" t="str">
        <f t="shared" si="2"/>
        <v>struck,</v>
      </c>
      <c r="Q1448" s="49"/>
      <c r="R1448" s="50" t="s">
        <v>70</v>
      </c>
      <c r="S1448" s="55" t="s">
        <v>2615</v>
      </c>
      <c r="T1448" s="49" t="str">
        <f>IFERROR(__xludf.DUMMYFUNCTION("""COMPUTED_VALUE"""),"conflict")</f>
        <v>conflict</v>
      </c>
      <c r="U1448" s="49"/>
      <c r="V1448" s="49"/>
      <c r="W1448" s="49" t="str">
        <f>IFERROR(__xludf.DUMMYFUNCTION("""COMPUTED_VALUE"""),"puzzled")</f>
        <v>puzzled</v>
      </c>
      <c r="X1448" s="49" t="str">
        <f t="shared" si="3"/>
        <v>demonstrates,</v>
      </c>
      <c r="Y1448" s="49"/>
      <c r="Z1448" s="1" t="s">
        <v>1402</v>
      </c>
      <c r="AA1448" s="1" t="s">
        <v>4543</v>
      </c>
      <c r="AB1448" s="49"/>
      <c r="AC1448" s="49"/>
      <c r="AD1448" s="49"/>
      <c r="AE1448" s="49" t="str">
        <f>IFERROR(__xludf.DUMMYFUNCTION("""COMPUTED_VALUE"""),"equilibrium")</f>
        <v>equilibrium</v>
      </c>
      <c r="AF1448" s="49" t="str">
        <f t="shared" si="4"/>
        <v>energy,</v>
      </c>
      <c r="AG1448" s="49"/>
      <c r="AH1448" s="1" t="s">
        <v>954</v>
      </c>
      <c r="AI1448" s="1" t="s">
        <v>6489</v>
      </c>
      <c r="AJ1448" s="6" t="str">
        <f>IFERROR(__xludf.DUMMYFUNCTION("""COMPUTED_VALUE"""),"prime")</f>
        <v>prime</v>
      </c>
      <c r="AK1448" s="49"/>
      <c r="AL1448" s="49"/>
      <c r="AM1448" s="49"/>
      <c r="AN1448" s="52" t="str">
        <f t="shared" si="5"/>
        <v>hear,</v>
      </c>
    </row>
    <row r="1449">
      <c r="A1449" s="51"/>
      <c r="B1449" s="50" t="s">
        <v>2741</v>
      </c>
      <c r="C1449" s="50" t="s">
        <v>3739</v>
      </c>
      <c r="D1449" s="49" t="str">
        <f>IFERROR(__xludf.DUMMYFUNCTION("""COMPUTED_VALUE"""),"sally")</f>
        <v>sally</v>
      </c>
      <c r="E1449" s="49"/>
      <c r="F1449" s="49"/>
      <c r="G1449" s="49"/>
      <c r="H1449" s="54" t="str">
        <f t="shared" si="1"/>
        <v>cheese,</v>
      </c>
      <c r="I1449" s="50"/>
      <c r="J1449" s="50" t="s">
        <v>4211</v>
      </c>
      <c r="K1449" s="50" t="s">
        <v>2720</v>
      </c>
      <c r="L1449" s="49" t="str">
        <f>IFERROR(__xludf.DUMMYFUNCTION("""COMPUTED_VALUE"""),"wooden")</f>
        <v>wooden</v>
      </c>
      <c r="M1449" s="49"/>
      <c r="N1449" s="49"/>
      <c r="O1449" s="49" t="str">
        <f>IFERROR(__xludf.DUMMYFUNCTION("""COMPUTED_VALUE"""),"engaged")</f>
        <v>engaged</v>
      </c>
      <c r="P1449" s="49" t="str">
        <f t="shared" si="2"/>
        <v>shots,</v>
      </c>
      <c r="Q1449" s="49"/>
      <c r="R1449" s="50" t="s">
        <v>5094</v>
      </c>
      <c r="S1449" s="55" t="s">
        <v>4353</v>
      </c>
      <c r="T1449" s="49" t="str">
        <f>IFERROR(__xludf.DUMMYFUNCTION("""COMPUTED_VALUE"""),"pat")</f>
        <v>pat</v>
      </c>
      <c r="U1449" s="49"/>
      <c r="V1449" s="49"/>
      <c r="W1449" s="49" t="str">
        <f>IFERROR(__xludf.DUMMYFUNCTION("""COMPUTED_VALUE"""),"fictional")</f>
        <v>fictional</v>
      </c>
      <c r="X1449" s="49" t="str">
        <f t="shared" si="3"/>
        <v>beacon,</v>
      </c>
      <c r="Y1449" s="49"/>
      <c r="Z1449" s="1" t="s">
        <v>3181</v>
      </c>
      <c r="AA1449" s="1" t="s">
        <v>3441</v>
      </c>
      <c r="AB1449" s="49"/>
      <c r="AC1449" s="49"/>
      <c r="AD1449" s="49"/>
      <c r="AE1449" s="49" t="str">
        <f>IFERROR(__xludf.DUMMYFUNCTION("""COMPUTED_VALUE"""),"engaged")</f>
        <v>engaged</v>
      </c>
      <c r="AF1449" s="49" t="str">
        <f t="shared" si="4"/>
        <v>fare,</v>
      </c>
      <c r="AG1449" s="49"/>
      <c r="AH1449" s="1" t="s">
        <v>3661</v>
      </c>
      <c r="AI1449" s="1" t="s">
        <v>4219</v>
      </c>
      <c r="AJ1449" s="6" t="str">
        <f>IFERROR(__xludf.DUMMYFUNCTION("""COMPUTED_VALUE"""),"dog")</f>
        <v>dog</v>
      </c>
      <c r="AK1449" s="49"/>
      <c r="AL1449" s="49"/>
      <c r="AM1449" s="49"/>
      <c r="AN1449" s="52" t="str">
        <f t="shared" si="5"/>
        <v>sense,</v>
      </c>
    </row>
    <row r="1450">
      <c r="A1450" s="51"/>
      <c r="B1450" s="50" t="s">
        <v>885</v>
      </c>
      <c r="C1450" s="50" t="s">
        <v>924</v>
      </c>
      <c r="D1450" s="49" t="str">
        <f>IFERROR(__xludf.DUMMYFUNCTION("""COMPUTED_VALUE"""),"strange")</f>
        <v>strange</v>
      </c>
      <c r="E1450" s="49"/>
      <c r="F1450" s="49"/>
      <c r="G1450" s="49"/>
      <c r="H1450" s="54" t="str">
        <f t="shared" si="1"/>
        <v>public,</v>
      </c>
      <c r="I1450" s="50"/>
      <c r="J1450" s="50" t="s">
        <v>3059</v>
      </c>
      <c r="K1450" s="50" t="s">
        <v>3721</v>
      </c>
      <c r="L1450" s="49" t="str">
        <f>IFERROR(__xludf.DUMMYFUNCTION("""COMPUTED_VALUE"""),"square")</f>
        <v>square</v>
      </c>
      <c r="M1450" s="49"/>
      <c r="N1450" s="49"/>
      <c r="O1450" s="49" t="str">
        <f>IFERROR(__xludf.DUMMYFUNCTION("""COMPUTED_VALUE"""),"calculating")</f>
        <v>calculating</v>
      </c>
      <c r="P1450" s="49" t="str">
        <f t="shared" si="2"/>
        <v>grew,</v>
      </c>
      <c r="Q1450" s="49"/>
      <c r="R1450" s="50" t="s">
        <v>5184</v>
      </c>
      <c r="S1450" s="55" t="s">
        <v>3867</v>
      </c>
      <c r="T1450" s="49" t="str">
        <f>IFERROR(__xludf.DUMMYFUNCTION("""COMPUTED_VALUE"""),"hades")</f>
        <v>hades</v>
      </c>
      <c r="U1450" s="49"/>
      <c r="V1450" s="49"/>
      <c r="W1450" s="49" t="str">
        <f>IFERROR(__xludf.DUMMYFUNCTION("""COMPUTED_VALUE"""),"roster")</f>
        <v>roster</v>
      </c>
      <c r="X1450" s="49" t="str">
        <f t="shared" si="3"/>
        <v>sacrifice,</v>
      </c>
      <c r="Y1450" s="49"/>
      <c r="Z1450" s="1" t="s">
        <v>1087</v>
      </c>
      <c r="AA1450" s="1" t="s">
        <v>1917</v>
      </c>
      <c r="AB1450" s="49"/>
      <c r="AC1450" s="49"/>
      <c r="AD1450" s="49"/>
      <c r="AE1450" s="49" t="str">
        <f>IFERROR(__xludf.DUMMYFUNCTION("""COMPUTED_VALUE"""),"calculating")</f>
        <v>calculating</v>
      </c>
      <c r="AF1450" s="49" t="str">
        <f t="shared" si="4"/>
        <v>proceedings,</v>
      </c>
      <c r="AG1450" s="49"/>
      <c r="AH1450" s="1" t="s">
        <v>6120</v>
      </c>
      <c r="AI1450" s="1" t="s">
        <v>6510</v>
      </c>
      <c r="AJ1450" s="6" t="str">
        <f>IFERROR(__xludf.DUMMYFUNCTION("""COMPUTED_VALUE"""),"dean")</f>
        <v>dean</v>
      </c>
      <c r="AK1450" s="49"/>
      <c r="AL1450" s="49"/>
      <c r="AM1450" s="49"/>
      <c r="AN1450" s="52" t="str">
        <f t="shared" si="5"/>
        <v>literature,</v>
      </c>
    </row>
    <row r="1451">
      <c r="A1451" s="51"/>
      <c r="B1451" s="50" t="s">
        <v>2534</v>
      </c>
      <c r="C1451" s="50" t="s">
        <v>1201</v>
      </c>
      <c r="D1451" s="49" t="str">
        <f>IFERROR(__xludf.DUMMYFUNCTION("""COMPUTED_VALUE"""),"knew")</f>
        <v>knew</v>
      </c>
      <c r="E1451" s="49"/>
      <c r="F1451" s="49"/>
      <c r="G1451" s="49"/>
      <c r="H1451" s="54" t="str">
        <f t="shared" si="1"/>
        <v>modern,</v>
      </c>
      <c r="I1451" s="50"/>
      <c r="J1451" s="50" t="s">
        <v>2891</v>
      </c>
      <c r="K1451" s="50" t="s">
        <v>4139</v>
      </c>
      <c r="L1451" s="49" t="str">
        <f>IFERROR(__xludf.DUMMYFUNCTION("""COMPUTED_VALUE"""),"21st")</f>
        <v>21st</v>
      </c>
      <c r="M1451" s="49"/>
      <c r="N1451" s="49"/>
      <c r="O1451" s="49" t="str">
        <f>IFERROR(__xludf.DUMMYFUNCTION("""COMPUTED_VALUE"""),"criticizing")</f>
        <v>criticizing</v>
      </c>
      <c r="P1451" s="49" t="str">
        <f t="shared" si="2"/>
        <v>herself,</v>
      </c>
      <c r="Q1451" s="49"/>
      <c r="R1451" s="50" t="s">
        <v>2870</v>
      </c>
      <c r="S1451" s="55" t="s">
        <v>2231</v>
      </c>
      <c r="T1451" s="49" t="str">
        <f>IFERROR(__xludf.DUMMYFUNCTION("""COMPUTED_VALUE"""),"substances")</f>
        <v>substances</v>
      </c>
      <c r="U1451" s="49"/>
      <c r="V1451" s="49"/>
      <c r="W1451" s="49" t="str">
        <f>IFERROR(__xludf.DUMMYFUNCTION("""COMPUTED_VALUE"""),"kathryn")</f>
        <v>kathryn</v>
      </c>
      <c r="X1451" s="49" t="str">
        <f t="shared" si="3"/>
        <v>mined,</v>
      </c>
      <c r="Y1451" s="49"/>
      <c r="Z1451" s="1" t="s">
        <v>1329</v>
      </c>
      <c r="AA1451" s="1" t="s">
        <v>4546</v>
      </c>
      <c r="AB1451" s="49"/>
      <c r="AC1451" s="49"/>
      <c r="AD1451" s="49"/>
      <c r="AE1451" s="49" t="str">
        <f>IFERROR(__xludf.DUMMYFUNCTION("""COMPUTED_VALUE"""),"criticizing")</f>
        <v>criticizing</v>
      </c>
      <c r="AF1451" s="49" t="str">
        <f t="shared" si="4"/>
        <v>sustain,</v>
      </c>
      <c r="AG1451" s="49"/>
      <c r="AH1451" s="1" t="s">
        <v>2218</v>
      </c>
      <c r="AI1451" s="1" t="s">
        <v>6511</v>
      </c>
      <c r="AJ1451" s="6" t="str">
        <f>IFERROR(__xludf.DUMMYFUNCTION("""COMPUTED_VALUE"""),"thousands")</f>
        <v>thousands</v>
      </c>
      <c r="AK1451" s="49"/>
      <c r="AL1451" s="49"/>
      <c r="AM1451" s="49"/>
      <c r="AN1451" s="52" t="str">
        <f t="shared" si="5"/>
        <v>taste,</v>
      </c>
    </row>
    <row r="1452">
      <c r="A1452" s="51"/>
      <c r="B1452" s="50" t="s">
        <v>954</v>
      </c>
      <c r="C1452" s="50" t="s">
        <v>6493</v>
      </c>
      <c r="D1452" s="49" t="str">
        <f>IFERROR(__xludf.DUMMYFUNCTION("""COMPUTED_VALUE"""),"possible")</f>
        <v>possible</v>
      </c>
      <c r="E1452" s="49"/>
      <c r="F1452" s="49"/>
      <c r="G1452" s="49"/>
      <c r="H1452" s="54" t="str">
        <f t="shared" si="1"/>
        <v>hear,</v>
      </c>
      <c r="I1452" s="50"/>
      <c r="J1452" s="50" t="s">
        <v>6976</v>
      </c>
      <c r="K1452" s="50" t="s">
        <v>318</v>
      </c>
      <c r="L1452" s="49" t="str">
        <f>IFERROR(__xludf.DUMMYFUNCTION("""COMPUTED_VALUE"""),"performed")</f>
        <v>performed</v>
      </c>
      <c r="M1452" s="49"/>
      <c r="N1452" s="49"/>
      <c r="O1452" s="49">
        <f>IFERROR(__xludf.DUMMYFUNCTION("""COMPUTED_VALUE"""),295.0)</f>
        <v>295</v>
      </c>
      <c r="P1452" s="49" t="str">
        <f t="shared" si="2"/>
        <v>pushed,</v>
      </c>
      <c r="Q1452" s="49"/>
      <c r="R1452" s="50" t="s">
        <v>3913</v>
      </c>
      <c r="S1452" s="55" t="s">
        <v>1359</v>
      </c>
      <c r="T1452" s="49" t="str">
        <f>IFERROR(__xludf.DUMMYFUNCTION("""COMPUTED_VALUE"""),"contempt")</f>
        <v>contempt</v>
      </c>
      <c r="U1452" s="49"/>
      <c r="V1452" s="49"/>
      <c r="W1452" s="49" t="str">
        <f>IFERROR(__xludf.DUMMYFUNCTION("""COMPUTED_VALUE"""),"kindness")</f>
        <v>kindness</v>
      </c>
      <c r="X1452" s="49" t="str">
        <f t="shared" si="3"/>
        <v>grace,</v>
      </c>
      <c r="Y1452" s="49"/>
      <c r="Z1452" s="1" t="s">
        <v>5471</v>
      </c>
      <c r="AA1452" s="1" t="s">
        <v>3639</v>
      </c>
      <c r="AB1452" s="49"/>
      <c r="AC1452" s="49"/>
      <c r="AD1452" s="49"/>
      <c r="AE1452" s="49">
        <f>IFERROR(__xludf.DUMMYFUNCTION("""COMPUTED_VALUE"""),295.0)</f>
        <v>295</v>
      </c>
      <c r="AF1452" s="49" t="str">
        <f t="shared" si="4"/>
        <v>material,</v>
      </c>
      <c r="AG1452" s="49"/>
      <c r="AH1452" s="1" t="s">
        <v>6463</v>
      </c>
      <c r="AI1452" s="1" t="s">
        <v>4221</v>
      </c>
      <c r="AJ1452" s="6" t="str">
        <f>IFERROR(__xludf.DUMMYFUNCTION("""COMPUTED_VALUE"""),"gotten")</f>
        <v>gotten</v>
      </c>
      <c r="AK1452" s="49"/>
      <c r="AL1452" s="49"/>
      <c r="AM1452" s="49"/>
      <c r="AN1452" s="52" t="str">
        <f t="shared" si="5"/>
        <v>ah,</v>
      </c>
    </row>
    <row r="1453">
      <c r="A1453" s="51"/>
      <c r="B1453" s="50" t="s">
        <v>3661</v>
      </c>
      <c r="C1453" s="50" t="s">
        <v>6480</v>
      </c>
      <c r="D1453" s="49" t="str">
        <f>IFERROR(__xludf.DUMMYFUNCTION("""COMPUTED_VALUE"""),"daily")</f>
        <v>daily</v>
      </c>
      <c r="E1453" s="49"/>
      <c r="F1453" s="49"/>
      <c r="G1453" s="49"/>
      <c r="H1453" s="54" t="str">
        <f t="shared" si="1"/>
        <v>sense,</v>
      </c>
      <c r="I1453" s="50"/>
      <c r="J1453" s="50" t="s">
        <v>5177</v>
      </c>
      <c r="K1453" s="50" t="s">
        <v>4278</v>
      </c>
      <c r="L1453" s="49" t="str">
        <f>IFERROR(__xludf.DUMMYFUNCTION("""COMPUTED_VALUE"""),"graduated")</f>
        <v>graduated</v>
      </c>
      <c r="M1453" s="49"/>
      <c r="N1453" s="49"/>
      <c r="O1453" s="49" t="str">
        <f>IFERROR(__xludf.DUMMYFUNCTION("""COMPUTED_VALUE"""),"turf")</f>
        <v>turf</v>
      </c>
      <c r="P1453" s="49" t="str">
        <f t="shared" si="2"/>
        <v>goth,</v>
      </c>
      <c r="Q1453" s="49"/>
      <c r="R1453" s="50" t="s">
        <v>6580</v>
      </c>
      <c r="S1453" s="55" t="s">
        <v>4366</v>
      </c>
      <c r="T1453" s="49" t="str">
        <f>IFERROR(__xludf.DUMMYFUNCTION("""COMPUTED_VALUE"""),"thoughtful")</f>
        <v>thoughtful</v>
      </c>
      <c r="U1453" s="49"/>
      <c r="V1453" s="49"/>
      <c r="W1453" s="49" t="str">
        <f>IFERROR(__xludf.DUMMYFUNCTION("""COMPUTED_VALUE"""),"gregory")</f>
        <v>gregory</v>
      </c>
      <c r="X1453" s="49" t="str">
        <f t="shared" si="3"/>
        <v>choice,</v>
      </c>
      <c r="Y1453" s="49"/>
      <c r="Z1453" s="1" t="s">
        <v>4102</v>
      </c>
      <c r="AA1453" s="1" t="s">
        <v>4549</v>
      </c>
      <c r="AB1453" s="49"/>
      <c r="AC1453" s="49"/>
      <c r="AD1453" s="49"/>
      <c r="AE1453" s="49" t="str">
        <f>IFERROR(__xludf.DUMMYFUNCTION("""COMPUTED_VALUE"""),"turf")</f>
        <v>turf</v>
      </c>
      <c r="AF1453" s="49" t="str">
        <f t="shared" si="4"/>
        <v>learn,</v>
      </c>
      <c r="AG1453" s="49"/>
      <c r="AH1453" s="1" t="s">
        <v>2327</v>
      </c>
      <c r="AI1453" s="1" t="s">
        <v>4224</v>
      </c>
      <c r="AJ1453" s="6" t="str">
        <f>IFERROR(__xludf.DUMMYFUNCTION("""COMPUTED_VALUE"""),"welcome")</f>
        <v>welcome</v>
      </c>
      <c r="AK1453" s="49"/>
      <c r="AL1453" s="49"/>
      <c r="AM1453" s="49"/>
      <c r="AN1453" s="52" t="str">
        <f t="shared" si="5"/>
        <v>load,</v>
      </c>
    </row>
    <row r="1454">
      <c r="A1454" s="51"/>
      <c r="B1454" s="50" t="s">
        <v>6120</v>
      </c>
      <c r="C1454" s="50" t="s">
        <v>2561</v>
      </c>
      <c r="D1454" s="49" t="str">
        <f>IFERROR(__xludf.DUMMYFUNCTION("""COMPUTED_VALUE"""),"anderson")</f>
        <v>anderson</v>
      </c>
      <c r="E1454" s="49"/>
      <c r="F1454" s="49"/>
      <c r="G1454" s="49"/>
      <c r="H1454" s="54" t="str">
        <f t="shared" si="1"/>
        <v>literature,</v>
      </c>
      <c r="I1454" s="50"/>
      <c r="J1454" s="50" t="s">
        <v>4577</v>
      </c>
      <c r="K1454" s="50" t="s">
        <v>2729</v>
      </c>
      <c r="L1454" s="49" t="str">
        <f>IFERROR(__xludf.DUMMYFUNCTION("""COMPUTED_VALUE"""),"album")</f>
        <v>album</v>
      </c>
      <c r="M1454" s="49"/>
      <c r="N1454" s="49"/>
      <c r="O1454" s="49" t="str">
        <f>IFERROR(__xludf.DUMMYFUNCTION("""COMPUTED_VALUE"""),"amassed")</f>
        <v>amassed</v>
      </c>
      <c r="P1454" s="49" t="str">
        <f t="shared" si="2"/>
        <v>barry,</v>
      </c>
      <c r="Q1454" s="49"/>
      <c r="R1454" s="50" t="s">
        <v>3620</v>
      </c>
      <c r="S1454" s="55" t="s">
        <v>4251</v>
      </c>
      <c r="T1454" s="49" t="str">
        <f>IFERROR(__xludf.DUMMYFUNCTION("""COMPUTED_VALUE"""),"homosexual")</f>
        <v>homosexual</v>
      </c>
      <c r="U1454" s="49"/>
      <c r="V1454" s="49"/>
      <c r="W1454" s="49" t="str">
        <f>IFERROR(__xludf.DUMMYFUNCTION("""COMPUTED_VALUE"""),"velocity")</f>
        <v>velocity</v>
      </c>
      <c r="X1454" s="49" t="str">
        <f t="shared" si="3"/>
        <v>hospital,</v>
      </c>
      <c r="Y1454" s="49"/>
      <c r="Z1454" s="1" t="s">
        <v>975</v>
      </c>
      <c r="AA1454" s="1" t="s">
        <v>4551</v>
      </c>
      <c r="AB1454" s="49"/>
      <c r="AC1454" s="49"/>
      <c r="AD1454" s="49"/>
      <c r="AE1454" s="49" t="str">
        <f>IFERROR(__xludf.DUMMYFUNCTION("""COMPUTED_VALUE"""),"amassed")</f>
        <v>amassed</v>
      </c>
      <c r="AF1454" s="49" t="str">
        <f t="shared" si="4"/>
        <v>bite,</v>
      </c>
      <c r="AG1454" s="49"/>
      <c r="AH1454" s="1" t="s">
        <v>3269</v>
      </c>
      <c r="AI1454" s="1" t="s">
        <v>4230</v>
      </c>
      <c r="AJ1454" s="6" t="str">
        <f>IFERROR(__xludf.DUMMYFUNCTION("""COMPUTED_VALUE"""),"elsewhere")</f>
        <v>elsewhere</v>
      </c>
      <c r="AK1454" s="49"/>
      <c r="AL1454" s="49"/>
      <c r="AM1454" s="49"/>
      <c r="AN1454" s="52" t="str">
        <f t="shared" si="5"/>
        <v>host,</v>
      </c>
    </row>
    <row r="1455">
      <c r="A1455" s="51"/>
      <c r="B1455" s="50" t="s">
        <v>2218</v>
      </c>
      <c r="C1455" s="50" t="s">
        <v>3313</v>
      </c>
      <c r="D1455" s="49" t="str">
        <f>IFERROR(__xludf.DUMMYFUNCTION("""COMPUTED_VALUE"""),"calm")</f>
        <v>calm</v>
      </c>
      <c r="E1455" s="49"/>
      <c r="F1455" s="49"/>
      <c r="G1455" s="49"/>
      <c r="H1455" s="54" t="str">
        <f t="shared" si="1"/>
        <v>taste,</v>
      </c>
      <c r="I1455" s="50"/>
      <c r="J1455" s="50" t="s">
        <v>4557</v>
      </c>
      <c r="K1455" s="50" t="s">
        <v>4555</v>
      </c>
      <c r="L1455" s="49" t="str">
        <f>IFERROR(__xludf.DUMMYFUNCTION("""COMPUTED_VALUE"""),"fires")</f>
        <v>fires</v>
      </c>
      <c r="M1455" s="49"/>
      <c r="N1455" s="49"/>
      <c r="O1455" s="49" t="str">
        <f>IFERROR(__xludf.DUMMYFUNCTION("""COMPUTED_VALUE"""),"curiously")</f>
        <v>curiously</v>
      </c>
      <c r="P1455" s="49" t="str">
        <f t="shared" si="2"/>
        <v>tricks,</v>
      </c>
      <c r="Q1455" s="49"/>
      <c r="R1455" s="50" t="s">
        <v>4488</v>
      </c>
      <c r="S1455" s="55" t="s">
        <v>1367</v>
      </c>
      <c r="T1455" s="49" t="str">
        <f>IFERROR(__xludf.DUMMYFUNCTION("""COMPUTED_VALUE"""),"starving")</f>
        <v>starving</v>
      </c>
      <c r="U1455" s="49"/>
      <c r="V1455" s="49"/>
      <c r="W1455" s="49" t="str">
        <f>IFERROR(__xludf.DUMMYFUNCTION("""COMPUTED_VALUE"""),"stroke")</f>
        <v>stroke</v>
      </c>
      <c r="X1455" s="49" t="str">
        <f t="shared" si="3"/>
        <v>fit,</v>
      </c>
      <c r="Y1455" s="49"/>
      <c r="Z1455" s="1" t="s">
        <v>967</v>
      </c>
      <c r="AA1455" s="1" t="s">
        <v>1889</v>
      </c>
      <c r="AB1455" s="49"/>
      <c r="AC1455" s="49"/>
      <c r="AD1455" s="49"/>
      <c r="AE1455" s="49" t="str">
        <f>IFERROR(__xludf.DUMMYFUNCTION("""COMPUTED_VALUE"""),"curiously")</f>
        <v>curiously</v>
      </c>
      <c r="AF1455" s="49" t="str">
        <f t="shared" si="4"/>
        <v>shot,</v>
      </c>
      <c r="AG1455" s="49"/>
      <c r="AH1455" s="1" t="s">
        <v>2875</v>
      </c>
      <c r="AI1455" s="1" t="s">
        <v>578</v>
      </c>
      <c r="AJ1455" s="6" t="str">
        <f>IFERROR(__xludf.DUMMYFUNCTION("""COMPUTED_VALUE"""),"oscar")</f>
        <v>oscar</v>
      </c>
      <c r="AK1455" s="49"/>
      <c r="AL1455" s="49"/>
      <c r="AM1455" s="49"/>
      <c r="AN1455" s="52" t="str">
        <f t="shared" si="5"/>
        <v>strength,</v>
      </c>
    </row>
    <row r="1456">
      <c r="A1456" s="51"/>
      <c r="B1456" s="50" t="s">
        <v>6463</v>
      </c>
      <c r="C1456" s="50" t="s">
        <v>2393</v>
      </c>
      <c r="D1456" s="49" t="str">
        <f>IFERROR(__xludf.DUMMYFUNCTION("""COMPUTED_VALUE"""),"rises")</f>
        <v>rises</v>
      </c>
      <c r="E1456" s="49"/>
      <c r="F1456" s="49"/>
      <c r="G1456" s="49"/>
      <c r="H1456" s="54" t="str">
        <f t="shared" si="1"/>
        <v>ah,</v>
      </c>
      <c r="I1456" s="50"/>
      <c r="J1456" s="50" t="s">
        <v>2717</v>
      </c>
      <c r="K1456" s="50" t="s">
        <v>4066</v>
      </c>
      <c r="L1456" s="49" t="str">
        <f>IFERROR(__xludf.DUMMYFUNCTION("""COMPUTED_VALUE"""),"telescope")</f>
        <v>telescope</v>
      </c>
      <c r="M1456" s="49"/>
      <c r="N1456" s="49"/>
      <c r="O1456" s="49" t="str">
        <f>IFERROR(__xludf.DUMMYFUNCTION("""COMPUTED_VALUE"""),"luther")</f>
        <v>luther</v>
      </c>
      <c r="P1456" s="49" t="str">
        <f t="shared" si="2"/>
        <v>mayhem,</v>
      </c>
      <c r="Q1456" s="49"/>
      <c r="R1456" s="50" t="s">
        <v>3105</v>
      </c>
      <c r="S1456" s="55" t="s">
        <v>1312</v>
      </c>
      <c r="T1456" s="49" t="str">
        <f>IFERROR(__xludf.DUMMYFUNCTION("""COMPUTED_VALUE"""),"dickens")</f>
        <v>dickens</v>
      </c>
      <c r="U1456" s="49"/>
      <c r="V1456" s="49"/>
      <c r="W1456" s="49" t="str">
        <f>IFERROR(__xludf.DUMMYFUNCTION("""COMPUTED_VALUE"""),"ryder")</f>
        <v>ryder</v>
      </c>
      <c r="X1456" s="49" t="str">
        <f t="shared" si="3"/>
        <v>corner,</v>
      </c>
      <c r="Y1456" s="49"/>
      <c r="Z1456" s="1" t="s">
        <v>904</v>
      </c>
      <c r="AA1456" s="1" t="s">
        <v>3446</v>
      </c>
      <c r="AB1456" s="49"/>
      <c r="AC1456" s="49"/>
      <c r="AD1456" s="49"/>
      <c r="AE1456" s="49" t="str">
        <f>IFERROR(__xludf.DUMMYFUNCTION("""COMPUTED_VALUE"""),"luther")</f>
        <v>luther</v>
      </c>
      <c r="AF1456" s="49" t="str">
        <f t="shared" si="4"/>
        <v>chemistry,</v>
      </c>
      <c r="AG1456" s="49"/>
      <c r="AH1456" s="1" t="s">
        <v>3666</v>
      </c>
      <c r="AI1456" s="1" t="s">
        <v>2112</v>
      </c>
      <c r="AJ1456" s="6" t="str">
        <f>IFERROR(__xludf.DUMMYFUNCTION("""COMPUTED_VALUE"""),"wide")</f>
        <v>wide</v>
      </c>
      <c r="AK1456" s="49"/>
      <c r="AL1456" s="49"/>
      <c r="AM1456" s="49"/>
      <c r="AN1456" s="52" t="str">
        <f t="shared" si="5"/>
        <v>thick,</v>
      </c>
    </row>
    <row r="1457">
      <c r="A1457" s="51"/>
      <c r="B1457" s="50" t="s">
        <v>2327</v>
      </c>
      <c r="C1457" s="50" t="s">
        <v>6481</v>
      </c>
      <c r="D1457" s="49" t="str">
        <f>IFERROR(__xludf.DUMMYFUNCTION("""COMPUTED_VALUE"""),"harry")</f>
        <v>harry</v>
      </c>
      <c r="E1457" s="49"/>
      <c r="F1457" s="49"/>
      <c r="G1457" s="49"/>
      <c r="H1457" s="54" t="str">
        <f t="shared" si="1"/>
        <v>load,</v>
      </c>
      <c r="I1457" s="50"/>
      <c r="J1457" s="50" t="s">
        <v>3495</v>
      </c>
      <c r="K1457" s="50" t="s">
        <v>4557</v>
      </c>
      <c r="L1457" s="49" t="str">
        <f>IFERROR(__xludf.DUMMYFUNCTION("""COMPUTED_VALUE"""),"gravity")</f>
        <v>gravity</v>
      </c>
      <c r="M1457" s="49"/>
      <c r="N1457" s="49"/>
      <c r="O1457" s="49" t="str">
        <f>IFERROR(__xludf.DUMMYFUNCTION("""COMPUTED_VALUE"""),"doctorate")</f>
        <v>doctorate</v>
      </c>
      <c r="P1457" s="49" t="str">
        <f t="shared" si="2"/>
        <v>inevitable,</v>
      </c>
      <c r="Q1457" s="49"/>
      <c r="R1457" s="50" t="s">
        <v>5047</v>
      </c>
      <c r="S1457" s="55" t="s">
        <v>3887</v>
      </c>
      <c r="T1457" s="49" t="str">
        <f>IFERROR(__xludf.DUMMYFUNCTION("""COMPUTED_VALUE"""),"anonymous")</f>
        <v>anonymous</v>
      </c>
      <c r="U1457" s="49"/>
      <c r="V1457" s="49"/>
      <c r="W1457" s="49" t="str">
        <f>IFERROR(__xludf.DUMMYFUNCTION("""COMPUTED_VALUE"""),"conrad")</f>
        <v>conrad</v>
      </c>
      <c r="X1457" s="49" t="str">
        <f t="shared" si="3"/>
        <v>expects,</v>
      </c>
      <c r="Y1457" s="49"/>
      <c r="Z1457" s="1" t="s">
        <v>2229</v>
      </c>
      <c r="AA1457" s="1" t="s">
        <v>3449</v>
      </c>
      <c r="AB1457" s="49"/>
      <c r="AC1457" s="49"/>
      <c r="AD1457" s="49"/>
      <c r="AE1457" s="49" t="str">
        <f>IFERROR(__xludf.DUMMYFUNCTION("""COMPUTED_VALUE"""),"doctorate")</f>
        <v>doctorate</v>
      </c>
      <c r="AF1457" s="49" t="str">
        <f t="shared" si="4"/>
        <v>gifted,</v>
      </c>
      <c r="AG1457" s="49"/>
      <c r="AH1457" s="1" t="s">
        <v>284</v>
      </c>
      <c r="AI1457" s="1" t="s">
        <v>6512</v>
      </c>
      <c r="AJ1457" s="6" t="str">
        <f>IFERROR(__xludf.DUMMYFUNCTION("""COMPUTED_VALUE"""),"greater")</f>
        <v>greater</v>
      </c>
      <c r="AK1457" s="49"/>
      <c r="AL1457" s="49"/>
      <c r="AM1457" s="49"/>
      <c r="AN1457" s="52" t="str">
        <f t="shared" si="5"/>
        <v>theme,</v>
      </c>
    </row>
    <row r="1458">
      <c r="A1458" s="51"/>
      <c r="B1458" s="50" t="s">
        <v>1587</v>
      </c>
      <c r="C1458" s="50" t="s">
        <v>6495</v>
      </c>
      <c r="D1458" s="49" t="str">
        <f>IFERROR(__xludf.DUMMYFUNCTION("""COMPUTED_VALUE"""),"loyal")</f>
        <v>loyal</v>
      </c>
      <c r="E1458" s="49"/>
      <c r="F1458" s="49"/>
      <c r="G1458" s="49"/>
      <c r="H1458" s="54" t="str">
        <f t="shared" si="1"/>
        <v>shakespeare,</v>
      </c>
      <c r="I1458" s="50"/>
      <c r="J1458" s="50" t="s">
        <v>3464</v>
      </c>
      <c r="K1458" s="50" t="s">
        <v>4558</v>
      </c>
      <c r="L1458" s="49" t="str">
        <f>IFERROR(__xludf.DUMMYFUNCTION("""COMPUTED_VALUE"""),"enables")</f>
        <v>enables</v>
      </c>
      <c r="M1458" s="49"/>
      <c r="N1458" s="49"/>
      <c r="O1458" s="49" t="str">
        <f>IFERROR(__xludf.DUMMYFUNCTION("""COMPUTED_VALUE"""),"analytical")</f>
        <v>analytical</v>
      </c>
      <c r="P1458" s="49" t="str">
        <f t="shared" si="2"/>
        <v>technique,</v>
      </c>
      <c r="Q1458" s="49"/>
      <c r="R1458" s="50" t="s">
        <v>2804</v>
      </c>
      <c r="S1458" s="55" t="s">
        <v>1375</v>
      </c>
      <c r="T1458" s="49" t="str">
        <f>IFERROR(__xludf.DUMMYFUNCTION("""COMPUTED_VALUE"""),"pun")</f>
        <v>pun</v>
      </c>
      <c r="U1458" s="49"/>
      <c r="V1458" s="49"/>
      <c r="W1458" s="49" t="str">
        <f>IFERROR(__xludf.DUMMYFUNCTION("""COMPUTED_VALUE"""),"ardent")</f>
        <v>ardent</v>
      </c>
      <c r="X1458" s="49" t="str">
        <f t="shared" si="3"/>
        <v>bond,</v>
      </c>
      <c r="Y1458" s="49"/>
      <c r="Z1458" s="1" t="s">
        <v>3134</v>
      </c>
      <c r="AA1458" s="1" t="s">
        <v>3075</v>
      </c>
      <c r="AB1458" s="49"/>
      <c r="AC1458" s="49"/>
      <c r="AD1458" s="49"/>
      <c r="AE1458" s="49" t="str">
        <f>IFERROR(__xludf.DUMMYFUNCTION("""COMPUTED_VALUE"""),"analytical")</f>
        <v>analytical</v>
      </c>
      <c r="AF1458" s="49" t="str">
        <f t="shared" si="4"/>
        <v>abandon,</v>
      </c>
      <c r="AG1458" s="49"/>
      <c r="AH1458" s="1" t="s">
        <v>6361</v>
      </c>
      <c r="AI1458" s="1" t="s">
        <v>3728</v>
      </c>
      <c r="AJ1458" s="6" t="str">
        <f>IFERROR(__xludf.DUMMYFUNCTION("""COMPUTED_VALUE"""),"attempted")</f>
        <v>attempted</v>
      </c>
      <c r="AK1458" s="49"/>
      <c r="AL1458" s="49"/>
      <c r="AM1458" s="49"/>
      <c r="AN1458" s="52" t="str">
        <f t="shared" si="5"/>
        <v>plenty,</v>
      </c>
    </row>
    <row r="1459">
      <c r="A1459" s="51"/>
      <c r="B1459" s="50" t="s">
        <v>5057</v>
      </c>
      <c r="C1459" s="50" t="s">
        <v>2483</v>
      </c>
      <c r="D1459" s="49" t="str">
        <f>IFERROR(__xludf.DUMMYFUNCTION("""COMPUTED_VALUE"""),"ian")</f>
        <v>ian</v>
      </c>
      <c r="E1459" s="49"/>
      <c r="F1459" s="49"/>
      <c r="G1459" s="49"/>
      <c r="H1459" s="54" t="str">
        <f t="shared" si="1"/>
        <v>kenneth,</v>
      </c>
      <c r="I1459" s="50"/>
      <c r="J1459" s="50" t="s">
        <v>262</v>
      </c>
      <c r="K1459" s="50" t="s">
        <v>4068</v>
      </c>
      <c r="L1459" s="49" t="str">
        <f>IFERROR(__xludf.DUMMYFUNCTION("""COMPUTED_VALUE"""),"conventions")</f>
        <v>conventions</v>
      </c>
      <c r="M1459" s="49"/>
      <c r="N1459" s="49"/>
      <c r="O1459" s="49" t="str">
        <f>IFERROR(__xludf.DUMMYFUNCTION("""COMPUTED_VALUE"""),"transforms")</f>
        <v>transforms</v>
      </c>
      <c r="P1459" s="49" t="str">
        <f t="shared" si="2"/>
        <v>advantage,</v>
      </c>
      <c r="Q1459" s="49"/>
      <c r="R1459" s="50" t="s">
        <v>1521</v>
      </c>
      <c r="S1459" s="55" t="s">
        <v>3889</v>
      </c>
      <c r="T1459" s="49" t="str">
        <f>IFERROR(__xludf.DUMMYFUNCTION("""COMPUTED_VALUE"""),"startling")</f>
        <v>startling</v>
      </c>
      <c r="U1459" s="49"/>
      <c r="V1459" s="49"/>
      <c r="W1459" s="49" t="str">
        <f>IFERROR(__xludf.DUMMYFUNCTION("""COMPUTED_VALUE"""),"pivotal")</f>
        <v>pivotal</v>
      </c>
      <c r="X1459" s="49" t="str">
        <f t="shared" si="3"/>
        <v>assassin,</v>
      </c>
      <c r="Y1459" s="49"/>
      <c r="Z1459" s="1" t="s">
        <v>4298</v>
      </c>
      <c r="AA1459" s="1" t="s">
        <v>1893</v>
      </c>
      <c r="AB1459" s="49"/>
      <c r="AC1459" s="49"/>
      <c r="AD1459" s="49"/>
      <c r="AE1459" s="49" t="str">
        <f>IFERROR(__xludf.DUMMYFUNCTION("""COMPUTED_VALUE"""),"transforms")</f>
        <v>transforms</v>
      </c>
      <c r="AF1459" s="49" t="str">
        <f t="shared" si="4"/>
        <v>range,</v>
      </c>
      <c r="AG1459" s="49"/>
      <c r="AH1459" s="1" t="s">
        <v>4299</v>
      </c>
      <c r="AI1459" s="1" t="s">
        <v>4228</v>
      </c>
      <c r="AJ1459" s="6" t="str">
        <f>IFERROR(__xludf.DUMMYFUNCTION("""COMPUTED_VALUE"""),"web")</f>
        <v>web</v>
      </c>
      <c r="AK1459" s="49"/>
      <c r="AL1459" s="49"/>
      <c r="AM1459" s="49"/>
      <c r="AN1459" s="52" t="str">
        <f t="shared" si="5"/>
        <v>begin,</v>
      </c>
    </row>
    <row r="1460">
      <c r="A1460" s="51"/>
      <c r="B1460" s="50" t="s">
        <v>175</v>
      </c>
      <c r="C1460" s="50" t="s">
        <v>4207</v>
      </c>
      <c r="D1460" s="49" t="str">
        <f>IFERROR(__xludf.DUMMYFUNCTION("""COMPUTED_VALUE"""),"hearts")</f>
        <v>hearts</v>
      </c>
      <c r="E1460" s="49"/>
      <c r="F1460" s="49"/>
      <c r="G1460" s="49"/>
      <c r="H1460" s="54" t="str">
        <f t="shared" si="1"/>
        <v>wisdom,</v>
      </c>
      <c r="I1460" s="50"/>
      <c r="J1460" s="50" t="s">
        <v>2646</v>
      </c>
      <c r="K1460" s="50" t="s">
        <v>1896</v>
      </c>
      <c r="L1460" s="49" t="str">
        <f>IFERROR(__xludf.DUMMYFUNCTION("""COMPUTED_VALUE"""),"tactics")</f>
        <v>tactics</v>
      </c>
      <c r="M1460" s="49"/>
      <c r="N1460" s="49"/>
      <c r="O1460" s="49" t="str">
        <f>IFERROR(__xludf.DUMMYFUNCTION("""COMPUTED_VALUE"""),"undertaking")</f>
        <v>undertaking</v>
      </c>
      <c r="P1460" s="49" t="str">
        <f t="shared" si="2"/>
        <v>master,</v>
      </c>
      <c r="Q1460" s="49"/>
      <c r="R1460" s="50" t="s">
        <v>865</v>
      </c>
      <c r="S1460" s="55" t="s">
        <v>4378</v>
      </c>
      <c r="T1460" s="49" t="str">
        <f>IFERROR(__xludf.DUMMYFUNCTION("""COMPUTED_VALUE"""),"smooth")</f>
        <v>smooth</v>
      </c>
      <c r="U1460" s="49"/>
      <c r="V1460" s="49"/>
      <c r="W1460" s="49" t="str">
        <f>IFERROR(__xludf.DUMMYFUNCTION("""COMPUTED_VALUE"""),"comparisons")</f>
        <v>comparisons</v>
      </c>
      <c r="X1460" s="49" t="str">
        <f t="shared" si="3"/>
        <v>superb,</v>
      </c>
      <c r="Y1460" s="49"/>
      <c r="Z1460" s="1" t="s">
        <v>1066</v>
      </c>
      <c r="AA1460" s="1" t="s">
        <v>1172</v>
      </c>
      <c r="AB1460" s="49"/>
      <c r="AC1460" s="49"/>
      <c r="AD1460" s="49"/>
      <c r="AE1460" s="49" t="str">
        <f>IFERROR(__xludf.DUMMYFUNCTION("""COMPUTED_VALUE"""),"undertaking")</f>
        <v>undertaking</v>
      </c>
      <c r="AF1460" s="49" t="str">
        <f t="shared" si="4"/>
        <v>sensual,</v>
      </c>
      <c r="AG1460" s="49"/>
      <c r="AH1460" s="1" t="s">
        <v>6549</v>
      </c>
      <c r="AI1460" s="1" t="s">
        <v>1059</v>
      </c>
      <c r="AJ1460" s="6" t="str">
        <f>IFERROR(__xludf.DUMMYFUNCTION("""COMPUTED_VALUE"""),"anymore")</f>
        <v>anymore</v>
      </c>
      <c r="AK1460" s="49"/>
      <c r="AL1460" s="49"/>
      <c r="AM1460" s="49"/>
      <c r="AN1460" s="52" t="str">
        <f t="shared" si="5"/>
        <v>falling,</v>
      </c>
    </row>
    <row r="1461">
      <c r="A1461" s="51"/>
      <c r="B1461" s="50" t="s">
        <v>3269</v>
      </c>
      <c r="C1461" s="50" t="s">
        <v>4292</v>
      </c>
      <c r="D1461" s="49" t="str">
        <f>IFERROR(__xludf.DUMMYFUNCTION("""COMPUTED_VALUE"""),"minds")</f>
        <v>minds</v>
      </c>
      <c r="E1461" s="49"/>
      <c r="F1461" s="49"/>
      <c r="G1461" s="49"/>
      <c r="H1461" s="54" t="str">
        <f t="shared" si="1"/>
        <v>host,</v>
      </c>
      <c r="I1461" s="50"/>
      <c r="J1461" s="50" t="s">
        <v>233</v>
      </c>
      <c r="K1461" s="50" t="s">
        <v>2738</v>
      </c>
      <c r="L1461" s="49" t="str">
        <f>IFERROR(__xludf.DUMMYFUNCTION("""COMPUTED_VALUE"""),"amazement")</f>
        <v>amazement</v>
      </c>
      <c r="M1461" s="49"/>
      <c r="N1461" s="49"/>
      <c r="O1461" s="49" t="str">
        <f>IFERROR(__xludf.DUMMYFUNCTION("""COMPUTED_VALUE"""),"insane")</f>
        <v>insane</v>
      </c>
      <c r="P1461" s="49" t="str">
        <f t="shared" si="2"/>
        <v>spirits,</v>
      </c>
      <c r="Q1461" s="49"/>
      <c r="R1461" s="50" t="s">
        <v>2460</v>
      </c>
      <c r="S1461" s="55" t="s">
        <v>6513</v>
      </c>
      <c r="T1461" s="49" t="str">
        <f>IFERROR(__xludf.DUMMYFUNCTION("""COMPUTED_VALUE"""),"socially")</f>
        <v>socially</v>
      </c>
      <c r="U1461" s="49"/>
      <c r="V1461" s="49"/>
      <c r="W1461" s="49" t="str">
        <f>IFERROR(__xludf.DUMMYFUNCTION("""COMPUTED_VALUE"""),"followers")</f>
        <v>followers</v>
      </c>
      <c r="X1461" s="49" t="str">
        <f t="shared" si="3"/>
        <v>comics,</v>
      </c>
      <c r="Y1461" s="49"/>
      <c r="Z1461" s="1" t="s">
        <v>4485</v>
      </c>
      <c r="AA1461" s="1" t="s">
        <v>3085</v>
      </c>
      <c r="AB1461" s="49"/>
      <c r="AC1461" s="49"/>
      <c r="AD1461" s="49"/>
      <c r="AE1461" s="49" t="str">
        <f>IFERROR(__xludf.DUMMYFUNCTION("""COMPUTED_VALUE"""),"insane")</f>
        <v>insane</v>
      </c>
      <c r="AF1461" s="49" t="str">
        <f t="shared" si="4"/>
        <v>spent,</v>
      </c>
      <c r="AG1461" s="49"/>
      <c r="AH1461" s="1" t="s">
        <v>2981</v>
      </c>
      <c r="AI1461" s="1" t="s">
        <v>2586</v>
      </c>
      <c r="AJ1461" s="6" t="str">
        <f>IFERROR(__xludf.DUMMYFUNCTION("""COMPUTED_VALUE"""),"guilty")</f>
        <v>guilty</v>
      </c>
      <c r="AK1461" s="49"/>
      <c r="AL1461" s="49"/>
      <c r="AM1461" s="49"/>
      <c r="AN1461" s="52" t="str">
        <f t="shared" si="5"/>
        <v>passes,</v>
      </c>
    </row>
    <row r="1462">
      <c r="A1462" s="51"/>
      <c r="B1462" s="50" t="s">
        <v>2875</v>
      </c>
      <c r="C1462" s="50" t="s">
        <v>733</v>
      </c>
      <c r="D1462" s="49" t="str">
        <f>IFERROR(__xludf.DUMMYFUNCTION("""COMPUTED_VALUE"""),"talking")</f>
        <v>talking</v>
      </c>
      <c r="E1462" s="49"/>
      <c r="F1462" s="49"/>
      <c r="G1462" s="49"/>
      <c r="H1462" s="54" t="str">
        <f t="shared" si="1"/>
        <v>strength,</v>
      </c>
      <c r="I1462" s="50"/>
      <c r="J1462" s="50" t="s">
        <v>2186</v>
      </c>
      <c r="K1462" s="50" t="s">
        <v>4563</v>
      </c>
      <c r="L1462" s="49" t="str">
        <f>IFERROR(__xludf.DUMMYFUNCTION("""COMPUTED_VALUE"""),"loyal")</f>
        <v>loyal</v>
      </c>
      <c r="M1462" s="49"/>
      <c r="N1462" s="49"/>
      <c r="O1462" s="49" t="str">
        <f>IFERROR(__xludf.DUMMYFUNCTION("""COMPUTED_VALUE"""),"competing")</f>
        <v>competing</v>
      </c>
      <c r="P1462" s="49" t="str">
        <f t="shared" si="2"/>
        <v>pulls,</v>
      </c>
      <c r="Q1462" s="49"/>
      <c r="R1462" s="50" t="s">
        <v>7382</v>
      </c>
      <c r="S1462" s="55" t="s">
        <v>1281</v>
      </c>
      <c r="T1462" s="49" t="str">
        <f>IFERROR(__xludf.DUMMYFUNCTION("""COMPUTED_VALUE"""),"sides")</f>
        <v>sides</v>
      </c>
      <c r="U1462" s="49"/>
      <c r="V1462" s="49"/>
      <c r="W1462" s="49" t="str">
        <f>IFERROR(__xludf.DUMMYFUNCTION("""COMPUTED_VALUE"""),"coupling")</f>
        <v>coupling</v>
      </c>
      <c r="X1462" s="49" t="str">
        <f t="shared" si="3"/>
        <v>cape,</v>
      </c>
      <c r="Y1462" s="49"/>
      <c r="Z1462" s="1" t="s">
        <v>2623</v>
      </c>
      <c r="AA1462" s="1" t="s">
        <v>4562</v>
      </c>
      <c r="AB1462" s="49"/>
      <c r="AC1462" s="49"/>
      <c r="AD1462" s="49"/>
      <c r="AE1462" s="49" t="str">
        <f>IFERROR(__xludf.DUMMYFUNCTION("""COMPUTED_VALUE"""),"competing")</f>
        <v>competing</v>
      </c>
      <c r="AF1462" s="49" t="str">
        <f t="shared" si="4"/>
        <v>suitable,</v>
      </c>
      <c r="AG1462" s="49"/>
      <c r="AH1462" s="1" t="s">
        <v>7383</v>
      </c>
      <c r="AI1462" s="1" t="s">
        <v>6400</v>
      </c>
      <c r="AJ1462" s="6" t="str">
        <f>IFERROR(__xludf.DUMMYFUNCTION("""COMPUTED_VALUE"""),"frequent")</f>
        <v>frequent</v>
      </c>
      <c r="AK1462" s="49"/>
      <c r="AL1462" s="49"/>
      <c r="AM1462" s="49"/>
      <c r="AN1462" s="52" t="str">
        <f t="shared" si="5"/>
        <v>establish,</v>
      </c>
    </row>
    <row r="1463">
      <c r="A1463" s="51"/>
      <c r="B1463" s="50" t="s">
        <v>7174</v>
      </c>
      <c r="C1463" s="50" t="s">
        <v>2490</v>
      </c>
      <c r="D1463" s="49" t="str">
        <f>IFERROR(__xludf.DUMMYFUNCTION("""COMPUTED_VALUE"""),"justice")</f>
        <v>justice</v>
      </c>
      <c r="E1463" s="49"/>
      <c r="F1463" s="49"/>
      <c r="G1463" s="49"/>
      <c r="H1463" s="54" t="str">
        <f t="shared" si="1"/>
        <v>types,</v>
      </c>
      <c r="I1463" s="50"/>
      <c r="J1463" s="50" t="s">
        <v>5100</v>
      </c>
      <c r="K1463" s="50" t="s">
        <v>2868</v>
      </c>
      <c r="L1463" s="49" t="str">
        <f>IFERROR(__xludf.DUMMYFUNCTION("""COMPUTED_VALUE"""),"liberal")</f>
        <v>liberal</v>
      </c>
      <c r="M1463" s="49"/>
      <c r="N1463" s="49"/>
      <c r="O1463" s="49" t="str">
        <f>IFERROR(__xludf.DUMMYFUNCTION("""COMPUTED_VALUE"""),"neutral")</f>
        <v>neutral</v>
      </c>
      <c r="P1463" s="49" t="str">
        <f t="shared" si="2"/>
        <v>detailed,</v>
      </c>
      <c r="Q1463" s="49"/>
      <c r="R1463" s="50" t="s">
        <v>2183</v>
      </c>
      <c r="S1463" s="55" t="s">
        <v>4384</v>
      </c>
      <c r="T1463" s="49" t="str">
        <f>IFERROR(__xludf.DUMMYFUNCTION("""COMPUTED_VALUE"""),"logical")</f>
        <v>logical</v>
      </c>
      <c r="U1463" s="49"/>
      <c r="V1463" s="49"/>
      <c r="W1463" s="49" t="str">
        <f>IFERROR(__xludf.DUMMYFUNCTION("""COMPUTED_VALUE"""),"bodily")</f>
        <v>bodily</v>
      </c>
      <c r="X1463" s="49" t="str">
        <f t="shared" si="3"/>
        <v>marvel,</v>
      </c>
      <c r="Y1463" s="49"/>
      <c r="Z1463" s="1" t="s">
        <v>2591</v>
      </c>
      <c r="AA1463" s="1" t="s">
        <v>4564</v>
      </c>
      <c r="AB1463" s="49"/>
      <c r="AC1463" s="49"/>
      <c r="AD1463" s="49"/>
      <c r="AE1463" s="49" t="str">
        <f>IFERROR(__xludf.DUMMYFUNCTION("""COMPUTED_VALUE"""),"neutral")</f>
        <v>neutral</v>
      </c>
      <c r="AF1463" s="49" t="str">
        <f t="shared" si="4"/>
        <v>natural,</v>
      </c>
      <c r="AG1463" s="49"/>
      <c r="AH1463" s="1" t="s">
        <v>7384</v>
      </c>
      <c r="AI1463" s="1" t="s">
        <v>2592</v>
      </c>
      <c r="AJ1463" s="6" t="str">
        <f>IFERROR(__xludf.DUMMYFUNCTION("""COMPUTED_VALUE"""),"crimes")</f>
        <v>crimes</v>
      </c>
      <c r="AK1463" s="49"/>
      <c r="AL1463" s="49"/>
      <c r="AM1463" s="49"/>
      <c r="AN1463" s="52" t="str">
        <f t="shared" si="5"/>
        <v>confusion,</v>
      </c>
    </row>
    <row r="1464">
      <c r="A1464" s="51"/>
      <c r="B1464" s="50" t="s">
        <v>3666</v>
      </c>
      <c r="C1464" s="50" t="s">
        <v>2488</v>
      </c>
      <c r="D1464" s="49" t="str">
        <f>IFERROR(__xludf.DUMMYFUNCTION("""COMPUTED_VALUE"""),"etc")</f>
        <v>etc</v>
      </c>
      <c r="E1464" s="49"/>
      <c r="F1464" s="49"/>
      <c r="G1464" s="49"/>
      <c r="H1464" s="54" t="str">
        <f t="shared" si="1"/>
        <v>thick,</v>
      </c>
      <c r="I1464" s="50"/>
      <c r="J1464" s="50" t="s">
        <v>5929</v>
      </c>
      <c r="K1464" s="50" t="s">
        <v>2871</v>
      </c>
      <c r="L1464" s="49" t="str">
        <f>IFERROR(__xludf.DUMMYFUNCTION("""COMPUTED_VALUE"""),"grips")</f>
        <v>grips</v>
      </c>
      <c r="M1464" s="49"/>
      <c r="N1464" s="49"/>
      <c r="O1464" s="49" t="str">
        <f>IFERROR(__xludf.DUMMYFUNCTION("""COMPUTED_VALUE"""),"singh")</f>
        <v>singh</v>
      </c>
      <c r="P1464" s="49" t="str">
        <f t="shared" si="2"/>
        <v>reveal,</v>
      </c>
      <c r="Q1464" s="49"/>
      <c r="R1464" s="50" t="s">
        <v>4522</v>
      </c>
      <c r="S1464" s="55" t="s">
        <v>4388</v>
      </c>
      <c r="T1464" s="49" t="str">
        <f>IFERROR(__xludf.DUMMYFUNCTION("""COMPUTED_VALUE"""),"darkly")</f>
        <v>darkly</v>
      </c>
      <c r="U1464" s="49"/>
      <c r="V1464" s="49"/>
      <c r="W1464" s="49" t="str">
        <f>IFERROR(__xludf.DUMMYFUNCTION("""COMPUTED_VALUE"""),"proving")</f>
        <v>proving</v>
      </c>
      <c r="X1464" s="49" t="str">
        <f t="shared" si="3"/>
        <v>violated,</v>
      </c>
      <c r="Y1464" s="49"/>
      <c r="Z1464" s="1" t="s">
        <v>2137</v>
      </c>
      <c r="AA1464" s="1" t="s">
        <v>4565</v>
      </c>
      <c r="AB1464" s="49"/>
      <c r="AC1464" s="49"/>
      <c r="AD1464" s="49"/>
      <c r="AE1464" s="49" t="str">
        <f>IFERROR(__xludf.DUMMYFUNCTION("""COMPUTED_VALUE"""),"singh")</f>
        <v>singh</v>
      </c>
      <c r="AF1464" s="49" t="str">
        <f t="shared" si="4"/>
        <v>involving,</v>
      </c>
      <c r="AG1464" s="49"/>
      <c r="AH1464" s="1" t="s">
        <v>350</v>
      </c>
      <c r="AI1464" s="1" t="s">
        <v>1958</v>
      </c>
      <c r="AJ1464" s="6" t="str">
        <f>IFERROR(__xludf.DUMMYFUNCTION("""COMPUTED_VALUE"""),"stand")</f>
        <v>stand</v>
      </c>
      <c r="AK1464" s="49"/>
      <c r="AL1464" s="49"/>
      <c r="AM1464" s="49"/>
      <c r="AN1464" s="52" t="str">
        <f t="shared" si="5"/>
        <v>take,</v>
      </c>
    </row>
    <row r="1465">
      <c r="A1465" s="51"/>
      <c r="B1465" s="50" t="s">
        <v>284</v>
      </c>
      <c r="C1465" s="50" t="s">
        <v>6498</v>
      </c>
      <c r="D1465" s="49" t="str">
        <f>IFERROR(__xludf.DUMMYFUNCTION("""COMPUTED_VALUE"""),"heads")</f>
        <v>heads</v>
      </c>
      <c r="E1465" s="49"/>
      <c r="F1465" s="49"/>
      <c r="G1465" s="49"/>
      <c r="H1465" s="54" t="str">
        <f t="shared" si="1"/>
        <v>theme,</v>
      </c>
      <c r="I1465" s="50"/>
      <c r="J1465" s="50" t="s">
        <v>6811</v>
      </c>
      <c r="K1465" s="50" t="s">
        <v>2874</v>
      </c>
      <c r="L1465" s="49" t="str">
        <f>IFERROR(__xludf.DUMMYFUNCTION("""COMPUTED_VALUE"""),"layered")</f>
        <v>layered</v>
      </c>
      <c r="M1465" s="49"/>
      <c r="N1465" s="49"/>
      <c r="O1465" s="49" t="str">
        <f>IFERROR(__xludf.DUMMYFUNCTION("""COMPUTED_VALUE"""),"stakes")</f>
        <v>stakes</v>
      </c>
      <c r="P1465" s="49" t="str">
        <f t="shared" si="2"/>
        <v>sucked,</v>
      </c>
      <c r="Q1465" s="49"/>
      <c r="R1465" s="50" t="s">
        <v>3026</v>
      </c>
      <c r="S1465" s="55" t="s">
        <v>2734</v>
      </c>
      <c r="T1465" s="49" t="str">
        <f>IFERROR(__xludf.DUMMYFUNCTION("""COMPUTED_VALUE"""),"sorrow")</f>
        <v>sorrow</v>
      </c>
      <c r="U1465" s="49"/>
      <c r="V1465" s="49"/>
      <c r="W1465" s="49" t="str">
        <f>IFERROR(__xludf.DUMMYFUNCTION("""COMPUTED_VALUE"""),"outward")</f>
        <v>outward</v>
      </c>
      <c r="X1465" s="49" t="str">
        <f t="shared" si="3"/>
        <v>fairly,</v>
      </c>
      <c r="Y1465" s="49"/>
      <c r="Z1465" s="1" t="s">
        <v>3022</v>
      </c>
      <c r="AA1465" s="1" t="s">
        <v>3459</v>
      </c>
      <c r="AB1465" s="49"/>
      <c r="AC1465" s="49"/>
      <c r="AD1465" s="49"/>
      <c r="AE1465" s="49" t="str">
        <f>IFERROR(__xludf.DUMMYFUNCTION("""COMPUTED_VALUE"""),"stakes")</f>
        <v>stakes</v>
      </c>
      <c r="AF1465" s="49" t="str">
        <f t="shared" si="4"/>
        <v>imagine,</v>
      </c>
      <c r="AG1465" s="49"/>
      <c r="AH1465" s="1" t="s">
        <v>4158</v>
      </c>
      <c r="AI1465" s="1" t="s">
        <v>4406</v>
      </c>
      <c r="AJ1465" s="6" t="str">
        <f>IFERROR(__xludf.DUMMYFUNCTION("""COMPUTED_VALUE"""),"situation")</f>
        <v>situation</v>
      </c>
      <c r="AK1465" s="49"/>
      <c r="AL1465" s="49"/>
      <c r="AM1465" s="49"/>
      <c r="AN1465" s="52" t="str">
        <f t="shared" si="5"/>
        <v>songs,</v>
      </c>
    </row>
    <row r="1466">
      <c r="A1466" s="51"/>
      <c r="B1466" s="50" t="s">
        <v>5982</v>
      </c>
      <c r="C1466" s="50" t="s">
        <v>1205</v>
      </c>
      <c r="D1466" s="49" t="str">
        <f>IFERROR(__xludf.DUMMYFUNCTION("""COMPUTED_VALUE"""),"someone")</f>
        <v>someone</v>
      </c>
      <c r="E1466" s="49"/>
      <c r="F1466" s="49"/>
      <c r="G1466" s="49"/>
      <c r="H1466" s="54" t="str">
        <f t="shared" si="1"/>
        <v>drinking,</v>
      </c>
      <c r="I1466" s="50"/>
      <c r="J1466" s="50" t="s">
        <v>3177</v>
      </c>
      <c r="K1466" s="50" t="s">
        <v>1466</v>
      </c>
      <c r="L1466" s="49" t="str">
        <f>IFERROR(__xludf.DUMMYFUNCTION("""COMPUTED_VALUE"""),"endeavors")</f>
        <v>endeavors</v>
      </c>
      <c r="M1466" s="49"/>
      <c r="N1466" s="49"/>
      <c r="O1466" s="49" t="str">
        <f>IFERROR(__xludf.DUMMYFUNCTION("""COMPUTED_VALUE"""),"ran")</f>
        <v>ran</v>
      </c>
      <c r="P1466" s="49" t="str">
        <f t="shared" si="2"/>
        <v>evening,</v>
      </c>
      <c r="Q1466" s="49"/>
      <c r="R1466" s="50" t="s">
        <v>6941</v>
      </c>
      <c r="S1466" s="55" t="s">
        <v>902</v>
      </c>
      <c r="T1466" s="49" t="str">
        <f>IFERROR(__xludf.DUMMYFUNCTION("""COMPUTED_VALUE"""),"stylistic")</f>
        <v>stylistic</v>
      </c>
      <c r="U1466" s="49"/>
      <c r="V1466" s="49"/>
      <c r="W1466" s="49" t="str">
        <f>IFERROR(__xludf.DUMMYFUNCTION("""COMPUTED_VALUE"""),"cardboard")</f>
        <v>cardboard</v>
      </c>
      <c r="X1466" s="49" t="str">
        <f t="shared" si="3"/>
        <v>fruit,</v>
      </c>
      <c r="Y1466" s="49"/>
      <c r="Z1466" s="1" t="s">
        <v>2843</v>
      </c>
      <c r="AA1466" s="1" t="s">
        <v>3093</v>
      </c>
      <c r="AB1466" s="49"/>
      <c r="AC1466" s="49"/>
      <c r="AD1466" s="49"/>
      <c r="AE1466" s="49" t="str">
        <f>IFERROR(__xludf.DUMMYFUNCTION("""COMPUTED_VALUE"""),"ran")</f>
        <v>ran</v>
      </c>
      <c r="AF1466" s="49" t="str">
        <f t="shared" si="4"/>
        <v>humans,</v>
      </c>
      <c r="AG1466" s="49"/>
      <c r="AH1466" s="1" t="s">
        <v>950</v>
      </c>
      <c r="AI1466" s="1" t="s">
        <v>2140</v>
      </c>
      <c r="AJ1466" s="6" t="str">
        <f>IFERROR(__xludf.DUMMYFUNCTION("""COMPUTED_VALUE"""),"speak")</f>
        <v>speak</v>
      </c>
      <c r="AK1466" s="49"/>
      <c r="AL1466" s="49"/>
      <c r="AM1466" s="49"/>
      <c r="AN1466" s="52" t="str">
        <f t="shared" si="5"/>
        <v>whether,</v>
      </c>
    </row>
    <row r="1467">
      <c r="A1467" s="51"/>
      <c r="B1467" s="50" t="s">
        <v>6361</v>
      </c>
      <c r="C1467" s="50" t="s">
        <v>4299</v>
      </c>
      <c r="D1467" s="49" t="str">
        <f>IFERROR(__xludf.DUMMYFUNCTION("""COMPUTED_VALUE"""),"hired")</f>
        <v>hired</v>
      </c>
      <c r="E1467" s="49"/>
      <c r="F1467" s="49"/>
      <c r="G1467" s="49"/>
      <c r="H1467" s="54" t="str">
        <f t="shared" si="1"/>
        <v>plenty,</v>
      </c>
      <c r="I1467" s="50"/>
      <c r="J1467" s="50" t="s">
        <v>7385</v>
      </c>
      <c r="K1467" s="50" t="s">
        <v>2881</v>
      </c>
      <c r="L1467" s="49" t="str">
        <f>IFERROR(__xludf.DUMMYFUNCTION("""COMPUTED_VALUE"""),"subconscious")</f>
        <v>subconscious</v>
      </c>
      <c r="M1467" s="49"/>
      <c r="N1467" s="49"/>
      <c r="O1467" s="49" t="str">
        <f>IFERROR(__xludf.DUMMYFUNCTION("""COMPUTED_VALUE"""),"acknowledges")</f>
        <v>acknowledges</v>
      </c>
      <c r="P1467" s="49" t="str">
        <f t="shared" si="2"/>
        <v>muscle,</v>
      </c>
      <c r="Q1467" s="49"/>
      <c r="R1467" s="50" t="s">
        <v>995</v>
      </c>
      <c r="S1467" s="55" t="s">
        <v>4391</v>
      </c>
      <c r="T1467" s="49" t="str">
        <f>IFERROR(__xludf.DUMMYFUNCTION("""COMPUTED_VALUE"""),"styles")</f>
        <v>styles</v>
      </c>
      <c r="U1467" s="49"/>
      <c r="V1467" s="49"/>
      <c r="W1467" s="49" t="str">
        <f>IFERROR(__xludf.DUMMYFUNCTION("""COMPUTED_VALUE"""),"del")</f>
        <v>del</v>
      </c>
      <c r="X1467" s="49" t="str">
        <f t="shared" si="3"/>
        <v>eat,</v>
      </c>
      <c r="Y1467" s="49"/>
      <c r="Z1467" s="1" t="s">
        <v>3427</v>
      </c>
      <c r="AA1467" s="1" t="s">
        <v>4568</v>
      </c>
      <c r="AB1467" s="49"/>
      <c r="AC1467" s="49"/>
      <c r="AD1467" s="49"/>
      <c r="AE1467" s="49" t="str">
        <f>IFERROR(__xludf.DUMMYFUNCTION("""COMPUTED_VALUE"""),"acknowledges")</f>
        <v>acknowledges</v>
      </c>
      <c r="AF1467" s="49" t="str">
        <f t="shared" si="4"/>
        <v>mind,</v>
      </c>
      <c r="AG1467" s="49"/>
      <c r="AH1467" s="1" t="s">
        <v>2398</v>
      </c>
      <c r="AI1467" s="1" t="s">
        <v>6515</v>
      </c>
      <c r="AJ1467" s="6" t="str">
        <f>IFERROR(__xludf.DUMMYFUNCTION("""COMPUTED_VALUE"""),"effective")</f>
        <v>effective</v>
      </c>
      <c r="AK1467" s="49"/>
      <c r="AL1467" s="49"/>
      <c r="AM1467" s="49"/>
      <c r="AN1467" s="52" t="str">
        <f t="shared" si="5"/>
        <v>thanks,</v>
      </c>
    </row>
    <row r="1468">
      <c r="A1468" s="51"/>
      <c r="B1468" s="50" t="s">
        <v>4767</v>
      </c>
      <c r="C1468" s="50" t="s">
        <v>4307</v>
      </c>
      <c r="D1468" s="49" t="str">
        <f>IFERROR(__xludf.DUMMYFUNCTION("""COMPUTED_VALUE"""),"forget")</f>
        <v>forget</v>
      </c>
      <c r="E1468" s="49"/>
      <c r="F1468" s="49"/>
      <c r="G1468" s="49"/>
      <c r="H1468" s="54" t="str">
        <f t="shared" si="1"/>
        <v>pot,</v>
      </c>
      <c r="I1468" s="50"/>
      <c r="J1468" s="50" t="s">
        <v>7340</v>
      </c>
      <c r="K1468" s="50" t="s">
        <v>497</v>
      </c>
      <c r="L1468" s="49" t="str">
        <f>IFERROR(__xludf.DUMMYFUNCTION("""COMPUTED_VALUE"""),"laboratory")</f>
        <v>laboratory</v>
      </c>
      <c r="M1468" s="49"/>
      <c r="N1468" s="49"/>
      <c r="O1468" s="49" t="str">
        <f>IFERROR(__xludf.DUMMYFUNCTION("""COMPUTED_VALUE"""),"chatter")</f>
        <v>chatter</v>
      </c>
      <c r="P1468" s="49" t="str">
        <f t="shared" si="2"/>
        <v>iconic,</v>
      </c>
      <c r="Q1468" s="49"/>
      <c r="R1468" s="50" t="s">
        <v>3244</v>
      </c>
      <c r="S1468" s="55" t="s">
        <v>2642</v>
      </c>
      <c r="T1468" s="49" t="str">
        <f>IFERROR(__xludf.DUMMYFUNCTION("""COMPUTED_VALUE"""),"revelation")</f>
        <v>revelation</v>
      </c>
      <c r="U1468" s="49"/>
      <c r="V1468" s="49"/>
      <c r="W1468" s="49" t="str">
        <f>IFERROR(__xludf.DUMMYFUNCTION("""COMPUTED_VALUE"""),"fling")</f>
        <v>fling</v>
      </c>
      <c r="X1468" s="49" t="str">
        <f t="shared" si="3"/>
        <v>complaint,</v>
      </c>
      <c r="Y1468" s="49"/>
      <c r="Z1468" s="1" t="s">
        <v>972</v>
      </c>
      <c r="AA1468" s="1" t="s">
        <v>3473</v>
      </c>
      <c r="AB1468" s="49"/>
      <c r="AC1468" s="49"/>
      <c r="AD1468" s="49"/>
      <c r="AE1468" s="49" t="str">
        <f>IFERROR(__xludf.DUMMYFUNCTION("""COMPUTED_VALUE"""),"chatter")</f>
        <v>chatter</v>
      </c>
      <c r="AF1468" s="49" t="str">
        <f t="shared" si="4"/>
        <v>wildly,</v>
      </c>
      <c r="AG1468" s="49"/>
      <c r="AH1468" s="1" t="s">
        <v>5122</v>
      </c>
      <c r="AI1468" s="1" t="s">
        <v>2762</v>
      </c>
      <c r="AJ1468" s="6" t="str">
        <f>IFERROR(__xludf.DUMMYFUNCTION("""COMPUTED_VALUE"""),"frequently")</f>
        <v>frequently</v>
      </c>
      <c r="AK1468" s="49"/>
      <c r="AL1468" s="49"/>
      <c r="AM1468" s="49"/>
      <c r="AN1468" s="52" t="str">
        <f t="shared" si="5"/>
        <v>nose,</v>
      </c>
    </row>
    <row r="1469">
      <c r="A1469" s="51"/>
      <c r="B1469" s="50" t="s">
        <v>2671</v>
      </c>
      <c r="C1469" s="50" t="s">
        <v>2180</v>
      </c>
      <c r="D1469" s="49" t="str">
        <f>IFERROR(__xludf.DUMMYFUNCTION("""COMPUTED_VALUE"""),"alone")</f>
        <v>alone</v>
      </c>
      <c r="E1469" s="49"/>
      <c r="F1469" s="49"/>
      <c r="G1469" s="49"/>
      <c r="H1469" s="54" t="str">
        <f t="shared" si="1"/>
        <v>smoking,</v>
      </c>
      <c r="I1469" s="50"/>
      <c r="J1469" s="50" t="s">
        <v>6336</v>
      </c>
      <c r="K1469" s="50" t="s">
        <v>4570</v>
      </c>
      <c r="L1469" s="49" t="str">
        <f>IFERROR(__xludf.DUMMYFUNCTION("""COMPUTED_VALUE"""),"whale")</f>
        <v>whale</v>
      </c>
      <c r="M1469" s="49"/>
      <c r="N1469" s="49"/>
      <c r="O1469" s="49" t="str">
        <f>IFERROR(__xludf.DUMMYFUNCTION("""COMPUTED_VALUE"""),"lights")</f>
        <v>lights</v>
      </c>
      <c r="P1469" s="49" t="str">
        <f t="shared" si="2"/>
        <v>loaded,</v>
      </c>
      <c r="Q1469" s="49"/>
      <c r="R1469" s="50" t="s">
        <v>6442</v>
      </c>
      <c r="S1469" s="55" t="s">
        <v>823</v>
      </c>
      <c r="T1469" s="49" t="str">
        <f>IFERROR(__xludf.DUMMYFUNCTION("""COMPUTED_VALUE"""),"naive")</f>
        <v>naive</v>
      </c>
      <c r="U1469" s="49"/>
      <c r="V1469" s="49"/>
      <c r="W1469" s="49" t="str">
        <f>IFERROR(__xludf.DUMMYFUNCTION("""COMPUTED_VALUE"""),"fleeting")</f>
        <v>fleeting</v>
      </c>
      <c r="X1469" s="49" t="str">
        <f t="shared" si="3"/>
        <v>junior,</v>
      </c>
      <c r="Y1469" s="49"/>
      <c r="Z1469" s="1" t="s">
        <v>1756</v>
      </c>
      <c r="AA1469" s="1" t="s">
        <v>3482</v>
      </c>
      <c r="AB1469" s="49"/>
      <c r="AC1469" s="49"/>
      <c r="AD1469" s="49"/>
      <c r="AE1469" s="49" t="str">
        <f>IFERROR(__xludf.DUMMYFUNCTION("""COMPUTED_VALUE"""),"lights")</f>
        <v>lights</v>
      </c>
      <c r="AF1469" s="49" t="str">
        <f t="shared" si="4"/>
        <v>complete,</v>
      </c>
      <c r="AG1469" s="49"/>
      <c r="AH1469" s="1" t="s">
        <v>5377</v>
      </c>
      <c r="AI1469" s="1" t="s">
        <v>3144</v>
      </c>
      <c r="AJ1469" s="6" t="str">
        <f>IFERROR(__xludf.DUMMYFUNCTION("""COMPUTED_VALUE"""),"emotions")</f>
        <v>emotions</v>
      </c>
      <c r="AK1469" s="49"/>
      <c r="AL1469" s="49"/>
      <c r="AM1469" s="49"/>
      <c r="AN1469" s="52" t="str">
        <f t="shared" si="5"/>
        <v>blow,</v>
      </c>
    </row>
    <row r="1470">
      <c r="A1470" s="51"/>
      <c r="B1470" s="50" t="s">
        <v>7148</v>
      </c>
      <c r="C1470" s="50" t="s">
        <v>6499</v>
      </c>
      <c r="D1470" s="49" t="str">
        <f>IFERROR(__xludf.DUMMYFUNCTION("""COMPUTED_VALUE"""),"achievement")</f>
        <v>achievement</v>
      </c>
      <c r="E1470" s="49"/>
      <c r="F1470" s="49"/>
      <c r="G1470" s="49"/>
      <c r="H1470" s="54" t="str">
        <f t="shared" si="1"/>
        <v>covered,</v>
      </c>
      <c r="I1470" s="50"/>
      <c r="J1470" s="50" t="s">
        <v>6461</v>
      </c>
      <c r="K1470" s="50" t="s">
        <v>2887</v>
      </c>
      <c r="L1470" s="49" t="str">
        <f>IFERROR(__xludf.DUMMYFUNCTION("""COMPUTED_VALUE"""),"tomorrow")</f>
        <v>tomorrow</v>
      </c>
      <c r="M1470" s="49"/>
      <c r="N1470" s="49"/>
      <c r="O1470" s="49" t="str">
        <f>IFERROR(__xludf.DUMMYFUNCTION("""COMPUTED_VALUE"""),"chases")</f>
        <v>chases</v>
      </c>
      <c r="P1470" s="49" t="str">
        <f t="shared" si="2"/>
        <v>machines,</v>
      </c>
      <c r="Q1470" s="49"/>
      <c r="R1470" s="50" t="s">
        <v>100</v>
      </c>
      <c r="S1470" s="55" t="s">
        <v>718</v>
      </c>
      <c r="T1470" s="49" t="str">
        <f>IFERROR(__xludf.DUMMYFUNCTION("""COMPUTED_VALUE"""),"instincts")</f>
        <v>instincts</v>
      </c>
      <c r="U1470" s="49"/>
      <c r="V1470" s="49"/>
      <c r="W1470" s="49" t="str">
        <f>IFERROR(__xludf.DUMMYFUNCTION("""COMPUTED_VALUE"""),"regard")</f>
        <v>regard</v>
      </c>
      <c r="X1470" s="49" t="str">
        <f t="shared" si="3"/>
        <v>poetry,</v>
      </c>
      <c r="Y1470" s="49"/>
      <c r="Z1470" s="1" t="s">
        <v>158</v>
      </c>
      <c r="AA1470" s="1" t="s">
        <v>1178</v>
      </c>
      <c r="AB1470" s="49"/>
      <c r="AC1470" s="49"/>
      <c r="AD1470" s="49"/>
      <c r="AE1470" s="49" t="str">
        <f>IFERROR(__xludf.DUMMYFUNCTION("""COMPUTED_VALUE"""),"chases")</f>
        <v>chases</v>
      </c>
      <c r="AF1470" s="49" t="str">
        <f t="shared" si="4"/>
        <v>cruel,</v>
      </c>
      <c r="AG1470" s="49"/>
      <c r="AH1470" s="1" t="s">
        <v>6611</v>
      </c>
      <c r="AI1470" s="1" t="s">
        <v>834</v>
      </c>
      <c r="AJ1470" s="6" t="str">
        <f>IFERROR(__xludf.DUMMYFUNCTION("""COMPUTED_VALUE"""),"away")</f>
        <v>away</v>
      </c>
      <c r="AK1470" s="49"/>
      <c r="AL1470" s="49"/>
      <c r="AM1470" s="49"/>
      <c r="AN1470" s="52" t="str">
        <f t="shared" si="5"/>
        <v>nobody,</v>
      </c>
    </row>
    <row r="1471">
      <c r="A1471" s="51"/>
      <c r="B1471" s="50" t="s">
        <v>4299</v>
      </c>
      <c r="C1471" s="50" t="s">
        <v>6393</v>
      </c>
      <c r="D1471" s="49">
        <f>IFERROR(__xludf.DUMMYFUNCTION("""COMPUTED_VALUE"""),96.0)</f>
        <v>96</v>
      </c>
      <c r="E1471" s="49"/>
      <c r="F1471" s="49"/>
      <c r="G1471" s="49"/>
      <c r="H1471" s="54" t="str">
        <f t="shared" si="1"/>
        <v>begin,</v>
      </c>
      <c r="I1471" s="50"/>
      <c r="J1471" s="50" t="s">
        <v>3737</v>
      </c>
      <c r="K1471" s="50" t="s">
        <v>3472</v>
      </c>
      <c r="L1471" s="49" t="str">
        <f>IFERROR(__xludf.DUMMYFUNCTION("""COMPUTED_VALUE"""),"prejudice")</f>
        <v>prejudice</v>
      </c>
      <c r="M1471" s="49"/>
      <c r="N1471" s="49"/>
      <c r="O1471" s="49" t="str">
        <f>IFERROR(__xludf.DUMMYFUNCTION("""COMPUTED_VALUE"""),"sci")</f>
        <v>sci</v>
      </c>
      <c r="P1471" s="49" t="str">
        <f t="shared" si="2"/>
        <v>sleek,</v>
      </c>
      <c r="Q1471" s="49"/>
      <c r="R1471" s="50">
        <v>22.0</v>
      </c>
      <c r="S1471" s="55" t="s">
        <v>4544</v>
      </c>
      <c r="T1471" s="49" t="str">
        <f>IFERROR(__xludf.DUMMYFUNCTION("""COMPUTED_VALUE"""),"friendships")</f>
        <v>friendships</v>
      </c>
      <c r="U1471" s="49"/>
      <c r="V1471" s="49"/>
      <c r="W1471" s="49" t="str">
        <f>IFERROR(__xludf.DUMMYFUNCTION("""COMPUTED_VALUE"""),"dared")</f>
        <v>dared</v>
      </c>
      <c r="X1471" s="49" t="str">
        <f t="shared" si="3"/>
        <v>22,</v>
      </c>
      <c r="Y1471" s="49"/>
      <c r="Z1471" s="1" t="s">
        <v>7307</v>
      </c>
      <c r="AA1471" s="1" t="s">
        <v>1899</v>
      </c>
      <c r="AB1471" s="49"/>
      <c r="AC1471" s="49"/>
      <c r="AD1471" s="49"/>
      <c r="AE1471" s="49" t="str">
        <f>IFERROR(__xludf.DUMMYFUNCTION("""COMPUTED_VALUE"""),"sci")</f>
        <v>sci</v>
      </c>
      <c r="AF1471" s="49" t="str">
        <f t="shared" si="4"/>
        <v>hearted,</v>
      </c>
      <c r="AG1471" s="49"/>
      <c r="AH1471" s="1" t="s">
        <v>1478</v>
      </c>
      <c r="AI1471" s="1">
        <v>96.0</v>
      </c>
      <c r="AJ1471" s="6" t="str">
        <f>IFERROR(__xludf.DUMMYFUNCTION("""COMPUTED_VALUE"""),"although")</f>
        <v>although</v>
      </c>
      <c r="AK1471" s="49"/>
      <c r="AL1471" s="49"/>
      <c r="AM1471" s="49"/>
      <c r="AN1471" s="52" t="str">
        <f t="shared" si="5"/>
        <v>season,</v>
      </c>
    </row>
    <row r="1472">
      <c r="A1472" s="51"/>
      <c r="B1472" s="50" t="s">
        <v>6549</v>
      </c>
      <c r="C1472" s="50" t="s">
        <v>4311</v>
      </c>
      <c r="D1472" s="49" t="str">
        <f>IFERROR(__xludf.DUMMYFUNCTION("""COMPUTED_VALUE"""),"morgan")</f>
        <v>morgan</v>
      </c>
      <c r="E1472" s="49"/>
      <c r="F1472" s="49"/>
      <c r="G1472" s="49"/>
      <c r="H1472" s="54" t="str">
        <f t="shared" si="1"/>
        <v>falling,</v>
      </c>
      <c r="I1472" s="50"/>
      <c r="J1472" s="50" t="s">
        <v>7386</v>
      </c>
      <c r="K1472" s="50" t="s">
        <v>4572</v>
      </c>
      <c r="L1472" s="49" t="str">
        <f>IFERROR(__xludf.DUMMYFUNCTION("""COMPUTED_VALUE"""),"buried")</f>
        <v>buried</v>
      </c>
      <c r="M1472" s="49"/>
      <c r="N1472" s="49"/>
      <c r="O1472" s="49" t="str">
        <f>IFERROR(__xludf.DUMMYFUNCTION("""COMPUTED_VALUE"""),"italics")</f>
        <v>italics</v>
      </c>
      <c r="P1472" s="49" t="str">
        <f t="shared" si="2"/>
        <v>worn,</v>
      </c>
      <c r="Q1472" s="49"/>
      <c r="R1472" s="50" t="s">
        <v>3537</v>
      </c>
      <c r="S1472" s="55" t="s">
        <v>1980</v>
      </c>
      <c r="T1472" s="49" t="str">
        <f>IFERROR(__xludf.DUMMYFUNCTION("""COMPUTED_VALUE"""),"potent")</f>
        <v>potent</v>
      </c>
      <c r="U1472" s="49"/>
      <c r="V1472" s="49"/>
      <c r="W1472" s="49" t="str">
        <f>IFERROR(__xludf.DUMMYFUNCTION("""COMPUTED_VALUE"""),"explicit")</f>
        <v>explicit</v>
      </c>
      <c r="X1472" s="49" t="str">
        <f t="shared" si="3"/>
        <v>tug,</v>
      </c>
      <c r="Y1472" s="49"/>
      <c r="Z1472" s="1" t="s">
        <v>2171</v>
      </c>
      <c r="AA1472" s="1" t="s">
        <v>3486</v>
      </c>
      <c r="AB1472" s="49"/>
      <c r="AC1472" s="49"/>
      <c r="AD1472" s="49"/>
      <c r="AE1472" s="49" t="str">
        <f>IFERROR(__xludf.DUMMYFUNCTION("""COMPUTED_VALUE"""),"italics")</f>
        <v>italics</v>
      </c>
      <c r="AF1472" s="49" t="str">
        <f t="shared" si="4"/>
        <v>crime,</v>
      </c>
      <c r="AG1472" s="49"/>
      <c r="AH1472" s="1" t="s">
        <v>7387</v>
      </c>
      <c r="AI1472" s="1" t="s">
        <v>3757</v>
      </c>
      <c r="AJ1472" s="6" t="str">
        <f>IFERROR(__xludf.DUMMYFUNCTION("""COMPUTED_VALUE"""),"department")</f>
        <v>department</v>
      </c>
      <c r="AK1472" s="49"/>
      <c r="AL1472" s="49"/>
      <c r="AM1472" s="49"/>
      <c r="AN1472" s="52" t="str">
        <f t="shared" si="5"/>
        <v>included,</v>
      </c>
    </row>
    <row r="1473">
      <c r="A1473" s="51"/>
      <c r="B1473" s="50" t="s">
        <v>2981</v>
      </c>
      <c r="C1473" s="50" t="s">
        <v>4146</v>
      </c>
      <c r="D1473" s="49" t="str">
        <f>IFERROR(__xludf.DUMMYFUNCTION("""COMPUTED_VALUE"""),"logic")</f>
        <v>logic</v>
      </c>
      <c r="E1473" s="49"/>
      <c r="F1473" s="49"/>
      <c r="G1473" s="49"/>
      <c r="H1473" s="54" t="str">
        <f t="shared" si="1"/>
        <v>passes,</v>
      </c>
      <c r="I1473" s="50"/>
      <c r="J1473" s="50" t="s">
        <v>3941</v>
      </c>
      <c r="K1473" s="50" t="s">
        <v>811</v>
      </c>
      <c r="L1473" s="49" t="str">
        <f>IFERROR(__xludf.DUMMYFUNCTION("""COMPUTED_VALUE"""),"extremes")</f>
        <v>extremes</v>
      </c>
      <c r="M1473" s="49"/>
      <c r="N1473" s="49"/>
      <c r="O1473" s="49" t="str">
        <f>IFERROR(__xludf.DUMMYFUNCTION("""COMPUTED_VALUE"""),"wilde")</f>
        <v>wilde</v>
      </c>
      <c r="P1473" s="49" t="str">
        <f t="shared" si="2"/>
        <v>seconds,</v>
      </c>
      <c r="Q1473" s="49"/>
      <c r="R1473" s="50" t="s">
        <v>5917</v>
      </c>
      <c r="S1473" s="55" t="s">
        <v>4400</v>
      </c>
      <c r="T1473" s="49" t="str">
        <f>IFERROR(__xludf.DUMMYFUNCTION("""COMPUTED_VALUE"""),"weary")</f>
        <v>weary</v>
      </c>
      <c r="U1473" s="49"/>
      <c r="V1473" s="49"/>
      <c r="W1473" s="49" t="str">
        <f>IFERROR(__xludf.DUMMYFUNCTION("""COMPUTED_VALUE"""),"thrust")</f>
        <v>thrust</v>
      </c>
      <c r="X1473" s="49" t="str">
        <f t="shared" si="3"/>
        <v>eventually,</v>
      </c>
      <c r="Y1473" s="49"/>
      <c r="Z1473" s="1" t="s">
        <v>2828</v>
      </c>
      <c r="AA1473" s="1" t="s">
        <v>4573</v>
      </c>
      <c r="AB1473" s="49"/>
      <c r="AC1473" s="49"/>
      <c r="AD1473" s="49"/>
      <c r="AE1473" s="49" t="str">
        <f>IFERROR(__xludf.DUMMYFUNCTION("""COMPUTED_VALUE"""),"wilde")</f>
        <v>wilde</v>
      </c>
      <c r="AF1473" s="49" t="str">
        <f t="shared" si="4"/>
        <v>frame,</v>
      </c>
      <c r="AG1473" s="49"/>
      <c r="AH1473" s="1">
        <v>1997.0</v>
      </c>
      <c r="AI1473" s="1" t="s">
        <v>5568</v>
      </c>
      <c r="AJ1473" s="6" t="str">
        <f>IFERROR(__xludf.DUMMYFUNCTION("""COMPUTED_VALUE"""),"finding")</f>
        <v>finding</v>
      </c>
      <c r="AK1473" s="49"/>
      <c r="AL1473" s="49"/>
      <c r="AM1473" s="49"/>
      <c r="AN1473" s="52" t="str">
        <f t="shared" si="5"/>
        <v>1997,</v>
      </c>
    </row>
    <row r="1474">
      <c r="A1474" s="51"/>
      <c r="B1474" s="50" t="s">
        <v>350</v>
      </c>
      <c r="C1474" s="50" t="s">
        <v>2493</v>
      </c>
      <c r="D1474" s="49" t="str">
        <f>IFERROR(__xludf.DUMMYFUNCTION("""COMPUTED_VALUE"""),"ashley")</f>
        <v>ashley</v>
      </c>
      <c r="E1474" s="49"/>
      <c r="F1474" s="49"/>
      <c r="G1474" s="49"/>
      <c r="H1474" s="54" t="str">
        <f t="shared" si="1"/>
        <v>take,</v>
      </c>
      <c r="I1474" s="50"/>
      <c r="J1474" s="50" t="s">
        <v>79</v>
      </c>
      <c r="K1474" s="50" t="s">
        <v>951</v>
      </c>
      <c r="L1474" s="49" t="str">
        <f>IFERROR(__xludf.DUMMYFUNCTION("""COMPUTED_VALUE"""),"sympathy")</f>
        <v>sympathy</v>
      </c>
      <c r="M1474" s="49"/>
      <c r="N1474" s="49"/>
      <c r="O1474" s="49" t="str">
        <f>IFERROR(__xludf.DUMMYFUNCTION("""COMPUTED_VALUE"""),"empowerment")</f>
        <v>empowerment</v>
      </c>
      <c r="P1474" s="49" t="str">
        <f t="shared" si="2"/>
        <v>laced,</v>
      </c>
      <c r="Q1474" s="49"/>
      <c r="R1474" s="50" t="s">
        <v>5289</v>
      </c>
      <c r="S1474" s="55" t="s">
        <v>3207</v>
      </c>
      <c r="T1474" s="49" t="str">
        <f>IFERROR(__xludf.DUMMYFUNCTION("""COMPUTED_VALUE"""),"sentiment")</f>
        <v>sentiment</v>
      </c>
      <c r="U1474" s="49"/>
      <c r="V1474" s="49"/>
      <c r="W1474" s="49" t="str">
        <f>IFERROR(__xludf.DUMMYFUNCTION("""COMPUTED_VALUE"""),"binary")</f>
        <v>binary</v>
      </c>
      <c r="X1474" s="49" t="str">
        <f t="shared" si="3"/>
        <v>insane,</v>
      </c>
      <c r="Y1474" s="49"/>
      <c r="Z1474" s="1" t="s">
        <v>6435</v>
      </c>
      <c r="AA1474" s="1" t="s">
        <v>1185</v>
      </c>
      <c r="AB1474" s="49"/>
      <c r="AC1474" s="49"/>
      <c r="AD1474" s="49"/>
      <c r="AE1474" s="49" t="str">
        <f>IFERROR(__xludf.DUMMYFUNCTION("""COMPUTED_VALUE"""),"empowerment")</f>
        <v>empowerment</v>
      </c>
      <c r="AF1474" s="49" t="str">
        <f t="shared" si="4"/>
        <v>broken,</v>
      </c>
      <c r="AG1474" s="49"/>
      <c r="AH1474" s="1" t="s">
        <v>2010</v>
      </c>
      <c r="AI1474" s="1" t="s">
        <v>4758</v>
      </c>
      <c r="AJ1474" s="6" t="str">
        <f>IFERROR(__xludf.DUMMYFUNCTION("""COMPUTED_VALUE"""),"snow")</f>
        <v>snow</v>
      </c>
      <c r="AK1474" s="49"/>
      <c r="AL1474" s="49"/>
      <c r="AM1474" s="49"/>
      <c r="AN1474" s="52" t="str">
        <f t="shared" si="5"/>
        <v>competition,</v>
      </c>
    </row>
    <row r="1475">
      <c r="A1475" s="51"/>
      <c r="B1475" s="50" t="s">
        <v>4158</v>
      </c>
      <c r="C1475" s="50" t="s">
        <v>3649</v>
      </c>
      <c r="D1475" s="49" t="str">
        <f>IFERROR(__xludf.DUMMYFUNCTION("""COMPUTED_VALUE"""),"robin")</f>
        <v>robin</v>
      </c>
      <c r="E1475" s="49"/>
      <c r="F1475" s="49"/>
      <c r="G1475" s="49"/>
      <c r="H1475" s="54" t="str">
        <f t="shared" si="1"/>
        <v>songs,</v>
      </c>
      <c r="I1475" s="50"/>
      <c r="J1475" s="50" t="s">
        <v>37</v>
      </c>
      <c r="K1475" s="50" t="s">
        <v>94</v>
      </c>
      <c r="L1475" s="49" t="str">
        <f>IFERROR(__xludf.DUMMYFUNCTION("""COMPUTED_VALUE"""),"indifference")</f>
        <v>indifference</v>
      </c>
      <c r="M1475" s="49"/>
      <c r="N1475" s="49"/>
      <c r="O1475" s="49" t="str">
        <f>IFERROR(__xludf.DUMMYFUNCTION("""COMPUTED_VALUE"""),"outrage")</f>
        <v>outrage</v>
      </c>
      <c r="P1475" s="49" t="str">
        <f t="shared" si="2"/>
        <v>depressed,</v>
      </c>
      <c r="Q1475" s="49"/>
      <c r="R1475" s="50" t="s">
        <v>7388</v>
      </c>
      <c r="S1475" s="55" t="s">
        <v>4399</v>
      </c>
      <c r="T1475" s="49" t="str">
        <f>IFERROR(__xludf.DUMMYFUNCTION("""COMPUTED_VALUE"""),"splitting")</f>
        <v>splitting</v>
      </c>
      <c r="U1475" s="49"/>
      <c r="V1475" s="49"/>
      <c r="W1475" s="49" t="str">
        <f>IFERROR(__xludf.DUMMYFUNCTION("""COMPUTED_VALUE"""),"angel")</f>
        <v>angel</v>
      </c>
      <c r="X1475" s="49" t="str">
        <f t="shared" si="3"/>
        <v>brooklyn,</v>
      </c>
      <c r="Y1475" s="49"/>
      <c r="Z1475" s="1" t="s">
        <v>5145</v>
      </c>
      <c r="AA1475" s="1" t="s">
        <v>4575</v>
      </c>
      <c r="AB1475" s="49"/>
      <c r="AC1475" s="49"/>
      <c r="AD1475" s="49"/>
      <c r="AE1475" s="49" t="str">
        <f>IFERROR(__xludf.DUMMYFUNCTION("""COMPUTED_VALUE"""),"outrage")</f>
        <v>outrage</v>
      </c>
      <c r="AF1475" s="49" t="str">
        <f t="shared" si="4"/>
        <v>terrifying,</v>
      </c>
      <c r="AG1475" s="49"/>
      <c r="AH1475" s="1" t="s">
        <v>5812</v>
      </c>
      <c r="AI1475" s="1" t="s">
        <v>4444</v>
      </c>
      <c r="AJ1475" s="6" t="str">
        <f>IFERROR(__xludf.DUMMYFUNCTION("""COMPUTED_VALUE"""),"chain")</f>
        <v>chain</v>
      </c>
      <c r="AK1475" s="49"/>
      <c r="AL1475" s="49"/>
      <c r="AM1475" s="49"/>
      <c r="AN1475" s="52" t="str">
        <f t="shared" si="5"/>
        <v>press,</v>
      </c>
    </row>
    <row r="1476">
      <c r="A1476" s="51"/>
      <c r="B1476" s="50" t="s">
        <v>950</v>
      </c>
      <c r="C1476" s="50" t="s">
        <v>1643</v>
      </c>
      <c r="D1476" s="49" t="str">
        <f>IFERROR(__xludf.DUMMYFUNCTION("""COMPUTED_VALUE"""),"smith")</f>
        <v>smith</v>
      </c>
      <c r="E1476" s="49"/>
      <c r="F1476" s="49"/>
      <c r="G1476" s="49"/>
      <c r="H1476" s="54" t="str">
        <f t="shared" si="1"/>
        <v>whether,</v>
      </c>
      <c r="I1476" s="50"/>
      <c r="J1476" s="50" t="s">
        <v>1276</v>
      </c>
      <c r="K1476" s="50" t="s">
        <v>2896</v>
      </c>
      <c r="L1476" s="49" t="str">
        <f>IFERROR(__xludf.DUMMYFUNCTION("""COMPUTED_VALUE"""),"refined")</f>
        <v>refined</v>
      </c>
      <c r="M1476" s="49"/>
      <c r="N1476" s="49"/>
      <c r="O1476" s="49" t="str">
        <f>IFERROR(__xludf.DUMMYFUNCTION("""COMPUTED_VALUE"""),"murderer")</f>
        <v>murderer</v>
      </c>
      <c r="P1476" s="49" t="str">
        <f t="shared" si="2"/>
        <v>tickets,</v>
      </c>
      <c r="Q1476" s="49"/>
      <c r="R1476" s="50" t="s">
        <v>6397</v>
      </c>
      <c r="S1476" s="55" t="s">
        <v>2500</v>
      </c>
      <c r="T1476" s="49" t="str">
        <f>IFERROR(__xludf.DUMMYFUNCTION("""COMPUTED_VALUE"""),"parental")</f>
        <v>parental</v>
      </c>
      <c r="U1476" s="49"/>
      <c r="V1476" s="49"/>
      <c r="W1476" s="49" t="str">
        <f>IFERROR(__xludf.DUMMYFUNCTION("""COMPUTED_VALUE"""),"shapiro")</f>
        <v>shapiro</v>
      </c>
      <c r="X1476" s="49" t="str">
        <f t="shared" si="3"/>
        <v>weird,</v>
      </c>
      <c r="Y1476" s="49"/>
      <c r="Z1476" s="1" t="s">
        <v>6688</v>
      </c>
      <c r="AA1476" s="1" t="s">
        <v>1338</v>
      </c>
      <c r="AB1476" s="49"/>
      <c r="AC1476" s="49"/>
      <c r="AD1476" s="49"/>
      <c r="AE1476" s="49" t="str">
        <f>IFERROR(__xludf.DUMMYFUNCTION("""COMPUTED_VALUE"""),"murderer")</f>
        <v>murderer</v>
      </c>
      <c r="AF1476" s="49" t="str">
        <f t="shared" si="4"/>
        <v>experienced,</v>
      </c>
      <c r="AG1476" s="49"/>
      <c r="AH1476" s="1" t="s">
        <v>2343</v>
      </c>
      <c r="AI1476" s="1" t="s">
        <v>3768</v>
      </c>
      <c r="AJ1476" s="6" t="str">
        <f>IFERROR(__xludf.DUMMYFUNCTION("""COMPUTED_VALUE"""),"plane")</f>
        <v>plane</v>
      </c>
      <c r="AK1476" s="49"/>
      <c r="AL1476" s="49"/>
      <c r="AM1476" s="49"/>
      <c r="AN1476" s="52" t="str">
        <f t="shared" si="5"/>
        <v>beginning,</v>
      </c>
    </row>
    <row r="1477">
      <c r="A1477" s="51"/>
      <c r="B1477" s="50" t="s">
        <v>2398</v>
      </c>
      <c r="C1477" s="50" t="s">
        <v>4150</v>
      </c>
      <c r="D1477" s="49" t="str">
        <f>IFERROR(__xludf.DUMMYFUNCTION("""COMPUTED_VALUE"""),"laughing")</f>
        <v>laughing</v>
      </c>
      <c r="E1477" s="49"/>
      <c r="F1477" s="49"/>
      <c r="G1477" s="49"/>
      <c r="H1477" s="54" t="str">
        <f t="shared" si="1"/>
        <v>thanks,</v>
      </c>
      <c r="I1477" s="50"/>
      <c r="J1477" s="50" t="s">
        <v>7389</v>
      </c>
      <c r="K1477" s="50" t="s">
        <v>2898</v>
      </c>
      <c r="L1477" s="49" t="str">
        <f>IFERROR(__xludf.DUMMYFUNCTION("""COMPUTED_VALUE"""),"captures")</f>
        <v>captures</v>
      </c>
      <c r="M1477" s="49"/>
      <c r="N1477" s="49"/>
      <c r="O1477" s="49" t="str">
        <f>IFERROR(__xludf.DUMMYFUNCTION("""COMPUTED_VALUE"""),"ideally")</f>
        <v>ideally</v>
      </c>
      <c r="P1477" s="49" t="str">
        <f t="shared" si="2"/>
        <v>pg,</v>
      </c>
      <c r="Q1477" s="49"/>
      <c r="R1477" s="50" t="s">
        <v>5638</v>
      </c>
      <c r="S1477" s="55" t="s">
        <v>4402</v>
      </c>
      <c r="T1477" s="49" t="str">
        <f>IFERROR(__xludf.DUMMYFUNCTION("""COMPUTED_VALUE"""),"dismissed")</f>
        <v>dismissed</v>
      </c>
      <c r="U1477" s="49"/>
      <c r="V1477" s="49"/>
      <c r="W1477" s="49" t="str">
        <f>IFERROR(__xludf.DUMMYFUNCTION("""COMPUTED_VALUE"""),"goldman")</f>
        <v>goldman</v>
      </c>
      <c r="X1477" s="49" t="str">
        <f t="shared" si="3"/>
        <v>folk,</v>
      </c>
      <c r="Y1477" s="49"/>
      <c r="Z1477" s="1" t="s">
        <v>941</v>
      </c>
      <c r="AA1477" s="1" t="s">
        <v>4576</v>
      </c>
      <c r="AB1477" s="49"/>
      <c r="AC1477" s="49"/>
      <c r="AD1477" s="49"/>
      <c r="AE1477" s="49" t="str">
        <f>IFERROR(__xludf.DUMMYFUNCTION("""COMPUTED_VALUE"""),"ideally")</f>
        <v>ideally</v>
      </c>
      <c r="AF1477" s="49" t="str">
        <f t="shared" si="4"/>
        <v>sequence,</v>
      </c>
      <c r="AG1477" s="49"/>
      <c r="AH1477" s="1" t="s">
        <v>3161</v>
      </c>
      <c r="AI1477" s="1" t="s">
        <v>3764</v>
      </c>
      <c r="AJ1477" s="6" t="str">
        <f>IFERROR(__xludf.DUMMYFUNCTION("""COMPUTED_VALUE"""),"destruction")</f>
        <v>destruction</v>
      </c>
      <c r="AK1477" s="49"/>
      <c r="AL1477" s="49"/>
      <c r="AM1477" s="49"/>
      <c r="AN1477" s="52" t="str">
        <f t="shared" si="5"/>
        <v>prime,</v>
      </c>
    </row>
    <row r="1478">
      <c r="A1478" s="51"/>
      <c r="B1478" s="50" t="s">
        <v>5122</v>
      </c>
      <c r="C1478" s="50" t="s">
        <v>3760</v>
      </c>
      <c r="D1478" s="49" t="str">
        <f>IFERROR(__xludf.DUMMYFUNCTION("""COMPUTED_VALUE"""),"zone")</f>
        <v>zone</v>
      </c>
      <c r="E1478" s="49"/>
      <c r="F1478" s="49"/>
      <c r="G1478" s="49"/>
      <c r="H1478" s="54" t="str">
        <f t="shared" si="1"/>
        <v>nose,</v>
      </c>
      <c r="I1478" s="50"/>
      <c r="J1478" s="50" t="s">
        <v>6305</v>
      </c>
      <c r="K1478" s="50" t="s">
        <v>2747</v>
      </c>
      <c r="L1478" s="49" t="str">
        <f>IFERROR(__xludf.DUMMYFUNCTION("""COMPUTED_VALUE"""),"achievements")</f>
        <v>achievements</v>
      </c>
      <c r="M1478" s="49"/>
      <c r="N1478" s="49"/>
      <c r="O1478" s="49" t="str">
        <f>IFERROR(__xludf.DUMMYFUNCTION("""COMPUTED_VALUE"""),"criticism")</f>
        <v>criticism</v>
      </c>
      <c r="P1478" s="49" t="str">
        <f t="shared" si="2"/>
        <v>marginal,</v>
      </c>
      <c r="Q1478" s="49"/>
      <c r="R1478" s="50" t="s">
        <v>1105</v>
      </c>
      <c r="S1478" s="55" t="s">
        <v>727</v>
      </c>
      <c r="T1478" s="49" t="str">
        <f>IFERROR(__xludf.DUMMYFUNCTION("""COMPUTED_VALUE"""),"wake")</f>
        <v>wake</v>
      </c>
      <c r="U1478" s="49"/>
      <c r="V1478" s="49"/>
      <c r="W1478" s="49" t="str">
        <f>IFERROR(__xludf.DUMMYFUNCTION("""COMPUTED_VALUE"""),"participants")</f>
        <v>participants</v>
      </c>
      <c r="X1478" s="49" t="str">
        <f t="shared" si="3"/>
        <v>populated,</v>
      </c>
      <c r="Y1478" s="49"/>
      <c r="Z1478" s="1" t="s">
        <v>663</v>
      </c>
      <c r="AA1478" s="1" t="s">
        <v>4578</v>
      </c>
      <c r="AB1478" s="49"/>
      <c r="AC1478" s="49"/>
      <c r="AD1478" s="49"/>
      <c r="AE1478" s="49" t="str">
        <f>IFERROR(__xludf.DUMMYFUNCTION("""COMPUTED_VALUE"""),"criticism")</f>
        <v>criticism</v>
      </c>
      <c r="AF1478" s="49" t="str">
        <f t="shared" si="4"/>
        <v>washington,</v>
      </c>
      <c r="AG1478" s="49"/>
      <c r="AH1478" s="1" t="s">
        <v>764</v>
      </c>
      <c r="AI1478" s="1" t="s">
        <v>2554</v>
      </c>
      <c r="AJ1478" s="6">
        <f>IFERROR(__xludf.DUMMYFUNCTION("""COMPUTED_VALUE"""),6.0)</f>
        <v>6</v>
      </c>
      <c r="AK1478" s="49"/>
      <c r="AL1478" s="49"/>
      <c r="AM1478" s="49"/>
      <c r="AN1478" s="52" t="str">
        <f t="shared" si="5"/>
        <v>dog,</v>
      </c>
    </row>
    <row r="1479">
      <c r="A1479" s="51"/>
      <c r="B1479" s="50" t="s">
        <v>5377</v>
      </c>
      <c r="C1479" s="50" t="s">
        <v>2524</v>
      </c>
      <c r="D1479" s="49" t="str">
        <f>IFERROR(__xludf.DUMMYFUNCTION("""COMPUTED_VALUE"""),"attempts")</f>
        <v>attempts</v>
      </c>
      <c r="E1479" s="49"/>
      <c r="F1479" s="49"/>
      <c r="G1479" s="49"/>
      <c r="H1479" s="54" t="str">
        <f t="shared" si="1"/>
        <v>blow,</v>
      </c>
      <c r="I1479" s="50"/>
      <c r="J1479" s="50" t="s">
        <v>1182</v>
      </c>
      <c r="K1479" s="50" t="s">
        <v>4088</v>
      </c>
      <c r="L1479" s="49" t="str">
        <f>IFERROR(__xludf.DUMMYFUNCTION("""COMPUTED_VALUE"""),"sprawling")</f>
        <v>sprawling</v>
      </c>
      <c r="M1479" s="49"/>
      <c r="N1479" s="49"/>
      <c r="O1479" s="49" t="str">
        <f>IFERROR(__xludf.DUMMYFUNCTION("""COMPUTED_VALUE"""),"versions")</f>
        <v>versions</v>
      </c>
      <c r="P1479" s="49" t="str">
        <f t="shared" si="2"/>
        <v>front,</v>
      </c>
      <c r="Q1479" s="49"/>
      <c r="R1479" s="50" t="s">
        <v>1751</v>
      </c>
      <c r="S1479" s="55" t="s">
        <v>3911</v>
      </c>
      <c r="T1479" s="49" t="str">
        <f>IFERROR(__xludf.DUMMYFUNCTION("""COMPUTED_VALUE"""),"touched")</f>
        <v>touched</v>
      </c>
      <c r="U1479" s="49"/>
      <c r="V1479" s="49"/>
      <c r="W1479" s="49" t="str">
        <f>IFERROR(__xludf.DUMMYFUNCTION("""COMPUTED_VALUE"""),"partly")</f>
        <v>partly</v>
      </c>
      <c r="X1479" s="49" t="str">
        <f t="shared" si="3"/>
        <v>bolt,</v>
      </c>
      <c r="Y1479" s="49"/>
      <c r="Z1479" s="1" t="s">
        <v>2701</v>
      </c>
      <c r="AA1479" s="1" t="s">
        <v>1903</v>
      </c>
      <c r="AB1479" s="49"/>
      <c r="AC1479" s="49"/>
      <c r="AD1479" s="49"/>
      <c r="AE1479" s="49" t="str">
        <f>IFERROR(__xludf.DUMMYFUNCTION("""COMPUTED_VALUE"""),"versions")</f>
        <v>versions</v>
      </c>
      <c r="AF1479" s="49" t="str">
        <f t="shared" si="4"/>
        <v>indication,</v>
      </c>
      <c r="AG1479" s="49"/>
      <c r="AH1479" s="1" t="s">
        <v>3899</v>
      </c>
      <c r="AI1479" s="1" t="s">
        <v>660</v>
      </c>
      <c r="AJ1479" s="6">
        <f>IFERROR(__xludf.DUMMYFUNCTION("""COMPUTED_VALUE"""),7.0)</f>
        <v>7</v>
      </c>
      <c r="AK1479" s="49"/>
      <c r="AL1479" s="49"/>
      <c r="AM1479" s="49"/>
      <c r="AN1479" s="52" t="str">
        <f t="shared" si="5"/>
        <v>dean,</v>
      </c>
    </row>
    <row r="1480">
      <c r="A1480" s="51"/>
      <c r="B1480" s="50" t="s">
        <v>6611</v>
      </c>
      <c r="C1480" s="50" t="s">
        <v>4315</v>
      </c>
      <c r="D1480" s="49" t="str">
        <f>IFERROR(__xludf.DUMMYFUNCTION("""COMPUTED_VALUE"""),"else")</f>
        <v>else</v>
      </c>
      <c r="E1480" s="49"/>
      <c r="F1480" s="49"/>
      <c r="G1480" s="49"/>
      <c r="H1480" s="54" t="str">
        <f t="shared" si="1"/>
        <v>nobody,</v>
      </c>
      <c r="I1480" s="50"/>
      <c r="J1480" s="50" t="s">
        <v>2531</v>
      </c>
      <c r="K1480" s="50" t="s">
        <v>616</v>
      </c>
      <c r="L1480" s="49" t="str">
        <f>IFERROR(__xludf.DUMMYFUNCTION("""COMPUTED_VALUE"""),"iranian")</f>
        <v>iranian</v>
      </c>
      <c r="M1480" s="49"/>
      <c r="N1480" s="49"/>
      <c r="O1480" s="49" t="str">
        <f>IFERROR(__xludf.DUMMYFUNCTION("""COMPUTED_VALUE"""),"passions")</f>
        <v>passions</v>
      </c>
      <c r="P1480" s="49" t="str">
        <f t="shared" si="2"/>
        <v>recommendation,</v>
      </c>
      <c r="Q1480" s="49"/>
      <c r="R1480" s="50" t="s">
        <v>3485</v>
      </c>
      <c r="S1480" s="55" t="s">
        <v>1258</v>
      </c>
      <c r="T1480" s="49" t="str">
        <f>IFERROR(__xludf.DUMMYFUNCTION("""COMPUTED_VALUE"""),"racist")</f>
        <v>racist</v>
      </c>
      <c r="U1480" s="49"/>
      <c r="V1480" s="49"/>
      <c r="W1480" s="49" t="str">
        <f>IFERROR(__xludf.DUMMYFUNCTION("""COMPUTED_VALUE"""),"illuminated")</f>
        <v>illuminated</v>
      </c>
      <c r="X1480" s="49" t="str">
        <f t="shared" si="3"/>
        <v>convinced,</v>
      </c>
      <c r="Y1480" s="49"/>
      <c r="Z1480" s="1" t="s">
        <v>6535</v>
      </c>
      <c r="AA1480" s="1" t="s">
        <v>4581</v>
      </c>
      <c r="AB1480" s="49"/>
      <c r="AC1480" s="49"/>
      <c r="AD1480" s="49"/>
      <c r="AE1480" s="49" t="str">
        <f>IFERROR(__xludf.DUMMYFUNCTION("""COMPUTED_VALUE"""),"passions")</f>
        <v>passions</v>
      </c>
      <c r="AF1480" s="49" t="str">
        <f t="shared" si="4"/>
        <v>focus,</v>
      </c>
      <c r="AG1480" s="49"/>
      <c r="AH1480" s="1" t="s">
        <v>4717</v>
      </c>
      <c r="AI1480" s="1" t="s">
        <v>3775</v>
      </c>
      <c r="AJ1480" s="6" t="str">
        <f>IFERROR(__xludf.DUMMYFUNCTION("""COMPUTED_VALUE"""),"west")</f>
        <v>west</v>
      </c>
      <c r="AK1480" s="49"/>
      <c r="AL1480" s="49"/>
      <c r="AM1480" s="49"/>
      <c r="AN1480" s="52" t="str">
        <f t="shared" si="5"/>
        <v>thousands,</v>
      </c>
    </row>
    <row r="1481">
      <c r="A1481" s="51"/>
      <c r="B1481" s="50" t="s">
        <v>5428</v>
      </c>
      <c r="C1481" s="50" t="s">
        <v>4153</v>
      </c>
      <c r="D1481" s="49" t="str">
        <f>IFERROR(__xludf.DUMMYFUNCTION("""COMPUTED_VALUE"""),"rain")</f>
        <v>rain</v>
      </c>
      <c r="E1481" s="49"/>
      <c r="F1481" s="49"/>
      <c r="G1481" s="49"/>
      <c r="H1481" s="54" t="str">
        <f t="shared" si="1"/>
        <v>curious,</v>
      </c>
      <c r="I1481" s="50"/>
      <c r="J1481" s="50" t="s">
        <v>2269</v>
      </c>
      <c r="K1481" s="50" t="s">
        <v>242</v>
      </c>
      <c r="L1481" s="49" t="str">
        <f>IFERROR(__xludf.DUMMYFUNCTION("""COMPUTED_VALUE"""),"entity")</f>
        <v>entity</v>
      </c>
      <c r="M1481" s="49"/>
      <c r="N1481" s="49"/>
      <c r="O1481" s="49" t="str">
        <f>IFERROR(__xludf.DUMMYFUNCTION("""COMPUTED_VALUE"""),"pursuing")</f>
        <v>pursuing</v>
      </c>
      <c r="P1481" s="49" t="str">
        <f t="shared" si="2"/>
        <v>na,</v>
      </c>
      <c r="Q1481" s="49"/>
      <c r="R1481" s="50" t="s">
        <v>521</v>
      </c>
      <c r="S1481" s="55" t="s">
        <v>2648</v>
      </c>
      <c r="T1481" s="49" t="str">
        <f>IFERROR(__xludf.DUMMYFUNCTION("""COMPUTED_VALUE"""),"mistress")</f>
        <v>mistress</v>
      </c>
      <c r="U1481" s="49"/>
      <c r="V1481" s="49"/>
      <c r="W1481" s="49" t="str">
        <f>IFERROR(__xludf.DUMMYFUNCTION("""COMPUTED_VALUE"""),"franklin")</f>
        <v>franklin</v>
      </c>
      <c r="X1481" s="49" t="str">
        <f t="shared" si="3"/>
        <v>morality,</v>
      </c>
      <c r="Y1481" s="49"/>
      <c r="Z1481" s="1" t="s">
        <v>4233</v>
      </c>
      <c r="AA1481" s="1" t="s">
        <v>4583</v>
      </c>
      <c r="AB1481" s="49"/>
      <c r="AC1481" s="49"/>
      <c r="AD1481" s="49"/>
      <c r="AE1481" s="49" t="str">
        <f>IFERROR(__xludf.DUMMYFUNCTION("""COMPUTED_VALUE"""),"pursuing")</f>
        <v>pursuing</v>
      </c>
      <c r="AF1481" s="49" t="str">
        <f t="shared" si="4"/>
        <v>aside,</v>
      </c>
      <c r="AG1481" s="49"/>
      <c r="AH1481" s="1" t="s">
        <v>6774</v>
      </c>
      <c r="AI1481" s="1" t="s">
        <v>2614</v>
      </c>
      <c r="AJ1481" s="6" t="str">
        <f>IFERROR(__xludf.DUMMYFUNCTION("""COMPUTED_VALUE"""),"smith")</f>
        <v>smith</v>
      </c>
      <c r="AK1481" s="49"/>
      <c r="AL1481" s="49"/>
      <c r="AM1481" s="49"/>
      <c r="AN1481" s="52" t="str">
        <f t="shared" si="5"/>
        <v>gotten,</v>
      </c>
    </row>
    <row r="1482">
      <c r="A1482" s="51"/>
      <c r="B1482" s="50" t="s">
        <v>4247</v>
      </c>
      <c r="C1482" s="50" t="s">
        <v>4163</v>
      </c>
      <c r="D1482" s="49" t="str">
        <f>IFERROR(__xludf.DUMMYFUNCTION("""COMPUTED_VALUE"""),"generated")</f>
        <v>generated</v>
      </c>
      <c r="E1482" s="49"/>
      <c r="F1482" s="49"/>
      <c r="G1482" s="49"/>
      <c r="H1482" s="54" t="str">
        <f t="shared" si="1"/>
        <v>hearts,</v>
      </c>
      <c r="I1482" s="50"/>
      <c r="J1482" s="50" t="s">
        <v>802</v>
      </c>
      <c r="K1482" s="50" t="s">
        <v>1486</v>
      </c>
      <c r="L1482" s="49" t="str">
        <f>IFERROR(__xludf.DUMMYFUNCTION("""COMPUTED_VALUE"""),"importance")</f>
        <v>importance</v>
      </c>
      <c r="M1482" s="49"/>
      <c r="N1482" s="49"/>
      <c r="O1482" s="49" t="str">
        <f>IFERROR(__xludf.DUMMYFUNCTION("""COMPUTED_VALUE"""),"seduce")</f>
        <v>seduce</v>
      </c>
      <c r="P1482" s="49" t="str">
        <f t="shared" si="2"/>
        <v>collapse,</v>
      </c>
      <c r="Q1482" s="49"/>
      <c r="R1482" s="50" t="s">
        <v>4941</v>
      </c>
      <c r="S1482" s="55" t="s">
        <v>4408</v>
      </c>
      <c r="T1482" s="49" t="str">
        <f>IFERROR(__xludf.DUMMYFUNCTION("""COMPUTED_VALUE"""),"densely")</f>
        <v>densely</v>
      </c>
      <c r="U1482" s="49"/>
      <c r="V1482" s="49"/>
      <c r="W1482" s="49" t="str">
        <f>IFERROR(__xludf.DUMMYFUNCTION("""COMPUTED_VALUE"""),"turks")</f>
        <v>turks</v>
      </c>
      <c r="X1482" s="49" t="str">
        <f t="shared" si="3"/>
        <v>candy,</v>
      </c>
      <c r="Y1482" s="49"/>
      <c r="Z1482" s="1" t="s">
        <v>2570</v>
      </c>
      <c r="AA1482" s="1" t="s">
        <v>3497</v>
      </c>
      <c r="AB1482" s="49"/>
      <c r="AC1482" s="49"/>
      <c r="AD1482" s="49"/>
      <c r="AE1482" s="49" t="str">
        <f>IFERROR(__xludf.DUMMYFUNCTION("""COMPUTED_VALUE"""),"seduce")</f>
        <v>seduce</v>
      </c>
      <c r="AF1482" s="49" t="str">
        <f t="shared" si="4"/>
        <v>finally,</v>
      </c>
      <c r="AG1482" s="49"/>
      <c r="AH1482" s="1" t="s">
        <v>1894</v>
      </c>
      <c r="AI1482" s="1" t="s">
        <v>4884</v>
      </c>
      <c r="AJ1482" s="6" t="str">
        <f>IFERROR(__xludf.DUMMYFUNCTION("""COMPUTED_VALUE"""),"1960s")</f>
        <v>1960s</v>
      </c>
      <c r="AK1482" s="49"/>
      <c r="AL1482" s="49"/>
      <c r="AM1482" s="49"/>
      <c r="AN1482" s="52" t="str">
        <f t="shared" si="5"/>
        <v>welcome,</v>
      </c>
    </row>
    <row r="1483">
      <c r="A1483" s="51"/>
      <c r="B1483" s="50" t="s">
        <v>1478</v>
      </c>
      <c r="C1483" s="50" t="s">
        <v>4178</v>
      </c>
      <c r="D1483" s="49" t="str">
        <f>IFERROR(__xludf.DUMMYFUNCTION("""COMPUTED_VALUE"""),"lighting")</f>
        <v>lighting</v>
      </c>
      <c r="E1483" s="49"/>
      <c r="F1483" s="49"/>
      <c r="G1483" s="49"/>
      <c r="H1483" s="54" t="str">
        <f t="shared" si="1"/>
        <v>season,</v>
      </c>
      <c r="I1483" s="50"/>
      <c r="J1483" s="50" t="s">
        <v>1977</v>
      </c>
      <c r="K1483" s="50" t="s">
        <v>4588</v>
      </c>
      <c r="L1483" s="49" t="str">
        <f>IFERROR(__xludf.DUMMYFUNCTION("""COMPUTED_VALUE"""),"pa")</f>
        <v>pa</v>
      </c>
      <c r="M1483" s="49"/>
      <c r="N1483" s="49"/>
      <c r="O1483" s="49" t="str">
        <f>IFERROR(__xludf.DUMMYFUNCTION("""COMPUTED_VALUE"""),"stealing")</f>
        <v>stealing</v>
      </c>
      <c r="P1483" s="49" t="str">
        <f t="shared" si="2"/>
        <v>longer,</v>
      </c>
      <c r="Q1483" s="49"/>
      <c r="R1483" s="50" t="s">
        <v>2016</v>
      </c>
      <c r="S1483" s="55" t="s">
        <v>1409</v>
      </c>
      <c r="T1483" s="49" t="str">
        <f>IFERROR(__xludf.DUMMYFUNCTION("""COMPUTED_VALUE"""),"harvesting")</f>
        <v>harvesting</v>
      </c>
      <c r="U1483" s="49"/>
      <c r="V1483" s="49"/>
      <c r="W1483" s="49" t="str">
        <f>IFERROR(__xludf.DUMMYFUNCTION("""COMPUTED_VALUE"""),"sap")</f>
        <v>sap</v>
      </c>
      <c r="X1483" s="49" t="str">
        <f t="shared" si="3"/>
        <v>laughter,</v>
      </c>
      <c r="Y1483" s="49"/>
      <c r="Z1483" s="1" t="s">
        <v>1770</v>
      </c>
      <c r="AA1483" s="1" t="s">
        <v>3495</v>
      </c>
      <c r="AB1483" s="49"/>
      <c r="AC1483" s="49"/>
      <c r="AD1483" s="49"/>
      <c r="AE1483" s="49" t="str">
        <f>IFERROR(__xludf.DUMMYFUNCTION("""COMPUTED_VALUE"""),"stealing")</f>
        <v>stealing</v>
      </c>
      <c r="AF1483" s="49" t="str">
        <f t="shared" si="4"/>
        <v>remarkable,</v>
      </c>
      <c r="AG1483" s="49"/>
      <c r="AH1483" s="1" t="s">
        <v>6548</v>
      </c>
      <c r="AI1483" s="1" t="s">
        <v>1478</v>
      </c>
      <c r="AJ1483" s="6" t="str">
        <f>IFERROR(__xludf.DUMMYFUNCTION("""COMPUTED_VALUE"""),"chosen")</f>
        <v>chosen</v>
      </c>
      <c r="AK1483" s="49"/>
      <c r="AL1483" s="49"/>
      <c r="AM1483" s="49"/>
      <c r="AN1483" s="52" t="str">
        <f t="shared" si="5"/>
        <v>elsewhere,</v>
      </c>
    </row>
    <row r="1484">
      <c r="A1484" s="51"/>
      <c r="B1484" s="50">
        <v>1997.0</v>
      </c>
      <c r="C1484" s="50" t="s">
        <v>4407</v>
      </c>
      <c r="D1484" s="49" t="str">
        <f>IFERROR(__xludf.DUMMYFUNCTION("""COMPUTED_VALUE"""),"season")</f>
        <v>season</v>
      </c>
      <c r="E1484" s="49"/>
      <c r="F1484" s="49"/>
      <c r="G1484" s="49"/>
      <c r="H1484" s="54" t="str">
        <f t="shared" si="1"/>
        <v>1997,</v>
      </c>
      <c r="I1484" s="50"/>
      <c r="J1484" s="50" t="s">
        <v>3999</v>
      </c>
      <c r="K1484" s="50" t="s">
        <v>2907</v>
      </c>
      <c r="L1484" s="49" t="str">
        <f>IFERROR(__xludf.DUMMYFUNCTION("""COMPUTED_VALUE"""),"buttons")</f>
        <v>buttons</v>
      </c>
      <c r="M1484" s="49"/>
      <c r="N1484" s="49"/>
      <c r="O1484" s="49" t="str">
        <f>IFERROR(__xludf.DUMMYFUNCTION("""COMPUTED_VALUE"""),"vittorio")</f>
        <v>vittorio</v>
      </c>
      <c r="P1484" s="49" t="str">
        <f t="shared" si="2"/>
        <v>charms,</v>
      </c>
      <c r="Q1484" s="49"/>
      <c r="R1484" s="50" t="s">
        <v>4444</v>
      </c>
      <c r="S1484" s="55" t="s">
        <v>1781</v>
      </c>
      <c r="T1484" s="49" t="str">
        <f>IFERROR(__xludf.DUMMYFUNCTION("""COMPUTED_VALUE"""),"pointed")</f>
        <v>pointed</v>
      </c>
      <c r="U1484" s="49"/>
      <c r="V1484" s="49"/>
      <c r="W1484" s="49" t="str">
        <f>IFERROR(__xludf.DUMMYFUNCTION("""COMPUTED_VALUE"""),"jon")</f>
        <v>jon</v>
      </c>
      <c r="X1484" s="49" t="str">
        <f t="shared" si="3"/>
        <v>laughing,</v>
      </c>
      <c r="Y1484" s="49"/>
      <c r="Z1484" s="1" t="s">
        <v>4528</v>
      </c>
      <c r="AA1484" s="1" t="s">
        <v>4589</v>
      </c>
      <c r="AB1484" s="49"/>
      <c r="AC1484" s="49"/>
      <c r="AD1484" s="49"/>
      <c r="AE1484" s="49" t="str">
        <f>IFERROR(__xludf.DUMMYFUNCTION("""COMPUTED_VALUE"""),"vittorio")</f>
        <v>vittorio</v>
      </c>
      <c r="AF1484" s="49" t="str">
        <f t="shared" si="4"/>
        <v>onto,</v>
      </c>
      <c r="AG1484" s="49"/>
      <c r="AH1484" s="1" t="s">
        <v>2102</v>
      </c>
      <c r="AI1484" s="1" t="s">
        <v>3781</v>
      </c>
      <c r="AJ1484" s="6" t="str">
        <f>IFERROR(__xludf.DUMMYFUNCTION("""COMPUTED_VALUE"""),"allows")</f>
        <v>allows</v>
      </c>
      <c r="AK1484" s="49"/>
      <c r="AL1484" s="49"/>
      <c r="AM1484" s="49"/>
      <c r="AN1484" s="52" t="str">
        <f t="shared" si="5"/>
        <v>oscar,</v>
      </c>
    </row>
    <row r="1485">
      <c r="A1485" s="51"/>
      <c r="B1485" s="50" t="s">
        <v>2010</v>
      </c>
      <c r="C1485" s="50" t="s">
        <v>2538</v>
      </c>
      <c r="D1485" s="49" t="str">
        <f>IFERROR(__xludf.DUMMYFUNCTION("""COMPUTED_VALUE"""),"expression")</f>
        <v>expression</v>
      </c>
      <c r="E1485" s="49"/>
      <c r="F1485" s="49"/>
      <c r="G1485" s="49"/>
      <c r="H1485" s="54" t="str">
        <f t="shared" si="1"/>
        <v>competition,</v>
      </c>
      <c r="I1485" s="50"/>
      <c r="J1485" s="50" t="s">
        <v>1871</v>
      </c>
      <c r="K1485" s="50" t="s">
        <v>4590</v>
      </c>
      <c r="L1485" s="49" t="str">
        <f>IFERROR(__xludf.DUMMYFUNCTION("""COMPUTED_VALUE"""),"penetrating")</f>
        <v>penetrating</v>
      </c>
      <c r="M1485" s="49"/>
      <c r="N1485" s="49"/>
      <c r="O1485" s="49" t="str">
        <f>IFERROR(__xludf.DUMMYFUNCTION("""COMPUTED_VALUE"""),"nash")</f>
        <v>nash</v>
      </c>
      <c r="P1485" s="49" t="str">
        <f t="shared" si="2"/>
        <v>blend,</v>
      </c>
      <c r="Q1485" s="49"/>
      <c r="R1485" s="50" t="s">
        <v>7390</v>
      </c>
      <c r="S1485" s="55" t="s">
        <v>6516</v>
      </c>
      <c r="T1485" s="49" t="str">
        <f>IFERROR(__xludf.DUMMYFUNCTION("""COMPUTED_VALUE"""),"gear")</f>
        <v>gear</v>
      </c>
      <c r="U1485" s="49"/>
      <c r="V1485" s="49"/>
      <c r="W1485" s="49" t="str">
        <f>IFERROR(__xludf.DUMMYFUNCTION("""COMPUTED_VALUE"""),"vain")</f>
        <v>vain</v>
      </c>
      <c r="X1485" s="49" t="str">
        <f t="shared" si="3"/>
        <v>ho,</v>
      </c>
      <c r="Y1485" s="49"/>
      <c r="Z1485" s="1" t="s">
        <v>1277</v>
      </c>
      <c r="AA1485" s="1" t="s">
        <v>3502</v>
      </c>
      <c r="AB1485" s="49"/>
      <c r="AC1485" s="49"/>
      <c r="AD1485" s="49"/>
      <c r="AE1485" s="49" t="str">
        <f>IFERROR(__xludf.DUMMYFUNCTION("""COMPUTED_VALUE"""),"nash")</f>
        <v>nash</v>
      </c>
      <c r="AF1485" s="49" t="str">
        <f t="shared" si="4"/>
        <v>screenwriter,</v>
      </c>
      <c r="AG1485" s="49"/>
      <c r="AH1485" s="1" t="s">
        <v>6152</v>
      </c>
      <c r="AI1485" s="1" t="s">
        <v>4464</v>
      </c>
      <c r="AJ1485" s="6" t="str">
        <f>IFERROR(__xludf.DUMMYFUNCTION("""COMPUTED_VALUE"""),"scoring")</f>
        <v>scoring</v>
      </c>
      <c r="AK1485" s="49"/>
      <c r="AL1485" s="49"/>
      <c r="AM1485" s="49"/>
      <c r="AN1485" s="52" t="str">
        <f t="shared" si="5"/>
        <v>wide,</v>
      </c>
    </row>
    <row r="1486">
      <c r="A1486" s="51"/>
      <c r="B1486" s="50" t="s">
        <v>5812</v>
      </c>
      <c r="C1486" s="50" t="s">
        <v>2537</v>
      </c>
      <c r="D1486" s="49" t="str">
        <f>IFERROR(__xludf.DUMMYFUNCTION("""COMPUTED_VALUE"""),"resist")</f>
        <v>resist</v>
      </c>
      <c r="E1486" s="49"/>
      <c r="F1486" s="49"/>
      <c r="G1486" s="49"/>
      <c r="H1486" s="54" t="str">
        <f t="shared" si="1"/>
        <v>press,</v>
      </c>
      <c r="I1486" s="50"/>
      <c r="J1486" s="50" t="s">
        <v>3423</v>
      </c>
      <c r="K1486" s="50" t="s">
        <v>2761</v>
      </c>
      <c r="L1486" s="49" t="str">
        <f>IFERROR(__xludf.DUMMYFUNCTION("""COMPUTED_VALUE"""),"catching")</f>
        <v>catching</v>
      </c>
      <c r="M1486" s="49"/>
      <c r="N1486" s="49"/>
      <c r="O1486" s="49" t="str">
        <f>IFERROR(__xludf.DUMMYFUNCTION("""COMPUTED_VALUE"""),"microscope")</f>
        <v>microscope</v>
      </c>
      <c r="P1486" s="49" t="str">
        <f t="shared" si="2"/>
        <v>entertain,</v>
      </c>
      <c r="Q1486" s="49"/>
      <c r="R1486" s="50" t="s">
        <v>244</v>
      </c>
      <c r="S1486" s="55" t="s">
        <v>3920</v>
      </c>
      <c r="T1486" s="49" t="str">
        <f>IFERROR(__xludf.DUMMYFUNCTION("""COMPUTED_VALUE"""),"foundation")</f>
        <v>foundation</v>
      </c>
      <c r="U1486" s="49"/>
      <c r="V1486" s="49"/>
      <c r="W1486" s="49" t="str">
        <f>IFERROR(__xludf.DUMMYFUNCTION("""COMPUTED_VALUE"""),"knockout")</f>
        <v>knockout</v>
      </c>
      <c r="X1486" s="49" t="str">
        <f t="shared" si="3"/>
        <v>finish,</v>
      </c>
      <c r="Y1486" s="49"/>
      <c r="Z1486" s="1" t="s">
        <v>2220</v>
      </c>
      <c r="AA1486" s="1" t="s">
        <v>2952</v>
      </c>
      <c r="AB1486" s="49"/>
      <c r="AC1486" s="49"/>
      <c r="AD1486" s="49"/>
      <c r="AE1486" s="49" t="str">
        <f>IFERROR(__xludf.DUMMYFUNCTION("""COMPUTED_VALUE"""),"microscope")</f>
        <v>microscope</v>
      </c>
      <c r="AF1486" s="49" t="str">
        <f t="shared" si="4"/>
        <v>chase,</v>
      </c>
      <c r="AG1486" s="49"/>
      <c r="AH1486" s="1" t="s">
        <v>3847</v>
      </c>
      <c r="AI1486" s="1" t="s">
        <v>4064</v>
      </c>
      <c r="AJ1486" s="6" t="str">
        <f>IFERROR(__xludf.DUMMYFUNCTION("""COMPUTED_VALUE"""),"north")</f>
        <v>north</v>
      </c>
      <c r="AK1486" s="49"/>
      <c r="AL1486" s="49"/>
      <c r="AM1486" s="49"/>
      <c r="AN1486" s="52" t="str">
        <f t="shared" si="5"/>
        <v>greater,</v>
      </c>
    </row>
    <row r="1487">
      <c r="A1487" s="51"/>
      <c r="B1487" s="50" t="s">
        <v>2343</v>
      </c>
      <c r="C1487" s="50" t="s">
        <v>4165</v>
      </c>
      <c r="D1487" s="49" t="str">
        <f>IFERROR(__xludf.DUMMYFUNCTION("""COMPUTED_VALUE"""),"happy")</f>
        <v>happy</v>
      </c>
      <c r="E1487" s="49"/>
      <c r="F1487" s="49"/>
      <c r="G1487" s="49"/>
      <c r="H1487" s="54" t="str">
        <f t="shared" si="1"/>
        <v>beginning,</v>
      </c>
      <c r="I1487" s="50"/>
      <c r="J1487" s="50" t="s">
        <v>250</v>
      </c>
      <c r="K1487" s="50" t="s">
        <v>817</v>
      </c>
      <c r="L1487" s="49" t="str">
        <f>IFERROR(__xludf.DUMMYFUNCTION("""COMPUTED_VALUE"""),"strains")</f>
        <v>strains</v>
      </c>
      <c r="M1487" s="49"/>
      <c r="N1487" s="49"/>
      <c r="O1487" s="49" t="str">
        <f>IFERROR(__xludf.DUMMYFUNCTION("""COMPUTED_VALUE"""),"purity")</f>
        <v>purity</v>
      </c>
      <c r="P1487" s="49" t="str">
        <f t="shared" si="2"/>
        <v>portrayal,</v>
      </c>
      <c r="Q1487" s="49"/>
      <c r="R1487" s="50" t="s">
        <v>3715</v>
      </c>
      <c r="S1487" s="55" t="s">
        <v>2652</v>
      </c>
      <c r="T1487" s="49" t="str">
        <f>IFERROR(__xludf.DUMMYFUNCTION("""COMPUTED_VALUE"""),"jerking")</f>
        <v>jerking</v>
      </c>
      <c r="U1487" s="49"/>
      <c r="V1487" s="49"/>
      <c r="W1487" s="49" t="str">
        <f>IFERROR(__xludf.DUMMYFUNCTION("""COMPUTED_VALUE"""),"wryly")</f>
        <v>wryly</v>
      </c>
      <c r="X1487" s="49" t="str">
        <f t="shared" si="3"/>
        <v>wander,</v>
      </c>
      <c r="Y1487" s="49"/>
      <c r="Z1487" s="1" t="s">
        <v>6356</v>
      </c>
      <c r="AA1487" s="1" t="s">
        <v>1906</v>
      </c>
      <c r="AB1487" s="49"/>
      <c r="AC1487" s="49"/>
      <c r="AD1487" s="49"/>
      <c r="AE1487" s="49" t="str">
        <f>IFERROR(__xludf.DUMMYFUNCTION("""COMPUTED_VALUE"""),"purity")</f>
        <v>purity</v>
      </c>
      <c r="AF1487" s="49" t="str">
        <f t="shared" si="4"/>
        <v>excellent,</v>
      </c>
      <c r="AG1487" s="49"/>
      <c r="AH1487" s="1" t="s">
        <v>6886</v>
      </c>
      <c r="AI1487" s="1" t="s">
        <v>5116</v>
      </c>
      <c r="AJ1487" s="6" t="str">
        <f>IFERROR(__xludf.DUMMYFUNCTION("""COMPUTED_VALUE"""),"rather")</f>
        <v>rather</v>
      </c>
      <c r="AK1487" s="49"/>
      <c r="AL1487" s="49"/>
      <c r="AM1487" s="49"/>
      <c r="AN1487" s="52" t="str">
        <f t="shared" si="5"/>
        <v>attempted,</v>
      </c>
    </row>
    <row r="1488">
      <c r="A1488" s="51"/>
      <c r="B1488" s="50" t="s">
        <v>3161</v>
      </c>
      <c r="C1488" s="50" t="s">
        <v>4168</v>
      </c>
      <c r="D1488" s="49" t="str">
        <f>IFERROR(__xludf.DUMMYFUNCTION("""COMPUTED_VALUE"""),"array")</f>
        <v>array</v>
      </c>
      <c r="E1488" s="49"/>
      <c r="F1488" s="49"/>
      <c r="G1488" s="49"/>
      <c r="H1488" s="54" t="str">
        <f t="shared" si="1"/>
        <v>prime,</v>
      </c>
      <c r="I1488" s="50"/>
      <c r="J1488" s="50" t="s">
        <v>2376</v>
      </c>
      <c r="K1488" s="50" t="s">
        <v>4098</v>
      </c>
      <c r="L1488" s="49" t="str">
        <f>IFERROR(__xludf.DUMMYFUNCTION("""COMPUTED_VALUE"""),"updated")</f>
        <v>updated</v>
      </c>
      <c r="M1488" s="49"/>
      <c r="N1488" s="49"/>
      <c r="O1488" s="49" t="str">
        <f>IFERROR(__xludf.DUMMYFUNCTION("""COMPUTED_VALUE"""),"puzzled")</f>
        <v>puzzled</v>
      </c>
      <c r="P1488" s="49" t="str">
        <f t="shared" si="2"/>
        <v>enjoyable,</v>
      </c>
      <c r="Q1488" s="49"/>
      <c r="R1488" s="50" t="s">
        <v>6480</v>
      </c>
      <c r="S1488" s="55" t="s">
        <v>1189</v>
      </c>
      <c r="T1488" s="49" t="str">
        <f>IFERROR(__xludf.DUMMYFUNCTION("""COMPUTED_VALUE"""),"costly")</f>
        <v>costly</v>
      </c>
      <c r="U1488" s="49"/>
      <c r="V1488" s="49"/>
      <c r="W1488" s="49" t="str">
        <f>IFERROR(__xludf.DUMMYFUNCTION("""COMPUTED_VALUE"""),"ed")</f>
        <v>ed</v>
      </c>
      <c r="X1488" s="49" t="str">
        <f t="shared" si="3"/>
        <v>selection,</v>
      </c>
      <c r="Y1488" s="49"/>
      <c r="Z1488" s="1" t="s">
        <v>675</v>
      </c>
      <c r="AA1488" s="1" t="s">
        <v>4592</v>
      </c>
      <c r="AB1488" s="49"/>
      <c r="AC1488" s="49"/>
      <c r="AD1488" s="49"/>
      <c r="AE1488" s="49" t="str">
        <f>IFERROR(__xludf.DUMMYFUNCTION("""COMPUTED_VALUE"""),"puzzled")</f>
        <v>puzzled</v>
      </c>
      <c r="AF1488" s="49" t="str">
        <f t="shared" si="4"/>
        <v>lifeless,</v>
      </c>
      <c r="AG1488" s="49"/>
      <c r="AH1488" s="1" t="s">
        <v>4687</v>
      </c>
      <c r="AI1488" s="1" t="s">
        <v>2289</v>
      </c>
      <c r="AJ1488" s="6" t="str">
        <f>IFERROR(__xludf.DUMMYFUNCTION("""COMPUTED_VALUE"""),"alone")</f>
        <v>alone</v>
      </c>
      <c r="AK1488" s="49"/>
      <c r="AL1488" s="49"/>
      <c r="AM1488" s="49"/>
      <c r="AN1488" s="52" t="str">
        <f t="shared" si="5"/>
        <v>web,</v>
      </c>
    </row>
    <row r="1489">
      <c r="A1489" s="51"/>
      <c r="B1489" s="50" t="s">
        <v>764</v>
      </c>
      <c r="C1489" s="50" t="s">
        <v>4172</v>
      </c>
      <c r="D1489" s="49" t="str">
        <f>IFERROR(__xludf.DUMMYFUNCTION("""COMPUTED_VALUE"""),"pulse")</f>
        <v>pulse</v>
      </c>
      <c r="E1489" s="49"/>
      <c r="F1489" s="49"/>
      <c r="G1489" s="49"/>
      <c r="H1489" s="54" t="str">
        <f t="shared" si="1"/>
        <v>dog,</v>
      </c>
      <c r="I1489" s="50"/>
      <c r="J1489" s="50" t="s">
        <v>2670</v>
      </c>
      <c r="K1489" s="50" t="s">
        <v>3941</v>
      </c>
      <c r="L1489" s="49" t="str">
        <f>IFERROR(__xludf.DUMMYFUNCTION("""COMPUTED_VALUE"""),"plainly")</f>
        <v>plainly</v>
      </c>
      <c r="M1489" s="49"/>
      <c r="N1489" s="49"/>
      <c r="O1489" s="49" t="str">
        <f>IFERROR(__xludf.DUMMYFUNCTION("""COMPUTED_VALUE"""),"jet")</f>
        <v>jet</v>
      </c>
      <c r="P1489" s="49" t="str">
        <f t="shared" si="2"/>
        <v>finest,</v>
      </c>
      <c r="Q1489" s="49"/>
      <c r="R1489" s="50" t="s">
        <v>3408</v>
      </c>
      <c r="S1489" s="55" t="s">
        <v>2150</v>
      </c>
      <c r="T1489" s="49" t="str">
        <f>IFERROR(__xludf.DUMMYFUNCTION("""COMPUTED_VALUE"""),"expressions")</f>
        <v>expressions</v>
      </c>
      <c r="U1489" s="49"/>
      <c r="V1489" s="49"/>
      <c r="W1489" s="49" t="str">
        <f>IFERROR(__xludf.DUMMYFUNCTION("""COMPUTED_VALUE"""),"outline")</f>
        <v>outline</v>
      </c>
      <c r="X1489" s="49" t="str">
        <f t="shared" si="3"/>
        <v>surely,</v>
      </c>
      <c r="Y1489" s="49"/>
      <c r="Z1489" s="1" t="s">
        <v>1902</v>
      </c>
      <c r="AA1489" s="1" t="s">
        <v>1912</v>
      </c>
      <c r="AB1489" s="49"/>
      <c r="AC1489" s="49"/>
      <c r="AD1489" s="49"/>
      <c r="AE1489" s="49" t="str">
        <f>IFERROR(__xludf.DUMMYFUNCTION("""COMPUTED_VALUE"""),"jet")</f>
        <v>jet</v>
      </c>
      <c r="AF1489" s="49" t="str">
        <f t="shared" si="4"/>
        <v>soon,</v>
      </c>
      <c r="AG1489" s="49"/>
      <c r="AH1489" s="1" t="s">
        <v>6280</v>
      </c>
      <c r="AI1489" s="1" t="s">
        <v>2716</v>
      </c>
      <c r="AJ1489" s="6" t="str">
        <f>IFERROR(__xludf.DUMMYFUNCTION("""COMPUTED_VALUE"""),"pay")</f>
        <v>pay</v>
      </c>
      <c r="AK1489" s="49"/>
      <c r="AL1489" s="49"/>
      <c r="AM1489" s="49"/>
      <c r="AN1489" s="52" t="str">
        <f t="shared" si="5"/>
        <v>anymore,</v>
      </c>
    </row>
    <row r="1490">
      <c r="A1490" s="51"/>
      <c r="B1490" s="50" t="s">
        <v>7143</v>
      </c>
      <c r="C1490" s="50" t="s">
        <v>5252</v>
      </c>
      <c r="D1490" s="49" t="str">
        <f>IFERROR(__xludf.DUMMYFUNCTION("""COMPUTED_VALUE"""),"lifted")</f>
        <v>lifted</v>
      </c>
      <c r="E1490" s="49"/>
      <c r="F1490" s="49"/>
      <c r="G1490" s="49"/>
      <c r="H1490" s="54" t="str">
        <f t="shared" si="1"/>
        <v>candidate,</v>
      </c>
      <c r="I1490" s="50"/>
      <c r="J1490" s="50" t="s">
        <v>1102</v>
      </c>
      <c r="K1490" s="50" t="s">
        <v>1494</v>
      </c>
      <c r="L1490" s="49" t="str">
        <f>IFERROR(__xludf.DUMMYFUNCTION("""COMPUTED_VALUE"""),"vibrant")</f>
        <v>vibrant</v>
      </c>
      <c r="M1490" s="49"/>
      <c r="N1490" s="49"/>
      <c r="O1490" s="49" t="str">
        <f>IFERROR(__xludf.DUMMYFUNCTION("""COMPUTED_VALUE"""),"fictional")</f>
        <v>fictional</v>
      </c>
      <c r="P1490" s="49" t="str">
        <f t="shared" si="2"/>
        <v>carried,</v>
      </c>
      <c r="Q1490" s="49"/>
      <c r="R1490" s="50" t="s">
        <v>2963</v>
      </c>
      <c r="S1490" s="55" t="s">
        <v>2751</v>
      </c>
      <c r="T1490" s="49" t="str">
        <f>IFERROR(__xludf.DUMMYFUNCTION("""COMPUTED_VALUE"""),"paradigm")</f>
        <v>paradigm</v>
      </c>
      <c r="U1490" s="49"/>
      <c r="V1490" s="49"/>
      <c r="W1490" s="49" t="str">
        <f>IFERROR(__xludf.DUMMYFUNCTION("""COMPUTED_VALUE"""),"fable")</f>
        <v>fable</v>
      </c>
      <c r="X1490" s="49" t="str">
        <f t="shared" si="3"/>
        <v>embarrassment,</v>
      </c>
      <c r="Y1490" s="49"/>
      <c r="Z1490" s="1" t="s">
        <v>2496</v>
      </c>
      <c r="AA1490" s="1" t="s">
        <v>304</v>
      </c>
      <c r="AB1490" s="49"/>
      <c r="AC1490" s="49"/>
      <c r="AD1490" s="49"/>
      <c r="AE1490" s="49" t="str">
        <f>IFERROR(__xludf.DUMMYFUNCTION("""COMPUTED_VALUE"""),"fictional")</f>
        <v>fictional</v>
      </c>
      <c r="AF1490" s="49" t="str">
        <f t="shared" si="4"/>
        <v>seats,</v>
      </c>
      <c r="AG1490" s="49"/>
      <c r="AH1490" s="1" t="s">
        <v>2925</v>
      </c>
      <c r="AI1490" s="1" t="s">
        <v>6497</v>
      </c>
      <c r="AJ1490" s="6" t="str">
        <f>IFERROR(__xludf.DUMMYFUNCTION("""COMPUTED_VALUE"""),"prison")</f>
        <v>prison</v>
      </c>
      <c r="AK1490" s="49"/>
      <c r="AL1490" s="49"/>
      <c r="AM1490" s="49"/>
      <c r="AN1490" s="52" t="str">
        <f t="shared" si="5"/>
        <v>guilty,</v>
      </c>
    </row>
    <row r="1491">
      <c r="A1491" s="51"/>
      <c r="B1491" s="50" t="s">
        <v>3899</v>
      </c>
      <c r="C1491" s="50" t="s">
        <v>6502</v>
      </c>
      <c r="D1491" s="49" t="str">
        <f>IFERROR(__xludf.DUMMYFUNCTION("""COMPUTED_VALUE"""),"pressed")</f>
        <v>pressed</v>
      </c>
      <c r="E1491" s="49"/>
      <c r="F1491" s="49"/>
      <c r="G1491" s="49"/>
      <c r="H1491" s="54" t="str">
        <f t="shared" si="1"/>
        <v>dean,</v>
      </c>
      <c r="I1491" s="50"/>
      <c r="J1491" s="50" t="s">
        <v>2625</v>
      </c>
      <c r="K1491" s="50" t="s">
        <v>2766</v>
      </c>
      <c r="L1491" s="49" t="str">
        <f>IFERROR(__xludf.DUMMYFUNCTION("""COMPUTED_VALUE"""),"aims")</f>
        <v>aims</v>
      </c>
      <c r="M1491" s="49"/>
      <c r="N1491" s="49"/>
      <c r="O1491" s="49" t="str">
        <f>IFERROR(__xludf.DUMMYFUNCTION("""COMPUTED_VALUE"""),"roster")</f>
        <v>roster</v>
      </c>
      <c r="P1491" s="49" t="str">
        <f t="shared" si="2"/>
        <v>resist,</v>
      </c>
      <c r="Q1491" s="49"/>
      <c r="R1491" s="50" t="s">
        <v>1400</v>
      </c>
      <c r="S1491" s="55" t="s">
        <v>2753</v>
      </c>
      <c r="T1491" s="49" t="str">
        <f>IFERROR(__xludf.DUMMYFUNCTION("""COMPUTED_VALUE"""),"forum")</f>
        <v>forum</v>
      </c>
      <c r="U1491" s="49"/>
      <c r="V1491" s="49"/>
      <c r="W1491" s="49" t="str">
        <f>IFERROR(__xludf.DUMMYFUNCTION("""COMPUTED_VALUE"""),"undertaken")</f>
        <v>undertaken</v>
      </c>
      <c r="X1491" s="49" t="str">
        <f t="shared" si="3"/>
        <v>proper,</v>
      </c>
      <c r="Y1491" s="49"/>
      <c r="Z1491" s="1" t="s">
        <v>3582</v>
      </c>
      <c r="AA1491" s="1" t="s">
        <v>3104</v>
      </c>
      <c r="AB1491" s="49"/>
      <c r="AC1491" s="49"/>
      <c r="AD1491" s="49"/>
      <c r="AE1491" s="49" t="str">
        <f>IFERROR(__xludf.DUMMYFUNCTION("""COMPUTED_VALUE"""),"roster")</f>
        <v>roster</v>
      </c>
      <c r="AF1491" s="49" t="str">
        <f t="shared" si="4"/>
        <v>routine,</v>
      </c>
      <c r="AG1491" s="49"/>
      <c r="AH1491" s="1" t="s">
        <v>6003</v>
      </c>
      <c r="AI1491" s="1" t="s">
        <v>6517</v>
      </c>
      <c r="AJ1491" s="6" t="str">
        <f>IFERROR(__xludf.DUMMYFUNCTION("""COMPUTED_VALUE"""),"duty")</f>
        <v>duty</v>
      </c>
      <c r="AK1491" s="49"/>
      <c r="AL1491" s="49"/>
      <c r="AM1491" s="49"/>
      <c r="AN1491" s="52" t="str">
        <f t="shared" si="5"/>
        <v>frequent,</v>
      </c>
    </row>
    <row r="1492">
      <c r="A1492" s="51"/>
      <c r="B1492" s="50" t="s">
        <v>4717</v>
      </c>
      <c r="C1492" s="50" t="s">
        <v>6394</v>
      </c>
      <c r="D1492" s="49" t="str">
        <f>IFERROR(__xludf.DUMMYFUNCTION("""COMPUTED_VALUE"""),"legs")</f>
        <v>legs</v>
      </c>
      <c r="E1492" s="49"/>
      <c r="F1492" s="49"/>
      <c r="G1492" s="49"/>
      <c r="H1492" s="54" t="str">
        <f t="shared" si="1"/>
        <v>thousands,</v>
      </c>
      <c r="I1492" s="50"/>
      <c r="J1492" s="50" t="s">
        <v>4507</v>
      </c>
      <c r="K1492" s="50" t="s">
        <v>2919</v>
      </c>
      <c r="L1492" s="49" t="str">
        <f>IFERROR(__xludf.DUMMYFUNCTION("""COMPUTED_VALUE"""),"exquisite")</f>
        <v>exquisite</v>
      </c>
      <c r="M1492" s="49"/>
      <c r="N1492" s="49"/>
      <c r="O1492" s="49" t="str">
        <f>IFERROR(__xludf.DUMMYFUNCTION("""COMPUTED_VALUE"""),"kathryn")</f>
        <v>kathryn</v>
      </c>
      <c r="P1492" s="49" t="str">
        <f t="shared" si="2"/>
        <v>pull,</v>
      </c>
      <c r="Q1492" s="49"/>
      <c r="R1492" s="50" t="s">
        <v>7391</v>
      </c>
      <c r="S1492" s="55" t="s">
        <v>3929</v>
      </c>
      <c r="T1492" s="49" t="str">
        <f>IFERROR(__xludf.DUMMYFUNCTION("""COMPUTED_VALUE"""),"redundant")</f>
        <v>redundant</v>
      </c>
      <c r="U1492" s="49"/>
      <c r="V1492" s="49"/>
      <c r="W1492" s="49" t="str">
        <f>IFERROR(__xludf.DUMMYFUNCTION("""COMPUTED_VALUE"""),"determination")</f>
        <v>determination</v>
      </c>
      <c r="X1492" s="49" t="str">
        <f t="shared" si="3"/>
        <v>boundary,</v>
      </c>
      <c r="Y1492" s="49"/>
      <c r="Z1492" s="1">
        <v>18.0</v>
      </c>
      <c r="AA1492" s="1" t="s">
        <v>2400</v>
      </c>
      <c r="AB1492" s="49"/>
      <c r="AC1492" s="49"/>
      <c r="AD1492" s="49"/>
      <c r="AE1492" s="49" t="str">
        <f>IFERROR(__xludf.DUMMYFUNCTION("""COMPUTED_VALUE"""),"kathryn")</f>
        <v>kathryn</v>
      </c>
      <c r="AF1492" s="49" t="str">
        <f t="shared" si="4"/>
        <v>18,</v>
      </c>
      <c r="AG1492" s="49"/>
      <c r="AH1492" s="1" t="s">
        <v>1451</v>
      </c>
      <c r="AI1492" s="1" t="s">
        <v>3402</v>
      </c>
      <c r="AJ1492" s="6" t="str">
        <f>IFERROR(__xludf.DUMMYFUNCTION("""COMPUTED_VALUE"""),"arrest")</f>
        <v>arrest</v>
      </c>
      <c r="AK1492" s="49"/>
      <c r="AL1492" s="49"/>
      <c r="AM1492" s="49"/>
      <c r="AN1492" s="52" t="str">
        <f t="shared" si="5"/>
        <v>crimes,</v>
      </c>
    </row>
    <row r="1493">
      <c r="A1493" s="51"/>
      <c r="B1493" s="50" t="s">
        <v>6774</v>
      </c>
      <c r="C1493" s="50" t="s">
        <v>4335</v>
      </c>
      <c r="D1493" s="49" t="str">
        <f>IFERROR(__xludf.DUMMYFUNCTION("""COMPUTED_VALUE"""),"attract")</f>
        <v>attract</v>
      </c>
      <c r="E1493" s="49"/>
      <c r="F1493" s="49"/>
      <c r="G1493" s="49"/>
      <c r="H1493" s="54" t="str">
        <f t="shared" si="1"/>
        <v>gotten,</v>
      </c>
      <c r="I1493" s="50"/>
      <c r="J1493" s="50" t="s">
        <v>3989</v>
      </c>
      <c r="K1493" s="50" t="s">
        <v>1501</v>
      </c>
      <c r="L1493" s="49" t="str">
        <f>IFERROR(__xludf.DUMMYFUNCTION("""COMPUTED_VALUE"""),"werner")</f>
        <v>werner</v>
      </c>
      <c r="M1493" s="49"/>
      <c r="N1493" s="49"/>
      <c r="O1493" s="49" t="str">
        <f>IFERROR(__xludf.DUMMYFUNCTION("""COMPUTED_VALUE"""),"afford")</f>
        <v>afford</v>
      </c>
      <c r="P1493" s="49" t="str">
        <f t="shared" si="2"/>
        <v>frank,</v>
      </c>
      <c r="Q1493" s="49"/>
      <c r="R1493" s="50" t="s">
        <v>3307</v>
      </c>
      <c r="S1493" s="55" t="s">
        <v>4428</v>
      </c>
      <c r="T1493" s="49" t="str">
        <f>IFERROR(__xludf.DUMMYFUNCTION("""COMPUTED_VALUE"""),"pack")</f>
        <v>pack</v>
      </c>
      <c r="U1493" s="49"/>
      <c r="V1493" s="49"/>
      <c r="W1493" s="49" t="str">
        <f>IFERROR(__xludf.DUMMYFUNCTION("""COMPUTED_VALUE"""),"became")</f>
        <v>became</v>
      </c>
      <c r="X1493" s="49" t="str">
        <f t="shared" si="3"/>
        <v>naturally,</v>
      </c>
      <c r="Y1493" s="49"/>
      <c r="Z1493" s="1" t="s">
        <v>1356</v>
      </c>
      <c r="AA1493" s="1" t="s">
        <v>3515</v>
      </c>
      <c r="AB1493" s="49"/>
      <c r="AC1493" s="49"/>
      <c r="AD1493" s="49"/>
      <c r="AE1493" s="49" t="str">
        <f>IFERROR(__xludf.DUMMYFUNCTION("""COMPUTED_VALUE"""),"afford")</f>
        <v>afford</v>
      </c>
      <c r="AF1493" s="49" t="str">
        <f t="shared" si="4"/>
        <v>wears,</v>
      </c>
      <c r="AG1493" s="49"/>
      <c r="AH1493" s="1" t="s">
        <v>3313</v>
      </c>
      <c r="AI1493" s="1" t="s">
        <v>2435</v>
      </c>
      <c r="AJ1493" s="6" t="str">
        <f>IFERROR(__xludf.DUMMYFUNCTION("""COMPUTED_VALUE"""),"dealing")</f>
        <v>dealing</v>
      </c>
      <c r="AK1493" s="49"/>
      <c r="AL1493" s="49"/>
      <c r="AM1493" s="49"/>
      <c r="AN1493" s="52" t="str">
        <f t="shared" si="5"/>
        <v>stand,</v>
      </c>
    </row>
    <row r="1494">
      <c r="A1494" s="51"/>
      <c r="B1494" s="50" t="s">
        <v>1894</v>
      </c>
      <c r="C1494" s="50" t="s">
        <v>4651</v>
      </c>
      <c r="D1494" s="49" t="str">
        <f>IFERROR(__xludf.DUMMYFUNCTION("""COMPUTED_VALUE"""),"beer")</f>
        <v>beer</v>
      </c>
      <c r="E1494" s="49"/>
      <c r="F1494" s="49"/>
      <c r="G1494" s="49"/>
      <c r="H1494" s="54" t="str">
        <f t="shared" si="1"/>
        <v>welcome,</v>
      </c>
      <c r="I1494" s="50"/>
      <c r="J1494" s="50" t="s">
        <v>835</v>
      </c>
      <c r="K1494" s="50" t="s">
        <v>2927</v>
      </c>
      <c r="L1494" s="49" t="str">
        <f>IFERROR(__xludf.DUMMYFUNCTION("""COMPUTED_VALUE"""),"distinguished")</f>
        <v>distinguished</v>
      </c>
      <c r="M1494" s="49"/>
      <c r="N1494" s="49"/>
      <c r="O1494" s="49" t="str">
        <f>IFERROR(__xludf.DUMMYFUNCTION("""COMPUTED_VALUE"""),"kindness")</f>
        <v>kindness</v>
      </c>
      <c r="P1494" s="49" t="str">
        <f t="shared" si="2"/>
        <v>powers,</v>
      </c>
      <c r="Q1494" s="49"/>
      <c r="R1494" s="50" t="s">
        <v>3984</v>
      </c>
      <c r="S1494" s="55" t="s">
        <v>4432</v>
      </c>
      <c r="T1494" s="49" t="str">
        <f>IFERROR(__xludf.DUMMYFUNCTION("""COMPUTED_VALUE"""),"applies")</f>
        <v>applies</v>
      </c>
      <c r="U1494" s="49"/>
      <c r="V1494" s="49"/>
      <c r="W1494" s="49" t="str">
        <f>IFERROR(__xludf.DUMMYFUNCTION("""COMPUTED_VALUE"""),"scientists")</f>
        <v>scientists</v>
      </c>
      <c r="X1494" s="49" t="str">
        <f t="shared" si="3"/>
        <v>faster,</v>
      </c>
      <c r="Y1494" s="49"/>
      <c r="Z1494" s="1" t="s">
        <v>6820</v>
      </c>
      <c r="AA1494" s="1" t="s">
        <v>970</v>
      </c>
      <c r="AB1494" s="49"/>
      <c r="AC1494" s="49"/>
      <c r="AD1494" s="49"/>
      <c r="AE1494" s="49" t="str">
        <f>IFERROR(__xludf.DUMMYFUNCTION("""COMPUTED_VALUE"""),"kindness")</f>
        <v>kindness</v>
      </c>
      <c r="AF1494" s="49" t="str">
        <f t="shared" si="4"/>
        <v>guess,</v>
      </c>
      <c r="AG1494" s="49"/>
      <c r="AH1494" s="1" t="s">
        <v>2755</v>
      </c>
      <c r="AI1494" s="1" t="s">
        <v>6518</v>
      </c>
      <c r="AJ1494" s="6" t="str">
        <f>IFERROR(__xludf.DUMMYFUNCTION("""COMPUTED_VALUE"""),"enforcement")</f>
        <v>enforcement</v>
      </c>
      <c r="AK1494" s="49"/>
      <c r="AL1494" s="49"/>
      <c r="AM1494" s="49"/>
      <c r="AN1494" s="52" t="str">
        <f t="shared" si="5"/>
        <v>situation,</v>
      </c>
    </row>
    <row r="1495">
      <c r="A1495" s="51"/>
      <c r="B1495" s="50" t="s">
        <v>6548</v>
      </c>
      <c r="C1495" s="50" t="s">
        <v>2259</v>
      </c>
      <c r="D1495" s="49" t="str">
        <f>IFERROR(__xludf.DUMMYFUNCTION("""COMPUTED_VALUE"""),"knock")</f>
        <v>knock</v>
      </c>
      <c r="E1495" s="49"/>
      <c r="F1495" s="49"/>
      <c r="G1495" s="49"/>
      <c r="H1495" s="54" t="str">
        <f t="shared" si="1"/>
        <v>elsewhere,</v>
      </c>
      <c r="I1495" s="50"/>
      <c r="J1495" s="50" t="s">
        <v>1135</v>
      </c>
      <c r="K1495" s="50" t="s">
        <v>2930</v>
      </c>
      <c r="L1495" s="49" t="str">
        <f>IFERROR(__xludf.DUMMYFUNCTION("""COMPUTED_VALUE"""),"scope")</f>
        <v>scope</v>
      </c>
      <c r="M1495" s="49"/>
      <c r="N1495" s="49"/>
      <c r="O1495" s="49" t="str">
        <f>IFERROR(__xludf.DUMMYFUNCTION("""COMPUTED_VALUE"""),"velocity")</f>
        <v>velocity</v>
      </c>
      <c r="P1495" s="49" t="str">
        <f t="shared" si="2"/>
        <v>kid,</v>
      </c>
      <c r="Q1495" s="49"/>
      <c r="R1495" s="50" t="s">
        <v>3238</v>
      </c>
      <c r="S1495" s="55" t="s">
        <v>2759</v>
      </c>
      <c r="T1495" s="49" t="str">
        <f>IFERROR(__xludf.DUMMYFUNCTION("""COMPUTED_VALUE"""),"adrenaline")</f>
        <v>adrenaline</v>
      </c>
      <c r="U1495" s="49"/>
      <c r="V1495" s="49"/>
      <c r="W1495" s="49" t="str">
        <f>IFERROR(__xludf.DUMMYFUNCTION("""COMPUTED_VALUE"""),"craftsmen")</f>
        <v>craftsmen</v>
      </c>
      <c r="X1495" s="49" t="str">
        <f t="shared" si="3"/>
        <v>outside,</v>
      </c>
      <c r="Y1495" s="49"/>
      <c r="Z1495" s="1" t="s">
        <v>1333</v>
      </c>
      <c r="AA1495" s="1" t="s">
        <v>3112</v>
      </c>
      <c r="AB1495" s="49"/>
      <c r="AC1495" s="49"/>
      <c r="AD1495" s="49"/>
      <c r="AE1495" s="49" t="str">
        <f>IFERROR(__xludf.DUMMYFUNCTION("""COMPUTED_VALUE"""),"velocity")</f>
        <v>velocity</v>
      </c>
      <c r="AF1495" s="49" t="str">
        <f t="shared" si="4"/>
        <v>urban,</v>
      </c>
      <c r="AG1495" s="49"/>
      <c r="AH1495" s="1" t="s">
        <v>1885</v>
      </c>
      <c r="AI1495" s="1" t="s">
        <v>3805</v>
      </c>
      <c r="AJ1495" s="6" t="str">
        <f>IFERROR(__xludf.DUMMYFUNCTION("""COMPUTED_VALUE"""),"richard")</f>
        <v>richard</v>
      </c>
      <c r="AK1495" s="49"/>
      <c r="AL1495" s="49"/>
      <c r="AM1495" s="49"/>
      <c r="AN1495" s="52" t="str">
        <f t="shared" si="5"/>
        <v>speak,</v>
      </c>
    </row>
    <row r="1496">
      <c r="A1496" s="51"/>
      <c r="B1496" s="50" t="s">
        <v>2102</v>
      </c>
      <c r="C1496" s="50" t="s">
        <v>6504</v>
      </c>
      <c r="D1496" s="49" t="str">
        <f>IFERROR(__xludf.DUMMYFUNCTION("""COMPUTED_VALUE"""),"excited")</f>
        <v>excited</v>
      </c>
      <c r="E1496" s="49"/>
      <c r="F1496" s="49"/>
      <c r="G1496" s="49"/>
      <c r="H1496" s="54" t="str">
        <f t="shared" si="1"/>
        <v>oscar,</v>
      </c>
      <c r="I1496" s="50"/>
      <c r="J1496" s="50" t="s">
        <v>2282</v>
      </c>
      <c r="K1496" s="50" t="s">
        <v>2934</v>
      </c>
      <c r="L1496" s="49" t="str">
        <f>IFERROR(__xludf.DUMMYFUNCTION("""COMPUTED_VALUE"""),"controversy")</f>
        <v>controversy</v>
      </c>
      <c r="M1496" s="49"/>
      <c r="N1496" s="49"/>
      <c r="O1496" s="49" t="str">
        <f>IFERROR(__xludf.DUMMYFUNCTION("""COMPUTED_VALUE"""),"stroke")</f>
        <v>stroke</v>
      </c>
      <c r="P1496" s="49" t="str">
        <f t="shared" si="2"/>
        <v>accomplish,</v>
      </c>
      <c r="Q1496" s="49"/>
      <c r="R1496" s="50" t="s">
        <v>3721</v>
      </c>
      <c r="S1496" s="55" t="s">
        <v>2764</v>
      </c>
      <c r="T1496" s="49" t="str">
        <f>IFERROR(__xludf.DUMMYFUNCTION("""COMPUTED_VALUE"""),"chest")</f>
        <v>chest</v>
      </c>
      <c r="U1496" s="49"/>
      <c r="V1496" s="49"/>
      <c r="W1496" s="49" t="str">
        <f>IFERROR(__xludf.DUMMYFUNCTION("""COMPUTED_VALUE"""),"acclaimed")</f>
        <v>acclaimed</v>
      </c>
      <c r="X1496" s="49" t="str">
        <f t="shared" si="3"/>
        <v>recipe,</v>
      </c>
      <c r="Y1496" s="49"/>
      <c r="Z1496" s="1" t="s">
        <v>1498</v>
      </c>
      <c r="AA1496" s="1" t="s">
        <v>3520</v>
      </c>
      <c r="AB1496" s="49"/>
      <c r="AC1496" s="49"/>
      <c r="AD1496" s="49"/>
      <c r="AE1496" s="49" t="str">
        <f>IFERROR(__xludf.DUMMYFUNCTION("""COMPUTED_VALUE"""),"stroke")</f>
        <v>stroke</v>
      </c>
      <c r="AF1496" s="49" t="str">
        <f t="shared" si="4"/>
        <v>inside,</v>
      </c>
      <c r="AG1496" s="49"/>
      <c r="AH1496" s="1" t="s">
        <v>890</v>
      </c>
      <c r="AI1496" s="1" t="s">
        <v>4279</v>
      </c>
      <c r="AJ1496" s="6" t="str">
        <f>IFERROR(__xludf.DUMMYFUNCTION("""COMPUTED_VALUE"""),"contains")</f>
        <v>contains</v>
      </c>
      <c r="AK1496" s="49"/>
      <c r="AL1496" s="49"/>
      <c r="AM1496" s="49"/>
      <c r="AN1496" s="52" t="str">
        <f t="shared" si="5"/>
        <v>effective,</v>
      </c>
    </row>
    <row r="1497">
      <c r="A1497" s="51"/>
      <c r="B1497" s="50" t="s">
        <v>6152</v>
      </c>
      <c r="C1497" s="50" t="s">
        <v>1289</v>
      </c>
      <c r="D1497" s="49" t="str">
        <f>IFERROR(__xludf.DUMMYFUNCTION("""COMPUTED_VALUE"""),"struggling")</f>
        <v>struggling</v>
      </c>
      <c r="E1497" s="49"/>
      <c r="F1497" s="49"/>
      <c r="G1497" s="49"/>
      <c r="H1497" s="54" t="str">
        <f t="shared" si="1"/>
        <v>wide,</v>
      </c>
      <c r="I1497" s="50"/>
      <c r="J1497" s="50" t="s">
        <v>2807</v>
      </c>
      <c r="K1497" s="50" t="s">
        <v>4605</v>
      </c>
      <c r="L1497" s="49" t="str">
        <f>IFERROR(__xludf.DUMMYFUNCTION("""COMPUTED_VALUE"""),"barrels")</f>
        <v>barrels</v>
      </c>
      <c r="M1497" s="49"/>
      <c r="N1497" s="49"/>
      <c r="O1497" s="49" t="str">
        <f>IFERROR(__xludf.DUMMYFUNCTION("""COMPUTED_VALUE"""),"ryder")</f>
        <v>ryder</v>
      </c>
      <c r="P1497" s="49" t="str">
        <f t="shared" si="2"/>
        <v>constant,</v>
      </c>
      <c r="Q1497" s="49"/>
      <c r="R1497" s="50" t="s">
        <v>1406</v>
      </c>
      <c r="S1497" s="55" t="s">
        <v>6519</v>
      </c>
      <c r="T1497" s="49" t="str">
        <f>IFERROR(__xludf.DUMMYFUNCTION("""COMPUTED_VALUE"""),"delhi")</f>
        <v>delhi</v>
      </c>
      <c r="U1497" s="49"/>
      <c r="V1497" s="49"/>
      <c r="W1497" s="49">
        <f>IFERROR(__xludf.DUMMYFUNCTION("""COMPUTED_VALUE"""),1952.0)</f>
        <v>1952</v>
      </c>
      <c r="X1497" s="49" t="str">
        <f t="shared" si="3"/>
        <v>observation,</v>
      </c>
      <c r="Y1497" s="49"/>
      <c r="Z1497" s="1" t="s">
        <v>4163</v>
      </c>
      <c r="AA1497" s="1" t="s">
        <v>4602</v>
      </c>
      <c r="AB1497" s="49"/>
      <c r="AC1497" s="49"/>
      <c r="AD1497" s="49"/>
      <c r="AE1497" s="49" t="str">
        <f>IFERROR(__xludf.DUMMYFUNCTION("""COMPUTED_VALUE"""),"ryder")</f>
        <v>ryder</v>
      </c>
      <c r="AF1497" s="49" t="str">
        <f t="shared" si="4"/>
        <v>drawn,</v>
      </c>
      <c r="AG1497" s="49"/>
      <c r="AH1497" s="1" t="s">
        <v>2332</v>
      </c>
      <c r="AI1497" s="1" t="s">
        <v>3814</v>
      </c>
      <c r="AJ1497" s="6" t="str">
        <f>IFERROR(__xludf.DUMMYFUNCTION("""COMPUTED_VALUE"""),"hated")</f>
        <v>hated</v>
      </c>
      <c r="AK1497" s="49"/>
      <c r="AL1497" s="49"/>
      <c r="AM1497" s="49"/>
      <c r="AN1497" s="52" t="str">
        <f t="shared" si="5"/>
        <v>frequently,</v>
      </c>
    </row>
    <row r="1498">
      <c r="A1498" s="51"/>
      <c r="B1498" s="50" t="s">
        <v>3847</v>
      </c>
      <c r="C1498" s="50" t="s">
        <v>3669</v>
      </c>
      <c r="D1498" s="49" t="str">
        <f>IFERROR(__xludf.DUMMYFUNCTION("""COMPUTED_VALUE"""),"1970s")</f>
        <v>1970s</v>
      </c>
      <c r="E1498" s="49"/>
      <c r="F1498" s="49"/>
      <c r="G1498" s="49"/>
      <c r="H1498" s="54" t="str">
        <f t="shared" si="1"/>
        <v>greater,</v>
      </c>
      <c r="I1498" s="50"/>
      <c r="J1498" s="50" t="s">
        <v>6347</v>
      </c>
      <c r="K1498" s="50" t="s">
        <v>4607</v>
      </c>
      <c r="L1498" s="49" t="str">
        <f>IFERROR(__xludf.DUMMYFUNCTION("""COMPUTED_VALUE"""),"lock")</f>
        <v>lock</v>
      </c>
      <c r="M1498" s="49"/>
      <c r="N1498" s="49"/>
      <c r="O1498" s="49" t="str">
        <f>IFERROR(__xludf.DUMMYFUNCTION("""COMPUTED_VALUE"""),"improves")</f>
        <v>improves</v>
      </c>
      <c r="P1498" s="49" t="str">
        <f t="shared" si="2"/>
        <v>waiting,</v>
      </c>
      <c r="Q1498" s="49"/>
      <c r="R1498" s="50" t="s">
        <v>5098</v>
      </c>
      <c r="S1498" s="55" t="s">
        <v>734</v>
      </c>
      <c r="T1498" s="49" t="str">
        <f>IFERROR(__xludf.DUMMYFUNCTION("""COMPUTED_VALUE"""),"sadness")</f>
        <v>sadness</v>
      </c>
      <c r="U1498" s="49"/>
      <c r="V1498" s="49"/>
      <c r="W1498" s="49" t="str">
        <f>IFERROR(__xludf.DUMMYFUNCTION("""COMPUTED_VALUE"""),"unified")</f>
        <v>unified</v>
      </c>
      <c r="X1498" s="49" t="str">
        <f t="shared" si="3"/>
        <v>pardon,</v>
      </c>
      <c r="Y1498" s="49"/>
      <c r="Z1498" s="1" t="s">
        <v>7392</v>
      </c>
      <c r="AA1498" s="1" t="s">
        <v>3523</v>
      </c>
      <c r="AB1498" s="49"/>
      <c r="AC1498" s="49"/>
      <c r="AD1498" s="49"/>
      <c r="AE1498" s="49" t="str">
        <f>IFERROR(__xludf.DUMMYFUNCTION("""COMPUTED_VALUE"""),"improves")</f>
        <v>improves</v>
      </c>
      <c r="AF1498" s="49" t="str">
        <f t="shared" si="4"/>
        <v>fantastic,</v>
      </c>
      <c r="AG1498" s="49"/>
      <c r="AH1498" s="1" t="s">
        <v>116</v>
      </c>
      <c r="AI1498" s="1" t="s">
        <v>6520</v>
      </c>
      <c r="AJ1498" s="6" t="str">
        <f>IFERROR(__xludf.DUMMYFUNCTION("""COMPUTED_VALUE"""),"admit")</f>
        <v>admit</v>
      </c>
      <c r="AK1498" s="49"/>
      <c r="AL1498" s="49"/>
      <c r="AM1498" s="49"/>
      <c r="AN1498" s="52" t="str">
        <f t="shared" si="5"/>
        <v>emotions,</v>
      </c>
    </row>
    <row r="1499">
      <c r="A1499" s="51"/>
      <c r="B1499" s="50" t="s">
        <v>6886</v>
      </c>
      <c r="C1499" s="50" t="s">
        <v>2506</v>
      </c>
      <c r="D1499" s="49" t="str">
        <f>IFERROR(__xludf.DUMMYFUNCTION("""COMPUTED_VALUE"""),"scientist")</f>
        <v>scientist</v>
      </c>
      <c r="E1499" s="49"/>
      <c r="F1499" s="49"/>
      <c r="G1499" s="49"/>
      <c r="H1499" s="54" t="str">
        <f t="shared" si="1"/>
        <v>attempted,</v>
      </c>
      <c r="I1499" s="50"/>
      <c r="J1499" s="50" t="s">
        <v>2908</v>
      </c>
      <c r="K1499" s="50" t="s">
        <v>1508</v>
      </c>
      <c r="L1499" s="49" t="str">
        <f>IFERROR(__xludf.DUMMYFUNCTION("""COMPUTED_VALUE"""),"brightly")</f>
        <v>brightly</v>
      </c>
      <c r="M1499" s="49"/>
      <c r="N1499" s="49"/>
      <c r="O1499" s="49" t="str">
        <f>IFERROR(__xludf.DUMMYFUNCTION("""COMPUTED_VALUE"""),"conrad")</f>
        <v>conrad</v>
      </c>
      <c r="P1499" s="49" t="str">
        <f t="shared" si="2"/>
        <v>frustration,</v>
      </c>
      <c r="Q1499" s="49"/>
      <c r="R1499" s="50" t="s">
        <v>7393</v>
      </c>
      <c r="S1499" s="55" t="s">
        <v>4614</v>
      </c>
      <c r="T1499" s="49" t="str">
        <f>IFERROR(__xludf.DUMMYFUNCTION("""COMPUTED_VALUE"""),"discovering")</f>
        <v>discovering</v>
      </c>
      <c r="U1499" s="49"/>
      <c r="V1499" s="49"/>
      <c r="W1499" s="49" t="str">
        <f>IFERROR(__xludf.DUMMYFUNCTION("""COMPUTED_VALUE"""),"denying")</f>
        <v>denying</v>
      </c>
      <c r="X1499" s="49" t="str">
        <f t="shared" si="3"/>
        <v>england,</v>
      </c>
      <c r="Y1499" s="49"/>
      <c r="Z1499" s="1" t="s">
        <v>3923</v>
      </c>
      <c r="AA1499" s="1" t="s">
        <v>3526</v>
      </c>
      <c r="AB1499" s="49"/>
      <c r="AC1499" s="49"/>
      <c r="AD1499" s="49"/>
      <c r="AE1499" s="49" t="str">
        <f>IFERROR(__xludf.DUMMYFUNCTION("""COMPUTED_VALUE"""),"conrad")</f>
        <v>conrad</v>
      </c>
      <c r="AF1499" s="49" t="str">
        <f t="shared" si="4"/>
        <v>ended,</v>
      </c>
      <c r="AG1499" s="49"/>
      <c r="AH1499" s="1" t="s">
        <v>726</v>
      </c>
      <c r="AI1499" s="1" t="s">
        <v>873</v>
      </c>
      <c r="AJ1499" s="6" t="str">
        <f>IFERROR(__xludf.DUMMYFUNCTION("""COMPUTED_VALUE"""),"family")</f>
        <v>family</v>
      </c>
      <c r="AK1499" s="49"/>
      <c r="AL1499" s="49"/>
      <c r="AM1499" s="49"/>
      <c r="AN1499" s="52" t="str">
        <f t="shared" si="5"/>
        <v>away,</v>
      </c>
    </row>
    <row r="1500">
      <c r="A1500" s="51"/>
      <c r="B1500" s="50" t="s">
        <v>4687</v>
      </c>
      <c r="C1500" s="50" t="s">
        <v>4190</v>
      </c>
      <c r="D1500" s="49" t="str">
        <f>IFERROR(__xludf.DUMMYFUNCTION("""COMPUTED_VALUE"""),"rocket")</f>
        <v>rocket</v>
      </c>
      <c r="E1500" s="49"/>
      <c r="F1500" s="49"/>
      <c r="G1500" s="49"/>
      <c r="H1500" s="54" t="str">
        <f t="shared" si="1"/>
        <v>web,</v>
      </c>
      <c r="I1500" s="50"/>
      <c r="J1500" s="50" t="s">
        <v>3799</v>
      </c>
      <c r="K1500" s="50" t="s">
        <v>2939</v>
      </c>
      <c r="L1500" s="49" t="str">
        <f>IFERROR(__xludf.DUMMYFUNCTION("""COMPUTED_VALUE"""),"throbbing")</f>
        <v>throbbing</v>
      </c>
      <c r="M1500" s="49"/>
      <c r="N1500" s="49"/>
      <c r="O1500" s="49" t="str">
        <f>IFERROR(__xludf.DUMMYFUNCTION("""COMPUTED_VALUE"""),"ardent")</f>
        <v>ardent</v>
      </c>
      <c r="P1500" s="49" t="str">
        <f t="shared" si="2"/>
        <v>supporting,</v>
      </c>
      <c r="Q1500" s="49"/>
      <c r="R1500" s="50" t="s">
        <v>5905</v>
      </c>
      <c r="S1500" s="55" t="s">
        <v>4437</v>
      </c>
      <c r="T1500" s="49" t="str">
        <f>IFERROR(__xludf.DUMMYFUNCTION("""COMPUTED_VALUE"""),"betrayed")</f>
        <v>betrayed</v>
      </c>
      <c r="U1500" s="49"/>
      <c r="V1500" s="49"/>
      <c r="W1500" s="49" t="str">
        <f>IFERROR(__xludf.DUMMYFUNCTION("""COMPUTED_VALUE"""),"ladder")</f>
        <v>ladder</v>
      </c>
      <c r="X1500" s="49" t="str">
        <f t="shared" si="3"/>
        <v>scratch,</v>
      </c>
      <c r="Y1500" s="49"/>
      <c r="Z1500" s="1" t="s">
        <v>261</v>
      </c>
      <c r="AA1500" s="1" t="s">
        <v>4609</v>
      </c>
      <c r="AB1500" s="49"/>
      <c r="AC1500" s="49"/>
      <c r="AD1500" s="49"/>
      <c r="AE1500" s="49" t="str">
        <f>IFERROR(__xludf.DUMMYFUNCTION("""COMPUTED_VALUE"""),"ardent")</f>
        <v>ardent</v>
      </c>
      <c r="AF1500" s="49" t="str">
        <f t="shared" si="4"/>
        <v>sit,</v>
      </c>
      <c r="AG1500" s="49"/>
      <c r="AH1500" s="1" t="s">
        <v>1062</v>
      </c>
      <c r="AI1500" s="1" t="s">
        <v>4488</v>
      </c>
      <c r="AJ1500" s="6" t="str">
        <f>IFERROR(__xludf.DUMMYFUNCTION("""COMPUTED_VALUE"""),"children")</f>
        <v>children</v>
      </c>
      <c r="AK1500" s="49"/>
      <c r="AL1500" s="49"/>
      <c r="AM1500" s="49"/>
      <c r="AN1500" s="52" t="str">
        <f t="shared" si="5"/>
        <v>although,</v>
      </c>
    </row>
    <row r="1501">
      <c r="A1501" s="51"/>
      <c r="B1501" s="50" t="s">
        <v>6280</v>
      </c>
      <c r="C1501" s="50" t="s">
        <v>3682</v>
      </c>
      <c r="D1501" s="49" t="str">
        <f>IFERROR(__xludf.DUMMYFUNCTION("""COMPUTED_VALUE"""),"touched")</f>
        <v>touched</v>
      </c>
      <c r="E1501" s="49"/>
      <c r="F1501" s="49"/>
      <c r="G1501" s="49"/>
      <c r="H1501" s="54" t="str">
        <f t="shared" si="1"/>
        <v>anymore,</v>
      </c>
      <c r="I1501" s="50"/>
      <c r="J1501" s="50" t="s">
        <v>702</v>
      </c>
      <c r="K1501" s="50" t="s">
        <v>2945</v>
      </c>
      <c r="L1501" s="49" t="str">
        <f>IFERROR(__xludf.DUMMYFUNCTION("""COMPUTED_VALUE"""),"origins")</f>
        <v>origins</v>
      </c>
      <c r="M1501" s="49"/>
      <c r="N1501" s="49"/>
      <c r="O1501" s="49" t="str">
        <f>IFERROR(__xludf.DUMMYFUNCTION("""COMPUTED_VALUE"""),"economics")</f>
        <v>economics</v>
      </c>
      <c r="P1501" s="49" t="str">
        <f t="shared" si="2"/>
        <v>food,</v>
      </c>
      <c r="Q1501" s="49"/>
      <c r="R1501" s="50" t="s">
        <v>1780</v>
      </c>
      <c r="S1501" s="55" t="s">
        <v>2769</v>
      </c>
      <c r="T1501" s="49" t="str">
        <f>IFERROR(__xludf.DUMMYFUNCTION("""COMPUTED_VALUE"""),"pageant")</f>
        <v>pageant</v>
      </c>
      <c r="U1501" s="49"/>
      <c r="V1501" s="49"/>
      <c r="W1501" s="49" t="str">
        <f>IFERROR(__xludf.DUMMYFUNCTION("""COMPUTED_VALUE"""),"libretto")</f>
        <v>libretto</v>
      </c>
      <c r="X1501" s="49" t="str">
        <f t="shared" si="3"/>
        <v>further,</v>
      </c>
      <c r="Y1501" s="49"/>
      <c r="Z1501" s="1" t="s">
        <v>2922</v>
      </c>
      <c r="AA1501" s="1" t="s">
        <v>4611</v>
      </c>
      <c r="AB1501" s="49"/>
      <c r="AC1501" s="49"/>
      <c r="AD1501" s="49"/>
      <c r="AE1501" s="49" t="str">
        <f>IFERROR(__xludf.DUMMYFUNCTION("""COMPUTED_VALUE"""),"economics")</f>
        <v>economics</v>
      </c>
      <c r="AF1501" s="49" t="str">
        <f t="shared" si="4"/>
        <v>reading,</v>
      </c>
      <c r="AG1501" s="49"/>
      <c r="AH1501" s="1" t="s">
        <v>6669</v>
      </c>
      <c r="AI1501" s="1">
        <v>99.0</v>
      </c>
      <c r="AJ1501" s="6" t="str">
        <f>IFERROR(__xludf.DUMMYFUNCTION("""COMPUTED_VALUE"""),"magic")</f>
        <v>magic</v>
      </c>
      <c r="AK1501" s="49"/>
      <c r="AL1501" s="49"/>
      <c r="AM1501" s="49"/>
      <c r="AN1501" s="52" t="str">
        <f t="shared" si="5"/>
        <v>department,</v>
      </c>
    </row>
    <row r="1502">
      <c r="A1502" s="51"/>
      <c r="B1502" s="50" t="s">
        <v>2925</v>
      </c>
      <c r="C1502" s="50" t="s">
        <v>4355</v>
      </c>
      <c r="D1502" s="49" t="str">
        <f>IFERROR(__xludf.DUMMYFUNCTION("""COMPUTED_VALUE"""),"fit")</f>
        <v>fit</v>
      </c>
      <c r="E1502" s="49"/>
      <c r="F1502" s="49"/>
      <c r="G1502" s="49"/>
      <c r="H1502" s="54" t="str">
        <f t="shared" si="1"/>
        <v>guilty,</v>
      </c>
      <c r="I1502" s="50"/>
      <c r="J1502" s="50" t="s">
        <v>6732</v>
      </c>
      <c r="K1502" s="50" t="s">
        <v>2949</v>
      </c>
      <c r="L1502" s="49" t="str">
        <f>IFERROR(__xludf.DUMMYFUNCTION("""COMPUTED_VALUE"""),"endurance")</f>
        <v>endurance</v>
      </c>
      <c r="M1502" s="49"/>
      <c r="N1502" s="49"/>
      <c r="O1502" s="49" t="str">
        <f>IFERROR(__xludf.DUMMYFUNCTION("""COMPUTED_VALUE"""),"pivotal")</f>
        <v>pivotal</v>
      </c>
      <c r="P1502" s="49" t="str">
        <f t="shared" si="2"/>
        <v>efficient,</v>
      </c>
      <c r="Q1502" s="49"/>
      <c r="R1502" s="50" t="s">
        <v>5499</v>
      </c>
      <c r="S1502" s="55" t="s">
        <v>2654</v>
      </c>
      <c r="T1502" s="49" t="str">
        <f>IFERROR(__xludf.DUMMYFUNCTION("""COMPUTED_VALUE"""),"adequately")</f>
        <v>adequately</v>
      </c>
      <c r="U1502" s="49"/>
      <c r="V1502" s="49"/>
      <c r="W1502" s="49" t="str">
        <f>IFERROR(__xludf.DUMMYFUNCTION("""COMPUTED_VALUE"""),"monument")</f>
        <v>monument</v>
      </c>
      <c r="X1502" s="49" t="str">
        <f t="shared" si="3"/>
        <v>spreads,</v>
      </c>
      <c r="Y1502" s="49"/>
      <c r="Z1502" s="1" t="s">
        <v>2039</v>
      </c>
      <c r="AA1502" s="1" t="s">
        <v>3530</v>
      </c>
      <c r="AB1502" s="49"/>
      <c r="AC1502" s="49"/>
      <c r="AD1502" s="49"/>
      <c r="AE1502" s="49" t="str">
        <f>IFERROR(__xludf.DUMMYFUNCTION("""COMPUTED_VALUE"""),"pivotal")</f>
        <v>pivotal</v>
      </c>
      <c r="AF1502" s="49" t="str">
        <f t="shared" si="4"/>
        <v>cut,</v>
      </c>
      <c r="AG1502" s="49"/>
      <c r="AH1502" s="1" t="s">
        <v>3613</v>
      </c>
      <c r="AI1502" s="1" t="s">
        <v>2579</v>
      </c>
      <c r="AJ1502" s="6" t="str">
        <f>IFERROR(__xludf.DUMMYFUNCTION("""COMPUTED_VALUE"""),"sisters")</f>
        <v>sisters</v>
      </c>
      <c r="AK1502" s="49"/>
      <c r="AL1502" s="49"/>
      <c r="AM1502" s="49"/>
      <c r="AN1502" s="52" t="str">
        <f t="shared" si="5"/>
        <v>finding,</v>
      </c>
    </row>
    <row r="1503">
      <c r="A1503" s="51"/>
      <c r="B1503" s="50" t="s">
        <v>6003</v>
      </c>
      <c r="C1503" s="50" t="s">
        <v>2513</v>
      </c>
      <c r="D1503" s="49">
        <f>IFERROR(__xludf.DUMMYFUNCTION("""COMPUTED_VALUE"""),99.0)</f>
        <v>99</v>
      </c>
      <c r="E1503" s="49"/>
      <c r="F1503" s="49"/>
      <c r="G1503" s="49"/>
      <c r="H1503" s="54" t="str">
        <f t="shared" si="1"/>
        <v>frequent,</v>
      </c>
      <c r="I1503" s="50"/>
      <c r="J1503" s="50" t="s">
        <v>2565</v>
      </c>
      <c r="K1503" s="50" t="s">
        <v>2953</v>
      </c>
      <c r="L1503" s="49" t="str">
        <f>IFERROR(__xludf.DUMMYFUNCTION("""COMPUTED_VALUE"""),"conviction")</f>
        <v>conviction</v>
      </c>
      <c r="M1503" s="49"/>
      <c r="N1503" s="49"/>
      <c r="O1503" s="49" t="str">
        <f>IFERROR(__xludf.DUMMYFUNCTION("""COMPUTED_VALUE"""),"comparisons")</f>
        <v>comparisons</v>
      </c>
      <c r="P1503" s="49" t="str">
        <f t="shared" si="2"/>
        <v>german,</v>
      </c>
      <c r="Q1503" s="49"/>
      <c r="R1503" s="50" t="s">
        <v>122</v>
      </c>
      <c r="S1503" s="55" t="s">
        <v>2772</v>
      </c>
      <c r="T1503" s="49" t="str">
        <f>IFERROR(__xludf.DUMMYFUNCTION("""COMPUTED_VALUE"""),"explore")</f>
        <v>explore</v>
      </c>
      <c r="U1503" s="49"/>
      <c r="V1503" s="49"/>
      <c r="W1503" s="49" t="str">
        <f>IFERROR(__xludf.DUMMYFUNCTION("""COMPUTED_VALUE"""),"minority")</f>
        <v>minority</v>
      </c>
      <c r="X1503" s="49" t="str">
        <f t="shared" si="3"/>
        <v>heroes,</v>
      </c>
      <c r="Y1503" s="49"/>
      <c r="Z1503" s="1" t="s">
        <v>3113</v>
      </c>
      <c r="AA1503" s="1" t="s">
        <v>1196</v>
      </c>
      <c r="AB1503" s="49"/>
      <c r="AC1503" s="49"/>
      <c r="AD1503" s="49"/>
      <c r="AE1503" s="49" t="str">
        <f>IFERROR(__xludf.DUMMYFUNCTION("""COMPUTED_VALUE"""),"comparisons")</f>
        <v>comparisons</v>
      </c>
      <c r="AF1503" s="49" t="str">
        <f t="shared" si="4"/>
        <v>bigger,</v>
      </c>
      <c r="AG1503" s="49"/>
      <c r="AH1503" s="1" t="s">
        <v>6702</v>
      </c>
      <c r="AI1503" s="1" t="s">
        <v>2584</v>
      </c>
      <c r="AJ1503" s="6" t="str">
        <f>IFERROR(__xludf.DUMMYFUNCTION("""COMPUTED_VALUE"""),"stronger")</f>
        <v>stronger</v>
      </c>
      <c r="AK1503" s="49"/>
      <c r="AL1503" s="49"/>
      <c r="AM1503" s="49"/>
      <c r="AN1503" s="52" t="str">
        <f t="shared" si="5"/>
        <v>snow,</v>
      </c>
    </row>
    <row r="1504">
      <c r="A1504" s="51"/>
      <c r="B1504" s="50" t="s">
        <v>1451</v>
      </c>
      <c r="C1504" s="50" t="s">
        <v>6506</v>
      </c>
      <c r="D1504" s="49" t="str">
        <f>IFERROR(__xludf.DUMMYFUNCTION("""COMPUTED_VALUE"""),"chan")</f>
        <v>chan</v>
      </c>
      <c r="E1504" s="49"/>
      <c r="F1504" s="49"/>
      <c r="G1504" s="49"/>
      <c r="H1504" s="54" t="str">
        <f t="shared" si="1"/>
        <v>crimes,</v>
      </c>
      <c r="I1504" s="50"/>
      <c r="J1504" s="50" t="s">
        <v>6887</v>
      </c>
      <c r="K1504" s="50" t="b">
        <v>0</v>
      </c>
      <c r="L1504" s="49" t="str">
        <f>IFERROR(__xludf.DUMMYFUNCTION("""COMPUTED_VALUE"""),"graphics")</f>
        <v>graphics</v>
      </c>
      <c r="M1504" s="49"/>
      <c r="N1504" s="49"/>
      <c r="O1504" s="49" t="str">
        <f>IFERROR(__xludf.DUMMYFUNCTION("""COMPUTED_VALUE"""),"invites")</f>
        <v>invites</v>
      </c>
      <c r="P1504" s="49" t="str">
        <f t="shared" si="2"/>
        <v>cafe,</v>
      </c>
      <c r="Q1504" s="49"/>
      <c r="R1504" s="50" t="s">
        <v>3511</v>
      </c>
      <c r="S1504" s="55" t="s">
        <v>2775</v>
      </c>
      <c r="T1504" s="49" t="str">
        <f>IFERROR(__xludf.DUMMYFUNCTION("""COMPUTED_VALUE"""),"keel")</f>
        <v>keel</v>
      </c>
      <c r="U1504" s="49"/>
      <c r="V1504" s="49"/>
      <c r="W1504" s="49" t="str">
        <f>IFERROR(__xludf.DUMMYFUNCTION("""COMPUTED_VALUE"""),"shivers")</f>
        <v>shivers</v>
      </c>
      <c r="X1504" s="49" t="str">
        <f t="shared" si="3"/>
        <v>via,</v>
      </c>
      <c r="Y1504" s="49"/>
      <c r="Z1504" s="1" t="s">
        <v>1754</v>
      </c>
      <c r="AA1504" s="1" t="s">
        <v>4615</v>
      </c>
      <c r="AB1504" s="49"/>
      <c r="AC1504" s="49"/>
      <c r="AD1504" s="49"/>
      <c r="AE1504" s="49" t="str">
        <f>IFERROR(__xludf.DUMMYFUNCTION("""COMPUTED_VALUE"""),"invites")</f>
        <v>invites</v>
      </c>
      <c r="AF1504" s="49" t="str">
        <f t="shared" si="4"/>
        <v>mere,</v>
      </c>
      <c r="AG1504" s="49"/>
      <c r="AH1504" s="1" t="s">
        <v>5136</v>
      </c>
      <c r="AI1504" s="1" t="s">
        <v>2581</v>
      </c>
      <c r="AJ1504" s="6" t="str">
        <f>IFERROR(__xludf.DUMMYFUNCTION("""COMPUTED_VALUE"""),"practical")</f>
        <v>practical</v>
      </c>
      <c r="AK1504" s="49"/>
      <c r="AL1504" s="49"/>
      <c r="AM1504" s="49"/>
      <c r="AN1504" s="52" t="str">
        <f t="shared" si="5"/>
        <v>chain,</v>
      </c>
    </row>
    <row r="1505">
      <c r="A1505" s="51"/>
      <c r="B1505" s="50" t="s">
        <v>3313</v>
      </c>
      <c r="C1505" s="50" t="s">
        <v>6521</v>
      </c>
      <c r="D1505" s="49" t="str">
        <f>IFERROR(__xludf.DUMMYFUNCTION("""COMPUTED_VALUE"""),"witnessed")</f>
        <v>witnessed</v>
      </c>
      <c r="E1505" s="49"/>
      <c r="F1505" s="49"/>
      <c r="G1505" s="49"/>
      <c r="H1505" s="54" t="str">
        <f t="shared" si="1"/>
        <v>stand,</v>
      </c>
      <c r="I1505" s="50"/>
      <c r="J1505" s="50" t="s">
        <v>7345</v>
      </c>
      <c r="K1505" s="50" t="s">
        <v>1515</v>
      </c>
      <c r="L1505" s="49" t="str">
        <f>IFERROR(__xludf.DUMMYFUNCTION("""COMPUTED_VALUE"""),"loneliness")</f>
        <v>loneliness</v>
      </c>
      <c r="M1505" s="49"/>
      <c r="N1505" s="49"/>
      <c r="O1505" s="49" t="str">
        <f>IFERROR(__xludf.DUMMYFUNCTION("""COMPUTED_VALUE"""),"followers")</f>
        <v>followers</v>
      </c>
      <c r="P1505" s="49" t="str">
        <f t="shared" si="2"/>
        <v>jazz,</v>
      </c>
      <c r="Q1505" s="49"/>
      <c r="R1505" s="50" t="s">
        <v>2860</v>
      </c>
      <c r="S1505" s="55" t="s">
        <v>3436</v>
      </c>
      <c r="T1505" s="49" t="str">
        <f>IFERROR(__xludf.DUMMYFUNCTION("""COMPUTED_VALUE"""),"shine")</f>
        <v>shine</v>
      </c>
      <c r="U1505" s="49"/>
      <c r="V1505" s="49"/>
      <c r="W1505" s="49" t="str">
        <f>IFERROR(__xludf.DUMMYFUNCTION("""COMPUTED_VALUE"""),"environmental")</f>
        <v>environmental</v>
      </c>
      <c r="X1505" s="49" t="str">
        <f t="shared" si="3"/>
        <v>destined,</v>
      </c>
      <c r="Y1505" s="49"/>
      <c r="Z1505" s="1" t="s">
        <v>6239</v>
      </c>
      <c r="AA1505" s="1" t="s">
        <v>4616</v>
      </c>
      <c r="AB1505" s="49"/>
      <c r="AC1505" s="49"/>
      <c r="AD1505" s="49"/>
      <c r="AE1505" s="49" t="str">
        <f>IFERROR(__xludf.DUMMYFUNCTION("""COMPUTED_VALUE"""),"followers")</f>
        <v>followers</v>
      </c>
      <c r="AF1505" s="49" t="str">
        <f t="shared" si="4"/>
        <v>poor,</v>
      </c>
      <c r="AG1505" s="49"/>
      <c r="AH1505" s="1" t="s">
        <v>4197</v>
      </c>
      <c r="AI1505" s="1" t="s">
        <v>6500</v>
      </c>
      <c r="AJ1505" s="6" t="str">
        <f>IFERROR(__xludf.DUMMYFUNCTION("""COMPUTED_VALUE"""),"switch")</f>
        <v>switch</v>
      </c>
      <c r="AK1505" s="49"/>
      <c r="AL1505" s="49"/>
      <c r="AM1505" s="49"/>
      <c r="AN1505" s="52" t="str">
        <f t="shared" si="5"/>
        <v>plane,</v>
      </c>
    </row>
    <row r="1506">
      <c r="A1506" s="51"/>
      <c r="B1506" s="50" t="s">
        <v>2755</v>
      </c>
      <c r="C1506" s="50" t="s">
        <v>3687</v>
      </c>
      <c r="D1506" s="49" t="str">
        <f>IFERROR(__xludf.DUMMYFUNCTION("""COMPUTED_VALUE"""),"pointed")</f>
        <v>pointed</v>
      </c>
      <c r="E1506" s="49"/>
      <c r="F1506" s="49"/>
      <c r="G1506" s="49"/>
      <c r="H1506" s="54" t="str">
        <f t="shared" si="1"/>
        <v>situation,</v>
      </c>
      <c r="I1506" s="50"/>
      <c r="J1506" s="50" t="s">
        <v>1580</v>
      </c>
      <c r="K1506" s="50" t="s">
        <v>4113</v>
      </c>
      <c r="L1506" s="49" t="str">
        <f>IFERROR(__xludf.DUMMYFUNCTION("""COMPUTED_VALUE"""),"reassuring")</f>
        <v>reassuring</v>
      </c>
      <c r="M1506" s="49"/>
      <c r="N1506" s="49"/>
      <c r="O1506" s="49" t="str">
        <f>IFERROR(__xludf.DUMMYFUNCTION("""COMPUTED_VALUE"""),"crocodile")</f>
        <v>crocodile</v>
      </c>
      <c r="P1506" s="49" t="str">
        <f t="shared" si="2"/>
        <v>interviews,</v>
      </c>
      <c r="Q1506" s="49"/>
      <c r="R1506" s="50" t="s">
        <v>1164</v>
      </c>
      <c r="S1506" s="55" t="s">
        <v>2662</v>
      </c>
      <c r="T1506" s="49" t="str">
        <f>IFERROR(__xludf.DUMMYFUNCTION("""COMPUTED_VALUE"""),"quietly")</f>
        <v>quietly</v>
      </c>
      <c r="U1506" s="49"/>
      <c r="V1506" s="49"/>
      <c r="W1506" s="49" t="str">
        <f>IFERROR(__xludf.DUMMYFUNCTION("""COMPUTED_VALUE"""),"fleeing")</f>
        <v>fleeing</v>
      </c>
      <c r="X1506" s="49" t="str">
        <f t="shared" si="3"/>
        <v>london,</v>
      </c>
      <c r="Y1506" s="49"/>
      <c r="Z1506" s="1" t="s">
        <v>3655</v>
      </c>
      <c r="AA1506" s="1" t="s">
        <v>491</v>
      </c>
      <c r="AB1506" s="49"/>
      <c r="AC1506" s="49"/>
      <c r="AD1506" s="49"/>
      <c r="AE1506" s="49" t="str">
        <f>IFERROR(__xludf.DUMMYFUNCTION("""COMPUTED_VALUE"""),"crocodile")</f>
        <v>crocodile</v>
      </c>
      <c r="AF1506" s="49" t="str">
        <f t="shared" si="4"/>
        <v>strain,</v>
      </c>
      <c r="AG1506" s="49"/>
      <c r="AH1506" s="1" t="s">
        <v>3448</v>
      </c>
      <c r="AI1506" s="1" t="s">
        <v>2587</v>
      </c>
      <c r="AJ1506" s="6" t="str">
        <f>IFERROR(__xludf.DUMMYFUNCTION("""COMPUTED_VALUE"""),"wood")</f>
        <v>wood</v>
      </c>
      <c r="AK1506" s="49"/>
      <c r="AL1506" s="49"/>
      <c r="AM1506" s="49"/>
      <c r="AN1506" s="52" t="str">
        <f t="shared" si="5"/>
        <v>cash,</v>
      </c>
    </row>
    <row r="1507">
      <c r="A1507" s="51"/>
      <c r="B1507" s="50" t="s">
        <v>1885</v>
      </c>
      <c r="C1507" s="50" t="s">
        <v>6093</v>
      </c>
      <c r="D1507" s="49" t="str">
        <f>IFERROR(__xludf.DUMMYFUNCTION("""COMPUTED_VALUE"""),"tender")</f>
        <v>tender</v>
      </c>
      <c r="E1507" s="49"/>
      <c r="F1507" s="49"/>
      <c r="G1507" s="49"/>
      <c r="H1507" s="54" t="str">
        <f t="shared" si="1"/>
        <v>speak,</v>
      </c>
      <c r="I1507" s="50"/>
      <c r="J1507" s="50" t="s">
        <v>2163</v>
      </c>
      <c r="K1507" s="50" t="s">
        <v>2958</v>
      </c>
      <c r="L1507" s="49" t="str">
        <f>IFERROR(__xludf.DUMMYFUNCTION("""COMPUTED_VALUE"""),"pan")</f>
        <v>pan</v>
      </c>
      <c r="M1507" s="49"/>
      <c r="N1507" s="49"/>
      <c r="O1507" s="49" t="str">
        <f>IFERROR(__xludf.DUMMYFUNCTION("""COMPUTED_VALUE"""),"coupling")</f>
        <v>coupling</v>
      </c>
      <c r="P1507" s="49" t="str">
        <f t="shared" si="2"/>
        <v>blue,</v>
      </c>
      <c r="Q1507" s="49"/>
      <c r="R1507" s="50" t="s">
        <v>3474</v>
      </c>
      <c r="S1507" s="55" t="s">
        <v>4213</v>
      </c>
      <c r="T1507" s="49" t="str">
        <f>IFERROR(__xludf.DUMMYFUNCTION("""COMPUTED_VALUE"""),"complicated")</f>
        <v>complicated</v>
      </c>
      <c r="U1507" s="49"/>
      <c r="V1507" s="49"/>
      <c r="W1507" s="49" t="str">
        <f>IFERROR(__xludf.DUMMYFUNCTION("""COMPUTED_VALUE"""),"lynne")</f>
        <v>lynne</v>
      </c>
      <c r="X1507" s="49" t="str">
        <f t="shared" si="3"/>
        <v>remembering,</v>
      </c>
      <c r="Y1507" s="49"/>
      <c r="Z1507" s="1" t="s">
        <v>6110</v>
      </c>
      <c r="AA1507" s="1" t="s">
        <v>1923</v>
      </c>
      <c r="AB1507" s="49"/>
      <c r="AC1507" s="49"/>
      <c r="AD1507" s="49"/>
      <c r="AE1507" s="49" t="str">
        <f>IFERROR(__xludf.DUMMYFUNCTION("""COMPUTED_VALUE"""),"coupling")</f>
        <v>coupling</v>
      </c>
      <c r="AF1507" s="49" t="str">
        <f t="shared" si="4"/>
        <v>marshall,</v>
      </c>
      <c r="AG1507" s="49"/>
      <c r="AH1507" s="1" t="s">
        <v>4951</v>
      </c>
      <c r="AI1507" s="1" t="s">
        <v>6503</v>
      </c>
      <c r="AJ1507" s="6" t="str">
        <f>IFERROR(__xludf.DUMMYFUNCTION("""COMPUTED_VALUE"""),"ed")</f>
        <v>ed</v>
      </c>
      <c r="AK1507" s="49"/>
      <c r="AL1507" s="49"/>
      <c r="AM1507" s="49"/>
      <c r="AN1507" s="52" t="str">
        <f t="shared" si="5"/>
        <v>destruction,</v>
      </c>
    </row>
    <row r="1508">
      <c r="A1508" s="51"/>
      <c r="B1508" s="50" t="s">
        <v>890</v>
      </c>
      <c r="C1508" s="50" t="s">
        <v>3697</v>
      </c>
      <c r="D1508" s="49" t="str">
        <f>IFERROR(__xludf.DUMMYFUNCTION("""COMPUTED_VALUE"""),"reflection")</f>
        <v>reflection</v>
      </c>
      <c r="E1508" s="49"/>
      <c r="F1508" s="49"/>
      <c r="G1508" s="49"/>
      <c r="H1508" s="54" t="str">
        <f t="shared" si="1"/>
        <v>effective,</v>
      </c>
      <c r="I1508" s="50"/>
      <c r="J1508" s="50" t="s">
        <v>105</v>
      </c>
      <c r="K1508" s="50" t="s">
        <v>4119</v>
      </c>
      <c r="L1508" s="49" t="str">
        <f>IFERROR(__xludf.DUMMYFUNCTION("""COMPUTED_VALUE"""),"unchanged")</f>
        <v>unchanged</v>
      </c>
      <c r="M1508" s="49"/>
      <c r="N1508" s="49"/>
      <c r="O1508" s="49" t="str">
        <f>IFERROR(__xludf.DUMMYFUNCTION("""COMPUTED_VALUE"""),"bodily")</f>
        <v>bodily</v>
      </c>
      <c r="P1508" s="49" t="str">
        <f t="shared" si="2"/>
        <v>proves,</v>
      </c>
      <c r="Q1508" s="49"/>
      <c r="R1508" s="50" t="s">
        <v>599</v>
      </c>
      <c r="S1508" s="55" t="s">
        <v>6522</v>
      </c>
      <c r="T1508" s="49" t="str">
        <f>IFERROR(__xludf.DUMMYFUNCTION("""COMPUTED_VALUE"""),"longest")</f>
        <v>longest</v>
      </c>
      <c r="U1508" s="49"/>
      <c r="V1508" s="49"/>
      <c r="W1508" s="49" t="str">
        <f>IFERROR(__xludf.DUMMYFUNCTION("""COMPUTED_VALUE"""),"ramsay")</f>
        <v>ramsay</v>
      </c>
      <c r="X1508" s="49" t="str">
        <f t="shared" si="3"/>
        <v>narrative,</v>
      </c>
      <c r="Y1508" s="49"/>
      <c r="Z1508" s="1" t="s">
        <v>696</v>
      </c>
      <c r="AA1508" s="1" t="s">
        <v>4623</v>
      </c>
      <c r="AB1508" s="49"/>
      <c r="AC1508" s="49"/>
      <c r="AD1508" s="49"/>
      <c r="AE1508" s="49" t="str">
        <f>IFERROR(__xludf.DUMMYFUNCTION("""COMPUTED_VALUE"""),"bodily")</f>
        <v>bodily</v>
      </c>
      <c r="AF1508" s="49" t="str">
        <f t="shared" si="4"/>
        <v>obvious,</v>
      </c>
      <c r="AG1508" s="49"/>
      <c r="AH1508" s="1">
        <v>6.0</v>
      </c>
      <c r="AI1508" s="1" t="s">
        <v>4506</v>
      </c>
      <c r="AJ1508" s="6" t="str">
        <f>IFERROR(__xludf.DUMMYFUNCTION("""COMPUTED_VALUE"""),"wife")</f>
        <v>wife</v>
      </c>
      <c r="AK1508" s="49"/>
      <c r="AL1508" s="49"/>
      <c r="AM1508" s="49"/>
      <c r="AN1508" s="52" t="str">
        <f t="shared" si="5"/>
        <v>6,</v>
      </c>
    </row>
    <row r="1509">
      <c r="A1509" s="51"/>
      <c r="B1509" s="50" t="s">
        <v>2332</v>
      </c>
      <c r="C1509" s="50" t="s">
        <v>4813</v>
      </c>
      <c r="D1509" s="49" t="str">
        <f>IFERROR(__xludf.DUMMYFUNCTION("""COMPUTED_VALUE"""),"political")</f>
        <v>political</v>
      </c>
      <c r="E1509" s="49"/>
      <c r="F1509" s="49"/>
      <c r="G1509" s="49"/>
      <c r="H1509" s="54" t="str">
        <f t="shared" si="1"/>
        <v>frequently,</v>
      </c>
      <c r="I1509" s="50"/>
      <c r="J1509" s="50" t="s">
        <v>3330</v>
      </c>
      <c r="K1509" s="50" t="s">
        <v>4626</v>
      </c>
      <c r="L1509" s="49" t="str">
        <f>IFERROR(__xludf.DUMMYFUNCTION("""COMPUTED_VALUE"""),"preaching")</f>
        <v>preaching</v>
      </c>
      <c r="M1509" s="49"/>
      <c r="N1509" s="49"/>
      <c r="O1509" s="49" t="str">
        <f>IFERROR(__xludf.DUMMYFUNCTION("""COMPUTED_VALUE"""),"outward")</f>
        <v>outward</v>
      </c>
      <c r="P1509" s="49" t="str">
        <f t="shared" si="2"/>
        <v>dawn,</v>
      </c>
      <c r="Q1509" s="49"/>
      <c r="R1509" s="50" t="s">
        <v>2917</v>
      </c>
      <c r="S1509" s="55" t="s">
        <v>906</v>
      </c>
      <c r="T1509" s="49" t="str">
        <f>IFERROR(__xludf.DUMMYFUNCTION("""COMPUTED_VALUE"""),"pushes")</f>
        <v>pushes</v>
      </c>
      <c r="U1509" s="49"/>
      <c r="V1509" s="49"/>
      <c r="W1509" s="49" t="str">
        <f>IFERROR(__xludf.DUMMYFUNCTION("""COMPUTED_VALUE"""),"converts")</f>
        <v>converts</v>
      </c>
      <c r="X1509" s="49" t="str">
        <f t="shared" si="3"/>
        <v>betrayal,</v>
      </c>
      <c r="Y1509" s="49"/>
      <c r="Z1509" s="1" t="s">
        <v>6344</v>
      </c>
      <c r="AA1509" s="1" t="s">
        <v>3424</v>
      </c>
      <c r="AB1509" s="49"/>
      <c r="AC1509" s="49"/>
      <c r="AD1509" s="49"/>
      <c r="AE1509" s="49" t="str">
        <f>IFERROR(__xludf.DUMMYFUNCTION("""COMPUTED_VALUE"""),"outward")</f>
        <v>outward</v>
      </c>
      <c r="AF1509" s="49" t="str">
        <f t="shared" si="4"/>
        <v>extremely,</v>
      </c>
      <c r="AG1509" s="49"/>
      <c r="AH1509" s="1">
        <v>7.0</v>
      </c>
      <c r="AI1509" s="1" t="s">
        <v>4503</v>
      </c>
      <c r="AJ1509" s="6" t="str">
        <f>IFERROR(__xludf.DUMMYFUNCTION("""COMPUTED_VALUE"""),"hold")</f>
        <v>hold</v>
      </c>
      <c r="AK1509" s="49"/>
      <c r="AL1509" s="49"/>
      <c r="AM1509" s="49"/>
      <c r="AN1509" s="52" t="str">
        <f t="shared" si="5"/>
        <v>7,</v>
      </c>
    </row>
    <row r="1510">
      <c r="A1510" s="51"/>
      <c r="B1510" s="50" t="s">
        <v>116</v>
      </c>
      <c r="C1510" s="50" t="s">
        <v>4371</v>
      </c>
      <c r="D1510" s="49" t="str">
        <f>IFERROR(__xludf.DUMMYFUNCTION("""COMPUTED_VALUE"""),"christian")</f>
        <v>christian</v>
      </c>
      <c r="E1510" s="49"/>
      <c r="F1510" s="49"/>
      <c r="G1510" s="49"/>
      <c r="H1510" s="54" t="str">
        <f t="shared" si="1"/>
        <v>emotions,</v>
      </c>
      <c r="I1510" s="50"/>
      <c r="J1510" s="50" t="s">
        <v>2363</v>
      </c>
      <c r="K1510" s="50" t="s">
        <v>2962</v>
      </c>
      <c r="L1510" s="49" t="str">
        <f>IFERROR(__xludf.DUMMYFUNCTION("""COMPUTED_VALUE"""),"trademark")</f>
        <v>trademark</v>
      </c>
      <c r="M1510" s="49"/>
      <c r="N1510" s="49"/>
      <c r="O1510" s="49" t="str">
        <f>IFERROR(__xludf.DUMMYFUNCTION("""COMPUTED_VALUE"""),"chick")</f>
        <v>chick</v>
      </c>
      <c r="P1510" s="49" t="str">
        <f t="shared" si="2"/>
        <v>blown,</v>
      </c>
      <c r="Q1510" s="49"/>
      <c r="R1510" s="50" t="s">
        <v>4848</v>
      </c>
      <c r="S1510" s="55" t="s">
        <v>1357</v>
      </c>
      <c r="T1510" s="49" t="str">
        <f>IFERROR(__xludf.DUMMYFUNCTION("""COMPUTED_VALUE"""),"fashioned")</f>
        <v>fashioned</v>
      </c>
      <c r="U1510" s="49"/>
      <c r="V1510" s="49"/>
      <c r="W1510" s="49" t="str">
        <f>IFERROR(__xludf.DUMMYFUNCTION("""COMPUTED_VALUE"""),"fade")</f>
        <v>fade</v>
      </c>
      <c r="X1510" s="49" t="str">
        <f t="shared" si="3"/>
        <v>drawings,</v>
      </c>
      <c r="Y1510" s="49"/>
      <c r="Z1510" s="1" t="s">
        <v>4993</v>
      </c>
      <c r="AA1510" s="1" t="s">
        <v>3537</v>
      </c>
      <c r="AB1510" s="49"/>
      <c r="AC1510" s="49"/>
      <c r="AD1510" s="49"/>
      <c r="AE1510" s="49" t="str">
        <f>IFERROR(__xludf.DUMMYFUNCTION("""COMPUTED_VALUE"""),"chick")</f>
        <v>chick</v>
      </c>
      <c r="AF1510" s="49" t="str">
        <f t="shared" si="4"/>
        <v>fire,</v>
      </c>
      <c r="AG1510" s="49"/>
      <c r="AH1510" s="1" t="s">
        <v>1168</v>
      </c>
      <c r="AI1510" s="1" t="s">
        <v>6523</v>
      </c>
      <c r="AJ1510" s="6" t="str">
        <f>IFERROR(__xludf.DUMMYFUNCTION("""COMPUTED_VALUE"""),"missing")</f>
        <v>missing</v>
      </c>
      <c r="AK1510" s="49"/>
      <c r="AL1510" s="49"/>
      <c r="AM1510" s="49"/>
      <c r="AN1510" s="52" t="str">
        <f t="shared" si="5"/>
        <v>west,</v>
      </c>
    </row>
    <row r="1511">
      <c r="A1511" s="51"/>
      <c r="B1511" s="50" t="s">
        <v>596</v>
      </c>
      <c r="C1511" s="50" t="s">
        <v>3699</v>
      </c>
      <c r="D1511" s="49" t="str">
        <f>IFERROR(__xludf.DUMMYFUNCTION("""COMPUTED_VALUE"""),"corruption")</f>
        <v>corruption</v>
      </c>
      <c r="E1511" s="49"/>
      <c r="F1511" s="49"/>
      <c r="G1511" s="49"/>
      <c r="H1511" s="54" t="str">
        <f t="shared" si="1"/>
        <v>intensity,</v>
      </c>
      <c r="I1511" s="50"/>
      <c r="J1511" s="50" t="s">
        <v>5254</v>
      </c>
      <c r="K1511" s="50" t="s">
        <v>4015</v>
      </c>
      <c r="L1511" s="49" t="str">
        <f>IFERROR(__xludf.DUMMYFUNCTION("""COMPUTED_VALUE"""),"uncanny")</f>
        <v>uncanny</v>
      </c>
      <c r="M1511" s="49"/>
      <c r="N1511" s="49"/>
      <c r="O1511" s="49" t="str">
        <f>IFERROR(__xludf.DUMMYFUNCTION("""COMPUTED_VALUE"""),"fling")</f>
        <v>fling</v>
      </c>
      <c r="P1511" s="49" t="str">
        <f t="shared" si="2"/>
        <v>ideal,</v>
      </c>
      <c r="Q1511" s="49"/>
      <c r="R1511" s="50" t="s">
        <v>2859</v>
      </c>
      <c r="S1511" s="55" t="s">
        <v>744</v>
      </c>
      <c r="T1511" s="49" t="str">
        <f>IFERROR(__xludf.DUMMYFUNCTION("""COMPUTED_VALUE"""),"ourselves")</f>
        <v>ourselves</v>
      </c>
      <c r="U1511" s="49"/>
      <c r="V1511" s="49"/>
      <c r="W1511" s="49" t="str">
        <f>IFERROR(__xludf.DUMMYFUNCTION("""COMPUTED_VALUE"""),"pedestrian")</f>
        <v>pedestrian</v>
      </c>
      <c r="X1511" s="49" t="str">
        <f t="shared" si="3"/>
        <v>inhabitants,</v>
      </c>
      <c r="Y1511" s="49"/>
      <c r="Z1511" s="1" t="s">
        <v>881</v>
      </c>
      <c r="AA1511" s="1" t="s">
        <v>1202</v>
      </c>
      <c r="AB1511" s="49"/>
      <c r="AC1511" s="49"/>
      <c r="AD1511" s="49"/>
      <c r="AE1511" s="49" t="str">
        <f>IFERROR(__xludf.DUMMYFUNCTION("""COMPUTED_VALUE"""),"fling")</f>
        <v>fling</v>
      </c>
      <c r="AF1511" s="49" t="str">
        <f t="shared" si="4"/>
        <v>women,</v>
      </c>
      <c r="AG1511" s="49"/>
      <c r="AH1511" s="1" t="s">
        <v>4758</v>
      </c>
      <c r="AI1511" s="1" t="s">
        <v>6501</v>
      </c>
      <c r="AJ1511" s="6" t="str">
        <f>IFERROR(__xludf.DUMMYFUNCTION("""COMPUTED_VALUE"""),"actions")</f>
        <v>actions</v>
      </c>
      <c r="AK1511" s="49"/>
      <c r="AL1511" s="49"/>
      <c r="AM1511" s="49"/>
      <c r="AN1511" s="52" t="str">
        <f t="shared" si="5"/>
        <v>smith,</v>
      </c>
    </row>
    <row r="1512">
      <c r="A1512" s="51"/>
      <c r="B1512" s="50" t="s">
        <v>726</v>
      </c>
      <c r="C1512" s="50" t="s">
        <v>1637</v>
      </c>
      <c r="D1512" s="49" t="str">
        <f>IFERROR(__xludf.DUMMYFUNCTION("""COMPUTED_VALUE"""),"sacrifice")</f>
        <v>sacrifice</v>
      </c>
      <c r="E1512" s="49"/>
      <c r="F1512" s="49"/>
      <c r="G1512" s="49"/>
      <c r="H1512" s="54" t="str">
        <f t="shared" si="1"/>
        <v>away,</v>
      </c>
      <c r="I1512" s="50"/>
      <c r="J1512" s="50" t="s">
        <v>5577</v>
      </c>
      <c r="K1512" s="50" t="s">
        <v>4120</v>
      </c>
      <c r="L1512" s="49" t="str">
        <f>IFERROR(__xludf.DUMMYFUNCTION("""COMPUTED_VALUE"""),"humidity")</f>
        <v>humidity</v>
      </c>
      <c r="M1512" s="49"/>
      <c r="N1512" s="49"/>
      <c r="O1512" s="49" t="str">
        <f>IFERROR(__xludf.DUMMYFUNCTION("""COMPUTED_VALUE"""),"fleeting")</f>
        <v>fleeting</v>
      </c>
      <c r="P1512" s="49" t="str">
        <f t="shared" si="2"/>
        <v>neighborhood,</v>
      </c>
      <c r="Q1512" s="49"/>
      <c r="R1512" s="50" t="s">
        <v>3209</v>
      </c>
      <c r="S1512" s="55" t="s">
        <v>4272</v>
      </c>
      <c r="T1512" s="49" t="str">
        <f>IFERROR(__xludf.DUMMYFUNCTION("""COMPUTED_VALUE"""),"outstanding")</f>
        <v>outstanding</v>
      </c>
      <c r="U1512" s="49"/>
      <c r="V1512" s="49"/>
      <c r="W1512" s="49" t="str">
        <f>IFERROR(__xludf.DUMMYFUNCTION("""COMPUTED_VALUE"""),"encompassing")</f>
        <v>encompassing</v>
      </c>
      <c r="X1512" s="49" t="str">
        <f t="shared" si="3"/>
        <v>counterparts,</v>
      </c>
      <c r="Y1512" s="49"/>
      <c r="Z1512" s="1" t="s">
        <v>3082</v>
      </c>
      <c r="AA1512" s="1" t="s">
        <v>4628</v>
      </c>
      <c r="AB1512" s="49"/>
      <c r="AC1512" s="49"/>
      <c r="AD1512" s="49"/>
      <c r="AE1512" s="49" t="str">
        <f>IFERROR(__xludf.DUMMYFUNCTION("""COMPUTED_VALUE"""),"fleeting")</f>
        <v>fleeting</v>
      </c>
      <c r="AF1512" s="49" t="str">
        <f t="shared" si="4"/>
        <v>afraid,</v>
      </c>
      <c r="AG1512" s="49"/>
      <c r="AH1512" s="1" t="s">
        <v>5709</v>
      </c>
      <c r="AI1512" s="1" t="s">
        <v>4501</v>
      </c>
      <c r="AJ1512" s="6" t="str">
        <f>IFERROR(__xludf.DUMMYFUNCTION("""COMPUTED_VALUE"""),"conservative")</f>
        <v>conservative</v>
      </c>
      <c r="AK1512" s="49"/>
      <c r="AL1512" s="49"/>
      <c r="AM1512" s="49"/>
      <c r="AN1512" s="52" t="str">
        <f t="shared" si="5"/>
        <v>1960s,</v>
      </c>
    </row>
    <row r="1513">
      <c r="A1513" s="51"/>
      <c r="B1513" s="50" t="s">
        <v>1062</v>
      </c>
      <c r="C1513" s="50" t="s">
        <v>3702</v>
      </c>
      <c r="D1513" s="49" t="str">
        <f>IFERROR(__xludf.DUMMYFUNCTION("""COMPUTED_VALUE"""),"ocean")</f>
        <v>ocean</v>
      </c>
      <c r="E1513" s="49"/>
      <c r="F1513" s="49"/>
      <c r="G1513" s="49"/>
      <c r="H1513" s="54" t="str">
        <f t="shared" si="1"/>
        <v>although,</v>
      </c>
      <c r="I1513" s="50"/>
      <c r="J1513" s="50" t="s">
        <v>3265</v>
      </c>
      <c r="K1513" s="50" t="s">
        <v>4631</v>
      </c>
      <c r="L1513" s="49" t="str">
        <f>IFERROR(__xludf.DUMMYFUNCTION("""COMPUTED_VALUE"""),"underlying")</f>
        <v>underlying</v>
      </c>
      <c r="M1513" s="49"/>
      <c r="N1513" s="49"/>
      <c r="O1513" s="49" t="str">
        <f>IFERROR(__xludf.DUMMYFUNCTION("""COMPUTED_VALUE"""),"dared")</f>
        <v>dared</v>
      </c>
      <c r="P1513" s="49" t="str">
        <f t="shared" si="2"/>
        <v>tour,</v>
      </c>
      <c r="Q1513" s="49"/>
      <c r="R1513" s="50">
        <v>1958.0</v>
      </c>
      <c r="S1513" s="55" t="s">
        <v>3165</v>
      </c>
      <c r="T1513" s="49" t="str">
        <f>IFERROR(__xludf.DUMMYFUNCTION("""COMPUTED_VALUE"""),"marquis")</f>
        <v>marquis</v>
      </c>
      <c r="U1513" s="49"/>
      <c r="V1513" s="49"/>
      <c r="W1513" s="49" t="str">
        <f>IFERROR(__xludf.DUMMYFUNCTION("""COMPUTED_VALUE"""),"spawned")</f>
        <v>spawned</v>
      </c>
      <c r="X1513" s="49" t="str">
        <f t="shared" si="3"/>
        <v>1958,</v>
      </c>
      <c r="Y1513" s="49"/>
      <c r="Z1513" s="1" t="s">
        <v>3812</v>
      </c>
      <c r="AA1513" s="1" t="s">
        <v>3119</v>
      </c>
      <c r="AB1513" s="49"/>
      <c r="AC1513" s="49"/>
      <c r="AD1513" s="49"/>
      <c r="AE1513" s="49" t="str">
        <f>IFERROR(__xludf.DUMMYFUNCTION("""COMPUTED_VALUE"""),"dared")</f>
        <v>dared</v>
      </c>
      <c r="AF1513" s="49" t="str">
        <f t="shared" si="4"/>
        <v>meaning,</v>
      </c>
      <c r="AG1513" s="49"/>
      <c r="AH1513" s="1" t="s">
        <v>4232</v>
      </c>
      <c r="AI1513" s="1" t="s">
        <v>4509</v>
      </c>
      <c r="AJ1513" s="6" t="str">
        <f>IFERROR(__xludf.DUMMYFUNCTION("""COMPUTED_VALUE"""),"gift")</f>
        <v>gift</v>
      </c>
      <c r="AK1513" s="49"/>
      <c r="AL1513" s="49"/>
      <c r="AM1513" s="49"/>
      <c r="AN1513" s="52" t="str">
        <f t="shared" si="5"/>
        <v>chosen,</v>
      </c>
    </row>
    <row r="1514">
      <c r="A1514" s="51"/>
      <c r="B1514" s="50" t="s">
        <v>6669</v>
      </c>
      <c r="C1514" s="50" t="s">
        <v>6508</v>
      </c>
      <c r="D1514" s="49" t="str">
        <f>IFERROR(__xludf.DUMMYFUNCTION("""COMPUTED_VALUE"""),"atlantic")</f>
        <v>atlantic</v>
      </c>
      <c r="E1514" s="49"/>
      <c r="F1514" s="49"/>
      <c r="G1514" s="49"/>
      <c r="H1514" s="54" t="str">
        <f t="shared" si="1"/>
        <v>department,</v>
      </c>
      <c r="I1514" s="50"/>
      <c r="J1514" s="50" t="s">
        <v>2166</v>
      </c>
      <c r="K1514" s="50" t="s">
        <v>2966</v>
      </c>
      <c r="L1514" s="49" t="str">
        <f>IFERROR(__xludf.DUMMYFUNCTION("""COMPUTED_VALUE"""),"tears")</f>
        <v>tears</v>
      </c>
      <c r="M1514" s="49"/>
      <c r="N1514" s="49"/>
      <c r="O1514" s="49" t="str">
        <f>IFERROR(__xludf.DUMMYFUNCTION("""COMPUTED_VALUE"""),"explicit")</f>
        <v>explicit</v>
      </c>
      <c r="P1514" s="49" t="str">
        <f t="shared" si="2"/>
        <v>ride,</v>
      </c>
      <c r="Q1514" s="49"/>
      <c r="R1514" s="50" t="s">
        <v>6892</v>
      </c>
      <c r="S1514" s="55" t="s">
        <v>914</v>
      </c>
      <c r="T1514" s="49" t="str">
        <f>IFERROR(__xludf.DUMMYFUNCTION("""COMPUTED_VALUE"""),"process")</f>
        <v>process</v>
      </c>
      <c r="U1514" s="49"/>
      <c r="V1514" s="49"/>
      <c r="W1514" s="49" t="str">
        <f>IFERROR(__xludf.DUMMYFUNCTION("""COMPUTED_VALUE"""),"favorably")</f>
        <v>favorably</v>
      </c>
      <c r="X1514" s="49" t="str">
        <f t="shared" si="3"/>
        <v>continue,</v>
      </c>
      <c r="Y1514" s="49"/>
      <c r="Z1514" s="1" t="s">
        <v>2678</v>
      </c>
      <c r="AA1514" s="1" t="s">
        <v>1935</v>
      </c>
      <c r="AB1514" s="49"/>
      <c r="AC1514" s="49"/>
      <c r="AD1514" s="49"/>
      <c r="AE1514" s="49" t="str">
        <f>IFERROR(__xludf.DUMMYFUNCTION("""COMPUTED_VALUE"""),"explicit")</f>
        <v>explicit</v>
      </c>
      <c r="AF1514" s="49" t="str">
        <f t="shared" si="4"/>
        <v>exciting,</v>
      </c>
      <c r="AG1514" s="49"/>
      <c r="AH1514" s="1" t="s">
        <v>7394</v>
      </c>
      <c r="AI1514" s="1" t="s">
        <v>730</v>
      </c>
      <c r="AJ1514" s="6" t="str">
        <f>IFERROR(__xludf.DUMMYFUNCTION("""COMPUTED_VALUE"""),"widow")</f>
        <v>widow</v>
      </c>
      <c r="AK1514" s="49"/>
      <c r="AL1514" s="49"/>
      <c r="AM1514" s="49"/>
      <c r="AN1514" s="52" t="str">
        <f t="shared" si="5"/>
        <v>independence,</v>
      </c>
    </row>
    <row r="1515">
      <c r="A1515" s="51"/>
      <c r="B1515" s="50" t="s">
        <v>7163</v>
      </c>
      <c r="C1515" s="50" t="s">
        <v>2320</v>
      </c>
      <c r="D1515" s="49" t="str">
        <f>IFERROR(__xludf.DUMMYFUNCTION("""COMPUTED_VALUE"""),"somewhere")</f>
        <v>somewhere</v>
      </c>
      <c r="E1515" s="49"/>
      <c r="F1515" s="49"/>
      <c r="G1515" s="49"/>
      <c r="H1515" s="54" t="str">
        <f t="shared" si="1"/>
        <v>plan,</v>
      </c>
      <c r="I1515" s="50"/>
      <c r="J1515" s="50" t="s">
        <v>1945</v>
      </c>
      <c r="K1515" s="50" t="s">
        <v>2969</v>
      </c>
      <c r="L1515" s="49" t="str">
        <f>IFERROR(__xludf.DUMMYFUNCTION("""COMPUTED_VALUE"""),"franco")</f>
        <v>franco</v>
      </c>
      <c r="M1515" s="49"/>
      <c r="N1515" s="49"/>
      <c r="O1515" s="49" t="str">
        <f>IFERROR(__xludf.DUMMYFUNCTION("""COMPUTED_VALUE"""),"thrust")</f>
        <v>thrust</v>
      </c>
      <c r="P1515" s="49" t="str">
        <f t="shared" si="2"/>
        <v>lower,</v>
      </c>
      <c r="Q1515" s="49"/>
      <c r="R1515" s="50" t="s">
        <v>5251</v>
      </c>
      <c r="S1515" s="55" t="s">
        <v>929</v>
      </c>
      <c r="T1515" s="49" t="str">
        <f>IFERROR(__xludf.DUMMYFUNCTION("""COMPUTED_VALUE"""),"pink")</f>
        <v>pink</v>
      </c>
      <c r="U1515" s="49"/>
      <c r="V1515" s="49"/>
      <c r="W1515" s="49" t="str">
        <f>IFERROR(__xludf.DUMMYFUNCTION("""COMPUTED_VALUE"""),"squeezed")</f>
        <v>squeezed</v>
      </c>
      <c r="X1515" s="49" t="str">
        <f t="shared" si="3"/>
        <v>grown,</v>
      </c>
      <c r="Y1515" s="49"/>
      <c r="Z1515" s="1" t="s">
        <v>3150</v>
      </c>
      <c r="AA1515" s="1" t="s">
        <v>4473</v>
      </c>
      <c r="AB1515" s="49"/>
      <c r="AC1515" s="49"/>
      <c r="AD1515" s="49"/>
      <c r="AE1515" s="49" t="str">
        <f>IFERROR(__xludf.DUMMYFUNCTION("""COMPUTED_VALUE"""),"thrust")</f>
        <v>thrust</v>
      </c>
      <c r="AF1515" s="49" t="str">
        <f t="shared" si="4"/>
        <v>fill,</v>
      </c>
      <c r="AG1515" s="49"/>
      <c r="AH1515" s="1" t="s">
        <v>2164</v>
      </c>
      <c r="AI1515" s="1" t="s">
        <v>4305</v>
      </c>
      <c r="AJ1515" s="6" t="str">
        <f>IFERROR(__xludf.DUMMYFUNCTION("""COMPUTED_VALUE"""),"species")</f>
        <v>species</v>
      </c>
      <c r="AK1515" s="49"/>
      <c r="AL1515" s="49"/>
      <c r="AM1515" s="49"/>
      <c r="AN1515" s="52" t="str">
        <f t="shared" si="5"/>
        <v>allows,</v>
      </c>
    </row>
    <row r="1516">
      <c r="A1516" s="51"/>
      <c r="B1516" s="50" t="s">
        <v>3613</v>
      </c>
      <c r="C1516" s="50" t="s">
        <v>6485</v>
      </c>
      <c r="D1516" s="49" t="str">
        <f>IFERROR(__xludf.DUMMYFUNCTION("""COMPUTED_VALUE"""),"net")</f>
        <v>net</v>
      </c>
      <c r="E1516" s="49"/>
      <c r="F1516" s="49"/>
      <c r="G1516" s="49"/>
      <c r="H1516" s="54" t="str">
        <f t="shared" si="1"/>
        <v>finding,</v>
      </c>
      <c r="I1516" s="50"/>
      <c r="J1516" s="50" t="s">
        <v>4878</v>
      </c>
      <c r="K1516" s="50" t="s">
        <v>2972</v>
      </c>
      <c r="L1516" s="49" t="str">
        <f>IFERROR(__xludf.DUMMYFUNCTION("""COMPUTED_VALUE"""),"bergman")</f>
        <v>bergman</v>
      </c>
      <c r="M1516" s="49"/>
      <c r="N1516" s="49"/>
      <c r="O1516" s="49" t="str">
        <f>IFERROR(__xludf.DUMMYFUNCTION("""COMPUTED_VALUE"""),"substantive")</f>
        <v>substantive</v>
      </c>
      <c r="P1516" s="49" t="str">
        <f t="shared" si="2"/>
        <v>cares,</v>
      </c>
      <c r="Q1516" s="49"/>
      <c r="R1516" s="50" t="s">
        <v>7395</v>
      </c>
      <c r="S1516" s="55" t="s">
        <v>3951</v>
      </c>
      <c r="T1516" s="49" t="str">
        <f>IFERROR(__xludf.DUMMYFUNCTION("""COMPUTED_VALUE"""),"monstrous")</f>
        <v>monstrous</v>
      </c>
      <c r="U1516" s="49"/>
      <c r="V1516" s="49"/>
      <c r="W1516" s="49" t="str">
        <f>IFERROR(__xludf.DUMMYFUNCTION("""COMPUTED_VALUE"""),"clare")</f>
        <v>clare</v>
      </c>
      <c r="X1516" s="49" t="str">
        <f t="shared" si="3"/>
        <v>defining,</v>
      </c>
      <c r="Y1516" s="49"/>
      <c r="Z1516" s="1" t="s">
        <v>80</v>
      </c>
      <c r="AA1516" s="1" t="s">
        <v>3123</v>
      </c>
      <c r="AB1516" s="49"/>
      <c r="AC1516" s="49"/>
      <c r="AD1516" s="49"/>
      <c r="AE1516" s="49" t="str">
        <f>IFERROR(__xludf.DUMMYFUNCTION("""COMPUTED_VALUE"""),"substantive")</f>
        <v>substantive</v>
      </c>
      <c r="AF1516" s="49" t="str">
        <f t="shared" si="4"/>
        <v>emotional,</v>
      </c>
      <c r="AG1516" s="49"/>
      <c r="AH1516" s="1" t="s">
        <v>1895</v>
      </c>
      <c r="AI1516" s="1" t="s">
        <v>2027</v>
      </c>
      <c r="AJ1516" s="6" t="str">
        <f>IFERROR(__xludf.DUMMYFUNCTION("""COMPUTED_VALUE"""),"despite")</f>
        <v>despite</v>
      </c>
      <c r="AK1516" s="49"/>
      <c r="AL1516" s="49"/>
      <c r="AM1516" s="49"/>
      <c r="AN1516" s="52" t="str">
        <f t="shared" si="5"/>
        <v>scoring,</v>
      </c>
    </row>
    <row r="1517">
      <c r="A1517" s="51"/>
      <c r="B1517" s="50" t="s">
        <v>6702</v>
      </c>
      <c r="C1517" s="50" t="s">
        <v>1252</v>
      </c>
      <c r="D1517" s="49" t="str">
        <f>IFERROR(__xludf.DUMMYFUNCTION("""COMPUTED_VALUE"""),"ghost")</f>
        <v>ghost</v>
      </c>
      <c r="E1517" s="49"/>
      <c r="F1517" s="49"/>
      <c r="G1517" s="49"/>
      <c r="H1517" s="54" t="str">
        <f t="shared" si="1"/>
        <v>snow,</v>
      </c>
      <c r="I1517" s="50"/>
      <c r="J1517" s="50" t="s">
        <v>3340</v>
      </c>
      <c r="K1517" s="50" t="s">
        <v>1522</v>
      </c>
      <c r="L1517" s="49" t="str">
        <f>IFERROR(__xludf.DUMMYFUNCTION("""COMPUTED_VALUE"""),"heights")</f>
        <v>heights</v>
      </c>
      <c r="M1517" s="49"/>
      <c r="N1517" s="49"/>
      <c r="O1517" s="49" t="str">
        <f>IFERROR(__xludf.DUMMYFUNCTION("""COMPUTED_VALUE"""),"teeth")</f>
        <v>teeth</v>
      </c>
      <c r="P1517" s="49" t="str">
        <f t="shared" si="2"/>
        <v>detail,</v>
      </c>
      <c r="Q1517" s="49"/>
      <c r="R1517" s="50" t="s">
        <v>4476</v>
      </c>
      <c r="S1517" s="55" t="s">
        <v>3955</v>
      </c>
      <c r="T1517" s="49" t="str">
        <f>IFERROR(__xludf.DUMMYFUNCTION("""COMPUTED_VALUE"""),"clown")</f>
        <v>clown</v>
      </c>
      <c r="U1517" s="49"/>
      <c r="V1517" s="49"/>
      <c r="W1517" s="49" t="str">
        <f>IFERROR(__xludf.DUMMYFUNCTION("""COMPUTED_VALUE"""),"tapping")</f>
        <v>tapping</v>
      </c>
      <c r="X1517" s="49" t="str">
        <f t="shared" si="3"/>
        <v>orchestrated,</v>
      </c>
      <c r="Y1517" s="49"/>
      <c r="Z1517" s="1" t="s">
        <v>4603</v>
      </c>
      <c r="AA1517" s="1" t="s">
        <v>1208</v>
      </c>
      <c r="AB1517" s="49"/>
      <c r="AC1517" s="49"/>
      <c r="AD1517" s="49"/>
      <c r="AE1517" s="49" t="str">
        <f>IFERROR(__xludf.DUMMYFUNCTION("""COMPUTED_VALUE"""),"teeth")</f>
        <v>teeth</v>
      </c>
      <c r="AF1517" s="49" t="str">
        <f t="shared" si="4"/>
        <v>bang,</v>
      </c>
      <c r="AG1517" s="49"/>
      <c r="AH1517" s="1" t="s">
        <v>1449</v>
      </c>
      <c r="AI1517" s="1" t="s">
        <v>995</v>
      </c>
      <c r="AJ1517" s="6">
        <f>IFERROR(__xludf.DUMMYFUNCTION("""COMPUTED_VALUE"""),60.0)</f>
        <v>60</v>
      </c>
      <c r="AK1517" s="49"/>
      <c r="AL1517" s="49"/>
      <c r="AM1517" s="49"/>
      <c r="AN1517" s="52" t="str">
        <f t="shared" si="5"/>
        <v>north,</v>
      </c>
    </row>
    <row r="1518">
      <c r="A1518" s="51"/>
      <c r="B1518" s="50" t="s">
        <v>5136</v>
      </c>
      <c r="C1518" s="50" t="s">
        <v>3716</v>
      </c>
      <c r="D1518" s="49" t="str">
        <f>IFERROR(__xludf.DUMMYFUNCTION("""COMPUTED_VALUE"""),"triangle")</f>
        <v>triangle</v>
      </c>
      <c r="E1518" s="49"/>
      <c r="F1518" s="49"/>
      <c r="G1518" s="49"/>
      <c r="H1518" s="54" t="str">
        <f t="shared" si="1"/>
        <v>chain,</v>
      </c>
      <c r="I1518" s="50"/>
      <c r="J1518" s="50" t="s">
        <v>1001</v>
      </c>
      <c r="K1518" s="50" t="s">
        <v>4640</v>
      </c>
      <c r="L1518" s="49" t="str">
        <f>IFERROR(__xludf.DUMMYFUNCTION("""COMPUTED_VALUE"""),"ode")</f>
        <v>ode</v>
      </c>
      <c r="M1518" s="49"/>
      <c r="N1518" s="49"/>
      <c r="O1518" s="49" t="str">
        <f>IFERROR(__xludf.DUMMYFUNCTION("""COMPUTED_VALUE"""),"binary")</f>
        <v>binary</v>
      </c>
      <c r="P1518" s="49" t="str">
        <f t="shared" si="2"/>
        <v>theories,</v>
      </c>
      <c r="Q1518" s="49"/>
      <c r="R1518" s="50" t="s">
        <v>3132</v>
      </c>
      <c r="S1518" s="55" t="s">
        <v>753</v>
      </c>
      <c r="T1518" s="49" t="str">
        <f>IFERROR(__xludf.DUMMYFUNCTION("""COMPUTED_VALUE"""),"received")</f>
        <v>received</v>
      </c>
      <c r="U1518" s="49"/>
      <c r="V1518" s="49"/>
      <c r="W1518" s="49">
        <f>IFERROR(__xludf.DUMMYFUNCTION("""COMPUTED_VALUE"""),146.0)</f>
        <v>146</v>
      </c>
      <c r="X1518" s="49" t="str">
        <f t="shared" si="3"/>
        <v>key,</v>
      </c>
      <c r="Y1518" s="49"/>
      <c r="Z1518" s="1" t="s">
        <v>4918</v>
      </c>
      <c r="AA1518" s="1" t="s">
        <v>4637</v>
      </c>
      <c r="AB1518" s="49"/>
      <c r="AC1518" s="49"/>
      <c r="AD1518" s="49"/>
      <c r="AE1518" s="49" t="str">
        <f>IFERROR(__xludf.DUMMYFUNCTION("""COMPUTED_VALUE"""),"binary")</f>
        <v>binary</v>
      </c>
      <c r="AF1518" s="49" t="str">
        <f t="shared" si="4"/>
        <v>challenging,</v>
      </c>
      <c r="AG1518" s="49"/>
      <c r="AH1518" s="1" t="s">
        <v>7396</v>
      </c>
      <c r="AI1518" s="1" t="s">
        <v>2594</v>
      </c>
      <c r="AJ1518" s="6" t="str">
        <f>IFERROR(__xludf.DUMMYFUNCTION("""COMPUTED_VALUE"""),"lack")</f>
        <v>lack</v>
      </c>
      <c r="AK1518" s="49"/>
      <c r="AL1518" s="49"/>
      <c r="AM1518" s="49"/>
      <c r="AN1518" s="52" t="str">
        <f t="shared" si="5"/>
        <v>government,</v>
      </c>
    </row>
    <row r="1519">
      <c r="A1519" s="51"/>
      <c r="B1519" s="50" t="s">
        <v>4197</v>
      </c>
      <c r="C1519" s="50" t="s">
        <v>2540</v>
      </c>
      <c r="D1519" s="49" t="str">
        <f>IFERROR(__xludf.DUMMYFUNCTION("""COMPUTED_VALUE"""),"leon")</f>
        <v>leon</v>
      </c>
      <c r="E1519" s="49"/>
      <c r="F1519" s="49"/>
      <c r="G1519" s="49"/>
      <c r="H1519" s="54" t="str">
        <f t="shared" si="1"/>
        <v>plane,</v>
      </c>
      <c r="I1519" s="50"/>
      <c r="J1519" s="50" t="s">
        <v>3169</v>
      </c>
      <c r="K1519" s="50" t="s">
        <v>2979</v>
      </c>
      <c r="L1519" s="49" t="str">
        <f>IFERROR(__xludf.DUMMYFUNCTION("""COMPUTED_VALUE"""),"adventurous")</f>
        <v>adventurous</v>
      </c>
      <c r="M1519" s="49"/>
      <c r="N1519" s="49"/>
      <c r="O1519" s="49" t="str">
        <f>IFERROR(__xludf.DUMMYFUNCTION("""COMPUTED_VALUE"""),"simplicity")</f>
        <v>simplicity</v>
      </c>
      <c r="P1519" s="49" t="str">
        <f t="shared" si="2"/>
        <v>hazy,</v>
      </c>
      <c r="Q1519" s="49"/>
      <c r="R1519" s="50" t="s">
        <v>838</v>
      </c>
      <c r="S1519" s="55" t="s">
        <v>2783</v>
      </c>
      <c r="T1519" s="49" t="str">
        <f>IFERROR(__xludf.DUMMYFUNCTION("""COMPUTED_VALUE"""),"pressed")</f>
        <v>pressed</v>
      </c>
      <c r="U1519" s="49"/>
      <c r="V1519" s="49"/>
      <c r="W1519" s="49" t="str">
        <f>IFERROR(__xludf.DUMMYFUNCTION("""COMPUTED_VALUE"""),"beers")</f>
        <v>beers</v>
      </c>
      <c r="X1519" s="49" t="str">
        <f t="shared" si="3"/>
        <v>schemes,</v>
      </c>
      <c r="Y1519" s="49"/>
      <c r="Z1519" s="1" t="s">
        <v>532</v>
      </c>
      <c r="AA1519" s="1" t="s">
        <v>1933</v>
      </c>
      <c r="AB1519" s="49"/>
      <c r="AC1519" s="49"/>
      <c r="AD1519" s="49"/>
      <c r="AE1519" s="49" t="str">
        <f>IFERROR(__xludf.DUMMYFUNCTION("""COMPUTED_VALUE"""),"simplicity")</f>
        <v>simplicity</v>
      </c>
      <c r="AF1519" s="49" t="str">
        <f t="shared" si="4"/>
        <v>half,</v>
      </c>
      <c r="AG1519" s="49"/>
      <c r="AH1519" s="1" t="s">
        <v>113</v>
      </c>
      <c r="AI1519" s="1" t="s">
        <v>4321</v>
      </c>
      <c r="AJ1519" s="6" t="str">
        <f>IFERROR(__xludf.DUMMYFUNCTION("""COMPUTED_VALUE"""),"text")</f>
        <v>text</v>
      </c>
      <c r="AK1519" s="49"/>
      <c r="AL1519" s="49"/>
      <c r="AM1519" s="49"/>
      <c r="AN1519" s="52" t="str">
        <f t="shared" si="5"/>
        <v>rather,</v>
      </c>
    </row>
    <row r="1520">
      <c r="A1520" s="51"/>
      <c r="B1520" s="50" t="s">
        <v>3448</v>
      </c>
      <c r="C1520" s="50" t="s">
        <v>6509</v>
      </c>
      <c r="D1520" s="49" t="str">
        <f>IFERROR(__xludf.DUMMYFUNCTION("""COMPUTED_VALUE"""),"novel")</f>
        <v>novel</v>
      </c>
      <c r="E1520" s="49"/>
      <c r="F1520" s="49"/>
      <c r="G1520" s="49"/>
      <c r="H1520" s="54" t="str">
        <f t="shared" si="1"/>
        <v>cash,</v>
      </c>
      <c r="I1520" s="50"/>
      <c r="J1520" s="50" t="s">
        <v>5178</v>
      </c>
      <c r="K1520" s="50" t="s">
        <v>2735</v>
      </c>
      <c r="L1520" s="49" t="str">
        <f>IFERROR(__xludf.DUMMYFUNCTION("""COMPUTED_VALUE"""),"improvised")</f>
        <v>improvised</v>
      </c>
      <c r="M1520" s="49"/>
      <c r="N1520" s="49"/>
      <c r="O1520" s="49" t="str">
        <f>IFERROR(__xludf.DUMMYFUNCTION("""COMPUTED_VALUE"""),"shapiro")</f>
        <v>shapiro</v>
      </c>
      <c r="P1520" s="49" t="str">
        <f t="shared" si="2"/>
        <v>del,</v>
      </c>
      <c r="Q1520" s="49"/>
      <c r="R1520" s="50" t="s">
        <v>733</v>
      </c>
      <c r="S1520" s="55" t="s">
        <v>2787</v>
      </c>
      <c r="T1520" s="49" t="str">
        <f>IFERROR(__xludf.DUMMYFUNCTION("""COMPUTED_VALUE"""),"forcing")</f>
        <v>forcing</v>
      </c>
      <c r="U1520" s="49"/>
      <c r="V1520" s="49"/>
      <c r="W1520" s="49" t="str">
        <f>IFERROR(__xludf.DUMMYFUNCTION("""COMPUTED_VALUE"""),"fontaine")</f>
        <v>fontaine</v>
      </c>
      <c r="X1520" s="49" t="str">
        <f t="shared" si="3"/>
        <v>moved,</v>
      </c>
      <c r="Y1520" s="49"/>
      <c r="Z1520" s="1" t="s">
        <v>2705</v>
      </c>
      <c r="AA1520" s="1" t="s">
        <v>3851</v>
      </c>
      <c r="AB1520" s="49"/>
      <c r="AC1520" s="49"/>
      <c r="AD1520" s="49"/>
      <c r="AE1520" s="49" t="str">
        <f>IFERROR(__xludf.DUMMYFUNCTION("""COMPUTED_VALUE"""),"shapiro")</f>
        <v>shapiro</v>
      </c>
      <c r="AF1520" s="49" t="str">
        <f t="shared" si="4"/>
        <v>nor,</v>
      </c>
      <c r="AG1520" s="49"/>
      <c r="AH1520" s="1" t="s">
        <v>3144</v>
      </c>
      <c r="AI1520" s="1" t="s">
        <v>2600</v>
      </c>
      <c r="AJ1520" s="6" t="str">
        <f>IFERROR(__xludf.DUMMYFUNCTION("""COMPUTED_VALUE"""),"ben")</f>
        <v>ben</v>
      </c>
      <c r="AK1520" s="49"/>
      <c r="AL1520" s="49"/>
      <c r="AM1520" s="49"/>
      <c r="AN1520" s="52" t="str">
        <f t="shared" si="5"/>
        <v>alone,</v>
      </c>
    </row>
    <row r="1521">
      <c r="A1521" s="51"/>
      <c r="B1521" s="50" t="s">
        <v>4951</v>
      </c>
      <c r="C1521" s="50" t="s">
        <v>6489</v>
      </c>
      <c r="D1521" s="49" t="str">
        <f>IFERROR(__xludf.DUMMYFUNCTION("""COMPUTED_VALUE"""),"rent")</f>
        <v>rent</v>
      </c>
      <c r="E1521" s="49"/>
      <c r="F1521" s="49"/>
      <c r="G1521" s="49"/>
      <c r="H1521" s="54" t="str">
        <f t="shared" si="1"/>
        <v>destruction,</v>
      </c>
      <c r="I1521" s="50"/>
      <c r="J1521" s="50" t="s">
        <v>5460</v>
      </c>
      <c r="K1521" s="50" t="s">
        <v>1484</v>
      </c>
      <c r="L1521" s="49" t="str">
        <f>IFERROR(__xludf.DUMMYFUNCTION("""COMPUTED_VALUE"""),"dazzling")</f>
        <v>dazzling</v>
      </c>
      <c r="M1521" s="49"/>
      <c r="N1521" s="49"/>
      <c r="O1521" s="49" t="str">
        <f>IFERROR(__xludf.DUMMYFUNCTION("""COMPUTED_VALUE"""),"goldman")</f>
        <v>goldman</v>
      </c>
      <c r="P1521" s="49" t="str">
        <f t="shared" si="2"/>
        <v>j,</v>
      </c>
      <c r="Q1521" s="49"/>
      <c r="R1521" s="50" t="s">
        <v>7397</v>
      </c>
      <c r="S1521" s="55" t="s">
        <v>762</v>
      </c>
      <c r="T1521" s="49" t="str">
        <f>IFERROR(__xludf.DUMMYFUNCTION("""COMPUTED_VALUE"""),"nicely")</f>
        <v>nicely</v>
      </c>
      <c r="U1521" s="49"/>
      <c r="V1521" s="49"/>
      <c r="W1521" s="49" t="str">
        <f>IFERROR(__xludf.DUMMYFUNCTION("""COMPUTED_VALUE"""),"telenovela")</f>
        <v>telenovela</v>
      </c>
      <c r="X1521" s="49" t="str">
        <f t="shared" si="3"/>
        <v>rust,</v>
      </c>
      <c r="Y1521" s="49"/>
      <c r="Z1521" s="1" t="s">
        <v>3112</v>
      </c>
      <c r="AA1521" s="1" t="s">
        <v>1212</v>
      </c>
      <c r="AB1521" s="49"/>
      <c r="AC1521" s="49"/>
      <c r="AD1521" s="49"/>
      <c r="AE1521" s="49" t="str">
        <f>IFERROR(__xludf.DUMMYFUNCTION("""COMPUTED_VALUE"""),"goldman")</f>
        <v>goldman</v>
      </c>
      <c r="AF1521" s="49" t="str">
        <f t="shared" si="4"/>
        <v>crucial,</v>
      </c>
      <c r="AG1521" s="49"/>
      <c r="AH1521" s="1" t="s">
        <v>2936</v>
      </c>
      <c r="AI1521" s="1" t="s">
        <v>4317</v>
      </c>
      <c r="AJ1521" s="6" t="str">
        <f>IFERROR(__xludf.DUMMYFUNCTION("""COMPUTED_VALUE"""),"widely")</f>
        <v>widely</v>
      </c>
      <c r="AK1521" s="49"/>
      <c r="AL1521" s="49"/>
      <c r="AM1521" s="49"/>
      <c r="AN1521" s="52" t="str">
        <f t="shared" si="5"/>
        <v>pay,</v>
      </c>
    </row>
    <row r="1522">
      <c r="A1522" s="51"/>
      <c r="B1522" s="50" t="s">
        <v>1168</v>
      </c>
      <c r="C1522" s="50" t="s">
        <v>4219</v>
      </c>
      <c r="D1522" s="49" t="str">
        <f>IFERROR(__xludf.DUMMYFUNCTION("""COMPUTED_VALUE"""),"eat")</f>
        <v>eat</v>
      </c>
      <c r="E1522" s="49"/>
      <c r="F1522" s="49"/>
      <c r="G1522" s="49"/>
      <c r="H1522" s="54" t="str">
        <f t="shared" si="1"/>
        <v>west,</v>
      </c>
      <c r="I1522" s="50"/>
      <c r="J1522" s="50" t="s">
        <v>6603</v>
      </c>
      <c r="K1522" s="50" t="s">
        <v>2778</v>
      </c>
      <c r="L1522" s="49" t="str">
        <f>IFERROR(__xludf.DUMMYFUNCTION("""COMPUTED_VALUE"""),"surroundings")</f>
        <v>surroundings</v>
      </c>
      <c r="M1522" s="49"/>
      <c r="N1522" s="49"/>
      <c r="O1522" s="49">
        <f>IFERROR(__xludf.DUMMYFUNCTION("""COMPUTED_VALUE"""),2001.0)</f>
        <v>2001</v>
      </c>
      <c r="P1522" s="49" t="str">
        <f t="shared" si="2"/>
        <v>danger,</v>
      </c>
      <c r="Q1522" s="49"/>
      <c r="R1522" s="50" t="s">
        <v>3622</v>
      </c>
      <c r="S1522" s="55" t="s">
        <v>771</v>
      </c>
      <c r="T1522" s="49" t="str">
        <f>IFERROR(__xludf.DUMMYFUNCTION("""COMPUTED_VALUE"""),"holm")</f>
        <v>holm</v>
      </c>
      <c r="U1522" s="49"/>
      <c r="V1522" s="49"/>
      <c r="W1522" s="49" t="str">
        <f>IFERROR(__xludf.DUMMYFUNCTION("""COMPUTED_VALUE"""),"weakly")</f>
        <v>weakly</v>
      </c>
      <c r="X1522" s="49" t="str">
        <f t="shared" si="3"/>
        <v>content,</v>
      </c>
      <c r="Y1522" s="49"/>
      <c r="Z1522" s="1" t="s">
        <v>2293</v>
      </c>
      <c r="AA1522" s="1" t="s">
        <v>597</v>
      </c>
      <c r="AB1522" s="49"/>
      <c r="AC1522" s="49"/>
      <c r="AD1522" s="49"/>
      <c r="AE1522" s="49">
        <f>IFERROR(__xludf.DUMMYFUNCTION("""COMPUTED_VALUE"""),2001.0)</f>
        <v>2001</v>
      </c>
      <c r="AF1522" s="49" t="str">
        <f t="shared" si="4"/>
        <v>store,</v>
      </c>
      <c r="AG1522" s="49"/>
      <c r="AH1522" s="1" t="s">
        <v>5224</v>
      </c>
      <c r="AI1522" s="1" t="s">
        <v>2604</v>
      </c>
      <c r="AJ1522" s="6" t="str">
        <f>IFERROR(__xludf.DUMMYFUNCTION("""COMPUTED_VALUE"""),"succeeded")</f>
        <v>succeeded</v>
      </c>
      <c r="AK1522" s="49"/>
      <c r="AL1522" s="49"/>
      <c r="AM1522" s="49"/>
      <c r="AN1522" s="52" t="str">
        <f t="shared" si="5"/>
        <v>prison,</v>
      </c>
    </row>
    <row r="1523">
      <c r="A1523" s="51"/>
      <c r="B1523" s="50" t="s">
        <v>4758</v>
      </c>
      <c r="C1523" s="50" t="s">
        <v>6510</v>
      </c>
      <c r="D1523" s="49" t="str">
        <f>IFERROR(__xludf.DUMMYFUNCTION("""COMPUTED_VALUE"""),"monster")</f>
        <v>monster</v>
      </c>
      <c r="E1523" s="49"/>
      <c r="F1523" s="49"/>
      <c r="G1523" s="49"/>
      <c r="H1523" s="54" t="str">
        <f t="shared" si="1"/>
        <v>smith,</v>
      </c>
      <c r="I1523" s="50"/>
      <c r="J1523" s="50" t="s">
        <v>5744</v>
      </c>
      <c r="K1523" s="50" t="s">
        <v>4646</v>
      </c>
      <c r="L1523" s="49" t="str">
        <f>IFERROR(__xludf.DUMMYFUNCTION("""COMPUTED_VALUE"""),"remain")</f>
        <v>remain</v>
      </c>
      <c r="M1523" s="49"/>
      <c r="N1523" s="49"/>
      <c r="O1523" s="49" t="str">
        <f>IFERROR(__xludf.DUMMYFUNCTION("""COMPUTED_VALUE"""),"participants")</f>
        <v>participants</v>
      </c>
      <c r="P1523" s="49" t="str">
        <f t="shared" si="2"/>
        <v>crossroads,</v>
      </c>
      <c r="Q1523" s="49"/>
      <c r="R1523" s="50" t="s">
        <v>2555</v>
      </c>
      <c r="S1523" s="55" t="s">
        <v>1150</v>
      </c>
      <c r="T1523" s="49" t="str">
        <f>IFERROR(__xludf.DUMMYFUNCTION("""COMPUTED_VALUE"""),"miracle")</f>
        <v>miracle</v>
      </c>
      <c r="U1523" s="49"/>
      <c r="V1523" s="49"/>
      <c r="W1523" s="49" t="str">
        <f>IFERROR(__xludf.DUMMYFUNCTION("""COMPUTED_VALUE"""),"clyde")</f>
        <v>clyde</v>
      </c>
      <c r="X1523" s="49" t="str">
        <f t="shared" si="3"/>
        <v>managed,</v>
      </c>
      <c r="Y1523" s="49"/>
      <c r="Z1523" s="1" t="s">
        <v>2031</v>
      </c>
      <c r="AA1523" s="1" t="s">
        <v>475</v>
      </c>
      <c r="AB1523" s="49"/>
      <c r="AC1523" s="49"/>
      <c r="AD1523" s="49"/>
      <c r="AE1523" s="49" t="str">
        <f>IFERROR(__xludf.DUMMYFUNCTION("""COMPUTED_VALUE"""),"participants")</f>
        <v>participants</v>
      </c>
      <c r="AF1523" s="49" t="str">
        <f t="shared" si="4"/>
        <v>bunch,</v>
      </c>
      <c r="AG1523" s="49"/>
      <c r="AH1523" s="1" t="s">
        <v>6932</v>
      </c>
      <c r="AI1523" s="1" t="s">
        <v>6524</v>
      </c>
      <c r="AJ1523" s="6" t="str">
        <f>IFERROR(__xludf.DUMMYFUNCTION("""COMPUTED_VALUE"""),"domestic")</f>
        <v>domestic</v>
      </c>
      <c r="AK1523" s="49"/>
      <c r="AL1523" s="49"/>
      <c r="AM1523" s="49"/>
      <c r="AN1523" s="52" t="str">
        <f t="shared" si="5"/>
        <v>duty,</v>
      </c>
    </row>
    <row r="1524">
      <c r="A1524" s="51"/>
      <c r="B1524" s="50" t="s">
        <v>5709</v>
      </c>
      <c r="C1524" s="50" t="s">
        <v>6511</v>
      </c>
      <c r="D1524" s="49" t="str">
        <f>IFERROR(__xludf.DUMMYFUNCTION("""COMPUTED_VALUE"""),"staring")</f>
        <v>staring</v>
      </c>
      <c r="E1524" s="49"/>
      <c r="F1524" s="49"/>
      <c r="G1524" s="49"/>
      <c r="H1524" s="54" t="str">
        <f t="shared" si="1"/>
        <v>1960s,</v>
      </c>
      <c r="I1524" s="50"/>
      <c r="J1524" s="50" t="s">
        <v>3291</v>
      </c>
      <c r="K1524" s="50" t="s">
        <v>2985</v>
      </c>
      <c r="L1524" s="49" t="str">
        <f>IFERROR(__xludf.DUMMYFUNCTION("""COMPUTED_VALUE"""),"nerve")</f>
        <v>nerve</v>
      </c>
      <c r="M1524" s="49"/>
      <c r="N1524" s="49"/>
      <c r="O1524" s="49" t="str">
        <f>IFERROR(__xludf.DUMMYFUNCTION("""COMPUTED_VALUE"""),"illuminated")</f>
        <v>illuminated</v>
      </c>
      <c r="P1524" s="49" t="str">
        <f t="shared" si="2"/>
        <v>intimate,</v>
      </c>
      <c r="Q1524" s="49"/>
      <c r="R1524" s="50" t="s">
        <v>4138</v>
      </c>
      <c r="S1524" s="55" t="s">
        <v>778</v>
      </c>
      <c r="T1524" s="49" t="str">
        <f>IFERROR(__xludf.DUMMYFUNCTION("""COMPUTED_VALUE"""),"fights")</f>
        <v>fights</v>
      </c>
      <c r="U1524" s="49"/>
      <c r="V1524" s="49"/>
      <c r="W1524" s="49" t="str">
        <f>IFERROR(__xludf.DUMMYFUNCTION("""COMPUTED_VALUE"""),"titans")</f>
        <v>titans</v>
      </c>
      <c r="X1524" s="49" t="str">
        <f t="shared" si="3"/>
        <v>contemporary,</v>
      </c>
      <c r="Y1524" s="49"/>
      <c r="Z1524" s="1" t="s">
        <v>396</v>
      </c>
      <c r="AA1524" s="1" t="s">
        <v>3558</v>
      </c>
      <c r="AB1524" s="49"/>
      <c r="AC1524" s="49"/>
      <c r="AD1524" s="49"/>
      <c r="AE1524" s="49" t="str">
        <f>IFERROR(__xludf.DUMMYFUNCTION("""COMPUTED_VALUE"""),"illuminated")</f>
        <v>illuminated</v>
      </c>
      <c r="AF1524" s="49" t="str">
        <f t="shared" si="4"/>
        <v>situations,</v>
      </c>
      <c r="AG1524" s="49"/>
      <c r="AH1524" s="1" t="s">
        <v>5630</v>
      </c>
      <c r="AI1524" s="1" t="s">
        <v>2679</v>
      </c>
      <c r="AJ1524" s="6" t="str">
        <f>IFERROR(__xludf.DUMMYFUNCTION("""COMPUTED_VALUE"""),"somehow")</f>
        <v>somehow</v>
      </c>
      <c r="AK1524" s="49"/>
      <c r="AL1524" s="49"/>
      <c r="AM1524" s="49"/>
      <c r="AN1524" s="52" t="str">
        <f t="shared" si="5"/>
        <v>arrest,</v>
      </c>
    </row>
    <row r="1525">
      <c r="A1525" s="51"/>
      <c r="B1525" s="50" t="s">
        <v>4232</v>
      </c>
      <c r="C1525" s="50" t="s">
        <v>6525</v>
      </c>
      <c r="D1525" s="49" t="str">
        <f>IFERROR(__xludf.DUMMYFUNCTION("""COMPUTED_VALUE"""),"equivalent")</f>
        <v>equivalent</v>
      </c>
      <c r="E1525" s="49"/>
      <c r="F1525" s="49"/>
      <c r="G1525" s="49"/>
      <c r="H1525" s="54" t="str">
        <f t="shared" si="1"/>
        <v>chosen,</v>
      </c>
      <c r="I1525" s="50"/>
      <c r="J1525" s="50" t="s">
        <v>3710</v>
      </c>
      <c r="K1525" s="50" t="s">
        <v>1528</v>
      </c>
      <c r="L1525" s="49" t="str">
        <f>IFERROR(__xludf.DUMMYFUNCTION("""COMPUTED_VALUE"""),"recovery")</f>
        <v>recovery</v>
      </c>
      <c r="M1525" s="49"/>
      <c r="N1525" s="49"/>
      <c r="O1525" s="49" t="str">
        <f>IFERROR(__xludf.DUMMYFUNCTION("""COMPUTED_VALUE"""),"franklin")</f>
        <v>franklin</v>
      </c>
      <c r="P1525" s="49" t="str">
        <f t="shared" si="2"/>
        <v>bear,</v>
      </c>
      <c r="Q1525" s="49"/>
      <c r="R1525" s="50" t="s">
        <v>7398</v>
      </c>
      <c r="S1525" s="55" t="s">
        <v>2676</v>
      </c>
      <c r="T1525" s="49" t="str">
        <f>IFERROR(__xludf.DUMMYFUNCTION("""COMPUTED_VALUE"""),"characteristic")</f>
        <v>characteristic</v>
      </c>
      <c r="U1525" s="49"/>
      <c r="V1525" s="49"/>
      <c r="W1525" s="49" t="str">
        <f>IFERROR(__xludf.DUMMYFUNCTION("""COMPUTED_VALUE"""),"curves")</f>
        <v>curves</v>
      </c>
      <c r="X1525" s="49" t="str">
        <f t="shared" si="3"/>
        <v>integrate,</v>
      </c>
      <c r="Y1525" s="49"/>
      <c r="Z1525" s="1" t="s">
        <v>5464</v>
      </c>
      <c r="AA1525" s="1" t="s">
        <v>977</v>
      </c>
      <c r="AB1525" s="49"/>
      <c r="AC1525" s="49"/>
      <c r="AD1525" s="49"/>
      <c r="AE1525" s="49" t="str">
        <f>IFERROR(__xludf.DUMMYFUNCTION("""COMPUTED_VALUE"""),"franklin")</f>
        <v>franklin</v>
      </c>
      <c r="AF1525" s="49" t="str">
        <f t="shared" si="4"/>
        <v>digital,</v>
      </c>
      <c r="AG1525" s="49"/>
      <c r="AH1525" s="1" t="s">
        <v>6423</v>
      </c>
      <c r="AI1525" s="1" t="s">
        <v>618</v>
      </c>
      <c r="AJ1525" s="6" t="str">
        <f>IFERROR(__xludf.DUMMYFUNCTION("""COMPUTED_VALUE"""),"consider")</f>
        <v>consider</v>
      </c>
      <c r="AK1525" s="49"/>
      <c r="AL1525" s="49"/>
      <c r="AM1525" s="49"/>
      <c r="AN1525" s="52" t="str">
        <f t="shared" si="5"/>
        <v>dealing,</v>
      </c>
    </row>
    <row r="1526">
      <c r="A1526" s="51"/>
      <c r="B1526" s="50" t="s">
        <v>2164</v>
      </c>
      <c r="C1526" s="50" t="s">
        <v>4221</v>
      </c>
      <c r="D1526" s="49" t="str">
        <f>IFERROR(__xludf.DUMMYFUNCTION("""COMPUTED_VALUE"""),"wound")</f>
        <v>wound</v>
      </c>
      <c r="E1526" s="49"/>
      <c r="F1526" s="49"/>
      <c r="G1526" s="49"/>
      <c r="H1526" s="54" t="str">
        <f t="shared" si="1"/>
        <v>allows,</v>
      </c>
      <c r="I1526" s="50"/>
      <c r="J1526" s="50" t="s">
        <v>5153</v>
      </c>
      <c r="K1526" s="50" t="s">
        <v>2990</v>
      </c>
      <c r="L1526" s="49" t="str">
        <f>IFERROR(__xludf.DUMMYFUNCTION("""COMPUTED_VALUE"""),"yarn")</f>
        <v>yarn</v>
      </c>
      <c r="M1526" s="49"/>
      <c r="N1526" s="49"/>
      <c r="O1526" s="49" t="str">
        <f>IFERROR(__xludf.DUMMYFUNCTION("""COMPUTED_VALUE"""),"relic")</f>
        <v>relic</v>
      </c>
      <c r="P1526" s="49" t="str">
        <f t="shared" si="2"/>
        <v>carved,</v>
      </c>
      <c r="Q1526" s="49"/>
      <c r="R1526" s="50" t="s">
        <v>3189</v>
      </c>
      <c r="S1526" s="55" t="s">
        <v>2801</v>
      </c>
      <c r="T1526" s="49" t="str">
        <f>IFERROR(__xludf.DUMMYFUNCTION("""COMPUTED_VALUE"""),"emotion")</f>
        <v>emotion</v>
      </c>
      <c r="U1526" s="49"/>
      <c r="V1526" s="49"/>
      <c r="W1526" s="49" t="str">
        <f>IFERROR(__xludf.DUMMYFUNCTION("""COMPUTED_VALUE"""),"strains")</f>
        <v>strains</v>
      </c>
      <c r="X1526" s="49" t="str">
        <f t="shared" si="3"/>
        <v>recognize,</v>
      </c>
      <c r="Y1526" s="49"/>
      <c r="Z1526" s="1" t="s">
        <v>352</v>
      </c>
      <c r="AA1526" s="1" t="s">
        <v>3137</v>
      </c>
      <c r="AB1526" s="49"/>
      <c r="AC1526" s="49"/>
      <c r="AD1526" s="49"/>
      <c r="AE1526" s="49" t="str">
        <f>IFERROR(__xludf.DUMMYFUNCTION("""COMPUTED_VALUE"""),"relic")</f>
        <v>relic</v>
      </c>
      <c r="AF1526" s="49" t="str">
        <f t="shared" si="4"/>
        <v>haunting,</v>
      </c>
      <c r="AG1526" s="49"/>
      <c r="AH1526" s="1" t="s">
        <v>6942</v>
      </c>
      <c r="AI1526" s="1" t="s">
        <v>3599</v>
      </c>
      <c r="AJ1526" s="6" t="str">
        <f>IFERROR(__xludf.DUMMYFUNCTION("""COMPUTED_VALUE"""),"distinct")</f>
        <v>distinct</v>
      </c>
      <c r="AK1526" s="49"/>
      <c r="AL1526" s="49"/>
      <c r="AM1526" s="49"/>
      <c r="AN1526" s="52" t="str">
        <f t="shared" si="5"/>
        <v>enforcement,</v>
      </c>
    </row>
    <row r="1527">
      <c r="A1527" s="51"/>
      <c r="B1527" s="50" t="s">
        <v>1895</v>
      </c>
      <c r="C1527" s="50" t="s">
        <v>4224</v>
      </c>
      <c r="D1527" s="49" t="str">
        <f>IFERROR(__xludf.DUMMYFUNCTION("""COMPUTED_VALUE"""),"truth")</f>
        <v>truth</v>
      </c>
      <c r="E1527" s="49"/>
      <c r="F1527" s="49"/>
      <c r="G1527" s="49"/>
      <c r="H1527" s="54" t="str">
        <f t="shared" si="1"/>
        <v>scoring,</v>
      </c>
      <c r="I1527" s="50"/>
      <c r="J1527" s="50" t="s">
        <v>489</v>
      </c>
      <c r="K1527" s="50" t="s">
        <v>824</v>
      </c>
      <c r="L1527" s="49" t="str">
        <f>IFERROR(__xludf.DUMMYFUNCTION("""COMPUTED_VALUE"""),"confidently")</f>
        <v>confidently</v>
      </c>
      <c r="M1527" s="49"/>
      <c r="N1527" s="49"/>
      <c r="O1527" s="49" t="str">
        <f>IFERROR(__xludf.DUMMYFUNCTION("""COMPUTED_VALUE"""),"turks")</f>
        <v>turks</v>
      </c>
      <c r="P1527" s="49" t="str">
        <f t="shared" si="2"/>
        <v>abuse,</v>
      </c>
      <c r="Q1527" s="49"/>
      <c r="R1527" s="50" t="s">
        <v>5935</v>
      </c>
      <c r="S1527" s="55" t="s">
        <v>3980</v>
      </c>
      <c r="T1527" s="49" t="str">
        <f>IFERROR(__xludf.DUMMYFUNCTION("""COMPUTED_VALUE"""),"fearless")</f>
        <v>fearless</v>
      </c>
      <c r="U1527" s="49"/>
      <c r="V1527" s="49"/>
      <c r="W1527" s="49" t="str">
        <f>IFERROR(__xludf.DUMMYFUNCTION("""COMPUTED_VALUE"""),"jolt")</f>
        <v>jolt</v>
      </c>
      <c r="X1527" s="49" t="str">
        <f t="shared" si="3"/>
        <v>aspects,</v>
      </c>
      <c r="Y1527" s="49"/>
      <c r="Z1527" s="1" t="s">
        <v>2212</v>
      </c>
      <c r="AA1527" s="1" t="s">
        <v>4340</v>
      </c>
      <c r="AB1527" s="49"/>
      <c r="AC1527" s="49"/>
      <c r="AD1527" s="49"/>
      <c r="AE1527" s="49" t="str">
        <f>IFERROR(__xludf.DUMMYFUNCTION("""COMPUTED_VALUE"""),"turks")</f>
        <v>turks</v>
      </c>
      <c r="AF1527" s="49" t="str">
        <f t="shared" si="4"/>
        <v>execution,</v>
      </c>
      <c r="AG1527" s="49"/>
      <c r="AH1527" s="1" t="s">
        <v>6355</v>
      </c>
      <c r="AI1527" s="1" t="s">
        <v>5561</v>
      </c>
      <c r="AJ1527" s="6" t="str">
        <f>IFERROR(__xludf.DUMMYFUNCTION("""COMPUTED_VALUE"""),"run")</f>
        <v>run</v>
      </c>
      <c r="AK1527" s="49"/>
      <c r="AL1527" s="49"/>
      <c r="AM1527" s="49"/>
      <c r="AN1527" s="52" t="str">
        <f t="shared" si="5"/>
        <v>richard,</v>
      </c>
    </row>
    <row r="1528">
      <c r="A1528" s="51"/>
      <c r="B1528" s="50" t="s">
        <v>1449</v>
      </c>
      <c r="C1528" s="50" t="s">
        <v>578</v>
      </c>
      <c r="D1528" s="49" t="str">
        <f>IFERROR(__xludf.DUMMYFUNCTION("""COMPUTED_VALUE"""),"secrets")</f>
        <v>secrets</v>
      </c>
      <c r="E1528" s="49"/>
      <c r="F1528" s="49"/>
      <c r="G1528" s="49"/>
      <c r="H1528" s="54" t="str">
        <f t="shared" si="1"/>
        <v>north,</v>
      </c>
      <c r="I1528" s="50"/>
      <c r="J1528" s="50" t="s">
        <v>2911</v>
      </c>
      <c r="K1528" s="50" t="s">
        <v>2785</v>
      </c>
      <c r="L1528" s="49" t="str">
        <f>IFERROR(__xludf.DUMMYFUNCTION("""COMPUTED_VALUE"""),"access")</f>
        <v>access</v>
      </c>
      <c r="M1528" s="49"/>
      <c r="N1528" s="49"/>
      <c r="O1528" s="49" t="str">
        <f>IFERROR(__xludf.DUMMYFUNCTION("""COMPUTED_VALUE"""),"sap")</f>
        <v>sap</v>
      </c>
      <c r="P1528" s="49" t="str">
        <f t="shared" si="2"/>
        <v>pleasure,</v>
      </c>
      <c r="Q1528" s="49"/>
      <c r="R1528" s="50" t="s">
        <v>5459</v>
      </c>
      <c r="S1528" s="55" t="s">
        <v>2804</v>
      </c>
      <c r="T1528" s="49" t="str">
        <f>IFERROR(__xludf.DUMMYFUNCTION("""COMPUTED_VALUE"""),"taut")</f>
        <v>taut</v>
      </c>
      <c r="U1528" s="49"/>
      <c r="V1528" s="49"/>
      <c r="W1528" s="49" t="str">
        <f>IFERROR(__xludf.DUMMYFUNCTION("""COMPUTED_VALUE"""),"diner")</f>
        <v>diner</v>
      </c>
      <c r="X1528" s="49" t="str">
        <f t="shared" si="3"/>
        <v>prank,</v>
      </c>
      <c r="Y1528" s="49"/>
      <c r="Z1528" s="1" t="s">
        <v>6341</v>
      </c>
      <c r="AA1528" s="1" t="s">
        <v>3140</v>
      </c>
      <c r="AB1528" s="49"/>
      <c r="AC1528" s="49"/>
      <c r="AD1528" s="49"/>
      <c r="AE1528" s="49" t="str">
        <f>IFERROR(__xludf.DUMMYFUNCTION("""COMPUTED_VALUE"""),"sap")</f>
        <v>sap</v>
      </c>
      <c r="AF1528" s="49" t="str">
        <f t="shared" si="4"/>
        <v>rocky,</v>
      </c>
      <c r="AG1528" s="49"/>
      <c r="AH1528" s="1" t="s">
        <v>45</v>
      </c>
      <c r="AI1528" s="1" t="s">
        <v>1372</v>
      </c>
      <c r="AJ1528" s="6" t="str">
        <f>IFERROR(__xludf.DUMMYFUNCTION("""COMPUTED_VALUE"""),"chief")</f>
        <v>chief</v>
      </c>
      <c r="AK1528" s="49"/>
      <c r="AL1528" s="49"/>
      <c r="AM1528" s="49"/>
      <c r="AN1528" s="52" t="str">
        <f t="shared" si="5"/>
        <v>contains,</v>
      </c>
    </row>
    <row r="1529">
      <c r="A1529" s="51"/>
      <c r="B1529" s="50" t="s">
        <v>113</v>
      </c>
      <c r="C1529" s="50" t="s">
        <v>2112</v>
      </c>
      <c r="D1529" s="49" t="str">
        <f>IFERROR(__xludf.DUMMYFUNCTION("""COMPUTED_VALUE"""),"minor")</f>
        <v>minor</v>
      </c>
      <c r="E1529" s="49"/>
      <c r="F1529" s="49"/>
      <c r="G1529" s="49"/>
      <c r="H1529" s="54" t="str">
        <f t="shared" si="1"/>
        <v>rather,</v>
      </c>
      <c r="I1529" s="50"/>
      <c r="J1529" s="50" t="s">
        <v>2557</v>
      </c>
      <c r="K1529" s="50" t="s">
        <v>2998</v>
      </c>
      <c r="L1529" s="49" t="str">
        <f>IFERROR(__xludf.DUMMYFUNCTION("""COMPUTED_VALUE"""),"clyde")</f>
        <v>clyde</v>
      </c>
      <c r="M1529" s="49"/>
      <c r="N1529" s="49"/>
      <c r="O1529" s="49" t="str">
        <f>IFERROR(__xludf.DUMMYFUNCTION("""COMPUTED_VALUE"""),"cal")</f>
        <v>cal</v>
      </c>
      <c r="P1529" s="49" t="str">
        <f t="shared" si="2"/>
        <v>deserve,</v>
      </c>
      <c r="Q1529" s="49"/>
      <c r="R1529" s="50" t="s">
        <v>6637</v>
      </c>
      <c r="S1529" s="55" t="s">
        <v>2807</v>
      </c>
      <c r="T1529" s="49" t="str">
        <f>IFERROR(__xludf.DUMMYFUNCTION("""COMPUTED_VALUE"""),"lengths")</f>
        <v>lengths</v>
      </c>
      <c r="U1529" s="49"/>
      <c r="V1529" s="49"/>
      <c r="W1529" s="49" t="str">
        <f>IFERROR(__xludf.DUMMYFUNCTION("""COMPUTED_VALUE"""),"juliet")</f>
        <v>juliet</v>
      </c>
      <c r="X1529" s="49" t="str">
        <f t="shared" si="3"/>
        <v>birthday,</v>
      </c>
      <c r="Y1529" s="49"/>
      <c r="Z1529" s="1" t="s">
        <v>621</v>
      </c>
      <c r="AA1529" s="1" t="s">
        <v>3815</v>
      </c>
      <c r="AB1529" s="49"/>
      <c r="AC1529" s="49"/>
      <c r="AD1529" s="49"/>
      <c r="AE1529" s="49" t="str">
        <f>IFERROR(__xludf.DUMMYFUNCTION("""COMPUTED_VALUE"""),"cal")</f>
        <v>cal</v>
      </c>
      <c r="AF1529" s="49" t="str">
        <f t="shared" si="4"/>
        <v>believe,</v>
      </c>
      <c r="AG1529" s="49"/>
      <c r="AH1529" s="1" t="s">
        <v>6659</v>
      </c>
      <c r="AI1529" s="1" t="s">
        <v>4338</v>
      </c>
      <c r="AJ1529" s="6" t="str">
        <f>IFERROR(__xludf.DUMMYFUNCTION("""COMPUTED_VALUE"""),"mark")</f>
        <v>mark</v>
      </c>
      <c r="AK1529" s="49"/>
      <c r="AL1529" s="49"/>
      <c r="AM1529" s="49"/>
      <c r="AN1529" s="52" t="str">
        <f t="shared" si="5"/>
        <v>hated,</v>
      </c>
    </row>
    <row r="1530">
      <c r="A1530" s="51"/>
      <c r="B1530" s="50" t="s">
        <v>3144</v>
      </c>
      <c r="C1530" s="50" t="s">
        <v>6512</v>
      </c>
      <c r="D1530" s="49" t="str">
        <f>IFERROR(__xludf.DUMMYFUNCTION("""COMPUTED_VALUE"""),"shake")</f>
        <v>shake</v>
      </c>
      <c r="E1530" s="49"/>
      <c r="F1530" s="49"/>
      <c r="G1530" s="49"/>
      <c r="H1530" s="54" t="str">
        <f t="shared" si="1"/>
        <v>alone,</v>
      </c>
      <c r="I1530" s="50"/>
      <c r="J1530" s="50" t="s">
        <v>7350</v>
      </c>
      <c r="K1530" s="50" t="s">
        <v>832</v>
      </c>
      <c r="L1530" s="49" t="str">
        <f>IFERROR(__xludf.DUMMYFUNCTION("""COMPUTED_VALUE"""),"diary")</f>
        <v>diary</v>
      </c>
      <c r="M1530" s="49"/>
      <c r="N1530" s="49"/>
      <c r="O1530" s="49" t="str">
        <f>IFERROR(__xludf.DUMMYFUNCTION("""COMPUTED_VALUE"""),"vain")</f>
        <v>vain</v>
      </c>
      <c r="P1530" s="49" t="str">
        <f t="shared" si="2"/>
        <v>rude,</v>
      </c>
      <c r="Q1530" s="49"/>
      <c r="R1530" s="50" t="s">
        <v>6478</v>
      </c>
      <c r="S1530" s="55" t="s">
        <v>3987</v>
      </c>
      <c r="T1530" s="49" t="str">
        <f>IFERROR(__xludf.DUMMYFUNCTION("""COMPUTED_VALUE"""),"substantive")</f>
        <v>substantive</v>
      </c>
      <c r="U1530" s="49"/>
      <c r="V1530" s="49"/>
      <c r="W1530" s="49" t="str">
        <f>IFERROR(__xludf.DUMMYFUNCTION("""COMPUTED_VALUE"""),"sacrificed")</f>
        <v>sacrificed</v>
      </c>
      <c r="X1530" s="49" t="str">
        <f t="shared" si="3"/>
        <v>variety,</v>
      </c>
      <c r="Y1530" s="49"/>
      <c r="Z1530" s="1" t="s">
        <v>4995</v>
      </c>
      <c r="AA1530" s="1" t="s">
        <v>1225</v>
      </c>
      <c r="AB1530" s="49"/>
      <c r="AC1530" s="49"/>
      <c r="AD1530" s="49"/>
      <c r="AE1530" s="49" t="str">
        <f>IFERROR(__xludf.DUMMYFUNCTION("""COMPUTED_VALUE"""),"vain")</f>
        <v>vain</v>
      </c>
      <c r="AF1530" s="49" t="str">
        <f t="shared" si="4"/>
        <v>direct,</v>
      </c>
      <c r="AG1530" s="49"/>
      <c r="AH1530" s="1" t="s">
        <v>5424</v>
      </c>
      <c r="AI1530" s="1" t="s">
        <v>4527</v>
      </c>
      <c r="AJ1530" s="6" t="str">
        <f>IFERROR(__xludf.DUMMYFUNCTION("""COMPUTED_VALUE"""),"jones")</f>
        <v>jones</v>
      </c>
      <c r="AK1530" s="49"/>
      <c r="AL1530" s="49"/>
      <c r="AM1530" s="49"/>
      <c r="AN1530" s="52" t="str">
        <f t="shared" si="5"/>
        <v>admit,</v>
      </c>
    </row>
    <row r="1531">
      <c r="A1531" s="51"/>
      <c r="B1531" s="50" t="s">
        <v>2936</v>
      </c>
      <c r="C1531" s="50" t="s">
        <v>3728</v>
      </c>
      <c r="D1531" s="49" t="str">
        <f>IFERROR(__xludf.DUMMYFUNCTION("""COMPUTED_VALUE"""),"boots")</f>
        <v>boots</v>
      </c>
      <c r="E1531" s="49"/>
      <c r="F1531" s="49"/>
      <c r="G1531" s="49"/>
      <c r="H1531" s="54" t="str">
        <f t="shared" si="1"/>
        <v>pay,</v>
      </c>
      <c r="I1531" s="50"/>
      <c r="J1531" s="50" t="s">
        <v>7351</v>
      </c>
      <c r="K1531" s="50" t="s">
        <v>838</v>
      </c>
      <c r="L1531" s="49" t="str">
        <f>IFERROR(__xludf.DUMMYFUNCTION("""COMPUTED_VALUE"""),"hitler")</f>
        <v>hitler</v>
      </c>
      <c r="M1531" s="49"/>
      <c r="N1531" s="49"/>
      <c r="O1531" s="49" t="str">
        <f>IFERROR(__xludf.DUMMYFUNCTION("""COMPUTED_VALUE"""),"knockout")</f>
        <v>knockout</v>
      </c>
      <c r="P1531" s="49" t="str">
        <f t="shared" si="2"/>
        <v>greasy,</v>
      </c>
      <c r="Q1531" s="49"/>
      <c r="R1531" s="50" t="s">
        <v>609</v>
      </c>
      <c r="S1531" s="55" t="s">
        <v>2680</v>
      </c>
      <c r="T1531" s="49" t="str">
        <f>IFERROR(__xludf.DUMMYFUNCTION("""COMPUTED_VALUE"""),"relevance")</f>
        <v>relevance</v>
      </c>
      <c r="U1531" s="49"/>
      <c r="V1531" s="49"/>
      <c r="W1531" s="49" t="str">
        <f>IFERROR(__xludf.DUMMYFUNCTION("""COMPUTED_VALUE"""),"exchanges")</f>
        <v>exchanges</v>
      </c>
      <c r="X1531" s="49" t="str">
        <f t="shared" si="3"/>
        <v>flair,</v>
      </c>
      <c r="Y1531" s="49"/>
      <c r="Z1531" s="1" t="s">
        <v>6377</v>
      </c>
      <c r="AA1531" s="1" t="s">
        <v>1948</v>
      </c>
      <c r="AB1531" s="49"/>
      <c r="AC1531" s="49"/>
      <c r="AD1531" s="49"/>
      <c r="AE1531" s="49" t="str">
        <f>IFERROR(__xludf.DUMMYFUNCTION("""COMPUTED_VALUE"""),"knockout")</f>
        <v>knockout</v>
      </c>
      <c r="AF1531" s="49" t="str">
        <f t="shared" si="4"/>
        <v>equally,</v>
      </c>
      <c r="AG1531" s="49"/>
      <c r="AH1531" s="1" t="s">
        <v>711</v>
      </c>
      <c r="AI1531" s="1" t="s">
        <v>3850</v>
      </c>
      <c r="AJ1531" s="6" t="str">
        <f>IFERROR(__xludf.DUMMYFUNCTION("""COMPUTED_VALUE"""),"extra")</f>
        <v>extra</v>
      </c>
      <c r="AK1531" s="49"/>
      <c r="AL1531" s="49"/>
      <c r="AM1531" s="49"/>
      <c r="AN1531" s="52" t="str">
        <f t="shared" si="5"/>
        <v>family,</v>
      </c>
    </row>
    <row r="1532">
      <c r="A1532" s="51"/>
      <c r="B1532" s="50" t="s">
        <v>5224</v>
      </c>
      <c r="C1532" s="50" t="s">
        <v>4228</v>
      </c>
      <c r="D1532" s="49" t="str">
        <f>IFERROR(__xludf.DUMMYFUNCTION("""COMPUTED_VALUE"""),"substance")</f>
        <v>substance</v>
      </c>
      <c r="E1532" s="49"/>
      <c r="F1532" s="49"/>
      <c r="G1532" s="49"/>
      <c r="H1532" s="54" t="str">
        <f t="shared" si="1"/>
        <v>prison,</v>
      </c>
      <c r="I1532" s="50"/>
      <c r="J1532" s="50" t="s">
        <v>2434</v>
      </c>
      <c r="K1532" s="50" t="s">
        <v>2792</v>
      </c>
      <c r="L1532" s="49" t="str">
        <f>IFERROR(__xludf.DUMMYFUNCTION("""COMPUTED_VALUE"""),"propaganda")</f>
        <v>propaganda</v>
      </c>
      <c r="M1532" s="49"/>
      <c r="N1532" s="49"/>
      <c r="O1532" s="49" t="str">
        <f>IFERROR(__xludf.DUMMYFUNCTION("""COMPUTED_VALUE"""),"wryly")</f>
        <v>wryly</v>
      </c>
      <c r="P1532" s="49" t="str">
        <f t="shared" si="2"/>
        <v>genuine,</v>
      </c>
      <c r="Q1532" s="49"/>
      <c r="R1532" s="50" t="s">
        <v>7399</v>
      </c>
      <c r="S1532" s="55" t="s">
        <v>3990</v>
      </c>
      <c r="T1532" s="49" t="str">
        <f>IFERROR(__xludf.DUMMYFUNCTION("""COMPUTED_VALUE"""),"devoid")</f>
        <v>devoid</v>
      </c>
      <c r="U1532" s="49"/>
      <c r="V1532" s="49"/>
      <c r="W1532" s="49" t="str">
        <f>IFERROR(__xludf.DUMMYFUNCTION("""COMPUTED_VALUE"""),"staggered")</f>
        <v>staggered</v>
      </c>
      <c r="X1532" s="49" t="str">
        <f t="shared" si="3"/>
        <v>caliber,</v>
      </c>
      <c r="Y1532" s="49"/>
      <c r="Z1532" s="1" t="s">
        <v>620</v>
      </c>
      <c r="AA1532" s="1" t="s">
        <v>3149</v>
      </c>
      <c r="AB1532" s="49"/>
      <c r="AC1532" s="49"/>
      <c r="AD1532" s="49"/>
      <c r="AE1532" s="49" t="str">
        <f>IFERROR(__xludf.DUMMYFUNCTION("""COMPUTED_VALUE"""),"wryly")</f>
        <v>wryly</v>
      </c>
      <c r="AF1532" s="49" t="str">
        <f t="shared" si="4"/>
        <v>started,</v>
      </c>
      <c r="AG1532" s="49"/>
      <c r="AH1532" s="1" t="s">
        <v>1506</v>
      </c>
      <c r="AI1532" s="1" t="s">
        <v>2687</v>
      </c>
      <c r="AJ1532" s="6" t="str">
        <f>IFERROR(__xludf.DUMMYFUNCTION("""COMPUTED_VALUE"""),"samuel")</f>
        <v>samuel</v>
      </c>
      <c r="AK1532" s="49"/>
      <c r="AL1532" s="49"/>
      <c r="AM1532" s="49"/>
      <c r="AN1532" s="52" t="str">
        <f t="shared" si="5"/>
        <v>children,</v>
      </c>
    </row>
    <row r="1533">
      <c r="A1533" s="51"/>
      <c r="B1533" s="50" t="s">
        <v>6932</v>
      </c>
      <c r="C1533" s="50" t="s">
        <v>826</v>
      </c>
      <c r="D1533" s="49" t="str">
        <f>IFERROR(__xludf.DUMMYFUNCTION("""COMPUTED_VALUE"""),"stock")</f>
        <v>stock</v>
      </c>
      <c r="E1533" s="49"/>
      <c r="F1533" s="49"/>
      <c r="G1533" s="49"/>
      <c r="H1533" s="54" t="str">
        <f t="shared" si="1"/>
        <v>duty,</v>
      </c>
      <c r="I1533" s="50"/>
      <c r="J1533" s="50" t="s">
        <v>1773</v>
      </c>
      <c r="K1533" s="50" t="s">
        <v>1557</v>
      </c>
      <c r="L1533" s="49" t="str">
        <f>IFERROR(__xludf.DUMMYFUNCTION("""COMPUTED_VALUE"""),"outcome")</f>
        <v>outcome</v>
      </c>
      <c r="M1533" s="49"/>
      <c r="N1533" s="49"/>
      <c r="O1533" s="49" t="str">
        <f>IFERROR(__xludf.DUMMYFUNCTION("""COMPUTED_VALUE"""),"outline")</f>
        <v>outline</v>
      </c>
      <c r="P1533" s="49" t="str">
        <f t="shared" si="2"/>
        <v>appealing,</v>
      </c>
      <c r="Q1533" s="49"/>
      <c r="R1533" s="50" t="s">
        <v>38</v>
      </c>
      <c r="S1533" s="55" t="s">
        <v>3826</v>
      </c>
      <c r="T1533" s="49" t="str">
        <f>IFERROR(__xludf.DUMMYFUNCTION("""COMPUTED_VALUE"""),"emptiness")</f>
        <v>emptiness</v>
      </c>
      <c r="U1533" s="49"/>
      <c r="V1533" s="49"/>
      <c r="W1533" s="49" t="str">
        <f>IFERROR(__xludf.DUMMYFUNCTION("""COMPUTED_VALUE"""),"suspects")</f>
        <v>suspects</v>
      </c>
      <c r="X1533" s="49" t="str">
        <f t="shared" si="3"/>
        <v>filmmaker,</v>
      </c>
      <c r="Y1533" s="49"/>
      <c r="Z1533" s="1" t="s">
        <v>5118</v>
      </c>
      <c r="AA1533" s="1" t="s">
        <v>4654</v>
      </c>
      <c r="AB1533" s="49"/>
      <c r="AC1533" s="49"/>
      <c r="AD1533" s="49"/>
      <c r="AE1533" s="49" t="str">
        <f>IFERROR(__xludf.DUMMYFUNCTION("""COMPUTED_VALUE"""),"outline")</f>
        <v>outline</v>
      </c>
      <c r="AF1533" s="49" t="str">
        <f t="shared" si="4"/>
        <v>odd,</v>
      </c>
      <c r="AG1533" s="49"/>
      <c r="AH1533" s="1" t="s">
        <v>2628</v>
      </c>
      <c r="AI1533" s="1" t="s">
        <v>5948</v>
      </c>
      <c r="AJ1533" s="6" t="str">
        <f>IFERROR(__xludf.DUMMYFUNCTION("""COMPUTED_VALUE"""),"riding")</f>
        <v>riding</v>
      </c>
      <c r="AK1533" s="49"/>
      <c r="AL1533" s="49"/>
      <c r="AM1533" s="49"/>
      <c r="AN1533" s="52" t="str">
        <f t="shared" si="5"/>
        <v>magic,</v>
      </c>
    </row>
    <row r="1534">
      <c r="A1534" s="51"/>
      <c r="B1534" s="50" t="s">
        <v>5630</v>
      </c>
      <c r="C1534" s="50" t="s">
        <v>1059</v>
      </c>
      <c r="D1534" s="49" t="str">
        <f>IFERROR(__xludf.DUMMYFUNCTION("""COMPUTED_VALUE"""),"lock")</f>
        <v>lock</v>
      </c>
      <c r="E1534" s="49"/>
      <c r="F1534" s="49"/>
      <c r="G1534" s="49"/>
      <c r="H1534" s="54" t="str">
        <f t="shared" si="1"/>
        <v>arrest,</v>
      </c>
      <c r="I1534" s="50"/>
      <c r="J1534" s="50" t="s">
        <v>4240</v>
      </c>
      <c r="K1534" s="50" t="s">
        <v>632</v>
      </c>
      <c r="L1534" s="49" t="str">
        <f>IFERROR(__xludf.DUMMYFUNCTION("""COMPUTED_VALUE"""),"strengths")</f>
        <v>strengths</v>
      </c>
      <c r="M1534" s="49"/>
      <c r="N1534" s="49"/>
      <c r="O1534" s="49" t="str">
        <f>IFERROR(__xludf.DUMMYFUNCTION("""COMPUTED_VALUE"""),"fable")</f>
        <v>fable</v>
      </c>
      <c r="P1534" s="49" t="str">
        <f t="shared" si="2"/>
        <v>sweetness,</v>
      </c>
      <c r="Q1534" s="49"/>
      <c r="R1534" s="50" t="s">
        <v>1786</v>
      </c>
      <c r="S1534" s="55" t="s">
        <v>4661</v>
      </c>
      <c r="T1534" s="49" t="str">
        <f>IFERROR(__xludf.DUMMYFUNCTION("""COMPUTED_VALUE"""),"depict")</f>
        <v>depict</v>
      </c>
      <c r="U1534" s="49"/>
      <c r="V1534" s="49"/>
      <c r="W1534" s="49" t="str">
        <f>IFERROR(__xludf.DUMMYFUNCTION("""COMPUTED_VALUE"""),"forcefully")</f>
        <v>forcefully</v>
      </c>
      <c r="X1534" s="49" t="str">
        <f t="shared" si="3"/>
        <v>pleasant,</v>
      </c>
      <c r="Y1534" s="49"/>
      <c r="Z1534" s="1" t="s">
        <v>5382</v>
      </c>
      <c r="AA1534" s="1" t="s">
        <v>4656</v>
      </c>
      <c r="AB1534" s="49"/>
      <c r="AC1534" s="49"/>
      <c r="AD1534" s="49"/>
      <c r="AE1534" s="49" t="str">
        <f>IFERROR(__xludf.DUMMYFUNCTION("""COMPUTED_VALUE"""),"fable")</f>
        <v>fable</v>
      </c>
      <c r="AF1534" s="49" t="str">
        <f t="shared" si="4"/>
        <v>gut,</v>
      </c>
      <c r="AG1534" s="49"/>
      <c r="AH1534" s="1" t="s">
        <v>2320</v>
      </c>
      <c r="AI1534" s="1" t="s">
        <v>4346</v>
      </c>
      <c r="AJ1534" s="6" t="str">
        <f>IFERROR(__xludf.DUMMYFUNCTION("""COMPUTED_VALUE"""),"tail")</f>
        <v>tail</v>
      </c>
      <c r="AK1534" s="49"/>
      <c r="AL1534" s="49"/>
      <c r="AM1534" s="49"/>
      <c r="AN1534" s="52" t="str">
        <f t="shared" si="5"/>
        <v>sisters,</v>
      </c>
    </row>
    <row r="1535">
      <c r="A1535" s="51"/>
      <c r="B1535" s="50" t="s">
        <v>6423</v>
      </c>
      <c r="C1535" s="50" t="s">
        <v>3736</v>
      </c>
      <c r="D1535" s="49" t="str">
        <f>IFERROR(__xludf.DUMMYFUNCTION("""COMPUTED_VALUE"""),"beast")</f>
        <v>beast</v>
      </c>
      <c r="E1535" s="49"/>
      <c r="F1535" s="49"/>
      <c r="G1535" s="49"/>
      <c r="H1535" s="54" t="str">
        <f t="shared" si="1"/>
        <v>dealing,</v>
      </c>
      <c r="I1535" s="50"/>
      <c r="J1535" s="50" t="s">
        <v>562</v>
      </c>
      <c r="K1535" s="50" t="s">
        <v>3009</v>
      </c>
      <c r="L1535" s="49" t="str">
        <f>IFERROR(__xludf.DUMMYFUNCTION("""COMPUTED_VALUE"""),"heroic")</f>
        <v>heroic</v>
      </c>
      <c r="M1535" s="49"/>
      <c r="N1535" s="49"/>
      <c r="O1535" s="49" t="str">
        <f>IFERROR(__xludf.DUMMYFUNCTION("""COMPUTED_VALUE"""),"undertaken")</f>
        <v>undertaken</v>
      </c>
      <c r="P1535" s="49" t="str">
        <f t="shared" si="2"/>
        <v>silly,</v>
      </c>
      <c r="Q1535" s="49"/>
      <c r="R1535" s="50" t="s">
        <v>5433</v>
      </c>
      <c r="S1535" s="55" t="s">
        <v>1591</v>
      </c>
      <c r="T1535" s="49" t="str">
        <f>IFERROR(__xludf.DUMMYFUNCTION("""COMPUTED_VALUE"""),"inherent")</f>
        <v>inherent</v>
      </c>
      <c r="U1535" s="49"/>
      <c r="V1535" s="49"/>
      <c r="W1535" s="49" t="str">
        <f>IFERROR(__xludf.DUMMYFUNCTION("""COMPUTED_VALUE"""),"causes")</f>
        <v>causes</v>
      </c>
      <c r="X1535" s="49" t="str">
        <f t="shared" si="3"/>
        <v>signals,</v>
      </c>
      <c r="Y1535" s="49"/>
      <c r="Z1535" s="1" t="s">
        <v>627</v>
      </c>
      <c r="AA1535" s="1" t="s">
        <v>4658</v>
      </c>
      <c r="AB1535" s="49"/>
      <c r="AC1535" s="49"/>
      <c r="AD1535" s="49"/>
      <c r="AE1535" s="49" t="str">
        <f>IFERROR(__xludf.DUMMYFUNCTION("""COMPUTED_VALUE"""),"undertaken")</f>
        <v>undertaken</v>
      </c>
      <c r="AF1535" s="49" t="str">
        <f t="shared" si="4"/>
        <v>parody,</v>
      </c>
      <c r="AG1535" s="49"/>
      <c r="AH1535" s="1" t="s">
        <v>6779</v>
      </c>
      <c r="AI1535" s="1" t="s">
        <v>3858</v>
      </c>
      <c r="AJ1535" s="6" t="str">
        <f>IFERROR(__xludf.DUMMYFUNCTION("""COMPUTED_VALUE"""),"harrison")</f>
        <v>harrison</v>
      </c>
      <c r="AK1535" s="49"/>
      <c r="AL1535" s="49"/>
      <c r="AM1535" s="49"/>
      <c r="AN1535" s="52" t="str">
        <f t="shared" si="5"/>
        <v>stronger,</v>
      </c>
    </row>
    <row r="1536">
      <c r="A1536" s="51"/>
      <c r="B1536" s="50" t="s">
        <v>6942</v>
      </c>
      <c r="C1536" s="50" t="s">
        <v>2586</v>
      </c>
      <c r="D1536" s="49" t="str">
        <f>IFERROR(__xludf.DUMMYFUNCTION("""COMPUTED_VALUE"""),"sexy")</f>
        <v>sexy</v>
      </c>
      <c r="E1536" s="49"/>
      <c r="F1536" s="49"/>
      <c r="G1536" s="49"/>
      <c r="H1536" s="54" t="str">
        <f t="shared" si="1"/>
        <v>enforcement,</v>
      </c>
      <c r="I1536" s="50"/>
      <c r="J1536" s="50" t="s">
        <v>7353</v>
      </c>
      <c r="K1536" s="50" t="s">
        <v>4145</v>
      </c>
      <c r="L1536" s="49" t="str">
        <f>IFERROR(__xludf.DUMMYFUNCTION("""COMPUTED_VALUE"""),"characterized")</f>
        <v>characterized</v>
      </c>
      <c r="M1536" s="49"/>
      <c r="N1536" s="49"/>
      <c r="O1536" s="49" t="str">
        <f>IFERROR(__xludf.DUMMYFUNCTION("""COMPUTED_VALUE"""),"determination")</f>
        <v>determination</v>
      </c>
      <c r="P1536" s="49" t="str">
        <f t="shared" si="2"/>
        <v>delicious,</v>
      </c>
      <c r="Q1536" s="49"/>
      <c r="R1536" s="50" t="s">
        <v>7400</v>
      </c>
      <c r="S1536" s="55" t="s">
        <v>4477</v>
      </c>
      <c r="T1536" s="49" t="str">
        <f>IFERROR(__xludf.DUMMYFUNCTION("""COMPUTED_VALUE"""),"resonance")</f>
        <v>resonance</v>
      </c>
      <c r="U1536" s="49"/>
      <c r="V1536" s="49"/>
      <c r="W1536" s="49" t="str">
        <f>IFERROR(__xludf.DUMMYFUNCTION("""COMPUTED_VALUE"""),"combustion")</f>
        <v>combustion</v>
      </c>
      <c r="X1536" s="49" t="str">
        <f t="shared" si="3"/>
        <v>def,</v>
      </c>
      <c r="Y1536" s="49"/>
      <c r="Z1536" s="1" t="s">
        <v>3781</v>
      </c>
      <c r="AA1536" s="1" t="s">
        <v>1959</v>
      </c>
      <c r="AB1536" s="49"/>
      <c r="AC1536" s="49"/>
      <c r="AD1536" s="49"/>
      <c r="AE1536" s="49" t="str">
        <f>IFERROR(__xludf.DUMMYFUNCTION("""COMPUTED_VALUE"""),"determination")</f>
        <v>determination</v>
      </c>
      <c r="AF1536" s="49" t="str">
        <f t="shared" si="4"/>
        <v>expression,</v>
      </c>
      <c r="AG1536" s="49"/>
      <c r="AH1536" s="1" t="s">
        <v>6746</v>
      </c>
      <c r="AI1536" s="1" t="s">
        <v>2615</v>
      </c>
      <c r="AJ1536" s="6" t="str">
        <f>IFERROR(__xludf.DUMMYFUNCTION("""COMPUTED_VALUE"""),"table")</f>
        <v>table</v>
      </c>
      <c r="AK1536" s="49"/>
      <c r="AL1536" s="49"/>
      <c r="AM1536" s="49"/>
      <c r="AN1536" s="52" t="str">
        <f t="shared" si="5"/>
        <v>practical,</v>
      </c>
    </row>
    <row r="1537">
      <c r="A1537" s="51"/>
      <c r="B1537" s="50" t="s">
        <v>7314</v>
      </c>
      <c r="C1537" s="50" t="s">
        <v>4247</v>
      </c>
      <c r="D1537" s="49" t="str">
        <f>IFERROR(__xludf.DUMMYFUNCTION("""COMPUTED_VALUE"""),"smoking")</f>
        <v>smoking</v>
      </c>
      <c r="E1537" s="49"/>
      <c r="F1537" s="49"/>
      <c r="G1537" s="49"/>
      <c r="H1537" s="54" t="str">
        <f t="shared" si="1"/>
        <v>rod,</v>
      </c>
      <c r="I1537" s="50"/>
      <c r="J1537" s="50" t="s">
        <v>1949</v>
      </c>
      <c r="K1537" s="50" t="s">
        <v>3013</v>
      </c>
      <c r="L1537" s="49" t="str">
        <f>IFERROR(__xludf.DUMMYFUNCTION("""COMPUTED_VALUE"""),"slim")</f>
        <v>slim</v>
      </c>
      <c r="M1537" s="49"/>
      <c r="N1537" s="49"/>
      <c r="O1537" s="49" t="str">
        <f>IFERROR(__xludf.DUMMYFUNCTION("""COMPUTED_VALUE"""),"marilyn")</f>
        <v>marilyn</v>
      </c>
      <c r="P1537" s="49" t="str">
        <f t="shared" si="2"/>
        <v>lightweight,</v>
      </c>
      <c r="Q1537" s="49"/>
      <c r="R1537" s="50" t="s">
        <v>7401</v>
      </c>
      <c r="S1537" s="55" t="s">
        <v>5733</v>
      </c>
      <c r="T1537" s="49" t="str">
        <f>IFERROR(__xludf.DUMMYFUNCTION("""COMPUTED_VALUE"""),"atlantic")</f>
        <v>atlantic</v>
      </c>
      <c r="U1537" s="49"/>
      <c r="V1537" s="49"/>
      <c r="W1537" s="49" t="str">
        <f>IFERROR(__xludf.DUMMYFUNCTION("""COMPUTED_VALUE"""),"sketches")</f>
        <v>sketches</v>
      </c>
      <c r="X1537" s="49" t="str">
        <f t="shared" si="3"/>
        <v>divert,</v>
      </c>
      <c r="Y1537" s="49"/>
      <c r="Z1537" s="1" t="s">
        <v>6577</v>
      </c>
      <c r="AA1537" s="1" t="s">
        <v>1231</v>
      </c>
      <c r="AB1537" s="49"/>
      <c r="AC1537" s="49"/>
      <c r="AD1537" s="49"/>
      <c r="AE1537" s="49" t="str">
        <f>IFERROR(__xludf.DUMMYFUNCTION("""COMPUTED_VALUE"""),"marilyn")</f>
        <v>marilyn</v>
      </c>
      <c r="AF1537" s="49" t="str">
        <f t="shared" si="4"/>
        <v>trust,</v>
      </c>
      <c r="AG1537" s="49"/>
      <c r="AH1537" s="1" t="s">
        <v>5271</v>
      </c>
      <c r="AI1537" s="1" t="s">
        <v>2714</v>
      </c>
      <c r="AJ1537" s="6" t="str">
        <f>IFERROR(__xludf.DUMMYFUNCTION("""COMPUTED_VALUE"""),"manager")</f>
        <v>manager</v>
      </c>
      <c r="AK1537" s="49"/>
      <c r="AL1537" s="49"/>
      <c r="AM1537" s="49"/>
      <c r="AN1537" s="52" t="str">
        <f t="shared" si="5"/>
        <v>switch,</v>
      </c>
    </row>
    <row r="1538">
      <c r="A1538" s="51"/>
      <c r="B1538" s="50" t="s">
        <v>2480</v>
      </c>
      <c r="C1538" s="50" t="s">
        <v>2589</v>
      </c>
      <c r="D1538" s="49" t="str">
        <f>IFERROR(__xludf.DUMMYFUNCTION("""COMPUTED_VALUE"""),"professor")</f>
        <v>professor</v>
      </c>
      <c r="E1538" s="49"/>
      <c r="F1538" s="49"/>
      <c r="G1538" s="49"/>
      <c r="H1538" s="54" t="str">
        <f t="shared" si="1"/>
        <v>murders,</v>
      </c>
      <c r="I1538" s="50"/>
      <c r="J1538" s="50" t="s">
        <v>481</v>
      </c>
      <c r="K1538" s="50" t="s">
        <v>4151</v>
      </c>
      <c r="L1538" s="49" t="str">
        <f>IFERROR(__xludf.DUMMYFUNCTION("""COMPUTED_VALUE"""),"bias")</f>
        <v>bias</v>
      </c>
      <c r="M1538" s="49"/>
      <c r="N1538" s="49"/>
      <c r="O1538" s="49" t="str">
        <f>IFERROR(__xludf.DUMMYFUNCTION("""COMPUTED_VALUE"""),"craftsmen")</f>
        <v>craftsmen</v>
      </c>
      <c r="P1538" s="49" t="str">
        <f t="shared" si="2"/>
        <v>sitcom,</v>
      </c>
      <c r="Q1538" s="49"/>
      <c r="R1538" s="50" t="s">
        <v>993</v>
      </c>
      <c r="S1538" s="55" t="s">
        <v>2811</v>
      </c>
      <c r="T1538" s="49" t="str">
        <f>IFERROR(__xludf.DUMMYFUNCTION("""COMPUTED_VALUE"""),"complications")</f>
        <v>complications</v>
      </c>
      <c r="U1538" s="49"/>
      <c r="V1538" s="49"/>
      <c r="W1538" s="49" t="str">
        <f>IFERROR(__xludf.DUMMYFUNCTION("""COMPUTED_VALUE"""),"definite")</f>
        <v>definite</v>
      </c>
      <c r="X1538" s="49" t="str">
        <f t="shared" si="3"/>
        <v>heat,</v>
      </c>
      <c r="Y1538" s="49"/>
      <c r="Z1538" s="1" t="s">
        <v>1079</v>
      </c>
      <c r="AA1538" s="1" t="s">
        <v>3153</v>
      </c>
      <c r="AB1538" s="49"/>
      <c r="AC1538" s="49"/>
      <c r="AD1538" s="49"/>
      <c r="AE1538" s="49" t="str">
        <f>IFERROR(__xludf.DUMMYFUNCTION("""COMPUTED_VALUE"""),"craftsmen")</f>
        <v>craftsmen</v>
      </c>
      <c r="AF1538" s="49" t="str">
        <f t="shared" si="4"/>
        <v>looked,</v>
      </c>
      <c r="AG1538" s="49"/>
      <c r="AH1538" s="1" t="s">
        <v>3286</v>
      </c>
      <c r="AI1538" s="1" t="s">
        <v>5152</v>
      </c>
      <c r="AJ1538" s="6" t="str">
        <f>IFERROR(__xludf.DUMMYFUNCTION("""COMPUTED_VALUE"""),"chris")</f>
        <v>chris</v>
      </c>
      <c r="AK1538" s="49"/>
      <c r="AL1538" s="49"/>
      <c r="AM1538" s="49"/>
      <c r="AN1538" s="52" t="str">
        <f t="shared" si="5"/>
        <v>wood,</v>
      </c>
    </row>
    <row r="1539">
      <c r="A1539" s="51"/>
      <c r="B1539" s="50" t="s">
        <v>6355</v>
      </c>
      <c r="C1539" s="50" t="s">
        <v>6400</v>
      </c>
      <c r="D1539" s="49" t="str">
        <f>IFERROR(__xludf.DUMMYFUNCTION("""COMPUTED_VALUE"""),"legendary")</f>
        <v>legendary</v>
      </c>
      <c r="E1539" s="49"/>
      <c r="F1539" s="49"/>
      <c r="G1539" s="49"/>
      <c r="H1539" s="54" t="str">
        <f t="shared" si="1"/>
        <v>richard,</v>
      </c>
      <c r="I1539" s="50"/>
      <c r="J1539" s="50" t="s">
        <v>5683</v>
      </c>
      <c r="K1539" s="50" t="s">
        <v>968</v>
      </c>
      <c r="L1539" s="49" t="str">
        <f>IFERROR(__xludf.DUMMYFUNCTION("""COMPUTED_VALUE"""),"packages")</f>
        <v>packages</v>
      </c>
      <c r="M1539" s="49"/>
      <c r="N1539" s="49"/>
      <c r="O1539" s="49">
        <f>IFERROR(__xludf.DUMMYFUNCTION("""COMPUTED_VALUE"""),1952.0)</f>
        <v>1952</v>
      </c>
      <c r="P1539" s="49" t="str">
        <f t="shared" si="2"/>
        <v>magical,</v>
      </c>
      <c r="Q1539" s="49"/>
      <c r="R1539" s="50" t="s">
        <v>1399</v>
      </c>
      <c r="S1539" s="55" t="s">
        <v>2039</v>
      </c>
      <c r="T1539" s="49" t="str">
        <f>IFERROR(__xludf.DUMMYFUNCTION("""COMPUTED_VALUE"""),"hail")</f>
        <v>hail</v>
      </c>
      <c r="U1539" s="49"/>
      <c r="V1539" s="49"/>
      <c r="W1539" s="49" t="str">
        <f>IFERROR(__xludf.DUMMYFUNCTION("""COMPUTED_VALUE"""),"barlow")</f>
        <v>barlow</v>
      </c>
      <c r="X1539" s="49" t="str">
        <f t="shared" si="3"/>
        <v>arbitrary,</v>
      </c>
      <c r="Y1539" s="49"/>
      <c r="Z1539" s="1" t="s">
        <v>4366</v>
      </c>
      <c r="AA1539" s="1" t="s">
        <v>656</v>
      </c>
      <c r="AB1539" s="49"/>
      <c r="AC1539" s="49"/>
      <c r="AD1539" s="49"/>
      <c r="AE1539" s="49">
        <f>IFERROR(__xludf.DUMMYFUNCTION("""COMPUTED_VALUE"""),1952.0)</f>
        <v>1952</v>
      </c>
      <c r="AF1539" s="49" t="str">
        <f t="shared" si="4"/>
        <v>delicate,</v>
      </c>
      <c r="AG1539" s="49"/>
      <c r="AH1539" s="1" t="s">
        <v>5291</v>
      </c>
      <c r="AI1539" s="1" t="s">
        <v>3869</v>
      </c>
      <c r="AJ1539" s="6" t="str">
        <f>IFERROR(__xludf.DUMMYFUNCTION("""COMPUTED_VALUE"""),"silent")</f>
        <v>silent</v>
      </c>
      <c r="AK1539" s="49"/>
      <c r="AL1539" s="49"/>
      <c r="AM1539" s="49"/>
      <c r="AN1539" s="52" t="str">
        <f t="shared" si="5"/>
        <v>ed,</v>
      </c>
    </row>
    <row r="1540">
      <c r="A1540" s="51"/>
      <c r="B1540" s="50" t="s">
        <v>45</v>
      </c>
      <c r="C1540" s="50" t="s">
        <v>2592</v>
      </c>
      <c r="D1540" s="49" t="str">
        <f>IFERROR(__xludf.DUMMYFUNCTION("""COMPUTED_VALUE"""),"graham")</f>
        <v>graham</v>
      </c>
      <c r="E1540" s="49"/>
      <c r="F1540" s="49"/>
      <c r="G1540" s="49"/>
      <c r="H1540" s="54" t="str">
        <f t="shared" si="1"/>
        <v>contains,</v>
      </c>
      <c r="I1540" s="50"/>
      <c r="J1540" s="50" t="s">
        <v>7354</v>
      </c>
      <c r="K1540" s="50" t="s">
        <v>2796</v>
      </c>
      <c r="L1540" s="49" t="str">
        <f>IFERROR(__xludf.DUMMYFUNCTION("""COMPUTED_VALUE"""),"exaggerated")</f>
        <v>exaggerated</v>
      </c>
      <c r="M1540" s="49"/>
      <c r="N1540" s="49"/>
      <c r="O1540" s="49" t="str">
        <f>IFERROR(__xludf.DUMMYFUNCTION("""COMPUTED_VALUE"""),"acclaimed")</f>
        <v>acclaimed</v>
      </c>
      <c r="P1540" s="49" t="str">
        <f t="shared" si="2"/>
        <v>ted,</v>
      </c>
      <c r="Q1540" s="49"/>
      <c r="R1540" s="50" t="s">
        <v>6507</v>
      </c>
      <c r="S1540" s="55" t="s">
        <v>4000</v>
      </c>
      <c r="T1540" s="49" t="str">
        <f>IFERROR(__xludf.DUMMYFUNCTION("""COMPUTED_VALUE"""),"composed")</f>
        <v>composed</v>
      </c>
      <c r="U1540" s="49"/>
      <c r="V1540" s="49"/>
      <c r="W1540" s="49" t="str">
        <f>IFERROR(__xludf.DUMMYFUNCTION("""COMPUTED_VALUE"""),"coping")</f>
        <v>coping</v>
      </c>
      <c r="X1540" s="49" t="str">
        <f t="shared" si="3"/>
        <v>landmark,</v>
      </c>
      <c r="Y1540" s="49"/>
      <c r="Z1540" s="1" t="s">
        <v>1294</v>
      </c>
      <c r="AA1540" s="1" t="s">
        <v>3573</v>
      </c>
      <c r="AB1540" s="49"/>
      <c r="AC1540" s="49"/>
      <c r="AD1540" s="49"/>
      <c r="AE1540" s="49" t="str">
        <f>IFERROR(__xludf.DUMMYFUNCTION("""COMPUTED_VALUE"""),"acclaimed")</f>
        <v>acclaimed</v>
      </c>
      <c r="AF1540" s="49" t="str">
        <f t="shared" si="4"/>
        <v>exercise,</v>
      </c>
      <c r="AG1540" s="49"/>
      <c r="AH1540" s="1" t="s">
        <v>3173</v>
      </c>
      <c r="AI1540" s="1" t="s">
        <v>6526</v>
      </c>
      <c r="AJ1540" s="6" t="str">
        <f>IFERROR(__xludf.DUMMYFUNCTION("""COMPUTED_VALUE"""),"reasons")</f>
        <v>reasons</v>
      </c>
      <c r="AK1540" s="49"/>
      <c r="AL1540" s="49"/>
      <c r="AM1540" s="49"/>
      <c r="AN1540" s="52" t="str">
        <f t="shared" si="5"/>
        <v>wife,</v>
      </c>
    </row>
    <row r="1541">
      <c r="A1541" s="51"/>
      <c r="B1541" s="50" t="s">
        <v>7302</v>
      </c>
      <c r="C1541" s="50" t="s">
        <v>1958</v>
      </c>
      <c r="D1541" s="49" t="str">
        <f>IFERROR(__xludf.DUMMYFUNCTION("""COMPUTED_VALUE"""),"honor")</f>
        <v>honor</v>
      </c>
      <c r="E1541" s="49"/>
      <c r="F1541" s="49"/>
      <c r="G1541" s="49"/>
      <c r="H1541" s="54" t="str">
        <f t="shared" si="1"/>
        <v>matt,</v>
      </c>
      <c r="I1541" s="50"/>
      <c r="J1541" s="50" t="s">
        <v>3626</v>
      </c>
      <c r="K1541" s="50" t="s">
        <v>973</v>
      </c>
      <c r="L1541" s="49" t="str">
        <f>IFERROR(__xludf.DUMMYFUNCTION("""COMPUTED_VALUE"""),"ideology")</f>
        <v>ideology</v>
      </c>
      <c r="M1541" s="49"/>
      <c r="N1541" s="49"/>
      <c r="O1541" s="49" t="str">
        <f>IFERROR(__xludf.DUMMYFUNCTION("""COMPUTED_VALUE"""),"unaffected")</f>
        <v>unaffected</v>
      </c>
      <c r="P1541" s="49" t="str">
        <f t="shared" si="2"/>
        <v>losers,</v>
      </c>
      <c r="Q1541" s="49"/>
      <c r="R1541" s="50" t="s">
        <v>6045</v>
      </c>
      <c r="S1541" s="55" t="s">
        <v>6527</v>
      </c>
      <c r="T1541" s="49" t="str">
        <f>IFERROR(__xludf.DUMMYFUNCTION("""COMPUTED_VALUE"""),"confuse")</f>
        <v>confuse</v>
      </c>
      <c r="U1541" s="49"/>
      <c r="V1541" s="49"/>
      <c r="W1541" s="49" t="str">
        <f>IFERROR(__xludf.DUMMYFUNCTION("""COMPUTED_VALUE"""),"winger")</f>
        <v>winger</v>
      </c>
      <c r="X1541" s="49" t="str">
        <f t="shared" si="3"/>
        <v>send,</v>
      </c>
      <c r="Y1541" s="49"/>
      <c r="Z1541" s="1" t="s">
        <v>6360</v>
      </c>
      <c r="AA1541" s="1" t="s">
        <v>981</v>
      </c>
      <c r="AB1541" s="49"/>
      <c r="AC1541" s="49"/>
      <c r="AD1541" s="49"/>
      <c r="AE1541" s="49" t="str">
        <f>IFERROR(__xludf.DUMMYFUNCTION("""COMPUTED_VALUE"""),"unaffected")</f>
        <v>unaffected</v>
      </c>
      <c r="AF1541" s="49" t="str">
        <f t="shared" si="4"/>
        <v>leaving,</v>
      </c>
      <c r="AG1541" s="49"/>
      <c r="AH1541" s="1" t="s">
        <v>1003</v>
      </c>
      <c r="AI1541" s="1" t="s">
        <v>4251</v>
      </c>
      <c r="AJ1541" s="6" t="str">
        <f>IFERROR(__xludf.DUMMYFUNCTION("""COMPUTED_VALUE"""),"pool")</f>
        <v>pool</v>
      </c>
      <c r="AK1541" s="49"/>
      <c r="AL1541" s="49"/>
      <c r="AM1541" s="49"/>
      <c r="AN1541" s="52" t="str">
        <f t="shared" si="5"/>
        <v>hold,</v>
      </c>
    </row>
    <row r="1542">
      <c r="A1542" s="51"/>
      <c r="B1542" s="50" t="s">
        <v>6659</v>
      </c>
      <c r="C1542" s="50" t="s">
        <v>4406</v>
      </c>
      <c r="D1542" s="49" t="str">
        <f>IFERROR(__xludf.DUMMYFUNCTION("""COMPUTED_VALUE"""),"landmark")</f>
        <v>landmark</v>
      </c>
      <c r="E1542" s="49"/>
      <c r="F1542" s="49"/>
      <c r="G1542" s="49"/>
      <c r="H1542" s="54" t="str">
        <f t="shared" si="1"/>
        <v>hated,</v>
      </c>
      <c r="I1542" s="50"/>
      <c r="J1542" s="50" t="s">
        <v>2642</v>
      </c>
      <c r="K1542" s="50" t="s">
        <v>4665</v>
      </c>
      <c r="L1542" s="49" t="str">
        <f>IFERROR(__xludf.DUMMYFUNCTION("""COMPUTED_VALUE"""),"acclaim")</f>
        <v>acclaim</v>
      </c>
      <c r="M1542" s="49"/>
      <c r="N1542" s="49"/>
      <c r="O1542" s="49" t="str">
        <f>IFERROR(__xludf.DUMMYFUNCTION("""COMPUTED_VALUE"""),"unified")</f>
        <v>unified</v>
      </c>
      <c r="P1542" s="49" t="str">
        <f t="shared" si="2"/>
        <v>straight,</v>
      </c>
      <c r="Q1542" s="49"/>
      <c r="R1542" s="50" t="s">
        <v>96</v>
      </c>
      <c r="S1542" s="55" t="s">
        <v>2816</v>
      </c>
      <c r="T1542" s="49" t="str">
        <f>IFERROR(__xludf.DUMMYFUNCTION("""COMPUTED_VALUE"""),"stirring")</f>
        <v>stirring</v>
      </c>
      <c r="U1542" s="49"/>
      <c r="V1542" s="49"/>
      <c r="W1542" s="49" t="str">
        <f>IFERROR(__xludf.DUMMYFUNCTION("""COMPUTED_VALUE"""),"eccentric")</f>
        <v>eccentric</v>
      </c>
      <c r="X1542" s="49" t="str">
        <f t="shared" si="3"/>
        <v>recycled,</v>
      </c>
      <c r="Y1542" s="49"/>
      <c r="Z1542" s="1" t="s">
        <v>4741</v>
      </c>
      <c r="AA1542" s="1" t="s">
        <v>1105</v>
      </c>
      <c r="AB1542" s="49"/>
      <c r="AC1542" s="49"/>
      <c r="AD1542" s="49"/>
      <c r="AE1542" s="49" t="str">
        <f>IFERROR(__xludf.DUMMYFUNCTION("""COMPUTED_VALUE"""),"unified")</f>
        <v>unified</v>
      </c>
      <c r="AF1542" s="49" t="str">
        <f t="shared" si="4"/>
        <v>expected,</v>
      </c>
      <c r="AG1542" s="49"/>
      <c r="AH1542" s="1" t="s">
        <v>7402</v>
      </c>
      <c r="AI1542" s="1" t="s">
        <v>2349</v>
      </c>
      <c r="AJ1542" s="6" t="str">
        <f>IFERROR(__xludf.DUMMYFUNCTION("""COMPUTED_VALUE"""),"fan")</f>
        <v>fan</v>
      </c>
      <c r="AK1542" s="49"/>
      <c r="AL1542" s="49"/>
      <c r="AM1542" s="49"/>
      <c r="AN1542" s="52" t="str">
        <f t="shared" si="5"/>
        <v>georgia,</v>
      </c>
    </row>
    <row r="1543">
      <c r="A1543" s="51"/>
      <c r="B1543" s="50" t="s">
        <v>5424</v>
      </c>
      <c r="C1543" s="50" t="s">
        <v>2140</v>
      </c>
      <c r="D1543" s="49" t="str">
        <f>IFERROR(__xludf.DUMMYFUNCTION("""COMPUTED_VALUE"""),"legacy")</f>
        <v>legacy</v>
      </c>
      <c r="E1543" s="49"/>
      <c r="F1543" s="49"/>
      <c r="G1543" s="49"/>
      <c r="H1543" s="54" t="str">
        <f t="shared" si="1"/>
        <v>admit,</v>
      </c>
      <c r="I1543" s="50"/>
      <c r="J1543" s="50" t="s">
        <v>5513</v>
      </c>
      <c r="K1543" s="50" t="s">
        <v>4667</v>
      </c>
      <c r="L1543" s="49" t="str">
        <f>IFERROR(__xludf.DUMMYFUNCTION("""COMPUTED_VALUE"""),"fusion")</f>
        <v>fusion</v>
      </c>
      <c r="M1543" s="49"/>
      <c r="N1543" s="49"/>
      <c r="O1543" s="49" t="str">
        <f>IFERROR(__xludf.DUMMYFUNCTION("""COMPUTED_VALUE"""),"libretto")</f>
        <v>libretto</v>
      </c>
      <c r="P1543" s="49" t="str">
        <f t="shared" si="2"/>
        <v>carl,</v>
      </c>
      <c r="Q1543" s="49"/>
      <c r="R1543" s="50" t="s">
        <v>1941</v>
      </c>
      <c r="S1543" s="55" t="s">
        <v>2819</v>
      </c>
      <c r="T1543" s="49" t="str">
        <f>IFERROR(__xludf.DUMMYFUNCTION("""COMPUTED_VALUE"""),"fury")</f>
        <v>fury</v>
      </c>
      <c r="U1543" s="49"/>
      <c r="V1543" s="49"/>
      <c r="W1543" s="49" t="str">
        <f>IFERROR(__xludf.DUMMYFUNCTION("""COMPUTED_VALUE"""),"reagan")</f>
        <v>reagan</v>
      </c>
      <c r="X1543" s="49" t="str">
        <f t="shared" si="3"/>
        <v>midway,</v>
      </c>
      <c r="Y1543" s="49"/>
      <c r="Z1543" s="1" t="s">
        <v>3019</v>
      </c>
      <c r="AA1543" s="1" t="s">
        <v>106</v>
      </c>
      <c r="AB1543" s="49"/>
      <c r="AC1543" s="49"/>
      <c r="AD1543" s="49"/>
      <c r="AE1543" s="49" t="str">
        <f>IFERROR(__xludf.DUMMYFUNCTION("""COMPUTED_VALUE"""),"libretto")</f>
        <v>libretto</v>
      </c>
      <c r="AF1543" s="49" t="str">
        <f t="shared" si="4"/>
        <v>aging,</v>
      </c>
      <c r="AG1543" s="49"/>
      <c r="AH1543" s="1" t="s">
        <v>4954</v>
      </c>
      <c r="AI1543" s="1" t="s">
        <v>2623</v>
      </c>
      <c r="AJ1543" s="6" t="str">
        <f>IFERROR(__xludf.DUMMYFUNCTION("""COMPUTED_VALUE"""),"seriously")</f>
        <v>seriously</v>
      </c>
      <c r="AK1543" s="49"/>
      <c r="AL1543" s="49"/>
      <c r="AM1543" s="49"/>
      <c r="AN1543" s="52" t="str">
        <f t="shared" si="5"/>
        <v>missing,</v>
      </c>
    </row>
    <row r="1544">
      <c r="A1544" s="51"/>
      <c r="B1544" s="50" t="s">
        <v>711</v>
      </c>
      <c r="C1544" s="50" t="s">
        <v>6515</v>
      </c>
      <c r="D1544" s="49" t="str">
        <f>IFERROR(__xludf.DUMMYFUNCTION("""COMPUTED_VALUE"""),"evil")</f>
        <v>evil</v>
      </c>
      <c r="E1544" s="49"/>
      <c r="F1544" s="49"/>
      <c r="G1544" s="49"/>
      <c r="H1544" s="54" t="str">
        <f t="shared" si="1"/>
        <v>family,</v>
      </c>
      <c r="I1544" s="50"/>
      <c r="J1544" s="50" t="s">
        <v>6353</v>
      </c>
      <c r="K1544" s="50" t="s">
        <v>4158</v>
      </c>
      <c r="L1544" s="49" t="str">
        <f>IFERROR(__xludf.DUMMYFUNCTION("""COMPUTED_VALUE"""),"traditions")</f>
        <v>traditions</v>
      </c>
      <c r="M1544" s="49"/>
      <c r="N1544" s="49"/>
      <c r="O1544" s="49" t="str">
        <f>IFERROR(__xludf.DUMMYFUNCTION("""COMPUTED_VALUE"""),"monument")</f>
        <v>monument</v>
      </c>
      <c r="P1544" s="49" t="str">
        <f t="shared" si="2"/>
        <v>spot,</v>
      </c>
      <c r="Q1544" s="49"/>
      <c r="R1544" s="50" t="s">
        <v>7403</v>
      </c>
      <c r="S1544" s="55" t="s">
        <v>4485</v>
      </c>
      <c r="T1544" s="49" t="str">
        <f>IFERROR(__xludf.DUMMYFUNCTION("""COMPUTED_VALUE"""),"inclination")</f>
        <v>inclination</v>
      </c>
      <c r="U1544" s="49"/>
      <c r="V1544" s="49"/>
      <c r="W1544" s="49" t="str">
        <f>IFERROR(__xludf.DUMMYFUNCTION("""COMPUTED_VALUE"""),"geared")</f>
        <v>geared</v>
      </c>
      <c r="X1544" s="49" t="str">
        <f t="shared" si="3"/>
        <v>whip,</v>
      </c>
      <c r="Y1544" s="49"/>
      <c r="Z1544" s="1" t="s">
        <v>6326</v>
      </c>
      <c r="AA1544" s="1" t="s">
        <v>4668</v>
      </c>
      <c r="AB1544" s="49"/>
      <c r="AC1544" s="49"/>
      <c r="AD1544" s="49"/>
      <c r="AE1544" s="49" t="str">
        <f>IFERROR(__xludf.DUMMYFUNCTION("""COMPUTED_VALUE"""),"monument")</f>
        <v>monument</v>
      </c>
      <c r="AF1544" s="49" t="str">
        <f t="shared" si="4"/>
        <v>willing,</v>
      </c>
      <c r="AG1544" s="49"/>
      <c r="AH1544" s="1" t="s">
        <v>4847</v>
      </c>
      <c r="AI1544" s="1" t="s">
        <v>2628</v>
      </c>
      <c r="AJ1544" s="6" t="str">
        <f>IFERROR(__xludf.DUMMYFUNCTION("""COMPUTED_VALUE"""),"marry")</f>
        <v>marry</v>
      </c>
      <c r="AK1544" s="49"/>
      <c r="AL1544" s="49"/>
      <c r="AM1544" s="49"/>
      <c r="AN1544" s="52" t="str">
        <f t="shared" si="5"/>
        <v>actions,</v>
      </c>
    </row>
    <row r="1545">
      <c r="A1545" s="51"/>
      <c r="B1545" s="50" t="s">
        <v>1506</v>
      </c>
      <c r="C1545" s="50" t="s">
        <v>4429</v>
      </c>
      <c r="D1545" s="49" t="str">
        <f>IFERROR(__xludf.DUMMYFUNCTION("""COMPUTED_VALUE"""),"potential")</f>
        <v>potential</v>
      </c>
      <c r="E1545" s="49"/>
      <c r="F1545" s="49"/>
      <c r="G1545" s="49"/>
      <c r="H1545" s="54" t="str">
        <f t="shared" si="1"/>
        <v>children,</v>
      </c>
      <c r="I1545" s="50"/>
      <c r="J1545" s="50" t="s">
        <v>7404</v>
      </c>
      <c r="K1545" s="50" t="s">
        <v>844</v>
      </c>
      <c r="L1545" s="49" t="str">
        <f>IFERROR(__xludf.DUMMYFUNCTION("""COMPUTED_VALUE"""),"daring")</f>
        <v>daring</v>
      </c>
      <c r="M1545" s="49"/>
      <c r="N1545" s="49"/>
      <c r="O1545" s="49" t="str">
        <f>IFERROR(__xludf.DUMMYFUNCTION("""COMPUTED_VALUE"""),"shivers")</f>
        <v>shivers</v>
      </c>
      <c r="P1545" s="49" t="str">
        <f t="shared" si="2"/>
        <v>suits,</v>
      </c>
      <c r="Q1545" s="49"/>
      <c r="R1545" s="50" t="s">
        <v>1771</v>
      </c>
      <c r="S1545" s="55" t="s">
        <v>2705</v>
      </c>
      <c r="T1545" s="49" t="str">
        <f>IFERROR(__xludf.DUMMYFUNCTION("""COMPUTED_VALUE"""),"heap")</f>
        <v>heap</v>
      </c>
      <c r="U1545" s="49"/>
      <c r="V1545" s="49"/>
      <c r="W1545" s="49" t="str">
        <f>IFERROR(__xludf.DUMMYFUNCTION("""COMPUTED_VALUE"""),"damon")</f>
        <v>damon</v>
      </c>
      <c r="X1545" s="49" t="str">
        <f t="shared" si="3"/>
        <v>league,</v>
      </c>
      <c r="Y1545" s="49"/>
      <c r="Z1545" s="1" t="s">
        <v>4544</v>
      </c>
      <c r="AA1545" s="1" t="s">
        <v>203</v>
      </c>
      <c r="AB1545" s="49"/>
      <c r="AC1545" s="49"/>
      <c r="AD1545" s="49"/>
      <c r="AE1545" s="49" t="str">
        <f>IFERROR(__xludf.DUMMYFUNCTION("""COMPUTED_VALUE"""),"shivers")</f>
        <v>shivers</v>
      </c>
      <c r="AF1545" s="49" t="str">
        <f t="shared" si="4"/>
        <v>dying,</v>
      </c>
      <c r="AG1545" s="49"/>
      <c r="AH1545" s="1" t="s">
        <v>5051</v>
      </c>
      <c r="AI1545" s="1" t="s">
        <v>6513</v>
      </c>
      <c r="AJ1545" s="6" t="str">
        <f>IFERROR(__xludf.DUMMYFUNCTION("""COMPUTED_VALUE"""),"channel")</f>
        <v>channel</v>
      </c>
      <c r="AK1545" s="49"/>
      <c r="AL1545" s="49"/>
      <c r="AM1545" s="49"/>
      <c r="AN1545" s="52" t="str">
        <f t="shared" si="5"/>
        <v>conservative,</v>
      </c>
    </row>
    <row r="1546">
      <c r="A1546" s="51"/>
      <c r="B1546" s="50" t="s">
        <v>2628</v>
      </c>
      <c r="C1546" s="50" t="s">
        <v>2762</v>
      </c>
      <c r="D1546" s="49" t="str">
        <f>IFERROR(__xludf.DUMMYFUNCTION("""COMPUTED_VALUE"""),"mixture")</f>
        <v>mixture</v>
      </c>
      <c r="E1546" s="49"/>
      <c r="F1546" s="49"/>
      <c r="G1546" s="49"/>
      <c r="H1546" s="54" t="str">
        <f t="shared" si="1"/>
        <v>magic,</v>
      </c>
      <c r="I1546" s="50"/>
      <c r="J1546" s="50" t="s">
        <v>1853</v>
      </c>
      <c r="K1546" s="50" t="s">
        <v>4671</v>
      </c>
      <c r="L1546" s="49" t="str">
        <f>IFERROR(__xludf.DUMMYFUNCTION("""COMPUTED_VALUE"""),"proficient")</f>
        <v>proficient</v>
      </c>
      <c r="M1546" s="49"/>
      <c r="N1546" s="49"/>
      <c r="O1546" s="49" t="str">
        <f>IFERROR(__xludf.DUMMYFUNCTION("""COMPUTED_VALUE"""),"environmental")</f>
        <v>environmental</v>
      </c>
      <c r="P1546" s="49" t="str">
        <f t="shared" si="2"/>
        <v>loose,</v>
      </c>
      <c r="Q1546" s="49"/>
      <c r="R1546" s="50" t="s">
        <v>2509</v>
      </c>
      <c r="S1546" s="55" t="s">
        <v>777</v>
      </c>
      <c r="T1546" s="49" t="str">
        <f>IFERROR(__xludf.DUMMYFUNCTION("""COMPUTED_VALUE"""),"extraordinary")</f>
        <v>extraordinary</v>
      </c>
      <c r="U1546" s="49"/>
      <c r="V1546" s="49"/>
      <c r="W1546" s="49">
        <f>IFERROR(__xludf.DUMMYFUNCTION("""COMPUTED_VALUE"""),163.0)</f>
        <v>163</v>
      </c>
      <c r="X1546" s="49" t="str">
        <f t="shared" si="3"/>
        <v>players,</v>
      </c>
      <c r="Y1546" s="49"/>
      <c r="Z1546" s="1" t="s">
        <v>2338</v>
      </c>
      <c r="AA1546" s="1" t="s">
        <v>4670</v>
      </c>
      <c r="AB1546" s="49"/>
      <c r="AC1546" s="49"/>
      <c r="AD1546" s="49"/>
      <c r="AE1546" s="49" t="str">
        <f>IFERROR(__xludf.DUMMYFUNCTION("""COMPUTED_VALUE"""),"environmental")</f>
        <v>environmental</v>
      </c>
      <c r="AF1546" s="49" t="str">
        <f t="shared" si="4"/>
        <v>husband,</v>
      </c>
      <c r="AG1546" s="49"/>
      <c r="AH1546" s="1" t="s">
        <v>2013</v>
      </c>
      <c r="AI1546" s="1" t="s">
        <v>3889</v>
      </c>
      <c r="AJ1546" s="6" t="str">
        <f>IFERROR(__xludf.DUMMYFUNCTION("""COMPUTED_VALUE"""),"figure")</f>
        <v>figure</v>
      </c>
      <c r="AK1546" s="49"/>
      <c r="AL1546" s="49"/>
      <c r="AM1546" s="49"/>
      <c r="AN1546" s="52" t="str">
        <f t="shared" si="5"/>
        <v>gift,</v>
      </c>
    </row>
    <row r="1547">
      <c r="A1547" s="51"/>
      <c r="B1547" s="50" t="s">
        <v>2320</v>
      </c>
      <c r="C1547" s="50" t="s">
        <v>3144</v>
      </c>
      <c r="D1547" s="49" t="str">
        <f>IFERROR(__xludf.DUMMYFUNCTION("""COMPUTED_VALUE"""),"intended")</f>
        <v>intended</v>
      </c>
      <c r="E1547" s="49"/>
      <c r="F1547" s="49"/>
      <c r="G1547" s="49"/>
      <c r="H1547" s="54" t="str">
        <f t="shared" si="1"/>
        <v>sisters,</v>
      </c>
      <c r="I1547" s="50"/>
      <c r="J1547" s="50" t="s">
        <v>6706</v>
      </c>
      <c r="K1547" s="50" t="s">
        <v>4674</v>
      </c>
      <c r="L1547" s="49" t="str">
        <f>IFERROR(__xludf.DUMMYFUNCTION("""COMPUTED_VALUE"""),"forgiven")</f>
        <v>forgiven</v>
      </c>
      <c r="M1547" s="49"/>
      <c r="N1547" s="49"/>
      <c r="O1547" s="49" t="str">
        <f>IFERROR(__xludf.DUMMYFUNCTION("""COMPUTED_VALUE"""),"lynne")</f>
        <v>lynne</v>
      </c>
      <c r="P1547" s="49" t="str">
        <f t="shared" si="2"/>
        <v>bathroom,</v>
      </c>
      <c r="Q1547" s="49"/>
      <c r="R1547" s="50" t="s">
        <v>5688</v>
      </c>
      <c r="S1547" s="55" t="s">
        <v>921</v>
      </c>
      <c r="T1547" s="49" t="str">
        <f>IFERROR(__xludf.DUMMYFUNCTION("""COMPUTED_VALUE"""),"pianist")</f>
        <v>pianist</v>
      </c>
      <c r="U1547" s="49"/>
      <c r="V1547" s="49"/>
      <c r="W1547" s="49" t="str">
        <f>IFERROR(__xludf.DUMMYFUNCTION("""COMPUTED_VALUE"""),"iii")</f>
        <v>iii</v>
      </c>
      <c r="X1547" s="49" t="str">
        <f t="shared" si="3"/>
        <v>flag,</v>
      </c>
      <c r="Y1547" s="49"/>
      <c r="Z1547" s="1" t="s">
        <v>1059</v>
      </c>
      <c r="AA1547" s="1" t="s">
        <v>4672</v>
      </c>
      <c r="AB1547" s="49"/>
      <c r="AC1547" s="49"/>
      <c r="AD1547" s="49"/>
      <c r="AE1547" s="49" t="str">
        <f>IFERROR(__xludf.DUMMYFUNCTION("""COMPUTED_VALUE"""),"lynne")</f>
        <v>lynne</v>
      </c>
      <c r="AF1547" s="49" t="str">
        <f t="shared" si="4"/>
        <v>harry,</v>
      </c>
      <c r="AG1547" s="49"/>
      <c r="AH1547" s="1" t="s">
        <v>2538</v>
      </c>
      <c r="AI1547" s="1" t="s">
        <v>2631</v>
      </c>
      <c r="AJ1547" s="6" t="str">
        <f>IFERROR(__xludf.DUMMYFUNCTION("""COMPUTED_VALUE"""),"featuring")</f>
        <v>featuring</v>
      </c>
      <c r="AK1547" s="49"/>
      <c r="AL1547" s="49"/>
      <c r="AM1547" s="49"/>
      <c r="AN1547" s="52" t="str">
        <f t="shared" si="5"/>
        <v>widow,</v>
      </c>
    </row>
    <row r="1548">
      <c r="A1548" s="51"/>
      <c r="B1548" s="50" t="s">
        <v>6779</v>
      </c>
      <c r="C1548" s="50" t="s">
        <v>834</v>
      </c>
      <c r="D1548" s="49" t="str">
        <f>IFERROR(__xludf.DUMMYFUNCTION("""COMPUTED_VALUE"""),"trees")</f>
        <v>trees</v>
      </c>
      <c r="E1548" s="49"/>
      <c r="F1548" s="49"/>
      <c r="G1548" s="49"/>
      <c r="H1548" s="54" t="str">
        <f t="shared" si="1"/>
        <v>stronger,</v>
      </c>
      <c r="I1548" s="50"/>
      <c r="J1548" s="50" t="s">
        <v>3195</v>
      </c>
      <c r="K1548" s="50" t="s">
        <v>1765</v>
      </c>
      <c r="L1548" s="49" t="str">
        <f>IFERROR(__xludf.DUMMYFUNCTION("""COMPUTED_VALUE"""),"smaller")</f>
        <v>smaller</v>
      </c>
      <c r="M1548" s="49"/>
      <c r="N1548" s="49"/>
      <c r="O1548" s="49" t="str">
        <f>IFERROR(__xludf.DUMMYFUNCTION("""COMPUTED_VALUE"""),"ramsay")</f>
        <v>ramsay</v>
      </c>
      <c r="P1548" s="49" t="str">
        <f t="shared" si="2"/>
        <v>manage,</v>
      </c>
      <c r="Q1548" s="49"/>
      <c r="R1548" s="50" t="s">
        <v>4094</v>
      </c>
      <c r="S1548" s="55" t="s">
        <v>1426</v>
      </c>
      <c r="T1548" s="49" t="str">
        <f>IFERROR(__xludf.DUMMYFUNCTION("""COMPUTED_VALUE"""),"damaged")</f>
        <v>damaged</v>
      </c>
      <c r="U1548" s="49"/>
      <c r="V1548" s="49"/>
      <c r="W1548" s="49" t="str">
        <f>IFERROR(__xludf.DUMMYFUNCTION("""COMPUTED_VALUE"""),"proposal")</f>
        <v>proposal</v>
      </c>
      <c r="X1548" s="49" t="str">
        <f t="shared" si="3"/>
        <v>coma,</v>
      </c>
      <c r="Y1548" s="49"/>
      <c r="Z1548" s="1" t="s">
        <v>4106</v>
      </c>
      <c r="AA1548" s="1" t="s">
        <v>3584</v>
      </c>
      <c r="AB1548" s="49"/>
      <c r="AC1548" s="49"/>
      <c r="AD1548" s="49"/>
      <c r="AE1548" s="49" t="str">
        <f>IFERROR(__xludf.DUMMYFUNCTION("""COMPUTED_VALUE"""),"ramsay")</f>
        <v>ramsay</v>
      </c>
      <c r="AF1548" s="49" t="str">
        <f t="shared" si="4"/>
        <v>finds,</v>
      </c>
      <c r="AG1548" s="49"/>
      <c r="AH1548" s="1" t="s">
        <v>1825</v>
      </c>
      <c r="AI1548" s="1" t="s">
        <v>2409</v>
      </c>
      <c r="AJ1548" s="6" t="str">
        <f>IFERROR(__xludf.DUMMYFUNCTION("""COMPUTED_VALUE"""),"speaking")</f>
        <v>speaking</v>
      </c>
      <c r="AK1548" s="49"/>
      <c r="AL1548" s="49"/>
      <c r="AM1548" s="49"/>
      <c r="AN1548" s="52" t="str">
        <f t="shared" si="5"/>
        <v>species,</v>
      </c>
    </row>
    <row r="1549">
      <c r="A1549" s="51"/>
      <c r="B1549" s="50" t="s">
        <v>6746</v>
      </c>
      <c r="C1549" s="50">
        <v>96.0</v>
      </c>
      <c r="D1549" s="49" t="str">
        <f>IFERROR(__xludf.DUMMYFUNCTION("""COMPUTED_VALUE"""),"definitely")</f>
        <v>definitely</v>
      </c>
      <c r="E1549" s="49"/>
      <c r="F1549" s="49"/>
      <c r="G1549" s="49"/>
      <c r="H1549" s="54" t="str">
        <f t="shared" si="1"/>
        <v>practical,</v>
      </c>
      <c r="I1549" s="50"/>
      <c r="J1549" s="50" t="s">
        <v>1307</v>
      </c>
      <c r="K1549" s="50" t="s">
        <v>1650</v>
      </c>
      <c r="L1549" s="49" t="str">
        <f>IFERROR(__xludf.DUMMYFUNCTION("""COMPUTED_VALUE"""),"acts")</f>
        <v>acts</v>
      </c>
      <c r="M1549" s="49"/>
      <c r="N1549" s="49"/>
      <c r="O1549" s="49" t="str">
        <f>IFERROR(__xludf.DUMMYFUNCTION("""COMPUTED_VALUE"""),"restraint")</f>
        <v>restraint</v>
      </c>
      <c r="P1549" s="49" t="str">
        <f t="shared" si="2"/>
        <v>central,</v>
      </c>
      <c r="Q1549" s="49"/>
      <c r="R1549" s="50" t="s">
        <v>3098</v>
      </c>
      <c r="S1549" s="55" t="s">
        <v>4018</v>
      </c>
      <c r="T1549" s="49" t="str">
        <f>IFERROR(__xludf.DUMMYFUNCTION("""COMPUTED_VALUE"""),"miller")</f>
        <v>miller</v>
      </c>
      <c r="U1549" s="49"/>
      <c r="V1549" s="49"/>
      <c r="W1549" s="49" t="str">
        <f>IFERROR(__xludf.DUMMYFUNCTION("""COMPUTED_VALUE"""),"commands")</f>
        <v>commands</v>
      </c>
      <c r="X1549" s="49" t="str">
        <f t="shared" si="3"/>
        <v>spin,</v>
      </c>
      <c r="Y1549" s="49"/>
      <c r="Z1549" s="1" t="s">
        <v>5001</v>
      </c>
      <c r="AA1549" s="1" t="s">
        <v>4675</v>
      </c>
      <c r="AB1549" s="49"/>
      <c r="AC1549" s="49"/>
      <c r="AD1549" s="49"/>
      <c r="AE1549" s="49" t="str">
        <f>IFERROR(__xludf.DUMMYFUNCTION("""COMPUTED_VALUE"""),"restraint")</f>
        <v>restraint</v>
      </c>
      <c r="AF1549" s="49" t="str">
        <f t="shared" si="4"/>
        <v>bodies,</v>
      </c>
      <c r="AG1549" s="49"/>
      <c r="AH1549" s="1" t="s">
        <v>1730</v>
      </c>
      <c r="AI1549" s="1" t="s">
        <v>4089</v>
      </c>
      <c r="AJ1549" s="6" t="str">
        <f>IFERROR(__xludf.DUMMYFUNCTION("""COMPUTED_VALUE"""),"figures")</f>
        <v>figures</v>
      </c>
      <c r="AK1549" s="49"/>
      <c r="AL1549" s="49"/>
      <c r="AM1549" s="49"/>
      <c r="AN1549" s="52" t="str">
        <f t="shared" si="5"/>
        <v>despite,</v>
      </c>
    </row>
    <row r="1550">
      <c r="A1550" s="51"/>
      <c r="B1550" s="50" t="s">
        <v>5271</v>
      </c>
      <c r="C1550" s="50" t="s">
        <v>3757</v>
      </c>
      <c r="D1550" s="49" t="str">
        <f>IFERROR(__xludf.DUMMYFUNCTION("""COMPUTED_VALUE"""),"message")</f>
        <v>message</v>
      </c>
      <c r="E1550" s="49"/>
      <c r="F1550" s="49"/>
      <c r="G1550" s="49"/>
      <c r="H1550" s="54" t="str">
        <f t="shared" si="1"/>
        <v>switch,</v>
      </c>
      <c r="I1550" s="50"/>
      <c r="J1550" s="50" t="s">
        <v>812</v>
      </c>
      <c r="K1550" s="50" t="s">
        <v>1988</v>
      </c>
      <c r="L1550" s="49" t="str">
        <f>IFERROR(__xludf.DUMMYFUNCTION("""COMPUTED_VALUE"""),"transparent")</f>
        <v>transparent</v>
      </c>
      <c r="M1550" s="49"/>
      <c r="N1550" s="49"/>
      <c r="O1550" s="49" t="str">
        <f>IFERROR(__xludf.DUMMYFUNCTION("""COMPUTED_VALUE"""),"converts")</f>
        <v>converts</v>
      </c>
      <c r="P1550" s="49" t="str">
        <f t="shared" si="2"/>
        <v>flaws,</v>
      </c>
      <c r="Q1550" s="49"/>
      <c r="R1550" s="50" t="s">
        <v>3937</v>
      </c>
      <c r="S1550" s="55" t="s">
        <v>6528</v>
      </c>
      <c r="T1550" s="49" t="str">
        <f>IFERROR(__xludf.DUMMYFUNCTION("""COMPUTED_VALUE"""),"circuit")</f>
        <v>circuit</v>
      </c>
      <c r="U1550" s="49"/>
      <c r="V1550" s="49"/>
      <c r="W1550" s="49" t="str">
        <f>IFERROR(__xludf.DUMMYFUNCTION("""COMPUTED_VALUE"""),"grit")</f>
        <v>grit</v>
      </c>
      <c r="X1550" s="49" t="str">
        <f t="shared" si="3"/>
        <v>dear,</v>
      </c>
      <c r="Y1550" s="49"/>
      <c r="Z1550" s="1" t="s">
        <v>2267</v>
      </c>
      <c r="AA1550" s="1" t="s">
        <v>984</v>
      </c>
      <c r="AB1550" s="49"/>
      <c r="AC1550" s="49"/>
      <c r="AD1550" s="49"/>
      <c r="AE1550" s="49" t="str">
        <f>IFERROR(__xludf.DUMMYFUNCTION("""COMPUTED_VALUE"""),"converts")</f>
        <v>converts</v>
      </c>
      <c r="AF1550" s="49" t="str">
        <f t="shared" si="4"/>
        <v>seeing,</v>
      </c>
      <c r="AG1550" s="49"/>
      <c r="AH1550" s="1">
        <v>60.0</v>
      </c>
      <c r="AI1550" s="1" t="s">
        <v>2731</v>
      </c>
      <c r="AJ1550" s="6" t="str">
        <f>IFERROR(__xludf.DUMMYFUNCTION("""COMPUTED_VALUE"""),"cup")</f>
        <v>cup</v>
      </c>
      <c r="AK1550" s="49"/>
      <c r="AL1550" s="49"/>
      <c r="AM1550" s="49"/>
      <c r="AN1550" s="52" t="str">
        <f t="shared" si="5"/>
        <v>60,</v>
      </c>
    </row>
    <row r="1551">
      <c r="A1551" s="51"/>
      <c r="B1551" s="50" t="s">
        <v>5631</v>
      </c>
      <c r="C1551" s="50" t="s">
        <v>1846</v>
      </c>
      <c r="D1551" s="49" t="str">
        <f>IFERROR(__xludf.DUMMYFUNCTION("""COMPUTED_VALUE"""),"balance")</f>
        <v>balance</v>
      </c>
      <c r="E1551" s="49"/>
      <c r="F1551" s="49"/>
      <c r="G1551" s="49"/>
      <c r="H1551" s="54" t="str">
        <f t="shared" si="1"/>
        <v>nicole,</v>
      </c>
      <c r="I1551" s="50"/>
      <c r="J1551" s="50" t="s">
        <v>1169</v>
      </c>
      <c r="K1551" s="50" t="s">
        <v>849</v>
      </c>
      <c r="L1551" s="49" t="str">
        <f>IFERROR(__xludf.DUMMYFUNCTION("""COMPUTED_VALUE"""),"chilly")</f>
        <v>chilly</v>
      </c>
      <c r="M1551" s="49"/>
      <c r="N1551" s="49"/>
      <c r="O1551" s="49" t="str">
        <f>IFERROR(__xludf.DUMMYFUNCTION("""COMPUTED_VALUE"""),"encompassing")</f>
        <v>encompassing</v>
      </c>
      <c r="P1551" s="49" t="str">
        <f t="shared" si="2"/>
        <v>nicholas,</v>
      </c>
      <c r="Q1551" s="49"/>
      <c r="R1551" s="50" t="s">
        <v>7405</v>
      </c>
      <c r="S1551" s="55" t="s">
        <v>1111</v>
      </c>
      <c r="T1551" s="49" t="str">
        <f>IFERROR(__xludf.DUMMYFUNCTION("""COMPUTED_VALUE"""),"accessible")</f>
        <v>accessible</v>
      </c>
      <c r="U1551" s="49"/>
      <c r="V1551" s="49"/>
      <c r="W1551" s="49" t="str">
        <f>IFERROR(__xludf.DUMMYFUNCTION("""COMPUTED_VALUE"""),"endangered")</f>
        <v>endangered</v>
      </c>
      <c r="X1551" s="49" t="str">
        <f t="shared" si="3"/>
        <v>marker,</v>
      </c>
      <c r="Y1551" s="49"/>
      <c r="Z1551" s="1" t="s">
        <v>3001</v>
      </c>
      <c r="AA1551" s="1" t="s">
        <v>3588</v>
      </c>
      <c r="AB1551" s="49"/>
      <c r="AC1551" s="49"/>
      <c r="AD1551" s="49"/>
      <c r="AE1551" s="49" t="str">
        <f>IFERROR(__xludf.DUMMYFUNCTION("""COMPUTED_VALUE"""),"encompassing")</f>
        <v>encompassing</v>
      </c>
      <c r="AF1551" s="49" t="str">
        <f t="shared" si="4"/>
        <v>eastern,</v>
      </c>
      <c r="AG1551" s="49"/>
      <c r="AH1551" s="1" t="s">
        <v>1097</v>
      </c>
      <c r="AI1551" s="1" t="s">
        <v>4384</v>
      </c>
      <c r="AJ1551" s="6" t="str">
        <f>IFERROR(__xludf.DUMMYFUNCTION("""COMPUTED_VALUE"""),"turn")</f>
        <v>turn</v>
      </c>
      <c r="AK1551" s="49"/>
      <c r="AL1551" s="49"/>
      <c r="AM1551" s="49"/>
      <c r="AN1551" s="52" t="str">
        <f t="shared" si="5"/>
        <v>lack,</v>
      </c>
    </row>
    <row r="1552">
      <c r="A1552" s="51"/>
      <c r="B1552" s="50" t="s">
        <v>3286</v>
      </c>
      <c r="C1552" s="50" t="s">
        <v>6529</v>
      </c>
      <c r="D1552" s="49" t="str">
        <f>IFERROR(__xludf.DUMMYFUNCTION("""COMPUTED_VALUE"""),"suitable")</f>
        <v>suitable</v>
      </c>
      <c r="E1552" s="49"/>
      <c r="F1552" s="49"/>
      <c r="G1552" s="49"/>
      <c r="H1552" s="54" t="str">
        <f t="shared" si="1"/>
        <v>wood,</v>
      </c>
      <c r="I1552" s="50"/>
      <c r="J1552" s="50" t="s">
        <v>4826</v>
      </c>
      <c r="K1552" s="50" t="s">
        <v>4169</v>
      </c>
      <c r="L1552" s="49" t="str">
        <f>IFERROR(__xludf.DUMMYFUNCTION("""COMPUTED_VALUE"""),"emergence")</f>
        <v>emergence</v>
      </c>
      <c r="M1552" s="49"/>
      <c r="N1552" s="49"/>
      <c r="O1552" s="49" t="str">
        <f>IFERROR(__xludf.DUMMYFUNCTION("""COMPUTED_VALUE"""),"socially")</f>
        <v>socially</v>
      </c>
      <c r="P1552" s="49" t="str">
        <f t="shared" si="2"/>
        <v>ninth,</v>
      </c>
      <c r="Q1552" s="49"/>
      <c r="R1552" s="50" t="s">
        <v>1390</v>
      </c>
      <c r="S1552" s="55" t="s">
        <v>786</v>
      </c>
      <c r="T1552" s="49" t="str">
        <f>IFERROR(__xludf.DUMMYFUNCTION("""COMPUTED_VALUE"""),"affecting")</f>
        <v>affecting</v>
      </c>
      <c r="U1552" s="49"/>
      <c r="V1552" s="49"/>
      <c r="W1552" s="49" t="str">
        <f>IFERROR(__xludf.DUMMYFUNCTION("""COMPUTED_VALUE"""),"unpaid")</f>
        <v>unpaid</v>
      </c>
      <c r="X1552" s="49" t="str">
        <f t="shared" si="3"/>
        <v>successor,</v>
      </c>
      <c r="Y1552" s="49"/>
      <c r="Z1552" s="1" t="s">
        <v>5155</v>
      </c>
      <c r="AA1552" s="1" t="s">
        <v>1261</v>
      </c>
      <c r="AB1552" s="49"/>
      <c r="AC1552" s="49"/>
      <c r="AD1552" s="49"/>
      <c r="AE1552" s="49" t="str">
        <f>IFERROR(__xludf.DUMMYFUNCTION("""COMPUTED_VALUE"""),"socially")</f>
        <v>socially</v>
      </c>
      <c r="AF1552" s="49" t="str">
        <f t="shared" si="4"/>
        <v>slowly,</v>
      </c>
      <c r="AG1552" s="49"/>
      <c r="AH1552" s="1" t="s">
        <v>4671</v>
      </c>
      <c r="AI1552" s="1" t="s">
        <v>6530</v>
      </c>
      <c r="AJ1552" s="6" t="str">
        <f>IFERROR(__xludf.DUMMYFUNCTION("""COMPUTED_VALUE"""),"towards")</f>
        <v>towards</v>
      </c>
      <c r="AK1552" s="49"/>
      <c r="AL1552" s="49"/>
      <c r="AM1552" s="49"/>
      <c r="AN1552" s="52" t="str">
        <f t="shared" si="5"/>
        <v>text,</v>
      </c>
    </row>
    <row r="1553">
      <c r="A1553" s="51"/>
      <c r="B1553" s="50" t="s">
        <v>5291</v>
      </c>
      <c r="C1553" s="50" t="s">
        <v>5568</v>
      </c>
      <c r="D1553" s="49" t="str">
        <f>IFERROR(__xludf.DUMMYFUNCTION("""COMPUTED_VALUE"""),"delicate")</f>
        <v>delicate</v>
      </c>
      <c r="E1553" s="49"/>
      <c r="F1553" s="49"/>
      <c r="G1553" s="49"/>
      <c r="H1553" s="54" t="str">
        <f t="shared" si="1"/>
        <v>ed,</v>
      </c>
      <c r="I1553" s="50"/>
      <c r="J1553" s="50" t="s">
        <v>222</v>
      </c>
      <c r="K1553" s="50" t="s">
        <v>1573</v>
      </c>
      <c r="L1553" s="49" t="str">
        <f>IFERROR(__xludf.DUMMYFUNCTION("""COMPUTED_VALUE"""),"linger")</f>
        <v>linger</v>
      </c>
      <c r="M1553" s="49"/>
      <c r="N1553" s="49"/>
      <c r="O1553" s="49" t="str">
        <f>IFERROR(__xludf.DUMMYFUNCTION("""COMPUTED_VALUE"""),"spawned")</f>
        <v>spawned</v>
      </c>
      <c r="P1553" s="49" t="str">
        <f t="shared" si="2"/>
        <v>subordinate,</v>
      </c>
      <c r="Q1553" s="49"/>
      <c r="R1553" s="50" t="s">
        <v>3358</v>
      </c>
      <c r="S1553" s="55" t="s">
        <v>801</v>
      </c>
      <c r="T1553" s="49" t="str">
        <f>IFERROR(__xludf.DUMMYFUNCTION("""COMPUTED_VALUE"""),"tendencies")</f>
        <v>tendencies</v>
      </c>
      <c r="U1553" s="49"/>
      <c r="V1553" s="49"/>
      <c r="W1553" s="49" t="str">
        <f>IFERROR(__xludf.DUMMYFUNCTION("""COMPUTED_VALUE"""),"scandals")</f>
        <v>scandals</v>
      </c>
      <c r="X1553" s="49" t="str">
        <f t="shared" si="3"/>
        <v>abyss,</v>
      </c>
      <c r="Y1553" s="49"/>
      <c r="Z1553" s="1" t="s">
        <v>888</v>
      </c>
      <c r="AA1553" s="1" t="s">
        <v>4682</v>
      </c>
      <c r="AB1553" s="49"/>
      <c r="AC1553" s="49"/>
      <c r="AD1553" s="49"/>
      <c r="AE1553" s="49" t="str">
        <f>IFERROR(__xludf.DUMMYFUNCTION("""COMPUTED_VALUE"""),"spawned")</f>
        <v>spawned</v>
      </c>
      <c r="AF1553" s="49" t="str">
        <f t="shared" si="4"/>
        <v>beauty,</v>
      </c>
      <c r="AG1553" s="49"/>
      <c r="AH1553" s="1" t="s">
        <v>1044</v>
      </c>
      <c r="AI1553" s="1" t="s">
        <v>928</v>
      </c>
      <c r="AJ1553" s="6" t="str">
        <f>IFERROR(__xludf.DUMMYFUNCTION("""COMPUTED_VALUE"""),"happened")</f>
        <v>happened</v>
      </c>
      <c r="AK1553" s="49"/>
      <c r="AL1553" s="49"/>
      <c r="AM1553" s="49"/>
      <c r="AN1553" s="52" t="str">
        <f t="shared" si="5"/>
        <v>ben,</v>
      </c>
    </row>
    <row r="1554">
      <c r="A1554" s="51"/>
      <c r="B1554" s="50" t="s">
        <v>347</v>
      </c>
      <c r="C1554" s="50" t="s">
        <v>4758</v>
      </c>
      <c r="D1554" s="49" t="str">
        <f>IFERROR(__xludf.DUMMYFUNCTION("""COMPUTED_VALUE"""),"magic")</f>
        <v>magic</v>
      </c>
      <c r="E1554" s="49"/>
      <c r="F1554" s="49"/>
      <c r="G1554" s="49"/>
      <c r="H1554" s="54" t="str">
        <f t="shared" si="1"/>
        <v>hollow,</v>
      </c>
      <c r="I1554" s="50"/>
      <c r="J1554" s="50" t="s">
        <v>3058</v>
      </c>
      <c r="K1554" s="50" t="s">
        <v>4684</v>
      </c>
      <c r="L1554" s="49" t="str">
        <f>IFERROR(__xludf.DUMMYFUNCTION("""COMPUTED_VALUE"""),"transporting")</f>
        <v>transporting</v>
      </c>
      <c r="M1554" s="49"/>
      <c r="N1554" s="49"/>
      <c r="O1554" s="49" t="str">
        <f>IFERROR(__xludf.DUMMYFUNCTION("""COMPUTED_VALUE"""),"favorably")</f>
        <v>favorably</v>
      </c>
      <c r="P1554" s="49" t="str">
        <f t="shared" si="2"/>
        <v>please,</v>
      </c>
      <c r="Q1554" s="49"/>
      <c r="R1554" s="50" t="s">
        <v>2040</v>
      </c>
      <c r="S1554" s="55" t="s">
        <v>793</v>
      </c>
      <c r="T1554" s="49" t="str">
        <f>IFERROR(__xludf.DUMMYFUNCTION("""COMPUTED_VALUE"""),"tender")</f>
        <v>tender</v>
      </c>
      <c r="U1554" s="49"/>
      <c r="V1554" s="49"/>
      <c r="W1554" s="49" t="str">
        <f>IFERROR(__xludf.DUMMYFUNCTION("""COMPUTED_VALUE"""),"undoubtedly")</f>
        <v>undoubtedly</v>
      </c>
      <c r="X1554" s="49" t="str">
        <f t="shared" si="3"/>
        <v>accomplished,</v>
      </c>
      <c r="Y1554" s="49"/>
      <c r="Z1554" s="1" t="s">
        <v>1275</v>
      </c>
      <c r="AA1554" s="1" t="s">
        <v>1983</v>
      </c>
      <c r="AB1554" s="49"/>
      <c r="AC1554" s="49"/>
      <c r="AD1554" s="49"/>
      <c r="AE1554" s="49" t="str">
        <f>IFERROR(__xludf.DUMMYFUNCTION("""COMPUTED_VALUE"""),"favorably")</f>
        <v>favorably</v>
      </c>
      <c r="AF1554" s="49" t="str">
        <f t="shared" si="4"/>
        <v>offering,</v>
      </c>
      <c r="AG1554" s="49"/>
      <c r="AH1554" s="1" t="s">
        <v>5010</v>
      </c>
      <c r="AI1554" s="1" t="s">
        <v>4391</v>
      </c>
      <c r="AJ1554" s="6" t="str">
        <f>IFERROR(__xludf.DUMMYFUNCTION("""COMPUTED_VALUE"""),"miss")</f>
        <v>miss</v>
      </c>
      <c r="AK1554" s="49"/>
      <c r="AL1554" s="49"/>
      <c r="AM1554" s="49"/>
      <c r="AN1554" s="52" t="str">
        <f t="shared" si="5"/>
        <v>widely,</v>
      </c>
    </row>
    <row r="1555">
      <c r="A1555" s="51"/>
      <c r="B1555" s="50" t="s">
        <v>6693</v>
      </c>
      <c r="C1555" s="50" t="s">
        <v>4444</v>
      </c>
      <c r="D1555" s="49" t="str">
        <f>IFERROR(__xludf.DUMMYFUNCTION("""COMPUTED_VALUE"""),"commentary")</f>
        <v>commentary</v>
      </c>
      <c r="E1555" s="49"/>
      <c r="F1555" s="49"/>
      <c r="G1555" s="49"/>
      <c r="H1555" s="54" t="str">
        <f t="shared" si="1"/>
        <v>disappointed,</v>
      </c>
      <c r="I1555" s="50"/>
      <c r="J1555" s="50" t="s">
        <v>6291</v>
      </c>
      <c r="K1555" s="50" t="s">
        <v>666</v>
      </c>
      <c r="L1555" s="49" t="str">
        <f>IFERROR(__xludf.DUMMYFUNCTION("""COMPUTED_VALUE"""),"rug")</f>
        <v>rug</v>
      </c>
      <c r="M1555" s="49"/>
      <c r="N1555" s="49"/>
      <c r="O1555" s="49" t="str">
        <f>IFERROR(__xludf.DUMMYFUNCTION("""COMPUTED_VALUE"""),"hurts")</f>
        <v>hurts</v>
      </c>
      <c r="P1555" s="49" t="str">
        <f t="shared" si="2"/>
        <v>dry,</v>
      </c>
      <c r="Q1555" s="49"/>
      <c r="R1555" s="50" t="s">
        <v>4520</v>
      </c>
      <c r="S1555" s="55" t="s">
        <v>2503</v>
      </c>
      <c r="T1555" s="49" t="str">
        <f>IFERROR(__xludf.DUMMYFUNCTION("""COMPUTED_VALUE"""),"embracing")</f>
        <v>embracing</v>
      </c>
      <c r="U1555" s="49"/>
      <c r="V1555" s="49"/>
      <c r="W1555" s="49" t="str">
        <f>IFERROR(__xludf.DUMMYFUNCTION("""COMPUTED_VALUE"""),"ruse")</f>
        <v>ruse</v>
      </c>
      <c r="X1555" s="49" t="str">
        <f t="shared" si="3"/>
        <v>submerged,</v>
      </c>
      <c r="Y1555" s="49"/>
      <c r="Z1555" s="1" t="s">
        <v>28</v>
      </c>
      <c r="AA1555" s="1" t="s">
        <v>1267</v>
      </c>
      <c r="AB1555" s="49"/>
      <c r="AC1555" s="49"/>
      <c r="AD1555" s="49"/>
      <c r="AE1555" s="49" t="str">
        <f>IFERROR(__xludf.DUMMYFUNCTION("""COMPUTED_VALUE"""),"hurts")</f>
        <v>hurts</v>
      </c>
      <c r="AF1555" s="49" t="str">
        <f t="shared" si="4"/>
        <v>superficial,</v>
      </c>
      <c r="AG1555" s="49"/>
      <c r="AH1555" s="1" t="s">
        <v>5267</v>
      </c>
      <c r="AI1555" s="1" t="s">
        <v>1929</v>
      </c>
      <c r="AJ1555" s="6" t="str">
        <f>IFERROR(__xludf.DUMMYFUNCTION("""COMPUTED_VALUE"""),"coffee")</f>
        <v>coffee</v>
      </c>
      <c r="AK1555" s="49"/>
      <c r="AL1555" s="49"/>
      <c r="AM1555" s="49"/>
      <c r="AN1555" s="52" t="str">
        <f t="shared" si="5"/>
        <v>succeeded,</v>
      </c>
    </row>
    <row r="1556">
      <c r="A1556" s="51"/>
      <c r="B1556" s="50" t="s">
        <v>5283</v>
      </c>
      <c r="C1556" s="50" t="s">
        <v>3768</v>
      </c>
      <c r="D1556" s="49" t="str">
        <f>IFERROR(__xludf.DUMMYFUNCTION("""COMPUTED_VALUE"""),"meal")</f>
        <v>meal</v>
      </c>
      <c r="E1556" s="49"/>
      <c r="F1556" s="49"/>
      <c r="G1556" s="49"/>
      <c r="H1556" s="54" t="str">
        <f t="shared" si="1"/>
        <v>prospect,</v>
      </c>
      <c r="I1556" s="50"/>
      <c r="J1556" s="50" t="s">
        <v>1492</v>
      </c>
      <c r="K1556" s="50" t="s">
        <v>4687</v>
      </c>
      <c r="L1556" s="49" t="str">
        <f>IFERROR(__xludf.DUMMYFUNCTION("""COMPUTED_VALUE"""),"maintains")</f>
        <v>maintains</v>
      </c>
      <c r="M1556" s="49"/>
      <c r="N1556" s="49"/>
      <c r="O1556" s="49" t="str">
        <f>IFERROR(__xludf.DUMMYFUNCTION("""COMPUTED_VALUE"""),"clare")</f>
        <v>clare</v>
      </c>
      <c r="P1556" s="49" t="str">
        <f t="shared" si="2"/>
        <v>tradition,</v>
      </c>
      <c r="Q1556" s="49"/>
      <c r="R1556" s="50" t="s">
        <v>2402</v>
      </c>
      <c r="S1556" s="55" t="s">
        <v>934</v>
      </c>
      <c r="T1556" s="49" t="str">
        <f>IFERROR(__xludf.DUMMYFUNCTION("""COMPUTED_VALUE"""),"olivier")</f>
        <v>olivier</v>
      </c>
      <c r="U1556" s="49"/>
      <c r="V1556" s="49"/>
      <c r="W1556" s="49" t="str">
        <f>IFERROR(__xludf.DUMMYFUNCTION("""COMPUTED_VALUE"""),"chaplin")</f>
        <v>chaplin</v>
      </c>
      <c r="X1556" s="49" t="str">
        <f t="shared" si="3"/>
        <v>unpleasant,</v>
      </c>
      <c r="Y1556" s="49"/>
      <c r="Z1556" s="1" t="s">
        <v>1377</v>
      </c>
      <c r="AA1556" s="1" t="s">
        <v>1273</v>
      </c>
      <c r="AB1556" s="49"/>
      <c r="AC1556" s="49"/>
      <c r="AD1556" s="49"/>
      <c r="AE1556" s="49" t="str">
        <f>IFERROR(__xludf.DUMMYFUNCTION("""COMPUTED_VALUE"""),"clare")</f>
        <v>clare</v>
      </c>
      <c r="AF1556" s="49" t="str">
        <f t="shared" si="4"/>
        <v>makeup,</v>
      </c>
      <c r="AG1556" s="49"/>
      <c r="AH1556" s="1" t="s">
        <v>6413</v>
      </c>
      <c r="AI1556" s="1" t="s">
        <v>902</v>
      </c>
      <c r="AJ1556" s="6" t="str">
        <f>IFERROR(__xludf.DUMMYFUNCTION("""COMPUTED_VALUE"""),"raw")</f>
        <v>raw</v>
      </c>
      <c r="AK1556" s="49"/>
      <c r="AL1556" s="49"/>
      <c r="AM1556" s="49"/>
      <c r="AN1556" s="52" t="str">
        <f t="shared" si="5"/>
        <v>domestic,</v>
      </c>
    </row>
    <row r="1557">
      <c r="A1557" s="51"/>
      <c r="B1557" s="50" t="s">
        <v>3173</v>
      </c>
      <c r="C1557" s="50" t="s">
        <v>3764</v>
      </c>
      <c r="D1557" s="49" t="str">
        <f>IFERROR(__xludf.DUMMYFUNCTION("""COMPUTED_VALUE"""),"innovation")</f>
        <v>innovation</v>
      </c>
      <c r="E1557" s="49"/>
      <c r="F1557" s="49"/>
      <c r="G1557" s="49"/>
      <c r="H1557" s="54" t="str">
        <f t="shared" si="1"/>
        <v>wife,</v>
      </c>
      <c r="I1557" s="50"/>
      <c r="J1557" s="50" t="s">
        <v>1903</v>
      </c>
      <c r="K1557" s="50" t="s">
        <v>3017</v>
      </c>
      <c r="L1557" s="49" t="str">
        <f>IFERROR(__xludf.DUMMYFUNCTION("""COMPUTED_VALUE"""),"establishes")</f>
        <v>establishes</v>
      </c>
      <c r="M1557" s="49"/>
      <c r="N1557" s="49"/>
      <c r="O1557" s="49">
        <f>IFERROR(__xludf.DUMMYFUNCTION("""COMPUTED_VALUE"""),146.0)</f>
        <v>146</v>
      </c>
      <c r="P1557" s="49" t="str">
        <f t="shared" si="2"/>
        <v>stepmother,</v>
      </c>
      <c r="Q1557" s="49"/>
      <c r="R1557" s="50" t="s">
        <v>3744</v>
      </c>
      <c r="S1557" s="55" t="s">
        <v>4033</v>
      </c>
      <c r="T1557" s="49" t="str">
        <f>IFERROR(__xludf.DUMMYFUNCTION("""COMPUTED_VALUE"""),"rouge")</f>
        <v>rouge</v>
      </c>
      <c r="U1557" s="49"/>
      <c r="V1557" s="49"/>
      <c r="W1557" s="49" t="str">
        <f>IFERROR(__xludf.DUMMYFUNCTION("""COMPUTED_VALUE"""),"exhaustion")</f>
        <v>exhaustion</v>
      </c>
      <c r="X1557" s="49" t="str">
        <f t="shared" si="3"/>
        <v>stealing,</v>
      </c>
      <c r="Y1557" s="49"/>
      <c r="Z1557" s="1" t="s">
        <v>2576</v>
      </c>
      <c r="AA1557" s="1" t="s">
        <v>989</v>
      </c>
      <c r="AB1557" s="49"/>
      <c r="AC1557" s="49"/>
      <c r="AD1557" s="49"/>
      <c r="AE1557" s="49">
        <f>IFERROR(__xludf.DUMMYFUNCTION("""COMPUTED_VALUE"""),146.0)</f>
        <v>146</v>
      </c>
      <c r="AF1557" s="49" t="str">
        <f t="shared" si="4"/>
        <v>struggling,</v>
      </c>
      <c r="AG1557" s="49"/>
      <c r="AH1557" s="1" t="s">
        <v>1282</v>
      </c>
      <c r="AI1557" s="1" t="s">
        <v>213</v>
      </c>
      <c r="AJ1557" s="6" t="str">
        <f>IFERROR(__xludf.DUMMYFUNCTION("""COMPUTED_VALUE"""),"innocent")</f>
        <v>innocent</v>
      </c>
      <c r="AK1557" s="49"/>
      <c r="AL1557" s="49"/>
      <c r="AM1557" s="49"/>
      <c r="AN1557" s="52" t="str">
        <f t="shared" si="5"/>
        <v>somehow,</v>
      </c>
    </row>
    <row r="1558">
      <c r="A1558" s="51"/>
      <c r="B1558" s="50" t="s">
        <v>1003</v>
      </c>
      <c r="C1558" s="50" t="s">
        <v>2554</v>
      </c>
      <c r="D1558" s="49" t="str">
        <f>IFERROR(__xludf.DUMMYFUNCTION("""COMPUTED_VALUE"""),"apparently")</f>
        <v>apparently</v>
      </c>
      <c r="E1558" s="49"/>
      <c r="F1558" s="49"/>
      <c r="G1558" s="49"/>
      <c r="H1558" s="54" t="str">
        <f t="shared" si="1"/>
        <v>hold,</v>
      </c>
      <c r="I1558" s="50"/>
      <c r="J1558" s="50" t="s">
        <v>4816</v>
      </c>
      <c r="K1558" s="50" t="s">
        <v>2809</v>
      </c>
      <c r="L1558" s="49" t="str">
        <f>IFERROR(__xludf.DUMMYFUNCTION("""COMPUTED_VALUE"""),"hardened")</f>
        <v>hardened</v>
      </c>
      <c r="M1558" s="49"/>
      <c r="N1558" s="49"/>
      <c r="O1558" s="49" t="str">
        <f>IFERROR(__xludf.DUMMYFUNCTION("""COMPUTED_VALUE"""),"orlando")</f>
        <v>orlando</v>
      </c>
      <c r="P1558" s="49" t="str">
        <f t="shared" si="2"/>
        <v>wicked,</v>
      </c>
      <c r="Q1558" s="49"/>
      <c r="R1558" s="50">
        <v>89.0</v>
      </c>
      <c r="S1558" s="55" t="s">
        <v>2692</v>
      </c>
      <c r="T1558" s="49" t="str">
        <f>IFERROR(__xludf.DUMMYFUNCTION("""COMPUTED_VALUE"""),"immature")</f>
        <v>immature</v>
      </c>
      <c r="U1558" s="49"/>
      <c r="V1558" s="49"/>
      <c r="W1558" s="49" t="str">
        <f>IFERROR(__xludf.DUMMYFUNCTION("""COMPUTED_VALUE"""),"tenth")</f>
        <v>tenth</v>
      </c>
      <c r="X1558" s="49" t="str">
        <f t="shared" si="3"/>
        <v>89,</v>
      </c>
      <c r="Y1558" s="49"/>
      <c r="Z1558" s="1" t="s">
        <v>2237</v>
      </c>
      <c r="AA1558" s="1" t="s">
        <v>114</v>
      </c>
      <c r="AB1558" s="49"/>
      <c r="AC1558" s="49"/>
      <c r="AD1558" s="49"/>
      <c r="AE1558" s="49" t="str">
        <f>IFERROR(__xludf.DUMMYFUNCTION("""COMPUTED_VALUE"""),"orlando")</f>
        <v>orlando</v>
      </c>
      <c r="AF1558" s="49" t="str">
        <f t="shared" si="4"/>
        <v>deeper,</v>
      </c>
      <c r="AG1558" s="49"/>
      <c r="AH1558" s="1" t="s">
        <v>4692</v>
      </c>
      <c r="AI1558" s="1" t="s">
        <v>2642</v>
      </c>
      <c r="AJ1558" s="6" t="str">
        <f>IFERROR(__xludf.DUMMYFUNCTION("""COMPUTED_VALUE"""),"honest")</f>
        <v>honest</v>
      </c>
      <c r="AK1558" s="49"/>
      <c r="AL1558" s="49"/>
      <c r="AM1558" s="49"/>
      <c r="AN1558" s="52" t="str">
        <f t="shared" si="5"/>
        <v>consider,</v>
      </c>
    </row>
    <row r="1559">
      <c r="A1559" s="51"/>
      <c r="B1559" s="50" t="s">
        <v>7078</v>
      </c>
      <c r="C1559" s="50" t="s">
        <v>660</v>
      </c>
      <c r="D1559" s="49" t="str">
        <f>IFERROR(__xludf.DUMMYFUNCTION("""COMPUTED_VALUE"""),"notice")</f>
        <v>notice</v>
      </c>
      <c r="E1559" s="49"/>
      <c r="F1559" s="49"/>
      <c r="G1559" s="49"/>
      <c r="H1559" s="54" t="str">
        <f t="shared" si="1"/>
        <v>property,</v>
      </c>
      <c r="I1559" s="50"/>
      <c r="J1559" s="50" t="s">
        <v>1410</v>
      </c>
      <c r="K1559" s="50" t="s">
        <v>4691</v>
      </c>
      <c r="L1559" s="49" t="str">
        <f>IFERROR(__xludf.DUMMYFUNCTION("""COMPUTED_VALUE"""),"compassion")</f>
        <v>compassion</v>
      </c>
      <c r="M1559" s="49"/>
      <c r="N1559" s="49"/>
      <c r="O1559" s="49" t="str">
        <f>IFERROR(__xludf.DUMMYFUNCTION("""COMPUTED_VALUE"""),"muse")</f>
        <v>muse</v>
      </c>
      <c r="P1559" s="49" t="str">
        <f t="shared" si="2"/>
        <v>cinderella,</v>
      </c>
      <c r="Q1559" s="49"/>
      <c r="R1559" s="50" t="s">
        <v>851</v>
      </c>
      <c r="S1559" s="55" t="s">
        <v>4039</v>
      </c>
      <c r="T1559" s="49" t="str">
        <f>IFERROR(__xludf.DUMMYFUNCTION("""COMPUTED_VALUE"""),"speculation")</f>
        <v>speculation</v>
      </c>
      <c r="U1559" s="49"/>
      <c r="V1559" s="49"/>
      <c r="W1559" s="49" t="str">
        <f>IFERROR(__xludf.DUMMYFUNCTION("""COMPUTED_VALUE"""),"installment")</f>
        <v>installment</v>
      </c>
      <c r="X1559" s="49" t="str">
        <f t="shared" si="3"/>
        <v>impressions,</v>
      </c>
      <c r="Y1559" s="49"/>
      <c r="Z1559" s="1" t="s">
        <v>2532</v>
      </c>
      <c r="AA1559" s="1" t="s">
        <v>3600</v>
      </c>
      <c r="AB1559" s="49"/>
      <c r="AC1559" s="49"/>
      <c r="AD1559" s="49"/>
      <c r="AE1559" s="49" t="str">
        <f>IFERROR(__xludf.DUMMYFUNCTION("""COMPUTED_VALUE"""),"muse")</f>
        <v>muse</v>
      </c>
      <c r="AF1559" s="49" t="str">
        <f t="shared" si="4"/>
        <v>searching,</v>
      </c>
      <c r="AG1559" s="49"/>
      <c r="AH1559" s="1" t="s">
        <v>5442</v>
      </c>
      <c r="AI1559" s="1" t="s">
        <v>823</v>
      </c>
      <c r="AJ1559" s="6" t="str">
        <f>IFERROR(__xludf.DUMMYFUNCTION("""COMPUTED_VALUE"""),"sensitive")</f>
        <v>sensitive</v>
      </c>
      <c r="AK1559" s="49"/>
      <c r="AL1559" s="49"/>
      <c r="AM1559" s="49"/>
      <c r="AN1559" s="52" t="str">
        <f t="shared" si="5"/>
        <v>distinct,</v>
      </c>
    </row>
    <row r="1560">
      <c r="A1560" s="51"/>
      <c r="B1560" s="50" t="s">
        <v>4954</v>
      </c>
      <c r="C1560" s="50" t="s">
        <v>3775</v>
      </c>
      <c r="D1560" s="49" t="str">
        <f>IFERROR(__xludf.DUMMYFUNCTION("""COMPUTED_VALUE"""),"device")</f>
        <v>device</v>
      </c>
      <c r="E1560" s="49"/>
      <c r="F1560" s="49"/>
      <c r="G1560" s="49"/>
      <c r="H1560" s="54" t="str">
        <f t="shared" si="1"/>
        <v>missing,</v>
      </c>
      <c r="I1560" s="50"/>
      <c r="J1560" s="50" t="s">
        <v>2199</v>
      </c>
      <c r="K1560" s="50" t="s">
        <v>982</v>
      </c>
      <c r="L1560" s="49" t="str">
        <f>IFERROR(__xludf.DUMMYFUNCTION("""COMPUTED_VALUE"""),"wanting")</f>
        <v>wanting</v>
      </c>
      <c r="M1560" s="49"/>
      <c r="N1560" s="49"/>
      <c r="O1560" s="49" t="str">
        <f>IFERROR(__xludf.DUMMYFUNCTION("""COMPUTED_VALUE"""),"weighs")</f>
        <v>weighs</v>
      </c>
      <c r="P1560" s="49" t="str">
        <f t="shared" si="2"/>
        <v>renowned,</v>
      </c>
      <c r="Q1560" s="49"/>
      <c r="R1560" s="50" t="s">
        <v>5234</v>
      </c>
      <c r="S1560" s="55" t="s">
        <v>4381</v>
      </c>
      <c r="T1560" s="49">
        <f>IFERROR(__xludf.DUMMYFUNCTION("""COMPUTED_VALUE"""),1957.0)</f>
        <v>1957</v>
      </c>
      <c r="U1560" s="49"/>
      <c r="V1560" s="49"/>
      <c r="W1560" s="49" t="str">
        <f>IFERROR(__xludf.DUMMYFUNCTION("""COMPUTED_VALUE"""),"grenade")</f>
        <v>grenade</v>
      </c>
      <c r="X1560" s="49" t="str">
        <f t="shared" si="3"/>
        <v>grows,</v>
      </c>
      <c r="Y1560" s="49"/>
      <c r="Z1560" s="1" t="s">
        <v>4940</v>
      </c>
      <c r="AA1560" s="1" t="s">
        <v>1696</v>
      </c>
      <c r="AB1560" s="49"/>
      <c r="AC1560" s="49"/>
      <c r="AD1560" s="49"/>
      <c r="AE1560" s="49" t="str">
        <f>IFERROR(__xludf.DUMMYFUNCTION("""COMPUTED_VALUE"""),"weighs")</f>
        <v>weighs</v>
      </c>
      <c r="AF1560" s="49" t="str">
        <f t="shared" si="4"/>
        <v>belt,</v>
      </c>
      <c r="AG1560" s="49"/>
      <c r="AH1560" s="1" t="s">
        <v>1330</v>
      </c>
      <c r="AI1560" s="1" t="s">
        <v>4233</v>
      </c>
      <c r="AJ1560" s="6" t="str">
        <f>IFERROR(__xludf.DUMMYFUNCTION("""COMPUTED_VALUE"""),"win")</f>
        <v>win</v>
      </c>
      <c r="AK1560" s="49"/>
      <c r="AL1560" s="49"/>
      <c r="AM1560" s="49"/>
      <c r="AN1560" s="52" t="str">
        <f t="shared" si="5"/>
        <v>run,</v>
      </c>
    </row>
    <row r="1561">
      <c r="A1561" s="51"/>
      <c r="B1561" s="50" t="s">
        <v>4847</v>
      </c>
      <c r="C1561" s="50" t="s">
        <v>2614</v>
      </c>
      <c r="D1561" s="49" t="str">
        <f>IFERROR(__xludf.DUMMYFUNCTION("""COMPUTED_VALUE"""),"hoping")</f>
        <v>hoping</v>
      </c>
      <c r="E1561" s="49"/>
      <c r="F1561" s="49"/>
      <c r="G1561" s="49"/>
      <c r="H1561" s="54" t="str">
        <f t="shared" si="1"/>
        <v>actions,</v>
      </c>
      <c r="I1561" s="50"/>
      <c r="J1561" s="50" t="s">
        <v>7360</v>
      </c>
      <c r="K1561" s="50" t="s">
        <v>4180</v>
      </c>
      <c r="L1561" s="49" t="str">
        <f>IFERROR(__xludf.DUMMYFUNCTION("""COMPUTED_VALUE"""),"sermon")</f>
        <v>sermon</v>
      </c>
      <c r="M1561" s="49"/>
      <c r="N1561" s="49"/>
      <c r="O1561" s="49" t="str">
        <f>IFERROR(__xludf.DUMMYFUNCTION("""COMPUTED_VALUE"""),"alfred")</f>
        <v>alfred</v>
      </c>
      <c r="P1561" s="49" t="str">
        <f t="shared" si="2"/>
        <v>thumping,</v>
      </c>
      <c r="Q1561" s="49"/>
      <c r="R1561" s="50" t="s">
        <v>6021</v>
      </c>
      <c r="S1561" s="55" t="s">
        <v>2835</v>
      </c>
      <c r="T1561" s="49" t="str">
        <f>IFERROR(__xludf.DUMMYFUNCTION("""COMPUTED_VALUE"""),"backstage")</f>
        <v>backstage</v>
      </c>
      <c r="U1561" s="49"/>
      <c r="V1561" s="49"/>
      <c r="W1561" s="49" t="str">
        <f>IFERROR(__xludf.DUMMYFUNCTION("""COMPUTED_VALUE"""),"garde")</f>
        <v>garde</v>
      </c>
      <c r="X1561" s="49" t="str">
        <f t="shared" si="3"/>
        <v>bed,</v>
      </c>
      <c r="Y1561" s="49"/>
      <c r="Z1561" s="1" t="s">
        <v>1161</v>
      </c>
      <c r="AA1561" s="1" t="s">
        <v>4174</v>
      </c>
      <c r="AB1561" s="49"/>
      <c r="AC1561" s="49"/>
      <c r="AD1561" s="49"/>
      <c r="AE1561" s="49" t="str">
        <f>IFERROR(__xludf.DUMMYFUNCTION("""COMPUTED_VALUE"""),"alfred")</f>
        <v>alfred</v>
      </c>
      <c r="AF1561" s="49" t="str">
        <f t="shared" si="4"/>
        <v>credits,</v>
      </c>
      <c r="AG1561" s="49"/>
      <c r="AH1561" s="1" t="s">
        <v>5530</v>
      </c>
      <c r="AI1561" s="1" t="s">
        <v>4544</v>
      </c>
      <c r="AJ1561" s="6" t="str">
        <f>IFERROR(__xludf.DUMMYFUNCTION("""COMPUTED_VALUE"""),"return")</f>
        <v>return</v>
      </c>
      <c r="AK1561" s="49"/>
      <c r="AL1561" s="49"/>
      <c r="AM1561" s="49"/>
      <c r="AN1561" s="52" t="str">
        <f t="shared" si="5"/>
        <v>chief,</v>
      </c>
    </row>
    <row r="1562">
      <c r="A1562" s="51"/>
      <c r="B1562" s="50" t="s">
        <v>5051</v>
      </c>
      <c r="C1562" s="50" t="s">
        <v>4884</v>
      </c>
      <c r="D1562" s="49" t="str">
        <f>IFERROR(__xludf.DUMMYFUNCTION("""COMPUTED_VALUE"""),"rush")</f>
        <v>rush</v>
      </c>
      <c r="E1562" s="49"/>
      <c r="F1562" s="49"/>
      <c r="G1562" s="49"/>
      <c r="H1562" s="54" t="str">
        <f t="shared" si="1"/>
        <v>conservative,</v>
      </c>
      <c r="I1562" s="50"/>
      <c r="J1562" s="50" t="s">
        <v>7361</v>
      </c>
      <c r="K1562" s="50" t="s">
        <v>4182</v>
      </c>
      <c r="L1562" s="49" t="str">
        <f>IFERROR(__xludf.DUMMYFUNCTION("""COMPUTED_VALUE"""),"rap")</f>
        <v>rap</v>
      </c>
      <c r="M1562" s="49"/>
      <c r="N1562" s="49"/>
      <c r="O1562" s="49" t="str">
        <f>IFERROR(__xludf.DUMMYFUNCTION("""COMPUTED_VALUE"""),"hitchcock")</f>
        <v>hitchcock</v>
      </c>
      <c r="P1562" s="49" t="str">
        <f t="shared" si="2"/>
        <v>disco,</v>
      </c>
      <c r="Q1562" s="49"/>
      <c r="R1562" s="50" t="s">
        <v>2052</v>
      </c>
      <c r="S1562" s="55" t="s">
        <v>2696</v>
      </c>
      <c r="T1562" s="49" t="str">
        <f>IFERROR(__xludf.DUMMYFUNCTION("""COMPUTED_VALUE"""),"revealing")</f>
        <v>revealing</v>
      </c>
      <c r="U1562" s="49"/>
      <c r="V1562" s="49"/>
      <c r="W1562" s="49" t="str">
        <f>IFERROR(__xludf.DUMMYFUNCTION("""COMPUTED_VALUE"""),"discoveries")</f>
        <v>discoveries</v>
      </c>
      <c r="X1562" s="49" t="str">
        <f t="shared" si="3"/>
        <v>promises,</v>
      </c>
      <c r="Y1562" s="49"/>
      <c r="Z1562" s="1" t="s">
        <v>951</v>
      </c>
      <c r="AA1562" s="1" t="s">
        <v>1994</v>
      </c>
      <c r="AB1562" s="49"/>
      <c r="AC1562" s="49"/>
      <c r="AD1562" s="49"/>
      <c r="AE1562" s="49" t="str">
        <f>IFERROR(__xludf.DUMMYFUNCTION("""COMPUTED_VALUE"""),"hitchcock")</f>
        <v>hitchcock</v>
      </c>
      <c r="AF1562" s="49" t="str">
        <f t="shared" si="4"/>
        <v>lavish,</v>
      </c>
      <c r="AG1562" s="49"/>
      <c r="AH1562" s="1" t="s">
        <v>3853</v>
      </c>
      <c r="AI1562" s="1" t="s">
        <v>5090</v>
      </c>
      <c r="AJ1562" s="6" t="str">
        <f>IFERROR(__xludf.DUMMYFUNCTION("""COMPUTED_VALUE"""),"charles")</f>
        <v>charles</v>
      </c>
      <c r="AK1562" s="49"/>
      <c r="AL1562" s="49"/>
      <c r="AM1562" s="49"/>
      <c r="AN1562" s="52" t="str">
        <f t="shared" si="5"/>
        <v>mark,</v>
      </c>
    </row>
    <row r="1563">
      <c r="A1563" s="51"/>
      <c r="B1563" s="50" t="s">
        <v>2013</v>
      </c>
      <c r="C1563" s="50" t="s">
        <v>1478</v>
      </c>
      <c r="D1563" s="49" t="str">
        <f>IFERROR(__xludf.DUMMYFUNCTION("""COMPUTED_VALUE"""),"violent")</f>
        <v>violent</v>
      </c>
      <c r="E1563" s="49"/>
      <c r="F1563" s="49"/>
      <c r="G1563" s="49"/>
      <c r="H1563" s="54" t="str">
        <f t="shared" si="1"/>
        <v>gift,</v>
      </c>
      <c r="I1563" s="50"/>
      <c r="J1563" s="50" t="s">
        <v>7406</v>
      </c>
      <c r="K1563" s="50" t="s">
        <v>4696</v>
      </c>
      <c r="L1563" s="49" t="str">
        <f>IFERROR(__xludf.DUMMYFUNCTION("""COMPUTED_VALUE"""),"governments")</f>
        <v>governments</v>
      </c>
      <c r="M1563" s="49"/>
      <c r="N1563" s="49"/>
      <c r="O1563" s="49" t="str">
        <f>IFERROR(__xludf.DUMMYFUNCTION("""COMPUTED_VALUE"""),"drinking")</f>
        <v>drinking</v>
      </c>
      <c r="P1563" s="49" t="str">
        <f t="shared" si="2"/>
        <v>buzz,</v>
      </c>
      <c r="Q1563" s="49"/>
      <c r="R1563" s="50" t="s">
        <v>475</v>
      </c>
      <c r="S1563" s="55" t="s">
        <v>2842</v>
      </c>
      <c r="T1563" s="49" t="str">
        <f>IFERROR(__xludf.DUMMYFUNCTION("""COMPUTED_VALUE"""),"teeth")</f>
        <v>teeth</v>
      </c>
      <c r="U1563" s="49"/>
      <c r="V1563" s="49"/>
      <c r="W1563" s="49" t="str">
        <f>IFERROR(__xludf.DUMMYFUNCTION("""COMPUTED_VALUE"""),"activism")</f>
        <v>activism</v>
      </c>
      <c r="X1563" s="49" t="str">
        <f t="shared" si="3"/>
        <v>brooding,</v>
      </c>
      <c r="Y1563" s="49"/>
      <c r="Z1563" s="1" t="s">
        <v>4428</v>
      </c>
      <c r="AA1563" s="1" t="s">
        <v>2442</v>
      </c>
      <c r="AB1563" s="49"/>
      <c r="AC1563" s="49"/>
      <c r="AD1563" s="49"/>
      <c r="AE1563" s="49" t="str">
        <f>IFERROR(__xludf.DUMMYFUNCTION("""COMPUTED_VALUE"""),"drinking")</f>
        <v>drinking</v>
      </c>
      <c r="AF1563" s="49" t="str">
        <f t="shared" si="4"/>
        <v>barely,</v>
      </c>
      <c r="AG1563" s="49"/>
      <c r="AH1563" s="1" t="s">
        <v>2673</v>
      </c>
      <c r="AI1563" s="1" t="s">
        <v>6531</v>
      </c>
      <c r="AJ1563" s="6" t="str">
        <f>IFERROR(__xludf.DUMMYFUNCTION("""COMPUTED_VALUE"""),"angel")</f>
        <v>angel</v>
      </c>
      <c r="AK1563" s="49"/>
      <c r="AL1563" s="49"/>
      <c r="AM1563" s="49"/>
      <c r="AN1563" s="52" t="str">
        <f t="shared" si="5"/>
        <v>jones,</v>
      </c>
    </row>
    <row r="1564">
      <c r="A1564" s="51"/>
      <c r="B1564" s="50" t="s">
        <v>2538</v>
      </c>
      <c r="C1564" s="50" t="s">
        <v>3781</v>
      </c>
      <c r="D1564" s="49" t="str">
        <f>IFERROR(__xludf.DUMMYFUNCTION("""COMPUTED_VALUE"""),"mill")</f>
        <v>mill</v>
      </c>
      <c r="E1564" s="49"/>
      <c r="F1564" s="49"/>
      <c r="G1564" s="49"/>
      <c r="H1564" s="54" t="str">
        <f t="shared" si="1"/>
        <v>widow,</v>
      </c>
      <c r="I1564" s="50"/>
      <c r="J1564" s="50" t="s">
        <v>3444</v>
      </c>
      <c r="K1564" s="50" t="s">
        <v>1579</v>
      </c>
      <c r="L1564" s="49" t="str">
        <f>IFERROR(__xludf.DUMMYFUNCTION("""COMPUTED_VALUE"""),"bags")</f>
        <v>bags</v>
      </c>
      <c r="M1564" s="49"/>
      <c r="N1564" s="49"/>
      <c r="O1564" s="49" t="str">
        <f>IFERROR(__xludf.DUMMYFUNCTION("""COMPUTED_VALUE"""),"inexperienced")</f>
        <v>inexperienced</v>
      </c>
      <c r="P1564" s="49" t="str">
        <f t="shared" si="2"/>
        <v>pick,</v>
      </c>
      <c r="Q1564" s="49"/>
      <c r="R1564" s="50" t="s">
        <v>782</v>
      </c>
      <c r="S1564" s="55" t="s">
        <v>6532</v>
      </c>
      <c r="T1564" s="49" t="str">
        <f>IFERROR(__xludf.DUMMYFUNCTION("""COMPUTED_VALUE"""),"haute")</f>
        <v>haute</v>
      </c>
      <c r="U1564" s="49"/>
      <c r="V1564" s="49"/>
      <c r="W1564" s="49" t="str">
        <f>IFERROR(__xludf.DUMMYFUNCTION("""COMPUTED_VALUE"""),"walsh")</f>
        <v>walsh</v>
      </c>
      <c r="X1564" s="49" t="str">
        <f t="shared" si="3"/>
        <v>joy,</v>
      </c>
      <c r="Y1564" s="49"/>
      <c r="Z1564" s="1" t="s">
        <v>285</v>
      </c>
      <c r="AA1564" s="1" t="s">
        <v>4697</v>
      </c>
      <c r="AB1564" s="49"/>
      <c r="AC1564" s="49"/>
      <c r="AD1564" s="49"/>
      <c r="AE1564" s="49" t="str">
        <f>IFERROR(__xludf.DUMMYFUNCTION("""COMPUTED_VALUE"""),"inexperienced")</f>
        <v>inexperienced</v>
      </c>
      <c r="AF1564" s="49" t="str">
        <f t="shared" si="4"/>
        <v>epic,</v>
      </c>
      <c r="AG1564" s="49"/>
      <c r="AH1564" s="1" t="s">
        <v>3659</v>
      </c>
      <c r="AI1564" s="1" t="s">
        <v>5734</v>
      </c>
      <c r="AJ1564" s="6" t="str">
        <f>IFERROR(__xludf.DUMMYFUNCTION("""COMPUTED_VALUE"""),"heaven")</f>
        <v>heaven</v>
      </c>
      <c r="AK1564" s="49"/>
      <c r="AL1564" s="49"/>
      <c r="AM1564" s="49"/>
      <c r="AN1564" s="52" t="str">
        <f t="shared" si="5"/>
        <v>extra,</v>
      </c>
    </row>
    <row r="1565">
      <c r="A1565" s="51"/>
      <c r="B1565" s="50" t="s">
        <v>1825</v>
      </c>
      <c r="C1565" s="50" t="s">
        <v>2625</v>
      </c>
      <c r="D1565" s="49" t="str">
        <f>IFERROR(__xludf.DUMMYFUNCTION("""COMPUTED_VALUE"""),"claims")</f>
        <v>claims</v>
      </c>
      <c r="E1565" s="49"/>
      <c r="F1565" s="49"/>
      <c r="G1565" s="49"/>
      <c r="H1565" s="54" t="str">
        <f t="shared" si="1"/>
        <v>species,</v>
      </c>
      <c r="I1565" s="50"/>
      <c r="J1565" s="50" t="s">
        <v>1345</v>
      </c>
      <c r="K1565" s="50" t="s">
        <v>986</v>
      </c>
      <c r="L1565" s="49"/>
      <c r="M1565" s="49"/>
      <c r="N1565" s="49"/>
      <c r="O1565" s="49" t="str">
        <f>IFERROR(__xludf.DUMMYFUNCTION("""COMPUTED_VALUE"""),"fontaine")</f>
        <v>fontaine</v>
      </c>
      <c r="P1565" s="49" t="str">
        <f t="shared" si="2"/>
        <v>celebration,</v>
      </c>
      <c r="Q1565" s="49"/>
      <c r="R1565" s="50" t="s">
        <v>909</v>
      </c>
      <c r="S1565" s="55" t="s">
        <v>2853</v>
      </c>
      <c r="T1565" s="49" t="str">
        <f>IFERROR(__xludf.DUMMYFUNCTION("""COMPUTED_VALUE"""),"deeply")</f>
        <v>deeply</v>
      </c>
      <c r="U1565" s="49"/>
      <c r="V1565" s="49"/>
      <c r="W1565" s="49" t="str">
        <f>IFERROR(__xludf.DUMMYFUNCTION("""COMPUTED_VALUE"""),"eileen")</f>
        <v>eileen</v>
      </c>
      <c r="X1565" s="49" t="str">
        <f t="shared" si="3"/>
        <v>grab,</v>
      </c>
      <c r="Y1565" s="49"/>
      <c r="Z1565" s="1" t="s">
        <v>2020</v>
      </c>
      <c r="AA1565" s="1" t="s">
        <v>1998</v>
      </c>
      <c r="AB1565" s="49"/>
      <c r="AC1565" s="49"/>
      <c r="AD1565" s="49"/>
      <c r="AE1565" s="49" t="str">
        <f>IFERROR(__xludf.DUMMYFUNCTION("""COMPUTED_VALUE"""),"fontaine")</f>
        <v>fontaine</v>
      </c>
      <c r="AF1565" s="49" t="str">
        <f t="shared" si="4"/>
        <v>bright,</v>
      </c>
      <c r="AG1565" s="49"/>
      <c r="AH1565" s="1" t="s">
        <v>3963</v>
      </c>
      <c r="AI1565" s="1" t="s">
        <v>4399</v>
      </c>
      <c r="AJ1565" s="6" t="str">
        <f>IFERROR(__xludf.DUMMYFUNCTION("""COMPUTED_VALUE"""),"research")</f>
        <v>research</v>
      </c>
      <c r="AK1565" s="49"/>
      <c r="AL1565" s="49"/>
      <c r="AM1565" s="49"/>
      <c r="AN1565" s="52" t="str">
        <f t="shared" si="5"/>
        <v>samuel,</v>
      </c>
    </row>
    <row r="1566">
      <c r="A1566" s="51"/>
      <c r="B1566" s="50" t="s">
        <v>1730</v>
      </c>
      <c r="C1566" s="50" t="s">
        <v>4464</v>
      </c>
      <c r="D1566" s="49" t="str">
        <f>IFERROR(__xludf.DUMMYFUNCTION("""COMPUTED_VALUE"""),"crowd")</f>
        <v>crowd</v>
      </c>
      <c r="E1566" s="49"/>
      <c r="F1566" s="49"/>
      <c r="G1566" s="49"/>
      <c r="H1566" s="54" t="str">
        <f t="shared" si="1"/>
        <v>despite,</v>
      </c>
      <c r="I1566" s="50"/>
      <c r="J1566" s="50" t="s">
        <v>2995</v>
      </c>
      <c r="K1566" s="50" t="s">
        <v>4186</v>
      </c>
      <c r="L1566" s="49"/>
      <c r="M1566" s="49"/>
      <c r="N1566" s="49"/>
      <c r="O1566" s="49" t="str">
        <f>IFERROR(__xludf.DUMMYFUNCTION("""COMPUTED_VALUE"""),"probing")</f>
        <v>probing</v>
      </c>
      <c r="P1566" s="49" t="str">
        <f t="shared" si="2"/>
        <v>ages,</v>
      </c>
      <c r="Q1566" s="49"/>
      <c r="R1566" s="50" t="s">
        <v>1517</v>
      </c>
      <c r="S1566" s="55" t="s">
        <v>4708</v>
      </c>
      <c r="T1566" s="49" t="str">
        <f>IFERROR(__xludf.DUMMYFUNCTION("""COMPUTED_VALUE"""),"landscape")</f>
        <v>landscape</v>
      </c>
      <c r="U1566" s="49"/>
      <c r="V1566" s="49"/>
      <c r="W1566" s="49" t="str">
        <f>IFERROR(__xludf.DUMMYFUNCTION("""COMPUTED_VALUE"""),"bounds")</f>
        <v>bounds</v>
      </c>
      <c r="X1566" s="49" t="str">
        <f t="shared" si="3"/>
        <v>delivers,</v>
      </c>
      <c r="Y1566" s="49"/>
      <c r="Z1566" s="1" t="s">
        <v>3782</v>
      </c>
      <c r="AA1566" s="1" t="s">
        <v>623</v>
      </c>
      <c r="AB1566" s="49"/>
      <c r="AC1566" s="49"/>
      <c r="AD1566" s="49"/>
      <c r="AE1566" s="49" t="str">
        <f>IFERROR(__xludf.DUMMYFUNCTION("""COMPUTED_VALUE"""),"probing")</f>
        <v>probing</v>
      </c>
      <c r="AF1566" s="49" t="str">
        <f t="shared" si="4"/>
        <v>target,</v>
      </c>
      <c r="AG1566" s="49"/>
      <c r="AH1566" s="1" t="s">
        <v>6899</v>
      </c>
      <c r="AI1566" s="1" t="s">
        <v>3207</v>
      </c>
      <c r="AJ1566" s="6" t="str">
        <f>IFERROR(__xludf.DUMMYFUNCTION("""COMPUTED_VALUE"""),"military")</f>
        <v>military</v>
      </c>
      <c r="AK1566" s="49"/>
      <c r="AL1566" s="49"/>
      <c r="AM1566" s="49"/>
      <c r="AN1566" s="52" t="str">
        <f t="shared" si="5"/>
        <v>riding,</v>
      </c>
    </row>
    <row r="1567">
      <c r="A1567" s="51"/>
      <c r="B1567" s="50">
        <v>60.0</v>
      </c>
      <c r="C1567" s="50" t="s">
        <v>6494</v>
      </c>
      <c r="D1567" s="49" t="str">
        <f>IFERROR(__xludf.DUMMYFUNCTION("""COMPUTED_VALUE"""),"allen")</f>
        <v>allen</v>
      </c>
      <c r="E1567" s="49"/>
      <c r="F1567" s="49"/>
      <c r="G1567" s="49"/>
      <c r="H1567" s="54" t="str">
        <f t="shared" si="1"/>
        <v>60,</v>
      </c>
      <c r="I1567" s="50"/>
      <c r="J1567" s="50" t="s">
        <v>6457</v>
      </c>
      <c r="K1567" s="50" t="s">
        <v>2813</v>
      </c>
      <c r="L1567" s="49"/>
      <c r="M1567" s="49"/>
      <c r="N1567" s="49"/>
      <c r="O1567" s="49" t="str">
        <f>IFERROR(__xludf.DUMMYFUNCTION("""COMPUTED_VALUE"""),"telenovela")</f>
        <v>telenovela</v>
      </c>
      <c r="P1567" s="49" t="str">
        <f t="shared" si="2"/>
        <v>thank,</v>
      </c>
      <c r="Q1567" s="49"/>
      <c r="R1567" s="50" t="s">
        <v>6778</v>
      </c>
      <c r="S1567" s="55" t="s">
        <v>4710</v>
      </c>
      <c r="T1567" s="49" t="str">
        <f>IFERROR(__xludf.DUMMYFUNCTION("""COMPUTED_VALUE"""),"hugely")</f>
        <v>hugely</v>
      </c>
      <c r="U1567" s="49"/>
      <c r="V1567" s="49"/>
      <c r="W1567" s="49" t="str">
        <f>IFERROR(__xludf.DUMMYFUNCTION("""COMPUTED_VALUE"""),"discreet")</f>
        <v>discreet</v>
      </c>
      <c r="X1567" s="49" t="str">
        <f t="shared" si="3"/>
        <v>refused,</v>
      </c>
      <c r="Y1567" s="49"/>
      <c r="Z1567" s="1" t="s">
        <v>2518</v>
      </c>
      <c r="AA1567" s="1" t="s">
        <v>4698</v>
      </c>
      <c r="AB1567" s="49"/>
      <c r="AC1567" s="49"/>
      <c r="AD1567" s="49"/>
      <c r="AE1567" s="49" t="str">
        <f>IFERROR(__xludf.DUMMYFUNCTION("""COMPUTED_VALUE"""),"telenovela")</f>
        <v>telenovela</v>
      </c>
      <c r="AF1567" s="49" t="str">
        <f t="shared" si="4"/>
        <v>surprising,</v>
      </c>
      <c r="AG1567" s="49"/>
      <c r="AH1567" s="1" t="s">
        <v>6856</v>
      </c>
      <c r="AI1567" s="1" t="s">
        <v>2500</v>
      </c>
      <c r="AJ1567" s="6" t="str">
        <f>IFERROR(__xludf.DUMMYFUNCTION("""COMPUTED_VALUE"""),"working")</f>
        <v>working</v>
      </c>
      <c r="AK1567" s="49"/>
      <c r="AL1567" s="49"/>
      <c r="AM1567" s="49"/>
      <c r="AN1567" s="52" t="str">
        <f t="shared" si="5"/>
        <v>tail,</v>
      </c>
    </row>
    <row r="1568">
      <c r="A1568" s="51"/>
      <c r="B1568" s="50" t="s">
        <v>1097</v>
      </c>
      <c r="C1568" s="50" t="s">
        <v>589</v>
      </c>
      <c r="D1568" s="49" t="str">
        <f>IFERROR(__xludf.DUMMYFUNCTION("""COMPUTED_VALUE"""),"somewhat")</f>
        <v>somewhat</v>
      </c>
      <c r="E1568" s="49"/>
      <c r="F1568" s="49"/>
      <c r="G1568" s="49"/>
      <c r="H1568" s="54" t="str">
        <f t="shared" si="1"/>
        <v>lack,</v>
      </c>
      <c r="I1568" s="50"/>
      <c r="J1568" s="50" t="s">
        <v>727</v>
      </c>
      <c r="K1568" s="50" t="s">
        <v>3045</v>
      </c>
      <c r="L1568" s="49"/>
      <c r="M1568" s="49"/>
      <c r="N1568" s="49"/>
      <c r="O1568" s="49" t="str">
        <f>IFERROR(__xludf.DUMMYFUNCTION("""COMPUTED_VALUE"""),"shakespeare")</f>
        <v>shakespeare</v>
      </c>
      <c r="P1568" s="49" t="str">
        <f t="shared" si="2"/>
        <v>diaz,</v>
      </c>
      <c r="Q1568" s="49"/>
      <c r="R1568" s="50" t="s">
        <v>7407</v>
      </c>
      <c r="S1568" s="55" t="s">
        <v>6533</v>
      </c>
      <c r="T1568" s="49" t="str">
        <f>IFERROR(__xludf.DUMMYFUNCTION("""COMPUTED_VALUE"""),"aggressive")</f>
        <v>aggressive</v>
      </c>
      <c r="U1568" s="49"/>
      <c r="V1568" s="49"/>
      <c r="W1568" s="49" t="str">
        <f>IFERROR(__xludf.DUMMYFUNCTION("""COMPUTED_VALUE"""),"addict")</f>
        <v>addict</v>
      </c>
      <c r="X1568" s="49" t="str">
        <f t="shared" si="3"/>
        <v>pleasantly,</v>
      </c>
      <c r="Y1568" s="49"/>
      <c r="Z1568" s="1" t="s">
        <v>645</v>
      </c>
      <c r="AA1568" s="1" t="s">
        <v>4701</v>
      </c>
      <c r="AB1568" s="49"/>
      <c r="AC1568" s="49"/>
      <c r="AD1568" s="49"/>
      <c r="AE1568" s="49" t="str">
        <f>IFERROR(__xludf.DUMMYFUNCTION("""COMPUTED_VALUE"""),"shakespeare")</f>
        <v>shakespeare</v>
      </c>
      <c r="AF1568" s="49" t="str">
        <f t="shared" si="4"/>
        <v>moments,</v>
      </c>
      <c r="AG1568" s="49"/>
      <c r="AH1568" s="1" t="s">
        <v>1415</v>
      </c>
      <c r="AI1568" s="1" t="s">
        <v>2187</v>
      </c>
      <c r="AJ1568" s="6" t="str">
        <f>IFERROR(__xludf.DUMMYFUNCTION("""COMPUTED_VALUE"""),"paul")</f>
        <v>paul</v>
      </c>
      <c r="AK1568" s="49"/>
      <c r="AL1568" s="49"/>
      <c r="AM1568" s="49"/>
      <c r="AN1568" s="52" t="str">
        <f t="shared" si="5"/>
        <v>harrison,</v>
      </c>
    </row>
    <row r="1569">
      <c r="A1569" s="51"/>
      <c r="B1569" s="50" t="s">
        <v>4671</v>
      </c>
      <c r="C1569" s="50" t="s">
        <v>4064</v>
      </c>
      <c r="D1569" s="49" t="str">
        <f>IFERROR(__xludf.DUMMYFUNCTION("""COMPUTED_VALUE"""),"breathe")</f>
        <v>breathe</v>
      </c>
      <c r="E1569" s="49"/>
      <c r="F1569" s="49"/>
      <c r="G1569" s="49"/>
      <c r="H1569" s="54" t="str">
        <f t="shared" si="1"/>
        <v>text,</v>
      </c>
      <c r="I1569" s="50"/>
      <c r="J1569" s="50" t="s">
        <v>5720</v>
      </c>
      <c r="K1569" s="50" t="s">
        <v>2544</v>
      </c>
      <c r="L1569" s="49"/>
      <c r="M1569" s="49"/>
      <c r="N1569" s="49"/>
      <c r="O1569" s="49" t="str">
        <f>IFERROR(__xludf.DUMMYFUNCTION("""COMPUTED_VALUE"""),"weakly")</f>
        <v>weakly</v>
      </c>
      <c r="P1569" s="49" t="str">
        <f t="shared" si="2"/>
        <v>roots,</v>
      </c>
      <c r="Q1569" s="49"/>
      <c r="R1569" s="50" t="s">
        <v>5769</v>
      </c>
      <c r="S1569" s="55" t="s">
        <v>4053</v>
      </c>
      <c r="T1569" s="49" t="str">
        <f>IFERROR(__xludf.DUMMYFUNCTION("""COMPUTED_VALUE"""),"array")</f>
        <v>array</v>
      </c>
      <c r="U1569" s="49"/>
      <c r="V1569" s="49"/>
      <c r="W1569" s="49" t="str">
        <f>IFERROR(__xludf.DUMMYFUNCTION("""COMPUTED_VALUE"""),"sat")</f>
        <v>sat</v>
      </c>
      <c r="X1569" s="49" t="str">
        <f t="shared" si="3"/>
        <v>oppressive,</v>
      </c>
      <c r="Y1569" s="49"/>
      <c r="Z1569" s="1" t="s">
        <v>2188</v>
      </c>
      <c r="AA1569" s="1" t="s">
        <v>2000</v>
      </c>
      <c r="AB1569" s="49"/>
      <c r="AC1569" s="49"/>
      <c r="AD1569" s="49"/>
      <c r="AE1569" s="49" t="str">
        <f>IFERROR(__xludf.DUMMYFUNCTION("""COMPUTED_VALUE"""),"weakly")</f>
        <v>weakly</v>
      </c>
      <c r="AF1569" s="49" t="str">
        <f t="shared" si="4"/>
        <v>fantasy,</v>
      </c>
      <c r="AG1569" s="49"/>
      <c r="AH1569" s="1" t="s">
        <v>1631</v>
      </c>
      <c r="AI1569" s="1" t="s">
        <v>4402</v>
      </c>
      <c r="AJ1569" s="6" t="str">
        <f>IFERROR(__xludf.DUMMYFUNCTION("""COMPUTED_VALUE"""),"brought")</f>
        <v>brought</v>
      </c>
      <c r="AK1569" s="49"/>
      <c r="AL1569" s="49"/>
      <c r="AM1569" s="49"/>
      <c r="AN1569" s="52" t="str">
        <f t="shared" si="5"/>
        <v>table,</v>
      </c>
    </row>
    <row r="1570">
      <c r="A1570" s="51"/>
      <c r="B1570" s="50" t="s">
        <v>1044</v>
      </c>
      <c r="C1570" s="50" t="s">
        <v>5116</v>
      </c>
      <c r="D1570" s="49" t="str">
        <f>IFERROR(__xludf.DUMMYFUNCTION("""COMPUTED_VALUE"""),"went")</f>
        <v>went</v>
      </c>
      <c r="E1570" s="49"/>
      <c r="F1570" s="49"/>
      <c r="G1570" s="49"/>
      <c r="H1570" s="54" t="str">
        <f t="shared" si="1"/>
        <v>ben,</v>
      </c>
      <c r="I1570" s="50"/>
      <c r="J1570" s="50" t="s">
        <v>5258</v>
      </c>
      <c r="K1570" s="50" t="s">
        <v>4189</v>
      </c>
      <c r="L1570" s="49"/>
      <c r="M1570" s="49"/>
      <c r="N1570" s="49"/>
      <c r="O1570" s="49" t="str">
        <f>IFERROR(__xludf.DUMMYFUNCTION("""COMPUTED_VALUE"""),"titans")</f>
        <v>titans</v>
      </c>
      <c r="P1570" s="49" t="str">
        <f t="shared" si="2"/>
        <v>monsters,</v>
      </c>
      <c r="Q1570" s="49"/>
      <c r="R1570" s="50" t="s">
        <v>3846</v>
      </c>
      <c r="S1570" s="55" t="s">
        <v>1451</v>
      </c>
      <c r="T1570" s="49" t="str">
        <f>IFERROR(__xludf.DUMMYFUNCTION("""COMPUTED_VALUE"""),"kaufman")</f>
        <v>kaufman</v>
      </c>
      <c r="U1570" s="49"/>
      <c r="V1570" s="49"/>
      <c r="W1570" s="49" t="str">
        <f>IFERROR(__xludf.DUMMYFUNCTION("""COMPUTED_VALUE"""),"horses")</f>
        <v>horses</v>
      </c>
      <c r="X1570" s="49" t="str">
        <f t="shared" si="3"/>
        <v>shining,</v>
      </c>
      <c r="Y1570" s="49"/>
      <c r="Z1570" s="1" t="s">
        <v>1619</v>
      </c>
      <c r="AA1570" s="1" t="s">
        <v>4704</v>
      </c>
      <c r="AB1570" s="49"/>
      <c r="AC1570" s="49"/>
      <c r="AD1570" s="49"/>
      <c r="AE1570" s="49" t="str">
        <f>IFERROR(__xludf.DUMMYFUNCTION("""COMPUTED_VALUE"""),"titans")</f>
        <v>titans</v>
      </c>
      <c r="AF1570" s="49" t="str">
        <f t="shared" si="4"/>
        <v>major,</v>
      </c>
      <c r="AG1570" s="49"/>
      <c r="AH1570" s="1" t="s">
        <v>6965</v>
      </c>
      <c r="AI1570" s="1" t="s">
        <v>6534</v>
      </c>
      <c r="AJ1570" s="6" t="str">
        <f>IFERROR(__xludf.DUMMYFUNCTION("""COMPUTED_VALUE"""),"super")</f>
        <v>super</v>
      </c>
      <c r="AK1570" s="49"/>
      <c r="AL1570" s="49"/>
      <c r="AM1570" s="49"/>
      <c r="AN1570" s="52" t="str">
        <f t="shared" si="5"/>
        <v>manager,</v>
      </c>
    </row>
    <row r="1571">
      <c r="A1571" s="51"/>
      <c r="B1571" s="50" t="s">
        <v>5010</v>
      </c>
      <c r="C1571" s="50" t="s">
        <v>2289</v>
      </c>
      <c r="D1571" s="49" t="str">
        <f>IFERROR(__xludf.DUMMYFUNCTION("""COMPUTED_VALUE"""),"straight")</f>
        <v>straight</v>
      </c>
      <c r="E1571" s="49"/>
      <c r="F1571" s="49"/>
      <c r="G1571" s="49"/>
      <c r="H1571" s="54" t="str">
        <f t="shared" si="1"/>
        <v>widely,</v>
      </c>
      <c r="I1571" s="50"/>
      <c r="J1571" s="50" t="s">
        <v>4033</v>
      </c>
      <c r="K1571" s="50" t="s">
        <v>92</v>
      </c>
      <c r="L1571" s="49"/>
      <c r="M1571" s="49"/>
      <c r="N1571" s="49"/>
      <c r="O1571" s="49" t="str">
        <f>IFERROR(__xludf.DUMMYFUNCTION("""COMPUTED_VALUE"""),"curves")</f>
        <v>curves</v>
      </c>
      <c r="P1571" s="49" t="str">
        <f t="shared" si="2"/>
        <v>memorable,</v>
      </c>
      <c r="Q1571" s="49"/>
      <c r="R1571" s="50" t="s">
        <v>5925</v>
      </c>
      <c r="S1571" s="55" t="s">
        <v>2858</v>
      </c>
      <c r="T1571" s="49" t="str">
        <f>IFERROR(__xludf.DUMMYFUNCTION("""COMPUTED_VALUE"""),"intensely")</f>
        <v>intensely</v>
      </c>
      <c r="U1571" s="49"/>
      <c r="V1571" s="49"/>
      <c r="W1571" s="49" t="str">
        <f>IFERROR(__xludf.DUMMYFUNCTION("""COMPUTED_VALUE"""),"partnership")</f>
        <v>partnership</v>
      </c>
      <c r="X1571" s="49" t="str">
        <f t="shared" si="3"/>
        <v>mid,</v>
      </c>
      <c r="Y1571" s="49"/>
      <c r="Z1571" s="1" t="s">
        <v>6685</v>
      </c>
      <c r="AA1571" s="1" t="s">
        <v>4705</v>
      </c>
      <c r="AB1571" s="49"/>
      <c r="AC1571" s="49"/>
      <c r="AD1571" s="49"/>
      <c r="AE1571" s="49" t="str">
        <f>IFERROR(__xludf.DUMMYFUNCTION("""COMPUTED_VALUE"""),"curves")</f>
        <v>curves</v>
      </c>
      <c r="AF1571" s="49" t="str">
        <f t="shared" si="4"/>
        <v>hits,</v>
      </c>
      <c r="AG1571" s="49"/>
      <c r="AH1571" s="1" t="s">
        <v>4497</v>
      </c>
      <c r="AI1571" s="1" t="s">
        <v>1258</v>
      </c>
      <c r="AJ1571" s="6" t="str">
        <f>IFERROR(__xludf.DUMMYFUNCTION("""COMPUTED_VALUE"""),"scientist")</f>
        <v>scientist</v>
      </c>
      <c r="AK1571" s="49"/>
      <c r="AL1571" s="49"/>
      <c r="AM1571" s="49"/>
      <c r="AN1571" s="52" t="str">
        <f t="shared" si="5"/>
        <v>chris,</v>
      </c>
    </row>
    <row r="1572">
      <c r="A1572" s="51"/>
      <c r="B1572" s="50" t="s">
        <v>5267</v>
      </c>
      <c r="C1572" s="50" t="s">
        <v>2716</v>
      </c>
      <c r="D1572" s="49" t="str">
        <f>IFERROR(__xludf.DUMMYFUNCTION("""COMPUTED_VALUE"""),"light")</f>
        <v>light</v>
      </c>
      <c r="E1572" s="49"/>
      <c r="F1572" s="49"/>
      <c r="G1572" s="49"/>
      <c r="H1572" s="54" t="str">
        <f t="shared" si="1"/>
        <v>succeeded,</v>
      </c>
      <c r="I1572" s="50"/>
      <c r="J1572" s="50" t="s">
        <v>103</v>
      </c>
      <c r="K1572" s="50" t="s">
        <v>992</v>
      </c>
      <c r="L1572" s="49"/>
      <c r="M1572" s="49"/>
      <c r="N1572" s="49"/>
      <c r="O1572" s="49" t="str">
        <f>IFERROR(__xludf.DUMMYFUNCTION("""COMPUTED_VALUE"""),"lucas")</f>
        <v>lucas</v>
      </c>
      <c r="P1572" s="49" t="str">
        <f t="shared" si="2"/>
        <v>service,</v>
      </c>
      <c r="Q1572" s="49"/>
      <c r="R1572" s="50" t="s">
        <v>1019</v>
      </c>
      <c r="S1572" s="55" t="s">
        <v>2860</v>
      </c>
      <c r="T1572" s="49" t="str">
        <f>IFERROR(__xludf.DUMMYFUNCTION("""COMPUTED_VALUE"""),"companion")</f>
        <v>companion</v>
      </c>
      <c r="U1572" s="49"/>
      <c r="V1572" s="49"/>
      <c r="W1572" s="49" t="str">
        <f>IFERROR(__xludf.DUMMYFUNCTION("""COMPUTED_VALUE"""),"tabloid")</f>
        <v>tabloid</v>
      </c>
      <c r="X1572" s="49" t="str">
        <f t="shared" si="3"/>
        <v>arc,</v>
      </c>
      <c r="Y1572" s="49"/>
      <c r="Z1572" s="1" t="s">
        <v>4015</v>
      </c>
      <c r="AA1572" s="1" t="s">
        <v>4707</v>
      </c>
      <c r="AB1572" s="49"/>
      <c r="AC1572" s="49"/>
      <c r="AD1572" s="49"/>
      <c r="AE1572" s="49" t="str">
        <f>IFERROR(__xludf.DUMMYFUNCTION("""COMPUTED_VALUE"""),"lucas")</f>
        <v>lucas</v>
      </c>
      <c r="AF1572" s="49" t="str">
        <f t="shared" si="4"/>
        <v>conventional,</v>
      </c>
      <c r="AG1572" s="49"/>
      <c r="AH1572" s="1" t="s">
        <v>4724</v>
      </c>
      <c r="AI1572" s="1" t="s">
        <v>1409</v>
      </c>
      <c r="AJ1572" s="6" t="str">
        <f>IFERROR(__xludf.DUMMYFUNCTION("""COMPUTED_VALUE"""),"henry")</f>
        <v>henry</v>
      </c>
      <c r="AK1572" s="49"/>
      <c r="AL1572" s="49"/>
      <c r="AM1572" s="49"/>
      <c r="AN1572" s="52" t="str">
        <f t="shared" si="5"/>
        <v>silent,</v>
      </c>
    </row>
    <row r="1573">
      <c r="A1573" s="51"/>
      <c r="B1573" s="50" t="s">
        <v>6413</v>
      </c>
      <c r="C1573" s="50" t="s">
        <v>6497</v>
      </c>
      <c r="D1573" s="49" t="str">
        <f>IFERROR(__xludf.DUMMYFUNCTION("""COMPUTED_VALUE"""),"aside")</f>
        <v>aside</v>
      </c>
      <c r="E1573" s="49"/>
      <c r="F1573" s="49"/>
      <c r="G1573" s="49"/>
      <c r="H1573" s="54" t="str">
        <f t="shared" si="1"/>
        <v>domestic,</v>
      </c>
      <c r="I1573" s="50"/>
      <c r="J1573" s="50" t="s">
        <v>6553</v>
      </c>
      <c r="K1573" s="50" t="s">
        <v>854</v>
      </c>
      <c r="L1573" s="49"/>
      <c r="M1573" s="49"/>
      <c r="N1573" s="49"/>
      <c r="O1573" s="49" t="str">
        <f>IFERROR(__xludf.DUMMYFUNCTION("""COMPUTED_VALUE"""),"jolt")</f>
        <v>jolt</v>
      </c>
      <c r="P1573" s="49" t="str">
        <f t="shared" si="2"/>
        <v>talked,</v>
      </c>
      <c r="Q1573" s="49"/>
      <c r="R1573" s="50" t="s">
        <v>2990</v>
      </c>
      <c r="S1573" s="55" t="s">
        <v>2712</v>
      </c>
      <c r="T1573" s="49" t="str">
        <f>IFERROR(__xludf.DUMMYFUNCTION("""COMPUTED_VALUE"""),"broader")</f>
        <v>broader</v>
      </c>
      <c r="U1573" s="49"/>
      <c r="V1573" s="49"/>
      <c r="W1573" s="49" t="str">
        <f>IFERROR(__xludf.DUMMYFUNCTION("""COMPUTED_VALUE"""),"mystical")</f>
        <v>mystical</v>
      </c>
      <c r="X1573" s="49" t="str">
        <f t="shared" si="3"/>
        <v>spiritual,</v>
      </c>
      <c r="Y1573" s="49"/>
      <c r="Z1573" s="1" t="s">
        <v>44</v>
      </c>
      <c r="AA1573" s="1" t="s">
        <v>3616</v>
      </c>
      <c r="AB1573" s="49"/>
      <c r="AC1573" s="49"/>
      <c r="AD1573" s="49"/>
      <c r="AE1573" s="49" t="str">
        <f>IFERROR(__xludf.DUMMYFUNCTION("""COMPUTED_VALUE"""),"jolt")</f>
        <v>jolt</v>
      </c>
      <c r="AF1573" s="49" t="str">
        <f t="shared" si="4"/>
        <v>feminist,</v>
      </c>
      <c r="AG1573" s="49"/>
      <c r="AH1573" s="1" t="s">
        <v>3651</v>
      </c>
      <c r="AI1573" s="1" t="s">
        <v>4408</v>
      </c>
      <c r="AJ1573" s="6" t="str">
        <f>IFERROR(__xludf.DUMMYFUNCTION("""COMPUTED_VALUE"""),"silence")</f>
        <v>silence</v>
      </c>
      <c r="AK1573" s="49"/>
      <c r="AL1573" s="49"/>
      <c r="AM1573" s="49"/>
      <c r="AN1573" s="52" t="str">
        <f t="shared" si="5"/>
        <v>reasons,</v>
      </c>
    </row>
    <row r="1574">
      <c r="A1574" s="51"/>
      <c r="B1574" s="50" t="s">
        <v>1282</v>
      </c>
      <c r="C1574" s="50" t="s">
        <v>3801</v>
      </c>
      <c r="D1574" s="49" t="str">
        <f>IFERROR(__xludf.DUMMYFUNCTION("""COMPUTED_VALUE"""),"dying")</f>
        <v>dying</v>
      </c>
      <c r="E1574" s="49"/>
      <c r="F1574" s="49"/>
      <c r="G1574" s="49"/>
      <c r="H1574" s="54" t="str">
        <f t="shared" si="1"/>
        <v>somehow,</v>
      </c>
      <c r="I1574" s="50"/>
      <c r="J1574" s="50" t="s">
        <v>5183</v>
      </c>
      <c r="K1574" s="50" t="s">
        <v>2821</v>
      </c>
      <c r="L1574" s="49"/>
      <c r="M1574" s="49"/>
      <c r="N1574" s="49"/>
      <c r="O1574" s="49" t="str">
        <f>IFERROR(__xludf.DUMMYFUNCTION("""COMPUTED_VALUE"""),"juliet")</f>
        <v>juliet</v>
      </c>
      <c r="P1574" s="49" t="str">
        <f t="shared" si="2"/>
        <v>timing,</v>
      </c>
      <c r="Q1574" s="49"/>
      <c r="R1574" s="50" t="s">
        <v>5228</v>
      </c>
      <c r="S1574" s="55" t="s">
        <v>1458</v>
      </c>
      <c r="T1574" s="49" t="str">
        <f>IFERROR(__xludf.DUMMYFUNCTION("""COMPUTED_VALUE"""),"destructive")</f>
        <v>destructive</v>
      </c>
      <c r="U1574" s="49"/>
      <c r="V1574" s="49"/>
      <c r="W1574" s="49" t="str">
        <f>IFERROR(__xludf.DUMMYFUNCTION("""COMPUTED_VALUE"""),"derive")</f>
        <v>derive</v>
      </c>
      <c r="X1574" s="49" t="str">
        <f t="shared" si="3"/>
        <v>records,</v>
      </c>
      <c r="Y1574" s="49"/>
      <c r="Z1574" s="1" t="s">
        <v>2153</v>
      </c>
      <c r="AA1574" s="1" t="s">
        <v>4712</v>
      </c>
      <c r="AB1574" s="49"/>
      <c r="AC1574" s="49"/>
      <c r="AD1574" s="49"/>
      <c r="AE1574" s="49" t="str">
        <f>IFERROR(__xludf.DUMMYFUNCTION("""COMPUTED_VALUE"""),"juliet")</f>
        <v>juliet</v>
      </c>
      <c r="AF1574" s="49" t="str">
        <f t="shared" si="4"/>
        <v>gentle,</v>
      </c>
      <c r="AG1574" s="49"/>
      <c r="AH1574" s="1" t="s">
        <v>3623</v>
      </c>
      <c r="AI1574" s="1" t="s">
        <v>3911</v>
      </c>
      <c r="AJ1574" s="6" t="str">
        <f>IFERROR(__xludf.DUMMYFUNCTION("""COMPUTED_VALUE"""),"anthony")</f>
        <v>anthony</v>
      </c>
      <c r="AK1574" s="49"/>
      <c r="AL1574" s="49"/>
      <c r="AM1574" s="49"/>
      <c r="AN1574" s="52" t="str">
        <f t="shared" si="5"/>
        <v>pool,</v>
      </c>
    </row>
    <row r="1575">
      <c r="A1575" s="51"/>
      <c r="B1575" s="50" t="s">
        <v>4692</v>
      </c>
      <c r="C1575" s="50" t="s">
        <v>6517</v>
      </c>
      <c r="D1575" s="49" t="str">
        <f>IFERROR(__xludf.DUMMYFUNCTION("""COMPUTED_VALUE"""),"clerk")</f>
        <v>clerk</v>
      </c>
      <c r="E1575" s="49"/>
      <c r="F1575" s="49"/>
      <c r="G1575" s="49"/>
      <c r="H1575" s="54" t="str">
        <f t="shared" si="1"/>
        <v>consider,</v>
      </c>
      <c r="I1575" s="50"/>
      <c r="J1575" s="50" t="s">
        <v>3629</v>
      </c>
      <c r="K1575" s="50" t="s">
        <v>4494</v>
      </c>
      <c r="L1575" s="49"/>
      <c r="M1575" s="49"/>
      <c r="N1575" s="49"/>
      <c r="O1575" s="49" t="str">
        <f>IFERROR(__xludf.DUMMYFUNCTION("""COMPUTED_VALUE"""),"fighters")</f>
        <v>fighters</v>
      </c>
      <c r="P1575" s="49" t="str">
        <f t="shared" si="2"/>
        <v>guts,</v>
      </c>
      <c r="Q1575" s="49"/>
      <c r="R1575" s="50" t="s">
        <v>4887</v>
      </c>
      <c r="S1575" s="55" t="s">
        <v>4109</v>
      </c>
      <c r="T1575" s="49" t="str">
        <f>IFERROR(__xludf.DUMMYFUNCTION("""COMPUTED_VALUE"""),"wildlife")</f>
        <v>wildlife</v>
      </c>
      <c r="U1575" s="49"/>
      <c r="V1575" s="49"/>
      <c r="W1575" s="49" t="str">
        <f>IFERROR(__xludf.DUMMYFUNCTION("""COMPUTED_VALUE"""),"tinged")</f>
        <v>tinged</v>
      </c>
      <c r="X1575" s="49" t="str">
        <f t="shared" si="3"/>
        <v>losses,</v>
      </c>
      <c r="Y1575" s="49"/>
      <c r="Z1575" s="1" t="s">
        <v>1372</v>
      </c>
      <c r="AA1575" s="1" t="s">
        <v>4714</v>
      </c>
      <c r="AB1575" s="49"/>
      <c r="AC1575" s="49"/>
      <c r="AD1575" s="49"/>
      <c r="AE1575" s="49" t="str">
        <f>IFERROR(__xludf.DUMMYFUNCTION("""COMPUTED_VALUE"""),"fighters")</f>
        <v>fighters</v>
      </c>
      <c r="AF1575" s="49" t="str">
        <f t="shared" si="4"/>
        <v>stock,</v>
      </c>
      <c r="AG1575" s="49"/>
      <c r="AH1575" s="1" t="s">
        <v>1602</v>
      </c>
      <c r="AI1575" s="1" t="s">
        <v>2648</v>
      </c>
      <c r="AJ1575" s="6" t="str">
        <f>IFERROR(__xludf.DUMMYFUNCTION("""COMPUTED_VALUE"""),"roger")</f>
        <v>roger</v>
      </c>
      <c r="AK1575" s="49"/>
      <c r="AL1575" s="49"/>
      <c r="AM1575" s="49"/>
      <c r="AN1575" s="52" t="str">
        <f t="shared" si="5"/>
        <v>fan,</v>
      </c>
    </row>
    <row r="1576">
      <c r="A1576" s="51"/>
      <c r="B1576" s="50" t="s">
        <v>5442</v>
      </c>
      <c r="C1576" s="50" t="s">
        <v>3402</v>
      </c>
      <c r="D1576" s="49" t="str">
        <f>IFERROR(__xludf.DUMMYFUNCTION("""COMPUTED_VALUE"""),"contrast")</f>
        <v>contrast</v>
      </c>
      <c r="E1576" s="49"/>
      <c r="F1576" s="49"/>
      <c r="G1576" s="49"/>
      <c r="H1576" s="54" t="str">
        <f t="shared" si="1"/>
        <v>distinct,</v>
      </c>
      <c r="I1576" s="50"/>
      <c r="J1576" s="50" t="s">
        <v>4534</v>
      </c>
      <c r="K1576" s="50" t="s">
        <v>3048</v>
      </c>
      <c r="L1576" s="49"/>
      <c r="M1576" s="49"/>
      <c r="N1576" s="49"/>
      <c r="O1576" s="49" t="str">
        <f>IFERROR(__xludf.DUMMYFUNCTION("""COMPUTED_VALUE"""),"exchanges")</f>
        <v>exchanges</v>
      </c>
      <c r="P1576" s="49" t="str">
        <f t="shared" si="2"/>
        <v>immensely,</v>
      </c>
      <c r="Q1576" s="49"/>
      <c r="R1576" s="50" t="s">
        <v>2553</v>
      </c>
      <c r="S1576" s="55" t="s">
        <v>2715</v>
      </c>
      <c r="T1576" s="49" t="str">
        <f>IFERROR(__xludf.DUMMYFUNCTION("""COMPUTED_VALUE"""),"spare")</f>
        <v>spare</v>
      </c>
      <c r="U1576" s="49"/>
      <c r="V1576" s="49"/>
      <c r="W1576" s="49" t="str">
        <f>IFERROR(__xludf.DUMMYFUNCTION("""COMPUTED_VALUE"""),"practices")</f>
        <v>practices</v>
      </c>
      <c r="X1576" s="49" t="str">
        <f t="shared" si="3"/>
        <v>lived,</v>
      </c>
      <c r="Y1576" s="49"/>
      <c r="Z1576" s="1" t="s">
        <v>798</v>
      </c>
      <c r="AA1576" s="1" t="s">
        <v>4717</v>
      </c>
      <c r="AB1576" s="49"/>
      <c r="AC1576" s="49"/>
      <c r="AD1576" s="49"/>
      <c r="AE1576" s="49" t="str">
        <f>IFERROR(__xludf.DUMMYFUNCTION("""COMPUTED_VALUE"""),"exchanges")</f>
        <v>exchanges</v>
      </c>
      <c r="AF1576" s="49" t="str">
        <f t="shared" si="4"/>
        <v>slight,</v>
      </c>
      <c r="AG1576" s="49"/>
      <c r="AH1576" s="1" t="s">
        <v>4572</v>
      </c>
      <c r="AI1576" s="1" t="s">
        <v>6516</v>
      </c>
      <c r="AJ1576" s="6" t="str">
        <f>IFERROR(__xludf.DUMMYFUNCTION("""COMPUTED_VALUE"""),"asks")</f>
        <v>asks</v>
      </c>
      <c r="AK1576" s="49"/>
      <c r="AL1576" s="49"/>
      <c r="AM1576" s="49"/>
      <c r="AN1576" s="52" t="str">
        <f t="shared" si="5"/>
        <v>seriously,</v>
      </c>
    </row>
    <row r="1577">
      <c r="A1577" s="51"/>
      <c r="B1577" s="50" t="s">
        <v>5851</v>
      </c>
      <c r="C1577" s="50" t="s">
        <v>2435</v>
      </c>
      <c r="D1577" s="49" t="str">
        <f>IFERROR(__xludf.DUMMYFUNCTION("""COMPUTED_VALUE"""),"li")</f>
        <v>li</v>
      </c>
      <c r="E1577" s="49"/>
      <c r="F1577" s="49"/>
      <c r="G1577" s="49"/>
      <c r="H1577" s="54" t="str">
        <f t="shared" si="1"/>
        <v>portions,</v>
      </c>
      <c r="I1577" s="50"/>
      <c r="J1577" s="50" t="s">
        <v>6032</v>
      </c>
      <c r="K1577" s="50" t="s">
        <v>3052</v>
      </c>
      <c r="L1577" s="49"/>
      <c r="M1577" s="49"/>
      <c r="N1577" s="49"/>
      <c r="O1577" s="49" t="str">
        <f>IFERROR(__xludf.DUMMYFUNCTION("""COMPUTED_VALUE"""),"staggered")</f>
        <v>staggered</v>
      </c>
      <c r="P1577" s="49" t="str">
        <f t="shared" si="2"/>
        <v>acquire,</v>
      </c>
      <c r="Q1577" s="49"/>
      <c r="R1577" s="50" t="s">
        <v>3300</v>
      </c>
      <c r="S1577" s="55" t="s">
        <v>1602</v>
      </c>
      <c r="T1577" s="49" t="str">
        <f>IFERROR(__xludf.DUMMYFUNCTION("""COMPUTED_VALUE"""),"retiring")</f>
        <v>retiring</v>
      </c>
      <c r="U1577" s="49"/>
      <c r="V1577" s="49"/>
      <c r="W1577" s="49" t="str">
        <f>IFERROR(__xludf.DUMMYFUNCTION("""COMPUTED_VALUE"""),"latter")</f>
        <v>latter</v>
      </c>
      <c r="X1577" s="49" t="str">
        <f t="shared" si="3"/>
        <v>wishing,</v>
      </c>
      <c r="Y1577" s="49"/>
      <c r="Z1577" s="1" t="s">
        <v>2145</v>
      </c>
      <c r="AA1577" s="1" t="s">
        <v>1001</v>
      </c>
      <c r="AB1577" s="49"/>
      <c r="AC1577" s="49"/>
      <c r="AD1577" s="49"/>
      <c r="AE1577" s="49" t="str">
        <f>IFERROR(__xludf.DUMMYFUNCTION("""COMPUTED_VALUE"""),"staggered")</f>
        <v>staggered</v>
      </c>
      <c r="AF1577" s="49" t="str">
        <f t="shared" si="4"/>
        <v>ticket,</v>
      </c>
      <c r="AG1577" s="49"/>
      <c r="AH1577" s="1" t="s">
        <v>4564</v>
      </c>
      <c r="AI1577" s="1" t="s">
        <v>4420</v>
      </c>
      <c r="AJ1577" s="6" t="str">
        <f>IFERROR(__xludf.DUMMYFUNCTION("""COMPUTED_VALUE"""),"sexy")</f>
        <v>sexy</v>
      </c>
      <c r="AK1577" s="49"/>
      <c r="AL1577" s="49"/>
      <c r="AM1577" s="49"/>
      <c r="AN1577" s="52" t="str">
        <f t="shared" si="5"/>
        <v>marry,</v>
      </c>
    </row>
    <row r="1578">
      <c r="A1578" s="51"/>
      <c r="B1578" s="50" t="s">
        <v>2200</v>
      </c>
      <c r="C1578" s="50" t="s">
        <v>6518</v>
      </c>
      <c r="D1578" s="49" t="str">
        <f>IFERROR(__xludf.DUMMYFUNCTION("""COMPUTED_VALUE"""),"personality")</f>
        <v>personality</v>
      </c>
      <c r="E1578" s="49"/>
      <c r="F1578" s="49"/>
      <c r="G1578" s="49"/>
      <c r="H1578" s="54" t="str">
        <f t="shared" si="1"/>
        <v>audiences,</v>
      </c>
      <c r="I1578" s="50"/>
      <c r="J1578" s="50" t="s">
        <v>460</v>
      </c>
      <c r="K1578" s="50" t="s">
        <v>4720</v>
      </c>
      <c r="L1578" s="49"/>
      <c r="M1578" s="49"/>
      <c r="N1578" s="49"/>
      <c r="O1578" s="49" t="str">
        <f>IFERROR(__xludf.DUMMYFUNCTION("""COMPUTED_VALUE"""),"suspects")</f>
        <v>suspects</v>
      </c>
      <c r="P1578" s="49" t="str">
        <f t="shared" si="2"/>
        <v>predecessor,</v>
      </c>
      <c r="Q1578" s="49"/>
      <c r="R1578" s="50" t="s">
        <v>5669</v>
      </c>
      <c r="S1578" s="55" t="s">
        <v>6420</v>
      </c>
      <c r="T1578" s="49" t="str">
        <f>IFERROR(__xludf.DUMMYFUNCTION("""COMPUTED_VALUE"""),"documented")</f>
        <v>documented</v>
      </c>
      <c r="U1578" s="49"/>
      <c r="V1578" s="49"/>
      <c r="W1578" s="49" t="str">
        <f>IFERROR(__xludf.DUMMYFUNCTION("""COMPUTED_VALUE"""),"annoyed")</f>
        <v>annoyed</v>
      </c>
      <c r="X1578" s="49" t="str">
        <f t="shared" si="3"/>
        <v>goose,</v>
      </c>
      <c r="Y1578" s="49"/>
      <c r="Z1578" s="1" t="s">
        <v>6420</v>
      </c>
      <c r="AA1578" s="1" t="s">
        <v>1006</v>
      </c>
      <c r="AB1578" s="49"/>
      <c r="AC1578" s="49"/>
      <c r="AD1578" s="49"/>
      <c r="AE1578" s="49" t="str">
        <f>IFERROR(__xludf.DUMMYFUNCTION("""COMPUTED_VALUE"""),"suspects")</f>
        <v>suspects</v>
      </c>
      <c r="AF1578" s="49" t="str">
        <f t="shared" si="4"/>
        <v>opportunity,</v>
      </c>
      <c r="AG1578" s="49"/>
      <c r="AH1578" s="1" t="s">
        <v>2977</v>
      </c>
      <c r="AI1578" s="1" t="s">
        <v>3923</v>
      </c>
      <c r="AJ1578" s="6" t="str">
        <f>IFERROR(__xludf.DUMMYFUNCTION("""COMPUTED_VALUE"""),"talks")</f>
        <v>talks</v>
      </c>
      <c r="AK1578" s="49"/>
      <c r="AL1578" s="49"/>
      <c r="AM1578" s="49"/>
      <c r="AN1578" s="52" t="str">
        <f t="shared" si="5"/>
        <v>network,</v>
      </c>
    </row>
    <row r="1579">
      <c r="A1579" s="51"/>
      <c r="B1579" s="50" t="s">
        <v>4093</v>
      </c>
      <c r="C1579" s="50" t="s">
        <v>2576</v>
      </c>
      <c r="D1579" s="49" t="str">
        <f>IFERROR(__xludf.DUMMYFUNCTION("""COMPUTED_VALUE"""),"starting")</f>
        <v>starting</v>
      </c>
      <c r="E1579" s="49"/>
      <c r="F1579" s="49"/>
      <c r="G1579" s="49"/>
      <c r="H1579" s="54" t="str">
        <f t="shared" si="1"/>
        <v>nonetheless,</v>
      </c>
      <c r="I1579" s="50"/>
      <c r="J1579" s="50" t="s">
        <v>1890</v>
      </c>
      <c r="K1579" s="50" t="s">
        <v>637</v>
      </c>
      <c r="L1579" s="49"/>
      <c r="M1579" s="49"/>
      <c r="N1579" s="49"/>
      <c r="O1579" s="49" t="str">
        <f>IFERROR(__xludf.DUMMYFUNCTION("""COMPUTED_VALUE"""),"invincible")</f>
        <v>invincible</v>
      </c>
      <c r="P1579" s="49" t="str">
        <f t="shared" si="2"/>
        <v>satisfactory,</v>
      </c>
      <c r="Q1579" s="49"/>
      <c r="R1579" s="50" t="s">
        <v>5541</v>
      </c>
      <c r="S1579" s="55" t="s">
        <v>3721</v>
      </c>
      <c r="T1579" s="49" t="str">
        <f>IFERROR(__xludf.DUMMYFUNCTION("""COMPUTED_VALUE"""),"glass")</f>
        <v>glass</v>
      </c>
      <c r="U1579" s="49"/>
      <c r="V1579" s="49"/>
      <c r="W1579" s="49" t="str">
        <f>IFERROR(__xludf.DUMMYFUNCTION("""COMPUTED_VALUE"""),"chong")</f>
        <v>chong</v>
      </c>
      <c r="X1579" s="49" t="str">
        <f t="shared" si="3"/>
        <v>spine,</v>
      </c>
      <c r="Y1579" s="49"/>
      <c r="Z1579" s="1" t="s">
        <v>3548</v>
      </c>
      <c r="AA1579" s="1" t="s">
        <v>2007</v>
      </c>
      <c r="AB1579" s="49"/>
      <c r="AC1579" s="49"/>
      <c r="AD1579" s="49"/>
      <c r="AE1579" s="49" t="str">
        <f>IFERROR(__xludf.DUMMYFUNCTION("""COMPUTED_VALUE"""),"invincible")</f>
        <v>invincible</v>
      </c>
      <c r="AF1579" s="49" t="str">
        <f t="shared" si="4"/>
        <v>popcorn,</v>
      </c>
      <c r="AG1579" s="49"/>
      <c r="AH1579" s="1" t="s">
        <v>1664</v>
      </c>
      <c r="AI1579" s="1" t="s">
        <v>3323</v>
      </c>
      <c r="AJ1579" s="6" t="str">
        <f>IFERROR(__xludf.DUMMYFUNCTION("""COMPUTED_VALUE"""),"constantly")</f>
        <v>constantly</v>
      </c>
      <c r="AK1579" s="49"/>
      <c r="AL1579" s="49"/>
      <c r="AM1579" s="49"/>
      <c r="AN1579" s="52" t="str">
        <f t="shared" si="5"/>
        <v>channel,</v>
      </c>
    </row>
    <row r="1580">
      <c r="A1580" s="51"/>
      <c r="B1580" s="50" t="s">
        <v>1330</v>
      </c>
      <c r="C1580" s="50" t="s">
        <v>3805</v>
      </c>
      <c r="D1580" s="49" t="str">
        <f>IFERROR(__xludf.DUMMYFUNCTION("""COMPUTED_VALUE"""),"conversation")</f>
        <v>conversation</v>
      </c>
      <c r="E1580" s="49"/>
      <c r="F1580" s="49"/>
      <c r="G1580" s="49"/>
      <c r="H1580" s="54" t="str">
        <f t="shared" si="1"/>
        <v>run,</v>
      </c>
      <c r="I1580" s="50"/>
      <c r="J1580" s="50" t="s">
        <v>4018</v>
      </c>
      <c r="K1580" s="50" t="s">
        <v>2355</v>
      </c>
      <c r="L1580" s="49"/>
      <c r="M1580" s="49"/>
      <c r="N1580" s="49"/>
      <c r="O1580" s="49" t="str">
        <f>IFERROR(__xludf.DUMMYFUNCTION("""COMPUTED_VALUE"""),"forcefully")</f>
        <v>forcefully</v>
      </c>
      <c r="P1580" s="49" t="str">
        <f t="shared" si="2"/>
        <v>encouraging,</v>
      </c>
      <c r="Q1580" s="49"/>
      <c r="R1580" s="50" t="s">
        <v>2158</v>
      </c>
      <c r="S1580" s="55" t="s">
        <v>3098</v>
      </c>
      <c r="T1580" s="49" t="str">
        <f>IFERROR(__xludf.DUMMYFUNCTION("""COMPUTED_VALUE"""),"handled")</f>
        <v>handled</v>
      </c>
      <c r="U1580" s="49"/>
      <c r="V1580" s="49"/>
      <c r="W1580" s="49" t="str">
        <f>IFERROR(__xludf.DUMMYFUNCTION("""COMPUTED_VALUE"""),"remembered")</f>
        <v>remembered</v>
      </c>
      <c r="X1580" s="49" t="str">
        <f t="shared" si="3"/>
        <v>doses,</v>
      </c>
      <c r="Y1580" s="49"/>
      <c r="Z1580" s="1" t="s">
        <v>6728</v>
      </c>
      <c r="AA1580" s="1" t="s">
        <v>4722</v>
      </c>
      <c r="AB1580" s="49"/>
      <c r="AC1580" s="49"/>
      <c r="AD1580" s="49"/>
      <c r="AE1580" s="49" t="str">
        <f>IFERROR(__xludf.DUMMYFUNCTION("""COMPUTED_VALUE"""),"forcefully")</f>
        <v>forcefully</v>
      </c>
      <c r="AF1580" s="49" t="str">
        <f t="shared" si="4"/>
        <v>regret,</v>
      </c>
      <c r="AG1580" s="49"/>
      <c r="AH1580" s="1" t="s">
        <v>3905</v>
      </c>
      <c r="AI1580" s="1" t="s">
        <v>1189</v>
      </c>
      <c r="AJ1580" s="6" t="str">
        <f>IFERROR(__xludf.DUMMYFUNCTION("""COMPUTED_VALUE"""),"general")</f>
        <v>general</v>
      </c>
      <c r="AK1580" s="49"/>
      <c r="AL1580" s="49"/>
      <c r="AM1580" s="49"/>
      <c r="AN1580" s="52" t="str">
        <f t="shared" si="5"/>
        <v>figure,</v>
      </c>
    </row>
    <row r="1581">
      <c r="A1581" s="51"/>
      <c r="B1581" s="50" t="s">
        <v>5530</v>
      </c>
      <c r="C1581" s="50" t="s">
        <v>4279</v>
      </c>
      <c r="D1581" s="49" t="str">
        <f>IFERROR(__xludf.DUMMYFUNCTION("""COMPUTED_VALUE"""),"moore")</f>
        <v>moore</v>
      </c>
      <c r="E1581" s="49"/>
      <c r="F1581" s="49"/>
      <c r="G1581" s="49"/>
      <c r="H1581" s="54" t="str">
        <f t="shared" si="1"/>
        <v>chief,</v>
      </c>
      <c r="I1581" s="50"/>
      <c r="J1581" s="50" t="s">
        <v>5837</v>
      </c>
      <c r="K1581" s="50" t="s">
        <v>2826</v>
      </c>
      <c r="L1581" s="49"/>
      <c r="M1581" s="49"/>
      <c r="N1581" s="49"/>
      <c r="O1581" s="49" t="str">
        <f>IFERROR(__xludf.DUMMYFUNCTION("""COMPUTED_VALUE"""),"combustion")</f>
        <v>combustion</v>
      </c>
      <c r="P1581" s="49" t="str">
        <f t="shared" si="2"/>
        <v>reached,</v>
      </c>
      <c r="Q1581" s="49"/>
      <c r="R1581" s="50" t="s">
        <v>5308</v>
      </c>
      <c r="S1581" s="55" t="s">
        <v>4139</v>
      </c>
      <c r="T1581" s="49" t="str">
        <f>IFERROR(__xludf.DUMMYFUNCTION("""COMPUTED_VALUE"""),"pays")</f>
        <v>pays</v>
      </c>
      <c r="U1581" s="49"/>
      <c r="V1581" s="49"/>
      <c r="W1581" s="49" t="str">
        <f>IFERROR(__xludf.DUMMYFUNCTION("""COMPUTED_VALUE"""),"manipulating")</f>
        <v>manipulating</v>
      </c>
      <c r="X1581" s="49" t="str">
        <f t="shared" si="3"/>
        <v>wonders,</v>
      </c>
      <c r="Y1581" s="49"/>
      <c r="Z1581" s="1" t="s">
        <v>3819</v>
      </c>
      <c r="AA1581" s="1" t="s">
        <v>4723</v>
      </c>
      <c r="AB1581" s="49"/>
      <c r="AC1581" s="49"/>
      <c r="AD1581" s="49"/>
      <c r="AE1581" s="49" t="str">
        <f>IFERROR(__xludf.DUMMYFUNCTION("""COMPUTED_VALUE"""),"combustion")</f>
        <v>combustion</v>
      </c>
      <c r="AF1581" s="49" t="str">
        <f t="shared" si="4"/>
        <v>unless,</v>
      </c>
      <c r="AG1581" s="49"/>
      <c r="AH1581" s="1" t="s">
        <v>2852</v>
      </c>
      <c r="AI1581" s="1" t="s">
        <v>2150</v>
      </c>
      <c r="AJ1581" s="6" t="str">
        <f>IFERROR(__xludf.DUMMYFUNCTION("""COMPUTED_VALUE"""),"above")</f>
        <v>above</v>
      </c>
      <c r="AK1581" s="49"/>
      <c r="AL1581" s="49"/>
      <c r="AM1581" s="49"/>
      <c r="AN1581" s="52" t="str">
        <f t="shared" si="5"/>
        <v>featuring,</v>
      </c>
    </row>
    <row r="1582">
      <c r="A1582" s="51"/>
      <c r="B1582" s="50" t="s">
        <v>3853</v>
      </c>
      <c r="C1582" s="50" t="s">
        <v>3814</v>
      </c>
      <c r="D1582" s="49" t="str">
        <f>IFERROR(__xludf.DUMMYFUNCTION("""COMPUTED_VALUE"""),"bowling")</f>
        <v>bowling</v>
      </c>
      <c r="E1582" s="49"/>
      <c r="F1582" s="49"/>
      <c r="G1582" s="49"/>
      <c r="H1582" s="54" t="str">
        <f t="shared" si="1"/>
        <v>mark,</v>
      </c>
      <c r="I1582" s="50"/>
      <c r="J1582" s="50" t="s">
        <v>376</v>
      </c>
      <c r="K1582" s="50" t="s">
        <v>2829</v>
      </c>
      <c r="L1582" s="49"/>
      <c r="M1582" s="49"/>
      <c r="N1582" s="49"/>
      <c r="O1582" s="49" t="str">
        <f>IFERROR(__xludf.DUMMYFUNCTION("""COMPUTED_VALUE"""),"barlow")</f>
        <v>barlow</v>
      </c>
      <c r="P1582" s="49" t="str">
        <f t="shared" si="2"/>
        <v>intelligent,</v>
      </c>
      <c r="Q1582" s="49"/>
      <c r="R1582" s="50" t="s">
        <v>3127</v>
      </c>
      <c r="S1582" s="55" t="s">
        <v>4278</v>
      </c>
      <c r="T1582" s="49" t="str">
        <f>IFERROR(__xludf.DUMMYFUNCTION("""COMPUTED_VALUE"""),"convince")</f>
        <v>convince</v>
      </c>
      <c r="U1582" s="49"/>
      <c r="V1582" s="49"/>
      <c r="W1582" s="49" t="str">
        <f>IFERROR(__xludf.DUMMYFUNCTION("""COMPUTED_VALUE"""),"implications")</f>
        <v>implications</v>
      </c>
      <c r="X1582" s="49" t="str">
        <f t="shared" si="3"/>
        <v>scenic,</v>
      </c>
      <c r="Y1582" s="49"/>
      <c r="Z1582" s="1" t="s">
        <v>3760</v>
      </c>
      <c r="AA1582" s="1" t="s">
        <v>4727</v>
      </c>
      <c r="AB1582" s="49"/>
      <c r="AC1582" s="49"/>
      <c r="AD1582" s="49"/>
      <c r="AE1582" s="49" t="str">
        <f>IFERROR(__xludf.DUMMYFUNCTION("""COMPUTED_VALUE"""),"barlow")</f>
        <v>barlow</v>
      </c>
      <c r="AF1582" s="49" t="str">
        <f t="shared" si="4"/>
        <v>quickly,</v>
      </c>
      <c r="AG1582" s="49"/>
      <c r="AH1582" s="1" t="s">
        <v>6576</v>
      </c>
      <c r="AI1582" s="1" t="s">
        <v>4428</v>
      </c>
      <c r="AJ1582" s="6" t="str">
        <f>IFERROR(__xludf.DUMMYFUNCTION("""COMPUTED_VALUE"""),"gold")</f>
        <v>gold</v>
      </c>
      <c r="AK1582" s="49"/>
      <c r="AL1582" s="49"/>
      <c r="AM1582" s="49"/>
      <c r="AN1582" s="52" t="str">
        <f t="shared" si="5"/>
        <v>speaking,</v>
      </c>
    </row>
    <row r="1583">
      <c r="A1583" s="51"/>
      <c r="B1583" s="50" t="s">
        <v>2673</v>
      </c>
      <c r="C1583" s="50" t="s">
        <v>6520</v>
      </c>
      <c r="D1583" s="49" t="str">
        <f>IFERROR(__xludf.DUMMYFUNCTION("""COMPUTED_VALUE"""),"holding")</f>
        <v>holding</v>
      </c>
      <c r="E1583" s="49"/>
      <c r="F1583" s="49"/>
      <c r="G1583" s="49"/>
      <c r="H1583" s="54" t="str">
        <f t="shared" si="1"/>
        <v>jones,</v>
      </c>
      <c r="I1583" s="50"/>
      <c r="J1583" s="50" t="s">
        <v>1380</v>
      </c>
      <c r="K1583" s="50" t="s">
        <v>1588</v>
      </c>
      <c r="L1583" s="49"/>
      <c r="M1583" s="49"/>
      <c r="N1583" s="49"/>
      <c r="O1583" s="49" t="str">
        <f>IFERROR(__xludf.DUMMYFUNCTION("""COMPUTED_VALUE"""),"coping")</f>
        <v>coping</v>
      </c>
      <c r="P1583" s="49" t="str">
        <f t="shared" si="2"/>
        <v>stale,</v>
      </c>
      <c r="Q1583" s="49"/>
      <c r="R1583" s="50" t="s">
        <v>3100</v>
      </c>
      <c r="S1583" s="55" t="s">
        <v>4555</v>
      </c>
      <c r="T1583" s="49" t="str">
        <f>IFERROR(__xludf.DUMMYFUNCTION("""COMPUTED_VALUE"""),"sought")</f>
        <v>sought</v>
      </c>
      <c r="U1583" s="49"/>
      <c r="V1583" s="49"/>
      <c r="W1583" s="49" t="str">
        <f>IFERROR(__xludf.DUMMYFUNCTION("""COMPUTED_VALUE"""),"hypothesis")</f>
        <v>hypothesis</v>
      </c>
      <c r="X1583" s="49" t="str">
        <f t="shared" si="3"/>
        <v>catches,</v>
      </c>
      <c r="Y1583" s="49"/>
      <c r="Z1583" s="1" t="s">
        <v>4510</v>
      </c>
      <c r="AA1583" s="1" t="s">
        <v>3209</v>
      </c>
      <c r="AB1583" s="49"/>
      <c r="AC1583" s="49"/>
      <c r="AD1583" s="49"/>
      <c r="AE1583" s="49" t="str">
        <f>IFERROR(__xludf.DUMMYFUNCTION("""COMPUTED_VALUE"""),"coping")</f>
        <v>coping</v>
      </c>
      <c r="AF1583" s="49" t="str">
        <f t="shared" si="4"/>
        <v>giving,</v>
      </c>
      <c r="AG1583" s="49"/>
      <c r="AH1583" s="1" t="s">
        <v>4933</v>
      </c>
      <c r="AI1583" s="1" t="s">
        <v>4608</v>
      </c>
      <c r="AJ1583" s="6" t="str">
        <f>IFERROR(__xludf.DUMMYFUNCTION("""COMPUTED_VALUE"""),"particularly")</f>
        <v>particularly</v>
      </c>
      <c r="AK1583" s="49"/>
      <c r="AL1583" s="49"/>
      <c r="AM1583" s="49"/>
      <c r="AN1583" s="52" t="str">
        <f t="shared" si="5"/>
        <v>figures,</v>
      </c>
    </row>
    <row r="1584">
      <c r="A1584" s="51"/>
      <c r="B1584" s="50" t="s">
        <v>3659</v>
      </c>
      <c r="C1584" s="50" t="s">
        <v>873</v>
      </c>
      <c r="D1584" s="49" t="str">
        <f>IFERROR(__xludf.DUMMYFUNCTION("""COMPUTED_VALUE"""),"known")</f>
        <v>known</v>
      </c>
      <c r="E1584" s="49"/>
      <c r="F1584" s="49"/>
      <c r="G1584" s="49"/>
      <c r="H1584" s="54" t="str">
        <f t="shared" si="1"/>
        <v>extra,</v>
      </c>
      <c r="I1584" s="50"/>
      <c r="J1584" s="50" t="s">
        <v>6437</v>
      </c>
      <c r="K1584" s="50" t="s">
        <v>693</v>
      </c>
      <c r="L1584" s="49"/>
      <c r="M1584" s="49"/>
      <c r="N1584" s="49"/>
      <c r="O1584" s="49" t="str">
        <f>IFERROR(__xludf.DUMMYFUNCTION("""COMPUTED_VALUE"""),"copenhagen")</f>
        <v>copenhagen</v>
      </c>
      <c r="P1584" s="49" t="str">
        <f t="shared" si="2"/>
        <v>loved,</v>
      </c>
      <c r="Q1584" s="49"/>
      <c r="R1584" s="50" t="s">
        <v>6848</v>
      </c>
      <c r="S1584" s="55" t="s">
        <v>2729</v>
      </c>
      <c r="T1584" s="49" t="str">
        <f>IFERROR(__xludf.DUMMYFUNCTION("""COMPUTED_VALUE"""),"classify")</f>
        <v>classify</v>
      </c>
      <c r="U1584" s="49"/>
      <c r="V1584" s="49"/>
      <c r="W1584" s="49" t="str">
        <f>IFERROR(__xludf.DUMMYFUNCTION("""COMPUTED_VALUE"""),"elemental")</f>
        <v>elemental</v>
      </c>
      <c r="X1584" s="49" t="str">
        <f t="shared" si="3"/>
        <v>maintained,</v>
      </c>
      <c r="Y1584" s="49"/>
      <c r="Z1584" s="1" t="s">
        <v>3172</v>
      </c>
      <c r="AA1584" s="1" t="s">
        <v>2011</v>
      </c>
      <c r="AB1584" s="49"/>
      <c r="AC1584" s="49"/>
      <c r="AD1584" s="49"/>
      <c r="AE1584" s="49" t="str">
        <f>IFERROR(__xludf.DUMMYFUNCTION("""COMPUTED_VALUE"""),"copenhagen")</f>
        <v>copenhagen</v>
      </c>
      <c r="AF1584" s="49" t="str">
        <f t="shared" si="4"/>
        <v>combined,</v>
      </c>
      <c r="AG1584" s="49"/>
      <c r="AH1584" s="1" t="s">
        <v>3338</v>
      </c>
      <c r="AI1584" s="1" t="s">
        <v>6519</v>
      </c>
      <c r="AJ1584" s="6" t="str">
        <f>IFERROR(__xludf.DUMMYFUNCTION("""COMPUTED_VALUE"""),"touch")</f>
        <v>touch</v>
      </c>
      <c r="AK1584" s="49"/>
      <c r="AL1584" s="49"/>
      <c r="AM1584" s="49"/>
      <c r="AN1584" s="52" t="str">
        <f t="shared" si="5"/>
        <v>cup,</v>
      </c>
    </row>
    <row r="1585">
      <c r="A1585" s="51"/>
      <c r="B1585" s="50" t="s">
        <v>3963</v>
      </c>
      <c r="C1585" s="50" t="s">
        <v>4488</v>
      </c>
      <c r="D1585" s="49" t="str">
        <f>IFERROR(__xludf.DUMMYFUNCTION("""COMPUTED_VALUE"""),"country")</f>
        <v>country</v>
      </c>
      <c r="E1585" s="49"/>
      <c r="F1585" s="49"/>
      <c r="G1585" s="49"/>
      <c r="H1585" s="54" t="str">
        <f t="shared" si="1"/>
        <v>samuel,</v>
      </c>
      <c r="I1585" s="50"/>
      <c r="J1585" s="50" t="s">
        <v>178</v>
      </c>
      <c r="K1585" s="50" t="s">
        <v>859</v>
      </c>
      <c r="L1585" s="49"/>
      <c r="M1585" s="49"/>
      <c r="N1585" s="49"/>
      <c r="O1585" s="49" t="str">
        <f>IFERROR(__xludf.DUMMYFUNCTION("""COMPUTED_VALUE"""),"winger")</f>
        <v>winger</v>
      </c>
      <c r="P1585" s="49" t="str">
        <f t="shared" si="2"/>
        <v>witty,</v>
      </c>
      <c r="Q1585" s="49"/>
      <c r="R1585" s="50" t="s">
        <v>483</v>
      </c>
      <c r="S1585" s="55" t="s">
        <v>4558</v>
      </c>
      <c r="T1585" s="49" t="str">
        <f>IFERROR(__xludf.DUMMYFUNCTION("""COMPUTED_VALUE"""),"speculative")</f>
        <v>speculative</v>
      </c>
      <c r="U1585" s="49"/>
      <c r="V1585" s="49"/>
      <c r="W1585" s="49" t="str">
        <f>IFERROR(__xludf.DUMMYFUNCTION("""COMPUTED_VALUE"""),"worried")</f>
        <v>worried</v>
      </c>
      <c r="X1585" s="49" t="str">
        <f t="shared" si="3"/>
        <v>dignity,</v>
      </c>
      <c r="Y1585" s="49"/>
      <c r="Z1585" s="1" t="s">
        <v>1706</v>
      </c>
      <c r="AA1585" s="1" t="s">
        <v>4729</v>
      </c>
      <c r="AB1585" s="49"/>
      <c r="AC1585" s="49"/>
      <c r="AD1585" s="49"/>
      <c r="AE1585" s="49" t="str">
        <f>IFERROR(__xludf.DUMMYFUNCTION("""COMPUTED_VALUE"""),"winger")</f>
        <v>winger</v>
      </c>
      <c r="AF1585" s="49" t="str">
        <f t="shared" si="4"/>
        <v>humanity,</v>
      </c>
      <c r="AG1585" s="49"/>
      <c r="AH1585" s="1" t="s">
        <v>1665</v>
      </c>
      <c r="AI1585" s="1" t="s">
        <v>2764</v>
      </c>
      <c r="AJ1585" s="6" t="str">
        <f>IFERROR(__xludf.DUMMYFUNCTION("""COMPUTED_VALUE"""),"therefore")</f>
        <v>therefore</v>
      </c>
      <c r="AK1585" s="49"/>
      <c r="AL1585" s="49"/>
      <c r="AM1585" s="49"/>
      <c r="AN1585" s="52" t="str">
        <f t="shared" si="5"/>
        <v>turn,</v>
      </c>
    </row>
    <row r="1586">
      <c r="A1586" s="51"/>
      <c r="B1586" s="50" t="s">
        <v>6899</v>
      </c>
      <c r="C1586" s="50">
        <v>99.0</v>
      </c>
      <c r="D1586" s="49" t="str">
        <f>IFERROR(__xludf.DUMMYFUNCTION("""COMPUTED_VALUE"""),"rank")</f>
        <v>rank</v>
      </c>
      <c r="E1586" s="49"/>
      <c r="F1586" s="49"/>
      <c r="G1586" s="49"/>
      <c r="H1586" s="54" t="str">
        <f t="shared" si="1"/>
        <v>riding,</v>
      </c>
      <c r="I1586" s="50"/>
      <c r="J1586" s="50" t="s">
        <v>1148</v>
      </c>
      <c r="K1586" s="50" t="s">
        <v>4731</v>
      </c>
      <c r="L1586" s="49"/>
      <c r="M1586" s="49"/>
      <c r="N1586" s="49"/>
      <c r="O1586" s="49" t="str">
        <f>IFERROR(__xludf.DUMMYFUNCTION("""COMPUTED_VALUE"""),"addresses")</f>
        <v>addresses</v>
      </c>
      <c r="P1586" s="49" t="str">
        <f t="shared" si="2"/>
        <v>elaborate,</v>
      </c>
      <c r="Q1586" s="49"/>
      <c r="R1586" s="50" t="s">
        <v>2432</v>
      </c>
      <c r="S1586" s="55" t="s">
        <v>4744</v>
      </c>
      <c r="T1586" s="49" t="str">
        <f>IFERROR(__xludf.DUMMYFUNCTION("""COMPUTED_VALUE"""),"welsh")</f>
        <v>welsh</v>
      </c>
      <c r="U1586" s="49"/>
      <c r="V1586" s="49"/>
      <c r="W1586" s="49" t="str">
        <f>IFERROR(__xludf.DUMMYFUNCTION("""COMPUTED_VALUE"""),"fulfilling")</f>
        <v>fulfilling</v>
      </c>
      <c r="X1586" s="49" t="str">
        <f t="shared" si="3"/>
        <v>spite,</v>
      </c>
      <c r="Y1586" s="49"/>
      <c r="Z1586" s="1" t="s">
        <v>1489</v>
      </c>
      <c r="AA1586" s="1" t="s">
        <v>2689</v>
      </c>
      <c r="AB1586" s="49"/>
      <c r="AC1586" s="49"/>
      <c r="AD1586" s="49"/>
      <c r="AE1586" s="49" t="str">
        <f>IFERROR(__xludf.DUMMYFUNCTION("""COMPUTED_VALUE"""),"addresses")</f>
        <v>addresses</v>
      </c>
      <c r="AF1586" s="49" t="str">
        <f t="shared" si="4"/>
        <v>community,</v>
      </c>
      <c r="AG1586" s="49"/>
      <c r="AH1586" s="1" t="s">
        <v>2544</v>
      </c>
      <c r="AI1586" s="1" t="s">
        <v>4437</v>
      </c>
      <c r="AJ1586" s="6" t="str">
        <f>IFERROR(__xludf.DUMMYFUNCTION("""COMPUTED_VALUE"""),"mentioned")</f>
        <v>mentioned</v>
      </c>
      <c r="AK1586" s="49"/>
      <c r="AL1586" s="49"/>
      <c r="AM1586" s="49"/>
      <c r="AN1586" s="52" t="str">
        <f t="shared" si="5"/>
        <v>towards,</v>
      </c>
    </row>
    <row r="1587">
      <c r="A1587" s="51"/>
      <c r="B1587" s="50" t="s">
        <v>6856</v>
      </c>
      <c r="C1587" s="50" t="s">
        <v>3816</v>
      </c>
      <c r="D1587" s="49" t="str">
        <f>IFERROR(__xludf.DUMMYFUNCTION("""COMPUTED_VALUE"""),"jacques")</f>
        <v>jacques</v>
      </c>
      <c r="E1587" s="49"/>
      <c r="F1587" s="49"/>
      <c r="G1587" s="49"/>
      <c r="H1587" s="54" t="str">
        <f t="shared" si="1"/>
        <v>tail,</v>
      </c>
      <c r="I1587" s="50"/>
      <c r="J1587" s="50" t="s">
        <v>5187</v>
      </c>
      <c r="K1587" s="50" t="s">
        <v>3065</v>
      </c>
      <c r="L1587" s="49"/>
      <c r="M1587" s="49"/>
      <c r="N1587" s="49"/>
      <c r="O1587" s="49" t="str">
        <f>IFERROR(__xludf.DUMMYFUNCTION("""COMPUTED_VALUE"""),"cloak")</f>
        <v>cloak</v>
      </c>
      <c r="P1587" s="49" t="str">
        <f t="shared" si="2"/>
        <v>bitter,</v>
      </c>
      <c r="Q1587" s="49"/>
      <c r="R1587" s="50" t="s">
        <v>4699</v>
      </c>
      <c r="S1587" s="55" t="s">
        <v>2738</v>
      </c>
      <c r="T1587" s="49" t="str">
        <f>IFERROR(__xludf.DUMMYFUNCTION("""COMPUTED_VALUE"""),"filming")</f>
        <v>filming</v>
      </c>
      <c r="U1587" s="49"/>
      <c r="V1587" s="49"/>
      <c r="W1587" s="49" t="str">
        <f>IFERROR(__xludf.DUMMYFUNCTION("""COMPUTED_VALUE"""),"wrestler")</f>
        <v>wrestler</v>
      </c>
      <c r="X1587" s="49" t="str">
        <f t="shared" si="3"/>
        <v>degree,</v>
      </c>
      <c r="Y1587" s="49"/>
      <c r="Z1587" s="1" t="s">
        <v>6236</v>
      </c>
      <c r="AA1587" s="1" t="s">
        <v>4070</v>
      </c>
      <c r="AB1587" s="49"/>
      <c r="AC1587" s="49"/>
      <c r="AD1587" s="49"/>
      <c r="AE1587" s="49" t="str">
        <f>IFERROR(__xludf.DUMMYFUNCTION("""COMPUTED_VALUE"""),"cloak")</f>
        <v>cloak</v>
      </c>
      <c r="AF1587" s="49" t="str">
        <f t="shared" si="4"/>
        <v>amazing,</v>
      </c>
      <c r="AG1587" s="49"/>
      <c r="AH1587" s="1" t="s">
        <v>6667</v>
      </c>
      <c r="AI1587" s="1" t="s">
        <v>2769</v>
      </c>
      <c r="AJ1587" s="6" t="str">
        <f>IFERROR(__xludf.DUMMYFUNCTION("""COMPUTED_VALUE"""),"risk")</f>
        <v>risk</v>
      </c>
      <c r="AK1587" s="49"/>
      <c r="AL1587" s="49"/>
      <c r="AM1587" s="49"/>
      <c r="AN1587" s="52" t="str">
        <f t="shared" si="5"/>
        <v>happened,</v>
      </c>
    </row>
    <row r="1588">
      <c r="A1588" s="51"/>
      <c r="B1588" s="50" t="s">
        <v>1415</v>
      </c>
      <c r="C1588" s="50" t="s">
        <v>6406</v>
      </c>
      <c r="D1588" s="49" t="str">
        <f>IFERROR(__xludf.DUMMYFUNCTION("""COMPUTED_VALUE"""),"belongs")</f>
        <v>belongs</v>
      </c>
      <c r="E1588" s="49"/>
      <c r="F1588" s="49"/>
      <c r="G1588" s="49"/>
      <c r="H1588" s="54" t="str">
        <f t="shared" si="1"/>
        <v>harrison,</v>
      </c>
      <c r="I1588" s="50"/>
      <c r="J1588" s="50" t="s">
        <v>2730</v>
      </c>
      <c r="K1588" s="50" t="s">
        <v>4734</v>
      </c>
      <c r="L1588" s="49"/>
      <c r="M1588" s="49"/>
      <c r="N1588" s="49"/>
      <c r="O1588" s="49" t="str">
        <f>IFERROR(__xludf.DUMMYFUNCTION("""COMPUTED_VALUE"""),"eccentric")</f>
        <v>eccentric</v>
      </c>
      <c r="P1588" s="49" t="str">
        <f t="shared" si="2"/>
        <v>nominated,</v>
      </c>
      <c r="Q1588" s="49"/>
      <c r="R1588" s="50" t="s">
        <v>7069</v>
      </c>
      <c r="S1588" s="55" t="s">
        <v>2868</v>
      </c>
      <c r="T1588" s="49" t="str">
        <f>IFERROR(__xludf.DUMMYFUNCTION("""COMPUTED_VALUE"""),"groan")</f>
        <v>groan</v>
      </c>
      <c r="U1588" s="49"/>
      <c r="V1588" s="49"/>
      <c r="W1588" s="49" t="str">
        <f>IFERROR(__xludf.DUMMYFUNCTION("""COMPUTED_VALUE"""),"prostitute")</f>
        <v>prostitute</v>
      </c>
      <c r="X1588" s="49" t="str">
        <f t="shared" si="3"/>
        <v>aim,</v>
      </c>
      <c r="Y1588" s="49"/>
      <c r="Z1588" s="1" t="s">
        <v>4402</v>
      </c>
      <c r="AA1588" s="1" t="s">
        <v>3216</v>
      </c>
      <c r="AB1588" s="49"/>
      <c r="AC1588" s="49"/>
      <c r="AD1588" s="49"/>
      <c r="AE1588" s="49" t="str">
        <f>IFERROR(__xludf.DUMMYFUNCTION("""COMPUTED_VALUE"""),"eccentric")</f>
        <v>eccentric</v>
      </c>
      <c r="AF1588" s="49" t="str">
        <f t="shared" si="4"/>
        <v>moore,</v>
      </c>
      <c r="AG1588" s="49"/>
      <c r="AH1588" s="1" t="s">
        <v>742</v>
      </c>
      <c r="AI1588" s="1" t="s">
        <v>1350</v>
      </c>
      <c r="AJ1588" s="6" t="str">
        <f>IFERROR(__xludf.DUMMYFUNCTION("""COMPUTED_VALUE"""),"search")</f>
        <v>search</v>
      </c>
      <c r="AK1588" s="49"/>
      <c r="AL1588" s="49"/>
      <c r="AM1588" s="49"/>
      <c r="AN1588" s="52" t="str">
        <f t="shared" si="5"/>
        <v>miss,</v>
      </c>
    </row>
    <row r="1589">
      <c r="A1589" s="51"/>
      <c r="B1589" s="50" t="s">
        <v>6831</v>
      </c>
      <c r="C1589" s="50" t="s">
        <v>2579</v>
      </c>
      <c r="D1589" s="49" t="str">
        <f>IFERROR(__xludf.DUMMYFUNCTION("""COMPUTED_VALUE"""),"eight")</f>
        <v>eight</v>
      </c>
      <c r="E1589" s="49"/>
      <c r="F1589" s="49"/>
      <c r="G1589" s="49"/>
      <c r="H1589" s="54" t="str">
        <f t="shared" si="1"/>
        <v>escort,</v>
      </c>
      <c r="I1589" s="50"/>
      <c r="J1589" s="50" t="s">
        <v>6351</v>
      </c>
      <c r="K1589" s="50" t="s">
        <v>4737</v>
      </c>
      <c r="L1589" s="49"/>
      <c r="M1589" s="49"/>
      <c r="N1589" s="49"/>
      <c r="O1589" s="49" t="str">
        <f>IFERROR(__xludf.DUMMYFUNCTION("""COMPUTED_VALUE"""),"reagan")</f>
        <v>reagan</v>
      </c>
      <c r="P1589" s="49" t="str">
        <f t="shared" si="2"/>
        <v>diane,</v>
      </c>
      <c r="Q1589" s="49"/>
      <c r="R1589" s="50" t="s">
        <v>3714</v>
      </c>
      <c r="S1589" s="55" t="s">
        <v>2874</v>
      </c>
      <c r="T1589" s="49" t="str">
        <f>IFERROR(__xludf.DUMMYFUNCTION("""COMPUTED_VALUE"""),"spirituality")</f>
        <v>spirituality</v>
      </c>
      <c r="U1589" s="49"/>
      <c r="V1589" s="49"/>
      <c r="W1589" s="49" t="str">
        <f>IFERROR(__xludf.DUMMYFUNCTION("""COMPUTED_VALUE"""),"needy")</f>
        <v>needy</v>
      </c>
      <c r="X1589" s="49" t="str">
        <f t="shared" si="3"/>
        <v>ripe,</v>
      </c>
      <c r="Y1589" s="49"/>
      <c r="Z1589" s="1" t="s">
        <v>2505</v>
      </c>
      <c r="AA1589" s="1" t="s">
        <v>4662</v>
      </c>
      <c r="AB1589" s="49"/>
      <c r="AC1589" s="49"/>
      <c r="AD1589" s="49"/>
      <c r="AE1589" s="49" t="str">
        <f>IFERROR(__xludf.DUMMYFUNCTION("""COMPUTED_VALUE"""),"reagan")</f>
        <v>reagan</v>
      </c>
      <c r="AF1589" s="49" t="str">
        <f t="shared" si="4"/>
        <v>rate,</v>
      </c>
      <c r="AG1589" s="49"/>
      <c r="AH1589" s="1" t="s">
        <v>6610</v>
      </c>
      <c r="AI1589" s="1" t="s">
        <v>3939</v>
      </c>
      <c r="AJ1589" s="6" t="str">
        <f>IFERROR(__xludf.DUMMYFUNCTION("""COMPUTED_VALUE"""),"broad")</f>
        <v>broad</v>
      </c>
      <c r="AK1589" s="49"/>
      <c r="AL1589" s="49"/>
      <c r="AM1589" s="49"/>
      <c r="AN1589" s="52" t="str">
        <f t="shared" si="5"/>
        <v>coffee,</v>
      </c>
    </row>
    <row r="1590">
      <c r="A1590" s="51"/>
      <c r="B1590" s="50" t="s">
        <v>1631</v>
      </c>
      <c r="C1590" s="50" t="s">
        <v>4284</v>
      </c>
      <c r="D1590" s="49" t="str">
        <f>IFERROR(__xludf.DUMMYFUNCTION("""COMPUTED_VALUE"""),"pitch")</f>
        <v>pitch</v>
      </c>
      <c r="E1590" s="49"/>
      <c r="F1590" s="49"/>
      <c r="G1590" s="49"/>
      <c r="H1590" s="54" t="str">
        <f t="shared" si="1"/>
        <v>table,</v>
      </c>
      <c r="I1590" s="50"/>
      <c r="J1590" s="50" t="s">
        <v>449</v>
      </c>
      <c r="K1590" s="50" t="s">
        <v>2839</v>
      </c>
      <c r="L1590" s="49"/>
      <c r="M1590" s="49"/>
      <c r="N1590" s="49"/>
      <c r="O1590" s="49" t="str">
        <f>IFERROR(__xludf.DUMMYFUNCTION("""COMPUTED_VALUE"""),"damon")</f>
        <v>damon</v>
      </c>
      <c r="P1590" s="49" t="str">
        <f t="shared" si="2"/>
        <v>schumacher,</v>
      </c>
      <c r="Q1590" s="49"/>
      <c r="R1590" s="50" t="s">
        <v>7408</v>
      </c>
      <c r="S1590" s="55" t="s">
        <v>6535</v>
      </c>
      <c r="T1590" s="49" t="str">
        <f>IFERROR(__xludf.DUMMYFUNCTION("""COMPUTED_VALUE"""),"imagined")</f>
        <v>imagined</v>
      </c>
      <c r="U1590" s="49"/>
      <c r="V1590" s="49"/>
      <c r="W1590" s="49" t="str">
        <f>IFERROR(__xludf.DUMMYFUNCTION("""COMPUTED_VALUE"""),"radioactive")</f>
        <v>radioactive</v>
      </c>
      <c r="X1590" s="49" t="str">
        <f t="shared" si="3"/>
        <v>notch,</v>
      </c>
      <c r="Y1590" s="49"/>
      <c r="Z1590" s="1" t="s">
        <v>658</v>
      </c>
      <c r="AA1590" s="1" t="s">
        <v>1013</v>
      </c>
      <c r="AB1590" s="49"/>
      <c r="AC1590" s="49"/>
      <c r="AD1590" s="49"/>
      <c r="AE1590" s="49" t="str">
        <f>IFERROR(__xludf.DUMMYFUNCTION("""COMPUTED_VALUE"""),"damon")</f>
        <v>damon</v>
      </c>
      <c r="AF1590" s="49" t="str">
        <f t="shared" si="4"/>
        <v>constructed,</v>
      </c>
      <c r="AG1590" s="49"/>
      <c r="AH1590" s="1" t="s">
        <v>7409</v>
      </c>
      <c r="AI1590" s="1" t="s">
        <v>2772</v>
      </c>
      <c r="AJ1590" s="6" t="str">
        <f>IFERROR(__xludf.DUMMYFUNCTION("""COMPUTED_VALUE"""),"try")</f>
        <v>try</v>
      </c>
      <c r="AK1590" s="49"/>
      <c r="AL1590" s="49"/>
      <c r="AM1590" s="49"/>
      <c r="AN1590" s="52" t="str">
        <f t="shared" si="5"/>
        <v>carter,</v>
      </c>
    </row>
    <row r="1591">
      <c r="A1591" s="51"/>
      <c r="B1591" s="50" t="s">
        <v>6965</v>
      </c>
      <c r="C1591" s="50" t="s">
        <v>4288</v>
      </c>
      <c r="D1591" s="49" t="str">
        <f>IFERROR(__xludf.DUMMYFUNCTION("""COMPUTED_VALUE"""),"ended")</f>
        <v>ended</v>
      </c>
      <c r="E1591" s="49"/>
      <c r="F1591" s="49"/>
      <c r="G1591" s="49"/>
      <c r="H1591" s="54" t="str">
        <f t="shared" si="1"/>
        <v>manager,</v>
      </c>
      <c r="I1591" s="50"/>
      <c r="J1591" s="50" t="s">
        <v>2074</v>
      </c>
      <c r="K1591" s="50" t="s">
        <v>4205</v>
      </c>
      <c r="L1591" s="49"/>
      <c r="M1591" s="49"/>
      <c r="N1591" s="49"/>
      <c r="O1591" s="49">
        <f>IFERROR(__xludf.DUMMYFUNCTION("""COMPUTED_VALUE"""),163.0)</f>
        <v>163</v>
      </c>
      <c r="P1591" s="49" t="str">
        <f t="shared" si="2"/>
        <v>joel,</v>
      </c>
      <c r="Q1591" s="49"/>
      <c r="R1591" s="50" t="s">
        <v>6977</v>
      </c>
      <c r="S1591" s="55" t="s">
        <v>1466</v>
      </c>
      <c r="T1591" s="49" t="str">
        <f>IFERROR(__xludf.DUMMYFUNCTION("""COMPUTED_VALUE"""),"revolutionary")</f>
        <v>revolutionary</v>
      </c>
      <c r="U1591" s="49"/>
      <c r="V1591" s="49"/>
      <c r="W1591" s="49" t="str">
        <f>IFERROR(__xludf.DUMMYFUNCTION("""COMPUTED_VALUE"""),"demonic")</f>
        <v>demonic</v>
      </c>
      <c r="X1591" s="49" t="str">
        <f t="shared" si="3"/>
        <v>mass,</v>
      </c>
      <c r="Y1591" s="49"/>
      <c r="Z1591" s="1" t="s">
        <v>2115</v>
      </c>
      <c r="AA1591" s="1" t="s">
        <v>3219</v>
      </c>
      <c r="AB1591" s="49"/>
      <c r="AC1591" s="49"/>
      <c r="AD1591" s="49"/>
      <c r="AE1591" s="49">
        <f>IFERROR(__xludf.DUMMYFUNCTION("""COMPUTED_VALUE"""),163.0)</f>
        <v>163</v>
      </c>
      <c r="AF1591" s="49" t="str">
        <f t="shared" si="4"/>
        <v>test,</v>
      </c>
      <c r="AG1591" s="49"/>
      <c r="AH1591" s="1" t="s">
        <v>3118</v>
      </c>
      <c r="AI1591" s="1" t="s">
        <v>4620</v>
      </c>
      <c r="AJ1591" s="6" t="str">
        <f>IFERROR(__xludf.DUMMYFUNCTION("""COMPUTED_VALUE"""),"subject")</f>
        <v>subject</v>
      </c>
      <c r="AK1591" s="49"/>
      <c r="AL1591" s="49"/>
      <c r="AM1591" s="49"/>
      <c r="AN1591" s="52" t="str">
        <f t="shared" si="5"/>
        <v>raw,</v>
      </c>
    </row>
    <row r="1592">
      <c r="A1592" s="51"/>
      <c r="B1592" s="50" t="s">
        <v>4497</v>
      </c>
      <c r="C1592" s="50" t="s">
        <v>2584</v>
      </c>
      <c r="D1592" s="49" t="str">
        <f>IFERROR(__xludf.DUMMYFUNCTION("""COMPUTED_VALUE"""),"simple")</f>
        <v>simple</v>
      </c>
      <c r="E1592" s="49"/>
      <c r="F1592" s="49"/>
      <c r="G1592" s="49"/>
      <c r="H1592" s="54" t="str">
        <f t="shared" si="1"/>
        <v>chris,</v>
      </c>
      <c r="I1592" s="50"/>
      <c r="J1592" s="50" t="s">
        <v>3033</v>
      </c>
      <c r="K1592" s="50" t="s">
        <v>4741</v>
      </c>
      <c r="L1592" s="49"/>
      <c r="M1592" s="49"/>
      <c r="N1592" s="49"/>
      <c r="O1592" s="49" t="str">
        <f>IFERROR(__xludf.DUMMYFUNCTION("""COMPUTED_VALUE"""),"peace")</f>
        <v>peace</v>
      </c>
      <c r="P1592" s="49" t="str">
        <f t="shared" si="2"/>
        <v>ranks,</v>
      </c>
      <c r="Q1592" s="49"/>
      <c r="R1592" s="50" t="s">
        <v>2360</v>
      </c>
      <c r="S1592" s="55" t="s">
        <v>6536</v>
      </c>
      <c r="T1592" s="49" t="str">
        <f>IFERROR(__xludf.DUMMYFUNCTION("""COMPUTED_VALUE"""),"capture")</f>
        <v>capture</v>
      </c>
      <c r="U1592" s="49"/>
      <c r="V1592" s="49"/>
      <c r="W1592" s="49" t="str">
        <f>IFERROR(__xludf.DUMMYFUNCTION("""COMPUTED_VALUE"""),"distract")</f>
        <v>distract</v>
      </c>
      <c r="X1592" s="49" t="str">
        <f t="shared" si="3"/>
        <v>lunch,</v>
      </c>
      <c r="Y1592" s="49"/>
      <c r="Z1592" s="1" t="s">
        <v>3364</v>
      </c>
      <c r="AA1592" s="1" t="s">
        <v>3636</v>
      </c>
      <c r="AB1592" s="49"/>
      <c r="AC1592" s="49"/>
      <c r="AD1592" s="49"/>
      <c r="AE1592" s="49" t="str">
        <f>IFERROR(__xludf.DUMMYFUNCTION("""COMPUTED_VALUE"""),"peace")</f>
        <v>peace</v>
      </c>
      <c r="AF1592" s="49" t="str">
        <f t="shared" si="4"/>
        <v>twist,</v>
      </c>
      <c r="AG1592" s="49"/>
      <c r="AH1592" s="1" t="s">
        <v>4285</v>
      </c>
      <c r="AI1592" s="1" t="s">
        <v>4227</v>
      </c>
      <c r="AJ1592" s="6" t="str">
        <f>IFERROR(__xludf.DUMMYFUNCTION("""COMPUTED_VALUE"""),"add")</f>
        <v>add</v>
      </c>
      <c r="AK1592" s="49"/>
      <c r="AL1592" s="49"/>
      <c r="AM1592" s="49"/>
      <c r="AN1592" s="52" t="str">
        <f t="shared" si="5"/>
        <v>innocent,</v>
      </c>
    </row>
    <row r="1593">
      <c r="A1593" s="51"/>
      <c r="B1593" s="50" t="s">
        <v>4724</v>
      </c>
      <c r="C1593" s="50" t="s">
        <v>2581</v>
      </c>
      <c r="D1593" s="49" t="str">
        <f>IFERROR(__xludf.DUMMYFUNCTION("""COMPUTED_VALUE"""),"address")</f>
        <v>address</v>
      </c>
      <c r="E1593" s="49"/>
      <c r="F1593" s="49"/>
      <c r="G1593" s="49"/>
      <c r="H1593" s="54" t="str">
        <f t="shared" si="1"/>
        <v>silent,</v>
      </c>
      <c r="I1593" s="50"/>
      <c r="J1593" s="50" t="s">
        <v>3440</v>
      </c>
      <c r="K1593" s="50" t="s">
        <v>3548</v>
      </c>
      <c r="L1593" s="49"/>
      <c r="M1593" s="49"/>
      <c r="N1593" s="49"/>
      <c r="O1593" s="49" t="str">
        <f>IFERROR(__xludf.DUMMYFUNCTION("""COMPUTED_VALUE"""),"hailed")</f>
        <v>hailed</v>
      </c>
      <c r="P1593" s="49" t="str">
        <f t="shared" si="2"/>
        <v>mile,</v>
      </c>
      <c r="Q1593" s="49"/>
      <c r="R1593" s="50" t="s">
        <v>7410</v>
      </c>
      <c r="S1593" s="55" t="s">
        <v>4856</v>
      </c>
      <c r="T1593" s="49" t="str">
        <f>IFERROR(__xludf.DUMMYFUNCTION("""COMPUTED_VALUE"""),"reign")</f>
        <v>reign</v>
      </c>
      <c r="U1593" s="49"/>
      <c r="V1593" s="49"/>
      <c r="W1593" s="49" t="str">
        <f>IFERROR(__xludf.DUMMYFUNCTION("""COMPUTED_VALUE"""),"mode")</f>
        <v>mode</v>
      </c>
      <c r="X1593" s="49" t="str">
        <f t="shared" si="3"/>
        <v>ab,</v>
      </c>
      <c r="Y1593" s="49"/>
      <c r="Z1593" s="1" t="s">
        <v>2046</v>
      </c>
      <c r="AA1593" s="1" t="s">
        <v>2017</v>
      </c>
      <c r="AB1593" s="49"/>
      <c r="AC1593" s="49"/>
      <c r="AD1593" s="49"/>
      <c r="AE1593" s="49" t="str">
        <f>IFERROR(__xludf.DUMMYFUNCTION("""COMPUTED_VALUE"""),"hailed")</f>
        <v>hailed</v>
      </c>
      <c r="AF1593" s="49" t="str">
        <f t="shared" si="4"/>
        <v>brutal,</v>
      </c>
      <c r="AG1593" s="49"/>
      <c r="AH1593" s="1" t="s">
        <v>2246</v>
      </c>
      <c r="AI1593" s="1" t="s">
        <v>3436</v>
      </c>
      <c r="AJ1593" s="6" t="str">
        <f>IFERROR(__xludf.DUMMYFUNCTION("""COMPUTED_VALUE"""),"suicide")</f>
        <v>suicide</v>
      </c>
      <c r="AK1593" s="49"/>
      <c r="AL1593" s="49"/>
      <c r="AM1593" s="49"/>
      <c r="AN1593" s="52" t="str">
        <f t="shared" si="5"/>
        <v>honest,</v>
      </c>
    </row>
    <row r="1594">
      <c r="A1594" s="51"/>
      <c r="B1594" s="50" t="s">
        <v>3651</v>
      </c>
      <c r="C1594" s="50" t="s">
        <v>6500</v>
      </c>
      <c r="D1594" s="49" t="str">
        <f>IFERROR(__xludf.DUMMYFUNCTION("""COMPUTED_VALUE"""),"barely")</f>
        <v>barely</v>
      </c>
      <c r="E1594" s="49"/>
      <c r="F1594" s="49"/>
      <c r="G1594" s="49"/>
      <c r="H1594" s="54" t="str">
        <f t="shared" si="1"/>
        <v>reasons,</v>
      </c>
      <c r="I1594" s="50"/>
      <c r="J1594" s="50" t="s">
        <v>6465</v>
      </c>
      <c r="K1594" s="50" t="s">
        <v>1597</v>
      </c>
      <c r="L1594" s="49"/>
      <c r="M1594" s="49"/>
      <c r="N1594" s="49"/>
      <c r="O1594" s="49" t="str">
        <f>IFERROR(__xludf.DUMMYFUNCTION("""COMPUTED_VALUE"""),"commands")</f>
        <v>commands</v>
      </c>
      <c r="P1594" s="49" t="str">
        <f t="shared" si="2"/>
        <v>f,</v>
      </c>
      <c r="Q1594" s="49"/>
      <c r="R1594" s="50" t="s">
        <v>3785</v>
      </c>
      <c r="S1594" s="55" t="s">
        <v>497</v>
      </c>
      <c r="T1594" s="49" t="str">
        <f>IFERROR(__xludf.DUMMYFUNCTION("""COMPUTED_VALUE"""),"ceremonies")</f>
        <v>ceremonies</v>
      </c>
      <c r="U1594" s="49"/>
      <c r="V1594" s="49"/>
      <c r="W1594" s="49" t="str">
        <f>IFERROR(__xludf.DUMMYFUNCTION("""COMPUTED_VALUE"""),"siren")</f>
        <v>siren</v>
      </c>
      <c r="X1594" s="49" t="str">
        <f t="shared" si="3"/>
        <v>flaw,</v>
      </c>
      <c r="Y1594" s="49"/>
      <c r="Z1594" s="1" t="s">
        <v>6519</v>
      </c>
      <c r="AA1594" s="1" t="s">
        <v>1302</v>
      </c>
      <c r="AB1594" s="49"/>
      <c r="AC1594" s="49"/>
      <c r="AD1594" s="49"/>
      <c r="AE1594" s="49" t="str">
        <f>IFERROR(__xludf.DUMMYFUNCTION("""COMPUTED_VALUE"""),"commands")</f>
        <v>commands</v>
      </c>
      <c r="AF1594" s="49" t="str">
        <f t="shared" si="4"/>
        <v>lie,</v>
      </c>
      <c r="AG1594" s="49"/>
      <c r="AH1594" s="1" t="s">
        <v>1065</v>
      </c>
      <c r="AI1594" s="1" t="s">
        <v>3943</v>
      </c>
      <c r="AJ1594" s="6" t="str">
        <f>IFERROR(__xludf.DUMMYFUNCTION("""COMPUTED_VALUE"""),"unsuccessful")</f>
        <v>unsuccessful</v>
      </c>
      <c r="AK1594" s="49"/>
      <c r="AL1594" s="49"/>
      <c r="AM1594" s="49"/>
      <c r="AN1594" s="52" t="str">
        <f t="shared" si="5"/>
        <v>sensitive,</v>
      </c>
    </row>
    <row r="1595">
      <c r="A1595" s="51"/>
      <c r="B1595" s="50" t="s">
        <v>3623</v>
      </c>
      <c r="C1595" s="50" t="s">
        <v>2587</v>
      </c>
      <c r="D1595" s="49" t="str">
        <f>IFERROR(__xludf.DUMMYFUNCTION("""COMPUTED_VALUE"""),"radar")</f>
        <v>radar</v>
      </c>
      <c r="E1595" s="49"/>
      <c r="F1595" s="49"/>
      <c r="G1595" s="49"/>
      <c r="H1595" s="54" t="str">
        <f t="shared" si="1"/>
        <v>pool,</v>
      </c>
      <c r="I1595" s="50"/>
      <c r="J1595" s="50" t="s">
        <v>311</v>
      </c>
      <c r="K1595" s="50" t="s">
        <v>2849</v>
      </c>
      <c r="L1595" s="49"/>
      <c r="M1595" s="49"/>
      <c r="N1595" s="49"/>
      <c r="O1595" s="49" t="str">
        <f>IFERROR(__xludf.DUMMYFUNCTION("""COMPUTED_VALUE"""),"grit")</f>
        <v>grit</v>
      </c>
      <c r="P1595" s="49" t="str">
        <f t="shared" si="2"/>
        <v>absorbing,</v>
      </c>
      <c r="Q1595" s="49"/>
      <c r="R1595" s="50" t="s">
        <v>2821</v>
      </c>
      <c r="S1595" s="55" t="s">
        <v>2887</v>
      </c>
      <c r="T1595" s="49" t="str">
        <f>IFERROR(__xludf.DUMMYFUNCTION("""COMPUTED_VALUE"""),"moody")</f>
        <v>moody</v>
      </c>
      <c r="U1595" s="49"/>
      <c r="V1595" s="49"/>
      <c r="W1595" s="49" t="str">
        <f>IFERROR(__xludf.DUMMYFUNCTION("""COMPUTED_VALUE"""),"poking")</f>
        <v>poking</v>
      </c>
      <c r="X1595" s="49" t="str">
        <f t="shared" si="3"/>
        <v>technology,</v>
      </c>
      <c r="Y1595" s="49"/>
      <c r="Z1595" s="1" t="s">
        <v>4172</v>
      </c>
      <c r="AA1595" s="1" t="s">
        <v>4430</v>
      </c>
      <c r="AB1595" s="49"/>
      <c r="AC1595" s="49"/>
      <c r="AD1595" s="49"/>
      <c r="AE1595" s="49" t="str">
        <f>IFERROR(__xludf.DUMMYFUNCTION("""COMPUTED_VALUE"""),"grit")</f>
        <v>grit</v>
      </c>
      <c r="AF1595" s="49" t="str">
        <f t="shared" si="4"/>
        <v>george,</v>
      </c>
      <c r="AG1595" s="49"/>
      <c r="AH1595" s="1" t="s">
        <v>5401</v>
      </c>
      <c r="AI1595" s="1" t="s">
        <v>2662</v>
      </c>
      <c r="AJ1595" s="6" t="str">
        <f>IFERROR(__xludf.DUMMYFUNCTION("""COMPUTED_VALUE"""),"record")</f>
        <v>record</v>
      </c>
      <c r="AK1595" s="49"/>
      <c r="AL1595" s="49"/>
      <c r="AM1595" s="49"/>
      <c r="AN1595" s="52" t="str">
        <f t="shared" si="5"/>
        <v>win,</v>
      </c>
    </row>
    <row r="1596">
      <c r="A1596" s="51"/>
      <c r="B1596" s="50" t="s">
        <v>1602</v>
      </c>
      <c r="C1596" s="50" t="s">
        <v>5184</v>
      </c>
      <c r="D1596" s="49" t="str">
        <f>IFERROR(__xludf.DUMMYFUNCTION("""COMPUTED_VALUE"""),"lie")</f>
        <v>lie</v>
      </c>
      <c r="E1596" s="49"/>
      <c r="F1596" s="49"/>
      <c r="G1596" s="49"/>
      <c r="H1596" s="54" t="str">
        <f t="shared" si="1"/>
        <v>fan,</v>
      </c>
      <c r="I1596" s="50"/>
      <c r="J1596" s="50" t="s">
        <v>5132</v>
      </c>
      <c r="K1596" s="50" t="s">
        <v>4209</v>
      </c>
      <c r="L1596" s="49"/>
      <c r="M1596" s="49"/>
      <c r="N1596" s="49"/>
      <c r="O1596" s="49" t="str">
        <f>IFERROR(__xludf.DUMMYFUNCTION("""COMPUTED_VALUE"""),"endangered")</f>
        <v>endangered</v>
      </c>
      <c r="P1596" s="49" t="str">
        <f t="shared" si="2"/>
        <v>sober,</v>
      </c>
      <c r="Q1596" s="49"/>
      <c r="R1596" s="50" t="s">
        <v>6206</v>
      </c>
      <c r="S1596" s="55" t="s">
        <v>811</v>
      </c>
      <c r="T1596" s="49" t="str">
        <f>IFERROR(__xludf.DUMMYFUNCTION("""COMPUTED_VALUE"""),"homosexuality")</f>
        <v>homosexuality</v>
      </c>
      <c r="U1596" s="49"/>
      <c r="V1596" s="49"/>
      <c r="W1596" s="49" t="str">
        <f>IFERROR(__xludf.DUMMYFUNCTION("""COMPUTED_VALUE"""),"holmes")</f>
        <v>holmes</v>
      </c>
      <c r="X1596" s="49" t="str">
        <f t="shared" si="3"/>
        <v>conceal,</v>
      </c>
      <c r="Y1596" s="49"/>
      <c r="Z1596" s="1" t="s">
        <v>7319</v>
      </c>
      <c r="AA1596" s="1" t="s">
        <v>1927</v>
      </c>
      <c r="AB1596" s="49"/>
      <c r="AC1596" s="49"/>
      <c r="AD1596" s="49"/>
      <c r="AE1596" s="49" t="str">
        <f>IFERROR(__xludf.DUMMYFUNCTION("""COMPUTED_VALUE"""),"endangered")</f>
        <v>endangered</v>
      </c>
      <c r="AF1596" s="49" t="str">
        <f t="shared" si="4"/>
        <v>conceived,</v>
      </c>
      <c r="AG1596" s="49"/>
      <c r="AH1596" s="1" t="s">
        <v>1719</v>
      </c>
      <c r="AI1596" s="1" t="s">
        <v>4213</v>
      </c>
      <c r="AJ1596" s="6" t="str">
        <f>IFERROR(__xludf.DUMMYFUNCTION("""COMPUTED_VALUE"""),"martin")</f>
        <v>martin</v>
      </c>
      <c r="AK1596" s="49"/>
      <c r="AL1596" s="49"/>
      <c r="AM1596" s="49"/>
      <c r="AN1596" s="52" t="str">
        <f t="shared" si="5"/>
        <v>return,</v>
      </c>
    </row>
    <row r="1597">
      <c r="A1597" s="51"/>
      <c r="B1597" s="50" t="s">
        <v>4572</v>
      </c>
      <c r="C1597" s="50" t="s">
        <v>4506</v>
      </c>
      <c r="D1597" s="49" t="str">
        <f>IFERROR(__xludf.DUMMYFUNCTION("""COMPUTED_VALUE"""),"governments")</f>
        <v>governments</v>
      </c>
      <c r="E1597" s="49"/>
      <c r="F1597" s="49"/>
      <c r="G1597" s="49"/>
      <c r="H1597" s="54" t="str">
        <f t="shared" si="1"/>
        <v>seriously,</v>
      </c>
      <c r="I1597" s="50"/>
      <c r="J1597" s="50" t="s">
        <v>6456</v>
      </c>
      <c r="K1597" s="50" t="s">
        <v>1666</v>
      </c>
      <c r="L1597" s="49"/>
      <c r="M1597" s="49"/>
      <c r="N1597" s="49"/>
      <c r="O1597" s="49" t="str">
        <f>IFERROR(__xludf.DUMMYFUNCTION("""COMPUTED_VALUE"""),"heavyweight")</f>
        <v>heavyweight</v>
      </c>
      <c r="P1597" s="49" t="str">
        <f t="shared" si="2"/>
        <v>reserved,</v>
      </c>
      <c r="Q1597" s="49"/>
      <c r="R1597" s="50" t="s">
        <v>1857</v>
      </c>
      <c r="S1597" s="55" t="s">
        <v>2042</v>
      </c>
      <c r="T1597" s="49" t="str">
        <f>IFERROR(__xludf.DUMMYFUNCTION("""COMPUTED_VALUE"""),"exit")</f>
        <v>exit</v>
      </c>
      <c r="U1597" s="49"/>
      <c r="V1597" s="49"/>
      <c r="W1597" s="49" t="str">
        <f>IFERROR(__xludf.DUMMYFUNCTION("""COMPUTED_VALUE"""),"convictions")</f>
        <v>convictions</v>
      </c>
      <c r="X1597" s="49" t="str">
        <f t="shared" si="3"/>
        <v>chinese,</v>
      </c>
      <c r="Y1597" s="49"/>
      <c r="Z1597" s="1" t="s">
        <v>3854</v>
      </c>
      <c r="AA1597" s="1" t="s">
        <v>3223</v>
      </c>
      <c r="AB1597" s="49"/>
      <c r="AC1597" s="49"/>
      <c r="AD1597" s="49"/>
      <c r="AE1597" s="49" t="str">
        <f>IFERROR(__xludf.DUMMYFUNCTION("""COMPUTED_VALUE"""),"heavyweight")</f>
        <v>heavyweight</v>
      </c>
      <c r="AF1597" s="49" t="str">
        <f t="shared" si="4"/>
        <v>executed,</v>
      </c>
      <c r="AG1597" s="49"/>
      <c r="AH1597" s="1" t="s">
        <v>5589</v>
      </c>
      <c r="AI1597" s="1" t="s">
        <v>6522</v>
      </c>
      <c r="AJ1597" s="6" t="str">
        <f>IFERROR(__xludf.DUMMYFUNCTION("""COMPUTED_VALUE"""),"failed")</f>
        <v>failed</v>
      </c>
      <c r="AK1597" s="49"/>
      <c r="AL1597" s="49"/>
      <c r="AM1597" s="49"/>
      <c r="AN1597" s="52" t="str">
        <f t="shared" si="5"/>
        <v>charles,</v>
      </c>
    </row>
    <row r="1598">
      <c r="A1598" s="51"/>
      <c r="B1598" s="50" t="s">
        <v>4564</v>
      </c>
      <c r="C1598" s="50" t="s">
        <v>4503</v>
      </c>
      <c r="D1598" s="49" t="str">
        <f>IFERROR(__xludf.DUMMYFUNCTION("""COMPUTED_VALUE"""),"glory")</f>
        <v>glory</v>
      </c>
      <c r="E1598" s="49"/>
      <c r="F1598" s="49"/>
      <c r="G1598" s="49"/>
      <c r="H1598" s="54" t="str">
        <f t="shared" si="1"/>
        <v>marry,</v>
      </c>
      <c r="I1598" s="50"/>
      <c r="J1598" s="50" t="s">
        <v>193</v>
      </c>
      <c r="K1598" s="50" t="s">
        <v>4161</v>
      </c>
      <c r="L1598" s="49"/>
      <c r="M1598" s="49"/>
      <c r="N1598" s="49"/>
      <c r="O1598" s="49" t="str">
        <f>IFERROR(__xludf.DUMMYFUNCTION("""COMPUTED_VALUE"""),"unpaid")</f>
        <v>unpaid</v>
      </c>
      <c r="P1598" s="49" t="str">
        <f t="shared" si="2"/>
        <v>earnest,</v>
      </c>
      <c r="Q1598" s="49"/>
      <c r="R1598" s="50" t="s">
        <v>3693</v>
      </c>
      <c r="S1598" s="55" t="s">
        <v>94</v>
      </c>
      <c r="T1598" s="49" t="str">
        <f>IFERROR(__xludf.DUMMYFUNCTION("""COMPUTED_VALUE"""),"duration")</f>
        <v>duration</v>
      </c>
      <c r="U1598" s="49"/>
      <c r="V1598" s="49"/>
      <c r="W1598" s="49" t="str">
        <f>IFERROR(__xludf.DUMMYFUNCTION("""COMPUTED_VALUE"""),"posing")</f>
        <v>posing</v>
      </c>
      <c r="X1598" s="49" t="str">
        <f t="shared" si="3"/>
        <v>factor,</v>
      </c>
      <c r="Y1598" s="49"/>
      <c r="Z1598" s="1" t="s">
        <v>614</v>
      </c>
      <c r="AA1598" s="1" t="s">
        <v>2021</v>
      </c>
      <c r="AB1598" s="49"/>
      <c r="AC1598" s="49"/>
      <c r="AD1598" s="49"/>
      <c r="AE1598" s="49" t="str">
        <f>IFERROR(__xludf.DUMMYFUNCTION("""COMPUTED_VALUE"""),"unpaid")</f>
        <v>unpaid</v>
      </c>
      <c r="AF1598" s="49" t="str">
        <f t="shared" si="4"/>
        <v>poorly,</v>
      </c>
      <c r="AG1598" s="49"/>
      <c r="AH1598" s="1" t="s">
        <v>5581</v>
      </c>
      <c r="AI1598" s="1" t="s">
        <v>906</v>
      </c>
      <c r="AJ1598" s="6" t="str">
        <f>IFERROR(__xludf.DUMMYFUNCTION("""COMPUTED_VALUE"""),"state")</f>
        <v>state</v>
      </c>
      <c r="AK1598" s="49"/>
      <c r="AL1598" s="49"/>
      <c r="AM1598" s="49"/>
      <c r="AN1598" s="52" t="str">
        <f t="shared" si="5"/>
        <v>angel,</v>
      </c>
    </row>
    <row r="1599">
      <c r="A1599" s="51"/>
      <c r="B1599" s="50" t="s">
        <v>7139</v>
      </c>
      <c r="C1599" s="50" t="s">
        <v>6523</v>
      </c>
      <c r="D1599" s="49" t="str">
        <f>IFERROR(__xludf.DUMMYFUNCTION("""COMPUTED_VALUE"""),"fight")</f>
        <v>fight</v>
      </c>
      <c r="E1599" s="49"/>
      <c r="F1599" s="49"/>
      <c r="G1599" s="49"/>
      <c r="H1599" s="54" t="str">
        <f t="shared" si="1"/>
        <v>commitment,</v>
      </c>
      <c r="I1599" s="50"/>
      <c r="J1599" s="50" t="s">
        <v>7411</v>
      </c>
      <c r="K1599" s="50" t="s">
        <v>3078</v>
      </c>
      <c r="L1599" s="49"/>
      <c r="M1599" s="49"/>
      <c r="N1599" s="49"/>
      <c r="O1599" s="49" t="str">
        <f>IFERROR(__xludf.DUMMYFUNCTION("""COMPUTED_VALUE"""),"scandals")</f>
        <v>scandals</v>
      </c>
      <c r="P1599" s="49" t="str">
        <f t="shared" si="2"/>
        <v>ing,</v>
      </c>
      <c r="Q1599" s="49"/>
      <c r="R1599" s="50" t="s">
        <v>7101</v>
      </c>
      <c r="S1599" s="55" t="s">
        <v>2348</v>
      </c>
      <c r="T1599" s="49" t="str">
        <f>IFERROR(__xludf.DUMMYFUNCTION("""COMPUTED_VALUE"""),"resistance")</f>
        <v>resistance</v>
      </c>
      <c r="U1599" s="49"/>
      <c r="V1599" s="49"/>
      <c r="W1599" s="49" t="str">
        <f>IFERROR(__xludf.DUMMYFUNCTION("""COMPUTED_VALUE"""),"populace")</f>
        <v>populace</v>
      </c>
      <c r="X1599" s="49" t="str">
        <f t="shared" si="3"/>
        <v>chill,</v>
      </c>
      <c r="Y1599" s="49"/>
      <c r="Z1599" s="1" t="s">
        <v>3532</v>
      </c>
      <c r="AA1599" s="1" t="s">
        <v>3666</v>
      </c>
      <c r="AB1599" s="49"/>
      <c r="AC1599" s="49"/>
      <c r="AD1599" s="49"/>
      <c r="AE1599" s="49" t="str">
        <f>IFERROR(__xludf.DUMMYFUNCTION("""COMPUTED_VALUE"""),"scandals")</f>
        <v>scandals</v>
      </c>
      <c r="AF1599" s="49" t="str">
        <f t="shared" si="4"/>
        <v>adventure,</v>
      </c>
      <c r="AG1599" s="49"/>
      <c r="AH1599" s="1" t="s">
        <v>6622</v>
      </c>
      <c r="AI1599" s="1" t="s">
        <v>3366</v>
      </c>
      <c r="AJ1599" s="6" t="str">
        <f>IFERROR(__xludf.DUMMYFUNCTION("""COMPUTED_VALUE"""),"became")</f>
        <v>became</v>
      </c>
      <c r="AK1599" s="49"/>
      <c r="AL1599" s="49"/>
      <c r="AM1599" s="49"/>
      <c r="AN1599" s="52" t="str">
        <f t="shared" si="5"/>
        <v>heaven,</v>
      </c>
    </row>
    <row r="1600">
      <c r="A1600" s="51"/>
      <c r="B1600" s="50" t="s">
        <v>6334</v>
      </c>
      <c r="C1600" s="50" t="s">
        <v>6501</v>
      </c>
      <c r="D1600" s="49" t="str">
        <f>IFERROR(__xludf.DUMMYFUNCTION("""COMPUTED_VALUE"""),"god")</f>
        <v>god</v>
      </c>
      <c r="E1600" s="49"/>
      <c r="F1600" s="49"/>
      <c r="G1600" s="49"/>
      <c r="H1600" s="54" t="str">
        <f t="shared" si="1"/>
        <v>chances,</v>
      </c>
      <c r="I1600" s="50"/>
      <c r="J1600" s="50" t="s">
        <v>3589</v>
      </c>
      <c r="K1600" s="50" t="s">
        <v>864</v>
      </c>
      <c r="L1600" s="49"/>
      <c r="M1600" s="49"/>
      <c r="N1600" s="49"/>
      <c r="O1600" s="49" t="str">
        <f>IFERROR(__xludf.DUMMYFUNCTION("""COMPUTED_VALUE"""),"globe")</f>
        <v>globe</v>
      </c>
      <c r="P1600" s="49" t="str">
        <f t="shared" si="2"/>
        <v>illness,</v>
      </c>
      <c r="Q1600" s="49"/>
      <c r="R1600" s="50" t="s">
        <v>969</v>
      </c>
      <c r="S1600" s="55" t="s">
        <v>2898</v>
      </c>
      <c r="T1600" s="49" t="str">
        <f>IFERROR(__xludf.DUMMYFUNCTION("""COMPUTED_VALUE"""),"labeled")</f>
        <v>labeled</v>
      </c>
      <c r="U1600" s="49"/>
      <c r="V1600" s="49"/>
      <c r="W1600" s="49" t="str">
        <f>IFERROR(__xludf.DUMMYFUNCTION("""COMPUTED_VALUE"""),"excursion")</f>
        <v>excursion</v>
      </c>
      <c r="X1600" s="49" t="str">
        <f t="shared" si="3"/>
        <v>flesh,</v>
      </c>
      <c r="Y1600" s="49"/>
      <c r="Z1600" s="1" t="s">
        <v>5384</v>
      </c>
      <c r="AA1600" s="1" t="s">
        <v>2025</v>
      </c>
      <c r="AB1600" s="49"/>
      <c r="AC1600" s="49"/>
      <c r="AD1600" s="49"/>
      <c r="AE1600" s="49" t="str">
        <f>IFERROR(__xludf.DUMMYFUNCTION("""COMPUTED_VALUE"""),"globe")</f>
        <v>globe</v>
      </c>
      <c r="AF1600" s="49" t="str">
        <f t="shared" si="4"/>
        <v>motivated,</v>
      </c>
      <c r="AG1600" s="49"/>
      <c r="AH1600" s="1" t="s">
        <v>4484</v>
      </c>
      <c r="AI1600" s="1" t="s">
        <v>1357</v>
      </c>
      <c r="AJ1600" s="6" t="str">
        <f>IFERROR(__xludf.DUMMYFUNCTION("""COMPUTED_VALUE"""),"western")</f>
        <v>western</v>
      </c>
      <c r="AK1600" s="49"/>
      <c r="AL1600" s="49"/>
      <c r="AM1600" s="49"/>
      <c r="AN1600" s="52" t="str">
        <f t="shared" si="5"/>
        <v>research,</v>
      </c>
    </row>
    <row r="1601">
      <c r="A1601" s="51"/>
      <c r="B1601" s="50" t="s">
        <v>2865</v>
      </c>
      <c r="C1601" s="50" t="s">
        <v>4501</v>
      </c>
      <c r="D1601" s="49" t="str">
        <f>IFERROR(__xludf.DUMMYFUNCTION("""COMPUTED_VALUE"""),"floating")</f>
        <v>floating</v>
      </c>
      <c r="E1601" s="49"/>
      <c r="F1601" s="49"/>
      <c r="G1601" s="49"/>
      <c r="H1601" s="54" t="str">
        <f t="shared" si="1"/>
        <v>fears,</v>
      </c>
      <c r="I1601" s="50"/>
      <c r="J1601" s="50" t="s">
        <v>1178</v>
      </c>
      <c r="K1601" s="50" t="s">
        <v>1611</v>
      </c>
      <c r="L1601" s="49"/>
      <c r="M1601" s="49"/>
      <c r="N1601" s="49"/>
      <c r="O1601" s="49" t="str">
        <f>IFERROR(__xludf.DUMMYFUNCTION("""COMPUTED_VALUE"""),"rash")</f>
        <v>rash</v>
      </c>
      <c r="P1601" s="49" t="str">
        <f t="shared" si="2"/>
        <v>profound,</v>
      </c>
      <c r="Q1601" s="49"/>
      <c r="R1601" s="50" t="s">
        <v>4965</v>
      </c>
      <c r="S1601" s="55" t="s">
        <v>2747</v>
      </c>
      <c r="T1601" s="49" t="str">
        <f>IFERROR(__xludf.DUMMYFUNCTION("""COMPUTED_VALUE"""),"span")</f>
        <v>span</v>
      </c>
      <c r="U1601" s="49"/>
      <c r="V1601" s="49"/>
      <c r="W1601" s="49" t="str">
        <f>IFERROR(__xludf.DUMMYFUNCTION("""COMPUTED_VALUE"""),"venice")</f>
        <v>venice</v>
      </c>
      <c r="X1601" s="49" t="str">
        <f t="shared" si="3"/>
        <v>barbed,</v>
      </c>
      <c r="Y1601" s="49"/>
      <c r="Z1601" s="1" t="s">
        <v>3074</v>
      </c>
      <c r="AA1601" s="1" t="s">
        <v>3227</v>
      </c>
      <c r="AB1601" s="49"/>
      <c r="AC1601" s="49"/>
      <c r="AD1601" s="49"/>
      <c r="AE1601" s="49" t="str">
        <f>IFERROR(__xludf.DUMMYFUNCTION("""COMPUTED_VALUE"""),"rash")</f>
        <v>rash</v>
      </c>
      <c r="AF1601" s="49" t="str">
        <f t="shared" si="4"/>
        <v>generic,</v>
      </c>
      <c r="AG1601" s="49"/>
      <c r="AH1601" s="1" t="s">
        <v>3147</v>
      </c>
      <c r="AI1601" s="1" t="s">
        <v>4272</v>
      </c>
      <c r="AJ1601" s="6" t="str">
        <f>IFERROR(__xludf.DUMMYFUNCTION("""COMPUTED_VALUE"""),"beach")</f>
        <v>beach</v>
      </c>
      <c r="AK1601" s="49"/>
      <c r="AL1601" s="49"/>
      <c r="AM1601" s="49"/>
      <c r="AN1601" s="52" t="str">
        <f t="shared" si="5"/>
        <v>military,</v>
      </c>
    </row>
    <row r="1602">
      <c r="A1602" s="51"/>
      <c r="B1602" s="50" t="s">
        <v>1664</v>
      </c>
      <c r="C1602" s="50" t="s">
        <v>4509</v>
      </c>
      <c r="D1602" s="49" t="str">
        <f>IFERROR(__xludf.DUMMYFUNCTION("""COMPUTED_VALUE"""),"center")</f>
        <v>center</v>
      </c>
      <c r="E1602" s="49"/>
      <c r="F1602" s="49"/>
      <c r="G1602" s="49"/>
      <c r="H1602" s="54" t="str">
        <f t="shared" si="1"/>
        <v>channel,</v>
      </c>
      <c r="I1602" s="50"/>
      <c r="J1602" s="50" t="s">
        <v>2440</v>
      </c>
      <c r="K1602" s="50" t="s">
        <v>286</v>
      </c>
      <c r="L1602" s="49"/>
      <c r="M1602" s="49"/>
      <c r="N1602" s="49"/>
      <c r="O1602" s="49" t="str">
        <f>IFERROR(__xludf.DUMMYFUNCTION("""COMPUTED_VALUE"""),"bray")</f>
        <v>bray</v>
      </c>
      <c r="P1602" s="49" t="str">
        <f t="shared" si="2"/>
        <v>dose,</v>
      </c>
      <c r="Q1602" s="49"/>
      <c r="R1602" s="50" t="s">
        <v>4753</v>
      </c>
      <c r="S1602" s="55" t="s">
        <v>3475</v>
      </c>
      <c r="T1602" s="49" t="str">
        <f>IFERROR(__xludf.DUMMYFUNCTION("""COMPUTED_VALUE"""),"structured")</f>
        <v>structured</v>
      </c>
      <c r="U1602" s="49"/>
      <c r="V1602" s="49"/>
      <c r="W1602" s="49" t="str">
        <f>IFERROR(__xludf.DUMMYFUNCTION("""COMPUTED_VALUE"""),"mika")</f>
        <v>mika</v>
      </c>
      <c r="X1602" s="49" t="str">
        <f t="shared" si="3"/>
        <v>hawaiian,</v>
      </c>
      <c r="Y1602" s="49"/>
      <c r="Z1602" s="1" t="s">
        <v>6350</v>
      </c>
      <c r="AA1602" s="1" t="s">
        <v>3229</v>
      </c>
      <c r="AB1602" s="49"/>
      <c r="AC1602" s="49"/>
      <c r="AD1602" s="49"/>
      <c r="AE1602" s="49" t="str">
        <f>IFERROR(__xludf.DUMMYFUNCTION("""COMPUTED_VALUE"""),"bray")</f>
        <v>bray</v>
      </c>
      <c r="AF1602" s="49" t="str">
        <f t="shared" si="4"/>
        <v>easy,</v>
      </c>
      <c r="AG1602" s="49"/>
      <c r="AH1602" s="1" t="s">
        <v>2162</v>
      </c>
      <c r="AI1602" s="1" t="s">
        <v>3165</v>
      </c>
      <c r="AJ1602" s="6" t="str">
        <f>IFERROR(__xludf.DUMMYFUNCTION("""COMPUTED_VALUE"""),"max")</f>
        <v>max</v>
      </c>
      <c r="AK1602" s="49"/>
      <c r="AL1602" s="49"/>
      <c r="AM1602" s="49"/>
      <c r="AN1602" s="52" t="str">
        <f t="shared" si="5"/>
        <v>working,</v>
      </c>
    </row>
    <row r="1603">
      <c r="A1603" s="51"/>
      <c r="B1603" s="50" t="s">
        <v>3905</v>
      </c>
      <c r="C1603" s="50" t="s">
        <v>2656</v>
      </c>
      <c r="D1603" s="49" t="str">
        <f>IFERROR(__xludf.DUMMYFUNCTION("""COMPUTED_VALUE"""),"trade")</f>
        <v>trade</v>
      </c>
      <c r="E1603" s="49"/>
      <c r="F1603" s="49"/>
      <c r="G1603" s="49"/>
      <c r="H1603" s="54" t="str">
        <f t="shared" si="1"/>
        <v>figure,</v>
      </c>
      <c r="I1603" s="50"/>
      <c r="J1603" s="50" t="s">
        <v>720</v>
      </c>
      <c r="K1603" s="50" t="s">
        <v>1855</v>
      </c>
      <c r="L1603" s="49"/>
      <c r="M1603" s="49"/>
      <c r="N1603" s="49"/>
      <c r="O1603" s="49" t="str">
        <f>IFERROR(__xludf.DUMMYFUNCTION("""COMPUTED_VALUE"""),"ruse")</f>
        <v>ruse</v>
      </c>
      <c r="P1603" s="49" t="str">
        <f t="shared" si="2"/>
        <v>pleasures,</v>
      </c>
      <c r="Q1603" s="49"/>
      <c r="R1603" s="50" t="s">
        <v>5044</v>
      </c>
      <c r="S1603" s="55" t="s">
        <v>4088</v>
      </c>
      <c r="T1603" s="49" t="str">
        <f>IFERROR(__xludf.DUMMYFUNCTION("""COMPUTED_VALUE"""),"significantly")</f>
        <v>significantly</v>
      </c>
      <c r="U1603" s="49"/>
      <c r="V1603" s="49"/>
      <c r="W1603" s="49" t="str">
        <f>IFERROR(__xludf.DUMMYFUNCTION("""COMPUTED_VALUE"""),"fallon")</f>
        <v>fallon</v>
      </c>
      <c r="X1603" s="49" t="str">
        <f t="shared" si="3"/>
        <v>sons,</v>
      </c>
      <c r="Y1603" s="49"/>
      <c r="Z1603" s="1" t="s">
        <v>4932</v>
      </c>
      <c r="AA1603" s="1" t="s">
        <v>4749</v>
      </c>
      <c r="AB1603" s="49"/>
      <c r="AC1603" s="49"/>
      <c r="AD1603" s="49"/>
      <c r="AE1603" s="49" t="str">
        <f>IFERROR(__xludf.DUMMYFUNCTION("""COMPUTED_VALUE"""),"ruse")</f>
        <v>ruse</v>
      </c>
      <c r="AF1603" s="49" t="str">
        <f t="shared" si="4"/>
        <v>disappointment,</v>
      </c>
      <c r="AG1603" s="49"/>
      <c r="AH1603" s="1" t="s">
        <v>4463</v>
      </c>
      <c r="AI1603" s="1" t="s">
        <v>929</v>
      </c>
      <c r="AJ1603" s="6" t="str">
        <f>IFERROR(__xludf.DUMMYFUNCTION("""COMPUTED_VALUE"""),"mad")</f>
        <v>mad</v>
      </c>
      <c r="AK1603" s="49"/>
      <c r="AL1603" s="49"/>
      <c r="AM1603" s="49"/>
      <c r="AN1603" s="52" t="str">
        <f t="shared" si="5"/>
        <v>paul,</v>
      </c>
    </row>
    <row r="1604">
      <c r="A1604" s="51"/>
      <c r="B1604" s="50" t="s">
        <v>2852</v>
      </c>
      <c r="C1604" s="50" t="s">
        <v>730</v>
      </c>
      <c r="D1604" s="49" t="str">
        <f>IFERROR(__xludf.DUMMYFUNCTION("""COMPUTED_VALUE"""),"behavior")</f>
        <v>behavior</v>
      </c>
      <c r="E1604" s="49"/>
      <c r="F1604" s="49"/>
      <c r="G1604" s="49"/>
      <c r="H1604" s="54" t="str">
        <f t="shared" si="1"/>
        <v>featuring,</v>
      </c>
      <c r="I1604" s="50"/>
      <c r="J1604" s="50" t="s">
        <v>3780</v>
      </c>
      <c r="K1604" s="50" t="s">
        <v>1621</v>
      </c>
      <c r="L1604" s="49"/>
      <c r="M1604" s="49"/>
      <c r="N1604" s="49"/>
      <c r="O1604" s="49" t="str">
        <f>IFERROR(__xludf.DUMMYFUNCTION("""COMPUTED_VALUE"""),"chaplin")</f>
        <v>chaplin</v>
      </c>
      <c r="P1604" s="49" t="str">
        <f t="shared" si="2"/>
        <v>refreshing,</v>
      </c>
      <c r="Q1604" s="49"/>
      <c r="R1604" s="50" t="s">
        <v>503</v>
      </c>
      <c r="S1604" s="55" t="s">
        <v>616</v>
      </c>
      <c r="T1604" s="49" t="str">
        <f>IFERROR(__xludf.DUMMYFUNCTION("""COMPUTED_VALUE"""),"personnel")</f>
        <v>personnel</v>
      </c>
      <c r="U1604" s="49"/>
      <c r="V1604" s="49"/>
      <c r="W1604" s="49" t="str">
        <f>IFERROR(__xludf.DUMMYFUNCTION("""COMPUTED_VALUE"""),"forgiveness")</f>
        <v>forgiveness</v>
      </c>
      <c r="X1604" s="49" t="str">
        <f t="shared" si="3"/>
        <v>drown,</v>
      </c>
      <c r="Y1604" s="49"/>
      <c r="Z1604" s="1" t="s">
        <v>2955</v>
      </c>
      <c r="AA1604" s="1" t="s">
        <v>2028</v>
      </c>
      <c r="AB1604" s="49"/>
      <c r="AC1604" s="49"/>
      <c r="AD1604" s="49"/>
      <c r="AE1604" s="49" t="str">
        <f>IFERROR(__xludf.DUMMYFUNCTION("""COMPUTED_VALUE"""),"chaplin")</f>
        <v>chaplin</v>
      </c>
      <c r="AF1604" s="49" t="str">
        <f t="shared" si="4"/>
        <v>solid,</v>
      </c>
      <c r="AG1604" s="49"/>
      <c r="AH1604" s="1" t="s">
        <v>2732</v>
      </c>
      <c r="AI1604" s="1" t="s">
        <v>4821</v>
      </c>
      <c r="AJ1604" s="6" t="str">
        <f>IFERROR(__xludf.DUMMYFUNCTION("""COMPUTED_VALUE"""),"warrior")</f>
        <v>warrior</v>
      </c>
      <c r="AK1604" s="49"/>
      <c r="AL1604" s="49"/>
      <c r="AM1604" s="49"/>
      <c r="AN1604" s="52" t="str">
        <f t="shared" si="5"/>
        <v>brought,</v>
      </c>
    </row>
    <row r="1605">
      <c r="A1605" s="51"/>
      <c r="B1605" s="50" t="s">
        <v>6576</v>
      </c>
      <c r="C1605" s="50" t="s">
        <v>4305</v>
      </c>
      <c r="D1605" s="49" t="str">
        <f>IFERROR(__xludf.DUMMYFUNCTION("""COMPUTED_VALUE"""),"appearance")</f>
        <v>appearance</v>
      </c>
      <c r="E1605" s="49"/>
      <c r="F1605" s="49"/>
      <c r="G1605" s="49"/>
      <c r="H1605" s="54" t="str">
        <f t="shared" si="1"/>
        <v>speaking,</v>
      </c>
      <c r="I1605" s="50"/>
      <c r="J1605" s="50" t="s">
        <v>5661</v>
      </c>
      <c r="K1605" s="50" t="s">
        <v>3095</v>
      </c>
      <c r="L1605" s="49"/>
      <c r="M1605" s="49"/>
      <c r="N1605" s="49"/>
      <c r="O1605" s="49" t="str">
        <f>IFERROR(__xludf.DUMMYFUNCTION("""COMPUTED_VALUE"""),"catholic")</f>
        <v>catholic</v>
      </c>
      <c r="P1605" s="49" t="str">
        <f t="shared" si="2"/>
        <v>jealous,</v>
      </c>
      <c r="Q1605" s="49"/>
      <c r="R1605" s="50" t="s">
        <v>1069</v>
      </c>
      <c r="S1605" s="55" t="s">
        <v>1039</v>
      </c>
      <c r="T1605" s="49" t="str">
        <f>IFERROR(__xludf.DUMMYFUNCTION("""COMPUTED_VALUE"""),"bracing")</f>
        <v>bracing</v>
      </c>
      <c r="U1605" s="49"/>
      <c r="V1605" s="49"/>
      <c r="W1605" s="49" t="str">
        <f>IFERROR(__xludf.DUMMYFUNCTION("""COMPUTED_VALUE"""),"odor")</f>
        <v>odor</v>
      </c>
      <c r="X1605" s="49" t="str">
        <f t="shared" si="3"/>
        <v>exposition,</v>
      </c>
      <c r="Y1605" s="49"/>
      <c r="Z1605" s="1" t="s">
        <v>2596</v>
      </c>
      <c r="AA1605" s="1" t="s">
        <v>4358</v>
      </c>
      <c r="AB1605" s="49"/>
      <c r="AC1605" s="49"/>
      <c r="AD1605" s="49"/>
      <c r="AE1605" s="49" t="str">
        <f>IFERROR(__xludf.DUMMYFUNCTION("""COMPUTED_VALUE"""),"catholic")</f>
        <v>catholic</v>
      </c>
      <c r="AF1605" s="49" t="str">
        <f t="shared" si="4"/>
        <v>thrown,</v>
      </c>
      <c r="AG1605" s="49"/>
      <c r="AH1605" s="1" t="s">
        <v>6767</v>
      </c>
      <c r="AI1605" s="1" t="s">
        <v>6039</v>
      </c>
      <c r="AJ1605" s="6" t="str">
        <f>IFERROR(__xludf.DUMMYFUNCTION("""COMPUTED_VALUE"""),"ultimate")</f>
        <v>ultimate</v>
      </c>
      <c r="AK1605" s="49"/>
      <c r="AL1605" s="49"/>
      <c r="AM1605" s="49"/>
      <c r="AN1605" s="52" t="str">
        <f t="shared" si="5"/>
        <v>super,</v>
      </c>
    </row>
    <row r="1606">
      <c r="A1606" s="51"/>
      <c r="B1606" s="50" t="s">
        <v>4933</v>
      </c>
      <c r="C1606" s="50" t="s">
        <v>4362</v>
      </c>
      <c r="D1606" s="49" t="str">
        <f>IFERROR(__xludf.DUMMYFUNCTION("""COMPUTED_VALUE"""),"guest")</f>
        <v>guest</v>
      </c>
      <c r="E1606" s="49"/>
      <c r="F1606" s="49"/>
      <c r="G1606" s="49"/>
      <c r="H1606" s="54" t="str">
        <f t="shared" si="1"/>
        <v>figures,</v>
      </c>
      <c r="I1606" s="50"/>
      <c r="J1606" s="50" t="s">
        <v>3895</v>
      </c>
      <c r="K1606" s="50" t="s">
        <v>980</v>
      </c>
      <c r="L1606" s="49"/>
      <c r="M1606" s="49"/>
      <c r="N1606" s="49"/>
      <c r="O1606" s="49" t="str">
        <f>IFERROR(__xludf.DUMMYFUNCTION("""COMPUTED_VALUE"""),"exhaustion")</f>
        <v>exhaustion</v>
      </c>
      <c r="P1606" s="49" t="str">
        <f t="shared" si="2"/>
        <v>crisis,</v>
      </c>
      <c r="Q1606" s="49"/>
      <c r="R1606" s="50" t="s">
        <v>5288</v>
      </c>
      <c r="S1606" s="55" t="s">
        <v>1486</v>
      </c>
      <c r="T1606" s="49" t="str">
        <f>IFERROR(__xludf.DUMMYFUNCTION("""COMPUTED_VALUE"""),"ache")</f>
        <v>ache</v>
      </c>
      <c r="U1606" s="49"/>
      <c r="V1606" s="49"/>
      <c r="W1606" s="49" t="str">
        <f>IFERROR(__xludf.DUMMYFUNCTION("""COMPUTED_VALUE"""),"cinematographer")</f>
        <v>cinematographer</v>
      </c>
      <c r="X1606" s="49" t="str">
        <f t="shared" si="3"/>
        <v>wall,</v>
      </c>
      <c r="Y1606" s="49"/>
      <c r="Z1606" s="1" t="s">
        <v>1929</v>
      </c>
      <c r="AA1606" s="1" t="s">
        <v>4752</v>
      </c>
      <c r="AB1606" s="49"/>
      <c r="AC1606" s="49"/>
      <c r="AD1606" s="49"/>
      <c r="AE1606" s="49" t="str">
        <f>IFERROR(__xludf.DUMMYFUNCTION("""COMPUTED_VALUE"""),"exhaustion")</f>
        <v>exhaustion</v>
      </c>
      <c r="AF1606" s="49" t="str">
        <f t="shared" si="4"/>
        <v>somewhat,</v>
      </c>
      <c r="AG1606" s="49"/>
      <c r="AH1606" s="1" t="s">
        <v>3814</v>
      </c>
      <c r="AI1606" s="1" t="s">
        <v>4455</v>
      </c>
      <c r="AJ1606" s="6" t="str">
        <f>IFERROR(__xludf.DUMMYFUNCTION("""COMPUTED_VALUE"""),"survival")</f>
        <v>survival</v>
      </c>
      <c r="AK1606" s="49"/>
      <c r="AL1606" s="49"/>
      <c r="AM1606" s="49"/>
      <c r="AN1606" s="52" t="str">
        <f t="shared" si="5"/>
        <v>scientist,</v>
      </c>
    </row>
    <row r="1607">
      <c r="A1607" s="51"/>
      <c r="B1607" s="50" t="s">
        <v>3338</v>
      </c>
      <c r="C1607" s="50" t="s">
        <v>995</v>
      </c>
      <c r="D1607" s="49" t="str">
        <f>IFERROR(__xludf.DUMMYFUNCTION("""COMPUTED_VALUE"""),"episode")</f>
        <v>episode</v>
      </c>
      <c r="E1607" s="49"/>
      <c r="F1607" s="49"/>
      <c r="G1607" s="49"/>
      <c r="H1607" s="54" t="str">
        <f t="shared" si="1"/>
        <v>cup,</v>
      </c>
      <c r="I1607" s="50"/>
      <c r="J1607" s="50" t="s">
        <v>3791</v>
      </c>
      <c r="K1607" s="50" t="s">
        <v>3100</v>
      </c>
      <c r="L1607" s="49"/>
      <c r="M1607" s="49"/>
      <c r="N1607" s="49"/>
      <c r="O1607" s="49" t="str">
        <f>IFERROR(__xludf.DUMMYFUNCTION("""COMPUTED_VALUE"""),"installment")</f>
        <v>installment</v>
      </c>
      <c r="P1607" s="49" t="str">
        <f t="shared" si="2"/>
        <v>irresistible,</v>
      </c>
      <c r="Q1607" s="49"/>
      <c r="R1607" s="50" t="s">
        <v>509</v>
      </c>
      <c r="S1607" s="55" t="s">
        <v>4764</v>
      </c>
      <c r="T1607" s="49" t="str">
        <f>IFERROR(__xludf.DUMMYFUNCTION("""COMPUTED_VALUE"""),"garnered")</f>
        <v>garnered</v>
      </c>
      <c r="U1607" s="49"/>
      <c r="V1607" s="49"/>
      <c r="W1607" s="49" t="str">
        <f>IFERROR(__xludf.DUMMYFUNCTION("""COMPUTED_VALUE"""),"stevens")</f>
        <v>stevens</v>
      </c>
      <c r="X1607" s="49" t="str">
        <f t="shared" si="3"/>
        <v>smile,</v>
      </c>
      <c r="Y1607" s="49"/>
      <c r="Z1607" s="1" t="s">
        <v>2359</v>
      </c>
      <c r="AA1607" s="1" t="s">
        <v>3660</v>
      </c>
      <c r="AB1607" s="49"/>
      <c r="AC1607" s="49"/>
      <c r="AD1607" s="49"/>
      <c r="AE1607" s="49" t="str">
        <f>IFERROR(__xludf.DUMMYFUNCTION("""COMPUTED_VALUE"""),"installment")</f>
        <v>installment</v>
      </c>
      <c r="AF1607" s="49" t="str">
        <f t="shared" si="4"/>
        <v>desperate,</v>
      </c>
      <c r="AG1607" s="49"/>
      <c r="AH1607" s="1" t="s">
        <v>5826</v>
      </c>
      <c r="AI1607" s="1" t="s">
        <v>3966</v>
      </c>
      <c r="AJ1607" s="6" t="str">
        <f>IFERROR(__xludf.DUMMYFUNCTION("""COMPUTED_VALUE"""),"energy")</f>
        <v>energy</v>
      </c>
      <c r="AK1607" s="49"/>
      <c r="AL1607" s="49"/>
      <c r="AM1607" s="49"/>
      <c r="AN1607" s="52" t="str">
        <f t="shared" si="5"/>
        <v>henry,</v>
      </c>
    </row>
    <row r="1608">
      <c r="A1608" s="51"/>
      <c r="B1608" s="50" t="s">
        <v>1665</v>
      </c>
      <c r="C1608" s="50" t="s">
        <v>2594</v>
      </c>
      <c r="D1608" s="49" t="str">
        <f>IFERROR(__xludf.DUMMYFUNCTION("""COMPUTED_VALUE"""),"plays")</f>
        <v>plays</v>
      </c>
      <c r="E1608" s="49"/>
      <c r="F1608" s="49"/>
      <c r="G1608" s="49"/>
      <c r="H1608" s="54" t="str">
        <f t="shared" si="1"/>
        <v>turn,</v>
      </c>
      <c r="I1608" s="50"/>
      <c r="J1608" s="50" t="s">
        <v>5167</v>
      </c>
      <c r="K1608" s="50" t="s">
        <v>1627</v>
      </c>
      <c r="L1608" s="49"/>
      <c r="M1608" s="49"/>
      <c r="N1608" s="49"/>
      <c r="O1608" s="49" t="str">
        <f>IFERROR(__xludf.DUMMYFUNCTION("""COMPUTED_VALUE"""),"grenade")</f>
        <v>grenade</v>
      </c>
      <c r="P1608" s="49" t="str">
        <f t="shared" si="2"/>
        <v>closing,</v>
      </c>
      <c r="Q1608" s="49"/>
      <c r="R1608" s="50" t="s">
        <v>707</v>
      </c>
      <c r="S1608" s="55" t="s">
        <v>6537</v>
      </c>
      <c r="T1608" s="49" t="str">
        <f>IFERROR(__xludf.DUMMYFUNCTION("""COMPUTED_VALUE"""),"observations")</f>
        <v>observations</v>
      </c>
      <c r="U1608" s="49"/>
      <c r="V1608" s="49"/>
      <c r="W1608" s="49" t="str">
        <f>IFERROR(__xludf.DUMMYFUNCTION("""COMPUTED_VALUE"""),"available")</f>
        <v>available</v>
      </c>
      <c r="X1608" s="49" t="str">
        <f t="shared" si="3"/>
        <v>collapses,</v>
      </c>
      <c r="Y1608" s="49"/>
      <c r="Z1608" s="1" t="s">
        <v>6618</v>
      </c>
      <c r="AA1608" s="1" t="s">
        <v>3662</v>
      </c>
      <c r="AB1608" s="49"/>
      <c r="AC1608" s="49"/>
      <c r="AD1608" s="49"/>
      <c r="AE1608" s="49" t="str">
        <f>IFERROR(__xludf.DUMMYFUNCTION("""COMPUTED_VALUE"""),"grenade")</f>
        <v>grenade</v>
      </c>
      <c r="AF1608" s="49" t="str">
        <f t="shared" si="4"/>
        <v>cat,</v>
      </c>
      <c r="AG1608" s="49"/>
      <c r="AH1608" s="1" t="s">
        <v>6438</v>
      </c>
      <c r="AI1608" s="1" t="s">
        <v>4463</v>
      </c>
      <c r="AJ1608" s="6" t="str">
        <f>IFERROR(__xludf.DUMMYFUNCTION("""COMPUTED_VALUE"""),"material")</f>
        <v>material</v>
      </c>
      <c r="AK1608" s="49"/>
      <c r="AL1608" s="49"/>
      <c r="AM1608" s="49"/>
      <c r="AN1608" s="52" t="str">
        <f t="shared" si="5"/>
        <v>silence,</v>
      </c>
    </row>
    <row r="1609">
      <c r="A1609" s="51"/>
      <c r="B1609" s="50" t="s">
        <v>2544</v>
      </c>
      <c r="C1609" s="50" t="s">
        <v>4321</v>
      </c>
      <c r="D1609" s="49" t="str">
        <f>IFERROR(__xludf.DUMMYFUNCTION("""COMPUTED_VALUE"""),"creek")</f>
        <v>creek</v>
      </c>
      <c r="E1609" s="49"/>
      <c r="F1609" s="49"/>
      <c r="G1609" s="49"/>
      <c r="H1609" s="54" t="str">
        <f t="shared" si="1"/>
        <v>towards,</v>
      </c>
      <c r="I1609" s="50"/>
      <c r="J1609" s="50" t="s">
        <v>1082</v>
      </c>
      <c r="K1609" s="50" t="s">
        <v>3107</v>
      </c>
      <c r="L1609" s="49"/>
      <c r="M1609" s="49"/>
      <c r="N1609" s="49"/>
      <c r="O1609" s="49" t="str">
        <f>IFERROR(__xludf.DUMMYFUNCTION("""COMPUTED_VALUE"""),"discoveries")</f>
        <v>discoveries</v>
      </c>
      <c r="P1609" s="49" t="str">
        <f t="shared" si="2"/>
        <v>entirely,</v>
      </c>
      <c r="Q1609" s="49"/>
      <c r="R1609" s="50" t="s">
        <v>4533</v>
      </c>
      <c r="S1609" s="55" t="s">
        <v>896</v>
      </c>
      <c r="T1609" s="49" t="str">
        <f>IFERROR(__xludf.DUMMYFUNCTION("""COMPUTED_VALUE"""),"maturity")</f>
        <v>maturity</v>
      </c>
      <c r="U1609" s="49"/>
      <c r="V1609" s="49"/>
      <c r="W1609" s="49" t="str">
        <f>IFERROR(__xludf.DUMMYFUNCTION("""COMPUTED_VALUE"""),"playstation")</f>
        <v>playstation</v>
      </c>
      <c r="X1609" s="49" t="str">
        <f t="shared" si="3"/>
        <v>rushed,</v>
      </c>
      <c r="Y1609" s="49"/>
      <c r="Z1609" s="1" t="s">
        <v>5533</v>
      </c>
      <c r="AA1609" s="1" t="s">
        <v>1023</v>
      </c>
      <c r="AB1609" s="49"/>
      <c r="AC1609" s="49"/>
      <c r="AD1609" s="49"/>
      <c r="AE1609" s="49" t="str">
        <f>IFERROR(__xludf.DUMMYFUNCTION("""COMPUTED_VALUE"""),"discoveries")</f>
        <v>discoveries</v>
      </c>
      <c r="AF1609" s="49" t="str">
        <f t="shared" si="4"/>
        <v>minded,</v>
      </c>
      <c r="AG1609" s="49"/>
      <c r="AH1609" s="1" t="s">
        <v>6605</v>
      </c>
      <c r="AI1609" s="1" t="s">
        <v>1150</v>
      </c>
      <c r="AJ1609" s="6" t="str">
        <f>IFERROR(__xludf.DUMMYFUNCTION("""COMPUTED_VALUE"""),"covers")</f>
        <v>covers</v>
      </c>
      <c r="AK1609" s="49"/>
      <c r="AL1609" s="49"/>
      <c r="AM1609" s="49"/>
      <c r="AN1609" s="52" t="str">
        <f t="shared" si="5"/>
        <v>anthony,</v>
      </c>
    </row>
    <row r="1610">
      <c r="A1610" s="51"/>
      <c r="B1610" s="50" t="s">
        <v>6667</v>
      </c>
      <c r="C1610" s="50" t="s">
        <v>2600</v>
      </c>
      <c r="D1610" s="49" t="str">
        <f>IFERROR(__xludf.DUMMYFUNCTION("""COMPUTED_VALUE"""),"fast")</f>
        <v>fast</v>
      </c>
      <c r="E1610" s="49"/>
      <c r="F1610" s="49"/>
      <c r="G1610" s="49"/>
      <c r="H1610" s="54" t="str">
        <f t="shared" si="1"/>
        <v>happened,</v>
      </c>
      <c r="I1610" s="50"/>
      <c r="J1610" s="50" t="s">
        <v>3788</v>
      </c>
      <c r="K1610" s="50" t="s">
        <v>2862</v>
      </c>
      <c r="L1610" s="49"/>
      <c r="M1610" s="49"/>
      <c r="N1610" s="49"/>
      <c r="O1610" s="49" t="str">
        <f>IFERROR(__xludf.DUMMYFUNCTION("""COMPUTED_VALUE"""),"seas")</f>
        <v>seas</v>
      </c>
      <c r="P1610" s="49" t="str">
        <f t="shared" si="2"/>
        <v>carries,</v>
      </c>
      <c r="Q1610" s="49"/>
      <c r="R1610" s="50" t="s">
        <v>2387</v>
      </c>
      <c r="S1610" s="55" t="s">
        <v>4588</v>
      </c>
      <c r="T1610" s="49" t="str">
        <f>IFERROR(__xludf.DUMMYFUNCTION("""COMPUTED_VALUE"""),"inactive")</f>
        <v>inactive</v>
      </c>
      <c r="U1610" s="49"/>
      <c r="V1610" s="49"/>
      <c r="W1610" s="49" t="str">
        <f>IFERROR(__xludf.DUMMYFUNCTION("""COMPUTED_VALUE"""),"hysteria")</f>
        <v>hysteria</v>
      </c>
      <c r="X1610" s="49" t="str">
        <f t="shared" si="3"/>
        <v>forster,</v>
      </c>
      <c r="Y1610" s="49"/>
      <c r="Z1610" s="1" t="s">
        <v>3985</v>
      </c>
      <c r="AA1610" s="1">
        <v>1993.0</v>
      </c>
      <c r="AB1610" s="49"/>
      <c r="AC1610" s="49"/>
      <c r="AD1610" s="49"/>
      <c r="AE1610" s="49" t="str">
        <f>IFERROR(__xludf.DUMMYFUNCTION("""COMPUTED_VALUE"""),"seas")</f>
        <v>seas</v>
      </c>
      <c r="AF1610" s="49" t="str">
        <f t="shared" si="4"/>
        <v>offers,</v>
      </c>
      <c r="AG1610" s="49"/>
      <c r="AH1610" s="1" t="s">
        <v>168</v>
      </c>
      <c r="AI1610" s="1" t="s">
        <v>2673</v>
      </c>
      <c r="AJ1610" s="6" t="str">
        <f>IFERROR(__xludf.DUMMYFUNCTION("""COMPUTED_VALUE"""),"learn")</f>
        <v>learn</v>
      </c>
      <c r="AK1610" s="49"/>
      <c r="AL1610" s="49"/>
      <c r="AM1610" s="49"/>
      <c r="AN1610" s="52" t="str">
        <f t="shared" si="5"/>
        <v>roger,</v>
      </c>
    </row>
    <row r="1611">
      <c r="A1611" s="51"/>
      <c r="B1611" s="50" t="s">
        <v>742</v>
      </c>
      <c r="C1611" s="50" t="s">
        <v>4317</v>
      </c>
      <c r="D1611" s="49" t="str">
        <f>IFERROR(__xludf.DUMMYFUNCTION("""COMPUTED_VALUE"""),"asleep")</f>
        <v>asleep</v>
      </c>
      <c r="E1611" s="49"/>
      <c r="F1611" s="49"/>
      <c r="G1611" s="49"/>
      <c r="H1611" s="54" t="str">
        <f t="shared" si="1"/>
        <v>miss,</v>
      </c>
      <c r="I1611" s="50"/>
      <c r="J1611" s="50" t="s">
        <v>5048</v>
      </c>
      <c r="K1611" s="50" t="s">
        <v>3115</v>
      </c>
      <c r="L1611" s="49"/>
      <c r="M1611" s="49"/>
      <c r="N1611" s="49"/>
      <c r="O1611" s="49" t="str">
        <f>IFERROR(__xludf.DUMMYFUNCTION("""COMPUTED_VALUE"""),"activism")</f>
        <v>activism</v>
      </c>
      <c r="P1611" s="49" t="str">
        <f t="shared" si="2"/>
        <v>photography,</v>
      </c>
      <c r="Q1611" s="49"/>
      <c r="R1611" s="50" t="s">
        <v>274</v>
      </c>
      <c r="S1611" s="55" t="s">
        <v>6538</v>
      </c>
      <c r="T1611" s="49" t="str">
        <f>IFERROR(__xludf.DUMMYFUNCTION("""COMPUTED_VALUE"""),"rural")</f>
        <v>rural</v>
      </c>
      <c r="U1611" s="49"/>
      <c r="V1611" s="49"/>
      <c r="W1611" s="49" t="str">
        <f>IFERROR(__xludf.DUMMYFUNCTION("""COMPUTED_VALUE"""),"mtv")</f>
        <v>mtv</v>
      </c>
      <c r="X1611" s="49" t="str">
        <f t="shared" si="3"/>
        <v>undead,</v>
      </c>
      <c r="Y1611" s="49"/>
      <c r="Z1611" s="1" t="s">
        <v>2866</v>
      </c>
      <c r="AA1611" s="1" t="s">
        <v>2032</v>
      </c>
      <c r="AB1611" s="49"/>
      <c r="AC1611" s="49"/>
      <c r="AD1611" s="49"/>
      <c r="AE1611" s="49" t="str">
        <f>IFERROR(__xludf.DUMMYFUNCTION("""COMPUTED_VALUE"""),"activism")</f>
        <v>activism</v>
      </c>
      <c r="AF1611" s="49" t="str">
        <f t="shared" si="4"/>
        <v>serve,</v>
      </c>
      <c r="AG1611" s="49"/>
      <c r="AH1611" s="1" t="s">
        <v>2004</v>
      </c>
      <c r="AI1611" s="1" t="s">
        <v>6539</v>
      </c>
      <c r="AJ1611" s="6" t="str">
        <f>IFERROR(__xludf.DUMMYFUNCTION("""COMPUTED_VALUE"""),"shot")</f>
        <v>shot</v>
      </c>
      <c r="AK1611" s="49"/>
      <c r="AL1611" s="49"/>
      <c r="AM1611" s="49"/>
      <c r="AN1611" s="52" t="str">
        <f t="shared" si="5"/>
        <v>asks,</v>
      </c>
    </row>
    <row r="1612">
      <c r="A1612" s="51"/>
      <c r="B1612" s="50" t="s">
        <v>6610</v>
      </c>
      <c r="C1612" s="50" t="s">
        <v>2604</v>
      </c>
      <c r="D1612" s="49" t="str">
        <f>IFERROR(__xludf.DUMMYFUNCTION("""COMPUTED_VALUE"""),"forest")</f>
        <v>forest</v>
      </c>
      <c r="E1612" s="49"/>
      <c r="F1612" s="49"/>
      <c r="G1612" s="49"/>
      <c r="H1612" s="54" t="str">
        <f t="shared" si="1"/>
        <v>coffee,</v>
      </c>
      <c r="I1612" s="50"/>
      <c r="J1612" s="50" t="s">
        <v>5811</v>
      </c>
      <c r="K1612" s="50" t="s">
        <v>4226</v>
      </c>
      <c r="L1612" s="49"/>
      <c r="M1612" s="49"/>
      <c r="N1612" s="49"/>
      <c r="O1612" s="49" t="str">
        <f>IFERROR(__xludf.DUMMYFUNCTION("""COMPUTED_VALUE"""),"eternal")</f>
        <v>eternal</v>
      </c>
      <c r="P1612" s="49" t="str">
        <f t="shared" si="2"/>
        <v>winner,</v>
      </c>
      <c r="Q1612" s="49"/>
      <c r="R1612" s="50" t="s">
        <v>2586</v>
      </c>
      <c r="S1612" s="55" t="s">
        <v>2761</v>
      </c>
      <c r="T1612" s="49" t="str">
        <f>IFERROR(__xludf.DUMMYFUNCTION("""COMPUTED_VALUE"""),"weighted")</f>
        <v>weighted</v>
      </c>
      <c r="U1612" s="49"/>
      <c r="V1612" s="49"/>
      <c r="W1612" s="49" t="str">
        <f>IFERROR(__xludf.DUMMYFUNCTION("""COMPUTED_VALUE"""),"barbarian")</f>
        <v>barbarian</v>
      </c>
      <c r="X1612" s="49" t="str">
        <f t="shared" si="3"/>
        <v>ian,</v>
      </c>
      <c r="Y1612" s="49"/>
      <c r="Z1612" s="1" t="s">
        <v>1353</v>
      </c>
      <c r="AA1612" s="1" t="s">
        <v>2033</v>
      </c>
      <c r="AB1612" s="49"/>
      <c r="AC1612" s="49"/>
      <c r="AD1612" s="49"/>
      <c r="AE1612" s="49" t="str">
        <f>IFERROR(__xludf.DUMMYFUNCTION("""COMPUTED_VALUE"""),"eternal")</f>
        <v>eternal</v>
      </c>
      <c r="AF1612" s="49" t="str">
        <f t="shared" si="4"/>
        <v>water,</v>
      </c>
      <c r="AG1612" s="49"/>
      <c r="AH1612" s="1" t="s">
        <v>3850</v>
      </c>
      <c r="AI1612" s="1" t="s">
        <v>6540</v>
      </c>
      <c r="AJ1612" s="6" t="str">
        <f>IFERROR(__xludf.DUMMYFUNCTION("""COMPUTED_VALUE"""),"chemistry")</f>
        <v>chemistry</v>
      </c>
      <c r="AK1612" s="49"/>
      <c r="AL1612" s="49"/>
      <c r="AM1612" s="49"/>
      <c r="AN1612" s="52" t="str">
        <f t="shared" si="5"/>
        <v>sexy,</v>
      </c>
    </row>
    <row r="1613">
      <c r="A1613" s="51"/>
      <c r="B1613" s="50" t="s">
        <v>3118</v>
      </c>
      <c r="C1613" s="50" t="s">
        <v>6524</v>
      </c>
      <c r="D1613" s="49" t="str">
        <f>IFERROR(__xludf.DUMMYFUNCTION("""COMPUTED_VALUE"""),"company")</f>
        <v>company</v>
      </c>
      <c r="E1613" s="49"/>
      <c r="F1613" s="49"/>
      <c r="G1613" s="49"/>
      <c r="H1613" s="54" t="str">
        <f t="shared" si="1"/>
        <v>raw,</v>
      </c>
      <c r="I1613" s="50"/>
      <c r="J1613" s="50" t="s">
        <v>5180</v>
      </c>
      <c r="K1613" s="50" t="s">
        <v>1389</v>
      </c>
      <c r="L1613" s="49"/>
      <c r="M1613" s="49"/>
      <c r="N1613" s="49"/>
      <c r="O1613" s="49" t="str">
        <f>IFERROR(__xludf.DUMMYFUNCTION("""COMPUTED_VALUE"""),"reigns")</f>
        <v>reigns</v>
      </c>
      <c r="P1613" s="49" t="str">
        <f t="shared" si="2"/>
        <v>design,</v>
      </c>
      <c r="Q1613" s="49"/>
      <c r="R1613" s="50" t="s">
        <v>3168</v>
      </c>
      <c r="S1613" s="55" t="s">
        <v>817</v>
      </c>
      <c r="T1613" s="49" t="str">
        <f>IFERROR(__xludf.DUMMYFUNCTION("""COMPUTED_VALUE"""),"square")</f>
        <v>square</v>
      </c>
      <c r="U1613" s="49"/>
      <c r="V1613" s="49"/>
      <c r="W1613" s="49" t="str">
        <f>IFERROR(__xludf.DUMMYFUNCTION("""COMPUTED_VALUE"""),"conan")</f>
        <v>conan</v>
      </c>
      <c r="X1613" s="49" t="str">
        <f t="shared" si="3"/>
        <v>older,</v>
      </c>
      <c r="Y1613" s="49"/>
      <c r="Z1613" s="1" t="s">
        <v>5220</v>
      </c>
      <c r="AA1613" s="1" t="s">
        <v>4760</v>
      </c>
      <c r="AB1613" s="49"/>
      <c r="AC1613" s="49"/>
      <c r="AD1613" s="49"/>
      <c r="AE1613" s="49" t="str">
        <f>IFERROR(__xludf.DUMMYFUNCTION("""COMPUTED_VALUE"""),"reigns")</f>
        <v>reigns</v>
      </c>
      <c r="AF1613" s="49" t="str">
        <f t="shared" si="4"/>
        <v>punch,</v>
      </c>
      <c r="AG1613" s="49"/>
      <c r="AH1613" s="1" t="s">
        <v>1817</v>
      </c>
      <c r="AI1613" s="1" t="s">
        <v>1190</v>
      </c>
      <c r="AJ1613" s="6" t="str">
        <f>IFERROR(__xludf.DUMMYFUNCTION("""COMPUTED_VALUE"""),"bite")</f>
        <v>bite</v>
      </c>
      <c r="AK1613" s="49"/>
      <c r="AL1613" s="49"/>
      <c r="AM1613" s="49"/>
      <c r="AN1613" s="52" t="str">
        <f t="shared" si="5"/>
        <v>prominent,</v>
      </c>
    </row>
    <row r="1614">
      <c r="A1614" s="51"/>
      <c r="B1614" s="50" t="s">
        <v>4285</v>
      </c>
      <c r="C1614" s="50" t="s">
        <v>2679</v>
      </c>
      <c r="D1614" s="49" t="str">
        <f>IFERROR(__xludf.DUMMYFUNCTION("""COMPUTED_VALUE"""),"artificial")</f>
        <v>artificial</v>
      </c>
      <c r="E1614" s="49"/>
      <c r="F1614" s="49"/>
      <c r="G1614" s="49"/>
      <c r="H1614" s="54" t="str">
        <f t="shared" si="1"/>
        <v>innocent,</v>
      </c>
      <c r="I1614" s="50"/>
      <c r="J1614" s="50" t="s">
        <v>1341</v>
      </c>
      <c r="K1614" s="50" t="s">
        <v>1010</v>
      </c>
      <c r="L1614" s="49"/>
      <c r="M1614" s="49"/>
      <c r="N1614" s="49"/>
      <c r="O1614" s="49" t="str">
        <f>IFERROR(__xludf.DUMMYFUNCTION("""COMPUTED_VALUE"""),"fuss")</f>
        <v>fuss</v>
      </c>
      <c r="P1614" s="49" t="str">
        <f t="shared" si="2"/>
        <v>misery,</v>
      </c>
      <c r="Q1614" s="49"/>
      <c r="R1614" s="50" t="s">
        <v>581</v>
      </c>
      <c r="S1614" s="55" t="s">
        <v>4098</v>
      </c>
      <c r="T1614" s="49" t="str">
        <f>IFERROR(__xludf.DUMMYFUNCTION("""COMPUTED_VALUE"""),"problematic")</f>
        <v>problematic</v>
      </c>
      <c r="U1614" s="49"/>
      <c r="V1614" s="49"/>
      <c r="W1614" s="49" t="str">
        <f>IFERROR(__xludf.DUMMYFUNCTION("""COMPUTED_VALUE"""),"ethan")</f>
        <v>ethan</v>
      </c>
      <c r="X1614" s="49" t="str">
        <f t="shared" si="3"/>
        <v>alternative,</v>
      </c>
      <c r="Y1614" s="49"/>
      <c r="Z1614" s="1" t="s">
        <v>3175</v>
      </c>
      <c r="AA1614" s="1" t="s">
        <v>1677</v>
      </c>
      <c r="AB1614" s="49"/>
      <c r="AC1614" s="49"/>
      <c r="AD1614" s="49"/>
      <c r="AE1614" s="49" t="str">
        <f>IFERROR(__xludf.DUMMYFUNCTION("""COMPUTED_VALUE"""),"fuss")</f>
        <v>fuss</v>
      </c>
      <c r="AF1614" s="49" t="str">
        <f t="shared" si="4"/>
        <v>window,</v>
      </c>
      <c r="AG1614" s="49"/>
      <c r="AH1614" s="1" t="s">
        <v>6854</v>
      </c>
      <c r="AI1614" s="1" t="s">
        <v>2429</v>
      </c>
      <c r="AJ1614" s="6" t="str">
        <f>IFERROR(__xludf.DUMMYFUNCTION("""COMPUTED_VALUE"""),"range")</f>
        <v>range</v>
      </c>
      <c r="AK1614" s="49"/>
      <c r="AL1614" s="49"/>
      <c r="AM1614" s="49"/>
      <c r="AN1614" s="52" t="str">
        <f t="shared" si="5"/>
        <v>talks,</v>
      </c>
    </row>
    <row r="1615">
      <c r="A1615" s="51"/>
      <c r="B1615" s="50" t="s">
        <v>2246</v>
      </c>
      <c r="C1615" s="50" t="s">
        <v>618</v>
      </c>
      <c r="D1615" s="49" t="str">
        <f>IFERROR(__xludf.DUMMYFUNCTION("""COMPUTED_VALUE"""),"pair")</f>
        <v>pair</v>
      </c>
      <c r="E1615" s="49"/>
      <c r="F1615" s="49"/>
      <c r="G1615" s="49"/>
      <c r="H1615" s="54" t="str">
        <f t="shared" si="1"/>
        <v>honest,</v>
      </c>
      <c r="I1615" s="50"/>
      <c r="J1615" s="50" t="s">
        <v>6653</v>
      </c>
      <c r="K1615" s="50" t="s">
        <v>870</v>
      </c>
      <c r="L1615" s="49"/>
      <c r="M1615" s="49"/>
      <c r="N1615" s="49"/>
      <c r="O1615" s="49" t="str">
        <f>IFERROR(__xludf.DUMMYFUNCTION("""COMPUTED_VALUE"""),"walsh")</f>
        <v>walsh</v>
      </c>
      <c r="P1615" s="49" t="str">
        <f t="shared" si="2"/>
        <v>luck,</v>
      </c>
      <c r="Q1615" s="49"/>
      <c r="R1615" s="50" t="s">
        <v>4265</v>
      </c>
      <c r="S1615" s="55" t="s">
        <v>3941</v>
      </c>
      <c r="T1615" s="49" t="str">
        <f>IFERROR(__xludf.DUMMYFUNCTION("""COMPUTED_VALUE"""),"hartley")</f>
        <v>hartley</v>
      </c>
      <c r="U1615" s="49"/>
      <c r="V1615" s="49"/>
      <c r="W1615" s="49" t="str">
        <f>IFERROR(__xludf.DUMMYFUNCTION("""COMPUTED_VALUE"""),"threatens")</f>
        <v>threatens</v>
      </c>
      <c r="X1615" s="49" t="str">
        <f t="shared" si="3"/>
        <v>extravagant,</v>
      </c>
      <c r="Y1615" s="49"/>
      <c r="Z1615" s="1" t="s">
        <v>3936</v>
      </c>
      <c r="AA1615" s="1" t="s">
        <v>3672</v>
      </c>
      <c r="AB1615" s="49"/>
      <c r="AC1615" s="49"/>
      <c r="AD1615" s="49"/>
      <c r="AE1615" s="49" t="str">
        <f>IFERROR(__xludf.DUMMYFUNCTION("""COMPUTED_VALUE"""),"walsh")</f>
        <v>walsh</v>
      </c>
      <c r="AF1615" s="49" t="str">
        <f t="shared" si="4"/>
        <v>stops,</v>
      </c>
      <c r="AG1615" s="49"/>
      <c r="AH1615" s="1" t="s">
        <v>2374</v>
      </c>
      <c r="AI1615" s="1" t="s">
        <v>3059</v>
      </c>
      <c r="AJ1615" s="6" t="str">
        <f>IFERROR(__xludf.DUMMYFUNCTION("""COMPUTED_VALUE"""),"spent")</f>
        <v>spent</v>
      </c>
      <c r="AK1615" s="49"/>
      <c r="AL1615" s="49"/>
      <c r="AM1615" s="49"/>
      <c r="AN1615" s="52" t="str">
        <f t="shared" si="5"/>
        <v>constantly,</v>
      </c>
    </row>
    <row r="1616">
      <c r="A1616" s="51"/>
      <c r="B1616" s="50" t="s">
        <v>1065</v>
      </c>
      <c r="C1616" s="50" t="s">
        <v>3599</v>
      </c>
      <c r="D1616" s="49" t="str">
        <f>IFERROR(__xludf.DUMMYFUNCTION("""COMPUTED_VALUE"""),"mountain")</f>
        <v>mountain</v>
      </c>
      <c r="E1616" s="49"/>
      <c r="F1616" s="49"/>
      <c r="G1616" s="49"/>
      <c r="H1616" s="54" t="str">
        <f t="shared" si="1"/>
        <v>sensitive,</v>
      </c>
      <c r="I1616" s="50"/>
      <c r="J1616" s="50" t="s">
        <v>1426</v>
      </c>
      <c r="K1616" s="50" t="s">
        <v>4240</v>
      </c>
      <c r="L1616" s="49"/>
      <c r="M1616" s="49"/>
      <c r="N1616" s="49"/>
      <c r="O1616" s="49" t="str">
        <f>IFERROR(__xludf.DUMMYFUNCTION("""COMPUTED_VALUE"""),"eileen")</f>
        <v>eileen</v>
      </c>
      <c r="P1616" s="49" t="str">
        <f t="shared" si="2"/>
        <v>demonstrating,</v>
      </c>
      <c r="Q1616" s="49"/>
      <c r="R1616" s="50" t="s">
        <v>4113</v>
      </c>
      <c r="S1616" s="55" t="s">
        <v>1494</v>
      </c>
      <c r="T1616" s="49" t="str">
        <f>IFERROR(__xludf.DUMMYFUNCTION("""COMPUTED_VALUE"""),"performed")</f>
        <v>performed</v>
      </c>
      <c r="U1616" s="49"/>
      <c r="V1616" s="49"/>
      <c r="W1616" s="49" t="str">
        <f>IFERROR(__xludf.DUMMYFUNCTION("""COMPUTED_VALUE"""),"resentment")</f>
        <v>resentment</v>
      </c>
      <c r="X1616" s="49" t="str">
        <f t="shared" si="3"/>
        <v>weight,</v>
      </c>
      <c r="Y1616" s="49"/>
      <c r="Z1616" s="1" t="s">
        <v>1303</v>
      </c>
      <c r="AA1616" s="1" t="s">
        <v>4763</v>
      </c>
      <c r="AB1616" s="49"/>
      <c r="AC1616" s="49"/>
      <c r="AD1616" s="49"/>
      <c r="AE1616" s="49" t="str">
        <f>IFERROR(__xludf.DUMMYFUNCTION("""COMPUTED_VALUE"""),"eileen")</f>
        <v>eileen</v>
      </c>
      <c r="AF1616" s="49" t="str">
        <f t="shared" si="4"/>
        <v>forgotten,</v>
      </c>
      <c r="AG1616" s="49"/>
      <c r="AH1616" s="1" t="s">
        <v>1233</v>
      </c>
      <c r="AI1616" s="1" t="s">
        <v>3980</v>
      </c>
      <c r="AJ1616" s="6" t="str">
        <f>IFERROR(__xludf.DUMMYFUNCTION("""COMPUTED_VALUE"""),"natural")</f>
        <v>natural</v>
      </c>
      <c r="AK1616" s="49"/>
      <c r="AL1616" s="49"/>
      <c r="AM1616" s="49"/>
      <c r="AN1616" s="52" t="str">
        <f t="shared" si="5"/>
        <v>general,</v>
      </c>
    </row>
    <row r="1617">
      <c r="A1617" s="51"/>
      <c r="B1617" s="50" t="s">
        <v>5320</v>
      </c>
      <c r="C1617" s="50" t="s">
        <v>5561</v>
      </c>
      <c r="D1617" s="49" t="str">
        <f>IFERROR(__xludf.DUMMYFUNCTION("""COMPUTED_VALUE"""),"voice")</f>
        <v>voice</v>
      </c>
      <c r="E1617" s="49"/>
      <c r="F1617" s="49"/>
      <c r="G1617" s="49"/>
      <c r="H1617" s="54" t="str">
        <f t="shared" si="1"/>
        <v>butt,</v>
      </c>
      <c r="I1617" s="50"/>
      <c r="J1617" s="50" t="s">
        <v>1359</v>
      </c>
      <c r="K1617" s="50" t="s">
        <v>1017</v>
      </c>
      <c r="L1617" s="49"/>
      <c r="M1617" s="49"/>
      <c r="N1617" s="49"/>
      <c r="O1617" s="49" t="str">
        <f>IFERROR(__xludf.DUMMYFUNCTION("""COMPUTED_VALUE"""),"robinson")</f>
        <v>robinson</v>
      </c>
      <c r="P1617" s="49" t="str">
        <f t="shared" si="2"/>
        <v>ecological,</v>
      </c>
      <c r="Q1617" s="49"/>
      <c r="R1617" s="50" t="s">
        <v>6613</v>
      </c>
      <c r="S1617" s="55" t="s">
        <v>4470</v>
      </c>
      <c r="T1617" s="49" t="str">
        <f>IFERROR(__xludf.DUMMYFUNCTION("""COMPUTED_VALUE"""),"12th")</f>
        <v>12th</v>
      </c>
      <c r="U1617" s="49"/>
      <c r="V1617" s="49"/>
      <c r="W1617" s="49" t="str">
        <f>IFERROR(__xludf.DUMMYFUNCTION("""COMPUTED_VALUE"""),"hypnotic")</f>
        <v>hypnotic</v>
      </c>
      <c r="X1617" s="49" t="str">
        <f t="shared" si="3"/>
        <v>san,</v>
      </c>
      <c r="Y1617" s="49"/>
      <c r="Z1617" s="1" t="s">
        <v>1818</v>
      </c>
      <c r="AA1617" s="1" t="s">
        <v>2036</v>
      </c>
      <c r="AB1617" s="49"/>
      <c r="AC1617" s="49"/>
      <c r="AD1617" s="49"/>
      <c r="AE1617" s="49" t="str">
        <f>IFERROR(__xludf.DUMMYFUNCTION("""COMPUTED_VALUE"""),"robinson")</f>
        <v>robinson</v>
      </c>
      <c r="AF1617" s="49" t="str">
        <f t="shared" si="4"/>
        <v>color,</v>
      </c>
      <c r="AG1617" s="49"/>
      <c r="AH1617" s="1" t="s">
        <v>458</v>
      </c>
      <c r="AI1617" s="1" t="s">
        <v>294</v>
      </c>
      <c r="AJ1617" s="6" t="str">
        <f>IFERROR(__xludf.DUMMYFUNCTION("""COMPUTED_VALUE"""),"parts")</f>
        <v>parts</v>
      </c>
      <c r="AK1617" s="49"/>
      <c r="AL1617" s="49"/>
      <c r="AM1617" s="49"/>
      <c r="AN1617" s="52" t="str">
        <f t="shared" si="5"/>
        <v>above,</v>
      </c>
    </row>
    <row r="1618">
      <c r="A1618" s="51"/>
      <c r="B1618" s="50" t="s">
        <v>5401</v>
      </c>
      <c r="C1618" s="50" t="s">
        <v>4329</v>
      </c>
      <c r="D1618" s="49" t="str">
        <f>IFERROR(__xludf.DUMMYFUNCTION("""COMPUTED_VALUE"""),"demons")</f>
        <v>demons</v>
      </c>
      <c r="E1618" s="49"/>
      <c r="F1618" s="49"/>
      <c r="G1618" s="49"/>
      <c r="H1618" s="54" t="str">
        <f t="shared" si="1"/>
        <v>win,</v>
      </c>
      <c r="I1618" s="50"/>
      <c r="J1618" s="50" t="s">
        <v>2706</v>
      </c>
      <c r="K1618" s="50" t="s">
        <v>4770</v>
      </c>
      <c r="L1618" s="49"/>
      <c r="M1618" s="49"/>
      <c r="N1618" s="49"/>
      <c r="O1618" s="49" t="str">
        <f>IFERROR(__xludf.DUMMYFUNCTION("""COMPUTED_VALUE"""),"discreet")</f>
        <v>discreet</v>
      </c>
      <c r="P1618" s="49" t="str">
        <f t="shared" si="2"/>
        <v>growth,</v>
      </c>
      <c r="Q1618" s="49"/>
      <c r="R1618" s="50" t="s">
        <v>811</v>
      </c>
      <c r="S1618" s="55" t="s">
        <v>2919</v>
      </c>
      <c r="T1618" s="49" t="str">
        <f>IFERROR(__xludf.DUMMYFUNCTION("""COMPUTED_VALUE"""),"album")</f>
        <v>album</v>
      </c>
      <c r="U1618" s="49"/>
      <c r="V1618" s="49"/>
      <c r="W1618" s="49" t="str">
        <f>IFERROR(__xludf.DUMMYFUNCTION("""COMPUTED_VALUE"""),"stuart")</f>
        <v>stuart</v>
      </c>
      <c r="X1618" s="49" t="str">
        <f t="shared" si="3"/>
        <v>villain,</v>
      </c>
      <c r="Y1618" s="49"/>
      <c r="Z1618" s="1" t="s">
        <v>225</v>
      </c>
      <c r="AA1618" s="1" t="s">
        <v>3676</v>
      </c>
      <c r="AB1618" s="49"/>
      <c r="AC1618" s="49"/>
      <c r="AD1618" s="49"/>
      <c r="AE1618" s="49" t="str">
        <f>IFERROR(__xludf.DUMMYFUNCTION("""COMPUTED_VALUE"""),"discreet")</f>
        <v>discreet</v>
      </c>
      <c r="AF1618" s="49" t="str">
        <f t="shared" si="4"/>
        <v>viewers,</v>
      </c>
      <c r="AG1618" s="49"/>
      <c r="AH1618" s="1" t="s">
        <v>6721</v>
      </c>
      <c r="AI1618" s="1" t="s">
        <v>6541</v>
      </c>
      <c r="AJ1618" s="6" t="str">
        <f>IFERROR(__xludf.DUMMYFUNCTION("""COMPUTED_VALUE"""),"limited")</f>
        <v>limited</v>
      </c>
      <c r="AK1618" s="49"/>
      <c r="AL1618" s="49"/>
      <c r="AM1618" s="49"/>
      <c r="AN1618" s="52" t="str">
        <f t="shared" si="5"/>
        <v>gold,</v>
      </c>
    </row>
    <row r="1619">
      <c r="A1619" s="51"/>
      <c r="B1619" s="50" t="s">
        <v>1719</v>
      </c>
      <c r="C1619" s="50" t="s">
        <v>1372</v>
      </c>
      <c r="D1619" s="49" t="str">
        <f>IFERROR(__xludf.DUMMYFUNCTION("""COMPUTED_VALUE"""),"blank")</f>
        <v>blank</v>
      </c>
      <c r="E1619" s="49"/>
      <c r="F1619" s="49"/>
      <c r="G1619" s="49"/>
      <c r="H1619" s="54" t="str">
        <f t="shared" si="1"/>
        <v>return,</v>
      </c>
      <c r="I1619" s="50"/>
      <c r="J1619" s="50" t="s">
        <v>5439</v>
      </c>
      <c r="K1619" s="50" t="s">
        <v>3122</v>
      </c>
      <c r="L1619" s="49"/>
      <c r="M1619" s="49"/>
      <c r="N1619" s="49"/>
      <c r="O1619" s="49" t="str">
        <f>IFERROR(__xludf.DUMMYFUNCTION("""COMPUTED_VALUE"""),"stripped")</f>
        <v>stripped</v>
      </c>
      <c r="P1619" s="49" t="str">
        <f t="shared" si="2"/>
        <v>worlds,</v>
      </c>
      <c r="Q1619" s="49"/>
      <c r="R1619" s="50" t="s">
        <v>3922</v>
      </c>
      <c r="S1619" s="55" t="s">
        <v>6006</v>
      </c>
      <c r="T1619" s="49" t="str">
        <f>IFERROR(__xludf.DUMMYFUNCTION("""COMPUTED_VALUE"""),"devastating")</f>
        <v>devastating</v>
      </c>
      <c r="U1619" s="49"/>
      <c r="V1619" s="49"/>
      <c r="W1619" s="49" t="str">
        <f>IFERROR(__xludf.DUMMYFUNCTION("""COMPUTED_VALUE"""),"siegel")</f>
        <v>siegel</v>
      </c>
      <c r="X1619" s="49" t="str">
        <f t="shared" si="3"/>
        <v>genuinely,</v>
      </c>
      <c r="Y1619" s="49"/>
      <c r="Z1619" s="1" t="s">
        <v>4456</v>
      </c>
      <c r="AA1619" s="1" t="s">
        <v>3678</v>
      </c>
      <c r="AB1619" s="49"/>
      <c r="AC1619" s="49"/>
      <c r="AD1619" s="49"/>
      <c r="AE1619" s="49" t="str">
        <f>IFERROR(__xludf.DUMMYFUNCTION("""COMPUTED_VALUE"""),"stripped")</f>
        <v>stripped</v>
      </c>
      <c r="AF1619" s="49" t="str">
        <f t="shared" si="4"/>
        <v>terms,</v>
      </c>
      <c r="AG1619" s="49"/>
      <c r="AH1619" s="1" t="s">
        <v>3325</v>
      </c>
      <c r="AI1619" s="1" t="s">
        <v>2804</v>
      </c>
      <c r="AJ1619" s="6" t="str">
        <f>IFERROR(__xludf.DUMMYFUNCTION("""COMPUTED_VALUE"""),"baseball")</f>
        <v>baseball</v>
      </c>
      <c r="AK1619" s="49"/>
      <c r="AL1619" s="49"/>
      <c r="AM1619" s="49"/>
      <c r="AN1619" s="52" t="str">
        <f t="shared" si="5"/>
        <v>particularly,</v>
      </c>
    </row>
    <row r="1620">
      <c r="A1620" s="51"/>
      <c r="B1620" s="50" t="s">
        <v>5589</v>
      </c>
      <c r="C1620" s="50" t="s">
        <v>4338</v>
      </c>
      <c r="D1620" s="49" t="str">
        <f>IFERROR(__xludf.DUMMYFUNCTION("""COMPUTED_VALUE"""),"driven")</f>
        <v>driven</v>
      </c>
      <c r="E1620" s="49"/>
      <c r="F1620" s="49"/>
      <c r="G1620" s="49"/>
      <c r="H1620" s="54" t="str">
        <f t="shared" si="1"/>
        <v>charles,</v>
      </c>
      <c r="I1620" s="50"/>
      <c r="J1620" s="50" t="s">
        <v>7370</v>
      </c>
      <c r="K1620" s="50" t="s">
        <v>4248</v>
      </c>
      <c r="L1620" s="49"/>
      <c r="M1620" s="49"/>
      <c r="N1620" s="49"/>
      <c r="O1620" s="49" t="str">
        <f>IFERROR(__xludf.DUMMYFUNCTION("""COMPUTED_VALUE"""),"horses")</f>
        <v>horses</v>
      </c>
      <c r="P1620" s="49" t="str">
        <f t="shared" si="2"/>
        <v>educate,</v>
      </c>
      <c r="Q1620" s="49"/>
      <c r="R1620" s="50" t="s">
        <v>7412</v>
      </c>
      <c r="S1620" s="55" t="s">
        <v>1501</v>
      </c>
      <c r="T1620" s="49" t="str">
        <f>IFERROR(__xludf.DUMMYFUNCTION("""COMPUTED_VALUE"""),"telescope")</f>
        <v>telescope</v>
      </c>
      <c r="U1620" s="49"/>
      <c r="V1620" s="49"/>
      <c r="W1620" s="49" t="str">
        <f>IFERROR(__xludf.DUMMYFUNCTION("""COMPUTED_VALUE"""),"parochial")</f>
        <v>parochial</v>
      </c>
      <c r="X1620" s="49" t="str">
        <f t="shared" si="3"/>
        <v>ruthless,</v>
      </c>
      <c r="Y1620" s="49"/>
      <c r="Z1620" s="1" t="s">
        <v>3395</v>
      </c>
      <c r="AA1620" s="1" t="s">
        <v>3538</v>
      </c>
      <c r="AB1620" s="49"/>
      <c r="AC1620" s="49"/>
      <c r="AD1620" s="49"/>
      <c r="AE1620" s="49" t="str">
        <f>IFERROR(__xludf.DUMMYFUNCTION("""COMPUTED_VALUE"""),"horses")</f>
        <v>horses</v>
      </c>
      <c r="AF1620" s="49" t="str">
        <f t="shared" si="4"/>
        <v>impressive,</v>
      </c>
      <c r="AG1620" s="49"/>
      <c r="AH1620" s="1" t="s">
        <v>861</v>
      </c>
      <c r="AI1620" s="1" t="s">
        <v>2807</v>
      </c>
      <c r="AJ1620" s="6" t="str">
        <f>IFERROR(__xludf.DUMMYFUNCTION("""COMPUTED_VALUE"""),"suitable")</f>
        <v>suitable</v>
      </c>
      <c r="AK1620" s="49"/>
      <c r="AL1620" s="49"/>
      <c r="AM1620" s="49"/>
      <c r="AN1620" s="52" t="str">
        <f t="shared" si="5"/>
        <v>touch,</v>
      </c>
    </row>
    <row r="1621">
      <c r="A1621" s="51"/>
      <c r="B1621" s="50" t="s">
        <v>5581</v>
      </c>
      <c r="C1621" s="50" t="s">
        <v>4527</v>
      </c>
      <c r="D1621" s="49" t="str">
        <f>IFERROR(__xludf.DUMMYFUNCTION("""COMPUTED_VALUE"""),"faces")</f>
        <v>faces</v>
      </c>
      <c r="E1621" s="49"/>
      <c r="F1621" s="49"/>
      <c r="G1621" s="49"/>
      <c r="H1621" s="54" t="str">
        <f t="shared" si="1"/>
        <v>angel,</v>
      </c>
      <c r="I1621" s="50"/>
      <c r="J1621" s="50" t="s">
        <v>4873</v>
      </c>
      <c r="K1621" s="50" t="s">
        <v>4773</v>
      </c>
      <c r="L1621" s="49"/>
      <c r="M1621" s="49"/>
      <c r="N1621" s="49"/>
      <c r="O1621" s="49" t="str">
        <f>IFERROR(__xludf.DUMMYFUNCTION("""COMPUTED_VALUE"""),"mined")</f>
        <v>mined</v>
      </c>
      <c r="P1621" s="49" t="str">
        <f t="shared" si="2"/>
        <v>benefit,</v>
      </c>
      <c r="Q1621" s="49"/>
      <c r="R1621" s="50" t="s">
        <v>3231</v>
      </c>
      <c r="S1621" s="55" t="s">
        <v>2930</v>
      </c>
      <c r="T1621" s="49" t="str">
        <f>IFERROR(__xludf.DUMMYFUNCTION("""COMPUTED_VALUE"""),"conventions")</f>
        <v>conventions</v>
      </c>
      <c r="U1621" s="49"/>
      <c r="V1621" s="49"/>
      <c r="W1621" s="49" t="str">
        <f>IFERROR(__xludf.DUMMYFUNCTION("""COMPUTED_VALUE"""),"romero")</f>
        <v>romero</v>
      </c>
      <c r="X1621" s="49" t="str">
        <f t="shared" si="3"/>
        <v>scares,</v>
      </c>
      <c r="Y1621" s="49"/>
      <c r="Z1621" s="1" t="s">
        <v>2614</v>
      </c>
      <c r="AA1621" s="1" t="s">
        <v>781</v>
      </c>
      <c r="AB1621" s="49"/>
      <c r="AC1621" s="49"/>
      <c r="AD1621" s="49"/>
      <c r="AE1621" s="49" t="str">
        <f>IFERROR(__xludf.DUMMYFUNCTION("""COMPUTED_VALUE"""),"mined")</f>
        <v>mined</v>
      </c>
      <c r="AF1621" s="49" t="str">
        <f t="shared" si="4"/>
        <v>generated,</v>
      </c>
      <c r="AG1621" s="49"/>
      <c r="AH1621" s="1" t="s">
        <v>6824</v>
      </c>
      <c r="AI1621" s="1" t="s">
        <v>3985</v>
      </c>
      <c r="AJ1621" s="6" t="str">
        <f>IFERROR(__xludf.DUMMYFUNCTION("""COMPUTED_VALUE"""),"abilities")</f>
        <v>abilities</v>
      </c>
      <c r="AK1621" s="49"/>
      <c r="AL1621" s="49"/>
      <c r="AM1621" s="49"/>
      <c r="AN1621" s="52" t="str">
        <f t="shared" si="5"/>
        <v>therefore,</v>
      </c>
    </row>
    <row r="1622">
      <c r="A1622" s="51"/>
      <c r="B1622" s="50" t="s">
        <v>6622</v>
      </c>
      <c r="C1622" s="50" t="s">
        <v>3850</v>
      </c>
      <c r="D1622" s="49" t="str">
        <f>IFERROR(__xludf.DUMMYFUNCTION("""COMPUTED_VALUE"""),"paul")</f>
        <v>paul</v>
      </c>
      <c r="E1622" s="49"/>
      <c r="F1622" s="49"/>
      <c r="G1622" s="49"/>
      <c r="H1622" s="54" t="str">
        <f t="shared" si="1"/>
        <v>heaven,</v>
      </c>
      <c r="I1622" s="50"/>
      <c r="J1622" s="50" t="s">
        <v>1718</v>
      </c>
      <c r="K1622" s="50" t="s">
        <v>67</v>
      </c>
      <c r="L1622" s="49"/>
      <c r="M1622" s="49"/>
      <c r="N1622" s="49"/>
      <c r="O1622" s="49" t="str">
        <f>IFERROR(__xludf.DUMMYFUNCTION("""COMPUTED_VALUE"""),"tabloid")</f>
        <v>tabloid</v>
      </c>
      <c r="P1622" s="49" t="str">
        <f t="shared" si="2"/>
        <v>insult,</v>
      </c>
      <c r="Q1622" s="49"/>
      <c r="R1622" s="50" t="s">
        <v>6584</v>
      </c>
      <c r="S1622" s="55" t="s">
        <v>4607</v>
      </c>
      <c r="T1622" s="49" t="str">
        <f>IFERROR(__xludf.DUMMYFUNCTION("""COMPUTED_VALUE"""),"grips")</f>
        <v>grips</v>
      </c>
      <c r="U1622" s="49"/>
      <c r="V1622" s="49"/>
      <c r="W1622" s="49" t="str">
        <f>IFERROR(__xludf.DUMMYFUNCTION("""COMPUTED_VALUE"""),"philip")</f>
        <v>philip</v>
      </c>
      <c r="X1622" s="49" t="str">
        <f t="shared" si="3"/>
        <v>corn,</v>
      </c>
      <c r="Y1622" s="49"/>
      <c r="Z1622" s="1" t="s">
        <v>3794</v>
      </c>
      <c r="AA1622" s="1" t="s">
        <v>2350</v>
      </c>
      <c r="AB1622" s="49"/>
      <c r="AC1622" s="49"/>
      <c r="AD1622" s="49"/>
      <c r="AE1622" s="49" t="str">
        <f>IFERROR(__xludf.DUMMYFUNCTION("""COMPUTED_VALUE"""),"tabloid")</f>
        <v>tabloid</v>
      </c>
      <c r="AF1622" s="49" t="str">
        <f t="shared" si="4"/>
        <v>kinda,</v>
      </c>
      <c r="AG1622" s="49"/>
      <c r="AH1622" s="1" t="s">
        <v>6071</v>
      </c>
      <c r="AI1622" s="1" t="s">
        <v>2680</v>
      </c>
      <c r="AJ1622" s="6" t="str">
        <f>IFERROR(__xludf.DUMMYFUNCTION("""COMPUTED_VALUE"""),"demonstrated")</f>
        <v>demonstrated</v>
      </c>
      <c r="AK1622" s="49"/>
      <c r="AL1622" s="49"/>
      <c r="AM1622" s="49"/>
      <c r="AN1622" s="52" t="str">
        <f t="shared" si="5"/>
        <v>mentioned,</v>
      </c>
    </row>
    <row r="1623">
      <c r="A1623" s="51"/>
      <c r="B1623" s="50" t="s">
        <v>1125</v>
      </c>
      <c r="C1623" s="50" t="s">
        <v>2671</v>
      </c>
      <c r="D1623" s="49" t="str">
        <f>IFERROR(__xludf.DUMMYFUNCTION("""COMPUTED_VALUE"""),"abstract")</f>
        <v>abstract</v>
      </c>
      <c r="E1623" s="49"/>
      <c r="F1623" s="49"/>
      <c r="G1623" s="49"/>
      <c r="H1623" s="54" t="str">
        <f t="shared" si="1"/>
        <v>tenth,</v>
      </c>
      <c r="I1623" s="50"/>
      <c r="J1623" s="50" t="s">
        <v>2357</v>
      </c>
      <c r="K1623" s="50" t="s">
        <v>3126</v>
      </c>
      <c r="L1623" s="49"/>
      <c r="M1623" s="49"/>
      <c r="N1623" s="49"/>
      <c r="O1623" s="49" t="str">
        <f>IFERROR(__xludf.DUMMYFUNCTION("""COMPUTED_VALUE"""),"mystical")</f>
        <v>mystical</v>
      </c>
      <c r="P1623" s="49" t="str">
        <f t="shared" si="2"/>
        <v>timeless,</v>
      </c>
      <c r="Q1623" s="49"/>
      <c r="R1623" s="50" t="s">
        <v>5531</v>
      </c>
      <c r="S1623" s="55" t="s">
        <v>2934</v>
      </c>
      <c r="T1623" s="49" t="str">
        <f>IFERROR(__xludf.DUMMYFUNCTION("""COMPUTED_VALUE"""),"layered")</f>
        <v>layered</v>
      </c>
      <c r="U1623" s="49"/>
      <c r="V1623" s="49"/>
      <c r="W1623" s="49" t="str">
        <f>IFERROR(__xludf.DUMMYFUNCTION("""COMPUTED_VALUE"""),"rosario")</f>
        <v>rosario</v>
      </c>
      <c r="X1623" s="49" t="str">
        <f t="shared" si="3"/>
        <v>icon,</v>
      </c>
      <c r="Y1623" s="49"/>
      <c r="Z1623" s="1" t="s">
        <v>6322</v>
      </c>
      <c r="AA1623" s="1" t="s">
        <v>4775</v>
      </c>
      <c r="AB1623" s="49"/>
      <c r="AC1623" s="49"/>
      <c r="AD1623" s="49"/>
      <c r="AE1623" s="49" t="str">
        <f>IFERROR(__xludf.DUMMYFUNCTION("""COMPUTED_VALUE"""),"mystical")</f>
        <v>mystical</v>
      </c>
      <c r="AF1623" s="49" t="str">
        <f t="shared" si="4"/>
        <v>sea,</v>
      </c>
      <c r="AG1623" s="49"/>
      <c r="AH1623" s="1" t="s">
        <v>6567</v>
      </c>
      <c r="AI1623" s="1" t="s">
        <v>3826</v>
      </c>
      <c r="AJ1623" s="6" t="str">
        <f>IFERROR(__xludf.DUMMYFUNCTION("""COMPUTED_VALUE"""),"mind")</f>
        <v>mind</v>
      </c>
      <c r="AK1623" s="49"/>
      <c r="AL1623" s="49"/>
      <c r="AM1623" s="49"/>
      <c r="AN1623" s="52" t="str">
        <f t="shared" si="5"/>
        <v>risk,</v>
      </c>
    </row>
    <row r="1624">
      <c r="A1624" s="51"/>
      <c r="B1624" s="50" t="s">
        <v>4484</v>
      </c>
      <c r="C1624" s="50" t="s">
        <v>2687</v>
      </c>
      <c r="D1624" s="49" t="str">
        <f>IFERROR(__xludf.DUMMYFUNCTION("""COMPUTED_VALUE"""),"needed")</f>
        <v>needed</v>
      </c>
      <c r="E1624" s="49"/>
      <c r="F1624" s="49"/>
      <c r="G1624" s="49"/>
      <c r="H1624" s="54" t="str">
        <f t="shared" si="1"/>
        <v>research,</v>
      </c>
      <c r="I1624" s="50"/>
      <c r="J1624" s="50" t="s">
        <v>456</v>
      </c>
      <c r="K1624" s="50" t="s">
        <v>1594</v>
      </c>
      <c r="L1624" s="49"/>
      <c r="M1624" s="49"/>
      <c r="N1624" s="49"/>
      <c r="O1624" s="49" t="str">
        <f>IFERROR(__xludf.DUMMYFUNCTION("""COMPUTED_VALUE"""),"darkest")</f>
        <v>darkest</v>
      </c>
      <c r="P1624" s="49" t="str">
        <f t="shared" si="2"/>
        <v>literary,</v>
      </c>
      <c r="Q1624" s="49"/>
      <c r="R1624" s="50" t="s">
        <v>1342</v>
      </c>
      <c r="S1624" s="55" t="s">
        <v>5779</v>
      </c>
      <c r="T1624" s="49" t="str">
        <f>IFERROR(__xludf.DUMMYFUNCTION("""COMPUTED_VALUE"""),"conspicuous")</f>
        <v>conspicuous</v>
      </c>
      <c r="U1624" s="49"/>
      <c r="V1624" s="49"/>
      <c r="W1624" s="49" t="str">
        <f>IFERROR(__xludf.DUMMYFUNCTION("""COMPUTED_VALUE"""),"fragmented")</f>
        <v>fragmented</v>
      </c>
      <c r="X1624" s="49" t="str">
        <f t="shared" si="3"/>
        <v>adolescent,</v>
      </c>
      <c r="Y1624" s="49"/>
      <c r="Z1624" s="1" t="s">
        <v>6505</v>
      </c>
      <c r="AA1624" s="1" t="s">
        <v>2043</v>
      </c>
      <c r="AB1624" s="49"/>
      <c r="AC1624" s="49"/>
      <c r="AD1624" s="49"/>
      <c r="AE1624" s="49" t="str">
        <f>IFERROR(__xludf.DUMMYFUNCTION("""COMPUTED_VALUE"""),"darkest")</f>
        <v>darkest</v>
      </c>
      <c r="AF1624" s="49" t="str">
        <f t="shared" si="4"/>
        <v>violently,</v>
      </c>
      <c r="AG1624" s="49"/>
      <c r="AH1624" s="1" t="s">
        <v>2461</v>
      </c>
      <c r="AI1624" s="1" t="s">
        <v>1591</v>
      </c>
      <c r="AJ1624" s="6" t="str">
        <f>IFERROR(__xludf.DUMMYFUNCTION("""COMPUTED_VALUE"""),"protect")</f>
        <v>protect</v>
      </c>
      <c r="AK1624" s="49"/>
      <c r="AL1624" s="49"/>
      <c r="AM1624" s="49"/>
      <c r="AN1624" s="52" t="str">
        <f t="shared" si="5"/>
        <v>search,</v>
      </c>
    </row>
    <row r="1625">
      <c r="A1625" s="51"/>
      <c r="B1625" s="50" t="s">
        <v>3147</v>
      </c>
      <c r="C1625" s="50" t="s">
        <v>5679</v>
      </c>
      <c r="D1625" s="49" t="str">
        <f>IFERROR(__xludf.DUMMYFUNCTION("""COMPUTED_VALUE"""),"jones")</f>
        <v>jones</v>
      </c>
      <c r="E1625" s="49"/>
      <c r="F1625" s="49"/>
      <c r="G1625" s="49"/>
      <c r="H1625" s="54" t="str">
        <f t="shared" si="1"/>
        <v>military,</v>
      </c>
      <c r="I1625" s="50"/>
      <c r="J1625" s="50" t="s">
        <v>4071</v>
      </c>
      <c r="K1625" s="50" t="s">
        <v>1030</v>
      </c>
      <c r="L1625" s="49"/>
      <c r="M1625" s="49"/>
      <c r="N1625" s="49"/>
      <c r="O1625" s="49" t="str">
        <f>IFERROR(__xludf.DUMMYFUNCTION("""COMPUTED_VALUE"""),"derive")</f>
        <v>derive</v>
      </c>
      <c r="P1625" s="49" t="str">
        <f t="shared" si="2"/>
        <v>tunnels,</v>
      </c>
      <c r="Q1625" s="49"/>
      <c r="R1625" s="50" t="s">
        <v>988</v>
      </c>
      <c r="S1625" s="55" t="s">
        <v>1508</v>
      </c>
      <c r="T1625" s="49" t="str">
        <f>IFERROR(__xludf.DUMMYFUNCTION("""COMPUTED_VALUE"""),"participate")</f>
        <v>participate</v>
      </c>
      <c r="U1625" s="49"/>
      <c r="V1625" s="49"/>
      <c r="W1625" s="49" t="str">
        <f>IFERROR(__xludf.DUMMYFUNCTION("""COMPUTED_VALUE"""),"enhancing")</f>
        <v>enhancing</v>
      </c>
      <c r="X1625" s="49" t="str">
        <f t="shared" si="3"/>
        <v>oliver,</v>
      </c>
      <c r="Y1625" s="49"/>
      <c r="Z1625" s="1" t="s">
        <v>5410</v>
      </c>
      <c r="AA1625" s="1" t="s">
        <v>4779</v>
      </c>
      <c r="AB1625" s="49"/>
      <c r="AC1625" s="49"/>
      <c r="AD1625" s="49"/>
      <c r="AE1625" s="49" t="str">
        <f>IFERROR(__xludf.DUMMYFUNCTION("""COMPUTED_VALUE"""),"derive")</f>
        <v>derive</v>
      </c>
      <c r="AF1625" s="49" t="str">
        <f t="shared" si="4"/>
        <v>verbal,</v>
      </c>
      <c r="AG1625" s="49"/>
      <c r="AH1625" s="1" t="s">
        <v>2833</v>
      </c>
      <c r="AI1625" s="1" t="s">
        <v>6542</v>
      </c>
      <c r="AJ1625" s="6" t="str">
        <f>IFERROR(__xludf.DUMMYFUNCTION("""COMPUTED_VALUE"""),"lifted")</f>
        <v>lifted</v>
      </c>
      <c r="AK1625" s="49"/>
      <c r="AL1625" s="49"/>
      <c r="AM1625" s="49"/>
      <c r="AN1625" s="52" t="str">
        <f t="shared" si="5"/>
        <v>broad,</v>
      </c>
    </row>
    <row r="1626">
      <c r="A1626" s="51"/>
      <c r="B1626" s="50" t="s">
        <v>2162</v>
      </c>
      <c r="C1626" s="50" t="s">
        <v>5948</v>
      </c>
      <c r="D1626" s="49" t="str">
        <f>IFERROR(__xludf.DUMMYFUNCTION("""COMPUTED_VALUE"""),"smell")</f>
        <v>smell</v>
      </c>
      <c r="E1626" s="49"/>
      <c r="F1626" s="49"/>
      <c r="G1626" s="49"/>
      <c r="H1626" s="54" t="str">
        <f t="shared" si="1"/>
        <v>working,</v>
      </c>
      <c r="I1626" s="50"/>
      <c r="J1626" s="50" t="s">
        <v>209</v>
      </c>
      <c r="K1626" s="50" t="s">
        <v>886</v>
      </c>
      <c r="L1626" s="49"/>
      <c r="M1626" s="49"/>
      <c r="N1626" s="49"/>
      <c r="O1626" s="49" t="str">
        <f>IFERROR(__xludf.DUMMYFUNCTION("""COMPUTED_VALUE"""),"deficit")</f>
        <v>deficit</v>
      </c>
      <c r="P1626" s="49" t="str">
        <f t="shared" si="2"/>
        <v>masterpiece,</v>
      </c>
      <c r="Q1626" s="49"/>
      <c r="R1626" s="50" t="s">
        <v>2380</v>
      </c>
      <c r="S1626" s="55" t="s">
        <v>2939</v>
      </c>
      <c r="T1626" s="49" t="str">
        <f>IFERROR(__xludf.DUMMYFUNCTION("""COMPUTED_VALUE"""),"whale")</f>
        <v>whale</v>
      </c>
      <c r="U1626" s="49"/>
      <c r="V1626" s="49"/>
      <c r="W1626" s="49" t="str">
        <f>IFERROR(__xludf.DUMMYFUNCTION("""COMPUTED_VALUE"""),"wholesale")</f>
        <v>wholesale</v>
      </c>
      <c r="X1626" s="49" t="str">
        <f t="shared" si="3"/>
        <v>purely,</v>
      </c>
      <c r="Y1626" s="49"/>
      <c r="Z1626" s="1" t="s">
        <v>179</v>
      </c>
      <c r="AA1626" s="1" t="s">
        <v>758</v>
      </c>
      <c r="AB1626" s="49"/>
      <c r="AC1626" s="49"/>
      <c r="AD1626" s="49"/>
      <c r="AE1626" s="49" t="str">
        <f>IFERROR(__xludf.DUMMYFUNCTION("""COMPUTED_VALUE"""),"deficit")</f>
        <v>deficit</v>
      </c>
      <c r="AF1626" s="49" t="str">
        <f t="shared" si="4"/>
        <v>actress,</v>
      </c>
      <c r="AG1626" s="49"/>
      <c r="AH1626" s="1" t="s">
        <v>1991</v>
      </c>
      <c r="AI1626" s="1" t="s">
        <v>3413</v>
      </c>
      <c r="AJ1626" s="6" t="str">
        <f>IFERROR(__xludf.DUMMYFUNCTION("""COMPUTED_VALUE"""),"humans")</f>
        <v>humans</v>
      </c>
      <c r="AK1626" s="49"/>
      <c r="AL1626" s="49"/>
      <c r="AM1626" s="49"/>
      <c r="AN1626" s="52" t="str">
        <f t="shared" si="5"/>
        <v>try,</v>
      </c>
    </row>
    <row r="1627">
      <c r="A1627" s="51"/>
      <c r="B1627" s="50" t="s">
        <v>4463</v>
      </c>
      <c r="C1627" s="50" t="s">
        <v>712</v>
      </c>
      <c r="D1627" s="49" t="str">
        <f>IFERROR(__xludf.DUMMYFUNCTION("""COMPUTED_VALUE"""),"gave")</f>
        <v>gave</v>
      </c>
      <c r="E1627" s="49"/>
      <c r="F1627" s="49"/>
      <c r="G1627" s="49"/>
      <c r="H1627" s="54" t="str">
        <f t="shared" si="1"/>
        <v>paul,</v>
      </c>
      <c r="I1627" s="50"/>
      <c r="J1627" s="50" t="s">
        <v>2403</v>
      </c>
      <c r="K1627" s="50" t="s">
        <v>4785</v>
      </c>
      <c r="L1627" s="49"/>
      <c r="M1627" s="49"/>
      <c r="N1627" s="49"/>
      <c r="O1627" s="49" t="str">
        <f>IFERROR(__xludf.DUMMYFUNCTION("""COMPUTED_VALUE"""),"tinged")</f>
        <v>tinged</v>
      </c>
      <c r="P1627" s="49" t="str">
        <f t="shared" si="2"/>
        <v>impressed,</v>
      </c>
      <c r="Q1627" s="49"/>
      <c r="R1627" s="50" t="s">
        <v>1990</v>
      </c>
      <c r="S1627" s="55" t="s">
        <v>2767</v>
      </c>
      <c r="T1627" s="49" t="str">
        <f>IFERROR(__xludf.DUMMYFUNCTION("""COMPUTED_VALUE"""),"laboratory")</f>
        <v>laboratory</v>
      </c>
      <c r="U1627" s="49"/>
      <c r="V1627" s="49"/>
      <c r="W1627" s="49" t="str">
        <f>IFERROR(__xludf.DUMMYFUNCTION("""COMPUTED_VALUE"""),"feral")</f>
        <v>feral</v>
      </c>
      <c r="X1627" s="49" t="str">
        <f t="shared" si="3"/>
        <v>subjects,</v>
      </c>
      <c r="Y1627" s="49"/>
      <c r="Z1627" s="1" t="s">
        <v>962</v>
      </c>
      <c r="AA1627" s="1" t="s">
        <v>1028</v>
      </c>
      <c r="AB1627" s="49"/>
      <c r="AC1627" s="49"/>
      <c r="AD1627" s="49"/>
      <c r="AE1627" s="49" t="str">
        <f>IFERROR(__xludf.DUMMYFUNCTION("""COMPUTED_VALUE"""),"tinged")</f>
        <v>tinged</v>
      </c>
      <c r="AF1627" s="49" t="str">
        <f t="shared" si="4"/>
        <v>runs,</v>
      </c>
      <c r="AG1627" s="49"/>
      <c r="AH1627" s="1" t="s">
        <v>1543</v>
      </c>
      <c r="AI1627" s="1" t="s">
        <v>2039</v>
      </c>
      <c r="AJ1627" s="6" t="str">
        <f>IFERROR(__xludf.DUMMYFUNCTION("""COMPUTED_VALUE"""),"imagine")</f>
        <v>imagine</v>
      </c>
      <c r="AK1627" s="49"/>
      <c r="AL1627" s="49"/>
      <c r="AM1627" s="49"/>
      <c r="AN1627" s="52" t="str">
        <f t="shared" si="5"/>
        <v>subject,</v>
      </c>
    </row>
    <row r="1628">
      <c r="A1628" s="51"/>
      <c r="B1628" s="50" t="s">
        <v>2732</v>
      </c>
      <c r="C1628" s="50" t="s">
        <v>4346</v>
      </c>
      <c r="D1628" s="49" t="str">
        <f>IFERROR(__xludf.DUMMYFUNCTION("""COMPUTED_VALUE"""),"previously")</f>
        <v>previously</v>
      </c>
      <c r="E1628" s="49"/>
      <c r="F1628" s="49"/>
      <c r="G1628" s="49"/>
      <c r="H1628" s="54" t="str">
        <f t="shared" si="1"/>
        <v>brought,</v>
      </c>
      <c r="I1628" s="50"/>
      <c r="J1628" s="50" t="s">
        <v>4210</v>
      </c>
      <c r="K1628" s="50" t="s">
        <v>4685</v>
      </c>
      <c r="L1628" s="49"/>
      <c r="M1628" s="49"/>
      <c r="N1628" s="49"/>
      <c r="O1628" s="49" t="str">
        <f>IFERROR(__xludf.DUMMYFUNCTION("""COMPUTED_VALUE"""),"comparatively")</f>
        <v>comparatively</v>
      </c>
      <c r="P1628" s="49" t="str">
        <f t="shared" si="2"/>
        <v>mildly,</v>
      </c>
      <c r="Q1628" s="49"/>
      <c r="R1628" s="50" t="s">
        <v>2303</v>
      </c>
      <c r="S1628" s="55" t="s">
        <v>2953</v>
      </c>
      <c r="T1628" s="49" t="str">
        <f>IFERROR(__xludf.DUMMYFUNCTION("""COMPUTED_VALUE"""),"tomorrow")</f>
        <v>tomorrow</v>
      </c>
      <c r="U1628" s="49"/>
      <c r="V1628" s="49"/>
      <c r="W1628" s="49" t="str">
        <f>IFERROR(__xludf.DUMMYFUNCTION("""COMPUTED_VALUE"""),"uncomfortable")</f>
        <v>uncomfortable</v>
      </c>
      <c r="X1628" s="49" t="str">
        <f t="shared" si="3"/>
        <v>taboo,</v>
      </c>
      <c r="Y1628" s="49"/>
      <c r="Z1628" s="1" t="s">
        <v>4875</v>
      </c>
      <c r="AA1628" s="1" t="s">
        <v>4786</v>
      </c>
      <c r="AB1628" s="49"/>
      <c r="AC1628" s="49"/>
      <c r="AD1628" s="49"/>
      <c r="AE1628" s="49" t="str">
        <f>IFERROR(__xludf.DUMMYFUNCTION("""COMPUTED_VALUE"""),"comparatively")</f>
        <v>comparatively</v>
      </c>
      <c r="AF1628" s="49" t="str">
        <f t="shared" si="4"/>
        <v>inner,</v>
      </c>
      <c r="AG1628" s="49"/>
      <c r="AH1628" s="1" t="s">
        <v>2178</v>
      </c>
      <c r="AI1628" s="1" t="s">
        <v>4000</v>
      </c>
      <c r="AJ1628" s="6" t="str">
        <f>IFERROR(__xludf.DUMMYFUNCTION("""COMPUTED_VALUE"""),"involving")</f>
        <v>involving</v>
      </c>
      <c r="AK1628" s="49"/>
      <c r="AL1628" s="49"/>
      <c r="AM1628" s="49"/>
      <c r="AN1628" s="52" t="str">
        <f t="shared" si="5"/>
        <v>add,</v>
      </c>
    </row>
    <row r="1629">
      <c r="A1629" s="51"/>
      <c r="B1629" s="50" t="s">
        <v>6767</v>
      </c>
      <c r="C1629" s="50" t="s">
        <v>6507</v>
      </c>
      <c r="D1629" s="49" t="str">
        <f>IFERROR(__xludf.DUMMYFUNCTION("""COMPUTED_VALUE"""),"grew")</f>
        <v>grew</v>
      </c>
      <c r="E1629" s="49"/>
      <c r="F1629" s="49"/>
      <c r="G1629" s="49"/>
      <c r="H1629" s="54" t="str">
        <f t="shared" si="1"/>
        <v>super,</v>
      </c>
      <c r="I1629" s="50"/>
      <c r="J1629" s="50" t="s">
        <v>921</v>
      </c>
      <c r="K1629" s="50" t="s">
        <v>4789</v>
      </c>
      <c r="L1629" s="49"/>
      <c r="M1629" s="49"/>
      <c r="N1629" s="49"/>
      <c r="O1629" s="49" t="str">
        <f>IFERROR(__xludf.DUMMYFUNCTION("""COMPUTED_VALUE"""),"practices")</f>
        <v>practices</v>
      </c>
      <c r="P1629" s="49" t="str">
        <f t="shared" si="2"/>
        <v>creates,</v>
      </c>
      <c r="Q1629" s="49"/>
      <c r="R1629" s="50" t="s">
        <v>2006</v>
      </c>
      <c r="S1629" s="55" t="s">
        <v>2949</v>
      </c>
      <c r="T1629" s="49" t="str">
        <f>IFERROR(__xludf.DUMMYFUNCTION("""COMPUTED_VALUE"""),"convenient")</f>
        <v>convenient</v>
      </c>
      <c r="U1629" s="49"/>
      <c r="V1629" s="49"/>
      <c r="W1629" s="49" t="str">
        <f>IFERROR(__xludf.DUMMYFUNCTION("""COMPUTED_VALUE"""),"romeo")</f>
        <v>romeo</v>
      </c>
      <c r="X1629" s="49" t="str">
        <f t="shared" si="3"/>
        <v>card,</v>
      </c>
      <c r="Y1629" s="49"/>
      <c r="Z1629" s="1" t="s">
        <v>3711</v>
      </c>
      <c r="AA1629" s="1" t="s">
        <v>3692</v>
      </c>
      <c r="AB1629" s="49"/>
      <c r="AC1629" s="49"/>
      <c r="AD1629" s="49"/>
      <c r="AE1629" s="49" t="str">
        <f>IFERROR(__xludf.DUMMYFUNCTION("""COMPUTED_VALUE"""),"practices")</f>
        <v>practices</v>
      </c>
      <c r="AF1629" s="49" t="str">
        <f t="shared" si="4"/>
        <v>sloppy,</v>
      </c>
      <c r="AG1629" s="49"/>
      <c r="AH1629" s="1" t="s">
        <v>7047</v>
      </c>
      <c r="AI1629" s="1" t="s">
        <v>6527</v>
      </c>
      <c r="AJ1629" s="6" t="str">
        <f>IFERROR(__xludf.DUMMYFUNCTION("""COMPUTED_VALUE"""),"larry")</f>
        <v>larry</v>
      </c>
      <c r="AK1629" s="49"/>
      <c r="AL1629" s="49"/>
      <c r="AM1629" s="49"/>
      <c r="AN1629" s="52" t="str">
        <f t="shared" si="5"/>
        <v>suicide,</v>
      </c>
    </row>
    <row r="1630">
      <c r="A1630" s="51"/>
      <c r="B1630" s="50" t="s">
        <v>3814</v>
      </c>
      <c r="C1630" s="50" t="s">
        <v>2698</v>
      </c>
      <c r="D1630" s="49" t="str">
        <f>IFERROR(__xludf.DUMMYFUNCTION("""COMPUTED_VALUE"""),"twisted")</f>
        <v>twisted</v>
      </c>
      <c r="E1630" s="49"/>
      <c r="F1630" s="49"/>
      <c r="G1630" s="49"/>
      <c r="H1630" s="54" t="str">
        <f t="shared" si="1"/>
        <v>scientist,</v>
      </c>
      <c r="I1630" s="50"/>
      <c r="J1630" s="50" t="s">
        <v>894</v>
      </c>
      <c r="K1630" s="50" t="s">
        <v>1036</v>
      </c>
      <c r="L1630" s="49"/>
      <c r="M1630" s="49"/>
      <c r="N1630" s="49"/>
      <c r="O1630" s="49" t="str">
        <f>IFERROR(__xludf.DUMMYFUNCTION("""COMPUTED_VALUE"""),"arrest")</f>
        <v>arrest</v>
      </c>
      <c r="P1630" s="49" t="str">
        <f t="shared" si="2"/>
        <v>champion,</v>
      </c>
      <c r="Q1630" s="49"/>
      <c r="R1630" s="50" t="s">
        <v>7413</v>
      </c>
      <c r="S1630" s="55" t="s">
        <v>6543</v>
      </c>
      <c r="T1630" s="49" t="str">
        <f>IFERROR(__xludf.DUMMYFUNCTION("""COMPUTED_VALUE"""),"prejudice")</f>
        <v>prejudice</v>
      </c>
      <c r="U1630" s="49"/>
      <c r="V1630" s="49"/>
      <c r="W1630" s="49" t="str">
        <f>IFERROR(__xludf.DUMMYFUNCTION("""COMPUTED_VALUE"""),"decommissioned")</f>
        <v>decommissioned</v>
      </c>
      <c r="X1630" s="49" t="str">
        <f t="shared" si="3"/>
        <v>amateur,</v>
      </c>
      <c r="Y1630" s="49"/>
      <c r="Z1630" s="1" t="s">
        <v>3281</v>
      </c>
      <c r="AA1630" s="1" t="s">
        <v>1342</v>
      </c>
      <c r="AB1630" s="49"/>
      <c r="AC1630" s="49"/>
      <c r="AD1630" s="49"/>
      <c r="AE1630" s="49" t="str">
        <f>IFERROR(__xludf.DUMMYFUNCTION("""COMPUTED_VALUE"""),"arrest")</f>
        <v>arrest</v>
      </c>
      <c r="AF1630" s="49" t="str">
        <f t="shared" si="4"/>
        <v>artists,</v>
      </c>
      <c r="AG1630" s="49"/>
      <c r="AH1630" s="1" t="s">
        <v>4060</v>
      </c>
      <c r="AI1630" s="1" t="s">
        <v>572</v>
      </c>
      <c r="AJ1630" s="6" t="str">
        <f>IFERROR(__xludf.DUMMYFUNCTION("""COMPUTED_VALUE"""),"groups")</f>
        <v>groups</v>
      </c>
      <c r="AK1630" s="49"/>
      <c r="AL1630" s="49"/>
      <c r="AM1630" s="49"/>
      <c r="AN1630" s="52" t="str">
        <f t="shared" si="5"/>
        <v>unsuccessful,</v>
      </c>
    </row>
    <row r="1631">
      <c r="A1631" s="51"/>
      <c r="B1631" s="50" t="s">
        <v>6912</v>
      </c>
      <c r="C1631" s="50" t="s">
        <v>3858</v>
      </c>
      <c r="D1631" s="49" t="str">
        <f>IFERROR(__xludf.DUMMYFUNCTION("""COMPUTED_VALUE"""),"friendship")</f>
        <v>friendship</v>
      </c>
      <c r="E1631" s="49"/>
      <c r="F1631" s="49"/>
      <c r="G1631" s="49"/>
      <c r="H1631" s="54" t="str">
        <f t="shared" si="1"/>
        <v>er,</v>
      </c>
      <c r="I1631" s="50"/>
      <c r="J1631" s="50" t="s">
        <v>7414</v>
      </c>
      <c r="K1631" s="50" t="s">
        <v>1790</v>
      </c>
      <c r="L1631" s="49"/>
      <c r="M1631" s="49"/>
      <c r="N1631" s="49"/>
      <c r="O1631" s="49" t="str">
        <f>IFERROR(__xludf.DUMMYFUNCTION("""COMPUTED_VALUE"""),"bed")</f>
        <v>bed</v>
      </c>
      <c r="P1631" s="49" t="str">
        <f t="shared" si="2"/>
        <v>hank,</v>
      </c>
      <c r="Q1631" s="49"/>
      <c r="R1631" s="50" t="s">
        <v>3831</v>
      </c>
      <c r="S1631" s="55" t="s">
        <v>2770</v>
      </c>
      <c r="T1631" s="49" t="str">
        <f>IFERROR(__xludf.DUMMYFUNCTION("""COMPUTED_VALUE"""),"observed")</f>
        <v>observed</v>
      </c>
      <c r="U1631" s="49"/>
      <c r="V1631" s="49"/>
      <c r="W1631" s="49" t="str">
        <f>IFERROR(__xludf.DUMMYFUNCTION("""COMPUTED_VALUE"""),"trembling")</f>
        <v>trembling</v>
      </c>
      <c r="X1631" s="49" t="str">
        <f t="shared" si="3"/>
        <v>nation,</v>
      </c>
      <c r="Y1631" s="49"/>
      <c r="Z1631" s="1" t="s">
        <v>4206</v>
      </c>
      <c r="AA1631" s="1" t="s">
        <v>4791</v>
      </c>
      <c r="AB1631" s="49"/>
      <c r="AC1631" s="49"/>
      <c r="AD1631" s="49"/>
      <c r="AE1631" s="49" t="str">
        <f>IFERROR(__xludf.DUMMYFUNCTION("""COMPUTED_VALUE"""),"bed")</f>
        <v>bed</v>
      </c>
      <c r="AF1631" s="49" t="str">
        <f t="shared" si="4"/>
        <v>vision,</v>
      </c>
      <c r="AG1631" s="49"/>
      <c r="AH1631" s="1" t="s">
        <v>4202</v>
      </c>
      <c r="AI1631" s="1" t="s">
        <v>6544</v>
      </c>
      <c r="AJ1631" s="6" t="str">
        <f>IFERROR(__xludf.DUMMYFUNCTION("""COMPUTED_VALUE"""),"complete")</f>
        <v>complete</v>
      </c>
      <c r="AK1631" s="49"/>
      <c r="AL1631" s="49"/>
      <c r="AM1631" s="49"/>
      <c r="AN1631" s="52" t="str">
        <f t="shared" si="5"/>
        <v>record,</v>
      </c>
    </row>
    <row r="1632">
      <c r="A1632" s="51"/>
      <c r="B1632" s="50" t="s">
        <v>5826</v>
      </c>
      <c r="C1632" s="50" t="s">
        <v>2615</v>
      </c>
      <c r="D1632" s="49" t="str">
        <f>IFERROR(__xludf.DUMMYFUNCTION("""COMPUTED_VALUE"""),"demand")</f>
        <v>demand</v>
      </c>
      <c r="E1632" s="49"/>
      <c r="F1632" s="49"/>
      <c r="G1632" s="49"/>
      <c r="H1632" s="54" t="str">
        <f t="shared" si="1"/>
        <v>henry,</v>
      </c>
      <c r="I1632" s="50"/>
      <c r="J1632" s="50" t="s">
        <v>3958</v>
      </c>
      <c r="K1632" s="50" t="s">
        <v>2872</v>
      </c>
      <c r="L1632" s="49"/>
      <c r="M1632" s="49"/>
      <c r="N1632" s="49"/>
      <c r="O1632" s="49" t="str">
        <f>IFERROR(__xludf.DUMMYFUNCTION("""COMPUTED_VALUE"""),"satisfaction")</f>
        <v>satisfaction</v>
      </c>
      <c r="P1632" s="49" t="str">
        <f t="shared" si="2"/>
        <v>safe,</v>
      </c>
      <c r="Q1632" s="49"/>
      <c r="R1632" s="50" t="s">
        <v>4091</v>
      </c>
      <c r="S1632" s="55" t="s">
        <v>1515</v>
      </c>
      <c r="T1632" s="49" t="str">
        <f>IFERROR(__xludf.DUMMYFUNCTION("""COMPUTED_VALUE"""),"assurance")</f>
        <v>assurance</v>
      </c>
      <c r="U1632" s="49"/>
      <c r="V1632" s="49"/>
      <c r="W1632" s="49" t="str">
        <f>IFERROR(__xludf.DUMMYFUNCTION("""COMPUTED_VALUE"""),"pee")</f>
        <v>pee</v>
      </c>
      <c r="X1632" s="49" t="str">
        <f t="shared" si="3"/>
        <v>wind,</v>
      </c>
      <c r="Y1632" s="49"/>
      <c r="Z1632" s="1" t="s">
        <v>1260</v>
      </c>
      <c r="AA1632" s="1" t="s">
        <v>4793</v>
      </c>
      <c r="AB1632" s="49"/>
      <c r="AC1632" s="49"/>
      <c r="AD1632" s="49"/>
      <c r="AE1632" s="49" t="str">
        <f>IFERROR(__xludf.DUMMYFUNCTION("""COMPUTED_VALUE"""),"satisfaction")</f>
        <v>satisfaction</v>
      </c>
      <c r="AF1632" s="49" t="str">
        <f t="shared" si="4"/>
        <v>cannes,</v>
      </c>
      <c r="AG1632" s="49"/>
      <c r="AH1632" s="1" t="s">
        <v>3260</v>
      </c>
      <c r="AI1632" s="1" t="s">
        <v>2819</v>
      </c>
      <c r="AJ1632" s="6" t="str">
        <f>IFERROR(__xludf.DUMMYFUNCTION("""COMPUTED_VALUE"""),"segment")</f>
        <v>segment</v>
      </c>
      <c r="AK1632" s="49"/>
      <c r="AL1632" s="49"/>
      <c r="AM1632" s="49"/>
      <c r="AN1632" s="52" t="str">
        <f t="shared" si="5"/>
        <v>martin,</v>
      </c>
    </row>
    <row r="1633">
      <c r="A1633" s="51"/>
      <c r="B1633" s="50" t="s">
        <v>6438</v>
      </c>
      <c r="C1633" s="50" t="s">
        <v>4351</v>
      </c>
      <c r="D1633" s="49" t="str">
        <f>IFERROR(__xludf.DUMMYFUNCTION("""COMPUTED_VALUE"""),"bond")</f>
        <v>bond</v>
      </c>
      <c r="E1633" s="49"/>
      <c r="F1633" s="49"/>
      <c r="G1633" s="49"/>
      <c r="H1633" s="54" t="str">
        <f t="shared" si="1"/>
        <v>silence,</v>
      </c>
      <c r="I1633" s="50"/>
      <c r="J1633" s="50" t="s">
        <v>7114</v>
      </c>
      <c r="K1633" s="50" t="s">
        <v>2875</v>
      </c>
      <c r="L1633" s="49"/>
      <c r="M1633" s="49"/>
      <c r="N1633" s="49"/>
      <c r="O1633" s="49" t="str">
        <f>IFERROR(__xludf.DUMMYFUNCTION("""COMPUTED_VALUE"""),"distances")</f>
        <v>distances</v>
      </c>
      <c r="P1633" s="49" t="str">
        <f t="shared" si="2"/>
        <v>porn,</v>
      </c>
      <c r="Q1633" s="49"/>
      <c r="R1633" s="50" t="s">
        <v>1052</v>
      </c>
      <c r="S1633" s="55" t="s">
        <v>4113</v>
      </c>
      <c r="T1633" s="49" t="str">
        <f>IFERROR(__xludf.DUMMYFUNCTION("""COMPUTED_VALUE"""),"buried")</f>
        <v>buried</v>
      </c>
      <c r="U1633" s="49"/>
      <c r="V1633" s="49"/>
      <c r="W1633" s="49" t="str">
        <f>IFERROR(__xludf.DUMMYFUNCTION("""COMPUTED_VALUE"""),"retreat")</f>
        <v>retreat</v>
      </c>
      <c r="X1633" s="49" t="str">
        <f t="shared" si="3"/>
        <v>adolescents,</v>
      </c>
      <c r="Y1633" s="49"/>
      <c r="Z1633" s="1" t="s">
        <v>2307</v>
      </c>
      <c r="AA1633" s="1" t="s">
        <v>3694</v>
      </c>
      <c r="AB1633" s="49"/>
      <c r="AC1633" s="49"/>
      <c r="AD1633" s="49"/>
      <c r="AE1633" s="49" t="str">
        <f>IFERROR(__xludf.DUMMYFUNCTION("""COMPUTED_VALUE"""),"distances")</f>
        <v>distances</v>
      </c>
      <c r="AF1633" s="49" t="str">
        <f t="shared" si="4"/>
        <v>clear,</v>
      </c>
      <c r="AG1633" s="49"/>
      <c r="AH1633" s="1" t="s">
        <v>5523</v>
      </c>
      <c r="AI1633" s="1" t="s">
        <v>4485</v>
      </c>
      <c r="AJ1633" s="6" t="str">
        <f>IFERROR(__xludf.DUMMYFUNCTION("""COMPUTED_VALUE"""),"meant")</f>
        <v>meant</v>
      </c>
      <c r="AK1633" s="49"/>
      <c r="AL1633" s="49"/>
      <c r="AM1633" s="49"/>
      <c r="AN1633" s="52" t="str">
        <f t="shared" si="5"/>
        <v>failed,</v>
      </c>
    </row>
    <row r="1634">
      <c r="A1634" s="51"/>
      <c r="B1634" s="50" t="s">
        <v>6605</v>
      </c>
      <c r="C1634" s="50" t="s">
        <v>2714</v>
      </c>
      <c r="D1634" s="49" t="str">
        <f>IFERROR(__xludf.DUMMYFUNCTION("""COMPUTED_VALUE"""),"constant")</f>
        <v>constant</v>
      </c>
      <c r="E1634" s="49"/>
      <c r="F1634" s="49"/>
      <c r="G1634" s="49"/>
      <c r="H1634" s="54" t="str">
        <f t="shared" si="1"/>
        <v>anthony,</v>
      </c>
      <c r="I1634" s="50"/>
      <c r="J1634" s="50" t="s">
        <v>2600</v>
      </c>
      <c r="K1634" s="50" t="s">
        <v>1042</v>
      </c>
      <c r="L1634" s="49"/>
      <c r="M1634" s="49"/>
      <c r="N1634" s="49"/>
      <c r="O1634" s="49" t="str">
        <f>IFERROR(__xludf.DUMMYFUNCTION("""COMPUTED_VALUE"""),"chong")</f>
        <v>chong</v>
      </c>
      <c r="P1634" s="49" t="str">
        <f t="shared" si="2"/>
        <v>equivalent,</v>
      </c>
      <c r="Q1634" s="49"/>
      <c r="R1634" s="50" t="s">
        <v>4246</v>
      </c>
      <c r="S1634" s="55" t="s">
        <v>4117</v>
      </c>
      <c r="T1634" s="49" t="str">
        <f>IFERROR(__xludf.DUMMYFUNCTION("""COMPUTED_VALUE"""),"extremes")</f>
        <v>extremes</v>
      </c>
      <c r="U1634" s="49"/>
      <c r="V1634" s="49"/>
      <c r="W1634" s="49" t="str">
        <f>IFERROR(__xludf.DUMMYFUNCTION("""COMPUTED_VALUE"""),"amusement")</f>
        <v>amusement</v>
      </c>
      <c r="X1634" s="49" t="str">
        <f t="shared" si="3"/>
        <v>references,</v>
      </c>
      <c r="Y1634" s="49"/>
      <c r="Z1634" s="1" t="s">
        <v>6427</v>
      </c>
      <c r="AA1634" s="1" t="s">
        <v>1317</v>
      </c>
      <c r="AB1634" s="49"/>
      <c r="AC1634" s="49"/>
      <c r="AD1634" s="49"/>
      <c r="AE1634" s="49" t="str">
        <f>IFERROR(__xludf.DUMMYFUNCTION("""COMPUTED_VALUE"""),"chong")</f>
        <v>chong</v>
      </c>
      <c r="AF1634" s="49" t="str">
        <f t="shared" si="4"/>
        <v>apart,</v>
      </c>
      <c r="AG1634" s="49"/>
      <c r="AH1634" s="1" t="s">
        <v>1677</v>
      </c>
      <c r="AI1634" s="1" t="s">
        <v>6545</v>
      </c>
      <c r="AJ1634" s="6" t="str">
        <f>IFERROR(__xludf.DUMMYFUNCTION("""COMPUTED_VALUE"""),"broken")</f>
        <v>broken</v>
      </c>
      <c r="AK1634" s="49"/>
      <c r="AL1634" s="49"/>
      <c r="AM1634" s="49"/>
      <c r="AN1634" s="52" t="str">
        <f t="shared" si="5"/>
        <v>state,</v>
      </c>
    </row>
    <row r="1635">
      <c r="A1635" s="51"/>
      <c r="B1635" s="50" t="s">
        <v>1839</v>
      </c>
      <c r="C1635" s="50" t="s">
        <v>5152</v>
      </c>
      <c r="D1635" s="49" t="str">
        <f>IFERROR(__xludf.DUMMYFUNCTION("""COMPUTED_VALUE"""),"offers")</f>
        <v>offers</v>
      </c>
      <c r="E1635" s="49"/>
      <c r="F1635" s="49"/>
      <c r="G1635" s="49"/>
      <c r="H1635" s="54" t="str">
        <f t="shared" si="1"/>
        <v>alan,</v>
      </c>
      <c r="I1635" s="50"/>
      <c r="J1635" s="50" t="s">
        <v>2643</v>
      </c>
      <c r="K1635" s="50" t="s">
        <v>1940</v>
      </c>
      <c r="L1635" s="49"/>
      <c r="M1635" s="49"/>
      <c r="N1635" s="49"/>
      <c r="O1635" s="49" t="str">
        <f>IFERROR(__xludf.DUMMYFUNCTION("""COMPUTED_VALUE"""),"appeals")</f>
        <v>appeals</v>
      </c>
      <c r="P1635" s="49" t="str">
        <f t="shared" si="2"/>
        <v>won,</v>
      </c>
      <c r="Q1635" s="49"/>
      <c r="R1635" s="50" t="s">
        <v>2383</v>
      </c>
      <c r="S1635" s="55" t="s">
        <v>2958</v>
      </c>
      <c r="T1635" s="49" t="str">
        <f>IFERROR(__xludf.DUMMYFUNCTION("""COMPUTED_VALUE"""),"indifference")</f>
        <v>indifference</v>
      </c>
      <c r="U1635" s="49"/>
      <c r="V1635" s="49"/>
      <c r="W1635" s="49" t="str">
        <f>IFERROR(__xludf.DUMMYFUNCTION("""COMPUTED_VALUE"""),"humiliated")</f>
        <v>humiliated</v>
      </c>
      <c r="X1635" s="49" t="str">
        <f t="shared" si="3"/>
        <v>adult,</v>
      </c>
      <c r="Y1635" s="49"/>
      <c r="Z1635" s="1" t="s">
        <v>2802</v>
      </c>
      <c r="AA1635" s="1" t="s">
        <v>1323</v>
      </c>
      <c r="AB1635" s="49"/>
      <c r="AC1635" s="49"/>
      <c r="AD1635" s="49"/>
      <c r="AE1635" s="49" t="str">
        <f>IFERROR(__xludf.DUMMYFUNCTION("""COMPUTED_VALUE"""),"appeals")</f>
        <v>appeals</v>
      </c>
      <c r="AF1635" s="49" t="str">
        <f t="shared" si="4"/>
        <v>bride,</v>
      </c>
      <c r="AG1635" s="49"/>
      <c r="AH1635" s="1" t="s">
        <v>1373</v>
      </c>
      <c r="AI1635" s="1" t="s">
        <v>4044</v>
      </c>
      <c r="AJ1635" s="6" t="str">
        <f>IFERROR(__xludf.DUMMYFUNCTION("""COMPUTED_VALUE"""),"crime")</f>
        <v>crime</v>
      </c>
      <c r="AK1635" s="49"/>
      <c r="AL1635" s="49"/>
      <c r="AM1635" s="49"/>
      <c r="AN1635" s="52" t="str">
        <f t="shared" si="5"/>
        <v>became,</v>
      </c>
    </row>
    <row r="1636">
      <c r="A1636" s="51"/>
      <c r="B1636" s="50" t="s">
        <v>168</v>
      </c>
      <c r="C1636" s="50" t="s">
        <v>3869</v>
      </c>
      <c r="D1636" s="49" t="str">
        <f>IFERROR(__xludf.DUMMYFUNCTION("""COMPUTED_VALUE"""),"leads")</f>
        <v>leads</v>
      </c>
      <c r="E1636" s="49"/>
      <c r="F1636" s="49"/>
      <c r="G1636" s="49"/>
      <c r="H1636" s="54" t="str">
        <f t="shared" si="1"/>
        <v>roger,</v>
      </c>
      <c r="I1636" s="50"/>
      <c r="J1636" s="50" t="s">
        <v>4715</v>
      </c>
      <c r="K1636" s="50" t="s">
        <v>1652</v>
      </c>
      <c r="L1636" s="49"/>
      <c r="M1636" s="49"/>
      <c r="N1636" s="49"/>
      <c r="O1636" s="49" t="str">
        <f>IFERROR(__xludf.DUMMYFUNCTION("""COMPUTED_VALUE"""),"manipulating")</f>
        <v>manipulating</v>
      </c>
      <c r="P1636" s="49" t="str">
        <f t="shared" si="2"/>
        <v>toilet,</v>
      </c>
      <c r="Q1636" s="49"/>
      <c r="R1636" s="50" t="s">
        <v>1281</v>
      </c>
      <c r="S1636" s="55" t="s">
        <v>4015</v>
      </c>
      <c r="T1636" s="49" t="str">
        <f>IFERROR(__xludf.DUMMYFUNCTION("""COMPUTED_VALUE"""),"refined")</f>
        <v>refined</v>
      </c>
      <c r="U1636" s="49"/>
      <c r="V1636" s="49"/>
      <c r="W1636" s="49">
        <f>IFERROR(__xludf.DUMMYFUNCTION("""COMPUTED_VALUE"""),451.0)</f>
        <v>451</v>
      </c>
      <c r="X1636" s="49" t="str">
        <f t="shared" si="3"/>
        <v>vulgar,</v>
      </c>
      <c r="Y1636" s="49"/>
      <c r="Z1636" s="1" t="s">
        <v>638</v>
      </c>
      <c r="AA1636" s="1" t="s">
        <v>2550</v>
      </c>
      <c r="AB1636" s="49"/>
      <c r="AC1636" s="49"/>
      <c r="AD1636" s="49"/>
      <c r="AE1636" s="49" t="str">
        <f>IFERROR(__xludf.DUMMYFUNCTION("""COMPUTED_VALUE"""),"manipulating")</f>
        <v>manipulating</v>
      </c>
      <c r="AF1636" s="49" t="str">
        <f t="shared" si="4"/>
        <v>fourth,</v>
      </c>
      <c r="AG1636" s="49"/>
      <c r="AH1636" s="1" t="s">
        <v>6720</v>
      </c>
      <c r="AI1636" s="1" t="s">
        <v>2705</v>
      </c>
      <c r="AJ1636" s="6" t="str">
        <f>IFERROR(__xludf.DUMMYFUNCTION("""COMPUTED_VALUE"""),"reference")</f>
        <v>reference</v>
      </c>
      <c r="AK1636" s="49"/>
      <c r="AL1636" s="49"/>
      <c r="AM1636" s="49"/>
      <c r="AN1636" s="52" t="str">
        <f t="shared" si="5"/>
        <v>western,</v>
      </c>
    </row>
    <row r="1637">
      <c r="A1637" s="51"/>
      <c r="B1637" s="50" t="s">
        <v>2004</v>
      </c>
      <c r="C1637" s="50" t="s">
        <v>6526</v>
      </c>
      <c r="D1637" s="49" t="str">
        <f>IFERROR(__xludf.DUMMYFUNCTION("""COMPUTED_VALUE"""),"connection")</f>
        <v>connection</v>
      </c>
      <c r="E1637" s="49"/>
      <c r="F1637" s="49"/>
      <c r="G1637" s="49"/>
      <c r="H1637" s="54" t="str">
        <f t="shared" si="1"/>
        <v>asks,</v>
      </c>
      <c r="I1637" s="50"/>
      <c r="J1637" s="50" t="s">
        <v>7415</v>
      </c>
      <c r="K1637" s="50" t="s">
        <v>3134</v>
      </c>
      <c r="L1637" s="49"/>
      <c r="M1637" s="49"/>
      <c r="N1637" s="49"/>
      <c r="O1637" s="49" t="str">
        <f>IFERROR(__xludf.DUMMYFUNCTION("""COMPUTED_VALUE"""),"assign")</f>
        <v>assign</v>
      </c>
      <c r="P1637" s="49" t="str">
        <f t="shared" si="2"/>
        <v>foreman,</v>
      </c>
      <c r="Q1637" s="49"/>
      <c r="R1637" s="50" t="s">
        <v>1608</v>
      </c>
      <c r="S1637" s="55" t="s">
        <v>4120</v>
      </c>
      <c r="T1637" s="49" t="str">
        <f>IFERROR(__xludf.DUMMYFUNCTION("""COMPUTED_VALUE"""),"captures")</f>
        <v>captures</v>
      </c>
      <c r="U1637" s="49"/>
      <c r="V1637" s="49"/>
      <c r="W1637" s="49" t="str">
        <f>IFERROR(__xludf.DUMMYFUNCTION("""COMPUTED_VALUE"""),"gamble")</f>
        <v>gamble</v>
      </c>
      <c r="X1637" s="49" t="str">
        <f t="shared" si="3"/>
        <v>opera,</v>
      </c>
      <c r="Y1637" s="49"/>
      <c r="Z1637" s="1" t="s">
        <v>2424</v>
      </c>
      <c r="AA1637" s="1" t="s">
        <v>3501</v>
      </c>
      <c r="AB1637" s="49"/>
      <c r="AC1637" s="49"/>
      <c r="AD1637" s="49"/>
      <c r="AE1637" s="49" t="str">
        <f>IFERROR(__xludf.DUMMYFUNCTION("""COMPUTED_VALUE"""),"assign")</f>
        <v>assign</v>
      </c>
      <c r="AF1637" s="49" t="str">
        <f t="shared" si="4"/>
        <v>dolls,</v>
      </c>
      <c r="AG1637" s="49"/>
      <c r="AH1637" s="1" t="s">
        <v>4499</v>
      </c>
      <c r="AI1637" s="1" t="s">
        <v>777</v>
      </c>
      <c r="AJ1637" s="6" t="str">
        <f>IFERROR(__xludf.DUMMYFUNCTION("""COMPUTED_VALUE"""),"frame")</f>
        <v>frame</v>
      </c>
      <c r="AK1637" s="49"/>
      <c r="AL1637" s="49"/>
      <c r="AM1637" s="49"/>
      <c r="AN1637" s="52" t="str">
        <f t="shared" si="5"/>
        <v>beach,</v>
      </c>
    </row>
    <row r="1638">
      <c r="A1638" s="51"/>
      <c r="B1638" s="50" t="s">
        <v>3850</v>
      </c>
      <c r="C1638" s="50" t="s">
        <v>4251</v>
      </c>
      <c r="D1638" s="49" t="str">
        <f>IFERROR(__xludf.DUMMYFUNCTION("""COMPUTED_VALUE"""),"built")</f>
        <v>built</v>
      </c>
      <c r="E1638" s="49"/>
      <c r="F1638" s="49"/>
      <c r="G1638" s="49"/>
      <c r="H1638" s="54" t="str">
        <f t="shared" si="1"/>
        <v>sexy,</v>
      </c>
      <c r="I1638" s="50"/>
      <c r="J1638" s="50" t="s">
        <v>4889</v>
      </c>
      <c r="K1638" s="50" t="s">
        <v>4803</v>
      </c>
      <c r="L1638" s="49"/>
      <c r="M1638" s="49"/>
      <c r="N1638" s="49"/>
      <c r="O1638" s="49" t="str">
        <f>IFERROR(__xludf.DUMMYFUNCTION("""COMPUTED_VALUE"""),"implications")</f>
        <v>implications</v>
      </c>
      <c r="P1638" s="49" t="str">
        <f t="shared" si="2"/>
        <v>waldo,</v>
      </c>
      <c r="Q1638" s="49"/>
      <c r="R1638" s="50" t="s">
        <v>5142</v>
      </c>
      <c r="S1638" s="55" t="s">
        <v>2966</v>
      </c>
      <c r="T1638" s="49" t="str">
        <f>IFERROR(__xludf.DUMMYFUNCTION("""COMPUTED_VALUE"""),"achievements")</f>
        <v>achievements</v>
      </c>
      <c r="U1638" s="49"/>
      <c r="V1638" s="49"/>
      <c r="W1638" s="49" t="str">
        <f>IFERROR(__xludf.DUMMYFUNCTION("""COMPUTED_VALUE"""),"ivan")</f>
        <v>ivan</v>
      </c>
      <c r="X1638" s="49" t="str">
        <f t="shared" si="3"/>
        <v>stunning,</v>
      </c>
      <c r="Y1638" s="49"/>
      <c r="Z1638" s="1" t="s">
        <v>7342</v>
      </c>
      <c r="AA1638" s="1" t="s">
        <v>3264</v>
      </c>
      <c r="AB1638" s="49"/>
      <c r="AC1638" s="49"/>
      <c r="AD1638" s="49"/>
      <c r="AE1638" s="49" t="str">
        <f>IFERROR(__xludf.DUMMYFUNCTION("""COMPUTED_VALUE"""),"implications")</f>
        <v>implications</v>
      </c>
      <c r="AF1638" s="49" t="str">
        <f t="shared" si="4"/>
        <v>generous,</v>
      </c>
      <c r="AG1638" s="49"/>
      <c r="AH1638" s="1" t="s">
        <v>6399</v>
      </c>
      <c r="AI1638" s="1" t="s">
        <v>2723</v>
      </c>
      <c r="AJ1638" s="6" t="str">
        <f>IFERROR(__xludf.DUMMYFUNCTION("""COMPUTED_VALUE"""),"experienced")</f>
        <v>experienced</v>
      </c>
      <c r="AK1638" s="49"/>
      <c r="AL1638" s="49"/>
      <c r="AM1638" s="49"/>
      <c r="AN1638" s="52" t="str">
        <f t="shared" si="5"/>
        <v>max,</v>
      </c>
    </row>
    <row r="1639">
      <c r="A1639" s="51"/>
      <c r="B1639" s="50" t="s">
        <v>961</v>
      </c>
      <c r="C1639" s="50" t="s">
        <v>2349</v>
      </c>
      <c r="D1639" s="49" t="str">
        <f>IFERROR(__xludf.DUMMYFUNCTION("""COMPUTED_VALUE"""),"lots")</f>
        <v>lots</v>
      </c>
      <c r="E1639" s="49"/>
      <c r="F1639" s="49"/>
      <c r="G1639" s="49"/>
      <c r="H1639" s="54" t="str">
        <f t="shared" si="1"/>
        <v>savage,</v>
      </c>
      <c r="I1639" s="50"/>
      <c r="J1639" s="50" t="s">
        <v>7375</v>
      </c>
      <c r="K1639" s="50" t="s">
        <v>1661</v>
      </c>
      <c r="L1639" s="49"/>
      <c r="M1639" s="49"/>
      <c r="N1639" s="49"/>
      <c r="O1639" s="49" t="str">
        <f>IFERROR(__xludf.DUMMYFUNCTION("""COMPUTED_VALUE"""),"hypothesis")</f>
        <v>hypothesis</v>
      </c>
      <c r="P1639" s="49" t="str">
        <f t="shared" si="2"/>
        <v>comical,</v>
      </c>
      <c r="Q1639" s="49"/>
      <c r="R1639" s="50" t="s">
        <v>267</v>
      </c>
      <c r="S1639" s="55">
        <v>9.0</v>
      </c>
      <c r="T1639" s="49" t="str">
        <f>IFERROR(__xludf.DUMMYFUNCTION("""COMPUTED_VALUE"""),"iranian")</f>
        <v>iranian</v>
      </c>
      <c r="U1639" s="49"/>
      <c r="V1639" s="49"/>
      <c r="W1639" s="49" t="str">
        <f>IFERROR(__xludf.DUMMYFUNCTION("""COMPUTED_VALUE"""),"heroism")</f>
        <v>heroism</v>
      </c>
      <c r="X1639" s="49" t="str">
        <f t="shared" si="3"/>
        <v>uneven,</v>
      </c>
      <c r="Y1639" s="49"/>
      <c r="Z1639" s="1" t="s">
        <v>5742</v>
      </c>
      <c r="AA1639" s="1" t="s">
        <v>3707</v>
      </c>
      <c r="AB1639" s="49"/>
      <c r="AC1639" s="49"/>
      <c r="AD1639" s="49"/>
      <c r="AE1639" s="49" t="str">
        <f>IFERROR(__xludf.DUMMYFUNCTION("""COMPUTED_VALUE"""),"hypothesis")</f>
        <v>hypothesis</v>
      </c>
      <c r="AF1639" s="49" t="str">
        <f t="shared" si="4"/>
        <v>cheek,</v>
      </c>
      <c r="AG1639" s="49"/>
      <c r="AH1639" s="1" t="s">
        <v>4546</v>
      </c>
      <c r="AI1639" s="1" t="s">
        <v>6528</v>
      </c>
      <c r="AJ1639" s="6" t="str">
        <f>IFERROR(__xludf.DUMMYFUNCTION("""COMPUTED_VALUE"""),"theatre")</f>
        <v>theatre</v>
      </c>
      <c r="AK1639" s="49"/>
      <c r="AL1639" s="49"/>
      <c r="AM1639" s="49"/>
      <c r="AN1639" s="52" t="str">
        <f t="shared" si="5"/>
        <v>mad,</v>
      </c>
    </row>
    <row r="1640">
      <c r="A1640" s="51"/>
      <c r="B1640" s="50" t="s">
        <v>6854</v>
      </c>
      <c r="C1640" s="50" t="s">
        <v>2623</v>
      </c>
      <c r="D1640" s="49" t="str">
        <f>IFERROR(__xludf.DUMMYFUNCTION("""COMPUTED_VALUE"""),"smaller")</f>
        <v>smaller</v>
      </c>
      <c r="E1640" s="49"/>
      <c r="F1640" s="49"/>
      <c r="G1640" s="49"/>
      <c r="H1640" s="54" t="str">
        <f t="shared" si="1"/>
        <v>talks,</v>
      </c>
      <c r="I1640" s="50"/>
      <c r="J1640" s="50" t="s">
        <v>7374</v>
      </c>
      <c r="K1640" s="50" t="s">
        <v>2890</v>
      </c>
      <c r="L1640" s="49"/>
      <c r="M1640" s="49"/>
      <c r="N1640" s="49"/>
      <c r="O1640" s="49" t="str">
        <f>IFERROR(__xludf.DUMMYFUNCTION("""COMPUTED_VALUE"""),"elemental")</f>
        <v>elemental</v>
      </c>
      <c r="P1640" s="49" t="str">
        <f t="shared" si="2"/>
        <v>traveler,</v>
      </c>
      <c r="Q1640" s="49"/>
      <c r="R1640" s="50" t="s">
        <v>5327</v>
      </c>
      <c r="S1640" s="55" t="s">
        <v>2972</v>
      </c>
      <c r="T1640" s="49" t="str">
        <f>IFERROR(__xludf.DUMMYFUNCTION("""COMPUTED_VALUE"""),"vastly")</f>
        <v>vastly</v>
      </c>
      <c r="U1640" s="49"/>
      <c r="V1640" s="49"/>
      <c r="W1640" s="49" t="str">
        <f>IFERROR(__xludf.DUMMYFUNCTION("""COMPUTED_VALUE"""),"philippe")</f>
        <v>philippe</v>
      </c>
      <c r="X1640" s="49" t="str">
        <f t="shared" si="3"/>
        <v>numbers,</v>
      </c>
      <c r="Y1640" s="49"/>
      <c r="Z1640" s="1" t="s">
        <v>2752</v>
      </c>
      <c r="AA1640" s="1" t="s">
        <v>4806</v>
      </c>
      <c r="AB1640" s="49"/>
      <c r="AC1640" s="49"/>
      <c r="AD1640" s="49"/>
      <c r="AE1640" s="49" t="str">
        <f>IFERROR(__xludf.DUMMYFUNCTION("""COMPUTED_VALUE"""),"elemental")</f>
        <v>elemental</v>
      </c>
      <c r="AF1640" s="49" t="str">
        <f t="shared" si="4"/>
        <v>means,</v>
      </c>
      <c r="AG1640" s="49"/>
      <c r="AH1640" s="1" t="s">
        <v>3335</v>
      </c>
      <c r="AI1640" s="1" t="s">
        <v>4680</v>
      </c>
      <c r="AJ1640" s="6" t="str">
        <f>IFERROR(__xludf.DUMMYFUNCTION("""COMPUTED_VALUE"""),"sequence")</f>
        <v>sequence</v>
      </c>
      <c r="AK1640" s="49"/>
      <c r="AL1640" s="49"/>
      <c r="AM1640" s="49"/>
      <c r="AN1640" s="52" t="str">
        <f t="shared" si="5"/>
        <v>warrior,</v>
      </c>
    </row>
    <row r="1641">
      <c r="A1641" s="51"/>
      <c r="B1641" s="50" t="s">
        <v>2374</v>
      </c>
      <c r="C1641" s="50" t="s">
        <v>4366</v>
      </c>
      <c r="D1641" s="49" t="str">
        <f>IFERROR(__xludf.DUMMYFUNCTION("""COMPUTED_VALUE"""),"cut")</f>
        <v>cut</v>
      </c>
      <c r="E1641" s="49"/>
      <c r="F1641" s="49"/>
      <c r="G1641" s="49"/>
      <c r="H1641" s="54" t="str">
        <f t="shared" si="1"/>
        <v>constantly,</v>
      </c>
      <c r="I1641" s="50"/>
      <c r="J1641" s="50" t="s">
        <v>7379</v>
      </c>
      <c r="K1641" s="50" t="s">
        <v>893</v>
      </c>
      <c r="L1641" s="49"/>
      <c r="M1641" s="49"/>
      <c r="N1641" s="49"/>
      <c r="O1641" s="49" t="str">
        <f>IFERROR(__xludf.DUMMYFUNCTION("""COMPUTED_VALUE"""),"arc")</f>
        <v>arc</v>
      </c>
      <c r="P1641" s="49" t="str">
        <f t="shared" si="2"/>
        <v>pistol,</v>
      </c>
      <c r="Q1641" s="49"/>
      <c r="R1641" s="50" t="s">
        <v>6945</v>
      </c>
      <c r="S1641" s="55" t="s">
        <v>1522</v>
      </c>
      <c r="T1641" s="49" t="str">
        <f>IFERROR(__xludf.DUMMYFUNCTION("""COMPUTED_VALUE"""),"choices")</f>
        <v>choices</v>
      </c>
      <c r="U1641" s="49"/>
      <c r="V1641" s="49"/>
      <c r="W1641" s="49" t="str">
        <f>IFERROR(__xludf.DUMMYFUNCTION("""COMPUTED_VALUE"""),"fabulous")</f>
        <v>fabulous</v>
      </c>
      <c r="X1641" s="49" t="str">
        <f t="shared" si="3"/>
        <v>massive,</v>
      </c>
      <c r="Y1641" s="49"/>
      <c r="Z1641" s="1" t="s">
        <v>294</v>
      </c>
      <c r="AA1641" s="1" t="s">
        <v>4807</v>
      </c>
      <c r="AB1641" s="49"/>
      <c r="AC1641" s="49"/>
      <c r="AD1641" s="49"/>
      <c r="AE1641" s="49" t="str">
        <f>IFERROR(__xludf.DUMMYFUNCTION("""COMPUTED_VALUE"""),"arc")</f>
        <v>arc</v>
      </c>
      <c r="AF1641" s="49" t="str">
        <f t="shared" si="4"/>
        <v>friendship,</v>
      </c>
      <c r="AG1641" s="49"/>
      <c r="AH1641" s="1" t="s">
        <v>990</v>
      </c>
      <c r="AI1641" s="1" t="s">
        <v>1111</v>
      </c>
      <c r="AJ1641" s="6" t="str">
        <f>IFERROR(__xludf.DUMMYFUNCTION("""COMPUTED_VALUE"""),"attack")</f>
        <v>attack</v>
      </c>
      <c r="AK1641" s="49"/>
      <c r="AL1641" s="49"/>
      <c r="AM1641" s="49"/>
      <c r="AN1641" s="52" t="str">
        <f t="shared" si="5"/>
        <v>ultimate,</v>
      </c>
    </row>
    <row r="1642">
      <c r="A1642" s="51"/>
      <c r="B1642" s="50" t="s">
        <v>4684</v>
      </c>
      <c r="C1642" s="50" t="s">
        <v>2628</v>
      </c>
      <c r="D1642" s="49" t="str">
        <f>IFERROR(__xludf.DUMMYFUNCTION("""COMPUTED_VALUE"""),"mainstream")</f>
        <v>mainstream</v>
      </c>
      <c r="E1642" s="49"/>
      <c r="F1642" s="49"/>
      <c r="G1642" s="49"/>
      <c r="H1642" s="54" t="str">
        <f t="shared" si="1"/>
        <v>staged,</v>
      </c>
      <c r="I1642" s="50"/>
      <c r="J1642" s="50" t="s">
        <v>2139</v>
      </c>
      <c r="K1642" s="50" t="s">
        <v>1674</v>
      </c>
      <c r="L1642" s="49"/>
      <c r="M1642" s="49"/>
      <c r="N1642" s="49"/>
      <c r="O1642" s="49" t="str">
        <f>IFERROR(__xludf.DUMMYFUNCTION("""COMPUTED_VALUE"""),"lacey")</f>
        <v>lacey</v>
      </c>
      <c r="P1642" s="49" t="str">
        <f t="shared" si="2"/>
        <v>credibility,</v>
      </c>
      <c r="Q1642" s="49"/>
      <c r="R1642" s="50" t="s">
        <v>2393</v>
      </c>
      <c r="S1642" s="55" t="s">
        <v>4127</v>
      </c>
      <c r="T1642" s="49" t="str">
        <f>IFERROR(__xludf.DUMMYFUNCTION("""COMPUTED_VALUE"""),"buttons")</f>
        <v>buttons</v>
      </c>
      <c r="U1642" s="49"/>
      <c r="V1642" s="49"/>
      <c r="W1642" s="49" t="str">
        <f>IFERROR(__xludf.DUMMYFUNCTION("""COMPUTED_VALUE"""),"consciously")</f>
        <v>consciously</v>
      </c>
      <c r="X1642" s="49" t="str">
        <f t="shared" si="3"/>
        <v>childhood,</v>
      </c>
      <c r="Y1642" s="49"/>
      <c r="Z1642" s="1" t="s">
        <v>3076</v>
      </c>
      <c r="AA1642" s="1" t="s">
        <v>1328</v>
      </c>
      <c r="AB1642" s="49"/>
      <c r="AC1642" s="49"/>
      <c r="AD1642" s="49"/>
      <c r="AE1642" s="49" t="str">
        <f>IFERROR(__xludf.DUMMYFUNCTION("""COMPUTED_VALUE"""),"lacey")</f>
        <v>lacey</v>
      </c>
      <c r="AF1642" s="49" t="str">
        <f t="shared" si="4"/>
        <v>tongue,</v>
      </c>
      <c r="AG1642" s="49"/>
      <c r="AH1642" s="1" t="s">
        <v>603</v>
      </c>
      <c r="AI1642" s="1" t="s">
        <v>2089</v>
      </c>
      <c r="AJ1642" s="6" t="str">
        <f>IFERROR(__xludf.DUMMYFUNCTION("""COMPUTED_VALUE"""),"washington")</f>
        <v>washington</v>
      </c>
      <c r="AK1642" s="49"/>
      <c r="AL1642" s="49"/>
      <c r="AM1642" s="49"/>
      <c r="AN1642" s="52" t="str">
        <f t="shared" si="5"/>
        <v>survival,</v>
      </c>
    </row>
    <row r="1643">
      <c r="A1643" s="51"/>
      <c r="B1643" s="50" t="s">
        <v>1233</v>
      </c>
      <c r="C1643" s="50" t="s">
        <v>1312</v>
      </c>
      <c r="D1643" s="49" t="str">
        <f>IFERROR(__xludf.DUMMYFUNCTION("""COMPUTED_VALUE"""),"charge")</f>
        <v>charge</v>
      </c>
      <c r="E1643" s="49"/>
      <c r="F1643" s="49"/>
      <c r="G1643" s="49"/>
      <c r="H1643" s="54" t="str">
        <f t="shared" si="1"/>
        <v>general,</v>
      </c>
      <c r="I1643" s="50"/>
      <c r="J1643" s="50" t="s">
        <v>3188</v>
      </c>
      <c r="K1643" s="50" t="s">
        <v>1679</v>
      </c>
      <c r="L1643" s="49"/>
      <c r="M1643" s="49"/>
      <c r="N1643" s="49"/>
      <c r="O1643" s="49" t="str">
        <f>IFERROR(__xludf.DUMMYFUNCTION("""COMPUTED_VALUE"""),"wrestler")</f>
        <v>wrestler</v>
      </c>
      <c r="P1643" s="49" t="str">
        <f t="shared" si="2"/>
        <v>lush,</v>
      </c>
      <c r="Q1643" s="49"/>
      <c r="R1643" s="50" t="s">
        <v>7416</v>
      </c>
      <c r="S1643" s="55" t="s">
        <v>4114</v>
      </c>
      <c r="T1643" s="49" t="str">
        <f>IFERROR(__xludf.DUMMYFUNCTION("""COMPUTED_VALUE"""),"penetrating")</f>
        <v>penetrating</v>
      </c>
      <c r="U1643" s="49"/>
      <c r="V1643" s="49"/>
      <c r="W1643" s="49" t="str">
        <f>IFERROR(__xludf.DUMMYFUNCTION("""COMPUTED_VALUE"""),"asphalt")</f>
        <v>asphalt</v>
      </c>
      <c r="X1643" s="49" t="str">
        <f t="shared" si="3"/>
        <v>scoop,</v>
      </c>
      <c r="Y1643" s="49"/>
      <c r="Z1643" s="1" t="s">
        <v>2450</v>
      </c>
      <c r="AA1643" s="1" t="s">
        <v>4810</v>
      </c>
      <c r="AB1643" s="49"/>
      <c r="AC1643" s="49"/>
      <c r="AD1643" s="49"/>
      <c r="AE1643" s="49" t="str">
        <f>IFERROR(__xludf.DUMMYFUNCTION("""COMPUTED_VALUE"""),"wrestler")</f>
        <v>wrestler</v>
      </c>
      <c r="AF1643" s="49" t="str">
        <f t="shared" si="4"/>
        <v>dish,</v>
      </c>
      <c r="AG1643" s="49"/>
      <c r="AH1643" s="1" t="s">
        <v>1402</v>
      </c>
      <c r="AI1643" s="1" t="s">
        <v>4497</v>
      </c>
      <c r="AJ1643" s="6" t="str">
        <f>IFERROR(__xludf.DUMMYFUNCTION("""COMPUTED_VALUE"""),"focus")</f>
        <v>focus</v>
      </c>
      <c r="AK1643" s="49"/>
      <c r="AL1643" s="49"/>
      <c r="AM1643" s="49"/>
      <c r="AN1643" s="52" t="str">
        <f t="shared" si="5"/>
        <v>energy,</v>
      </c>
    </row>
    <row r="1644">
      <c r="A1644" s="51"/>
      <c r="B1644" s="50" t="s">
        <v>6721</v>
      </c>
      <c r="C1644" s="50" t="s">
        <v>1548</v>
      </c>
      <c r="D1644" s="49" t="str">
        <f>IFERROR(__xludf.DUMMYFUNCTION("""COMPUTED_VALUE"""),"river")</f>
        <v>river</v>
      </c>
      <c r="E1644" s="49"/>
      <c r="F1644" s="49"/>
      <c r="G1644" s="49"/>
      <c r="H1644" s="54" t="str">
        <f t="shared" si="1"/>
        <v>gold,</v>
      </c>
      <c r="I1644" s="50"/>
      <c r="J1644" s="50" t="s">
        <v>5353</v>
      </c>
      <c r="K1644" s="50" t="s">
        <v>1686</v>
      </c>
      <c r="L1644" s="49"/>
      <c r="M1644" s="49"/>
      <c r="N1644" s="49"/>
      <c r="O1644" s="49" t="str">
        <f>IFERROR(__xludf.DUMMYFUNCTION("""COMPUTED_VALUE"""),"prostitute")</f>
        <v>prostitute</v>
      </c>
      <c r="P1644" s="49" t="str">
        <f t="shared" si="2"/>
        <v>chew,</v>
      </c>
      <c r="Q1644" s="49"/>
      <c r="R1644" s="50" t="s">
        <v>5487</v>
      </c>
      <c r="S1644" s="55" t="s">
        <v>2979</v>
      </c>
      <c r="T1644" s="49" t="str">
        <f>IFERROR(__xludf.DUMMYFUNCTION("""COMPUTED_VALUE"""),"admitted")</f>
        <v>admitted</v>
      </c>
      <c r="U1644" s="49"/>
      <c r="V1644" s="49"/>
      <c r="W1644" s="49" t="str">
        <f>IFERROR(__xludf.DUMMYFUNCTION("""COMPUTED_VALUE"""),"enhance")</f>
        <v>enhance</v>
      </c>
      <c r="X1644" s="49" t="str">
        <f t="shared" si="3"/>
        <v>hiatus,</v>
      </c>
      <c r="Y1644" s="49"/>
      <c r="Z1644" s="1" t="s">
        <v>1035</v>
      </c>
      <c r="AA1644" s="1" t="s">
        <v>3268</v>
      </c>
      <c r="AB1644" s="49"/>
      <c r="AC1644" s="49"/>
      <c r="AD1644" s="49"/>
      <c r="AE1644" s="49" t="str">
        <f>IFERROR(__xludf.DUMMYFUNCTION("""COMPUTED_VALUE"""),"prostitute")</f>
        <v>prostitute</v>
      </c>
      <c r="AF1644" s="49" t="str">
        <f t="shared" si="4"/>
        <v>recording,</v>
      </c>
      <c r="AG1644" s="49"/>
      <c r="AH1644" s="1" t="s">
        <v>5471</v>
      </c>
      <c r="AI1644" s="1" t="s">
        <v>2503</v>
      </c>
      <c r="AJ1644" s="6" t="str">
        <f>IFERROR(__xludf.DUMMYFUNCTION("""COMPUTED_VALUE"""),"receive")</f>
        <v>receive</v>
      </c>
      <c r="AK1644" s="49"/>
      <c r="AL1644" s="49"/>
      <c r="AM1644" s="49"/>
      <c r="AN1644" s="52" t="str">
        <f t="shared" si="5"/>
        <v>material,</v>
      </c>
    </row>
    <row r="1645">
      <c r="A1645" s="51"/>
      <c r="B1645" s="50" t="s">
        <v>3325</v>
      </c>
      <c r="C1645" s="50" t="s">
        <v>3884</v>
      </c>
      <c r="D1645" s="49" t="str">
        <f>IFERROR(__xludf.DUMMYFUNCTION("""COMPUTED_VALUE"""),"experiences")</f>
        <v>experiences</v>
      </c>
      <c r="E1645" s="49"/>
      <c r="F1645" s="49"/>
      <c r="G1645" s="49"/>
      <c r="H1645" s="54" t="str">
        <f t="shared" si="1"/>
        <v>particularly,</v>
      </c>
      <c r="I1645" s="50"/>
      <c r="J1645" s="50" t="s">
        <v>640</v>
      </c>
      <c r="K1645" s="50" t="s">
        <v>4267</v>
      </c>
      <c r="L1645" s="49"/>
      <c r="M1645" s="49"/>
      <c r="N1645" s="49"/>
      <c r="O1645" s="49" t="str">
        <f>IFERROR(__xludf.DUMMYFUNCTION("""COMPUTED_VALUE"""),"needy")</f>
        <v>needy</v>
      </c>
      <c r="P1645" s="49" t="str">
        <f t="shared" si="2"/>
        <v>caine,</v>
      </c>
      <c r="Q1645" s="49"/>
      <c r="R1645" s="50" t="s">
        <v>4282</v>
      </c>
      <c r="S1645" s="55" t="s">
        <v>2735</v>
      </c>
      <c r="T1645" s="49" t="str">
        <f>IFERROR(__xludf.DUMMYFUNCTION("""COMPUTED_VALUE"""),"wilde")</f>
        <v>wilde</v>
      </c>
      <c r="U1645" s="49"/>
      <c r="V1645" s="49"/>
      <c r="W1645" s="49" t="str">
        <f>IFERROR(__xludf.DUMMYFUNCTION("""COMPUTED_VALUE"""),"persecuted")</f>
        <v>persecuted</v>
      </c>
      <c r="X1645" s="49" t="str">
        <f t="shared" si="3"/>
        <v>social,</v>
      </c>
      <c r="Y1645" s="49"/>
      <c r="Z1645" s="1" t="s">
        <v>2599</v>
      </c>
      <c r="AA1645" s="1" t="s">
        <v>4812</v>
      </c>
      <c r="AB1645" s="49"/>
      <c r="AC1645" s="49"/>
      <c r="AD1645" s="49"/>
      <c r="AE1645" s="49" t="str">
        <f>IFERROR(__xludf.DUMMYFUNCTION("""COMPUTED_VALUE"""),"needy")</f>
        <v>needy</v>
      </c>
      <c r="AF1645" s="49" t="str">
        <f t="shared" si="4"/>
        <v>appeal,</v>
      </c>
      <c r="AG1645" s="49"/>
      <c r="AH1645" s="1" t="s">
        <v>813</v>
      </c>
      <c r="AI1645" s="1" t="s">
        <v>4039</v>
      </c>
      <c r="AJ1645" s="6" t="str">
        <f>IFERROR(__xludf.DUMMYFUNCTION("""COMPUTED_VALUE"""),"threat")</f>
        <v>threat</v>
      </c>
      <c r="AK1645" s="49"/>
      <c r="AL1645" s="49"/>
      <c r="AM1645" s="49"/>
      <c r="AN1645" s="52" t="str">
        <f t="shared" si="5"/>
        <v>covers,</v>
      </c>
    </row>
    <row r="1646">
      <c r="A1646" s="51"/>
      <c r="B1646" s="50" t="s">
        <v>861</v>
      </c>
      <c r="C1646" s="50" t="s">
        <v>6513</v>
      </c>
      <c r="D1646" s="49" t="str">
        <f>IFERROR(__xludf.DUMMYFUNCTION("""COMPUTED_VALUE"""),"bears")</f>
        <v>bears</v>
      </c>
      <c r="E1646" s="49"/>
      <c r="F1646" s="49"/>
      <c r="G1646" s="49"/>
      <c r="H1646" s="54" t="str">
        <f t="shared" si="1"/>
        <v>touch,</v>
      </c>
      <c r="I1646" s="50"/>
      <c r="J1646" s="50" t="s">
        <v>5094</v>
      </c>
      <c r="K1646" s="50" t="s">
        <v>4816</v>
      </c>
      <c r="L1646" s="49"/>
      <c r="M1646" s="49"/>
      <c r="N1646" s="49"/>
      <c r="O1646" s="49" t="str">
        <f>IFERROR(__xludf.DUMMYFUNCTION("""COMPUTED_VALUE"""),"radioactive")</f>
        <v>radioactive</v>
      </c>
      <c r="P1646" s="49" t="str">
        <f t="shared" si="2"/>
        <v>beacon,</v>
      </c>
      <c r="Q1646" s="49"/>
      <c r="R1646" s="50" t="s">
        <v>3538</v>
      </c>
      <c r="S1646" s="55" t="s">
        <v>1484</v>
      </c>
      <c r="T1646" s="49" t="str">
        <f>IFERROR(__xludf.DUMMYFUNCTION("""COMPUTED_VALUE"""),"updated")</f>
        <v>updated</v>
      </c>
      <c r="U1646" s="49"/>
      <c r="V1646" s="49"/>
      <c r="W1646" s="49" t="str">
        <f>IFERROR(__xludf.DUMMYFUNCTION("""COMPUTED_VALUE"""),"cho")</f>
        <v>cho</v>
      </c>
      <c r="X1646" s="49" t="str">
        <f t="shared" si="3"/>
        <v>immersed,</v>
      </c>
      <c r="Y1646" s="49"/>
      <c r="Z1646" s="1" t="s">
        <v>4788</v>
      </c>
      <c r="AA1646" s="1" t="s">
        <v>3709</v>
      </c>
      <c r="AB1646" s="49"/>
      <c r="AC1646" s="49"/>
      <c r="AD1646" s="49"/>
      <c r="AE1646" s="49" t="str">
        <f>IFERROR(__xludf.DUMMYFUNCTION("""COMPUTED_VALUE"""),"radioactive")</f>
        <v>radioactive</v>
      </c>
      <c r="AF1646" s="49" t="str">
        <f t="shared" si="4"/>
        <v>cross,</v>
      </c>
      <c r="AG1646" s="49"/>
      <c r="AH1646" s="1" t="s">
        <v>4102</v>
      </c>
      <c r="AI1646" s="1" t="s">
        <v>1533</v>
      </c>
      <c r="AJ1646" s="6" t="str">
        <f>IFERROR(__xludf.DUMMYFUNCTION("""COMPUTED_VALUE"""),"finally")</f>
        <v>finally</v>
      </c>
      <c r="AK1646" s="49"/>
      <c r="AL1646" s="49"/>
      <c r="AM1646" s="49"/>
      <c r="AN1646" s="52" t="str">
        <f t="shared" si="5"/>
        <v>learn,</v>
      </c>
    </row>
    <row r="1647">
      <c r="A1647" s="51"/>
      <c r="B1647" s="50" t="s">
        <v>6824</v>
      </c>
      <c r="C1647" s="50" t="s">
        <v>3889</v>
      </c>
      <c r="D1647" s="49" t="str">
        <f>IFERROR(__xludf.DUMMYFUNCTION("""COMPUTED_VALUE"""),"spent")</f>
        <v>spent</v>
      </c>
      <c r="E1647" s="49"/>
      <c r="F1647" s="49"/>
      <c r="G1647" s="49"/>
      <c r="H1647" s="54" t="str">
        <f t="shared" si="1"/>
        <v>therefore,</v>
      </c>
      <c r="I1647" s="50"/>
      <c r="J1647" s="50" t="s">
        <v>5544</v>
      </c>
      <c r="K1647" s="50" t="s">
        <v>347</v>
      </c>
      <c r="L1647" s="49"/>
      <c r="M1647" s="49"/>
      <c r="N1647" s="49"/>
      <c r="O1647" s="49" t="str">
        <f>IFERROR(__xludf.DUMMYFUNCTION("""COMPUTED_VALUE"""),"destructive")</f>
        <v>destructive</v>
      </c>
      <c r="P1647" s="49" t="str">
        <f t="shared" si="2"/>
        <v>plus,</v>
      </c>
      <c r="Q1647" s="49"/>
      <c r="R1647" s="50" t="s">
        <v>3165</v>
      </c>
      <c r="S1647" s="55" t="s">
        <v>2778</v>
      </c>
      <c r="T1647" s="49" t="str">
        <f>IFERROR(__xludf.DUMMYFUNCTION("""COMPUTED_VALUE"""),"sophomore")</f>
        <v>sophomore</v>
      </c>
      <c r="U1647" s="49"/>
      <c r="V1647" s="49"/>
      <c r="W1647" s="49" t="str">
        <f>IFERROR(__xludf.DUMMYFUNCTION("""COMPUTED_VALUE"""),"tall")</f>
        <v>tall</v>
      </c>
      <c r="X1647" s="49" t="str">
        <f t="shared" si="3"/>
        <v>mountain,</v>
      </c>
      <c r="Y1647" s="49"/>
      <c r="Z1647" s="1" t="s">
        <v>2931</v>
      </c>
      <c r="AA1647" s="1" t="s">
        <v>3710</v>
      </c>
      <c r="AB1647" s="49"/>
      <c r="AC1647" s="49"/>
      <c r="AD1647" s="49"/>
      <c r="AE1647" s="49" t="str">
        <f>IFERROR(__xludf.DUMMYFUNCTION("""COMPUTED_VALUE"""),"destructive")</f>
        <v>destructive</v>
      </c>
      <c r="AF1647" s="49" t="str">
        <f t="shared" si="4"/>
        <v>jolly,</v>
      </c>
      <c r="AG1647" s="49"/>
      <c r="AH1647" s="1" t="s">
        <v>967</v>
      </c>
      <c r="AI1647" s="1" t="s">
        <v>6546</v>
      </c>
      <c r="AJ1647" s="6" t="str">
        <f>IFERROR(__xludf.DUMMYFUNCTION("""COMPUTED_VALUE"""),"aside")</f>
        <v>aside</v>
      </c>
      <c r="AK1647" s="49"/>
      <c r="AL1647" s="49"/>
      <c r="AM1647" s="49"/>
      <c r="AN1647" s="52" t="str">
        <f t="shared" si="5"/>
        <v>shot,</v>
      </c>
    </row>
    <row r="1648">
      <c r="A1648" s="51"/>
      <c r="B1648" s="50" t="s">
        <v>6071</v>
      </c>
      <c r="C1648" s="50" t="s">
        <v>2631</v>
      </c>
      <c r="D1648" s="49" t="str">
        <f>IFERROR(__xludf.DUMMYFUNCTION("""COMPUTED_VALUE"""),"existing")</f>
        <v>existing</v>
      </c>
      <c r="E1648" s="49"/>
      <c r="F1648" s="49"/>
      <c r="G1648" s="49"/>
      <c r="H1648" s="54" t="str">
        <f t="shared" si="1"/>
        <v>mentioned,</v>
      </c>
      <c r="I1648" s="50"/>
      <c r="J1648" s="50" t="s">
        <v>5184</v>
      </c>
      <c r="K1648" s="50" t="s">
        <v>3158</v>
      </c>
      <c r="L1648" s="49"/>
      <c r="M1648" s="49"/>
      <c r="N1648" s="49"/>
      <c r="O1648" s="49" t="str">
        <f>IFERROR(__xludf.DUMMYFUNCTION("""COMPUTED_VALUE"""),"demonic")</f>
        <v>demonic</v>
      </c>
      <c r="P1648" s="49" t="str">
        <f t="shared" si="2"/>
        <v>sacrifice,</v>
      </c>
      <c r="Q1648" s="49"/>
      <c r="R1648" s="50" t="s">
        <v>6454</v>
      </c>
      <c r="S1648" s="55" t="s">
        <v>1528</v>
      </c>
      <c r="T1648" s="49" t="str">
        <f>IFERROR(__xludf.DUMMYFUNCTION("""COMPUTED_VALUE"""),"hilary")</f>
        <v>hilary</v>
      </c>
      <c r="U1648" s="49"/>
      <c r="V1648" s="49"/>
      <c r="W1648" s="49" t="str">
        <f>IFERROR(__xludf.DUMMYFUNCTION("""COMPUTED_VALUE"""),"grim")</f>
        <v>grim</v>
      </c>
      <c r="X1648" s="49" t="str">
        <f t="shared" si="3"/>
        <v>literally,</v>
      </c>
      <c r="Y1648" s="49"/>
      <c r="Z1648" s="1" t="s">
        <v>4702</v>
      </c>
      <c r="AA1648" s="1" t="s">
        <v>262</v>
      </c>
      <c r="AB1648" s="49"/>
      <c r="AC1648" s="49"/>
      <c r="AD1648" s="49"/>
      <c r="AE1648" s="49" t="str">
        <f>IFERROR(__xludf.DUMMYFUNCTION("""COMPUTED_VALUE"""),"demonic")</f>
        <v>demonic</v>
      </c>
      <c r="AF1648" s="49" t="str">
        <f t="shared" si="4"/>
        <v>vs,</v>
      </c>
      <c r="AG1648" s="49"/>
      <c r="AH1648" s="1" t="s">
        <v>904</v>
      </c>
      <c r="AI1648" s="1" t="s">
        <v>2696</v>
      </c>
      <c r="AJ1648" s="6" t="str">
        <f>IFERROR(__xludf.DUMMYFUNCTION("""COMPUTED_VALUE"""),"onto")</f>
        <v>onto</v>
      </c>
      <c r="AK1648" s="49"/>
      <c r="AL1648" s="49"/>
      <c r="AM1648" s="49"/>
      <c r="AN1648" s="52" t="str">
        <f t="shared" si="5"/>
        <v>chemistry,</v>
      </c>
    </row>
    <row r="1649">
      <c r="A1649" s="51"/>
      <c r="B1649" s="50" t="s">
        <v>6567</v>
      </c>
      <c r="C1649" s="50" t="s">
        <v>2409</v>
      </c>
      <c r="D1649" s="49" t="str">
        <f>IFERROR(__xludf.DUMMYFUNCTION("""COMPUTED_VALUE"""),"photos")</f>
        <v>photos</v>
      </c>
      <c r="E1649" s="49"/>
      <c r="F1649" s="49"/>
      <c r="G1649" s="49"/>
      <c r="H1649" s="54" t="str">
        <f t="shared" si="1"/>
        <v>risk,</v>
      </c>
      <c r="I1649" s="50"/>
      <c r="J1649" s="50" t="s">
        <v>3913</v>
      </c>
      <c r="K1649" s="50" t="s">
        <v>4823</v>
      </c>
      <c r="L1649" s="49"/>
      <c r="M1649" s="49"/>
      <c r="N1649" s="49"/>
      <c r="O1649" s="49" t="str">
        <f>IFERROR(__xludf.DUMMYFUNCTION("""COMPUTED_VALUE"""),"laden")</f>
        <v>laden</v>
      </c>
      <c r="P1649" s="49" t="str">
        <f t="shared" si="2"/>
        <v>grace,</v>
      </c>
      <c r="Q1649" s="49"/>
      <c r="R1649" s="50" t="s">
        <v>7417</v>
      </c>
      <c r="S1649" s="55" t="s">
        <v>2990</v>
      </c>
      <c r="T1649" s="49" t="str">
        <f>IFERROR(__xludf.DUMMYFUNCTION("""COMPUTED_VALUE"""),"landscapes")</f>
        <v>landscapes</v>
      </c>
      <c r="U1649" s="49"/>
      <c r="V1649" s="49"/>
      <c r="W1649" s="49" t="str">
        <f>IFERROR(__xludf.DUMMYFUNCTION("""COMPUTED_VALUE"""),"plasma")</f>
        <v>plasma</v>
      </c>
      <c r="X1649" s="49" t="str">
        <f t="shared" si="3"/>
        <v>esteem,</v>
      </c>
      <c r="Y1649" s="49"/>
      <c r="Z1649" s="1" t="s">
        <v>511</v>
      </c>
      <c r="AA1649" s="1" t="s">
        <v>4820</v>
      </c>
      <c r="AB1649" s="49"/>
      <c r="AC1649" s="49"/>
      <c r="AD1649" s="49"/>
      <c r="AE1649" s="49" t="str">
        <f>IFERROR(__xludf.DUMMYFUNCTION("""COMPUTED_VALUE"""),"laden")</f>
        <v>laden</v>
      </c>
      <c r="AF1649" s="49" t="str">
        <f t="shared" si="4"/>
        <v>affection,</v>
      </c>
      <c r="AG1649" s="49"/>
      <c r="AH1649" s="1" t="s">
        <v>975</v>
      </c>
      <c r="AI1649" s="1" t="s">
        <v>2838</v>
      </c>
      <c r="AJ1649" s="6" t="str">
        <f>IFERROR(__xludf.DUMMYFUNCTION("""COMPUTED_VALUE"""),"skills")</f>
        <v>skills</v>
      </c>
      <c r="AK1649" s="49"/>
      <c r="AL1649" s="49"/>
      <c r="AM1649" s="49"/>
      <c r="AN1649" s="52" t="str">
        <f t="shared" si="5"/>
        <v>bite,</v>
      </c>
    </row>
    <row r="1650">
      <c r="A1650" s="51"/>
      <c r="B1650" s="50" t="s">
        <v>2461</v>
      </c>
      <c r="C1650" s="50" t="s">
        <v>4089</v>
      </c>
      <c r="D1650" s="49" t="str">
        <f>IFERROR(__xludf.DUMMYFUNCTION("""COMPUTED_VALUE"""),"got")</f>
        <v>got</v>
      </c>
      <c r="E1650" s="49"/>
      <c r="F1650" s="49"/>
      <c r="G1650" s="49"/>
      <c r="H1650" s="54" t="str">
        <f t="shared" si="1"/>
        <v>search,</v>
      </c>
      <c r="I1650" s="50"/>
      <c r="J1650" s="50" t="s">
        <v>6580</v>
      </c>
      <c r="K1650" s="50" t="s">
        <v>4270</v>
      </c>
      <c r="L1650" s="49"/>
      <c r="M1650" s="49"/>
      <c r="N1650" s="49"/>
      <c r="O1650" s="49" t="str">
        <f>IFERROR(__xludf.DUMMYFUNCTION("""COMPUTED_VALUE"""),"siren")</f>
        <v>siren</v>
      </c>
      <c r="P1650" s="49" t="str">
        <f t="shared" si="2"/>
        <v>choice,</v>
      </c>
      <c r="Q1650" s="49"/>
      <c r="R1650" s="50" t="s">
        <v>7418</v>
      </c>
      <c r="S1650" s="55" t="s">
        <v>824</v>
      </c>
      <c r="T1650" s="49" t="str">
        <f>IFERROR(__xludf.DUMMYFUNCTION("""COMPUTED_VALUE"""),"visionary")</f>
        <v>visionary</v>
      </c>
      <c r="U1650" s="49"/>
      <c r="V1650" s="49"/>
      <c r="W1650" s="49" t="str">
        <f>IFERROR(__xludf.DUMMYFUNCTION("""COMPUTED_VALUE"""),"surveyed")</f>
        <v>surveyed</v>
      </c>
      <c r="X1650" s="49" t="str">
        <f t="shared" si="3"/>
        <v>ha,</v>
      </c>
      <c r="Y1650" s="49"/>
      <c r="Z1650" s="1" t="s">
        <v>1030</v>
      </c>
      <c r="AA1650" s="1" t="s">
        <v>2971</v>
      </c>
      <c r="AB1650" s="49"/>
      <c r="AC1650" s="49"/>
      <c r="AD1650" s="49"/>
      <c r="AE1650" s="49" t="str">
        <f>IFERROR(__xludf.DUMMYFUNCTION("""COMPUTED_VALUE"""),"siren")</f>
        <v>siren</v>
      </c>
      <c r="AF1650" s="49" t="str">
        <f t="shared" si="4"/>
        <v>insulting,</v>
      </c>
      <c r="AG1650" s="49"/>
      <c r="AH1650" s="1" t="s">
        <v>4298</v>
      </c>
      <c r="AI1650" s="1" t="s">
        <v>6547</v>
      </c>
      <c r="AJ1650" s="6" t="str">
        <f>IFERROR(__xludf.DUMMYFUNCTION("""COMPUTED_VALUE"""),"chase")</f>
        <v>chase</v>
      </c>
      <c r="AK1650" s="49"/>
      <c r="AL1650" s="49"/>
      <c r="AM1650" s="49"/>
      <c r="AN1650" s="52" t="str">
        <f t="shared" si="5"/>
        <v>range,</v>
      </c>
    </row>
    <row r="1651">
      <c r="A1651" s="51"/>
      <c r="B1651" s="50" t="s">
        <v>2833</v>
      </c>
      <c r="C1651" s="50" t="s">
        <v>2731</v>
      </c>
      <c r="D1651" s="49" t="str">
        <f>IFERROR(__xludf.DUMMYFUNCTION("""COMPUTED_VALUE"""),"creates")</f>
        <v>creates</v>
      </c>
      <c r="E1651" s="49"/>
      <c r="F1651" s="49"/>
      <c r="G1651" s="49"/>
      <c r="H1651" s="54" t="str">
        <f t="shared" si="1"/>
        <v>broad,</v>
      </c>
      <c r="I1651" s="50"/>
      <c r="J1651" s="50" t="s">
        <v>2563</v>
      </c>
      <c r="K1651" s="50" t="s">
        <v>1058</v>
      </c>
      <c r="L1651" s="49"/>
      <c r="M1651" s="49"/>
      <c r="N1651" s="49"/>
      <c r="O1651" s="49" t="str">
        <f>IFERROR(__xludf.DUMMYFUNCTION("""COMPUTED_VALUE"""),"towering")</f>
        <v>towering</v>
      </c>
      <c r="P1651" s="49" t="str">
        <f t="shared" si="2"/>
        <v>brilliance,</v>
      </c>
      <c r="Q1651" s="49"/>
      <c r="R1651" s="50" t="s">
        <v>1708</v>
      </c>
      <c r="S1651" s="55" t="s">
        <v>5354</v>
      </c>
      <c r="T1651" s="49" t="str">
        <f>IFERROR(__xludf.DUMMYFUNCTION("""COMPUTED_VALUE"""),"vibrant")</f>
        <v>vibrant</v>
      </c>
      <c r="U1651" s="49"/>
      <c r="V1651" s="49"/>
      <c r="W1651" s="49" t="str">
        <f>IFERROR(__xludf.DUMMYFUNCTION("""COMPUTED_VALUE"""),"spicy")</f>
        <v>spicy</v>
      </c>
      <c r="X1651" s="49" t="str">
        <f t="shared" si="3"/>
        <v>keeping,</v>
      </c>
      <c r="Y1651" s="49"/>
      <c r="Z1651" s="1" t="s">
        <v>2259</v>
      </c>
      <c r="AA1651" s="1" t="s">
        <v>1341</v>
      </c>
      <c r="AB1651" s="49"/>
      <c r="AC1651" s="49"/>
      <c r="AD1651" s="49"/>
      <c r="AE1651" s="49" t="str">
        <f>IFERROR(__xludf.DUMMYFUNCTION("""COMPUTED_VALUE"""),"towering")</f>
        <v>towering</v>
      </c>
      <c r="AF1651" s="49" t="str">
        <f t="shared" si="4"/>
        <v>totally,</v>
      </c>
      <c r="AG1651" s="49"/>
      <c r="AH1651" s="1" t="s">
        <v>4485</v>
      </c>
      <c r="AI1651" s="1" t="s">
        <v>6532</v>
      </c>
      <c r="AJ1651" s="6" t="str">
        <f>IFERROR(__xludf.DUMMYFUNCTION("""COMPUTED_VALUE"""),"excellent")</f>
        <v>excellent</v>
      </c>
      <c r="AK1651" s="49"/>
      <c r="AL1651" s="49"/>
      <c r="AM1651" s="49"/>
      <c r="AN1651" s="52" t="str">
        <f t="shared" si="5"/>
        <v>spent,</v>
      </c>
    </row>
    <row r="1652">
      <c r="A1652" s="51"/>
      <c r="B1652" s="50" t="s">
        <v>3884</v>
      </c>
      <c r="C1652" s="50" t="s">
        <v>4384</v>
      </c>
      <c r="D1652" s="49" t="str">
        <f>IFERROR(__xludf.DUMMYFUNCTION("""COMPUTED_VALUE"""),"call")</f>
        <v>call</v>
      </c>
      <c r="E1652" s="49"/>
      <c r="F1652" s="49"/>
      <c r="G1652" s="49"/>
      <c r="H1652" s="54" t="str">
        <f t="shared" si="1"/>
        <v>innovation,</v>
      </c>
      <c r="I1652" s="50"/>
      <c r="J1652" s="50" t="s">
        <v>3105</v>
      </c>
      <c r="K1652" s="50" t="s">
        <v>4827</v>
      </c>
      <c r="L1652" s="49"/>
      <c r="M1652" s="49"/>
      <c r="N1652" s="49"/>
      <c r="O1652" s="49" t="str">
        <f>IFERROR(__xludf.DUMMYFUNCTION("""COMPUTED_VALUE"""),"poking")</f>
        <v>poking</v>
      </c>
      <c r="P1652" s="49" t="str">
        <f t="shared" si="2"/>
        <v>corner,</v>
      </c>
      <c r="Q1652" s="49"/>
      <c r="R1652" s="50" t="s">
        <v>7083</v>
      </c>
      <c r="S1652" s="55" t="s">
        <v>3293</v>
      </c>
      <c r="T1652" s="49" t="str">
        <f>IFERROR(__xludf.DUMMYFUNCTION("""COMPUTED_VALUE"""),"aims")</f>
        <v>aims</v>
      </c>
      <c r="U1652" s="49"/>
      <c r="V1652" s="49"/>
      <c r="W1652" s="49" t="str">
        <f>IFERROR(__xludf.DUMMYFUNCTION("""COMPUTED_VALUE"""),"longtime")</f>
        <v>longtime</v>
      </c>
      <c r="X1652" s="49" t="str">
        <f t="shared" si="3"/>
        <v>roy,</v>
      </c>
      <c r="Y1652" s="49"/>
      <c r="Z1652" s="1" t="s">
        <v>4589</v>
      </c>
      <c r="AA1652" s="1" t="s">
        <v>1346</v>
      </c>
      <c r="AB1652" s="49"/>
      <c r="AC1652" s="49"/>
      <c r="AD1652" s="49"/>
      <c r="AE1652" s="49" t="str">
        <f>IFERROR(__xludf.DUMMYFUNCTION("""COMPUTED_VALUE"""),"poking")</f>
        <v>poking</v>
      </c>
      <c r="AF1652" s="49" t="str">
        <f t="shared" si="4"/>
        <v>meets,</v>
      </c>
      <c r="AG1652" s="49"/>
      <c r="AH1652" s="1" t="s">
        <v>2591</v>
      </c>
      <c r="AI1652" s="1" t="s">
        <v>2704</v>
      </c>
      <c r="AJ1652" s="6" t="str">
        <f>IFERROR(__xludf.DUMMYFUNCTION("""COMPUTED_VALUE"""),"soon")</f>
        <v>soon</v>
      </c>
      <c r="AK1652" s="49"/>
      <c r="AL1652" s="49"/>
      <c r="AM1652" s="49"/>
      <c r="AN1652" s="52" t="str">
        <f t="shared" si="5"/>
        <v>natural,</v>
      </c>
    </row>
    <row r="1653">
      <c r="A1653" s="51"/>
      <c r="B1653" s="50" t="s">
        <v>1991</v>
      </c>
      <c r="C1653" s="50" t="s">
        <v>6530</v>
      </c>
      <c r="D1653" s="49" t="str">
        <f>IFERROR(__xludf.DUMMYFUNCTION("""COMPUTED_VALUE"""),"la")</f>
        <v>la</v>
      </c>
      <c r="E1653" s="49"/>
      <c r="F1653" s="49"/>
      <c r="G1653" s="49"/>
      <c r="H1653" s="54" t="str">
        <f t="shared" si="1"/>
        <v>try,</v>
      </c>
      <c r="I1653" s="50"/>
      <c r="J1653" s="50" t="s">
        <v>4488</v>
      </c>
      <c r="K1653" s="50" t="s">
        <v>3163</v>
      </c>
      <c r="L1653" s="49"/>
      <c r="M1653" s="49"/>
      <c r="N1653" s="49"/>
      <c r="O1653" s="49" t="str">
        <f>IFERROR(__xludf.DUMMYFUNCTION("""COMPUTED_VALUE"""),"hades")</f>
        <v>hades</v>
      </c>
      <c r="P1653" s="49" t="str">
        <f t="shared" si="2"/>
        <v>fit,</v>
      </c>
      <c r="Q1653" s="49"/>
      <c r="R1653" s="50" t="s">
        <v>4048</v>
      </c>
      <c r="S1653" s="55" t="s">
        <v>4841</v>
      </c>
      <c r="T1653" s="49" t="str">
        <f>IFERROR(__xludf.DUMMYFUNCTION("""COMPUTED_VALUE"""),"werner")</f>
        <v>werner</v>
      </c>
      <c r="U1653" s="49"/>
      <c r="V1653" s="49"/>
      <c r="W1653" s="49" t="str">
        <f>IFERROR(__xludf.DUMMYFUNCTION("""COMPUTED_VALUE"""),"tolkien")</f>
        <v>tolkien</v>
      </c>
      <c r="X1653" s="49" t="str">
        <f t="shared" si="3"/>
        <v>ad,</v>
      </c>
      <c r="Y1653" s="49"/>
      <c r="Z1653" s="1" t="s">
        <v>6387</v>
      </c>
      <c r="AA1653" s="1" t="s">
        <v>1352</v>
      </c>
      <c r="AB1653" s="49"/>
      <c r="AC1653" s="49"/>
      <c r="AD1653" s="49"/>
      <c r="AE1653" s="49" t="str">
        <f>IFERROR(__xludf.DUMMYFUNCTION("""COMPUTED_VALUE"""),"hades")</f>
        <v>hades</v>
      </c>
      <c r="AF1653" s="49" t="str">
        <f t="shared" si="4"/>
        <v>heated,</v>
      </c>
      <c r="AG1653" s="49"/>
      <c r="AH1653" s="1" t="s">
        <v>3362</v>
      </c>
      <c r="AI1653" s="1" t="s">
        <v>4530</v>
      </c>
      <c r="AJ1653" s="6" t="str">
        <f>IFERROR(__xludf.DUMMYFUNCTION("""COMPUTED_VALUE"""),"tea")</f>
        <v>tea</v>
      </c>
      <c r="AK1653" s="49"/>
      <c r="AL1653" s="49"/>
      <c r="AM1653" s="49"/>
      <c r="AN1653" s="52" t="str">
        <f t="shared" si="5"/>
        <v>parts,</v>
      </c>
    </row>
    <row r="1654">
      <c r="A1654" s="51"/>
      <c r="B1654" s="50" t="s">
        <v>1543</v>
      </c>
      <c r="C1654" s="50" t="s">
        <v>928</v>
      </c>
      <c r="D1654" s="49" t="str">
        <f>IFERROR(__xludf.DUMMYFUNCTION("""COMPUTED_VALUE"""),"marks")</f>
        <v>marks</v>
      </c>
      <c r="E1654" s="49"/>
      <c r="F1654" s="49"/>
      <c r="G1654" s="49"/>
      <c r="H1654" s="54" t="str">
        <f t="shared" si="1"/>
        <v>subject,</v>
      </c>
      <c r="I1654" s="50"/>
      <c r="J1654" s="50" t="s">
        <v>5838</v>
      </c>
      <c r="K1654" s="50" t="s">
        <v>897</v>
      </c>
      <c r="L1654" s="49"/>
      <c r="M1654" s="49"/>
      <c r="N1654" s="49"/>
      <c r="O1654" s="49" t="str">
        <f>IFERROR(__xludf.DUMMYFUNCTION("""COMPUTED_VALUE"""),"holmes")</f>
        <v>holmes</v>
      </c>
      <c r="P1654" s="49" t="str">
        <f t="shared" si="2"/>
        <v>notably,</v>
      </c>
      <c r="Q1654" s="49"/>
      <c r="R1654" s="50" t="s">
        <v>3078</v>
      </c>
      <c r="S1654" s="55" t="s">
        <v>832</v>
      </c>
      <c r="T1654" s="49" t="str">
        <f>IFERROR(__xludf.DUMMYFUNCTION("""COMPUTED_VALUE"""),"uniquely")</f>
        <v>uniquely</v>
      </c>
      <c r="U1654" s="49"/>
      <c r="V1654" s="49"/>
      <c r="W1654" s="49" t="str">
        <f>IFERROR(__xludf.DUMMYFUNCTION("""COMPUTED_VALUE"""),"twisting")</f>
        <v>twisting</v>
      </c>
      <c r="X1654" s="49" t="str">
        <f t="shared" si="3"/>
        <v>randall,</v>
      </c>
      <c r="Y1654" s="49"/>
      <c r="Z1654" s="1" t="s">
        <v>973</v>
      </c>
      <c r="AA1654" s="1" t="s">
        <v>4666</v>
      </c>
      <c r="AB1654" s="49"/>
      <c r="AC1654" s="49"/>
      <c r="AD1654" s="49"/>
      <c r="AE1654" s="49" t="str">
        <f>IFERROR(__xludf.DUMMYFUNCTION("""COMPUTED_VALUE"""),"holmes")</f>
        <v>holmes</v>
      </c>
      <c r="AF1654" s="49" t="str">
        <f t="shared" si="4"/>
        <v>chuckle,</v>
      </c>
      <c r="AG1654" s="49"/>
      <c r="AH1654" s="1" t="s">
        <v>6934</v>
      </c>
      <c r="AI1654" s="1" t="s">
        <v>3685</v>
      </c>
      <c r="AJ1654" s="6" t="str">
        <f>IFERROR(__xludf.DUMMYFUNCTION("""COMPUTED_VALUE"""),"p")</f>
        <v>p</v>
      </c>
      <c r="AK1654" s="49"/>
      <c r="AL1654" s="49"/>
      <c r="AM1654" s="49"/>
      <c r="AN1654" s="52" t="str">
        <f t="shared" si="5"/>
        <v>limited,</v>
      </c>
    </row>
    <row r="1655">
      <c r="A1655" s="51"/>
      <c r="B1655" s="50" t="s">
        <v>2178</v>
      </c>
      <c r="C1655" s="50" t="s">
        <v>4391</v>
      </c>
      <c r="D1655" s="49" t="str">
        <f>IFERROR(__xludf.DUMMYFUNCTION("""COMPUTED_VALUE"""),"note")</f>
        <v>note</v>
      </c>
      <c r="E1655" s="49"/>
      <c r="F1655" s="49"/>
      <c r="G1655" s="49"/>
      <c r="H1655" s="54" t="str">
        <f t="shared" si="1"/>
        <v>add,</v>
      </c>
      <c r="I1655" s="50"/>
      <c r="J1655" s="50" t="s">
        <v>3700</v>
      </c>
      <c r="K1655" s="50" t="s">
        <v>901</v>
      </c>
      <c r="L1655" s="49"/>
      <c r="M1655" s="49"/>
      <c r="N1655" s="49"/>
      <c r="O1655" s="49" t="str">
        <f>IFERROR(__xludf.DUMMYFUNCTION("""COMPUTED_VALUE"""),"senses")</f>
        <v>senses</v>
      </c>
      <c r="P1655" s="49" t="str">
        <f t="shared" si="2"/>
        <v>awkward,</v>
      </c>
      <c r="Q1655" s="49"/>
      <c r="R1655" s="50" t="s">
        <v>7419</v>
      </c>
      <c r="S1655" s="55" t="s">
        <v>838</v>
      </c>
      <c r="T1655" s="49" t="str">
        <f>IFERROR(__xludf.DUMMYFUNCTION("""COMPUTED_VALUE"""),"dimensional")</f>
        <v>dimensional</v>
      </c>
      <c r="U1655" s="49"/>
      <c r="V1655" s="49"/>
      <c r="W1655" s="49" t="str">
        <f>IFERROR(__xludf.DUMMYFUNCTION("""COMPUTED_VALUE"""),"littered")</f>
        <v>littered</v>
      </c>
      <c r="X1655" s="49" t="str">
        <f t="shared" si="3"/>
        <v>z,</v>
      </c>
      <c r="Y1655" s="49"/>
      <c r="Z1655" s="1" t="s">
        <v>5075</v>
      </c>
      <c r="AA1655" s="1" t="s">
        <v>2057</v>
      </c>
      <c r="AB1655" s="49"/>
      <c r="AC1655" s="49"/>
      <c r="AD1655" s="49"/>
      <c r="AE1655" s="49" t="str">
        <f>IFERROR(__xludf.DUMMYFUNCTION("""COMPUTED_VALUE"""),"senses")</f>
        <v>senses</v>
      </c>
      <c r="AF1655" s="49" t="str">
        <f t="shared" si="4"/>
        <v>tiny,</v>
      </c>
      <c r="AG1655" s="49"/>
      <c r="AH1655" s="1" t="s">
        <v>6757</v>
      </c>
      <c r="AI1655" s="1" t="s">
        <v>4708</v>
      </c>
      <c r="AJ1655" s="6">
        <f>IFERROR(__xludf.DUMMYFUNCTION("""COMPUTED_VALUE"""),18.0)</f>
        <v>18</v>
      </c>
      <c r="AK1655" s="49"/>
      <c r="AL1655" s="49"/>
      <c r="AM1655" s="49"/>
      <c r="AN1655" s="52" t="str">
        <f t="shared" si="5"/>
        <v>baseball,</v>
      </c>
    </row>
    <row r="1656">
      <c r="A1656" s="51"/>
      <c r="B1656" s="50" t="s">
        <v>7047</v>
      </c>
      <c r="C1656" s="50" t="s">
        <v>1929</v>
      </c>
      <c r="D1656" s="49" t="str">
        <f>IFERROR(__xludf.DUMMYFUNCTION("""COMPUTED_VALUE"""),"friend")</f>
        <v>friend</v>
      </c>
      <c r="E1656" s="49"/>
      <c r="F1656" s="49"/>
      <c r="G1656" s="49"/>
      <c r="H1656" s="54" t="str">
        <f t="shared" si="1"/>
        <v>suicide,</v>
      </c>
      <c r="I1656" s="50"/>
      <c r="J1656" s="50" t="s">
        <v>2071</v>
      </c>
      <c r="K1656" s="50" t="s">
        <v>1531</v>
      </c>
      <c r="L1656" s="49"/>
      <c r="M1656" s="49"/>
      <c r="N1656" s="49"/>
      <c r="O1656" s="49" t="str">
        <f>IFERROR(__xludf.DUMMYFUNCTION("""COMPUTED_VALUE"""),"goods")</f>
        <v>goods</v>
      </c>
      <c r="P1656" s="49" t="str">
        <f t="shared" si="2"/>
        <v>disguised,</v>
      </c>
      <c r="Q1656" s="49"/>
      <c r="R1656" s="50" t="s">
        <v>2655</v>
      </c>
      <c r="S1656" s="55" t="s">
        <v>3965</v>
      </c>
      <c r="T1656" s="49" t="str">
        <f>IFERROR(__xludf.DUMMYFUNCTION("""COMPUTED_VALUE"""),"distinguished")</f>
        <v>distinguished</v>
      </c>
      <c r="U1656" s="49"/>
      <c r="V1656" s="49"/>
      <c r="W1656" s="49" t="str">
        <f>IFERROR(__xludf.DUMMYFUNCTION("""COMPUTED_VALUE"""),"methodology")</f>
        <v>methodology</v>
      </c>
      <c r="X1656" s="49" t="str">
        <f t="shared" si="3"/>
        <v>characterization,</v>
      </c>
      <c r="Y1656" s="49"/>
      <c r="Z1656" s="1" t="s">
        <v>1851</v>
      </c>
      <c r="AA1656" s="1" t="s">
        <v>3283</v>
      </c>
      <c r="AB1656" s="49"/>
      <c r="AC1656" s="49"/>
      <c r="AD1656" s="49"/>
      <c r="AE1656" s="49" t="str">
        <f>IFERROR(__xludf.DUMMYFUNCTION("""COMPUTED_VALUE"""),"goods")</f>
        <v>goods</v>
      </c>
      <c r="AF1656" s="49" t="str">
        <f t="shared" si="4"/>
        <v>hundred,</v>
      </c>
      <c r="AG1656" s="49"/>
      <c r="AH1656" s="1" t="s">
        <v>2623</v>
      </c>
      <c r="AI1656" s="1" t="s">
        <v>4710</v>
      </c>
      <c r="AJ1656" s="6" t="str">
        <f>IFERROR(__xludf.DUMMYFUNCTION("""COMPUTED_VALUE"""),"seats")</f>
        <v>seats</v>
      </c>
      <c r="AK1656" s="49"/>
      <c r="AL1656" s="49"/>
      <c r="AM1656" s="49"/>
      <c r="AN1656" s="52" t="str">
        <f t="shared" si="5"/>
        <v>suitable,</v>
      </c>
    </row>
    <row r="1657">
      <c r="A1657" s="51"/>
      <c r="B1657" s="50" t="s">
        <v>4060</v>
      </c>
      <c r="C1657" s="50" t="s">
        <v>902</v>
      </c>
      <c r="D1657" s="49" t="str">
        <f>IFERROR(__xludf.DUMMYFUNCTION("""COMPUTED_VALUE"""),"chris")</f>
        <v>chris</v>
      </c>
      <c r="E1657" s="49"/>
      <c r="F1657" s="49"/>
      <c r="G1657" s="49"/>
      <c r="H1657" s="54" t="str">
        <f t="shared" si="1"/>
        <v>unsuccessful,</v>
      </c>
      <c r="I1657" s="50"/>
      <c r="J1657" s="50" t="s">
        <v>2314</v>
      </c>
      <c r="K1657" s="50" t="s">
        <v>4757</v>
      </c>
      <c r="L1657" s="49"/>
      <c r="M1657" s="49"/>
      <c r="N1657" s="49"/>
      <c r="O1657" s="49" t="str">
        <f>IFERROR(__xludf.DUMMYFUNCTION("""COMPUTED_VALUE"""),"convictions")</f>
        <v>convictions</v>
      </c>
      <c r="P1657" s="49" t="str">
        <f t="shared" si="2"/>
        <v>interior,</v>
      </c>
      <c r="Q1657" s="49"/>
      <c r="R1657" s="50" t="s">
        <v>1104</v>
      </c>
      <c r="S1657" s="55" t="s">
        <v>632</v>
      </c>
      <c r="T1657" s="49" t="str">
        <f>IFERROR(__xludf.DUMMYFUNCTION("""COMPUTED_VALUE"""),"poetic")</f>
        <v>poetic</v>
      </c>
      <c r="U1657" s="49"/>
      <c r="V1657" s="49"/>
      <c r="W1657" s="49" t="str">
        <f>IFERROR(__xludf.DUMMYFUNCTION("""COMPUTED_VALUE"""),"cleavage")</f>
        <v>cleavage</v>
      </c>
      <c r="X1657" s="49" t="str">
        <f t="shared" si="3"/>
        <v>largely,</v>
      </c>
      <c r="Y1657" s="49"/>
      <c r="Z1657" s="1" t="s">
        <v>4773</v>
      </c>
      <c r="AA1657" s="1" t="s">
        <v>1356</v>
      </c>
      <c r="AB1657" s="49"/>
      <c r="AC1657" s="49"/>
      <c r="AD1657" s="49"/>
      <c r="AE1657" s="49" t="str">
        <f>IFERROR(__xludf.DUMMYFUNCTION("""COMPUTED_VALUE"""),"convictions")</f>
        <v>convictions</v>
      </c>
      <c r="AF1657" s="49" t="str">
        <f t="shared" si="4"/>
        <v>weave,</v>
      </c>
      <c r="AG1657" s="49"/>
      <c r="AH1657" s="1" t="s">
        <v>4005</v>
      </c>
      <c r="AI1657" s="1" t="s">
        <v>4049</v>
      </c>
      <c r="AJ1657" s="6" t="str">
        <f>IFERROR(__xludf.DUMMYFUNCTION("""COMPUTED_VALUE"""),"inside")</f>
        <v>inside</v>
      </c>
      <c r="AK1657" s="49"/>
      <c r="AL1657" s="49"/>
      <c r="AM1657" s="49"/>
      <c r="AN1657" s="52" t="str">
        <f t="shared" si="5"/>
        <v>abilities,</v>
      </c>
    </row>
    <row r="1658">
      <c r="A1658" s="51"/>
      <c r="B1658" s="50" t="s">
        <v>1601</v>
      </c>
      <c r="C1658" s="50" t="s">
        <v>213</v>
      </c>
      <c r="D1658" s="49" t="str">
        <f>IFERROR(__xludf.DUMMYFUNCTION("""COMPUTED_VALUE"""),"columbus")</f>
        <v>columbus</v>
      </c>
      <c r="E1658" s="49"/>
      <c r="F1658" s="49"/>
      <c r="G1658" s="49"/>
      <c r="H1658" s="54" t="str">
        <f t="shared" si="1"/>
        <v>failing,</v>
      </c>
      <c r="I1658" s="50"/>
      <c r="J1658" s="50" t="s">
        <v>2804</v>
      </c>
      <c r="K1658" s="50" t="s">
        <v>783</v>
      </c>
      <c r="L1658" s="49"/>
      <c r="M1658" s="49"/>
      <c r="N1658" s="49"/>
      <c r="O1658" s="49" t="str">
        <f>IFERROR(__xludf.DUMMYFUNCTION("""COMPUTED_VALUE"""),"posing")</f>
        <v>posing</v>
      </c>
      <c r="P1658" s="49" t="str">
        <f t="shared" si="2"/>
        <v>bond,</v>
      </c>
      <c r="Q1658" s="49"/>
      <c r="R1658" s="50" t="s">
        <v>5713</v>
      </c>
      <c r="S1658" s="55" t="s">
        <v>1557</v>
      </c>
      <c r="T1658" s="49" t="str">
        <f>IFERROR(__xludf.DUMMYFUNCTION("""COMPUTED_VALUE"""),"controversy")</f>
        <v>controversy</v>
      </c>
      <c r="U1658" s="49"/>
      <c r="V1658" s="49"/>
      <c r="W1658" s="49" t="str">
        <f>IFERROR(__xludf.DUMMYFUNCTION("""COMPUTED_VALUE"""),"hymn")</f>
        <v>hymn</v>
      </c>
      <c r="X1658" s="49" t="str">
        <f t="shared" si="3"/>
        <v>wrapping,</v>
      </c>
      <c r="Y1658" s="49"/>
      <c r="Z1658" s="1" t="s">
        <v>3405</v>
      </c>
      <c r="AA1658" s="1" t="s">
        <v>4413</v>
      </c>
      <c r="AB1658" s="49"/>
      <c r="AC1658" s="49"/>
      <c r="AD1658" s="49"/>
      <c r="AE1658" s="49" t="str">
        <f>IFERROR(__xludf.DUMMYFUNCTION("""COMPUTED_VALUE"""),"posing")</f>
        <v>posing</v>
      </c>
      <c r="AF1658" s="49" t="str">
        <f t="shared" si="4"/>
        <v>task,</v>
      </c>
      <c r="AG1658" s="49"/>
      <c r="AH1658" s="1" t="s">
        <v>6940</v>
      </c>
      <c r="AI1658" s="1" t="s">
        <v>6548</v>
      </c>
      <c r="AJ1658" s="6" t="str">
        <f>IFERROR(__xludf.DUMMYFUNCTION("""COMPUTED_VALUE"""),"urban")</f>
        <v>urban</v>
      </c>
      <c r="AK1658" s="49"/>
      <c r="AL1658" s="49"/>
      <c r="AM1658" s="49"/>
      <c r="AN1658" s="52" t="str">
        <f t="shared" si="5"/>
        <v>demonstrated,</v>
      </c>
    </row>
    <row r="1659">
      <c r="A1659" s="51"/>
      <c r="B1659" s="50" t="s">
        <v>7120</v>
      </c>
      <c r="C1659" s="50" t="s">
        <v>2642</v>
      </c>
      <c r="D1659" s="49" t="str">
        <f>IFERROR(__xludf.DUMMYFUNCTION("""COMPUTED_VALUE"""),"basic")</f>
        <v>basic</v>
      </c>
      <c r="E1659" s="49"/>
      <c r="F1659" s="49"/>
      <c r="G1659" s="49"/>
      <c r="H1659" s="54" t="str">
        <f t="shared" si="1"/>
        <v>automatically,</v>
      </c>
      <c r="I1659" s="50"/>
      <c r="J1659" s="50" t="s">
        <v>1521</v>
      </c>
      <c r="K1659" s="50">
        <v>30.0</v>
      </c>
      <c r="L1659" s="49"/>
      <c r="M1659" s="49"/>
      <c r="N1659" s="49"/>
      <c r="O1659" s="49" t="str">
        <f>IFERROR(__xludf.DUMMYFUNCTION("""COMPUTED_VALUE"""),"populace")</f>
        <v>populace</v>
      </c>
      <c r="P1659" s="49" t="str">
        <f t="shared" si="2"/>
        <v>assassin,</v>
      </c>
      <c r="Q1659" s="49"/>
      <c r="R1659" s="50" t="s">
        <v>2883</v>
      </c>
      <c r="S1659" s="55" t="s">
        <v>3009</v>
      </c>
      <c r="T1659" s="49" t="str">
        <f>IFERROR(__xludf.DUMMYFUNCTION("""COMPUTED_VALUE"""),"heartbreak")</f>
        <v>heartbreak</v>
      </c>
      <c r="U1659" s="49"/>
      <c r="V1659" s="49"/>
      <c r="W1659" s="49" t="str">
        <f>IFERROR(__xludf.DUMMYFUNCTION("""COMPUTED_VALUE"""),"tar")</f>
        <v>tar</v>
      </c>
      <c r="X1659" s="49" t="str">
        <f t="shared" si="3"/>
        <v>base,</v>
      </c>
      <c r="Y1659" s="49"/>
      <c r="Z1659" s="1" t="s">
        <v>678</v>
      </c>
      <c r="AA1659" s="1" t="s">
        <v>3288</v>
      </c>
      <c r="AB1659" s="49"/>
      <c r="AC1659" s="49"/>
      <c r="AD1659" s="49"/>
      <c r="AE1659" s="49" t="str">
        <f>IFERROR(__xludf.DUMMYFUNCTION("""COMPUTED_VALUE"""),"populace")</f>
        <v>populace</v>
      </c>
      <c r="AF1659" s="49" t="str">
        <f t="shared" si="4"/>
        <v>deadly,</v>
      </c>
      <c r="AG1659" s="49"/>
      <c r="AH1659" s="1" t="s">
        <v>3427</v>
      </c>
      <c r="AI1659" s="1" t="s">
        <v>6533</v>
      </c>
      <c r="AJ1659" s="6" t="str">
        <f>IFERROR(__xludf.DUMMYFUNCTION("""COMPUTED_VALUE"""),"guess")</f>
        <v>guess</v>
      </c>
      <c r="AK1659" s="49"/>
      <c r="AL1659" s="49"/>
      <c r="AM1659" s="49"/>
      <c r="AN1659" s="52" t="str">
        <f t="shared" si="5"/>
        <v>mind,</v>
      </c>
    </row>
    <row r="1660">
      <c r="A1660" s="51"/>
      <c r="B1660" s="50" t="s">
        <v>4202</v>
      </c>
      <c r="C1660" s="50" t="s">
        <v>823</v>
      </c>
      <c r="D1660" s="49" t="str">
        <f>IFERROR(__xludf.DUMMYFUNCTION("""COMPUTED_VALUE"""),"practice")</f>
        <v>practice</v>
      </c>
      <c r="E1660" s="49"/>
      <c r="F1660" s="49"/>
      <c r="G1660" s="49"/>
      <c r="H1660" s="54" t="str">
        <f t="shared" si="1"/>
        <v>record,</v>
      </c>
      <c r="I1660" s="50"/>
      <c r="J1660" s="50" t="s">
        <v>7420</v>
      </c>
      <c r="K1660" s="50" t="s">
        <v>1066</v>
      </c>
      <c r="L1660" s="49"/>
      <c r="M1660" s="49"/>
      <c r="N1660" s="49"/>
      <c r="O1660" s="49" t="str">
        <f>IFERROR(__xludf.DUMMYFUNCTION("""COMPUTED_VALUE"""),"disastrous")</f>
        <v>disastrous</v>
      </c>
      <c r="P1660" s="49" t="str">
        <f t="shared" si="2"/>
        <v>confrontation,</v>
      </c>
      <c r="Q1660" s="49"/>
      <c r="R1660" s="50" t="s">
        <v>7421</v>
      </c>
      <c r="S1660" s="55" t="s">
        <v>4145</v>
      </c>
      <c r="T1660" s="49" t="str">
        <f>IFERROR(__xludf.DUMMYFUNCTION("""COMPUTED_VALUE"""),"precious")</f>
        <v>precious</v>
      </c>
      <c r="U1660" s="49"/>
      <c r="V1660" s="49"/>
      <c r="W1660" s="49" t="str">
        <f>IFERROR(__xludf.DUMMYFUNCTION("""COMPUTED_VALUE"""),"crisis")</f>
        <v>crisis</v>
      </c>
      <c r="X1660" s="49" t="str">
        <f t="shared" si="3"/>
        <v>chemical,</v>
      </c>
      <c r="Y1660" s="49"/>
      <c r="Z1660" s="1" t="s">
        <v>2096</v>
      </c>
      <c r="AA1660" s="1" t="s">
        <v>3722</v>
      </c>
      <c r="AB1660" s="49"/>
      <c r="AC1660" s="49"/>
      <c r="AD1660" s="49"/>
      <c r="AE1660" s="49" t="str">
        <f>IFERROR(__xludf.DUMMYFUNCTION("""COMPUTED_VALUE"""),"disastrous")</f>
        <v>disastrous</v>
      </c>
      <c r="AF1660" s="49" t="str">
        <f t="shared" si="4"/>
        <v>deserves,</v>
      </c>
      <c r="AG1660" s="49"/>
      <c r="AH1660" s="1" t="s">
        <v>5529</v>
      </c>
      <c r="AI1660" s="1" t="s">
        <v>1513</v>
      </c>
      <c r="AJ1660" s="6" t="str">
        <f>IFERROR(__xludf.DUMMYFUNCTION("""COMPUTED_VALUE"""),"calls")</f>
        <v>calls</v>
      </c>
      <c r="AK1660" s="49"/>
      <c r="AL1660" s="49"/>
      <c r="AM1660" s="49"/>
      <c r="AN1660" s="52" t="str">
        <f t="shared" si="5"/>
        <v>protect,</v>
      </c>
    </row>
    <row r="1661">
      <c r="A1661" s="51"/>
      <c r="B1661" s="50" t="s">
        <v>3260</v>
      </c>
      <c r="C1661" s="50" t="s">
        <v>4233</v>
      </c>
      <c r="D1661" s="49" t="str">
        <f>IFERROR(__xludf.DUMMYFUNCTION("""COMPUTED_VALUE"""),"ancient")</f>
        <v>ancient</v>
      </c>
      <c r="E1661" s="49"/>
      <c r="F1661" s="49"/>
      <c r="G1661" s="49"/>
      <c r="H1661" s="54" t="str">
        <f t="shared" si="1"/>
        <v>martin,</v>
      </c>
      <c r="I1661" s="50"/>
      <c r="J1661" s="50" t="s">
        <v>747</v>
      </c>
      <c r="K1661" s="50" t="s">
        <v>4838</v>
      </c>
      <c r="L1661" s="49"/>
      <c r="M1661" s="49"/>
      <c r="N1661" s="49"/>
      <c r="O1661" s="49" t="str">
        <f>IFERROR(__xludf.DUMMYFUNCTION("""COMPUTED_VALUE"""),"kitten")</f>
        <v>kitten</v>
      </c>
      <c r="P1661" s="49" t="str">
        <f t="shared" si="2"/>
        <v>spielberg,</v>
      </c>
      <c r="Q1661" s="49"/>
      <c r="R1661" s="50" t="s">
        <v>6533</v>
      </c>
      <c r="S1661" s="55" t="s">
        <v>5231</v>
      </c>
      <c r="T1661" s="49">
        <f>IFERROR(__xludf.DUMMYFUNCTION("""COMPUTED_VALUE"""),84.0)</f>
        <v>84</v>
      </c>
      <c r="U1661" s="49"/>
      <c r="V1661" s="49"/>
      <c r="W1661" s="49" t="str">
        <f>IFERROR(__xludf.DUMMYFUNCTION("""COMPUTED_VALUE"""),"sullivan")</f>
        <v>sullivan</v>
      </c>
      <c r="X1661" s="49" t="str">
        <f t="shared" si="3"/>
        <v>italian,</v>
      </c>
      <c r="Y1661" s="49"/>
      <c r="Z1661" s="1" t="s">
        <v>2180</v>
      </c>
      <c r="AA1661" s="1" t="s">
        <v>4836</v>
      </c>
      <c r="AB1661" s="49"/>
      <c r="AC1661" s="49"/>
      <c r="AD1661" s="49"/>
      <c r="AE1661" s="49" t="str">
        <f>IFERROR(__xludf.DUMMYFUNCTION("""COMPUTED_VALUE"""),"kitten")</f>
        <v>kitten</v>
      </c>
      <c r="AF1661" s="49" t="str">
        <f t="shared" si="4"/>
        <v>thinking,</v>
      </c>
      <c r="AG1661" s="49"/>
      <c r="AH1661" s="1" t="s">
        <v>4064</v>
      </c>
      <c r="AI1661" s="1" t="s">
        <v>2858</v>
      </c>
      <c r="AJ1661" s="6" t="str">
        <f>IFERROR(__xludf.DUMMYFUNCTION("""COMPUTED_VALUE"""),"drawn")</f>
        <v>drawn</v>
      </c>
      <c r="AK1661" s="49"/>
      <c r="AL1661" s="49"/>
      <c r="AM1661" s="49"/>
      <c r="AN1661" s="52" t="str">
        <f t="shared" si="5"/>
        <v>lifted,</v>
      </c>
    </row>
    <row r="1662">
      <c r="A1662" s="51"/>
      <c r="B1662" s="50" t="s">
        <v>5523</v>
      </c>
      <c r="C1662" s="50" t="s">
        <v>4544</v>
      </c>
      <c r="D1662" s="49" t="str">
        <f>IFERROR(__xludf.DUMMYFUNCTION("""COMPUTED_VALUE"""),"foundation")</f>
        <v>foundation</v>
      </c>
      <c r="E1662" s="49"/>
      <c r="F1662" s="49"/>
      <c r="G1662" s="49"/>
      <c r="H1662" s="54" t="str">
        <f t="shared" si="1"/>
        <v>failed,</v>
      </c>
      <c r="I1662" s="50"/>
      <c r="J1662" s="50" t="s">
        <v>865</v>
      </c>
      <c r="K1662" s="50" t="s">
        <v>714</v>
      </c>
      <c r="L1662" s="49"/>
      <c r="M1662" s="49"/>
      <c r="N1662" s="49"/>
      <c r="O1662" s="49" t="str">
        <f>IFERROR(__xludf.DUMMYFUNCTION("""COMPUTED_VALUE"""),"behave")</f>
        <v>behave</v>
      </c>
      <c r="P1662" s="49" t="str">
        <f t="shared" si="2"/>
        <v>superb,</v>
      </c>
      <c r="Q1662" s="49"/>
      <c r="R1662" s="50" t="s">
        <v>2881</v>
      </c>
      <c r="S1662" s="55" t="s">
        <v>6549</v>
      </c>
      <c r="T1662" s="49" t="str">
        <f>IFERROR(__xludf.DUMMYFUNCTION("""COMPUTED_VALUE"""),"barrels")</f>
        <v>barrels</v>
      </c>
      <c r="U1662" s="49"/>
      <c r="V1662" s="49"/>
      <c r="W1662" s="49" t="str">
        <f>IFERROR(__xludf.DUMMYFUNCTION("""COMPUTED_VALUE"""),"predict")</f>
        <v>predict</v>
      </c>
      <c r="X1662" s="49" t="str">
        <f t="shared" si="3"/>
        <v>collision,</v>
      </c>
      <c r="Y1662" s="49"/>
      <c r="Z1662" s="1" t="s">
        <v>29</v>
      </c>
      <c r="AA1662" s="1" t="s">
        <v>1033</v>
      </c>
      <c r="AB1662" s="49"/>
      <c r="AC1662" s="49"/>
      <c r="AD1662" s="49"/>
      <c r="AE1662" s="49" t="str">
        <f>IFERROR(__xludf.DUMMYFUNCTION("""COMPUTED_VALUE"""),"behave")</f>
        <v>behave</v>
      </c>
      <c r="AF1662" s="49" t="str">
        <f t="shared" si="4"/>
        <v>bleak,</v>
      </c>
      <c r="AG1662" s="49"/>
      <c r="AH1662" s="1" t="s">
        <v>2843</v>
      </c>
      <c r="AI1662" s="1" t="s">
        <v>4053</v>
      </c>
      <c r="AJ1662" s="6" t="str">
        <f>IFERROR(__xludf.DUMMYFUNCTION("""COMPUTED_VALUE"""),"examples")</f>
        <v>examples</v>
      </c>
      <c r="AK1662" s="49"/>
      <c r="AL1662" s="49"/>
      <c r="AM1662" s="49"/>
      <c r="AN1662" s="52" t="str">
        <f t="shared" si="5"/>
        <v>humans,</v>
      </c>
    </row>
    <row r="1663">
      <c r="A1663" s="51"/>
      <c r="B1663" s="50" t="s">
        <v>5579</v>
      </c>
      <c r="C1663" s="50" t="s">
        <v>5090</v>
      </c>
      <c r="D1663" s="49" t="str">
        <f>IFERROR(__xludf.DUMMYFUNCTION("""COMPUTED_VALUE"""),"relative")</f>
        <v>relative</v>
      </c>
      <c r="E1663" s="49"/>
      <c r="F1663" s="49"/>
      <c r="G1663" s="49"/>
      <c r="H1663" s="54" t="str">
        <f t="shared" si="1"/>
        <v>appreciate,</v>
      </c>
      <c r="I1663" s="50"/>
      <c r="J1663" s="50" t="s">
        <v>2183</v>
      </c>
      <c r="K1663" s="50" t="s">
        <v>2964</v>
      </c>
      <c r="L1663" s="49"/>
      <c r="M1663" s="49"/>
      <c r="N1663" s="49"/>
      <c r="O1663" s="49" t="str">
        <f>IFERROR(__xludf.DUMMYFUNCTION("""COMPUTED_VALUE"""),"journalist")</f>
        <v>journalist</v>
      </c>
      <c r="P1663" s="49" t="str">
        <f t="shared" si="2"/>
        <v>marvel,</v>
      </c>
      <c r="Q1663" s="49"/>
      <c r="R1663" s="50" t="s">
        <v>834</v>
      </c>
      <c r="S1663" s="55" t="s">
        <v>3013</v>
      </c>
      <c r="T1663" s="49" t="str">
        <f>IFERROR(__xludf.DUMMYFUNCTION("""COMPUTED_VALUE"""),"lit")</f>
        <v>lit</v>
      </c>
      <c r="U1663" s="49"/>
      <c r="V1663" s="49"/>
      <c r="W1663" s="49" t="str">
        <f>IFERROR(__xludf.DUMMYFUNCTION("""COMPUTED_VALUE"""),"secret")</f>
        <v>secret</v>
      </c>
      <c r="X1663" s="49" t="str">
        <f t="shared" si="3"/>
        <v>achievement,</v>
      </c>
      <c r="Y1663" s="49"/>
      <c r="Z1663" s="1" t="s">
        <v>1249</v>
      </c>
      <c r="AA1663" s="1" t="s">
        <v>3295</v>
      </c>
      <c r="AB1663" s="49"/>
      <c r="AC1663" s="49"/>
      <c r="AD1663" s="49"/>
      <c r="AE1663" s="49" t="str">
        <f>IFERROR(__xludf.DUMMYFUNCTION("""COMPUTED_VALUE"""),"journalist")</f>
        <v>journalist</v>
      </c>
      <c r="AF1663" s="49" t="str">
        <f t="shared" si="4"/>
        <v>midnight,</v>
      </c>
      <c r="AG1663" s="49"/>
      <c r="AH1663" s="1" t="s">
        <v>3022</v>
      </c>
      <c r="AI1663" s="1" t="s">
        <v>1451</v>
      </c>
      <c r="AJ1663" s="6" t="str">
        <f>IFERROR(__xludf.DUMMYFUNCTION("""COMPUTED_VALUE"""),"ended")</f>
        <v>ended</v>
      </c>
      <c r="AK1663" s="49"/>
      <c r="AL1663" s="49"/>
      <c r="AM1663" s="49"/>
      <c r="AN1663" s="52" t="str">
        <f t="shared" si="5"/>
        <v>imagine,</v>
      </c>
    </row>
    <row r="1664">
      <c r="A1664" s="51"/>
      <c r="B1664" s="50" t="s">
        <v>1677</v>
      </c>
      <c r="C1664" s="50" t="s">
        <v>6531</v>
      </c>
      <c r="D1664" s="49" t="str">
        <f>IFERROR(__xludf.DUMMYFUNCTION("""COMPUTED_VALUE"""),"remove")</f>
        <v>remove</v>
      </c>
      <c r="E1664" s="49"/>
      <c r="F1664" s="49"/>
      <c r="G1664" s="49"/>
      <c r="H1664" s="54" t="str">
        <f t="shared" si="1"/>
        <v>state,</v>
      </c>
      <c r="I1664" s="50"/>
      <c r="J1664" s="50" t="s">
        <v>7382</v>
      </c>
      <c r="K1664" s="50" t="s">
        <v>1721</v>
      </c>
      <c r="L1664" s="49"/>
      <c r="M1664" s="49"/>
      <c r="N1664" s="49"/>
      <c r="O1664" s="49" t="str">
        <f>IFERROR(__xludf.DUMMYFUNCTION("""COMPUTED_VALUE"""),"exasperated")</f>
        <v>exasperated</v>
      </c>
      <c r="P1664" s="49" t="str">
        <f t="shared" si="2"/>
        <v>cape,</v>
      </c>
      <c r="Q1664" s="49"/>
      <c r="R1664" s="50" t="s">
        <v>7422</v>
      </c>
      <c r="S1664" s="55" t="s">
        <v>968</v>
      </c>
      <c r="T1664" s="49" t="str">
        <f>IFERROR(__xludf.DUMMYFUNCTION("""COMPUTED_VALUE"""),"throbbing")</f>
        <v>throbbing</v>
      </c>
      <c r="U1664" s="49"/>
      <c r="V1664" s="49"/>
      <c r="W1664" s="49" t="str">
        <f>IFERROR(__xludf.DUMMYFUNCTION("""COMPUTED_VALUE"""),"servants")</f>
        <v>servants</v>
      </c>
      <c r="X1664" s="49" t="str">
        <f t="shared" si="3"/>
        <v>brazil,</v>
      </c>
      <c r="Y1664" s="49"/>
      <c r="Z1664" s="1" t="s">
        <v>589</v>
      </c>
      <c r="AA1664" s="1" t="s">
        <v>3301</v>
      </c>
      <c r="AB1664" s="49"/>
      <c r="AC1664" s="49"/>
      <c r="AD1664" s="49"/>
      <c r="AE1664" s="49" t="str">
        <f>IFERROR(__xludf.DUMMYFUNCTION("""COMPUTED_VALUE"""),"exasperated")</f>
        <v>exasperated</v>
      </c>
      <c r="AF1664" s="49" t="str">
        <f t="shared" si="4"/>
        <v>pulse,</v>
      </c>
      <c r="AG1664" s="49"/>
      <c r="AH1664" s="1" t="s">
        <v>2137</v>
      </c>
      <c r="AI1664" s="1" t="s">
        <v>6550</v>
      </c>
      <c r="AJ1664" s="6" t="str">
        <f>IFERROR(__xludf.DUMMYFUNCTION("""COMPUTED_VALUE"""),"reading")</f>
        <v>reading</v>
      </c>
      <c r="AK1664" s="49"/>
      <c r="AL1664" s="49"/>
      <c r="AM1664" s="49"/>
      <c r="AN1664" s="52" t="str">
        <f t="shared" si="5"/>
        <v>involving,</v>
      </c>
    </row>
    <row r="1665">
      <c r="A1665" s="51"/>
      <c r="B1665" s="50" t="s">
        <v>1373</v>
      </c>
      <c r="C1665" s="50" t="s">
        <v>5734</v>
      </c>
      <c r="D1665" s="49" t="str">
        <f>IFERROR(__xludf.DUMMYFUNCTION("""COMPUTED_VALUE"""),"elizabeth")</f>
        <v>elizabeth</v>
      </c>
      <c r="E1665" s="49"/>
      <c r="F1665" s="49"/>
      <c r="G1665" s="49"/>
      <c r="H1665" s="54" t="str">
        <f t="shared" si="1"/>
        <v>became,</v>
      </c>
      <c r="I1665" s="50"/>
      <c r="J1665" s="50" t="s">
        <v>4522</v>
      </c>
      <c r="K1665" s="50" t="s">
        <v>3180</v>
      </c>
      <c r="L1665" s="49"/>
      <c r="M1665" s="49"/>
      <c r="N1665" s="49"/>
      <c r="O1665" s="49" t="str">
        <f>IFERROR(__xludf.DUMMYFUNCTION("""COMPUTED_VALUE"""),"venice")</f>
        <v>venice</v>
      </c>
      <c r="P1665" s="49" t="str">
        <f t="shared" si="2"/>
        <v>violated,</v>
      </c>
      <c r="Q1665" s="49"/>
      <c r="R1665" s="50" t="s">
        <v>3491</v>
      </c>
      <c r="S1665" s="55" t="s">
        <v>2793</v>
      </c>
      <c r="T1665" s="49" t="str">
        <f>IFERROR(__xludf.DUMMYFUNCTION("""COMPUTED_VALUE"""),"origins")</f>
        <v>origins</v>
      </c>
      <c r="U1665" s="49"/>
      <c r="V1665" s="49"/>
      <c r="W1665" s="49" t="str">
        <f>IFERROR(__xludf.DUMMYFUNCTION("""COMPUTED_VALUE"""),"inversion")</f>
        <v>inversion</v>
      </c>
      <c r="X1665" s="49" t="str">
        <f t="shared" si="3"/>
        <v>holiday,</v>
      </c>
      <c r="Y1665" s="49"/>
      <c r="Z1665" s="1" t="s">
        <v>2056</v>
      </c>
      <c r="AA1665" s="1" t="s">
        <v>4840</v>
      </c>
      <c r="AB1665" s="49"/>
      <c r="AC1665" s="49"/>
      <c r="AD1665" s="49"/>
      <c r="AE1665" s="49" t="str">
        <f>IFERROR(__xludf.DUMMYFUNCTION("""COMPUTED_VALUE"""),"venice")</f>
        <v>venice</v>
      </c>
      <c r="AF1665" s="49" t="str">
        <f t="shared" si="4"/>
        <v>desperately,</v>
      </c>
      <c r="AG1665" s="49"/>
      <c r="AH1665" s="1" t="s">
        <v>5007</v>
      </c>
      <c r="AI1665" s="1" t="s">
        <v>3807</v>
      </c>
      <c r="AJ1665" s="6" t="str">
        <f>IFERROR(__xludf.DUMMYFUNCTION("""COMPUTED_VALUE"""),"sit")</f>
        <v>sit</v>
      </c>
      <c r="AK1665" s="49"/>
      <c r="AL1665" s="49"/>
      <c r="AM1665" s="49"/>
      <c r="AN1665" s="52" t="str">
        <f t="shared" si="5"/>
        <v>larry,</v>
      </c>
    </row>
    <row r="1666">
      <c r="A1666" s="51"/>
      <c r="B1666" s="50" t="s">
        <v>6720</v>
      </c>
      <c r="C1666" s="50" t="s">
        <v>4399</v>
      </c>
      <c r="D1666" s="49" t="str">
        <f>IFERROR(__xludf.DUMMYFUNCTION("""COMPUTED_VALUE"""),"carol")</f>
        <v>carol</v>
      </c>
      <c r="E1666" s="49"/>
      <c r="F1666" s="49"/>
      <c r="G1666" s="49"/>
      <c r="H1666" s="54" t="str">
        <f t="shared" si="1"/>
        <v>western,</v>
      </c>
      <c r="I1666" s="50"/>
      <c r="J1666" s="50" t="s">
        <v>3026</v>
      </c>
      <c r="K1666" s="50" t="s">
        <v>2914</v>
      </c>
      <c r="L1666" s="49"/>
      <c r="M1666" s="49"/>
      <c r="N1666" s="49"/>
      <c r="O1666" s="49" t="str">
        <f>IFERROR(__xludf.DUMMYFUNCTION("""COMPUTED_VALUE"""),"pursued")</f>
        <v>pursued</v>
      </c>
      <c r="P1666" s="49" t="str">
        <f t="shared" si="2"/>
        <v>fairly,</v>
      </c>
      <c r="Q1666" s="49"/>
      <c r="R1666" s="50" t="s">
        <v>4287</v>
      </c>
      <c r="S1666" s="55" t="s">
        <v>2796</v>
      </c>
      <c r="T1666" s="49" t="str">
        <f>IFERROR(__xludf.DUMMYFUNCTION("""COMPUTED_VALUE"""),"pulling")</f>
        <v>pulling</v>
      </c>
      <c r="U1666" s="49"/>
      <c r="V1666" s="49"/>
      <c r="W1666" s="49" t="str">
        <f>IFERROR(__xludf.DUMMYFUNCTION("""COMPUTED_VALUE"""),"remembrance")</f>
        <v>remembrance</v>
      </c>
      <c r="X1666" s="49" t="str">
        <f t="shared" si="3"/>
        <v>embrace,</v>
      </c>
      <c r="Y1666" s="49"/>
      <c r="Z1666" s="1" t="s">
        <v>964</v>
      </c>
      <c r="AA1666" s="1" t="s">
        <v>4843</v>
      </c>
      <c r="AB1666" s="49"/>
      <c r="AC1666" s="49"/>
      <c r="AD1666" s="49"/>
      <c r="AE1666" s="49" t="str">
        <f>IFERROR(__xludf.DUMMYFUNCTION("""COMPUTED_VALUE"""),"pursued")</f>
        <v>pursued</v>
      </c>
      <c r="AF1666" s="49" t="str">
        <f t="shared" si="4"/>
        <v>musical,</v>
      </c>
      <c r="AG1666" s="49"/>
      <c r="AH1666" s="1" t="s">
        <v>1306</v>
      </c>
      <c r="AI1666" s="1" t="s">
        <v>4109</v>
      </c>
      <c r="AJ1666" s="6" t="str">
        <f>IFERROR(__xludf.DUMMYFUNCTION("""COMPUTED_VALUE"""),"couch")</f>
        <v>couch</v>
      </c>
      <c r="AK1666" s="49"/>
      <c r="AL1666" s="49"/>
      <c r="AM1666" s="49"/>
      <c r="AN1666" s="52" t="str">
        <f t="shared" si="5"/>
        <v>groups,</v>
      </c>
    </row>
    <row r="1667">
      <c r="A1667" s="51"/>
      <c r="B1667" s="50" t="s">
        <v>4499</v>
      </c>
      <c r="C1667" s="50" t="s">
        <v>3207</v>
      </c>
      <c r="D1667" s="49" t="str">
        <f>IFERROR(__xludf.DUMMYFUNCTION("""COMPUTED_VALUE"""),"product")</f>
        <v>product</v>
      </c>
      <c r="E1667" s="49"/>
      <c r="F1667" s="49"/>
      <c r="G1667" s="49"/>
      <c r="H1667" s="54" t="str">
        <f t="shared" si="1"/>
        <v>beach,</v>
      </c>
      <c r="I1667" s="50"/>
      <c r="J1667" s="50" t="s">
        <v>3244</v>
      </c>
      <c r="K1667" s="50" t="s">
        <v>4845</v>
      </c>
      <c r="L1667" s="49"/>
      <c r="M1667" s="49"/>
      <c r="N1667" s="49"/>
      <c r="O1667" s="49" t="str">
        <f>IFERROR(__xludf.DUMMYFUNCTION("""COMPUTED_VALUE"""),"mika")</f>
        <v>mika</v>
      </c>
      <c r="P1667" s="49" t="str">
        <f t="shared" si="2"/>
        <v>complaint,</v>
      </c>
      <c r="Q1667" s="49"/>
      <c r="R1667" s="50" t="s">
        <v>5953</v>
      </c>
      <c r="S1667" s="55" t="s">
        <v>6551</v>
      </c>
      <c r="T1667" s="49" t="str">
        <f>IFERROR(__xludf.DUMMYFUNCTION("""COMPUTED_VALUE"""),"endurance")</f>
        <v>endurance</v>
      </c>
      <c r="U1667" s="49"/>
      <c r="V1667" s="49"/>
      <c r="W1667" s="49" t="str">
        <f>IFERROR(__xludf.DUMMYFUNCTION("""COMPUTED_VALUE"""),"learns")</f>
        <v>learns</v>
      </c>
      <c r="X1667" s="49" t="str">
        <f t="shared" si="3"/>
        <v>graphic,</v>
      </c>
      <c r="Y1667" s="49"/>
      <c r="Z1667" s="1" t="s">
        <v>2364</v>
      </c>
      <c r="AA1667" s="1" t="s">
        <v>1040</v>
      </c>
      <c r="AB1667" s="49"/>
      <c r="AC1667" s="49"/>
      <c r="AD1667" s="49"/>
      <c r="AE1667" s="49" t="str">
        <f>IFERROR(__xludf.DUMMYFUNCTION("""COMPUTED_VALUE"""),"mika")</f>
        <v>mika</v>
      </c>
      <c r="AF1667" s="49" t="str">
        <f t="shared" si="4"/>
        <v>camera,</v>
      </c>
      <c r="AG1667" s="49"/>
      <c r="AH1667" s="1" t="s">
        <v>1756</v>
      </c>
      <c r="AI1667" s="1" t="s">
        <v>4724</v>
      </c>
      <c r="AJ1667" s="6" t="str">
        <f>IFERROR(__xludf.DUMMYFUNCTION("""COMPUTED_VALUE"""),"finished")</f>
        <v>finished</v>
      </c>
      <c r="AK1667" s="49"/>
      <c r="AL1667" s="49"/>
      <c r="AM1667" s="49"/>
      <c r="AN1667" s="52" t="str">
        <f t="shared" si="5"/>
        <v>complete,</v>
      </c>
    </row>
    <row r="1668">
      <c r="A1668" s="51"/>
      <c r="B1668" s="50" t="s">
        <v>6399</v>
      </c>
      <c r="C1668" s="50" t="s">
        <v>2500</v>
      </c>
      <c r="D1668" s="49" t="str">
        <f>IFERROR(__xludf.DUMMYFUNCTION("""COMPUTED_VALUE"""),"goals")</f>
        <v>goals</v>
      </c>
      <c r="E1668" s="49"/>
      <c r="F1668" s="49"/>
      <c r="G1668" s="49"/>
      <c r="H1668" s="54" t="str">
        <f t="shared" si="1"/>
        <v>max,</v>
      </c>
      <c r="I1668" s="50"/>
      <c r="J1668" s="50" t="s">
        <v>4581</v>
      </c>
      <c r="K1668" s="50" t="s">
        <v>3184</v>
      </c>
      <c r="L1668" s="49"/>
      <c r="M1668" s="49"/>
      <c r="N1668" s="49"/>
      <c r="O1668" s="49" t="str">
        <f>IFERROR(__xludf.DUMMYFUNCTION("""COMPUTED_VALUE"""),"fallon")</f>
        <v>fallon</v>
      </c>
      <c r="P1668" s="49" t="str">
        <f t="shared" si="2"/>
        <v>boat,</v>
      </c>
      <c r="Q1668" s="49"/>
      <c r="R1668" s="50" t="s">
        <v>5214</v>
      </c>
      <c r="S1668" s="55" t="s">
        <v>973</v>
      </c>
      <c r="T1668" s="49" t="str">
        <f>IFERROR(__xludf.DUMMYFUNCTION("""COMPUTED_VALUE"""),"conviction")</f>
        <v>conviction</v>
      </c>
      <c r="U1668" s="49"/>
      <c r="V1668" s="49"/>
      <c r="W1668" s="49" t="str">
        <f>IFERROR(__xludf.DUMMYFUNCTION("""COMPUTED_VALUE"""),"gas")</f>
        <v>gas</v>
      </c>
      <c r="X1668" s="49" t="str">
        <f t="shared" si="3"/>
        <v>artwork,</v>
      </c>
      <c r="Y1668" s="49"/>
      <c r="Z1668" s="1" t="s">
        <v>3501</v>
      </c>
      <c r="AA1668" s="1" t="s">
        <v>4846</v>
      </c>
      <c r="AB1668" s="49"/>
      <c r="AC1668" s="49"/>
      <c r="AD1668" s="49"/>
      <c r="AE1668" s="49" t="str">
        <f>IFERROR(__xludf.DUMMYFUNCTION("""COMPUTED_VALUE"""),"fallon")</f>
        <v>fallon</v>
      </c>
      <c r="AF1668" s="49" t="str">
        <f t="shared" si="4"/>
        <v>shelf,</v>
      </c>
      <c r="AG1668" s="49"/>
      <c r="AH1668" s="1" t="s">
        <v>7423</v>
      </c>
      <c r="AI1668" s="1" t="s">
        <v>1672</v>
      </c>
      <c r="AJ1668" s="6" t="str">
        <f>IFERROR(__xludf.DUMMYFUNCTION("""COMPUTED_VALUE"""),"cut")</f>
        <v>cut</v>
      </c>
      <c r="AK1668" s="49"/>
      <c r="AL1668" s="49"/>
      <c r="AM1668" s="49"/>
      <c r="AN1668" s="52" t="str">
        <f t="shared" si="5"/>
        <v>sleeping,</v>
      </c>
    </row>
    <row r="1669">
      <c r="A1669" s="51"/>
      <c r="B1669" s="50" t="s">
        <v>4546</v>
      </c>
      <c r="C1669" s="50" t="s">
        <v>2187</v>
      </c>
      <c r="D1669" s="49" t="str">
        <f>IFERROR(__xludf.DUMMYFUNCTION("""COMPUTED_VALUE"""),"project")</f>
        <v>project</v>
      </c>
      <c r="E1669" s="49"/>
      <c r="F1669" s="49"/>
      <c r="G1669" s="49"/>
      <c r="H1669" s="54" t="str">
        <f t="shared" si="1"/>
        <v>mad,</v>
      </c>
      <c r="I1669" s="50"/>
      <c r="J1669" s="50" t="s">
        <v>995</v>
      </c>
      <c r="K1669" s="50" t="s">
        <v>4285</v>
      </c>
      <c r="L1669" s="49"/>
      <c r="M1669" s="49"/>
      <c r="N1669" s="49"/>
      <c r="O1669" s="49" t="str">
        <f>IFERROR(__xludf.DUMMYFUNCTION("""COMPUTED_VALUE"""),"forgiveness")</f>
        <v>forgiveness</v>
      </c>
      <c r="P1669" s="49" t="str">
        <f t="shared" si="2"/>
        <v>eat,</v>
      </c>
      <c r="Q1669" s="49"/>
      <c r="R1669" s="50" t="s">
        <v>3739</v>
      </c>
      <c r="S1669" s="55" t="s">
        <v>4157</v>
      </c>
      <c r="T1669" s="49" t="str">
        <f>IFERROR(__xludf.DUMMYFUNCTION("""COMPUTED_VALUE"""),"loneliness")</f>
        <v>loneliness</v>
      </c>
      <c r="U1669" s="49"/>
      <c r="V1669" s="49"/>
      <c r="W1669" s="49" t="str">
        <f>IFERROR(__xludf.DUMMYFUNCTION("""COMPUTED_VALUE"""),"ferris")</f>
        <v>ferris</v>
      </c>
      <c r="X1669" s="49" t="str">
        <f t="shared" si="3"/>
        <v>marked,</v>
      </c>
      <c r="Y1669" s="49"/>
      <c r="Z1669" s="1" t="s">
        <v>2920</v>
      </c>
      <c r="AA1669" s="1" t="s">
        <v>1047</v>
      </c>
      <c r="AB1669" s="49"/>
      <c r="AC1669" s="49"/>
      <c r="AD1669" s="49"/>
      <c r="AE1669" s="49" t="str">
        <f>IFERROR(__xludf.DUMMYFUNCTION("""COMPUTED_VALUE"""),"forgiveness")</f>
        <v>forgiveness</v>
      </c>
      <c r="AF1669" s="49" t="str">
        <f t="shared" si="4"/>
        <v>ellen,</v>
      </c>
      <c r="AG1669" s="49"/>
      <c r="AH1669" s="1" t="s">
        <v>4513</v>
      </c>
      <c r="AI1669" s="1" t="s">
        <v>1602</v>
      </c>
      <c r="AJ1669" s="6" t="str">
        <f>IFERROR(__xludf.DUMMYFUNCTION("""COMPUTED_VALUE"""),"poor")</f>
        <v>poor</v>
      </c>
      <c r="AK1669" s="49"/>
      <c r="AL1669" s="49"/>
      <c r="AM1669" s="49"/>
      <c r="AN1669" s="52" t="str">
        <f t="shared" si="5"/>
        <v>segment,</v>
      </c>
    </row>
    <row r="1670">
      <c r="A1670" s="51"/>
      <c r="B1670" s="50" t="s">
        <v>3335</v>
      </c>
      <c r="C1670" s="50" t="s">
        <v>4402</v>
      </c>
      <c r="D1670" s="49" t="str">
        <f>IFERROR(__xludf.DUMMYFUNCTION("""COMPUTED_VALUE"""),"dollars")</f>
        <v>dollars</v>
      </c>
      <c r="E1670" s="49"/>
      <c r="F1670" s="49"/>
      <c r="G1670" s="49"/>
      <c r="H1670" s="54" t="str">
        <f t="shared" si="1"/>
        <v>warrior,</v>
      </c>
      <c r="I1670" s="50"/>
      <c r="J1670" s="50" t="s">
        <v>6941</v>
      </c>
      <c r="K1670" s="50" t="s">
        <v>2917</v>
      </c>
      <c r="L1670" s="49"/>
      <c r="M1670" s="49"/>
      <c r="N1670" s="49"/>
      <c r="O1670" s="49" t="str">
        <f>IFERROR(__xludf.DUMMYFUNCTION("""COMPUTED_VALUE"""),"cinematographer")</f>
        <v>cinematographer</v>
      </c>
      <c r="P1670" s="49" t="str">
        <f t="shared" si="2"/>
        <v>fruit,</v>
      </c>
      <c r="Q1670" s="49"/>
      <c r="R1670" s="50" t="s">
        <v>7117</v>
      </c>
      <c r="S1670" s="55" t="s">
        <v>844</v>
      </c>
      <c r="T1670" s="49" t="str">
        <f>IFERROR(__xludf.DUMMYFUNCTION("""COMPUTED_VALUE"""),"deliberately")</f>
        <v>deliberately</v>
      </c>
      <c r="U1670" s="49"/>
      <c r="V1670" s="49"/>
      <c r="W1670" s="49" t="str">
        <f>IFERROR(__xludf.DUMMYFUNCTION("""COMPUTED_VALUE"""),"narrated")</f>
        <v>narrated</v>
      </c>
      <c r="X1670" s="49" t="str">
        <f t="shared" si="3"/>
        <v>kinds,</v>
      </c>
      <c r="Y1670" s="49"/>
      <c r="Z1670" s="1" t="s">
        <v>407</v>
      </c>
      <c r="AA1670" s="1" t="s">
        <v>1361</v>
      </c>
      <c r="AB1670" s="49"/>
      <c r="AC1670" s="49"/>
      <c r="AD1670" s="49"/>
      <c r="AE1670" s="49" t="str">
        <f>IFERROR(__xludf.DUMMYFUNCTION("""COMPUTED_VALUE"""),"cinematographer")</f>
        <v>cinematographer</v>
      </c>
      <c r="AF1670" s="49" t="str">
        <f t="shared" si="4"/>
        <v>room,</v>
      </c>
      <c r="AG1670" s="49"/>
      <c r="AH1670" s="1" t="s">
        <v>6108</v>
      </c>
      <c r="AI1670" s="1" t="s">
        <v>6420</v>
      </c>
      <c r="AJ1670" s="6" t="str">
        <f>IFERROR(__xludf.DUMMYFUNCTION("""COMPUTED_VALUE"""),"shape")</f>
        <v>shape</v>
      </c>
      <c r="AK1670" s="49"/>
      <c r="AL1670" s="49"/>
      <c r="AM1670" s="49"/>
      <c r="AN1670" s="52" t="str">
        <f t="shared" si="5"/>
        <v>meant,</v>
      </c>
    </row>
    <row r="1671">
      <c r="A1671" s="51"/>
      <c r="B1671" s="50" t="s">
        <v>990</v>
      </c>
      <c r="C1671" s="50" t="s">
        <v>4569</v>
      </c>
      <c r="D1671" s="49" t="str">
        <f>IFERROR(__xludf.DUMMYFUNCTION("""COMPUTED_VALUE"""),"elsewhere")</f>
        <v>elsewhere</v>
      </c>
      <c r="E1671" s="49"/>
      <c r="F1671" s="49"/>
      <c r="G1671" s="49"/>
      <c r="H1671" s="54" t="str">
        <f t="shared" si="1"/>
        <v>ultimate,</v>
      </c>
      <c r="I1671" s="50"/>
      <c r="J1671" s="50" t="s">
        <v>2080</v>
      </c>
      <c r="K1671" s="50" t="s">
        <v>3192</v>
      </c>
      <c r="L1671" s="49"/>
      <c r="M1671" s="49"/>
      <c r="N1671" s="49"/>
      <c r="O1671" s="49" t="str">
        <f>IFERROR(__xludf.DUMMYFUNCTION("""COMPUTED_VALUE"""),"stevens")</f>
        <v>stevens</v>
      </c>
      <c r="P1671" s="49" t="str">
        <f t="shared" si="2"/>
        <v>stuck,</v>
      </c>
      <c r="Q1671" s="49"/>
      <c r="R1671" s="50" t="s">
        <v>2956</v>
      </c>
      <c r="S1671" s="55" t="s">
        <v>2262</v>
      </c>
      <c r="T1671" s="49" t="str">
        <f>IFERROR(__xludf.DUMMYFUNCTION("""COMPUTED_VALUE"""),"wry")</f>
        <v>wry</v>
      </c>
      <c r="U1671" s="49"/>
      <c r="V1671" s="49"/>
      <c r="W1671" s="49" t="str">
        <f>IFERROR(__xludf.DUMMYFUNCTION("""COMPUTED_VALUE"""),"landau")</f>
        <v>landau</v>
      </c>
      <c r="X1671" s="49" t="str">
        <f t="shared" si="3"/>
        <v>von,</v>
      </c>
      <c r="Y1671" s="49"/>
      <c r="Z1671" s="1" t="s">
        <v>2519</v>
      </c>
      <c r="AA1671" s="1" t="s">
        <v>2067</v>
      </c>
      <c r="AB1671" s="49"/>
      <c r="AC1671" s="49"/>
      <c r="AD1671" s="49"/>
      <c r="AE1671" s="49" t="str">
        <f>IFERROR(__xludf.DUMMYFUNCTION("""COMPUTED_VALUE"""),"stevens")</f>
        <v>stevens</v>
      </c>
      <c r="AF1671" s="49" t="str">
        <f t="shared" si="4"/>
        <v>required,</v>
      </c>
      <c r="AG1671" s="49"/>
      <c r="AH1671" s="1" t="s">
        <v>6435</v>
      </c>
      <c r="AI1671" s="1" t="s">
        <v>3098</v>
      </c>
      <c r="AJ1671" s="6" t="str">
        <f>IFERROR(__xludf.DUMMYFUNCTION("""COMPUTED_VALUE"""),"handle")</f>
        <v>handle</v>
      </c>
      <c r="AK1671" s="49"/>
      <c r="AL1671" s="49"/>
      <c r="AM1671" s="49"/>
      <c r="AN1671" s="52" t="str">
        <f t="shared" si="5"/>
        <v>broken,</v>
      </c>
    </row>
    <row r="1672">
      <c r="A1672" s="51"/>
      <c r="B1672" s="50" t="s">
        <v>603</v>
      </c>
      <c r="C1672" s="50" t="s">
        <v>6534</v>
      </c>
      <c r="D1672" s="49" t="str">
        <f>IFERROR(__xludf.DUMMYFUNCTION("""COMPUTED_VALUE"""),"italian")</f>
        <v>italian</v>
      </c>
      <c r="E1672" s="49"/>
      <c r="F1672" s="49"/>
      <c r="G1672" s="49"/>
      <c r="H1672" s="54" t="str">
        <f t="shared" si="1"/>
        <v>survival,</v>
      </c>
      <c r="I1672" s="50"/>
      <c r="J1672" s="50" t="s">
        <v>7424</v>
      </c>
      <c r="K1672" s="50" t="s">
        <v>3024</v>
      </c>
      <c r="L1672" s="49"/>
      <c r="M1672" s="49"/>
      <c r="N1672" s="49"/>
      <c r="O1672" s="49" t="str">
        <f>IFERROR(__xludf.DUMMYFUNCTION("""COMPUTED_VALUE"""),"playstation")</f>
        <v>playstation</v>
      </c>
      <c r="P1672" s="49" t="str">
        <f t="shared" si="2"/>
        <v>pal,</v>
      </c>
      <c r="Q1672" s="49"/>
      <c r="R1672" s="50" t="s">
        <v>6481</v>
      </c>
      <c r="S1672" s="55" t="s">
        <v>1765</v>
      </c>
      <c r="T1672" s="49">
        <f>IFERROR(__xludf.DUMMYFUNCTION("""COMPUTED_VALUE"""),88.0)</f>
        <v>88</v>
      </c>
      <c r="U1672" s="49"/>
      <c r="V1672" s="49"/>
      <c r="W1672" s="49" t="str">
        <f>IFERROR(__xludf.DUMMYFUNCTION("""COMPUTED_VALUE"""),"error")</f>
        <v>error</v>
      </c>
      <c r="X1672" s="49" t="str">
        <f t="shared" si="3"/>
        <v>perfectly,</v>
      </c>
      <c r="Y1672" s="49"/>
      <c r="Z1672" s="1" t="s">
        <v>2872</v>
      </c>
      <c r="AA1672" s="1" t="s">
        <v>2071</v>
      </c>
      <c r="AB1672" s="49"/>
      <c r="AC1672" s="49"/>
      <c r="AD1672" s="49"/>
      <c r="AE1672" s="49" t="str">
        <f>IFERROR(__xludf.DUMMYFUNCTION("""COMPUTED_VALUE"""),"playstation")</f>
        <v>playstation</v>
      </c>
      <c r="AF1672" s="49" t="str">
        <f t="shared" si="4"/>
        <v>editing,</v>
      </c>
      <c r="AG1672" s="49"/>
      <c r="AH1672" s="1" t="s">
        <v>2171</v>
      </c>
      <c r="AI1672" s="1" t="s">
        <v>2726</v>
      </c>
      <c r="AJ1672" s="6" t="str">
        <f>IFERROR(__xludf.DUMMYFUNCTION("""COMPUTED_VALUE"""),"alfred")</f>
        <v>alfred</v>
      </c>
      <c r="AK1672" s="49"/>
      <c r="AL1672" s="49"/>
      <c r="AM1672" s="49"/>
      <c r="AN1672" s="52" t="str">
        <f t="shared" si="5"/>
        <v>crime,</v>
      </c>
    </row>
    <row r="1673">
      <c r="A1673" s="51"/>
      <c r="B1673" s="50" t="s">
        <v>2894</v>
      </c>
      <c r="C1673" s="50" t="s">
        <v>1258</v>
      </c>
      <c r="D1673" s="49" t="str">
        <f>IFERROR(__xludf.DUMMYFUNCTION("""COMPUTED_VALUE"""),"century")</f>
        <v>century</v>
      </c>
      <c r="E1673" s="49"/>
      <c r="F1673" s="49"/>
      <c r="G1673" s="49"/>
      <c r="H1673" s="54" t="str">
        <f t="shared" si="1"/>
        <v>unexpected,</v>
      </c>
      <c r="I1673" s="50"/>
      <c r="J1673" s="50">
        <v>22.0</v>
      </c>
      <c r="K1673" s="50" t="s">
        <v>1076</v>
      </c>
      <c r="L1673" s="49"/>
      <c r="M1673" s="49"/>
      <c r="N1673" s="49"/>
      <c r="O1673" s="49" t="str">
        <f>IFERROR(__xludf.DUMMYFUNCTION("""COMPUTED_VALUE"""),"mtv")</f>
        <v>mtv</v>
      </c>
      <c r="P1673" s="49" t="str">
        <f t="shared" si="2"/>
        <v>22,</v>
      </c>
      <c r="Q1673" s="49"/>
      <c r="R1673" s="50" t="s">
        <v>4514</v>
      </c>
      <c r="S1673" s="55" t="s">
        <v>1650</v>
      </c>
      <c r="T1673" s="49" t="str">
        <f>IFERROR(__xludf.DUMMYFUNCTION("""COMPUTED_VALUE"""),"pan")</f>
        <v>pan</v>
      </c>
      <c r="U1673" s="49"/>
      <c r="V1673" s="49"/>
      <c r="W1673" s="49" t="str">
        <f>IFERROR(__xludf.DUMMYFUNCTION("""COMPUTED_VALUE"""),"germanic")</f>
        <v>germanic</v>
      </c>
      <c r="X1673" s="49" t="str">
        <f t="shared" si="3"/>
        <v>hallmark,</v>
      </c>
      <c r="Y1673" s="49"/>
      <c r="Z1673" s="1" t="s">
        <v>2737</v>
      </c>
      <c r="AA1673" s="1" t="s">
        <v>1368</v>
      </c>
      <c r="AB1673" s="49"/>
      <c r="AC1673" s="49"/>
      <c r="AD1673" s="49"/>
      <c r="AE1673" s="49" t="str">
        <f>IFERROR(__xludf.DUMMYFUNCTION("""COMPUTED_VALUE"""),"mtv")</f>
        <v>mtv</v>
      </c>
      <c r="AF1673" s="49" t="str">
        <f t="shared" si="4"/>
        <v>stories,</v>
      </c>
      <c r="AG1673" s="49"/>
      <c r="AH1673" s="1" t="s">
        <v>6430</v>
      </c>
      <c r="AI1673" s="1" t="s">
        <v>4278</v>
      </c>
      <c r="AJ1673" s="6" t="str">
        <f>IFERROR(__xludf.DUMMYFUNCTION("""COMPUTED_VALUE"""),"bigger")</f>
        <v>bigger</v>
      </c>
      <c r="AK1673" s="49"/>
      <c r="AL1673" s="49"/>
      <c r="AM1673" s="49"/>
      <c r="AN1673" s="52" t="str">
        <f t="shared" si="5"/>
        <v>reference,</v>
      </c>
    </row>
    <row r="1674">
      <c r="A1674" s="51"/>
      <c r="B1674" s="50" t="s">
        <v>1402</v>
      </c>
      <c r="C1674" s="50" t="s">
        <v>1409</v>
      </c>
      <c r="D1674" s="49" t="str">
        <f>IFERROR(__xludf.DUMMYFUNCTION("""COMPUTED_VALUE"""),"france")</f>
        <v>france</v>
      </c>
      <c r="E1674" s="49"/>
      <c r="F1674" s="49"/>
      <c r="G1674" s="49"/>
      <c r="H1674" s="54" t="str">
        <f t="shared" si="1"/>
        <v>energy,</v>
      </c>
      <c r="I1674" s="50"/>
      <c r="J1674" s="50" t="s">
        <v>3829</v>
      </c>
      <c r="K1674" s="50" t="s">
        <v>3195</v>
      </c>
      <c r="L1674" s="49"/>
      <c r="M1674" s="49"/>
      <c r="N1674" s="49"/>
      <c r="O1674" s="49" t="str">
        <f>IFERROR(__xludf.DUMMYFUNCTION("""COMPUTED_VALUE"""),"hysteria")</f>
        <v>hysteria</v>
      </c>
      <c r="P1674" s="49" t="str">
        <f t="shared" si="2"/>
        <v>salvage,</v>
      </c>
      <c r="Q1674" s="49"/>
      <c r="R1674" s="50" t="s">
        <v>3119</v>
      </c>
      <c r="S1674" s="55" t="s">
        <v>1362</v>
      </c>
      <c r="T1674" s="49" t="str">
        <f>IFERROR(__xludf.DUMMYFUNCTION("""COMPUTED_VALUE"""),"unchanged")</f>
        <v>unchanged</v>
      </c>
      <c r="U1674" s="49"/>
      <c r="V1674" s="49"/>
      <c r="W1674" s="49" t="str">
        <f>IFERROR(__xludf.DUMMYFUNCTION("""COMPUTED_VALUE"""),"instability")</f>
        <v>instability</v>
      </c>
      <c r="X1674" s="49" t="str">
        <f t="shared" si="3"/>
        <v>70s,</v>
      </c>
      <c r="Y1674" s="49"/>
      <c r="Z1674" s="1" t="s">
        <v>4000</v>
      </c>
      <c r="AA1674" s="1" t="s">
        <v>2077</v>
      </c>
      <c r="AB1674" s="49"/>
      <c r="AC1674" s="49"/>
      <c r="AD1674" s="49"/>
      <c r="AE1674" s="49" t="str">
        <f>IFERROR(__xludf.DUMMYFUNCTION("""COMPUTED_VALUE"""),"hysteria")</f>
        <v>hysteria</v>
      </c>
      <c r="AF1674" s="49" t="str">
        <f t="shared" si="4"/>
        <v>mainstream,</v>
      </c>
      <c r="AG1674" s="49"/>
      <c r="AH1674" s="1" t="s">
        <v>2828</v>
      </c>
      <c r="AI1674" s="1" t="s">
        <v>4738</v>
      </c>
      <c r="AJ1674" s="6" t="str">
        <f>IFERROR(__xludf.DUMMYFUNCTION("""COMPUTED_VALUE"""),"writers")</f>
        <v>writers</v>
      </c>
      <c r="AK1674" s="49"/>
      <c r="AL1674" s="49"/>
      <c r="AM1674" s="49"/>
      <c r="AN1674" s="52" t="str">
        <f t="shared" si="5"/>
        <v>frame,</v>
      </c>
    </row>
    <row r="1675">
      <c r="A1675" s="51"/>
      <c r="B1675" s="50" t="s">
        <v>5471</v>
      </c>
      <c r="C1675" s="50" t="s">
        <v>4408</v>
      </c>
      <c r="D1675" s="49" t="str">
        <f>IFERROR(__xludf.DUMMYFUNCTION("""COMPUTED_VALUE"""),"20th")</f>
        <v>20th</v>
      </c>
      <c r="E1675" s="49"/>
      <c r="F1675" s="49"/>
      <c r="G1675" s="49"/>
      <c r="H1675" s="54" t="str">
        <f t="shared" si="1"/>
        <v>material,</v>
      </c>
      <c r="I1675" s="50"/>
      <c r="J1675" s="50" t="s">
        <v>7388</v>
      </c>
      <c r="K1675" s="50" t="s">
        <v>3198</v>
      </c>
      <c r="L1675" s="49"/>
      <c r="M1675" s="49"/>
      <c r="N1675" s="49"/>
      <c r="O1675" s="49" t="str">
        <f>IFERROR(__xludf.DUMMYFUNCTION("""COMPUTED_VALUE"""),"barbarian")</f>
        <v>barbarian</v>
      </c>
      <c r="P1675" s="49" t="str">
        <f t="shared" si="2"/>
        <v>brooklyn,</v>
      </c>
      <c r="Q1675" s="49"/>
      <c r="R1675" s="50" t="s">
        <v>3190</v>
      </c>
      <c r="S1675" s="55" t="s">
        <v>4873</v>
      </c>
      <c r="T1675" s="49" t="str">
        <f>IFERROR(__xludf.DUMMYFUNCTION("""COMPUTED_VALUE"""),"preaching")</f>
        <v>preaching</v>
      </c>
      <c r="U1675" s="49"/>
      <c r="V1675" s="49"/>
      <c r="W1675" s="49" t="str">
        <f>IFERROR(__xludf.DUMMYFUNCTION("""COMPUTED_VALUE"""),"tolerance")</f>
        <v>tolerance</v>
      </c>
      <c r="X1675" s="49" t="str">
        <f t="shared" si="3"/>
        <v>sucker,</v>
      </c>
      <c r="Y1675" s="49"/>
      <c r="Z1675" s="1" t="s">
        <v>1657</v>
      </c>
      <c r="AA1675" s="1" t="s">
        <v>1051</v>
      </c>
      <c r="AB1675" s="49"/>
      <c r="AC1675" s="49"/>
      <c r="AD1675" s="49"/>
      <c r="AE1675" s="49" t="str">
        <f>IFERROR(__xludf.DUMMYFUNCTION("""COMPUTED_VALUE"""),"barbarian")</f>
        <v>barbarian</v>
      </c>
      <c r="AF1675" s="49" t="str">
        <f t="shared" si="4"/>
        <v>wrapped,</v>
      </c>
      <c r="AG1675" s="49"/>
      <c r="AH1675" s="1" t="s">
        <v>6688</v>
      </c>
      <c r="AI1675" s="1" t="s">
        <v>4062</v>
      </c>
      <c r="AJ1675" s="6" t="str">
        <f>IFERROR(__xludf.DUMMYFUNCTION("""COMPUTED_VALUE"""),"extremely")</f>
        <v>extremely</v>
      </c>
      <c r="AK1675" s="49"/>
      <c r="AL1675" s="49"/>
      <c r="AM1675" s="49"/>
      <c r="AN1675" s="52" t="str">
        <f t="shared" si="5"/>
        <v>experienced,</v>
      </c>
    </row>
    <row r="1676">
      <c r="A1676" s="51"/>
      <c r="B1676" s="50" t="s">
        <v>813</v>
      </c>
      <c r="C1676" s="50" t="s">
        <v>3911</v>
      </c>
      <c r="D1676" s="49" t="str">
        <f>IFERROR(__xludf.DUMMYFUNCTION("""COMPUTED_VALUE"""),"crimes")</f>
        <v>crimes</v>
      </c>
      <c r="E1676" s="49"/>
      <c r="F1676" s="49"/>
      <c r="G1676" s="49"/>
      <c r="H1676" s="54" t="str">
        <f t="shared" si="1"/>
        <v>covers,</v>
      </c>
      <c r="I1676" s="50"/>
      <c r="J1676" s="50" t="s">
        <v>1424</v>
      </c>
      <c r="K1676" s="50" t="s">
        <v>3202</v>
      </c>
      <c r="L1676" s="49"/>
      <c r="M1676" s="49"/>
      <c r="N1676" s="49"/>
      <c r="O1676" s="49">
        <f>IFERROR(__xludf.DUMMYFUNCTION("""COMPUTED_VALUE"""),1960.0)</f>
        <v>1960</v>
      </c>
      <c r="P1676" s="49" t="str">
        <f t="shared" si="2"/>
        <v>packed,</v>
      </c>
      <c r="Q1676" s="49"/>
      <c r="R1676" s="50" t="s">
        <v>7425</v>
      </c>
      <c r="S1676" s="55" t="s">
        <v>4166</v>
      </c>
      <c r="T1676" s="49" t="str">
        <f>IFERROR(__xludf.DUMMYFUNCTION("""COMPUTED_VALUE"""),"trademark")</f>
        <v>trademark</v>
      </c>
      <c r="U1676" s="49"/>
      <c r="V1676" s="49"/>
      <c r="W1676" s="49" t="str">
        <f>IFERROR(__xludf.DUMMYFUNCTION("""COMPUTED_VALUE"""),"electoral")</f>
        <v>electoral</v>
      </c>
      <c r="X1676" s="49" t="str">
        <f t="shared" si="3"/>
        <v>mommy,</v>
      </c>
      <c r="Y1676" s="49"/>
      <c r="Z1676" s="1" t="s">
        <v>3636</v>
      </c>
      <c r="AA1676" s="1" t="s">
        <v>1000</v>
      </c>
      <c r="AB1676" s="49"/>
      <c r="AC1676" s="49"/>
      <c r="AD1676" s="49"/>
      <c r="AE1676" s="49">
        <f>IFERROR(__xludf.DUMMYFUNCTION("""COMPUTED_VALUE"""),1960.0)</f>
        <v>1960</v>
      </c>
      <c r="AF1676" s="49" t="str">
        <f t="shared" si="4"/>
        <v>primarily,</v>
      </c>
      <c r="AG1676" s="49"/>
      <c r="AH1676" s="1" t="s">
        <v>6311</v>
      </c>
      <c r="AI1676" s="1" t="s">
        <v>4555</v>
      </c>
      <c r="AJ1676" s="6" t="str">
        <f>IFERROR(__xludf.DUMMYFUNCTION("""COMPUTED_VALUE"""),"jonathan")</f>
        <v>jonathan</v>
      </c>
      <c r="AK1676" s="49"/>
      <c r="AL1676" s="49"/>
      <c r="AM1676" s="49"/>
      <c r="AN1676" s="52" t="str">
        <f t="shared" si="5"/>
        <v>theatre,</v>
      </c>
    </row>
    <row r="1677">
      <c r="A1677" s="51"/>
      <c r="B1677" s="50" t="s">
        <v>4102</v>
      </c>
      <c r="C1677" s="50" t="s">
        <v>2648</v>
      </c>
      <c r="D1677" s="49" t="str">
        <f>IFERROR(__xludf.DUMMYFUNCTION("""COMPUTED_VALUE"""),"shopping")</f>
        <v>shopping</v>
      </c>
      <c r="E1677" s="49"/>
      <c r="F1677" s="49"/>
      <c r="G1677" s="49"/>
      <c r="H1677" s="54" t="str">
        <f t="shared" si="1"/>
        <v>learn,</v>
      </c>
      <c r="I1677" s="50"/>
      <c r="J1677" s="50" t="s">
        <v>5645</v>
      </c>
      <c r="K1677" s="50" t="s">
        <v>2926</v>
      </c>
      <c r="L1677" s="49"/>
      <c r="M1677" s="49"/>
      <c r="N1677" s="49"/>
      <c r="O1677" s="49" t="str">
        <f>IFERROR(__xludf.DUMMYFUNCTION("""COMPUTED_VALUE"""),"proportions")</f>
        <v>proportions</v>
      </c>
      <c r="P1677" s="49" t="str">
        <f t="shared" si="2"/>
        <v>crane,</v>
      </c>
      <c r="Q1677" s="49"/>
      <c r="R1677" s="50" t="s">
        <v>536</v>
      </c>
      <c r="S1677" s="55" t="s">
        <v>849</v>
      </c>
      <c r="T1677" s="49" t="str">
        <f>IFERROR(__xludf.DUMMYFUNCTION("""COMPUTED_VALUE"""),"uncanny")</f>
        <v>uncanny</v>
      </c>
      <c r="U1677" s="49"/>
      <c r="V1677" s="49"/>
      <c r="W1677" s="49" t="str">
        <f>IFERROR(__xludf.DUMMYFUNCTION("""COMPUTED_VALUE"""),"prowess")</f>
        <v>prowess</v>
      </c>
      <c r="X1677" s="49" t="str">
        <f t="shared" si="3"/>
        <v>scores,</v>
      </c>
      <c r="Y1677" s="49"/>
      <c r="Z1677" s="1" t="s">
        <v>3182</v>
      </c>
      <c r="AA1677" s="1" t="s">
        <v>1381</v>
      </c>
      <c r="AB1677" s="49"/>
      <c r="AC1677" s="49"/>
      <c r="AD1677" s="49"/>
      <c r="AE1677" s="49" t="str">
        <f>IFERROR(__xludf.DUMMYFUNCTION("""COMPUTED_VALUE"""),"proportions")</f>
        <v>proportions</v>
      </c>
      <c r="AF1677" s="49" t="str">
        <f t="shared" si="4"/>
        <v>male,</v>
      </c>
      <c r="AG1677" s="49"/>
      <c r="AH1677" s="1" t="s">
        <v>941</v>
      </c>
      <c r="AI1677" s="1" t="s">
        <v>2732</v>
      </c>
      <c r="AJ1677" s="6" t="str">
        <f>IFERROR(__xludf.DUMMYFUNCTION("""COMPUTED_VALUE"""),"obvious")</f>
        <v>obvious</v>
      </c>
      <c r="AK1677" s="49"/>
      <c r="AL1677" s="49"/>
      <c r="AM1677" s="49"/>
      <c r="AN1677" s="52" t="str">
        <f t="shared" si="5"/>
        <v>sequence,</v>
      </c>
    </row>
    <row r="1678">
      <c r="A1678" s="51"/>
      <c r="B1678" s="50" t="s">
        <v>6880</v>
      </c>
      <c r="C1678" s="50" t="s">
        <v>6516</v>
      </c>
      <c r="D1678" s="49" t="str">
        <f>IFERROR(__xludf.DUMMYFUNCTION("""COMPUTED_VALUE"""),"mall")</f>
        <v>mall</v>
      </c>
      <c r="E1678" s="49"/>
      <c r="F1678" s="49"/>
      <c r="G1678" s="49"/>
      <c r="H1678" s="54" t="str">
        <f t="shared" si="1"/>
        <v>heels,</v>
      </c>
      <c r="I1678" s="50"/>
      <c r="J1678" s="50" t="s">
        <v>4612</v>
      </c>
      <c r="K1678" s="50" t="s">
        <v>2921</v>
      </c>
      <c r="L1678" s="49"/>
      <c r="M1678" s="49"/>
      <c r="N1678" s="49"/>
      <c r="O1678" s="49" t="str">
        <f>IFERROR(__xludf.DUMMYFUNCTION("""COMPUTED_VALUE"""),"ethan")</f>
        <v>ethan</v>
      </c>
      <c r="P1678" s="49" t="str">
        <f t="shared" si="2"/>
        <v>throws,</v>
      </c>
      <c r="Q1678" s="49"/>
      <c r="R1678" s="50" t="s">
        <v>5591</v>
      </c>
      <c r="S1678" s="55" t="s">
        <v>5364</v>
      </c>
      <c r="T1678" s="49" t="str">
        <f>IFERROR(__xludf.DUMMYFUNCTION("""COMPUTED_VALUE"""),"underlying")</f>
        <v>underlying</v>
      </c>
      <c r="U1678" s="49"/>
      <c r="V1678" s="49"/>
      <c r="W1678" s="49" t="str">
        <f>IFERROR(__xludf.DUMMYFUNCTION("""COMPUTED_VALUE"""),"harmed")</f>
        <v>harmed</v>
      </c>
      <c r="X1678" s="49" t="str">
        <f t="shared" si="3"/>
        <v>heavyweight,</v>
      </c>
      <c r="Y1678" s="49"/>
      <c r="Z1678" s="1" t="s">
        <v>1561</v>
      </c>
      <c r="AA1678" s="1" t="s">
        <v>4859</v>
      </c>
      <c r="AB1678" s="49"/>
      <c r="AC1678" s="49"/>
      <c r="AD1678" s="49"/>
      <c r="AE1678" s="49" t="str">
        <f>IFERROR(__xludf.DUMMYFUNCTION("""COMPUTED_VALUE"""),"ethan")</f>
        <v>ethan</v>
      </c>
      <c r="AF1678" s="49" t="str">
        <f t="shared" si="4"/>
        <v>office,</v>
      </c>
      <c r="AG1678" s="49"/>
      <c r="AH1678" s="1" t="s">
        <v>4415</v>
      </c>
      <c r="AI1678" s="1" t="s">
        <v>6552</v>
      </c>
      <c r="AJ1678" s="6" t="str">
        <f>IFERROR(__xludf.DUMMYFUNCTION("""COMPUTED_VALUE"""),"marshall")</f>
        <v>marshall</v>
      </c>
      <c r="AK1678" s="49"/>
      <c r="AL1678" s="49"/>
      <c r="AM1678" s="49"/>
      <c r="AN1678" s="52" t="str">
        <f t="shared" si="5"/>
        <v>attack,</v>
      </c>
    </row>
    <row r="1679">
      <c r="A1679" s="51"/>
      <c r="B1679" s="50" t="s">
        <v>6034</v>
      </c>
      <c r="C1679" s="50" t="s">
        <v>4420</v>
      </c>
      <c r="D1679" s="49" t="str">
        <f>IFERROR(__xludf.DUMMYFUNCTION("""COMPUTED_VALUE"""),"silent")</f>
        <v>silent</v>
      </c>
      <c r="E1679" s="49"/>
      <c r="F1679" s="49"/>
      <c r="G1679" s="49"/>
      <c r="H1679" s="54" t="str">
        <f t="shared" si="1"/>
        <v>lo,</v>
      </c>
      <c r="I1679" s="50"/>
      <c r="J1679" s="50" t="s">
        <v>3485</v>
      </c>
      <c r="K1679" s="50" t="s">
        <v>4862</v>
      </c>
      <c r="L1679" s="49"/>
      <c r="M1679" s="49"/>
      <c r="N1679" s="49"/>
      <c r="O1679" s="49" t="str">
        <f>IFERROR(__xludf.DUMMYFUNCTION("""COMPUTED_VALUE"""),"threatens")</f>
        <v>threatens</v>
      </c>
      <c r="P1679" s="49" t="str">
        <f t="shared" si="2"/>
        <v>convinced,</v>
      </c>
      <c r="Q1679" s="49"/>
      <c r="R1679" s="50" t="s">
        <v>3556</v>
      </c>
      <c r="S1679" s="55" t="s">
        <v>1573</v>
      </c>
      <c r="T1679" s="49" t="str">
        <f>IFERROR(__xludf.DUMMYFUNCTION("""COMPUTED_VALUE"""),"bergman")</f>
        <v>bergman</v>
      </c>
      <c r="U1679" s="49"/>
      <c r="V1679" s="49"/>
      <c r="W1679" s="49" t="str">
        <f>IFERROR(__xludf.DUMMYFUNCTION("""COMPUTED_VALUE"""),"tackled")</f>
        <v>tackled</v>
      </c>
      <c r="X1679" s="49" t="str">
        <f t="shared" si="3"/>
        <v>shoot,</v>
      </c>
      <c r="Y1679" s="49"/>
      <c r="Z1679" s="1" t="s">
        <v>2194</v>
      </c>
      <c r="AA1679" s="1" t="s">
        <v>4860</v>
      </c>
      <c r="AB1679" s="49"/>
      <c r="AC1679" s="49"/>
      <c r="AD1679" s="49"/>
      <c r="AE1679" s="49" t="str">
        <f>IFERROR(__xludf.DUMMYFUNCTION("""COMPUTED_VALUE"""),"threatens")</f>
        <v>threatens</v>
      </c>
      <c r="AF1679" s="49" t="str">
        <f t="shared" si="4"/>
        <v>psychology,</v>
      </c>
      <c r="AG1679" s="49"/>
      <c r="AH1679" s="1" t="s">
        <v>663</v>
      </c>
      <c r="AI1679" s="1" t="s">
        <v>4558</v>
      </c>
      <c r="AJ1679" s="6" t="str">
        <f>IFERROR(__xludf.DUMMYFUNCTION("""COMPUTED_VALUE"""),"fire")</f>
        <v>fire</v>
      </c>
      <c r="AK1679" s="49"/>
      <c r="AL1679" s="49"/>
      <c r="AM1679" s="49"/>
      <c r="AN1679" s="52" t="str">
        <f t="shared" si="5"/>
        <v>washington,</v>
      </c>
    </row>
    <row r="1680">
      <c r="A1680" s="51"/>
      <c r="B1680" s="50" t="s">
        <v>1087</v>
      </c>
      <c r="C1680" s="50" t="s">
        <v>3920</v>
      </c>
      <c r="D1680" s="49" t="str">
        <f>IFERROR(__xludf.DUMMYFUNCTION("""COMPUTED_VALUE"""),"series")</f>
        <v>series</v>
      </c>
      <c r="E1680" s="49"/>
      <c r="F1680" s="49"/>
      <c r="G1680" s="49"/>
      <c r="H1680" s="54" t="str">
        <f t="shared" si="1"/>
        <v>proceedings,</v>
      </c>
      <c r="I1680" s="50"/>
      <c r="J1680" s="50" t="s">
        <v>700</v>
      </c>
      <c r="K1680" s="50" t="s">
        <v>1943</v>
      </c>
      <c r="L1680" s="49"/>
      <c r="M1680" s="49"/>
      <c r="N1680" s="49"/>
      <c r="O1680" s="49" t="str">
        <f>IFERROR(__xludf.DUMMYFUNCTION("""COMPUTED_VALUE"""),"resentment")</f>
        <v>resentment</v>
      </c>
      <c r="P1680" s="49" t="str">
        <f t="shared" si="2"/>
        <v>issues,</v>
      </c>
      <c r="Q1680" s="49"/>
      <c r="R1680" s="50" t="s">
        <v>2014</v>
      </c>
      <c r="S1680" s="55" t="s">
        <v>4684</v>
      </c>
      <c r="T1680" s="49" t="str">
        <f>IFERROR(__xludf.DUMMYFUNCTION("""COMPUTED_VALUE"""),"heights")</f>
        <v>heights</v>
      </c>
      <c r="U1680" s="49"/>
      <c r="V1680" s="49"/>
      <c r="W1680" s="49" t="str">
        <f>IFERROR(__xludf.DUMMYFUNCTION("""COMPUTED_VALUE"""),"byzantine")</f>
        <v>byzantine</v>
      </c>
      <c r="X1680" s="49" t="str">
        <f t="shared" si="3"/>
        <v>sweeping,</v>
      </c>
      <c r="Y1680" s="49"/>
      <c r="Z1680" s="1" t="s">
        <v>1683</v>
      </c>
      <c r="AA1680" s="1" t="s">
        <v>3759</v>
      </c>
      <c r="AB1680" s="49"/>
      <c r="AC1680" s="49"/>
      <c r="AD1680" s="49"/>
      <c r="AE1680" s="49" t="str">
        <f>IFERROR(__xludf.DUMMYFUNCTION("""COMPUTED_VALUE"""),"resentment")</f>
        <v>resentment</v>
      </c>
      <c r="AF1680" s="49" t="str">
        <f t="shared" si="4"/>
        <v>amount,</v>
      </c>
      <c r="AG1680" s="49"/>
      <c r="AH1680" s="1" t="s">
        <v>6535</v>
      </c>
      <c r="AI1680" s="1" t="s">
        <v>4744</v>
      </c>
      <c r="AJ1680" s="6" t="str">
        <f>IFERROR(__xludf.DUMMYFUNCTION("""COMPUTED_VALUE"""),"kitchen")</f>
        <v>kitchen</v>
      </c>
      <c r="AK1680" s="49"/>
      <c r="AL1680" s="49"/>
      <c r="AM1680" s="49"/>
      <c r="AN1680" s="52" t="str">
        <f t="shared" si="5"/>
        <v>focus,</v>
      </c>
    </row>
    <row r="1681">
      <c r="A1681" s="51"/>
      <c r="B1681" s="50" t="s">
        <v>967</v>
      </c>
      <c r="C1681" s="50" t="s">
        <v>3923</v>
      </c>
      <c r="D1681" s="49" t="str">
        <f>IFERROR(__xludf.DUMMYFUNCTION("""COMPUTED_VALUE"""),"fan")</f>
        <v>fan</v>
      </c>
      <c r="E1681" s="49"/>
      <c r="F1681" s="49"/>
      <c r="G1681" s="49"/>
      <c r="H1681" s="54" t="str">
        <f t="shared" si="1"/>
        <v>shot,</v>
      </c>
      <c r="I1681" s="50"/>
      <c r="J1681" s="50" t="s">
        <v>1751</v>
      </c>
      <c r="K1681" s="50" t="s">
        <v>4301</v>
      </c>
      <c r="L1681" s="49"/>
      <c r="M1681" s="49"/>
      <c r="N1681" s="49"/>
      <c r="O1681" s="49" t="str">
        <f>IFERROR(__xludf.DUMMYFUNCTION("""COMPUTED_VALUE"""),"cadence")</f>
        <v>cadence</v>
      </c>
      <c r="P1681" s="49" t="str">
        <f t="shared" si="2"/>
        <v>bolt,</v>
      </c>
      <c r="Q1681" s="49"/>
      <c r="R1681" s="50" t="s">
        <v>3311</v>
      </c>
      <c r="S1681" s="55" t="s">
        <v>666</v>
      </c>
      <c r="T1681" s="49" t="str">
        <f>IFERROR(__xludf.DUMMYFUNCTION("""COMPUTED_VALUE"""),"ode")</f>
        <v>ode</v>
      </c>
      <c r="U1681" s="49"/>
      <c r="V1681" s="49"/>
      <c r="W1681" s="49" t="str">
        <f>IFERROR(__xludf.DUMMYFUNCTION("""COMPUTED_VALUE"""),"barrie")</f>
        <v>barrie</v>
      </c>
      <c r="X1681" s="49" t="str">
        <f t="shared" si="3"/>
        <v>passionate,</v>
      </c>
      <c r="Y1681" s="49"/>
      <c r="Z1681" s="1" t="s">
        <v>2645</v>
      </c>
      <c r="AA1681" s="1" t="s">
        <v>3761</v>
      </c>
      <c r="AB1681" s="49"/>
      <c r="AC1681" s="49"/>
      <c r="AD1681" s="49"/>
      <c r="AE1681" s="49" t="str">
        <f>IFERROR(__xludf.DUMMYFUNCTION("""COMPUTED_VALUE"""),"cadence")</f>
        <v>cadence</v>
      </c>
      <c r="AF1681" s="49" t="str">
        <f t="shared" si="4"/>
        <v>cover,</v>
      </c>
      <c r="AG1681" s="49"/>
      <c r="AH1681" s="1" t="s">
        <v>3656</v>
      </c>
      <c r="AI1681" s="1" t="s">
        <v>6553</v>
      </c>
      <c r="AJ1681" s="6" t="str">
        <f>IFERROR(__xludf.DUMMYFUNCTION("""COMPUTED_VALUE"""),"tanks")</f>
        <v>tanks</v>
      </c>
      <c r="AK1681" s="49"/>
      <c r="AL1681" s="49"/>
      <c r="AM1681" s="49"/>
      <c r="AN1681" s="52" t="str">
        <f t="shared" si="5"/>
        <v>receive,</v>
      </c>
    </row>
    <row r="1682">
      <c r="A1682" s="51"/>
      <c r="B1682" s="50" t="s">
        <v>904</v>
      </c>
      <c r="C1682" s="50" t="s">
        <v>3323</v>
      </c>
      <c r="D1682" s="49" t="str">
        <f>IFERROR(__xludf.DUMMYFUNCTION("""COMPUTED_VALUE"""),"opportunity")</f>
        <v>opportunity</v>
      </c>
      <c r="E1682" s="49"/>
      <c r="F1682" s="49"/>
      <c r="G1682" s="49"/>
      <c r="H1682" s="54" t="str">
        <f t="shared" si="1"/>
        <v>chemistry,</v>
      </c>
      <c r="I1682" s="50"/>
      <c r="J1682" s="50" t="s">
        <v>4941</v>
      </c>
      <c r="K1682" s="50" t="s">
        <v>4306</v>
      </c>
      <c r="L1682" s="49"/>
      <c r="M1682" s="49"/>
      <c r="N1682" s="49"/>
      <c r="O1682" s="49" t="str">
        <f>IFERROR(__xludf.DUMMYFUNCTION("""COMPUTED_VALUE"""),"hypnotic")</f>
        <v>hypnotic</v>
      </c>
      <c r="P1682" s="49" t="str">
        <f t="shared" si="2"/>
        <v>candy,</v>
      </c>
      <c r="Q1682" s="49"/>
      <c r="R1682" s="50" t="s">
        <v>4549</v>
      </c>
      <c r="S1682" s="55" t="s">
        <v>6554</v>
      </c>
      <c r="T1682" s="49" t="str">
        <f>IFERROR(__xludf.DUMMYFUNCTION("""COMPUTED_VALUE"""),"fascination")</f>
        <v>fascination</v>
      </c>
      <c r="U1682" s="49"/>
      <c r="V1682" s="49"/>
      <c r="W1682" s="49" t="str">
        <f>IFERROR(__xludf.DUMMYFUNCTION("""COMPUTED_VALUE"""),"stability")</f>
        <v>stability</v>
      </c>
      <c r="X1682" s="49" t="str">
        <f t="shared" si="3"/>
        <v>anime,</v>
      </c>
      <c r="Y1682" s="49"/>
      <c r="Z1682" s="1" t="s">
        <v>2068</v>
      </c>
      <c r="AA1682" s="1" t="s">
        <v>4864</v>
      </c>
      <c r="AB1682" s="49"/>
      <c r="AC1682" s="49"/>
      <c r="AD1682" s="49"/>
      <c r="AE1682" s="49" t="str">
        <f>IFERROR(__xludf.DUMMYFUNCTION("""COMPUTED_VALUE"""),"hypnotic")</f>
        <v>hypnotic</v>
      </c>
      <c r="AF1682" s="49" t="str">
        <f t="shared" si="4"/>
        <v>antics,</v>
      </c>
      <c r="AG1682" s="49"/>
      <c r="AH1682" s="1" t="s">
        <v>4354</v>
      </c>
      <c r="AI1682" s="1" t="s">
        <v>4188</v>
      </c>
      <c r="AJ1682" s="6" t="str">
        <f>IFERROR(__xludf.DUMMYFUNCTION("""COMPUTED_VALUE"""),"clients")</f>
        <v>clients</v>
      </c>
      <c r="AK1682" s="49"/>
      <c r="AL1682" s="49"/>
      <c r="AM1682" s="49"/>
      <c r="AN1682" s="52" t="str">
        <f t="shared" si="5"/>
        <v>threat,</v>
      </c>
    </row>
    <row r="1683">
      <c r="A1683" s="51"/>
      <c r="B1683" s="50" t="s">
        <v>975</v>
      </c>
      <c r="C1683" s="50" t="s">
        <v>2150</v>
      </c>
      <c r="D1683" s="49" t="str">
        <f>IFERROR(__xludf.DUMMYFUNCTION("""COMPUTED_VALUE"""),"spin")</f>
        <v>spin</v>
      </c>
      <c r="E1683" s="49"/>
      <c r="F1683" s="49"/>
      <c r="G1683" s="49"/>
      <c r="H1683" s="54" t="str">
        <f t="shared" si="1"/>
        <v>bite,</v>
      </c>
      <c r="I1683" s="50"/>
      <c r="J1683" s="50" t="s">
        <v>2016</v>
      </c>
      <c r="K1683" s="50" t="s">
        <v>4312</v>
      </c>
      <c r="L1683" s="49"/>
      <c r="M1683" s="49"/>
      <c r="N1683" s="49"/>
      <c r="O1683" s="49" t="str">
        <f>IFERROR(__xludf.DUMMYFUNCTION("""COMPUTED_VALUE"""),"welsh")</f>
        <v>welsh</v>
      </c>
      <c r="P1683" s="49" t="str">
        <f t="shared" si="2"/>
        <v>laughter,</v>
      </c>
      <c r="Q1683" s="49"/>
      <c r="R1683" s="50" t="s">
        <v>3468</v>
      </c>
      <c r="S1683" s="55" t="s">
        <v>4474</v>
      </c>
      <c r="T1683" s="49" t="str">
        <f>IFERROR(__xludf.DUMMYFUNCTION("""COMPUTED_VALUE"""),"sharing")</f>
        <v>sharing</v>
      </c>
      <c r="U1683" s="49"/>
      <c r="V1683" s="49"/>
      <c r="W1683" s="49" t="str">
        <f>IFERROR(__xludf.DUMMYFUNCTION("""COMPUTED_VALUE"""),"pc")</f>
        <v>pc</v>
      </c>
      <c r="X1683" s="49" t="str">
        <f t="shared" si="3"/>
        <v>errors,</v>
      </c>
      <c r="Y1683" s="49"/>
      <c r="Z1683" s="1" t="s">
        <v>991</v>
      </c>
      <c r="AA1683" s="1" t="s">
        <v>3767</v>
      </c>
      <c r="AB1683" s="49"/>
      <c r="AC1683" s="49"/>
      <c r="AD1683" s="49"/>
      <c r="AE1683" s="49" t="str">
        <f>IFERROR(__xludf.DUMMYFUNCTION("""COMPUTED_VALUE"""),"welsh")</f>
        <v>welsh</v>
      </c>
      <c r="AF1683" s="49" t="str">
        <f t="shared" si="4"/>
        <v>core,</v>
      </c>
      <c r="AG1683" s="49"/>
      <c r="AH1683" s="1" t="s">
        <v>2570</v>
      </c>
      <c r="AI1683" s="1" t="s">
        <v>703</v>
      </c>
      <c r="AJ1683" s="6" t="str">
        <f>IFERROR(__xludf.DUMMYFUNCTION("""COMPUTED_VALUE"""),"women")</f>
        <v>women</v>
      </c>
      <c r="AK1683" s="49"/>
      <c r="AL1683" s="49"/>
      <c r="AM1683" s="49"/>
      <c r="AN1683" s="52" t="str">
        <f t="shared" si="5"/>
        <v>finally,</v>
      </c>
    </row>
    <row r="1684">
      <c r="A1684" s="51"/>
      <c r="B1684" s="50" t="s">
        <v>7121</v>
      </c>
      <c r="C1684" s="50" t="s">
        <v>6555</v>
      </c>
      <c r="D1684" s="49" t="str">
        <f>IFERROR(__xludf.DUMMYFUNCTION("""COMPUTED_VALUE"""),"bags")</f>
        <v>bags</v>
      </c>
      <c r="E1684" s="49"/>
      <c r="F1684" s="49"/>
      <c r="G1684" s="49"/>
      <c r="H1684" s="54" t="str">
        <f t="shared" si="1"/>
        <v>solely,</v>
      </c>
      <c r="I1684" s="50"/>
      <c r="J1684" s="50" t="s">
        <v>7390</v>
      </c>
      <c r="K1684" s="50" t="s">
        <v>2931</v>
      </c>
      <c r="L1684" s="49"/>
      <c r="M1684" s="49"/>
      <c r="N1684" s="49"/>
      <c r="O1684" s="49" t="str">
        <f>IFERROR(__xludf.DUMMYFUNCTION("""COMPUTED_VALUE"""),"rounded")</f>
        <v>rounded</v>
      </c>
      <c r="P1684" s="49" t="str">
        <f t="shared" si="2"/>
        <v>ho,</v>
      </c>
      <c r="Q1684" s="49"/>
      <c r="R1684" s="50" t="s">
        <v>6358</v>
      </c>
      <c r="S1684" s="55" t="s">
        <v>4691</v>
      </c>
      <c r="T1684" s="49" t="str">
        <f>IFERROR(__xludf.DUMMYFUNCTION("""COMPUTED_VALUE"""),"adventurous")</f>
        <v>adventurous</v>
      </c>
      <c r="U1684" s="49"/>
      <c r="V1684" s="49"/>
      <c r="W1684" s="49" t="str">
        <f>IFERROR(__xludf.DUMMYFUNCTION("""COMPUTED_VALUE"""),"marching")</f>
        <v>marching</v>
      </c>
      <c r="X1684" s="49" t="str">
        <f t="shared" si="3"/>
        <v>private,</v>
      </c>
      <c r="Y1684" s="49"/>
      <c r="Z1684" s="1" t="s">
        <v>4188</v>
      </c>
      <c r="AA1684" s="1" t="s">
        <v>2090</v>
      </c>
      <c r="AB1684" s="49"/>
      <c r="AC1684" s="49"/>
      <c r="AD1684" s="49"/>
      <c r="AE1684" s="49" t="str">
        <f>IFERROR(__xludf.DUMMYFUNCTION("""COMPUTED_VALUE"""),"rounded")</f>
        <v>rounded</v>
      </c>
      <c r="AF1684" s="49" t="str">
        <f t="shared" si="4"/>
        <v>animal,</v>
      </c>
      <c r="AG1684" s="49"/>
      <c r="AH1684" s="1" t="s">
        <v>4233</v>
      </c>
      <c r="AI1684" s="1" t="s">
        <v>6535</v>
      </c>
      <c r="AJ1684" s="6" t="str">
        <f>IFERROR(__xludf.DUMMYFUNCTION("""COMPUTED_VALUE"""),"meaning")</f>
        <v>meaning</v>
      </c>
      <c r="AK1684" s="49"/>
      <c r="AL1684" s="49"/>
      <c r="AM1684" s="49"/>
      <c r="AN1684" s="52" t="str">
        <f t="shared" si="5"/>
        <v>aside,</v>
      </c>
    </row>
    <row r="1685">
      <c r="A1685" s="51"/>
      <c r="B1685" s="50" t="s">
        <v>5560</v>
      </c>
      <c r="C1685" s="50" t="s">
        <v>4428</v>
      </c>
      <c r="D1685" s="49" t="str">
        <f>IFERROR(__xludf.DUMMYFUNCTION("""COMPUTED_VALUE"""),"allow")</f>
        <v>allow</v>
      </c>
      <c r="E1685" s="49"/>
      <c r="F1685" s="49"/>
      <c r="G1685" s="49"/>
      <c r="H1685" s="54" t="str">
        <f t="shared" si="1"/>
        <v>pretend,</v>
      </c>
      <c r="I1685" s="50"/>
      <c r="J1685" s="50" t="s">
        <v>244</v>
      </c>
      <c r="K1685" s="50" t="s">
        <v>4871</v>
      </c>
      <c r="L1685" s="49"/>
      <c r="M1685" s="49"/>
      <c r="N1685" s="49"/>
      <c r="O1685" s="49" t="str">
        <f>IFERROR(__xludf.DUMMYFUNCTION("""COMPUTED_VALUE"""),"disapproval")</f>
        <v>disapproval</v>
      </c>
      <c r="P1685" s="49" t="str">
        <f t="shared" si="2"/>
        <v>finish,</v>
      </c>
      <c r="Q1685" s="49"/>
      <c r="R1685" s="50" t="s">
        <v>3017</v>
      </c>
      <c r="S1685" s="55" t="s">
        <v>982</v>
      </c>
      <c r="T1685" s="49" t="str">
        <f>IFERROR(__xludf.DUMMYFUNCTION("""COMPUTED_VALUE"""),"despair")</f>
        <v>despair</v>
      </c>
      <c r="U1685" s="49"/>
      <c r="V1685" s="49"/>
      <c r="W1685" s="49" t="str">
        <f>IFERROR(__xludf.DUMMYFUNCTION("""COMPUTED_VALUE"""),"percussion")</f>
        <v>percussion</v>
      </c>
      <c r="X1685" s="49" t="str">
        <f t="shared" si="3"/>
        <v>alive,</v>
      </c>
      <c r="Y1685" s="49"/>
      <c r="Z1685" s="1" t="s">
        <v>6412</v>
      </c>
      <c r="AA1685" s="1" t="s">
        <v>3772</v>
      </c>
      <c r="AB1685" s="49"/>
      <c r="AC1685" s="49"/>
      <c r="AD1685" s="49"/>
      <c r="AE1685" s="49" t="str">
        <f>IFERROR(__xludf.DUMMYFUNCTION("""COMPUTED_VALUE"""),"disapproval")</f>
        <v>disapproval</v>
      </c>
      <c r="AF1685" s="49" t="str">
        <f t="shared" si="4"/>
        <v>hill,</v>
      </c>
      <c r="AG1685" s="49"/>
      <c r="AH1685" s="1" t="s">
        <v>4528</v>
      </c>
      <c r="AI1685" s="1" t="s">
        <v>4856</v>
      </c>
      <c r="AJ1685" s="6" t="str">
        <f>IFERROR(__xludf.DUMMYFUNCTION("""COMPUTED_VALUE"""),"afraid")</f>
        <v>afraid</v>
      </c>
      <c r="AK1685" s="49"/>
      <c r="AL1685" s="49"/>
      <c r="AM1685" s="49"/>
      <c r="AN1685" s="52" t="str">
        <f t="shared" si="5"/>
        <v>onto,</v>
      </c>
    </row>
    <row r="1686">
      <c r="A1686" s="51"/>
      <c r="B1686" s="50" t="s">
        <v>4298</v>
      </c>
      <c r="C1686" s="50" t="s">
        <v>4608</v>
      </c>
      <c r="D1686" s="49" t="str">
        <f>IFERROR(__xludf.DUMMYFUNCTION("""COMPUTED_VALUE"""),"suit")</f>
        <v>suit</v>
      </c>
      <c r="E1686" s="49"/>
      <c r="F1686" s="49"/>
      <c r="G1686" s="49"/>
      <c r="H1686" s="54" t="str">
        <f t="shared" si="1"/>
        <v>range,</v>
      </c>
      <c r="I1686" s="50"/>
      <c r="J1686" s="50" t="s">
        <v>3715</v>
      </c>
      <c r="K1686" s="50" t="s">
        <v>4313</v>
      </c>
      <c r="L1686" s="49"/>
      <c r="M1686" s="49"/>
      <c r="N1686" s="49"/>
      <c r="O1686" s="49" t="str">
        <f>IFERROR(__xludf.DUMMYFUNCTION("""COMPUTED_VALUE"""),"rape")</f>
        <v>rape</v>
      </c>
      <c r="P1686" s="49" t="str">
        <f t="shared" si="2"/>
        <v>wander,</v>
      </c>
      <c r="Q1686" s="49"/>
      <c r="R1686" s="50" t="s">
        <v>3539</v>
      </c>
      <c r="S1686" s="55" t="s">
        <v>4182</v>
      </c>
      <c r="T1686" s="49" t="str">
        <f>IFERROR(__xludf.DUMMYFUNCTION("""COMPUTED_VALUE"""),"improvised")</f>
        <v>improvised</v>
      </c>
      <c r="U1686" s="49"/>
      <c r="V1686" s="49"/>
      <c r="W1686" s="49" t="str">
        <f>IFERROR(__xludf.DUMMYFUNCTION("""COMPUTED_VALUE"""),"brass")</f>
        <v>brass</v>
      </c>
      <c r="X1686" s="49" t="str">
        <f t="shared" si="3"/>
        <v>gender,</v>
      </c>
      <c r="Y1686" s="49"/>
      <c r="Z1686" s="1" t="s">
        <v>2416</v>
      </c>
      <c r="AA1686" s="1" t="s">
        <v>4433</v>
      </c>
      <c r="AB1686" s="49"/>
      <c r="AC1686" s="49"/>
      <c r="AD1686" s="49"/>
      <c r="AE1686" s="49" t="str">
        <f>IFERROR(__xludf.DUMMYFUNCTION("""COMPUTED_VALUE"""),"rape")</f>
        <v>rape</v>
      </c>
      <c r="AF1686" s="49" t="str">
        <f t="shared" si="4"/>
        <v>generating,</v>
      </c>
      <c r="AG1686" s="49"/>
      <c r="AH1686" s="1" t="s">
        <v>5170</v>
      </c>
      <c r="AI1686" s="1" t="s">
        <v>6556</v>
      </c>
      <c r="AJ1686" s="6" t="str">
        <f>IFERROR(__xludf.DUMMYFUNCTION("""COMPUTED_VALUE"""),"fill")</f>
        <v>fill</v>
      </c>
      <c r="AK1686" s="49"/>
      <c r="AL1686" s="49"/>
      <c r="AM1686" s="49"/>
      <c r="AN1686" s="52" t="str">
        <f t="shared" si="5"/>
        <v>skills,</v>
      </c>
    </row>
    <row r="1687">
      <c r="A1687" s="51"/>
      <c r="B1687" s="50" t="s">
        <v>4485</v>
      </c>
      <c r="C1687" s="50" t="s">
        <v>6519</v>
      </c>
      <c r="D1687" s="49" t="str">
        <f>IFERROR(__xludf.DUMMYFUNCTION("""COMPUTED_VALUE"""),"leading")</f>
        <v>leading</v>
      </c>
      <c r="E1687" s="49"/>
      <c r="F1687" s="49"/>
      <c r="G1687" s="49"/>
      <c r="H1687" s="54" t="str">
        <f t="shared" si="1"/>
        <v>spent,</v>
      </c>
      <c r="I1687" s="50"/>
      <c r="J1687" s="50" t="s">
        <v>7426</v>
      </c>
      <c r="K1687" s="50" t="s">
        <v>4318</v>
      </c>
      <c r="L1687" s="49"/>
      <c r="M1687" s="49"/>
      <c r="N1687" s="49"/>
      <c r="O1687" s="49" t="str">
        <f>IFERROR(__xludf.DUMMYFUNCTION("""COMPUTED_VALUE"""),"believing")</f>
        <v>believing</v>
      </c>
      <c r="P1687" s="49" t="str">
        <f t="shared" si="2"/>
        <v>ant,</v>
      </c>
      <c r="Q1687" s="49"/>
      <c r="R1687" s="50" t="s">
        <v>5961</v>
      </c>
      <c r="S1687" s="55" t="s">
        <v>4180</v>
      </c>
      <c r="T1687" s="49" t="str">
        <f>IFERROR(__xludf.DUMMYFUNCTION("""COMPUTED_VALUE"""),"pains")</f>
        <v>pains</v>
      </c>
      <c r="U1687" s="49"/>
      <c r="V1687" s="49"/>
      <c r="W1687" s="49" t="str">
        <f>IFERROR(__xludf.DUMMYFUNCTION("""COMPUTED_VALUE"""),"ninth")</f>
        <v>ninth</v>
      </c>
      <c r="X1687" s="49" t="str">
        <f t="shared" si="3"/>
        <v>library,</v>
      </c>
      <c r="Y1687" s="49"/>
      <c r="Z1687" s="1" t="s">
        <v>283</v>
      </c>
      <c r="AA1687" s="1" t="s">
        <v>1057</v>
      </c>
      <c r="AB1687" s="49"/>
      <c r="AC1687" s="49"/>
      <c r="AD1687" s="49"/>
      <c r="AE1687" s="49" t="str">
        <f>IFERROR(__xludf.DUMMYFUNCTION("""COMPUTED_VALUE"""),"believing")</f>
        <v>believing</v>
      </c>
      <c r="AF1687" s="49" t="str">
        <f t="shared" si="4"/>
        <v>momentum,</v>
      </c>
      <c r="AG1687" s="49"/>
      <c r="AH1687" s="1" t="s">
        <v>2220</v>
      </c>
      <c r="AI1687" s="1" t="s">
        <v>4421</v>
      </c>
      <c r="AJ1687" s="6" t="str">
        <f>IFERROR(__xludf.DUMMYFUNCTION("""COMPUTED_VALUE"""),"don")</f>
        <v>don</v>
      </c>
      <c r="AK1687" s="49"/>
      <c r="AL1687" s="49"/>
      <c r="AM1687" s="49"/>
      <c r="AN1687" s="52" t="str">
        <f t="shared" si="5"/>
        <v>chase,</v>
      </c>
    </row>
    <row r="1688">
      <c r="A1688" s="51"/>
      <c r="B1688" s="50" t="s">
        <v>2591</v>
      </c>
      <c r="C1688" s="50" t="s">
        <v>2764</v>
      </c>
      <c r="D1688" s="49" t="str">
        <f>IFERROR(__xludf.DUMMYFUNCTION("""COMPUTED_VALUE"""),"revealed")</f>
        <v>revealed</v>
      </c>
      <c r="E1688" s="49"/>
      <c r="F1688" s="49"/>
      <c r="G1688" s="49"/>
      <c r="H1688" s="54" t="str">
        <f t="shared" si="1"/>
        <v>natural,</v>
      </c>
      <c r="I1688" s="50"/>
      <c r="J1688" s="50" t="s">
        <v>4904</v>
      </c>
      <c r="K1688" s="50" t="s">
        <v>4875</v>
      </c>
      <c r="L1688" s="49"/>
      <c r="M1688" s="49"/>
      <c r="N1688" s="49"/>
      <c r="O1688" s="49" t="str">
        <f>IFERROR(__xludf.DUMMYFUNCTION("""COMPUTED_VALUE"""),"siegel")</f>
        <v>siegel</v>
      </c>
      <c r="P1688" s="49" t="str">
        <f t="shared" si="2"/>
        <v>introducing,</v>
      </c>
      <c r="Q1688" s="49"/>
      <c r="R1688" s="50" t="s">
        <v>1861</v>
      </c>
      <c r="S1688" s="55" t="s">
        <v>4186</v>
      </c>
      <c r="T1688" s="49" t="str">
        <f>IFERROR(__xludf.DUMMYFUNCTION("""COMPUTED_VALUE"""),"dazzling")</f>
        <v>dazzling</v>
      </c>
      <c r="U1688" s="49"/>
      <c r="V1688" s="49"/>
      <c r="W1688" s="49" t="str">
        <f>IFERROR(__xludf.DUMMYFUNCTION("""COMPUTED_VALUE"""),"develops")</f>
        <v>develops</v>
      </c>
      <c r="X1688" s="49" t="str">
        <f t="shared" si="3"/>
        <v>study,</v>
      </c>
      <c r="Y1688" s="49"/>
      <c r="Z1688" s="1" t="s">
        <v>2633</v>
      </c>
      <c r="AA1688" s="1" t="s">
        <v>4872</v>
      </c>
      <c r="AB1688" s="49"/>
      <c r="AC1688" s="49"/>
      <c r="AD1688" s="49"/>
      <c r="AE1688" s="49" t="str">
        <f>IFERROR(__xludf.DUMMYFUNCTION("""COMPUTED_VALUE"""),"siegel")</f>
        <v>siegel</v>
      </c>
      <c r="AF1688" s="49" t="str">
        <f t="shared" si="4"/>
        <v>cynical,</v>
      </c>
      <c r="AG1688" s="49"/>
      <c r="AH1688" s="1" t="s">
        <v>6356</v>
      </c>
      <c r="AI1688" s="1" t="s">
        <v>3472</v>
      </c>
      <c r="AJ1688" s="6" t="str">
        <f>IFERROR(__xludf.DUMMYFUNCTION("""COMPUTED_VALUE"""),"half")</f>
        <v>half</v>
      </c>
      <c r="AK1688" s="49"/>
      <c r="AL1688" s="49"/>
      <c r="AM1688" s="49"/>
      <c r="AN1688" s="52" t="str">
        <f t="shared" si="5"/>
        <v>excellent,</v>
      </c>
    </row>
    <row r="1689">
      <c r="A1689" s="51"/>
      <c r="B1689" s="50" t="s">
        <v>3362</v>
      </c>
      <c r="C1689" s="50" t="s">
        <v>734</v>
      </c>
      <c r="D1689" s="49" t="str">
        <f>IFERROR(__xludf.DUMMYFUNCTION("""COMPUTED_VALUE"""),"ordinary")</f>
        <v>ordinary</v>
      </c>
      <c r="E1689" s="49"/>
      <c r="F1689" s="49"/>
      <c r="G1689" s="49"/>
      <c r="H1689" s="54" t="str">
        <f t="shared" si="1"/>
        <v>parts,</v>
      </c>
      <c r="I1689" s="50"/>
      <c r="J1689" s="50" t="s">
        <v>3519</v>
      </c>
      <c r="K1689" s="50" t="s">
        <v>2935</v>
      </c>
      <c r="L1689" s="49"/>
      <c r="M1689" s="49"/>
      <c r="N1689" s="49"/>
      <c r="O1689" s="49" t="str">
        <f>IFERROR(__xludf.DUMMYFUNCTION("""COMPUTED_VALUE"""),"parochial")</f>
        <v>parochial</v>
      </c>
      <c r="P1689" s="49" t="str">
        <f t="shared" si="2"/>
        <v>brand,</v>
      </c>
      <c r="Q1689" s="49"/>
      <c r="R1689" s="50" t="s">
        <v>6536</v>
      </c>
      <c r="S1689" s="55" t="s">
        <v>1579</v>
      </c>
      <c r="T1689" s="49" t="str">
        <f>IFERROR(__xludf.DUMMYFUNCTION("""COMPUTED_VALUE"""),"stark")</f>
        <v>stark</v>
      </c>
      <c r="U1689" s="49"/>
      <c r="V1689" s="49"/>
      <c r="W1689" s="49" t="str">
        <f>IFERROR(__xludf.DUMMYFUNCTION("""COMPUTED_VALUE"""),"ballot")</f>
        <v>ballot</v>
      </c>
      <c r="X1689" s="49" t="str">
        <f t="shared" si="3"/>
        <v>acceptable,</v>
      </c>
      <c r="Y1689" s="49"/>
      <c r="Z1689" s="1" t="s">
        <v>1934</v>
      </c>
      <c r="AA1689" s="1" t="s">
        <v>1063</v>
      </c>
      <c r="AB1689" s="49"/>
      <c r="AC1689" s="49"/>
      <c r="AD1689" s="49"/>
      <c r="AE1689" s="49" t="str">
        <f>IFERROR(__xludf.DUMMYFUNCTION("""COMPUTED_VALUE"""),"parochial")</f>
        <v>parochial</v>
      </c>
      <c r="AF1689" s="49" t="str">
        <f t="shared" si="4"/>
        <v>flavor,</v>
      </c>
      <c r="AG1689" s="49"/>
      <c r="AH1689" s="1" t="s">
        <v>1902</v>
      </c>
      <c r="AI1689" s="1" t="s">
        <v>4572</v>
      </c>
      <c r="AJ1689" s="6" t="str">
        <f>IFERROR(__xludf.DUMMYFUNCTION("""COMPUTED_VALUE"""),"portrayed")</f>
        <v>portrayed</v>
      </c>
      <c r="AK1689" s="49"/>
      <c r="AL1689" s="49"/>
      <c r="AM1689" s="49"/>
      <c r="AN1689" s="52" t="str">
        <f t="shared" si="5"/>
        <v>soon,</v>
      </c>
    </row>
    <row r="1690">
      <c r="A1690" s="51"/>
      <c r="B1690" s="50" t="s">
        <v>6934</v>
      </c>
      <c r="C1690" s="50" t="s">
        <v>4614</v>
      </c>
      <c r="D1690" s="49" t="str">
        <f>IFERROR(__xludf.DUMMYFUNCTION("""COMPUTED_VALUE"""),"brought")</f>
        <v>brought</v>
      </c>
      <c r="E1690" s="49"/>
      <c r="F1690" s="49"/>
      <c r="G1690" s="49"/>
      <c r="H1690" s="54" t="str">
        <f t="shared" si="1"/>
        <v>limited,</v>
      </c>
      <c r="I1690" s="50"/>
      <c r="J1690" s="50" t="s">
        <v>3408</v>
      </c>
      <c r="K1690" s="50" t="s">
        <v>4878</v>
      </c>
      <c r="L1690" s="49"/>
      <c r="M1690" s="49"/>
      <c r="N1690" s="49"/>
      <c r="O1690" s="49" t="str">
        <f>IFERROR(__xludf.DUMMYFUNCTION("""COMPUTED_VALUE"""),"keen")</f>
        <v>keen</v>
      </c>
      <c r="P1690" s="49" t="str">
        <f t="shared" si="2"/>
        <v>surely,</v>
      </c>
      <c r="Q1690" s="49"/>
      <c r="R1690" s="50" t="s">
        <v>820</v>
      </c>
      <c r="S1690" s="55" t="s">
        <v>986</v>
      </c>
      <c r="T1690" s="49" t="str">
        <f>IFERROR(__xludf.DUMMYFUNCTION("""COMPUTED_VALUE"""),"broadway")</f>
        <v>broadway</v>
      </c>
      <c r="U1690" s="49"/>
      <c r="V1690" s="49"/>
      <c r="W1690" s="49" t="str">
        <f>IFERROR(__xludf.DUMMYFUNCTION("""COMPUTED_VALUE"""),"cheered")</f>
        <v>cheered</v>
      </c>
      <c r="X1690" s="49" t="str">
        <f t="shared" si="3"/>
        <v>glossy,</v>
      </c>
      <c r="Y1690" s="49"/>
      <c r="Z1690" s="1" t="s">
        <v>4843</v>
      </c>
      <c r="AA1690" s="1" t="s">
        <v>4876</v>
      </c>
      <c r="AB1690" s="49"/>
      <c r="AC1690" s="49"/>
      <c r="AD1690" s="49"/>
      <c r="AE1690" s="49" t="str">
        <f>IFERROR(__xludf.DUMMYFUNCTION("""COMPUTED_VALUE"""),"keen")</f>
        <v>keen</v>
      </c>
      <c r="AF1690" s="49" t="str">
        <f t="shared" si="4"/>
        <v>producer,</v>
      </c>
      <c r="AG1690" s="49"/>
      <c r="AH1690" s="1" t="s">
        <v>1703</v>
      </c>
      <c r="AI1690" s="1" t="s">
        <v>94</v>
      </c>
      <c r="AJ1690" s="6" t="str">
        <f>IFERROR(__xludf.DUMMYFUNCTION("""COMPUTED_VALUE"""),"emotional")</f>
        <v>emotional</v>
      </c>
      <c r="AK1690" s="49"/>
      <c r="AL1690" s="49"/>
      <c r="AM1690" s="49"/>
      <c r="AN1690" s="52" t="str">
        <f t="shared" si="5"/>
        <v>tea,</v>
      </c>
    </row>
    <row r="1691">
      <c r="A1691" s="51"/>
      <c r="B1691" s="50" t="s">
        <v>6757</v>
      </c>
      <c r="C1691" s="50" t="s">
        <v>4437</v>
      </c>
      <c r="D1691" s="49" t="str">
        <f>IFERROR(__xludf.DUMMYFUNCTION("""COMPUTED_VALUE"""),"assembly")</f>
        <v>assembly</v>
      </c>
      <c r="E1691" s="49"/>
      <c r="F1691" s="49"/>
      <c r="G1691" s="49"/>
      <c r="H1691" s="54" t="str">
        <f t="shared" si="1"/>
        <v>baseball,</v>
      </c>
      <c r="I1691" s="50"/>
      <c r="J1691" s="50" t="s">
        <v>2029</v>
      </c>
      <c r="K1691" s="50" t="s">
        <v>4324</v>
      </c>
      <c r="L1691" s="49"/>
      <c r="M1691" s="49"/>
      <c r="N1691" s="49"/>
      <c r="O1691" s="49" t="str">
        <f>IFERROR(__xludf.DUMMYFUNCTION("""COMPUTED_VALUE"""),"romero")</f>
        <v>romero</v>
      </c>
      <c r="P1691" s="49" t="str">
        <f t="shared" si="2"/>
        <v>drag,</v>
      </c>
      <c r="Q1691" s="49"/>
      <c r="R1691" s="50" t="s">
        <v>3713</v>
      </c>
      <c r="S1691" s="55" t="s">
        <v>2813</v>
      </c>
      <c r="T1691" s="49" t="str">
        <f>IFERROR(__xludf.DUMMYFUNCTION("""COMPUTED_VALUE"""),"7th")</f>
        <v>7th</v>
      </c>
      <c r="U1691" s="49"/>
      <c r="V1691" s="49"/>
      <c r="W1691" s="49" t="str">
        <f>IFERROR(__xludf.DUMMYFUNCTION("""COMPUTED_VALUE"""),"integrating")</f>
        <v>integrating</v>
      </c>
      <c r="X1691" s="49" t="str">
        <f t="shared" si="3"/>
        <v>sparkling,</v>
      </c>
      <c r="Y1691" s="49"/>
      <c r="Z1691" s="1" t="s">
        <v>6473</v>
      </c>
      <c r="AA1691" s="1" t="s">
        <v>4879</v>
      </c>
      <c r="AB1691" s="49"/>
      <c r="AC1691" s="49"/>
      <c r="AD1691" s="49"/>
      <c r="AE1691" s="49" t="str">
        <f>IFERROR(__xludf.DUMMYFUNCTION("""COMPUTED_VALUE"""),"romero")</f>
        <v>romero</v>
      </c>
      <c r="AF1691" s="49" t="str">
        <f t="shared" si="4"/>
        <v>combination,</v>
      </c>
      <c r="AG1691" s="49"/>
      <c r="AH1691" s="1" t="s">
        <v>4230</v>
      </c>
      <c r="AI1691" s="1" t="s">
        <v>2042</v>
      </c>
      <c r="AJ1691" s="6" t="str">
        <f>IFERROR(__xludf.DUMMYFUNCTION("""COMPUTED_VALUE"""),"store")</f>
        <v>store</v>
      </c>
      <c r="AK1691" s="49"/>
      <c r="AL1691" s="49"/>
      <c r="AM1691" s="49"/>
      <c r="AN1691" s="52" t="str">
        <f t="shared" si="5"/>
        <v>p,</v>
      </c>
    </row>
    <row r="1692">
      <c r="A1692" s="51"/>
      <c r="B1692" s="50" t="s">
        <v>2623</v>
      </c>
      <c r="C1692" s="50" t="s">
        <v>2769</v>
      </c>
      <c r="D1692" s="49" t="str">
        <f>IFERROR(__xludf.DUMMYFUNCTION("""COMPUTED_VALUE"""),"performing")</f>
        <v>performing</v>
      </c>
      <c r="E1692" s="49"/>
      <c r="F1692" s="49"/>
      <c r="G1692" s="49"/>
      <c r="H1692" s="54" t="str">
        <f t="shared" si="1"/>
        <v>suitable,</v>
      </c>
      <c r="I1692" s="50"/>
      <c r="J1692" s="50" t="s">
        <v>3984</v>
      </c>
      <c r="K1692" s="50" t="s">
        <v>3211</v>
      </c>
      <c r="L1692" s="49"/>
      <c r="M1692" s="49"/>
      <c r="N1692" s="49"/>
      <c r="O1692" s="49" t="str">
        <f>IFERROR(__xludf.DUMMYFUNCTION("""COMPUTED_VALUE"""),"friendships")</f>
        <v>friendships</v>
      </c>
      <c r="P1692" s="49" t="str">
        <f t="shared" si="2"/>
        <v>faster,</v>
      </c>
      <c r="Q1692" s="49"/>
      <c r="R1692" s="50" t="s">
        <v>5752</v>
      </c>
      <c r="S1692" s="55" t="s">
        <v>3045</v>
      </c>
      <c r="T1692" s="49" t="str">
        <f>IFERROR(__xludf.DUMMYFUNCTION("""COMPUTED_VALUE"""),"nerve")</f>
        <v>nerve</v>
      </c>
      <c r="U1692" s="49"/>
      <c r="V1692" s="49"/>
      <c r="W1692" s="49" t="str">
        <f>IFERROR(__xludf.DUMMYFUNCTION("""COMPUTED_VALUE"""),"fried")</f>
        <v>fried</v>
      </c>
      <c r="X1692" s="49" t="str">
        <f t="shared" si="3"/>
        <v>capability,</v>
      </c>
      <c r="Y1692" s="49"/>
      <c r="Z1692" s="1" t="s">
        <v>4980</v>
      </c>
      <c r="AA1692" s="1" t="s">
        <v>4314</v>
      </c>
      <c r="AB1692" s="49"/>
      <c r="AC1692" s="49"/>
      <c r="AD1692" s="49"/>
      <c r="AE1692" s="49" t="str">
        <f>IFERROR(__xludf.DUMMYFUNCTION("""COMPUTED_VALUE"""),"friendships")</f>
        <v>friendships</v>
      </c>
      <c r="AF1692" s="49" t="str">
        <f t="shared" si="4"/>
        <v>unusual,</v>
      </c>
      <c r="AG1692" s="49"/>
      <c r="AH1692" s="1">
        <v>18.0</v>
      </c>
      <c r="AI1692" s="1" t="s">
        <v>2348</v>
      </c>
      <c r="AJ1692" s="6" t="str">
        <f>IFERROR(__xludf.DUMMYFUNCTION("""COMPUTED_VALUE"""),"horse")</f>
        <v>horse</v>
      </c>
      <c r="AK1692" s="49"/>
      <c r="AL1692" s="49"/>
      <c r="AM1692" s="49"/>
      <c r="AN1692" s="52" t="str">
        <f t="shared" si="5"/>
        <v>18,</v>
      </c>
    </row>
    <row r="1693">
      <c r="A1693" s="51"/>
      <c r="B1693" s="50" t="s">
        <v>4005</v>
      </c>
      <c r="C1693" s="50" t="s">
        <v>2654</v>
      </c>
      <c r="D1693" s="49" t="str">
        <f>IFERROR(__xludf.DUMMYFUNCTION("""COMPUTED_VALUE"""),"kick")</f>
        <v>kick</v>
      </c>
      <c r="E1693" s="49"/>
      <c r="F1693" s="49"/>
      <c r="G1693" s="49"/>
      <c r="H1693" s="54" t="str">
        <f t="shared" si="1"/>
        <v>abilities,</v>
      </c>
      <c r="I1693" s="50"/>
      <c r="J1693" s="50" t="s">
        <v>7391</v>
      </c>
      <c r="K1693" s="50" t="s">
        <v>3214</v>
      </c>
      <c r="L1693" s="49"/>
      <c r="M1693" s="49"/>
      <c r="N1693" s="49"/>
      <c r="O1693" s="49" t="str">
        <f>IFERROR(__xludf.DUMMYFUNCTION("""COMPUTED_VALUE"""),"ensure")</f>
        <v>ensure</v>
      </c>
      <c r="P1693" s="49" t="str">
        <f t="shared" si="2"/>
        <v>boundary,</v>
      </c>
      <c r="Q1693" s="49"/>
      <c r="R1693" s="50" t="s">
        <v>3742</v>
      </c>
      <c r="S1693" s="55" t="s">
        <v>6557</v>
      </c>
      <c r="T1693" s="49" t="str">
        <f>IFERROR(__xludf.DUMMYFUNCTION("""COMPUTED_VALUE"""),"recovery")</f>
        <v>recovery</v>
      </c>
      <c r="U1693" s="49"/>
      <c r="V1693" s="49"/>
      <c r="W1693" s="49" t="str">
        <f>IFERROR(__xludf.DUMMYFUNCTION("""COMPUTED_VALUE"""),"bluff")</f>
        <v>bluff</v>
      </c>
      <c r="X1693" s="49" t="str">
        <f t="shared" si="3"/>
        <v>accept,</v>
      </c>
      <c r="Y1693" s="49"/>
      <c r="Z1693" s="1" t="s">
        <v>1749</v>
      </c>
      <c r="AA1693" s="1" t="s">
        <v>4882</v>
      </c>
      <c r="AB1693" s="49"/>
      <c r="AC1693" s="49"/>
      <c r="AD1693" s="49"/>
      <c r="AE1693" s="49" t="str">
        <f>IFERROR(__xludf.DUMMYFUNCTION("""COMPUTED_VALUE"""),"ensure")</f>
        <v>ensure</v>
      </c>
      <c r="AF1693" s="49" t="str">
        <f t="shared" si="4"/>
        <v>carry,</v>
      </c>
      <c r="AG1693" s="49"/>
      <c r="AH1693" s="1" t="s">
        <v>2496</v>
      </c>
      <c r="AI1693" s="1" t="s">
        <v>6558</v>
      </c>
      <c r="AJ1693" s="6" t="str">
        <f>IFERROR(__xludf.DUMMYFUNCTION("""COMPUTED_VALUE"""),"nor")</f>
        <v>nor</v>
      </c>
      <c r="AK1693" s="49"/>
      <c r="AL1693" s="49"/>
      <c r="AM1693" s="49"/>
      <c r="AN1693" s="52" t="str">
        <f t="shared" si="5"/>
        <v>seats,</v>
      </c>
    </row>
    <row r="1694">
      <c r="A1694" s="51"/>
      <c r="B1694" s="50" t="s">
        <v>6940</v>
      </c>
      <c r="C1694" s="50" t="s">
        <v>1350</v>
      </c>
      <c r="D1694" s="49" t="str">
        <f>IFERROR(__xludf.DUMMYFUNCTION("""COMPUTED_VALUE"""),"encounter")</f>
        <v>encounter</v>
      </c>
      <c r="E1694" s="49"/>
      <c r="F1694" s="49"/>
      <c r="G1694" s="49"/>
      <c r="H1694" s="54" t="str">
        <f t="shared" si="1"/>
        <v>demonstrated,</v>
      </c>
      <c r="I1694" s="50"/>
      <c r="J1694" s="50" t="s">
        <v>3307</v>
      </c>
      <c r="K1694" s="50" t="s">
        <v>4326</v>
      </c>
      <c r="L1694" s="49"/>
      <c r="M1694" s="49"/>
      <c r="N1694" s="49"/>
      <c r="O1694" s="49" t="str">
        <f>IFERROR(__xludf.DUMMYFUNCTION("""COMPUTED_VALUE"""),"rosario")</f>
        <v>rosario</v>
      </c>
      <c r="P1694" s="49" t="str">
        <f t="shared" si="2"/>
        <v>naturally,</v>
      </c>
      <c r="Q1694" s="49"/>
      <c r="R1694" s="50" t="s">
        <v>6027</v>
      </c>
      <c r="S1694" s="55" t="s">
        <v>4189</v>
      </c>
      <c r="T1694" s="49" t="str">
        <f>IFERROR(__xludf.DUMMYFUNCTION("""COMPUTED_VALUE"""),"yarn")</f>
        <v>yarn</v>
      </c>
      <c r="U1694" s="49"/>
      <c r="V1694" s="49"/>
      <c r="W1694" s="49" t="str">
        <f>IFERROR(__xludf.DUMMYFUNCTION("""COMPUTED_VALUE"""),"wreckage")</f>
        <v>wreckage</v>
      </c>
      <c r="X1694" s="49" t="str">
        <f t="shared" si="3"/>
        <v>conscious,</v>
      </c>
      <c r="Y1694" s="49"/>
      <c r="Z1694" s="1" t="s">
        <v>4058</v>
      </c>
      <c r="AA1694" s="1" t="s">
        <v>4883</v>
      </c>
      <c r="AB1694" s="49"/>
      <c r="AC1694" s="49"/>
      <c r="AD1694" s="49"/>
      <c r="AE1694" s="49" t="str">
        <f>IFERROR(__xludf.DUMMYFUNCTION("""COMPUTED_VALUE"""),"rosario")</f>
        <v>rosario</v>
      </c>
      <c r="AF1694" s="49" t="str">
        <f t="shared" si="4"/>
        <v>glimpse,</v>
      </c>
      <c r="AG1694" s="49"/>
      <c r="AH1694" s="1" t="s">
        <v>1498</v>
      </c>
      <c r="AI1694" s="1" t="s">
        <v>639</v>
      </c>
      <c r="AJ1694" s="6" t="str">
        <f>IFERROR(__xludf.DUMMYFUNCTION("""COMPUTED_VALUE"""),"digital")</f>
        <v>digital</v>
      </c>
      <c r="AK1694" s="49"/>
      <c r="AL1694" s="49"/>
      <c r="AM1694" s="49"/>
      <c r="AN1694" s="52" t="str">
        <f t="shared" si="5"/>
        <v>inside,</v>
      </c>
    </row>
    <row r="1695">
      <c r="A1695" s="51"/>
      <c r="B1695" s="50" t="s">
        <v>7427</v>
      </c>
      <c r="C1695" s="50" t="s">
        <v>3939</v>
      </c>
      <c r="D1695" s="49" t="str">
        <f>IFERROR(__xludf.DUMMYFUNCTION("""COMPUTED_VALUE"""),"talked")</f>
        <v>talked</v>
      </c>
      <c r="E1695" s="49"/>
      <c r="F1695" s="49"/>
      <c r="G1695" s="49"/>
      <c r="H1695" s="54" t="str">
        <f t="shared" si="1"/>
        <v>quit,</v>
      </c>
      <c r="I1695" s="50"/>
      <c r="J1695" s="50" t="s">
        <v>5053</v>
      </c>
      <c r="K1695" s="50" t="s">
        <v>1727</v>
      </c>
      <c r="L1695" s="49"/>
      <c r="M1695" s="49"/>
      <c r="N1695" s="49"/>
      <c r="O1695" s="49" t="str">
        <f>IFERROR(__xludf.DUMMYFUNCTION("""COMPUTED_VALUE"""),"fragmented")</f>
        <v>fragmented</v>
      </c>
      <c r="P1695" s="49" t="str">
        <f t="shared" si="2"/>
        <v>squeeze,</v>
      </c>
      <c r="Q1695" s="49"/>
      <c r="R1695" s="50" t="s">
        <v>1099</v>
      </c>
      <c r="S1695" s="55" t="s">
        <v>992</v>
      </c>
      <c r="T1695" s="49" t="str">
        <f>IFERROR(__xludf.DUMMYFUNCTION("""COMPUTED_VALUE"""),"confidently")</f>
        <v>confidently</v>
      </c>
      <c r="U1695" s="49"/>
      <c r="V1695" s="49"/>
      <c r="W1695" s="49" t="str">
        <f>IFERROR(__xludf.DUMMYFUNCTION("""COMPUTED_VALUE"""),"parrot")</f>
        <v>parrot</v>
      </c>
      <c r="X1695" s="49" t="str">
        <f t="shared" si="3"/>
        <v>parade,</v>
      </c>
      <c r="Y1695" s="49"/>
      <c r="Z1695" s="1" t="s">
        <v>1926</v>
      </c>
      <c r="AA1695" s="1" t="s">
        <v>2097</v>
      </c>
      <c r="AB1695" s="49"/>
      <c r="AC1695" s="49"/>
      <c r="AD1695" s="49"/>
      <c r="AE1695" s="49" t="str">
        <f>IFERROR(__xludf.DUMMYFUNCTION("""COMPUTED_VALUE"""),"fragmented")</f>
        <v>fragmented</v>
      </c>
      <c r="AF1695" s="49" t="str">
        <f t="shared" si="4"/>
        <v>lovely,</v>
      </c>
      <c r="AG1695" s="49"/>
      <c r="AH1695" s="1" t="s">
        <v>1333</v>
      </c>
      <c r="AI1695" s="1" t="s">
        <v>2896</v>
      </c>
      <c r="AJ1695" s="6" t="str">
        <f>IFERROR(__xludf.DUMMYFUNCTION("""COMPUTED_VALUE"""),"stream")</f>
        <v>stream</v>
      </c>
      <c r="AK1695" s="49"/>
      <c r="AL1695" s="49"/>
      <c r="AM1695" s="49"/>
      <c r="AN1695" s="52" t="str">
        <f t="shared" si="5"/>
        <v>urban,</v>
      </c>
    </row>
    <row r="1696">
      <c r="A1696" s="51"/>
      <c r="B1696" s="50" t="s">
        <v>3427</v>
      </c>
      <c r="C1696" s="50" t="s">
        <v>2772</v>
      </c>
      <c r="D1696" s="49" t="str">
        <f>IFERROR(__xludf.DUMMYFUNCTION("""COMPUTED_VALUE"""),"ethics")</f>
        <v>ethics</v>
      </c>
      <c r="E1696" s="49"/>
      <c r="F1696" s="49"/>
      <c r="G1696" s="49"/>
      <c r="H1696" s="54" t="str">
        <f t="shared" si="1"/>
        <v>mind,</v>
      </c>
      <c r="I1696" s="50"/>
      <c r="J1696" s="50" t="s">
        <v>6521</v>
      </c>
      <c r="K1696" s="50" t="s">
        <v>4330</v>
      </c>
      <c r="L1696" s="49"/>
      <c r="M1696" s="49"/>
      <c r="N1696" s="49"/>
      <c r="O1696" s="49" t="str">
        <f>IFERROR(__xludf.DUMMYFUNCTION("""COMPUTED_VALUE"""),"enhancing")</f>
        <v>enhancing</v>
      </c>
      <c r="P1696" s="49" t="str">
        <f t="shared" si="2"/>
        <v>reasonable,</v>
      </c>
      <c r="Q1696" s="49"/>
      <c r="R1696" s="50" t="s">
        <v>1469</v>
      </c>
      <c r="S1696" s="55" t="s">
        <v>998</v>
      </c>
      <c r="T1696" s="49" t="str">
        <f>IFERROR(__xludf.DUMMYFUNCTION("""COMPUTED_VALUE"""),"rally")</f>
        <v>rally</v>
      </c>
      <c r="U1696" s="49"/>
      <c r="V1696" s="49"/>
      <c r="W1696" s="49" t="str">
        <f>IFERROR(__xludf.DUMMYFUNCTION("""COMPUTED_VALUE"""),"interrogation")</f>
        <v>interrogation</v>
      </c>
      <c r="X1696" s="49" t="str">
        <f t="shared" si="3"/>
        <v>tool,</v>
      </c>
      <c r="Y1696" s="49"/>
      <c r="Z1696" s="1" t="s">
        <v>656</v>
      </c>
      <c r="AA1696" s="1" t="s">
        <v>3788</v>
      </c>
      <c r="AB1696" s="49"/>
      <c r="AC1696" s="49"/>
      <c r="AD1696" s="49"/>
      <c r="AE1696" s="49" t="str">
        <f>IFERROR(__xludf.DUMMYFUNCTION("""COMPUTED_VALUE"""),"enhancing")</f>
        <v>enhancing</v>
      </c>
      <c r="AF1696" s="49" t="str">
        <f t="shared" si="4"/>
        <v>lyrical,</v>
      </c>
      <c r="AG1696" s="49"/>
      <c r="AH1696" s="1" t="s">
        <v>6820</v>
      </c>
      <c r="AI1696" s="1" t="s">
        <v>910</v>
      </c>
      <c r="AJ1696" s="6" t="str">
        <f>IFERROR(__xludf.DUMMYFUNCTION("""COMPUTED_VALUE"""),"saved")</f>
        <v>saved</v>
      </c>
      <c r="AK1696" s="49"/>
      <c r="AL1696" s="49"/>
      <c r="AM1696" s="49"/>
      <c r="AN1696" s="52" t="str">
        <f t="shared" si="5"/>
        <v>guess,</v>
      </c>
    </row>
    <row r="1697">
      <c r="A1697" s="51"/>
      <c r="B1697" s="50" t="s">
        <v>5529</v>
      </c>
      <c r="C1697" s="50" t="s">
        <v>4620</v>
      </c>
      <c r="D1697" s="49" t="str">
        <f>IFERROR(__xludf.DUMMYFUNCTION("""COMPUTED_VALUE"""),"animal")</f>
        <v>animal</v>
      </c>
      <c r="E1697" s="49"/>
      <c r="F1697" s="49"/>
      <c r="G1697" s="49"/>
      <c r="H1697" s="54" t="str">
        <f t="shared" si="1"/>
        <v>protect,</v>
      </c>
      <c r="I1697" s="50"/>
      <c r="J1697" s="50" t="s">
        <v>7428</v>
      </c>
      <c r="K1697" s="50" t="s">
        <v>3220</v>
      </c>
      <c r="L1697" s="49"/>
      <c r="M1697" s="49"/>
      <c r="N1697" s="49"/>
      <c r="O1697" s="49" t="str">
        <f>IFERROR(__xludf.DUMMYFUNCTION("""COMPUTED_VALUE"""),"aching")</f>
        <v>aching</v>
      </c>
      <c r="P1697" s="49" t="str">
        <f t="shared" si="2"/>
        <v>ac,</v>
      </c>
      <c r="Q1697" s="49"/>
      <c r="R1697" s="50" t="s">
        <v>4945</v>
      </c>
      <c r="S1697" s="55" t="s">
        <v>2542</v>
      </c>
      <c r="T1697" s="49" t="str">
        <f>IFERROR(__xludf.DUMMYFUNCTION("""COMPUTED_VALUE"""),"richly")</f>
        <v>richly</v>
      </c>
      <c r="U1697" s="49"/>
      <c r="V1697" s="49"/>
      <c r="W1697" s="49" t="str">
        <f>IFERROR(__xludf.DUMMYFUNCTION("""COMPUTED_VALUE"""),"huskies")</f>
        <v>huskies</v>
      </c>
      <c r="X1697" s="49" t="str">
        <f t="shared" si="3"/>
        <v>updates,</v>
      </c>
      <c r="Y1697" s="49"/>
      <c r="Z1697" s="1" t="s">
        <v>252</v>
      </c>
      <c r="AA1697" s="1" t="s">
        <v>988</v>
      </c>
      <c r="AB1697" s="49"/>
      <c r="AC1697" s="49"/>
      <c r="AD1697" s="49"/>
      <c r="AE1697" s="49" t="str">
        <f>IFERROR(__xludf.DUMMYFUNCTION("""COMPUTED_VALUE"""),"aching")</f>
        <v>aching</v>
      </c>
      <c r="AF1697" s="49" t="str">
        <f t="shared" si="4"/>
        <v>interest,</v>
      </c>
      <c r="AG1697" s="49"/>
      <c r="AH1697" s="1" t="s">
        <v>3322</v>
      </c>
      <c r="AI1697" s="1" t="s">
        <v>2747</v>
      </c>
      <c r="AJ1697" s="6" t="str">
        <f>IFERROR(__xludf.DUMMYFUNCTION("""COMPUTED_VALUE"""),"successfully")</f>
        <v>successfully</v>
      </c>
      <c r="AK1697" s="49"/>
      <c r="AL1697" s="49"/>
      <c r="AM1697" s="49"/>
      <c r="AN1697" s="52" t="str">
        <f t="shared" si="5"/>
        <v>calls,</v>
      </c>
    </row>
    <row r="1698">
      <c r="A1698" s="51"/>
      <c r="B1698" s="50" t="s">
        <v>4064</v>
      </c>
      <c r="C1698" s="50" t="s">
        <v>4227</v>
      </c>
      <c r="D1698" s="49" t="str">
        <f>IFERROR(__xludf.DUMMYFUNCTION("""COMPUTED_VALUE"""),"club")</f>
        <v>club</v>
      </c>
      <c r="E1698" s="49"/>
      <c r="F1698" s="49"/>
      <c r="G1698" s="49"/>
      <c r="H1698" s="54" t="str">
        <f t="shared" si="1"/>
        <v>lifted,</v>
      </c>
      <c r="I1698" s="50"/>
      <c r="J1698" s="50" t="s">
        <v>5905</v>
      </c>
      <c r="K1698" s="50" t="s">
        <v>3972</v>
      </c>
      <c r="L1698" s="49"/>
      <c r="M1698" s="49"/>
      <c r="N1698" s="49"/>
      <c r="O1698" s="49" t="str">
        <f>IFERROR(__xludf.DUMMYFUNCTION("""COMPUTED_VALUE"""),"bucket")</f>
        <v>bucket</v>
      </c>
      <c r="P1698" s="49" t="str">
        <f t="shared" si="2"/>
        <v>scratch,</v>
      </c>
      <c r="Q1698" s="49"/>
      <c r="R1698" s="50" t="s">
        <v>3955</v>
      </c>
      <c r="S1698" s="55" t="s">
        <v>6559</v>
      </c>
      <c r="T1698" s="49" t="str">
        <f>IFERROR(__xludf.DUMMYFUNCTION("""COMPUTED_VALUE"""),"access")</f>
        <v>access</v>
      </c>
      <c r="U1698" s="49"/>
      <c r="V1698" s="49"/>
      <c r="W1698" s="49" t="str">
        <f>IFERROR(__xludf.DUMMYFUNCTION("""COMPUTED_VALUE"""),"discarded")</f>
        <v>discarded</v>
      </c>
      <c r="X1698" s="49" t="str">
        <f t="shared" si="3"/>
        <v>blank,</v>
      </c>
      <c r="Y1698" s="49"/>
      <c r="Z1698" s="1" t="s">
        <v>1011</v>
      </c>
      <c r="AA1698" s="1" t="s">
        <v>4885</v>
      </c>
      <c r="AB1698" s="49"/>
      <c r="AC1698" s="49"/>
      <c r="AD1698" s="49"/>
      <c r="AE1698" s="49" t="str">
        <f>IFERROR(__xludf.DUMMYFUNCTION("""COMPUTED_VALUE"""),"bucket")</f>
        <v>bucket</v>
      </c>
      <c r="AF1698" s="49" t="str">
        <f t="shared" si="4"/>
        <v>insight,</v>
      </c>
      <c r="AG1698" s="49"/>
      <c r="AH1698" s="1" t="s">
        <v>4163</v>
      </c>
      <c r="AI1698" s="1" t="s">
        <v>3475</v>
      </c>
      <c r="AJ1698" s="6" t="str">
        <f>IFERROR(__xludf.DUMMYFUNCTION("""COMPUTED_VALUE"""),"13th")</f>
        <v>13th</v>
      </c>
      <c r="AK1698" s="49"/>
      <c r="AL1698" s="49"/>
      <c r="AM1698" s="49"/>
      <c r="AN1698" s="52" t="str">
        <f t="shared" si="5"/>
        <v>drawn,</v>
      </c>
    </row>
    <row r="1699">
      <c r="A1699" s="51"/>
      <c r="B1699" s="50" t="s">
        <v>2843</v>
      </c>
      <c r="C1699" s="50" t="s">
        <v>3436</v>
      </c>
      <c r="D1699" s="49" t="str">
        <f>IFERROR(__xludf.DUMMYFUNCTION("""COMPUTED_VALUE"""),"fisher")</f>
        <v>fisher</v>
      </c>
      <c r="E1699" s="49"/>
      <c r="F1699" s="49"/>
      <c r="G1699" s="49"/>
      <c r="H1699" s="54" t="str">
        <f t="shared" si="1"/>
        <v>humans,</v>
      </c>
      <c r="I1699" s="50"/>
      <c r="J1699" s="50" t="s">
        <v>7393</v>
      </c>
      <c r="K1699" s="50" t="s">
        <v>3222</v>
      </c>
      <c r="L1699" s="49"/>
      <c r="M1699" s="49"/>
      <c r="N1699" s="49"/>
      <c r="O1699" s="49" t="str">
        <f>IFERROR(__xludf.DUMMYFUNCTION("""COMPUTED_VALUE"""),"feral")</f>
        <v>feral</v>
      </c>
      <c r="P1699" s="49" t="str">
        <f t="shared" si="2"/>
        <v>england,</v>
      </c>
      <c r="Q1699" s="49"/>
      <c r="R1699" s="50" t="s">
        <v>5524</v>
      </c>
      <c r="S1699" s="55" t="s">
        <v>854</v>
      </c>
      <c r="T1699" s="49" t="str">
        <f>IFERROR(__xludf.DUMMYFUNCTION("""COMPUTED_VALUE"""),"strengths")</f>
        <v>strengths</v>
      </c>
      <c r="U1699" s="49"/>
      <c r="V1699" s="49"/>
      <c r="W1699" s="49" t="str">
        <f>IFERROR(__xludf.DUMMYFUNCTION("""COMPUTED_VALUE"""),"ticking")</f>
        <v>ticking</v>
      </c>
      <c r="X1699" s="49" t="str">
        <f t="shared" si="3"/>
        <v>lesson,</v>
      </c>
      <c r="Y1699" s="49"/>
      <c r="Z1699" s="1" t="s">
        <v>1025</v>
      </c>
      <c r="AA1699" s="1" t="s">
        <v>3791</v>
      </c>
      <c r="AB1699" s="49"/>
      <c r="AC1699" s="49"/>
      <c r="AD1699" s="49"/>
      <c r="AE1699" s="49" t="str">
        <f>IFERROR(__xludf.DUMMYFUNCTION("""COMPUTED_VALUE"""),"feral")</f>
        <v>feral</v>
      </c>
      <c r="AF1699" s="49" t="str">
        <f t="shared" si="4"/>
        <v>ponder,</v>
      </c>
      <c r="AG1699" s="49"/>
      <c r="AH1699" s="1" t="s">
        <v>6015</v>
      </c>
      <c r="AI1699" s="1" t="s">
        <v>4088</v>
      </c>
      <c r="AJ1699" s="6" t="str">
        <f>IFERROR(__xludf.DUMMYFUNCTION("""COMPUTED_VALUE"""),"rocky")</f>
        <v>rocky</v>
      </c>
      <c r="AK1699" s="49"/>
      <c r="AL1699" s="49"/>
      <c r="AM1699" s="49"/>
      <c r="AN1699" s="52" t="str">
        <f t="shared" si="5"/>
        <v>examples,</v>
      </c>
    </row>
    <row r="1700">
      <c r="A1700" s="51"/>
      <c r="B1700" s="50" t="s">
        <v>3022</v>
      </c>
      <c r="C1700" s="50" t="s">
        <v>3943</v>
      </c>
      <c r="D1700" s="49" t="str">
        <f>IFERROR(__xludf.DUMMYFUNCTION("""COMPUTED_VALUE"""),"focus")</f>
        <v>focus</v>
      </c>
      <c r="E1700" s="49"/>
      <c r="F1700" s="49"/>
      <c r="G1700" s="49"/>
      <c r="H1700" s="54" t="str">
        <f t="shared" si="1"/>
        <v>imagine,</v>
      </c>
      <c r="I1700" s="50"/>
      <c r="J1700" s="50" t="s">
        <v>1406</v>
      </c>
      <c r="K1700" s="50" t="s">
        <v>3226</v>
      </c>
      <c r="L1700" s="49"/>
      <c r="M1700" s="49"/>
      <c r="N1700" s="49"/>
      <c r="O1700" s="49" t="str">
        <f>IFERROR(__xludf.DUMMYFUNCTION("""COMPUTED_VALUE"""),"romeo")</f>
        <v>romeo</v>
      </c>
      <c r="P1700" s="49" t="str">
        <f t="shared" si="2"/>
        <v>observation,</v>
      </c>
      <c r="Q1700" s="49"/>
      <c r="R1700" s="50" t="s">
        <v>4812</v>
      </c>
      <c r="S1700" s="55" t="s">
        <v>2461</v>
      </c>
      <c r="T1700" s="49" t="str">
        <f>IFERROR(__xludf.DUMMYFUNCTION("""COMPUTED_VALUE"""),"awakening")</f>
        <v>awakening</v>
      </c>
      <c r="U1700" s="49"/>
      <c r="V1700" s="49"/>
      <c r="W1700" s="49" t="str">
        <f>IFERROR(__xludf.DUMMYFUNCTION("""COMPUTED_VALUE"""),"millennium")</f>
        <v>millennium</v>
      </c>
      <c r="X1700" s="49" t="str">
        <f t="shared" si="3"/>
        <v>concern,</v>
      </c>
      <c r="Y1700" s="49"/>
      <c r="Z1700" s="1" t="s">
        <v>3394</v>
      </c>
      <c r="AA1700" s="1" t="s">
        <v>2099</v>
      </c>
      <c r="AB1700" s="49"/>
      <c r="AC1700" s="49"/>
      <c r="AD1700" s="49"/>
      <c r="AE1700" s="49" t="str">
        <f>IFERROR(__xludf.DUMMYFUNCTION("""COMPUTED_VALUE"""),"romeo")</f>
        <v>romeo</v>
      </c>
      <c r="AF1700" s="49" t="str">
        <f t="shared" si="4"/>
        <v>hop,</v>
      </c>
      <c r="AG1700" s="49"/>
      <c r="AH1700" s="1" t="s">
        <v>3923</v>
      </c>
      <c r="AI1700" s="1" t="s">
        <v>6560</v>
      </c>
      <c r="AJ1700" s="6" t="str">
        <f>IFERROR(__xludf.DUMMYFUNCTION("""COMPUTED_VALUE"""),"execution")</f>
        <v>execution</v>
      </c>
      <c r="AK1700" s="49"/>
      <c r="AL1700" s="49"/>
      <c r="AM1700" s="49"/>
      <c r="AN1700" s="52" t="str">
        <f t="shared" si="5"/>
        <v>ended,</v>
      </c>
    </row>
    <row r="1701">
      <c r="A1701" s="51"/>
      <c r="B1701" s="50" t="s">
        <v>2137</v>
      </c>
      <c r="C1701" s="50" t="s">
        <v>2662</v>
      </c>
      <c r="D1701" s="49" t="str">
        <f>IFERROR(__xludf.DUMMYFUNCTION("""COMPUTED_VALUE"""),"happiness")</f>
        <v>happiness</v>
      </c>
      <c r="E1701" s="49"/>
      <c r="F1701" s="49"/>
      <c r="G1701" s="49"/>
      <c r="H1701" s="54" t="str">
        <f t="shared" si="1"/>
        <v>involving,</v>
      </c>
      <c r="I1701" s="50"/>
      <c r="J1701" s="50" t="s">
        <v>5098</v>
      </c>
      <c r="K1701" s="50" t="s">
        <v>4342</v>
      </c>
      <c r="L1701" s="49"/>
      <c r="M1701" s="49"/>
      <c r="N1701" s="49"/>
      <c r="O1701" s="49" t="str">
        <f>IFERROR(__xludf.DUMMYFUNCTION("""COMPUTED_VALUE"""),"preceded")</f>
        <v>preceded</v>
      </c>
      <c r="P1701" s="49" t="str">
        <f t="shared" si="2"/>
        <v>pardon,</v>
      </c>
      <c r="Q1701" s="49"/>
      <c r="R1701" s="50" t="s">
        <v>5248</v>
      </c>
      <c r="S1701" s="55" t="s">
        <v>6561</v>
      </c>
      <c r="T1701" s="49" t="str">
        <f>IFERROR(__xludf.DUMMYFUNCTION("""COMPUTED_VALUE"""),"adherents")</f>
        <v>adherents</v>
      </c>
      <c r="U1701" s="49"/>
      <c r="V1701" s="49"/>
      <c r="W1701" s="49" t="str">
        <f>IFERROR(__xludf.DUMMYFUNCTION("""COMPUTED_VALUE"""),"shoes")</f>
        <v>shoes</v>
      </c>
      <c r="X1701" s="49" t="str">
        <f t="shared" si="3"/>
        <v>occasional,</v>
      </c>
      <c r="Y1701" s="49"/>
      <c r="Z1701" s="1" t="s">
        <v>2945</v>
      </c>
      <c r="AA1701" s="1" t="s">
        <v>3795</v>
      </c>
      <c r="AB1701" s="49"/>
      <c r="AC1701" s="49"/>
      <c r="AD1701" s="49"/>
      <c r="AE1701" s="49" t="str">
        <f>IFERROR(__xludf.DUMMYFUNCTION("""COMPUTED_VALUE"""),"preceded")</f>
        <v>preceded</v>
      </c>
      <c r="AF1701" s="49" t="str">
        <f t="shared" si="4"/>
        <v>certain,</v>
      </c>
      <c r="AG1701" s="49"/>
      <c r="AH1701" s="1" t="s">
        <v>7429</v>
      </c>
      <c r="AI1701" s="1" t="s">
        <v>1039</v>
      </c>
      <c r="AJ1701" s="6" t="str">
        <f>IFERROR(__xludf.DUMMYFUNCTION("""COMPUTED_VALUE"""),"believe")</f>
        <v>believe</v>
      </c>
      <c r="AK1701" s="49"/>
      <c r="AL1701" s="49"/>
      <c r="AM1701" s="49"/>
      <c r="AN1701" s="52" t="str">
        <f t="shared" si="5"/>
        <v>noticed,</v>
      </c>
    </row>
    <row r="1702">
      <c r="A1702" s="51"/>
      <c r="B1702" s="50" t="s">
        <v>5007</v>
      </c>
      <c r="C1702" s="50" t="s">
        <v>4213</v>
      </c>
      <c r="D1702" s="49" t="str">
        <f>IFERROR(__xludf.DUMMYFUNCTION("""COMPUTED_VALUE"""),"occasionally")</f>
        <v>occasionally</v>
      </c>
      <c r="E1702" s="49"/>
      <c r="F1702" s="49"/>
      <c r="G1702" s="49"/>
      <c r="H1702" s="54" t="str">
        <f t="shared" si="1"/>
        <v>larry,</v>
      </c>
      <c r="I1702" s="50"/>
      <c r="J1702" s="50" t="s">
        <v>1780</v>
      </c>
      <c r="K1702" s="50" t="s">
        <v>911</v>
      </c>
      <c r="L1702" s="49"/>
      <c r="M1702" s="49"/>
      <c r="N1702" s="49"/>
      <c r="O1702" s="49" t="str">
        <f>IFERROR(__xludf.DUMMYFUNCTION("""COMPUTED_VALUE"""),"decommissioned")</f>
        <v>decommissioned</v>
      </c>
      <c r="P1702" s="49" t="str">
        <f t="shared" si="2"/>
        <v>further,</v>
      </c>
      <c r="Q1702" s="49"/>
      <c r="R1702" s="50" t="s">
        <v>4991</v>
      </c>
      <c r="S1702" s="55" t="s">
        <v>3048</v>
      </c>
      <c r="T1702" s="49" t="str">
        <f>IFERROR(__xludf.DUMMYFUNCTION("""COMPUTED_VALUE"""),"slim")</f>
        <v>slim</v>
      </c>
      <c r="U1702" s="49"/>
      <c r="V1702" s="49"/>
      <c r="W1702" s="49" t="str">
        <f>IFERROR(__xludf.DUMMYFUNCTION("""COMPUTED_VALUE"""),"overview")</f>
        <v>overview</v>
      </c>
      <c r="X1702" s="49" t="str">
        <f t="shared" si="3"/>
        <v>releases,</v>
      </c>
      <c r="Y1702" s="49"/>
      <c r="Z1702" s="1" t="s">
        <v>3370</v>
      </c>
      <c r="AA1702" s="1" t="s">
        <v>3800</v>
      </c>
      <c r="AB1702" s="49"/>
      <c r="AC1702" s="49"/>
      <c r="AD1702" s="49"/>
      <c r="AE1702" s="49" t="str">
        <f>IFERROR(__xludf.DUMMYFUNCTION("""COMPUTED_VALUE"""),"decommissioned")</f>
        <v>decommissioned</v>
      </c>
      <c r="AF1702" s="49" t="str">
        <f t="shared" si="4"/>
        <v>inviting,</v>
      </c>
      <c r="AG1702" s="49"/>
      <c r="AH1702" s="1" t="s">
        <v>2922</v>
      </c>
      <c r="AI1702" s="1" t="s">
        <v>4764</v>
      </c>
      <c r="AJ1702" s="6" t="str">
        <f>IFERROR(__xludf.DUMMYFUNCTION("""COMPUTED_VALUE"""),"direct")</f>
        <v>direct</v>
      </c>
      <c r="AK1702" s="49"/>
      <c r="AL1702" s="49"/>
      <c r="AM1702" s="49"/>
      <c r="AN1702" s="52" t="str">
        <f t="shared" si="5"/>
        <v>reading,</v>
      </c>
    </row>
    <row r="1703">
      <c r="A1703" s="51"/>
      <c r="B1703" s="50" t="s">
        <v>1306</v>
      </c>
      <c r="C1703" s="50" t="s">
        <v>6522</v>
      </c>
      <c r="D1703" s="49" t="str">
        <f>IFERROR(__xludf.DUMMYFUNCTION("""COMPUTED_VALUE"""),"james")</f>
        <v>james</v>
      </c>
      <c r="E1703" s="49"/>
      <c r="F1703" s="49"/>
      <c r="G1703" s="49"/>
      <c r="H1703" s="54" t="str">
        <f t="shared" si="1"/>
        <v>groups,</v>
      </c>
      <c r="I1703" s="50"/>
      <c r="J1703" s="50" t="s">
        <v>7430</v>
      </c>
      <c r="K1703" s="50" t="s">
        <v>2943</v>
      </c>
      <c r="L1703" s="49"/>
      <c r="M1703" s="49"/>
      <c r="N1703" s="49"/>
      <c r="O1703" s="49" t="str">
        <f>IFERROR(__xludf.DUMMYFUNCTION("""COMPUTED_VALUE"""),"forbidden")</f>
        <v>forbidden</v>
      </c>
      <c r="P1703" s="49" t="str">
        <f t="shared" si="2"/>
        <v>mir,</v>
      </c>
      <c r="Q1703" s="49"/>
      <c r="R1703" s="50" t="s">
        <v>7431</v>
      </c>
      <c r="S1703" s="55" t="s">
        <v>3052</v>
      </c>
      <c r="T1703" s="49" t="str">
        <f>IFERROR(__xludf.DUMMYFUNCTION("""COMPUTED_VALUE"""),"bias")</f>
        <v>bias</v>
      </c>
      <c r="U1703" s="49"/>
      <c r="V1703" s="49"/>
      <c r="W1703" s="49" t="str">
        <f>IFERROR(__xludf.DUMMYFUNCTION("""COMPUTED_VALUE"""),"omnibus")</f>
        <v>omnibus</v>
      </c>
      <c r="X1703" s="49" t="str">
        <f t="shared" si="3"/>
        <v>ta,</v>
      </c>
      <c r="Y1703" s="49"/>
      <c r="Z1703" s="1" t="s">
        <v>2195</v>
      </c>
      <c r="AA1703" s="1" t="s">
        <v>4891</v>
      </c>
      <c r="AB1703" s="49"/>
      <c r="AC1703" s="49"/>
      <c r="AD1703" s="49"/>
      <c r="AE1703" s="49" t="str">
        <f>IFERROR(__xludf.DUMMYFUNCTION("""COMPUTED_VALUE"""),"forbidden")</f>
        <v>forbidden</v>
      </c>
      <c r="AF1703" s="49" t="str">
        <f t="shared" si="4"/>
        <v>result,</v>
      </c>
      <c r="AG1703" s="49"/>
      <c r="AH1703" s="1" t="s">
        <v>261</v>
      </c>
      <c r="AI1703" s="1" t="s">
        <v>896</v>
      </c>
      <c r="AJ1703" s="6" t="str">
        <f>IFERROR(__xludf.DUMMYFUNCTION("""COMPUTED_VALUE"""),"producers")</f>
        <v>producers</v>
      </c>
      <c r="AK1703" s="49"/>
      <c r="AL1703" s="49"/>
      <c r="AM1703" s="49"/>
      <c r="AN1703" s="52" t="str">
        <f t="shared" si="5"/>
        <v>sit,</v>
      </c>
    </row>
    <row r="1704">
      <c r="A1704" s="51"/>
      <c r="B1704" s="50" t="s">
        <v>1756</v>
      </c>
      <c r="C1704" s="50" t="s">
        <v>906</v>
      </c>
      <c r="D1704" s="49" t="str">
        <f>IFERROR(__xludf.DUMMYFUNCTION("""COMPUTED_VALUE"""),"picked")</f>
        <v>picked</v>
      </c>
      <c r="E1704" s="49"/>
      <c r="F1704" s="49"/>
      <c r="G1704" s="49"/>
      <c r="H1704" s="54" t="str">
        <f t="shared" si="1"/>
        <v>complete,</v>
      </c>
      <c r="I1704" s="50"/>
      <c r="J1704" s="50" t="s">
        <v>122</v>
      </c>
      <c r="K1704" s="50" t="s">
        <v>4347</v>
      </c>
      <c r="L1704" s="49"/>
      <c r="M1704" s="49"/>
      <c r="N1704" s="49"/>
      <c r="O1704" s="49" t="str">
        <f>IFERROR(__xludf.DUMMYFUNCTION("""COMPUTED_VALUE"""),"trembling")</f>
        <v>trembling</v>
      </c>
      <c r="P1704" s="49" t="str">
        <f t="shared" si="2"/>
        <v>heroes,</v>
      </c>
      <c r="Q1704" s="49"/>
      <c r="R1704" s="50" t="s">
        <v>5996</v>
      </c>
      <c r="S1704" s="55" t="s">
        <v>1448</v>
      </c>
      <c r="T1704" s="49" t="str">
        <f>IFERROR(__xludf.DUMMYFUNCTION("""COMPUTED_VALUE"""),"ideology")</f>
        <v>ideology</v>
      </c>
      <c r="U1704" s="49"/>
      <c r="V1704" s="49"/>
      <c r="W1704" s="49" t="str">
        <f>IFERROR(__xludf.DUMMYFUNCTION("""COMPUTED_VALUE"""),"section")</f>
        <v>section</v>
      </c>
      <c r="X1704" s="49" t="str">
        <f t="shared" si="3"/>
        <v>explode,</v>
      </c>
      <c r="Y1704" s="49"/>
      <c r="Z1704" s="1" t="s">
        <v>1864</v>
      </c>
      <c r="AA1704" s="1" t="s">
        <v>4892</v>
      </c>
      <c r="AB1704" s="49"/>
      <c r="AC1704" s="49"/>
      <c r="AD1704" s="49"/>
      <c r="AE1704" s="49" t="str">
        <f>IFERROR(__xludf.DUMMYFUNCTION("""COMPUTED_VALUE"""),"trembling")</f>
        <v>trembling</v>
      </c>
      <c r="AF1704" s="49" t="str">
        <f t="shared" si="4"/>
        <v>reach,</v>
      </c>
      <c r="AG1704" s="49"/>
      <c r="AH1704" s="1" t="s">
        <v>6859</v>
      </c>
      <c r="AI1704" s="1" t="s">
        <v>4588</v>
      </c>
      <c r="AJ1704" s="6" t="str">
        <f>IFERROR(__xludf.DUMMYFUNCTION("""COMPUTED_VALUE"""),"proof")</f>
        <v>proof</v>
      </c>
      <c r="AK1704" s="49"/>
      <c r="AL1704" s="49"/>
      <c r="AM1704" s="49"/>
      <c r="AN1704" s="52" t="str">
        <f t="shared" si="5"/>
        <v>couch,</v>
      </c>
    </row>
    <row r="1705">
      <c r="A1705" s="51"/>
      <c r="B1705" s="50" t="s">
        <v>4513</v>
      </c>
      <c r="C1705" s="50" t="s">
        <v>3366</v>
      </c>
      <c r="D1705" s="49" t="str">
        <f>IFERROR(__xludf.DUMMYFUNCTION("""COMPUTED_VALUE"""),"feast")</f>
        <v>feast</v>
      </c>
      <c r="E1705" s="49"/>
      <c r="F1705" s="49"/>
      <c r="G1705" s="49"/>
      <c r="H1705" s="54" t="str">
        <f t="shared" si="1"/>
        <v>segment,</v>
      </c>
      <c r="I1705" s="50"/>
      <c r="J1705" s="50" t="s">
        <v>3511</v>
      </c>
      <c r="K1705" s="50" t="s">
        <v>3827</v>
      </c>
      <c r="L1705" s="49"/>
      <c r="M1705" s="49"/>
      <c r="N1705" s="49"/>
      <c r="O1705" s="49" t="str">
        <f>IFERROR(__xludf.DUMMYFUNCTION("""COMPUTED_VALUE"""),"humiliated")</f>
        <v>humiliated</v>
      </c>
      <c r="P1705" s="49" t="str">
        <f t="shared" si="2"/>
        <v>via,</v>
      </c>
      <c r="Q1705" s="49"/>
      <c r="R1705" s="50" t="s">
        <v>2441</v>
      </c>
      <c r="S1705" s="55" t="s">
        <v>637</v>
      </c>
      <c r="T1705" s="49" t="str">
        <f>IFERROR(__xludf.DUMMYFUNCTION("""COMPUTED_VALUE"""),"acclaim")</f>
        <v>acclaim</v>
      </c>
      <c r="U1705" s="49"/>
      <c r="V1705" s="49"/>
      <c r="W1705" s="49" t="str">
        <f>IFERROR(__xludf.DUMMYFUNCTION("""COMPUTED_VALUE"""),"mobility")</f>
        <v>mobility</v>
      </c>
      <c r="X1705" s="49" t="str">
        <f t="shared" si="3"/>
        <v>lane,</v>
      </c>
      <c r="Y1705" s="49"/>
      <c r="Z1705" s="1" t="s">
        <v>1777</v>
      </c>
      <c r="AA1705" s="1" t="s">
        <v>1069</v>
      </c>
      <c r="AB1705" s="49"/>
      <c r="AC1705" s="49"/>
      <c r="AD1705" s="49"/>
      <c r="AE1705" s="49" t="str">
        <f>IFERROR(__xludf.DUMMYFUNCTION("""COMPUTED_VALUE"""),"humiliated")</f>
        <v>humiliated</v>
      </c>
      <c r="AF1705" s="49" t="str">
        <f t="shared" si="4"/>
        <v>serious,</v>
      </c>
      <c r="AG1705" s="49"/>
      <c r="AH1705" s="1" t="s">
        <v>3770</v>
      </c>
      <c r="AI1705" s="1" t="s">
        <v>2907</v>
      </c>
      <c r="AJ1705" s="6" t="str">
        <f>IFERROR(__xludf.DUMMYFUNCTION("""COMPUTED_VALUE"""),"looked")</f>
        <v>looked</v>
      </c>
      <c r="AK1705" s="49"/>
      <c r="AL1705" s="49"/>
      <c r="AM1705" s="49"/>
      <c r="AN1705" s="52" t="str">
        <f t="shared" si="5"/>
        <v>finished,</v>
      </c>
    </row>
    <row r="1706">
      <c r="A1706" s="51"/>
      <c r="B1706" s="50" t="s">
        <v>6108</v>
      </c>
      <c r="C1706" s="50" t="s">
        <v>1357</v>
      </c>
      <c r="D1706" s="49" t="str">
        <f>IFERROR(__xludf.DUMMYFUNCTION("""COMPUTED_VALUE"""),"seriously")</f>
        <v>seriously</v>
      </c>
      <c r="E1706" s="49"/>
      <c r="F1706" s="49"/>
      <c r="G1706" s="49"/>
      <c r="H1706" s="54" t="str">
        <f t="shared" si="1"/>
        <v>meant,</v>
      </c>
      <c r="I1706" s="50"/>
      <c r="J1706" s="50" t="s">
        <v>6738</v>
      </c>
      <c r="K1706" s="50" t="s">
        <v>4897</v>
      </c>
      <c r="L1706" s="49"/>
      <c r="M1706" s="49"/>
      <c r="N1706" s="49"/>
      <c r="O1706" s="49">
        <f>IFERROR(__xludf.DUMMYFUNCTION("""COMPUTED_VALUE"""),451.0)</f>
        <v>451</v>
      </c>
      <c r="P1706" s="49" t="str">
        <f t="shared" si="2"/>
        <v>closest,</v>
      </c>
      <c r="Q1706" s="49"/>
      <c r="R1706" s="50" t="s">
        <v>1284</v>
      </c>
      <c r="S1706" s="55" t="s">
        <v>2355</v>
      </c>
      <c r="T1706" s="49" t="str">
        <f>IFERROR(__xludf.DUMMYFUNCTION("""COMPUTED_VALUE"""),"muddy")</f>
        <v>muddy</v>
      </c>
      <c r="U1706" s="49"/>
      <c r="V1706" s="49"/>
      <c r="W1706" s="49" t="str">
        <f>IFERROR(__xludf.DUMMYFUNCTION("""COMPUTED_VALUE"""),"clash")</f>
        <v>clash</v>
      </c>
      <c r="X1706" s="49" t="str">
        <f t="shared" si="3"/>
        <v>chiefly,</v>
      </c>
      <c r="Y1706" s="49"/>
      <c r="Z1706" s="1" t="s">
        <v>862</v>
      </c>
      <c r="AA1706" s="1" t="s">
        <v>4896</v>
      </c>
      <c r="AB1706" s="49"/>
      <c r="AC1706" s="49"/>
      <c r="AD1706" s="49"/>
      <c r="AE1706" s="49">
        <f>IFERROR(__xludf.DUMMYFUNCTION("""COMPUTED_VALUE"""),451.0)</f>
        <v>451</v>
      </c>
      <c r="AF1706" s="49" t="str">
        <f t="shared" si="4"/>
        <v>builds,</v>
      </c>
      <c r="AG1706" s="49"/>
      <c r="AH1706" s="1" t="s">
        <v>2039</v>
      </c>
      <c r="AI1706" s="1" t="s">
        <v>2756</v>
      </c>
      <c r="AJ1706" s="6" t="str">
        <f>IFERROR(__xludf.DUMMYFUNCTION("""COMPUTED_VALUE"""),"started")</f>
        <v>started</v>
      </c>
      <c r="AK1706" s="49"/>
      <c r="AL1706" s="49"/>
      <c r="AM1706" s="49"/>
      <c r="AN1706" s="52" t="str">
        <f t="shared" si="5"/>
        <v>cut,</v>
      </c>
    </row>
    <row r="1707">
      <c r="A1707" s="51"/>
      <c r="B1707" s="50" t="s">
        <v>6435</v>
      </c>
      <c r="C1707" s="50" t="s">
        <v>3947</v>
      </c>
      <c r="D1707" s="49" t="str">
        <f>IFERROR(__xludf.DUMMYFUNCTION("""COMPUTED_VALUE"""),"let")</f>
        <v>let</v>
      </c>
      <c r="E1707" s="49"/>
      <c r="F1707" s="49"/>
      <c r="G1707" s="49"/>
      <c r="H1707" s="54" t="str">
        <f t="shared" si="1"/>
        <v>broken,</v>
      </c>
      <c r="I1707" s="50"/>
      <c r="J1707" s="50" t="s">
        <v>599</v>
      </c>
      <c r="K1707" s="50" t="s">
        <v>1741</v>
      </c>
      <c r="L1707" s="49"/>
      <c r="M1707" s="49"/>
      <c r="N1707" s="49"/>
      <c r="O1707" s="49" t="str">
        <f>IFERROR(__xludf.DUMMYFUNCTION("""COMPUTED_VALUE"""),"referred")</f>
        <v>referred</v>
      </c>
      <c r="P1707" s="49" t="str">
        <f t="shared" si="2"/>
        <v>narrative,</v>
      </c>
      <c r="Q1707" s="49"/>
      <c r="R1707" s="50" t="s">
        <v>1922</v>
      </c>
      <c r="S1707" s="55" t="s">
        <v>1588</v>
      </c>
      <c r="T1707" s="49" t="str">
        <f>IFERROR(__xludf.DUMMYFUNCTION("""COMPUTED_VALUE"""),"thematic")</f>
        <v>thematic</v>
      </c>
      <c r="U1707" s="49"/>
      <c r="V1707" s="49"/>
      <c r="W1707" s="49" t="str">
        <f>IFERROR(__xludf.DUMMYFUNCTION("""COMPUTED_VALUE"""),"prisoners")</f>
        <v>prisoners</v>
      </c>
      <c r="X1707" s="49" t="str">
        <f t="shared" si="3"/>
        <v>corners,</v>
      </c>
      <c r="Y1707" s="49"/>
      <c r="Z1707" s="1" t="s">
        <v>1216</v>
      </c>
      <c r="AA1707" s="1" t="s">
        <v>4898</v>
      </c>
      <c r="AB1707" s="49"/>
      <c r="AC1707" s="49"/>
      <c r="AD1707" s="49"/>
      <c r="AE1707" s="49" t="str">
        <f>IFERROR(__xludf.DUMMYFUNCTION("""COMPUTED_VALUE"""),"referred")</f>
        <v>referred</v>
      </c>
      <c r="AF1707" s="49" t="str">
        <f t="shared" si="4"/>
        <v>red,</v>
      </c>
      <c r="AG1707" s="49"/>
      <c r="AH1707" s="1" t="s">
        <v>6239</v>
      </c>
      <c r="AI1707" s="1" t="s">
        <v>4590</v>
      </c>
      <c r="AJ1707" s="6" t="str">
        <f>IFERROR(__xludf.DUMMYFUNCTION("""COMPUTED_VALUE"""),"trust")</f>
        <v>trust</v>
      </c>
      <c r="AK1707" s="49"/>
      <c r="AL1707" s="49"/>
      <c r="AM1707" s="49"/>
      <c r="AN1707" s="52" t="str">
        <f t="shared" si="5"/>
        <v>poor,</v>
      </c>
    </row>
    <row r="1708">
      <c r="A1708" s="51"/>
      <c r="B1708" s="50" t="s">
        <v>2171</v>
      </c>
      <c r="C1708" s="50" t="s">
        <v>4272</v>
      </c>
      <c r="D1708" s="49" t="str">
        <f>IFERROR(__xludf.DUMMYFUNCTION("""COMPUTED_VALUE"""),"hair")</f>
        <v>hair</v>
      </c>
      <c r="E1708" s="49"/>
      <c r="F1708" s="49"/>
      <c r="G1708" s="49"/>
      <c r="H1708" s="54" t="str">
        <f t="shared" si="1"/>
        <v>crime,</v>
      </c>
      <c r="I1708" s="50"/>
      <c r="J1708" s="50" t="s">
        <v>4848</v>
      </c>
      <c r="K1708" s="50" t="s">
        <v>4900</v>
      </c>
      <c r="L1708" s="49"/>
      <c r="M1708" s="49"/>
      <c r="N1708" s="49"/>
      <c r="O1708" s="49" t="str">
        <f>IFERROR(__xludf.DUMMYFUNCTION("""COMPUTED_VALUE"""),"beaches")</f>
        <v>beaches</v>
      </c>
      <c r="P1708" s="49" t="str">
        <f t="shared" si="2"/>
        <v>drawings,</v>
      </c>
      <c r="Q1708" s="49"/>
      <c r="R1708" s="50" t="s">
        <v>2969</v>
      </c>
      <c r="S1708" s="55" t="s">
        <v>693</v>
      </c>
      <c r="T1708" s="49" t="str">
        <f>IFERROR(__xludf.DUMMYFUNCTION("""COMPUTED_VALUE"""),"confident")</f>
        <v>confident</v>
      </c>
      <c r="U1708" s="49"/>
      <c r="V1708" s="49"/>
      <c r="W1708" s="49" t="str">
        <f>IFERROR(__xludf.DUMMYFUNCTION("""COMPUTED_VALUE"""),"eisenhower")</f>
        <v>eisenhower</v>
      </c>
      <c r="X1708" s="49" t="str">
        <f t="shared" si="3"/>
        <v>prevents,</v>
      </c>
      <c r="Y1708" s="49"/>
      <c r="Z1708" s="1" t="s">
        <v>4143</v>
      </c>
      <c r="AA1708" s="1" t="s">
        <v>904</v>
      </c>
      <c r="AB1708" s="49"/>
      <c r="AC1708" s="49"/>
      <c r="AD1708" s="49"/>
      <c r="AE1708" s="49" t="str">
        <f>IFERROR(__xludf.DUMMYFUNCTION("""COMPUTED_VALUE"""),"beaches")</f>
        <v>beaches</v>
      </c>
      <c r="AF1708" s="49" t="str">
        <f t="shared" si="4"/>
        <v>foot,</v>
      </c>
      <c r="AG1708" s="49"/>
      <c r="AH1708" s="1" t="s">
        <v>4460</v>
      </c>
      <c r="AI1708" s="1" t="s">
        <v>3941</v>
      </c>
      <c r="AJ1708" s="6" t="str">
        <f>IFERROR(__xludf.DUMMYFUNCTION("""COMPUTED_VALUE"""),"expression")</f>
        <v>expression</v>
      </c>
      <c r="AK1708" s="49"/>
      <c r="AL1708" s="49"/>
      <c r="AM1708" s="49"/>
      <c r="AN1708" s="52" t="str">
        <f t="shared" si="5"/>
        <v>shape,</v>
      </c>
    </row>
    <row r="1709">
      <c r="A1709" s="51"/>
      <c r="B1709" s="50" t="s">
        <v>6430</v>
      </c>
      <c r="C1709" s="50" t="s">
        <v>3165</v>
      </c>
      <c r="D1709" s="49" t="str">
        <f>IFERROR(__xludf.DUMMYFUNCTION("""COMPUTED_VALUE"""),"slightly")</f>
        <v>slightly</v>
      </c>
      <c r="E1709" s="49"/>
      <c r="F1709" s="49"/>
      <c r="G1709" s="49"/>
      <c r="H1709" s="54" t="str">
        <f t="shared" si="1"/>
        <v>reference,</v>
      </c>
      <c r="I1709" s="50"/>
      <c r="J1709" s="50" t="s">
        <v>2859</v>
      </c>
      <c r="K1709" s="50" t="s">
        <v>2946</v>
      </c>
      <c r="L1709" s="49"/>
      <c r="M1709" s="49"/>
      <c r="N1709" s="49"/>
      <c r="O1709" s="49" t="str">
        <f>IFERROR(__xludf.DUMMYFUNCTION("""COMPUTED_VALUE"""),"ivan")</f>
        <v>ivan</v>
      </c>
      <c r="P1709" s="49" t="str">
        <f t="shared" si="2"/>
        <v>inhabitants,</v>
      </c>
      <c r="Q1709" s="49"/>
      <c r="R1709" s="50" t="s">
        <v>3823</v>
      </c>
      <c r="S1709" s="55" t="s">
        <v>859</v>
      </c>
      <c r="T1709" s="49" t="str">
        <f>IFERROR(__xludf.DUMMYFUNCTION("""COMPUTED_VALUE"""),"traditions")</f>
        <v>traditions</v>
      </c>
      <c r="U1709" s="49"/>
      <c r="V1709" s="49"/>
      <c r="W1709" s="49" t="str">
        <f>IFERROR(__xludf.DUMMYFUNCTION("""COMPUTED_VALUE"""),"crashing")</f>
        <v>crashing</v>
      </c>
      <c r="X1709" s="49" t="str">
        <f t="shared" si="3"/>
        <v>doomed,</v>
      </c>
      <c r="Y1709" s="49"/>
      <c r="Z1709" s="1" t="s">
        <v>3343</v>
      </c>
      <c r="AA1709" s="1" t="s">
        <v>2105</v>
      </c>
      <c r="AB1709" s="49"/>
      <c r="AC1709" s="49"/>
      <c r="AD1709" s="49"/>
      <c r="AE1709" s="49" t="str">
        <f>IFERROR(__xludf.DUMMYFUNCTION("""COMPUTED_VALUE"""),"ivan")</f>
        <v>ivan</v>
      </c>
      <c r="AF1709" s="49" t="str">
        <f t="shared" si="4"/>
        <v>arrogance,</v>
      </c>
      <c r="AG1709" s="49"/>
      <c r="AH1709" s="1" t="s">
        <v>3845</v>
      </c>
      <c r="AI1709" s="1" t="s">
        <v>4470</v>
      </c>
      <c r="AJ1709" s="6" t="str">
        <f>IFERROR(__xludf.DUMMYFUNCTION("""COMPUTED_VALUE"""),"headed")</f>
        <v>headed</v>
      </c>
      <c r="AK1709" s="49"/>
      <c r="AL1709" s="49"/>
      <c r="AM1709" s="49"/>
      <c r="AN1709" s="52" t="str">
        <f t="shared" si="5"/>
        <v>handle,</v>
      </c>
    </row>
    <row r="1710">
      <c r="A1710" s="51"/>
      <c r="B1710" s="50" t="s">
        <v>2828</v>
      </c>
      <c r="C1710" s="50" t="s">
        <v>929</v>
      </c>
      <c r="D1710" s="49" t="str">
        <f>IFERROR(__xludf.DUMMYFUNCTION("""COMPUTED_VALUE"""),"ignored")</f>
        <v>ignored</v>
      </c>
      <c r="E1710" s="49"/>
      <c r="F1710" s="49"/>
      <c r="G1710" s="49"/>
      <c r="H1710" s="54" t="str">
        <f t="shared" si="1"/>
        <v>frame,</v>
      </c>
      <c r="I1710" s="50"/>
      <c r="J1710" s="50" t="s">
        <v>3889</v>
      </c>
      <c r="K1710" s="50" t="s">
        <v>4904</v>
      </c>
      <c r="L1710" s="49"/>
      <c r="M1710" s="49"/>
      <c r="N1710" s="49"/>
      <c r="O1710" s="49">
        <f>IFERROR(__xludf.DUMMYFUNCTION("""COMPUTED_VALUE"""),1957.0)</f>
        <v>1957</v>
      </c>
      <c r="P1710" s="49" t="str">
        <f t="shared" si="2"/>
        <v>notice,</v>
      </c>
      <c r="Q1710" s="49"/>
      <c r="R1710" s="50" t="s">
        <v>4458</v>
      </c>
      <c r="S1710" s="55" t="s">
        <v>6562</v>
      </c>
      <c r="T1710" s="49" t="str">
        <f>IFERROR(__xludf.DUMMYFUNCTION("""COMPUTED_VALUE"""),"daring")</f>
        <v>daring</v>
      </c>
      <c r="U1710" s="49"/>
      <c r="V1710" s="49"/>
      <c r="W1710" s="49" t="str">
        <f>IFERROR(__xludf.DUMMYFUNCTION("""COMPUTED_VALUE"""),"gestures")</f>
        <v>gestures</v>
      </c>
      <c r="X1710" s="49" t="str">
        <f t="shared" si="3"/>
        <v>cameo,</v>
      </c>
      <c r="Y1710" s="49"/>
      <c r="Z1710" s="1" t="s">
        <v>2217</v>
      </c>
      <c r="AA1710" s="1" t="s">
        <v>4902</v>
      </c>
      <c r="AB1710" s="49"/>
      <c r="AC1710" s="49"/>
      <c r="AD1710" s="49"/>
      <c r="AE1710" s="49">
        <f>IFERROR(__xludf.DUMMYFUNCTION("""COMPUTED_VALUE"""),1957.0)</f>
        <v>1957</v>
      </c>
      <c r="AF1710" s="49" t="str">
        <f t="shared" si="4"/>
        <v>positive,</v>
      </c>
      <c r="AG1710" s="49"/>
      <c r="AH1710" s="1" t="s">
        <v>2810</v>
      </c>
      <c r="AI1710" s="1" t="s">
        <v>6006</v>
      </c>
      <c r="AJ1710" s="6" t="str">
        <f>IFERROR(__xludf.DUMMYFUNCTION("""COMPUTED_VALUE"""),"odd")</f>
        <v>odd</v>
      </c>
      <c r="AK1710" s="49"/>
      <c r="AL1710" s="49"/>
      <c r="AM1710" s="49"/>
      <c r="AN1710" s="52" t="str">
        <f t="shared" si="5"/>
        <v>alfred,</v>
      </c>
    </row>
    <row r="1711">
      <c r="A1711" s="51"/>
      <c r="B1711" s="50" t="s">
        <v>6688</v>
      </c>
      <c r="C1711" s="50" t="s">
        <v>3951</v>
      </c>
      <c r="D1711" s="49" t="str">
        <f>IFERROR(__xludf.DUMMYFUNCTION("""COMPUTED_VALUE"""),"came")</f>
        <v>came</v>
      </c>
      <c r="E1711" s="49"/>
      <c r="F1711" s="49"/>
      <c r="G1711" s="49"/>
      <c r="H1711" s="54" t="str">
        <f t="shared" si="1"/>
        <v>experienced,</v>
      </c>
      <c r="I1711" s="50"/>
      <c r="J1711" s="50" t="s">
        <v>1699</v>
      </c>
      <c r="K1711" s="50" t="s">
        <v>4906</v>
      </c>
      <c r="L1711" s="49"/>
      <c r="M1711" s="49"/>
      <c r="N1711" s="49"/>
      <c r="O1711" s="49" t="str">
        <f>IFERROR(__xludf.DUMMYFUNCTION("""COMPUTED_VALUE"""),"heroism")</f>
        <v>heroism</v>
      </c>
      <c r="P1711" s="49" t="str">
        <f t="shared" si="2"/>
        <v>former,</v>
      </c>
      <c r="Q1711" s="49"/>
      <c r="R1711" s="50" t="s">
        <v>5230</v>
      </c>
      <c r="S1711" s="55" t="s">
        <v>6563</v>
      </c>
      <c r="T1711" s="49" t="str">
        <f>IFERROR(__xludf.DUMMYFUNCTION("""COMPUTED_VALUE"""),"goals")</f>
        <v>goals</v>
      </c>
      <c r="U1711" s="49"/>
      <c r="V1711" s="49"/>
      <c r="W1711" s="49" t="str">
        <f>IFERROR(__xludf.DUMMYFUNCTION("""COMPUTED_VALUE"""),"lunar")</f>
        <v>lunar</v>
      </c>
      <c r="X1711" s="49" t="str">
        <f t="shared" si="3"/>
        <v>allowing,</v>
      </c>
      <c r="Y1711" s="49"/>
      <c r="Z1711" s="1" t="s">
        <v>4340</v>
      </c>
      <c r="AA1711" s="1" t="s">
        <v>4905</v>
      </c>
      <c r="AB1711" s="49"/>
      <c r="AC1711" s="49"/>
      <c r="AD1711" s="49"/>
      <c r="AE1711" s="49" t="str">
        <f>IFERROR(__xludf.DUMMYFUNCTION("""COMPUTED_VALUE"""),"heroism")</f>
        <v>heroism</v>
      </c>
      <c r="AF1711" s="49" t="str">
        <f t="shared" si="4"/>
        <v>shooting,</v>
      </c>
      <c r="AG1711" s="49"/>
      <c r="AH1711" s="1" t="s">
        <v>3113</v>
      </c>
      <c r="AI1711" s="1" t="s">
        <v>2919</v>
      </c>
      <c r="AJ1711" s="6" t="str">
        <f>IFERROR(__xludf.DUMMYFUNCTION("""COMPUTED_VALUE"""),"leaving")</f>
        <v>leaving</v>
      </c>
      <c r="AK1711" s="49"/>
      <c r="AL1711" s="49"/>
      <c r="AM1711" s="49"/>
      <c r="AN1711" s="52" t="str">
        <f t="shared" si="5"/>
        <v>bigger,</v>
      </c>
    </row>
    <row r="1712">
      <c r="A1712" s="51"/>
      <c r="B1712" s="50" t="s">
        <v>6311</v>
      </c>
      <c r="C1712" s="50" t="s">
        <v>3955</v>
      </c>
      <c r="D1712" s="49" t="str">
        <f>IFERROR(__xludf.DUMMYFUNCTION("""COMPUTED_VALUE"""),"places")</f>
        <v>places</v>
      </c>
      <c r="E1712" s="49"/>
      <c r="F1712" s="49"/>
      <c r="G1712" s="49"/>
      <c r="H1712" s="54" t="str">
        <f t="shared" si="1"/>
        <v>theatre,</v>
      </c>
      <c r="I1712" s="50"/>
      <c r="J1712" s="50">
        <v>1958.0</v>
      </c>
      <c r="K1712" s="50" t="s">
        <v>4349</v>
      </c>
      <c r="L1712" s="49"/>
      <c r="M1712" s="49"/>
      <c r="N1712" s="49"/>
      <c r="O1712" s="49" t="str">
        <f>IFERROR(__xludf.DUMMYFUNCTION("""COMPUTED_VALUE"""),"sacrifices")</f>
        <v>sacrifices</v>
      </c>
      <c r="P1712" s="49" t="str">
        <f t="shared" si="2"/>
        <v>1958,</v>
      </c>
      <c r="Q1712" s="49"/>
      <c r="R1712" s="50" t="s">
        <v>7432</v>
      </c>
      <c r="S1712" s="55" t="s">
        <v>3902</v>
      </c>
      <c r="T1712" s="49" t="str">
        <f>IFERROR(__xludf.DUMMYFUNCTION("""COMPUTED_VALUE"""),"precision")</f>
        <v>precision</v>
      </c>
      <c r="U1712" s="49"/>
      <c r="V1712" s="49"/>
      <c r="W1712" s="49" t="str">
        <f>IFERROR(__xludf.DUMMYFUNCTION("""COMPUTED_VALUE"""),"interpreting")</f>
        <v>interpreting</v>
      </c>
      <c r="X1712" s="49" t="str">
        <f t="shared" si="3"/>
        <v>tin,</v>
      </c>
      <c r="Y1712" s="49"/>
      <c r="Z1712" s="1" t="s">
        <v>887</v>
      </c>
      <c r="AA1712" s="1" t="s">
        <v>3337</v>
      </c>
      <c r="AB1712" s="49"/>
      <c r="AC1712" s="49"/>
      <c r="AD1712" s="49"/>
      <c r="AE1712" s="49" t="str">
        <f>IFERROR(__xludf.DUMMYFUNCTION("""COMPUTED_VALUE"""),"sacrifices")</f>
        <v>sacrifices</v>
      </c>
      <c r="AF1712" s="49" t="str">
        <f t="shared" si="4"/>
        <v>faith,</v>
      </c>
      <c r="AG1712" s="49"/>
      <c r="AH1712" s="1" t="s">
        <v>5689</v>
      </c>
      <c r="AI1712" s="1" t="s">
        <v>2945</v>
      </c>
      <c r="AJ1712" s="6" t="str">
        <f>IFERROR(__xludf.DUMMYFUNCTION("""COMPUTED_VALUE"""),"expected")</f>
        <v>expected</v>
      </c>
      <c r="AK1712" s="49"/>
      <c r="AL1712" s="49"/>
      <c r="AM1712" s="49"/>
      <c r="AN1712" s="52" t="str">
        <f t="shared" si="5"/>
        <v>writers,</v>
      </c>
    </row>
    <row r="1713">
      <c r="A1713" s="51"/>
      <c r="B1713" s="50" t="s">
        <v>941</v>
      </c>
      <c r="C1713" s="50" t="s">
        <v>4821</v>
      </c>
      <c r="D1713" s="49" t="str">
        <f>IFERROR(__xludf.DUMMYFUNCTION("""COMPUTED_VALUE"""),"piano")</f>
        <v>piano</v>
      </c>
      <c r="E1713" s="49"/>
      <c r="F1713" s="49"/>
      <c r="G1713" s="49"/>
      <c r="H1713" s="54" t="str">
        <f t="shared" si="1"/>
        <v>sequence,</v>
      </c>
      <c r="I1713" s="50"/>
      <c r="J1713" s="50" t="s">
        <v>5492</v>
      </c>
      <c r="K1713" s="50" t="s">
        <v>3233</v>
      </c>
      <c r="L1713" s="49"/>
      <c r="M1713" s="49"/>
      <c r="N1713" s="49"/>
      <c r="O1713" s="49" t="str">
        <f>IFERROR(__xludf.DUMMYFUNCTION("""COMPUTED_VALUE"""),"consciously")</f>
        <v>consciously</v>
      </c>
      <c r="P1713" s="49" t="str">
        <f t="shared" si="2"/>
        <v>gathering,</v>
      </c>
      <c r="Q1713" s="49"/>
      <c r="R1713" s="50" t="s">
        <v>7433</v>
      </c>
      <c r="S1713" s="55" t="s">
        <v>3238</v>
      </c>
      <c r="T1713" s="49" t="str">
        <f>IFERROR(__xludf.DUMMYFUNCTION("""COMPUTED_VALUE"""),"forgiven")</f>
        <v>forgiven</v>
      </c>
      <c r="U1713" s="49"/>
      <c r="V1713" s="49"/>
      <c r="W1713" s="49" t="str">
        <f>IFERROR(__xludf.DUMMYFUNCTION("""COMPUTED_VALUE"""),"underworld")</f>
        <v>underworld</v>
      </c>
      <c r="X1713" s="49" t="str">
        <f t="shared" si="3"/>
        <v>bra,</v>
      </c>
      <c r="Y1713" s="49"/>
      <c r="Z1713" s="1" t="s">
        <v>1669</v>
      </c>
      <c r="AA1713" s="1" t="s">
        <v>2109</v>
      </c>
      <c r="AB1713" s="49"/>
      <c r="AC1713" s="49"/>
      <c r="AD1713" s="49"/>
      <c r="AE1713" s="49" t="str">
        <f>IFERROR(__xludf.DUMMYFUNCTION("""COMPUTED_VALUE"""),"consciously")</f>
        <v>consciously</v>
      </c>
      <c r="AF1713" s="49" t="str">
        <f t="shared" si="4"/>
        <v>heart,</v>
      </c>
      <c r="AG1713" s="49"/>
      <c r="AH1713" s="1" t="s">
        <v>6344</v>
      </c>
      <c r="AI1713" s="1" t="s">
        <v>2767</v>
      </c>
      <c r="AJ1713" s="6" t="str">
        <f>IFERROR(__xludf.DUMMYFUNCTION("""COMPUTED_VALUE"""),"gray")</f>
        <v>gray</v>
      </c>
      <c r="AK1713" s="49"/>
      <c r="AL1713" s="49"/>
      <c r="AM1713" s="49"/>
      <c r="AN1713" s="52" t="str">
        <f t="shared" si="5"/>
        <v>extremely,</v>
      </c>
    </row>
    <row r="1714">
      <c r="A1714" s="51"/>
      <c r="B1714" s="50" t="s">
        <v>7434</v>
      </c>
      <c r="C1714" s="50" t="s">
        <v>6039</v>
      </c>
      <c r="D1714" s="49" t="str">
        <f>IFERROR(__xludf.DUMMYFUNCTION("""COMPUTED_VALUE"""),"teacher")</f>
        <v>teacher</v>
      </c>
      <c r="E1714" s="49"/>
      <c r="F1714" s="49"/>
      <c r="G1714" s="49"/>
      <c r="H1714" s="54" t="str">
        <f t="shared" si="1"/>
        <v>denmark,</v>
      </c>
      <c r="I1714" s="50"/>
      <c r="J1714" s="50">
        <v>0.0</v>
      </c>
      <c r="K1714" s="50" t="s">
        <v>4354</v>
      </c>
      <c r="L1714" s="49"/>
      <c r="M1714" s="49"/>
      <c r="N1714" s="49"/>
      <c r="O1714" s="49" t="str">
        <f>IFERROR(__xludf.DUMMYFUNCTION("""COMPUTED_VALUE"""),"asphalt")</f>
        <v>asphalt</v>
      </c>
      <c r="P1714" s="49" t="str">
        <f t="shared" si="2"/>
        <v>0,</v>
      </c>
      <c r="Q1714" s="49"/>
      <c r="R1714" s="50" t="s">
        <v>1141</v>
      </c>
      <c r="S1714" s="55" t="s">
        <v>3065</v>
      </c>
      <c r="T1714" s="49" t="str">
        <f>IFERROR(__xludf.DUMMYFUNCTION("""COMPUTED_VALUE"""),"wholly")</f>
        <v>wholly</v>
      </c>
      <c r="U1714" s="49"/>
      <c r="V1714" s="49"/>
      <c r="W1714" s="49" t="str">
        <f>IFERROR(__xludf.DUMMYFUNCTION("""COMPUTED_VALUE"""),"disturbance")</f>
        <v>disturbance</v>
      </c>
      <c r="X1714" s="49" t="str">
        <f t="shared" si="3"/>
        <v>term,</v>
      </c>
      <c r="Y1714" s="49"/>
      <c r="Z1714" s="1" t="s">
        <v>2769</v>
      </c>
      <c r="AA1714" s="1" t="s">
        <v>3817</v>
      </c>
      <c r="AB1714" s="49"/>
      <c r="AC1714" s="49"/>
      <c r="AD1714" s="49"/>
      <c r="AE1714" s="49" t="str">
        <f>IFERROR(__xludf.DUMMYFUNCTION("""COMPUTED_VALUE"""),"asphalt")</f>
        <v>asphalt</v>
      </c>
      <c r="AF1714" s="49" t="str">
        <f t="shared" si="4"/>
        <v>god,</v>
      </c>
      <c r="AG1714" s="49"/>
      <c r="AH1714" s="1" t="s">
        <v>4142</v>
      </c>
      <c r="AI1714" s="1" t="s">
        <v>6543</v>
      </c>
      <c r="AJ1714" s="6" t="str">
        <f>IFERROR(__xludf.DUMMYFUNCTION("""COMPUTED_VALUE"""),"copies")</f>
        <v>copies</v>
      </c>
      <c r="AK1714" s="49"/>
      <c r="AL1714" s="49"/>
      <c r="AM1714" s="49"/>
      <c r="AN1714" s="52" t="str">
        <f t="shared" si="5"/>
        <v>jonathan,</v>
      </c>
    </row>
    <row r="1715">
      <c r="A1715" s="51"/>
      <c r="B1715" s="50" t="s">
        <v>4415</v>
      </c>
      <c r="C1715" s="50" t="s">
        <v>4638</v>
      </c>
      <c r="D1715" s="49" t="str">
        <f>IFERROR(__xludf.DUMMYFUNCTION("""COMPUTED_VALUE"""),"trick")</f>
        <v>trick</v>
      </c>
      <c r="E1715" s="49"/>
      <c r="F1715" s="49"/>
      <c r="G1715" s="49"/>
      <c r="H1715" s="54" t="str">
        <f t="shared" si="1"/>
        <v>attack,</v>
      </c>
      <c r="I1715" s="50"/>
      <c r="J1715" s="50" t="s">
        <v>6892</v>
      </c>
      <c r="K1715" s="50" t="s">
        <v>4357</v>
      </c>
      <c r="L1715" s="49"/>
      <c r="M1715" s="49"/>
      <c r="N1715" s="49"/>
      <c r="O1715" s="49" t="str">
        <f>IFERROR(__xludf.DUMMYFUNCTION("""COMPUTED_VALUE"""),"persecuted")</f>
        <v>persecuted</v>
      </c>
      <c r="P1715" s="49" t="str">
        <f t="shared" si="2"/>
        <v>continue,</v>
      </c>
      <c r="Q1715" s="49"/>
      <c r="R1715" s="50" t="s">
        <v>2036</v>
      </c>
      <c r="S1715" s="55" t="s">
        <v>4737</v>
      </c>
      <c r="T1715" s="49" t="str">
        <f>IFERROR(__xludf.DUMMYFUNCTION("""COMPUTED_VALUE"""),"strategic")</f>
        <v>strategic</v>
      </c>
      <c r="U1715" s="49"/>
      <c r="V1715" s="49"/>
      <c r="W1715" s="49" t="str">
        <f>IFERROR(__xludf.DUMMYFUNCTION("""COMPUTED_VALUE"""),"bender")</f>
        <v>bender</v>
      </c>
      <c r="X1715" s="49" t="str">
        <f t="shared" si="3"/>
        <v>backlash,</v>
      </c>
      <c r="Y1715" s="49"/>
      <c r="Z1715" s="1" t="s">
        <v>3544</v>
      </c>
      <c r="AA1715" s="1" t="s">
        <v>4908</v>
      </c>
      <c r="AB1715" s="49"/>
      <c r="AC1715" s="49"/>
      <c r="AD1715" s="49"/>
      <c r="AE1715" s="49" t="str">
        <f>IFERROR(__xludf.DUMMYFUNCTION("""COMPUTED_VALUE"""),"persecuted")</f>
        <v>persecuted</v>
      </c>
      <c r="AF1715" s="49" t="str">
        <f t="shared" si="4"/>
        <v>arnold,</v>
      </c>
      <c r="AG1715" s="49"/>
      <c r="AH1715" s="1" t="s">
        <v>696</v>
      </c>
      <c r="AI1715" s="1" t="b">
        <v>0</v>
      </c>
      <c r="AJ1715" s="6" t="str">
        <f>IFERROR(__xludf.DUMMYFUNCTION("""COMPUTED_VALUE"""),"muscles")</f>
        <v>muscles</v>
      </c>
      <c r="AK1715" s="49"/>
      <c r="AL1715" s="49"/>
      <c r="AM1715" s="49"/>
      <c r="AN1715" s="52" t="str">
        <f t="shared" si="5"/>
        <v>obvious,</v>
      </c>
    </row>
    <row r="1716">
      <c r="A1716" s="51"/>
      <c r="B1716" s="50" t="s">
        <v>663</v>
      </c>
      <c r="C1716" s="50" t="s">
        <v>4455</v>
      </c>
      <c r="D1716" s="49" t="str">
        <f>IFERROR(__xludf.DUMMYFUNCTION("""COMPUTED_VALUE"""),"increasingly")</f>
        <v>increasingly</v>
      </c>
      <c r="E1716" s="49"/>
      <c r="F1716" s="49"/>
      <c r="G1716" s="49"/>
      <c r="H1716" s="54" t="str">
        <f t="shared" si="1"/>
        <v>washington,</v>
      </c>
      <c r="I1716" s="50"/>
      <c r="J1716" s="50" t="s">
        <v>1766</v>
      </c>
      <c r="K1716" s="50" t="s">
        <v>2957</v>
      </c>
      <c r="L1716" s="49"/>
      <c r="M1716" s="49"/>
      <c r="N1716" s="49"/>
      <c r="O1716" s="49" t="str">
        <f>IFERROR(__xludf.DUMMYFUNCTION("""COMPUTED_VALUE"""),"tall")</f>
        <v>tall</v>
      </c>
      <c r="P1716" s="49" t="str">
        <f t="shared" si="2"/>
        <v>relatively,</v>
      </c>
      <c r="Q1716" s="49"/>
      <c r="R1716" s="50" t="s">
        <v>4063</v>
      </c>
      <c r="S1716" s="55" t="s">
        <v>6169</v>
      </c>
      <c r="T1716" s="49" t="str">
        <f>IFERROR(__xludf.DUMMYFUNCTION("""COMPUTED_VALUE"""),"laden")</f>
        <v>laden</v>
      </c>
      <c r="U1716" s="49"/>
      <c r="V1716" s="49"/>
      <c r="W1716" s="49" t="str">
        <f>IFERROR(__xludf.DUMMYFUNCTION("""COMPUTED_VALUE"""),"precedent")</f>
        <v>precedent</v>
      </c>
      <c r="X1716" s="49" t="str">
        <f t="shared" si="3"/>
        <v>hall,</v>
      </c>
      <c r="Y1716" s="49"/>
      <c r="Z1716" s="1" t="s">
        <v>6333</v>
      </c>
      <c r="AA1716" s="1" t="s">
        <v>3820</v>
      </c>
      <c r="AB1716" s="49"/>
      <c r="AC1716" s="49"/>
      <c r="AD1716" s="49"/>
      <c r="AE1716" s="49" t="str">
        <f>IFERROR(__xludf.DUMMYFUNCTION("""COMPUTED_VALUE"""),"tall")</f>
        <v>tall</v>
      </c>
      <c r="AF1716" s="49" t="str">
        <f t="shared" si="4"/>
        <v>save,</v>
      </c>
      <c r="AG1716" s="49"/>
      <c r="AH1716" s="1" t="s">
        <v>6110</v>
      </c>
      <c r="AI1716" s="1" t="s">
        <v>2770</v>
      </c>
      <c r="AJ1716" s="6" t="str">
        <f>IFERROR(__xludf.DUMMYFUNCTION("""COMPUTED_VALUE"""),"exercise")</f>
        <v>exercise</v>
      </c>
      <c r="AK1716" s="49"/>
      <c r="AL1716" s="49"/>
      <c r="AM1716" s="49"/>
      <c r="AN1716" s="52" t="str">
        <f t="shared" si="5"/>
        <v>marshall,</v>
      </c>
    </row>
    <row r="1717">
      <c r="A1717" s="51"/>
      <c r="B1717" s="50" t="s">
        <v>6535</v>
      </c>
      <c r="C1717" s="50" t="s">
        <v>3966</v>
      </c>
      <c r="D1717" s="49" t="str">
        <f>IFERROR(__xludf.DUMMYFUNCTION("""COMPUTED_VALUE"""),"features")</f>
        <v>features</v>
      </c>
      <c r="E1717" s="49"/>
      <c r="F1717" s="49"/>
      <c r="G1717" s="49"/>
      <c r="H1717" s="54" t="str">
        <f t="shared" si="1"/>
        <v>focus,</v>
      </c>
      <c r="I1717" s="50"/>
      <c r="J1717" s="50" t="s">
        <v>5251</v>
      </c>
      <c r="K1717" s="50" t="s">
        <v>1090</v>
      </c>
      <c r="L1717" s="49"/>
      <c r="M1717" s="49"/>
      <c r="N1717" s="49"/>
      <c r="O1717" s="49">
        <f>IFERROR(__xludf.DUMMYFUNCTION("""COMPUTED_VALUE"""),87.0)</f>
        <v>87</v>
      </c>
      <c r="P1717" s="49" t="str">
        <f t="shared" si="2"/>
        <v>grown,</v>
      </c>
      <c r="Q1717" s="49"/>
      <c r="R1717" s="50" t="s">
        <v>7435</v>
      </c>
      <c r="S1717" s="55" t="s">
        <v>2836</v>
      </c>
      <c r="T1717" s="49" t="str">
        <f>IFERROR(__xludf.DUMMYFUNCTION("""COMPUTED_VALUE"""),"tapestry")</f>
        <v>tapestry</v>
      </c>
      <c r="U1717" s="49"/>
      <c r="V1717" s="49"/>
      <c r="W1717" s="49" t="str">
        <f>IFERROR(__xludf.DUMMYFUNCTION("""COMPUTED_VALUE"""),"catastrophic")</f>
        <v>catastrophic</v>
      </c>
      <c r="X1717" s="49" t="str">
        <f t="shared" si="3"/>
        <v>frail,</v>
      </c>
      <c r="Y1717" s="49"/>
      <c r="Z1717" s="1" t="s">
        <v>7436</v>
      </c>
      <c r="AA1717" s="1" t="s">
        <v>3823</v>
      </c>
      <c r="AB1717" s="49"/>
      <c r="AC1717" s="49"/>
      <c r="AD1717" s="49"/>
      <c r="AE1717" s="49">
        <f>IFERROR(__xludf.DUMMYFUNCTION("""COMPUTED_VALUE"""),87.0)</f>
        <v>87</v>
      </c>
      <c r="AF1717" s="49" t="str">
        <f t="shared" si="4"/>
        <v>oriented,</v>
      </c>
      <c r="AG1717" s="49"/>
      <c r="AH1717" s="1" t="s">
        <v>4993</v>
      </c>
      <c r="AI1717" s="1" t="s">
        <v>4113</v>
      </c>
      <c r="AJ1717" s="6" t="str">
        <f>IFERROR(__xludf.DUMMYFUNCTION("""COMPUTED_VALUE"""),"blame")</f>
        <v>blame</v>
      </c>
      <c r="AK1717" s="49"/>
      <c r="AL1717" s="49"/>
      <c r="AM1717" s="49"/>
      <c r="AN1717" s="52" t="str">
        <f t="shared" si="5"/>
        <v>fire,</v>
      </c>
    </row>
    <row r="1718">
      <c r="A1718" s="51"/>
      <c r="B1718" s="50" t="s">
        <v>7309</v>
      </c>
      <c r="C1718" s="50" t="s">
        <v>4463</v>
      </c>
      <c r="D1718" s="49" t="str">
        <f>IFERROR(__xludf.DUMMYFUNCTION("""COMPUTED_VALUE"""),"served")</f>
        <v>served</v>
      </c>
      <c r="E1718" s="49"/>
      <c r="F1718" s="49"/>
      <c r="G1718" s="49"/>
      <c r="H1718" s="54" t="str">
        <f t="shared" si="1"/>
        <v>bob,</v>
      </c>
      <c r="I1718" s="50"/>
      <c r="J1718" s="50" t="s">
        <v>2708</v>
      </c>
      <c r="K1718" s="50" t="s">
        <v>4915</v>
      </c>
      <c r="L1718" s="49"/>
      <c r="M1718" s="49"/>
      <c r="N1718" s="49"/>
      <c r="O1718" s="49" t="str">
        <f>IFERROR(__xludf.DUMMYFUNCTION("""COMPUTED_VALUE"""),"longtime")</f>
        <v>longtime</v>
      </c>
      <c r="P1718" s="49" t="str">
        <f t="shared" si="2"/>
        <v>commercial,</v>
      </c>
      <c r="Q1718" s="49"/>
      <c r="R1718" s="50" t="s">
        <v>5151</v>
      </c>
      <c r="S1718" s="55" t="s">
        <v>4238</v>
      </c>
      <c r="T1718" s="49" t="str">
        <f>IFERROR(__xludf.DUMMYFUNCTION("""COMPUTED_VALUE"""),"echoes")</f>
        <v>echoes</v>
      </c>
      <c r="U1718" s="49"/>
      <c r="V1718" s="49"/>
      <c r="W1718" s="49">
        <f>IFERROR(__xludf.DUMMYFUNCTION("""COMPUTED_VALUE"""),1973.0)</f>
        <v>1973</v>
      </c>
      <c r="X1718" s="49" t="str">
        <f t="shared" si="3"/>
        <v>feathers,</v>
      </c>
      <c r="Y1718" s="49"/>
      <c r="Z1718" s="1" t="s">
        <v>5444</v>
      </c>
      <c r="AA1718" s="1" t="s">
        <v>3825</v>
      </c>
      <c r="AB1718" s="49"/>
      <c r="AC1718" s="49"/>
      <c r="AD1718" s="49"/>
      <c r="AE1718" s="49" t="str">
        <f>IFERROR(__xludf.DUMMYFUNCTION("""COMPUTED_VALUE"""),"longtime")</f>
        <v>longtime</v>
      </c>
      <c r="AF1718" s="49" t="str">
        <f t="shared" si="4"/>
        <v>sheer,</v>
      </c>
      <c r="AG1718" s="49"/>
      <c r="AH1718" s="1" t="s">
        <v>682</v>
      </c>
      <c r="AI1718" s="1" t="s">
        <v>4119</v>
      </c>
      <c r="AJ1718" s="6" t="str">
        <f>IFERROR(__xludf.DUMMYFUNCTION("""COMPUTED_VALUE"""),"husband")</f>
        <v>husband</v>
      </c>
      <c r="AK1718" s="49"/>
      <c r="AL1718" s="49"/>
      <c r="AM1718" s="49"/>
      <c r="AN1718" s="52" t="str">
        <f t="shared" si="5"/>
        <v>kitchen,</v>
      </c>
    </row>
    <row r="1719">
      <c r="A1719" s="51"/>
      <c r="B1719" s="50" t="s">
        <v>3656</v>
      </c>
      <c r="C1719" s="50" t="s">
        <v>762</v>
      </c>
      <c r="D1719" s="49" t="str">
        <f>IFERROR(__xludf.DUMMYFUNCTION("""COMPUTED_VALUE"""),"usually")</f>
        <v>usually</v>
      </c>
      <c r="E1719" s="49"/>
      <c r="F1719" s="49"/>
      <c r="G1719" s="49"/>
      <c r="H1719" s="54" t="str">
        <f t="shared" si="1"/>
        <v>receive,</v>
      </c>
      <c r="I1719" s="50"/>
      <c r="J1719" s="50" t="s">
        <v>4476</v>
      </c>
      <c r="K1719" s="50" t="s">
        <v>3236</v>
      </c>
      <c r="L1719" s="49"/>
      <c r="M1719" s="49"/>
      <c r="N1719" s="49"/>
      <c r="O1719" s="49" t="str">
        <f>IFERROR(__xludf.DUMMYFUNCTION("""COMPUTED_VALUE"""),"tolkien")</f>
        <v>tolkien</v>
      </c>
      <c r="P1719" s="49" t="str">
        <f t="shared" si="2"/>
        <v>orchestrated,</v>
      </c>
      <c r="Q1719" s="49"/>
      <c r="R1719" s="50" t="s">
        <v>5509</v>
      </c>
      <c r="S1719" s="55" t="s">
        <v>6564</v>
      </c>
      <c r="T1719" s="49" t="str">
        <f>IFERROR(__xludf.DUMMYFUNCTION("""COMPUTED_VALUE"""),"plight")</f>
        <v>plight</v>
      </c>
      <c r="U1719" s="49"/>
      <c r="V1719" s="49"/>
      <c r="W1719" s="49" t="str">
        <f>IFERROR(__xludf.DUMMYFUNCTION("""COMPUTED_VALUE"""),"pact")</f>
        <v>pact</v>
      </c>
      <c r="X1719" s="49" t="str">
        <f t="shared" si="3"/>
        <v>nostalgia,</v>
      </c>
      <c r="Y1719" s="49"/>
      <c r="Z1719" s="1" t="s">
        <v>3879</v>
      </c>
      <c r="AA1719" s="1" t="s">
        <v>2113</v>
      </c>
      <c r="AB1719" s="49"/>
      <c r="AC1719" s="49"/>
      <c r="AD1719" s="49"/>
      <c r="AE1719" s="49" t="str">
        <f>IFERROR(__xludf.DUMMYFUNCTION("""COMPUTED_VALUE"""),"tolkien")</f>
        <v>tolkien</v>
      </c>
      <c r="AF1719" s="49" t="str">
        <f t="shared" si="4"/>
        <v>enormous,</v>
      </c>
      <c r="AG1719" s="49"/>
      <c r="AH1719" s="1" t="s">
        <v>6014</v>
      </c>
      <c r="AI1719" s="1" t="s">
        <v>4015</v>
      </c>
      <c r="AJ1719" s="6" t="str">
        <f>IFERROR(__xludf.DUMMYFUNCTION("""COMPUTED_VALUE"""),"bodies")</f>
        <v>bodies</v>
      </c>
      <c r="AK1719" s="49"/>
      <c r="AL1719" s="49"/>
      <c r="AM1719" s="49"/>
      <c r="AN1719" s="52" t="str">
        <f t="shared" si="5"/>
        <v>tanks,</v>
      </c>
    </row>
    <row r="1720">
      <c r="A1720" s="51"/>
      <c r="B1720" s="50" t="s">
        <v>4354</v>
      </c>
      <c r="C1720" s="50" t="s">
        <v>1150</v>
      </c>
      <c r="D1720" s="49" t="str">
        <f>IFERROR(__xludf.DUMMYFUNCTION("""COMPUTED_VALUE"""),"five")</f>
        <v>five</v>
      </c>
      <c r="E1720" s="49"/>
      <c r="F1720" s="49"/>
      <c r="G1720" s="49"/>
      <c r="H1720" s="54" t="str">
        <f t="shared" si="1"/>
        <v>threat,</v>
      </c>
      <c r="I1720" s="50"/>
      <c r="J1720" s="50" t="s">
        <v>838</v>
      </c>
      <c r="K1720" s="50" t="s">
        <v>3485</v>
      </c>
      <c r="L1720" s="49"/>
      <c r="M1720" s="49"/>
      <c r="N1720" s="49"/>
      <c r="O1720" s="49" t="str">
        <f>IFERROR(__xludf.DUMMYFUNCTION("""COMPUTED_VALUE"""),"twisting")</f>
        <v>twisting</v>
      </c>
      <c r="P1720" s="49" t="str">
        <f t="shared" si="2"/>
        <v>schemes,</v>
      </c>
      <c r="Q1720" s="49"/>
      <c r="R1720" s="50" t="s">
        <v>1439</v>
      </c>
      <c r="S1720" s="55" t="s">
        <v>4205</v>
      </c>
      <c r="T1720" s="49" t="str">
        <f>IFERROR(__xludf.DUMMYFUNCTION("""COMPUTED_VALUE"""),"dread")</f>
        <v>dread</v>
      </c>
      <c r="U1720" s="49"/>
      <c r="V1720" s="49"/>
      <c r="W1720" s="49" t="str">
        <f>IFERROR(__xludf.DUMMYFUNCTION("""COMPUTED_VALUE"""),"grave")</f>
        <v>grave</v>
      </c>
      <c r="X1720" s="49" t="str">
        <f t="shared" si="3"/>
        <v>myth,</v>
      </c>
      <c r="Y1720" s="49"/>
      <c r="Z1720" s="1" t="s">
        <v>1982</v>
      </c>
      <c r="AA1720" s="1" t="s">
        <v>3828</v>
      </c>
      <c r="AB1720" s="49"/>
      <c r="AC1720" s="49"/>
      <c r="AD1720" s="49"/>
      <c r="AE1720" s="49" t="str">
        <f>IFERROR(__xludf.DUMMYFUNCTION("""COMPUTED_VALUE"""),"twisting")</f>
        <v>twisting</v>
      </c>
      <c r="AF1720" s="49" t="str">
        <f t="shared" si="4"/>
        <v>buy,</v>
      </c>
      <c r="AG1720" s="49"/>
      <c r="AH1720" s="1" t="s">
        <v>7437</v>
      </c>
      <c r="AI1720" s="1" t="s">
        <v>4120</v>
      </c>
      <c r="AJ1720" s="6" t="str">
        <f>IFERROR(__xludf.DUMMYFUNCTION("""COMPUTED_VALUE"""),"harry")</f>
        <v>harry</v>
      </c>
      <c r="AK1720" s="49"/>
      <c r="AL1720" s="49"/>
      <c r="AM1720" s="49"/>
      <c r="AN1720" s="52" t="str">
        <f t="shared" si="5"/>
        <v>decides,</v>
      </c>
    </row>
    <row r="1721">
      <c r="A1721" s="51"/>
      <c r="B1721" s="50" t="s">
        <v>7323</v>
      </c>
      <c r="C1721" s="50" t="s">
        <v>2673</v>
      </c>
      <c r="D1721" s="49" t="str">
        <f>IFERROR(__xludf.DUMMYFUNCTION("""COMPUTED_VALUE"""),"worked")</f>
        <v>worked</v>
      </c>
      <c r="E1721" s="49"/>
      <c r="F1721" s="49"/>
      <c r="G1721" s="49"/>
      <c r="H1721" s="54" t="str">
        <f t="shared" si="1"/>
        <v>las,</v>
      </c>
      <c r="I1721" s="50"/>
      <c r="J1721" s="50" t="s">
        <v>3132</v>
      </c>
      <c r="K1721" s="50" t="s">
        <v>4920</v>
      </c>
      <c r="L1721" s="49"/>
      <c r="M1721" s="49"/>
      <c r="N1721" s="49"/>
      <c r="O1721" s="49" t="str">
        <f>IFERROR(__xludf.DUMMYFUNCTION("""COMPUTED_VALUE"""),"adjusting")</f>
        <v>adjusting</v>
      </c>
      <c r="P1721" s="49" t="str">
        <f t="shared" si="2"/>
        <v>key,</v>
      </c>
      <c r="Q1721" s="49"/>
      <c r="R1721" s="50" t="s">
        <v>4011</v>
      </c>
      <c r="S1721" s="55" t="s">
        <v>4741</v>
      </c>
      <c r="T1721" s="49" t="str">
        <f>IFERROR(__xludf.DUMMYFUNCTION("""COMPUTED_VALUE"""),"collectively")</f>
        <v>collectively</v>
      </c>
      <c r="U1721" s="49"/>
      <c r="V1721" s="49"/>
      <c r="W1721" s="49" t="str">
        <f>IFERROR(__xludf.DUMMYFUNCTION("""COMPUTED_VALUE"""),"jaw")</f>
        <v>jaw</v>
      </c>
      <c r="X1721" s="49" t="str">
        <f t="shared" si="3"/>
        <v>rendered,</v>
      </c>
      <c r="Y1721" s="49"/>
      <c r="Z1721" s="1" t="s">
        <v>2165</v>
      </c>
      <c r="AA1721" s="1" t="s">
        <v>126</v>
      </c>
      <c r="AB1721" s="49"/>
      <c r="AC1721" s="49"/>
      <c r="AD1721" s="49"/>
      <c r="AE1721" s="49" t="str">
        <f>IFERROR(__xludf.DUMMYFUNCTION("""COMPUTED_VALUE"""),"adjusting")</f>
        <v>adjusting</v>
      </c>
      <c r="AF1721" s="49" t="str">
        <f t="shared" si="4"/>
        <v>edited,</v>
      </c>
      <c r="AG1721" s="49"/>
      <c r="AH1721" s="1" t="s">
        <v>3981</v>
      </c>
      <c r="AI1721" s="1" t="s">
        <v>4121</v>
      </c>
      <c r="AJ1721" s="6" t="str">
        <f>IFERROR(__xludf.DUMMYFUNCTION("""COMPUTED_VALUE"""),"finds")</f>
        <v>finds</v>
      </c>
      <c r="AK1721" s="49"/>
      <c r="AL1721" s="49"/>
      <c r="AM1721" s="49"/>
      <c r="AN1721" s="52" t="str">
        <f t="shared" si="5"/>
        <v>clients,</v>
      </c>
    </row>
    <row r="1722">
      <c r="A1722" s="51"/>
      <c r="B1722" s="50" t="s">
        <v>2570</v>
      </c>
      <c r="C1722" s="50" t="s">
        <v>6539</v>
      </c>
      <c r="D1722" s="49" t="str">
        <f>IFERROR(__xludf.DUMMYFUNCTION("""COMPUTED_VALUE"""),"development")</f>
        <v>development</v>
      </c>
      <c r="E1722" s="49"/>
      <c r="F1722" s="49"/>
      <c r="G1722" s="49"/>
      <c r="H1722" s="54" t="str">
        <f t="shared" si="1"/>
        <v>finally,</v>
      </c>
      <c r="I1722" s="50"/>
      <c r="J1722" s="50" t="s">
        <v>6788</v>
      </c>
      <c r="K1722" s="50" t="s">
        <v>1671</v>
      </c>
      <c r="L1722" s="49"/>
      <c r="M1722" s="49"/>
      <c r="N1722" s="49"/>
      <c r="O1722" s="49" t="str">
        <f>IFERROR(__xludf.DUMMYFUNCTION("""COMPUTED_VALUE"""),"littered")</f>
        <v>littered</v>
      </c>
      <c r="P1722" s="49" t="str">
        <f t="shared" si="2"/>
        <v>til,</v>
      </c>
      <c r="Q1722" s="49"/>
      <c r="R1722" s="50" t="s">
        <v>2510</v>
      </c>
      <c r="S1722" s="55" t="s">
        <v>3548</v>
      </c>
      <c r="T1722" s="49" t="str">
        <f>IFERROR(__xludf.DUMMYFUNCTION("""COMPUTED_VALUE"""),"transparent")</f>
        <v>transparent</v>
      </c>
      <c r="U1722" s="49"/>
      <c r="V1722" s="49"/>
      <c r="W1722" s="49" t="str">
        <f>IFERROR(__xludf.DUMMYFUNCTION("""COMPUTED_VALUE"""),"crushing")</f>
        <v>crushing</v>
      </c>
      <c r="X1722" s="49" t="str">
        <f t="shared" si="3"/>
        <v>sketch,</v>
      </c>
      <c r="Y1722" s="49"/>
      <c r="Z1722" s="1" t="s">
        <v>4312</v>
      </c>
      <c r="AA1722" s="1" t="s">
        <v>3837</v>
      </c>
      <c r="AB1722" s="49"/>
      <c r="AC1722" s="49"/>
      <c r="AD1722" s="49"/>
      <c r="AE1722" s="49" t="str">
        <f>IFERROR(__xludf.DUMMYFUNCTION("""COMPUTED_VALUE"""),"littered")</f>
        <v>littered</v>
      </c>
      <c r="AF1722" s="49" t="str">
        <f t="shared" si="4"/>
        <v>rise,</v>
      </c>
      <c r="AG1722" s="49"/>
      <c r="AH1722" s="1" t="s">
        <v>881</v>
      </c>
      <c r="AI1722" s="1" t="s">
        <v>4631</v>
      </c>
      <c r="AJ1722" s="6" t="str">
        <f>IFERROR(__xludf.DUMMYFUNCTION("""COMPUTED_VALUE"""),"willing")</f>
        <v>willing</v>
      </c>
      <c r="AK1722" s="49"/>
      <c r="AL1722" s="49"/>
      <c r="AM1722" s="49"/>
      <c r="AN1722" s="52" t="str">
        <f t="shared" si="5"/>
        <v>women,</v>
      </c>
    </row>
    <row r="1723">
      <c r="A1723" s="51"/>
      <c r="B1723" s="50" t="s">
        <v>4233</v>
      </c>
      <c r="C1723" s="50" t="s">
        <v>6540</v>
      </c>
      <c r="D1723" s="49" t="str">
        <f>IFERROR(__xludf.DUMMYFUNCTION("""COMPUTED_VALUE"""),"minute")</f>
        <v>minute</v>
      </c>
      <c r="E1723" s="49"/>
      <c r="F1723" s="49"/>
      <c r="G1723" s="49"/>
      <c r="H1723" s="54" t="str">
        <f t="shared" si="1"/>
        <v>aside,</v>
      </c>
      <c r="I1723" s="50"/>
      <c r="J1723" s="50" t="s">
        <v>3622</v>
      </c>
      <c r="K1723" s="50" t="s">
        <v>3240</v>
      </c>
      <c r="L1723" s="49"/>
      <c r="M1723" s="49"/>
      <c r="N1723" s="49"/>
      <c r="O1723" s="49" t="str">
        <f>IFERROR(__xludf.DUMMYFUNCTION("""COMPUTED_VALUE"""),"methodology")</f>
        <v>methodology</v>
      </c>
      <c r="P1723" s="49" t="str">
        <f t="shared" si="2"/>
        <v>content,</v>
      </c>
      <c r="Q1723" s="49"/>
      <c r="R1723" s="50" t="s">
        <v>2185</v>
      </c>
      <c r="S1723" s="55" t="s">
        <v>1597</v>
      </c>
      <c r="T1723" s="49" t="str">
        <f>IFERROR(__xludf.DUMMYFUNCTION("""COMPUTED_VALUE"""),"linger")</f>
        <v>linger</v>
      </c>
      <c r="U1723" s="49"/>
      <c r="V1723" s="49"/>
      <c r="W1723" s="49" t="str">
        <f>IFERROR(__xludf.DUMMYFUNCTION("""COMPUTED_VALUE"""),"split")</f>
        <v>split</v>
      </c>
      <c r="X1723" s="49" t="str">
        <f t="shared" si="3"/>
        <v>vh1,</v>
      </c>
      <c r="Y1723" s="49"/>
      <c r="Z1723" s="1" t="s">
        <v>2202</v>
      </c>
      <c r="AA1723" s="1" t="s">
        <v>2117</v>
      </c>
      <c r="AB1723" s="49"/>
      <c r="AC1723" s="49"/>
      <c r="AD1723" s="49"/>
      <c r="AE1723" s="49" t="str">
        <f>IFERROR(__xludf.DUMMYFUNCTION("""COMPUTED_VALUE"""),"methodology")</f>
        <v>methodology</v>
      </c>
      <c r="AF1723" s="49" t="str">
        <f t="shared" si="4"/>
        <v>americans,</v>
      </c>
      <c r="AG1723" s="49"/>
      <c r="AH1723" s="1" t="s">
        <v>3812</v>
      </c>
      <c r="AI1723" s="1">
        <v>9.0</v>
      </c>
      <c r="AJ1723" s="6" t="str">
        <f>IFERROR(__xludf.DUMMYFUNCTION("""COMPUTED_VALUE"""),"dying")</f>
        <v>dying</v>
      </c>
      <c r="AK1723" s="49"/>
      <c r="AL1723" s="49"/>
      <c r="AM1723" s="49"/>
      <c r="AN1723" s="52" t="str">
        <f t="shared" si="5"/>
        <v>meaning,</v>
      </c>
    </row>
    <row r="1724">
      <c r="A1724" s="51"/>
      <c r="B1724" s="50" t="s">
        <v>7324</v>
      </c>
      <c r="C1724" s="50" t="s">
        <v>1190</v>
      </c>
      <c r="D1724" s="49" t="str">
        <f>IFERROR(__xludf.DUMMYFUNCTION("""COMPUTED_VALUE"""),"visit")</f>
        <v>visit</v>
      </c>
      <c r="E1724" s="49"/>
      <c r="F1724" s="49"/>
      <c r="G1724" s="49"/>
      <c r="H1724" s="54" t="str">
        <f t="shared" si="1"/>
        <v>dam,</v>
      </c>
      <c r="I1724" s="50"/>
      <c r="J1724" s="50" t="s">
        <v>2555</v>
      </c>
      <c r="K1724" s="50" t="s">
        <v>1746</v>
      </c>
      <c r="L1724" s="49"/>
      <c r="M1724" s="49"/>
      <c r="N1724" s="49"/>
      <c r="O1724" s="49" t="str">
        <f>IFERROR(__xludf.DUMMYFUNCTION("""COMPUTED_VALUE"""),"experimental")</f>
        <v>experimental</v>
      </c>
      <c r="P1724" s="49" t="str">
        <f t="shared" si="2"/>
        <v>managed,</v>
      </c>
      <c r="Q1724" s="49"/>
      <c r="R1724" s="50" t="s">
        <v>1173</v>
      </c>
      <c r="S1724" s="55" t="s">
        <v>4161</v>
      </c>
      <c r="T1724" s="49" t="str">
        <f>IFERROR(__xludf.DUMMYFUNCTION("""COMPUTED_VALUE"""),"slides")</f>
        <v>slides</v>
      </c>
      <c r="U1724" s="49"/>
      <c r="V1724" s="49"/>
      <c r="W1724" s="49" t="str">
        <f>IFERROR(__xludf.DUMMYFUNCTION("""COMPUTED_VALUE"""),"fragment")</f>
        <v>fragment</v>
      </c>
      <c r="X1724" s="49" t="str">
        <f t="shared" si="3"/>
        <v>paxton,</v>
      </c>
      <c r="Y1724" s="49"/>
      <c r="Z1724" s="1" t="s">
        <v>4590</v>
      </c>
      <c r="AA1724" s="1" t="s">
        <v>2121</v>
      </c>
      <c r="AB1724" s="49"/>
      <c r="AC1724" s="49"/>
      <c r="AD1724" s="49"/>
      <c r="AE1724" s="49" t="str">
        <f>IFERROR(__xludf.DUMMYFUNCTION("""COMPUTED_VALUE"""),"experimental")</f>
        <v>experimental</v>
      </c>
      <c r="AF1724" s="49" t="str">
        <f t="shared" si="4"/>
        <v>visit,</v>
      </c>
      <c r="AG1724" s="49"/>
      <c r="AH1724" s="1" t="s">
        <v>3082</v>
      </c>
      <c r="AI1724" s="1" t="s">
        <v>2972</v>
      </c>
      <c r="AJ1724" s="6" t="str">
        <f>IFERROR(__xludf.DUMMYFUNCTION("""COMPUTED_VALUE"""),"eastern")</f>
        <v>eastern</v>
      </c>
      <c r="AK1724" s="49"/>
      <c r="AL1724" s="49"/>
      <c r="AM1724" s="49"/>
      <c r="AN1724" s="52" t="str">
        <f t="shared" si="5"/>
        <v>afraid,</v>
      </c>
    </row>
    <row r="1725">
      <c r="A1725" s="51"/>
      <c r="B1725" s="50" t="s">
        <v>4528</v>
      </c>
      <c r="C1725" s="50" t="s">
        <v>2429</v>
      </c>
      <c r="D1725" s="49" t="str">
        <f>IFERROR(__xludf.DUMMYFUNCTION("""COMPUTED_VALUE"""),"seconds")</f>
        <v>seconds</v>
      </c>
      <c r="E1725" s="49"/>
      <c r="F1725" s="49"/>
      <c r="G1725" s="49"/>
      <c r="H1725" s="54" t="str">
        <f t="shared" si="1"/>
        <v>onto,</v>
      </c>
      <c r="I1725" s="50"/>
      <c r="J1725" s="50" t="s">
        <v>4138</v>
      </c>
      <c r="K1725" s="50" t="s">
        <v>4375</v>
      </c>
      <c r="L1725" s="49"/>
      <c r="M1725" s="49"/>
      <c r="N1725" s="49"/>
      <c r="O1725" s="49" t="str">
        <f>IFERROR(__xludf.DUMMYFUNCTION("""COMPUTED_VALUE"""),"cleavage")</f>
        <v>cleavage</v>
      </c>
      <c r="P1725" s="49" t="str">
        <f t="shared" si="2"/>
        <v>contemporary,</v>
      </c>
      <c r="Q1725" s="49"/>
      <c r="R1725" s="50" t="s">
        <v>3306</v>
      </c>
      <c r="S1725" s="55" t="s">
        <v>4209</v>
      </c>
      <c r="T1725" s="49" t="str">
        <f>IFERROR(__xludf.DUMMYFUNCTION("""COMPUTED_VALUE"""),"frozen")</f>
        <v>frozen</v>
      </c>
      <c r="U1725" s="49"/>
      <c r="V1725" s="49"/>
      <c r="W1725" s="49" t="str">
        <f>IFERROR(__xludf.DUMMYFUNCTION("""COMPUTED_VALUE"""),"potato")</f>
        <v>potato</v>
      </c>
      <c r="X1725" s="49" t="str">
        <f t="shared" si="3"/>
        <v>jagger,</v>
      </c>
      <c r="Y1725" s="49"/>
      <c r="Z1725" s="1" t="s">
        <v>2176</v>
      </c>
      <c r="AA1725" s="1" t="s">
        <v>3846</v>
      </c>
      <c r="AB1725" s="49"/>
      <c r="AC1725" s="49"/>
      <c r="AD1725" s="49"/>
      <c r="AE1725" s="49" t="str">
        <f>IFERROR(__xludf.DUMMYFUNCTION("""COMPUTED_VALUE"""),"cleavage")</f>
        <v>cleavage</v>
      </c>
      <c r="AF1725" s="49" t="str">
        <f t="shared" si="4"/>
        <v>includes,</v>
      </c>
      <c r="AG1725" s="49"/>
      <c r="AH1725" s="1" t="s">
        <v>3150</v>
      </c>
      <c r="AI1725" s="1" t="s">
        <v>4484</v>
      </c>
      <c r="AJ1725" s="6" t="str">
        <f>IFERROR(__xludf.DUMMYFUNCTION("""COMPUTED_VALUE"""),"slowly")</f>
        <v>slowly</v>
      </c>
      <c r="AK1725" s="49"/>
      <c r="AL1725" s="49"/>
      <c r="AM1725" s="49"/>
      <c r="AN1725" s="52" t="str">
        <f t="shared" si="5"/>
        <v>fill,</v>
      </c>
    </row>
    <row r="1726">
      <c r="A1726" s="51"/>
      <c r="B1726" s="50" t="s">
        <v>5170</v>
      </c>
      <c r="C1726" s="50" t="s">
        <v>2801</v>
      </c>
      <c r="D1726" s="49" t="str">
        <f>IFERROR(__xludf.DUMMYFUNCTION("""COMPUTED_VALUE"""),"phrase")</f>
        <v>phrase</v>
      </c>
      <c r="E1726" s="49"/>
      <c r="F1726" s="49"/>
      <c r="G1726" s="49"/>
      <c r="H1726" s="54" t="str">
        <f t="shared" si="1"/>
        <v>skills,</v>
      </c>
      <c r="I1726" s="50"/>
      <c r="J1726" s="50" t="s">
        <v>3954</v>
      </c>
      <c r="K1726" s="50" t="s">
        <v>4925</v>
      </c>
      <c r="L1726" s="49"/>
      <c r="M1726" s="49"/>
      <c r="N1726" s="49"/>
      <c r="O1726" s="49" t="str">
        <f>IFERROR(__xludf.DUMMYFUNCTION("""COMPUTED_VALUE"""),"hymn")</f>
        <v>hymn</v>
      </c>
      <c r="P1726" s="49" t="str">
        <f t="shared" si="2"/>
        <v>warriors,</v>
      </c>
      <c r="Q1726" s="49"/>
      <c r="R1726" s="50" t="s">
        <v>3247</v>
      </c>
      <c r="S1726" s="55" t="s">
        <v>3078</v>
      </c>
      <c r="T1726" s="49" t="str">
        <f>IFERROR(__xludf.DUMMYFUNCTION("""COMPUTED_VALUE"""),"transporting")</f>
        <v>transporting</v>
      </c>
      <c r="U1726" s="49"/>
      <c r="V1726" s="49"/>
      <c r="W1726" s="49" t="str">
        <f>IFERROR(__xludf.DUMMYFUNCTION("""COMPUTED_VALUE"""),"pornographic")</f>
        <v>pornographic</v>
      </c>
      <c r="X1726" s="49" t="str">
        <f t="shared" si="3"/>
        <v>suited,</v>
      </c>
      <c r="Y1726" s="49"/>
      <c r="Z1726" s="1" t="s">
        <v>717</v>
      </c>
      <c r="AA1726" s="1" t="s">
        <v>1386</v>
      </c>
      <c r="AB1726" s="49"/>
      <c r="AC1726" s="49"/>
      <c r="AD1726" s="49"/>
      <c r="AE1726" s="49" t="str">
        <f>IFERROR(__xludf.DUMMYFUNCTION("""COMPUTED_VALUE"""),"hymn")</f>
        <v>hymn</v>
      </c>
      <c r="AF1726" s="49" t="str">
        <f t="shared" si="4"/>
        <v>area,</v>
      </c>
      <c r="AG1726" s="49"/>
      <c r="AH1726" s="1" t="s">
        <v>6050</v>
      </c>
      <c r="AI1726" s="1" t="s">
        <v>2960</v>
      </c>
      <c r="AJ1726" s="6" t="str">
        <f>IFERROR(__xludf.DUMMYFUNCTION("""COMPUTED_VALUE"""),"seeing")</f>
        <v>seeing</v>
      </c>
      <c r="AK1726" s="49"/>
      <c r="AL1726" s="49"/>
      <c r="AM1726" s="49"/>
      <c r="AN1726" s="52" t="str">
        <f t="shared" si="5"/>
        <v>don,</v>
      </c>
    </row>
    <row r="1727">
      <c r="A1727" s="51"/>
      <c r="B1727" s="50" t="s">
        <v>2220</v>
      </c>
      <c r="C1727" s="50" t="s">
        <v>3059</v>
      </c>
      <c r="D1727" s="49" t="str">
        <f>IFERROR(__xludf.DUMMYFUNCTION("""COMPUTED_VALUE"""),"julia")</f>
        <v>julia</v>
      </c>
      <c r="E1727" s="49"/>
      <c r="F1727" s="49"/>
      <c r="G1727" s="49"/>
      <c r="H1727" s="54" t="str">
        <f t="shared" si="1"/>
        <v>chase,</v>
      </c>
      <c r="I1727" s="50"/>
      <c r="J1727" s="50" t="s">
        <v>6478</v>
      </c>
      <c r="K1727" s="50" t="s">
        <v>2963</v>
      </c>
      <c r="L1727" s="49"/>
      <c r="M1727" s="49"/>
      <c r="N1727" s="49"/>
      <c r="O1727" s="49" t="str">
        <f>IFERROR(__xludf.DUMMYFUNCTION("""COMPUTED_VALUE"""),"reaches")</f>
        <v>reaches</v>
      </c>
      <c r="P1727" s="49" t="str">
        <f t="shared" si="2"/>
        <v>variety,</v>
      </c>
      <c r="Q1727" s="49"/>
      <c r="R1727" s="50" t="s">
        <v>4109</v>
      </c>
      <c r="S1727" s="55" t="s">
        <v>864</v>
      </c>
      <c r="T1727" s="49" t="str">
        <f>IFERROR(__xludf.DUMMYFUNCTION("""COMPUTED_VALUE"""),"horrors")</f>
        <v>horrors</v>
      </c>
      <c r="U1727" s="49"/>
      <c r="V1727" s="49"/>
      <c r="W1727" s="49" t="str">
        <f>IFERROR(__xludf.DUMMYFUNCTION("""COMPUTED_VALUE"""),"frontal")</f>
        <v>frontal</v>
      </c>
      <c r="X1727" s="49" t="str">
        <f t="shared" si="3"/>
        <v>w,</v>
      </c>
      <c r="Y1727" s="49"/>
      <c r="Z1727" s="1" t="s">
        <v>3407</v>
      </c>
      <c r="AA1727" s="1" t="s">
        <v>1392</v>
      </c>
      <c r="AB1727" s="49"/>
      <c r="AC1727" s="49"/>
      <c r="AD1727" s="49"/>
      <c r="AE1727" s="49" t="str">
        <f>IFERROR(__xludf.DUMMYFUNCTION("""COMPUTED_VALUE"""),"reaches")</f>
        <v>reaches</v>
      </c>
      <c r="AF1727" s="49" t="str">
        <f t="shared" si="4"/>
        <v>gang,</v>
      </c>
      <c r="AG1727" s="49"/>
      <c r="AH1727" s="1" t="s">
        <v>532</v>
      </c>
      <c r="AI1727" s="1" t="s">
        <v>4640</v>
      </c>
      <c r="AJ1727" s="6" t="str">
        <f>IFERROR(__xludf.DUMMYFUNCTION("""COMPUTED_VALUE"""),"beauty")</f>
        <v>beauty</v>
      </c>
      <c r="AK1727" s="49"/>
      <c r="AL1727" s="49"/>
      <c r="AM1727" s="49"/>
      <c r="AN1727" s="52" t="str">
        <f t="shared" si="5"/>
        <v>half,</v>
      </c>
    </row>
    <row r="1728">
      <c r="A1728" s="51"/>
      <c r="B1728" s="50" t="s">
        <v>6356</v>
      </c>
      <c r="C1728" s="50" t="s">
        <v>3980</v>
      </c>
      <c r="D1728" s="49" t="str">
        <f>IFERROR(__xludf.DUMMYFUNCTION("""COMPUTED_VALUE"""),"roberts")</f>
        <v>roberts</v>
      </c>
      <c r="E1728" s="49"/>
      <c r="F1728" s="49"/>
      <c r="G1728" s="49"/>
      <c r="H1728" s="54" t="str">
        <f t="shared" si="1"/>
        <v>excellent,</v>
      </c>
      <c r="I1728" s="50"/>
      <c r="J1728" s="50" t="s">
        <v>3689</v>
      </c>
      <c r="K1728" s="50" t="s">
        <v>4926</v>
      </c>
      <c r="L1728" s="49"/>
      <c r="M1728" s="49"/>
      <c r="N1728" s="49"/>
      <c r="O1728" s="49" t="str">
        <f>IFERROR(__xludf.DUMMYFUNCTION("""COMPUTED_VALUE"""),"youthful")</f>
        <v>youthful</v>
      </c>
      <c r="P1728" s="49" t="str">
        <f t="shared" si="2"/>
        <v>remotely,</v>
      </c>
      <c r="Q1728" s="49"/>
      <c r="R1728" s="50" t="s">
        <v>6510</v>
      </c>
      <c r="S1728" s="55" t="s">
        <v>286</v>
      </c>
      <c r="T1728" s="49" t="str">
        <f>IFERROR(__xludf.DUMMYFUNCTION("""COMPUTED_VALUE"""),"creators")</f>
        <v>creators</v>
      </c>
      <c r="U1728" s="49"/>
      <c r="V1728" s="49"/>
      <c r="W1728" s="49" t="str">
        <f>IFERROR(__xludf.DUMMYFUNCTION("""COMPUTED_VALUE"""),"virtue")</f>
        <v>virtue</v>
      </c>
      <c r="X1728" s="49" t="str">
        <f t="shared" si="3"/>
        <v>atmosphere,</v>
      </c>
      <c r="Y1728" s="49"/>
      <c r="Z1728" s="1" t="s">
        <v>1054</v>
      </c>
      <c r="AA1728" s="1" t="s">
        <v>484</v>
      </c>
      <c r="AB1728" s="49"/>
      <c r="AC1728" s="49"/>
      <c r="AD1728" s="49"/>
      <c r="AE1728" s="49" t="str">
        <f>IFERROR(__xludf.DUMMYFUNCTION("""COMPUTED_VALUE"""),"youthful")</f>
        <v>youthful</v>
      </c>
      <c r="AF1728" s="49" t="str">
        <f t="shared" si="4"/>
        <v>sensation,</v>
      </c>
      <c r="AG1728" s="49"/>
      <c r="AH1728" s="1" t="s">
        <v>897</v>
      </c>
      <c r="AI1728" s="1" t="s">
        <v>4114</v>
      </c>
      <c r="AJ1728" s="6" t="str">
        <f>IFERROR(__xludf.DUMMYFUNCTION("""COMPUTED_VALUE"""),"offering")</f>
        <v>offering</v>
      </c>
      <c r="AK1728" s="49"/>
      <c r="AL1728" s="49"/>
      <c r="AM1728" s="49"/>
      <c r="AN1728" s="52" t="str">
        <f t="shared" si="5"/>
        <v>portrayed,</v>
      </c>
    </row>
    <row r="1729">
      <c r="A1729" s="51"/>
      <c r="B1729" s="50" t="s">
        <v>1770</v>
      </c>
      <c r="C1729" s="50" t="s">
        <v>294</v>
      </c>
      <c r="D1729" s="49" t="str">
        <f>IFERROR(__xludf.DUMMYFUNCTION("""COMPUTED_VALUE"""),"duration")</f>
        <v>duration</v>
      </c>
      <c r="E1729" s="49"/>
      <c r="F1729" s="49"/>
      <c r="G1729" s="49"/>
      <c r="H1729" s="54" t="str">
        <f t="shared" si="1"/>
        <v>remarkable,</v>
      </c>
      <c r="I1729" s="50"/>
      <c r="J1729" s="50" t="s">
        <v>7438</v>
      </c>
      <c r="K1729" s="50" t="s">
        <v>4928</v>
      </c>
      <c r="L1729" s="49"/>
      <c r="M1729" s="49"/>
      <c r="N1729" s="49"/>
      <c r="O1729" s="49" t="str">
        <f>IFERROR(__xludf.DUMMYFUNCTION("""COMPUTED_VALUE"""),"inhabit")</f>
        <v>inhabit</v>
      </c>
      <c r="P1729" s="49" t="str">
        <f t="shared" si="2"/>
        <v>staggering,</v>
      </c>
      <c r="Q1729" s="49"/>
      <c r="R1729" s="50">
        <v>25.0</v>
      </c>
      <c r="S1729" s="55" t="s">
        <v>1611</v>
      </c>
      <c r="T1729" s="49" t="str">
        <f>IFERROR(__xludf.DUMMYFUNCTION("""COMPUTED_VALUE"""),"rug")</f>
        <v>rug</v>
      </c>
      <c r="U1729" s="49"/>
      <c r="V1729" s="49"/>
      <c r="W1729" s="49" t="str">
        <f>IFERROR(__xludf.DUMMYFUNCTION("""COMPUTED_VALUE"""),"fused")</f>
        <v>fused</v>
      </c>
      <c r="X1729" s="49" t="str">
        <f t="shared" si="3"/>
        <v>25,</v>
      </c>
      <c r="Y1729" s="49"/>
      <c r="Z1729" s="1" t="s">
        <v>353</v>
      </c>
      <c r="AA1729" s="1" t="s">
        <v>3852</v>
      </c>
      <c r="AB1729" s="49"/>
      <c r="AC1729" s="49"/>
      <c r="AD1729" s="49"/>
      <c r="AE1729" s="49" t="str">
        <f>IFERROR(__xludf.DUMMYFUNCTION("""COMPUTED_VALUE"""),"inhabit")</f>
        <v>inhabit</v>
      </c>
      <c r="AF1729" s="49" t="str">
        <f t="shared" si="4"/>
        <v>provocative,</v>
      </c>
      <c r="AG1729" s="49"/>
      <c r="AH1729" s="1" t="s">
        <v>80</v>
      </c>
      <c r="AI1729" s="1" t="s">
        <v>271</v>
      </c>
      <c r="AJ1729" s="6" t="str">
        <f>IFERROR(__xludf.DUMMYFUNCTION("""COMPUTED_VALUE"""),"thomas")</f>
        <v>thomas</v>
      </c>
      <c r="AK1729" s="49"/>
      <c r="AL1729" s="49"/>
      <c r="AM1729" s="49"/>
      <c r="AN1729" s="52" t="str">
        <f t="shared" si="5"/>
        <v>emotional,</v>
      </c>
    </row>
    <row r="1730">
      <c r="A1730" s="51"/>
      <c r="B1730" s="50" t="s">
        <v>1902</v>
      </c>
      <c r="C1730" s="50" t="s">
        <v>6541</v>
      </c>
      <c r="D1730" s="49" t="str">
        <f>IFERROR(__xludf.DUMMYFUNCTION("""COMPUTED_VALUE"""),"lonely")</f>
        <v>lonely</v>
      </c>
      <c r="E1730" s="49"/>
      <c r="F1730" s="49"/>
      <c r="G1730" s="49"/>
      <c r="H1730" s="54" t="str">
        <f t="shared" si="1"/>
        <v>soon,</v>
      </c>
      <c r="I1730" s="50"/>
      <c r="J1730" s="50" t="s">
        <v>1129</v>
      </c>
      <c r="K1730" s="50" t="s">
        <v>3246</v>
      </c>
      <c r="L1730" s="49"/>
      <c r="M1730" s="49"/>
      <c r="N1730" s="49"/>
      <c r="O1730" s="49" t="str">
        <f>IFERROR(__xludf.DUMMYFUNCTION("""COMPUTED_VALUE"""),"sullivan")</f>
        <v>sullivan</v>
      </c>
      <c r="P1730" s="49" t="str">
        <f t="shared" si="2"/>
        <v>kinetic,</v>
      </c>
      <c r="Q1730" s="49"/>
      <c r="R1730" s="50" t="s">
        <v>1286</v>
      </c>
      <c r="S1730" s="55" t="s">
        <v>1855</v>
      </c>
      <c r="T1730" s="49" t="str">
        <f>IFERROR(__xludf.DUMMYFUNCTION("""COMPUTED_VALUE"""),"kissing")</f>
        <v>kissing</v>
      </c>
      <c r="U1730" s="49"/>
      <c r="V1730" s="49"/>
      <c r="W1730" s="49" t="str">
        <f>IFERROR(__xludf.DUMMYFUNCTION("""COMPUTED_VALUE"""),"concrete")</f>
        <v>concrete</v>
      </c>
      <c r="X1730" s="49" t="str">
        <f t="shared" si="3"/>
        <v>zhang,</v>
      </c>
      <c r="Y1730" s="49"/>
      <c r="Z1730" s="1" t="s">
        <v>3055</v>
      </c>
      <c r="AA1730" s="1" t="s">
        <v>3855</v>
      </c>
      <c r="AB1730" s="49"/>
      <c r="AC1730" s="49"/>
      <c r="AD1730" s="49"/>
      <c r="AE1730" s="49" t="str">
        <f>IFERROR(__xludf.DUMMYFUNCTION("""COMPUTED_VALUE"""),"sullivan")</f>
        <v>sullivan</v>
      </c>
      <c r="AF1730" s="49" t="str">
        <f t="shared" si="4"/>
        <v>holds,</v>
      </c>
      <c r="AG1730" s="49"/>
      <c r="AH1730" s="1" t="s">
        <v>2293</v>
      </c>
      <c r="AI1730" s="1" t="s">
        <v>2979</v>
      </c>
      <c r="AJ1730" s="6" t="str">
        <f>IFERROR(__xludf.DUMMYFUNCTION("""COMPUTED_VALUE"""),"month")</f>
        <v>month</v>
      </c>
      <c r="AK1730" s="49"/>
      <c r="AL1730" s="49"/>
      <c r="AM1730" s="49"/>
      <c r="AN1730" s="52" t="str">
        <f t="shared" si="5"/>
        <v>store,</v>
      </c>
    </row>
    <row r="1731">
      <c r="A1731" s="51"/>
      <c r="B1731" s="50" t="s">
        <v>7181</v>
      </c>
      <c r="C1731" s="50" t="s">
        <v>2804</v>
      </c>
      <c r="D1731" s="49" t="str">
        <f>IFERROR(__xludf.DUMMYFUNCTION("""COMPUTED_VALUE"""),"certain")</f>
        <v>certain</v>
      </c>
      <c r="E1731" s="49"/>
      <c r="F1731" s="49"/>
      <c r="G1731" s="49"/>
      <c r="H1731" s="54" t="str">
        <f t="shared" si="1"/>
        <v>leader,</v>
      </c>
      <c r="I1731" s="50"/>
      <c r="J1731" s="50" t="s">
        <v>1467</v>
      </c>
      <c r="K1731" s="50" t="s">
        <v>2967</v>
      </c>
      <c r="L1731" s="49"/>
      <c r="M1731" s="49"/>
      <c r="N1731" s="49"/>
      <c r="O1731" s="49" t="str">
        <f>IFERROR(__xludf.DUMMYFUNCTION("""COMPUTED_VALUE"""),"predict")</f>
        <v>predict</v>
      </c>
      <c r="P1731" s="49" t="str">
        <f t="shared" si="2"/>
        <v>mira,</v>
      </c>
      <c r="Q1731" s="49"/>
      <c r="R1731" s="50" t="s">
        <v>6030</v>
      </c>
      <c r="S1731" s="55" t="s">
        <v>6565</v>
      </c>
      <c r="T1731" s="49" t="str">
        <f>IFERROR(__xludf.DUMMYFUNCTION("""COMPUTED_VALUE"""),"maintains")</f>
        <v>maintains</v>
      </c>
      <c r="U1731" s="49"/>
      <c r="V1731" s="49"/>
      <c r="W1731" s="49" t="str">
        <f>IFERROR(__xludf.DUMMYFUNCTION("""COMPUTED_VALUE"""),"bestowed")</f>
        <v>bestowed</v>
      </c>
      <c r="X1731" s="49" t="str">
        <f t="shared" si="3"/>
        <v>noticeable,</v>
      </c>
      <c r="Y1731" s="49"/>
      <c r="Z1731" s="1" t="s">
        <v>4004</v>
      </c>
      <c r="AA1731" s="1" t="s">
        <v>4929</v>
      </c>
      <c r="AB1731" s="49"/>
      <c r="AC1731" s="49"/>
      <c r="AD1731" s="49"/>
      <c r="AE1731" s="49" t="str">
        <f>IFERROR(__xludf.DUMMYFUNCTION("""COMPUTED_VALUE"""),"predict")</f>
        <v>predict</v>
      </c>
      <c r="AF1731" s="49" t="str">
        <f t="shared" si="4"/>
        <v>spy,</v>
      </c>
      <c r="AG1731" s="49"/>
      <c r="AH1731" s="1" t="s">
        <v>5345</v>
      </c>
      <c r="AI1731" s="1" t="s">
        <v>2735</v>
      </c>
      <c r="AJ1731" s="6" t="str">
        <f>IFERROR(__xludf.DUMMYFUNCTION("""COMPUTED_VALUE"""),"matthew")</f>
        <v>matthew</v>
      </c>
      <c r="AK1731" s="49"/>
      <c r="AL1731" s="49"/>
      <c r="AM1731" s="49"/>
      <c r="AN1731" s="52" t="str">
        <f t="shared" si="5"/>
        <v>horse,</v>
      </c>
    </row>
    <row r="1732">
      <c r="A1732" s="51"/>
      <c r="B1732" s="50" t="s">
        <v>1703</v>
      </c>
      <c r="C1732" s="50" t="s">
        <v>2807</v>
      </c>
      <c r="D1732" s="49" t="str">
        <f>IFERROR(__xludf.DUMMYFUNCTION("""COMPUTED_VALUE"""),"realize")</f>
        <v>realize</v>
      </c>
      <c r="E1732" s="49"/>
      <c r="F1732" s="49"/>
      <c r="G1732" s="49"/>
      <c r="H1732" s="54" t="str">
        <f t="shared" si="1"/>
        <v>tea,</v>
      </c>
      <c r="I1732" s="50"/>
      <c r="J1732" s="50" t="s">
        <v>38</v>
      </c>
      <c r="K1732" s="50" t="s">
        <v>4932</v>
      </c>
      <c r="L1732" s="49"/>
      <c r="M1732" s="49"/>
      <c r="N1732" s="49"/>
      <c r="O1732" s="49" t="str">
        <f>IFERROR(__xludf.DUMMYFUNCTION("""COMPUTED_VALUE"""),"eighties")</f>
        <v>eighties</v>
      </c>
      <c r="P1732" s="49" t="str">
        <f t="shared" si="2"/>
        <v>filmmaker,</v>
      </c>
      <c r="Q1732" s="49"/>
      <c r="R1732" s="50" t="s">
        <v>3292</v>
      </c>
      <c r="S1732" s="55" t="s">
        <v>3055</v>
      </c>
      <c r="T1732" s="49" t="str">
        <f>IFERROR(__xludf.DUMMYFUNCTION("""COMPUTED_VALUE"""),"deliberate")</f>
        <v>deliberate</v>
      </c>
      <c r="U1732" s="49"/>
      <c r="V1732" s="49"/>
      <c r="W1732" s="49" t="str">
        <f>IFERROR(__xludf.DUMMYFUNCTION("""COMPUTED_VALUE"""),"confront")</f>
        <v>confront</v>
      </c>
      <c r="X1732" s="49" t="str">
        <f t="shared" si="3"/>
        <v>genres,</v>
      </c>
      <c r="Y1732" s="49"/>
      <c r="Z1732" s="1" t="s">
        <v>2073</v>
      </c>
      <c r="AA1732" s="1" t="s">
        <v>3691</v>
      </c>
      <c r="AB1732" s="49"/>
      <c r="AC1732" s="49"/>
      <c r="AD1732" s="49"/>
      <c r="AE1732" s="49" t="str">
        <f>IFERROR(__xludf.DUMMYFUNCTION("""COMPUTED_VALUE"""),"eighties")</f>
        <v>eighties</v>
      </c>
      <c r="AF1732" s="49" t="str">
        <f t="shared" si="4"/>
        <v>trouble,</v>
      </c>
      <c r="AG1732" s="49"/>
      <c r="AH1732" s="1" t="s">
        <v>2705</v>
      </c>
      <c r="AI1732" s="1" t="s">
        <v>1484</v>
      </c>
      <c r="AJ1732" s="6" t="str">
        <f>IFERROR(__xludf.DUMMYFUNCTION("""COMPUTED_VALUE"""),"belt")</f>
        <v>belt</v>
      </c>
      <c r="AK1732" s="49"/>
      <c r="AL1732" s="49"/>
      <c r="AM1732" s="49"/>
      <c r="AN1732" s="52" t="str">
        <f t="shared" si="5"/>
        <v>nor,</v>
      </c>
    </row>
    <row r="1733">
      <c r="A1733" s="51"/>
      <c r="B1733" s="50">
        <v>18.0</v>
      </c>
      <c r="C1733" s="50" t="s">
        <v>3985</v>
      </c>
      <c r="D1733" s="49" t="str">
        <f>IFERROR(__xludf.DUMMYFUNCTION("""COMPUTED_VALUE"""),"separate")</f>
        <v>separate</v>
      </c>
      <c r="E1733" s="49"/>
      <c r="F1733" s="49"/>
      <c r="G1733" s="49"/>
      <c r="H1733" s="54" t="str">
        <f t="shared" si="1"/>
        <v>18,</v>
      </c>
      <c r="I1733" s="50"/>
      <c r="J1733" s="50" t="s">
        <v>609</v>
      </c>
      <c r="K1733" s="50" t="s">
        <v>3730</v>
      </c>
      <c r="L1733" s="49"/>
      <c r="M1733" s="49"/>
      <c r="N1733" s="49"/>
      <c r="O1733" s="49" t="str">
        <f>IFERROR(__xludf.DUMMYFUNCTION("""COMPUTED_VALUE"""),"villains")</f>
        <v>villains</v>
      </c>
      <c r="P1733" s="49" t="str">
        <f t="shared" si="2"/>
        <v>flair,</v>
      </c>
      <c r="Q1733" s="49"/>
      <c r="R1733" s="50" t="s">
        <v>3973</v>
      </c>
      <c r="S1733" s="55" t="s">
        <v>1621</v>
      </c>
      <c r="T1733" s="49" t="str">
        <f>IFERROR(__xludf.DUMMYFUNCTION("""COMPUTED_VALUE"""),"establishes")</f>
        <v>establishes</v>
      </c>
      <c r="U1733" s="49"/>
      <c r="V1733" s="49"/>
      <c r="W1733" s="49" t="str">
        <f>IFERROR(__xludf.DUMMYFUNCTION("""COMPUTED_VALUE"""),"reginald")</f>
        <v>reginald</v>
      </c>
      <c r="X1733" s="49" t="str">
        <f t="shared" si="3"/>
        <v>tendency,</v>
      </c>
      <c r="Y1733" s="49"/>
      <c r="Z1733" s="1" t="s">
        <v>7327</v>
      </c>
      <c r="AA1733" s="1" t="s">
        <v>1399</v>
      </c>
      <c r="AB1733" s="49"/>
      <c r="AC1733" s="49"/>
      <c r="AD1733" s="49"/>
      <c r="AE1733" s="49" t="str">
        <f>IFERROR(__xludf.DUMMYFUNCTION("""COMPUTED_VALUE"""),"villains")</f>
        <v>villains</v>
      </c>
      <c r="AF1733" s="49" t="str">
        <f t="shared" si="4"/>
        <v>scary,</v>
      </c>
      <c r="AG1733" s="49"/>
      <c r="AH1733" s="1" t="s">
        <v>4076</v>
      </c>
      <c r="AI1733" s="1" t="s">
        <v>2985</v>
      </c>
      <c r="AJ1733" s="6" t="str">
        <f>IFERROR(__xludf.DUMMYFUNCTION("""COMPUTED_VALUE"""),"makeup")</f>
        <v>makeup</v>
      </c>
      <c r="AK1733" s="49"/>
      <c r="AL1733" s="49"/>
      <c r="AM1733" s="49"/>
      <c r="AN1733" s="52" t="str">
        <f t="shared" si="5"/>
        <v>houses,</v>
      </c>
    </row>
    <row r="1734">
      <c r="A1734" s="51"/>
      <c r="B1734" s="50" t="s">
        <v>2496</v>
      </c>
      <c r="C1734" s="50" t="s">
        <v>2680</v>
      </c>
      <c r="D1734" s="49" t="b">
        <f>IFERROR(__xludf.DUMMYFUNCTION("""COMPUTED_VALUE"""),FALSE)</f>
        <v>0</v>
      </c>
      <c r="E1734" s="49"/>
      <c r="F1734" s="49"/>
      <c r="G1734" s="49"/>
      <c r="H1734" s="54" t="str">
        <f t="shared" si="1"/>
        <v>seats,</v>
      </c>
      <c r="I1734" s="50"/>
      <c r="J1734" s="50" t="s">
        <v>3095</v>
      </c>
      <c r="K1734" s="50" t="s">
        <v>4933</v>
      </c>
      <c r="L1734" s="49"/>
      <c r="M1734" s="49"/>
      <c r="N1734" s="49"/>
      <c r="O1734" s="49" t="str">
        <f>IFERROR(__xludf.DUMMYFUNCTION("""COMPUTED_VALUE"""),"servants")</f>
        <v>servants</v>
      </c>
      <c r="P1734" s="49" t="str">
        <f t="shared" si="2"/>
        <v>spike,</v>
      </c>
      <c r="Q1734" s="49"/>
      <c r="R1734" s="50" t="s">
        <v>7439</v>
      </c>
      <c r="S1734" s="55" t="s">
        <v>5257</v>
      </c>
      <c r="T1734" s="49" t="str">
        <f>IFERROR(__xludf.DUMMYFUNCTION("""COMPUTED_VALUE"""),"arrangements")</f>
        <v>arrangements</v>
      </c>
      <c r="U1734" s="49"/>
      <c r="V1734" s="49"/>
      <c r="W1734" s="49" t="str">
        <f>IFERROR(__xludf.DUMMYFUNCTION("""COMPUTED_VALUE"""),"familiarity")</f>
        <v>familiarity</v>
      </c>
      <c r="X1734" s="49" t="str">
        <f t="shared" si="3"/>
        <v>gulp,</v>
      </c>
      <c r="Y1734" s="49"/>
      <c r="Z1734" s="1" t="s">
        <v>4281</v>
      </c>
      <c r="AA1734" s="1" t="s">
        <v>1080</v>
      </c>
      <c r="AB1734" s="49"/>
      <c r="AC1734" s="49"/>
      <c r="AD1734" s="49"/>
      <c r="AE1734" s="49" t="str">
        <f>IFERROR(__xludf.DUMMYFUNCTION("""COMPUTED_VALUE"""),"servants")</f>
        <v>servants</v>
      </c>
      <c r="AF1734" s="49" t="str">
        <f t="shared" si="4"/>
        <v>adults,</v>
      </c>
      <c r="AG1734" s="49"/>
      <c r="AH1734" s="1" t="s">
        <v>5464</v>
      </c>
      <c r="AI1734" s="1" t="s">
        <v>5434</v>
      </c>
      <c r="AJ1734" s="6" t="str">
        <f>IFERROR(__xludf.DUMMYFUNCTION("""COMPUTED_VALUE"""),"credits")</f>
        <v>credits</v>
      </c>
      <c r="AK1734" s="49"/>
      <c r="AL1734" s="49"/>
      <c r="AM1734" s="49"/>
      <c r="AN1734" s="52" t="str">
        <f t="shared" si="5"/>
        <v>digital,</v>
      </c>
    </row>
    <row r="1735">
      <c r="A1735" s="51"/>
      <c r="B1735" s="50" t="s">
        <v>6590</v>
      </c>
      <c r="C1735" s="50" t="s">
        <v>3826</v>
      </c>
      <c r="D1735" s="49" t="str">
        <f>IFERROR(__xludf.DUMMYFUNCTION("""COMPUTED_VALUE"""),"structure")</f>
        <v>structure</v>
      </c>
      <c r="E1735" s="49"/>
      <c r="F1735" s="49"/>
      <c r="G1735" s="49"/>
      <c r="H1735" s="54" t="str">
        <f t="shared" si="1"/>
        <v>sin,</v>
      </c>
      <c r="I1735" s="50"/>
      <c r="J1735" s="50" t="s">
        <v>857</v>
      </c>
      <c r="K1735" s="50" t="s">
        <v>2970</v>
      </c>
      <c r="L1735" s="49"/>
      <c r="M1735" s="49"/>
      <c r="N1735" s="49"/>
      <c r="O1735" s="49">
        <f>IFERROR(__xludf.DUMMYFUNCTION("""COMPUTED_VALUE"""),1933.0)</f>
        <v>1933</v>
      </c>
      <c r="P1735" s="49" t="str">
        <f t="shared" si="2"/>
        <v>effort,</v>
      </c>
      <c r="Q1735" s="49"/>
      <c r="R1735" s="50" t="s">
        <v>7440</v>
      </c>
      <c r="S1735" s="55" t="s">
        <v>6566</v>
      </c>
      <c r="T1735" s="49" t="str">
        <f>IFERROR(__xludf.DUMMYFUNCTION("""COMPUTED_VALUE"""),"dusty")</f>
        <v>dusty</v>
      </c>
      <c r="U1735" s="49"/>
      <c r="V1735" s="49"/>
      <c r="W1735" s="49" t="str">
        <f>IFERROR(__xludf.DUMMYFUNCTION("""COMPUTED_VALUE"""),"carmichael")</f>
        <v>carmichael</v>
      </c>
      <c r="X1735" s="49" t="str">
        <f t="shared" si="3"/>
        <v>non,</v>
      </c>
      <c r="Y1735" s="49"/>
      <c r="Z1735" s="1" t="s">
        <v>2624</v>
      </c>
      <c r="AA1735" s="1" t="s">
        <v>4934</v>
      </c>
      <c r="AB1735" s="49"/>
      <c r="AC1735" s="49"/>
      <c r="AD1735" s="49"/>
      <c r="AE1735" s="49">
        <f>IFERROR(__xludf.DUMMYFUNCTION("""COMPUTED_VALUE"""),1933.0)</f>
        <v>1933</v>
      </c>
      <c r="AF1735" s="49" t="str">
        <f t="shared" si="4"/>
        <v>heavy,</v>
      </c>
      <c r="AG1735" s="49"/>
      <c r="AH1735" s="1" t="s">
        <v>2131</v>
      </c>
      <c r="AI1735" s="1" t="s">
        <v>1528</v>
      </c>
      <c r="AJ1735" s="6" t="str">
        <f>IFERROR(__xludf.DUMMYFUNCTION("""COMPUTED_VALUE"""),"searching")</f>
        <v>searching</v>
      </c>
      <c r="AK1735" s="49"/>
      <c r="AL1735" s="49"/>
      <c r="AM1735" s="49"/>
      <c r="AN1735" s="52" t="str">
        <f t="shared" si="5"/>
        <v>stream,</v>
      </c>
    </row>
    <row r="1736">
      <c r="A1736" s="51"/>
      <c r="B1736" s="50" t="s">
        <v>3582</v>
      </c>
      <c r="C1736" s="50" t="s">
        <v>3990</v>
      </c>
      <c r="D1736" s="49" t="str">
        <f>IFERROR(__xludf.DUMMYFUNCTION("""COMPUTED_VALUE"""),"weight")</f>
        <v>weight</v>
      </c>
      <c r="E1736" s="49"/>
      <c r="F1736" s="49"/>
      <c r="G1736" s="49"/>
      <c r="H1736" s="54" t="str">
        <f t="shared" si="1"/>
        <v>routine,</v>
      </c>
      <c r="I1736" s="50"/>
      <c r="J1736" s="50" t="s">
        <v>5433</v>
      </c>
      <c r="K1736" s="50" t="s">
        <v>4937</v>
      </c>
      <c r="L1736" s="49"/>
      <c r="M1736" s="49"/>
      <c r="N1736" s="49"/>
      <c r="O1736" s="49" t="str">
        <f>IFERROR(__xludf.DUMMYFUNCTION("""COMPUTED_VALUE"""),"encyclopedia")</f>
        <v>encyclopedia</v>
      </c>
      <c r="P1736" s="49" t="str">
        <f t="shared" si="2"/>
        <v>signals,</v>
      </c>
      <c r="Q1736" s="49"/>
      <c r="R1736" s="50" t="s">
        <v>5223</v>
      </c>
      <c r="S1736" s="55" t="s">
        <v>900</v>
      </c>
      <c r="T1736" s="49" t="str">
        <f>IFERROR(__xludf.DUMMYFUNCTION("""COMPUTED_VALUE"""),"classification")</f>
        <v>classification</v>
      </c>
      <c r="U1736" s="49"/>
      <c r="V1736" s="49"/>
      <c r="W1736" s="49" t="str">
        <f>IFERROR(__xludf.DUMMYFUNCTION("""COMPUTED_VALUE"""),"endured")</f>
        <v>endured</v>
      </c>
      <c r="X1736" s="49" t="str">
        <f t="shared" si="3"/>
        <v>pitched,</v>
      </c>
      <c r="Y1736" s="49"/>
      <c r="Z1736" s="1" t="s">
        <v>2960</v>
      </c>
      <c r="AA1736" s="1" t="s">
        <v>4936</v>
      </c>
      <c r="AB1736" s="49"/>
      <c r="AC1736" s="49"/>
      <c r="AD1736" s="49"/>
      <c r="AE1736" s="49" t="str">
        <f>IFERROR(__xludf.DUMMYFUNCTION("""COMPUTED_VALUE"""),"encyclopedia")</f>
        <v>encyclopedia</v>
      </c>
      <c r="AF1736" s="49" t="str">
        <f t="shared" si="4"/>
        <v>market,</v>
      </c>
      <c r="AG1736" s="49"/>
      <c r="AH1736" s="1" t="s">
        <v>6740</v>
      </c>
      <c r="AI1736" s="1" t="s">
        <v>2990</v>
      </c>
      <c r="AJ1736" s="6" t="str">
        <f>IFERROR(__xludf.DUMMYFUNCTION("""COMPUTED_VALUE"""),"deeper")</f>
        <v>deeper</v>
      </c>
      <c r="AK1736" s="49"/>
      <c r="AL1736" s="49"/>
      <c r="AM1736" s="49"/>
      <c r="AN1736" s="52" t="str">
        <f t="shared" si="5"/>
        <v>saved,</v>
      </c>
    </row>
    <row r="1737">
      <c r="A1737" s="51"/>
      <c r="B1737" s="50" t="s">
        <v>1740</v>
      </c>
      <c r="C1737" s="50" t="s">
        <v>1591</v>
      </c>
      <c r="D1737" s="49" t="str">
        <f>IFERROR(__xludf.DUMMYFUNCTION("""COMPUTED_VALUE"""),"tang")</f>
        <v>tang</v>
      </c>
      <c r="E1737" s="49"/>
      <c r="F1737" s="49"/>
      <c r="G1737" s="49"/>
      <c r="H1737" s="54" t="str">
        <f t="shared" si="1"/>
        <v>according,</v>
      </c>
      <c r="I1737" s="50"/>
      <c r="J1737" s="50" t="s">
        <v>2492</v>
      </c>
      <c r="K1737" s="50" t="s">
        <v>4390</v>
      </c>
      <c r="L1737" s="49"/>
      <c r="M1737" s="49"/>
      <c r="N1737" s="49"/>
      <c r="O1737" s="49" t="str">
        <f>IFERROR(__xludf.DUMMYFUNCTION("""COMPUTED_VALUE"""),"inversion")</f>
        <v>inversion</v>
      </c>
      <c r="P1737" s="49" t="str">
        <f t="shared" si="2"/>
        <v>aimed,</v>
      </c>
      <c r="Q1737" s="49"/>
      <c r="R1737" s="50" t="s">
        <v>3032</v>
      </c>
      <c r="S1737" s="55" t="s">
        <v>4057</v>
      </c>
      <c r="T1737" s="49" t="str">
        <f>IFERROR(__xludf.DUMMYFUNCTION("""COMPUTED_VALUE"""),"compassion")</f>
        <v>compassion</v>
      </c>
      <c r="U1737" s="49"/>
      <c r="V1737" s="49"/>
      <c r="W1737" s="49" t="str">
        <f>IFERROR(__xludf.DUMMYFUNCTION("""COMPUTED_VALUE"""),"rom")</f>
        <v>rom</v>
      </c>
      <c r="X1737" s="49" t="str">
        <f t="shared" si="3"/>
        <v>merits,</v>
      </c>
      <c r="Y1737" s="49"/>
      <c r="Z1737" s="1" t="s">
        <v>2757</v>
      </c>
      <c r="AA1737" s="1" t="s">
        <v>3864</v>
      </c>
      <c r="AB1737" s="49"/>
      <c r="AC1737" s="49"/>
      <c r="AD1737" s="49"/>
      <c r="AE1737" s="49" t="str">
        <f>IFERROR(__xludf.DUMMYFUNCTION("""COMPUTED_VALUE"""),"inversion")</f>
        <v>inversion</v>
      </c>
      <c r="AF1737" s="49" t="str">
        <f t="shared" si="4"/>
        <v>growing,</v>
      </c>
      <c r="AG1737" s="49"/>
      <c r="AH1737" s="1" t="s">
        <v>7441</v>
      </c>
      <c r="AI1737" s="1" t="s">
        <v>5354</v>
      </c>
      <c r="AJ1737" s="6" t="str">
        <f>IFERROR(__xludf.DUMMYFUNCTION("""COMPUTED_VALUE"""),"bright")</f>
        <v>bright</v>
      </c>
      <c r="AK1737" s="49"/>
      <c r="AL1737" s="49"/>
      <c r="AM1737" s="49"/>
      <c r="AN1737" s="52" t="str">
        <f t="shared" si="5"/>
        <v>achieved,</v>
      </c>
    </row>
    <row r="1738">
      <c r="A1738" s="51"/>
      <c r="B1738" s="50" t="s">
        <v>1498</v>
      </c>
      <c r="C1738" s="50" t="s">
        <v>6542</v>
      </c>
      <c r="D1738" s="49" t="str">
        <f>IFERROR(__xludf.DUMMYFUNCTION("""COMPUTED_VALUE"""),"devices")</f>
        <v>devices</v>
      </c>
      <c r="E1738" s="49"/>
      <c r="F1738" s="49"/>
      <c r="G1738" s="49"/>
      <c r="H1738" s="54" t="str">
        <f t="shared" si="1"/>
        <v>inside,</v>
      </c>
      <c r="I1738" s="50"/>
      <c r="J1738" s="50" t="s">
        <v>3099</v>
      </c>
      <c r="K1738" s="50" t="s">
        <v>3250</v>
      </c>
      <c r="L1738" s="49"/>
      <c r="M1738" s="49"/>
      <c r="N1738" s="49"/>
      <c r="O1738" s="49" t="str">
        <f>IFERROR(__xludf.DUMMYFUNCTION("""COMPUTED_VALUE"""),"nemesis")</f>
        <v>nemesis</v>
      </c>
      <c r="P1738" s="49" t="str">
        <f t="shared" si="2"/>
        <v>frontal,</v>
      </c>
      <c r="Q1738" s="49"/>
      <c r="R1738" s="50" t="s">
        <v>692</v>
      </c>
      <c r="S1738" s="55" t="s">
        <v>2314</v>
      </c>
      <c r="T1738" s="49" t="str">
        <f>IFERROR(__xludf.DUMMYFUNCTION("""COMPUTED_VALUE"""),"swinging")</f>
        <v>swinging</v>
      </c>
      <c r="U1738" s="49"/>
      <c r="V1738" s="49"/>
      <c r="W1738" s="49" t="str">
        <f>IFERROR(__xludf.DUMMYFUNCTION("""COMPUTED_VALUE"""),"exiled")</f>
        <v>exiled</v>
      </c>
      <c r="X1738" s="49" t="str">
        <f t="shared" si="3"/>
        <v>dramatically,</v>
      </c>
      <c r="Y1738" s="49"/>
      <c r="Z1738" s="1" t="s">
        <v>4256</v>
      </c>
      <c r="AA1738" s="1" t="s">
        <v>4938</v>
      </c>
      <c r="AB1738" s="49"/>
      <c r="AC1738" s="49"/>
      <c r="AD1738" s="49"/>
      <c r="AE1738" s="49" t="str">
        <f>IFERROR(__xludf.DUMMYFUNCTION("""COMPUTED_VALUE"""),"nemesis")</f>
        <v>nemesis</v>
      </c>
      <c r="AF1738" s="49" t="str">
        <f t="shared" si="4"/>
        <v>accents,</v>
      </c>
      <c r="AG1738" s="49"/>
      <c r="AH1738" s="1" t="s">
        <v>7442</v>
      </c>
      <c r="AI1738" s="1" t="s">
        <v>2788</v>
      </c>
      <c r="AJ1738" s="6" t="str">
        <f>IFERROR(__xludf.DUMMYFUNCTION("""COMPUTED_VALUE"""),"barely")</f>
        <v>barely</v>
      </c>
      <c r="AK1738" s="49"/>
      <c r="AL1738" s="49"/>
      <c r="AM1738" s="49"/>
      <c r="AN1738" s="52" t="str">
        <f t="shared" si="5"/>
        <v>antonio,</v>
      </c>
    </row>
    <row r="1739">
      <c r="A1739" s="51"/>
      <c r="B1739" s="50" t="s">
        <v>1333</v>
      </c>
      <c r="C1739" s="50" t="s">
        <v>4477</v>
      </c>
      <c r="D1739" s="49" t="str">
        <f>IFERROR(__xludf.DUMMYFUNCTION("""COMPUTED_VALUE"""),"conventional")</f>
        <v>conventional</v>
      </c>
      <c r="E1739" s="49"/>
      <c r="F1739" s="49"/>
      <c r="G1739" s="49"/>
      <c r="H1739" s="54" t="str">
        <f t="shared" si="1"/>
        <v>urban,</v>
      </c>
      <c r="I1739" s="50"/>
      <c r="J1739" s="50" t="s">
        <v>3320</v>
      </c>
      <c r="K1739" s="50" t="s">
        <v>1098</v>
      </c>
      <c r="L1739" s="49"/>
      <c r="M1739" s="49"/>
      <c r="N1739" s="49"/>
      <c r="O1739" s="49" t="str">
        <f>IFERROR(__xludf.DUMMYFUNCTION("""COMPUTED_VALUE"""),"remembrance")</f>
        <v>remembrance</v>
      </c>
      <c r="P1739" s="49" t="str">
        <f t="shared" si="2"/>
        <v>spring,</v>
      </c>
      <c r="Q1739" s="49"/>
      <c r="R1739" s="50" t="s">
        <v>2715</v>
      </c>
      <c r="S1739" s="55" t="s">
        <v>4217</v>
      </c>
      <c r="T1739" s="49" t="str">
        <f>IFERROR(__xludf.DUMMYFUNCTION("""COMPUTED_VALUE"""),"swiftly")</f>
        <v>swiftly</v>
      </c>
      <c r="U1739" s="49"/>
      <c r="V1739" s="49"/>
      <c r="W1739" s="49" t="str">
        <f>IFERROR(__xludf.DUMMYFUNCTION("""COMPUTED_VALUE"""),"victorious")</f>
        <v>victorious</v>
      </c>
      <c r="X1739" s="49" t="str">
        <f t="shared" si="3"/>
        <v>glorious,</v>
      </c>
      <c r="Y1739" s="49"/>
      <c r="Z1739" s="1" t="s">
        <v>3031</v>
      </c>
      <c r="AA1739" s="1" t="s">
        <v>4939</v>
      </c>
      <c r="AB1739" s="49"/>
      <c r="AC1739" s="49"/>
      <c r="AD1739" s="49"/>
      <c r="AE1739" s="49" t="str">
        <f>IFERROR(__xludf.DUMMYFUNCTION("""COMPUTED_VALUE"""),"remembrance")</f>
        <v>remembrance</v>
      </c>
      <c r="AF1739" s="49" t="str">
        <f t="shared" si="4"/>
        <v>treat,</v>
      </c>
      <c r="AG1739" s="49"/>
      <c r="AH1739" s="1" t="s">
        <v>1654</v>
      </c>
      <c r="AI1739" s="1" t="s">
        <v>3293</v>
      </c>
      <c r="AJ1739" s="6" t="str">
        <f>IFERROR(__xludf.DUMMYFUNCTION("""COMPUTED_VALUE"""),"busy")</f>
        <v>busy</v>
      </c>
      <c r="AK1739" s="49"/>
      <c r="AL1739" s="49"/>
      <c r="AM1739" s="49"/>
      <c r="AN1739" s="52" t="str">
        <f t="shared" si="5"/>
        <v>successfully,</v>
      </c>
    </row>
    <row r="1740">
      <c r="A1740" s="51"/>
      <c r="B1740" s="50" t="s">
        <v>6820</v>
      </c>
      <c r="C1740" s="50" t="s">
        <v>3413</v>
      </c>
      <c r="D1740" s="49" t="str">
        <f>IFERROR(__xludf.DUMMYFUNCTION("""COMPUTED_VALUE"""),"manhattan")</f>
        <v>manhattan</v>
      </c>
      <c r="E1740" s="49"/>
      <c r="F1740" s="49"/>
      <c r="G1740" s="49"/>
      <c r="H1740" s="54" t="str">
        <f t="shared" si="1"/>
        <v>guess,</v>
      </c>
      <c r="I1740" s="50"/>
      <c r="J1740" s="50" t="s">
        <v>2878</v>
      </c>
      <c r="K1740" s="50" t="s">
        <v>4584</v>
      </c>
      <c r="L1740" s="49"/>
      <c r="M1740" s="49"/>
      <c r="N1740" s="49"/>
      <c r="O1740" s="49" t="str">
        <f>IFERROR(__xludf.DUMMYFUNCTION("""COMPUTED_VALUE"""),"learns")</f>
        <v>learns</v>
      </c>
      <c r="P1740" s="49" t="str">
        <f t="shared" si="2"/>
        <v>pieces,</v>
      </c>
      <c r="Q1740" s="49"/>
      <c r="R1740" s="50" t="s">
        <v>1116</v>
      </c>
      <c r="S1740" s="55" t="s">
        <v>980</v>
      </c>
      <c r="T1740" s="49" t="str">
        <f>IFERROR(__xludf.DUMMYFUNCTION("""COMPUTED_VALUE"""),"celebrate")</f>
        <v>celebrate</v>
      </c>
      <c r="U1740" s="49"/>
      <c r="V1740" s="49"/>
      <c r="W1740" s="49" t="str">
        <f>IFERROR(__xludf.DUMMYFUNCTION("""COMPUTED_VALUE"""),"revolutionaries")</f>
        <v>revolutionaries</v>
      </c>
      <c r="X1740" s="49" t="str">
        <f t="shared" si="3"/>
        <v>history,</v>
      </c>
      <c r="Y1740" s="49"/>
      <c r="Z1740" s="1" t="s">
        <v>6370</v>
      </c>
      <c r="AA1740" s="1" t="s">
        <v>2133</v>
      </c>
      <c r="AB1740" s="49"/>
      <c r="AC1740" s="49"/>
      <c r="AD1740" s="49"/>
      <c r="AE1740" s="49" t="str">
        <f>IFERROR(__xludf.DUMMYFUNCTION("""COMPUTED_VALUE"""),"learns")</f>
        <v>learns</v>
      </c>
      <c r="AF1740" s="49" t="str">
        <f t="shared" si="4"/>
        <v>approach,</v>
      </c>
      <c r="AG1740" s="49"/>
      <c r="AH1740" s="1" t="s">
        <v>4583</v>
      </c>
      <c r="AI1740" s="1" t="s">
        <v>832</v>
      </c>
      <c r="AJ1740" s="6" t="str">
        <f>IFERROR(__xludf.DUMMYFUNCTION("""COMPUTED_VALUE"""),"robin")</f>
        <v>robin</v>
      </c>
      <c r="AK1740" s="49"/>
      <c r="AL1740" s="49"/>
      <c r="AM1740" s="49"/>
      <c r="AN1740" s="52" t="str">
        <f t="shared" si="5"/>
        <v>13th,</v>
      </c>
    </row>
    <row r="1741">
      <c r="A1741" s="51"/>
      <c r="B1741" s="50" t="s">
        <v>3322</v>
      </c>
      <c r="C1741" s="50" t="s">
        <v>2039</v>
      </c>
      <c r="D1741" s="49" t="str">
        <f>IFERROR(__xludf.DUMMYFUNCTION("""COMPUTED_VALUE"""),"rage")</f>
        <v>rage</v>
      </c>
      <c r="E1741" s="49"/>
      <c r="F1741" s="49"/>
      <c r="G1741" s="49"/>
      <c r="H1741" s="54" t="str">
        <f t="shared" si="1"/>
        <v>calls,</v>
      </c>
      <c r="I1741" s="50"/>
      <c r="J1741" s="50" t="s">
        <v>7401</v>
      </c>
      <c r="K1741" s="50" t="s">
        <v>919</v>
      </c>
      <c r="L1741" s="49"/>
      <c r="M1741" s="49"/>
      <c r="N1741" s="49"/>
      <c r="O1741" s="49" t="str">
        <f>IFERROR(__xludf.DUMMYFUNCTION("""COMPUTED_VALUE"""),"lina")</f>
        <v>lina</v>
      </c>
      <c r="P1741" s="49" t="str">
        <f t="shared" si="2"/>
        <v>divert,</v>
      </c>
      <c r="Q1741" s="49"/>
      <c r="R1741" s="50" t="s">
        <v>5126</v>
      </c>
      <c r="S1741" s="55" t="s">
        <v>4218</v>
      </c>
      <c r="T1741" s="49" t="str">
        <f>IFERROR(__xludf.DUMMYFUNCTION("""COMPUTED_VALUE"""),"sermon")</f>
        <v>sermon</v>
      </c>
      <c r="U1741" s="49"/>
      <c r="V1741" s="49"/>
      <c r="W1741" s="49" t="str">
        <f>IFERROR(__xludf.DUMMYFUNCTION("""COMPUTED_VALUE"""),"aristocracy")</f>
        <v>aristocracy</v>
      </c>
      <c r="X1741" s="49" t="str">
        <f t="shared" si="3"/>
        <v>sword,</v>
      </c>
      <c r="Y1741" s="49"/>
      <c r="Z1741" s="1" t="s">
        <v>1790</v>
      </c>
      <c r="AA1741" s="1" t="s">
        <v>3875</v>
      </c>
      <c r="AB1741" s="49"/>
      <c r="AC1741" s="49"/>
      <c r="AD1741" s="49"/>
      <c r="AE1741" s="49" t="str">
        <f>IFERROR(__xludf.DUMMYFUNCTION("""COMPUTED_VALUE"""),"lina")</f>
        <v>lina</v>
      </c>
      <c r="AF1741" s="49" t="str">
        <f t="shared" si="4"/>
        <v>song,</v>
      </c>
      <c r="AG1741" s="49"/>
      <c r="AH1741" s="1" t="s">
        <v>6341</v>
      </c>
      <c r="AI1741" s="1" t="s">
        <v>6567</v>
      </c>
      <c r="AJ1741" s="6" t="str">
        <f>IFERROR(__xludf.DUMMYFUNCTION("""COMPUTED_VALUE"""),"farm")</f>
        <v>farm</v>
      </c>
      <c r="AK1741" s="49"/>
      <c r="AL1741" s="49"/>
      <c r="AM1741" s="49"/>
      <c r="AN1741" s="52" t="str">
        <f t="shared" si="5"/>
        <v>rocky,</v>
      </c>
    </row>
    <row r="1742">
      <c r="A1742" s="51"/>
      <c r="B1742" s="50" t="s">
        <v>4163</v>
      </c>
      <c r="C1742" s="50" t="s">
        <v>4000</v>
      </c>
      <c r="D1742" s="49" t="str">
        <f>IFERROR(__xludf.DUMMYFUNCTION("""COMPUTED_VALUE"""),"exactly")</f>
        <v>exactly</v>
      </c>
      <c r="E1742" s="49"/>
      <c r="F1742" s="49"/>
      <c r="G1742" s="49"/>
      <c r="H1742" s="54" t="str">
        <f t="shared" si="1"/>
        <v>drawn,</v>
      </c>
      <c r="I1742" s="50"/>
      <c r="J1742" s="50" t="s">
        <v>1399</v>
      </c>
      <c r="K1742" s="50" t="s">
        <v>1520</v>
      </c>
      <c r="L1742" s="49"/>
      <c r="M1742" s="49"/>
      <c r="N1742" s="49"/>
      <c r="O1742" s="49" t="str">
        <f>IFERROR(__xludf.DUMMYFUNCTION("""COMPUTED_VALUE"""),"shriek")</f>
        <v>shriek</v>
      </c>
      <c r="P1742" s="49" t="str">
        <f t="shared" si="2"/>
        <v>arbitrary,</v>
      </c>
      <c r="Q1742" s="49"/>
      <c r="R1742" s="50" t="s">
        <v>5903</v>
      </c>
      <c r="S1742" s="55" t="s">
        <v>3100</v>
      </c>
      <c r="T1742" s="49" t="str">
        <f>IFERROR(__xludf.DUMMYFUNCTION("""COMPUTED_VALUE"""),"rap")</f>
        <v>rap</v>
      </c>
      <c r="U1742" s="49"/>
      <c r="V1742" s="49"/>
      <c r="W1742" s="49" t="str">
        <f>IFERROR(__xludf.DUMMYFUNCTION("""COMPUTED_VALUE"""),"fits")</f>
        <v>fits</v>
      </c>
      <c r="X1742" s="49" t="str">
        <f t="shared" si="3"/>
        <v>pre,</v>
      </c>
      <c r="Y1742" s="49"/>
      <c r="Z1742" s="1" t="s">
        <v>4020</v>
      </c>
      <c r="AA1742" s="1" t="s">
        <v>4944</v>
      </c>
      <c r="AB1742" s="49"/>
      <c r="AC1742" s="49"/>
      <c r="AD1742" s="49"/>
      <c r="AE1742" s="49" t="str">
        <f>IFERROR(__xludf.DUMMYFUNCTION("""COMPUTED_VALUE"""),"shriek")</f>
        <v>shriek</v>
      </c>
      <c r="AF1742" s="49" t="str">
        <f t="shared" si="4"/>
        <v>prefer,</v>
      </c>
      <c r="AG1742" s="49"/>
      <c r="AH1742" s="1" t="s">
        <v>2212</v>
      </c>
      <c r="AI1742" s="1" t="s">
        <v>4847</v>
      </c>
      <c r="AJ1742" s="6" t="str">
        <f>IFERROR(__xludf.DUMMYFUNCTION("""COMPUTED_VALUE"""),"target")</f>
        <v>target</v>
      </c>
      <c r="AK1742" s="49"/>
      <c r="AL1742" s="49"/>
      <c r="AM1742" s="49"/>
      <c r="AN1742" s="52" t="str">
        <f t="shared" si="5"/>
        <v>execution,</v>
      </c>
    </row>
    <row r="1743">
      <c r="A1743" s="51"/>
      <c r="B1743" s="50" t="s">
        <v>6015</v>
      </c>
      <c r="C1743" s="50" t="s">
        <v>6527</v>
      </c>
      <c r="D1743" s="49" t="str">
        <f>IFERROR(__xludf.DUMMYFUNCTION("""COMPUTED_VALUE"""),"research")</f>
        <v>research</v>
      </c>
      <c r="E1743" s="49"/>
      <c r="F1743" s="49"/>
      <c r="G1743" s="49"/>
      <c r="H1743" s="54" t="str">
        <f t="shared" si="1"/>
        <v>examples,</v>
      </c>
      <c r="I1743" s="50"/>
      <c r="J1743" s="50" t="s">
        <v>6507</v>
      </c>
      <c r="K1743" s="50" t="s">
        <v>925</v>
      </c>
      <c r="L1743" s="49"/>
      <c r="M1743" s="49"/>
      <c r="N1743" s="49"/>
      <c r="O1743" s="49" t="str">
        <f>IFERROR(__xludf.DUMMYFUNCTION("""COMPUTED_VALUE"""),"ferris")</f>
        <v>ferris</v>
      </c>
      <c r="P1743" s="49" t="str">
        <f t="shared" si="2"/>
        <v>landmark,</v>
      </c>
      <c r="Q1743" s="49"/>
      <c r="R1743" s="50" t="s">
        <v>2930</v>
      </c>
      <c r="S1743" s="55" t="s">
        <v>4954</v>
      </c>
      <c r="T1743" s="49" t="str">
        <f>IFERROR(__xludf.DUMMYFUNCTION("""COMPUTED_VALUE"""),"round")</f>
        <v>round</v>
      </c>
      <c r="U1743" s="49"/>
      <c r="V1743" s="49"/>
      <c r="W1743" s="49" t="str">
        <f>IFERROR(__xludf.DUMMYFUNCTION("""COMPUTED_VALUE"""),"hounds")</f>
        <v>hounds</v>
      </c>
      <c r="X1743" s="49" t="str">
        <f t="shared" si="3"/>
        <v>resemble,</v>
      </c>
      <c r="Y1743" s="49"/>
      <c r="Z1743" s="1" t="s">
        <v>3892</v>
      </c>
      <c r="AA1743" s="1" t="s">
        <v>1087</v>
      </c>
      <c r="AB1743" s="49"/>
      <c r="AC1743" s="49"/>
      <c r="AD1743" s="49"/>
      <c r="AE1743" s="49" t="str">
        <f>IFERROR(__xludf.DUMMYFUNCTION("""COMPUTED_VALUE"""),"ferris")</f>
        <v>ferris</v>
      </c>
      <c r="AF1743" s="49" t="str">
        <f t="shared" si="4"/>
        <v>reminiscent,</v>
      </c>
      <c r="AG1743" s="49"/>
      <c r="AH1743" s="1" t="s">
        <v>621</v>
      </c>
      <c r="AI1743" s="1" t="s">
        <v>3965</v>
      </c>
      <c r="AJ1743" s="6" t="str">
        <f>IFERROR(__xludf.DUMMYFUNCTION("""COMPUTED_VALUE"""),"university")</f>
        <v>university</v>
      </c>
      <c r="AK1743" s="49"/>
      <c r="AL1743" s="49"/>
      <c r="AM1743" s="49"/>
      <c r="AN1743" s="52" t="str">
        <f t="shared" si="5"/>
        <v>believe,</v>
      </c>
    </row>
    <row r="1744">
      <c r="A1744" s="51"/>
      <c r="B1744" s="50" t="s">
        <v>7178</v>
      </c>
      <c r="C1744" s="50" t="s">
        <v>572</v>
      </c>
      <c r="D1744" s="49" t="str">
        <f>IFERROR(__xludf.DUMMYFUNCTION("""COMPUTED_VALUE"""),"market")</f>
        <v>market</v>
      </c>
      <c r="E1744" s="49"/>
      <c r="F1744" s="49"/>
      <c r="G1744" s="49"/>
      <c r="H1744" s="54" t="str">
        <f t="shared" si="1"/>
        <v>hood,</v>
      </c>
      <c r="I1744" s="50"/>
      <c r="J1744" s="50" t="s">
        <v>1941</v>
      </c>
      <c r="K1744" s="50" t="s">
        <v>3263</v>
      </c>
      <c r="L1744" s="49"/>
      <c r="M1744" s="49"/>
      <c r="N1744" s="49"/>
      <c r="O1744" s="49" t="str">
        <f>IFERROR(__xludf.DUMMYFUNCTION("""COMPUTED_VALUE"""),"shaky")</f>
        <v>shaky</v>
      </c>
      <c r="P1744" s="49" t="str">
        <f t="shared" si="2"/>
        <v>midway,</v>
      </c>
      <c r="Q1744" s="49"/>
      <c r="R1744" s="50" t="s">
        <v>6303</v>
      </c>
      <c r="S1744" s="55" t="s">
        <v>1627</v>
      </c>
      <c r="T1744" s="49" t="str">
        <f>IFERROR(__xludf.DUMMYFUNCTION("""COMPUTED_VALUE"""),"governments")</f>
        <v>governments</v>
      </c>
      <c r="U1744" s="49"/>
      <c r="V1744" s="49"/>
      <c r="W1744" s="49" t="str">
        <f>IFERROR(__xludf.DUMMYFUNCTION("""COMPUTED_VALUE"""),"fledgling")</f>
        <v>fledgling</v>
      </c>
      <c r="X1744" s="49" t="str">
        <f t="shared" si="3"/>
        <v>answers,</v>
      </c>
      <c r="Y1744" s="49"/>
      <c r="Z1744" s="1" t="s">
        <v>2243</v>
      </c>
      <c r="AA1744" s="1" t="s">
        <v>4946</v>
      </c>
      <c r="AB1744" s="49"/>
      <c r="AC1744" s="49"/>
      <c r="AD1744" s="49"/>
      <c r="AE1744" s="49" t="str">
        <f>IFERROR(__xludf.DUMMYFUNCTION("""COMPUTED_VALUE"""),"shaky")</f>
        <v>shaky</v>
      </c>
      <c r="AF1744" s="49" t="str">
        <f t="shared" si="4"/>
        <v>intense,</v>
      </c>
      <c r="AG1744" s="49"/>
      <c r="AH1744" s="1" t="s">
        <v>4995</v>
      </c>
      <c r="AI1744" s="1" t="s">
        <v>273</v>
      </c>
      <c r="AJ1744" s="6" t="str">
        <f>IFERROR(__xludf.DUMMYFUNCTION("""COMPUTED_VALUE"""),"major")</f>
        <v>major</v>
      </c>
      <c r="AK1744" s="49"/>
      <c r="AL1744" s="49"/>
      <c r="AM1744" s="49"/>
      <c r="AN1744" s="52" t="str">
        <f t="shared" si="5"/>
        <v>direct,</v>
      </c>
    </row>
    <row r="1745">
      <c r="A1745" s="51"/>
      <c r="B1745" s="50" t="s">
        <v>4662</v>
      </c>
      <c r="C1745" s="50" t="s">
        <v>6544</v>
      </c>
      <c r="D1745" s="49" t="str">
        <f>IFERROR(__xludf.DUMMYFUNCTION("""COMPUTED_VALUE"""),"legal")</f>
        <v>legal</v>
      </c>
      <c r="E1745" s="49"/>
      <c r="F1745" s="49"/>
      <c r="G1745" s="49"/>
      <c r="H1745" s="54" t="str">
        <f t="shared" si="1"/>
        <v>realizing,</v>
      </c>
      <c r="I1745" s="50"/>
      <c r="J1745" s="50" t="s">
        <v>2509</v>
      </c>
      <c r="K1745" s="50" t="s">
        <v>3267</v>
      </c>
      <c r="L1745" s="49"/>
      <c r="M1745" s="49"/>
      <c r="N1745" s="49"/>
      <c r="O1745" s="49" t="str">
        <f>IFERROR(__xludf.DUMMYFUNCTION("""COMPUTED_VALUE"""),"narrated")</f>
        <v>narrated</v>
      </c>
      <c r="P1745" s="49" t="str">
        <f t="shared" si="2"/>
        <v>players,</v>
      </c>
      <c r="Q1745" s="49"/>
      <c r="R1745" s="50" t="s">
        <v>3560</v>
      </c>
      <c r="S1745" s="55" t="s">
        <v>3107</v>
      </c>
      <c r="T1745" s="49" t="str">
        <f>IFERROR(__xludf.DUMMYFUNCTION("""COMPUTED_VALUE"""),"conflicts")</f>
        <v>conflicts</v>
      </c>
      <c r="U1745" s="49"/>
      <c r="V1745" s="49"/>
      <c r="W1745" s="49" t="str">
        <f>IFERROR(__xludf.DUMMYFUNCTION("""COMPUTED_VALUE"""),"presiding")</f>
        <v>presiding</v>
      </c>
      <c r="X1745" s="49" t="str">
        <f t="shared" si="3"/>
        <v>skin,</v>
      </c>
      <c r="Y1745" s="49"/>
      <c r="Z1745" s="1" t="s">
        <v>1016</v>
      </c>
      <c r="AA1745" s="1" t="s">
        <v>4947</v>
      </c>
      <c r="AB1745" s="49"/>
      <c r="AC1745" s="49"/>
      <c r="AD1745" s="49"/>
      <c r="AE1745" s="49" t="str">
        <f>IFERROR(__xludf.DUMMYFUNCTION("""COMPUTED_VALUE"""),"narrated")</f>
        <v>narrated</v>
      </c>
      <c r="AF1745" s="49" t="str">
        <f t="shared" si="4"/>
        <v>damned,</v>
      </c>
      <c r="AG1745" s="49"/>
      <c r="AH1745" s="1" t="s">
        <v>5321</v>
      </c>
      <c r="AI1745" s="1" t="s">
        <v>632</v>
      </c>
      <c r="AJ1745" s="6" t="str">
        <f>IFERROR(__xludf.DUMMYFUNCTION("""COMPUTED_VALUE"""),"granted")</f>
        <v>granted</v>
      </c>
      <c r="AK1745" s="49"/>
      <c r="AL1745" s="49"/>
      <c r="AM1745" s="49"/>
      <c r="AN1745" s="52" t="str">
        <f t="shared" si="5"/>
        <v>producers,</v>
      </c>
    </row>
    <row r="1746">
      <c r="A1746" s="51"/>
      <c r="B1746" s="50" t="s">
        <v>3923</v>
      </c>
      <c r="C1746" s="50" t="s">
        <v>2819</v>
      </c>
      <c r="D1746" s="49" t="str">
        <f>IFERROR(__xludf.DUMMYFUNCTION("""COMPUTED_VALUE"""),"witnesses")</f>
        <v>witnesses</v>
      </c>
      <c r="E1746" s="49"/>
      <c r="F1746" s="49"/>
      <c r="G1746" s="49"/>
      <c r="H1746" s="54" t="str">
        <f t="shared" si="1"/>
        <v>ended,</v>
      </c>
      <c r="I1746" s="50"/>
      <c r="J1746" s="50" t="s">
        <v>7403</v>
      </c>
      <c r="K1746" s="50" t="s">
        <v>1758</v>
      </c>
      <c r="L1746" s="49"/>
      <c r="M1746" s="49"/>
      <c r="N1746" s="49"/>
      <c r="O1746" s="49" t="str">
        <f>IFERROR(__xludf.DUMMYFUNCTION("""COMPUTED_VALUE"""),"landau")</f>
        <v>landau</v>
      </c>
      <c r="P1746" s="49" t="str">
        <f t="shared" si="2"/>
        <v>whip,</v>
      </c>
      <c r="Q1746" s="49"/>
      <c r="R1746" s="50" t="s">
        <v>7443</v>
      </c>
      <c r="S1746" s="55" t="s">
        <v>5370</v>
      </c>
      <c r="T1746" s="49" t="str">
        <f>IFERROR(__xludf.DUMMYFUNCTION("""COMPUTED_VALUE"""),"bags")</f>
        <v>bags</v>
      </c>
      <c r="U1746" s="49"/>
      <c r="V1746" s="49"/>
      <c r="W1746" s="49" t="str">
        <f>IFERROR(__xludf.DUMMYFUNCTION("""COMPUTED_VALUE"""),"macbeth")</f>
        <v>macbeth</v>
      </c>
      <c r="X1746" s="49" t="str">
        <f t="shared" si="3"/>
        <v>lyric,</v>
      </c>
      <c r="Y1746" s="49"/>
      <c r="Z1746" s="1" t="s">
        <v>5664</v>
      </c>
      <c r="AA1746" s="1" t="s">
        <v>2141</v>
      </c>
      <c r="AB1746" s="49"/>
      <c r="AC1746" s="49"/>
      <c r="AD1746" s="49"/>
      <c r="AE1746" s="49" t="str">
        <f>IFERROR(__xludf.DUMMYFUNCTION("""COMPUTED_VALUE"""),"landau")</f>
        <v>landau</v>
      </c>
      <c r="AF1746" s="49" t="str">
        <f t="shared" si="4"/>
        <v>dumped,</v>
      </c>
      <c r="AG1746" s="49"/>
      <c r="AH1746" s="1" t="s">
        <v>5931</v>
      </c>
      <c r="AI1746" s="1" t="s">
        <v>5231</v>
      </c>
      <c r="AJ1746" s="6" t="str">
        <f>IFERROR(__xludf.DUMMYFUNCTION("""COMPUTED_VALUE"""),"hits")</f>
        <v>hits</v>
      </c>
      <c r="AK1746" s="49"/>
      <c r="AL1746" s="49"/>
      <c r="AM1746" s="49"/>
      <c r="AN1746" s="52" t="str">
        <f t="shared" si="5"/>
        <v>proof,</v>
      </c>
    </row>
    <row r="1747">
      <c r="A1747" s="51"/>
      <c r="B1747" s="50" t="s">
        <v>7080</v>
      </c>
      <c r="C1747" s="50" t="s">
        <v>4485</v>
      </c>
      <c r="D1747" s="49" t="str">
        <f>IFERROR(__xludf.DUMMYFUNCTION("""COMPUTED_VALUE"""),"event")</f>
        <v>event</v>
      </c>
      <c r="E1747" s="49"/>
      <c r="F1747" s="49"/>
      <c r="G1747" s="49"/>
      <c r="H1747" s="54" t="str">
        <f t="shared" si="1"/>
        <v>shaw,</v>
      </c>
      <c r="I1747" s="50"/>
      <c r="J1747" s="50" t="s">
        <v>5269</v>
      </c>
      <c r="K1747" s="50" t="s">
        <v>4952</v>
      </c>
      <c r="L1747" s="49"/>
      <c r="M1747" s="49"/>
      <c r="N1747" s="49"/>
      <c r="O1747" s="49" t="str">
        <f>IFERROR(__xludf.DUMMYFUNCTION("""COMPUTED_VALUE"""),"error")</f>
        <v>error</v>
      </c>
      <c r="P1747" s="49" t="str">
        <f t="shared" si="2"/>
        <v>forms,</v>
      </c>
      <c r="Q1747" s="49"/>
      <c r="R1747" s="50" t="s">
        <v>2712</v>
      </c>
      <c r="S1747" s="55" t="s">
        <v>4226</v>
      </c>
      <c r="T1747" s="49" t="str">
        <f>IFERROR(__xludf.DUMMYFUNCTION("""COMPUTED_VALUE"""),"mist")</f>
        <v>mist</v>
      </c>
      <c r="U1747" s="49"/>
      <c r="V1747" s="49"/>
      <c r="W1747" s="49" t="str">
        <f>IFERROR(__xludf.DUMMYFUNCTION("""COMPUTED_VALUE"""),"defend")</f>
        <v>defend</v>
      </c>
      <c r="X1747" s="49" t="str">
        <f t="shared" si="3"/>
        <v>competent,</v>
      </c>
      <c r="Y1747" s="49"/>
      <c r="Z1747" s="1" t="s">
        <v>5253</v>
      </c>
      <c r="AA1747" s="1" t="s">
        <v>4949</v>
      </c>
      <c r="AB1747" s="49"/>
      <c r="AC1747" s="49"/>
      <c r="AD1747" s="49"/>
      <c r="AE1747" s="49" t="str">
        <f>IFERROR(__xludf.DUMMYFUNCTION("""COMPUTED_VALUE"""),"error")</f>
        <v>error</v>
      </c>
      <c r="AF1747" s="49" t="str">
        <f t="shared" si="4"/>
        <v>breaks,</v>
      </c>
      <c r="AG1747" s="49"/>
      <c r="AH1747" s="1" t="s">
        <v>1079</v>
      </c>
      <c r="AI1747" s="1" t="s">
        <v>4145</v>
      </c>
      <c r="AJ1747" s="6" t="str">
        <f>IFERROR(__xludf.DUMMYFUNCTION("""COMPUTED_VALUE"""),"moments")</f>
        <v>moments</v>
      </c>
      <c r="AK1747" s="49"/>
      <c r="AL1747" s="49"/>
      <c r="AM1747" s="49"/>
      <c r="AN1747" s="52" t="str">
        <f t="shared" si="5"/>
        <v>looked,</v>
      </c>
    </row>
    <row r="1748">
      <c r="A1748" s="51"/>
      <c r="B1748" s="50" t="s">
        <v>2922</v>
      </c>
      <c r="C1748" s="50" t="s">
        <v>6545</v>
      </c>
      <c r="D1748" s="49" t="str">
        <f>IFERROR(__xludf.DUMMYFUNCTION("""COMPUTED_VALUE"""),"account")</f>
        <v>account</v>
      </c>
      <c r="E1748" s="49"/>
      <c r="F1748" s="49"/>
      <c r="G1748" s="49"/>
      <c r="H1748" s="54" t="str">
        <f t="shared" si="1"/>
        <v>reading,</v>
      </c>
      <c r="I1748" s="50"/>
      <c r="J1748" s="50" t="s">
        <v>3098</v>
      </c>
      <c r="K1748" s="50" t="s">
        <v>4957</v>
      </c>
      <c r="L1748" s="49"/>
      <c r="M1748" s="49"/>
      <c r="N1748" s="49"/>
      <c r="O1748" s="49" t="str">
        <f>IFERROR(__xludf.DUMMYFUNCTION("""COMPUTED_VALUE"""),"collaboration")</f>
        <v>collaboration</v>
      </c>
      <c r="P1748" s="49" t="str">
        <f t="shared" si="2"/>
        <v>spin,</v>
      </c>
      <c r="Q1748" s="49"/>
      <c r="R1748" s="50" t="s">
        <v>7444</v>
      </c>
      <c r="S1748" s="55" t="s">
        <v>1389</v>
      </c>
      <c r="T1748" s="49"/>
      <c r="U1748" s="49"/>
      <c r="V1748" s="49"/>
      <c r="W1748" s="49" t="str">
        <f>IFERROR(__xludf.DUMMYFUNCTION("""COMPUTED_VALUE"""),"1930s")</f>
        <v>1930s</v>
      </c>
      <c r="X1748" s="49" t="str">
        <f t="shared" si="3"/>
        <v>prof,</v>
      </c>
      <c r="Y1748" s="49"/>
      <c r="Z1748" s="1" t="s">
        <v>3034</v>
      </c>
      <c r="AA1748" s="1" t="s">
        <v>4953</v>
      </c>
      <c r="AB1748" s="49"/>
      <c r="AC1748" s="49"/>
      <c r="AD1748" s="49"/>
      <c r="AE1748" s="49" t="str">
        <f>IFERROR(__xludf.DUMMYFUNCTION("""COMPUTED_VALUE"""),"collaboration")</f>
        <v>collaboration</v>
      </c>
      <c r="AF1748" s="49" t="str">
        <f t="shared" si="4"/>
        <v>level,</v>
      </c>
      <c r="AG1748" s="49"/>
      <c r="AH1748" s="1" t="s">
        <v>620</v>
      </c>
      <c r="AI1748" s="1" t="s">
        <v>4142</v>
      </c>
      <c r="AJ1748" s="6" t="str">
        <f>IFERROR(__xludf.DUMMYFUNCTION("""COMPUTED_VALUE"""),"fantasy")</f>
        <v>fantasy</v>
      </c>
      <c r="AK1748" s="49"/>
      <c r="AL1748" s="49"/>
      <c r="AM1748" s="49"/>
      <c r="AN1748" s="52" t="str">
        <f t="shared" si="5"/>
        <v>started,</v>
      </c>
    </row>
    <row r="1749">
      <c r="A1749" s="51"/>
      <c r="B1749" s="50" t="s">
        <v>261</v>
      </c>
      <c r="C1749" s="50" t="s">
        <v>4044</v>
      </c>
      <c r="D1749" s="49" t="str">
        <f>IFERROR(__xludf.DUMMYFUNCTION("""COMPUTED_VALUE"""),"revolutionary")</f>
        <v>revolutionary</v>
      </c>
      <c r="E1749" s="49"/>
      <c r="F1749" s="49"/>
      <c r="G1749" s="49"/>
      <c r="H1749" s="54" t="str">
        <f t="shared" si="1"/>
        <v>sit,</v>
      </c>
      <c r="I1749" s="50"/>
      <c r="J1749" s="50" t="s">
        <v>5688</v>
      </c>
      <c r="K1749" s="50" t="s">
        <v>2983</v>
      </c>
      <c r="L1749" s="49"/>
      <c r="M1749" s="49"/>
      <c r="N1749" s="49"/>
      <c r="O1749" s="49" t="str">
        <f>IFERROR(__xludf.DUMMYFUNCTION("""COMPUTED_VALUE"""),"germanic")</f>
        <v>germanic</v>
      </c>
      <c r="P1749" s="49" t="str">
        <f t="shared" si="2"/>
        <v>flag,</v>
      </c>
      <c r="Q1749" s="49"/>
      <c r="R1749" s="50" t="s">
        <v>1734</v>
      </c>
      <c r="S1749" s="55" t="s">
        <v>1010</v>
      </c>
      <c r="T1749" s="49"/>
      <c r="U1749" s="49"/>
      <c r="V1749" s="49"/>
      <c r="W1749" s="49" t="str">
        <f>IFERROR(__xludf.DUMMYFUNCTION("""COMPUTED_VALUE"""),"seventeen")</f>
        <v>seventeen</v>
      </c>
      <c r="X1749" s="49" t="str">
        <f t="shared" si="3"/>
        <v>share,</v>
      </c>
      <c r="Y1749" s="49"/>
      <c r="Z1749" s="1" t="s">
        <v>3272</v>
      </c>
      <c r="AA1749" s="1" t="s">
        <v>4958</v>
      </c>
      <c r="AB1749" s="49"/>
      <c r="AC1749" s="49"/>
      <c r="AD1749" s="49"/>
      <c r="AE1749" s="49" t="str">
        <f>IFERROR(__xludf.DUMMYFUNCTION("""COMPUTED_VALUE"""),"germanic")</f>
        <v>germanic</v>
      </c>
      <c r="AF1749" s="49" t="str">
        <f t="shared" si="4"/>
        <v>thinks,</v>
      </c>
      <c r="AG1749" s="49"/>
      <c r="AH1749" s="1" t="s">
        <v>6577</v>
      </c>
      <c r="AI1749" s="1" t="s">
        <v>6549</v>
      </c>
      <c r="AJ1749" s="6" t="str">
        <f>IFERROR(__xludf.DUMMYFUNCTION("""COMPUTED_VALUE"""),"experimental")</f>
        <v>experimental</v>
      </c>
      <c r="AK1749" s="49"/>
      <c r="AL1749" s="49"/>
      <c r="AM1749" s="49"/>
      <c r="AN1749" s="52" t="str">
        <f t="shared" si="5"/>
        <v>trust,</v>
      </c>
    </row>
    <row r="1750">
      <c r="A1750" s="51"/>
      <c r="B1750" s="50" t="s">
        <v>6859</v>
      </c>
      <c r="C1750" s="50" t="s">
        <v>777</v>
      </c>
      <c r="D1750" s="49" t="str">
        <f>IFERROR(__xludf.DUMMYFUNCTION("""COMPUTED_VALUE"""),"chance")</f>
        <v>chance</v>
      </c>
      <c r="E1750" s="49"/>
      <c r="F1750" s="49"/>
      <c r="G1750" s="49"/>
      <c r="H1750" s="54" t="str">
        <f t="shared" si="1"/>
        <v>couch,</v>
      </c>
      <c r="I1750" s="50"/>
      <c r="J1750" s="50" t="s">
        <v>7021</v>
      </c>
      <c r="K1750" s="50" t="s">
        <v>535</v>
      </c>
      <c r="L1750" s="49"/>
      <c r="M1750" s="49"/>
      <c r="N1750" s="49"/>
      <c r="O1750" s="49" t="str">
        <f>IFERROR(__xludf.DUMMYFUNCTION("""COMPUTED_VALUE"""),"instability")</f>
        <v>instability</v>
      </c>
      <c r="P1750" s="49" t="str">
        <f t="shared" si="2"/>
        <v>inc,</v>
      </c>
      <c r="Q1750" s="49"/>
      <c r="R1750" s="50" t="s">
        <v>4115</v>
      </c>
      <c r="S1750" s="55" t="s">
        <v>870</v>
      </c>
      <c r="T1750" s="49"/>
      <c r="U1750" s="49"/>
      <c r="V1750" s="49"/>
      <c r="W1750" s="49" t="str">
        <f>IFERROR(__xludf.DUMMYFUNCTION("""COMPUTED_VALUE"""),"suppression")</f>
        <v>suppression</v>
      </c>
      <c r="X1750" s="49" t="str">
        <f t="shared" si="3"/>
        <v>unnamed,</v>
      </c>
      <c r="Y1750" s="49"/>
      <c r="Z1750" s="1" t="s">
        <v>4618</v>
      </c>
      <c r="AA1750" s="1" t="s">
        <v>3883</v>
      </c>
      <c r="AB1750" s="49"/>
      <c r="AC1750" s="49"/>
      <c r="AD1750" s="49"/>
      <c r="AE1750" s="49" t="str">
        <f>IFERROR(__xludf.DUMMYFUNCTION("""COMPUTED_VALUE"""),"instability")</f>
        <v>instability</v>
      </c>
      <c r="AF1750" s="49" t="str">
        <f t="shared" si="4"/>
        <v>rewards,</v>
      </c>
      <c r="AG1750" s="49"/>
      <c r="AH1750" s="1" t="s">
        <v>3781</v>
      </c>
      <c r="AI1750" s="1" t="s">
        <v>4148</v>
      </c>
      <c r="AJ1750" s="6" t="str">
        <f>IFERROR(__xludf.DUMMYFUNCTION("""COMPUTED_VALUE"""),"benefits")</f>
        <v>benefits</v>
      </c>
      <c r="AK1750" s="49"/>
      <c r="AL1750" s="49"/>
      <c r="AM1750" s="49"/>
      <c r="AN1750" s="52" t="str">
        <f t="shared" si="5"/>
        <v>expression,</v>
      </c>
    </row>
    <row r="1751">
      <c r="A1751" s="51"/>
      <c r="B1751" s="50" t="s">
        <v>3770</v>
      </c>
      <c r="C1751" s="50" t="s">
        <v>921</v>
      </c>
      <c r="D1751" s="49" t="str">
        <f>IFERROR(__xludf.DUMMYFUNCTION("""COMPUTED_VALUE"""),"drives")</f>
        <v>drives</v>
      </c>
      <c r="E1751" s="49"/>
      <c r="F1751" s="49"/>
      <c r="G1751" s="49"/>
      <c r="H1751" s="54" t="str">
        <f t="shared" si="1"/>
        <v>finished,</v>
      </c>
      <c r="I1751" s="50"/>
      <c r="J1751" s="50" t="s">
        <v>3683</v>
      </c>
      <c r="K1751" s="50" t="s">
        <v>1107</v>
      </c>
      <c r="L1751" s="49"/>
      <c r="M1751" s="49"/>
      <c r="N1751" s="49"/>
      <c r="O1751" s="49" t="str">
        <f>IFERROR(__xludf.DUMMYFUNCTION("""COMPUTED_VALUE"""),"sustained")</f>
        <v>sustained</v>
      </c>
      <c r="P1751" s="49" t="str">
        <f t="shared" si="2"/>
        <v>grasp,</v>
      </c>
      <c r="Q1751" s="49"/>
      <c r="R1751" s="50" t="s">
        <v>2015</v>
      </c>
      <c r="S1751" s="55" t="s">
        <v>1017</v>
      </c>
      <c r="T1751" s="49"/>
      <c r="U1751" s="49"/>
      <c r="V1751" s="49"/>
      <c r="W1751" s="49" t="str">
        <f>IFERROR(__xludf.DUMMYFUNCTION("""COMPUTED_VALUE"""),"austrian")</f>
        <v>austrian</v>
      </c>
      <c r="X1751" s="49" t="str">
        <f t="shared" si="3"/>
        <v>goofy,</v>
      </c>
      <c r="Y1751" s="49"/>
      <c r="Z1751" s="1" t="s">
        <v>3896</v>
      </c>
      <c r="AA1751" s="1" t="s">
        <v>3886</v>
      </c>
      <c r="AB1751" s="49"/>
      <c r="AC1751" s="49"/>
      <c r="AD1751" s="49"/>
      <c r="AE1751" s="49" t="str">
        <f>IFERROR(__xludf.DUMMYFUNCTION("""COMPUTED_VALUE"""),"sustained")</f>
        <v>sustained</v>
      </c>
      <c r="AF1751" s="49" t="str">
        <f t="shared" si="4"/>
        <v>offer,</v>
      </c>
      <c r="AG1751" s="49"/>
      <c r="AH1751" s="1" t="s">
        <v>6739</v>
      </c>
      <c r="AI1751" s="1" t="s">
        <v>1977</v>
      </c>
      <c r="AJ1751" s="6" t="str">
        <f>IFERROR(__xludf.DUMMYFUNCTION("""COMPUTED_VALUE"""),"stock")</f>
        <v>stock</v>
      </c>
      <c r="AK1751" s="49"/>
      <c r="AL1751" s="49"/>
      <c r="AM1751" s="49"/>
      <c r="AN1751" s="52" t="str">
        <f t="shared" si="5"/>
        <v>headed,</v>
      </c>
    </row>
    <row r="1752">
      <c r="A1752" s="51"/>
      <c r="B1752" s="50" t="s">
        <v>2039</v>
      </c>
      <c r="C1752" s="50" t="s">
        <v>2723</v>
      </c>
      <c r="D1752" s="49" t="str">
        <f>IFERROR(__xludf.DUMMYFUNCTION("""COMPUTED_VALUE"""),"unlikely")</f>
        <v>unlikely</v>
      </c>
      <c r="E1752" s="49"/>
      <c r="F1752" s="49"/>
      <c r="G1752" s="49"/>
      <c r="H1752" s="54" t="str">
        <f t="shared" si="1"/>
        <v>cut,</v>
      </c>
      <c r="I1752" s="50"/>
      <c r="J1752" s="50" t="s">
        <v>926</v>
      </c>
      <c r="K1752" s="50" t="s">
        <v>4962</v>
      </c>
      <c r="L1752" s="49"/>
      <c r="M1752" s="49"/>
      <c r="N1752" s="49"/>
      <c r="O1752" s="49" t="str">
        <f>IFERROR(__xludf.DUMMYFUNCTION("""COMPUTED_VALUE"""),"intellectuals")</f>
        <v>intellectuals</v>
      </c>
      <c r="P1752" s="49" t="str">
        <f t="shared" si="2"/>
        <v>endure,</v>
      </c>
      <c r="Q1752" s="49"/>
      <c r="R1752" s="50" t="s">
        <v>819</v>
      </c>
      <c r="S1752" s="55" t="s">
        <v>4242</v>
      </c>
      <c r="T1752" s="49"/>
      <c r="U1752" s="49"/>
      <c r="V1752" s="49"/>
      <c r="W1752" s="49" t="str">
        <f>IFERROR(__xludf.DUMMYFUNCTION("""COMPUTED_VALUE"""),"saddle")</f>
        <v>saddle</v>
      </c>
      <c r="X1752" s="49" t="str">
        <f t="shared" si="3"/>
        <v>territory,</v>
      </c>
      <c r="Y1752" s="49"/>
      <c r="Z1752" s="1" t="s">
        <v>1880</v>
      </c>
      <c r="AA1752" s="1" t="s">
        <v>4369</v>
      </c>
      <c r="AB1752" s="49"/>
      <c r="AC1752" s="49"/>
      <c r="AD1752" s="49"/>
      <c r="AE1752" s="49" t="str">
        <f>IFERROR(__xludf.DUMMYFUNCTION("""COMPUTED_VALUE"""),"intellectuals")</f>
        <v>intellectuals</v>
      </c>
      <c r="AF1752" s="49" t="str">
        <f t="shared" si="4"/>
        <v>twice,</v>
      </c>
      <c r="AG1752" s="49"/>
      <c r="AH1752" s="1" t="s">
        <v>5118</v>
      </c>
      <c r="AI1752" s="1" t="s">
        <v>2793</v>
      </c>
      <c r="AJ1752" s="6" t="str">
        <f>IFERROR(__xludf.DUMMYFUNCTION("""COMPUTED_VALUE"""),"threatened")</f>
        <v>threatened</v>
      </c>
      <c r="AK1752" s="49"/>
      <c r="AL1752" s="49"/>
      <c r="AM1752" s="49"/>
      <c r="AN1752" s="52" t="str">
        <f t="shared" si="5"/>
        <v>odd,</v>
      </c>
    </row>
    <row r="1753">
      <c r="A1753" s="51"/>
      <c r="B1753" s="50" t="s">
        <v>6239</v>
      </c>
      <c r="C1753" s="50" t="s">
        <v>6528</v>
      </c>
      <c r="D1753" s="49" t="str">
        <f>IFERROR(__xludf.DUMMYFUNCTION("""COMPUTED_VALUE"""),"air")</f>
        <v>air</v>
      </c>
      <c r="E1753" s="49"/>
      <c r="F1753" s="49"/>
      <c r="G1753" s="49"/>
      <c r="H1753" s="54" t="str">
        <f t="shared" si="1"/>
        <v>poor,</v>
      </c>
      <c r="I1753" s="50"/>
      <c r="J1753" s="50" t="s">
        <v>5501</v>
      </c>
      <c r="K1753" s="50" t="s">
        <v>3279</v>
      </c>
      <c r="L1753" s="49"/>
      <c r="M1753" s="49"/>
      <c r="N1753" s="49"/>
      <c r="O1753" s="49" t="str">
        <f>IFERROR(__xludf.DUMMYFUNCTION("""COMPUTED_VALUE"""),"tolerance")</f>
        <v>tolerance</v>
      </c>
      <c r="P1753" s="49" t="str">
        <f t="shared" si="2"/>
        <v>reef,</v>
      </c>
      <c r="Q1753" s="49"/>
      <c r="R1753" s="50" t="s">
        <v>7445</v>
      </c>
      <c r="S1753" s="55" t="s">
        <v>4770</v>
      </c>
      <c r="T1753" s="49"/>
      <c r="U1753" s="49"/>
      <c r="V1753" s="49"/>
      <c r="W1753" s="49" t="str">
        <f>IFERROR(__xludf.DUMMYFUNCTION("""COMPUTED_VALUE"""),"rapids")</f>
        <v>rapids</v>
      </c>
      <c r="X1753" s="49" t="str">
        <f t="shared" si="3"/>
        <v>ma,</v>
      </c>
      <c r="Y1753" s="49"/>
      <c r="Z1753" s="1" t="s">
        <v>2735</v>
      </c>
      <c r="AA1753" s="1" t="s">
        <v>277</v>
      </c>
      <c r="AB1753" s="49"/>
      <c r="AC1753" s="49"/>
      <c r="AD1753" s="49"/>
      <c r="AE1753" s="49" t="str">
        <f>IFERROR(__xludf.DUMMYFUNCTION("""COMPUTED_VALUE"""),"tolerance")</f>
        <v>tolerance</v>
      </c>
      <c r="AF1753" s="49" t="str">
        <f t="shared" si="4"/>
        <v>chance,</v>
      </c>
      <c r="AG1753" s="49"/>
      <c r="AH1753" s="1" t="s">
        <v>6360</v>
      </c>
      <c r="AI1753" s="1" t="s">
        <v>3432</v>
      </c>
      <c r="AJ1753" s="6" t="str">
        <f>IFERROR(__xludf.DUMMYFUNCTION("""COMPUTED_VALUE"""),"gentle")</f>
        <v>gentle</v>
      </c>
      <c r="AK1753" s="49"/>
      <c r="AL1753" s="49"/>
      <c r="AM1753" s="49"/>
      <c r="AN1753" s="52" t="str">
        <f t="shared" si="5"/>
        <v>leaving,</v>
      </c>
    </row>
    <row r="1754">
      <c r="A1754" s="51"/>
      <c r="B1754" s="50" t="s">
        <v>4460</v>
      </c>
      <c r="C1754" s="50" t="s">
        <v>4680</v>
      </c>
      <c r="D1754" s="49" t="str">
        <f>IFERROR(__xludf.DUMMYFUNCTION("""COMPUTED_VALUE"""),"outcome")</f>
        <v>outcome</v>
      </c>
      <c r="E1754" s="49"/>
      <c r="F1754" s="49"/>
      <c r="G1754" s="49"/>
      <c r="H1754" s="54" t="str">
        <f t="shared" si="1"/>
        <v>shape,</v>
      </c>
      <c r="I1754" s="50"/>
      <c r="J1754" s="50" t="s">
        <v>1390</v>
      </c>
      <c r="K1754" s="50" t="s">
        <v>4405</v>
      </c>
      <c r="L1754" s="49"/>
      <c r="M1754" s="49"/>
      <c r="N1754" s="49"/>
      <c r="O1754" s="49" t="str">
        <f>IFERROR(__xludf.DUMMYFUNCTION("""COMPUTED_VALUE"""),"electoral")</f>
        <v>electoral</v>
      </c>
      <c r="P1754" s="49" t="str">
        <f t="shared" si="2"/>
        <v>successor,</v>
      </c>
      <c r="Q1754" s="49"/>
      <c r="R1754" s="50" t="s">
        <v>4373</v>
      </c>
      <c r="S1754" s="55" t="s">
        <v>3122</v>
      </c>
      <c r="T1754" s="49"/>
      <c r="U1754" s="49"/>
      <c r="V1754" s="49"/>
      <c r="W1754" s="49" t="str">
        <f>IFERROR(__xludf.DUMMYFUNCTION("""COMPUTED_VALUE"""),"lds")</f>
        <v>lds</v>
      </c>
      <c r="X1754" s="49" t="str">
        <f t="shared" si="3"/>
        <v>crisp,</v>
      </c>
      <c r="Y1754" s="49"/>
      <c r="Z1754" s="1" t="s">
        <v>4174</v>
      </c>
      <c r="AA1754" s="1" t="s">
        <v>3891</v>
      </c>
      <c r="AB1754" s="49"/>
      <c r="AC1754" s="49"/>
      <c r="AD1754" s="49"/>
      <c r="AE1754" s="49" t="str">
        <f>IFERROR(__xludf.DUMMYFUNCTION("""COMPUTED_VALUE"""),"electoral")</f>
        <v>electoral</v>
      </c>
      <c r="AF1754" s="49" t="str">
        <f t="shared" si="4"/>
        <v>cult,</v>
      </c>
      <c r="AG1754" s="49"/>
      <c r="AH1754" s="1" t="s">
        <v>4741</v>
      </c>
      <c r="AI1754" s="1" t="s">
        <v>4665</v>
      </c>
      <c r="AJ1754" s="6" t="str">
        <f>IFERROR(__xludf.DUMMYFUNCTION("""COMPUTED_VALUE"""),"slight")</f>
        <v>slight</v>
      </c>
      <c r="AK1754" s="49"/>
      <c r="AL1754" s="49"/>
      <c r="AM1754" s="49"/>
      <c r="AN1754" s="52" t="str">
        <f t="shared" si="5"/>
        <v>expected,</v>
      </c>
    </row>
    <row r="1755">
      <c r="A1755" s="51"/>
      <c r="B1755" s="50" t="s">
        <v>3845</v>
      </c>
      <c r="C1755" s="50" t="s">
        <v>1111</v>
      </c>
      <c r="D1755" s="49" t="str">
        <f>IFERROR(__xludf.DUMMYFUNCTION("""COMPUTED_VALUE"""),"moment")</f>
        <v>moment</v>
      </c>
      <c r="E1755" s="49"/>
      <c r="F1755" s="49"/>
      <c r="G1755" s="49"/>
      <c r="H1755" s="54" t="str">
        <f t="shared" si="1"/>
        <v>handle,</v>
      </c>
      <c r="I1755" s="50"/>
      <c r="J1755" s="50" t="s">
        <v>7405</v>
      </c>
      <c r="K1755" s="50" t="s">
        <v>1132</v>
      </c>
      <c r="L1755" s="49"/>
      <c r="M1755" s="49"/>
      <c r="N1755" s="49"/>
      <c r="O1755" s="49" t="str">
        <f>IFERROR(__xludf.DUMMYFUNCTION("""COMPUTED_VALUE"""),"prowess")</f>
        <v>prowess</v>
      </c>
      <c r="P1755" s="49" t="str">
        <f t="shared" si="2"/>
        <v>marker,</v>
      </c>
      <c r="Q1755" s="49"/>
      <c r="R1755" s="50" t="s">
        <v>4969</v>
      </c>
      <c r="S1755" s="55" t="s">
        <v>4773</v>
      </c>
      <c r="T1755" s="49"/>
      <c r="U1755" s="49"/>
      <c r="V1755" s="49"/>
      <c r="W1755" s="49" t="str">
        <f>IFERROR(__xludf.DUMMYFUNCTION("""COMPUTED_VALUE"""),"probation")</f>
        <v>probation</v>
      </c>
      <c r="X1755" s="49" t="str">
        <f t="shared" si="3"/>
        <v>map,</v>
      </c>
      <c r="Y1755" s="49"/>
      <c r="Z1755" s="1" t="s">
        <v>1955</v>
      </c>
      <c r="AA1755" s="1" t="s">
        <v>4965</v>
      </c>
      <c r="AB1755" s="49"/>
      <c r="AC1755" s="49"/>
      <c r="AD1755" s="49"/>
      <c r="AE1755" s="49" t="str">
        <f>IFERROR(__xludf.DUMMYFUNCTION("""COMPUTED_VALUE"""),"prowess")</f>
        <v>prowess</v>
      </c>
      <c r="AF1755" s="49" t="str">
        <f t="shared" si="4"/>
        <v>bar,</v>
      </c>
      <c r="AG1755" s="49"/>
      <c r="AH1755" s="1" t="s">
        <v>7004</v>
      </c>
      <c r="AI1755" s="1" t="s">
        <v>4667</v>
      </c>
      <c r="AJ1755" s="6" t="str">
        <f>IFERROR(__xludf.DUMMYFUNCTION("""COMPUTED_VALUE"""),"conventional")</f>
        <v>conventional</v>
      </c>
      <c r="AK1755" s="49"/>
      <c r="AL1755" s="49"/>
      <c r="AM1755" s="49"/>
      <c r="AN1755" s="52" t="str">
        <f t="shared" si="5"/>
        <v>gray,</v>
      </c>
    </row>
    <row r="1756">
      <c r="A1756" s="51"/>
      <c r="B1756" s="50" t="s">
        <v>2810</v>
      </c>
      <c r="C1756" s="50" t="s">
        <v>2089</v>
      </c>
      <c r="D1756" s="49" t="str">
        <f>IFERROR(__xludf.DUMMYFUNCTION("""COMPUTED_VALUE"""),"pages")</f>
        <v>pages</v>
      </c>
      <c r="E1756" s="49"/>
      <c r="F1756" s="49"/>
      <c r="G1756" s="49"/>
      <c r="H1756" s="54" t="str">
        <f t="shared" si="1"/>
        <v>alfred,</v>
      </c>
      <c r="I1756" s="50"/>
      <c r="J1756" s="50" t="s">
        <v>2040</v>
      </c>
      <c r="K1756" s="50" t="s">
        <v>3168</v>
      </c>
      <c r="L1756" s="49"/>
      <c r="M1756" s="49"/>
      <c r="N1756" s="49"/>
      <c r="O1756" s="49" t="str">
        <f>IFERROR(__xludf.DUMMYFUNCTION("""COMPUTED_VALUE"""),"instrument")</f>
        <v>instrument</v>
      </c>
      <c r="P1756" s="49" t="str">
        <f t="shared" si="2"/>
        <v>accomplished,</v>
      </c>
      <c r="Q1756" s="49"/>
      <c r="R1756" s="50" t="s">
        <v>4335</v>
      </c>
      <c r="S1756" s="55" t="s">
        <v>1026</v>
      </c>
      <c r="T1756" s="49"/>
      <c r="U1756" s="49"/>
      <c r="V1756" s="49"/>
      <c r="W1756" s="49" t="str">
        <f>IFERROR(__xludf.DUMMYFUNCTION("""COMPUTED_VALUE"""),"mankind")</f>
        <v>mankind</v>
      </c>
      <c r="X1756" s="49" t="str">
        <f t="shared" si="3"/>
        <v>desired,</v>
      </c>
      <c r="Y1756" s="49"/>
      <c r="Z1756" s="1" t="s">
        <v>1363</v>
      </c>
      <c r="AA1756" s="1" t="s">
        <v>1407</v>
      </c>
      <c r="AB1756" s="49"/>
      <c r="AC1756" s="49"/>
      <c r="AD1756" s="49"/>
      <c r="AE1756" s="49" t="str">
        <f>IFERROR(__xludf.DUMMYFUNCTION("""COMPUTED_VALUE"""),"instrument")</f>
        <v>instrument</v>
      </c>
      <c r="AF1756" s="49" t="str">
        <f t="shared" si="4"/>
        <v>stay,</v>
      </c>
      <c r="AG1756" s="49"/>
      <c r="AH1756" s="1" t="s">
        <v>2336</v>
      </c>
      <c r="AI1756" s="1" t="s">
        <v>4158</v>
      </c>
      <c r="AJ1756" s="6" t="str">
        <f>IFERROR(__xludf.DUMMYFUNCTION("""COMPUTED_VALUE"""),"quickly")</f>
        <v>quickly</v>
      </c>
      <c r="AK1756" s="49"/>
      <c r="AL1756" s="49"/>
      <c r="AM1756" s="49"/>
      <c r="AN1756" s="52" t="str">
        <f t="shared" si="5"/>
        <v>copies,</v>
      </c>
    </row>
    <row r="1757">
      <c r="A1757" s="51"/>
      <c r="B1757" s="50" t="s">
        <v>3113</v>
      </c>
      <c r="C1757" s="50" t="s">
        <v>4497</v>
      </c>
      <c r="D1757" s="49" t="str">
        <f>IFERROR(__xludf.DUMMYFUNCTION("""COMPUTED_VALUE"""),"spiritual")</f>
        <v>spiritual</v>
      </c>
      <c r="E1757" s="49"/>
      <c r="F1757" s="49"/>
      <c r="G1757" s="49"/>
      <c r="H1757" s="54" t="str">
        <f t="shared" si="1"/>
        <v>bigger,</v>
      </c>
      <c r="I1757" s="50"/>
      <c r="J1757" s="50" t="s">
        <v>4222</v>
      </c>
      <c r="K1757" s="50" t="s">
        <v>930</v>
      </c>
      <c r="L1757" s="49"/>
      <c r="M1757" s="49"/>
      <c r="N1757" s="49"/>
      <c r="O1757" s="49" t="str">
        <f>IFERROR(__xludf.DUMMYFUNCTION("""COMPUTED_VALUE"""),"reportedly")</f>
        <v>reportedly</v>
      </c>
      <c r="P1757" s="49" t="str">
        <f t="shared" si="2"/>
        <v>dustin,</v>
      </c>
      <c r="Q1757" s="49"/>
      <c r="R1757" s="50" t="s">
        <v>6883</v>
      </c>
      <c r="S1757" s="55" t="s">
        <v>67</v>
      </c>
      <c r="T1757" s="49"/>
      <c r="U1757" s="49"/>
      <c r="V1757" s="49"/>
      <c r="W1757" s="49" t="str">
        <f>IFERROR(__xludf.DUMMYFUNCTION("""COMPUTED_VALUE"""),"wasp")</f>
        <v>wasp</v>
      </c>
      <c r="X1757" s="49" t="str">
        <f t="shared" si="3"/>
        <v>grateful,</v>
      </c>
      <c r="Y1757" s="49"/>
      <c r="Z1757" s="1" t="s">
        <v>264</v>
      </c>
      <c r="AA1757" s="1" t="s">
        <v>4968</v>
      </c>
      <c r="AB1757" s="49"/>
      <c r="AC1757" s="49"/>
      <c r="AD1757" s="49"/>
      <c r="AE1757" s="49" t="str">
        <f>IFERROR(__xludf.DUMMYFUNCTION("""COMPUTED_VALUE"""),"reportedly")</f>
        <v>reportedly</v>
      </c>
      <c r="AF1757" s="49" t="str">
        <f t="shared" si="4"/>
        <v>often,</v>
      </c>
      <c r="AG1757" s="49"/>
      <c r="AH1757" s="1" t="s">
        <v>5400</v>
      </c>
      <c r="AI1757" s="1" t="s">
        <v>4155</v>
      </c>
      <c r="AJ1757" s="6" t="str">
        <f>IFERROR(__xludf.DUMMYFUNCTION("""COMPUTED_VALUE"""),"giving")</f>
        <v>giving</v>
      </c>
      <c r="AK1757" s="49"/>
      <c r="AL1757" s="49"/>
      <c r="AM1757" s="49"/>
      <c r="AN1757" s="52" t="str">
        <f t="shared" si="5"/>
        <v>muscles,</v>
      </c>
    </row>
    <row r="1758">
      <c r="A1758" s="51"/>
      <c r="B1758" s="50" t="s">
        <v>7149</v>
      </c>
      <c r="C1758" s="50" t="s">
        <v>4500</v>
      </c>
      <c r="D1758" s="49" t="str">
        <f>IFERROR(__xludf.DUMMYFUNCTION("""COMPUTED_VALUE"""),"tossed")</f>
        <v>tossed</v>
      </c>
      <c r="E1758" s="49"/>
      <c r="F1758" s="49"/>
      <c r="G1758" s="49"/>
      <c r="H1758" s="54" t="str">
        <f t="shared" si="1"/>
        <v>butler,</v>
      </c>
      <c r="I1758" s="50"/>
      <c r="J1758" s="50" t="s">
        <v>2402</v>
      </c>
      <c r="K1758" s="50" t="s">
        <v>707</v>
      </c>
      <c r="L1758" s="49"/>
      <c r="M1758" s="49"/>
      <c r="N1758" s="49"/>
      <c r="O1758" s="49" t="str">
        <f>IFERROR(__xludf.DUMMYFUNCTION("""COMPUTED_VALUE"""),"harmed")</f>
        <v>harmed</v>
      </c>
      <c r="P1758" s="49" t="str">
        <f t="shared" si="2"/>
        <v>unpleasant,</v>
      </c>
      <c r="Q1758" s="49"/>
      <c r="R1758" s="50" t="s">
        <v>5942</v>
      </c>
      <c r="S1758" s="55" t="s">
        <v>3126</v>
      </c>
      <c r="T1758" s="49"/>
      <c r="U1758" s="49"/>
      <c r="V1758" s="49"/>
      <c r="W1758" s="49" t="str">
        <f>IFERROR(__xludf.DUMMYFUNCTION("""COMPUTED_VALUE"""),"weber")</f>
        <v>weber</v>
      </c>
      <c r="X1758" s="49" t="str">
        <f t="shared" si="3"/>
        <v>sealed,</v>
      </c>
      <c r="Y1758" s="49"/>
      <c r="Z1758" s="1" t="s">
        <v>1690</v>
      </c>
      <c r="AA1758" s="1" t="s">
        <v>922</v>
      </c>
      <c r="AB1758" s="49"/>
      <c r="AC1758" s="49"/>
      <c r="AD1758" s="49"/>
      <c r="AE1758" s="49" t="str">
        <f>IFERROR(__xludf.DUMMYFUNCTION("""COMPUTED_VALUE"""),"harmed")</f>
        <v>harmed</v>
      </c>
      <c r="AF1758" s="49" t="str">
        <f t="shared" si="4"/>
        <v>dragon,</v>
      </c>
      <c r="AG1758" s="49"/>
      <c r="AH1758" s="1" t="s">
        <v>1294</v>
      </c>
      <c r="AI1758" s="1" t="s">
        <v>6568</v>
      </c>
      <c r="AJ1758" s="6" t="str">
        <f>IFERROR(__xludf.DUMMYFUNCTION("""COMPUTED_VALUE"""),"opportunity")</f>
        <v>opportunity</v>
      </c>
      <c r="AK1758" s="49"/>
      <c r="AL1758" s="49"/>
      <c r="AM1758" s="49"/>
      <c r="AN1758" s="52" t="str">
        <f t="shared" si="5"/>
        <v>exercise,</v>
      </c>
    </row>
    <row r="1759">
      <c r="A1759" s="51"/>
      <c r="B1759" s="50" t="s">
        <v>1754</v>
      </c>
      <c r="C1759" s="50" t="s">
        <v>2503</v>
      </c>
      <c r="D1759" s="49" t="str">
        <f>IFERROR(__xludf.DUMMYFUNCTION("""COMPUTED_VALUE"""),"lifestyle")</f>
        <v>lifestyle</v>
      </c>
      <c r="E1759" s="49"/>
      <c r="F1759" s="49"/>
      <c r="G1759" s="49"/>
      <c r="H1759" s="54" t="str">
        <f t="shared" si="1"/>
        <v>mere,</v>
      </c>
      <c r="I1759" s="50"/>
      <c r="J1759" s="50" t="s">
        <v>1627</v>
      </c>
      <c r="K1759" s="50" t="s">
        <v>2996</v>
      </c>
      <c r="L1759" s="49"/>
      <c r="M1759" s="49"/>
      <c r="N1759" s="49"/>
      <c r="O1759" s="49" t="str">
        <f>IFERROR(__xludf.DUMMYFUNCTION("""COMPUTED_VALUE"""),"dimensional")</f>
        <v>dimensional</v>
      </c>
      <c r="P1759" s="49" t="str">
        <f t="shared" si="2"/>
        <v>hoffman,</v>
      </c>
      <c r="Q1759" s="49"/>
      <c r="R1759" s="50">
        <v>99.0</v>
      </c>
      <c r="S1759" s="55" t="s">
        <v>3862</v>
      </c>
      <c r="T1759" s="49"/>
      <c r="U1759" s="49"/>
      <c r="V1759" s="49"/>
      <c r="W1759" s="49" t="str">
        <f>IFERROR(__xludf.DUMMYFUNCTION("""COMPUTED_VALUE"""),"stud")</f>
        <v>stud</v>
      </c>
      <c r="X1759" s="49" t="str">
        <f t="shared" si="3"/>
        <v>99,</v>
      </c>
      <c r="Y1759" s="49"/>
      <c r="Z1759" s="1" t="s">
        <v>6321</v>
      </c>
      <c r="AA1759" s="1" t="s">
        <v>3900</v>
      </c>
      <c r="AB1759" s="49"/>
      <c r="AC1759" s="49"/>
      <c r="AD1759" s="49"/>
      <c r="AE1759" s="49" t="str">
        <f>IFERROR(__xludf.DUMMYFUNCTION("""COMPUTED_VALUE"""),"dimensional")</f>
        <v>dimensional</v>
      </c>
      <c r="AF1759" s="49" t="str">
        <f t="shared" si="4"/>
        <v>justify,</v>
      </c>
      <c r="AG1759" s="49"/>
      <c r="AH1759" s="1" t="s">
        <v>6741</v>
      </c>
      <c r="AI1759" s="1" t="s">
        <v>4671</v>
      </c>
      <c r="AJ1759" s="6" t="str">
        <f>IFERROR(__xludf.DUMMYFUNCTION("""COMPUTED_VALUE"""),"unless")</f>
        <v>unless</v>
      </c>
      <c r="AK1759" s="49"/>
      <c r="AL1759" s="49"/>
      <c r="AM1759" s="49"/>
      <c r="AN1759" s="52" t="str">
        <f t="shared" si="5"/>
        <v>blame,</v>
      </c>
    </row>
    <row r="1760">
      <c r="A1760" s="51"/>
      <c r="B1760" s="50" t="s">
        <v>5689</v>
      </c>
      <c r="C1760" s="50" t="s">
        <v>4039</v>
      </c>
      <c r="D1760" s="49" t="str">
        <f>IFERROR(__xludf.DUMMYFUNCTION("""COMPUTED_VALUE"""),"studios")</f>
        <v>studios</v>
      </c>
      <c r="E1760" s="49"/>
      <c r="F1760" s="49"/>
      <c r="G1760" s="49"/>
      <c r="H1760" s="54" t="str">
        <f t="shared" si="1"/>
        <v>writers,</v>
      </c>
      <c r="I1760" s="50"/>
      <c r="J1760" s="50" t="s">
        <v>49</v>
      </c>
      <c r="K1760" s="50" t="s">
        <v>3294</v>
      </c>
      <c r="L1760" s="49"/>
      <c r="M1760" s="49"/>
      <c r="N1760" s="49"/>
      <c r="O1760" s="49" t="str">
        <f>IFERROR(__xludf.DUMMYFUNCTION("""COMPUTED_VALUE"""),"liability")</f>
        <v>liability</v>
      </c>
      <c r="P1760" s="49" t="str">
        <f t="shared" si="2"/>
        <v>hide,</v>
      </c>
      <c r="Q1760" s="49"/>
      <c r="R1760" s="50" t="s">
        <v>3377</v>
      </c>
      <c r="S1760" s="55" t="s">
        <v>886</v>
      </c>
      <c r="T1760" s="49"/>
      <c r="U1760" s="49"/>
      <c r="V1760" s="49"/>
      <c r="W1760" s="49" t="str">
        <f>IFERROR(__xludf.DUMMYFUNCTION("""COMPUTED_VALUE"""),"terrorism")</f>
        <v>terrorism</v>
      </c>
      <c r="X1760" s="49" t="str">
        <f t="shared" si="3"/>
        <v>layers,</v>
      </c>
      <c r="Y1760" s="49"/>
      <c r="Z1760" s="1" t="s">
        <v>2125</v>
      </c>
      <c r="AA1760" s="1" t="s">
        <v>4972</v>
      </c>
      <c r="AB1760" s="49"/>
      <c r="AC1760" s="49"/>
      <c r="AD1760" s="49"/>
      <c r="AE1760" s="49" t="str">
        <f>IFERROR(__xludf.DUMMYFUNCTION("""COMPUTED_VALUE"""),"liability")</f>
        <v>liability</v>
      </c>
      <c r="AF1760" s="49" t="str">
        <f t="shared" si="4"/>
        <v>arts,</v>
      </c>
      <c r="AG1760" s="49"/>
      <c r="AH1760" s="1" t="s">
        <v>2338</v>
      </c>
      <c r="AI1760" s="1" t="s">
        <v>4869</v>
      </c>
      <c r="AJ1760" s="6" t="str">
        <f>IFERROR(__xludf.DUMMYFUNCTION("""COMPUTED_VALUE"""),"indeed")</f>
        <v>indeed</v>
      </c>
      <c r="AK1760" s="49"/>
      <c r="AL1760" s="49"/>
      <c r="AM1760" s="49"/>
      <c r="AN1760" s="52" t="str">
        <f t="shared" si="5"/>
        <v>husband,</v>
      </c>
    </row>
    <row r="1761">
      <c r="A1761" s="51"/>
      <c r="B1761" s="50" t="s">
        <v>6344</v>
      </c>
      <c r="C1761" s="50" t="s">
        <v>4035</v>
      </c>
      <c r="D1761" s="49" t="str">
        <f>IFERROR(__xludf.DUMMYFUNCTION("""COMPUTED_VALUE"""),"laboratory")</f>
        <v>laboratory</v>
      </c>
      <c r="E1761" s="49"/>
      <c r="F1761" s="49"/>
      <c r="G1761" s="49"/>
      <c r="H1761" s="54" t="str">
        <f t="shared" si="1"/>
        <v>extremely,</v>
      </c>
      <c r="I1761" s="50"/>
      <c r="J1761" s="50" t="s">
        <v>5749</v>
      </c>
      <c r="K1761" s="50" t="s">
        <v>3298</v>
      </c>
      <c r="L1761" s="49"/>
      <c r="M1761" s="49"/>
      <c r="N1761" s="49"/>
      <c r="O1761" s="49" t="str">
        <f>IFERROR(__xludf.DUMMYFUNCTION("""COMPUTED_VALUE"""),"tackled")</f>
        <v>tackled</v>
      </c>
      <c r="P1761" s="49" t="str">
        <f t="shared" si="2"/>
        <v>pairing,</v>
      </c>
      <c r="Q1761" s="49"/>
      <c r="R1761" s="50" t="s">
        <v>3088</v>
      </c>
      <c r="S1761" s="55" t="s">
        <v>4987</v>
      </c>
      <c r="T1761" s="49"/>
      <c r="U1761" s="49"/>
      <c r="V1761" s="49"/>
      <c r="W1761" s="49" t="str">
        <f>IFERROR(__xludf.DUMMYFUNCTION("""COMPUTED_VALUE"""),"sociology")</f>
        <v>sociology</v>
      </c>
      <c r="X1761" s="49" t="str">
        <f t="shared" si="3"/>
        <v>bag,</v>
      </c>
      <c r="Y1761" s="49"/>
      <c r="Z1761" s="1" t="s">
        <v>451</v>
      </c>
      <c r="AA1761" s="1" t="s">
        <v>3903</v>
      </c>
      <c r="AB1761" s="49"/>
      <c r="AC1761" s="49"/>
      <c r="AD1761" s="49"/>
      <c r="AE1761" s="49" t="str">
        <f>IFERROR(__xludf.DUMMYFUNCTION("""COMPUTED_VALUE"""),"tackled")</f>
        <v>tackled</v>
      </c>
      <c r="AF1761" s="49" t="str">
        <f t="shared" si="4"/>
        <v>projects,</v>
      </c>
      <c r="AG1761" s="49"/>
      <c r="AH1761" s="1" t="s">
        <v>5001</v>
      </c>
      <c r="AI1761" s="1" t="s">
        <v>1650</v>
      </c>
      <c r="AJ1761" s="6" t="str">
        <f>IFERROR(__xludf.DUMMYFUNCTION("""COMPUTED_VALUE"""),"ticket")</f>
        <v>ticket</v>
      </c>
      <c r="AK1761" s="49"/>
      <c r="AL1761" s="49"/>
      <c r="AM1761" s="49"/>
      <c r="AN1761" s="52" t="str">
        <f t="shared" si="5"/>
        <v>bodies,</v>
      </c>
    </row>
    <row r="1762">
      <c r="A1762" s="51"/>
      <c r="B1762" s="50" t="s">
        <v>4142</v>
      </c>
      <c r="C1762" s="50" t="s">
        <v>1533</v>
      </c>
      <c r="D1762" s="49" t="str">
        <f>IFERROR(__xludf.DUMMYFUNCTION("""COMPUTED_VALUE"""),"risk")</f>
        <v>risk</v>
      </c>
      <c r="E1762" s="49"/>
      <c r="F1762" s="49"/>
      <c r="G1762" s="49"/>
      <c r="H1762" s="54" t="str">
        <f t="shared" si="1"/>
        <v>jonathan,</v>
      </c>
      <c r="I1762" s="50"/>
      <c r="J1762" s="50" t="s">
        <v>1391</v>
      </c>
      <c r="K1762" s="50" t="s">
        <v>1772</v>
      </c>
      <c r="L1762" s="49"/>
      <c r="M1762" s="49"/>
      <c r="N1762" s="49"/>
      <c r="O1762" s="49" t="str">
        <f>IFERROR(__xludf.DUMMYFUNCTION("""COMPUTED_VALUE"""),"byzantine")</f>
        <v>byzantine</v>
      </c>
      <c r="P1762" s="49" t="str">
        <f t="shared" si="2"/>
        <v>mainly,</v>
      </c>
      <c r="Q1762" s="49"/>
      <c r="R1762" s="50" t="s">
        <v>5977</v>
      </c>
      <c r="S1762" s="55" t="s">
        <v>4255</v>
      </c>
      <c r="T1762" s="49"/>
      <c r="U1762" s="49"/>
      <c r="V1762" s="49"/>
      <c r="W1762" s="49" t="str">
        <f>IFERROR(__xludf.DUMMYFUNCTION("""COMPUTED_VALUE"""),"nighttime")</f>
        <v>nighttime</v>
      </c>
      <c r="X1762" s="49" t="str">
        <f t="shared" si="3"/>
        <v>masses,</v>
      </c>
      <c r="Y1762" s="49"/>
      <c r="Z1762" s="1" t="s">
        <v>1272</v>
      </c>
      <c r="AA1762" s="1" t="s">
        <v>4975</v>
      </c>
      <c r="AB1762" s="49"/>
      <c r="AC1762" s="49"/>
      <c r="AD1762" s="49"/>
      <c r="AE1762" s="49" t="str">
        <f>IFERROR(__xludf.DUMMYFUNCTION("""COMPUTED_VALUE"""),"byzantine")</f>
        <v>byzantine</v>
      </c>
      <c r="AF1762" s="49" t="str">
        <f t="shared" si="4"/>
        <v>martial,</v>
      </c>
      <c r="AG1762" s="49"/>
      <c r="AH1762" s="1" t="s">
        <v>1059</v>
      </c>
      <c r="AI1762" s="1" t="s">
        <v>4599</v>
      </c>
      <c r="AJ1762" s="6" t="str">
        <f>IFERROR(__xludf.DUMMYFUNCTION("""COMPUTED_VALUE"""),"community")</f>
        <v>community</v>
      </c>
      <c r="AK1762" s="49"/>
      <c r="AL1762" s="49"/>
      <c r="AM1762" s="49"/>
      <c r="AN1762" s="52" t="str">
        <f t="shared" si="5"/>
        <v>harry,</v>
      </c>
    </row>
    <row r="1763">
      <c r="A1763" s="51"/>
      <c r="B1763" s="50" t="s">
        <v>696</v>
      </c>
      <c r="C1763" s="50" t="s">
        <v>6546</v>
      </c>
      <c r="D1763" s="49" t="str">
        <f>IFERROR(__xludf.DUMMYFUNCTION("""COMPUTED_VALUE"""),"actions")</f>
        <v>actions</v>
      </c>
      <c r="E1763" s="49"/>
      <c r="F1763" s="49"/>
      <c r="G1763" s="49"/>
      <c r="H1763" s="54" t="str">
        <f t="shared" si="1"/>
        <v>obvious,</v>
      </c>
      <c r="I1763" s="50"/>
      <c r="J1763" s="50" t="s">
        <v>851</v>
      </c>
      <c r="K1763" s="50" t="s">
        <v>4422</v>
      </c>
      <c r="L1763" s="49"/>
      <c r="M1763" s="49"/>
      <c r="N1763" s="49"/>
      <c r="O1763" s="49" t="str">
        <f>IFERROR(__xludf.DUMMYFUNCTION("""COMPUTED_VALUE"""),"barrie")</f>
        <v>barrie</v>
      </c>
      <c r="P1763" s="49" t="str">
        <f t="shared" si="2"/>
        <v>impressions,</v>
      </c>
      <c r="Q1763" s="49"/>
      <c r="R1763" s="50" t="s">
        <v>2482</v>
      </c>
      <c r="S1763" s="55" t="s">
        <v>4785</v>
      </c>
      <c r="T1763" s="49"/>
      <c r="U1763" s="49"/>
      <c r="V1763" s="49"/>
      <c r="W1763" s="49" t="str">
        <f>IFERROR(__xludf.DUMMYFUNCTION("""COMPUTED_VALUE"""),"depicted")</f>
        <v>depicted</v>
      </c>
      <c r="X1763" s="49" t="str">
        <f t="shared" si="3"/>
        <v>evelyn,</v>
      </c>
      <c r="Y1763" s="49"/>
      <c r="Z1763" s="1" t="s">
        <v>1412</v>
      </c>
      <c r="AA1763" s="1" t="s">
        <v>1417</v>
      </c>
      <c r="AB1763" s="49"/>
      <c r="AC1763" s="49"/>
      <c r="AD1763" s="49"/>
      <c r="AE1763" s="49" t="str">
        <f>IFERROR(__xludf.DUMMYFUNCTION("""COMPUTED_VALUE"""),"barrie")</f>
        <v>barrie</v>
      </c>
      <c r="AF1763" s="49" t="str">
        <f t="shared" si="4"/>
        <v>loosely,</v>
      </c>
      <c r="AG1763" s="49"/>
      <c r="AH1763" s="1" t="s">
        <v>4106</v>
      </c>
      <c r="AI1763" s="1" t="s">
        <v>1988</v>
      </c>
      <c r="AJ1763" s="6" t="str">
        <f>IFERROR(__xludf.DUMMYFUNCTION("""COMPUTED_VALUE"""),"rate")</f>
        <v>rate</v>
      </c>
      <c r="AK1763" s="49"/>
      <c r="AL1763" s="49"/>
      <c r="AM1763" s="49"/>
      <c r="AN1763" s="52" t="str">
        <f t="shared" si="5"/>
        <v>finds,</v>
      </c>
    </row>
    <row r="1764">
      <c r="A1764" s="51"/>
      <c r="B1764" s="50" t="s">
        <v>6110</v>
      </c>
      <c r="C1764" s="50" t="s">
        <v>2696</v>
      </c>
      <c r="D1764" s="49" t="str">
        <f>IFERROR(__xludf.DUMMYFUNCTION("""COMPUTED_VALUE"""),"concerned")</f>
        <v>concerned</v>
      </c>
      <c r="E1764" s="49"/>
      <c r="F1764" s="49"/>
      <c r="G1764" s="49"/>
      <c r="H1764" s="54" t="str">
        <f t="shared" si="1"/>
        <v>marshall,</v>
      </c>
      <c r="I1764" s="50"/>
      <c r="J1764" s="50" t="s">
        <v>5148</v>
      </c>
      <c r="K1764" s="50" t="s">
        <v>3307</v>
      </c>
      <c r="L1764" s="49"/>
      <c r="M1764" s="49"/>
      <c r="N1764" s="49"/>
      <c r="O1764" s="49" t="str">
        <f>IFERROR(__xludf.DUMMYFUNCTION("""COMPUTED_VALUE"""),"machinery")</f>
        <v>machinery</v>
      </c>
      <c r="P1764" s="49" t="str">
        <f t="shared" si="2"/>
        <v>gas,</v>
      </c>
      <c r="Q1764" s="49"/>
      <c r="R1764" s="50" t="s">
        <v>6574</v>
      </c>
      <c r="S1764" s="55" t="s">
        <v>4991</v>
      </c>
      <c r="T1764" s="49"/>
      <c r="U1764" s="49"/>
      <c r="V1764" s="49"/>
      <c r="W1764" s="49" t="str">
        <f>IFERROR(__xludf.DUMMYFUNCTION("""COMPUTED_VALUE"""),"gesturing")</f>
        <v>gesturing</v>
      </c>
      <c r="X1764" s="49" t="str">
        <f t="shared" si="3"/>
        <v>sorry,</v>
      </c>
      <c r="Y1764" s="49"/>
      <c r="Z1764" s="1" t="s">
        <v>2698</v>
      </c>
      <c r="AA1764" s="1" t="s">
        <v>3906</v>
      </c>
      <c r="AB1764" s="49"/>
      <c r="AC1764" s="49"/>
      <c r="AD1764" s="49"/>
      <c r="AE1764" s="49" t="str">
        <f>IFERROR(__xludf.DUMMYFUNCTION("""COMPUTED_VALUE"""),"machinery")</f>
        <v>machinery</v>
      </c>
      <c r="AF1764" s="49" t="str">
        <f t="shared" si="4"/>
        <v>legacy,</v>
      </c>
      <c r="AG1764" s="49"/>
      <c r="AH1764" s="1" t="s">
        <v>6326</v>
      </c>
      <c r="AI1764" s="1" t="s">
        <v>4873</v>
      </c>
      <c r="AJ1764" s="6" t="str">
        <f>IFERROR(__xludf.DUMMYFUNCTION("""COMPUTED_VALUE"""),"block")</f>
        <v>block</v>
      </c>
      <c r="AK1764" s="49"/>
      <c r="AL1764" s="49"/>
      <c r="AM1764" s="49"/>
      <c r="AN1764" s="52" t="str">
        <f t="shared" si="5"/>
        <v>willing,</v>
      </c>
    </row>
    <row r="1765">
      <c r="A1765" s="51"/>
      <c r="B1765" s="50" t="s">
        <v>7446</v>
      </c>
      <c r="C1765" s="50" t="s">
        <v>2838</v>
      </c>
      <c r="D1765" s="49" t="str">
        <f>IFERROR(__xludf.DUMMYFUNCTION("""COMPUTED_VALUE"""),"consequences")</f>
        <v>consequences</v>
      </c>
      <c r="E1765" s="49"/>
      <c r="F1765" s="49"/>
      <c r="G1765" s="49"/>
      <c r="H1765" s="54" t="str">
        <f t="shared" si="1"/>
        <v>cliff,</v>
      </c>
      <c r="I1765" s="50"/>
      <c r="J1765" s="50">
        <v>89.0</v>
      </c>
      <c r="K1765" s="50" t="s">
        <v>940</v>
      </c>
      <c r="L1765" s="49"/>
      <c r="M1765" s="49"/>
      <c r="N1765" s="49"/>
      <c r="O1765" s="49" t="str">
        <f>IFERROR(__xludf.DUMMYFUNCTION("""COMPUTED_VALUE"""),"myrtle")</f>
        <v>myrtle</v>
      </c>
      <c r="P1765" s="49" t="str">
        <f t="shared" si="2"/>
        <v>89,</v>
      </c>
      <c r="Q1765" s="49"/>
      <c r="R1765" s="50" t="s">
        <v>1638</v>
      </c>
      <c r="S1765" s="55" t="s">
        <v>4789</v>
      </c>
      <c r="T1765" s="49"/>
      <c r="U1765" s="49"/>
      <c r="V1765" s="49"/>
      <c r="W1765" s="49" t="str">
        <f>IFERROR(__xludf.DUMMYFUNCTION("""COMPUTED_VALUE"""),"debts")</f>
        <v>debts</v>
      </c>
      <c r="X1765" s="49" t="str">
        <f t="shared" si="3"/>
        <v>st,</v>
      </c>
      <c r="Y1765" s="49"/>
      <c r="Z1765" s="1" t="s">
        <v>688</v>
      </c>
      <c r="AA1765" s="1" t="s">
        <v>2143</v>
      </c>
      <c r="AB1765" s="49"/>
      <c r="AC1765" s="49"/>
      <c r="AD1765" s="49"/>
      <c r="AE1765" s="49" t="str">
        <f>IFERROR(__xludf.DUMMYFUNCTION("""COMPUTED_VALUE"""),"myrtle")</f>
        <v>myrtle</v>
      </c>
      <c r="AF1765" s="49" t="str">
        <f t="shared" si="4"/>
        <v>images,</v>
      </c>
      <c r="AG1765" s="49"/>
      <c r="AH1765" s="1" t="s">
        <v>4544</v>
      </c>
      <c r="AI1765" s="1" t="s">
        <v>4166</v>
      </c>
      <c r="AJ1765" s="6" t="str">
        <f>IFERROR(__xludf.DUMMYFUNCTION("""COMPUTED_VALUE"""),"combined")</f>
        <v>combined</v>
      </c>
      <c r="AK1765" s="49"/>
      <c r="AL1765" s="49"/>
      <c r="AM1765" s="49"/>
      <c r="AN1765" s="52" t="str">
        <f t="shared" si="5"/>
        <v>dying,</v>
      </c>
    </row>
    <row r="1766">
      <c r="A1766" s="51"/>
      <c r="B1766" s="50" t="s">
        <v>4993</v>
      </c>
      <c r="C1766" s="50" t="s">
        <v>6547</v>
      </c>
      <c r="D1766" s="49" t="str">
        <f>IFERROR(__xludf.DUMMYFUNCTION("""COMPUTED_VALUE"""),"later")</f>
        <v>later</v>
      </c>
      <c r="E1766" s="49"/>
      <c r="F1766" s="49"/>
      <c r="G1766" s="49"/>
      <c r="H1766" s="54" t="str">
        <f t="shared" si="1"/>
        <v>fire,</v>
      </c>
      <c r="I1766" s="50"/>
      <c r="J1766" s="50" t="s">
        <v>475</v>
      </c>
      <c r="K1766" s="50" t="s">
        <v>1784</v>
      </c>
      <c r="L1766" s="49"/>
      <c r="M1766" s="49"/>
      <c r="N1766" s="49"/>
      <c r="O1766" s="49" t="str">
        <f>IFERROR(__xludf.DUMMYFUNCTION("""COMPUTED_VALUE"""),"stability")</f>
        <v>stability</v>
      </c>
      <c r="P1766" s="49" t="str">
        <f t="shared" si="2"/>
        <v>brooding,</v>
      </c>
      <c r="Q1766" s="49"/>
      <c r="R1766" s="50" t="s">
        <v>6288</v>
      </c>
      <c r="S1766" s="55" t="s">
        <v>1036</v>
      </c>
      <c r="T1766" s="49"/>
      <c r="U1766" s="49"/>
      <c r="V1766" s="49"/>
      <c r="W1766" s="49" t="str">
        <f>IFERROR(__xludf.DUMMYFUNCTION("""COMPUTED_VALUE"""),"murderous")</f>
        <v>murderous</v>
      </c>
      <c r="X1766" s="49" t="str">
        <f t="shared" si="3"/>
        <v>acted,</v>
      </c>
      <c r="Y1766" s="49"/>
      <c r="Z1766" s="1" t="s">
        <v>840</v>
      </c>
      <c r="AA1766" s="1" t="s">
        <v>1095</v>
      </c>
      <c r="AB1766" s="49"/>
      <c r="AC1766" s="49"/>
      <c r="AD1766" s="49"/>
      <c r="AE1766" s="49" t="str">
        <f>IFERROR(__xludf.DUMMYFUNCTION("""COMPUTED_VALUE"""),"stability")</f>
        <v>stability</v>
      </c>
      <c r="AF1766" s="49" t="str">
        <f t="shared" si="4"/>
        <v>graceful,</v>
      </c>
      <c r="AG1766" s="49"/>
      <c r="AH1766" s="1" t="s">
        <v>3001</v>
      </c>
      <c r="AI1766" s="1" t="s">
        <v>5364</v>
      </c>
      <c r="AJ1766" s="6" t="str">
        <f>IFERROR(__xludf.DUMMYFUNCTION("""COMPUTED_VALUE"""),"moore")</f>
        <v>moore</v>
      </c>
      <c r="AK1766" s="49"/>
      <c r="AL1766" s="49"/>
      <c r="AM1766" s="49"/>
      <c r="AN1766" s="52" t="str">
        <f t="shared" si="5"/>
        <v>eastern,</v>
      </c>
    </row>
    <row r="1767">
      <c r="A1767" s="51"/>
      <c r="B1767" s="50" t="s">
        <v>682</v>
      </c>
      <c r="C1767" s="50" t="s">
        <v>6532</v>
      </c>
      <c r="D1767" s="49" t="str">
        <f>IFERROR(__xludf.DUMMYFUNCTION("""COMPUTED_VALUE"""),"left")</f>
        <v>left</v>
      </c>
      <c r="E1767" s="49"/>
      <c r="F1767" s="49"/>
      <c r="G1767" s="49"/>
      <c r="H1767" s="54" t="str">
        <f t="shared" si="1"/>
        <v>kitchen,</v>
      </c>
      <c r="I1767" s="50"/>
      <c r="J1767" s="50" t="s">
        <v>782</v>
      </c>
      <c r="K1767" s="50" t="s">
        <v>4426</v>
      </c>
      <c r="L1767" s="49"/>
      <c r="M1767" s="49"/>
      <c r="N1767" s="49"/>
      <c r="O1767" s="49" t="str">
        <f>IFERROR(__xludf.DUMMYFUNCTION("""COMPUTED_VALUE"""),"pc")</f>
        <v>pc</v>
      </c>
      <c r="P1767" s="49" t="str">
        <f t="shared" si="2"/>
        <v>joy,</v>
      </c>
      <c r="Q1767" s="49"/>
      <c r="R1767" s="50" t="s">
        <v>4776</v>
      </c>
      <c r="S1767" s="55" t="s">
        <v>3507</v>
      </c>
      <c r="T1767" s="49"/>
      <c r="U1767" s="49"/>
      <c r="V1767" s="49"/>
      <c r="W1767" s="49" t="str">
        <f>IFERROR(__xludf.DUMMYFUNCTION("""COMPUTED_VALUE"""),"chimney")</f>
        <v>chimney</v>
      </c>
      <c r="X1767" s="49" t="str">
        <f t="shared" si="3"/>
        <v>display,</v>
      </c>
      <c r="Y1767" s="49"/>
      <c r="Z1767" s="1" t="s">
        <v>708</v>
      </c>
      <c r="AA1767" s="1" t="s">
        <v>4979</v>
      </c>
      <c r="AB1767" s="49"/>
      <c r="AC1767" s="49"/>
      <c r="AD1767" s="49"/>
      <c r="AE1767" s="49" t="str">
        <f>IFERROR(__xludf.DUMMYFUNCTION("""COMPUTED_VALUE"""),"pc")</f>
        <v>pc</v>
      </c>
      <c r="AF1767" s="49" t="str">
        <f t="shared" si="4"/>
        <v>beautifully,</v>
      </c>
      <c r="AG1767" s="49"/>
      <c r="AH1767" s="1" t="s">
        <v>5155</v>
      </c>
      <c r="AI1767" s="1" t="s">
        <v>6569</v>
      </c>
      <c r="AJ1767" s="6" t="str">
        <f>IFERROR(__xludf.DUMMYFUNCTION("""COMPUTED_VALUE"""),"desert")</f>
        <v>desert</v>
      </c>
      <c r="AK1767" s="49"/>
      <c r="AL1767" s="49"/>
      <c r="AM1767" s="49"/>
      <c r="AN1767" s="52" t="str">
        <f t="shared" si="5"/>
        <v>slowly,</v>
      </c>
    </row>
    <row r="1768">
      <c r="A1768" s="51"/>
      <c r="B1768" s="50" t="s">
        <v>6014</v>
      </c>
      <c r="C1768" s="50" t="s">
        <v>2704</v>
      </c>
      <c r="D1768" s="49" t="str">
        <f>IFERROR(__xludf.DUMMYFUNCTION("""COMPUTED_VALUE"""),"remaining")</f>
        <v>remaining</v>
      </c>
      <c r="E1768" s="49"/>
      <c r="F1768" s="49"/>
      <c r="G1768" s="49"/>
      <c r="H1768" s="54" t="str">
        <f t="shared" si="1"/>
        <v>tanks,</v>
      </c>
      <c r="I1768" s="50"/>
      <c r="J1768" s="50" t="s">
        <v>909</v>
      </c>
      <c r="K1768" s="50" t="s">
        <v>2340</v>
      </c>
      <c r="L1768" s="49"/>
      <c r="M1768" s="49"/>
      <c r="N1768" s="49"/>
      <c r="O1768" s="49" t="str">
        <f>IFERROR(__xludf.DUMMYFUNCTION("""COMPUTED_VALUE"""),"affinity")</f>
        <v>affinity</v>
      </c>
      <c r="P1768" s="49" t="str">
        <f t="shared" si="2"/>
        <v>grab,</v>
      </c>
      <c r="Q1768" s="49"/>
      <c r="R1768" s="50" t="s">
        <v>2758</v>
      </c>
      <c r="S1768" s="55" t="s">
        <v>1790</v>
      </c>
      <c r="T1768" s="49"/>
      <c r="U1768" s="49"/>
      <c r="V1768" s="49"/>
      <c r="W1768" s="49" t="str">
        <f>IFERROR(__xludf.DUMMYFUNCTION("""COMPUTED_VALUE"""),"detachment")</f>
        <v>detachment</v>
      </c>
      <c r="X1768" s="49" t="str">
        <f t="shared" si="3"/>
        <v>relic,</v>
      </c>
      <c r="Y1768" s="49"/>
      <c r="Z1768" s="1" t="s">
        <v>1215</v>
      </c>
      <c r="AA1768" s="1" t="s">
        <v>134</v>
      </c>
      <c r="AB1768" s="49"/>
      <c r="AC1768" s="49"/>
      <c r="AD1768" s="49"/>
      <c r="AE1768" s="49" t="str">
        <f>IFERROR(__xludf.DUMMYFUNCTION("""COMPUTED_VALUE"""),"affinity")</f>
        <v>affinity</v>
      </c>
      <c r="AF1768" s="49" t="str">
        <f t="shared" si="4"/>
        <v>fine,</v>
      </c>
      <c r="AG1768" s="49"/>
      <c r="AH1768" s="1" t="s">
        <v>2267</v>
      </c>
      <c r="AI1768" s="1" t="s">
        <v>1444</v>
      </c>
      <c r="AJ1768" s="6" t="str">
        <f>IFERROR(__xludf.DUMMYFUNCTION("""COMPUTED_VALUE"""),"amazing")</f>
        <v>amazing</v>
      </c>
      <c r="AK1768" s="49"/>
      <c r="AL1768" s="49"/>
      <c r="AM1768" s="49"/>
      <c r="AN1768" s="52" t="str">
        <f t="shared" si="5"/>
        <v>seeing,</v>
      </c>
    </row>
    <row r="1769">
      <c r="A1769" s="51"/>
      <c r="B1769" s="50" t="s">
        <v>3981</v>
      </c>
      <c r="C1769" s="50" t="s">
        <v>4530</v>
      </c>
      <c r="D1769" s="49" t="str">
        <f>IFERROR(__xludf.DUMMYFUNCTION("""COMPUTED_VALUE"""),"critics")</f>
        <v>critics</v>
      </c>
      <c r="E1769" s="49"/>
      <c r="F1769" s="49"/>
      <c r="G1769" s="49"/>
      <c r="H1769" s="54" t="str">
        <f t="shared" si="1"/>
        <v>clients,</v>
      </c>
      <c r="I1769" s="50"/>
      <c r="J1769" s="50" t="s">
        <v>7131</v>
      </c>
      <c r="K1769" s="50" t="s">
        <v>948</v>
      </c>
      <c r="L1769" s="49"/>
      <c r="M1769" s="49"/>
      <c r="N1769" s="49"/>
      <c r="O1769" s="49" t="str">
        <f>IFERROR(__xludf.DUMMYFUNCTION("""COMPUTED_VALUE"""),"marching")</f>
        <v>marching</v>
      </c>
      <c r="P1769" s="49" t="str">
        <f t="shared" si="2"/>
        <v>fix,</v>
      </c>
      <c r="Q1769" s="49"/>
      <c r="R1769" s="50" t="s">
        <v>6599</v>
      </c>
      <c r="S1769" s="55" t="s">
        <v>2872</v>
      </c>
      <c r="T1769" s="49"/>
      <c r="U1769" s="49"/>
      <c r="V1769" s="49"/>
      <c r="W1769" s="49" t="str">
        <f>IFERROR(__xludf.DUMMYFUNCTION("""COMPUTED_VALUE"""),"compass")</f>
        <v>compass</v>
      </c>
      <c r="X1769" s="49" t="str">
        <f t="shared" si="3"/>
        <v>trap,</v>
      </c>
      <c r="Y1769" s="49"/>
      <c r="Z1769" s="1" t="s">
        <v>2085</v>
      </c>
      <c r="AA1769" s="1" t="s">
        <v>1441</v>
      </c>
      <c r="AB1769" s="49"/>
      <c r="AC1769" s="49"/>
      <c r="AD1769" s="49"/>
      <c r="AE1769" s="49" t="str">
        <f>IFERROR(__xludf.DUMMYFUNCTION("""COMPUTED_VALUE"""),"marching")</f>
        <v>marching</v>
      </c>
      <c r="AF1769" s="49" t="str">
        <f t="shared" si="4"/>
        <v>extended,</v>
      </c>
      <c r="AG1769" s="49"/>
      <c r="AH1769" s="1" t="s">
        <v>888</v>
      </c>
      <c r="AI1769" s="1" t="s">
        <v>4687</v>
      </c>
      <c r="AJ1769" s="6" t="str">
        <f>IFERROR(__xludf.DUMMYFUNCTION("""COMPUTED_VALUE"""),"evolution")</f>
        <v>evolution</v>
      </c>
      <c r="AK1769" s="49"/>
      <c r="AL1769" s="49"/>
      <c r="AM1769" s="49"/>
      <c r="AN1769" s="52" t="str">
        <f t="shared" si="5"/>
        <v>beauty,</v>
      </c>
    </row>
    <row r="1770">
      <c r="A1770" s="51"/>
      <c r="B1770" s="50" t="s">
        <v>881</v>
      </c>
      <c r="C1770" s="50" t="s">
        <v>4046</v>
      </c>
      <c r="D1770" s="49" t="str">
        <f>IFERROR(__xludf.DUMMYFUNCTION("""COMPUTED_VALUE"""),"jonathan")</f>
        <v>jonathan</v>
      </c>
      <c r="E1770" s="49"/>
      <c r="F1770" s="49"/>
      <c r="G1770" s="49"/>
      <c r="H1770" s="54" t="str">
        <f t="shared" si="1"/>
        <v>women,</v>
      </c>
      <c r="I1770" s="50"/>
      <c r="J1770" s="50" t="s">
        <v>3363</v>
      </c>
      <c r="K1770" s="50" t="s">
        <v>3319</v>
      </c>
      <c r="L1770" s="49"/>
      <c r="M1770" s="49"/>
      <c r="N1770" s="49"/>
      <c r="O1770" s="49" t="str">
        <f>IFERROR(__xludf.DUMMYFUNCTION("""COMPUTED_VALUE"""),"percussion")</f>
        <v>percussion</v>
      </c>
      <c r="P1770" s="49" t="str">
        <f t="shared" si="2"/>
        <v>ear,</v>
      </c>
      <c r="Q1770" s="49"/>
      <c r="R1770" s="50" t="s">
        <v>412</v>
      </c>
      <c r="S1770" s="55" t="s">
        <v>4709</v>
      </c>
      <c r="T1770" s="49"/>
      <c r="U1770" s="49"/>
      <c r="V1770" s="49"/>
      <c r="W1770" s="49" t="str">
        <f>IFERROR(__xludf.DUMMYFUNCTION("""COMPUTED_VALUE"""),"champagne")</f>
        <v>champagne</v>
      </c>
      <c r="X1770" s="49" t="str">
        <f t="shared" si="3"/>
        <v>subtle,</v>
      </c>
      <c r="Y1770" s="49"/>
      <c r="Z1770" s="1" t="s">
        <v>6695</v>
      </c>
      <c r="AA1770" s="1" t="s">
        <v>4983</v>
      </c>
      <c r="AB1770" s="49"/>
      <c r="AC1770" s="49"/>
      <c r="AD1770" s="49"/>
      <c r="AE1770" s="49" t="str">
        <f>IFERROR(__xludf.DUMMYFUNCTION("""COMPUTED_VALUE"""),"percussion")</f>
        <v>percussion</v>
      </c>
      <c r="AF1770" s="49" t="str">
        <f t="shared" si="4"/>
        <v>realized,</v>
      </c>
      <c r="AG1770" s="49"/>
      <c r="AH1770" s="1" t="s">
        <v>1275</v>
      </c>
      <c r="AI1770" s="1" t="s">
        <v>3017</v>
      </c>
      <c r="AJ1770" s="6" t="str">
        <f>IFERROR(__xludf.DUMMYFUNCTION("""COMPUTED_VALUE"""),"discover")</f>
        <v>discover</v>
      </c>
      <c r="AK1770" s="49"/>
      <c r="AL1770" s="49"/>
      <c r="AM1770" s="49"/>
      <c r="AN1770" s="52" t="str">
        <f t="shared" si="5"/>
        <v>offering,</v>
      </c>
    </row>
    <row r="1771">
      <c r="A1771" s="51"/>
      <c r="B1771" s="50" t="s">
        <v>3812</v>
      </c>
      <c r="C1771" s="50" t="s">
        <v>3685</v>
      </c>
      <c r="D1771" s="49" t="str">
        <f>IFERROR(__xludf.DUMMYFUNCTION("""COMPUTED_VALUE"""),"swift")</f>
        <v>swift</v>
      </c>
      <c r="E1771" s="49"/>
      <c r="F1771" s="49"/>
      <c r="G1771" s="49"/>
      <c r="H1771" s="54" t="str">
        <f t="shared" si="1"/>
        <v>meaning,</v>
      </c>
      <c r="I1771" s="50"/>
      <c r="J1771" s="50" t="s">
        <v>1517</v>
      </c>
      <c r="K1771" s="50" t="s">
        <v>1798</v>
      </c>
      <c r="L1771" s="49"/>
      <c r="M1771" s="49"/>
      <c r="N1771" s="49"/>
      <c r="O1771" s="49" t="str">
        <f>IFERROR(__xludf.DUMMYFUNCTION("""COMPUTED_VALUE"""),"develops")</f>
        <v>develops</v>
      </c>
      <c r="P1771" s="49" t="str">
        <f t="shared" si="2"/>
        <v>delivers,</v>
      </c>
      <c r="Q1771" s="49"/>
      <c r="R1771" s="50" t="s">
        <v>7447</v>
      </c>
      <c r="S1771" s="55" t="s">
        <v>5374</v>
      </c>
      <c r="T1771" s="49"/>
      <c r="U1771" s="49"/>
      <c r="V1771" s="49"/>
      <c r="W1771" s="49" t="str">
        <f>IFERROR(__xludf.DUMMYFUNCTION("""COMPUTED_VALUE"""),"salaries")</f>
        <v>salaries</v>
      </c>
      <c r="X1771" s="49" t="str">
        <f t="shared" si="3"/>
        <v>battered,</v>
      </c>
      <c r="Y1771" s="49"/>
      <c r="Z1771" s="1" t="s">
        <v>4571</v>
      </c>
      <c r="AA1771" s="1" t="s">
        <v>4985</v>
      </c>
      <c r="AB1771" s="49"/>
      <c r="AC1771" s="49"/>
      <c r="AD1771" s="49"/>
      <c r="AE1771" s="49" t="str">
        <f>IFERROR(__xludf.DUMMYFUNCTION("""COMPUTED_VALUE"""),"develops")</f>
        <v>develops</v>
      </c>
      <c r="AF1771" s="49" t="str">
        <f t="shared" si="4"/>
        <v>memory,</v>
      </c>
      <c r="AG1771" s="49"/>
      <c r="AH1771" s="1" t="s">
        <v>6950</v>
      </c>
      <c r="AI1771" s="1" t="s">
        <v>4474</v>
      </c>
      <c r="AJ1771" s="6" t="str">
        <f>IFERROR(__xludf.DUMMYFUNCTION("""COMPUTED_VALUE"""),"test")</f>
        <v>test</v>
      </c>
      <c r="AK1771" s="49"/>
      <c r="AL1771" s="49"/>
      <c r="AM1771" s="49"/>
      <c r="AN1771" s="52" t="str">
        <f t="shared" si="5"/>
        <v>thomas,</v>
      </c>
    </row>
    <row r="1772">
      <c r="A1772" s="51"/>
      <c r="B1772" s="50" t="s">
        <v>3082</v>
      </c>
      <c r="C1772" s="50" t="s">
        <v>4708</v>
      </c>
      <c r="D1772" s="49" t="str">
        <f>IFERROR(__xludf.DUMMYFUNCTION("""COMPUTED_VALUE"""),"falling")</f>
        <v>falling</v>
      </c>
      <c r="E1772" s="49"/>
      <c r="F1772" s="49"/>
      <c r="G1772" s="49"/>
      <c r="H1772" s="54" t="str">
        <f t="shared" si="1"/>
        <v>afraid,</v>
      </c>
      <c r="I1772" s="50"/>
      <c r="J1772" s="50" t="s">
        <v>7407</v>
      </c>
      <c r="K1772" s="50" t="s">
        <v>1804</v>
      </c>
      <c r="L1772" s="49"/>
      <c r="M1772" s="49"/>
      <c r="N1772" s="49"/>
      <c r="O1772" s="49" t="str">
        <f>IFERROR(__xludf.DUMMYFUNCTION("""COMPUTED_VALUE"""),"ballot")</f>
        <v>ballot</v>
      </c>
      <c r="P1772" s="49" t="str">
        <f t="shared" si="2"/>
        <v>pleasantly,</v>
      </c>
      <c r="Q1772" s="49"/>
      <c r="R1772" s="50" t="s">
        <v>6598</v>
      </c>
      <c r="S1772" s="55" t="s">
        <v>2875</v>
      </c>
      <c r="T1772" s="49"/>
      <c r="U1772" s="49"/>
      <c r="V1772" s="49"/>
      <c r="W1772" s="49" t="str">
        <f>IFERROR(__xludf.DUMMYFUNCTION("""COMPUTED_VALUE"""),"karim")</f>
        <v>karim</v>
      </c>
      <c r="X1772" s="49" t="str">
        <f t="shared" si="3"/>
        <v>craig,</v>
      </c>
      <c r="Y1772" s="49"/>
      <c r="Z1772" s="1" t="s">
        <v>4407</v>
      </c>
      <c r="AA1772" s="1" t="s">
        <v>3919</v>
      </c>
      <c r="AB1772" s="49"/>
      <c r="AC1772" s="49"/>
      <c r="AD1772" s="49"/>
      <c r="AE1772" s="49" t="str">
        <f>IFERROR(__xludf.DUMMYFUNCTION("""COMPUTED_VALUE"""),"ballot")</f>
        <v>ballot</v>
      </c>
      <c r="AF1772" s="49" t="str">
        <f t="shared" si="4"/>
        <v>belly,</v>
      </c>
      <c r="AG1772" s="49"/>
      <c r="AH1772" s="1" t="s">
        <v>7448</v>
      </c>
      <c r="AI1772" s="1" t="s">
        <v>1050</v>
      </c>
      <c r="AJ1772" s="6" t="str">
        <f>IFERROR(__xludf.DUMMYFUNCTION("""COMPUTED_VALUE"""),"constructed")</f>
        <v>constructed</v>
      </c>
      <c r="AK1772" s="49"/>
      <c r="AL1772" s="49"/>
      <c r="AM1772" s="49"/>
      <c r="AN1772" s="52" t="str">
        <f t="shared" si="5"/>
        <v>mary,</v>
      </c>
    </row>
    <row r="1773">
      <c r="A1773" s="51"/>
      <c r="B1773" s="50" t="s">
        <v>3150</v>
      </c>
      <c r="C1773" s="50" t="s">
        <v>4710</v>
      </c>
      <c r="D1773" s="49" t="str">
        <f>IFERROR(__xludf.DUMMYFUNCTION("""COMPUTED_VALUE"""),"trap")</f>
        <v>trap</v>
      </c>
      <c r="E1773" s="49"/>
      <c r="F1773" s="49"/>
      <c r="G1773" s="49"/>
      <c r="H1773" s="54" t="str">
        <f t="shared" si="1"/>
        <v>fill,</v>
      </c>
      <c r="I1773" s="50"/>
      <c r="J1773" s="50" t="s">
        <v>5842</v>
      </c>
      <c r="K1773" s="50" t="s">
        <v>3328</v>
      </c>
      <c r="L1773" s="49"/>
      <c r="M1773" s="49"/>
      <c r="N1773" s="49"/>
      <c r="O1773" s="49" t="str">
        <f>IFERROR(__xludf.DUMMYFUNCTION("""COMPUTED_VALUE"""),"torn")</f>
        <v>torn</v>
      </c>
      <c r="P1773" s="49" t="str">
        <f t="shared" si="2"/>
        <v>gifts,</v>
      </c>
      <c r="Q1773" s="49"/>
      <c r="R1773" s="50" t="s">
        <v>879</v>
      </c>
      <c r="S1773" s="55" t="s">
        <v>1042</v>
      </c>
      <c r="T1773" s="49"/>
      <c r="U1773" s="49"/>
      <c r="V1773" s="49"/>
      <c r="W1773" s="49" t="str">
        <f>IFERROR(__xludf.DUMMYFUNCTION("""COMPUTED_VALUE"""),"freight")</f>
        <v>freight</v>
      </c>
      <c r="X1773" s="49" t="str">
        <f t="shared" si="3"/>
        <v>simulation,</v>
      </c>
      <c r="Y1773" s="49"/>
      <c r="Z1773" s="1" t="s">
        <v>1698</v>
      </c>
      <c r="AA1773" s="1" t="s">
        <v>2154</v>
      </c>
      <c r="AB1773" s="49"/>
      <c r="AC1773" s="49"/>
      <c r="AD1773" s="49"/>
      <c r="AE1773" s="49" t="str">
        <f>IFERROR(__xludf.DUMMYFUNCTION("""COMPUTED_VALUE"""),"torn")</f>
        <v>torn</v>
      </c>
      <c r="AF1773" s="49" t="str">
        <f t="shared" si="4"/>
        <v>fat,</v>
      </c>
      <c r="AG1773" s="49"/>
      <c r="AH1773" s="1" t="s">
        <v>6699</v>
      </c>
      <c r="AI1773" s="1" t="s">
        <v>4403</v>
      </c>
      <c r="AJ1773" s="6" t="str">
        <f>IFERROR(__xludf.DUMMYFUNCTION("""COMPUTED_VALUE"""),"lie")</f>
        <v>lie</v>
      </c>
      <c r="AK1773" s="49"/>
      <c r="AL1773" s="49"/>
      <c r="AM1773" s="49"/>
      <c r="AN1773" s="52" t="str">
        <f t="shared" si="5"/>
        <v>month,</v>
      </c>
    </row>
    <row r="1774">
      <c r="A1774" s="51"/>
      <c r="B1774" s="50" t="s">
        <v>6529</v>
      </c>
      <c r="C1774" s="50" t="s">
        <v>4049</v>
      </c>
      <c r="D1774" s="49" t="str">
        <f>IFERROR(__xludf.DUMMYFUNCTION("""COMPUTED_VALUE"""),"explains")</f>
        <v>explains</v>
      </c>
      <c r="E1774" s="49"/>
      <c r="F1774" s="49"/>
      <c r="G1774" s="49"/>
      <c r="H1774" s="54" t="str">
        <f t="shared" si="1"/>
        <v>ashley,</v>
      </c>
      <c r="I1774" s="50"/>
      <c r="J1774" s="50" t="s">
        <v>6778</v>
      </c>
      <c r="K1774" s="50" t="s">
        <v>4436</v>
      </c>
      <c r="L1774" s="49"/>
      <c r="M1774" s="49"/>
      <c r="N1774" s="49"/>
      <c r="O1774" s="49" t="str">
        <f>IFERROR(__xludf.DUMMYFUNCTION("""COMPUTED_VALUE"""),"cheered")</f>
        <v>cheered</v>
      </c>
      <c r="P1774" s="49" t="str">
        <f t="shared" si="2"/>
        <v>refused,</v>
      </c>
      <c r="Q1774" s="49"/>
      <c r="R1774" s="50" t="s">
        <v>2351</v>
      </c>
      <c r="S1774" s="55" t="s">
        <v>2879</v>
      </c>
      <c r="T1774" s="49"/>
      <c r="U1774" s="49"/>
      <c r="V1774" s="49"/>
      <c r="W1774" s="49" t="str">
        <f>IFERROR(__xludf.DUMMYFUNCTION("""COMPUTED_VALUE"""),"destruction")</f>
        <v>destruction</v>
      </c>
      <c r="X1774" s="49" t="str">
        <f t="shared" si="3"/>
        <v>distinctive,</v>
      </c>
      <c r="Y1774" s="49"/>
      <c r="Z1774" s="1" t="s">
        <v>1487</v>
      </c>
      <c r="AA1774" s="1" t="s">
        <v>1106</v>
      </c>
      <c r="AB1774" s="49"/>
      <c r="AC1774" s="49"/>
      <c r="AD1774" s="49"/>
      <c r="AE1774" s="49" t="str">
        <f>IFERROR(__xludf.DUMMYFUNCTION("""COMPUTED_VALUE"""),"cheered")</f>
        <v>cheered</v>
      </c>
      <c r="AF1774" s="49" t="str">
        <f t="shared" si="4"/>
        <v>moving,</v>
      </c>
      <c r="AG1774" s="49"/>
      <c r="AH1774" s="1" t="s">
        <v>3561</v>
      </c>
      <c r="AI1774" s="1" t="s">
        <v>4176</v>
      </c>
      <c r="AJ1774" s="6" t="str">
        <f>IFERROR(__xludf.DUMMYFUNCTION("""COMPUTED_VALUE"""),"pocket")</f>
        <v>pocket</v>
      </c>
      <c r="AK1774" s="49"/>
      <c r="AL1774" s="49"/>
      <c r="AM1774" s="49"/>
      <c r="AN1774" s="52" t="str">
        <f t="shared" si="5"/>
        <v>matthew,</v>
      </c>
    </row>
    <row r="1775">
      <c r="A1775" s="51"/>
      <c r="B1775" s="50" t="s">
        <v>532</v>
      </c>
      <c r="C1775" s="50" t="s">
        <v>6548</v>
      </c>
      <c r="D1775" s="49" t="str">
        <f>IFERROR(__xludf.DUMMYFUNCTION("""COMPUTED_VALUE"""),"longer")</f>
        <v>longer</v>
      </c>
      <c r="E1775" s="49"/>
      <c r="F1775" s="49"/>
      <c r="G1775" s="49"/>
      <c r="H1775" s="54" t="str">
        <f t="shared" si="1"/>
        <v>half,</v>
      </c>
      <c r="I1775" s="50"/>
      <c r="J1775" s="50" t="s">
        <v>7449</v>
      </c>
      <c r="K1775" s="50" t="s">
        <v>4438</v>
      </c>
      <c r="L1775" s="49"/>
      <c r="M1775" s="49"/>
      <c r="N1775" s="49"/>
      <c r="O1775" s="49" t="str">
        <f>IFERROR(__xludf.DUMMYFUNCTION("""COMPUTED_VALUE"""),"integrating")</f>
        <v>integrating</v>
      </c>
      <c r="P1775" s="49" t="str">
        <f t="shared" si="2"/>
        <v>amazingly,</v>
      </c>
      <c r="Q1775" s="49"/>
      <c r="R1775" s="50" t="s">
        <v>5415</v>
      </c>
      <c r="S1775" s="55" t="s">
        <v>3134</v>
      </c>
      <c r="T1775" s="49"/>
      <c r="U1775" s="49"/>
      <c r="V1775" s="49"/>
      <c r="W1775" s="49" t="str">
        <f>IFERROR(__xludf.DUMMYFUNCTION("""COMPUTED_VALUE"""),"gracefully")</f>
        <v>gracefully</v>
      </c>
      <c r="X1775" s="49" t="str">
        <f t="shared" si="3"/>
        <v>restraint,</v>
      </c>
      <c r="Y1775" s="49"/>
      <c r="Z1775" s="1" t="s">
        <v>4182</v>
      </c>
      <c r="AA1775" s="1" t="s">
        <v>4989</v>
      </c>
      <c r="AB1775" s="49"/>
      <c r="AC1775" s="49"/>
      <c r="AD1775" s="49"/>
      <c r="AE1775" s="49" t="str">
        <f>IFERROR(__xludf.DUMMYFUNCTION("""COMPUTED_VALUE"""),"integrating")</f>
        <v>integrating</v>
      </c>
      <c r="AF1775" s="49" t="str">
        <f t="shared" si="4"/>
        <v>forced,</v>
      </c>
      <c r="AG1775" s="49"/>
      <c r="AH1775" s="1" t="s">
        <v>4940</v>
      </c>
      <c r="AI1775" s="1" t="s">
        <v>4182</v>
      </c>
      <c r="AJ1775" s="6" t="str">
        <f>IFERROR(__xludf.DUMMYFUNCTION("""COMPUTED_VALUE"""),"george")</f>
        <v>george</v>
      </c>
      <c r="AK1775" s="49"/>
      <c r="AL1775" s="49"/>
      <c r="AM1775" s="49"/>
      <c r="AN1775" s="52" t="str">
        <f t="shared" si="5"/>
        <v>belt,</v>
      </c>
    </row>
    <row r="1776">
      <c r="A1776" s="51"/>
      <c r="B1776" s="50" t="s">
        <v>7450</v>
      </c>
      <c r="C1776" s="50" t="s">
        <v>6533</v>
      </c>
      <c r="D1776" s="49" t="str">
        <f>IFERROR(__xludf.DUMMYFUNCTION("""COMPUTED_VALUE"""),"signs")</f>
        <v>signs</v>
      </c>
      <c r="E1776" s="49"/>
      <c r="F1776" s="49"/>
      <c r="G1776" s="49"/>
      <c r="H1776" s="54" t="str">
        <f t="shared" si="1"/>
        <v>vice,</v>
      </c>
      <c r="I1776" s="50"/>
      <c r="J1776" s="50" t="s">
        <v>3797</v>
      </c>
      <c r="K1776" s="50" t="s">
        <v>536</v>
      </c>
      <c r="L1776" s="49"/>
      <c r="M1776" s="49"/>
      <c r="N1776" s="49"/>
      <c r="O1776" s="49" t="str">
        <f>IFERROR(__xludf.DUMMYFUNCTION("""COMPUTED_VALUE"""),"nouvelle")</f>
        <v>nouvelle</v>
      </c>
      <c r="P1776" s="49" t="str">
        <f t="shared" si="2"/>
        <v>california,</v>
      </c>
      <c r="Q1776" s="49"/>
      <c r="R1776" s="50" t="s">
        <v>491</v>
      </c>
      <c r="S1776" s="55" t="s">
        <v>1652</v>
      </c>
      <c r="T1776" s="49"/>
      <c r="U1776" s="49"/>
      <c r="V1776" s="49"/>
      <c r="W1776" s="49" t="str">
        <f>IFERROR(__xludf.DUMMYFUNCTION("""COMPUTED_VALUE"""),"hierarchy")</f>
        <v>hierarchy</v>
      </c>
      <c r="X1776" s="49" t="str">
        <f t="shared" si="3"/>
        <v>slump,</v>
      </c>
      <c r="Y1776" s="49"/>
      <c r="Z1776" s="1" t="s">
        <v>2826</v>
      </c>
      <c r="AA1776" s="1" t="s">
        <v>2157</v>
      </c>
      <c r="AB1776" s="49"/>
      <c r="AC1776" s="49"/>
      <c r="AD1776" s="49"/>
      <c r="AE1776" s="49" t="str">
        <f>IFERROR(__xludf.DUMMYFUNCTION("""COMPUTED_VALUE"""),"nouvelle")</f>
        <v>nouvelle</v>
      </c>
      <c r="AF1776" s="49" t="str">
        <f t="shared" si="4"/>
        <v>status,</v>
      </c>
      <c r="AG1776" s="49"/>
      <c r="AH1776" s="1" t="s">
        <v>1377</v>
      </c>
      <c r="AI1776" s="1" t="s">
        <v>4180</v>
      </c>
      <c r="AJ1776" s="6" t="str">
        <f>IFERROR(__xludf.DUMMYFUNCTION("""COMPUTED_VALUE"""),"rice")</f>
        <v>rice</v>
      </c>
      <c r="AK1776" s="49"/>
      <c r="AL1776" s="49"/>
      <c r="AM1776" s="49"/>
      <c r="AN1776" s="52" t="str">
        <f t="shared" si="5"/>
        <v>makeup,</v>
      </c>
    </row>
    <row r="1777">
      <c r="A1777" s="51"/>
      <c r="B1777" s="50" t="s">
        <v>897</v>
      </c>
      <c r="C1777" s="50" t="s">
        <v>1513</v>
      </c>
      <c r="D1777" s="49" t="str">
        <f>IFERROR(__xludf.DUMMYFUNCTION("""COMPUTED_VALUE"""),"produce")</f>
        <v>produce</v>
      </c>
      <c r="E1777" s="49"/>
      <c r="F1777" s="49"/>
      <c r="G1777" s="49"/>
      <c r="H1777" s="54" t="str">
        <f t="shared" si="1"/>
        <v>portrayed,</v>
      </c>
      <c r="I1777" s="50"/>
      <c r="J1777" s="50" t="s">
        <v>3302</v>
      </c>
      <c r="K1777" s="50" t="s">
        <v>4995</v>
      </c>
      <c r="L1777" s="49"/>
      <c r="M1777" s="49"/>
      <c r="N1777" s="49"/>
      <c r="O1777" s="49" t="str">
        <f>IFERROR(__xludf.DUMMYFUNCTION("""COMPUTED_VALUE"""),"sewing")</f>
        <v>sewing</v>
      </c>
      <c r="P1777" s="49" t="str">
        <f t="shared" si="2"/>
        <v>setting,</v>
      </c>
      <c r="Q1777" s="49"/>
      <c r="R1777" s="50" t="s">
        <v>1515</v>
      </c>
      <c r="S1777" s="55" t="s">
        <v>4456</v>
      </c>
      <c r="T1777" s="49"/>
      <c r="U1777" s="49"/>
      <c r="V1777" s="49"/>
      <c r="W1777" s="49" t="str">
        <f>IFERROR(__xludf.DUMMYFUNCTION("""COMPUTED_VALUE"""),"moat")</f>
        <v>moat</v>
      </c>
      <c r="X1777" s="49" t="str">
        <f t="shared" si="3"/>
        <v>forged,</v>
      </c>
      <c r="Y1777" s="49"/>
      <c r="Z1777" s="1" t="s">
        <v>3880</v>
      </c>
      <c r="AA1777" s="1" t="s">
        <v>2161</v>
      </c>
      <c r="AB1777" s="49"/>
      <c r="AC1777" s="49"/>
      <c r="AD1777" s="49"/>
      <c r="AE1777" s="49" t="str">
        <f>IFERROR(__xludf.DUMMYFUNCTION("""COMPUTED_VALUE"""),"sewing")</f>
        <v>sewing</v>
      </c>
      <c r="AF1777" s="49" t="str">
        <f t="shared" si="4"/>
        <v>enjoyed,</v>
      </c>
      <c r="AG1777" s="49"/>
      <c r="AH1777" s="1" t="s">
        <v>1161</v>
      </c>
      <c r="AI1777" s="1" t="s">
        <v>4696</v>
      </c>
      <c r="AJ1777" s="6" t="str">
        <f>IFERROR(__xludf.DUMMYFUNCTION("""COMPUTED_VALUE"""),"adventure")</f>
        <v>adventure</v>
      </c>
      <c r="AK1777" s="49"/>
      <c r="AL1777" s="49"/>
      <c r="AM1777" s="49"/>
      <c r="AN1777" s="52" t="str">
        <f t="shared" si="5"/>
        <v>credits,</v>
      </c>
    </row>
    <row r="1778">
      <c r="A1778" s="51"/>
      <c r="B1778" s="50" t="s">
        <v>80</v>
      </c>
      <c r="C1778" s="50" t="s">
        <v>2858</v>
      </c>
      <c r="D1778" s="49" t="str">
        <f>IFERROR(__xludf.DUMMYFUNCTION("""COMPUTED_VALUE"""),"drug")</f>
        <v>drug</v>
      </c>
      <c r="E1778" s="49"/>
      <c r="F1778" s="49"/>
      <c r="G1778" s="49"/>
      <c r="H1778" s="54" t="str">
        <f t="shared" si="1"/>
        <v>emotional,</v>
      </c>
      <c r="I1778" s="50"/>
      <c r="J1778" s="50" t="s">
        <v>5925</v>
      </c>
      <c r="K1778" s="50" t="s">
        <v>3335</v>
      </c>
      <c r="L1778" s="49"/>
      <c r="M1778" s="49"/>
      <c r="N1778" s="49"/>
      <c r="O1778" s="49" t="str">
        <f>IFERROR(__xludf.DUMMYFUNCTION("""COMPUTED_VALUE"""),"bluff")</f>
        <v>bluff</v>
      </c>
      <c r="P1778" s="49" t="str">
        <f t="shared" si="2"/>
        <v>mid,</v>
      </c>
      <c r="Q1778" s="49"/>
      <c r="R1778" s="50" t="s">
        <v>2926</v>
      </c>
      <c r="S1778" s="55" t="s">
        <v>1661</v>
      </c>
      <c r="T1778" s="49"/>
      <c r="U1778" s="49"/>
      <c r="V1778" s="49"/>
      <c r="W1778" s="49" t="str">
        <f>IFERROR(__xludf.DUMMYFUNCTION("""COMPUTED_VALUE"""),"simpson")</f>
        <v>simpson</v>
      </c>
      <c r="X1778" s="49" t="str">
        <f t="shared" si="3"/>
        <v>pow,</v>
      </c>
      <c r="Y1778" s="49"/>
      <c r="Z1778" s="1" t="s">
        <v>2722</v>
      </c>
      <c r="AA1778" s="1" t="s">
        <v>1113</v>
      </c>
      <c r="AB1778" s="49"/>
      <c r="AC1778" s="49"/>
      <c r="AD1778" s="49"/>
      <c r="AE1778" s="49" t="str">
        <f>IFERROR(__xludf.DUMMYFUNCTION("""COMPUTED_VALUE"""),"bluff")</f>
        <v>bluff</v>
      </c>
      <c r="AF1778" s="49" t="str">
        <f t="shared" si="4"/>
        <v>leaves,</v>
      </c>
      <c r="AG1778" s="49"/>
      <c r="AH1778" s="1" t="s">
        <v>2532</v>
      </c>
      <c r="AI1778" s="1" t="s">
        <v>2813</v>
      </c>
      <c r="AJ1778" s="6" t="str">
        <f>IFERROR(__xludf.DUMMYFUNCTION("""COMPUTED_VALUE"""),"executed")</f>
        <v>executed</v>
      </c>
      <c r="AK1778" s="49"/>
      <c r="AL1778" s="49"/>
      <c r="AM1778" s="49"/>
      <c r="AN1778" s="52" t="str">
        <f t="shared" si="5"/>
        <v>searching,</v>
      </c>
    </row>
    <row r="1779">
      <c r="A1779" s="51"/>
      <c r="B1779" s="50" t="s">
        <v>4905</v>
      </c>
      <c r="C1779" s="50" t="s">
        <v>4053</v>
      </c>
      <c r="D1779" s="49" t="str">
        <f>IFERROR(__xludf.DUMMYFUNCTION("""COMPUTED_VALUE"""),"david")</f>
        <v>david</v>
      </c>
      <c r="E1779" s="49"/>
      <c r="F1779" s="49"/>
      <c r="G1779" s="49"/>
      <c r="H1779" s="54" t="str">
        <f t="shared" si="1"/>
        <v>gibson,</v>
      </c>
      <c r="I1779" s="50"/>
      <c r="J1779" s="50" t="s">
        <v>5769</v>
      </c>
      <c r="K1779" s="50" t="s">
        <v>4441</v>
      </c>
      <c r="L1779" s="49"/>
      <c r="M1779" s="49"/>
      <c r="N1779" s="49"/>
      <c r="O1779" s="49" t="str">
        <f>IFERROR(__xludf.DUMMYFUNCTION("""COMPUTED_VALUE"""),"wreckage")</f>
        <v>wreckage</v>
      </c>
      <c r="P1779" s="49" t="str">
        <f t="shared" si="2"/>
        <v>oppressive,</v>
      </c>
      <c r="Q1779" s="49"/>
      <c r="R1779" s="50" t="s">
        <v>5780</v>
      </c>
      <c r="S1779" s="55" t="s">
        <v>2890</v>
      </c>
      <c r="T1779" s="49"/>
      <c r="U1779" s="49"/>
      <c r="V1779" s="49"/>
      <c r="W1779" s="49" t="str">
        <f>IFERROR(__xludf.DUMMYFUNCTION("""COMPUTED_VALUE"""),"rejection")</f>
        <v>rejection</v>
      </c>
      <c r="X1779" s="49" t="str">
        <f t="shared" si="3"/>
        <v>expressing,</v>
      </c>
      <c r="Y1779" s="49"/>
      <c r="Z1779" s="1" t="s">
        <v>6470</v>
      </c>
      <c r="AA1779" s="1" t="s">
        <v>2169</v>
      </c>
      <c r="AB1779" s="49"/>
      <c r="AC1779" s="49"/>
      <c r="AD1779" s="49"/>
      <c r="AE1779" s="49" t="str">
        <f>IFERROR(__xludf.DUMMYFUNCTION("""COMPUTED_VALUE"""),"wreckage")</f>
        <v>wreckage</v>
      </c>
      <c r="AF1779" s="49" t="str">
        <f t="shared" si="4"/>
        <v>act,</v>
      </c>
      <c r="AG1779" s="49"/>
      <c r="AH1779" s="1" t="s">
        <v>2237</v>
      </c>
      <c r="AI1779" s="1" t="s">
        <v>6570</v>
      </c>
      <c r="AJ1779" s="6" t="str">
        <f>IFERROR(__xludf.DUMMYFUNCTION("""COMPUTED_VALUE"""),"easy")</f>
        <v>easy</v>
      </c>
      <c r="AK1779" s="49"/>
      <c r="AL1779" s="49"/>
      <c r="AM1779" s="49"/>
      <c r="AN1779" s="52" t="str">
        <f t="shared" si="5"/>
        <v>deeper,</v>
      </c>
    </row>
    <row r="1780">
      <c r="A1780" s="51"/>
      <c r="B1780" s="50" t="s">
        <v>4603</v>
      </c>
      <c r="C1780" s="50" t="s">
        <v>1451</v>
      </c>
      <c r="D1780" s="49" t="str">
        <f>IFERROR(__xludf.DUMMYFUNCTION("""COMPUTED_VALUE"""),"songs")</f>
        <v>songs</v>
      </c>
      <c r="E1780" s="49"/>
      <c r="F1780" s="49"/>
      <c r="G1780" s="49"/>
      <c r="H1780" s="54" t="str">
        <f t="shared" si="1"/>
        <v>bang,</v>
      </c>
      <c r="I1780" s="50"/>
      <c r="J1780" s="50" t="s">
        <v>2990</v>
      </c>
      <c r="K1780" s="50" t="s">
        <v>1810</v>
      </c>
      <c r="L1780" s="49"/>
      <c r="M1780" s="49"/>
      <c r="N1780" s="49"/>
      <c r="O1780" s="49" t="str">
        <f>IFERROR(__xludf.DUMMYFUNCTION("""COMPUTED_VALUE"""),"interrogation")</f>
        <v>interrogation</v>
      </c>
      <c r="P1780" s="49" t="str">
        <f t="shared" si="2"/>
        <v>spiritual,</v>
      </c>
      <c r="Q1780" s="49"/>
      <c r="R1780" s="50" t="s">
        <v>1644</v>
      </c>
      <c r="S1780" s="55" t="s">
        <v>893</v>
      </c>
      <c r="T1780" s="49"/>
      <c r="U1780" s="49"/>
      <c r="V1780" s="49"/>
      <c r="W1780" s="49" t="str">
        <f>IFERROR(__xludf.DUMMYFUNCTION("""COMPUTED_VALUE"""),"provincial")</f>
        <v>provincial</v>
      </c>
      <c r="X1780" s="49" t="str">
        <f t="shared" si="3"/>
        <v>east,</v>
      </c>
      <c r="Y1780" s="49"/>
      <c r="Z1780" s="1" t="s">
        <v>3965</v>
      </c>
      <c r="AA1780" s="1" t="s">
        <v>4715</v>
      </c>
      <c r="AB1780" s="49"/>
      <c r="AC1780" s="49"/>
      <c r="AD1780" s="49"/>
      <c r="AE1780" s="49" t="str">
        <f>IFERROR(__xludf.DUMMYFUNCTION("""COMPUTED_VALUE"""),"interrogation")</f>
        <v>interrogation</v>
      </c>
      <c r="AF1780" s="49" t="str">
        <f t="shared" si="4"/>
        <v>concerned,</v>
      </c>
      <c r="AG1780" s="49"/>
      <c r="AH1780" s="1" t="s">
        <v>2020</v>
      </c>
      <c r="AI1780" s="1" t="s">
        <v>1571</v>
      </c>
      <c r="AJ1780" s="6" t="str">
        <f>IFERROR(__xludf.DUMMYFUNCTION("""COMPUTED_VALUE"""),"solid")</f>
        <v>solid</v>
      </c>
      <c r="AK1780" s="49"/>
      <c r="AL1780" s="49"/>
      <c r="AM1780" s="49"/>
      <c r="AN1780" s="52" t="str">
        <f t="shared" si="5"/>
        <v>bright,</v>
      </c>
    </row>
    <row r="1781">
      <c r="A1781" s="51"/>
      <c r="B1781" s="50" t="s">
        <v>2293</v>
      </c>
      <c r="C1781" s="50" t="s">
        <v>6550</v>
      </c>
      <c r="D1781" s="49" t="str">
        <f>IFERROR(__xludf.DUMMYFUNCTION("""COMPUTED_VALUE"""),"ones")</f>
        <v>ones</v>
      </c>
      <c r="E1781" s="49"/>
      <c r="F1781" s="49"/>
      <c r="G1781" s="49"/>
      <c r="H1781" s="54" t="str">
        <f t="shared" si="1"/>
        <v>store,</v>
      </c>
      <c r="I1781" s="50"/>
      <c r="J1781" s="50" t="s">
        <v>3846</v>
      </c>
      <c r="K1781" s="50" t="s">
        <v>4997</v>
      </c>
      <c r="L1781" s="49"/>
      <c r="M1781" s="49"/>
      <c r="N1781" s="49"/>
      <c r="O1781" s="49" t="str">
        <f>IFERROR(__xludf.DUMMYFUNCTION("""COMPUTED_VALUE"""),"huskies")</f>
        <v>huskies</v>
      </c>
      <c r="P1781" s="49" t="str">
        <f t="shared" si="2"/>
        <v>shining,</v>
      </c>
      <c r="Q1781" s="49"/>
      <c r="R1781" s="50" t="s">
        <v>3694</v>
      </c>
      <c r="S1781" s="55" t="s">
        <v>1674</v>
      </c>
      <c r="T1781" s="49"/>
      <c r="U1781" s="49"/>
      <c r="V1781" s="49"/>
      <c r="W1781" s="49" t="str">
        <f>IFERROR(__xludf.DUMMYFUNCTION("""COMPUTED_VALUE"""),"bourgeois")</f>
        <v>bourgeois</v>
      </c>
      <c r="X1781" s="49" t="str">
        <f t="shared" si="3"/>
        <v>marine,</v>
      </c>
      <c r="Y1781" s="49"/>
      <c r="Z1781" s="1" t="s">
        <v>2904</v>
      </c>
      <c r="AA1781" s="1" t="s">
        <v>3641</v>
      </c>
      <c r="AB1781" s="49"/>
      <c r="AC1781" s="49"/>
      <c r="AD1781" s="49"/>
      <c r="AE1781" s="49" t="str">
        <f>IFERROR(__xludf.DUMMYFUNCTION("""COMPUTED_VALUE"""),"huskies")</f>
        <v>huskies</v>
      </c>
      <c r="AF1781" s="49" t="str">
        <f t="shared" si="4"/>
        <v>lingering,</v>
      </c>
      <c r="AG1781" s="49"/>
      <c r="AH1781" s="1" t="s">
        <v>4428</v>
      </c>
      <c r="AI1781" s="1" t="s">
        <v>4445</v>
      </c>
      <c r="AJ1781" s="6" t="str">
        <f>IFERROR(__xludf.DUMMYFUNCTION("""COMPUTED_VALUE"""),"somewhat")</f>
        <v>somewhat</v>
      </c>
      <c r="AK1781" s="49"/>
      <c r="AL1781" s="49"/>
      <c r="AM1781" s="49"/>
      <c r="AN1781" s="52" t="str">
        <f t="shared" si="5"/>
        <v>barely,</v>
      </c>
    </row>
    <row r="1782">
      <c r="A1782" s="51"/>
      <c r="B1782" s="50" t="s">
        <v>5345</v>
      </c>
      <c r="C1782" s="50" t="s">
        <v>3807</v>
      </c>
      <c r="D1782" s="49" t="str">
        <f>IFERROR(__xludf.DUMMYFUNCTION("""COMPUTED_VALUE"""),"model")</f>
        <v>model</v>
      </c>
      <c r="E1782" s="49"/>
      <c r="F1782" s="49"/>
      <c r="G1782" s="49"/>
      <c r="H1782" s="54" t="str">
        <f t="shared" si="1"/>
        <v>horse,</v>
      </c>
      <c r="I1782" s="50"/>
      <c r="J1782" s="50" t="s">
        <v>4556</v>
      </c>
      <c r="K1782" s="50" t="s">
        <v>3016</v>
      </c>
      <c r="L1782" s="49"/>
      <c r="M1782" s="49"/>
      <c r="N1782" s="49"/>
      <c r="O1782" s="49" t="str">
        <f>IFERROR(__xludf.DUMMYFUNCTION("""COMPUTED_VALUE"""),"discarded")</f>
        <v>discarded</v>
      </c>
      <c r="P1782" s="49" t="str">
        <f t="shared" si="2"/>
        <v>messenger,</v>
      </c>
      <c r="Q1782" s="49"/>
      <c r="R1782" s="50" t="s">
        <v>543</v>
      </c>
      <c r="S1782" s="55" t="s">
        <v>1686</v>
      </c>
      <c r="T1782" s="49"/>
      <c r="U1782" s="49"/>
      <c r="V1782" s="49"/>
      <c r="W1782" s="49" t="str">
        <f>IFERROR(__xludf.DUMMYFUNCTION("""COMPUTED_VALUE"""),"contrasting")</f>
        <v>contrasting</v>
      </c>
      <c r="X1782" s="49" t="str">
        <f t="shared" si="3"/>
        <v>portrait,</v>
      </c>
      <c r="Y1782" s="49"/>
      <c r="Z1782" s="1" t="s">
        <v>5124</v>
      </c>
      <c r="AA1782" s="1" t="s">
        <v>4998</v>
      </c>
      <c r="AB1782" s="49"/>
      <c r="AC1782" s="49"/>
      <c r="AD1782" s="49"/>
      <c r="AE1782" s="49" t="str">
        <f>IFERROR(__xludf.DUMMYFUNCTION("""COMPUTED_VALUE"""),"discarded")</f>
        <v>discarded</v>
      </c>
      <c r="AF1782" s="49" t="str">
        <f t="shared" si="4"/>
        <v>lines,</v>
      </c>
      <c r="AG1782" s="49"/>
      <c r="AH1782" s="1" t="s">
        <v>1167</v>
      </c>
      <c r="AI1782" s="1" t="s">
        <v>2544</v>
      </c>
      <c r="AJ1782" s="6" t="str">
        <f>IFERROR(__xludf.DUMMYFUNCTION("""COMPUTED_VALUE"""),"thrown")</f>
        <v>thrown</v>
      </c>
      <c r="AK1782" s="49"/>
      <c r="AL1782" s="49"/>
      <c r="AM1782" s="49"/>
      <c r="AN1782" s="52" t="str">
        <f t="shared" si="5"/>
        <v>busy,</v>
      </c>
    </row>
    <row r="1783">
      <c r="A1783" s="51"/>
      <c r="B1783" s="50" t="s">
        <v>396</v>
      </c>
      <c r="C1783" s="50" t="s">
        <v>4724</v>
      </c>
      <c r="D1783" s="49" t="str">
        <f>IFERROR(__xludf.DUMMYFUNCTION("""COMPUTED_VALUE"""),"text")</f>
        <v>text</v>
      </c>
      <c r="E1783" s="49"/>
      <c r="F1783" s="49"/>
      <c r="G1783" s="49"/>
      <c r="H1783" s="54" t="str">
        <f t="shared" si="1"/>
        <v>situations,</v>
      </c>
      <c r="I1783" s="50"/>
      <c r="J1783" s="50" t="s">
        <v>4887</v>
      </c>
      <c r="K1783" s="50" t="s">
        <v>4447</v>
      </c>
      <c r="L1783" s="49"/>
      <c r="M1783" s="49"/>
      <c r="N1783" s="49"/>
      <c r="O1783" s="49" t="str">
        <f>IFERROR(__xludf.DUMMYFUNCTION("""COMPUTED_VALUE"""),"ticking")</f>
        <v>ticking</v>
      </c>
      <c r="P1783" s="49" t="str">
        <f t="shared" si="2"/>
        <v>losses,</v>
      </c>
      <c r="Q1783" s="49"/>
      <c r="R1783" s="50" t="s">
        <v>4896</v>
      </c>
      <c r="S1783" s="55" t="s">
        <v>1679</v>
      </c>
      <c r="T1783" s="49"/>
      <c r="U1783" s="49"/>
      <c r="V1783" s="49"/>
      <c r="W1783" s="49" t="str">
        <f>IFERROR(__xludf.DUMMYFUNCTION("""COMPUTED_VALUE"""),"superman")</f>
        <v>superman</v>
      </c>
      <c r="X1783" s="49" t="str">
        <f t="shared" si="3"/>
        <v>losing,</v>
      </c>
      <c r="Y1783" s="49"/>
      <c r="Z1783" s="1" t="s">
        <v>3059</v>
      </c>
      <c r="AA1783" s="1" t="s">
        <v>3935</v>
      </c>
      <c r="AB1783" s="49"/>
      <c r="AC1783" s="49"/>
      <c r="AD1783" s="49"/>
      <c r="AE1783" s="49" t="str">
        <f>IFERROR(__xludf.DUMMYFUNCTION("""COMPUTED_VALUE"""),"ticking")</f>
        <v>ticking</v>
      </c>
      <c r="AF1783" s="49" t="str">
        <f t="shared" si="4"/>
        <v>grew,</v>
      </c>
      <c r="AG1783" s="49"/>
      <c r="AH1783" s="1" t="s">
        <v>5568</v>
      </c>
      <c r="AI1783" s="1" t="s">
        <v>2818</v>
      </c>
      <c r="AJ1783" s="6" t="str">
        <f>IFERROR(__xludf.DUMMYFUNCTION("""COMPUTED_VALUE"""),"desperate")</f>
        <v>desperate</v>
      </c>
      <c r="AK1783" s="49"/>
      <c r="AL1783" s="49"/>
      <c r="AM1783" s="49"/>
      <c r="AN1783" s="52" t="str">
        <f t="shared" si="5"/>
        <v>robin,</v>
      </c>
    </row>
    <row r="1784">
      <c r="A1784" s="51"/>
      <c r="B1784" s="50" t="s">
        <v>6650</v>
      </c>
      <c r="C1784" s="50" t="s">
        <v>1672</v>
      </c>
      <c r="D1784" s="49" t="str">
        <f>IFERROR(__xludf.DUMMYFUNCTION("""COMPUTED_VALUE"""),"proved")</f>
        <v>proved</v>
      </c>
      <c r="E1784" s="49"/>
      <c r="F1784" s="49"/>
      <c r="G1784" s="49"/>
      <c r="H1784" s="54" t="str">
        <f t="shared" si="1"/>
        <v>ignore,</v>
      </c>
      <c r="I1784" s="50"/>
      <c r="J1784" s="50" t="s">
        <v>2553</v>
      </c>
      <c r="K1784" s="50" t="s">
        <v>3342</v>
      </c>
      <c r="L1784" s="49"/>
      <c r="M1784" s="49"/>
      <c r="N1784" s="49"/>
      <c r="O1784" s="49" t="str">
        <f>IFERROR(__xludf.DUMMYFUNCTION("""COMPUTED_VALUE"""),"millennium")</f>
        <v>millennium</v>
      </c>
      <c r="P1784" s="49" t="str">
        <f t="shared" si="2"/>
        <v>lived,</v>
      </c>
      <c r="Q1784" s="49"/>
      <c r="R1784" s="50">
        <v>94.0</v>
      </c>
      <c r="S1784" s="55" t="s">
        <v>4267</v>
      </c>
      <c r="T1784" s="49"/>
      <c r="U1784" s="49"/>
      <c r="V1784" s="49"/>
      <c r="W1784" s="49" t="str">
        <f>IFERROR(__xludf.DUMMYFUNCTION("""COMPUTED_VALUE"""),"demographic")</f>
        <v>demographic</v>
      </c>
      <c r="X1784" s="49" t="str">
        <f t="shared" si="3"/>
        <v>94,</v>
      </c>
      <c r="Y1784" s="49"/>
      <c r="Z1784" s="1" t="s">
        <v>4211</v>
      </c>
      <c r="AA1784" s="1" t="s">
        <v>3938</v>
      </c>
      <c r="AB1784" s="49"/>
      <c r="AC1784" s="49"/>
      <c r="AD1784" s="49"/>
      <c r="AE1784" s="49" t="str">
        <f>IFERROR(__xludf.DUMMYFUNCTION("""COMPUTED_VALUE"""),"millennium")</f>
        <v>millennium</v>
      </c>
      <c r="AF1784" s="49" t="str">
        <f t="shared" si="4"/>
        <v>shots,</v>
      </c>
      <c r="AG1784" s="49"/>
      <c r="AH1784" s="1" t="s">
        <v>6984</v>
      </c>
      <c r="AI1784" s="1" t="s">
        <v>6571</v>
      </c>
      <c r="AJ1784" s="6" t="str">
        <f>IFERROR(__xludf.DUMMYFUNCTION("""COMPUTED_VALUE"""),"fortune")</f>
        <v>fortune</v>
      </c>
      <c r="AK1784" s="49"/>
      <c r="AL1784" s="49"/>
      <c r="AM1784" s="49"/>
      <c r="AN1784" s="52" t="str">
        <f t="shared" si="5"/>
        <v>farm,</v>
      </c>
    </row>
    <row r="1785">
      <c r="A1785" s="51"/>
      <c r="B1785" s="50" t="s">
        <v>2900</v>
      </c>
      <c r="C1785" s="50" t="s">
        <v>1602</v>
      </c>
      <c r="D1785" s="49" t="str">
        <f>IFERROR(__xludf.DUMMYFUNCTION("""COMPUTED_VALUE"""),"played")</f>
        <v>played</v>
      </c>
      <c r="E1785" s="49"/>
      <c r="F1785" s="49"/>
      <c r="G1785" s="49"/>
      <c r="H1785" s="54" t="str">
        <f t="shared" si="1"/>
        <v>separation,</v>
      </c>
      <c r="I1785" s="50"/>
      <c r="J1785" s="50" t="s">
        <v>4782</v>
      </c>
      <c r="K1785" s="50" t="s">
        <v>3345</v>
      </c>
      <c r="L1785" s="49"/>
      <c r="M1785" s="49"/>
      <c r="N1785" s="49"/>
      <c r="O1785" s="49" t="str">
        <f>IFERROR(__xludf.DUMMYFUNCTION("""COMPUTED_VALUE"""),"overview")</f>
        <v>overview</v>
      </c>
      <c r="P1785" s="49" t="str">
        <f t="shared" si="2"/>
        <v>unusually,</v>
      </c>
      <c r="Q1785" s="49"/>
      <c r="R1785" s="50" t="s">
        <v>3540</v>
      </c>
      <c r="S1785" s="55" t="s">
        <v>4816</v>
      </c>
      <c r="T1785" s="49"/>
      <c r="U1785" s="49"/>
      <c r="V1785" s="49"/>
      <c r="W1785" s="49" t="str">
        <f>IFERROR(__xludf.DUMMYFUNCTION("""COMPUTED_VALUE"""),"explosions")</f>
        <v>explosions</v>
      </c>
      <c r="X1785" s="49" t="str">
        <f t="shared" si="3"/>
        <v>overrun,</v>
      </c>
      <c r="Y1785" s="49"/>
      <c r="Z1785" s="1" t="s">
        <v>5177</v>
      </c>
      <c r="AA1785" s="1" t="s">
        <v>5000</v>
      </c>
      <c r="AB1785" s="49"/>
      <c r="AC1785" s="49"/>
      <c r="AD1785" s="49"/>
      <c r="AE1785" s="49" t="str">
        <f>IFERROR(__xludf.DUMMYFUNCTION("""COMPUTED_VALUE"""),"overview")</f>
        <v>overview</v>
      </c>
      <c r="AF1785" s="49" t="str">
        <f t="shared" si="4"/>
        <v>goth,</v>
      </c>
      <c r="AG1785" s="49"/>
      <c r="AH1785" s="1" t="s">
        <v>3782</v>
      </c>
      <c r="AI1785" s="1" t="s">
        <v>4189</v>
      </c>
      <c r="AJ1785" s="6" t="str">
        <f>IFERROR(__xludf.DUMMYFUNCTION("""COMPUTED_VALUE"""),"garcia")</f>
        <v>garcia</v>
      </c>
      <c r="AK1785" s="49"/>
      <c r="AL1785" s="49"/>
      <c r="AM1785" s="49"/>
      <c r="AN1785" s="52" t="str">
        <f t="shared" si="5"/>
        <v>target,</v>
      </c>
    </row>
    <row r="1786">
      <c r="A1786" s="51"/>
      <c r="B1786" s="50" t="s">
        <v>5654</v>
      </c>
      <c r="C1786" s="50" t="s">
        <v>6420</v>
      </c>
      <c r="D1786" s="49" t="str">
        <f>IFERROR(__xludf.DUMMYFUNCTION("""COMPUTED_VALUE"""),"court")</f>
        <v>court</v>
      </c>
      <c r="E1786" s="49"/>
      <c r="F1786" s="49"/>
      <c r="G1786" s="49"/>
      <c r="H1786" s="54" t="str">
        <f t="shared" si="1"/>
        <v>believing,</v>
      </c>
      <c r="I1786" s="50"/>
      <c r="J1786" s="50" t="s">
        <v>5593</v>
      </c>
      <c r="K1786" s="50" t="s">
        <v>3351</v>
      </c>
      <c r="L1786" s="49"/>
      <c r="M1786" s="49"/>
      <c r="N1786" s="49"/>
      <c r="O1786" s="49" t="str">
        <f>IFERROR(__xludf.DUMMYFUNCTION("""COMPUTED_VALUE"""),"omnibus")</f>
        <v>omnibus</v>
      </c>
      <c r="P1786" s="49" t="str">
        <f t="shared" si="2"/>
        <v>boasts,</v>
      </c>
      <c r="Q1786" s="49"/>
      <c r="R1786" s="50" t="s">
        <v>6840</v>
      </c>
      <c r="S1786" s="55" t="s">
        <v>347</v>
      </c>
      <c r="T1786" s="49"/>
      <c r="U1786" s="49"/>
      <c r="V1786" s="49"/>
      <c r="W1786" s="49" t="str">
        <f>IFERROR(__xludf.DUMMYFUNCTION("""COMPUTED_VALUE"""),"lore")</f>
        <v>lore</v>
      </c>
      <c r="X1786" s="49" t="str">
        <f t="shared" si="3"/>
        <v>sooner,</v>
      </c>
      <c r="Y1786" s="49"/>
      <c r="Z1786" s="1" t="s">
        <v>3503</v>
      </c>
      <c r="AA1786" s="1" t="s">
        <v>1122</v>
      </c>
      <c r="AB1786" s="49"/>
      <c r="AC1786" s="49"/>
      <c r="AD1786" s="49"/>
      <c r="AE1786" s="49" t="str">
        <f>IFERROR(__xludf.DUMMYFUNCTION("""COMPUTED_VALUE"""),"omnibus")</f>
        <v>omnibus</v>
      </c>
      <c r="AF1786" s="49" t="str">
        <f t="shared" si="4"/>
        <v>ambition,</v>
      </c>
      <c r="AG1786" s="49"/>
      <c r="AH1786" s="1" t="s">
        <v>1625</v>
      </c>
      <c r="AI1786" s="1" t="s">
        <v>6557</v>
      </c>
      <c r="AJ1786" s="6" t="str">
        <f>IFERROR(__xludf.DUMMYFUNCTION("""COMPUTED_VALUE"""),"door")</f>
        <v>door</v>
      </c>
      <c r="AK1786" s="49"/>
      <c r="AL1786" s="49"/>
      <c r="AM1786" s="49"/>
      <c r="AN1786" s="52" t="str">
        <f t="shared" si="5"/>
        <v>university,</v>
      </c>
    </row>
    <row r="1787">
      <c r="A1787" s="51"/>
      <c r="B1787" s="50" t="s">
        <v>2031</v>
      </c>
      <c r="C1787" s="50" t="s">
        <v>3098</v>
      </c>
      <c r="D1787" s="49" t="str">
        <f>IFERROR(__xludf.DUMMYFUNCTION("""COMPUTED_VALUE"""),"case")</f>
        <v>case</v>
      </c>
      <c r="E1787" s="49"/>
      <c r="F1787" s="49"/>
      <c r="G1787" s="49"/>
      <c r="H1787" s="54" t="str">
        <f t="shared" si="1"/>
        <v>bunch,</v>
      </c>
      <c r="I1787" s="50"/>
      <c r="J1787" s="50" t="s">
        <v>5541</v>
      </c>
      <c r="K1787" s="50" t="s">
        <v>1814</v>
      </c>
      <c r="L1787" s="49"/>
      <c r="M1787" s="49"/>
      <c r="N1787" s="49"/>
      <c r="O1787" s="49" t="str">
        <f>IFERROR(__xludf.DUMMYFUNCTION("""COMPUTED_VALUE"""),"mobility")</f>
        <v>mobility</v>
      </c>
      <c r="P1787" s="49" t="str">
        <f t="shared" si="2"/>
        <v>spine,</v>
      </c>
      <c r="Q1787" s="49"/>
      <c r="R1787" s="50" t="s">
        <v>3391</v>
      </c>
      <c r="S1787" s="55" t="s">
        <v>4823</v>
      </c>
      <c r="T1787" s="49"/>
      <c r="U1787" s="49"/>
      <c r="V1787" s="49"/>
      <c r="W1787" s="49" t="str">
        <f>IFERROR(__xludf.DUMMYFUNCTION("""COMPUTED_VALUE"""),"fraser")</f>
        <v>fraser</v>
      </c>
      <c r="X1787" s="49" t="str">
        <f t="shared" si="3"/>
        <v>terror,</v>
      </c>
      <c r="Y1787" s="49"/>
      <c r="Z1787" s="1" t="s">
        <v>1107</v>
      </c>
      <c r="AA1787" s="1" t="s">
        <v>5003</v>
      </c>
      <c r="AB1787" s="49"/>
      <c r="AC1787" s="49"/>
      <c r="AD1787" s="49"/>
      <c r="AE1787" s="49" t="str">
        <f>IFERROR(__xludf.DUMMYFUNCTION("""COMPUTED_VALUE"""),"mobility")</f>
        <v>mobility</v>
      </c>
      <c r="AF1787" s="49" t="str">
        <f t="shared" si="4"/>
        <v>combines,</v>
      </c>
      <c r="AG1787" s="49"/>
      <c r="AH1787" s="1" t="s">
        <v>1619</v>
      </c>
      <c r="AI1787" s="1" t="s">
        <v>92</v>
      </c>
      <c r="AJ1787" s="6" t="str">
        <f>IFERROR(__xludf.DUMMYFUNCTION("""COMPUTED_VALUE"""),"offers")</f>
        <v>offers</v>
      </c>
      <c r="AK1787" s="49"/>
      <c r="AL1787" s="49"/>
      <c r="AM1787" s="49"/>
      <c r="AN1787" s="52" t="str">
        <f t="shared" si="5"/>
        <v>major,</v>
      </c>
    </row>
    <row r="1788">
      <c r="A1788" s="51"/>
      <c r="B1788" s="50" t="s">
        <v>5464</v>
      </c>
      <c r="C1788" s="50" t="s">
        <v>4139</v>
      </c>
      <c r="D1788" s="49" t="str">
        <f>IFERROR(__xludf.DUMMYFUNCTION("""COMPUTED_VALUE"""),"benefit")</f>
        <v>benefit</v>
      </c>
      <c r="E1788" s="49"/>
      <c r="F1788" s="49"/>
      <c r="G1788" s="49"/>
      <c r="H1788" s="54" t="str">
        <f t="shared" si="1"/>
        <v>digital,</v>
      </c>
      <c r="I1788" s="50"/>
      <c r="J1788" s="50" t="s">
        <v>5669</v>
      </c>
      <c r="K1788" s="50" t="s">
        <v>766</v>
      </c>
      <c r="L1788" s="49"/>
      <c r="M1788" s="49"/>
      <c r="N1788" s="49"/>
      <c r="O1788" s="49" t="str">
        <f>IFERROR(__xludf.DUMMYFUNCTION("""COMPUTED_VALUE"""),"motionless")</f>
        <v>motionless</v>
      </c>
      <c r="P1788" s="49" t="str">
        <f t="shared" si="2"/>
        <v>goose,</v>
      </c>
      <c r="Q1788" s="49"/>
      <c r="R1788" s="50" t="s">
        <v>4757</v>
      </c>
      <c r="S1788" s="55" t="s">
        <v>4270</v>
      </c>
      <c r="T1788" s="49"/>
      <c r="U1788" s="49"/>
      <c r="V1788" s="49"/>
      <c r="W1788" s="49" t="str">
        <f>IFERROR(__xludf.DUMMYFUNCTION("""COMPUTED_VALUE"""),"terrorists")</f>
        <v>terrorists</v>
      </c>
      <c r="X1788" s="49" t="str">
        <f t="shared" si="3"/>
        <v>spectacular,</v>
      </c>
      <c r="Y1788" s="49"/>
      <c r="Z1788" s="1" t="s">
        <v>4557</v>
      </c>
      <c r="AA1788" s="1" t="s">
        <v>1128</v>
      </c>
      <c r="AB1788" s="49"/>
      <c r="AC1788" s="49"/>
      <c r="AD1788" s="49"/>
      <c r="AE1788" s="49" t="str">
        <f>IFERROR(__xludf.DUMMYFUNCTION("""COMPUTED_VALUE"""),"motionless")</f>
        <v>motionless</v>
      </c>
      <c r="AF1788" s="49" t="str">
        <f t="shared" si="4"/>
        <v>tricks,</v>
      </c>
      <c r="AG1788" s="49"/>
      <c r="AH1788" s="1" t="s">
        <v>7451</v>
      </c>
      <c r="AI1788" s="1" t="s">
        <v>6572</v>
      </c>
      <c r="AJ1788" s="6" t="str">
        <f>IFERROR(__xludf.DUMMYFUNCTION("""COMPUTED_VALUE"""),"cat")</f>
        <v>cat</v>
      </c>
      <c r="AK1788" s="49"/>
      <c r="AL1788" s="49"/>
      <c r="AM1788" s="49"/>
      <c r="AN1788" s="52" t="str">
        <f t="shared" si="5"/>
        <v>initially,</v>
      </c>
    </row>
    <row r="1789">
      <c r="A1789" s="51"/>
      <c r="B1789" s="50" t="s">
        <v>2131</v>
      </c>
      <c r="C1789" s="50" t="s">
        <v>2726</v>
      </c>
      <c r="D1789" s="49" t="str">
        <f>IFERROR(__xludf.DUMMYFUNCTION("""COMPUTED_VALUE"""),"committed")</f>
        <v>committed</v>
      </c>
      <c r="E1789" s="49"/>
      <c r="F1789" s="49"/>
      <c r="G1789" s="49"/>
      <c r="H1789" s="54" t="str">
        <f t="shared" si="1"/>
        <v>stream,</v>
      </c>
      <c r="I1789" s="50"/>
      <c r="J1789" s="50" t="s">
        <v>1007</v>
      </c>
      <c r="K1789" s="50" t="s">
        <v>279</v>
      </c>
      <c r="L1789" s="49"/>
      <c r="M1789" s="49"/>
      <c r="N1789" s="49"/>
      <c r="O1789" s="49" t="str">
        <f>IFERROR(__xludf.DUMMYFUNCTION("""COMPUTED_VALUE"""),"prisoners")</f>
        <v>prisoners</v>
      </c>
      <c r="P1789" s="49" t="str">
        <f t="shared" si="2"/>
        <v>stanley,</v>
      </c>
      <c r="Q1789" s="49"/>
      <c r="R1789" s="50" t="s">
        <v>2230</v>
      </c>
      <c r="S1789" s="55" t="s">
        <v>2981</v>
      </c>
      <c r="T1789" s="49"/>
      <c r="U1789" s="49"/>
      <c r="V1789" s="49"/>
      <c r="W1789" s="49" t="str">
        <f>IFERROR(__xludf.DUMMYFUNCTION("""COMPUTED_VALUE"""),"trim")</f>
        <v>trim</v>
      </c>
      <c r="X1789" s="49" t="str">
        <f t="shared" si="3"/>
        <v>virtually,</v>
      </c>
      <c r="Y1789" s="49"/>
      <c r="Z1789" s="1" t="s">
        <v>1745</v>
      </c>
      <c r="AA1789" s="1" t="s">
        <v>4184</v>
      </c>
      <c r="AB1789" s="49"/>
      <c r="AC1789" s="49"/>
      <c r="AD1789" s="49"/>
      <c r="AE1789" s="49" t="str">
        <f>IFERROR(__xludf.DUMMYFUNCTION("""COMPUTED_VALUE"""),"prisoners")</f>
        <v>prisoners</v>
      </c>
      <c r="AF1789" s="49" t="str">
        <f t="shared" si="4"/>
        <v>imagination,</v>
      </c>
      <c r="AG1789" s="49"/>
      <c r="AH1789" s="1" t="s">
        <v>5307</v>
      </c>
      <c r="AI1789" s="1" t="s">
        <v>3320</v>
      </c>
      <c r="AJ1789" s="6" t="str">
        <f>IFERROR(__xludf.DUMMYFUNCTION("""COMPUTED_VALUE"""),"n")</f>
        <v>n</v>
      </c>
      <c r="AK1789" s="49"/>
      <c r="AL1789" s="49"/>
      <c r="AM1789" s="49"/>
      <c r="AN1789" s="52" t="str">
        <f t="shared" si="5"/>
        <v>granted,</v>
      </c>
    </row>
    <row r="1790">
      <c r="A1790" s="51"/>
      <c r="B1790" s="50" t="s">
        <v>6740</v>
      </c>
      <c r="C1790" s="50" t="s">
        <v>4278</v>
      </c>
      <c r="D1790" s="49" t="str">
        <f>IFERROR(__xludf.DUMMYFUNCTION("""COMPUTED_VALUE"""),"presence")</f>
        <v>presence</v>
      </c>
      <c r="E1790" s="49"/>
      <c r="F1790" s="49"/>
      <c r="G1790" s="49"/>
      <c r="H1790" s="54" t="str">
        <f t="shared" si="1"/>
        <v>saved,</v>
      </c>
      <c r="I1790" s="50"/>
      <c r="J1790" s="50" t="s">
        <v>2158</v>
      </c>
      <c r="K1790" s="50" t="s">
        <v>5006</v>
      </c>
      <c r="L1790" s="49"/>
      <c r="M1790" s="49"/>
      <c r="N1790" s="49"/>
      <c r="O1790" s="49" t="str">
        <f>IFERROR(__xludf.DUMMYFUNCTION("""COMPUTED_VALUE"""),"eisenhower")</f>
        <v>eisenhower</v>
      </c>
      <c r="P1790" s="49" t="str">
        <f t="shared" si="2"/>
        <v>doses,</v>
      </c>
      <c r="Q1790" s="49"/>
      <c r="R1790" s="50" t="s">
        <v>4923</v>
      </c>
      <c r="S1790" s="55" t="s">
        <v>3819</v>
      </c>
      <c r="T1790" s="49"/>
      <c r="U1790" s="49"/>
      <c r="V1790" s="49"/>
      <c r="W1790" s="49" t="str">
        <f>IFERROR(__xludf.DUMMYFUNCTION("""COMPUTED_VALUE"""),"thinkers")</f>
        <v>thinkers</v>
      </c>
      <c r="X1790" s="49" t="str">
        <f t="shared" si="3"/>
        <v>pinnacle,</v>
      </c>
      <c r="Y1790" s="49"/>
      <c r="Z1790" s="1" t="s">
        <v>2717</v>
      </c>
      <c r="AA1790" s="1" t="s">
        <v>3954</v>
      </c>
      <c r="AB1790" s="49"/>
      <c r="AC1790" s="49"/>
      <c r="AD1790" s="49"/>
      <c r="AE1790" s="49" t="str">
        <f>IFERROR(__xludf.DUMMYFUNCTION("""COMPUTED_VALUE"""),"eisenhower")</f>
        <v>eisenhower</v>
      </c>
      <c r="AF1790" s="49" t="str">
        <f t="shared" si="4"/>
        <v>mayhem,</v>
      </c>
      <c r="AG1790" s="49"/>
      <c r="AH1790" s="1" t="s">
        <v>6685</v>
      </c>
      <c r="AI1790" s="1" t="s">
        <v>2542</v>
      </c>
      <c r="AJ1790" s="6" t="str">
        <f>IFERROR(__xludf.DUMMYFUNCTION("""COMPUTED_VALUE"""),"y")</f>
        <v>y</v>
      </c>
      <c r="AK1790" s="49"/>
      <c r="AL1790" s="49"/>
      <c r="AM1790" s="49"/>
      <c r="AN1790" s="52" t="str">
        <f t="shared" si="5"/>
        <v>hits,</v>
      </c>
    </row>
    <row r="1791">
      <c r="A1791" s="51"/>
      <c r="B1791" s="50" t="s">
        <v>7312</v>
      </c>
      <c r="C1791" s="50" t="s">
        <v>4738</v>
      </c>
      <c r="D1791" s="49" t="str">
        <f>IFERROR(__xludf.DUMMYFUNCTION("""COMPUTED_VALUE"""),"including")</f>
        <v>including</v>
      </c>
      <c r="E1791" s="49"/>
      <c r="F1791" s="49"/>
      <c r="G1791" s="49"/>
      <c r="H1791" s="54" t="str">
        <f t="shared" si="1"/>
        <v>tag,</v>
      </c>
      <c r="I1791" s="50"/>
      <c r="J1791" s="50" t="s">
        <v>2330</v>
      </c>
      <c r="K1791" s="50" t="s">
        <v>4458</v>
      </c>
      <c r="L1791" s="49"/>
      <c r="M1791" s="49"/>
      <c r="N1791" s="49"/>
      <c r="O1791" s="49" t="str">
        <f>IFERROR(__xludf.DUMMYFUNCTION("""COMPUTED_VALUE"""),"spins")</f>
        <v>spins</v>
      </c>
      <c r="P1791" s="49" t="str">
        <f t="shared" si="2"/>
        <v>concepts,</v>
      </c>
      <c r="Q1791" s="49"/>
      <c r="R1791" s="50" t="s">
        <v>5312</v>
      </c>
      <c r="S1791" s="55" t="s">
        <v>3163</v>
      </c>
      <c r="T1791" s="49"/>
      <c r="U1791" s="49"/>
      <c r="V1791" s="49"/>
      <c r="W1791" s="49" t="str">
        <f>IFERROR(__xludf.DUMMYFUNCTION("""COMPUTED_VALUE"""),"orbits")</f>
        <v>orbits</v>
      </c>
      <c r="X1791" s="49" t="str">
        <f t="shared" si="3"/>
        <v>upbeat,</v>
      </c>
      <c r="Y1791" s="49"/>
      <c r="Z1791" s="1" t="s">
        <v>3495</v>
      </c>
      <c r="AA1791" s="1" t="s">
        <v>3957</v>
      </c>
      <c r="AB1791" s="49"/>
      <c r="AC1791" s="49"/>
      <c r="AD1791" s="49"/>
      <c r="AE1791" s="49" t="str">
        <f>IFERROR(__xludf.DUMMYFUNCTION("""COMPUTED_VALUE"""),"spins")</f>
        <v>spins</v>
      </c>
      <c r="AF1791" s="49" t="str">
        <f t="shared" si="4"/>
        <v>inevitable,</v>
      </c>
      <c r="AG1791" s="49"/>
      <c r="AH1791" s="1" t="s">
        <v>645</v>
      </c>
      <c r="AI1791" s="1" t="s">
        <v>6559</v>
      </c>
      <c r="AJ1791" s="6" t="str">
        <f>IFERROR(__xludf.DUMMYFUNCTION("""COMPUTED_VALUE"""),"water")</f>
        <v>water</v>
      </c>
      <c r="AK1791" s="49"/>
      <c r="AL1791" s="49"/>
      <c r="AM1791" s="49"/>
      <c r="AN1791" s="52" t="str">
        <f t="shared" si="5"/>
        <v>moments,</v>
      </c>
    </row>
    <row r="1792">
      <c r="A1792" s="51"/>
      <c r="B1792" s="50" t="s">
        <v>4686</v>
      </c>
      <c r="C1792" s="50" t="s">
        <v>4062</v>
      </c>
      <c r="D1792" s="49" t="str">
        <f>IFERROR(__xludf.DUMMYFUNCTION("""COMPUTED_VALUE"""),"staged")</f>
        <v>staged</v>
      </c>
      <c r="E1792" s="49"/>
      <c r="F1792" s="49"/>
      <c r="G1792" s="49"/>
      <c r="H1792" s="54" t="str">
        <f t="shared" si="1"/>
        <v>christ,</v>
      </c>
      <c r="I1792" s="50"/>
      <c r="J1792" s="50" t="s">
        <v>3100</v>
      </c>
      <c r="K1792" s="50" t="s">
        <v>3355</v>
      </c>
      <c r="L1792" s="49"/>
      <c r="M1792" s="49"/>
      <c r="N1792" s="49"/>
      <c r="O1792" s="49" t="str">
        <f>IFERROR(__xludf.DUMMYFUNCTION("""COMPUTED_VALUE"""),"lunar")</f>
        <v>lunar</v>
      </c>
      <c r="P1792" s="49" t="str">
        <f t="shared" si="2"/>
        <v>catches,</v>
      </c>
      <c r="Q1792" s="49"/>
      <c r="R1792" s="50" t="s">
        <v>3037</v>
      </c>
      <c r="S1792" s="55" t="s">
        <v>897</v>
      </c>
      <c r="T1792" s="49"/>
      <c r="U1792" s="49"/>
      <c r="V1792" s="49"/>
      <c r="W1792" s="49" t="str">
        <f>IFERROR(__xludf.DUMMYFUNCTION("""COMPUTED_VALUE"""),"reassure")</f>
        <v>reassure</v>
      </c>
      <c r="X1792" s="49" t="str">
        <f t="shared" si="3"/>
        <v>daughters,</v>
      </c>
      <c r="Y1792" s="49"/>
      <c r="Z1792" s="1" t="s">
        <v>2407</v>
      </c>
      <c r="AA1792" s="1" t="s">
        <v>3399</v>
      </c>
      <c r="AB1792" s="49"/>
      <c r="AC1792" s="49"/>
      <c r="AD1792" s="49"/>
      <c r="AE1792" s="49" t="str">
        <f>IFERROR(__xludf.DUMMYFUNCTION("""COMPUTED_VALUE"""),"lunar")</f>
        <v>lunar</v>
      </c>
      <c r="AF1792" s="49" t="str">
        <f t="shared" si="4"/>
        <v>surreal,</v>
      </c>
      <c r="AG1792" s="49"/>
      <c r="AH1792" s="1" t="s">
        <v>2188</v>
      </c>
      <c r="AI1792" s="1" t="s">
        <v>4655</v>
      </c>
      <c r="AJ1792" s="6" t="str">
        <f>IFERROR(__xludf.DUMMYFUNCTION("""COMPUTED_VALUE"""),"window")</f>
        <v>window</v>
      </c>
      <c r="AK1792" s="49"/>
      <c r="AL1792" s="49"/>
      <c r="AM1792" s="49"/>
      <c r="AN1792" s="52" t="str">
        <f t="shared" si="5"/>
        <v>fantasy,</v>
      </c>
    </row>
    <row r="1793">
      <c r="A1793" s="51"/>
      <c r="B1793" s="50" t="s">
        <v>1654</v>
      </c>
      <c r="C1793" s="50" t="s">
        <v>4555</v>
      </c>
      <c r="D1793" s="49" t="str">
        <f>IFERROR(__xludf.DUMMYFUNCTION("""COMPUTED_VALUE"""),"web")</f>
        <v>web</v>
      </c>
      <c r="E1793" s="49"/>
      <c r="F1793" s="49"/>
      <c r="G1793" s="49"/>
      <c r="H1793" s="54" t="str">
        <f t="shared" si="1"/>
        <v>successfully,</v>
      </c>
      <c r="I1793" s="50"/>
      <c r="J1793" s="50" t="s">
        <v>5308</v>
      </c>
      <c r="K1793" s="50" t="s">
        <v>3358</v>
      </c>
      <c r="L1793" s="49"/>
      <c r="M1793" s="49"/>
      <c r="N1793" s="49"/>
      <c r="O1793" s="49" t="str">
        <f>IFERROR(__xludf.DUMMYFUNCTION("""COMPUTED_VALUE"""),"interpreting")</f>
        <v>interpreting</v>
      </c>
      <c r="P1793" s="49" t="str">
        <f t="shared" si="2"/>
        <v>wonders,</v>
      </c>
      <c r="Q1793" s="49"/>
      <c r="R1793" s="50" t="s">
        <v>6935</v>
      </c>
      <c r="S1793" s="55" t="s">
        <v>4587</v>
      </c>
      <c r="T1793" s="49"/>
      <c r="U1793" s="49"/>
      <c r="V1793" s="49"/>
      <c r="W1793" s="49" t="str">
        <f>IFERROR(__xludf.DUMMYFUNCTION("""COMPUTED_VALUE"""),"corbett")</f>
        <v>corbett</v>
      </c>
      <c r="X1793" s="49" t="str">
        <f t="shared" si="3"/>
        <v>baked,</v>
      </c>
      <c r="Y1793" s="49"/>
      <c r="Z1793" s="1" t="s">
        <v>1252</v>
      </c>
      <c r="AA1793" s="1" t="s">
        <v>2181</v>
      </c>
      <c r="AB1793" s="49"/>
      <c r="AC1793" s="49"/>
      <c r="AD1793" s="49"/>
      <c r="AE1793" s="49" t="str">
        <f>IFERROR(__xludf.DUMMYFUNCTION("""COMPUTED_VALUE"""),"interpreting")</f>
        <v>interpreting</v>
      </c>
      <c r="AF1793" s="49" t="str">
        <f t="shared" si="4"/>
        <v>lopez,</v>
      </c>
      <c r="AG1793" s="49"/>
      <c r="AH1793" s="1" t="s">
        <v>5479</v>
      </c>
      <c r="AI1793" s="1" t="s">
        <v>891</v>
      </c>
      <c r="AJ1793" s="6" t="str">
        <f>IFERROR(__xludf.DUMMYFUNCTION("""COMPUTED_VALUE"""),"serve")</f>
        <v>serve</v>
      </c>
      <c r="AK1793" s="49"/>
      <c r="AL1793" s="49"/>
      <c r="AM1793" s="49"/>
      <c r="AN1793" s="52" t="str">
        <f t="shared" si="5"/>
        <v>experimental,</v>
      </c>
    </row>
    <row r="1794">
      <c r="A1794" s="51"/>
      <c r="B1794" s="50" t="s">
        <v>4583</v>
      </c>
      <c r="C1794" s="50" t="s">
        <v>2732</v>
      </c>
      <c r="D1794" s="49" t="str">
        <f>IFERROR(__xludf.DUMMYFUNCTION("""COMPUTED_VALUE"""),"spinning")</f>
        <v>spinning</v>
      </c>
      <c r="E1794" s="49"/>
      <c r="F1794" s="49"/>
      <c r="G1794" s="49"/>
      <c r="H1794" s="54" t="str">
        <f t="shared" si="1"/>
        <v>13th,</v>
      </c>
      <c r="I1794" s="50"/>
      <c r="J1794" s="50" t="s">
        <v>483</v>
      </c>
      <c r="K1794" s="50" t="s">
        <v>4394</v>
      </c>
      <c r="L1794" s="49"/>
      <c r="M1794" s="49"/>
      <c r="N1794" s="49"/>
      <c r="O1794" s="49" t="str">
        <f>IFERROR(__xludf.DUMMYFUNCTION("""COMPUTED_VALUE"""),"founders")</f>
        <v>founders</v>
      </c>
      <c r="P1794" s="49" t="str">
        <f t="shared" si="2"/>
        <v>dignity,</v>
      </c>
      <c r="Q1794" s="49"/>
      <c r="R1794" s="50" t="s">
        <v>1055</v>
      </c>
      <c r="S1794" s="55" t="s">
        <v>901</v>
      </c>
      <c r="T1794" s="49"/>
      <c r="U1794" s="49"/>
      <c r="V1794" s="49"/>
      <c r="W1794" s="49" t="str">
        <f>IFERROR(__xludf.DUMMYFUNCTION("""COMPUTED_VALUE"""),"inc")</f>
        <v>inc</v>
      </c>
      <c r="X1794" s="49" t="str">
        <f t="shared" si="3"/>
        <v>alternating,</v>
      </c>
      <c r="Y1794" s="49"/>
      <c r="Z1794" s="1" t="s">
        <v>3464</v>
      </c>
      <c r="AA1794" s="1" t="s">
        <v>5011</v>
      </c>
      <c r="AB1794" s="49"/>
      <c r="AC1794" s="49"/>
      <c r="AD1794" s="49"/>
      <c r="AE1794" s="49" t="str">
        <f>IFERROR(__xludf.DUMMYFUNCTION("""COMPUTED_VALUE"""),"founders")</f>
        <v>founders</v>
      </c>
      <c r="AF1794" s="49" t="str">
        <f t="shared" si="4"/>
        <v>technique,</v>
      </c>
      <c r="AG1794" s="49"/>
      <c r="AH1794" s="1" t="s">
        <v>5748</v>
      </c>
      <c r="AI1794" s="1" t="s">
        <v>2821</v>
      </c>
      <c r="AJ1794" s="6" t="str">
        <f>IFERROR(__xludf.DUMMYFUNCTION("""COMPUTED_VALUE"""),"cars")</f>
        <v>cars</v>
      </c>
      <c r="AK1794" s="49"/>
      <c r="AL1794" s="49"/>
      <c r="AM1794" s="49"/>
      <c r="AN1794" s="52" t="str">
        <f t="shared" si="5"/>
        <v>benefits,</v>
      </c>
    </row>
    <row r="1795">
      <c r="A1795" s="51"/>
      <c r="B1795" s="50" t="s">
        <v>6341</v>
      </c>
      <c r="C1795" s="50" t="s">
        <v>6552</v>
      </c>
      <c r="D1795" s="49" t="str">
        <f>IFERROR(__xludf.DUMMYFUNCTION("""COMPUTED_VALUE"""),"alive")</f>
        <v>alive</v>
      </c>
      <c r="E1795" s="49"/>
      <c r="F1795" s="49"/>
      <c r="G1795" s="49"/>
      <c r="H1795" s="54" t="str">
        <f t="shared" si="1"/>
        <v>rocky,</v>
      </c>
      <c r="I1795" s="50"/>
      <c r="J1795" s="50" t="s">
        <v>6848</v>
      </c>
      <c r="K1795" s="50" t="s">
        <v>1822</v>
      </c>
      <c r="L1795" s="49"/>
      <c r="M1795" s="49"/>
      <c r="N1795" s="49"/>
      <c r="O1795" s="49">
        <f>IFERROR(__xludf.DUMMYFUNCTION("""COMPUTED_VALUE"""),1975.0)</f>
        <v>1975</v>
      </c>
      <c r="P1795" s="49" t="str">
        <f t="shared" si="2"/>
        <v>maintained,</v>
      </c>
      <c r="Q1795" s="49"/>
      <c r="R1795" s="50" t="s">
        <v>4860</v>
      </c>
      <c r="S1795" s="55" t="s">
        <v>4757</v>
      </c>
      <c r="T1795" s="49"/>
      <c r="U1795" s="49"/>
      <c r="V1795" s="49"/>
      <c r="W1795" s="49" t="str">
        <f>IFERROR(__xludf.DUMMYFUNCTION("""COMPUTED_VALUE"""),"ragged")</f>
        <v>ragged</v>
      </c>
      <c r="X1795" s="49" t="str">
        <f t="shared" si="3"/>
        <v>smash,</v>
      </c>
      <c r="Y1795" s="49"/>
      <c r="Z1795" s="1" t="s">
        <v>2672</v>
      </c>
      <c r="AA1795" s="1" t="s">
        <v>3967</v>
      </c>
      <c r="AB1795" s="49"/>
      <c r="AC1795" s="49"/>
      <c r="AD1795" s="49"/>
      <c r="AE1795" s="49">
        <f>IFERROR(__xludf.DUMMYFUNCTION("""COMPUTED_VALUE"""),1975.0)</f>
        <v>1975</v>
      </c>
      <c r="AF1795" s="49" t="str">
        <f t="shared" si="4"/>
        <v>report,</v>
      </c>
      <c r="AG1795" s="49"/>
      <c r="AH1795" s="1" t="s">
        <v>1372</v>
      </c>
      <c r="AI1795" s="1" t="s">
        <v>2461</v>
      </c>
      <c r="AJ1795" s="6" t="str">
        <f>IFERROR(__xludf.DUMMYFUNCTION("""COMPUTED_VALUE"""),"stops")</f>
        <v>stops</v>
      </c>
      <c r="AK1795" s="49"/>
      <c r="AL1795" s="49"/>
      <c r="AM1795" s="49"/>
      <c r="AN1795" s="52" t="str">
        <f t="shared" si="5"/>
        <v>stock,</v>
      </c>
    </row>
    <row r="1796">
      <c r="A1796" s="51"/>
      <c r="B1796" s="50" t="s">
        <v>2212</v>
      </c>
      <c r="C1796" s="50" t="s">
        <v>4558</v>
      </c>
      <c r="D1796" s="49" t="str">
        <f>IFERROR(__xludf.DUMMYFUNCTION("""COMPUTED_VALUE"""),"kong")</f>
        <v>kong</v>
      </c>
      <c r="E1796" s="49"/>
      <c r="F1796" s="49"/>
      <c r="G1796" s="49"/>
      <c r="H1796" s="54" t="str">
        <f t="shared" si="1"/>
        <v>execution,</v>
      </c>
      <c r="I1796" s="50"/>
      <c r="J1796" s="50" t="s">
        <v>6977</v>
      </c>
      <c r="K1796" s="50" t="s">
        <v>5014</v>
      </c>
      <c r="L1796" s="49"/>
      <c r="M1796" s="49"/>
      <c r="N1796" s="49"/>
      <c r="O1796" s="49" t="str">
        <f>IFERROR(__xludf.DUMMYFUNCTION("""COMPUTED_VALUE"""),"derek")</f>
        <v>derek</v>
      </c>
      <c r="P1796" s="49" t="str">
        <f t="shared" si="2"/>
        <v>mass,</v>
      </c>
      <c r="Q1796" s="49"/>
      <c r="R1796" s="50" t="s">
        <v>5535</v>
      </c>
      <c r="S1796" s="55" t="s">
        <v>783</v>
      </c>
      <c r="T1796" s="49"/>
      <c r="U1796" s="49"/>
      <c r="V1796" s="49"/>
      <c r="W1796" s="49" t="str">
        <f>IFERROR(__xludf.DUMMYFUNCTION("""COMPUTED_VALUE"""),"enacted")</f>
        <v>enacted</v>
      </c>
      <c r="X1796" s="49" t="str">
        <f t="shared" si="3"/>
        <v>permission,</v>
      </c>
      <c r="Y1796" s="49"/>
      <c r="Z1796" s="1" t="s">
        <v>2646</v>
      </c>
      <c r="AA1796" s="1" t="s">
        <v>1454</v>
      </c>
      <c r="AB1796" s="49"/>
      <c r="AC1796" s="49"/>
      <c r="AD1796" s="49"/>
      <c r="AE1796" s="49" t="str">
        <f>IFERROR(__xludf.DUMMYFUNCTION("""COMPUTED_VALUE"""),"derek")</f>
        <v>derek</v>
      </c>
      <c r="AF1796" s="49" t="str">
        <f t="shared" si="4"/>
        <v>master,</v>
      </c>
      <c r="AG1796" s="49"/>
      <c r="AH1796" s="1" t="s">
        <v>5997</v>
      </c>
      <c r="AI1796" s="1" t="s">
        <v>3770</v>
      </c>
      <c r="AJ1796" s="6" t="str">
        <f>IFERROR(__xludf.DUMMYFUNCTION("""COMPUTED_VALUE"""),"color")</f>
        <v>color</v>
      </c>
      <c r="AK1796" s="49"/>
      <c r="AL1796" s="49"/>
      <c r="AM1796" s="49"/>
      <c r="AN1796" s="52" t="str">
        <f t="shared" si="5"/>
        <v>threatened,</v>
      </c>
    </row>
    <row r="1797">
      <c r="A1797" s="51"/>
      <c r="B1797" s="50" t="s">
        <v>4657</v>
      </c>
      <c r="C1797" s="50" t="s">
        <v>4744</v>
      </c>
      <c r="D1797" s="49" t="str">
        <f>IFERROR(__xludf.DUMMYFUNCTION("""COMPUTED_VALUE"""),"scope")</f>
        <v>scope</v>
      </c>
      <c r="E1797" s="49"/>
      <c r="F1797" s="49"/>
      <c r="G1797" s="49"/>
      <c r="H1797" s="54" t="str">
        <f t="shared" si="1"/>
        <v>christianity,</v>
      </c>
      <c r="I1797" s="50"/>
      <c r="J1797" s="50" t="s">
        <v>2360</v>
      </c>
      <c r="K1797" s="50" t="s">
        <v>3363</v>
      </c>
      <c r="L1797" s="49"/>
      <c r="M1797" s="49"/>
      <c r="N1797" s="49"/>
      <c r="O1797" s="49" t="str">
        <f>IFERROR(__xludf.DUMMYFUNCTION("""COMPUTED_VALUE"""),"underworld")</f>
        <v>underworld</v>
      </c>
      <c r="P1797" s="49" t="str">
        <f t="shared" si="2"/>
        <v>lunch,</v>
      </c>
      <c r="Q1797" s="49"/>
      <c r="R1797" s="50" t="s">
        <v>5897</v>
      </c>
      <c r="S1797" s="55">
        <v>30.0</v>
      </c>
      <c r="T1797" s="49"/>
      <c r="U1797" s="49"/>
      <c r="V1797" s="49"/>
      <c r="W1797" s="49" t="str">
        <f>IFERROR(__xludf.DUMMYFUNCTION("""COMPUTED_VALUE"""),"moan")</f>
        <v>moan</v>
      </c>
      <c r="X1797" s="49" t="str">
        <f t="shared" si="3"/>
        <v>electric,</v>
      </c>
      <c r="Y1797" s="49"/>
      <c r="Z1797" s="1" t="s">
        <v>5100</v>
      </c>
      <c r="AA1797" s="1" t="s">
        <v>1336</v>
      </c>
      <c r="AB1797" s="49"/>
      <c r="AC1797" s="49"/>
      <c r="AD1797" s="49"/>
      <c r="AE1797" s="49" t="str">
        <f>IFERROR(__xludf.DUMMYFUNCTION("""COMPUTED_VALUE"""),"underworld")</f>
        <v>underworld</v>
      </c>
      <c r="AF1797" s="49" t="str">
        <f t="shared" si="4"/>
        <v>detailed,</v>
      </c>
      <c r="AG1797" s="49"/>
      <c r="AH1797" s="1" t="s">
        <v>2153</v>
      </c>
      <c r="AI1797" s="1" t="s">
        <v>4494</v>
      </c>
      <c r="AJ1797" s="6" t="str">
        <f>IFERROR(__xludf.DUMMYFUNCTION("""COMPUTED_VALUE"""),"trail")</f>
        <v>trail</v>
      </c>
      <c r="AK1797" s="49"/>
      <c r="AL1797" s="49"/>
      <c r="AM1797" s="49"/>
      <c r="AN1797" s="52" t="str">
        <f t="shared" si="5"/>
        <v>gentle,</v>
      </c>
    </row>
    <row r="1798">
      <c r="A1798" s="51"/>
      <c r="B1798" s="50" t="s">
        <v>3447</v>
      </c>
      <c r="C1798" s="50" t="s">
        <v>4750</v>
      </c>
      <c r="D1798" s="49" t="str">
        <f>IFERROR(__xludf.DUMMYFUNCTION("""COMPUTED_VALUE"""),"park")</f>
        <v>park</v>
      </c>
      <c r="E1798" s="49"/>
      <c r="F1798" s="49"/>
      <c r="G1798" s="49"/>
      <c r="H1798" s="54" t="str">
        <f t="shared" si="1"/>
        <v>curse,</v>
      </c>
      <c r="I1798" s="50"/>
      <c r="J1798" s="50" t="s">
        <v>7408</v>
      </c>
      <c r="K1798" s="50" t="s">
        <v>5016</v>
      </c>
      <c r="L1798" s="49"/>
      <c r="M1798" s="49"/>
      <c r="N1798" s="49"/>
      <c r="O1798" s="49" t="str">
        <f>IFERROR(__xludf.DUMMYFUNCTION("""COMPUTED_VALUE"""),"sources")</f>
        <v>sources</v>
      </c>
      <c r="P1798" s="49" t="str">
        <f t="shared" si="2"/>
        <v>notch,</v>
      </c>
      <c r="Q1798" s="49"/>
      <c r="R1798" s="50" t="s">
        <v>7452</v>
      </c>
      <c r="S1798" s="55" t="s">
        <v>1066</v>
      </c>
      <c r="T1798" s="49"/>
      <c r="U1798" s="49"/>
      <c r="V1798" s="49"/>
      <c r="W1798" s="49" t="str">
        <f>IFERROR(__xludf.DUMMYFUNCTION("""COMPUTED_VALUE"""),"annex")</f>
        <v>annex</v>
      </c>
      <c r="X1798" s="49" t="str">
        <f t="shared" si="3"/>
        <v>clarke,</v>
      </c>
      <c r="Y1798" s="49"/>
      <c r="Z1798" s="1" t="s">
        <v>552</v>
      </c>
      <c r="AA1798" s="1" t="s">
        <v>3407</v>
      </c>
      <c r="AB1798" s="49"/>
      <c r="AC1798" s="49"/>
      <c r="AD1798" s="49"/>
      <c r="AE1798" s="49" t="str">
        <f>IFERROR(__xludf.DUMMYFUNCTION("""COMPUTED_VALUE"""),"sources")</f>
        <v>sources</v>
      </c>
      <c r="AF1798" s="49" t="str">
        <f t="shared" si="4"/>
        <v>convincing,</v>
      </c>
      <c r="AG1798" s="49"/>
      <c r="AH1798" s="1" t="s">
        <v>798</v>
      </c>
      <c r="AI1798" s="1" t="s">
        <v>1448</v>
      </c>
      <c r="AJ1798" s="6" t="str">
        <f>IFERROR(__xludf.DUMMYFUNCTION("""COMPUTED_VALUE"""),"forgotten")</f>
        <v>forgotten</v>
      </c>
      <c r="AK1798" s="49"/>
      <c r="AL1798" s="49"/>
      <c r="AM1798" s="49"/>
      <c r="AN1798" s="52" t="str">
        <f t="shared" si="5"/>
        <v>slight,</v>
      </c>
    </row>
    <row r="1799">
      <c r="A1799" s="51"/>
      <c r="B1799" s="50" t="s">
        <v>621</v>
      </c>
      <c r="C1799" s="50" t="s">
        <v>6553</v>
      </c>
      <c r="D1799" s="49" t="str">
        <f>IFERROR(__xludf.DUMMYFUNCTION("""COMPUTED_VALUE"""),"assume")</f>
        <v>assume</v>
      </c>
      <c r="E1799" s="49"/>
      <c r="F1799" s="49"/>
      <c r="G1799" s="49"/>
      <c r="H1799" s="54" t="str">
        <f t="shared" si="1"/>
        <v>believe,</v>
      </c>
      <c r="I1799" s="50"/>
      <c r="J1799" s="50" t="s">
        <v>2821</v>
      </c>
      <c r="K1799" s="50" t="s">
        <v>686</v>
      </c>
      <c r="L1799" s="49"/>
      <c r="M1799" s="49"/>
      <c r="N1799" s="49"/>
      <c r="O1799" s="49" t="str">
        <f>IFERROR(__xludf.DUMMYFUNCTION("""COMPUTED_VALUE"""),"disturbance")</f>
        <v>disturbance</v>
      </c>
      <c r="P1799" s="49" t="str">
        <f t="shared" si="2"/>
        <v>technology,</v>
      </c>
      <c r="Q1799" s="49"/>
      <c r="R1799" s="50" t="s">
        <v>4899</v>
      </c>
      <c r="S1799" s="55" t="s">
        <v>4838</v>
      </c>
      <c r="T1799" s="49"/>
      <c r="U1799" s="49"/>
      <c r="V1799" s="49"/>
      <c r="W1799" s="49" t="str">
        <f>IFERROR(__xludf.DUMMYFUNCTION("""COMPUTED_VALUE"""),"overture")</f>
        <v>overture</v>
      </c>
      <c r="X1799" s="49" t="str">
        <f t="shared" si="3"/>
        <v>knowledge,</v>
      </c>
      <c r="Y1799" s="49"/>
      <c r="Z1799" s="1" t="s">
        <v>233</v>
      </c>
      <c r="AA1799" s="1" t="s">
        <v>3969</v>
      </c>
      <c r="AB1799" s="49"/>
      <c r="AC1799" s="49"/>
      <c r="AD1799" s="49"/>
      <c r="AE1799" s="49" t="str">
        <f>IFERROR(__xludf.DUMMYFUNCTION("""COMPUTED_VALUE"""),"disturbance")</f>
        <v>disturbance</v>
      </c>
      <c r="AF1799" s="49" t="str">
        <f t="shared" si="4"/>
        <v>spirits,</v>
      </c>
      <c r="AG1799" s="49"/>
      <c r="AH1799" s="1" t="s">
        <v>4015</v>
      </c>
      <c r="AI1799" s="1" t="s">
        <v>2826</v>
      </c>
      <c r="AJ1799" s="6" t="str">
        <f>IFERROR(__xludf.DUMMYFUNCTION("""COMPUTED_VALUE"""),"viewers")</f>
        <v>viewers</v>
      </c>
      <c r="AK1799" s="49"/>
      <c r="AL1799" s="49"/>
      <c r="AM1799" s="49"/>
      <c r="AN1799" s="52" t="str">
        <f t="shared" si="5"/>
        <v>conventional,</v>
      </c>
    </row>
    <row r="1800">
      <c r="A1800" s="51"/>
      <c r="B1800" s="50" t="s">
        <v>4995</v>
      </c>
      <c r="C1800" s="50" t="s">
        <v>4563</v>
      </c>
      <c r="D1800" s="49" t="str">
        <f>IFERROR(__xludf.DUMMYFUNCTION("""COMPUTED_VALUE"""),"figured")</f>
        <v>figured</v>
      </c>
      <c r="E1800" s="49"/>
      <c r="F1800" s="49"/>
      <c r="G1800" s="49"/>
      <c r="H1800" s="54" t="str">
        <f t="shared" si="1"/>
        <v>direct,</v>
      </c>
      <c r="I1800" s="50"/>
      <c r="J1800" s="50" t="s">
        <v>7410</v>
      </c>
      <c r="K1800" s="50" t="s">
        <v>4466</v>
      </c>
      <c r="L1800" s="49"/>
      <c r="M1800" s="49"/>
      <c r="N1800" s="49"/>
      <c r="O1800" s="49" t="str">
        <f>IFERROR(__xludf.DUMMYFUNCTION("""COMPUTED_VALUE"""),"plausible")</f>
        <v>plausible</v>
      </c>
      <c r="P1800" s="49" t="str">
        <f t="shared" si="2"/>
        <v>ab,</v>
      </c>
      <c r="Q1800" s="49"/>
      <c r="R1800" s="50" t="s">
        <v>5422</v>
      </c>
      <c r="S1800" s="55" t="s">
        <v>714</v>
      </c>
      <c r="T1800" s="49"/>
      <c r="U1800" s="49"/>
      <c r="V1800" s="49"/>
      <c r="W1800" s="49" t="str">
        <f>IFERROR(__xludf.DUMMYFUNCTION("""COMPUTED_VALUE"""),"pointedly")</f>
        <v>pointedly</v>
      </c>
      <c r="X1800" s="49" t="str">
        <f t="shared" si="3"/>
        <v>realm,</v>
      </c>
      <c r="Y1800" s="49"/>
      <c r="Z1800" s="1" t="s">
        <v>2186</v>
      </c>
      <c r="AA1800" s="1" t="s">
        <v>1459</v>
      </c>
      <c r="AB1800" s="49"/>
      <c r="AC1800" s="49"/>
      <c r="AD1800" s="49"/>
      <c r="AE1800" s="49" t="str">
        <f>IFERROR(__xludf.DUMMYFUNCTION("""COMPUTED_VALUE"""),"plausible")</f>
        <v>plausible</v>
      </c>
      <c r="AF1800" s="49" t="str">
        <f t="shared" si="4"/>
        <v>pulls,</v>
      </c>
      <c r="AG1800" s="49"/>
      <c r="AH1800" s="1" t="s">
        <v>3760</v>
      </c>
      <c r="AI1800" s="1" t="s">
        <v>2355</v>
      </c>
      <c r="AJ1800" s="6" t="str">
        <f>IFERROR(__xludf.DUMMYFUNCTION("""COMPUTED_VALUE"""),"terms")</f>
        <v>terms</v>
      </c>
      <c r="AK1800" s="49"/>
      <c r="AL1800" s="49"/>
      <c r="AM1800" s="49"/>
      <c r="AN1800" s="52" t="str">
        <f t="shared" si="5"/>
        <v>quickly,</v>
      </c>
    </row>
    <row r="1801">
      <c r="A1801" s="51"/>
      <c r="B1801" s="50" t="s">
        <v>5321</v>
      </c>
      <c r="C1801" s="50" t="s">
        <v>4188</v>
      </c>
      <c r="D1801" s="49" t="str">
        <f>IFERROR(__xludf.DUMMYFUNCTION("""COMPUTED_VALUE"""),"forced")</f>
        <v>forced</v>
      </c>
      <c r="E1801" s="49"/>
      <c r="F1801" s="49"/>
      <c r="G1801" s="49"/>
      <c r="H1801" s="54" t="str">
        <f t="shared" si="1"/>
        <v>producers,</v>
      </c>
      <c r="I1801" s="50"/>
      <c r="J1801" s="50" t="s">
        <v>3138</v>
      </c>
      <c r="K1801" s="50" t="s">
        <v>3031</v>
      </c>
      <c r="L1801" s="49"/>
      <c r="M1801" s="49"/>
      <c r="N1801" s="49"/>
      <c r="O1801" s="49" t="str">
        <f>IFERROR(__xludf.DUMMYFUNCTION("""COMPUTED_VALUE"""),"skeleton")</f>
        <v>skeleton</v>
      </c>
      <c r="P1801" s="49" t="str">
        <f t="shared" si="2"/>
        <v>guaranteed,</v>
      </c>
      <c r="Q1801" s="49"/>
      <c r="R1801" s="50" t="s">
        <v>4144</v>
      </c>
      <c r="S1801" s="55" t="s">
        <v>1721</v>
      </c>
      <c r="T1801" s="49"/>
      <c r="U1801" s="49"/>
      <c r="V1801" s="49"/>
      <c r="W1801" s="49" t="str">
        <f>IFERROR(__xludf.DUMMYFUNCTION("""COMPUTED_VALUE"""),"requiem")</f>
        <v>requiem</v>
      </c>
      <c r="X1801" s="49" t="str">
        <f t="shared" si="3"/>
        <v>clocks,</v>
      </c>
      <c r="Y1801" s="49"/>
      <c r="Z1801" s="1" t="s">
        <v>2430</v>
      </c>
      <c r="AA1801" s="1" t="s">
        <v>1468</v>
      </c>
      <c r="AB1801" s="49"/>
      <c r="AC1801" s="49"/>
      <c r="AD1801" s="49"/>
      <c r="AE1801" s="49" t="str">
        <f>IFERROR(__xludf.DUMMYFUNCTION("""COMPUTED_VALUE"""),"skeleton")</f>
        <v>skeleton</v>
      </c>
      <c r="AF1801" s="49" t="str">
        <f t="shared" si="4"/>
        <v>repetitive,</v>
      </c>
      <c r="AG1801" s="49"/>
      <c r="AH1801" s="1" t="s">
        <v>4510</v>
      </c>
      <c r="AI1801" s="1" t="s">
        <v>2829</v>
      </c>
      <c r="AJ1801" s="6" t="str">
        <f>IFERROR(__xludf.DUMMYFUNCTION("""COMPUTED_VALUE"""),"outer")</f>
        <v>outer</v>
      </c>
      <c r="AK1801" s="49"/>
      <c r="AL1801" s="49"/>
      <c r="AM1801" s="49"/>
      <c r="AN1801" s="52" t="str">
        <f t="shared" si="5"/>
        <v>giving,</v>
      </c>
    </row>
    <row r="1802">
      <c r="A1802" s="51"/>
      <c r="B1802" s="50" t="s">
        <v>5931</v>
      </c>
      <c r="C1802" s="50" t="s">
        <v>703</v>
      </c>
      <c r="D1802" s="49" t="str">
        <f>IFERROR(__xludf.DUMMYFUNCTION("""COMPUTED_VALUE"""),"dismissed")</f>
        <v>dismissed</v>
      </c>
      <c r="E1802" s="49"/>
      <c r="F1802" s="49"/>
      <c r="G1802" s="49"/>
      <c r="H1802" s="54" t="str">
        <f t="shared" si="1"/>
        <v>proof,</v>
      </c>
      <c r="I1802" s="50"/>
      <c r="J1802" s="50" t="s">
        <v>1857</v>
      </c>
      <c r="K1802" s="50" t="s">
        <v>1130</v>
      </c>
      <c r="L1802" s="49"/>
      <c r="M1802" s="49"/>
      <c r="N1802" s="49"/>
      <c r="O1802" s="49" t="str">
        <f>IFERROR(__xludf.DUMMYFUNCTION("""COMPUTED_VALUE"""),"bender")</f>
        <v>bender</v>
      </c>
      <c r="P1802" s="49" t="str">
        <f t="shared" si="2"/>
        <v>chinese,</v>
      </c>
      <c r="Q1802" s="49"/>
      <c r="R1802" s="50" t="s">
        <v>7453</v>
      </c>
      <c r="S1802" s="55" t="s">
        <v>3180</v>
      </c>
      <c r="T1802" s="49"/>
      <c r="U1802" s="49"/>
      <c r="V1802" s="49"/>
      <c r="W1802" s="49" t="str">
        <f>IFERROR(__xludf.DUMMYFUNCTION("""COMPUTED_VALUE"""),"mummy")</f>
        <v>mummy</v>
      </c>
      <c r="X1802" s="49" t="str">
        <f t="shared" si="3"/>
        <v>apt,</v>
      </c>
      <c r="Y1802" s="49"/>
      <c r="Z1802" s="1" t="s">
        <v>3177</v>
      </c>
      <c r="AA1802" s="1" t="s">
        <v>3973</v>
      </c>
      <c r="AB1802" s="49"/>
      <c r="AC1802" s="49"/>
      <c r="AD1802" s="49"/>
      <c r="AE1802" s="49" t="str">
        <f>IFERROR(__xludf.DUMMYFUNCTION("""COMPUTED_VALUE"""),"bender")</f>
        <v>bender</v>
      </c>
      <c r="AF1802" s="49" t="str">
        <f t="shared" si="4"/>
        <v>evening,</v>
      </c>
      <c r="AG1802" s="49"/>
      <c r="AH1802" s="1" t="s">
        <v>6420</v>
      </c>
      <c r="AI1802" s="1" t="s">
        <v>6562</v>
      </c>
      <c r="AJ1802" s="6" t="str">
        <f>IFERROR(__xludf.DUMMYFUNCTION("""COMPUTED_VALUE"""),"generated")</f>
        <v>generated</v>
      </c>
      <c r="AK1802" s="49"/>
      <c r="AL1802" s="49"/>
      <c r="AM1802" s="49"/>
      <c r="AN1802" s="52" t="str">
        <f t="shared" si="5"/>
        <v>opportunity,</v>
      </c>
    </row>
    <row r="1803">
      <c r="A1803" s="51"/>
      <c r="B1803" s="50" t="s">
        <v>6377</v>
      </c>
      <c r="C1803" s="50" t="s">
        <v>2868</v>
      </c>
      <c r="D1803" s="49" t="str">
        <f>IFERROR(__xludf.DUMMYFUNCTION("""COMPUTED_VALUE"""),"williams")</f>
        <v>williams</v>
      </c>
      <c r="E1803" s="49"/>
      <c r="F1803" s="49"/>
      <c r="G1803" s="49"/>
      <c r="H1803" s="54" t="str">
        <f t="shared" si="1"/>
        <v>equally,</v>
      </c>
      <c r="I1803" s="50"/>
      <c r="J1803" s="50" t="s">
        <v>5610</v>
      </c>
      <c r="K1803" s="50" t="s">
        <v>3035</v>
      </c>
      <c r="L1803" s="49"/>
      <c r="M1803" s="49"/>
      <c r="N1803" s="49"/>
      <c r="O1803" s="49" t="str">
        <f>IFERROR(__xludf.DUMMYFUNCTION("""COMPUTED_VALUE"""),"precedent")</f>
        <v>precedent</v>
      </c>
      <c r="P1803" s="49" t="str">
        <f t="shared" si="2"/>
        <v>injustice,</v>
      </c>
      <c r="Q1803" s="49"/>
      <c r="R1803" s="50" t="s">
        <v>3259</v>
      </c>
      <c r="S1803" s="55" t="s">
        <v>4285</v>
      </c>
      <c r="T1803" s="49"/>
      <c r="U1803" s="49"/>
      <c r="V1803" s="49"/>
      <c r="W1803" s="49" t="str">
        <f>IFERROR(__xludf.DUMMYFUNCTION("""COMPUTED_VALUE"""),"framework")</f>
        <v>framework</v>
      </c>
      <c r="X1803" s="49" t="str">
        <f t="shared" si="3"/>
        <v>recognizable,</v>
      </c>
      <c r="Y1803" s="49"/>
      <c r="Z1803" s="1" t="s">
        <v>7386</v>
      </c>
      <c r="AA1803" s="1" t="s">
        <v>3975</v>
      </c>
      <c r="AB1803" s="49"/>
      <c r="AC1803" s="49"/>
      <c r="AD1803" s="49"/>
      <c r="AE1803" s="49" t="str">
        <f>IFERROR(__xludf.DUMMYFUNCTION("""COMPUTED_VALUE"""),"precedent")</f>
        <v>precedent</v>
      </c>
      <c r="AF1803" s="49" t="str">
        <f t="shared" si="4"/>
        <v>worn,</v>
      </c>
      <c r="AG1803" s="49"/>
      <c r="AH1803" s="1" t="s">
        <v>3819</v>
      </c>
      <c r="AI1803" s="1" t="s">
        <v>3238</v>
      </c>
      <c r="AJ1803" s="6" t="str">
        <f>IFERROR(__xludf.DUMMYFUNCTION("""COMPUTED_VALUE"""),"sea")</f>
        <v>sea</v>
      </c>
      <c r="AK1803" s="49"/>
      <c r="AL1803" s="49"/>
      <c r="AM1803" s="49"/>
      <c r="AN1803" s="52" t="str">
        <f t="shared" si="5"/>
        <v>unless,</v>
      </c>
    </row>
    <row r="1804">
      <c r="A1804" s="51"/>
      <c r="B1804" s="50" t="s">
        <v>4704</v>
      </c>
      <c r="C1804" s="50" t="s">
        <v>6535</v>
      </c>
      <c r="D1804" s="49" t="str">
        <f>IFERROR(__xludf.DUMMYFUNCTION("""COMPUTED_VALUE"""),"source")</f>
        <v>source</v>
      </c>
      <c r="E1804" s="49"/>
      <c r="F1804" s="49"/>
      <c r="G1804" s="49"/>
      <c r="H1804" s="54" t="str">
        <f t="shared" si="1"/>
        <v>swear,</v>
      </c>
      <c r="I1804" s="50"/>
      <c r="J1804" s="50" t="s">
        <v>3331</v>
      </c>
      <c r="K1804" s="50" t="s">
        <v>3372</v>
      </c>
      <c r="L1804" s="49"/>
      <c r="M1804" s="49"/>
      <c r="N1804" s="49"/>
      <c r="O1804" s="49" t="str">
        <f>IFERROR(__xludf.DUMMYFUNCTION("""COMPUTED_VALUE"""),"catastrophic")</f>
        <v>catastrophic</v>
      </c>
      <c r="P1804" s="49" t="str">
        <f t="shared" si="2"/>
        <v>china,</v>
      </c>
      <c r="Q1804" s="49"/>
      <c r="R1804" s="50" t="s">
        <v>7454</v>
      </c>
      <c r="S1804" s="55" t="s">
        <v>3184</v>
      </c>
      <c r="T1804" s="49"/>
      <c r="U1804" s="49"/>
      <c r="V1804" s="49"/>
      <c r="W1804" s="49" t="str">
        <f>IFERROR(__xludf.DUMMYFUNCTION("""COMPUTED_VALUE"""),"lullaby")</f>
        <v>lullaby</v>
      </c>
      <c r="X1804" s="49" t="str">
        <f t="shared" si="3"/>
        <v>reasonably,</v>
      </c>
      <c r="Y1804" s="49"/>
      <c r="Z1804" s="1" t="s">
        <v>6336</v>
      </c>
      <c r="AA1804" s="1" t="s">
        <v>2185</v>
      </c>
      <c r="AB1804" s="49"/>
      <c r="AC1804" s="49"/>
      <c r="AD1804" s="49"/>
      <c r="AE1804" s="49" t="str">
        <f>IFERROR(__xludf.DUMMYFUNCTION("""COMPUTED_VALUE"""),"catastrophic")</f>
        <v>catastrophic</v>
      </c>
      <c r="AF1804" s="49" t="str">
        <f t="shared" si="4"/>
        <v>loaded,</v>
      </c>
      <c r="AG1804" s="49"/>
      <c r="AH1804" s="1" t="s">
        <v>3695</v>
      </c>
      <c r="AI1804" s="1" t="s">
        <v>6573</v>
      </c>
      <c r="AJ1804" s="6">
        <f>IFERROR(__xludf.DUMMYFUNCTION("""COMPUTED_VALUE"""),24.0)</f>
        <v>24</v>
      </c>
      <c r="AK1804" s="49"/>
      <c r="AL1804" s="49"/>
      <c r="AM1804" s="49"/>
      <c r="AN1804" s="52" t="str">
        <f t="shared" si="5"/>
        <v>indeed,</v>
      </c>
    </row>
    <row r="1805">
      <c r="A1805" s="51"/>
      <c r="B1805" s="50" t="s">
        <v>1079</v>
      </c>
      <c r="C1805" s="50" t="s">
        <v>4075</v>
      </c>
      <c r="D1805" s="49" t="str">
        <f>IFERROR(__xludf.DUMMYFUNCTION("""COMPUTED_VALUE"""),"louis")</f>
        <v>louis</v>
      </c>
      <c r="E1805" s="49"/>
      <c r="F1805" s="49"/>
      <c r="G1805" s="49"/>
      <c r="H1805" s="54" t="str">
        <f t="shared" si="1"/>
        <v>looked,</v>
      </c>
      <c r="I1805" s="50"/>
      <c r="J1805" s="50" t="s">
        <v>166</v>
      </c>
      <c r="K1805" s="50" t="s">
        <v>1826</v>
      </c>
      <c r="L1805" s="49"/>
      <c r="M1805" s="49"/>
      <c r="N1805" s="49"/>
      <c r="O1805" s="49" t="str">
        <f>IFERROR(__xludf.DUMMYFUNCTION("""COMPUTED_VALUE"""),"contempt")</f>
        <v>contempt</v>
      </c>
      <c r="P1805" s="49" t="str">
        <f t="shared" si="2"/>
        <v>eastwood,</v>
      </c>
      <c r="Q1805" s="49"/>
      <c r="R1805" s="50" t="s">
        <v>3929</v>
      </c>
      <c r="S1805" s="55" t="s">
        <v>2917</v>
      </c>
      <c r="T1805" s="49"/>
      <c r="U1805" s="49"/>
      <c r="V1805" s="49"/>
      <c r="W1805" s="49" t="str">
        <f>IFERROR(__xludf.DUMMYFUNCTION("""COMPUTED_VALUE"""),"synagogue")</f>
        <v>synagogue</v>
      </c>
      <c r="X1805" s="49" t="str">
        <f t="shared" si="3"/>
        <v>elegant,</v>
      </c>
      <c r="Y1805" s="49"/>
      <c r="Z1805" s="1" t="s">
        <v>2711</v>
      </c>
      <c r="AA1805" s="1" t="s">
        <v>3411</v>
      </c>
      <c r="AB1805" s="49"/>
      <c r="AC1805" s="49"/>
      <c r="AD1805" s="49"/>
      <c r="AE1805" s="49" t="str">
        <f>IFERROR(__xludf.DUMMYFUNCTION("""COMPUTED_VALUE"""),"contempt")</f>
        <v>contempt</v>
      </c>
      <c r="AF1805" s="49" t="str">
        <f t="shared" si="4"/>
        <v>leave,</v>
      </c>
      <c r="AG1805" s="49"/>
      <c r="AH1805" s="1" t="s">
        <v>2145</v>
      </c>
      <c r="AI1805" s="1" t="s">
        <v>3065</v>
      </c>
      <c r="AJ1805" s="6" t="str">
        <f>IFERROR(__xludf.DUMMYFUNCTION("""COMPUTED_VALUE"""),"runs")</f>
        <v>runs</v>
      </c>
      <c r="AK1805" s="49"/>
      <c r="AL1805" s="49"/>
      <c r="AM1805" s="49"/>
      <c r="AN1805" s="52" t="str">
        <f t="shared" si="5"/>
        <v>ticket,</v>
      </c>
    </row>
    <row r="1806">
      <c r="A1806" s="51"/>
      <c r="B1806" s="50" t="s">
        <v>620</v>
      </c>
      <c r="C1806" s="50" t="s">
        <v>4856</v>
      </c>
      <c r="D1806" s="49" t="str">
        <f>IFERROR(__xludf.DUMMYFUNCTION("""COMPUTED_VALUE"""),"system")</f>
        <v>system</v>
      </c>
      <c r="E1806" s="49"/>
      <c r="F1806" s="49"/>
      <c r="G1806" s="49"/>
      <c r="H1806" s="54" t="str">
        <f t="shared" si="1"/>
        <v>started,</v>
      </c>
      <c r="I1806" s="50"/>
      <c r="J1806" s="50" t="s">
        <v>3747</v>
      </c>
      <c r="K1806" s="50" t="s">
        <v>3380</v>
      </c>
      <c r="L1806" s="49"/>
      <c r="M1806" s="49"/>
      <c r="N1806" s="49"/>
      <c r="O1806" s="49" t="str">
        <f>IFERROR(__xludf.DUMMYFUNCTION("""COMPUTED_VALUE"""),"mentioned")</f>
        <v>mentioned</v>
      </c>
      <c r="P1806" s="49" t="str">
        <f t="shared" si="2"/>
        <v>improved,</v>
      </c>
      <c r="Q1806" s="49"/>
      <c r="R1806" s="50" t="s">
        <v>4086</v>
      </c>
      <c r="S1806" s="55" t="s">
        <v>3192</v>
      </c>
      <c r="T1806" s="49"/>
      <c r="U1806" s="49"/>
      <c r="V1806" s="49"/>
      <c r="W1806" s="49" t="str">
        <f>IFERROR(__xludf.DUMMYFUNCTION("""COMPUTED_VALUE"""),"derives")</f>
        <v>derives</v>
      </c>
      <c r="X1806" s="49" t="str">
        <f t="shared" si="3"/>
        <v>closer,</v>
      </c>
      <c r="Y1806" s="49"/>
      <c r="Z1806" s="1" t="s">
        <v>3941</v>
      </c>
      <c r="AA1806" s="1" t="s">
        <v>5026</v>
      </c>
      <c r="AB1806" s="49"/>
      <c r="AC1806" s="49"/>
      <c r="AD1806" s="49"/>
      <c r="AE1806" s="49" t="str">
        <f>IFERROR(__xludf.DUMMYFUNCTION("""COMPUTED_VALUE"""),"mentioned")</f>
        <v>mentioned</v>
      </c>
      <c r="AF1806" s="49" t="str">
        <f t="shared" si="4"/>
        <v>seconds,</v>
      </c>
      <c r="AG1806" s="49"/>
      <c r="AH1806" s="1" t="s">
        <v>1489</v>
      </c>
      <c r="AI1806" s="1" t="s">
        <v>4734</v>
      </c>
      <c r="AJ1806" s="6" t="str">
        <f>IFERROR(__xludf.DUMMYFUNCTION("""COMPUTED_VALUE"""),"actress")</f>
        <v>actress</v>
      </c>
      <c r="AK1806" s="49"/>
      <c r="AL1806" s="49"/>
      <c r="AM1806" s="49"/>
      <c r="AN1806" s="52" t="str">
        <f t="shared" si="5"/>
        <v>community,</v>
      </c>
    </row>
    <row r="1807">
      <c r="A1807" s="51"/>
      <c r="B1807" s="50" t="s">
        <v>6577</v>
      </c>
      <c r="C1807" s="50" t="s">
        <v>6556</v>
      </c>
      <c r="D1807" s="49" t="str">
        <f>IFERROR(__xludf.DUMMYFUNCTION("""COMPUTED_VALUE"""),"child")</f>
        <v>child</v>
      </c>
      <c r="E1807" s="49"/>
      <c r="F1807" s="49"/>
      <c r="G1807" s="49"/>
      <c r="H1807" s="54" t="str">
        <f t="shared" si="1"/>
        <v>trust,</v>
      </c>
      <c r="I1807" s="50"/>
      <c r="J1807" s="50" t="s">
        <v>3693</v>
      </c>
      <c r="K1807" s="50" t="s">
        <v>1262</v>
      </c>
      <c r="L1807" s="49"/>
      <c r="M1807" s="49"/>
      <c r="N1807" s="49"/>
      <c r="O1807" s="49" t="str">
        <f>IFERROR(__xludf.DUMMYFUNCTION("""COMPUTED_VALUE"""),"charting")</f>
        <v>charting</v>
      </c>
      <c r="P1807" s="49" t="str">
        <f t="shared" si="2"/>
        <v>factor,</v>
      </c>
      <c r="Q1807" s="49"/>
      <c r="R1807" s="50" t="s">
        <v>1335</v>
      </c>
      <c r="S1807" s="55" t="s">
        <v>1076</v>
      </c>
      <c r="T1807" s="49"/>
      <c r="U1807" s="49"/>
      <c r="V1807" s="49"/>
      <c r="W1807" s="49" t="str">
        <f>IFERROR(__xludf.DUMMYFUNCTION("""COMPUTED_VALUE"""),"maguire")</f>
        <v>maguire</v>
      </c>
      <c r="X1807" s="49" t="str">
        <f t="shared" si="3"/>
        <v>charming,</v>
      </c>
      <c r="Y1807" s="49"/>
      <c r="Z1807" s="1" t="s">
        <v>4328</v>
      </c>
      <c r="AA1807" s="1" t="s">
        <v>629</v>
      </c>
      <c r="AB1807" s="49"/>
      <c r="AC1807" s="49"/>
      <c r="AD1807" s="49"/>
      <c r="AE1807" s="49" t="str">
        <f>IFERROR(__xludf.DUMMYFUNCTION("""COMPUTED_VALUE"""),"charting")</f>
        <v>charting</v>
      </c>
      <c r="AF1807" s="49" t="str">
        <f t="shared" si="4"/>
        <v>attraction,</v>
      </c>
      <c r="AG1807" s="49"/>
      <c r="AH1807" s="1" t="s">
        <v>2505</v>
      </c>
      <c r="AI1807" s="1" t="s">
        <v>2836</v>
      </c>
      <c r="AJ1807" s="6">
        <f>IFERROR(__xludf.DUMMYFUNCTION("""COMPUTED_VALUE"""),2000.0)</f>
        <v>2000</v>
      </c>
      <c r="AK1807" s="49"/>
      <c r="AL1807" s="49"/>
      <c r="AM1807" s="49"/>
      <c r="AN1807" s="52" t="str">
        <f t="shared" si="5"/>
        <v>rate,</v>
      </c>
    </row>
    <row r="1808">
      <c r="A1808" s="51"/>
      <c r="B1808" s="50" t="s">
        <v>3781</v>
      </c>
      <c r="C1808" s="50" t="s">
        <v>4421</v>
      </c>
      <c r="D1808" s="49" t="str">
        <f>IFERROR(__xludf.DUMMYFUNCTION("""COMPUTED_VALUE"""),"towards")</f>
        <v>towards</v>
      </c>
      <c r="E1808" s="49"/>
      <c r="F1808" s="49"/>
      <c r="G1808" s="49"/>
      <c r="H1808" s="54" t="str">
        <f t="shared" si="1"/>
        <v>expression,</v>
      </c>
      <c r="I1808" s="50"/>
      <c r="J1808" s="50" t="s">
        <v>7101</v>
      </c>
      <c r="K1808" s="50" t="s">
        <v>3385</v>
      </c>
      <c r="L1808" s="49"/>
      <c r="M1808" s="49"/>
      <c r="N1808" s="49"/>
      <c r="O1808" s="49">
        <f>IFERROR(__xludf.DUMMYFUNCTION("""COMPUTED_VALUE"""),1973.0)</f>
        <v>1973</v>
      </c>
      <c r="P1808" s="49" t="str">
        <f t="shared" si="2"/>
        <v>chill,</v>
      </c>
      <c r="Q1808" s="49"/>
      <c r="R1808" s="50" t="s">
        <v>7033</v>
      </c>
      <c r="S1808" s="55" t="s">
        <v>3195</v>
      </c>
      <c r="T1808" s="49"/>
      <c r="U1808" s="49"/>
      <c r="V1808" s="49"/>
      <c r="W1808" s="49" t="str">
        <f>IFERROR(__xludf.DUMMYFUNCTION("""COMPUTED_VALUE"""),"obligations")</f>
        <v>obligations</v>
      </c>
      <c r="X1808" s="49" t="str">
        <f t="shared" si="3"/>
        <v>faced,</v>
      </c>
      <c r="Y1808" s="49"/>
      <c r="Z1808" s="1" t="s">
        <v>927</v>
      </c>
      <c r="AA1808" s="1" t="s">
        <v>2190</v>
      </c>
      <c r="AB1808" s="49"/>
      <c r="AC1808" s="49"/>
      <c r="AD1808" s="49"/>
      <c r="AE1808" s="49">
        <f>IFERROR(__xludf.DUMMYFUNCTION("""COMPUTED_VALUE"""),1973.0)</f>
        <v>1973</v>
      </c>
      <c r="AF1808" s="49" t="str">
        <f t="shared" si="4"/>
        <v>grief,</v>
      </c>
      <c r="AG1808" s="49"/>
      <c r="AH1808" s="1" t="s">
        <v>2840</v>
      </c>
      <c r="AI1808" s="1" t="s">
        <v>4238</v>
      </c>
      <c r="AJ1808" s="6" t="str">
        <f>IFERROR(__xludf.DUMMYFUNCTION("""COMPUTED_VALUE"""),"artists")</f>
        <v>artists</v>
      </c>
      <c r="AK1808" s="49"/>
      <c r="AL1808" s="49"/>
      <c r="AM1808" s="49"/>
      <c r="AN1808" s="52" t="str">
        <f t="shared" si="5"/>
        <v>block,</v>
      </c>
    </row>
    <row r="1809">
      <c r="A1809" s="51"/>
      <c r="B1809" s="50" t="s">
        <v>6739</v>
      </c>
      <c r="C1809" s="50" t="s">
        <v>3472</v>
      </c>
      <c r="D1809" s="49" t="str">
        <f>IFERROR(__xludf.DUMMYFUNCTION("""COMPUTED_VALUE"""),"spanish")</f>
        <v>spanish</v>
      </c>
      <c r="E1809" s="49"/>
      <c r="F1809" s="49"/>
      <c r="G1809" s="49"/>
      <c r="H1809" s="54" t="str">
        <f t="shared" si="1"/>
        <v>headed,</v>
      </c>
      <c r="I1809" s="50"/>
      <c r="J1809" s="50" t="s">
        <v>5607</v>
      </c>
      <c r="K1809" s="50" t="s">
        <v>4472</v>
      </c>
      <c r="L1809" s="49"/>
      <c r="M1809" s="49"/>
      <c r="N1809" s="49"/>
      <c r="O1809" s="49" t="str">
        <f>IFERROR(__xludf.DUMMYFUNCTION("""COMPUTED_VALUE"""),"pact")</f>
        <v>pact</v>
      </c>
      <c r="P1809" s="49" t="str">
        <f t="shared" si="2"/>
        <v>burst,</v>
      </c>
      <c r="Q1809" s="49"/>
      <c r="R1809" s="50" t="s">
        <v>7455</v>
      </c>
      <c r="S1809" s="55" t="s">
        <v>2926</v>
      </c>
      <c r="T1809" s="49"/>
      <c r="U1809" s="49"/>
      <c r="V1809" s="49"/>
      <c r="W1809" s="49" t="str">
        <f>IFERROR(__xludf.DUMMYFUNCTION("""COMPUTED_VALUE"""),"pearce")</f>
        <v>pearce</v>
      </c>
      <c r="X1809" s="49" t="str">
        <f t="shared" si="3"/>
        <v>trivial,</v>
      </c>
      <c r="Y1809" s="49"/>
      <c r="Z1809" s="1" t="s">
        <v>3010</v>
      </c>
      <c r="AA1809" s="1" t="s">
        <v>336</v>
      </c>
      <c r="AB1809" s="49"/>
      <c r="AC1809" s="49"/>
      <c r="AD1809" s="49"/>
      <c r="AE1809" s="49" t="str">
        <f>IFERROR(__xludf.DUMMYFUNCTION("""COMPUTED_VALUE"""),"pact")</f>
        <v>pact</v>
      </c>
      <c r="AF1809" s="49" t="str">
        <f t="shared" si="4"/>
        <v>worry,</v>
      </c>
      <c r="AG1809" s="49"/>
      <c r="AH1809" s="1" t="s">
        <v>3172</v>
      </c>
      <c r="AI1809" s="1" t="s">
        <v>6564</v>
      </c>
      <c r="AJ1809" s="6" t="str">
        <f>IFERROR(__xludf.DUMMYFUNCTION("""COMPUTED_VALUE"""),"vision")</f>
        <v>vision</v>
      </c>
      <c r="AK1809" s="49"/>
      <c r="AL1809" s="49"/>
      <c r="AM1809" s="49"/>
      <c r="AN1809" s="52" t="str">
        <f t="shared" si="5"/>
        <v>combined,</v>
      </c>
    </row>
    <row r="1810">
      <c r="A1810" s="51"/>
      <c r="B1810" s="50" t="s">
        <v>5118</v>
      </c>
      <c r="C1810" s="50" t="s">
        <v>944</v>
      </c>
      <c r="D1810" s="49" t="str">
        <f>IFERROR(__xludf.DUMMYFUNCTION("""COMPUTED_VALUE"""),"workers")</f>
        <v>workers</v>
      </c>
      <c r="E1810" s="49"/>
      <c r="F1810" s="49"/>
      <c r="G1810" s="49"/>
      <c r="H1810" s="54" t="str">
        <f t="shared" si="1"/>
        <v>odd,</v>
      </c>
      <c r="I1810" s="50"/>
      <c r="J1810" s="50" t="s">
        <v>3728</v>
      </c>
      <c r="K1810" s="50" t="s">
        <v>3387</v>
      </c>
      <c r="L1810" s="49"/>
      <c r="M1810" s="49"/>
      <c r="N1810" s="49"/>
      <c r="O1810" s="49" t="str">
        <f>IFERROR(__xludf.DUMMYFUNCTION("""COMPUTED_VALUE"""),"jaw")</f>
        <v>jaw</v>
      </c>
      <c r="P1810" s="49" t="str">
        <f t="shared" si="2"/>
        <v>anderson,</v>
      </c>
      <c r="Q1810" s="49"/>
      <c r="R1810" s="50" t="s">
        <v>3718</v>
      </c>
      <c r="S1810" s="55" t="s">
        <v>4862</v>
      </c>
      <c r="T1810" s="49"/>
      <c r="U1810" s="49"/>
      <c r="V1810" s="49"/>
      <c r="W1810" s="49" t="str">
        <f>IFERROR(__xludf.DUMMYFUNCTION("""COMPUTED_VALUE"""),"rappers")</f>
        <v>rappers</v>
      </c>
      <c r="X1810" s="49" t="str">
        <f t="shared" si="3"/>
        <v>gaps,</v>
      </c>
      <c r="Y1810" s="49"/>
      <c r="Z1810" s="1" t="s">
        <v>1311</v>
      </c>
      <c r="AA1810" s="1" t="s">
        <v>1134</v>
      </c>
      <c r="AB1810" s="49"/>
      <c r="AC1810" s="49"/>
      <c r="AD1810" s="49"/>
      <c r="AE1810" s="49" t="str">
        <f>IFERROR(__xludf.DUMMYFUNCTION("""COMPUTED_VALUE"""),"jaw")</f>
        <v>jaw</v>
      </c>
      <c r="AF1810" s="49" t="str">
        <f t="shared" si="4"/>
        <v>laugh,</v>
      </c>
      <c r="AG1810" s="49"/>
      <c r="AH1810" s="1" t="s">
        <v>4402</v>
      </c>
      <c r="AI1810" s="1" t="s">
        <v>6574</v>
      </c>
      <c r="AJ1810" s="6" t="str">
        <f>IFERROR(__xludf.DUMMYFUNCTION("""COMPUTED_VALUE"""),"inner")</f>
        <v>inner</v>
      </c>
      <c r="AK1810" s="49"/>
      <c r="AL1810" s="49"/>
      <c r="AM1810" s="49"/>
      <c r="AN1810" s="52" t="str">
        <f t="shared" si="5"/>
        <v>moore,</v>
      </c>
    </row>
    <row r="1811">
      <c r="A1811" s="51"/>
      <c r="B1811" s="50" t="s">
        <v>5382</v>
      </c>
      <c r="C1811" s="50" t="s">
        <v>4572</v>
      </c>
      <c r="D1811" s="49" t="str">
        <f>IFERROR(__xludf.DUMMYFUNCTION("""COMPUTED_VALUE"""),"revolution")</f>
        <v>revolution</v>
      </c>
      <c r="E1811" s="49"/>
      <c r="F1811" s="49"/>
      <c r="G1811" s="49"/>
      <c r="H1811" s="54" t="str">
        <f t="shared" si="1"/>
        <v>gut,</v>
      </c>
      <c r="I1811" s="50"/>
      <c r="J1811" s="50" t="s">
        <v>4753</v>
      </c>
      <c r="K1811" s="50" t="s">
        <v>964</v>
      </c>
      <c r="L1811" s="49"/>
      <c r="M1811" s="49"/>
      <c r="N1811" s="49"/>
      <c r="O1811" s="49" t="str">
        <f>IFERROR(__xludf.DUMMYFUNCTION("""COMPUTED_VALUE"""),"crushing")</f>
        <v>crushing</v>
      </c>
      <c r="P1811" s="49" t="str">
        <f t="shared" si="2"/>
        <v>hawaiian,</v>
      </c>
      <c r="Q1811" s="49"/>
      <c r="R1811" s="50" t="s">
        <v>7456</v>
      </c>
      <c r="S1811" s="55" t="s">
        <v>4298</v>
      </c>
      <c r="T1811" s="49"/>
      <c r="U1811" s="49"/>
      <c r="V1811" s="49"/>
      <c r="W1811" s="49" t="str">
        <f>IFERROR(__xludf.DUMMYFUNCTION("""COMPUTED_VALUE"""),"ke")</f>
        <v>ke</v>
      </c>
      <c r="X1811" s="49" t="str">
        <f t="shared" si="3"/>
        <v>Mar,</v>
      </c>
      <c r="Y1811" s="49"/>
      <c r="Z1811" s="1" t="s">
        <v>2269</v>
      </c>
      <c r="AA1811" s="1" t="s">
        <v>1140</v>
      </c>
      <c r="AB1811" s="49"/>
      <c r="AC1811" s="49"/>
      <c r="AD1811" s="49"/>
      <c r="AE1811" s="49" t="str">
        <f>IFERROR(__xludf.DUMMYFUNCTION("""COMPUTED_VALUE"""),"crushing")</f>
        <v>crushing</v>
      </c>
      <c r="AF1811" s="49" t="str">
        <f t="shared" si="4"/>
        <v>na,</v>
      </c>
      <c r="AG1811" s="49"/>
      <c r="AH1811" s="1" t="s">
        <v>4950</v>
      </c>
      <c r="AI1811" s="1" t="s">
        <v>2844</v>
      </c>
      <c r="AJ1811" s="6" t="str">
        <f>IFERROR(__xludf.DUMMYFUNCTION("""COMPUTED_VALUE"""),"decided")</f>
        <v>decided</v>
      </c>
      <c r="AK1811" s="49"/>
      <c r="AL1811" s="49"/>
      <c r="AM1811" s="49"/>
      <c r="AN1811" s="52" t="str">
        <f t="shared" si="5"/>
        <v>desert,</v>
      </c>
    </row>
    <row r="1812">
      <c r="A1812" s="51"/>
      <c r="B1812" s="50" t="s">
        <v>6360</v>
      </c>
      <c r="C1812" s="50" t="s">
        <v>94</v>
      </c>
      <c r="D1812" s="49" t="str">
        <f>IFERROR(__xludf.DUMMYFUNCTION("""COMPUTED_VALUE"""),"tim")</f>
        <v>tim</v>
      </c>
      <c r="E1812" s="49"/>
      <c r="F1812" s="49"/>
      <c r="G1812" s="49"/>
      <c r="H1812" s="54" t="str">
        <f t="shared" si="1"/>
        <v>leaving,</v>
      </c>
      <c r="I1812" s="50"/>
      <c r="J1812" s="50" t="s">
        <v>6647</v>
      </c>
      <c r="K1812" s="50" t="s">
        <v>3391</v>
      </c>
      <c r="L1812" s="49"/>
      <c r="M1812" s="49"/>
      <c r="N1812" s="49"/>
      <c r="O1812" s="49" t="str">
        <f>IFERROR(__xludf.DUMMYFUNCTION("""COMPUTED_VALUE"""),"dear")</f>
        <v>dear</v>
      </c>
      <c r="P1812" s="49" t="str">
        <f t="shared" si="2"/>
        <v>surf,</v>
      </c>
      <c r="Q1812" s="49"/>
      <c r="R1812" s="50" t="s">
        <v>7457</v>
      </c>
      <c r="S1812" s="55" t="s">
        <v>4301</v>
      </c>
      <c r="T1812" s="49"/>
      <c r="U1812" s="49"/>
      <c r="V1812" s="49"/>
      <c r="W1812" s="49" t="str">
        <f>IFERROR(__xludf.DUMMYFUNCTION("""COMPUTED_VALUE"""),"everybody")</f>
        <v>everybody</v>
      </c>
      <c r="X1812" s="49" t="str">
        <f t="shared" si="3"/>
        <v>eva,</v>
      </c>
      <c r="Y1812" s="49"/>
      <c r="Z1812" s="1" t="s">
        <v>6305</v>
      </c>
      <c r="AA1812" s="1" t="s">
        <v>5031</v>
      </c>
      <c r="AB1812" s="49"/>
      <c r="AC1812" s="49"/>
      <c r="AD1812" s="49"/>
      <c r="AE1812" s="49" t="str">
        <f>IFERROR(__xludf.DUMMYFUNCTION("""COMPUTED_VALUE"""),"dear")</f>
        <v>dear</v>
      </c>
      <c r="AF1812" s="49" t="str">
        <f t="shared" si="4"/>
        <v>marginal,</v>
      </c>
      <c r="AG1812" s="49"/>
      <c r="AH1812" s="1" t="s">
        <v>6236</v>
      </c>
      <c r="AI1812" s="1" t="s">
        <v>2477</v>
      </c>
      <c r="AJ1812" s="6" t="str">
        <f>IFERROR(__xludf.DUMMYFUNCTION("""COMPUTED_VALUE"""),"clear")</f>
        <v>clear</v>
      </c>
      <c r="AK1812" s="49"/>
      <c r="AL1812" s="49"/>
      <c r="AM1812" s="49"/>
      <c r="AN1812" s="52" t="str">
        <f t="shared" si="5"/>
        <v>amazing,</v>
      </c>
    </row>
    <row r="1813">
      <c r="A1813" s="51"/>
      <c r="B1813" s="50" t="s">
        <v>4741</v>
      </c>
      <c r="C1813" s="50" t="s">
        <v>2042</v>
      </c>
      <c r="D1813" s="49" t="str">
        <f>IFERROR(__xludf.DUMMYFUNCTION("""COMPUTED_VALUE"""),"compared")</f>
        <v>compared</v>
      </c>
      <c r="E1813" s="49"/>
      <c r="F1813" s="49"/>
      <c r="G1813" s="49"/>
      <c r="H1813" s="54" t="str">
        <f t="shared" si="1"/>
        <v>expected,</v>
      </c>
      <c r="I1813" s="50"/>
      <c r="J1813" s="50" t="s">
        <v>7458</v>
      </c>
      <c r="K1813" s="50" t="s">
        <v>3393</v>
      </c>
      <c r="L1813" s="49"/>
      <c r="M1813" s="49"/>
      <c r="N1813" s="49"/>
      <c r="O1813" s="49" t="str">
        <f>IFERROR(__xludf.DUMMYFUNCTION("""COMPUTED_VALUE"""),"circles")</f>
        <v>circles</v>
      </c>
      <c r="P1813" s="49" t="str">
        <f t="shared" si="2"/>
        <v>founder,</v>
      </c>
      <c r="Q1813" s="49"/>
      <c r="R1813" s="50" t="s">
        <v>4737</v>
      </c>
      <c r="S1813" s="55" t="s">
        <v>6575</v>
      </c>
      <c r="T1813" s="49"/>
      <c r="U1813" s="49"/>
      <c r="V1813" s="49"/>
      <c r="W1813" s="49" t="str">
        <f>IFERROR(__xludf.DUMMYFUNCTION("""COMPUTED_VALUE"""),"forefront")</f>
        <v>forefront</v>
      </c>
      <c r="X1813" s="49" t="str">
        <f t="shared" si="3"/>
        <v>essence,</v>
      </c>
      <c r="Y1813" s="49"/>
      <c r="Z1813" s="1" t="s">
        <v>1182</v>
      </c>
      <c r="AA1813" s="1" t="s">
        <v>4077</v>
      </c>
      <c r="AB1813" s="49"/>
      <c r="AC1813" s="49"/>
      <c r="AD1813" s="49"/>
      <c r="AE1813" s="49" t="str">
        <f>IFERROR(__xludf.DUMMYFUNCTION("""COMPUTED_VALUE"""),"circles")</f>
        <v>circles</v>
      </c>
      <c r="AF1813" s="49" t="str">
        <f t="shared" si="4"/>
        <v>front,</v>
      </c>
      <c r="AG1813" s="49"/>
      <c r="AH1813" s="1" t="s">
        <v>2310</v>
      </c>
      <c r="AI1813" s="1" t="s">
        <v>4741</v>
      </c>
      <c r="AJ1813" s="6" t="str">
        <f>IFERROR(__xludf.DUMMYFUNCTION("""COMPUTED_VALUE"""),"apart")</f>
        <v>apart</v>
      </c>
      <c r="AK1813" s="49"/>
      <c r="AL1813" s="49"/>
      <c r="AM1813" s="49"/>
      <c r="AN1813" s="52" t="str">
        <f t="shared" si="5"/>
        <v>evolution,</v>
      </c>
    </row>
    <row r="1814">
      <c r="A1814" s="51"/>
      <c r="B1814" s="50" t="s">
        <v>7004</v>
      </c>
      <c r="C1814" s="50" t="s">
        <v>2348</v>
      </c>
      <c r="D1814" s="49" t="str">
        <f>IFERROR(__xludf.DUMMYFUNCTION("""COMPUTED_VALUE"""),"arthur")</f>
        <v>arthur</v>
      </c>
      <c r="E1814" s="49"/>
      <c r="F1814" s="49"/>
      <c r="G1814" s="49"/>
      <c r="H1814" s="54" t="str">
        <f t="shared" si="1"/>
        <v>gray,</v>
      </c>
      <c r="I1814" s="50"/>
      <c r="J1814" s="50" t="s">
        <v>5288</v>
      </c>
      <c r="K1814" s="50" t="s">
        <v>3039</v>
      </c>
      <c r="L1814" s="49"/>
      <c r="M1814" s="49"/>
      <c r="N1814" s="49"/>
      <c r="O1814" s="49" t="str">
        <f>IFERROR(__xludf.DUMMYFUNCTION("""COMPUTED_VALUE"""),"fragment")</f>
        <v>fragment</v>
      </c>
      <c r="P1814" s="49" t="str">
        <f t="shared" si="2"/>
        <v>wall,</v>
      </c>
      <c r="Q1814" s="49"/>
      <c r="R1814" s="50" t="s">
        <v>3310</v>
      </c>
      <c r="S1814" s="55" t="s">
        <v>2931</v>
      </c>
      <c r="T1814" s="49"/>
      <c r="U1814" s="49"/>
      <c r="V1814" s="49"/>
      <c r="W1814" s="49" t="str">
        <f>IFERROR(__xludf.DUMMYFUNCTION("""COMPUTED_VALUE"""),"divisions")</f>
        <v>divisions</v>
      </c>
      <c r="X1814" s="49" t="str">
        <f t="shared" si="3"/>
        <v>presented,</v>
      </c>
      <c r="Y1814" s="49"/>
      <c r="Z1814" s="1" t="s">
        <v>3999</v>
      </c>
      <c r="AA1814" s="1">
        <v>89.0</v>
      </c>
      <c r="AB1814" s="49"/>
      <c r="AC1814" s="49"/>
      <c r="AD1814" s="49"/>
      <c r="AE1814" s="49" t="str">
        <f>IFERROR(__xludf.DUMMYFUNCTION("""COMPUTED_VALUE"""),"fragment")</f>
        <v>fragment</v>
      </c>
      <c r="AF1814" s="49" t="str">
        <f t="shared" si="4"/>
        <v>charms,</v>
      </c>
      <c r="AG1814" s="49"/>
      <c r="AH1814" s="1" t="s">
        <v>6884</v>
      </c>
      <c r="AI1814" s="1" t="s">
        <v>1666</v>
      </c>
      <c r="AJ1814" s="6" t="str">
        <f>IFERROR(__xludf.DUMMYFUNCTION("""COMPUTED_VALUE"""),"pilot")</f>
        <v>pilot</v>
      </c>
      <c r="AK1814" s="49"/>
      <c r="AL1814" s="49"/>
      <c r="AM1814" s="49"/>
      <c r="AN1814" s="52" t="str">
        <f t="shared" si="5"/>
        <v>discover,</v>
      </c>
    </row>
    <row r="1815">
      <c r="A1815" s="51"/>
      <c r="B1815" s="50" t="s">
        <v>2336</v>
      </c>
      <c r="C1815" s="50" t="s">
        <v>6558</v>
      </c>
      <c r="D1815" s="49" t="str">
        <f>IFERROR(__xludf.DUMMYFUNCTION("""COMPUTED_VALUE"""),"spring")</f>
        <v>spring</v>
      </c>
      <c r="E1815" s="49"/>
      <c r="F1815" s="49"/>
      <c r="G1815" s="49"/>
      <c r="H1815" s="54" t="str">
        <f t="shared" si="1"/>
        <v>copies,</v>
      </c>
      <c r="I1815" s="50"/>
      <c r="J1815" s="50" t="s">
        <v>707</v>
      </c>
      <c r="K1815" s="50" t="s">
        <v>1658</v>
      </c>
      <c r="L1815" s="49"/>
      <c r="M1815" s="49"/>
      <c r="N1815" s="49"/>
      <c r="O1815" s="49" t="str">
        <f>IFERROR(__xludf.DUMMYFUNCTION("""COMPUTED_VALUE"""),"pornographic")</f>
        <v>pornographic</v>
      </c>
      <c r="P1815" s="49" t="str">
        <f t="shared" si="2"/>
        <v>collapses,</v>
      </c>
      <c r="Q1815" s="49"/>
      <c r="R1815" s="50" t="s">
        <v>3233</v>
      </c>
      <c r="S1815" s="55" t="s">
        <v>4313</v>
      </c>
      <c r="T1815" s="49"/>
      <c r="U1815" s="49"/>
      <c r="V1815" s="49"/>
      <c r="W1815" s="49" t="str">
        <f>IFERROR(__xludf.DUMMYFUNCTION("""COMPUTED_VALUE"""),"nonfiction")</f>
        <v>nonfiction</v>
      </c>
      <c r="X1815" s="49" t="str">
        <f t="shared" si="3"/>
        <v>journalism,</v>
      </c>
      <c r="Y1815" s="49"/>
      <c r="Z1815" s="1" t="s">
        <v>144</v>
      </c>
      <c r="AA1815" s="1" t="s">
        <v>2204</v>
      </c>
      <c r="AB1815" s="49"/>
      <c r="AC1815" s="49"/>
      <c r="AD1815" s="49"/>
      <c r="AE1815" s="49" t="str">
        <f>IFERROR(__xludf.DUMMYFUNCTION("""COMPUTED_VALUE"""),"pornographic")</f>
        <v>pornographic</v>
      </c>
      <c r="AF1815" s="49" t="str">
        <f t="shared" si="4"/>
        <v>intellectual,</v>
      </c>
      <c r="AG1815" s="49"/>
      <c r="AH1815" s="1" t="s">
        <v>2115</v>
      </c>
      <c r="AI1815" s="1" t="s">
        <v>4209</v>
      </c>
      <c r="AJ1815" s="6" t="str">
        <f>IFERROR(__xludf.DUMMYFUNCTION("""COMPUTED_VALUE"""),"fourth")</f>
        <v>fourth</v>
      </c>
      <c r="AK1815" s="49"/>
      <c r="AL1815" s="49"/>
      <c r="AM1815" s="49"/>
      <c r="AN1815" s="52" t="str">
        <f t="shared" si="5"/>
        <v>test,</v>
      </c>
    </row>
    <row r="1816">
      <c r="A1816" s="51"/>
      <c r="B1816" s="50" t="s">
        <v>5400</v>
      </c>
      <c r="C1816" s="50" t="s">
        <v>639</v>
      </c>
      <c r="D1816" s="49" t="str">
        <f>IFERROR(__xludf.DUMMYFUNCTION("""COMPUTED_VALUE"""),"gear")</f>
        <v>gear</v>
      </c>
      <c r="E1816" s="49"/>
      <c r="F1816" s="49"/>
      <c r="G1816" s="49"/>
      <c r="H1816" s="54" t="str">
        <f t="shared" si="1"/>
        <v>muscles,</v>
      </c>
      <c r="I1816" s="50"/>
      <c r="J1816" s="50" t="s">
        <v>509</v>
      </c>
      <c r="K1816" s="50" t="s">
        <v>1835</v>
      </c>
      <c r="L1816" s="49"/>
      <c r="M1816" s="49"/>
      <c r="N1816" s="49"/>
      <c r="O1816" s="49" t="str">
        <f>IFERROR(__xludf.DUMMYFUNCTION("""COMPUTED_VALUE"""),"virtue")</f>
        <v>virtue</v>
      </c>
      <c r="P1816" s="49" t="str">
        <f t="shared" si="2"/>
        <v>smile,</v>
      </c>
      <c r="Q1816" s="49"/>
      <c r="R1816" s="50" t="s">
        <v>3143</v>
      </c>
      <c r="S1816" s="55" t="s">
        <v>4318</v>
      </c>
      <c r="T1816" s="49"/>
      <c r="U1816" s="49"/>
      <c r="V1816" s="49"/>
      <c r="W1816" s="49" t="str">
        <f>IFERROR(__xludf.DUMMYFUNCTION("""COMPUTED_VALUE"""),"tnt")</f>
        <v>tnt</v>
      </c>
      <c r="X1816" s="49" t="str">
        <f t="shared" si="3"/>
        <v>connect,</v>
      </c>
      <c r="Y1816" s="49"/>
      <c r="Z1816" s="1" t="s">
        <v>1977</v>
      </c>
      <c r="AA1816" s="1" t="s">
        <v>5034</v>
      </c>
      <c r="AB1816" s="49"/>
      <c r="AC1816" s="49"/>
      <c r="AD1816" s="49"/>
      <c r="AE1816" s="49" t="str">
        <f>IFERROR(__xludf.DUMMYFUNCTION("""COMPUTED_VALUE"""),"virtue")</f>
        <v>virtue</v>
      </c>
      <c r="AF1816" s="49" t="str">
        <f t="shared" si="4"/>
        <v>longer,</v>
      </c>
      <c r="AG1816" s="49"/>
      <c r="AH1816" s="1" t="s">
        <v>658</v>
      </c>
      <c r="AI1816" s="1" t="s">
        <v>4161</v>
      </c>
      <c r="AJ1816" s="6" t="str">
        <f>IFERROR(__xludf.DUMMYFUNCTION("""COMPUTED_VALUE"""),"nick")</f>
        <v>nick</v>
      </c>
      <c r="AK1816" s="49"/>
      <c r="AL1816" s="49"/>
      <c r="AM1816" s="49"/>
      <c r="AN1816" s="52" t="str">
        <f t="shared" si="5"/>
        <v>constructed,</v>
      </c>
    </row>
    <row r="1817">
      <c r="A1817" s="51"/>
      <c r="B1817" s="50" t="s">
        <v>1294</v>
      </c>
      <c r="C1817" s="50" t="s">
        <v>2896</v>
      </c>
      <c r="D1817" s="49" t="str">
        <f>IFERROR(__xludf.DUMMYFUNCTION("""COMPUTED_VALUE"""),"huge")</f>
        <v>huge</v>
      </c>
      <c r="E1817" s="49"/>
      <c r="F1817" s="49"/>
      <c r="G1817" s="49"/>
      <c r="H1817" s="54" t="str">
        <f t="shared" si="1"/>
        <v>exercise,</v>
      </c>
      <c r="I1817" s="50"/>
      <c r="J1817" s="50" t="s">
        <v>1069</v>
      </c>
      <c r="K1817" s="50" t="s">
        <v>1841</v>
      </c>
      <c r="L1817" s="49"/>
      <c r="M1817" s="49"/>
      <c r="N1817" s="49"/>
      <c r="O1817" s="49" t="str">
        <f>IFERROR(__xludf.DUMMYFUNCTION("""COMPUTED_VALUE"""),"fused")</f>
        <v>fused</v>
      </c>
      <c r="P1817" s="49" t="str">
        <f t="shared" si="2"/>
        <v>exposition,</v>
      </c>
      <c r="Q1817" s="49"/>
      <c r="R1817" s="50" t="s">
        <v>5069</v>
      </c>
      <c r="S1817" s="55" t="s">
        <v>3317</v>
      </c>
      <c r="T1817" s="49"/>
      <c r="U1817" s="49"/>
      <c r="V1817" s="49"/>
      <c r="W1817" s="49" t="str">
        <f>IFERROR(__xludf.DUMMYFUNCTION("""COMPUTED_VALUE"""),"effectiveness")</f>
        <v>effectiveness</v>
      </c>
      <c r="X1817" s="49" t="str">
        <f t="shared" si="3"/>
        <v>dimension,</v>
      </c>
      <c r="Y1817" s="49"/>
      <c r="Z1817" s="1" t="s">
        <v>3423</v>
      </c>
      <c r="AA1817" s="1" t="s">
        <v>5036</v>
      </c>
      <c r="AB1817" s="49"/>
      <c r="AC1817" s="49"/>
      <c r="AD1817" s="49"/>
      <c r="AE1817" s="49" t="str">
        <f>IFERROR(__xludf.DUMMYFUNCTION("""COMPUTED_VALUE"""),"fused")</f>
        <v>fused</v>
      </c>
      <c r="AF1817" s="49" t="str">
        <f t="shared" si="4"/>
        <v>entertain,</v>
      </c>
      <c r="AG1817" s="49"/>
      <c r="AH1817" s="1" t="s">
        <v>6519</v>
      </c>
      <c r="AI1817" s="1" t="s">
        <v>2849</v>
      </c>
      <c r="AJ1817" s="6" t="str">
        <f>IFERROR(__xludf.DUMMYFUNCTION("""COMPUTED_VALUE"""),"plastic")</f>
        <v>plastic</v>
      </c>
      <c r="AK1817" s="49"/>
      <c r="AL1817" s="49"/>
      <c r="AM1817" s="49"/>
      <c r="AN1817" s="52" t="str">
        <f t="shared" si="5"/>
        <v>lie,</v>
      </c>
    </row>
    <row r="1818">
      <c r="A1818" s="51"/>
      <c r="B1818" s="50" t="s">
        <v>6741</v>
      </c>
      <c r="C1818" s="50" t="s">
        <v>910</v>
      </c>
      <c r="D1818" s="49" t="str">
        <f>IFERROR(__xludf.DUMMYFUNCTION("""COMPUTED_VALUE"""),"gap")</f>
        <v>gap</v>
      </c>
      <c r="E1818" s="49"/>
      <c r="F1818" s="49"/>
      <c r="G1818" s="49"/>
      <c r="H1818" s="54" t="str">
        <f t="shared" si="1"/>
        <v>blame,</v>
      </c>
      <c r="I1818" s="50"/>
      <c r="J1818" s="50" t="s">
        <v>2387</v>
      </c>
      <c r="K1818" s="50" t="s">
        <v>4776</v>
      </c>
      <c r="L1818" s="49"/>
      <c r="M1818" s="49"/>
      <c r="N1818" s="49"/>
      <c r="O1818" s="49" t="str">
        <f>IFERROR(__xludf.DUMMYFUNCTION("""COMPUTED_VALUE"""),"playfully")</f>
        <v>playfully</v>
      </c>
      <c r="P1818" s="49" t="str">
        <f t="shared" si="2"/>
        <v>forster,</v>
      </c>
      <c r="Q1818" s="49"/>
      <c r="R1818" s="50" t="s">
        <v>3951</v>
      </c>
      <c r="S1818" s="55" t="s">
        <v>4878</v>
      </c>
      <c r="T1818" s="49"/>
      <c r="U1818" s="49"/>
      <c r="V1818" s="49"/>
      <c r="W1818" s="49" t="str">
        <f>IFERROR(__xludf.DUMMYFUNCTION("""COMPUTED_VALUE"""),"contentious")</f>
        <v>contentious</v>
      </c>
      <c r="X1818" s="49" t="str">
        <f t="shared" si="3"/>
        <v>demons,</v>
      </c>
      <c r="Y1818" s="49"/>
      <c r="Z1818" s="1" t="s">
        <v>3606</v>
      </c>
      <c r="AA1818" s="1" t="s">
        <v>5037</v>
      </c>
      <c r="AB1818" s="49"/>
      <c r="AC1818" s="49"/>
      <c r="AD1818" s="49"/>
      <c r="AE1818" s="49" t="str">
        <f>IFERROR(__xludf.DUMMYFUNCTION("""COMPUTED_VALUE"""),"playfully")</f>
        <v>playfully</v>
      </c>
      <c r="AF1818" s="49" t="str">
        <f t="shared" si="4"/>
        <v>unique,</v>
      </c>
      <c r="AG1818" s="49"/>
      <c r="AH1818" s="1" t="s">
        <v>3904</v>
      </c>
      <c r="AI1818" s="1" t="s">
        <v>6576</v>
      </c>
      <c r="AJ1818" s="6" t="str">
        <f>IFERROR(__xludf.DUMMYFUNCTION("""COMPUTED_VALUE"""),"means")</f>
        <v>means</v>
      </c>
      <c r="AK1818" s="49"/>
      <c r="AL1818" s="49"/>
      <c r="AM1818" s="49"/>
      <c r="AN1818" s="52" t="str">
        <f t="shared" si="5"/>
        <v>pocket,</v>
      </c>
    </row>
    <row r="1819">
      <c r="A1819" s="51"/>
      <c r="B1819" s="50" t="s">
        <v>3057</v>
      </c>
      <c r="C1819" s="50" t="s">
        <v>2747</v>
      </c>
      <c r="D1819" s="49" t="str">
        <f>IFERROR(__xludf.DUMMYFUNCTION("""COMPUTED_VALUE"""),"spend")</f>
        <v>spend</v>
      </c>
      <c r="E1819" s="49"/>
      <c r="F1819" s="49"/>
      <c r="G1819" s="49"/>
      <c r="H1819" s="54" t="str">
        <f t="shared" si="1"/>
        <v>suspect,</v>
      </c>
      <c r="I1819" s="50"/>
      <c r="J1819" s="50" t="s">
        <v>4533</v>
      </c>
      <c r="K1819" s="50" t="s">
        <v>5042</v>
      </c>
      <c r="L1819" s="49"/>
      <c r="M1819" s="49"/>
      <c r="N1819" s="49"/>
      <c r="O1819" s="49" t="str">
        <f>IFERROR(__xludf.DUMMYFUNCTION("""COMPUTED_VALUE"""),"bestowed")</f>
        <v>bestowed</v>
      </c>
      <c r="P1819" s="49" t="str">
        <f t="shared" si="2"/>
        <v>rushed,</v>
      </c>
      <c r="Q1819" s="49"/>
      <c r="R1819" s="50" t="s">
        <v>3073</v>
      </c>
      <c r="S1819" s="55" t="s">
        <v>4324</v>
      </c>
      <c r="T1819" s="49"/>
      <c r="U1819" s="49"/>
      <c r="V1819" s="49"/>
      <c r="W1819" s="49" t="str">
        <f>IFERROR(__xludf.DUMMYFUNCTION("""COMPUTED_VALUE"""),"configurations")</f>
        <v>configurations</v>
      </c>
      <c r="X1819" s="49" t="str">
        <f t="shared" si="3"/>
        <v>sewage,</v>
      </c>
      <c r="Y1819" s="49"/>
      <c r="Z1819" s="1" t="s">
        <v>250</v>
      </c>
      <c r="AA1819" s="1" t="s">
        <v>5039</v>
      </c>
      <c r="AB1819" s="49"/>
      <c r="AC1819" s="49"/>
      <c r="AD1819" s="49"/>
      <c r="AE1819" s="49" t="str">
        <f>IFERROR(__xludf.DUMMYFUNCTION("""COMPUTED_VALUE"""),"bestowed")</f>
        <v>bestowed</v>
      </c>
      <c r="AF1819" s="49" t="str">
        <f t="shared" si="4"/>
        <v>portrayal,</v>
      </c>
      <c r="AG1819" s="49"/>
      <c r="AH1819" s="1" t="s">
        <v>4172</v>
      </c>
      <c r="AI1819" s="1" t="s">
        <v>5175</v>
      </c>
      <c r="AJ1819" s="6" t="str">
        <f>IFERROR(__xludf.DUMMYFUNCTION("""COMPUTED_VALUE"""),"tongue")</f>
        <v>tongue</v>
      </c>
      <c r="AK1819" s="49"/>
      <c r="AL1819" s="49"/>
      <c r="AM1819" s="49"/>
      <c r="AN1819" s="52" t="str">
        <f t="shared" si="5"/>
        <v>george,</v>
      </c>
    </row>
    <row r="1820">
      <c r="A1820" s="51"/>
      <c r="B1820" s="50" t="s">
        <v>7130</v>
      </c>
      <c r="C1820" s="50" t="s">
        <v>3475</v>
      </c>
      <c r="D1820" s="49" t="str">
        <f>IFERROR(__xludf.DUMMYFUNCTION("""COMPUTED_VALUE"""),"environments")</f>
        <v>environments</v>
      </c>
      <c r="E1820" s="49"/>
      <c r="F1820" s="49"/>
      <c r="G1820" s="49"/>
      <c r="H1820" s="54" t="str">
        <f t="shared" si="1"/>
        <v>brussels,</v>
      </c>
      <c r="I1820" s="50"/>
      <c r="J1820" s="50" t="s">
        <v>5927</v>
      </c>
      <c r="K1820" s="50" t="s">
        <v>3403</v>
      </c>
      <c r="L1820" s="49"/>
      <c r="M1820" s="49"/>
      <c r="N1820" s="49"/>
      <c r="O1820" s="49" t="str">
        <f>IFERROR(__xludf.DUMMYFUNCTION("""COMPUTED_VALUE"""),"reginald")</f>
        <v>reginald</v>
      </c>
      <c r="P1820" s="49" t="str">
        <f t="shared" si="2"/>
        <v>patiently,</v>
      </c>
      <c r="Q1820" s="49"/>
      <c r="R1820" s="50" t="s">
        <v>472</v>
      </c>
      <c r="S1820" s="55" t="s">
        <v>3211</v>
      </c>
      <c r="T1820" s="49"/>
      <c r="U1820" s="49"/>
      <c r="V1820" s="49"/>
      <c r="W1820" s="49" t="str">
        <f>IFERROR(__xludf.DUMMYFUNCTION("""COMPUTED_VALUE"""),"apocalypse")</f>
        <v>apocalypse</v>
      </c>
      <c r="X1820" s="49" t="str">
        <f t="shared" si="3"/>
        <v>poem,</v>
      </c>
      <c r="Y1820" s="49"/>
      <c r="Z1820" s="1" t="s">
        <v>2376</v>
      </c>
      <c r="AA1820" s="1" t="s">
        <v>5043</v>
      </c>
      <c r="AB1820" s="49"/>
      <c r="AC1820" s="49"/>
      <c r="AD1820" s="49"/>
      <c r="AE1820" s="49" t="str">
        <f>IFERROR(__xludf.DUMMYFUNCTION("""COMPUTED_VALUE"""),"reginald")</f>
        <v>reginald</v>
      </c>
      <c r="AF1820" s="49" t="str">
        <f t="shared" si="4"/>
        <v>enjoyable,</v>
      </c>
      <c r="AG1820" s="49"/>
      <c r="AH1820" s="1" t="s">
        <v>1585</v>
      </c>
      <c r="AI1820" s="1" t="s">
        <v>6565</v>
      </c>
      <c r="AJ1820" s="6" t="str">
        <f>IFERROR(__xludf.DUMMYFUNCTION("""COMPUTED_VALUE"""),"wet")</f>
        <v>wet</v>
      </c>
      <c r="AK1820" s="49"/>
      <c r="AL1820" s="49"/>
      <c r="AM1820" s="49"/>
      <c r="AN1820" s="52" t="str">
        <f t="shared" si="5"/>
        <v>rice,</v>
      </c>
    </row>
    <row r="1821">
      <c r="A1821" s="51"/>
      <c r="B1821" s="50" t="s">
        <v>4366</v>
      </c>
      <c r="C1821" s="50" t="s">
        <v>4088</v>
      </c>
      <c r="D1821" s="49" t="str">
        <f>IFERROR(__xludf.DUMMYFUNCTION("""COMPUTED_VALUE"""),"technology")</f>
        <v>technology</v>
      </c>
      <c r="E1821" s="49"/>
      <c r="F1821" s="49"/>
      <c r="G1821" s="49"/>
      <c r="H1821" s="54" t="str">
        <f t="shared" si="1"/>
        <v>delicate,</v>
      </c>
      <c r="I1821" s="50"/>
      <c r="J1821" s="50" t="s">
        <v>1716</v>
      </c>
      <c r="K1821" s="50" t="s">
        <v>4480</v>
      </c>
      <c r="L1821" s="49"/>
      <c r="M1821" s="49"/>
      <c r="N1821" s="49"/>
      <c r="O1821" s="49" t="str">
        <f>IFERROR(__xludf.DUMMYFUNCTION("""COMPUTED_VALUE"""),"familiarity")</f>
        <v>familiarity</v>
      </c>
      <c r="P1821" s="49" t="str">
        <f t="shared" si="2"/>
        <v>held,</v>
      </c>
      <c r="Q1821" s="49"/>
      <c r="R1821" s="50" t="s">
        <v>4728</v>
      </c>
      <c r="S1821" s="55" t="s">
        <v>4326</v>
      </c>
      <c r="T1821" s="49"/>
      <c r="U1821" s="49"/>
      <c r="V1821" s="49"/>
      <c r="W1821" s="49" t="str">
        <f>IFERROR(__xludf.DUMMYFUNCTION("""COMPUTED_VALUE"""),"juice")</f>
        <v>juice</v>
      </c>
      <c r="X1821" s="49" t="str">
        <f t="shared" si="3"/>
        <v>rape,</v>
      </c>
      <c r="Y1821" s="49"/>
      <c r="Z1821" s="1" t="s">
        <v>1871</v>
      </c>
      <c r="AA1821" s="1" t="s">
        <v>5046</v>
      </c>
      <c r="AB1821" s="49"/>
      <c r="AC1821" s="49"/>
      <c r="AD1821" s="49"/>
      <c r="AE1821" s="49" t="str">
        <f>IFERROR(__xludf.DUMMYFUNCTION("""COMPUTED_VALUE"""),"familiarity")</f>
        <v>familiarity</v>
      </c>
      <c r="AF1821" s="49" t="str">
        <f t="shared" si="4"/>
        <v>blend,</v>
      </c>
      <c r="AG1821" s="49"/>
      <c r="AH1821" s="1" t="s">
        <v>3532</v>
      </c>
      <c r="AI1821" s="1" t="s">
        <v>3055</v>
      </c>
      <c r="AJ1821" s="6" t="str">
        <f>IFERROR(__xludf.DUMMYFUNCTION("""COMPUTED_VALUE"""),"cheek")</f>
        <v>cheek</v>
      </c>
      <c r="AK1821" s="49"/>
      <c r="AL1821" s="49"/>
      <c r="AM1821" s="49"/>
      <c r="AN1821" s="52" t="str">
        <f t="shared" si="5"/>
        <v>adventure,</v>
      </c>
    </row>
    <row r="1822">
      <c r="A1822" s="51"/>
      <c r="B1822" s="50" t="s">
        <v>2338</v>
      </c>
      <c r="C1822" s="50" t="s">
        <v>6560</v>
      </c>
      <c r="D1822" s="49" t="str">
        <f>IFERROR(__xludf.DUMMYFUNCTION("""COMPUTED_VALUE"""),"search")</f>
        <v>search</v>
      </c>
      <c r="E1822" s="49"/>
      <c r="F1822" s="49"/>
      <c r="G1822" s="49"/>
      <c r="H1822" s="54" t="str">
        <f t="shared" si="1"/>
        <v>husband,</v>
      </c>
      <c r="I1822" s="50"/>
      <c r="J1822" s="50" t="s">
        <v>274</v>
      </c>
      <c r="K1822" s="50" t="s">
        <v>3406</v>
      </c>
      <c r="L1822" s="49"/>
      <c r="M1822" s="49"/>
      <c r="N1822" s="49"/>
      <c r="O1822" s="49" t="str">
        <f>IFERROR(__xludf.DUMMYFUNCTION("""COMPUTED_VALUE"""),"carmichael")</f>
        <v>carmichael</v>
      </c>
      <c r="P1822" s="49" t="str">
        <f t="shared" si="2"/>
        <v>undead,</v>
      </c>
      <c r="Q1822" s="49"/>
      <c r="R1822" s="50" t="s">
        <v>4461</v>
      </c>
      <c r="S1822" s="55" t="s">
        <v>3244</v>
      </c>
      <c r="T1822" s="49"/>
      <c r="U1822" s="49"/>
      <c r="V1822" s="49"/>
      <c r="W1822" s="49" t="str">
        <f>IFERROR(__xludf.DUMMYFUNCTION("""COMPUTED_VALUE"""),"deeds")</f>
        <v>deeds</v>
      </c>
      <c r="X1822" s="49" t="str">
        <f t="shared" si="3"/>
        <v>davis,</v>
      </c>
      <c r="Y1822" s="49"/>
      <c r="Z1822" s="1" t="s">
        <v>5853</v>
      </c>
      <c r="AA1822" s="1" t="s">
        <v>2206</v>
      </c>
      <c r="AB1822" s="49"/>
      <c r="AC1822" s="49"/>
      <c r="AD1822" s="49"/>
      <c r="AE1822" s="49" t="str">
        <f>IFERROR(__xludf.DUMMYFUNCTION("""COMPUTED_VALUE"""),"carmichael")</f>
        <v>carmichael</v>
      </c>
      <c r="AF1822" s="49" t="str">
        <f t="shared" si="4"/>
        <v>silver,</v>
      </c>
      <c r="AG1822" s="49"/>
      <c r="AH1822" s="1" t="s">
        <v>3854</v>
      </c>
      <c r="AI1822" s="1" t="s">
        <v>4502</v>
      </c>
      <c r="AJ1822" s="6" t="str">
        <f>IFERROR(__xludf.DUMMYFUNCTION("""COMPUTED_VALUE"""),"rolling")</f>
        <v>rolling</v>
      </c>
      <c r="AK1822" s="49"/>
      <c r="AL1822" s="49"/>
      <c r="AM1822" s="49"/>
      <c r="AN1822" s="52" t="str">
        <f t="shared" si="5"/>
        <v>executed,</v>
      </c>
    </row>
    <row r="1823">
      <c r="A1823" s="51"/>
      <c r="B1823" s="50" t="s">
        <v>5001</v>
      </c>
      <c r="C1823" s="50" t="s">
        <v>1039</v>
      </c>
      <c r="D1823" s="49" t="str">
        <f>IFERROR(__xludf.DUMMYFUNCTION("""COMPUTED_VALUE"""),"finished")</f>
        <v>finished</v>
      </c>
      <c r="E1823" s="49"/>
      <c r="F1823" s="49"/>
      <c r="G1823" s="49"/>
      <c r="H1823" s="54" t="str">
        <f t="shared" si="1"/>
        <v>bodies,</v>
      </c>
      <c r="I1823" s="50"/>
      <c r="J1823" s="50" t="s">
        <v>3168</v>
      </c>
      <c r="K1823" s="50" t="s">
        <v>3408</v>
      </c>
      <c r="L1823" s="49"/>
      <c r="M1823" s="49"/>
      <c r="N1823" s="49"/>
      <c r="O1823" s="49" t="str">
        <f>IFERROR(__xludf.DUMMYFUNCTION("""COMPUTED_VALUE"""),"justine")</f>
        <v>justine</v>
      </c>
      <c r="P1823" s="49" t="str">
        <f t="shared" si="2"/>
        <v>older,</v>
      </c>
      <c r="Q1823" s="49"/>
      <c r="R1823" s="50" t="s">
        <v>7459</v>
      </c>
      <c r="S1823" s="55" t="s">
        <v>1727</v>
      </c>
      <c r="T1823" s="49"/>
      <c r="U1823" s="49"/>
      <c r="V1823" s="49"/>
      <c r="W1823" s="49" t="str">
        <f>IFERROR(__xludf.DUMMYFUNCTION("""COMPUTED_VALUE"""),"innate")</f>
        <v>innate</v>
      </c>
      <c r="X1823" s="49" t="str">
        <f t="shared" si="3"/>
        <v>assess,</v>
      </c>
      <c r="Y1823" s="49"/>
      <c r="Z1823" s="1" t="s">
        <v>1102</v>
      </c>
      <c r="AA1823" s="1" t="s">
        <v>3999</v>
      </c>
      <c r="AB1823" s="49"/>
      <c r="AC1823" s="49"/>
      <c r="AD1823" s="49"/>
      <c r="AE1823" s="49" t="str">
        <f>IFERROR(__xludf.DUMMYFUNCTION("""COMPUTED_VALUE"""),"justine")</f>
        <v>justine</v>
      </c>
      <c r="AF1823" s="49" t="str">
        <f t="shared" si="4"/>
        <v>carried,</v>
      </c>
      <c r="AG1823" s="49"/>
      <c r="AH1823" s="1" t="s">
        <v>6350</v>
      </c>
      <c r="AI1823" s="1" t="s">
        <v>5257</v>
      </c>
      <c r="AJ1823" s="6" t="str">
        <f>IFERROR(__xludf.DUMMYFUNCTION("""COMPUTED_VALUE"""),"robinson")</f>
        <v>robinson</v>
      </c>
      <c r="AK1823" s="49"/>
      <c r="AL1823" s="49"/>
      <c r="AM1823" s="49"/>
      <c r="AN1823" s="52" t="str">
        <f t="shared" si="5"/>
        <v>easy,</v>
      </c>
    </row>
    <row r="1824">
      <c r="A1824" s="51"/>
      <c r="B1824" s="50" t="s">
        <v>1059</v>
      </c>
      <c r="C1824" s="50" t="s">
        <v>4764</v>
      </c>
      <c r="D1824" s="49" t="str">
        <f>IFERROR(__xludf.DUMMYFUNCTION("""COMPUTED_VALUE"""),"comparison")</f>
        <v>comparison</v>
      </c>
      <c r="E1824" s="49"/>
      <c r="F1824" s="49"/>
      <c r="G1824" s="49"/>
      <c r="H1824" s="54" t="str">
        <f t="shared" si="1"/>
        <v>harry,</v>
      </c>
      <c r="I1824" s="50"/>
      <c r="J1824" s="50" t="s">
        <v>2586</v>
      </c>
      <c r="K1824" s="50" t="s">
        <v>608</v>
      </c>
      <c r="L1824" s="49"/>
      <c r="M1824" s="49"/>
      <c r="N1824" s="49"/>
      <c r="O1824" s="49" t="str">
        <f>IFERROR(__xludf.DUMMYFUNCTION("""COMPUTED_VALUE"""),"rom")</f>
        <v>rom</v>
      </c>
      <c r="P1824" s="49" t="str">
        <f t="shared" si="2"/>
        <v>ian,</v>
      </c>
      <c r="Q1824" s="49"/>
      <c r="R1824" s="50" t="s">
        <v>2437</v>
      </c>
      <c r="S1824" s="55" t="s">
        <v>3972</v>
      </c>
      <c r="T1824" s="49"/>
      <c r="U1824" s="49"/>
      <c r="V1824" s="49"/>
      <c r="W1824" s="49" t="str">
        <f>IFERROR(__xludf.DUMMYFUNCTION("""COMPUTED_VALUE"""),"principals")</f>
        <v>principals</v>
      </c>
      <c r="X1824" s="49" t="str">
        <f t="shared" si="3"/>
        <v>topic,</v>
      </c>
      <c r="Y1824" s="49"/>
      <c r="Z1824" s="1" t="s">
        <v>6439</v>
      </c>
      <c r="AA1824" s="1" t="s">
        <v>3416</v>
      </c>
      <c r="AB1824" s="49"/>
      <c r="AC1824" s="49"/>
      <c r="AD1824" s="49"/>
      <c r="AE1824" s="49" t="str">
        <f>IFERROR(__xludf.DUMMYFUNCTION("""COMPUTED_VALUE"""),"rom")</f>
        <v>rom</v>
      </c>
      <c r="AF1824" s="49" t="str">
        <f t="shared" si="4"/>
        <v>period,</v>
      </c>
      <c r="AG1824" s="49"/>
      <c r="AH1824" s="1" t="s">
        <v>2955</v>
      </c>
      <c r="AI1824" s="1" t="s">
        <v>6566</v>
      </c>
      <c r="AJ1824" s="6" t="str">
        <f>IFERROR(__xludf.DUMMYFUNCTION("""COMPUTED_VALUE"""),"friendship")</f>
        <v>friendship</v>
      </c>
      <c r="AK1824" s="49"/>
      <c r="AL1824" s="49"/>
      <c r="AM1824" s="49"/>
      <c r="AN1824" s="52" t="str">
        <f t="shared" si="5"/>
        <v>solid,</v>
      </c>
    </row>
    <row r="1825">
      <c r="A1825" s="51"/>
      <c r="B1825" s="50" t="s">
        <v>4106</v>
      </c>
      <c r="C1825" s="50" t="s">
        <v>896</v>
      </c>
      <c r="D1825" s="49" t="str">
        <f>IFERROR(__xludf.DUMMYFUNCTION("""COMPUTED_VALUE"""),"pop")</f>
        <v>pop</v>
      </c>
      <c r="E1825" s="49"/>
      <c r="F1825" s="49"/>
      <c r="G1825" s="49"/>
      <c r="H1825" s="54" t="str">
        <f t="shared" si="1"/>
        <v>finds,</v>
      </c>
      <c r="I1825" s="50"/>
      <c r="J1825" s="50" t="s">
        <v>1835</v>
      </c>
      <c r="K1825" s="50" t="s">
        <v>521</v>
      </c>
      <c r="L1825" s="49"/>
      <c r="M1825" s="49"/>
      <c r="N1825" s="49"/>
      <c r="O1825" s="49" t="str">
        <f>IFERROR(__xludf.DUMMYFUNCTION("""COMPUTED_VALUE"""),"cub")</f>
        <v>cub</v>
      </c>
      <c r="P1825" s="49" t="str">
        <f t="shared" si="2"/>
        <v>owes,</v>
      </c>
      <c r="Q1825" s="49"/>
      <c r="R1825" s="50" t="s">
        <v>3483</v>
      </c>
      <c r="S1825" s="55" t="s">
        <v>3222</v>
      </c>
      <c r="T1825" s="49"/>
      <c r="U1825" s="49"/>
      <c r="V1825" s="49"/>
      <c r="W1825" s="49" t="str">
        <f>IFERROR(__xludf.DUMMYFUNCTION("""COMPUTED_VALUE"""),"lone")</f>
        <v>lone</v>
      </c>
      <c r="X1825" s="49" t="str">
        <f t="shared" si="3"/>
        <v>sane,</v>
      </c>
      <c r="Y1825" s="49"/>
      <c r="Z1825" s="1" t="s">
        <v>2625</v>
      </c>
      <c r="AA1825" s="1" t="s">
        <v>5051</v>
      </c>
      <c r="AB1825" s="49"/>
      <c r="AC1825" s="49"/>
      <c r="AD1825" s="49"/>
      <c r="AE1825" s="49" t="str">
        <f>IFERROR(__xludf.DUMMYFUNCTION("""COMPUTED_VALUE"""),"cub")</f>
        <v>cub</v>
      </c>
      <c r="AF1825" s="49" t="str">
        <f t="shared" si="4"/>
        <v>resist,</v>
      </c>
      <c r="AG1825" s="49"/>
      <c r="AH1825" s="1" t="s">
        <v>1929</v>
      </c>
      <c r="AI1825" s="1" t="s">
        <v>900</v>
      </c>
      <c r="AJ1825" s="6" t="str">
        <f>IFERROR(__xludf.DUMMYFUNCTION("""COMPUTED_VALUE"""),"stopped")</f>
        <v>stopped</v>
      </c>
      <c r="AK1825" s="49"/>
      <c r="AL1825" s="49"/>
      <c r="AM1825" s="49"/>
      <c r="AN1825" s="52" t="str">
        <f t="shared" si="5"/>
        <v>somewhat,</v>
      </c>
    </row>
    <row r="1826">
      <c r="A1826" s="51"/>
      <c r="B1826" s="50" t="s">
        <v>6326</v>
      </c>
      <c r="C1826" s="50" t="s">
        <v>4588</v>
      </c>
      <c r="D1826" s="49" t="str">
        <f>IFERROR(__xludf.DUMMYFUNCTION("""COMPUTED_VALUE"""),"maintains")</f>
        <v>maintains</v>
      </c>
      <c r="E1826" s="49"/>
      <c r="F1826" s="49"/>
      <c r="G1826" s="49"/>
      <c r="H1826" s="54" t="str">
        <f t="shared" si="1"/>
        <v>willing,</v>
      </c>
      <c r="I1826" s="50"/>
      <c r="J1826" s="50" t="s">
        <v>581</v>
      </c>
      <c r="K1826" s="50" t="s">
        <v>3047</v>
      </c>
      <c r="L1826" s="49"/>
      <c r="M1826" s="49"/>
      <c r="N1826" s="49"/>
      <c r="O1826" s="49" t="str">
        <f>IFERROR(__xludf.DUMMYFUNCTION("""COMPUTED_VALUE"""),"controlling")</f>
        <v>controlling</v>
      </c>
      <c r="P1826" s="49" t="str">
        <f t="shared" si="2"/>
        <v>alternative,</v>
      </c>
      <c r="Q1826" s="49"/>
      <c r="R1826" s="50" t="s">
        <v>1613</v>
      </c>
      <c r="S1826" s="55" t="s">
        <v>4337</v>
      </c>
      <c r="T1826" s="49"/>
      <c r="U1826" s="49"/>
      <c r="V1826" s="49"/>
      <c r="W1826" s="49" t="str">
        <f>IFERROR(__xludf.DUMMYFUNCTION("""COMPUTED_VALUE"""),"blues")</f>
        <v>blues</v>
      </c>
      <c r="X1826" s="49" t="str">
        <f t="shared" si="3"/>
        <v>soap,</v>
      </c>
      <c r="Y1826" s="49"/>
      <c r="Z1826" s="1" t="s">
        <v>4507</v>
      </c>
      <c r="AA1826" s="1" t="s">
        <v>4003</v>
      </c>
      <c r="AB1826" s="49"/>
      <c r="AC1826" s="49"/>
      <c r="AD1826" s="49"/>
      <c r="AE1826" s="49" t="str">
        <f>IFERROR(__xludf.DUMMYFUNCTION("""COMPUTED_VALUE"""),"controlling")</f>
        <v>controlling</v>
      </c>
      <c r="AF1826" s="49" t="str">
        <f t="shared" si="4"/>
        <v>pull,</v>
      </c>
      <c r="AG1826" s="49"/>
      <c r="AH1826" s="1" t="s">
        <v>2596</v>
      </c>
      <c r="AI1826" s="1" t="s">
        <v>6577</v>
      </c>
      <c r="AJ1826" s="6" t="str">
        <f>IFERROR(__xludf.DUMMYFUNCTION("""COMPUTED_VALUE"""),"recording")</f>
        <v>recording</v>
      </c>
      <c r="AK1826" s="49"/>
      <c r="AL1826" s="49"/>
      <c r="AM1826" s="49"/>
      <c r="AN1826" s="52" t="str">
        <f t="shared" si="5"/>
        <v>thrown,</v>
      </c>
    </row>
    <row r="1827">
      <c r="A1827" s="51"/>
      <c r="B1827" s="50" t="s">
        <v>4544</v>
      </c>
      <c r="C1827" s="50" t="s">
        <v>2907</v>
      </c>
      <c r="D1827" s="49" t="str">
        <f>IFERROR(__xludf.DUMMYFUNCTION("""COMPUTED_VALUE"""),"status")</f>
        <v>status</v>
      </c>
      <c r="E1827" s="49"/>
      <c r="F1827" s="49"/>
      <c r="G1827" s="49"/>
      <c r="H1827" s="54" t="str">
        <f t="shared" si="1"/>
        <v>dying,</v>
      </c>
      <c r="I1827" s="50"/>
      <c r="J1827" s="50" t="s">
        <v>4181</v>
      </c>
      <c r="K1827" s="50" t="s">
        <v>3414</v>
      </c>
      <c r="L1827" s="49"/>
      <c r="M1827" s="49"/>
      <c r="N1827" s="49"/>
      <c r="O1827" s="49" t="str">
        <f>IFERROR(__xludf.DUMMYFUNCTION("""COMPUTED_VALUE"""),"victorious")</f>
        <v>victorious</v>
      </c>
      <c r="P1827" s="49" t="str">
        <f t="shared" si="2"/>
        <v>scale,</v>
      </c>
      <c r="Q1827" s="49"/>
      <c r="R1827" s="58">
        <v>6.0</v>
      </c>
      <c r="S1827" s="55" t="s">
        <v>3226</v>
      </c>
      <c r="T1827" s="49"/>
      <c r="U1827" s="49"/>
      <c r="V1827" s="49"/>
      <c r="W1827" s="49" t="str">
        <f>IFERROR(__xludf.DUMMYFUNCTION("""COMPUTED_VALUE"""),"valiant")</f>
        <v>valiant</v>
      </c>
      <c r="X1827" s="49" t="str">
        <f t="shared" si="3"/>
        <v>6,</v>
      </c>
      <c r="Y1827" s="49"/>
      <c r="Z1827" s="1" t="s">
        <v>2756</v>
      </c>
      <c r="AA1827" s="1" t="s">
        <v>4010</v>
      </c>
      <c r="AB1827" s="49"/>
      <c r="AC1827" s="49"/>
      <c r="AD1827" s="49"/>
      <c r="AE1827" s="49" t="str">
        <f>IFERROR(__xludf.DUMMYFUNCTION("""COMPUTED_VALUE"""),"victorious")</f>
        <v>victorious</v>
      </c>
      <c r="AF1827" s="49" t="str">
        <f t="shared" si="4"/>
        <v>minute,</v>
      </c>
      <c r="AG1827" s="49"/>
      <c r="AH1827" s="1" t="s">
        <v>2359</v>
      </c>
      <c r="AI1827" s="1" t="s">
        <v>4057</v>
      </c>
      <c r="AJ1827" s="6" t="str">
        <f>IFERROR(__xludf.DUMMYFUNCTION("""COMPUTED_VALUE"""),"print")</f>
        <v>print</v>
      </c>
      <c r="AK1827" s="49"/>
      <c r="AL1827" s="49"/>
      <c r="AM1827" s="49"/>
      <c r="AN1827" s="52" t="str">
        <f t="shared" si="5"/>
        <v>desperate,</v>
      </c>
    </row>
    <row r="1828">
      <c r="A1828" s="51"/>
      <c r="B1828" s="50" t="s">
        <v>3001</v>
      </c>
      <c r="C1828" s="50" t="s">
        <v>2756</v>
      </c>
      <c r="D1828" s="49" t="str">
        <f>IFERROR(__xludf.DUMMYFUNCTION("""COMPUTED_VALUE"""),"pat")</f>
        <v>pat</v>
      </c>
      <c r="E1828" s="49"/>
      <c r="F1828" s="49"/>
      <c r="G1828" s="49"/>
      <c r="H1828" s="54" t="str">
        <f t="shared" si="1"/>
        <v>eastern,</v>
      </c>
      <c r="I1828" s="50"/>
      <c r="J1828" s="50" t="s">
        <v>3289</v>
      </c>
      <c r="K1828" s="50" t="s">
        <v>3581</v>
      </c>
      <c r="L1828" s="49"/>
      <c r="M1828" s="49"/>
      <c r="N1828" s="49"/>
      <c r="O1828" s="49" t="str">
        <f>IFERROR(__xludf.DUMMYFUNCTION("""COMPUTED_VALUE"""),"aristocracy")</f>
        <v>aristocracy</v>
      </c>
      <c r="P1828" s="49" t="str">
        <f t="shared" si="2"/>
        <v>media,</v>
      </c>
      <c r="Q1828" s="49"/>
      <c r="R1828" s="50" t="s">
        <v>2836</v>
      </c>
      <c r="S1828" s="55" t="s">
        <v>911</v>
      </c>
      <c r="T1828" s="49"/>
      <c r="U1828" s="49"/>
      <c r="V1828" s="49"/>
      <c r="W1828" s="49" t="str">
        <f>IFERROR(__xludf.DUMMYFUNCTION("""COMPUTED_VALUE"""),"springer")</f>
        <v>springer</v>
      </c>
      <c r="X1828" s="49" t="str">
        <f t="shared" si="3"/>
        <v>turkey,</v>
      </c>
      <c r="Y1828" s="49"/>
      <c r="Z1828" s="1" t="s">
        <v>835</v>
      </c>
      <c r="AA1828" s="1" t="s">
        <v>2208</v>
      </c>
      <c r="AB1828" s="49"/>
      <c r="AC1828" s="49"/>
      <c r="AD1828" s="49"/>
      <c r="AE1828" s="49" t="str">
        <f>IFERROR(__xludf.DUMMYFUNCTION("""COMPUTED_VALUE"""),"aristocracy")</f>
        <v>aristocracy</v>
      </c>
      <c r="AF1828" s="49" t="str">
        <f t="shared" si="4"/>
        <v>powers,</v>
      </c>
      <c r="AG1828" s="49"/>
      <c r="AH1828" s="1" t="s">
        <v>6792</v>
      </c>
      <c r="AI1828" s="1" t="s">
        <v>2314</v>
      </c>
      <c r="AJ1828" s="6" t="str">
        <f>IFERROR(__xludf.DUMMYFUNCTION("""COMPUTED_VALUE"""),"cross")</f>
        <v>cross</v>
      </c>
      <c r="AK1828" s="49"/>
      <c r="AL1828" s="49"/>
      <c r="AM1828" s="49"/>
      <c r="AN1828" s="52" t="str">
        <f t="shared" si="5"/>
        <v>fortune,</v>
      </c>
    </row>
    <row r="1829">
      <c r="A1829" s="51"/>
      <c r="B1829" s="50" t="s">
        <v>5155</v>
      </c>
      <c r="C1829" s="50" t="s">
        <v>4590</v>
      </c>
      <c r="D1829" s="49" t="str">
        <f>IFERROR(__xludf.DUMMYFUNCTION("""COMPUTED_VALUE"""),"identity")</f>
        <v>identity</v>
      </c>
      <c r="E1829" s="49"/>
      <c r="F1829" s="49"/>
      <c r="G1829" s="49"/>
      <c r="H1829" s="54" t="str">
        <f t="shared" si="1"/>
        <v>slowly,</v>
      </c>
      <c r="I1829" s="50"/>
      <c r="J1829" s="50" t="s">
        <v>5106</v>
      </c>
      <c r="K1829" s="50" t="s">
        <v>3105</v>
      </c>
      <c r="L1829" s="49"/>
      <c r="M1829" s="49"/>
      <c r="N1829" s="49"/>
      <c r="O1829" s="49" t="str">
        <f>IFERROR(__xludf.DUMMYFUNCTION("""COMPUTED_VALUE"""),"exiled")</f>
        <v>exiled</v>
      </c>
      <c r="P1829" s="49" t="str">
        <f t="shared" si="2"/>
        <v>models,</v>
      </c>
      <c r="Q1829" s="49"/>
      <c r="R1829" s="50" t="s">
        <v>4766</v>
      </c>
      <c r="S1829" s="55" t="s">
        <v>3827</v>
      </c>
      <c r="T1829" s="49"/>
      <c r="U1829" s="49"/>
      <c r="V1829" s="49"/>
      <c r="W1829" s="49" t="str">
        <f>IFERROR(__xludf.DUMMYFUNCTION("""COMPUTED_VALUE"""),"enemies")</f>
        <v>enemies</v>
      </c>
      <c r="X1829" s="49" t="str">
        <f t="shared" si="3"/>
        <v>inhabit,</v>
      </c>
      <c r="Y1829" s="49"/>
      <c r="Z1829" s="1" t="s">
        <v>3989</v>
      </c>
      <c r="AA1829" s="1" t="s">
        <v>4013</v>
      </c>
      <c r="AB1829" s="49"/>
      <c r="AC1829" s="49"/>
      <c r="AD1829" s="49"/>
      <c r="AE1829" s="49" t="str">
        <f>IFERROR(__xludf.DUMMYFUNCTION("""COMPUTED_VALUE"""),"exiled")</f>
        <v>exiled</v>
      </c>
      <c r="AF1829" s="49" t="str">
        <f t="shared" si="4"/>
        <v>frank,</v>
      </c>
      <c r="AG1829" s="49"/>
      <c r="AH1829" s="1" t="s">
        <v>5079</v>
      </c>
      <c r="AI1829" s="1" t="s">
        <v>980</v>
      </c>
      <c r="AJ1829" s="6" t="str">
        <f>IFERROR(__xludf.DUMMYFUNCTION("""COMPUTED_VALUE"""),"appeal")</f>
        <v>appeal</v>
      </c>
      <c r="AK1829" s="49"/>
      <c r="AL1829" s="49"/>
      <c r="AM1829" s="49"/>
      <c r="AN1829" s="52" t="str">
        <f t="shared" si="5"/>
        <v>garcia,</v>
      </c>
    </row>
    <row r="1830">
      <c r="A1830" s="51"/>
      <c r="B1830" s="50" t="s">
        <v>2267</v>
      </c>
      <c r="C1830" s="50" t="s">
        <v>3941</v>
      </c>
      <c r="D1830" s="49" t="str">
        <f>IFERROR(__xludf.DUMMYFUNCTION("""COMPUTED_VALUE"""),"visible")</f>
        <v>visible</v>
      </c>
      <c r="E1830" s="49"/>
      <c r="F1830" s="49"/>
      <c r="G1830" s="49"/>
      <c r="H1830" s="54" t="str">
        <f t="shared" si="1"/>
        <v>seeing,</v>
      </c>
      <c r="I1830" s="50"/>
      <c r="J1830" s="50" t="s">
        <v>2286</v>
      </c>
      <c r="K1830" s="50" t="s">
        <v>956</v>
      </c>
      <c r="L1830" s="49"/>
      <c r="M1830" s="49"/>
      <c r="N1830" s="49"/>
      <c r="O1830" s="49" t="str">
        <f>IFERROR(__xludf.DUMMYFUNCTION("""COMPUTED_VALUE"""),"revolutionaries")</f>
        <v>revolutionaries</v>
      </c>
      <c r="P1830" s="49" t="str">
        <f t="shared" si="2"/>
        <v>cake,</v>
      </c>
      <c r="Q1830" s="49"/>
      <c r="R1830" s="50" t="s">
        <v>7460</v>
      </c>
      <c r="S1830" s="55" t="s">
        <v>6578</v>
      </c>
      <c r="T1830" s="49"/>
      <c r="U1830" s="49"/>
      <c r="V1830" s="49"/>
      <c r="W1830" s="49" t="str">
        <f>IFERROR(__xludf.DUMMYFUNCTION("""COMPUTED_VALUE"""),"zoe")</f>
        <v>zoe</v>
      </c>
      <c r="X1830" s="49" t="str">
        <f t="shared" si="3"/>
        <v>techno,</v>
      </c>
      <c r="Y1830" s="49"/>
      <c r="Z1830" s="1" t="s">
        <v>4353</v>
      </c>
      <c r="AA1830" s="1" t="s">
        <v>1318</v>
      </c>
      <c r="AB1830" s="49"/>
      <c r="AC1830" s="49"/>
      <c r="AD1830" s="49"/>
      <c r="AE1830" s="49" t="str">
        <f>IFERROR(__xludf.DUMMYFUNCTION("""COMPUTED_VALUE"""),"revolutionaries")</f>
        <v>revolutionaries</v>
      </c>
      <c r="AF1830" s="49" t="str">
        <f t="shared" si="4"/>
        <v>redemption,</v>
      </c>
      <c r="AG1830" s="49"/>
      <c r="AH1830" s="1" t="s">
        <v>924</v>
      </c>
      <c r="AI1830" s="1" t="s">
        <v>6579</v>
      </c>
      <c r="AJ1830" s="6" t="str">
        <f>IFERROR(__xludf.DUMMYFUNCTION("""COMPUTED_VALUE"""),"japan")</f>
        <v>japan</v>
      </c>
      <c r="AK1830" s="49"/>
      <c r="AL1830" s="49"/>
      <c r="AM1830" s="49"/>
      <c r="AN1830" s="52" t="str">
        <f t="shared" si="5"/>
        <v>door,</v>
      </c>
    </row>
    <row r="1831">
      <c r="A1831" s="51"/>
      <c r="B1831" s="50" t="s">
        <v>888</v>
      </c>
      <c r="C1831" s="50" t="s">
        <v>4470</v>
      </c>
      <c r="D1831" s="49" t="str">
        <f>IFERROR(__xludf.DUMMYFUNCTION("""COMPUTED_VALUE"""),"boom")</f>
        <v>boom</v>
      </c>
      <c r="E1831" s="49"/>
      <c r="F1831" s="49"/>
      <c r="G1831" s="49"/>
      <c r="H1831" s="54" t="str">
        <f t="shared" si="1"/>
        <v>beauty,</v>
      </c>
      <c r="I1831" s="50"/>
      <c r="J1831" s="50" t="s">
        <v>4113</v>
      </c>
      <c r="K1831" s="50" t="s">
        <v>3050</v>
      </c>
      <c r="L1831" s="49"/>
      <c r="M1831" s="49"/>
      <c r="N1831" s="49"/>
      <c r="O1831" s="49" t="str">
        <f>IFERROR(__xludf.DUMMYFUNCTION("""COMPUTED_VALUE"""),"hounds")</f>
        <v>hounds</v>
      </c>
      <c r="P1831" s="49" t="str">
        <f t="shared" si="2"/>
        <v>weight,</v>
      </c>
      <c r="Q1831" s="49"/>
      <c r="R1831" s="50" t="s">
        <v>5786</v>
      </c>
      <c r="S1831" s="55">
        <v>80.0</v>
      </c>
      <c r="T1831" s="49"/>
      <c r="U1831" s="49"/>
      <c r="V1831" s="49"/>
      <c r="W1831" s="49" t="str">
        <f>IFERROR(__xludf.DUMMYFUNCTION("""COMPUTED_VALUE"""),"refers")</f>
        <v>refers</v>
      </c>
      <c r="X1831" s="49" t="str">
        <f t="shared" si="3"/>
        <v>guilt,</v>
      </c>
      <c r="Y1831" s="49"/>
      <c r="Z1831" s="1" t="s">
        <v>1135</v>
      </c>
      <c r="AA1831" s="1" t="s">
        <v>5057</v>
      </c>
      <c r="AB1831" s="49"/>
      <c r="AC1831" s="49"/>
      <c r="AD1831" s="49"/>
      <c r="AE1831" s="49" t="str">
        <f>IFERROR(__xludf.DUMMYFUNCTION("""COMPUTED_VALUE"""),"hounds")</f>
        <v>hounds</v>
      </c>
      <c r="AF1831" s="49" t="str">
        <f t="shared" si="4"/>
        <v>kid,</v>
      </c>
      <c r="AG1831" s="49"/>
      <c r="AH1831" s="1" t="s">
        <v>3985</v>
      </c>
      <c r="AI1831" s="1" t="s">
        <v>4954</v>
      </c>
      <c r="AJ1831" s="6" t="str">
        <f>IFERROR(__xludf.DUMMYFUNCTION("""COMPUTED_VALUE"""),"wins")</f>
        <v>wins</v>
      </c>
      <c r="AK1831" s="49"/>
      <c r="AL1831" s="49"/>
      <c r="AM1831" s="49"/>
      <c r="AN1831" s="52" t="str">
        <f t="shared" si="5"/>
        <v>offers,</v>
      </c>
    </row>
    <row r="1832">
      <c r="A1832" s="51"/>
      <c r="B1832" s="50" t="s">
        <v>1275</v>
      </c>
      <c r="C1832" s="50" t="s">
        <v>6006</v>
      </c>
      <c r="D1832" s="49" t="str">
        <f>IFERROR(__xludf.DUMMYFUNCTION("""COMPUTED_VALUE"""),"dubbed")</f>
        <v>dubbed</v>
      </c>
      <c r="E1832" s="49"/>
      <c r="F1832" s="49"/>
      <c r="G1832" s="49"/>
      <c r="H1832" s="54" t="str">
        <f t="shared" si="1"/>
        <v>offering,</v>
      </c>
      <c r="I1832" s="50"/>
      <c r="J1832" s="50" t="s">
        <v>7412</v>
      </c>
      <c r="K1832" s="50" t="s">
        <v>1852</v>
      </c>
      <c r="L1832" s="49"/>
      <c r="M1832" s="49"/>
      <c r="N1832" s="49"/>
      <c r="O1832" s="49" t="str">
        <f>IFERROR(__xludf.DUMMYFUNCTION("""COMPUTED_VALUE"""),"guardian")</f>
        <v>guardian</v>
      </c>
      <c r="P1832" s="49" t="str">
        <f t="shared" si="2"/>
        <v>ruthless,</v>
      </c>
      <c r="Q1832" s="49"/>
      <c r="R1832" s="50" t="s">
        <v>2778</v>
      </c>
      <c r="S1832" s="55" t="s">
        <v>6580</v>
      </c>
      <c r="T1832" s="49"/>
      <c r="U1832" s="49"/>
      <c r="V1832" s="49"/>
      <c r="W1832" s="49" t="str">
        <f>IFERROR(__xludf.DUMMYFUNCTION("""COMPUTED_VALUE"""),"theological")</f>
        <v>theological</v>
      </c>
      <c r="X1832" s="49" t="str">
        <f t="shared" si="3"/>
        <v>obstacles,</v>
      </c>
      <c r="Y1832" s="49"/>
      <c r="Z1832" s="1" t="s">
        <v>2908</v>
      </c>
      <c r="AA1832" s="1" t="s">
        <v>2210</v>
      </c>
      <c r="AB1832" s="49"/>
      <c r="AC1832" s="49"/>
      <c r="AD1832" s="49"/>
      <c r="AE1832" s="49" t="str">
        <f>IFERROR(__xludf.DUMMYFUNCTION("""COMPUTED_VALUE"""),"guardian")</f>
        <v>guardian</v>
      </c>
      <c r="AF1832" s="49" t="str">
        <f t="shared" si="4"/>
        <v>frustration,</v>
      </c>
      <c r="AG1832" s="49"/>
      <c r="AH1832" s="1" t="s">
        <v>6618</v>
      </c>
      <c r="AI1832" s="1" t="s">
        <v>3115</v>
      </c>
      <c r="AJ1832" s="6" t="str">
        <f>IFERROR(__xludf.DUMMYFUNCTION("""COMPUTED_VALUE"""),"vs")</f>
        <v>vs</v>
      </c>
      <c r="AK1832" s="49"/>
      <c r="AL1832" s="49"/>
      <c r="AM1832" s="49"/>
      <c r="AN1832" s="52" t="str">
        <f t="shared" si="5"/>
        <v>cat,</v>
      </c>
    </row>
    <row r="1833">
      <c r="A1833" s="51"/>
      <c r="B1833" s="50" t="s">
        <v>2294</v>
      </c>
      <c r="C1833" s="50" t="s">
        <v>2919</v>
      </c>
      <c r="D1833" s="49" t="str">
        <f>IFERROR(__xludf.DUMMYFUNCTION("""COMPUTED_VALUE"""),"outside")</f>
        <v>outside</v>
      </c>
      <c r="E1833" s="49"/>
      <c r="F1833" s="49"/>
      <c r="G1833" s="49"/>
      <c r="H1833" s="54" t="str">
        <f t="shared" si="1"/>
        <v>ernest,</v>
      </c>
      <c r="I1833" s="50"/>
      <c r="J1833" s="50" t="s">
        <v>3922</v>
      </c>
      <c r="K1833" s="50" t="s">
        <v>1159</v>
      </c>
      <c r="L1833" s="49"/>
      <c r="M1833" s="49"/>
      <c r="N1833" s="49"/>
      <c r="O1833" s="49" t="str">
        <f>IFERROR(__xludf.DUMMYFUNCTION("""COMPUTED_VALUE"""),"fledgling")</f>
        <v>fledgling</v>
      </c>
      <c r="P1833" s="49" t="str">
        <f t="shared" si="2"/>
        <v>genuinely,</v>
      </c>
      <c r="Q1833" s="49"/>
      <c r="R1833" s="50" t="s">
        <v>1805</v>
      </c>
      <c r="S1833" s="55" t="s">
        <v>6581</v>
      </c>
      <c r="T1833" s="49"/>
      <c r="U1833" s="49"/>
      <c r="V1833" s="49"/>
      <c r="W1833" s="49" t="str">
        <f>IFERROR(__xludf.DUMMYFUNCTION("""COMPUTED_VALUE"""),"motown")</f>
        <v>motown</v>
      </c>
      <c r="X1833" s="49" t="str">
        <f t="shared" si="3"/>
        <v>humming,</v>
      </c>
      <c r="Y1833" s="49"/>
      <c r="Z1833" s="1" t="s">
        <v>2807</v>
      </c>
      <c r="AA1833" s="1" t="s">
        <v>4017</v>
      </c>
      <c r="AB1833" s="49"/>
      <c r="AC1833" s="49"/>
      <c r="AD1833" s="49"/>
      <c r="AE1833" s="49" t="str">
        <f>IFERROR(__xludf.DUMMYFUNCTION("""COMPUTED_VALUE"""),"fledgling")</f>
        <v>fledgling</v>
      </c>
      <c r="AF1833" s="49" t="str">
        <f t="shared" si="4"/>
        <v>constant,</v>
      </c>
      <c r="AG1833" s="49"/>
      <c r="AH1833" s="1" t="s">
        <v>799</v>
      </c>
      <c r="AI1833" s="1" t="s">
        <v>4231</v>
      </c>
      <c r="AJ1833" s="6" t="str">
        <f>IFERROR(__xludf.DUMMYFUNCTION("""COMPUTED_VALUE"""),"christopher")</f>
        <v>christopher</v>
      </c>
      <c r="AK1833" s="49"/>
      <c r="AL1833" s="49"/>
      <c r="AM1833" s="49"/>
      <c r="AN1833" s="52" t="str">
        <f t="shared" si="5"/>
        <v>n,</v>
      </c>
    </row>
    <row r="1834">
      <c r="A1834" s="51"/>
      <c r="B1834" s="50" t="s">
        <v>6950</v>
      </c>
      <c r="C1834" s="50" t="s">
        <v>1501</v>
      </c>
      <c r="D1834" s="49" t="str">
        <f>IFERROR(__xludf.DUMMYFUNCTION("""COMPUTED_VALUE"""),"sole")</f>
        <v>sole</v>
      </c>
      <c r="E1834" s="49"/>
      <c r="F1834" s="49"/>
      <c r="G1834" s="49"/>
      <c r="H1834" s="54" t="str">
        <f t="shared" si="1"/>
        <v>thomas,</v>
      </c>
      <c r="I1834" s="50"/>
      <c r="J1834" s="50" t="s">
        <v>6584</v>
      </c>
      <c r="K1834" s="50" t="s">
        <v>2498</v>
      </c>
      <c r="L1834" s="49"/>
      <c r="M1834" s="49"/>
      <c r="N1834" s="49"/>
      <c r="O1834" s="49" t="str">
        <f>IFERROR(__xludf.DUMMYFUNCTION("""COMPUTED_VALUE"""),"presiding")</f>
        <v>presiding</v>
      </c>
      <c r="P1834" s="49" t="str">
        <f t="shared" si="2"/>
        <v>corn,</v>
      </c>
      <c r="Q1834" s="49"/>
      <c r="R1834" s="50" t="s">
        <v>6077</v>
      </c>
      <c r="S1834" s="55" t="s">
        <v>1741</v>
      </c>
      <c r="T1834" s="49"/>
      <c r="U1834" s="49"/>
      <c r="V1834" s="49"/>
      <c r="W1834" s="49" t="str">
        <f>IFERROR(__xludf.DUMMYFUNCTION("""COMPUTED_VALUE"""),"hitler")</f>
        <v>hitler</v>
      </c>
      <c r="X1834" s="49" t="str">
        <f t="shared" si="3"/>
        <v>recalling,</v>
      </c>
      <c r="Y1834" s="49"/>
      <c r="Z1834" s="1" t="s">
        <v>702</v>
      </c>
      <c r="AA1834" s="1" t="s">
        <v>5060</v>
      </c>
      <c r="AB1834" s="49"/>
      <c r="AC1834" s="49"/>
      <c r="AD1834" s="49"/>
      <c r="AE1834" s="49" t="str">
        <f>IFERROR(__xludf.DUMMYFUNCTION("""COMPUTED_VALUE"""),"presiding")</f>
        <v>presiding</v>
      </c>
      <c r="AF1834" s="49" t="str">
        <f t="shared" si="4"/>
        <v>food,</v>
      </c>
      <c r="AG1834" s="49"/>
      <c r="AH1834" s="1" t="s">
        <v>6967</v>
      </c>
      <c r="AI1834" s="1" t="s">
        <v>4237</v>
      </c>
      <c r="AJ1834" s="6" t="str">
        <f>IFERROR(__xludf.DUMMYFUNCTION("""COMPUTED_VALUE"""),"meets")</f>
        <v>meets</v>
      </c>
      <c r="AK1834" s="49"/>
      <c r="AL1834" s="49"/>
      <c r="AM1834" s="49"/>
      <c r="AN1834" s="52" t="str">
        <f t="shared" si="5"/>
        <v>y,</v>
      </c>
    </row>
    <row r="1835">
      <c r="A1835" s="51"/>
      <c r="B1835" s="50" t="s">
        <v>6699</v>
      </c>
      <c r="C1835" s="50" t="s">
        <v>4607</v>
      </c>
      <c r="D1835" s="49" t="str">
        <f>IFERROR(__xludf.DUMMYFUNCTION("""COMPUTED_VALUE"""),"attraction")</f>
        <v>attraction</v>
      </c>
      <c r="E1835" s="49"/>
      <c r="F1835" s="49"/>
      <c r="G1835" s="49"/>
      <c r="H1835" s="54" t="str">
        <f t="shared" si="1"/>
        <v>month,</v>
      </c>
      <c r="I1835" s="50"/>
      <c r="J1835" s="50" t="s">
        <v>3231</v>
      </c>
      <c r="K1835" s="50" t="s">
        <v>3422</v>
      </c>
      <c r="L1835" s="49"/>
      <c r="M1835" s="49"/>
      <c r="N1835" s="49"/>
      <c r="O1835" s="49" t="str">
        <f>IFERROR(__xludf.DUMMYFUNCTION("""COMPUTED_VALUE"""),"macbeth")</f>
        <v>macbeth</v>
      </c>
      <c r="P1835" s="49" t="str">
        <f t="shared" si="2"/>
        <v>scares,</v>
      </c>
      <c r="Q1835" s="49"/>
      <c r="R1835" s="50" t="s">
        <v>1076</v>
      </c>
      <c r="S1835" s="55" t="s">
        <v>5094</v>
      </c>
      <c r="T1835" s="49"/>
      <c r="U1835" s="49"/>
      <c r="V1835" s="49"/>
      <c r="W1835" s="49" t="str">
        <f>IFERROR(__xludf.DUMMYFUNCTION("""COMPUTED_VALUE"""),"alexandre")</f>
        <v>alexandre</v>
      </c>
      <c r="X1835" s="49" t="str">
        <f t="shared" si="3"/>
        <v>glued,</v>
      </c>
      <c r="Y1835" s="49"/>
      <c r="Z1835" s="1" t="s">
        <v>3799</v>
      </c>
      <c r="AA1835" s="1" t="s">
        <v>4021</v>
      </c>
      <c r="AB1835" s="49"/>
      <c r="AC1835" s="49"/>
      <c r="AD1835" s="49"/>
      <c r="AE1835" s="49" t="str">
        <f>IFERROR(__xludf.DUMMYFUNCTION("""COMPUTED_VALUE"""),"macbeth")</f>
        <v>macbeth</v>
      </c>
      <c r="AF1835" s="49" t="str">
        <f t="shared" si="4"/>
        <v>supporting,</v>
      </c>
      <c r="AG1835" s="49"/>
      <c r="AH1835" s="1" t="s">
        <v>1353</v>
      </c>
      <c r="AI1835" s="1" t="s">
        <v>5370</v>
      </c>
      <c r="AJ1835" s="6" t="str">
        <f>IFERROR(__xludf.DUMMYFUNCTION("""COMPUTED_VALUE"""),"totally")</f>
        <v>totally</v>
      </c>
      <c r="AK1835" s="49"/>
      <c r="AL1835" s="49"/>
      <c r="AM1835" s="49"/>
      <c r="AN1835" s="52" t="str">
        <f t="shared" si="5"/>
        <v>water,</v>
      </c>
    </row>
    <row r="1836">
      <c r="A1836" s="51"/>
      <c r="B1836" s="50" t="s">
        <v>3561</v>
      </c>
      <c r="C1836" s="50" t="s">
        <v>5779</v>
      </c>
      <c r="D1836" s="49" t="str">
        <f>IFERROR(__xludf.DUMMYFUNCTION("""COMPUTED_VALUE"""),"effect")</f>
        <v>effect</v>
      </c>
      <c r="E1836" s="49"/>
      <c r="F1836" s="49"/>
      <c r="G1836" s="49"/>
      <c r="H1836" s="54" t="str">
        <f t="shared" si="1"/>
        <v>matthew,</v>
      </c>
      <c r="I1836" s="50"/>
      <c r="J1836" s="50" t="s">
        <v>5531</v>
      </c>
      <c r="K1836" s="50" t="s">
        <v>2006</v>
      </c>
      <c r="L1836" s="49"/>
      <c r="M1836" s="49"/>
      <c r="N1836" s="49"/>
      <c r="O1836" s="49" t="str">
        <f>IFERROR(__xludf.DUMMYFUNCTION("""COMPUTED_VALUE"""),"daniel")</f>
        <v>daniel</v>
      </c>
      <c r="P1836" s="49" t="str">
        <f t="shared" si="2"/>
        <v>icon,</v>
      </c>
      <c r="Q1836" s="49"/>
      <c r="R1836" s="50" t="s">
        <v>6090</v>
      </c>
      <c r="S1836" s="55" t="s">
        <v>2591</v>
      </c>
      <c r="T1836" s="49"/>
      <c r="U1836" s="49"/>
      <c r="V1836" s="49"/>
      <c r="W1836" s="49" t="str">
        <f>IFERROR(__xludf.DUMMYFUNCTION("""COMPUTED_VALUE"""),"writings")</f>
        <v>writings</v>
      </c>
      <c r="X1836" s="49" t="str">
        <f t="shared" si="3"/>
        <v>throat,</v>
      </c>
      <c r="Y1836" s="49"/>
      <c r="Z1836" s="1" t="s">
        <v>6347</v>
      </c>
      <c r="AA1836" s="1" t="s">
        <v>5061</v>
      </c>
      <c r="AB1836" s="49"/>
      <c r="AC1836" s="49"/>
      <c r="AD1836" s="49"/>
      <c r="AE1836" s="49" t="str">
        <f>IFERROR(__xludf.DUMMYFUNCTION("""COMPUTED_VALUE"""),"daniel")</f>
        <v>daniel</v>
      </c>
      <c r="AF1836" s="49" t="str">
        <f t="shared" si="4"/>
        <v>waiting,</v>
      </c>
      <c r="AG1836" s="49"/>
      <c r="AH1836" s="1" t="s">
        <v>3175</v>
      </c>
      <c r="AI1836" s="1" t="s">
        <v>1389</v>
      </c>
      <c r="AJ1836" s="6" t="str">
        <f>IFERROR(__xludf.DUMMYFUNCTION("""COMPUTED_VALUE"""),"c")</f>
        <v>c</v>
      </c>
      <c r="AK1836" s="49"/>
      <c r="AL1836" s="49"/>
      <c r="AM1836" s="49"/>
      <c r="AN1836" s="52" t="str">
        <f t="shared" si="5"/>
        <v>window,</v>
      </c>
    </row>
    <row r="1837">
      <c r="A1837" s="51"/>
      <c r="B1837" s="50" t="s">
        <v>4940</v>
      </c>
      <c r="C1837" s="50" t="s">
        <v>2945</v>
      </c>
      <c r="D1837" s="49" t="str">
        <f>IFERROR(__xludf.DUMMYFUNCTION("""COMPUTED_VALUE"""),"ignoring")</f>
        <v>ignoring</v>
      </c>
      <c r="E1837" s="49"/>
      <c r="F1837" s="49"/>
      <c r="G1837" s="49"/>
      <c r="H1837" s="54" t="str">
        <f t="shared" si="1"/>
        <v>belt,</v>
      </c>
      <c r="I1837" s="50"/>
      <c r="J1837" s="50" t="s">
        <v>6115</v>
      </c>
      <c r="K1837" s="50" t="s">
        <v>5063</v>
      </c>
      <c r="L1837" s="49"/>
      <c r="M1837" s="49"/>
      <c r="N1837" s="49"/>
      <c r="O1837" s="49" t="str">
        <f>IFERROR(__xludf.DUMMYFUNCTION("""COMPUTED_VALUE"""),"1930s")</f>
        <v>1930s</v>
      </c>
      <c r="P1837" s="49" t="str">
        <f t="shared" si="2"/>
        <v>brow,</v>
      </c>
      <c r="Q1837" s="49"/>
      <c r="R1837" s="50" t="s">
        <v>6733</v>
      </c>
      <c r="S1837" s="55" t="s">
        <v>2946</v>
      </c>
      <c r="T1837" s="49"/>
      <c r="U1837" s="49"/>
      <c r="V1837" s="49"/>
      <c r="W1837" s="49">
        <f>IFERROR(__xludf.DUMMYFUNCTION("""COMPUTED_VALUE"""),1962.0)</f>
        <v>1962</v>
      </c>
      <c r="X1837" s="49" t="str">
        <f t="shared" si="3"/>
        <v>medicine,</v>
      </c>
      <c r="Y1837" s="49"/>
      <c r="Z1837" s="1" t="s">
        <v>7343</v>
      </c>
      <c r="AA1837" s="1" t="s">
        <v>4025</v>
      </c>
      <c r="AB1837" s="49"/>
      <c r="AC1837" s="49"/>
      <c r="AD1837" s="49"/>
      <c r="AE1837" s="49" t="str">
        <f>IFERROR(__xludf.DUMMYFUNCTION("""COMPUTED_VALUE"""),"1930s")</f>
        <v>1930s</v>
      </c>
      <c r="AF1837" s="49" t="str">
        <f t="shared" si="4"/>
        <v>ghetto,</v>
      </c>
      <c r="AG1837" s="49"/>
      <c r="AH1837" s="1" t="s">
        <v>2866</v>
      </c>
      <c r="AI1837" s="1" t="s">
        <v>6582</v>
      </c>
      <c r="AJ1837" s="6" t="str">
        <f>IFERROR(__xludf.DUMMYFUNCTION("""COMPUTED_VALUE"""),"hundred")</f>
        <v>hundred</v>
      </c>
      <c r="AK1837" s="49"/>
      <c r="AL1837" s="49"/>
      <c r="AM1837" s="49"/>
      <c r="AN1837" s="52" t="str">
        <f t="shared" si="5"/>
        <v>serve,</v>
      </c>
    </row>
    <row r="1838">
      <c r="A1838" s="51"/>
      <c r="B1838" s="50" t="s">
        <v>1377</v>
      </c>
      <c r="C1838" s="50" t="s">
        <v>2767</v>
      </c>
      <c r="D1838" s="49" t="str">
        <f>IFERROR(__xludf.DUMMYFUNCTION("""COMPUTED_VALUE"""),"novels")</f>
        <v>novels</v>
      </c>
      <c r="E1838" s="49"/>
      <c r="F1838" s="49"/>
      <c r="G1838" s="49"/>
      <c r="H1838" s="54" t="str">
        <f t="shared" si="1"/>
        <v>makeup,</v>
      </c>
      <c r="I1838" s="50"/>
      <c r="J1838" s="50" t="s">
        <v>1342</v>
      </c>
      <c r="K1838" s="50" t="s">
        <v>2213</v>
      </c>
      <c r="L1838" s="49"/>
      <c r="M1838" s="49"/>
      <c r="N1838" s="49"/>
      <c r="O1838" s="49" t="str">
        <f>IFERROR(__xludf.DUMMYFUNCTION("""COMPUTED_VALUE"""),"influential")</f>
        <v>influential</v>
      </c>
      <c r="P1838" s="49" t="str">
        <f t="shared" si="2"/>
        <v>adolescent,</v>
      </c>
      <c r="Q1838" s="49"/>
      <c r="R1838" s="50" t="s">
        <v>2150</v>
      </c>
      <c r="S1838" s="55" t="s">
        <v>4906</v>
      </c>
      <c r="T1838" s="49"/>
      <c r="U1838" s="49"/>
      <c r="V1838" s="49"/>
      <c r="W1838" s="49" t="str">
        <f>IFERROR(__xludf.DUMMYFUNCTION("""COMPUTED_VALUE"""),"afterlife")</f>
        <v>afterlife</v>
      </c>
      <c r="X1838" s="49" t="str">
        <f t="shared" si="3"/>
        <v>address,</v>
      </c>
      <c r="Y1838" s="49"/>
      <c r="Z1838" s="1" t="s">
        <v>1580</v>
      </c>
      <c r="AA1838" s="1" t="s">
        <v>1147</v>
      </c>
      <c r="AB1838" s="49"/>
      <c r="AC1838" s="49"/>
      <c r="AD1838" s="49"/>
      <c r="AE1838" s="49" t="str">
        <f>IFERROR(__xludf.DUMMYFUNCTION("""COMPUTED_VALUE"""),"influential")</f>
        <v>influential</v>
      </c>
      <c r="AF1838" s="49" t="str">
        <f t="shared" si="4"/>
        <v>interviews,</v>
      </c>
      <c r="AG1838" s="49"/>
      <c r="AH1838" s="1" t="s">
        <v>6951</v>
      </c>
      <c r="AI1838" s="1" t="s">
        <v>6583</v>
      </c>
      <c r="AJ1838" s="6" t="str">
        <f>IFERROR(__xludf.DUMMYFUNCTION("""COMPUTED_VALUE"""),"tiny")</f>
        <v>tiny</v>
      </c>
      <c r="AK1838" s="49"/>
      <c r="AL1838" s="49"/>
      <c r="AM1838" s="49"/>
      <c r="AN1838" s="52" t="str">
        <f t="shared" si="5"/>
        <v>cars,</v>
      </c>
    </row>
    <row r="1839">
      <c r="A1839" s="51"/>
      <c r="B1839" s="50" t="s">
        <v>1161</v>
      </c>
      <c r="C1839" s="50" t="s">
        <v>6543</v>
      </c>
      <c r="D1839" s="49" t="str">
        <f>IFERROR(__xludf.DUMMYFUNCTION("""COMPUTED_VALUE"""),"turkey")</f>
        <v>turkey</v>
      </c>
      <c r="E1839" s="49"/>
      <c r="F1839" s="49"/>
      <c r="G1839" s="49"/>
      <c r="H1839" s="54" t="str">
        <f t="shared" si="1"/>
        <v>credits,</v>
      </c>
      <c r="I1839" s="50"/>
      <c r="J1839" s="50" t="s">
        <v>2006</v>
      </c>
      <c r="K1839" s="50" t="s">
        <v>961</v>
      </c>
      <c r="L1839" s="49"/>
      <c r="M1839" s="49"/>
      <c r="N1839" s="49"/>
      <c r="O1839" s="49" t="str">
        <f>IFERROR(__xludf.DUMMYFUNCTION("""COMPUTED_VALUE"""),"goldberg")</f>
        <v>goldberg</v>
      </c>
      <c r="P1839" s="49" t="str">
        <f t="shared" si="2"/>
        <v>card,</v>
      </c>
      <c r="Q1839" s="49"/>
      <c r="R1839" s="50" t="s">
        <v>6359</v>
      </c>
      <c r="S1839" s="55" t="s">
        <v>6584</v>
      </c>
      <c r="T1839" s="49"/>
      <c r="U1839" s="49"/>
      <c r="V1839" s="49"/>
      <c r="W1839" s="49" t="str">
        <f>IFERROR(__xludf.DUMMYFUNCTION("""COMPUTED_VALUE"""),"fertility")</f>
        <v>fertility</v>
      </c>
      <c r="X1839" s="49" t="str">
        <f t="shared" si="3"/>
        <v>honestly,</v>
      </c>
      <c r="Y1839" s="49"/>
      <c r="Z1839" s="1" t="s">
        <v>814</v>
      </c>
      <c r="AA1839" s="1" t="s">
        <v>1152</v>
      </c>
      <c r="AB1839" s="49"/>
      <c r="AC1839" s="49"/>
      <c r="AD1839" s="49"/>
      <c r="AE1839" s="49" t="str">
        <f>IFERROR(__xludf.DUMMYFUNCTION("""COMPUTED_VALUE"""),"goldberg")</f>
        <v>goldberg</v>
      </c>
      <c r="AF1839" s="49" t="str">
        <f t="shared" si="4"/>
        <v>directing,</v>
      </c>
      <c r="AG1839" s="49"/>
      <c r="AH1839" s="1" t="s">
        <v>3936</v>
      </c>
      <c r="AI1839" s="1" t="s">
        <v>5426</v>
      </c>
      <c r="AJ1839" s="6" t="str">
        <f>IFERROR(__xludf.DUMMYFUNCTION("""COMPUTED_VALUE"""),"argument")</f>
        <v>argument</v>
      </c>
      <c r="AK1839" s="49"/>
      <c r="AL1839" s="49"/>
      <c r="AM1839" s="49"/>
      <c r="AN1839" s="52" t="str">
        <f t="shared" si="5"/>
        <v>stops,</v>
      </c>
    </row>
    <row r="1840">
      <c r="A1840" s="51"/>
      <c r="B1840" s="50" t="s">
        <v>2532</v>
      </c>
      <c r="C1840" s="50" t="b">
        <v>0</v>
      </c>
      <c r="D1840" s="49" t="str">
        <f>IFERROR(__xludf.DUMMYFUNCTION("""COMPUTED_VALUE"""),"prior")</f>
        <v>prior</v>
      </c>
      <c r="E1840" s="49"/>
      <c r="F1840" s="49"/>
      <c r="G1840" s="49"/>
      <c r="H1840" s="54" t="str">
        <f t="shared" si="1"/>
        <v>searching,</v>
      </c>
      <c r="I1840" s="50"/>
      <c r="J1840" s="50" t="s">
        <v>7461</v>
      </c>
      <c r="K1840" s="50" t="s">
        <v>966</v>
      </c>
      <c r="L1840" s="49"/>
      <c r="M1840" s="49"/>
      <c r="N1840" s="49"/>
      <c r="O1840" s="49" t="str">
        <f>IFERROR(__xludf.DUMMYFUNCTION("""COMPUTED_VALUE"""),"toes")</f>
        <v>toes</v>
      </c>
      <c r="P1840" s="49" t="str">
        <f t="shared" si="2"/>
        <v>maxim,</v>
      </c>
      <c r="Q1840" s="49"/>
      <c r="R1840" s="50" t="s">
        <v>4639</v>
      </c>
      <c r="S1840" s="55" t="s">
        <v>4941</v>
      </c>
      <c r="T1840" s="49"/>
      <c r="U1840" s="49"/>
      <c r="V1840" s="49"/>
      <c r="W1840" s="49" t="str">
        <f>IFERROR(__xludf.DUMMYFUNCTION("""COMPUTED_VALUE"""),"mitch")</f>
        <v>mitch</v>
      </c>
      <c r="X1840" s="49" t="str">
        <f t="shared" si="3"/>
        <v>eventual,</v>
      </c>
      <c r="Y1840" s="49"/>
      <c r="Z1840" s="1" t="s">
        <v>1541</v>
      </c>
      <c r="AA1840" s="1" t="s">
        <v>1496</v>
      </c>
      <c r="AB1840" s="49"/>
      <c r="AC1840" s="49"/>
      <c r="AD1840" s="49"/>
      <c r="AE1840" s="49" t="str">
        <f>IFERROR(__xludf.DUMMYFUNCTION("""COMPUTED_VALUE"""),"toes")</f>
        <v>toes</v>
      </c>
      <c r="AF1840" s="49" t="str">
        <f t="shared" si="4"/>
        <v>single,</v>
      </c>
      <c r="AG1840" s="49"/>
      <c r="AH1840" s="1" t="s">
        <v>1818</v>
      </c>
      <c r="AI1840" s="1" t="s">
        <v>4248</v>
      </c>
      <c r="AJ1840" s="6" t="str">
        <f>IFERROR(__xludf.DUMMYFUNCTION("""COMPUTED_VALUE"""),"thinking")</f>
        <v>thinking</v>
      </c>
      <c r="AK1840" s="49"/>
      <c r="AL1840" s="49"/>
      <c r="AM1840" s="49"/>
      <c r="AN1840" s="52" t="str">
        <f t="shared" si="5"/>
        <v>color,</v>
      </c>
    </row>
    <row r="1841">
      <c r="A1841" s="51"/>
      <c r="B1841" s="50" t="s">
        <v>2237</v>
      </c>
      <c r="C1841" s="50" t="s">
        <v>2770</v>
      </c>
      <c r="D1841" s="49" t="str">
        <f>IFERROR(__xludf.DUMMYFUNCTION("""COMPUTED_VALUE"""),"hang")</f>
        <v>hang</v>
      </c>
      <c r="E1841" s="49"/>
      <c r="F1841" s="49"/>
      <c r="G1841" s="49"/>
      <c r="H1841" s="54" t="str">
        <f t="shared" si="1"/>
        <v>deeper,</v>
      </c>
      <c r="I1841" s="50"/>
      <c r="J1841" s="50" t="s">
        <v>3831</v>
      </c>
      <c r="K1841" s="50" t="s">
        <v>1868</v>
      </c>
      <c r="L1841" s="49"/>
      <c r="M1841" s="49"/>
      <c r="N1841" s="49"/>
      <c r="O1841" s="49" t="str">
        <f>IFERROR(__xludf.DUMMYFUNCTION("""COMPUTED_VALUE"""),"elm")</f>
        <v>elm</v>
      </c>
      <c r="P1841" s="49" t="str">
        <f t="shared" si="2"/>
        <v>nation,</v>
      </c>
      <c r="Q1841" s="49"/>
      <c r="R1841" s="50" t="s">
        <v>5061</v>
      </c>
      <c r="S1841" s="55" t="s">
        <v>4349</v>
      </c>
      <c r="T1841" s="49"/>
      <c r="U1841" s="49"/>
      <c r="V1841" s="49"/>
      <c r="W1841" s="49" t="str">
        <f>IFERROR(__xludf.DUMMYFUNCTION("""COMPUTED_VALUE"""),"bytes")</f>
        <v>bytes</v>
      </c>
      <c r="X1841" s="49" t="str">
        <f t="shared" si="3"/>
        <v>stein,</v>
      </c>
      <c r="Y1841" s="49"/>
      <c r="Z1841" s="1" t="s">
        <v>1381</v>
      </c>
      <c r="AA1841" s="1" t="s">
        <v>5067</v>
      </c>
      <c r="AB1841" s="49"/>
      <c r="AC1841" s="49"/>
      <c r="AD1841" s="49"/>
      <c r="AE1841" s="49" t="str">
        <f>IFERROR(__xludf.DUMMYFUNCTION("""COMPUTED_VALUE"""),"elm")</f>
        <v>elm</v>
      </c>
      <c r="AF1841" s="49" t="str">
        <f t="shared" si="4"/>
        <v>emerges,</v>
      </c>
      <c r="AG1841" s="49"/>
      <c r="AH1841" s="1" t="s">
        <v>6866</v>
      </c>
      <c r="AI1841" s="1" t="s">
        <v>415</v>
      </c>
      <c r="AJ1841" s="6" t="str">
        <f>IFERROR(__xludf.DUMMYFUNCTION("""COMPUTED_VALUE"""),"baby")</f>
        <v>baby</v>
      </c>
      <c r="AK1841" s="49"/>
      <c r="AL1841" s="49"/>
      <c r="AM1841" s="49"/>
      <c r="AN1841" s="52" t="str">
        <f t="shared" si="5"/>
        <v>trail,</v>
      </c>
    </row>
    <row r="1842">
      <c r="A1842" s="51"/>
      <c r="B1842" s="50" t="s">
        <v>2576</v>
      </c>
      <c r="C1842" s="50" t="s">
        <v>4113</v>
      </c>
      <c r="D1842" s="49" t="str">
        <f>IFERROR(__xludf.DUMMYFUNCTION("""COMPUTED_VALUE"""),"documented")</f>
        <v>documented</v>
      </c>
      <c r="E1842" s="49"/>
      <c r="F1842" s="49"/>
      <c r="G1842" s="49"/>
      <c r="H1842" s="54" t="str">
        <f t="shared" si="1"/>
        <v>struggling,</v>
      </c>
      <c r="I1842" s="50"/>
      <c r="J1842" s="50" t="s">
        <v>467</v>
      </c>
      <c r="K1842" s="50" t="s">
        <v>5069</v>
      </c>
      <c r="L1842" s="49"/>
      <c r="M1842" s="49"/>
      <c r="N1842" s="49"/>
      <c r="O1842" s="49" t="str">
        <f>IFERROR(__xludf.DUMMYFUNCTION("""COMPUTED_VALUE"""),"guilt")</f>
        <v>guilt</v>
      </c>
      <c r="P1842" s="49" t="str">
        <f t="shared" si="2"/>
        <v>offensive,</v>
      </c>
      <c r="Q1842" s="49"/>
      <c r="R1842" s="50" t="s">
        <v>5691</v>
      </c>
      <c r="S1842" s="55" t="s">
        <v>1083</v>
      </c>
      <c r="T1842" s="49"/>
      <c r="U1842" s="49"/>
      <c r="V1842" s="49"/>
      <c r="W1842" s="49" t="str">
        <f>IFERROR(__xludf.DUMMYFUNCTION("""COMPUTED_VALUE"""),"documenting")</f>
        <v>documenting</v>
      </c>
      <c r="X1842" s="49" t="str">
        <f t="shared" si="3"/>
        <v>definition,</v>
      </c>
      <c r="Y1842" s="49"/>
      <c r="Z1842" s="1" t="s">
        <v>2163</v>
      </c>
      <c r="AA1842" s="1" t="s">
        <v>3109</v>
      </c>
      <c r="AB1842" s="49"/>
      <c r="AC1842" s="49"/>
      <c r="AD1842" s="49"/>
      <c r="AE1842" s="49" t="str">
        <f>IFERROR(__xludf.DUMMYFUNCTION("""COMPUTED_VALUE"""),"guilt")</f>
        <v>guilt</v>
      </c>
      <c r="AF1842" s="49" t="str">
        <f t="shared" si="4"/>
        <v>blue,</v>
      </c>
      <c r="AG1842" s="49"/>
      <c r="AH1842" s="1" t="s">
        <v>1303</v>
      </c>
      <c r="AI1842" s="1" t="s">
        <v>6585</v>
      </c>
      <c r="AJ1842" s="6" t="str">
        <f>IFERROR(__xludf.DUMMYFUNCTION("""COMPUTED_VALUE"""),"task")</f>
        <v>task</v>
      </c>
      <c r="AK1842" s="49"/>
      <c r="AL1842" s="49"/>
      <c r="AM1842" s="49"/>
      <c r="AN1842" s="52" t="str">
        <f t="shared" si="5"/>
        <v>forgotten,</v>
      </c>
    </row>
    <row r="1843">
      <c r="A1843" s="51"/>
      <c r="B1843" s="50" t="s">
        <v>2020</v>
      </c>
      <c r="C1843" s="50" t="s">
        <v>6066</v>
      </c>
      <c r="D1843" s="49" t="str">
        <f>IFERROR(__xludf.DUMMYFUNCTION("""COMPUTED_VALUE"""),"sorry")</f>
        <v>sorry</v>
      </c>
      <c r="E1843" s="49"/>
      <c r="F1843" s="49"/>
      <c r="G1843" s="49"/>
      <c r="H1843" s="54" t="str">
        <f t="shared" si="1"/>
        <v>bright,</v>
      </c>
      <c r="I1843" s="50"/>
      <c r="J1843" s="50" t="s">
        <v>3579</v>
      </c>
      <c r="K1843" s="50" t="s">
        <v>3128</v>
      </c>
      <c r="L1843" s="49"/>
      <c r="M1843" s="49"/>
      <c r="N1843" s="49"/>
      <c r="O1843" s="49" t="str">
        <f>IFERROR(__xludf.DUMMYFUNCTION("""COMPUTED_VALUE"""),"conflicts")</f>
        <v>conflicts</v>
      </c>
      <c r="P1843" s="49" t="str">
        <f t="shared" si="2"/>
        <v>ill,</v>
      </c>
      <c r="Q1843" s="49"/>
      <c r="R1843" s="50" t="s">
        <v>2288</v>
      </c>
      <c r="S1843" s="55" t="s">
        <v>6586</v>
      </c>
      <c r="T1843" s="49"/>
      <c r="U1843" s="49"/>
      <c r="V1843" s="49"/>
      <c r="W1843" s="49" t="str">
        <f>IFERROR(__xludf.DUMMYFUNCTION("""COMPUTED_VALUE"""),"andrei")</f>
        <v>andrei</v>
      </c>
      <c r="X1843" s="49" t="str">
        <f t="shared" si="3"/>
        <v>cleansing,</v>
      </c>
      <c r="Y1843" s="49"/>
      <c r="Z1843" s="1" t="s">
        <v>6410</v>
      </c>
      <c r="AA1843" s="1" t="s">
        <v>5070</v>
      </c>
      <c r="AB1843" s="49"/>
      <c r="AC1843" s="49"/>
      <c r="AD1843" s="49"/>
      <c r="AE1843" s="49" t="str">
        <f>IFERROR(__xludf.DUMMYFUNCTION("""COMPUTED_VALUE"""),"conflicts")</f>
        <v>conflicts</v>
      </c>
      <c r="AF1843" s="49" t="str">
        <f t="shared" si="4"/>
        <v>mysterious,</v>
      </c>
      <c r="AG1843" s="49"/>
      <c r="AH1843" s="1" t="s">
        <v>225</v>
      </c>
      <c r="AI1843" s="1" t="s">
        <v>3862</v>
      </c>
      <c r="AJ1843" s="6" t="str">
        <f>IFERROR(__xludf.DUMMYFUNCTION("""COMPUTED_VALUE"""),"monument")</f>
        <v>monument</v>
      </c>
      <c r="AK1843" s="49"/>
      <c r="AL1843" s="49"/>
      <c r="AM1843" s="49"/>
      <c r="AN1843" s="52" t="str">
        <f t="shared" si="5"/>
        <v>viewers,</v>
      </c>
    </row>
    <row r="1844">
      <c r="A1844" s="51"/>
      <c r="B1844" s="50" t="s">
        <v>4428</v>
      </c>
      <c r="C1844" s="50" t="s">
        <v>4801</v>
      </c>
      <c r="D1844" s="49" t="str">
        <f>IFERROR(__xludf.DUMMYFUNCTION("""COMPUTED_VALUE"""),"fame")</f>
        <v>fame</v>
      </c>
      <c r="E1844" s="49"/>
      <c r="F1844" s="49"/>
      <c r="G1844" s="49"/>
      <c r="H1844" s="54" t="str">
        <f t="shared" si="1"/>
        <v>barely,</v>
      </c>
      <c r="I1844" s="50"/>
      <c r="J1844" s="50" t="s">
        <v>4091</v>
      </c>
      <c r="K1844" s="50" t="s">
        <v>5072</v>
      </c>
      <c r="L1844" s="49"/>
      <c r="M1844" s="49"/>
      <c r="N1844" s="49"/>
      <c r="O1844" s="49" t="str">
        <f>IFERROR(__xludf.DUMMYFUNCTION("""COMPUTED_VALUE"""),"uniquely")</f>
        <v>uniquely</v>
      </c>
      <c r="P1844" s="49" t="str">
        <f t="shared" si="2"/>
        <v>wind,</v>
      </c>
      <c r="Q1844" s="49"/>
      <c r="R1844" s="50" t="s">
        <v>4831</v>
      </c>
      <c r="S1844" s="55" t="s">
        <v>3233</v>
      </c>
      <c r="T1844" s="49"/>
      <c r="U1844" s="49"/>
      <c r="V1844" s="49"/>
      <c r="W1844" s="49" t="str">
        <f>IFERROR(__xludf.DUMMYFUNCTION("""COMPUTED_VALUE"""),"ventures")</f>
        <v>ventures</v>
      </c>
      <c r="X1844" s="49" t="str">
        <f t="shared" si="3"/>
        <v>nouvelle,</v>
      </c>
      <c r="Y1844" s="49"/>
      <c r="Z1844" s="1" t="s">
        <v>105</v>
      </c>
      <c r="AA1844" s="1" t="s">
        <v>1510</v>
      </c>
      <c r="AB1844" s="49"/>
      <c r="AC1844" s="49"/>
      <c r="AD1844" s="49"/>
      <c r="AE1844" s="49" t="str">
        <f>IFERROR(__xludf.DUMMYFUNCTION("""COMPUTED_VALUE"""),"uniquely")</f>
        <v>uniquely</v>
      </c>
      <c r="AF1844" s="49" t="str">
        <f t="shared" si="4"/>
        <v>proves,</v>
      </c>
      <c r="AG1844" s="49"/>
      <c r="AH1844" s="1" t="s">
        <v>4456</v>
      </c>
      <c r="AI1844" s="1" t="s">
        <v>3126</v>
      </c>
      <c r="AJ1844" s="6" t="str">
        <f>IFERROR(__xludf.DUMMYFUNCTION("""COMPUTED_VALUE"""),"gradually")</f>
        <v>gradually</v>
      </c>
      <c r="AK1844" s="49"/>
      <c r="AL1844" s="49"/>
      <c r="AM1844" s="49"/>
      <c r="AN1844" s="52" t="str">
        <f t="shared" si="5"/>
        <v>terms,</v>
      </c>
    </row>
    <row r="1845">
      <c r="A1845" s="51"/>
      <c r="B1845" s="50" t="s">
        <v>1167</v>
      </c>
      <c r="C1845" s="50" t="s">
        <v>4119</v>
      </c>
      <c r="D1845" s="49" t="str">
        <f>IFERROR(__xludf.DUMMYFUNCTION("""COMPUTED_VALUE"""),"choose")</f>
        <v>choose</v>
      </c>
      <c r="E1845" s="49"/>
      <c r="F1845" s="49"/>
      <c r="G1845" s="49"/>
      <c r="H1845" s="54" t="str">
        <f t="shared" si="1"/>
        <v>busy,</v>
      </c>
      <c r="I1845" s="50"/>
      <c r="J1845" s="50" t="s">
        <v>4790</v>
      </c>
      <c r="K1845" s="50" t="s">
        <v>5075</v>
      </c>
      <c r="L1845" s="49"/>
      <c r="M1845" s="49"/>
      <c r="N1845" s="49"/>
      <c r="O1845" s="49" t="str">
        <f>IFERROR(__xludf.DUMMYFUNCTION("""COMPUTED_VALUE"""),"seventeen")</f>
        <v>seventeen</v>
      </c>
      <c r="P1845" s="49" t="str">
        <f t="shared" si="2"/>
        <v>split,</v>
      </c>
      <c r="Q1845" s="49"/>
      <c r="R1845" s="50" t="s">
        <v>4552</v>
      </c>
      <c r="S1845" s="55" t="s">
        <v>2957</v>
      </c>
      <c r="T1845" s="49"/>
      <c r="U1845" s="49"/>
      <c r="V1845" s="49"/>
      <c r="W1845" s="49" t="str">
        <f>IFERROR(__xludf.DUMMYFUNCTION("""COMPUTED_VALUE"""),"fragile")</f>
        <v>fragile</v>
      </c>
      <c r="X1845" s="49" t="str">
        <f t="shared" si="3"/>
        <v>wash,</v>
      </c>
      <c r="Y1845" s="49"/>
      <c r="Z1845" s="1" t="s">
        <v>3296</v>
      </c>
      <c r="AA1845" s="1" t="s">
        <v>4644</v>
      </c>
      <c r="AB1845" s="49"/>
      <c r="AC1845" s="49"/>
      <c r="AD1845" s="49"/>
      <c r="AE1845" s="49" t="str">
        <f>IFERROR(__xludf.DUMMYFUNCTION("""COMPUTED_VALUE"""),"seventeen")</f>
        <v>seventeen</v>
      </c>
      <c r="AF1845" s="49" t="str">
        <f t="shared" si="4"/>
        <v>paper,</v>
      </c>
      <c r="AG1845" s="49"/>
      <c r="AH1845" s="1" t="s">
        <v>6974</v>
      </c>
      <c r="AI1845" s="1" t="s">
        <v>4991</v>
      </c>
      <c r="AJ1845" s="6" t="str">
        <f>IFERROR(__xludf.DUMMYFUNCTION("""COMPUTED_VALUE"""),"elizabeth")</f>
        <v>elizabeth</v>
      </c>
      <c r="AK1845" s="49"/>
      <c r="AL1845" s="49"/>
      <c r="AM1845" s="49"/>
      <c r="AN1845" s="52" t="str">
        <f t="shared" si="5"/>
        <v>outer,</v>
      </c>
    </row>
    <row r="1846">
      <c r="A1846" s="51"/>
      <c r="B1846" s="50" t="s">
        <v>5568</v>
      </c>
      <c r="C1846" s="50" t="s">
        <v>4015</v>
      </c>
      <c r="D1846" s="49" t="str">
        <f>IFERROR(__xludf.DUMMYFUNCTION("""COMPUTED_VALUE"""),"expected")</f>
        <v>expected</v>
      </c>
      <c r="E1846" s="49"/>
      <c r="F1846" s="49"/>
      <c r="G1846" s="49"/>
      <c r="H1846" s="54" t="str">
        <f t="shared" si="1"/>
        <v>robin,</v>
      </c>
      <c r="I1846" s="50"/>
      <c r="J1846" s="50" t="s">
        <v>5486</v>
      </c>
      <c r="K1846" s="50" t="s">
        <v>1872</v>
      </c>
      <c r="L1846" s="49"/>
      <c r="M1846" s="49"/>
      <c r="N1846" s="49"/>
      <c r="O1846" s="49" t="str">
        <f>IFERROR(__xludf.DUMMYFUNCTION("""COMPUTED_VALUE"""),"suppression")</f>
        <v>suppression</v>
      </c>
      <c r="P1846" s="49" t="str">
        <f t="shared" si="2"/>
        <v>pic,</v>
      </c>
      <c r="Q1846" s="49"/>
      <c r="R1846" s="50" t="s">
        <v>7462</v>
      </c>
      <c r="S1846" s="55" t="s">
        <v>1090</v>
      </c>
      <c r="T1846" s="49"/>
      <c r="U1846" s="49"/>
      <c r="V1846" s="49"/>
      <c r="W1846" s="49" t="str">
        <f>IFERROR(__xludf.DUMMYFUNCTION("""COMPUTED_VALUE"""),"chop")</f>
        <v>chop</v>
      </c>
      <c r="X1846" s="49" t="str">
        <f t="shared" si="3"/>
        <v>hu,</v>
      </c>
      <c r="Y1846" s="49"/>
      <c r="Z1846" s="1" t="s">
        <v>5254</v>
      </c>
      <c r="AA1846" s="1" t="s">
        <v>1158</v>
      </c>
      <c r="AB1846" s="49"/>
      <c r="AC1846" s="49"/>
      <c r="AD1846" s="49"/>
      <c r="AE1846" s="49" t="str">
        <f>IFERROR(__xludf.DUMMYFUNCTION("""COMPUTED_VALUE"""),"suppression")</f>
        <v>suppression</v>
      </c>
      <c r="AF1846" s="49" t="str">
        <f t="shared" si="4"/>
        <v>ideal,</v>
      </c>
      <c r="AG1846" s="49"/>
      <c r="AH1846" s="1" t="s">
        <v>2614</v>
      </c>
      <c r="AI1846" s="1" t="s">
        <v>4685</v>
      </c>
      <c r="AJ1846" s="6" t="str">
        <f>IFERROR(__xludf.DUMMYFUNCTION("""COMPUTED_VALUE"""),"midnight")</f>
        <v>midnight</v>
      </c>
      <c r="AK1846" s="49"/>
      <c r="AL1846" s="49"/>
      <c r="AM1846" s="49"/>
      <c r="AN1846" s="52" t="str">
        <f t="shared" si="5"/>
        <v>generated,</v>
      </c>
    </row>
    <row r="1847">
      <c r="A1847" s="51"/>
      <c r="B1847" s="50" t="s">
        <v>285</v>
      </c>
      <c r="C1847" s="50" t="s">
        <v>4120</v>
      </c>
      <c r="D1847" s="49" t="str">
        <f>IFERROR(__xludf.DUMMYFUNCTION("""COMPUTED_VALUE"""),"croatia")</f>
        <v>croatia</v>
      </c>
      <c r="E1847" s="49"/>
      <c r="F1847" s="49"/>
      <c r="G1847" s="49"/>
      <c r="H1847" s="54" t="str">
        <f t="shared" si="1"/>
        <v>epic,</v>
      </c>
      <c r="I1847" s="50"/>
      <c r="J1847" s="50" t="s">
        <v>4246</v>
      </c>
      <c r="K1847" s="50" t="s">
        <v>4533</v>
      </c>
      <c r="L1847" s="49"/>
      <c r="M1847" s="49"/>
      <c r="N1847" s="49"/>
      <c r="O1847" s="49" t="str">
        <f>IFERROR(__xludf.DUMMYFUNCTION("""COMPUTED_VALUE"""),"austrian")</f>
        <v>austrian</v>
      </c>
      <c r="P1847" s="49" t="str">
        <f t="shared" si="2"/>
        <v>references,</v>
      </c>
      <c r="Q1847" s="49"/>
      <c r="R1847" s="50" t="s">
        <v>1856</v>
      </c>
      <c r="S1847" s="55" t="s">
        <v>4915</v>
      </c>
      <c r="T1847" s="49"/>
      <c r="U1847" s="49"/>
      <c r="V1847" s="49"/>
      <c r="W1847" s="49" t="str">
        <f>IFERROR(__xludf.DUMMYFUNCTION("""COMPUTED_VALUE"""),"casualties")</f>
        <v>casualties</v>
      </c>
      <c r="X1847" s="49" t="str">
        <f t="shared" si="3"/>
        <v>idiots,</v>
      </c>
      <c r="Y1847" s="49"/>
      <c r="Z1847" s="1" t="s">
        <v>2363</v>
      </c>
      <c r="AA1847" s="1" t="s">
        <v>4034</v>
      </c>
      <c r="AB1847" s="49"/>
      <c r="AC1847" s="49"/>
      <c r="AD1847" s="49"/>
      <c r="AE1847" s="49" t="str">
        <f>IFERROR(__xludf.DUMMYFUNCTION("""COMPUTED_VALUE"""),"austrian")</f>
        <v>austrian</v>
      </c>
      <c r="AF1847" s="49" t="str">
        <f t="shared" si="4"/>
        <v>blown,</v>
      </c>
      <c r="AG1847" s="49"/>
      <c r="AH1847" s="1" t="s">
        <v>6322</v>
      </c>
      <c r="AI1847" s="1" t="s">
        <v>6587</v>
      </c>
      <c r="AJ1847" s="6" t="str">
        <f>IFERROR(__xludf.DUMMYFUNCTION("""COMPUTED_VALUE"""),"musical")</f>
        <v>musical</v>
      </c>
      <c r="AK1847" s="49"/>
      <c r="AL1847" s="49"/>
      <c r="AM1847" s="49"/>
      <c r="AN1847" s="52" t="str">
        <f t="shared" si="5"/>
        <v>sea,</v>
      </c>
    </row>
    <row r="1848">
      <c r="A1848" s="51"/>
      <c r="B1848" s="50" t="s">
        <v>2992</v>
      </c>
      <c r="C1848" s="50" t="s">
        <v>4121</v>
      </c>
      <c r="D1848" s="49" t="str">
        <f>IFERROR(__xludf.DUMMYFUNCTION("""COMPUTED_VALUE"""),"english")</f>
        <v>english</v>
      </c>
      <c r="E1848" s="49"/>
      <c r="F1848" s="49"/>
      <c r="G1848" s="49"/>
      <c r="H1848" s="54" t="str">
        <f t="shared" si="1"/>
        <v>hint,</v>
      </c>
      <c r="I1848" s="50"/>
      <c r="J1848" s="50" t="s">
        <v>1281</v>
      </c>
      <c r="K1848" s="50" t="s">
        <v>5079</v>
      </c>
      <c r="L1848" s="49"/>
      <c r="M1848" s="49"/>
      <c r="N1848" s="49"/>
      <c r="O1848" s="49" t="str">
        <f>IFERROR(__xludf.DUMMYFUNCTION("""COMPUTED_VALUE"""),"saddle")</f>
        <v>saddle</v>
      </c>
      <c r="P1848" s="49" t="str">
        <f t="shared" si="2"/>
        <v>vulgar,</v>
      </c>
      <c r="Q1848" s="49"/>
      <c r="R1848" s="50" t="s">
        <v>6789</v>
      </c>
      <c r="S1848" s="55" t="s">
        <v>3485</v>
      </c>
      <c r="T1848" s="49"/>
      <c r="U1848" s="49"/>
      <c r="V1848" s="49"/>
      <c r="W1848" s="49" t="str">
        <f>IFERROR(__xludf.DUMMYFUNCTION("""COMPUTED_VALUE"""),"expansion")</f>
        <v>expansion</v>
      </c>
      <c r="X1848" s="49" t="str">
        <f t="shared" si="3"/>
        <v>q,</v>
      </c>
      <c r="Y1848" s="49"/>
      <c r="Z1848" s="1" t="s">
        <v>1945</v>
      </c>
      <c r="AA1848" s="1" t="s">
        <v>4037</v>
      </c>
      <c r="AB1848" s="49"/>
      <c r="AC1848" s="49"/>
      <c r="AD1848" s="49"/>
      <c r="AE1848" s="49" t="str">
        <f>IFERROR(__xludf.DUMMYFUNCTION("""COMPUTED_VALUE"""),"saddle")</f>
        <v>saddle</v>
      </c>
      <c r="AF1848" s="49" t="str">
        <f t="shared" si="4"/>
        <v>lower,</v>
      </c>
      <c r="AG1848" s="49"/>
      <c r="AH1848" s="1">
        <v>24.0</v>
      </c>
      <c r="AI1848" s="1" t="s">
        <v>4996</v>
      </c>
      <c r="AJ1848" s="6" t="str">
        <f>IFERROR(__xludf.DUMMYFUNCTION("""COMPUTED_VALUE"""),"doors")</f>
        <v>doors</v>
      </c>
      <c r="AK1848" s="49"/>
      <c r="AL1848" s="49"/>
      <c r="AM1848" s="49"/>
      <c r="AN1848" s="52" t="str">
        <f t="shared" si="5"/>
        <v>24,</v>
      </c>
    </row>
    <row r="1849">
      <c r="A1849" s="51"/>
      <c r="B1849" s="50" t="s">
        <v>6984</v>
      </c>
      <c r="C1849" s="50" t="s">
        <v>4631</v>
      </c>
      <c r="D1849" s="49" t="str">
        <f>IFERROR(__xludf.DUMMYFUNCTION("""COMPUTED_VALUE"""),"america")</f>
        <v>america</v>
      </c>
      <c r="E1849" s="49"/>
      <c r="F1849" s="49"/>
      <c r="G1849" s="49"/>
      <c r="H1849" s="54" t="str">
        <f t="shared" si="1"/>
        <v>farm,</v>
      </c>
      <c r="I1849" s="50"/>
      <c r="J1849" s="50" t="s">
        <v>1608</v>
      </c>
      <c r="K1849" s="50" t="s">
        <v>4534</v>
      </c>
      <c r="L1849" s="49"/>
      <c r="M1849" s="49"/>
      <c r="N1849" s="49"/>
      <c r="O1849" s="49" t="str">
        <f>IFERROR(__xludf.DUMMYFUNCTION("""COMPUTED_VALUE"""),"rapids")</f>
        <v>rapids</v>
      </c>
      <c r="P1849" s="49" t="str">
        <f t="shared" si="2"/>
        <v>opera,</v>
      </c>
      <c r="Q1849" s="49"/>
      <c r="R1849" s="50" t="s">
        <v>1033</v>
      </c>
      <c r="S1849" s="55" t="s">
        <v>4363</v>
      </c>
      <c r="T1849" s="49"/>
      <c r="U1849" s="49"/>
      <c r="V1849" s="49"/>
      <c r="W1849" s="49" t="str">
        <f>IFERROR(__xludf.DUMMYFUNCTION("""COMPUTED_VALUE"""),"traces")</f>
        <v>traces</v>
      </c>
      <c r="X1849" s="49" t="str">
        <f t="shared" si="3"/>
        <v>continuation,</v>
      </c>
      <c r="Y1849" s="49"/>
      <c r="Z1849" s="1" t="s">
        <v>2166</v>
      </c>
      <c r="AA1849" s="1" t="s">
        <v>4648</v>
      </c>
      <c r="AB1849" s="49"/>
      <c r="AC1849" s="49"/>
      <c r="AD1849" s="49"/>
      <c r="AE1849" s="49" t="str">
        <f>IFERROR(__xludf.DUMMYFUNCTION("""COMPUTED_VALUE"""),"rapids")</f>
        <v>rapids</v>
      </c>
      <c r="AF1849" s="49" t="str">
        <f t="shared" si="4"/>
        <v>ride,</v>
      </c>
      <c r="AG1849" s="49"/>
      <c r="AH1849" s="1" t="s">
        <v>962</v>
      </c>
      <c r="AI1849" s="1" t="s">
        <v>1790</v>
      </c>
      <c r="AJ1849" s="6" t="str">
        <f>IFERROR(__xludf.DUMMYFUNCTION("""COMPUTED_VALUE"""),"camera")</f>
        <v>camera</v>
      </c>
      <c r="AK1849" s="49"/>
      <c r="AL1849" s="49"/>
      <c r="AM1849" s="49"/>
      <c r="AN1849" s="52" t="str">
        <f t="shared" si="5"/>
        <v>runs,</v>
      </c>
    </row>
    <row r="1850">
      <c r="A1850" s="51"/>
      <c r="B1850" s="50" t="s">
        <v>3782</v>
      </c>
      <c r="C1850" s="50" t="s">
        <v>2972</v>
      </c>
      <c r="D1850" s="49" t="str">
        <f>IFERROR(__xludf.DUMMYFUNCTION("""COMPUTED_VALUE"""),"word")</f>
        <v>word</v>
      </c>
      <c r="E1850" s="49"/>
      <c r="F1850" s="49"/>
      <c r="G1850" s="49"/>
      <c r="H1850" s="54" t="str">
        <f t="shared" si="1"/>
        <v>target,</v>
      </c>
      <c r="I1850" s="50"/>
      <c r="J1850" s="50" t="s">
        <v>5142</v>
      </c>
      <c r="K1850" s="50" t="s">
        <v>4154</v>
      </c>
      <c r="L1850" s="49"/>
      <c r="M1850" s="49"/>
      <c r="N1850" s="49"/>
      <c r="O1850" s="49" t="str">
        <f>IFERROR(__xludf.DUMMYFUNCTION("""COMPUTED_VALUE"""),"lds")</f>
        <v>lds</v>
      </c>
      <c r="P1850" s="49" t="str">
        <f t="shared" si="2"/>
        <v>stunning,</v>
      </c>
      <c r="Q1850" s="49"/>
      <c r="R1850" s="50" t="s">
        <v>4364</v>
      </c>
      <c r="S1850" s="55" t="s">
        <v>4920</v>
      </c>
      <c r="T1850" s="49"/>
      <c r="U1850" s="49"/>
      <c r="V1850" s="49"/>
      <c r="W1850" s="49" t="str">
        <f>IFERROR(__xludf.DUMMYFUNCTION("""COMPUTED_VALUE"""),"spells")</f>
        <v>spells</v>
      </c>
      <c r="X1850" s="49" t="str">
        <f t="shared" si="3"/>
        <v>understanding,</v>
      </c>
      <c r="Y1850" s="49"/>
      <c r="Z1850" s="1" t="s">
        <v>4878</v>
      </c>
      <c r="AA1850" s="1" t="s">
        <v>3433</v>
      </c>
      <c r="AB1850" s="49"/>
      <c r="AC1850" s="49"/>
      <c r="AD1850" s="49"/>
      <c r="AE1850" s="49" t="str">
        <f>IFERROR(__xludf.DUMMYFUNCTION("""COMPUTED_VALUE"""),"lds")</f>
        <v>lds</v>
      </c>
      <c r="AF1850" s="49" t="str">
        <f t="shared" si="4"/>
        <v>cares,</v>
      </c>
      <c r="AG1850" s="49"/>
      <c r="AH1850" s="1" t="s">
        <v>179</v>
      </c>
      <c r="AI1850" s="1" t="s">
        <v>3507</v>
      </c>
      <c r="AJ1850" s="6" t="str">
        <f>IFERROR(__xludf.DUMMYFUNCTION("""COMPUTED_VALUE"""),"sudden")</f>
        <v>sudden</v>
      </c>
      <c r="AK1850" s="49"/>
      <c r="AL1850" s="49"/>
      <c r="AM1850" s="49"/>
      <c r="AN1850" s="52" t="str">
        <f t="shared" si="5"/>
        <v>actress,</v>
      </c>
    </row>
    <row r="1851">
      <c r="A1851" s="51"/>
      <c r="B1851" s="50" t="s">
        <v>7463</v>
      </c>
      <c r="C1851" s="50" t="s">
        <v>4484</v>
      </c>
      <c r="D1851" s="49" t="str">
        <f>IFERROR(__xludf.DUMMYFUNCTION("""COMPUTED_VALUE"""),"russian")</f>
        <v>russian</v>
      </c>
      <c r="E1851" s="49"/>
      <c r="F1851" s="49"/>
      <c r="G1851" s="49"/>
      <c r="H1851" s="54" t="str">
        <f t="shared" si="1"/>
        <v>voiced,</v>
      </c>
      <c r="I1851" s="50"/>
      <c r="J1851" s="50" t="s">
        <v>744</v>
      </c>
      <c r="K1851" s="50" t="s">
        <v>1877</v>
      </c>
      <c r="L1851" s="49"/>
      <c r="M1851" s="49"/>
      <c r="N1851" s="49"/>
      <c r="O1851" s="49" t="str">
        <f>IFERROR(__xludf.DUMMYFUNCTION("""COMPUTED_VALUE"""),"probation")</f>
        <v>probation</v>
      </c>
      <c r="P1851" s="49" t="str">
        <f t="shared" si="2"/>
        <v>opaque,</v>
      </c>
      <c r="Q1851" s="49"/>
      <c r="R1851" s="50" t="s">
        <v>2273</v>
      </c>
      <c r="S1851" s="55" t="s">
        <v>6588</v>
      </c>
      <c r="T1851" s="49"/>
      <c r="U1851" s="49"/>
      <c r="V1851" s="49"/>
      <c r="W1851" s="49" t="str">
        <f>IFERROR(__xludf.DUMMYFUNCTION("""COMPUTED_VALUE"""),"pedestal")</f>
        <v>pedestal</v>
      </c>
      <c r="X1851" s="49" t="str">
        <f t="shared" si="3"/>
        <v>governmental,</v>
      </c>
      <c r="Y1851" s="49"/>
      <c r="Z1851" s="1" t="s">
        <v>6302</v>
      </c>
      <c r="AA1851" s="1" t="s">
        <v>1711</v>
      </c>
      <c r="AB1851" s="49"/>
      <c r="AC1851" s="49"/>
      <c r="AD1851" s="49"/>
      <c r="AE1851" s="49" t="str">
        <f>IFERROR(__xludf.DUMMYFUNCTION("""COMPUTED_VALUE"""),"probation")</f>
        <v>probation</v>
      </c>
      <c r="AF1851" s="49" t="str">
        <f t="shared" si="4"/>
        <v>overall,</v>
      </c>
      <c r="AG1851" s="49"/>
      <c r="AH1851" s="1">
        <v>2000.0</v>
      </c>
      <c r="AI1851" s="1" t="s">
        <v>5374</v>
      </c>
      <c r="AJ1851" s="6" t="str">
        <f>IFERROR(__xludf.DUMMYFUNCTION("""COMPUTED_VALUE"""),"focuses")</f>
        <v>focuses</v>
      </c>
      <c r="AK1851" s="49"/>
      <c r="AL1851" s="49"/>
      <c r="AM1851" s="49"/>
      <c r="AN1851" s="52" t="str">
        <f t="shared" si="5"/>
        <v>2000,</v>
      </c>
    </row>
    <row r="1852">
      <c r="A1852" s="51"/>
      <c r="B1852" s="50" t="s">
        <v>1625</v>
      </c>
      <c r="C1852" s="50" t="s">
        <v>2960</v>
      </c>
      <c r="D1852" s="49" t="str">
        <f>IFERROR(__xludf.DUMMYFUNCTION("""COMPUTED_VALUE"""),"speaking")</f>
        <v>speaking</v>
      </c>
      <c r="E1852" s="49"/>
      <c r="F1852" s="49"/>
      <c r="G1852" s="49"/>
      <c r="H1852" s="54" t="str">
        <f t="shared" si="1"/>
        <v>university,</v>
      </c>
      <c r="I1852" s="50"/>
      <c r="J1852" s="50" t="s">
        <v>6495</v>
      </c>
      <c r="K1852" s="50" t="s">
        <v>1882</v>
      </c>
      <c r="L1852" s="49"/>
      <c r="M1852" s="49"/>
      <c r="N1852" s="49"/>
      <c r="O1852" s="49" t="str">
        <f>IFERROR(__xludf.DUMMYFUNCTION("""COMPUTED_VALUE"""),"yields")</f>
        <v>yields</v>
      </c>
      <c r="P1852" s="49" t="str">
        <f t="shared" si="2"/>
        <v>attitude,</v>
      </c>
      <c r="Q1852" s="49"/>
      <c r="R1852" s="50" t="s">
        <v>7464</v>
      </c>
      <c r="S1852" s="55" t="s">
        <v>1671</v>
      </c>
      <c r="T1852" s="49"/>
      <c r="U1852" s="49"/>
      <c r="V1852" s="49"/>
      <c r="W1852" s="49" t="str">
        <f>IFERROR(__xludf.DUMMYFUNCTION("""COMPUTED_VALUE"""),"retrospective")</f>
        <v>retrospective</v>
      </c>
      <c r="X1852" s="49" t="str">
        <f t="shared" si="3"/>
        <v>wanna,</v>
      </c>
      <c r="Y1852" s="49"/>
      <c r="Z1852" s="1" t="s">
        <v>1001</v>
      </c>
      <c r="AA1852" s="1" t="s">
        <v>5082</v>
      </c>
      <c r="AB1852" s="49"/>
      <c r="AC1852" s="49"/>
      <c r="AD1852" s="49"/>
      <c r="AE1852" s="49" t="str">
        <f>IFERROR(__xludf.DUMMYFUNCTION("""COMPUTED_VALUE"""),"yields")</f>
        <v>yields</v>
      </c>
      <c r="AF1852" s="49" t="str">
        <f t="shared" si="4"/>
        <v>theories,</v>
      </c>
      <c r="AG1852" s="49"/>
      <c r="AH1852" s="1" t="s">
        <v>3281</v>
      </c>
      <c r="AI1852" s="1" t="s">
        <v>4709</v>
      </c>
      <c r="AJ1852" s="6" t="str">
        <f>IFERROR(__xludf.DUMMYFUNCTION("""COMPUTED_VALUE"""),"room")</f>
        <v>room</v>
      </c>
      <c r="AK1852" s="49"/>
      <c r="AL1852" s="49"/>
      <c r="AM1852" s="49"/>
      <c r="AN1852" s="52" t="str">
        <f t="shared" si="5"/>
        <v>artists,</v>
      </c>
    </row>
    <row r="1853">
      <c r="A1853" s="51"/>
      <c r="B1853" s="50" t="s">
        <v>1619</v>
      </c>
      <c r="C1853" s="50" t="s">
        <v>4640</v>
      </c>
      <c r="D1853" s="49" t="str">
        <f>IFERROR(__xludf.DUMMYFUNCTION("""COMPUTED_VALUE"""),"families")</f>
        <v>families</v>
      </c>
      <c r="E1853" s="49"/>
      <c r="F1853" s="49"/>
      <c r="G1853" s="49"/>
      <c r="H1853" s="54" t="str">
        <f t="shared" si="1"/>
        <v>major,</v>
      </c>
      <c r="I1853" s="50"/>
      <c r="J1853" s="50" t="s">
        <v>267</v>
      </c>
      <c r="K1853" s="50" t="s">
        <v>3439</v>
      </c>
      <c r="L1853" s="49"/>
      <c r="M1853" s="49"/>
      <c r="N1853" s="49"/>
      <c r="O1853" s="49" t="str">
        <f>IFERROR(__xludf.DUMMYFUNCTION("""COMPUTED_VALUE"""),"mankind")</f>
        <v>mankind</v>
      </c>
      <c r="P1853" s="49" t="str">
        <f t="shared" si="2"/>
        <v>uneven,</v>
      </c>
      <c r="Q1853" s="49"/>
      <c r="R1853" s="50" t="s">
        <v>123</v>
      </c>
      <c r="S1853" s="55" t="s">
        <v>3742</v>
      </c>
      <c r="T1853" s="49"/>
      <c r="U1853" s="49"/>
      <c r="V1853" s="49"/>
      <c r="W1853" s="49" t="str">
        <f>IFERROR(__xludf.DUMMYFUNCTION("""COMPUTED_VALUE"""),"paralyzed")</f>
        <v>paralyzed</v>
      </c>
      <c r="X1853" s="49" t="str">
        <f t="shared" si="3"/>
        <v>suicidal,</v>
      </c>
      <c r="Y1853" s="49"/>
      <c r="Z1853" s="1" t="s">
        <v>6862</v>
      </c>
      <c r="AA1853" s="1" t="s">
        <v>5083</v>
      </c>
      <c r="AB1853" s="49"/>
      <c r="AC1853" s="49"/>
      <c r="AD1853" s="49"/>
      <c r="AE1853" s="49" t="str">
        <f>IFERROR(__xludf.DUMMYFUNCTION("""COMPUTED_VALUE"""),"mankind")</f>
        <v>mankind</v>
      </c>
      <c r="AF1853" s="49" t="str">
        <f t="shared" si="4"/>
        <v>education,</v>
      </c>
      <c r="AG1853" s="49"/>
      <c r="AH1853" s="1" t="s">
        <v>4206</v>
      </c>
      <c r="AI1853" s="1" t="s">
        <v>2875</v>
      </c>
      <c r="AJ1853" s="6" t="str">
        <f>IFERROR(__xludf.DUMMYFUNCTION("""COMPUTED_VALUE"""),"required")</f>
        <v>required</v>
      </c>
      <c r="AK1853" s="49"/>
      <c r="AL1853" s="49"/>
      <c r="AM1853" s="49"/>
      <c r="AN1853" s="52" t="str">
        <f t="shared" si="5"/>
        <v>vision,</v>
      </c>
    </row>
    <row r="1854">
      <c r="A1854" s="51"/>
      <c r="B1854" s="50" t="s">
        <v>5307</v>
      </c>
      <c r="C1854" s="50" t="s">
        <v>4127</v>
      </c>
      <c r="D1854" s="49" t="str">
        <f>IFERROR(__xludf.DUMMYFUNCTION("""COMPUTED_VALUE"""),"holds")</f>
        <v>holds</v>
      </c>
      <c r="E1854" s="49"/>
      <c r="F1854" s="49"/>
      <c r="G1854" s="49"/>
      <c r="H1854" s="54" t="str">
        <f t="shared" si="1"/>
        <v>granted,</v>
      </c>
      <c r="I1854" s="50"/>
      <c r="J1854" s="50" t="s">
        <v>3698</v>
      </c>
      <c r="K1854" s="50" t="s">
        <v>5086</v>
      </c>
      <c r="L1854" s="49"/>
      <c r="M1854" s="49"/>
      <c r="N1854" s="49"/>
      <c r="O1854" s="49" t="str">
        <f>IFERROR(__xludf.DUMMYFUNCTION("""COMPUTED_VALUE"""),"wasp")</f>
        <v>wasp</v>
      </c>
      <c r="P1854" s="49" t="str">
        <f t="shared" si="2"/>
        <v>theory,</v>
      </c>
      <c r="Q1854" s="49"/>
      <c r="R1854" s="50" t="s">
        <v>2601</v>
      </c>
      <c r="S1854" s="55" t="s">
        <v>3240</v>
      </c>
      <c r="T1854" s="49"/>
      <c r="U1854" s="49"/>
      <c r="V1854" s="49"/>
      <c r="W1854" s="49" t="str">
        <f>IFERROR(__xludf.DUMMYFUNCTION("""COMPUTED_VALUE"""),"brutality")</f>
        <v>brutality</v>
      </c>
      <c r="X1854" s="49" t="str">
        <f t="shared" si="3"/>
        <v>slender,</v>
      </c>
      <c r="Y1854" s="49"/>
      <c r="Z1854" s="1" t="s">
        <v>3340</v>
      </c>
      <c r="AA1854" s="1" t="s">
        <v>4042</v>
      </c>
      <c r="AB1854" s="49"/>
      <c r="AC1854" s="49"/>
      <c r="AD1854" s="49"/>
      <c r="AE1854" s="49" t="str">
        <f>IFERROR(__xludf.DUMMYFUNCTION("""COMPUTED_VALUE"""),"wasp")</f>
        <v>wasp</v>
      </c>
      <c r="AF1854" s="49" t="str">
        <f t="shared" si="4"/>
        <v>detail,</v>
      </c>
      <c r="AG1854" s="49"/>
      <c r="AH1854" s="1" t="s">
        <v>4875</v>
      </c>
      <c r="AI1854" s="1" t="s">
        <v>6589</v>
      </c>
      <c r="AJ1854" s="6" t="str">
        <f>IFERROR(__xludf.DUMMYFUNCTION("""COMPUTED_VALUE"""),"stories")</f>
        <v>stories</v>
      </c>
      <c r="AK1854" s="49"/>
      <c r="AL1854" s="49"/>
      <c r="AM1854" s="49"/>
      <c r="AN1854" s="52" t="str">
        <f t="shared" si="5"/>
        <v>inner,</v>
      </c>
    </row>
    <row r="1855">
      <c r="A1855" s="51"/>
      <c r="B1855" s="50" t="s">
        <v>6685</v>
      </c>
      <c r="C1855" s="50" t="s">
        <v>4114</v>
      </c>
      <c r="D1855" s="49" t="str">
        <f>IFERROR(__xludf.DUMMYFUNCTION("""COMPUTED_VALUE"""),"becoming")</f>
        <v>becoming</v>
      </c>
      <c r="E1855" s="49"/>
      <c r="F1855" s="49"/>
      <c r="G1855" s="49"/>
      <c r="H1855" s="54" t="str">
        <f t="shared" si="1"/>
        <v>hits,</v>
      </c>
      <c r="I1855" s="50"/>
      <c r="J1855" s="50" t="s">
        <v>2257</v>
      </c>
      <c r="K1855" s="50" t="s">
        <v>3441</v>
      </c>
      <c r="L1855" s="49"/>
      <c r="M1855" s="49"/>
      <c r="N1855" s="49"/>
      <c r="O1855" s="49" t="str">
        <f>IFERROR(__xludf.DUMMYFUNCTION("""COMPUTED_VALUE"""),"weber")</f>
        <v>weber</v>
      </c>
      <c r="P1855" s="49" t="str">
        <f t="shared" si="2"/>
        <v>punishment,</v>
      </c>
      <c r="Q1855" s="49"/>
      <c r="R1855" s="50" t="s">
        <v>2012</v>
      </c>
      <c r="S1855" s="55" t="s">
        <v>1746</v>
      </c>
      <c r="T1855" s="49"/>
      <c r="U1855" s="49"/>
      <c r="V1855" s="49"/>
      <c r="W1855" s="49" t="str">
        <f>IFERROR(__xludf.DUMMYFUNCTION("""COMPUTED_VALUE"""),"survives")</f>
        <v>survives</v>
      </c>
      <c r="X1855" s="49" t="str">
        <f t="shared" si="3"/>
        <v>assembled,</v>
      </c>
      <c r="Y1855" s="49"/>
      <c r="Z1855" s="1" t="s">
        <v>5326</v>
      </c>
      <c r="AA1855" s="1" t="s">
        <v>4047</v>
      </c>
      <c r="AB1855" s="49"/>
      <c r="AC1855" s="49"/>
      <c r="AD1855" s="49"/>
      <c r="AE1855" s="49" t="str">
        <f>IFERROR(__xludf.DUMMYFUNCTION("""COMPUTED_VALUE"""),"weber")</f>
        <v>weber</v>
      </c>
      <c r="AF1855" s="49" t="str">
        <f t="shared" si="4"/>
        <v>aspect,</v>
      </c>
      <c r="AG1855" s="49"/>
      <c r="AH1855" s="1" t="s">
        <v>2135</v>
      </c>
      <c r="AI1855" s="1" t="s">
        <v>4978</v>
      </c>
      <c r="AJ1855" s="6" t="str">
        <f>IFERROR(__xludf.DUMMYFUNCTION("""COMPUTED_VALUE"""),"lover")</f>
        <v>lover</v>
      </c>
      <c r="AK1855" s="49"/>
      <c r="AL1855" s="49"/>
      <c r="AM1855" s="49"/>
      <c r="AN1855" s="52" t="str">
        <f t="shared" si="5"/>
        <v>decided,</v>
      </c>
    </row>
    <row r="1856">
      <c r="A1856" s="51"/>
      <c r="B1856" s="50" t="s">
        <v>645</v>
      </c>
      <c r="C1856" s="50" t="s">
        <v>271</v>
      </c>
      <c r="D1856" s="49" t="str">
        <f>IFERROR(__xludf.DUMMYFUNCTION("""COMPUTED_VALUE"""),"lee")</f>
        <v>lee</v>
      </c>
      <c r="E1856" s="49"/>
      <c r="F1856" s="49"/>
      <c r="G1856" s="49"/>
      <c r="H1856" s="54" t="str">
        <f t="shared" si="1"/>
        <v>moments,</v>
      </c>
      <c r="I1856" s="50"/>
      <c r="J1856" s="50" t="s">
        <v>5327</v>
      </c>
      <c r="K1856" s="50" t="s">
        <v>1917</v>
      </c>
      <c r="L1856" s="49"/>
      <c r="M1856" s="49"/>
      <c r="N1856" s="49"/>
      <c r="O1856" s="49" t="str">
        <f>IFERROR(__xludf.DUMMYFUNCTION("""COMPUTED_VALUE"""),"stud")</f>
        <v>stud</v>
      </c>
      <c r="P1856" s="49" t="str">
        <f t="shared" si="2"/>
        <v>numbers,</v>
      </c>
      <c r="Q1856" s="49"/>
      <c r="R1856" s="50" t="s">
        <v>3533</v>
      </c>
      <c r="S1856" s="55" t="s">
        <v>6590</v>
      </c>
      <c r="T1856" s="49"/>
      <c r="U1856" s="49"/>
      <c r="V1856" s="49"/>
      <c r="W1856" s="49" t="str">
        <f>IFERROR(__xludf.DUMMYFUNCTION("""COMPUTED_VALUE"""),"enabling")</f>
        <v>enabling</v>
      </c>
      <c r="X1856" s="49" t="str">
        <f t="shared" si="3"/>
        <v>knees,</v>
      </c>
      <c r="Y1856" s="49"/>
      <c r="Z1856" s="1" t="s">
        <v>2539</v>
      </c>
      <c r="AA1856" s="1">
        <v>83.0</v>
      </c>
      <c r="AB1856" s="49"/>
      <c r="AC1856" s="49"/>
      <c r="AD1856" s="49"/>
      <c r="AE1856" s="49" t="str">
        <f>IFERROR(__xludf.DUMMYFUNCTION("""COMPUTED_VALUE"""),"stud")</f>
        <v>stud</v>
      </c>
      <c r="AF1856" s="49" t="str">
        <f t="shared" si="4"/>
        <v>sexual,</v>
      </c>
      <c r="AG1856" s="49"/>
      <c r="AH1856" s="1" t="s">
        <v>2307</v>
      </c>
      <c r="AI1856" s="1" t="s">
        <v>1940</v>
      </c>
      <c r="AJ1856" s="6" t="str">
        <f>IFERROR(__xludf.DUMMYFUNCTION("""COMPUTED_VALUE"""),"office")</f>
        <v>office</v>
      </c>
      <c r="AK1856" s="49"/>
      <c r="AL1856" s="49"/>
      <c r="AM1856" s="49"/>
      <c r="AN1856" s="52" t="str">
        <f t="shared" si="5"/>
        <v>clear,</v>
      </c>
    </row>
    <row r="1857">
      <c r="A1857" s="51"/>
      <c r="B1857" s="50" t="s">
        <v>2736</v>
      </c>
      <c r="C1857" s="50" t="s">
        <v>2979</v>
      </c>
      <c r="D1857" s="49" t="str">
        <f>IFERROR(__xludf.DUMMYFUNCTION("""COMPUTED_VALUE"""),"spike")</f>
        <v>spike</v>
      </c>
      <c r="E1857" s="49"/>
      <c r="F1857" s="49"/>
      <c r="G1857" s="49"/>
      <c r="H1857" s="54" t="str">
        <f t="shared" si="1"/>
        <v>economics,</v>
      </c>
      <c r="I1857" s="50"/>
      <c r="J1857" s="50" t="s">
        <v>3712</v>
      </c>
      <c r="K1857" s="50" t="s">
        <v>5088</v>
      </c>
      <c r="L1857" s="49"/>
      <c r="M1857" s="49"/>
      <c r="N1857" s="49"/>
      <c r="O1857" s="49" t="str">
        <f>IFERROR(__xludf.DUMMYFUNCTION("""COMPUTED_VALUE"""),"terrorism")</f>
        <v>terrorism</v>
      </c>
      <c r="P1857" s="49" t="str">
        <f t="shared" si="2"/>
        <v>adaptations,</v>
      </c>
      <c r="Q1857" s="49"/>
      <c r="R1857" s="50" t="s">
        <v>1242</v>
      </c>
      <c r="S1857" s="55" t="s">
        <v>6591</v>
      </c>
      <c r="T1857" s="49"/>
      <c r="U1857" s="49"/>
      <c r="V1857" s="49"/>
      <c r="W1857" s="49" t="str">
        <f>IFERROR(__xludf.DUMMYFUNCTION("""COMPUTED_VALUE"""),"compositions")</f>
        <v>compositions</v>
      </c>
      <c r="X1857" s="49" t="str">
        <f t="shared" si="3"/>
        <v>amused,</v>
      </c>
      <c r="Y1857" s="49"/>
      <c r="Z1857" s="1" t="s">
        <v>3406</v>
      </c>
      <c r="AA1857" s="1" t="s">
        <v>1163</v>
      </c>
      <c r="AB1857" s="49"/>
      <c r="AC1857" s="49"/>
      <c r="AD1857" s="49"/>
      <c r="AE1857" s="49" t="str">
        <f>IFERROR(__xludf.DUMMYFUNCTION("""COMPUTED_VALUE"""),"terrorism")</f>
        <v>terrorism</v>
      </c>
      <c r="AF1857" s="49" t="str">
        <f t="shared" si="4"/>
        <v>frightening,</v>
      </c>
      <c r="AG1857" s="49"/>
      <c r="AH1857" s="1" t="s">
        <v>6427</v>
      </c>
      <c r="AI1857" s="1" t="s">
        <v>2879</v>
      </c>
      <c r="AJ1857" s="6" t="str">
        <f>IFERROR(__xludf.DUMMYFUNCTION("""COMPUTED_VALUE"""),"male")</f>
        <v>male</v>
      </c>
      <c r="AK1857" s="49"/>
      <c r="AL1857" s="49"/>
      <c r="AM1857" s="49"/>
      <c r="AN1857" s="52" t="str">
        <f t="shared" si="5"/>
        <v>apart,</v>
      </c>
    </row>
    <row r="1858">
      <c r="A1858" s="51"/>
      <c r="B1858" s="50" t="s">
        <v>2188</v>
      </c>
      <c r="C1858" s="50" t="s">
        <v>2735</v>
      </c>
      <c r="D1858" s="49" t="str">
        <f>IFERROR(__xludf.DUMMYFUNCTION("""COMPUTED_VALUE"""),"said")</f>
        <v>said</v>
      </c>
      <c r="E1858" s="49"/>
      <c r="F1858" s="49"/>
      <c r="G1858" s="49"/>
      <c r="H1858" s="54" t="str">
        <f t="shared" si="1"/>
        <v>fantasy,</v>
      </c>
      <c r="I1858" s="50"/>
      <c r="J1858" s="50" t="s">
        <v>4282</v>
      </c>
      <c r="K1858" s="50" t="s">
        <v>79</v>
      </c>
      <c r="L1858" s="49"/>
      <c r="M1858" s="49"/>
      <c r="N1858" s="49"/>
      <c r="O1858" s="49" t="str">
        <f>IFERROR(__xludf.DUMMYFUNCTION("""COMPUTED_VALUE"""),"sociology")</f>
        <v>sociology</v>
      </c>
      <c r="P1858" s="49" t="str">
        <f t="shared" si="2"/>
        <v>social,</v>
      </c>
      <c r="Q1858" s="49"/>
      <c r="R1858" s="50" t="s">
        <v>6409</v>
      </c>
      <c r="S1858" s="55" t="s">
        <v>4375</v>
      </c>
      <c r="T1858" s="49"/>
      <c r="U1858" s="49"/>
      <c r="V1858" s="49"/>
      <c r="W1858" s="49" t="str">
        <f>IFERROR(__xludf.DUMMYFUNCTION("""COMPUTED_VALUE"""),"impetus")</f>
        <v>impetus</v>
      </c>
      <c r="X1858" s="49" t="str">
        <f t="shared" si="3"/>
        <v>push,</v>
      </c>
      <c r="Y1858" s="49"/>
      <c r="Z1858" s="1" t="s">
        <v>1547</v>
      </c>
      <c r="AA1858" s="1" t="s">
        <v>5089</v>
      </c>
      <c r="AB1858" s="49"/>
      <c r="AC1858" s="49"/>
      <c r="AD1858" s="49"/>
      <c r="AE1858" s="49" t="str">
        <f>IFERROR(__xludf.DUMMYFUNCTION("""COMPUTED_VALUE"""),"sociology")</f>
        <v>sociology</v>
      </c>
      <c r="AF1858" s="49" t="str">
        <f t="shared" si="4"/>
        <v>grade,</v>
      </c>
      <c r="AG1858" s="49"/>
      <c r="AH1858" s="1" t="s">
        <v>1866</v>
      </c>
      <c r="AI1858" s="1" t="s">
        <v>4456</v>
      </c>
      <c r="AJ1858" s="6" t="str">
        <f>IFERROR(__xludf.DUMMYFUNCTION("""COMPUTED_VALUE"""),"campus")</f>
        <v>campus</v>
      </c>
      <c r="AK1858" s="49"/>
      <c r="AL1858" s="49"/>
      <c r="AM1858" s="49"/>
      <c r="AN1858" s="52" t="str">
        <f t="shared" si="5"/>
        <v>pilot,</v>
      </c>
    </row>
    <row r="1859">
      <c r="A1859" s="51"/>
      <c r="B1859" s="50" t="s">
        <v>3778</v>
      </c>
      <c r="C1859" s="50" t="s">
        <v>6592</v>
      </c>
      <c r="D1859" s="49" t="str">
        <f>IFERROR(__xludf.DUMMYFUNCTION("""COMPUTED_VALUE"""),"trust")</f>
        <v>trust</v>
      </c>
      <c r="E1859" s="49"/>
      <c r="F1859" s="49"/>
      <c r="G1859" s="49"/>
      <c r="H1859" s="54" t="str">
        <f t="shared" si="1"/>
        <v>lift,</v>
      </c>
      <c r="I1859" s="50"/>
      <c r="J1859" s="50" t="s">
        <v>2365</v>
      </c>
      <c r="K1859" s="50" t="s">
        <v>5091</v>
      </c>
      <c r="L1859" s="49"/>
      <c r="M1859" s="49"/>
      <c r="N1859" s="49"/>
      <c r="O1859" s="49" t="str">
        <f>IFERROR(__xludf.DUMMYFUNCTION("""COMPUTED_VALUE"""),"depicted")</f>
        <v>depicted</v>
      </c>
      <c r="P1859" s="49" t="str">
        <f t="shared" si="2"/>
        <v>jackson,</v>
      </c>
      <c r="Q1859" s="49"/>
      <c r="R1859" s="50" t="s">
        <v>2114</v>
      </c>
      <c r="S1859" s="55" t="s">
        <v>2963</v>
      </c>
      <c r="T1859" s="49"/>
      <c r="U1859" s="49"/>
      <c r="V1859" s="49"/>
      <c r="W1859" s="49" t="str">
        <f>IFERROR(__xludf.DUMMYFUNCTION("""COMPUTED_VALUE"""),"castro")</f>
        <v>castro</v>
      </c>
      <c r="X1859" s="49" t="str">
        <f t="shared" si="3"/>
        <v>subjected,</v>
      </c>
      <c r="Y1859" s="49"/>
      <c r="Z1859" s="1" t="s">
        <v>3291</v>
      </c>
      <c r="AA1859" s="1" t="s">
        <v>3437</v>
      </c>
      <c r="AB1859" s="49"/>
      <c r="AC1859" s="49"/>
      <c r="AD1859" s="49"/>
      <c r="AE1859" s="49" t="str">
        <f>IFERROR(__xludf.DUMMYFUNCTION("""COMPUTED_VALUE"""),"depicted")</f>
        <v>depicted</v>
      </c>
      <c r="AF1859" s="49" t="str">
        <f t="shared" si="4"/>
        <v>intimate,</v>
      </c>
      <c r="AG1859" s="49"/>
      <c r="AH1859" s="1" t="s">
        <v>638</v>
      </c>
      <c r="AI1859" s="1" t="s">
        <v>4803</v>
      </c>
      <c r="AJ1859" s="6" t="str">
        <f>IFERROR(__xludf.DUMMYFUNCTION("""COMPUTED_VALUE"""),"primarily")</f>
        <v>primarily</v>
      </c>
      <c r="AK1859" s="49"/>
      <c r="AL1859" s="49"/>
      <c r="AM1859" s="49"/>
      <c r="AN1859" s="52" t="str">
        <f t="shared" si="5"/>
        <v>fourth,</v>
      </c>
    </row>
    <row r="1860">
      <c r="A1860" s="51"/>
      <c r="B1860" s="50" t="s">
        <v>5479</v>
      </c>
      <c r="C1860" s="50" t="s">
        <v>2773</v>
      </c>
      <c r="D1860" s="49" t="str">
        <f>IFERROR(__xludf.DUMMYFUNCTION("""COMPUTED_VALUE"""),"talk")</f>
        <v>talk</v>
      </c>
      <c r="E1860" s="49"/>
      <c r="F1860" s="49"/>
      <c r="G1860" s="49"/>
      <c r="H1860" s="54" t="str">
        <f t="shared" si="1"/>
        <v>experimental,</v>
      </c>
      <c r="I1860" s="50"/>
      <c r="J1860" s="50" t="s">
        <v>6648</v>
      </c>
      <c r="K1860" s="50" t="s">
        <v>5093</v>
      </c>
      <c r="L1860" s="49"/>
      <c r="M1860" s="49"/>
      <c r="N1860" s="49"/>
      <c r="O1860" s="49" t="str">
        <f>IFERROR(__xludf.DUMMYFUNCTION("""COMPUTED_VALUE"""),"gesturing")</f>
        <v>gesturing</v>
      </c>
      <c r="P1860" s="49" t="str">
        <f t="shared" si="2"/>
        <v>issue,</v>
      </c>
      <c r="Q1860" s="49"/>
      <c r="R1860" s="50" t="s">
        <v>2854</v>
      </c>
      <c r="S1860" s="55" t="s">
        <v>4379</v>
      </c>
      <c r="T1860" s="49"/>
      <c r="U1860" s="49"/>
      <c r="V1860" s="49"/>
      <c r="W1860" s="49" t="str">
        <f>IFERROR(__xludf.DUMMYFUNCTION("""COMPUTED_VALUE"""),"palm")</f>
        <v>palm</v>
      </c>
      <c r="X1860" s="49" t="str">
        <f t="shared" si="3"/>
        <v>refusal,</v>
      </c>
      <c r="Y1860" s="49"/>
      <c r="Z1860" s="1" t="s">
        <v>3710</v>
      </c>
      <c r="AA1860" s="1" t="s">
        <v>78</v>
      </c>
      <c r="AB1860" s="49"/>
      <c r="AC1860" s="49"/>
      <c r="AD1860" s="49"/>
      <c r="AE1860" s="49" t="str">
        <f>IFERROR(__xludf.DUMMYFUNCTION("""COMPUTED_VALUE"""),"gesturing")</f>
        <v>gesturing</v>
      </c>
      <c r="AF1860" s="49" t="str">
        <f t="shared" si="4"/>
        <v>bear,</v>
      </c>
      <c r="AG1860" s="49"/>
      <c r="AH1860" s="1" t="s">
        <v>5911</v>
      </c>
      <c r="AI1860" s="1" t="s">
        <v>1820</v>
      </c>
      <c r="AJ1860" s="6" t="str">
        <f>IFERROR(__xludf.DUMMYFUNCTION("""COMPUTED_VALUE"""),"wrapped")</f>
        <v>wrapped</v>
      </c>
      <c r="AK1860" s="49"/>
      <c r="AL1860" s="49"/>
      <c r="AM1860" s="49"/>
      <c r="AN1860" s="52" t="str">
        <f t="shared" si="5"/>
        <v>nick,</v>
      </c>
    </row>
    <row r="1861">
      <c r="A1861" s="51"/>
      <c r="B1861" s="50" t="s">
        <v>5748</v>
      </c>
      <c r="C1861" s="50" t="s">
        <v>1484</v>
      </c>
      <c r="D1861" s="49" t="str">
        <f>IFERROR(__xludf.DUMMYFUNCTION("""COMPUTED_VALUE"""),"interior")</f>
        <v>interior</v>
      </c>
      <c r="E1861" s="49"/>
      <c r="F1861" s="49"/>
      <c r="G1861" s="49"/>
      <c r="H1861" s="54" t="str">
        <f t="shared" si="1"/>
        <v>benefits,</v>
      </c>
      <c r="I1861" s="50"/>
      <c r="J1861" s="50" t="s">
        <v>3538</v>
      </c>
      <c r="K1861" s="50" t="s">
        <v>3639</v>
      </c>
      <c r="L1861" s="49"/>
      <c r="M1861" s="49"/>
      <c r="N1861" s="49"/>
      <c r="O1861" s="49" t="str">
        <f>IFERROR(__xludf.DUMMYFUNCTION("""COMPUTED_VALUE"""),"attracting")</f>
        <v>attracting</v>
      </c>
      <c r="P1861" s="49" t="str">
        <f t="shared" si="2"/>
        <v>immersed,</v>
      </c>
      <c r="Q1861" s="49"/>
      <c r="R1861" s="50" t="s">
        <v>968</v>
      </c>
      <c r="S1861" s="55" t="s">
        <v>1541</v>
      </c>
      <c r="T1861" s="49"/>
      <c r="U1861" s="49"/>
      <c r="V1861" s="49"/>
      <c r="W1861" s="49" t="str">
        <f>IFERROR(__xludf.DUMMYFUNCTION("""COMPUTED_VALUE"""),"porn")</f>
        <v>porn</v>
      </c>
      <c r="X1861" s="49" t="str">
        <f t="shared" si="3"/>
        <v>clarity,</v>
      </c>
      <c r="Y1861" s="49"/>
      <c r="Z1861" s="1" t="s">
        <v>5153</v>
      </c>
      <c r="AA1861" s="1" t="s">
        <v>2232</v>
      </c>
      <c r="AB1861" s="49"/>
      <c r="AC1861" s="49"/>
      <c r="AD1861" s="49"/>
      <c r="AE1861" s="49" t="str">
        <f>IFERROR(__xludf.DUMMYFUNCTION("""COMPUTED_VALUE"""),"attracting")</f>
        <v>attracting</v>
      </c>
      <c r="AF1861" s="49" t="str">
        <f t="shared" si="4"/>
        <v>carved,</v>
      </c>
      <c r="AG1861" s="49"/>
      <c r="AH1861" s="1" t="s">
        <v>6873</v>
      </c>
      <c r="AI1861" s="1" t="s">
        <v>6447</v>
      </c>
      <c r="AJ1861" s="6" t="str">
        <f>IFERROR(__xludf.DUMMYFUNCTION("""COMPUTED_VALUE"""),"decline")</f>
        <v>decline</v>
      </c>
      <c r="AK1861" s="49"/>
      <c r="AL1861" s="49"/>
      <c r="AM1861" s="49"/>
      <c r="AN1861" s="52" t="str">
        <f t="shared" si="5"/>
        <v>plastic,</v>
      </c>
    </row>
    <row r="1862">
      <c r="A1862" s="51"/>
      <c r="B1862" s="50" t="s">
        <v>5939</v>
      </c>
      <c r="C1862" s="50" t="s">
        <v>4646</v>
      </c>
      <c r="D1862" s="49" t="str">
        <f>IFERROR(__xludf.DUMMYFUNCTION("""COMPUTED_VALUE"""),"party")</f>
        <v>party</v>
      </c>
      <c r="E1862" s="49"/>
      <c r="F1862" s="49"/>
      <c r="G1862" s="49"/>
      <c r="H1862" s="54" t="str">
        <f t="shared" si="1"/>
        <v>senses,</v>
      </c>
      <c r="I1862" s="50"/>
      <c r="J1862" s="50" t="s">
        <v>7465</v>
      </c>
      <c r="K1862" s="50" t="s">
        <v>1889</v>
      </c>
      <c r="L1862" s="49"/>
      <c r="M1862" s="49"/>
      <c r="N1862" s="49"/>
      <c r="O1862" s="49" t="str">
        <f>IFERROR(__xludf.DUMMYFUNCTION("""COMPUTED_VALUE"""),"debts")</f>
        <v>debts</v>
      </c>
      <c r="P1862" s="49" t="str">
        <f t="shared" si="2"/>
        <v>mason,</v>
      </c>
      <c r="Q1862" s="49"/>
      <c r="R1862" s="50" t="s">
        <v>2896</v>
      </c>
      <c r="S1862" s="55" t="s">
        <v>4382</v>
      </c>
      <c r="T1862" s="49"/>
      <c r="U1862" s="49"/>
      <c r="V1862" s="49"/>
      <c r="W1862" s="49" t="str">
        <f>IFERROR(__xludf.DUMMYFUNCTION("""COMPUTED_VALUE"""),"critique")</f>
        <v>critique</v>
      </c>
      <c r="X1862" s="49" t="str">
        <f t="shared" si="3"/>
        <v>places,</v>
      </c>
      <c r="Y1862" s="49"/>
      <c r="Z1862" s="1" t="s">
        <v>7350</v>
      </c>
      <c r="AA1862" s="1" t="s">
        <v>97</v>
      </c>
      <c r="AB1862" s="49"/>
      <c r="AC1862" s="49"/>
      <c r="AD1862" s="49"/>
      <c r="AE1862" s="49" t="str">
        <f>IFERROR(__xludf.DUMMYFUNCTION("""COMPUTED_VALUE"""),"debts")</f>
        <v>debts</v>
      </c>
      <c r="AF1862" s="49" t="str">
        <f t="shared" si="4"/>
        <v>rude,</v>
      </c>
      <c r="AG1862" s="49"/>
      <c r="AH1862" s="1" t="s">
        <v>2752</v>
      </c>
      <c r="AI1862" s="1" t="s">
        <v>1661</v>
      </c>
      <c r="AJ1862" s="6" t="str">
        <f>IFERROR(__xludf.DUMMYFUNCTION("""COMPUTED_VALUE"""),"cream")</f>
        <v>cream</v>
      </c>
      <c r="AK1862" s="49"/>
      <c r="AL1862" s="49"/>
      <c r="AM1862" s="49"/>
      <c r="AN1862" s="52" t="str">
        <f t="shared" si="5"/>
        <v>means,</v>
      </c>
    </row>
    <row r="1863">
      <c r="A1863" s="51"/>
      <c r="B1863" s="50" t="s">
        <v>6081</v>
      </c>
      <c r="C1863" s="50" t="s">
        <v>2985</v>
      </c>
      <c r="D1863" s="49" t="str">
        <f>IFERROR(__xludf.DUMMYFUNCTION("""COMPUTED_VALUE"""),"telling")</f>
        <v>telling</v>
      </c>
      <c r="E1863" s="49"/>
      <c r="F1863" s="49"/>
      <c r="G1863" s="49"/>
      <c r="H1863" s="54" t="str">
        <f t="shared" si="1"/>
        <v>controlling,</v>
      </c>
      <c r="I1863" s="50"/>
      <c r="J1863" s="50" t="s">
        <v>2182</v>
      </c>
      <c r="K1863" s="50" t="s">
        <v>5096</v>
      </c>
      <c r="L1863" s="49"/>
      <c r="M1863" s="49"/>
      <c r="N1863" s="49"/>
      <c r="O1863" s="49" t="str">
        <f>IFERROR(__xludf.DUMMYFUNCTION("""COMPUTED_VALUE"""),"murderous")</f>
        <v>murderous</v>
      </c>
      <c r="P1863" s="49" t="str">
        <f t="shared" si="2"/>
        <v>context,</v>
      </c>
      <c r="Q1863" s="49"/>
      <c r="R1863" s="50" t="s">
        <v>2435</v>
      </c>
      <c r="S1863" s="55" t="s">
        <v>6451</v>
      </c>
      <c r="T1863" s="49"/>
      <c r="U1863" s="49"/>
      <c r="V1863" s="49"/>
      <c r="W1863" s="49" t="str">
        <f>IFERROR(__xludf.DUMMYFUNCTION("""COMPUTED_VALUE"""),"rose")</f>
        <v>rose</v>
      </c>
      <c r="X1863" s="49" t="str">
        <f t="shared" si="3"/>
        <v>excited,</v>
      </c>
      <c r="Y1863" s="49"/>
      <c r="Z1863" s="1" t="s">
        <v>2911</v>
      </c>
      <c r="AA1863" s="1" t="s">
        <v>1656</v>
      </c>
      <c r="AB1863" s="49"/>
      <c r="AC1863" s="49"/>
      <c r="AD1863" s="49"/>
      <c r="AE1863" s="49" t="str">
        <f>IFERROR(__xludf.DUMMYFUNCTION("""COMPUTED_VALUE"""),"murderous")</f>
        <v>murderous</v>
      </c>
      <c r="AF1863" s="49" t="str">
        <f t="shared" si="4"/>
        <v>pleasure,</v>
      </c>
      <c r="AG1863" s="49"/>
      <c r="AH1863" s="1" t="s">
        <v>3076</v>
      </c>
      <c r="AI1863" s="1" t="s">
        <v>602</v>
      </c>
      <c r="AJ1863" s="6" t="str">
        <f>IFERROR(__xludf.DUMMYFUNCTION("""COMPUTED_VALUE"""),"mainstream")</f>
        <v>mainstream</v>
      </c>
      <c r="AK1863" s="49"/>
      <c r="AL1863" s="49"/>
      <c r="AM1863" s="49"/>
      <c r="AN1863" s="52" t="str">
        <f t="shared" si="5"/>
        <v>tongue,</v>
      </c>
    </row>
    <row r="1864">
      <c r="A1864" s="51"/>
      <c r="B1864" s="50" t="s">
        <v>4789</v>
      </c>
      <c r="C1864" s="50" t="s">
        <v>5434</v>
      </c>
      <c r="D1864" s="49" t="str">
        <f>IFERROR(__xludf.DUMMYFUNCTION("""COMPUTED_VALUE"""),"arguments")</f>
        <v>arguments</v>
      </c>
      <c r="E1864" s="49"/>
      <c r="F1864" s="49"/>
      <c r="G1864" s="49"/>
      <c r="H1864" s="54" t="str">
        <f t="shared" si="1"/>
        <v>comedian,</v>
      </c>
      <c r="I1864" s="50"/>
      <c r="J1864" s="50" t="s">
        <v>5772</v>
      </c>
      <c r="K1864" s="50" t="s">
        <v>3446</v>
      </c>
      <c r="L1864" s="49"/>
      <c r="M1864" s="49"/>
      <c r="N1864" s="49"/>
      <c r="O1864" s="49" t="str">
        <f>IFERROR(__xludf.DUMMYFUNCTION("""COMPUTED_VALUE"""),"chimney")</f>
        <v>chimney</v>
      </c>
      <c r="P1864" s="49" t="str">
        <f t="shared" si="2"/>
        <v>spoken,</v>
      </c>
      <c r="Q1864" s="49"/>
      <c r="R1864" s="50" t="s">
        <v>3437</v>
      </c>
      <c r="S1864" s="55" t="s">
        <v>2967</v>
      </c>
      <c r="T1864" s="49"/>
      <c r="U1864" s="49"/>
      <c r="V1864" s="49"/>
      <c r="W1864" s="49" t="str">
        <f>IFERROR(__xludf.DUMMYFUNCTION("""COMPUTED_VALUE"""),"diver")</f>
        <v>diver</v>
      </c>
      <c r="X1864" s="49" t="str">
        <f t="shared" si="3"/>
        <v>reminder,</v>
      </c>
      <c r="Y1864" s="49"/>
      <c r="Z1864" s="1" t="s">
        <v>489</v>
      </c>
      <c r="AA1864" s="1" t="s">
        <v>5097</v>
      </c>
      <c r="AB1864" s="49"/>
      <c r="AC1864" s="49"/>
      <c r="AD1864" s="49"/>
      <c r="AE1864" s="49" t="str">
        <f>IFERROR(__xludf.DUMMYFUNCTION("""COMPUTED_VALUE"""),"chimney")</f>
        <v>chimney</v>
      </c>
      <c r="AF1864" s="49" t="str">
        <f t="shared" si="4"/>
        <v>abuse,</v>
      </c>
      <c r="AG1864" s="49"/>
      <c r="AH1864" s="1" t="s">
        <v>3484</v>
      </c>
      <c r="AI1864" s="1" t="s">
        <v>4267</v>
      </c>
      <c r="AJ1864" s="6" t="str">
        <f>IFERROR(__xludf.DUMMYFUNCTION("""COMPUTED_VALUE"""),"serving")</f>
        <v>serving</v>
      </c>
      <c r="AK1864" s="49"/>
      <c r="AL1864" s="49"/>
      <c r="AM1864" s="49"/>
      <c r="AN1864" s="52" t="str">
        <f t="shared" si="5"/>
        <v>wet,</v>
      </c>
    </row>
    <row r="1865">
      <c r="A1865" s="51"/>
      <c r="B1865" s="50" t="s">
        <v>1372</v>
      </c>
      <c r="C1865" s="50" t="s">
        <v>1528</v>
      </c>
      <c r="D1865" s="49" t="str">
        <f>IFERROR(__xludf.DUMMYFUNCTION("""COMPUTED_VALUE"""),"missing")</f>
        <v>missing</v>
      </c>
      <c r="E1865" s="49"/>
      <c r="F1865" s="49"/>
      <c r="G1865" s="49"/>
      <c r="H1865" s="54" t="str">
        <f t="shared" si="1"/>
        <v>stock,</v>
      </c>
      <c r="I1865" s="50"/>
      <c r="J1865" s="50" t="s">
        <v>7417</v>
      </c>
      <c r="K1865" s="50" t="s">
        <v>3449</v>
      </c>
      <c r="L1865" s="49"/>
      <c r="M1865" s="49"/>
      <c r="N1865" s="49"/>
      <c r="O1865" s="49" t="str">
        <f>IFERROR(__xludf.DUMMYFUNCTION("""COMPUTED_VALUE"""),"columbia")</f>
        <v>columbia</v>
      </c>
      <c r="P1865" s="49" t="str">
        <f t="shared" si="2"/>
        <v>esteem,</v>
      </c>
      <c r="Q1865" s="49"/>
      <c r="R1865" s="50" t="s">
        <v>5285</v>
      </c>
      <c r="S1865" s="55" t="s">
        <v>5124</v>
      </c>
      <c r="T1865" s="49"/>
      <c r="U1865" s="49"/>
      <c r="V1865" s="49"/>
      <c r="W1865" s="49" t="str">
        <f>IFERROR(__xludf.DUMMYFUNCTION("""COMPUTED_VALUE"""),"prologue")</f>
        <v>prologue</v>
      </c>
      <c r="X1865" s="49" t="str">
        <f t="shared" si="3"/>
        <v>instrument,</v>
      </c>
      <c r="Y1865" s="49"/>
      <c r="Z1865" s="1" t="s">
        <v>2557</v>
      </c>
      <c r="AA1865" s="1" t="s">
        <v>4984</v>
      </c>
      <c r="AB1865" s="49"/>
      <c r="AC1865" s="49"/>
      <c r="AD1865" s="49"/>
      <c r="AE1865" s="49" t="str">
        <f>IFERROR(__xludf.DUMMYFUNCTION("""COMPUTED_VALUE"""),"columbia")</f>
        <v>columbia</v>
      </c>
      <c r="AF1865" s="49" t="str">
        <f t="shared" si="4"/>
        <v>deserve,</v>
      </c>
      <c r="AG1865" s="49"/>
      <c r="AH1865" s="1" t="s">
        <v>5742</v>
      </c>
      <c r="AI1865" s="1" t="s">
        <v>5009</v>
      </c>
      <c r="AJ1865" s="6" t="str">
        <f>IFERROR(__xludf.DUMMYFUNCTION("""COMPUTED_VALUE"""),"describes")</f>
        <v>describes</v>
      </c>
      <c r="AK1865" s="49"/>
      <c r="AL1865" s="49"/>
      <c r="AM1865" s="49"/>
      <c r="AN1865" s="52" t="str">
        <f t="shared" si="5"/>
        <v>cheek,</v>
      </c>
    </row>
    <row r="1866">
      <c r="A1866" s="51"/>
      <c r="B1866" s="50" t="s">
        <v>5997</v>
      </c>
      <c r="C1866" s="50" t="s">
        <v>2990</v>
      </c>
      <c r="D1866" s="49" t="str">
        <f>IFERROR(__xludf.DUMMYFUNCTION("""COMPUTED_VALUE"""),"hunter")</f>
        <v>hunter</v>
      </c>
      <c r="E1866" s="49"/>
      <c r="F1866" s="49"/>
      <c r="G1866" s="49"/>
      <c r="H1866" s="54" t="str">
        <f t="shared" si="1"/>
        <v>threatened,</v>
      </c>
      <c r="I1866" s="50"/>
      <c r="J1866" s="50" t="s">
        <v>1708</v>
      </c>
      <c r="K1866" s="50" t="s">
        <v>1893</v>
      </c>
      <c r="L1866" s="49"/>
      <c r="M1866" s="49"/>
      <c r="N1866" s="49"/>
      <c r="O1866" s="49" t="str">
        <f>IFERROR(__xludf.DUMMYFUNCTION("""COMPUTED_VALUE"""),"detachment")</f>
        <v>detachment</v>
      </c>
      <c r="P1866" s="49" t="str">
        <f t="shared" si="2"/>
        <v>keeping,</v>
      </c>
      <c r="Q1866" s="49"/>
      <c r="R1866" s="50" t="s">
        <v>2065</v>
      </c>
      <c r="S1866" s="55" t="s">
        <v>2922</v>
      </c>
      <c r="T1866" s="49"/>
      <c r="U1866" s="49"/>
      <c r="V1866" s="49"/>
      <c r="W1866" s="49" t="str">
        <f>IFERROR(__xludf.DUMMYFUNCTION("""COMPUTED_VALUE"""),"kane")</f>
        <v>kane</v>
      </c>
      <c r="X1866" s="49" t="str">
        <f t="shared" si="3"/>
        <v>showcases,</v>
      </c>
      <c r="Y1866" s="49"/>
      <c r="Z1866" s="1" t="s">
        <v>2434</v>
      </c>
      <c r="AA1866" s="1" t="s">
        <v>3450</v>
      </c>
      <c r="AB1866" s="49"/>
      <c r="AC1866" s="49"/>
      <c r="AD1866" s="49"/>
      <c r="AE1866" s="49" t="str">
        <f>IFERROR(__xludf.DUMMYFUNCTION("""COMPUTED_VALUE"""),"detachment")</f>
        <v>detachment</v>
      </c>
      <c r="AF1866" s="49" t="str">
        <f t="shared" si="4"/>
        <v>genuine,</v>
      </c>
      <c r="AG1866" s="49"/>
      <c r="AH1866" s="1" t="s">
        <v>3273</v>
      </c>
      <c r="AI1866" s="1" t="s">
        <v>6593</v>
      </c>
      <c r="AJ1866" s="6" t="str">
        <f>IFERROR(__xludf.DUMMYFUNCTION("""COMPUTED_VALUE"""),"accompanied")</f>
        <v>accompanied</v>
      </c>
      <c r="AK1866" s="49"/>
      <c r="AL1866" s="49"/>
      <c r="AM1866" s="49"/>
      <c r="AN1866" s="52" t="str">
        <f t="shared" si="5"/>
        <v>rolling,</v>
      </c>
    </row>
    <row r="1867">
      <c r="A1867" s="51"/>
      <c r="B1867" s="50" t="s">
        <v>2153</v>
      </c>
      <c r="C1867" s="50" t="s">
        <v>5354</v>
      </c>
      <c r="D1867" s="49" t="str">
        <f>IFERROR(__xludf.DUMMYFUNCTION("""COMPUTED_VALUE"""),"rising")</f>
        <v>rising</v>
      </c>
      <c r="E1867" s="49"/>
      <c r="F1867" s="49"/>
      <c r="G1867" s="49"/>
      <c r="H1867" s="54" t="str">
        <f t="shared" si="1"/>
        <v>gentle,</v>
      </c>
      <c r="I1867" s="50"/>
      <c r="J1867" s="50" t="s">
        <v>4048</v>
      </c>
      <c r="K1867" s="50" t="s">
        <v>4725</v>
      </c>
      <c r="L1867" s="49"/>
      <c r="M1867" s="49"/>
      <c r="N1867" s="49"/>
      <c r="O1867" s="49" t="str">
        <f>IFERROR(__xludf.DUMMYFUNCTION("""COMPUTED_VALUE"""),"sharing")</f>
        <v>sharing</v>
      </c>
      <c r="P1867" s="49" t="str">
        <f t="shared" si="2"/>
        <v>ad,</v>
      </c>
      <c r="Q1867" s="49"/>
      <c r="R1867" s="50" t="s">
        <v>4960</v>
      </c>
      <c r="S1867" s="55" t="s">
        <v>4933</v>
      </c>
      <c r="T1867" s="49"/>
      <c r="U1867" s="49"/>
      <c r="V1867" s="49"/>
      <c r="W1867" s="49" t="str">
        <f>IFERROR(__xludf.DUMMYFUNCTION("""COMPUTED_VALUE"""),"antonia")</f>
        <v>antonia</v>
      </c>
      <c r="X1867" s="49" t="str">
        <f t="shared" si="3"/>
        <v>sting,</v>
      </c>
      <c r="Y1867" s="49"/>
      <c r="Z1867" s="1" t="s">
        <v>3877</v>
      </c>
      <c r="AA1867" s="1" t="s">
        <v>5100</v>
      </c>
      <c r="AB1867" s="49"/>
      <c r="AC1867" s="49"/>
      <c r="AD1867" s="49"/>
      <c r="AE1867" s="49" t="str">
        <f>IFERROR(__xludf.DUMMYFUNCTION("""COMPUTED_VALUE"""),"sharing")</f>
        <v>sharing</v>
      </c>
      <c r="AF1867" s="49" t="str">
        <f t="shared" si="4"/>
        <v>arrive,</v>
      </c>
      <c r="AG1867" s="49"/>
      <c r="AH1867" s="1" t="s">
        <v>4559</v>
      </c>
      <c r="AI1867" s="1" t="s">
        <v>1674</v>
      </c>
      <c r="AJ1867" s="6" t="str">
        <f>IFERROR(__xludf.DUMMYFUNCTION("""COMPUTED_VALUE"""),"cover")</f>
        <v>cover</v>
      </c>
      <c r="AK1867" s="49"/>
      <c r="AL1867" s="49"/>
      <c r="AM1867" s="49"/>
      <c r="AN1867" s="52" t="str">
        <f t="shared" si="5"/>
        <v>robinson,</v>
      </c>
    </row>
    <row r="1868">
      <c r="A1868" s="51"/>
      <c r="B1868" s="50" t="s">
        <v>798</v>
      </c>
      <c r="C1868" s="50" t="s">
        <v>2788</v>
      </c>
      <c r="D1868" s="49" t="str">
        <f>IFERROR(__xludf.DUMMYFUNCTION("""COMPUTED_VALUE"""),"jake")</f>
        <v>jake</v>
      </c>
      <c r="E1868" s="49"/>
      <c r="F1868" s="49"/>
      <c r="G1868" s="49"/>
      <c r="H1868" s="54" t="str">
        <f t="shared" si="1"/>
        <v>slight,</v>
      </c>
      <c r="I1868" s="50"/>
      <c r="J1868" s="50" t="s">
        <v>1221</v>
      </c>
      <c r="K1868" s="50" t="s">
        <v>1172</v>
      </c>
      <c r="L1868" s="49"/>
      <c r="M1868" s="49"/>
      <c r="N1868" s="49"/>
      <c r="O1868" s="49" t="str">
        <f>IFERROR(__xludf.DUMMYFUNCTION("""COMPUTED_VALUE"""),"compass")</f>
        <v>compass</v>
      </c>
      <c r="P1868" s="49" t="str">
        <f t="shared" si="2"/>
        <v>length,</v>
      </c>
      <c r="Q1868" s="49"/>
      <c r="R1868" s="50" t="s">
        <v>4884</v>
      </c>
      <c r="S1868" s="55" t="s">
        <v>6594</v>
      </c>
      <c r="T1868" s="49"/>
      <c r="U1868" s="49"/>
      <c r="V1868" s="49"/>
      <c r="W1868" s="49" t="str">
        <f>IFERROR(__xludf.DUMMYFUNCTION("""COMPUTED_VALUE"""),"enlightenment")</f>
        <v>enlightenment</v>
      </c>
      <c r="X1868" s="49" t="str">
        <f t="shared" si="3"/>
        <v>lighting,</v>
      </c>
      <c r="Y1868" s="49"/>
      <c r="Z1868" s="1" t="s">
        <v>6373</v>
      </c>
      <c r="AA1868" s="1" t="s">
        <v>5101</v>
      </c>
      <c r="AB1868" s="49"/>
      <c r="AC1868" s="49"/>
      <c r="AD1868" s="49"/>
      <c r="AE1868" s="49" t="str">
        <f>IFERROR(__xludf.DUMMYFUNCTION("""COMPUTED_VALUE"""),"compass")</f>
        <v>compass</v>
      </c>
      <c r="AF1868" s="49" t="str">
        <f t="shared" si="4"/>
        <v>conclusion,</v>
      </c>
      <c r="AG1868" s="49"/>
      <c r="AH1868" s="1" t="s">
        <v>294</v>
      </c>
      <c r="AI1868" s="1" t="s">
        <v>6595</v>
      </c>
      <c r="AJ1868" s="6" t="str">
        <f>IFERROR(__xludf.DUMMYFUNCTION("""COMPUTED_VALUE"""),"speed")</f>
        <v>speed</v>
      </c>
      <c r="AK1868" s="49"/>
      <c r="AL1868" s="49"/>
      <c r="AM1868" s="49"/>
      <c r="AN1868" s="52" t="str">
        <f t="shared" si="5"/>
        <v>friendship,</v>
      </c>
    </row>
    <row r="1869">
      <c r="A1869" s="51"/>
      <c r="B1869" s="50" t="s">
        <v>4015</v>
      </c>
      <c r="C1869" s="50" t="s">
        <v>6429</v>
      </c>
      <c r="D1869" s="49" t="str">
        <f>IFERROR(__xludf.DUMMYFUNCTION("""COMPUTED_VALUE"""),"susan")</f>
        <v>susan</v>
      </c>
      <c r="E1869" s="49"/>
      <c r="F1869" s="49"/>
      <c r="G1869" s="49"/>
      <c r="H1869" s="54" t="str">
        <f t="shared" si="1"/>
        <v>conventional,</v>
      </c>
      <c r="I1869" s="50"/>
      <c r="J1869" s="50" t="s">
        <v>7419</v>
      </c>
      <c r="K1869" s="50" t="s">
        <v>3456</v>
      </c>
      <c r="L1869" s="49"/>
      <c r="M1869" s="49"/>
      <c r="N1869" s="49"/>
      <c r="O1869" s="49" t="str">
        <f>IFERROR(__xludf.DUMMYFUNCTION("""COMPUTED_VALUE"""),"salaries")</f>
        <v>salaries</v>
      </c>
      <c r="P1869" s="49" t="str">
        <f t="shared" si="2"/>
        <v>z,</v>
      </c>
      <c r="Q1869" s="49"/>
      <c r="R1869" s="50" t="s">
        <v>629</v>
      </c>
      <c r="S1869" s="55" t="s">
        <v>2970</v>
      </c>
      <c r="T1869" s="49"/>
      <c r="U1869" s="49"/>
      <c r="V1869" s="49"/>
      <c r="W1869" s="49" t="str">
        <f>IFERROR(__xludf.DUMMYFUNCTION("""COMPUTED_VALUE"""),"rudd")</f>
        <v>rudd</v>
      </c>
      <c r="X1869" s="49" t="str">
        <f t="shared" si="3"/>
        <v>chuckles,</v>
      </c>
      <c r="Y1869" s="49"/>
      <c r="Z1869" s="1" t="s">
        <v>2070</v>
      </c>
      <c r="AA1869" s="1" t="s">
        <v>3452</v>
      </c>
      <c r="AB1869" s="49"/>
      <c r="AC1869" s="49"/>
      <c r="AD1869" s="49"/>
      <c r="AE1869" s="49" t="str">
        <f>IFERROR(__xludf.DUMMYFUNCTION("""COMPUTED_VALUE"""),"salaries")</f>
        <v>salaries</v>
      </c>
      <c r="AF1869" s="49" t="str">
        <f t="shared" si="4"/>
        <v>puts,</v>
      </c>
      <c r="AG1869" s="49"/>
      <c r="AH1869" s="1" t="s">
        <v>3234</v>
      </c>
      <c r="AI1869" s="1" t="s">
        <v>3706</v>
      </c>
      <c r="AJ1869" s="6" t="str">
        <f>IFERROR(__xludf.DUMMYFUNCTION("""COMPUTED_VALUE"""),"amount")</f>
        <v>amount</v>
      </c>
      <c r="AK1869" s="49"/>
      <c r="AL1869" s="49"/>
      <c r="AM1869" s="49"/>
      <c r="AN1869" s="52" t="str">
        <f t="shared" si="5"/>
        <v>stopped,</v>
      </c>
    </row>
    <row r="1870">
      <c r="A1870" s="51"/>
      <c r="B1870" s="50" t="s">
        <v>7333</v>
      </c>
      <c r="C1870" s="50" t="s">
        <v>3293</v>
      </c>
      <c r="D1870" s="49" t="str">
        <f>IFERROR(__xludf.DUMMYFUNCTION("""COMPUTED_VALUE"""),"feat")</f>
        <v>feat</v>
      </c>
      <c r="E1870" s="49"/>
      <c r="F1870" s="49"/>
      <c r="G1870" s="49"/>
      <c r="H1870" s="54" t="str">
        <f t="shared" si="1"/>
        <v>alec,</v>
      </c>
      <c r="I1870" s="50"/>
      <c r="J1870" s="50" t="s">
        <v>4470</v>
      </c>
      <c r="K1870" s="50" t="s">
        <v>3085</v>
      </c>
      <c r="L1870" s="49"/>
      <c r="M1870" s="49"/>
      <c r="N1870" s="49"/>
      <c r="O1870" s="49" t="str">
        <f>IFERROR(__xludf.DUMMYFUNCTION("""COMPUTED_VALUE"""),"karim")</f>
        <v>karim</v>
      </c>
      <c r="P1870" s="49" t="str">
        <f t="shared" si="2"/>
        <v>phrase,</v>
      </c>
      <c r="Q1870" s="49"/>
      <c r="R1870" s="50" t="s">
        <v>4957</v>
      </c>
      <c r="S1870" s="55" t="s">
        <v>4937</v>
      </c>
      <c r="T1870" s="49"/>
      <c r="U1870" s="49"/>
      <c r="V1870" s="49"/>
      <c r="W1870" s="49" t="str">
        <f>IFERROR(__xludf.DUMMYFUNCTION("""COMPUTED_VALUE"""),"confession")</f>
        <v>confession</v>
      </c>
      <c r="X1870" s="49" t="str">
        <f t="shared" si="3"/>
        <v>scratches,</v>
      </c>
      <c r="Y1870" s="49"/>
      <c r="Z1870" s="1" t="s">
        <v>1124</v>
      </c>
      <c r="AA1870" s="1" t="s">
        <v>2235</v>
      </c>
      <c r="AB1870" s="49"/>
      <c r="AC1870" s="49"/>
      <c r="AD1870" s="49"/>
      <c r="AE1870" s="49" t="str">
        <f>IFERROR(__xludf.DUMMYFUNCTION("""COMPUTED_VALUE"""),"karim")</f>
        <v>karim</v>
      </c>
      <c r="AF1870" s="49" t="str">
        <f t="shared" si="4"/>
        <v>criminal,</v>
      </c>
      <c r="AG1870" s="49"/>
      <c r="AH1870" s="1" t="s">
        <v>1035</v>
      </c>
      <c r="AI1870" s="1" t="s">
        <v>4270</v>
      </c>
      <c r="AJ1870" s="6" t="str">
        <f>IFERROR(__xludf.DUMMYFUNCTION("""COMPUTED_VALUE"""),"fame")</f>
        <v>fame</v>
      </c>
      <c r="AK1870" s="49"/>
      <c r="AL1870" s="49"/>
      <c r="AM1870" s="49"/>
      <c r="AN1870" s="52" t="str">
        <f t="shared" si="5"/>
        <v>recording,</v>
      </c>
    </row>
    <row r="1871">
      <c r="A1871" s="51"/>
      <c r="B1871" s="50" t="s">
        <v>3760</v>
      </c>
      <c r="C1871" s="50" t="s">
        <v>832</v>
      </c>
      <c r="D1871" s="49" t="str">
        <f>IFERROR(__xludf.DUMMYFUNCTION("""COMPUTED_VALUE"""),"third")</f>
        <v>third</v>
      </c>
      <c r="E1871" s="49"/>
      <c r="F1871" s="49"/>
      <c r="G1871" s="49"/>
      <c r="H1871" s="54" t="str">
        <f t="shared" si="1"/>
        <v>quickly,</v>
      </c>
      <c r="I1871" s="50"/>
      <c r="J1871" s="50" t="s">
        <v>1104</v>
      </c>
      <c r="K1871" s="50" t="s">
        <v>3081</v>
      </c>
      <c r="L1871" s="49"/>
      <c r="M1871" s="49"/>
      <c r="N1871" s="49"/>
      <c r="O1871" s="49" t="str">
        <f>IFERROR(__xludf.DUMMYFUNCTION("""COMPUTED_VALUE"""),"freight")</f>
        <v>freight</v>
      </c>
      <c r="P1871" s="49" t="str">
        <f t="shared" si="2"/>
        <v>largely,</v>
      </c>
      <c r="Q1871" s="49"/>
      <c r="R1871" s="50" t="s">
        <v>2751</v>
      </c>
      <c r="S1871" s="55" t="s">
        <v>4273</v>
      </c>
      <c r="T1871" s="49"/>
      <c r="U1871" s="49"/>
      <c r="V1871" s="49"/>
      <c r="W1871" s="49" t="str">
        <f>IFERROR(__xludf.DUMMYFUNCTION("""COMPUTED_VALUE"""),"thoughtfully")</f>
        <v>thoughtfully</v>
      </c>
      <c r="X1871" s="49" t="str">
        <f t="shared" si="3"/>
        <v>anatomical,</v>
      </c>
      <c r="Y1871" s="49"/>
      <c r="Z1871" s="1" t="s">
        <v>4240</v>
      </c>
      <c r="AA1871" s="1" t="s">
        <v>5103</v>
      </c>
      <c r="AB1871" s="49"/>
      <c r="AC1871" s="49"/>
      <c r="AD1871" s="49"/>
      <c r="AE1871" s="49" t="str">
        <f>IFERROR(__xludf.DUMMYFUNCTION("""COMPUTED_VALUE"""),"freight")</f>
        <v>freight</v>
      </c>
      <c r="AF1871" s="49" t="str">
        <f t="shared" si="4"/>
        <v>sweetness,</v>
      </c>
      <c r="AG1871" s="49"/>
      <c r="AH1871" s="1" t="s">
        <v>4289</v>
      </c>
      <c r="AI1871" s="1" t="s">
        <v>6596</v>
      </c>
      <c r="AJ1871" s="6" t="str">
        <f>IFERROR(__xludf.DUMMYFUNCTION("""COMPUTED_VALUE"""),"psychology")</f>
        <v>psychology</v>
      </c>
      <c r="AK1871" s="49"/>
      <c r="AL1871" s="49"/>
      <c r="AM1871" s="49"/>
      <c r="AN1871" s="52" t="str">
        <f t="shared" si="5"/>
        <v>print,</v>
      </c>
    </row>
    <row r="1872">
      <c r="A1872" s="51"/>
      <c r="B1872" s="50" t="s">
        <v>4510</v>
      </c>
      <c r="C1872" s="50" t="s">
        <v>6567</v>
      </c>
      <c r="D1872" s="49" t="str">
        <f>IFERROR(__xludf.DUMMYFUNCTION("""COMPUTED_VALUE"""),"restored")</f>
        <v>restored</v>
      </c>
      <c r="E1872" s="49"/>
      <c r="F1872" s="49"/>
      <c r="G1872" s="49"/>
      <c r="H1872" s="54" t="str">
        <f t="shared" si="1"/>
        <v>giving,</v>
      </c>
      <c r="I1872" s="50"/>
      <c r="J1872" s="50" t="s">
        <v>2655</v>
      </c>
      <c r="K1872" s="50" t="s">
        <v>5106</v>
      </c>
      <c r="L1872" s="49"/>
      <c r="M1872" s="49"/>
      <c r="N1872" s="49"/>
      <c r="O1872" s="49" t="str">
        <f>IFERROR(__xludf.DUMMYFUNCTION("""COMPUTED_VALUE"""),"gracefully")</f>
        <v>gracefully</v>
      </c>
      <c r="P1872" s="49" t="str">
        <f t="shared" si="2"/>
        <v>characterization,</v>
      </c>
      <c r="Q1872" s="49"/>
      <c r="R1872" s="50" t="s">
        <v>2668</v>
      </c>
      <c r="S1872" s="55" t="s">
        <v>3250</v>
      </c>
      <c r="T1872" s="49"/>
      <c r="U1872" s="49"/>
      <c r="V1872" s="49"/>
      <c r="W1872" s="49" t="str">
        <f>IFERROR(__xludf.DUMMYFUNCTION("""COMPUTED_VALUE"""),"liberalism")</f>
        <v>liberalism</v>
      </c>
      <c r="X1872" s="49" t="str">
        <f t="shared" si="3"/>
        <v>areas,</v>
      </c>
      <c r="Y1872" s="49"/>
      <c r="Z1872" s="1" t="s">
        <v>7353</v>
      </c>
      <c r="AA1872" s="1" t="s">
        <v>4061</v>
      </c>
      <c r="AB1872" s="49"/>
      <c r="AC1872" s="49"/>
      <c r="AD1872" s="49"/>
      <c r="AE1872" s="49" t="str">
        <f>IFERROR(__xludf.DUMMYFUNCTION("""COMPUTED_VALUE"""),"gracefully")</f>
        <v>gracefully</v>
      </c>
      <c r="AF1872" s="49" t="str">
        <f t="shared" si="4"/>
        <v>delicious,</v>
      </c>
      <c r="AG1872" s="49"/>
      <c r="AH1872" s="1" t="s">
        <v>4788</v>
      </c>
      <c r="AI1872" s="1" t="s">
        <v>2981</v>
      </c>
      <c r="AJ1872" s="6" t="str">
        <f>IFERROR(__xludf.DUMMYFUNCTION("""COMPUTED_VALUE"""),"animals")</f>
        <v>animals</v>
      </c>
      <c r="AK1872" s="49"/>
      <c r="AL1872" s="49"/>
      <c r="AM1872" s="49"/>
      <c r="AN1872" s="52" t="str">
        <f t="shared" si="5"/>
        <v>cross,</v>
      </c>
    </row>
    <row r="1873">
      <c r="A1873" s="51"/>
      <c r="B1873" s="50" t="s">
        <v>6420</v>
      </c>
      <c r="C1873" s="50" t="s">
        <v>4847</v>
      </c>
      <c r="D1873" s="49" t="str">
        <f>IFERROR(__xludf.DUMMYFUNCTION("""COMPUTED_VALUE"""),"rocks")</f>
        <v>rocks</v>
      </c>
      <c r="E1873" s="49"/>
      <c r="F1873" s="49"/>
      <c r="G1873" s="49"/>
      <c r="H1873" s="54" t="str">
        <f t="shared" si="1"/>
        <v>opportunity,</v>
      </c>
      <c r="I1873" s="50"/>
      <c r="J1873" s="50" t="s">
        <v>5091</v>
      </c>
      <c r="K1873" s="50" t="s">
        <v>3088</v>
      </c>
      <c r="L1873" s="49"/>
      <c r="M1873" s="49"/>
      <c r="N1873" s="49"/>
      <c r="O1873" s="49" t="str">
        <f>IFERROR(__xludf.DUMMYFUNCTION("""COMPUTED_VALUE"""),"hierarchy")</f>
        <v>hierarchy</v>
      </c>
      <c r="P1873" s="49" t="str">
        <f t="shared" si="2"/>
        <v>seek,</v>
      </c>
      <c r="Q1873" s="49"/>
      <c r="R1873" s="50" t="s">
        <v>1714</v>
      </c>
      <c r="S1873" s="55" t="s">
        <v>1098</v>
      </c>
      <c r="T1873" s="49"/>
      <c r="U1873" s="49"/>
      <c r="V1873" s="49"/>
      <c r="W1873" s="49" t="str">
        <f>IFERROR(__xludf.DUMMYFUNCTION("""COMPUTED_VALUE"""),"china")</f>
        <v>china</v>
      </c>
      <c r="X1873" s="49" t="str">
        <f t="shared" si="3"/>
        <v>excitement,</v>
      </c>
      <c r="Y1873" s="49"/>
      <c r="Z1873" s="1" t="s">
        <v>562</v>
      </c>
      <c r="AA1873" s="1" t="s">
        <v>5107</v>
      </c>
      <c r="AB1873" s="49"/>
      <c r="AC1873" s="49"/>
      <c r="AD1873" s="49"/>
      <c r="AE1873" s="49" t="str">
        <f>IFERROR(__xludf.DUMMYFUNCTION("""COMPUTED_VALUE"""),"hierarchy")</f>
        <v>hierarchy</v>
      </c>
      <c r="AF1873" s="49" t="str">
        <f t="shared" si="4"/>
        <v>silly,</v>
      </c>
      <c r="AG1873" s="49"/>
      <c r="AH1873" s="1" t="s">
        <v>2599</v>
      </c>
      <c r="AI1873" s="1" t="s">
        <v>3819</v>
      </c>
      <c r="AJ1873" s="6" t="str">
        <f>IFERROR(__xludf.DUMMYFUNCTION("""COMPUTED_VALUE"""),"core")</f>
        <v>core</v>
      </c>
      <c r="AK1873" s="49"/>
      <c r="AL1873" s="49"/>
      <c r="AM1873" s="49"/>
      <c r="AN1873" s="52" t="str">
        <f t="shared" si="5"/>
        <v>appeal,</v>
      </c>
    </row>
    <row r="1874">
      <c r="A1874" s="51"/>
      <c r="B1874" s="50" t="s">
        <v>3819</v>
      </c>
      <c r="C1874" s="50" t="s">
        <v>3965</v>
      </c>
      <c r="D1874" s="49" t="str">
        <f>IFERROR(__xludf.DUMMYFUNCTION("""COMPUTED_VALUE"""),"night")</f>
        <v>night</v>
      </c>
      <c r="E1874" s="49"/>
      <c r="F1874" s="49"/>
      <c r="G1874" s="49"/>
      <c r="H1874" s="54" t="str">
        <f t="shared" si="1"/>
        <v>unless,</v>
      </c>
      <c r="I1874" s="50"/>
      <c r="J1874" s="50" t="s">
        <v>7466</v>
      </c>
      <c r="K1874" s="50" t="s">
        <v>4562</v>
      </c>
      <c r="L1874" s="49"/>
      <c r="M1874" s="49"/>
      <c r="N1874" s="49"/>
      <c r="O1874" s="49" t="str">
        <f>IFERROR(__xludf.DUMMYFUNCTION("""COMPUTED_VALUE"""),"governance")</f>
        <v>governance</v>
      </c>
      <c r="P1874" s="49" t="str">
        <f t="shared" si="2"/>
        <v>mr,</v>
      </c>
      <c r="Q1874" s="49"/>
      <c r="R1874" s="50" t="s">
        <v>3542</v>
      </c>
      <c r="S1874" s="55" t="s">
        <v>4584</v>
      </c>
      <c r="T1874" s="49"/>
      <c r="U1874" s="49"/>
      <c r="V1874" s="49"/>
      <c r="W1874" s="49" t="str">
        <f>IFERROR(__xludf.DUMMYFUNCTION("""COMPUTED_VALUE"""),"critically")</f>
        <v>critically</v>
      </c>
      <c r="X1874" s="49" t="str">
        <f t="shared" si="3"/>
        <v>splash,</v>
      </c>
      <c r="Y1874" s="49"/>
      <c r="Z1874" s="1" t="s">
        <v>1773</v>
      </c>
      <c r="AA1874" s="1" t="s">
        <v>4065</v>
      </c>
      <c r="AB1874" s="49"/>
      <c r="AC1874" s="49"/>
      <c r="AD1874" s="49"/>
      <c r="AE1874" s="49" t="str">
        <f>IFERROR(__xludf.DUMMYFUNCTION("""COMPUTED_VALUE"""),"governance")</f>
        <v>governance</v>
      </c>
      <c r="AF1874" s="49" t="str">
        <f t="shared" si="4"/>
        <v>appealing,</v>
      </c>
      <c r="AG1874" s="49"/>
      <c r="AH1874" s="1" t="s">
        <v>4367</v>
      </c>
      <c r="AI1874" s="1" t="s">
        <v>5796</v>
      </c>
      <c r="AJ1874" s="6" t="str">
        <f>IFERROR(__xludf.DUMMYFUNCTION("""COMPUTED_VALUE"""),"grave")</f>
        <v>grave</v>
      </c>
      <c r="AK1874" s="49"/>
      <c r="AL1874" s="49"/>
      <c r="AM1874" s="49"/>
      <c r="AN1874" s="52" t="str">
        <f t="shared" si="5"/>
        <v>japan,</v>
      </c>
    </row>
    <row r="1875">
      <c r="A1875" s="51"/>
      <c r="B1875" s="50" t="s">
        <v>3695</v>
      </c>
      <c r="C1875" s="50" t="s">
        <v>2792</v>
      </c>
      <c r="D1875" s="49" t="str">
        <f>IFERROR(__xludf.DUMMYFUNCTION("""COMPUTED_VALUE"""),"brian")</f>
        <v>brian</v>
      </c>
      <c r="E1875" s="49"/>
      <c r="F1875" s="49"/>
      <c r="G1875" s="49"/>
      <c r="H1875" s="54" t="str">
        <f t="shared" si="1"/>
        <v>indeed,</v>
      </c>
      <c r="I1875" s="50"/>
      <c r="J1875" s="50" t="s">
        <v>5713</v>
      </c>
      <c r="K1875" s="50" t="s">
        <v>2555</v>
      </c>
      <c r="L1875" s="49"/>
      <c r="M1875" s="49"/>
      <c r="N1875" s="49"/>
      <c r="O1875" s="49" t="str">
        <f>IFERROR(__xludf.DUMMYFUNCTION("""COMPUTED_VALUE"""),"moat")</f>
        <v>moat</v>
      </c>
      <c r="P1875" s="49" t="str">
        <f t="shared" si="2"/>
        <v>wrapping,</v>
      </c>
      <c r="Q1875" s="49"/>
      <c r="R1875" s="50" t="s">
        <v>3972</v>
      </c>
      <c r="S1875" s="55" t="s">
        <v>919</v>
      </c>
      <c r="T1875" s="49"/>
      <c r="U1875" s="49"/>
      <c r="V1875" s="49"/>
      <c r="W1875" s="49" t="str">
        <f>IFERROR(__xludf.DUMMYFUNCTION("""COMPUTED_VALUE"""),"kidd")</f>
        <v>kidd</v>
      </c>
      <c r="X1875" s="49" t="str">
        <f t="shared" si="3"/>
        <v>wear,</v>
      </c>
      <c r="Y1875" s="49"/>
      <c r="Z1875" s="1" t="s">
        <v>481</v>
      </c>
      <c r="AA1875" s="1" t="s">
        <v>2245</v>
      </c>
      <c r="AB1875" s="49"/>
      <c r="AC1875" s="49"/>
      <c r="AD1875" s="49"/>
      <c r="AE1875" s="49" t="str">
        <f>IFERROR(__xludf.DUMMYFUNCTION("""COMPUTED_VALUE"""),"moat")</f>
        <v>moat</v>
      </c>
      <c r="AF1875" s="49" t="str">
        <f t="shared" si="4"/>
        <v>sitcom,</v>
      </c>
      <c r="AG1875" s="49"/>
      <c r="AH1875" s="1" t="s">
        <v>1123</v>
      </c>
      <c r="AI1875" s="1" t="s">
        <v>897</v>
      </c>
      <c r="AJ1875" s="6" t="str">
        <f>IFERROR(__xludf.DUMMYFUNCTION("""COMPUTED_VALUE"""),"hill")</f>
        <v>hill</v>
      </c>
      <c r="AK1875" s="49"/>
      <c r="AL1875" s="49"/>
      <c r="AM1875" s="49"/>
      <c r="AN1875" s="52" t="str">
        <f t="shared" si="5"/>
        <v>wins,</v>
      </c>
    </row>
    <row r="1876">
      <c r="A1876" s="51"/>
      <c r="B1876" s="50" t="s">
        <v>2145</v>
      </c>
      <c r="C1876" s="50" t="s">
        <v>273</v>
      </c>
      <c r="D1876" s="49" t="str">
        <f>IFERROR(__xludf.DUMMYFUNCTION("""COMPUTED_VALUE"""),"present")</f>
        <v>present</v>
      </c>
      <c r="E1876" s="49"/>
      <c r="F1876" s="49"/>
      <c r="G1876" s="49"/>
      <c r="H1876" s="54" t="str">
        <f t="shared" si="1"/>
        <v>ticket,</v>
      </c>
      <c r="I1876" s="50"/>
      <c r="J1876" s="50" t="s">
        <v>2883</v>
      </c>
      <c r="K1876" s="50" t="s">
        <v>4565</v>
      </c>
      <c r="L1876" s="49"/>
      <c r="M1876" s="49"/>
      <c r="N1876" s="49"/>
      <c r="O1876" s="49" t="str">
        <f>IFERROR(__xludf.DUMMYFUNCTION("""COMPUTED_VALUE"""),"rooted")</f>
        <v>rooted</v>
      </c>
      <c r="P1876" s="49" t="str">
        <f t="shared" si="2"/>
        <v>base,</v>
      </c>
      <c r="Q1876" s="49"/>
      <c r="R1876" s="50" t="s">
        <v>5060</v>
      </c>
      <c r="S1876" s="55" t="s">
        <v>925</v>
      </c>
      <c r="T1876" s="49"/>
      <c r="U1876" s="49"/>
      <c r="V1876" s="49"/>
      <c r="W1876" s="49" t="str">
        <f>IFERROR(__xludf.DUMMYFUNCTION("""COMPUTED_VALUE"""),"leigh")</f>
        <v>leigh</v>
      </c>
      <c r="X1876" s="49" t="str">
        <f t="shared" si="3"/>
        <v>arrow,</v>
      </c>
      <c r="Y1876" s="49"/>
      <c r="Z1876" s="1" t="s">
        <v>5683</v>
      </c>
      <c r="AA1876" s="1" t="s">
        <v>5110</v>
      </c>
      <c r="AB1876" s="49"/>
      <c r="AC1876" s="49"/>
      <c r="AD1876" s="49"/>
      <c r="AE1876" s="49" t="str">
        <f>IFERROR(__xludf.DUMMYFUNCTION("""COMPUTED_VALUE"""),"rooted")</f>
        <v>rooted</v>
      </c>
      <c r="AF1876" s="49" t="str">
        <f t="shared" si="4"/>
        <v>magical,</v>
      </c>
      <c r="AG1876" s="49"/>
      <c r="AH1876" s="1" t="s">
        <v>4702</v>
      </c>
      <c r="AI1876" s="1" t="s">
        <v>4587</v>
      </c>
      <c r="AJ1876" s="6" t="str">
        <f>IFERROR(__xludf.DUMMYFUNCTION("""COMPUTED_VALUE"""),"animal")</f>
        <v>animal</v>
      </c>
      <c r="AK1876" s="49"/>
      <c r="AL1876" s="49"/>
      <c r="AM1876" s="49"/>
      <c r="AN1876" s="52" t="str">
        <f t="shared" si="5"/>
        <v>vs,</v>
      </c>
    </row>
    <row r="1877">
      <c r="A1877" s="51"/>
      <c r="B1877" s="50" t="s">
        <v>6728</v>
      </c>
      <c r="C1877" s="50" t="s">
        <v>632</v>
      </c>
      <c r="D1877" s="49" t="str">
        <f>IFERROR(__xludf.DUMMYFUNCTION("""COMPUTED_VALUE"""),"battle")</f>
        <v>battle</v>
      </c>
      <c r="E1877" s="49"/>
      <c r="F1877" s="49"/>
      <c r="G1877" s="49"/>
      <c r="H1877" s="54" t="str">
        <f t="shared" si="1"/>
        <v>regret,</v>
      </c>
      <c r="I1877" s="50"/>
      <c r="J1877" s="50" t="s">
        <v>3334</v>
      </c>
      <c r="K1877" s="50" t="s">
        <v>3459</v>
      </c>
      <c r="L1877" s="49"/>
      <c r="M1877" s="49"/>
      <c r="N1877" s="49"/>
      <c r="O1877" s="49" t="str">
        <f>IFERROR(__xludf.DUMMYFUNCTION("""COMPUTED_VALUE"""),"rejection")</f>
        <v>rejection</v>
      </c>
      <c r="P1877" s="49" t="str">
        <f t="shared" si="2"/>
        <v>retrospective,</v>
      </c>
      <c r="Q1877" s="49"/>
      <c r="R1877" s="50" t="s">
        <v>308</v>
      </c>
      <c r="S1877" s="55" t="s">
        <v>3263</v>
      </c>
      <c r="T1877" s="49"/>
      <c r="U1877" s="49"/>
      <c r="V1877" s="49"/>
      <c r="W1877" s="49" t="str">
        <f>IFERROR(__xludf.DUMMYFUNCTION("""COMPUTED_VALUE"""),"ransom")</f>
        <v>ransom</v>
      </c>
      <c r="X1877" s="49" t="str">
        <f t="shared" si="3"/>
        <v>evade,</v>
      </c>
      <c r="Y1877" s="49"/>
      <c r="Z1877" s="1" t="s">
        <v>1949</v>
      </c>
      <c r="AA1877" s="1" t="s">
        <v>5111</v>
      </c>
      <c r="AB1877" s="49"/>
      <c r="AC1877" s="49"/>
      <c r="AD1877" s="49"/>
      <c r="AE1877" s="49" t="str">
        <f>IFERROR(__xludf.DUMMYFUNCTION("""COMPUTED_VALUE"""),"rejection")</f>
        <v>rejection</v>
      </c>
      <c r="AF1877" s="49" t="str">
        <f t="shared" si="4"/>
        <v>lightweight,</v>
      </c>
      <c r="AG1877" s="49"/>
      <c r="AH1877" s="1" t="s">
        <v>4436</v>
      </c>
      <c r="AI1877" s="1">
        <v>30.0</v>
      </c>
      <c r="AJ1877" s="6" t="str">
        <f>IFERROR(__xludf.DUMMYFUNCTION("""COMPUTED_VALUE"""),"clerk")</f>
        <v>clerk</v>
      </c>
      <c r="AK1877" s="49"/>
      <c r="AL1877" s="49"/>
      <c r="AM1877" s="49"/>
      <c r="AN1877" s="52" t="str">
        <f t="shared" si="5"/>
        <v>christopher,</v>
      </c>
    </row>
    <row r="1878">
      <c r="A1878" s="51"/>
      <c r="B1878" s="50" t="s">
        <v>1489</v>
      </c>
      <c r="C1878" s="50" t="s">
        <v>5231</v>
      </c>
      <c r="D1878" s="49" t="str">
        <f>IFERROR(__xludf.DUMMYFUNCTION("""COMPUTED_VALUE"""),"uncertain")</f>
        <v>uncertain</v>
      </c>
      <c r="E1878" s="49"/>
      <c r="F1878" s="49"/>
      <c r="G1878" s="49"/>
      <c r="H1878" s="54" t="str">
        <f t="shared" si="1"/>
        <v>community,</v>
      </c>
      <c r="I1878" s="50"/>
      <c r="J1878" s="50" t="s">
        <v>3615</v>
      </c>
      <c r="K1878" s="50" t="s">
        <v>3091</v>
      </c>
      <c r="L1878" s="49"/>
      <c r="M1878" s="49"/>
      <c r="N1878" s="49"/>
      <c r="O1878" s="49" t="str">
        <f>IFERROR(__xludf.DUMMYFUNCTION("""COMPUTED_VALUE"""),"provincial")</f>
        <v>provincial</v>
      </c>
      <c r="P1878" s="49" t="str">
        <f t="shared" si="2"/>
        <v>enter,</v>
      </c>
      <c r="Q1878" s="49"/>
      <c r="R1878" s="50" t="s">
        <v>971</v>
      </c>
      <c r="S1878" s="55" t="s">
        <v>5133</v>
      </c>
      <c r="T1878" s="49"/>
      <c r="U1878" s="49"/>
      <c r="V1878" s="49"/>
      <c r="W1878" s="49" t="str">
        <f>IFERROR(__xludf.DUMMYFUNCTION("""COMPUTED_VALUE"""),"lucia")</f>
        <v>lucia</v>
      </c>
      <c r="X1878" s="49" t="str">
        <f t="shared" si="3"/>
        <v>illustrates,</v>
      </c>
      <c r="Y1878" s="49"/>
      <c r="Z1878" s="1" t="s">
        <v>3626</v>
      </c>
      <c r="AA1878" s="1" t="s">
        <v>4074</v>
      </c>
      <c r="AB1878" s="49"/>
      <c r="AC1878" s="49"/>
      <c r="AD1878" s="49"/>
      <c r="AE1878" s="49" t="str">
        <f>IFERROR(__xludf.DUMMYFUNCTION("""COMPUTED_VALUE"""),"provincial")</f>
        <v>provincial</v>
      </c>
      <c r="AF1878" s="49" t="str">
        <f t="shared" si="4"/>
        <v>losers,</v>
      </c>
      <c r="AG1878" s="49"/>
      <c r="AH1878" s="1" t="s">
        <v>4589</v>
      </c>
      <c r="AI1878" s="1" t="s">
        <v>3438</v>
      </c>
      <c r="AJ1878" s="6" t="str">
        <f>IFERROR(__xludf.DUMMYFUNCTION("""COMPUTED_VALUE"""),"information")</f>
        <v>information</v>
      </c>
      <c r="AK1878" s="49"/>
      <c r="AL1878" s="49"/>
      <c r="AM1878" s="49"/>
      <c r="AN1878" s="52" t="str">
        <f t="shared" si="5"/>
        <v>meets,</v>
      </c>
    </row>
    <row r="1879">
      <c r="A1879" s="51"/>
      <c r="B1879" s="50" t="s">
        <v>2505</v>
      </c>
      <c r="C1879" s="50" t="s">
        <v>4145</v>
      </c>
      <c r="D1879" s="49" t="str">
        <f>IFERROR(__xludf.DUMMYFUNCTION("""COMPUTED_VALUE"""),"releases")</f>
        <v>releases</v>
      </c>
      <c r="E1879" s="49"/>
      <c r="F1879" s="49"/>
      <c r="G1879" s="49"/>
      <c r="H1879" s="54" t="str">
        <f t="shared" si="1"/>
        <v>rate,</v>
      </c>
      <c r="I1879" s="50"/>
      <c r="J1879" s="50" t="s">
        <v>7467</v>
      </c>
      <c r="K1879" s="50" t="s">
        <v>3462</v>
      </c>
      <c r="L1879" s="49"/>
      <c r="M1879" s="49"/>
      <c r="N1879" s="49"/>
      <c r="O1879" s="49" t="str">
        <f>IFERROR(__xludf.DUMMYFUNCTION("""COMPUTED_VALUE"""),"bourgeois")</f>
        <v>bourgeois</v>
      </c>
      <c r="P1879" s="49" t="str">
        <f t="shared" si="2"/>
        <v>barber,</v>
      </c>
      <c r="Q1879" s="49"/>
      <c r="R1879" s="50" t="s">
        <v>4958</v>
      </c>
      <c r="S1879" s="55" t="s">
        <v>6597</v>
      </c>
      <c r="T1879" s="49"/>
      <c r="U1879" s="49"/>
      <c r="V1879" s="49"/>
      <c r="W1879" s="49" t="str">
        <f>IFERROR(__xludf.DUMMYFUNCTION("""COMPUTED_VALUE"""),"schultz")</f>
        <v>schultz</v>
      </c>
      <c r="X1879" s="49" t="str">
        <f t="shared" si="3"/>
        <v>improvement,</v>
      </c>
      <c r="Y1879" s="49"/>
      <c r="Z1879" s="1" t="s">
        <v>1474</v>
      </c>
      <c r="AA1879" s="1" t="s">
        <v>4071</v>
      </c>
      <c r="AB1879" s="49"/>
      <c r="AC1879" s="49"/>
      <c r="AD1879" s="49"/>
      <c r="AE1879" s="49" t="str">
        <f>IFERROR(__xludf.DUMMYFUNCTION("""COMPUTED_VALUE"""),"bourgeois")</f>
        <v>bourgeois</v>
      </c>
      <c r="AF1879" s="49" t="str">
        <f t="shared" si="4"/>
        <v>excuse,</v>
      </c>
      <c r="AG1879" s="49"/>
      <c r="AH1879" s="1" t="s">
        <v>2259</v>
      </c>
      <c r="AI1879" s="1" t="s">
        <v>6598</v>
      </c>
      <c r="AJ1879" s="6" t="str">
        <f>IFERROR(__xludf.DUMMYFUNCTION("""COMPUTED_VALUE"""),"producer")</f>
        <v>producer</v>
      </c>
      <c r="AK1879" s="49"/>
      <c r="AL1879" s="49"/>
      <c r="AM1879" s="49"/>
      <c r="AN1879" s="52" t="str">
        <f t="shared" si="5"/>
        <v>totally,</v>
      </c>
    </row>
    <row r="1880">
      <c r="A1880" s="51"/>
      <c r="B1880" s="50" t="s">
        <v>2840</v>
      </c>
      <c r="C1880" s="50" t="s">
        <v>4142</v>
      </c>
      <c r="D1880" s="49" t="str">
        <f>IFERROR(__xludf.DUMMYFUNCTION("""COMPUTED_VALUE"""),"latest")</f>
        <v>latest</v>
      </c>
      <c r="E1880" s="49"/>
      <c r="F1880" s="49"/>
      <c r="G1880" s="49"/>
      <c r="H1880" s="54" t="str">
        <f t="shared" si="1"/>
        <v>block,</v>
      </c>
      <c r="I1880" s="50"/>
      <c r="J1880" s="50" t="s">
        <v>2881</v>
      </c>
      <c r="K1880" s="50" t="s">
        <v>3093</v>
      </c>
      <c r="L1880" s="49"/>
      <c r="M1880" s="49"/>
      <c r="N1880" s="49"/>
      <c r="O1880" s="49" t="str">
        <f>IFERROR(__xludf.DUMMYFUNCTION("""COMPUTED_VALUE"""),"contrasting")</f>
        <v>contrasting</v>
      </c>
      <c r="P1880" s="49" t="str">
        <f t="shared" si="2"/>
        <v>collision,</v>
      </c>
      <c r="Q1880" s="49"/>
      <c r="R1880" s="50" t="s">
        <v>67</v>
      </c>
      <c r="S1880" s="55" t="s">
        <v>4435</v>
      </c>
      <c r="T1880" s="49"/>
      <c r="U1880" s="49"/>
      <c r="V1880" s="49"/>
      <c r="W1880" s="49" t="str">
        <f>IFERROR(__xludf.DUMMYFUNCTION("""COMPUTED_VALUE"""),"australia")</f>
        <v>australia</v>
      </c>
      <c r="X1880" s="49" t="str">
        <f t="shared" si="3"/>
        <v>uncertain,</v>
      </c>
      <c r="Y1880" s="49"/>
      <c r="Z1880" s="1" t="s">
        <v>2642</v>
      </c>
      <c r="AA1880" s="1" t="s">
        <v>2248</v>
      </c>
      <c r="AB1880" s="49"/>
      <c r="AC1880" s="49"/>
      <c r="AD1880" s="49"/>
      <c r="AE1880" s="49" t="str">
        <f>IFERROR(__xludf.DUMMYFUNCTION("""COMPUTED_VALUE"""),"contrasting")</f>
        <v>contrasting</v>
      </c>
      <c r="AF1880" s="49" t="str">
        <f t="shared" si="4"/>
        <v>straight,</v>
      </c>
      <c r="AG1880" s="49"/>
      <c r="AH1880" s="1" t="s">
        <v>3632</v>
      </c>
      <c r="AI1880" s="1" t="s">
        <v>4838</v>
      </c>
      <c r="AJ1880" s="6" t="str">
        <f>IFERROR(__xludf.DUMMYFUNCTION("""COMPUTED_VALUE"""),"carry")</f>
        <v>carry</v>
      </c>
      <c r="AK1880" s="49"/>
      <c r="AL1880" s="49"/>
      <c r="AM1880" s="49"/>
      <c r="AN1880" s="52" t="str">
        <f t="shared" si="5"/>
        <v>c,</v>
      </c>
    </row>
    <row r="1881">
      <c r="A1881" s="51"/>
      <c r="B1881" s="50" t="s">
        <v>3172</v>
      </c>
      <c r="C1881" s="50" t="s">
        <v>3009</v>
      </c>
      <c r="D1881" s="49" t="str">
        <f>IFERROR(__xludf.DUMMYFUNCTION("""COMPUTED_VALUE"""),"comedian")</f>
        <v>comedian</v>
      </c>
      <c r="E1881" s="49"/>
      <c r="F1881" s="49"/>
      <c r="G1881" s="49"/>
      <c r="H1881" s="54" t="str">
        <f t="shared" si="1"/>
        <v>combined,</v>
      </c>
      <c r="I1881" s="50"/>
      <c r="J1881" s="50" t="s">
        <v>7422</v>
      </c>
      <c r="K1881" s="50" t="s">
        <v>4568</v>
      </c>
      <c r="L1881" s="49"/>
      <c r="M1881" s="49"/>
      <c r="N1881" s="49"/>
      <c r="O1881" s="49" t="str">
        <f>IFERROR(__xludf.DUMMYFUNCTION("""COMPUTED_VALUE"""),"explosions")</f>
        <v>explosions</v>
      </c>
      <c r="P1881" s="49" t="str">
        <f t="shared" si="2"/>
        <v>brazil,</v>
      </c>
      <c r="Q1881" s="49"/>
      <c r="R1881" s="50" t="s">
        <v>2079</v>
      </c>
      <c r="S1881" s="55" t="s">
        <v>4395</v>
      </c>
      <c r="T1881" s="49"/>
      <c r="U1881" s="49"/>
      <c r="V1881" s="49"/>
      <c r="W1881" s="49" t="str">
        <f>IFERROR(__xludf.DUMMYFUNCTION("""COMPUTED_VALUE"""),"stitch")</f>
        <v>stitch</v>
      </c>
      <c r="X1881" s="49" t="str">
        <f t="shared" si="3"/>
        <v>targeted,</v>
      </c>
      <c r="Y1881" s="49"/>
      <c r="Z1881" s="1" t="s">
        <v>4455</v>
      </c>
      <c r="AA1881" s="1" t="s">
        <v>4072</v>
      </c>
      <c r="AB1881" s="49"/>
      <c r="AC1881" s="49"/>
      <c r="AD1881" s="49"/>
      <c r="AE1881" s="49" t="str">
        <f>IFERROR(__xludf.DUMMYFUNCTION("""COMPUTED_VALUE"""),"explosions")</f>
        <v>explosions</v>
      </c>
      <c r="AF1881" s="49" t="str">
        <f t="shared" si="4"/>
        <v>faces,</v>
      </c>
      <c r="AG1881" s="49"/>
      <c r="AH1881" s="1" t="s">
        <v>1851</v>
      </c>
      <c r="AI1881" s="1" t="s">
        <v>1631</v>
      </c>
      <c r="AJ1881" s="6" t="str">
        <f>IFERROR(__xludf.DUMMYFUNCTION("""COMPUTED_VALUE"""),"combination")</f>
        <v>combination</v>
      </c>
      <c r="AK1881" s="49"/>
      <c r="AL1881" s="49"/>
      <c r="AM1881" s="49"/>
      <c r="AN1881" s="52" t="str">
        <f t="shared" si="5"/>
        <v>hundred,</v>
      </c>
    </row>
    <row r="1882">
      <c r="A1882" s="51"/>
      <c r="B1882" s="50" t="s">
        <v>4402</v>
      </c>
      <c r="C1882" s="50" t="s">
        <v>6549</v>
      </c>
      <c r="D1882" s="49" t="str">
        <f>IFERROR(__xludf.DUMMYFUNCTION("""COMPUTED_VALUE"""),"position")</f>
        <v>position</v>
      </c>
      <c r="E1882" s="49"/>
      <c r="F1882" s="49"/>
      <c r="G1882" s="49"/>
      <c r="H1882" s="54" t="str">
        <f t="shared" si="1"/>
        <v>moore,</v>
      </c>
      <c r="I1882" s="50"/>
      <c r="J1882" s="50" t="s">
        <v>3491</v>
      </c>
      <c r="K1882" s="50" t="s">
        <v>5114</v>
      </c>
      <c r="L1882" s="49"/>
      <c r="M1882" s="49"/>
      <c r="N1882" s="49"/>
      <c r="O1882" s="49" t="str">
        <f>IFERROR(__xludf.DUMMYFUNCTION("""COMPUTED_VALUE"""),"landscapes")</f>
        <v>landscapes</v>
      </c>
      <c r="P1882" s="49" t="str">
        <f t="shared" si="2"/>
        <v>holiday,</v>
      </c>
      <c r="Q1882" s="49"/>
      <c r="R1882" s="50" t="s">
        <v>6325</v>
      </c>
      <c r="S1882" s="55" t="s">
        <v>1576</v>
      </c>
      <c r="T1882" s="49"/>
      <c r="U1882" s="49"/>
      <c r="V1882" s="49"/>
      <c r="W1882" s="49" t="str">
        <f>IFERROR(__xludf.DUMMYFUNCTION("""COMPUTED_VALUE"""),"partnerships")</f>
        <v>partnerships</v>
      </c>
      <c r="X1882" s="49" t="str">
        <f t="shared" si="3"/>
        <v>suck,</v>
      </c>
      <c r="Y1882" s="49"/>
      <c r="Z1882" s="1" t="s">
        <v>2127</v>
      </c>
      <c r="AA1882" s="1" t="s">
        <v>176</v>
      </c>
      <c r="AB1882" s="49"/>
      <c r="AC1882" s="49"/>
      <c r="AD1882" s="49"/>
      <c r="AE1882" s="49" t="str">
        <f>IFERROR(__xludf.DUMMYFUNCTION("""COMPUTED_VALUE"""),"landscapes")</f>
        <v>landscapes</v>
      </c>
      <c r="AF1882" s="49" t="str">
        <f t="shared" si="4"/>
        <v>pain,</v>
      </c>
      <c r="AG1882" s="49"/>
      <c r="AH1882" s="1" t="s">
        <v>5075</v>
      </c>
      <c r="AI1882" s="1" t="s">
        <v>2964</v>
      </c>
      <c r="AJ1882" s="6" t="str">
        <f>IFERROR(__xludf.DUMMYFUNCTION("""COMPUTED_VALUE"""),"unusual")</f>
        <v>unusual</v>
      </c>
      <c r="AK1882" s="49"/>
      <c r="AL1882" s="49"/>
      <c r="AM1882" s="49"/>
      <c r="AN1882" s="52" t="str">
        <f t="shared" si="5"/>
        <v>tiny,</v>
      </c>
    </row>
    <row r="1883">
      <c r="A1883" s="51"/>
      <c r="B1883" s="50" t="s">
        <v>4950</v>
      </c>
      <c r="C1883" s="50" t="s">
        <v>6599</v>
      </c>
      <c r="D1883" s="49" t="str">
        <f>IFERROR(__xludf.DUMMYFUNCTION("""COMPUTED_VALUE"""),"comfort")</f>
        <v>comfort</v>
      </c>
      <c r="E1883" s="49"/>
      <c r="F1883" s="49"/>
      <c r="G1883" s="49"/>
      <c r="H1883" s="54" t="str">
        <f t="shared" si="1"/>
        <v>desert,</v>
      </c>
      <c r="I1883" s="50"/>
      <c r="J1883" s="50" t="s">
        <v>4287</v>
      </c>
      <c r="K1883" s="50" t="s">
        <v>3483</v>
      </c>
      <c r="L1883" s="49"/>
      <c r="M1883" s="49"/>
      <c r="N1883" s="49"/>
      <c r="O1883" s="49" t="str">
        <f>IFERROR(__xludf.DUMMYFUNCTION("""COMPUTED_VALUE"""),"lore")</f>
        <v>lore</v>
      </c>
      <c r="P1883" s="49" t="str">
        <f t="shared" si="2"/>
        <v>embrace,</v>
      </c>
      <c r="Q1883" s="49"/>
      <c r="R1883" s="50" t="s">
        <v>4384</v>
      </c>
      <c r="S1883" s="55" t="s">
        <v>1758</v>
      </c>
      <c r="T1883" s="49"/>
      <c r="U1883" s="49"/>
      <c r="V1883" s="49"/>
      <c r="W1883" s="49"/>
      <c r="X1883" s="49" t="str">
        <f t="shared" si="3"/>
        <v>mill,</v>
      </c>
      <c r="Y1883" s="49"/>
      <c r="Z1883" s="1" t="s">
        <v>210</v>
      </c>
      <c r="AA1883" s="1" t="s">
        <v>2256</v>
      </c>
      <c r="AB1883" s="49"/>
      <c r="AC1883" s="49"/>
      <c r="AD1883" s="49"/>
      <c r="AE1883" s="49" t="str">
        <f>IFERROR(__xludf.DUMMYFUNCTION("""COMPUTED_VALUE"""),"lore")</f>
        <v>lore</v>
      </c>
      <c r="AF1883" s="49" t="str">
        <f t="shared" si="4"/>
        <v>submarine,</v>
      </c>
      <c r="AG1883" s="49"/>
      <c r="AH1883" s="1" t="s">
        <v>6508</v>
      </c>
      <c r="AI1883" s="1" t="s">
        <v>6600</v>
      </c>
      <c r="AJ1883" s="6" t="str">
        <f>IFERROR(__xludf.DUMMYFUNCTION("""COMPUTED_VALUE"""),"interest")</f>
        <v>interest</v>
      </c>
      <c r="AK1883" s="49"/>
      <c r="AL1883" s="49"/>
      <c r="AM1883" s="49"/>
      <c r="AN1883" s="52" t="str">
        <f t="shared" si="5"/>
        <v>argument,</v>
      </c>
    </row>
    <row r="1884">
      <c r="A1884" s="51"/>
      <c r="B1884" s="50" t="s">
        <v>6236</v>
      </c>
      <c r="C1884" s="50" t="s">
        <v>4148</v>
      </c>
      <c r="D1884" s="49" t="str">
        <f>IFERROR(__xludf.DUMMYFUNCTION("""COMPUTED_VALUE"""),"song")</f>
        <v>song</v>
      </c>
      <c r="E1884" s="49"/>
      <c r="F1884" s="49"/>
      <c r="G1884" s="49"/>
      <c r="H1884" s="54" t="str">
        <f t="shared" si="1"/>
        <v>amazing,</v>
      </c>
      <c r="I1884" s="50"/>
      <c r="J1884" s="50" t="s">
        <v>5315</v>
      </c>
      <c r="K1884" s="50" t="s">
        <v>3465</v>
      </c>
      <c r="L1884" s="49"/>
      <c r="M1884" s="49"/>
      <c r="N1884" s="49"/>
      <c r="O1884" s="49" t="str">
        <f>IFERROR(__xludf.DUMMYFUNCTION("""COMPUTED_VALUE"""),"joins")</f>
        <v>joins</v>
      </c>
      <c r="P1884" s="49" t="str">
        <f t="shared" si="2"/>
        <v>worship,</v>
      </c>
      <c r="Q1884" s="49"/>
      <c r="R1884" s="50" t="s">
        <v>4348</v>
      </c>
      <c r="S1884" s="55" t="s">
        <v>5139</v>
      </c>
      <c r="T1884" s="49"/>
      <c r="U1884" s="49"/>
      <c r="V1884" s="49"/>
      <c r="W1884" s="49"/>
      <c r="X1884" s="49" t="str">
        <f t="shared" si="3"/>
        <v>specifically,</v>
      </c>
      <c r="Y1884" s="49"/>
      <c r="Z1884" s="1" t="s">
        <v>6353</v>
      </c>
      <c r="AA1884" s="1" t="s">
        <v>1176</v>
      </c>
      <c r="AB1884" s="49"/>
      <c r="AC1884" s="49"/>
      <c r="AD1884" s="49"/>
      <c r="AE1884" s="49" t="str">
        <f>IFERROR(__xludf.DUMMYFUNCTION("""COMPUTED_VALUE"""),"joins")</f>
        <v>joins</v>
      </c>
      <c r="AF1884" s="49" t="str">
        <f t="shared" si="4"/>
        <v>spot,</v>
      </c>
      <c r="AG1884" s="49"/>
      <c r="AH1884" s="1" t="s">
        <v>2180</v>
      </c>
      <c r="AI1884" s="1" t="s">
        <v>2914</v>
      </c>
      <c r="AJ1884" s="6" t="str">
        <f>IFERROR(__xludf.DUMMYFUNCTION("""COMPUTED_VALUE"""),"certain")</f>
        <v>certain</v>
      </c>
      <c r="AK1884" s="49"/>
      <c r="AL1884" s="49"/>
      <c r="AM1884" s="49"/>
      <c r="AN1884" s="52" t="str">
        <f t="shared" si="5"/>
        <v>thinking,</v>
      </c>
    </row>
    <row r="1885">
      <c r="A1885" s="51"/>
      <c r="B1885" s="50" t="s">
        <v>2310</v>
      </c>
      <c r="C1885" s="50" t="s">
        <v>1977</v>
      </c>
      <c r="D1885" s="49" t="str">
        <f>IFERROR(__xludf.DUMMYFUNCTION("""COMPUTED_VALUE"""),"example")</f>
        <v>example</v>
      </c>
      <c r="E1885" s="49"/>
      <c r="F1885" s="49"/>
      <c r="G1885" s="49"/>
      <c r="H1885" s="54" t="str">
        <f t="shared" si="1"/>
        <v>evolution,</v>
      </c>
      <c r="I1885" s="50"/>
      <c r="J1885" s="50" t="s">
        <v>5953</v>
      </c>
      <c r="K1885" s="50" t="s">
        <v>1716</v>
      </c>
      <c r="L1885" s="49"/>
      <c r="M1885" s="49"/>
      <c r="N1885" s="49"/>
      <c r="O1885" s="49" t="str">
        <f>IFERROR(__xludf.DUMMYFUNCTION("""COMPUTED_VALUE"""),"fraser")</f>
        <v>fraser</v>
      </c>
      <c r="P1885" s="49" t="str">
        <f t="shared" si="2"/>
        <v>graphic,</v>
      </c>
      <c r="Q1885" s="49"/>
      <c r="R1885" s="50" t="s">
        <v>901</v>
      </c>
      <c r="S1885" s="55" t="s">
        <v>4957</v>
      </c>
      <c r="T1885" s="49"/>
      <c r="U1885" s="49"/>
      <c r="V1885" s="49"/>
      <c r="W1885" s="49"/>
      <c r="X1885" s="49" t="str">
        <f t="shared" si="3"/>
        <v>groundbreaking,</v>
      </c>
      <c r="Y1885" s="49"/>
      <c r="Z1885" s="1" t="s">
        <v>1853</v>
      </c>
      <c r="AA1885" s="1" t="s">
        <v>4344</v>
      </c>
      <c r="AB1885" s="49"/>
      <c r="AC1885" s="49"/>
      <c r="AD1885" s="49"/>
      <c r="AE1885" s="49" t="str">
        <f>IFERROR(__xludf.DUMMYFUNCTION("""COMPUTED_VALUE"""),"fraser")</f>
        <v>fraser</v>
      </c>
      <c r="AF1885" s="49" t="str">
        <f t="shared" si="4"/>
        <v>loose,</v>
      </c>
      <c r="AG1885" s="49"/>
      <c r="AH1885" s="1" t="s">
        <v>6687</v>
      </c>
      <c r="AI1885" s="1" t="s">
        <v>6601</v>
      </c>
      <c r="AJ1885" s="6" t="str">
        <f>IFERROR(__xludf.DUMMYFUNCTION("""COMPUTED_VALUE"""),"existence")</f>
        <v>existence</v>
      </c>
      <c r="AK1885" s="49"/>
      <c r="AL1885" s="49"/>
      <c r="AM1885" s="49"/>
      <c r="AN1885" s="52" t="str">
        <f t="shared" si="5"/>
        <v>baby,</v>
      </c>
    </row>
    <row r="1886">
      <c r="A1886" s="51"/>
      <c r="B1886" s="50" t="s">
        <v>6884</v>
      </c>
      <c r="C1886" s="50" t="s">
        <v>2793</v>
      </c>
      <c r="D1886" s="49" t="str">
        <f>IFERROR(__xludf.DUMMYFUNCTION("""COMPUTED_VALUE"""),"values")</f>
        <v>values</v>
      </c>
      <c r="E1886" s="49"/>
      <c r="F1886" s="49"/>
      <c r="G1886" s="49"/>
      <c r="H1886" s="54" t="str">
        <f t="shared" si="1"/>
        <v>discover,</v>
      </c>
      <c r="I1886" s="50"/>
      <c r="J1886" s="50" t="s">
        <v>5214</v>
      </c>
      <c r="K1886" s="50" t="s">
        <v>5118</v>
      </c>
      <c r="L1886" s="49"/>
      <c r="M1886" s="49"/>
      <c r="N1886" s="49"/>
      <c r="O1886" s="49" t="str">
        <f>IFERROR(__xludf.DUMMYFUNCTION("""COMPUTED_VALUE"""),"emphasizing")</f>
        <v>emphasizing</v>
      </c>
      <c r="P1886" s="49" t="str">
        <f t="shared" si="2"/>
        <v>artwork,</v>
      </c>
      <c r="Q1886" s="49"/>
      <c r="R1886" s="50" t="s">
        <v>4693</v>
      </c>
      <c r="S1886" s="55" t="s">
        <v>947</v>
      </c>
      <c r="T1886" s="49"/>
      <c r="U1886" s="49"/>
      <c r="V1886" s="49"/>
      <c r="W1886" s="49"/>
      <c r="X1886" s="49" t="str">
        <f t="shared" si="3"/>
        <v>metropolitan,</v>
      </c>
      <c r="Y1886" s="49"/>
      <c r="Z1886" s="1" t="s">
        <v>7404</v>
      </c>
      <c r="AA1886" s="1" t="s">
        <v>3467</v>
      </c>
      <c r="AB1886" s="49"/>
      <c r="AC1886" s="49"/>
      <c r="AD1886" s="49"/>
      <c r="AE1886" s="49" t="str">
        <f>IFERROR(__xludf.DUMMYFUNCTION("""COMPUTED_VALUE"""),"emphasizing")</f>
        <v>emphasizing</v>
      </c>
      <c r="AF1886" s="49" t="str">
        <f t="shared" si="4"/>
        <v>suits,</v>
      </c>
      <c r="AG1886" s="49"/>
      <c r="AH1886" s="1" t="s">
        <v>3405</v>
      </c>
      <c r="AI1886" s="1" t="s">
        <v>1383</v>
      </c>
      <c r="AJ1886" s="6" t="str">
        <f>IFERROR(__xludf.DUMMYFUNCTION("""COMPUTED_VALUE"""),"downtown")</f>
        <v>downtown</v>
      </c>
      <c r="AK1886" s="49"/>
      <c r="AL1886" s="49"/>
      <c r="AM1886" s="49"/>
      <c r="AN1886" s="52" t="str">
        <f t="shared" si="5"/>
        <v>task,</v>
      </c>
    </row>
    <row r="1887">
      <c r="A1887" s="51"/>
      <c r="B1887" s="50" t="s">
        <v>1706</v>
      </c>
      <c r="C1887" s="50" t="s">
        <v>3432</v>
      </c>
      <c r="D1887" s="49" t="str">
        <f>IFERROR(__xludf.DUMMYFUNCTION("""COMPUTED_VALUE"""),"extreme")</f>
        <v>extreme</v>
      </c>
      <c r="E1887" s="49"/>
      <c r="F1887" s="49"/>
      <c r="G1887" s="49"/>
      <c r="H1887" s="54" t="str">
        <f t="shared" si="1"/>
        <v>humanity,</v>
      </c>
      <c r="I1887" s="50"/>
      <c r="J1887" s="50" t="s">
        <v>3739</v>
      </c>
      <c r="K1887" s="50" t="s">
        <v>3469</v>
      </c>
      <c r="L1887" s="49"/>
      <c r="M1887" s="49"/>
      <c r="N1887" s="49"/>
      <c r="O1887" s="49" t="str">
        <f>IFERROR(__xludf.DUMMYFUNCTION("""COMPUTED_VALUE"""),"terrorists")</f>
        <v>terrorists</v>
      </c>
      <c r="P1887" s="49" t="str">
        <f t="shared" si="2"/>
        <v>marked,</v>
      </c>
      <c r="Q1887" s="49"/>
      <c r="R1887" s="50" t="s">
        <v>3192</v>
      </c>
      <c r="S1887" s="55" t="s">
        <v>2983</v>
      </c>
      <c r="T1887" s="49"/>
      <c r="U1887" s="49"/>
      <c r="V1887" s="49"/>
      <c r="W1887" s="49"/>
      <c r="X1887" s="49" t="str">
        <f t="shared" si="3"/>
        <v>panic,</v>
      </c>
      <c r="Y1887" s="49"/>
      <c r="Z1887" s="1" t="s">
        <v>3195</v>
      </c>
      <c r="AA1887" s="1" t="s">
        <v>4082</v>
      </c>
      <c r="AB1887" s="49"/>
      <c r="AC1887" s="49"/>
      <c r="AD1887" s="49"/>
      <c r="AE1887" s="49" t="str">
        <f>IFERROR(__xludf.DUMMYFUNCTION("""COMPUTED_VALUE"""),"terrorists")</f>
        <v>terrorists</v>
      </c>
      <c r="AF1887" s="49" t="str">
        <f t="shared" si="4"/>
        <v>manage,</v>
      </c>
      <c r="AG1887" s="49"/>
      <c r="AH1887" s="1" t="s">
        <v>4585</v>
      </c>
      <c r="AI1887" s="1" t="s">
        <v>4285</v>
      </c>
      <c r="AJ1887" s="6" t="str">
        <f>IFERROR(__xludf.DUMMYFUNCTION("""COMPUTED_VALUE"""),"hop")</f>
        <v>hop</v>
      </c>
      <c r="AK1887" s="49"/>
      <c r="AL1887" s="49"/>
      <c r="AM1887" s="49"/>
      <c r="AN1887" s="52" t="str">
        <f t="shared" si="5"/>
        <v>monument,</v>
      </c>
    </row>
    <row r="1888">
      <c r="A1888" s="51"/>
      <c r="B1888" s="50" t="s">
        <v>5062</v>
      </c>
      <c r="C1888" s="50" t="s">
        <v>4665</v>
      </c>
      <c r="D1888" s="49" t="str">
        <f>IFERROR(__xludf.DUMMYFUNCTION("""COMPUTED_VALUE"""),"editing")</f>
        <v>editing</v>
      </c>
      <c r="E1888" s="49"/>
      <c r="F1888" s="49"/>
      <c r="G1888" s="49"/>
      <c r="H1888" s="54" t="str">
        <f t="shared" si="1"/>
        <v>kane,</v>
      </c>
      <c r="I1888" s="50"/>
      <c r="J1888" s="50" t="s">
        <v>7468</v>
      </c>
      <c r="K1888" s="50" t="s">
        <v>3473</v>
      </c>
      <c r="L1888" s="49"/>
      <c r="M1888" s="49"/>
      <c r="N1888" s="49"/>
      <c r="O1888" s="49" t="str">
        <f>IFERROR(__xludf.DUMMYFUNCTION("""COMPUTED_VALUE"""),"thinkers")</f>
        <v>thinkers</v>
      </c>
      <c r="P1888" s="49" t="str">
        <f t="shared" si="2"/>
        <v>agree,</v>
      </c>
      <c r="Q1888" s="49"/>
      <c r="R1888" s="50" t="s">
        <v>4073</v>
      </c>
      <c r="S1888" s="55" t="s">
        <v>5142</v>
      </c>
      <c r="T1888" s="49"/>
      <c r="U1888" s="49"/>
      <c r="V1888" s="49"/>
      <c r="W1888" s="49"/>
      <c r="X1888" s="49" t="str">
        <f t="shared" si="3"/>
        <v>resident,</v>
      </c>
      <c r="Y1888" s="49"/>
      <c r="Z1888" s="1" t="s">
        <v>1307</v>
      </c>
      <c r="AA1888" s="1" t="s">
        <v>3471</v>
      </c>
      <c r="AB1888" s="49"/>
      <c r="AC1888" s="49"/>
      <c r="AD1888" s="49"/>
      <c r="AE1888" s="49" t="str">
        <f>IFERROR(__xludf.DUMMYFUNCTION("""COMPUTED_VALUE"""),"thinkers")</f>
        <v>thinkers</v>
      </c>
      <c r="AF1888" s="49" t="str">
        <f t="shared" si="4"/>
        <v>central,</v>
      </c>
      <c r="AG1888" s="49"/>
      <c r="AH1888" s="1" t="s">
        <v>2924</v>
      </c>
      <c r="AI1888" s="1" t="s">
        <v>3024</v>
      </c>
      <c r="AJ1888" s="6" t="str">
        <f>IFERROR(__xludf.DUMMYFUNCTION("""COMPUTED_VALUE"""),"explains")</f>
        <v>explains</v>
      </c>
      <c r="AK1888" s="49"/>
      <c r="AL1888" s="49"/>
      <c r="AM1888" s="49"/>
      <c r="AN1888" s="52" t="str">
        <f t="shared" si="5"/>
        <v>gradually,</v>
      </c>
    </row>
    <row r="1889">
      <c r="A1889" s="51"/>
      <c r="B1889" s="50" t="s">
        <v>6980</v>
      </c>
      <c r="C1889" s="50" t="s">
        <v>4667</v>
      </c>
      <c r="D1889" s="49" t="str">
        <f>IFERROR(__xludf.DUMMYFUNCTION("""COMPUTED_VALUE"""),"strength")</f>
        <v>strength</v>
      </c>
      <c r="E1889" s="49"/>
      <c r="F1889" s="49"/>
      <c r="G1889" s="49"/>
      <c r="H1889" s="54" t="str">
        <f t="shared" si="1"/>
        <v>advised,</v>
      </c>
      <c r="I1889" s="50"/>
      <c r="J1889" s="50" t="s">
        <v>2956</v>
      </c>
      <c r="K1889" s="50" t="s">
        <v>3476</v>
      </c>
      <c r="L1889" s="49"/>
      <c r="M1889" s="49"/>
      <c r="N1889" s="49"/>
      <c r="O1889" s="49" t="str">
        <f>IFERROR(__xludf.DUMMYFUNCTION("""COMPUTED_VALUE"""),"orbits")</f>
        <v>orbits</v>
      </c>
      <c r="P1889" s="49" t="str">
        <f t="shared" si="2"/>
        <v>von,</v>
      </c>
      <c r="Q1889" s="49"/>
      <c r="R1889" s="50" t="s">
        <v>4025</v>
      </c>
      <c r="S1889" s="55" t="s">
        <v>535</v>
      </c>
      <c r="T1889" s="49"/>
      <c r="U1889" s="49"/>
      <c r="V1889" s="49"/>
      <c r="W1889" s="49"/>
      <c r="X1889" s="49" t="str">
        <f t="shared" si="3"/>
        <v>pencil,</v>
      </c>
      <c r="Y1889" s="49"/>
      <c r="Z1889" s="1" t="s">
        <v>812</v>
      </c>
      <c r="AA1889" s="1" t="s">
        <v>390</v>
      </c>
      <c r="AB1889" s="49"/>
      <c r="AC1889" s="49"/>
      <c r="AD1889" s="49"/>
      <c r="AE1889" s="49" t="str">
        <f>IFERROR(__xludf.DUMMYFUNCTION("""COMPUTED_VALUE"""),"orbits")</f>
        <v>orbits</v>
      </c>
      <c r="AF1889" s="49" t="str">
        <f t="shared" si="4"/>
        <v>flaws,</v>
      </c>
      <c r="AG1889" s="49"/>
      <c r="AH1889" s="1" t="s">
        <v>6532</v>
      </c>
      <c r="AI1889" s="1" t="s">
        <v>3192</v>
      </c>
      <c r="AJ1889" s="6" t="str">
        <f>IFERROR(__xludf.DUMMYFUNCTION("""COMPUTED_VALUE"""),"red")</f>
        <v>red</v>
      </c>
      <c r="AK1889" s="49"/>
      <c r="AL1889" s="49"/>
      <c r="AM1889" s="49"/>
      <c r="AN1889" s="52" t="str">
        <f t="shared" si="5"/>
        <v>elizabeth,</v>
      </c>
    </row>
    <row r="1890">
      <c r="A1890" s="51"/>
      <c r="B1890" s="50" t="s">
        <v>2115</v>
      </c>
      <c r="C1890" s="50" t="s">
        <v>4158</v>
      </c>
      <c r="D1890" s="49" t="str">
        <f>IFERROR(__xludf.DUMMYFUNCTION("""COMPUTED_VALUE"""),"opposed")</f>
        <v>opposed</v>
      </c>
      <c r="E1890" s="49"/>
      <c r="F1890" s="49"/>
      <c r="G1890" s="49"/>
      <c r="H1890" s="54" t="str">
        <f t="shared" si="1"/>
        <v>test,</v>
      </c>
      <c r="I1890" s="50"/>
      <c r="J1890" s="50" t="s">
        <v>3119</v>
      </c>
      <c r="K1890" s="50" t="s">
        <v>1178</v>
      </c>
      <c r="L1890" s="49"/>
      <c r="M1890" s="49"/>
      <c r="N1890" s="49"/>
      <c r="O1890" s="49" t="str">
        <f>IFERROR(__xludf.DUMMYFUNCTION("""COMPUTED_VALUE"""),"reassure")</f>
        <v>reassure</v>
      </c>
      <c r="P1890" s="49" t="str">
        <f t="shared" si="2"/>
        <v>70s,</v>
      </c>
      <c r="Q1890" s="49"/>
      <c r="R1890" s="50" t="s">
        <v>1794</v>
      </c>
      <c r="S1890" s="55" t="s">
        <v>1107</v>
      </c>
      <c r="T1890" s="49"/>
      <c r="U1890" s="49"/>
      <c r="V1890" s="49"/>
      <c r="W1890" s="49"/>
      <c r="X1890" s="49" t="str">
        <f t="shared" si="3"/>
        <v>harsh,</v>
      </c>
      <c r="Y1890" s="49"/>
      <c r="Z1890" s="1" t="s">
        <v>1169</v>
      </c>
      <c r="AA1890" s="1" t="s">
        <v>3478</v>
      </c>
      <c r="AB1890" s="49"/>
      <c r="AC1890" s="49"/>
      <c r="AD1890" s="49"/>
      <c r="AE1890" s="49" t="str">
        <f>IFERROR(__xludf.DUMMYFUNCTION("""COMPUTED_VALUE"""),"reassure")</f>
        <v>reassure</v>
      </c>
      <c r="AF1890" s="49" t="str">
        <f t="shared" si="4"/>
        <v>nicholas,</v>
      </c>
      <c r="AG1890" s="49"/>
      <c r="AH1890" s="1" t="s">
        <v>1249</v>
      </c>
      <c r="AI1890" s="1" t="s">
        <v>5050</v>
      </c>
      <c r="AJ1890" s="6" t="str">
        <f>IFERROR(__xludf.DUMMYFUNCTION("""COMPUTED_VALUE"""),"result")</f>
        <v>result</v>
      </c>
      <c r="AK1890" s="49"/>
      <c r="AL1890" s="49"/>
      <c r="AM1890" s="49"/>
      <c r="AN1890" s="52" t="str">
        <f t="shared" si="5"/>
        <v>midnight,</v>
      </c>
    </row>
    <row r="1891">
      <c r="A1891" s="51"/>
      <c r="B1891" s="50" t="s">
        <v>658</v>
      </c>
      <c r="C1891" s="50" t="s">
        <v>4155</v>
      </c>
      <c r="D1891" s="49" t="str">
        <f>IFERROR(__xludf.DUMMYFUNCTION("""COMPUTED_VALUE"""),"extent")</f>
        <v>extent</v>
      </c>
      <c r="E1891" s="49"/>
      <c r="F1891" s="49"/>
      <c r="G1891" s="49"/>
      <c r="H1891" s="54" t="str">
        <f t="shared" si="1"/>
        <v>constructed,</v>
      </c>
      <c r="I1891" s="50"/>
      <c r="J1891" s="50" t="s">
        <v>1768</v>
      </c>
      <c r="K1891" s="50" t="s">
        <v>3482</v>
      </c>
      <c r="L1891" s="49"/>
      <c r="M1891" s="49"/>
      <c r="N1891" s="49"/>
      <c r="O1891" s="49" t="str">
        <f>IFERROR(__xludf.DUMMYFUNCTION("""COMPUTED_VALUE"""),"corbett")</f>
        <v>corbett</v>
      </c>
      <c r="P1891" s="49" t="str">
        <f t="shared" si="2"/>
        <v>era,</v>
      </c>
      <c r="Q1891" s="49"/>
      <c r="R1891" s="50" t="s">
        <v>4973</v>
      </c>
      <c r="S1891" s="55" t="s">
        <v>4962</v>
      </c>
      <c r="T1891" s="49"/>
      <c r="U1891" s="49"/>
      <c r="V1891" s="49"/>
      <c r="W1891" s="49"/>
      <c r="X1891" s="49" t="str">
        <f t="shared" si="3"/>
        <v>santa,</v>
      </c>
      <c r="Y1891" s="49"/>
      <c r="Z1891" s="1" t="s">
        <v>3058</v>
      </c>
      <c r="AA1891" s="1" t="s">
        <v>5119</v>
      </c>
      <c r="AB1891" s="49"/>
      <c r="AC1891" s="49"/>
      <c r="AD1891" s="49"/>
      <c r="AE1891" s="49" t="str">
        <f>IFERROR(__xludf.DUMMYFUNCTION("""COMPUTED_VALUE"""),"corbett")</f>
        <v>corbett</v>
      </c>
      <c r="AF1891" s="49" t="str">
        <f t="shared" si="4"/>
        <v>please,</v>
      </c>
      <c r="AG1891" s="49"/>
      <c r="AH1891" s="1" t="s">
        <v>964</v>
      </c>
      <c r="AI1891" s="1" t="s">
        <v>2101</v>
      </c>
      <c r="AJ1891" s="6" t="str">
        <f>IFERROR(__xludf.DUMMYFUNCTION("""COMPUTED_VALUE"""),"foot")</f>
        <v>foot</v>
      </c>
      <c r="AK1891" s="49"/>
      <c r="AL1891" s="49"/>
      <c r="AM1891" s="49"/>
      <c r="AN1891" s="52" t="str">
        <f t="shared" si="5"/>
        <v>musical,</v>
      </c>
    </row>
    <row r="1892">
      <c r="A1892" s="51"/>
      <c r="B1892" s="50" t="s">
        <v>6519</v>
      </c>
      <c r="C1892" s="50" t="s">
        <v>6568</v>
      </c>
      <c r="D1892" s="49" t="str">
        <f>IFERROR(__xludf.DUMMYFUNCTION("""COMPUTED_VALUE"""),"confident")</f>
        <v>confident</v>
      </c>
      <c r="E1892" s="49"/>
      <c r="F1892" s="49"/>
      <c r="G1892" s="49"/>
      <c r="H1892" s="54" t="str">
        <f t="shared" si="1"/>
        <v>lie,</v>
      </c>
      <c r="I1892" s="50"/>
      <c r="J1892" s="50" t="s">
        <v>6481</v>
      </c>
      <c r="K1892" s="50" t="s">
        <v>1899</v>
      </c>
      <c r="L1892" s="49"/>
      <c r="M1892" s="49"/>
      <c r="N1892" s="49"/>
      <c r="O1892" s="49" t="str">
        <f>IFERROR(__xludf.DUMMYFUNCTION("""COMPUTED_VALUE"""),"lending")</f>
        <v>lending</v>
      </c>
      <c r="P1892" s="49" t="str">
        <f t="shared" si="2"/>
        <v>perfectly,</v>
      </c>
      <c r="Q1892" s="49"/>
      <c r="R1892" s="50" t="s">
        <v>1781</v>
      </c>
      <c r="S1892" s="55" t="s">
        <v>3279</v>
      </c>
      <c r="T1892" s="49"/>
      <c r="U1892" s="49"/>
      <c r="V1892" s="49"/>
      <c r="W1892" s="49"/>
      <c r="X1892" s="49" t="str">
        <f t="shared" si="3"/>
        <v>diversion,</v>
      </c>
      <c r="Y1892" s="49"/>
      <c r="Z1892" s="1" t="s">
        <v>6291</v>
      </c>
      <c r="AA1892" s="1" t="s">
        <v>5121</v>
      </c>
      <c r="AB1892" s="49"/>
      <c r="AC1892" s="49"/>
      <c r="AD1892" s="49"/>
      <c r="AE1892" s="49" t="str">
        <f>IFERROR(__xludf.DUMMYFUNCTION("""COMPUTED_VALUE"""),"lending")</f>
        <v>lending</v>
      </c>
      <c r="AF1892" s="49" t="str">
        <f t="shared" si="4"/>
        <v>dry,</v>
      </c>
      <c r="AG1892" s="49"/>
      <c r="AH1892" s="1" t="s">
        <v>6890</v>
      </c>
      <c r="AI1892" s="1" t="s">
        <v>3195</v>
      </c>
      <c r="AJ1892" s="6" t="str">
        <f>IFERROR(__xludf.DUMMYFUNCTION("""COMPUTED_VALUE"""),"reach")</f>
        <v>reach</v>
      </c>
      <c r="AK1892" s="49"/>
      <c r="AL1892" s="49"/>
      <c r="AM1892" s="49"/>
      <c r="AN1892" s="52" t="str">
        <f t="shared" si="5"/>
        <v>doors,</v>
      </c>
    </row>
    <row r="1893">
      <c r="A1893" s="51"/>
      <c r="B1893" s="50" t="s">
        <v>3904</v>
      </c>
      <c r="C1893" s="50" t="s">
        <v>4671</v>
      </c>
      <c r="D1893" s="49" t="str">
        <f>IFERROR(__xludf.DUMMYFUNCTION("""COMPUTED_VALUE"""),"cutting")</f>
        <v>cutting</v>
      </c>
      <c r="E1893" s="49"/>
      <c r="F1893" s="49"/>
      <c r="G1893" s="49"/>
      <c r="H1893" s="54" t="str">
        <f t="shared" si="1"/>
        <v>pocket,</v>
      </c>
      <c r="I1893" s="50"/>
      <c r="J1893" s="50" t="s">
        <v>536</v>
      </c>
      <c r="K1893" s="50" t="s">
        <v>3486</v>
      </c>
      <c r="L1893" s="49"/>
      <c r="M1893" s="49"/>
      <c r="N1893" s="49"/>
      <c r="O1893" s="49" t="str">
        <f>IFERROR(__xludf.DUMMYFUNCTION("""COMPUTED_VALUE"""),"anton")</f>
        <v>anton</v>
      </c>
      <c r="P1893" s="49" t="str">
        <f t="shared" si="2"/>
        <v>scores,</v>
      </c>
      <c r="Q1893" s="49"/>
      <c r="R1893" s="50" t="s">
        <v>2236</v>
      </c>
      <c r="S1893" s="55" t="s">
        <v>1132</v>
      </c>
      <c r="T1893" s="49"/>
      <c r="U1893" s="49"/>
      <c r="V1893" s="49"/>
      <c r="W1893" s="49"/>
      <c r="X1893" s="49" t="str">
        <f t="shared" si="3"/>
        <v>prom,</v>
      </c>
      <c r="Y1893" s="49"/>
      <c r="Z1893" s="1" t="s">
        <v>1492</v>
      </c>
      <c r="AA1893" s="1" t="s">
        <v>4087</v>
      </c>
      <c r="AB1893" s="49"/>
      <c r="AC1893" s="49"/>
      <c r="AD1893" s="49"/>
      <c r="AE1893" s="49" t="str">
        <f>IFERROR(__xludf.DUMMYFUNCTION("""COMPUTED_VALUE"""),"anton")</f>
        <v>anton</v>
      </c>
      <c r="AF1893" s="49" t="str">
        <f t="shared" si="4"/>
        <v>tradition,</v>
      </c>
      <c r="AG1893" s="49"/>
      <c r="AH1893" s="1" t="s">
        <v>2364</v>
      </c>
      <c r="AI1893" s="1" t="s">
        <v>2921</v>
      </c>
      <c r="AJ1893" s="6" t="str">
        <f>IFERROR(__xludf.DUMMYFUNCTION("""COMPUTED_VALUE"""),"serious")</f>
        <v>serious</v>
      </c>
      <c r="AK1893" s="49"/>
      <c r="AL1893" s="49"/>
      <c r="AM1893" s="49"/>
      <c r="AN1893" s="52" t="str">
        <f t="shared" si="5"/>
        <v>camera,</v>
      </c>
    </row>
    <row r="1894">
      <c r="A1894" s="51"/>
      <c r="B1894" s="50" t="s">
        <v>7318</v>
      </c>
      <c r="C1894" s="50" t="s">
        <v>4869</v>
      </c>
      <c r="D1894" s="49" t="str">
        <f>IFERROR(__xludf.DUMMYFUNCTION("""COMPUTED_VALUE"""),"directors")</f>
        <v>directors</v>
      </c>
      <c r="E1894" s="49"/>
      <c r="F1894" s="49"/>
      <c r="G1894" s="49"/>
      <c r="H1894" s="54" t="str">
        <f t="shared" si="1"/>
        <v>penn,</v>
      </c>
      <c r="I1894" s="50"/>
      <c r="J1894" s="50" t="s">
        <v>7425</v>
      </c>
      <c r="K1894" s="50" t="s">
        <v>1185</v>
      </c>
      <c r="L1894" s="49"/>
      <c r="M1894" s="49"/>
      <c r="N1894" s="49"/>
      <c r="O1894" s="49" t="str">
        <f>IFERROR(__xludf.DUMMYFUNCTION("""COMPUTED_VALUE"""),"teasing")</f>
        <v>teasing</v>
      </c>
      <c r="P1894" s="49" t="str">
        <f t="shared" si="2"/>
        <v>mommy,</v>
      </c>
      <c r="Q1894" s="49"/>
      <c r="R1894" s="50" t="s">
        <v>2656</v>
      </c>
      <c r="S1894" s="55" t="s">
        <v>3168</v>
      </c>
      <c r="T1894" s="49"/>
      <c r="U1894" s="49"/>
      <c r="V1894" s="49"/>
      <c r="W1894" s="49"/>
      <c r="X1894" s="49" t="str">
        <f t="shared" si="3"/>
        <v>triangle,</v>
      </c>
      <c r="Y1894" s="49"/>
      <c r="Z1894" s="1" t="s">
        <v>3624</v>
      </c>
      <c r="AA1894" s="1" t="s">
        <v>5123</v>
      </c>
      <c r="AB1894" s="49"/>
      <c r="AC1894" s="49"/>
      <c r="AD1894" s="49"/>
      <c r="AE1894" s="49" t="str">
        <f>IFERROR(__xludf.DUMMYFUNCTION("""COMPUTED_VALUE"""),"teasing")</f>
        <v>teasing</v>
      </c>
      <c r="AF1894" s="49" t="str">
        <f t="shared" si="4"/>
        <v>stays,</v>
      </c>
      <c r="AG1894" s="49"/>
      <c r="AH1894" s="1" t="s">
        <v>5108</v>
      </c>
      <c r="AI1894" s="1" t="s">
        <v>4862</v>
      </c>
      <c r="AJ1894" s="6" t="str">
        <f>IFERROR(__xludf.DUMMYFUNCTION("""COMPUTED_VALUE"""),"trace")</f>
        <v>trace</v>
      </c>
      <c r="AK1894" s="49"/>
      <c r="AL1894" s="49"/>
      <c r="AM1894" s="49"/>
      <c r="AN1894" s="52" t="str">
        <f t="shared" si="5"/>
        <v>sudden,</v>
      </c>
    </row>
    <row r="1895">
      <c r="A1895" s="51"/>
      <c r="B1895" s="50" t="s">
        <v>3364</v>
      </c>
      <c r="C1895" s="50" t="s">
        <v>1650</v>
      </c>
      <c r="D1895" s="49" t="str">
        <f>IFERROR(__xludf.DUMMYFUNCTION("""COMPUTED_VALUE"""),"terms")</f>
        <v>terms</v>
      </c>
      <c r="E1895" s="49"/>
      <c r="F1895" s="49"/>
      <c r="G1895" s="49"/>
      <c r="H1895" s="54" t="str">
        <f t="shared" si="1"/>
        <v>twist,</v>
      </c>
      <c r="I1895" s="50"/>
      <c r="J1895" s="50" t="s">
        <v>3556</v>
      </c>
      <c r="K1895" s="50" t="s">
        <v>5001</v>
      </c>
      <c r="L1895" s="49"/>
      <c r="M1895" s="49"/>
      <c r="N1895" s="49"/>
      <c r="O1895" s="49" t="str">
        <f>IFERROR(__xludf.DUMMYFUNCTION("""COMPUTED_VALUE"""),"ragged")</f>
        <v>ragged</v>
      </c>
      <c r="P1895" s="49" t="str">
        <f t="shared" si="2"/>
        <v>shoot,</v>
      </c>
      <c r="Q1895" s="49"/>
      <c r="R1895" s="50" t="s">
        <v>1545</v>
      </c>
      <c r="S1895" s="55" t="s">
        <v>1699</v>
      </c>
      <c r="T1895" s="49"/>
      <c r="U1895" s="49"/>
      <c r="V1895" s="49"/>
      <c r="W1895" s="49"/>
      <c r="X1895" s="49" t="str">
        <f t="shared" si="3"/>
        <v>lacking,</v>
      </c>
      <c r="Y1895" s="49"/>
      <c r="Z1895" s="1" t="s">
        <v>4816</v>
      </c>
      <c r="AA1895" s="1" t="s">
        <v>1191</v>
      </c>
      <c r="AB1895" s="49"/>
      <c r="AC1895" s="49"/>
      <c r="AD1895" s="49"/>
      <c r="AE1895" s="49" t="str">
        <f>IFERROR(__xludf.DUMMYFUNCTION("""COMPUTED_VALUE"""),"ragged")</f>
        <v>ragged</v>
      </c>
      <c r="AF1895" s="49" t="str">
        <f t="shared" si="4"/>
        <v>wicked,</v>
      </c>
      <c r="AG1895" s="49"/>
      <c r="AH1895" s="1" t="s">
        <v>6780</v>
      </c>
      <c r="AI1895" s="1" t="s">
        <v>1943</v>
      </c>
      <c r="AJ1895" s="6" t="str">
        <f>IFERROR(__xludf.DUMMYFUNCTION("""COMPUTED_VALUE"""),"heart")</f>
        <v>heart</v>
      </c>
      <c r="AK1895" s="49"/>
      <c r="AL1895" s="49"/>
      <c r="AM1895" s="49"/>
      <c r="AN1895" s="52" t="str">
        <f t="shared" si="5"/>
        <v>focuses,</v>
      </c>
    </row>
    <row r="1896">
      <c r="A1896" s="51"/>
      <c r="B1896" s="50" t="s">
        <v>4172</v>
      </c>
      <c r="C1896" s="50" t="s">
        <v>4599</v>
      </c>
      <c r="D1896" s="49" t="str">
        <f>IFERROR(__xludf.DUMMYFUNCTION("""COMPUTED_VALUE"""),"operates")</f>
        <v>operates</v>
      </c>
      <c r="E1896" s="49"/>
      <c r="F1896" s="49"/>
      <c r="G1896" s="49"/>
      <c r="H1896" s="54" t="str">
        <f t="shared" si="1"/>
        <v>george,</v>
      </c>
      <c r="I1896" s="50"/>
      <c r="J1896" s="50" t="s">
        <v>7469</v>
      </c>
      <c r="K1896" s="50" t="s">
        <v>4479</v>
      </c>
      <c r="L1896" s="49"/>
      <c r="M1896" s="49"/>
      <c r="N1896" s="49"/>
      <c r="O1896" s="49" t="str">
        <f>IFERROR(__xludf.DUMMYFUNCTION("""COMPUTED_VALUE"""),"enacted")</f>
        <v>enacted</v>
      </c>
      <c r="P1896" s="49" t="str">
        <f t="shared" si="2"/>
        <v>luc,</v>
      </c>
      <c r="Q1896" s="49"/>
      <c r="R1896" s="50" t="s">
        <v>6552</v>
      </c>
      <c r="S1896" s="55" t="s">
        <v>930</v>
      </c>
      <c r="T1896" s="49"/>
      <c r="U1896" s="49"/>
      <c r="V1896" s="49"/>
      <c r="W1896" s="49"/>
      <c r="X1896" s="49" t="str">
        <f t="shared" si="3"/>
        <v>assembly,</v>
      </c>
      <c r="Y1896" s="49"/>
      <c r="Z1896" s="1" t="s">
        <v>2199</v>
      </c>
      <c r="AA1896" s="1" t="s">
        <v>4092</v>
      </c>
      <c r="AB1896" s="49"/>
      <c r="AC1896" s="49"/>
      <c r="AD1896" s="49"/>
      <c r="AE1896" s="49" t="str">
        <f>IFERROR(__xludf.DUMMYFUNCTION("""COMPUTED_VALUE"""),"enacted")</f>
        <v>enacted</v>
      </c>
      <c r="AF1896" s="49" t="str">
        <f t="shared" si="4"/>
        <v>renowned,</v>
      </c>
      <c r="AG1896" s="49"/>
      <c r="AH1896" s="1" t="s">
        <v>407</v>
      </c>
      <c r="AI1896" s="1" t="s">
        <v>4298</v>
      </c>
      <c r="AJ1896" s="6" t="str">
        <f>IFERROR(__xludf.DUMMYFUNCTION("""COMPUTED_VALUE"""),"god")</f>
        <v>god</v>
      </c>
      <c r="AK1896" s="49"/>
      <c r="AL1896" s="49"/>
      <c r="AM1896" s="49"/>
      <c r="AN1896" s="52" t="str">
        <f t="shared" si="5"/>
        <v>room,</v>
      </c>
    </row>
    <row r="1897">
      <c r="A1897" s="51"/>
      <c r="B1897" s="50" t="s">
        <v>1585</v>
      </c>
      <c r="C1897" s="50" t="s">
        <v>1988</v>
      </c>
      <c r="D1897" s="49" t="str">
        <f>IFERROR(__xludf.DUMMYFUNCTION("""COMPUTED_VALUE"""),"fact")</f>
        <v>fact</v>
      </c>
      <c r="E1897" s="49"/>
      <c r="F1897" s="49"/>
      <c r="G1897" s="49"/>
      <c r="H1897" s="54" t="str">
        <f t="shared" si="1"/>
        <v>rice,</v>
      </c>
      <c r="I1897" s="50"/>
      <c r="J1897" s="50" t="s">
        <v>2014</v>
      </c>
      <c r="K1897" s="50" t="s">
        <v>4575</v>
      </c>
      <c r="L1897" s="49"/>
      <c r="M1897" s="49"/>
      <c r="N1897" s="49"/>
      <c r="O1897" s="49" t="str">
        <f>IFERROR(__xludf.DUMMYFUNCTION("""COMPUTED_VALUE"""),"moan")</f>
        <v>moan</v>
      </c>
      <c r="P1897" s="49" t="str">
        <f t="shared" si="2"/>
        <v>sweeping,</v>
      </c>
      <c r="Q1897" s="49"/>
      <c r="R1897" s="50" t="s">
        <v>3149</v>
      </c>
      <c r="S1897" s="55" t="s">
        <v>707</v>
      </c>
      <c r="T1897" s="49"/>
      <c r="U1897" s="49"/>
      <c r="V1897" s="49"/>
      <c r="W1897" s="49"/>
      <c r="X1897" s="49" t="str">
        <f t="shared" si="3"/>
        <v>toss,</v>
      </c>
      <c r="Y1897" s="49"/>
      <c r="Z1897" s="1" t="s">
        <v>7406</v>
      </c>
      <c r="AA1897" s="1" t="s">
        <v>1523</v>
      </c>
      <c r="AB1897" s="49"/>
      <c r="AC1897" s="49"/>
      <c r="AD1897" s="49"/>
      <c r="AE1897" s="49" t="str">
        <f>IFERROR(__xludf.DUMMYFUNCTION("""COMPUTED_VALUE"""),"moan")</f>
        <v>moan</v>
      </c>
      <c r="AF1897" s="49" t="str">
        <f t="shared" si="4"/>
        <v>buzz,</v>
      </c>
      <c r="AG1897" s="49"/>
      <c r="AH1897" s="1" t="s">
        <v>2519</v>
      </c>
      <c r="AI1897" s="1" t="s">
        <v>4312</v>
      </c>
      <c r="AJ1897" s="6" t="str">
        <f>IFERROR(__xludf.DUMMYFUNCTION("""COMPUTED_VALUE"""),"windows")</f>
        <v>windows</v>
      </c>
      <c r="AK1897" s="49"/>
      <c r="AL1897" s="49"/>
      <c r="AM1897" s="49"/>
      <c r="AN1897" s="52" t="str">
        <f t="shared" si="5"/>
        <v>required,</v>
      </c>
    </row>
    <row r="1898">
      <c r="A1898" s="51"/>
      <c r="B1898" s="50" t="s">
        <v>3532</v>
      </c>
      <c r="C1898" s="50" t="s">
        <v>4873</v>
      </c>
      <c r="D1898" s="49" t="str">
        <f>IFERROR(__xludf.DUMMYFUNCTION("""COMPUTED_VALUE"""),"com")</f>
        <v>com</v>
      </c>
      <c r="E1898" s="49"/>
      <c r="F1898" s="49"/>
      <c r="G1898" s="49"/>
      <c r="H1898" s="54" t="str">
        <f t="shared" si="1"/>
        <v>adventure,</v>
      </c>
      <c r="I1898" s="50"/>
      <c r="J1898" s="50" t="s">
        <v>3311</v>
      </c>
      <c r="K1898" s="50" t="s">
        <v>4578</v>
      </c>
      <c r="L1898" s="49"/>
      <c r="M1898" s="49"/>
      <c r="N1898" s="49"/>
      <c r="O1898" s="49" t="str">
        <f>IFERROR(__xludf.DUMMYFUNCTION("""COMPUTED_VALUE"""),"annex")</f>
        <v>annex</v>
      </c>
      <c r="P1898" s="49" t="str">
        <f t="shared" si="2"/>
        <v>passionate,</v>
      </c>
      <c r="Q1898" s="49"/>
      <c r="R1898" s="50" t="s">
        <v>5396</v>
      </c>
      <c r="S1898" s="55" t="s">
        <v>3294</v>
      </c>
      <c r="T1898" s="49"/>
      <c r="U1898" s="49"/>
      <c r="V1898" s="49"/>
      <c r="W1898" s="49"/>
      <c r="X1898" s="49" t="str">
        <f t="shared" si="3"/>
        <v>shudder,</v>
      </c>
      <c r="Y1898" s="49"/>
      <c r="Z1898" s="1" t="s">
        <v>6332</v>
      </c>
      <c r="AA1898" s="1" t="s">
        <v>3921</v>
      </c>
      <c r="AB1898" s="49"/>
      <c r="AC1898" s="49"/>
      <c r="AD1898" s="49"/>
      <c r="AE1898" s="49" t="str">
        <f>IFERROR(__xludf.DUMMYFUNCTION("""COMPUTED_VALUE"""),"annex")</f>
        <v>annex</v>
      </c>
      <c r="AF1898" s="49" t="str">
        <f t="shared" si="4"/>
        <v>screaming,</v>
      </c>
      <c r="AG1898" s="49"/>
      <c r="AH1898" s="1" t="s">
        <v>2737</v>
      </c>
      <c r="AI1898" s="1" t="s">
        <v>4313</v>
      </c>
      <c r="AJ1898" s="6" t="str">
        <f>IFERROR(__xludf.DUMMYFUNCTION("""COMPUTED_VALUE"""),"save")</f>
        <v>save</v>
      </c>
      <c r="AK1898" s="49"/>
      <c r="AL1898" s="49"/>
      <c r="AM1898" s="49"/>
      <c r="AN1898" s="52" t="str">
        <f t="shared" si="5"/>
        <v>stories,</v>
      </c>
    </row>
    <row r="1899">
      <c r="A1899" s="51"/>
      <c r="B1899" s="50" t="s">
        <v>3854</v>
      </c>
      <c r="C1899" s="50" t="s">
        <v>4166</v>
      </c>
      <c r="D1899" s="49" t="str">
        <f>IFERROR(__xludf.DUMMYFUNCTION("""COMPUTED_VALUE"""),"stephen")</f>
        <v>stephen</v>
      </c>
      <c r="E1899" s="49"/>
      <c r="F1899" s="49"/>
      <c r="G1899" s="49"/>
      <c r="H1899" s="54" t="str">
        <f t="shared" si="1"/>
        <v>executed,</v>
      </c>
      <c r="I1899" s="50"/>
      <c r="J1899" s="50" t="s">
        <v>1860</v>
      </c>
      <c r="K1899" s="50" t="s">
        <v>1903</v>
      </c>
      <c r="L1899" s="49"/>
      <c r="M1899" s="49"/>
      <c r="N1899" s="49"/>
      <c r="O1899" s="49" t="str">
        <f>IFERROR(__xludf.DUMMYFUNCTION("""COMPUTED_VALUE"""),"revived")</f>
        <v>revived</v>
      </c>
      <c r="P1899" s="49" t="str">
        <f t="shared" si="2"/>
        <v>dozen,</v>
      </c>
      <c r="Q1899" s="49"/>
      <c r="R1899" s="50" t="s">
        <v>3263</v>
      </c>
      <c r="S1899" s="55" t="s">
        <v>3298</v>
      </c>
      <c r="T1899" s="49"/>
      <c r="U1899" s="49"/>
      <c r="V1899" s="49"/>
      <c r="W1899" s="49"/>
      <c r="X1899" s="49" t="str">
        <f t="shared" si="3"/>
        <v>mature,</v>
      </c>
      <c r="Y1899" s="49"/>
      <c r="Z1899" s="1" t="s">
        <v>1345</v>
      </c>
      <c r="AA1899" s="1" t="s">
        <v>4100</v>
      </c>
      <c r="AB1899" s="49"/>
      <c r="AC1899" s="49"/>
      <c r="AD1899" s="49"/>
      <c r="AE1899" s="49" t="str">
        <f>IFERROR(__xludf.DUMMYFUNCTION("""COMPUTED_VALUE"""),"revived")</f>
        <v>revived</v>
      </c>
      <c r="AF1899" s="49" t="str">
        <f t="shared" si="4"/>
        <v>celebration,</v>
      </c>
      <c r="AG1899" s="49"/>
      <c r="AH1899" s="1" t="s">
        <v>6755</v>
      </c>
      <c r="AI1899" s="1" t="s">
        <v>2565</v>
      </c>
      <c r="AJ1899" s="6" t="str">
        <f>IFERROR(__xludf.DUMMYFUNCTION("""COMPUTED_VALUE"""),"positive")</f>
        <v>positive</v>
      </c>
      <c r="AK1899" s="49"/>
      <c r="AL1899" s="49"/>
      <c r="AM1899" s="49"/>
      <c r="AN1899" s="52" t="str">
        <f t="shared" si="5"/>
        <v>lover,</v>
      </c>
    </row>
    <row r="1900">
      <c r="A1900" s="51"/>
      <c r="B1900" s="50" t="s">
        <v>5679</v>
      </c>
      <c r="C1900" s="50" t="s">
        <v>5364</v>
      </c>
      <c r="D1900" s="49" t="str">
        <f>IFERROR(__xludf.DUMMYFUNCTION("""COMPUTED_VALUE"""),"took")</f>
        <v>took</v>
      </c>
      <c r="E1900" s="49"/>
      <c r="F1900" s="49"/>
      <c r="G1900" s="49"/>
      <c r="H1900" s="54" t="str">
        <f t="shared" si="1"/>
        <v>legendary,</v>
      </c>
      <c r="I1900" s="50"/>
      <c r="J1900" s="50" t="s">
        <v>4549</v>
      </c>
      <c r="K1900" s="50" t="s">
        <v>3495</v>
      </c>
      <c r="L1900" s="49"/>
      <c r="M1900" s="49"/>
      <c r="N1900" s="49"/>
      <c r="O1900" s="49" t="str">
        <f>IFERROR(__xludf.DUMMYFUNCTION("""COMPUTED_VALUE"""),"overture")</f>
        <v>overture</v>
      </c>
      <c r="P1900" s="49" t="str">
        <f t="shared" si="2"/>
        <v>anime,</v>
      </c>
      <c r="Q1900" s="49"/>
      <c r="R1900" s="50" t="s">
        <v>842</v>
      </c>
      <c r="S1900" s="55" t="s">
        <v>3000</v>
      </c>
      <c r="T1900" s="49"/>
      <c r="U1900" s="49"/>
      <c r="V1900" s="49"/>
      <c r="W1900" s="49"/>
      <c r="X1900" s="49" t="str">
        <f t="shared" si="3"/>
        <v>smarter,</v>
      </c>
      <c r="Y1900" s="49"/>
      <c r="Z1900" s="1" t="s">
        <v>3444</v>
      </c>
      <c r="AA1900" s="1" t="s">
        <v>5128</v>
      </c>
      <c r="AB1900" s="49"/>
      <c r="AC1900" s="49"/>
      <c r="AD1900" s="49"/>
      <c r="AE1900" s="49" t="str">
        <f>IFERROR(__xludf.DUMMYFUNCTION("""COMPUTED_VALUE"""),"overture")</f>
        <v>overture</v>
      </c>
      <c r="AF1900" s="49" t="str">
        <f t="shared" si="4"/>
        <v>pick,</v>
      </c>
      <c r="AG1900" s="49"/>
      <c r="AH1900" s="1" t="s">
        <v>1561</v>
      </c>
      <c r="AI1900" s="1" t="s">
        <v>3317</v>
      </c>
      <c r="AJ1900" s="6" t="str">
        <f>IFERROR(__xludf.DUMMYFUNCTION("""COMPUTED_VALUE"""),"faith")</f>
        <v>faith</v>
      </c>
      <c r="AK1900" s="49"/>
      <c r="AL1900" s="49"/>
      <c r="AM1900" s="49"/>
      <c r="AN1900" s="52" t="str">
        <f t="shared" si="5"/>
        <v>office,</v>
      </c>
    </row>
    <row r="1901">
      <c r="A1901" s="51"/>
      <c r="B1901" s="50" t="s">
        <v>614</v>
      </c>
      <c r="C1901" s="50" t="s">
        <v>849</v>
      </c>
      <c r="D1901" s="49" t="str">
        <f>IFERROR(__xludf.DUMMYFUNCTION("""COMPUTED_VALUE"""),"william")</f>
        <v>william</v>
      </c>
      <c r="E1901" s="49"/>
      <c r="F1901" s="49"/>
      <c r="G1901" s="49"/>
      <c r="H1901" s="54" t="str">
        <f t="shared" si="1"/>
        <v>poorly,</v>
      </c>
      <c r="I1901" s="50"/>
      <c r="J1901" s="50" t="s">
        <v>2719</v>
      </c>
      <c r="K1901" s="50" t="s">
        <v>3497</v>
      </c>
      <c r="L1901" s="49"/>
      <c r="M1901" s="49"/>
      <c r="N1901" s="49"/>
      <c r="O1901" s="49" t="str">
        <f>IFERROR(__xludf.DUMMYFUNCTION("""COMPUTED_VALUE"""),"pointedly")</f>
        <v>pointedly</v>
      </c>
      <c r="P1901" s="49" t="str">
        <f t="shared" si="2"/>
        <v>added,</v>
      </c>
      <c r="Q1901" s="49"/>
      <c r="R1901" s="50" t="s">
        <v>830</v>
      </c>
      <c r="S1901" s="55" t="s">
        <v>4418</v>
      </c>
      <c r="T1901" s="49"/>
      <c r="U1901" s="49"/>
      <c r="V1901" s="49"/>
      <c r="W1901" s="49"/>
      <c r="X1901" s="49" t="str">
        <f t="shared" si="3"/>
        <v>stores,</v>
      </c>
      <c r="Y1901" s="49"/>
      <c r="Z1901" s="1" t="s">
        <v>2995</v>
      </c>
      <c r="AA1901" s="1" t="s">
        <v>4101</v>
      </c>
      <c r="AB1901" s="49"/>
      <c r="AC1901" s="49"/>
      <c r="AD1901" s="49"/>
      <c r="AE1901" s="49" t="str">
        <f>IFERROR(__xludf.DUMMYFUNCTION("""COMPUTED_VALUE"""),"pointedly")</f>
        <v>pointedly</v>
      </c>
      <c r="AF1901" s="49" t="str">
        <f t="shared" si="4"/>
        <v>ages,</v>
      </c>
      <c r="AG1901" s="49"/>
      <c r="AH1901" s="1" t="s">
        <v>3182</v>
      </c>
      <c r="AI1901" s="1" t="s">
        <v>4875</v>
      </c>
      <c r="AJ1901" s="6" t="str">
        <f>IFERROR(__xludf.DUMMYFUNCTION("""COMPUTED_VALUE"""),"shooting")</f>
        <v>shooting</v>
      </c>
      <c r="AK1901" s="49"/>
      <c r="AL1901" s="49"/>
      <c r="AM1901" s="49"/>
      <c r="AN1901" s="52" t="str">
        <f t="shared" si="5"/>
        <v>male,</v>
      </c>
    </row>
    <row r="1902">
      <c r="A1902" s="51"/>
      <c r="B1902" s="50" t="s">
        <v>6350</v>
      </c>
      <c r="C1902" s="50" t="s">
        <v>6569</v>
      </c>
      <c r="D1902" s="49" t="str">
        <f>IFERROR(__xludf.DUMMYFUNCTION("""COMPUTED_VALUE"""),"peter")</f>
        <v>peter</v>
      </c>
      <c r="E1902" s="49"/>
      <c r="F1902" s="49"/>
      <c r="G1902" s="49"/>
      <c r="H1902" s="54" t="str">
        <f t="shared" si="1"/>
        <v>easy,</v>
      </c>
      <c r="I1902" s="50"/>
      <c r="J1902" s="50" t="s">
        <v>6258</v>
      </c>
      <c r="K1902" s="50" t="s">
        <v>3502</v>
      </c>
      <c r="L1902" s="49"/>
      <c r="M1902" s="49"/>
      <c r="N1902" s="49"/>
      <c r="O1902" s="49" t="str">
        <f>IFERROR(__xludf.DUMMYFUNCTION("""COMPUTED_VALUE"""),"fellowship")</f>
        <v>fellowship</v>
      </c>
      <c r="P1902" s="49" t="str">
        <f t="shared" si="2"/>
        <v>gem,</v>
      </c>
      <c r="Q1902" s="49"/>
      <c r="R1902" s="50" t="s">
        <v>3563</v>
      </c>
      <c r="S1902" s="55" t="s">
        <v>3755</v>
      </c>
      <c r="T1902" s="49"/>
      <c r="U1902" s="49"/>
      <c r="V1902" s="49"/>
      <c r="W1902" s="49"/>
      <c r="X1902" s="49" t="str">
        <f t="shared" si="3"/>
        <v>rumor,</v>
      </c>
      <c r="Y1902" s="49"/>
      <c r="Z1902" s="1" t="s">
        <v>2408</v>
      </c>
      <c r="AA1902" s="1" t="s">
        <v>1194</v>
      </c>
      <c r="AB1902" s="49"/>
      <c r="AC1902" s="49"/>
      <c r="AD1902" s="49"/>
      <c r="AE1902" s="49" t="str">
        <f>IFERROR(__xludf.DUMMYFUNCTION("""COMPUTED_VALUE"""),"fellowship")</f>
        <v>fellowship</v>
      </c>
      <c r="AF1902" s="49" t="str">
        <f t="shared" si="4"/>
        <v>vampire,</v>
      </c>
      <c r="AG1902" s="49"/>
      <c r="AH1902" s="1" t="s">
        <v>4666</v>
      </c>
      <c r="AI1902" s="1" t="s">
        <v>4318</v>
      </c>
      <c r="AJ1902" s="6" t="str">
        <f>IFERROR(__xludf.DUMMYFUNCTION("""COMPUTED_VALUE"""),"bomb")</f>
        <v>bomb</v>
      </c>
      <c r="AK1902" s="49"/>
      <c r="AL1902" s="49"/>
      <c r="AM1902" s="49"/>
      <c r="AN1902" s="52" t="str">
        <f t="shared" si="5"/>
        <v>campus,</v>
      </c>
    </row>
    <row r="1903">
      <c r="A1903" s="51"/>
      <c r="B1903" s="50" t="s">
        <v>2955</v>
      </c>
      <c r="C1903" s="50" t="s">
        <v>1444</v>
      </c>
      <c r="D1903" s="49" t="str">
        <f>IFERROR(__xludf.DUMMYFUNCTION("""COMPUTED_VALUE"""),"provided")</f>
        <v>provided</v>
      </c>
      <c r="E1903" s="49"/>
      <c r="F1903" s="49"/>
      <c r="G1903" s="49"/>
      <c r="H1903" s="54" t="str">
        <f t="shared" si="1"/>
        <v>solid,</v>
      </c>
      <c r="I1903" s="50"/>
      <c r="J1903" s="50" t="s">
        <v>4135</v>
      </c>
      <c r="K1903" s="50" t="s">
        <v>5132</v>
      </c>
      <c r="L1903" s="49"/>
      <c r="M1903" s="49"/>
      <c r="N1903" s="49"/>
      <c r="O1903" s="49" t="str">
        <f>IFERROR(__xludf.DUMMYFUNCTION("""COMPUTED_VALUE"""),"requiem")</f>
        <v>requiem</v>
      </c>
      <c r="P1903" s="49" t="str">
        <f t="shared" si="2"/>
        <v>excess,</v>
      </c>
      <c r="Q1903" s="49"/>
      <c r="R1903" s="50" t="s">
        <v>329</v>
      </c>
      <c r="S1903" s="55" t="s">
        <v>1772</v>
      </c>
      <c r="T1903" s="49"/>
      <c r="U1903" s="49"/>
      <c r="V1903" s="49"/>
      <c r="W1903" s="49"/>
      <c r="X1903" s="49" t="str">
        <f t="shared" si="3"/>
        <v>fiercely,</v>
      </c>
      <c r="Y1903" s="49"/>
      <c r="Z1903" s="1" t="s">
        <v>5018</v>
      </c>
      <c r="AA1903" s="1" t="s">
        <v>2270</v>
      </c>
      <c r="AB1903" s="49"/>
      <c r="AC1903" s="49"/>
      <c r="AD1903" s="49"/>
      <c r="AE1903" s="49" t="str">
        <f>IFERROR(__xludf.DUMMYFUNCTION("""COMPUTED_VALUE"""),"requiem")</f>
        <v>requiem</v>
      </c>
      <c r="AF1903" s="49" t="str">
        <f t="shared" si="4"/>
        <v>decidedly,</v>
      </c>
      <c r="AG1903" s="49"/>
      <c r="AH1903" s="1" t="s">
        <v>3636</v>
      </c>
      <c r="AI1903" s="1" t="s">
        <v>3220</v>
      </c>
      <c r="AJ1903" s="6" t="str">
        <f>IFERROR(__xludf.DUMMYFUNCTION("""COMPUTED_VALUE"""),"arnold")</f>
        <v>arnold</v>
      </c>
      <c r="AK1903" s="49"/>
      <c r="AL1903" s="49"/>
      <c r="AM1903" s="49"/>
      <c r="AN1903" s="52" t="str">
        <f t="shared" si="5"/>
        <v>primarily,</v>
      </c>
    </row>
    <row r="1904">
      <c r="A1904" s="51"/>
      <c r="B1904" s="50" t="s">
        <v>1929</v>
      </c>
      <c r="C1904" s="50" t="s">
        <v>4684</v>
      </c>
      <c r="D1904" s="49" t="str">
        <f>IFERROR(__xludf.DUMMYFUNCTION("""COMPUTED_VALUE"""),"hollow")</f>
        <v>hollow</v>
      </c>
      <c r="E1904" s="49"/>
      <c r="F1904" s="49"/>
      <c r="G1904" s="49"/>
      <c r="H1904" s="54" t="str">
        <f t="shared" si="1"/>
        <v>somewhat,</v>
      </c>
      <c r="I1904" s="50"/>
      <c r="J1904" s="50" t="s">
        <v>2488</v>
      </c>
      <c r="K1904" s="50" t="s">
        <v>4478</v>
      </c>
      <c r="L1904" s="49"/>
      <c r="M1904" s="49"/>
      <c r="N1904" s="49"/>
      <c r="O1904" s="49" t="str">
        <f>IFERROR(__xludf.DUMMYFUNCTION("""COMPUTED_VALUE"""),"mummy")</f>
        <v>mummy</v>
      </c>
      <c r="P1904" s="49" t="str">
        <f t="shared" si="2"/>
        <v>dynamic,</v>
      </c>
      <c r="Q1904" s="49"/>
      <c r="R1904" s="50" t="s">
        <v>5241</v>
      </c>
      <c r="S1904" s="55" t="s">
        <v>6602</v>
      </c>
      <c r="T1904" s="49"/>
      <c r="U1904" s="49"/>
      <c r="V1904" s="49"/>
      <c r="W1904" s="49"/>
      <c r="X1904" s="49" t="str">
        <f t="shared" si="3"/>
        <v>smack,</v>
      </c>
      <c r="Y1904" s="49"/>
      <c r="Z1904" s="1" t="s">
        <v>4117</v>
      </c>
      <c r="AA1904" s="1" t="s">
        <v>4104</v>
      </c>
      <c r="AB1904" s="49"/>
      <c r="AC1904" s="49"/>
      <c r="AD1904" s="49"/>
      <c r="AE1904" s="49" t="str">
        <f>IFERROR(__xludf.DUMMYFUNCTION("""COMPUTED_VALUE"""),"mummy")</f>
        <v>mummy</v>
      </c>
      <c r="AF1904" s="49" t="str">
        <f t="shared" si="4"/>
        <v>peculiar,</v>
      </c>
      <c r="AG1904" s="49"/>
      <c r="AH1904" s="1" t="s">
        <v>7470</v>
      </c>
      <c r="AI1904" s="1" t="s">
        <v>3972</v>
      </c>
      <c r="AJ1904" s="6">
        <f>IFERROR(__xludf.DUMMYFUNCTION("""COMPUTED_VALUE"""),1999.0)</f>
        <v>1999</v>
      </c>
      <c r="AK1904" s="49"/>
      <c r="AL1904" s="49"/>
      <c r="AM1904" s="49"/>
      <c r="AN1904" s="52" t="str">
        <f t="shared" si="5"/>
        <v>selling,</v>
      </c>
    </row>
    <row r="1905">
      <c r="A1905" s="51"/>
      <c r="B1905" s="50" t="s">
        <v>4014</v>
      </c>
      <c r="C1905" s="50" t="s">
        <v>4687</v>
      </c>
      <c r="D1905" s="49" t="str">
        <f>IFERROR(__xludf.DUMMYFUNCTION("""COMPUTED_VALUE"""),"list")</f>
        <v>list</v>
      </c>
      <c r="E1905" s="49"/>
      <c r="F1905" s="49"/>
      <c r="G1905" s="49"/>
      <c r="H1905" s="54" t="str">
        <f t="shared" si="1"/>
        <v>continuing,</v>
      </c>
      <c r="I1905" s="50"/>
      <c r="J1905" s="50" t="s">
        <v>3468</v>
      </c>
      <c r="K1905" s="50" t="s">
        <v>3505</v>
      </c>
      <c r="L1905" s="49"/>
      <c r="M1905" s="49"/>
      <c r="N1905" s="49"/>
      <c r="O1905" s="49" t="str">
        <f>IFERROR(__xludf.DUMMYFUNCTION("""COMPUTED_VALUE"""),"framework")</f>
        <v>framework</v>
      </c>
      <c r="P1905" s="49" t="str">
        <f t="shared" si="2"/>
        <v>errors,</v>
      </c>
      <c r="Q1905" s="49"/>
      <c r="R1905" s="50" t="s">
        <v>685</v>
      </c>
      <c r="S1905" s="55" t="s">
        <v>4422</v>
      </c>
      <c r="T1905" s="49"/>
      <c r="U1905" s="49"/>
      <c r="V1905" s="49"/>
      <c r="W1905" s="49"/>
      <c r="X1905" s="49" t="str">
        <f t="shared" si="3"/>
        <v>striking,</v>
      </c>
      <c r="Y1905" s="49"/>
      <c r="Z1905" s="1" t="s">
        <v>1247</v>
      </c>
      <c r="AA1905" s="1" t="s">
        <v>5134</v>
      </c>
      <c r="AB1905" s="49"/>
      <c r="AC1905" s="49"/>
      <c r="AD1905" s="49"/>
      <c r="AE1905" s="49" t="str">
        <f>IFERROR(__xludf.DUMMYFUNCTION("""COMPUTED_VALUE"""),"framework")</f>
        <v>framework</v>
      </c>
      <c r="AF1905" s="49" t="str">
        <f t="shared" si="4"/>
        <v>total,</v>
      </c>
      <c r="AG1905" s="49"/>
      <c r="AH1905" s="1" t="s">
        <v>1657</v>
      </c>
      <c r="AI1905" s="1" t="s">
        <v>4333</v>
      </c>
      <c r="AJ1905" s="6" t="str">
        <f>IFERROR(__xludf.DUMMYFUNCTION("""COMPUTED_VALUE"""),"volume")</f>
        <v>volume</v>
      </c>
      <c r="AK1905" s="49"/>
      <c r="AL1905" s="49"/>
      <c r="AM1905" s="49"/>
      <c r="AN1905" s="52" t="str">
        <f t="shared" si="5"/>
        <v>wrapped,</v>
      </c>
    </row>
    <row r="1906">
      <c r="A1906" s="51"/>
      <c r="B1906" s="50" t="s">
        <v>2596</v>
      </c>
      <c r="C1906" s="50" t="s">
        <v>6554</v>
      </c>
      <c r="D1906" s="49" t="str">
        <f>IFERROR(__xludf.DUMMYFUNCTION("""COMPUTED_VALUE"""),"burning")</f>
        <v>burning</v>
      </c>
      <c r="E1906" s="49"/>
      <c r="F1906" s="49"/>
      <c r="G1906" s="49"/>
      <c r="H1906" s="54" t="str">
        <f t="shared" si="1"/>
        <v>thrown,</v>
      </c>
      <c r="I1906" s="50"/>
      <c r="J1906" s="50" t="s">
        <v>6358</v>
      </c>
      <c r="K1906" s="50" t="s">
        <v>5136</v>
      </c>
      <c r="L1906" s="49"/>
      <c r="M1906" s="49"/>
      <c r="N1906" s="49"/>
      <c r="O1906" s="49" t="str">
        <f>IFERROR(__xludf.DUMMYFUNCTION("""COMPUTED_VALUE"""),"naive")</f>
        <v>naive</v>
      </c>
      <c r="P1906" s="49" t="str">
        <f t="shared" si="2"/>
        <v>private,</v>
      </c>
      <c r="Q1906" s="49"/>
      <c r="R1906" s="50" t="s">
        <v>7020</v>
      </c>
      <c r="S1906" s="55" t="s">
        <v>3307</v>
      </c>
      <c r="T1906" s="49"/>
      <c r="U1906" s="49"/>
      <c r="V1906" s="49"/>
      <c r="W1906" s="49"/>
      <c r="X1906" s="49" t="str">
        <f t="shared" si="3"/>
        <v>reverse,</v>
      </c>
      <c r="Y1906" s="49"/>
      <c r="Z1906" s="1" t="s">
        <v>5258</v>
      </c>
      <c r="AA1906" s="1" t="s">
        <v>2275</v>
      </c>
      <c r="AB1906" s="49"/>
      <c r="AC1906" s="49"/>
      <c r="AD1906" s="49"/>
      <c r="AE1906" s="49" t="str">
        <f>IFERROR(__xludf.DUMMYFUNCTION("""COMPUTED_VALUE"""),"naive")</f>
        <v>naive</v>
      </c>
      <c r="AF1906" s="49" t="str">
        <f t="shared" si="4"/>
        <v>monsters,</v>
      </c>
      <c r="AG1906" s="49"/>
      <c r="AH1906" s="1" t="s">
        <v>6849</v>
      </c>
      <c r="AI1906" s="1" t="s">
        <v>4337</v>
      </c>
      <c r="AJ1906" s="6" t="str">
        <f>IFERROR(__xludf.DUMMYFUNCTION("""COMPUTED_VALUE"""),"buy")</f>
        <v>buy</v>
      </c>
      <c r="AK1906" s="49"/>
      <c r="AL1906" s="49"/>
      <c r="AM1906" s="49"/>
      <c r="AN1906" s="52" t="str">
        <f t="shared" si="5"/>
        <v>decline,</v>
      </c>
    </row>
    <row r="1907">
      <c r="A1907" s="51"/>
      <c r="B1907" s="50" t="s">
        <v>2359</v>
      </c>
      <c r="C1907" s="50" t="s">
        <v>3017</v>
      </c>
      <c r="D1907" s="49" t="str">
        <f>IFERROR(__xludf.DUMMYFUNCTION("""COMPUTED_VALUE"""),"sensation")</f>
        <v>sensation</v>
      </c>
      <c r="E1907" s="49"/>
      <c r="F1907" s="49"/>
      <c r="G1907" s="49"/>
      <c r="H1907" s="54" t="str">
        <f t="shared" si="1"/>
        <v>desperate,</v>
      </c>
      <c r="I1907" s="50"/>
      <c r="J1907" s="50" t="s">
        <v>3017</v>
      </c>
      <c r="K1907" s="50" t="s">
        <v>5138</v>
      </c>
      <c r="L1907" s="49"/>
      <c r="M1907" s="49"/>
      <c r="N1907" s="49"/>
      <c r="O1907" s="49" t="str">
        <f>IFERROR(__xludf.DUMMYFUNCTION("""COMPUTED_VALUE"""),"detective")</f>
        <v>detective</v>
      </c>
      <c r="P1907" s="49" t="str">
        <f t="shared" si="2"/>
        <v>alive,</v>
      </c>
      <c r="Q1907" s="49"/>
      <c r="R1907" s="50" t="s">
        <v>2371</v>
      </c>
      <c r="S1907" s="55" t="s">
        <v>1784</v>
      </c>
      <c r="T1907" s="49"/>
      <c r="U1907" s="49"/>
      <c r="V1907" s="49"/>
      <c r="W1907" s="49"/>
      <c r="X1907" s="49" t="str">
        <f t="shared" si="3"/>
        <v>discipline,</v>
      </c>
      <c r="Y1907" s="49"/>
      <c r="Z1907" s="1" t="s">
        <v>4033</v>
      </c>
      <c r="AA1907" s="1" t="s">
        <v>4107</v>
      </c>
      <c r="AB1907" s="49"/>
      <c r="AC1907" s="49"/>
      <c r="AD1907" s="49"/>
      <c r="AE1907" s="49" t="str">
        <f>IFERROR(__xludf.DUMMYFUNCTION("""COMPUTED_VALUE"""),"detective")</f>
        <v>detective</v>
      </c>
      <c r="AF1907" s="49" t="str">
        <f t="shared" si="4"/>
        <v>memorable,</v>
      </c>
      <c r="AG1907" s="49"/>
      <c r="AH1907" s="1" t="s">
        <v>6703</v>
      </c>
      <c r="AI1907" s="1" t="s">
        <v>6603</v>
      </c>
      <c r="AJ1907" s="6" t="str">
        <f>IFERROR(__xludf.DUMMYFUNCTION("""COMPUTED_VALUE"""),"demand")</f>
        <v>demand</v>
      </c>
      <c r="AK1907" s="49"/>
      <c r="AL1907" s="49"/>
      <c r="AM1907" s="49"/>
      <c r="AN1907" s="52" t="str">
        <f t="shared" si="5"/>
        <v>cream,</v>
      </c>
    </row>
    <row r="1908">
      <c r="A1908" s="51"/>
      <c r="B1908" s="50" t="s">
        <v>6792</v>
      </c>
      <c r="C1908" s="50" t="s">
        <v>4474</v>
      </c>
      <c r="D1908" s="49" t="str">
        <f>IFERROR(__xludf.DUMMYFUNCTION("""COMPUTED_VALUE"""),"passes")</f>
        <v>passes</v>
      </c>
      <c r="E1908" s="49"/>
      <c r="F1908" s="49"/>
      <c r="G1908" s="49"/>
      <c r="H1908" s="54" t="str">
        <f t="shared" si="1"/>
        <v>fortune,</v>
      </c>
      <c r="I1908" s="50"/>
      <c r="J1908" s="50" t="s">
        <v>3701</v>
      </c>
      <c r="K1908" s="50" t="s">
        <v>1906</v>
      </c>
      <c r="L1908" s="49"/>
      <c r="M1908" s="49"/>
      <c r="N1908" s="49"/>
      <c r="O1908" s="49" t="str">
        <f>IFERROR(__xludf.DUMMYFUNCTION("""COMPUTED_VALUE"""),"lullaby")</f>
        <v>lullaby</v>
      </c>
      <c r="P1908" s="49" t="str">
        <f t="shared" si="2"/>
        <v>details,</v>
      </c>
      <c r="Q1908" s="49"/>
      <c r="R1908" s="50" t="s">
        <v>5649</v>
      </c>
      <c r="S1908" s="55" t="s">
        <v>940</v>
      </c>
      <c r="T1908" s="49"/>
      <c r="U1908" s="49"/>
      <c r="V1908" s="49"/>
      <c r="W1908" s="49"/>
      <c r="X1908" s="49" t="str">
        <f t="shared" si="3"/>
        <v>journalist,</v>
      </c>
      <c r="Y1908" s="49"/>
      <c r="Z1908" s="1" t="s">
        <v>1618</v>
      </c>
      <c r="AA1908" s="1" t="s">
        <v>409</v>
      </c>
      <c r="AB1908" s="49"/>
      <c r="AC1908" s="49"/>
      <c r="AD1908" s="49"/>
      <c r="AE1908" s="49" t="str">
        <f>IFERROR(__xludf.DUMMYFUNCTION("""COMPUTED_VALUE"""),"lullaby")</f>
        <v>lullaby</v>
      </c>
      <c r="AF1908" s="49" t="str">
        <f t="shared" si="4"/>
        <v>failure,</v>
      </c>
      <c r="AG1908" s="49"/>
      <c r="AH1908" s="1" t="s">
        <v>4000</v>
      </c>
      <c r="AI1908" s="1" t="s">
        <v>3827</v>
      </c>
      <c r="AJ1908" s="6" t="str">
        <f>IFERROR(__xludf.DUMMYFUNCTION("""COMPUTED_VALUE"""),"businesses")</f>
        <v>businesses</v>
      </c>
      <c r="AK1908" s="49"/>
      <c r="AL1908" s="49"/>
      <c r="AM1908" s="49"/>
      <c r="AN1908" s="52" t="str">
        <f t="shared" si="5"/>
        <v>mainstream,</v>
      </c>
    </row>
    <row r="1909">
      <c r="A1909" s="51"/>
      <c r="B1909" s="50" t="s">
        <v>5079</v>
      </c>
      <c r="C1909" s="50" t="s">
        <v>2809</v>
      </c>
      <c r="D1909" s="49" t="str">
        <f>IFERROR(__xludf.DUMMYFUNCTION("""COMPUTED_VALUE"""),"unless")</f>
        <v>unless</v>
      </c>
      <c r="E1909" s="49"/>
      <c r="F1909" s="49"/>
      <c r="G1909" s="49"/>
      <c r="H1909" s="54" t="str">
        <f t="shared" si="1"/>
        <v>garcia,</v>
      </c>
      <c r="I1909" s="50"/>
      <c r="J1909" s="50" t="s">
        <v>2973</v>
      </c>
      <c r="K1909" s="50" t="s">
        <v>4592</v>
      </c>
      <c r="L1909" s="49"/>
      <c r="M1909" s="49"/>
      <c r="N1909" s="49"/>
      <c r="O1909" s="49" t="str">
        <f>IFERROR(__xludf.DUMMYFUNCTION("""COMPUTED_VALUE"""),"synagogue")</f>
        <v>synagogue</v>
      </c>
      <c r="P1909" s="49" t="str">
        <f t="shared" si="2"/>
        <v>maintain,</v>
      </c>
      <c r="Q1909" s="49"/>
      <c r="R1909" s="50" t="s">
        <v>4908</v>
      </c>
      <c r="S1909" s="55" t="s">
        <v>6604</v>
      </c>
      <c r="T1909" s="49"/>
      <c r="U1909" s="49"/>
      <c r="V1909" s="49"/>
      <c r="W1909" s="49"/>
      <c r="X1909" s="49" t="str">
        <f t="shared" si="3"/>
        <v>slap,</v>
      </c>
      <c r="Y1909" s="49"/>
      <c r="Z1909" s="1" t="s">
        <v>103</v>
      </c>
      <c r="AA1909" s="1" t="s">
        <v>2280</v>
      </c>
      <c r="AB1909" s="49"/>
      <c r="AC1909" s="49"/>
      <c r="AD1909" s="49"/>
      <c r="AE1909" s="49" t="str">
        <f>IFERROR(__xludf.DUMMYFUNCTION("""COMPUTED_VALUE"""),"synagogue")</f>
        <v>synagogue</v>
      </c>
      <c r="AF1909" s="49" t="str">
        <f t="shared" si="4"/>
        <v>service,</v>
      </c>
      <c r="AG1909" s="49"/>
      <c r="AH1909" s="1" t="s">
        <v>6681</v>
      </c>
      <c r="AI1909" s="1" t="s">
        <v>6578</v>
      </c>
      <c r="AJ1909" s="6" t="str">
        <f>IFERROR(__xludf.DUMMYFUNCTION("""COMPUTED_VALUE"""),"survive")</f>
        <v>survive</v>
      </c>
      <c r="AK1909" s="49"/>
      <c r="AL1909" s="49"/>
      <c r="AM1909" s="49"/>
      <c r="AN1909" s="52" t="str">
        <f t="shared" si="5"/>
        <v>serving,</v>
      </c>
    </row>
    <row r="1910">
      <c r="A1910" s="51"/>
      <c r="B1910" s="50" t="s">
        <v>924</v>
      </c>
      <c r="C1910" s="50" t="s">
        <v>1050</v>
      </c>
      <c r="D1910" s="49" t="str">
        <f>IFERROR(__xludf.DUMMYFUNCTION("""COMPUTED_VALUE"""),"wars")</f>
        <v>wars</v>
      </c>
      <c r="E1910" s="49"/>
      <c r="F1910" s="49"/>
      <c r="G1910" s="49"/>
      <c r="H1910" s="54" t="str">
        <f t="shared" si="1"/>
        <v>door,</v>
      </c>
      <c r="I1910" s="50"/>
      <c r="J1910" s="50" t="s">
        <v>3539</v>
      </c>
      <c r="K1910" s="50" t="s">
        <v>3508</v>
      </c>
      <c r="L1910" s="49"/>
      <c r="M1910" s="49"/>
      <c r="N1910" s="49"/>
      <c r="O1910" s="49" t="str">
        <f>IFERROR(__xludf.DUMMYFUNCTION("""COMPUTED_VALUE"""),"scoring")</f>
        <v>scoring</v>
      </c>
      <c r="P1910" s="49" t="str">
        <f t="shared" si="2"/>
        <v>gender,</v>
      </c>
      <c r="Q1910" s="49"/>
      <c r="R1910" s="50" t="s">
        <v>5394</v>
      </c>
      <c r="S1910" s="55" t="s">
        <v>717</v>
      </c>
      <c r="T1910" s="49"/>
      <c r="U1910" s="49"/>
      <c r="V1910" s="49"/>
      <c r="W1910" s="49"/>
      <c r="X1910" s="49" t="str">
        <f t="shared" si="3"/>
        <v>confidence,</v>
      </c>
      <c r="Y1910" s="49"/>
      <c r="Z1910" s="1" t="s">
        <v>5183</v>
      </c>
      <c r="AA1910" s="1" t="s">
        <v>4110</v>
      </c>
      <c r="AB1910" s="49"/>
      <c r="AC1910" s="49"/>
      <c r="AD1910" s="49"/>
      <c r="AE1910" s="49" t="str">
        <f>IFERROR(__xludf.DUMMYFUNCTION("""COMPUTED_VALUE"""),"scoring")</f>
        <v>scoring</v>
      </c>
      <c r="AF1910" s="49" t="str">
        <f t="shared" si="4"/>
        <v>timing,</v>
      </c>
      <c r="AG1910" s="49"/>
      <c r="AH1910" s="1" t="s">
        <v>3897</v>
      </c>
      <c r="AI1910" s="1">
        <v>80.0</v>
      </c>
      <c r="AJ1910" s="6" t="str">
        <f>IFERROR(__xludf.DUMMYFUNCTION("""COMPUTED_VALUE"""),"adams")</f>
        <v>adams</v>
      </c>
      <c r="AK1910" s="49"/>
      <c r="AL1910" s="49"/>
      <c r="AM1910" s="49"/>
      <c r="AN1910" s="52" t="str">
        <f t="shared" si="5"/>
        <v>describes,</v>
      </c>
    </row>
    <row r="1911">
      <c r="A1911" s="51"/>
      <c r="B1911" s="50" t="s">
        <v>3985</v>
      </c>
      <c r="C1911" s="50" t="s">
        <v>4403</v>
      </c>
      <c r="D1911" s="49" t="str">
        <f>IFERROR(__xludf.DUMMYFUNCTION("""COMPUTED_VALUE"""),"portrayed")</f>
        <v>portrayed</v>
      </c>
      <c r="E1911" s="49"/>
      <c r="F1911" s="49"/>
      <c r="G1911" s="49"/>
      <c r="H1911" s="54" t="str">
        <f t="shared" si="1"/>
        <v>offers,</v>
      </c>
      <c r="I1911" s="50"/>
      <c r="J1911" s="50" t="s">
        <v>1861</v>
      </c>
      <c r="K1911" s="50" t="s">
        <v>1912</v>
      </c>
      <c r="L1911" s="49"/>
      <c r="M1911" s="49"/>
      <c r="N1911" s="49"/>
      <c r="O1911" s="49" t="str">
        <f>IFERROR(__xludf.DUMMYFUNCTION("""COMPUTED_VALUE"""),"derives")</f>
        <v>derives</v>
      </c>
      <c r="P1911" s="49" t="str">
        <f t="shared" si="2"/>
        <v>study,</v>
      </c>
      <c r="Q1911" s="49"/>
      <c r="R1911" s="50" t="s">
        <v>6891</v>
      </c>
      <c r="S1911" s="55" t="s">
        <v>5344</v>
      </c>
      <c r="T1911" s="49"/>
      <c r="U1911" s="49"/>
      <c r="V1911" s="49"/>
      <c r="W1911" s="49"/>
      <c r="X1911" s="49" t="str">
        <f t="shared" si="3"/>
        <v>dust,</v>
      </c>
      <c r="Y1911" s="49"/>
      <c r="Z1911" s="1" t="s">
        <v>4534</v>
      </c>
      <c r="AA1911" s="1" t="s">
        <v>5141</v>
      </c>
      <c r="AB1911" s="49"/>
      <c r="AC1911" s="49"/>
      <c r="AD1911" s="49"/>
      <c r="AE1911" s="49" t="str">
        <f>IFERROR(__xludf.DUMMYFUNCTION("""COMPUTED_VALUE"""),"derives")</f>
        <v>derives</v>
      </c>
      <c r="AF1911" s="49" t="str">
        <f t="shared" si="4"/>
        <v>immensely,</v>
      </c>
      <c r="AG1911" s="49"/>
      <c r="AH1911" s="1" t="s">
        <v>6845</v>
      </c>
      <c r="AI1911" s="1" t="s">
        <v>6580</v>
      </c>
      <c r="AJ1911" s="6" t="str">
        <f>IFERROR(__xludf.DUMMYFUNCTION("""COMPUTED_VALUE"""),"rise")</f>
        <v>rise</v>
      </c>
      <c r="AK1911" s="49"/>
      <c r="AL1911" s="49"/>
      <c r="AM1911" s="49"/>
      <c r="AN1911" s="52" t="str">
        <f t="shared" si="5"/>
        <v>accompanied,</v>
      </c>
    </row>
    <row r="1912">
      <c r="A1912" s="51"/>
      <c r="B1912" s="50" t="s">
        <v>6618</v>
      </c>
      <c r="C1912" s="50" t="s">
        <v>4176</v>
      </c>
      <c r="D1912" s="49" t="str">
        <f>IFERROR(__xludf.DUMMYFUNCTION("""COMPUTED_VALUE"""),"ring")</f>
        <v>ring</v>
      </c>
      <c r="E1912" s="49"/>
      <c r="F1912" s="49"/>
      <c r="G1912" s="49"/>
      <c r="H1912" s="54" t="str">
        <f t="shared" si="1"/>
        <v>cat,</v>
      </c>
      <c r="I1912" s="50"/>
      <c r="J1912" s="50" t="s">
        <v>5961</v>
      </c>
      <c r="K1912" s="50" t="s">
        <v>3879</v>
      </c>
      <c r="L1912" s="49"/>
      <c r="M1912" s="49"/>
      <c r="N1912" s="49"/>
      <c r="O1912" s="49" t="str">
        <f>IFERROR(__xludf.DUMMYFUNCTION("""COMPUTED_VALUE"""),"maguire")</f>
        <v>maguire</v>
      </c>
      <c r="P1912" s="49" t="str">
        <f t="shared" si="2"/>
        <v>library,</v>
      </c>
      <c r="Q1912" s="49"/>
      <c r="R1912" s="50" t="s">
        <v>2191</v>
      </c>
      <c r="S1912" s="55" t="s">
        <v>948</v>
      </c>
      <c r="T1912" s="49"/>
      <c r="U1912" s="49"/>
      <c r="V1912" s="49"/>
      <c r="W1912" s="49"/>
      <c r="X1912" s="49" t="str">
        <f t="shared" si="3"/>
        <v>exposure,</v>
      </c>
      <c r="Y1912" s="49"/>
      <c r="Z1912" s="1" t="s">
        <v>460</v>
      </c>
      <c r="AA1912" s="1" t="s">
        <v>3494</v>
      </c>
      <c r="AB1912" s="49"/>
      <c r="AC1912" s="49"/>
      <c r="AD1912" s="49"/>
      <c r="AE1912" s="49" t="str">
        <f>IFERROR(__xludf.DUMMYFUNCTION("""COMPUTED_VALUE"""),"maguire")</f>
        <v>maguire</v>
      </c>
      <c r="AF1912" s="49" t="str">
        <f t="shared" si="4"/>
        <v>predecessor,</v>
      </c>
      <c r="AG1912" s="49"/>
      <c r="AH1912" s="1" t="s">
        <v>2645</v>
      </c>
      <c r="AI1912" s="1" t="s">
        <v>6581</v>
      </c>
      <c r="AJ1912" s="6" t="str">
        <f>IFERROR(__xludf.DUMMYFUNCTION("""COMPUTED_VALUE"""),"americans")</f>
        <v>americans</v>
      </c>
      <c r="AK1912" s="49"/>
      <c r="AL1912" s="49"/>
      <c r="AM1912" s="49"/>
      <c r="AN1912" s="52" t="str">
        <f t="shared" si="5"/>
        <v>cover,</v>
      </c>
    </row>
    <row r="1913">
      <c r="A1913" s="51"/>
      <c r="B1913" s="50" t="s">
        <v>7471</v>
      </c>
      <c r="C1913" s="50" t="s">
        <v>4182</v>
      </c>
      <c r="D1913" s="49">
        <f>IFERROR(__xludf.DUMMYFUNCTION("""COMPUTED_VALUE"""),30.0)</f>
        <v>30</v>
      </c>
      <c r="E1913" s="49"/>
      <c r="F1913" s="49"/>
      <c r="G1913" s="49"/>
      <c r="H1913" s="54" t="str">
        <f t="shared" si="1"/>
        <v>coat,</v>
      </c>
      <c r="I1913" s="50"/>
      <c r="J1913" s="50" t="s">
        <v>5752</v>
      </c>
      <c r="K1913" s="50" t="s">
        <v>3154</v>
      </c>
      <c r="L1913" s="49"/>
      <c r="M1913" s="49"/>
      <c r="N1913" s="49"/>
      <c r="O1913" s="49" t="str">
        <f>IFERROR(__xludf.DUMMYFUNCTION("""COMPUTED_VALUE"""),"sword")</f>
        <v>sword</v>
      </c>
      <c r="P1913" s="49" t="str">
        <f t="shared" si="2"/>
        <v>capability,</v>
      </c>
      <c r="Q1913" s="49"/>
      <c r="R1913" s="50" t="s">
        <v>6527</v>
      </c>
      <c r="S1913" s="55" t="s">
        <v>3319</v>
      </c>
      <c r="T1913" s="49"/>
      <c r="U1913" s="49"/>
      <c r="V1913" s="49"/>
      <c r="W1913" s="49"/>
      <c r="X1913" s="49" t="str">
        <f t="shared" si="3"/>
        <v>charge,</v>
      </c>
      <c r="Y1913" s="49"/>
      <c r="Z1913" s="1" t="s">
        <v>4018</v>
      </c>
      <c r="AA1913" s="1" t="s">
        <v>4111</v>
      </c>
      <c r="AB1913" s="49"/>
      <c r="AC1913" s="49"/>
      <c r="AD1913" s="49"/>
      <c r="AE1913" s="49" t="str">
        <f>IFERROR(__xludf.DUMMYFUNCTION("""COMPUTED_VALUE"""),"sword")</f>
        <v>sword</v>
      </c>
      <c r="AF1913" s="49" t="str">
        <f t="shared" si="4"/>
        <v>encouraging,</v>
      </c>
      <c r="AG1913" s="49"/>
      <c r="AH1913" s="1" t="s">
        <v>4103</v>
      </c>
      <c r="AI1913" s="1" t="s">
        <v>4897</v>
      </c>
      <c r="AJ1913" s="6" t="str">
        <f>IFERROR(__xludf.DUMMYFUNCTION("""COMPUTED_VALUE"""),"edited")</f>
        <v>edited</v>
      </c>
      <c r="AK1913" s="49"/>
      <c r="AL1913" s="49"/>
      <c r="AM1913" s="49"/>
      <c r="AN1913" s="52" t="str">
        <f t="shared" si="5"/>
        <v>speed,</v>
      </c>
    </row>
    <row r="1914">
      <c r="A1914" s="51"/>
      <c r="B1914" s="50" t="s">
        <v>1353</v>
      </c>
      <c r="C1914" s="50" t="s">
        <v>4180</v>
      </c>
      <c r="D1914" s="49" t="str">
        <f>IFERROR(__xludf.DUMMYFUNCTION("""COMPUTED_VALUE"""),"credit")</f>
        <v>credit</v>
      </c>
      <c r="E1914" s="49"/>
      <c r="F1914" s="49"/>
      <c r="G1914" s="49"/>
      <c r="H1914" s="54" t="str">
        <f t="shared" si="1"/>
        <v>water,</v>
      </c>
      <c r="I1914" s="50"/>
      <c r="J1914" s="50" t="s">
        <v>3713</v>
      </c>
      <c r="K1914" s="50" t="s">
        <v>304</v>
      </c>
      <c r="L1914" s="49"/>
      <c r="M1914" s="49"/>
      <c r="N1914" s="49"/>
      <c r="O1914" s="49" t="str">
        <f>IFERROR(__xludf.DUMMYFUNCTION("""COMPUTED_VALUE"""),"obligations")</f>
        <v>obligations</v>
      </c>
      <c r="P1914" s="49" t="str">
        <f t="shared" si="2"/>
        <v>sparkling,</v>
      </c>
      <c r="Q1914" s="49"/>
      <c r="R1914" s="50" t="s">
        <v>4179</v>
      </c>
      <c r="S1914" s="55" t="s">
        <v>1798</v>
      </c>
      <c r="T1914" s="49"/>
      <c r="U1914" s="49"/>
      <c r="V1914" s="49"/>
      <c r="W1914" s="49"/>
      <c r="X1914" s="49" t="str">
        <f t="shared" si="3"/>
        <v>yearning,</v>
      </c>
      <c r="Y1914" s="49"/>
      <c r="Z1914" s="1" t="s">
        <v>6437</v>
      </c>
      <c r="AA1914" s="1" t="s">
        <v>2284</v>
      </c>
      <c r="AB1914" s="49"/>
      <c r="AC1914" s="49"/>
      <c r="AD1914" s="49"/>
      <c r="AE1914" s="49" t="str">
        <f>IFERROR(__xludf.DUMMYFUNCTION("""COMPUTED_VALUE"""),"obligations")</f>
        <v>obligations</v>
      </c>
      <c r="AF1914" s="49" t="str">
        <f t="shared" si="4"/>
        <v>loved,</v>
      </c>
      <c r="AG1914" s="49"/>
      <c r="AH1914" s="1" t="s">
        <v>1683</v>
      </c>
      <c r="AI1914" s="1" t="s">
        <v>2591</v>
      </c>
      <c r="AJ1914" s="6" t="str">
        <f>IFERROR(__xludf.DUMMYFUNCTION("""COMPUTED_VALUE"""),"occasion")</f>
        <v>occasion</v>
      </c>
      <c r="AK1914" s="49"/>
      <c r="AL1914" s="49"/>
      <c r="AM1914" s="49"/>
      <c r="AN1914" s="52" t="str">
        <f t="shared" si="5"/>
        <v>amount,</v>
      </c>
    </row>
    <row r="1915">
      <c r="A1915" s="51"/>
      <c r="B1915" s="50" t="s">
        <v>3175</v>
      </c>
      <c r="C1915" s="50" t="s">
        <v>4696</v>
      </c>
      <c r="D1915" s="49" t="str">
        <f>IFERROR(__xludf.DUMMYFUNCTION("""COMPUTED_VALUE"""),"craig")</f>
        <v>craig</v>
      </c>
      <c r="E1915" s="49"/>
      <c r="F1915" s="49"/>
      <c r="G1915" s="49"/>
      <c r="H1915" s="54" t="str">
        <f t="shared" si="1"/>
        <v>window,</v>
      </c>
      <c r="I1915" s="50"/>
      <c r="J1915" s="50" t="s">
        <v>3742</v>
      </c>
      <c r="K1915" s="50" t="s">
        <v>3041</v>
      </c>
      <c r="L1915" s="49"/>
      <c r="M1915" s="49"/>
      <c r="N1915" s="49"/>
      <c r="O1915" s="49" t="str">
        <f>IFERROR(__xludf.DUMMYFUNCTION("""COMPUTED_VALUE"""),"pearce")</f>
        <v>pearce</v>
      </c>
      <c r="P1915" s="49" t="str">
        <f t="shared" si="2"/>
        <v>accept,</v>
      </c>
      <c r="Q1915" s="49"/>
      <c r="R1915" s="50" t="s">
        <v>3153</v>
      </c>
      <c r="S1915" s="55" t="s">
        <v>1804</v>
      </c>
      <c r="T1915" s="49"/>
      <c r="U1915" s="49"/>
      <c r="V1915" s="49"/>
      <c r="W1915" s="49"/>
      <c r="X1915" s="49" t="str">
        <f t="shared" si="3"/>
        <v>interpretation,</v>
      </c>
      <c r="Y1915" s="49"/>
      <c r="Z1915" s="1" t="s">
        <v>1380</v>
      </c>
      <c r="AA1915" s="1" t="s">
        <v>1952</v>
      </c>
      <c r="AB1915" s="49"/>
      <c r="AC1915" s="49"/>
      <c r="AD1915" s="49"/>
      <c r="AE1915" s="49" t="str">
        <f>IFERROR(__xludf.DUMMYFUNCTION("""COMPUTED_VALUE"""),"pearce")</f>
        <v>pearce</v>
      </c>
      <c r="AF1915" s="49" t="str">
        <f t="shared" si="4"/>
        <v>stale,</v>
      </c>
      <c r="AG1915" s="49"/>
      <c r="AH1915" s="1" t="s">
        <v>2844</v>
      </c>
      <c r="AI1915" s="1" t="s">
        <v>4900</v>
      </c>
      <c r="AJ1915" s="6" t="str">
        <f>IFERROR(__xludf.DUMMYFUNCTION("""COMPUTED_VALUE"""),"rage")</f>
        <v>rage</v>
      </c>
      <c r="AK1915" s="49"/>
      <c r="AL1915" s="49"/>
      <c r="AM1915" s="49"/>
      <c r="AN1915" s="52" t="str">
        <f t="shared" si="5"/>
        <v>fame,</v>
      </c>
    </row>
    <row r="1916">
      <c r="A1916" s="51"/>
      <c r="B1916" s="50" t="s">
        <v>2866</v>
      </c>
      <c r="C1916" s="50" t="s">
        <v>2813</v>
      </c>
      <c r="D1916" s="49" t="str">
        <f>IFERROR(__xludf.DUMMYFUNCTION("""COMPUTED_VALUE"""),"updated")</f>
        <v>updated</v>
      </c>
      <c r="E1916" s="49"/>
      <c r="F1916" s="49"/>
      <c r="G1916" s="49"/>
      <c r="H1916" s="54" t="str">
        <f t="shared" si="1"/>
        <v>serve,</v>
      </c>
      <c r="I1916" s="50"/>
      <c r="J1916" s="50" t="s">
        <v>6027</v>
      </c>
      <c r="K1916" s="50" t="s">
        <v>3104</v>
      </c>
      <c r="L1916" s="49"/>
      <c r="M1916" s="49"/>
      <c r="N1916" s="49"/>
      <c r="O1916" s="49" t="str">
        <f>IFERROR(__xludf.DUMMYFUNCTION("""COMPUTED_VALUE"""),"rappers")</f>
        <v>rappers</v>
      </c>
      <c r="P1916" s="49" t="str">
        <f t="shared" si="2"/>
        <v>conscious,</v>
      </c>
      <c r="Q1916" s="49"/>
      <c r="R1916" s="50" t="s">
        <v>7472</v>
      </c>
      <c r="S1916" s="55" t="s">
        <v>4436</v>
      </c>
      <c r="T1916" s="49"/>
      <c r="U1916" s="49"/>
      <c r="V1916" s="49"/>
      <c r="W1916" s="49"/>
      <c r="X1916" s="49" t="str">
        <f t="shared" si="3"/>
        <v>knee,</v>
      </c>
      <c r="Y1916" s="49"/>
      <c r="Z1916" s="1" t="s">
        <v>376</v>
      </c>
      <c r="AA1916" s="1" t="s">
        <v>5144</v>
      </c>
      <c r="AB1916" s="49"/>
      <c r="AC1916" s="49"/>
      <c r="AD1916" s="49"/>
      <c r="AE1916" s="49" t="str">
        <f>IFERROR(__xludf.DUMMYFUNCTION("""COMPUTED_VALUE"""),"rappers")</f>
        <v>rappers</v>
      </c>
      <c r="AF1916" s="49" t="str">
        <f t="shared" si="4"/>
        <v>intelligent,</v>
      </c>
      <c r="AG1916" s="49"/>
      <c r="AH1916" s="1" t="s">
        <v>2194</v>
      </c>
      <c r="AI1916" s="1">
        <v>101.0</v>
      </c>
      <c r="AJ1916" s="6" t="str">
        <f>IFERROR(__xludf.DUMMYFUNCTION("""COMPUTED_VALUE"""),"personally")</f>
        <v>personally</v>
      </c>
      <c r="AK1916" s="49"/>
      <c r="AL1916" s="49"/>
      <c r="AM1916" s="49"/>
      <c r="AN1916" s="52" t="str">
        <f t="shared" si="5"/>
        <v>psychology,</v>
      </c>
    </row>
    <row r="1917">
      <c r="A1917" s="51"/>
      <c r="B1917" s="50" t="s">
        <v>6951</v>
      </c>
      <c r="C1917" s="50" t="s">
        <v>6570</v>
      </c>
      <c r="D1917" s="49" t="str">
        <f>IFERROR(__xludf.DUMMYFUNCTION("""COMPUTED_VALUE"""),"table")</f>
        <v>table</v>
      </c>
      <c r="E1917" s="49"/>
      <c r="F1917" s="49"/>
      <c r="G1917" s="49"/>
      <c r="H1917" s="54" t="str">
        <f t="shared" si="1"/>
        <v>cars,</v>
      </c>
      <c r="I1917" s="50"/>
      <c r="J1917" s="50" t="s">
        <v>4105</v>
      </c>
      <c r="K1917" s="50" t="s">
        <v>5145</v>
      </c>
      <c r="L1917" s="49"/>
      <c r="M1917" s="49"/>
      <c r="N1917" s="49"/>
      <c r="O1917" s="49" t="str">
        <f>IFERROR(__xludf.DUMMYFUNCTION("""COMPUTED_VALUE"""),"divisions")</f>
        <v>divisions</v>
      </c>
      <c r="P1917" s="49" t="str">
        <f t="shared" si="2"/>
        <v>circumstances,</v>
      </c>
      <c r="Q1917" s="49"/>
      <c r="R1917" s="50" t="s">
        <v>4644</v>
      </c>
      <c r="S1917" s="55" t="s">
        <v>4438</v>
      </c>
      <c r="T1917" s="49"/>
      <c r="U1917" s="49"/>
      <c r="V1917" s="49"/>
      <c r="W1917" s="49"/>
      <c r="X1917" s="49" t="str">
        <f t="shared" si="3"/>
        <v>object,</v>
      </c>
      <c r="Y1917" s="49"/>
      <c r="Z1917" s="1" t="s">
        <v>1148</v>
      </c>
      <c r="AA1917" s="1" t="s">
        <v>4115</v>
      </c>
      <c r="AB1917" s="49"/>
      <c r="AC1917" s="49"/>
      <c r="AD1917" s="49"/>
      <c r="AE1917" s="49" t="str">
        <f>IFERROR(__xludf.DUMMYFUNCTION("""COMPUTED_VALUE"""),"divisions")</f>
        <v>divisions</v>
      </c>
      <c r="AF1917" s="49" t="str">
        <f t="shared" si="4"/>
        <v>elaborate,</v>
      </c>
      <c r="AG1917" s="49"/>
      <c r="AH1917" s="1" t="s">
        <v>2400</v>
      </c>
      <c r="AI1917" s="1" t="s">
        <v>2951</v>
      </c>
      <c r="AJ1917" s="6" t="str">
        <f>IFERROR(__xludf.DUMMYFUNCTION("""COMPUTED_VALUE"""),"area")</f>
        <v>area</v>
      </c>
      <c r="AK1917" s="49"/>
      <c r="AL1917" s="49"/>
      <c r="AM1917" s="49"/>
      <c r="AN1917" s="52" t="str">
        <f t="shared" si="5"/>
        <v>animals,</v>
      </c>
    </row>
    <row r="1918">
      <c r="A1918" s="51"/>
      <c r="B1918" s="50" t="s">
        <v>3936</v>
      </c>
      <c r="C1918" s="50" t="s">
        <v>1571</v>
      </c>
      <c r="D1918" s="49" t="str">
        <f>IFERROR(__xludf.DUMMYFUNCTION("""COMPUTED_VALUE"""),"themes")</f>
        <v>themes</v>
      </c>
      <c r="E1918" s="49"/>
      <c r="F1918" s="49"/>
      <c r="G1918" s="49"/>
      <c r="H1918" s="54" t="str">
        <f t="shared" si="1"/>
        <v>stops,</v>
      </c>
      <c r="I1918" s="50"/>
      <c r="J1918" s="50" t="s">
        <v>7473</v>
      </c>
      <c r="K1918" s="50" t="s">
        <v>3515</v>
      </c>
      <c r="L1918" s="49"/>
      <c r="M1918" s="49"/>
      <c r="N1918" s="49"/>
      <c r="O1918" s="49" t="str">
        <f>IFERROR(__xludf.DUMMYFUNCTION("""COMPUTED_VALUE"""),"nonfiction")</f>
        <v>nonfiction</v>
      </c>
      <c r="P1918" s="49" t="str">
        <f t="shared" si="2"/>
        <v>reflex,</v>
      </c>
      <c r="Q1918" s="49"/>
      <c r="R1918" s="50" t="s">
        <v>7474</v>
      </c>
      <c r="S1918" s="55" t="s">
        <v>4995</v>
      </c>
      <c r="T1918" s="49"/>
      <c r="U1918" s="49"/>
      <c r="V1918" s="49"/>
      <c r="W1918" s="49"/>
      <c r="X1918" s="49" t="str">
        <f t="shared" si="3"/>
        <v>tap,</v>
      </c>
      <c r="Y1918" s="49"/>
      <c r="Z1918" s="1" t="s">
        <v>178</v>
      </c>
      <c r="AA1918" s="1" t="s">
        <v>1530</v>
      </c>
      <c r="AB1918" s="49"/>
      <c r="AC1918" s="49"/>
      <c r="AD1918" s="49"/>
      <c r="AE1918" s="49" t="str">
        <f>IFERROR(__xludf.DUMMYFUNCTION("""COMPUTED_VALUE"""),"nonfiction")</f>
        <v>nonfiction</v>
      </c>
      <c r="AF1918" s="49" t="str">
        <f t="shared" si="4"/>
        <v>witty,</v>
      </c>
      <c r="AG1918" s="49"/>
      <c r="AH1918" s="1" t="s">
        <v>991</v>
      </c>
      <c r="AI1918" s="1" t="s">
        <v>4095</v>
      </c>
      <c r="AJ1918" s="6" t="str">
        <f>IFERROR(__xludf.DUMMYFUNCTION("""COMPUTED_VALUE"""),"includes")</f>
        <v>includes</v>
      </c>
      <c r="AK1918" s="49"/>
      <c r="AL1918" s="49"/>
      <c r="AM1918" s="49"/>
      <c r="AN1918" s="52" t="str">
        <f t="shared" si="5"/>
        <v>core,</v>
      </c>
    </row>
    <row r="1919">
      <c r="A1919" s="51"/>
      <c r="B1919" s="50" t="s">
        <v>5220</v>
      </c>
      <c r="C1919" s="50" t="s">
        <v>4445</v>
      </c>
      <c r="D1919" s="49" t="str">
        <f>IFERROR(__xludf.DUMMYFUNCTION("""COMPUTED_VALUE"""),"code")</f>
        <v>code</v>
      </c>
      <c r="E1919" s="49"/>
      <c r="F1919" s="49"/>
      <c r="G1919" s="49"/>
      <c r="H1919" s="54" t="str">
        <f t="shared" si="1"/>
        <v>punch,</v>
      </c>
      <c r="I1919" s="50"/>
      <c r="J1919" s="50" t="s">
        <v>7475</v>
      </c>
      <c r="K1919" s="50" t="s">
        <v>970</v>
      </c>
      <c r="L1919" s="49"/>
      <c r="M1919" s="49"/>
      <c r="N1919" s="49"/>
      <c r="O1919" s="49" t="str">
        <f>IFERROR(__xludf.DUMMYFUNCTION("""COMPUTED_VALUE"""),"tnt")</f>
        <v>tnt</v>
      </c>
      <c r="P1919" s="49" t="str">
        <f t="shared" si="2"/>
        <v>iron,</v>
      </c>
      <c r="Q1919" s="49"/>
      <c r="R1919" s="50" t="s">
        <v>3243</v>
      </c>
      <c r="S1919" s="55" t="s">
        <v>536</v>
      </c>
      <c r="T1919" s="49"/>
      <c r="U1919" s="49"/>
      <c r="V1919" s="49"/>
      <c r="W1919" s="49"/>
      <c r="X1919" s="49" t="str">
        <f t="shared" si="3"/>
        <v>mouth,</v>
      </c>
      <c r="Y1919" s="49"/>
      <c r="Z1919" s="1" t="s">
        <v>3916</v>
      </c>
      <c r="AA1919" s="1" t="s">
        <v>3503</v>
      </c>
      <c r="AB1919" s="49"/>
      <c r="AC1919" s="49"/>
      <c r="AD1919" s="49"/>
      <c r="AE1919" s="49" t="str">
        <f>IFERROR(__xludf.DUMMYFUNCTION("""COMPUTED_VALUE"""),"tnt")</f>
        <v>tnt</v>
      </c>
      <c r="AF1919" s="49" t="str">
        <f t="shared" si="4"/>
        <v>brain,</v>
      </c>
      <c r="AG1919" s="49"/>
      <c r="AH1919" s="1" t="s">
        <v>3934</v>
      </c>
      <c r="AI1919" s="1" t="s">
        <v>3481</v>
      </c>
      <c r="AJ1919" s="6" t="str">
        <f>IFERROR(__xludf.DUMMYFUNCTION("""COMPUTED_VALUE"""),"captain")</f>
        <v>captain</v>
      </c>
      <c r="AK1919" s="49"/>
      <c r="AL1919" s="49"/>
      <c r="AM1919" s="49"/>
      <c r="AN1919" s="52" t="str">
        <f t="shared" si="5"/>
        <v>grave,</v>
      </c>
    </row>
    <row r="1920">
      <c r="A1920" s="51"/>
      <c r="B1920" s="50" t="s">
        <v>6592</v>
      </c>
      <c r="C1920" s="50" t="s">
        <v>2544</v>
      </c>
      <c r="D1920" s="49" t="str">
        <f>IFERROR(__xludf.DUMMYFUNCTION("""COMPUTED_VALUE"""),"noble")</f>
        <v>noble</v>
      </c>
      <c r="E1920" s="49"/>
      <c r="F1920" s="49"/>
      <c r="G1920" s="49"/>
      <c r="H1920" s="54" t="str">
        <f t="shared" si="1"/>
        <v>drives,</v>
      </c>
      <c r="I1920" s="50"/>
      <c r="J1920" s="50" t="s">
        <v>1735</v>
      </c>
      <c r="K1920" s="50" t="s">
        <v>5149</v>
      </c>
      <c r="L1920" s="49"/>
      <c r="M1920" s="49"/>
      <c r="N1920" s="49"/>
      <c r="O1920" s="49" t="str">
        <f>IFERROR(__xludf.DUMMYFUNCTION("""COMPUTED_VALUE"""),"effectiveness")</f>
        <v>effectiveness</v>
      </c>
      <c r="P1920" s="49" t="str">
        <f t="shared" si="2"/>
        <v>effectively,</v>
      </c>
      <c r="Q1920" s="49"/>
      <c r="R1920" s="50" t="s">
        <v>5801</v>
      </c>
      <c r="S1920" s="55" t="s">
        <v>1810</v>
      </c>
      <c r="T1920" s="49"/>
      <c r="U1920" s="49"/>
      <c r="V1920" s="49"/>
      <c r="W1920" s="49"/>
      <c r="X1920" s="49" t="str">
        <f t="shared" si="3"/>
        <v>solo,</v>
      </c>
      <c r="Y1920" s="49"/>
      <c r="Z1920" s="1" t="s">
        <v>87</v>
      </c>
      <c r="AA1920" s="1" t="s">
        <v>2301</v>
      </c>
      <c r="AB1920" s="49"/>
      <c r="AC1920" s="49"/>
      <c r="AD1920" s="49"/>
      <c r="AE1920" s="49" t="str">
        <f>IFERROR(__xludf.DUMMYFUNCTION("""COMPUTED_VALUE"""),"effectiveness")</f>
        <v>effectiveness</v>
      </c>
      <c r="AF1920" s="49" t="str">
        <f t="shared" si="4"/>
        <v>compelling,</v>
      </c>
      <c r="AG1920" s="49"/>
      <c r="AH1920" s="1" t="s">
        <v>6412</v>
      </c>
      <c r="AI1920" s="1" t="s">
        <v>2954</v>
      </c>
      <c r="AJ1920" s="6" t="str">
        <f>IFERROR(__xludf.DUMMYFUNCTION("""COMPUTED_VALUE"""),"visit")</f>
        <v>visit</v>
      </c>
      <c r="AK1920" s="49"/>
      <c r="AL1920" s="49"/>
      <c r="AM1920" s="49"/>
      <c r="AN1920" s="52" t="str">
        <f t="shared" si="5"/>
        <v>hill,</v>
      </c>
    </row>
    <row r="1921">
      <c r="A1921" s="51"/>
      <c r="B1921" s="50" t="s">
        <v>1818</v>
      </c>
      <c r="C1921" s="50" t="s">
        <v>2818</v>
      </c>
      <c r="D1921" s="49" t="str">
        <f>IFERROR(__xludf.DUMMYFUNCTION("""COMPUTED_VALUE"""),"strict")</f>
        <v>strict</v>
      </c>
      <c r="E1921" s="49"/>
      <c r="F1921" s="49"/>
      <c r="G1921" s="49"/>
      <c r="H1921" s="54" t="str">
        <f t="shared" si="1"/>
        <v>color,</v>
      </c>
      <c r="I1921" s="50"/>
      <c r="J1921" s="50" t="s">
        <v>1908</v>
      </c>
      <c r="K1921" s="50" t="s">
        <v>3519</v>
      </c>
      <c r="L1921" s="49"/>
      <c r="M1921" s="49"/>
      <c r="N1921" s="49"/>
      <c r="O1921" s="49" t="str">
        <f>IFERROR(__xludf.DUMMYFUNCTION("""COMPUTED_VALUE"""),"graves")</f>
        <v>graves</v>
      </c>
      <c r="P1921" s="49" t="str">
        <f t="shared" si="2"/>
        <v>bold,</v>
      </c>
      <c r="Q1921" s="49"/>
      <c r="R1921" s="50" t="s">
        <v>7476</v>
      </c>
      <c r="S1921" s="55" t="s">
        <v>4997</v>
      </c>
      <c r="T1921" s="49"/>
      <c r="U1921" s="49"/>
      <c r="V1921" s="49"/>
      <c r="W1921" s="49"/>
      <c r="X1921" s="49" t="str">
        <f t="shared" si="3"/>
        <v>ridden,</v>
      </c>
      <c r="Y1921" s="49"/>
      <c r="Z1921" s="1" t="s">
        <v>1392</v>
      </c>
      <c r="AA1921" s="1" t="s">
        <v>4123</v>
      </c>
      <c r="AB1921" s="49"/>
      <c r="AC1921" s="49"/>
      <c r="AD1921" s="49"/>
      <c r="AE1921" s="49" t="str">
        <f>IFERROR(__xludf.DUMMYFUNCTION("""COMPUTED_VALUE"""),"graves")</f>
        <v>graves</v>
      </c>
      <c r="AF1921" s="49" t="str">
        <f t="shared" si="4"/>
        <v>photographed,</v>
      </c>
      <c r="AG1921" s="49"/>
      <c r="AH1921" s="1" t="s">
        <v>4188</v>
      </c>
      <c r="AI1921" s="1" t="s">
        <v>6586</v>
      </c>
      <c r="AJ1921" s="6" t="str">
        <f>IFERROR(__xludf.DUMMYFUNCTION("""COMPUTED_VALUE"""),"dick")</f>
        <v>dick</v>
      </c>
      <c r="AK1921" s="49"/>
      <c r="AL1921" s="49"/>
      <c r="AM1921" s="49"/>
      <c r="AN1921" s="52" t="str">
        <f t="shared" si="5"/>
        <v>animal,</v>
      </c>
    </row>
    <row r="1922">
      <c r="A1922" s="51"/>
      <c r="B1922" s="50" t="s">
        <v>6866</v>
      </c>
      <c r="C1922" s="50" t="s">
        <v>6571</v>
      </c>
      <c r="D1922" s="49" t="str">
        <f>IFERROR(__xludf.DUMMYFUNCTION("""COMPUTED_VALUE"""),"innocent")</f>
        <v>innocent</v>
      </c>
      <c r="E1922" s="49"/>
      <c r="F1922" s="49"/>
      <c r="G1922" s="49"/>
      <c r="H1922" s="54" t="str">
        <f t="shared" si="1"/>
        <v>trail,</v>
      </c>
      <c r="I1922" s="50"/>
      <c r="J1922" s="50" t="s">
        <v>5248</v>
      </c>
      <c r="K1922" s="50" t="s">
        <v>4567</v>
      </c>
      <c r="L1922" s="49"/>
      <c r="M1922" s="49"/>
      <c r="N1922" s="49"/>
      <c r="O1922" s="49" t="str">
        <f>IFERROR(__xludf.DUMMYFUNCTION("""COMPUTED_VALUE"""),"contentious")</f>
        <v>contentious</v>
      </c>
      <c r="P1922" s="49" t="str">
        <f t="shared" si="2"/>
        <v>occasional,</v>
      </c>
      <c r="Q1922" s="49"/>
      <c r="R1922" s="50" t="s">
        <v>5916</v>
      </c>
      <c r="S1922" s="55" t="s">
        <v>3019</v>
      </c>
      <c r="T1922" s="49"/>
      <c r="U1922" s="49"/>
      <c r="V1922" s="49"/>
      <c r="W1922" s="49"/>
      <c r="X1922" s="49" t="str">
        <f t="shared" si="3"/>
        <v>determine,</v>
      </c>
      <c r="Y1922" s="49"/>
      <c r="Z1922" s="1" t="s">
        <v>6335</v>
      </c>
      <c r="AA1922" s="1" t="s">
        <v>4383</v>
      </c>
      <c r="AB1922" s="49"/>
      <c r="AC1922" s="49"/>
      <c r="AD1922" s="49"/>
      <c r="AE1922" s="49" t="str">
        <f>IFERROR(__xludf.DUMMYFUNCTION("""COMPUTED_VALUE"""),"contentious")</f>
        <v>contentious</v>
      </c>
      <c r="AF1922" s="49" t="str">
        <f t="shared" si="4"/>
        <v>path,</v>
      </c>
      <c r="AG1922" s="49"/>
      <c r="AH1922" s="1" t="s">
        <v>6531</v>
      </c>
      <c r="AI1922" s="1" t="s">
        <v>4354</v>
      </c>
      <c r="AJ1922" s="6" t="str">
        <f>IFERROR(__xludf.DUMMYFUNCTION("""COMPUTED_VALUE"""),"gang")</f>
        <v>gang</v>
      </c>
      <c r="AK1922" s="49"/>
      <c r="AL1922" s="49"/>
      <c r="AM1922" s="49"/>
      <c r="AN1922" s="52" t="str">
        <f t="shared" si="5"/>
        <v>clerk,</v>
      </c>
    </row>
    <row r="1923">
      <c r="A1923" s="51"/>
      <c r="B1923" s="50" t="s">
        <v>1303</v>
      </c>
      <c r="C1923" s="50" t="s">
        <v>4189</v>
      </c>
      <c r="D1923" s="49" t="str">
        <f>IFERROR(__xludf.DUMMYFUNCTION("""COMPUTED_VALUE"""),"interested")</f>
        <v>interested</v>
      </c>
      <c r="E1923" s="49"/>
      <c r="F1923" s="49"/>
      <c r="G1923" s="49"/>
      <c r="H1923" s="54" t="str">
        <f t="shared" si="1"/>
        <v>forgotten,</v>
      </c>
      <c r="I1923" s="50"/>
      <c r="J1923" s="50" t="s">
        <v>3955</v>
      </c>
      <c r="K1923" s="50" t="s">
        <v>3520</v>
      </c>
      <c r="L1923" s="49"/>
      <c r="M1923" s="49"/>
      <c r="N1923" s="49"/>
      <c r="O1923" s="49" t="str">
        <f>IFERROR(__xludf.DUMMYFUNCTION("""COMPUTED_VALUE"""),"configurations")</f>
        <v>configurations</v>
      </c>
      <c r="P1923" s="49" t="str">
        <f t="shared" si="2"/>
        <v>blank,</v>
      </c>
      <c r="Q1923" s="49"/>
      <c r="R1923" s="50" t="s">
        <v>4850</v>
      </c>
      <c r="S1923" s="55" t="s">
        <v>3342</v>
      </c>
      <c r="T1923" s="49"/>
      <c r="U1923" s="49"/>
      <c r="V1923" s="49"/>
      <c r="W1923" s="49"/>
      <c r="X1923" s="49" t="str">
        <f t="shared" si="3"/>
        <v>prolific,</v>
      </c>
      <c r="Y1923" s="49"/>
      <c r="Z1923" s="1" t="s">
        <v>2074</v>
      </c>
      <c r="AA1923" s="1" t="s">
        <v>3506</v>
      </c>
      <c r="AB1923" s="49"/>
      <c r="AC1923" s="49"/>
      <c r="AD1923" s="49"/>
      <c r="AE1923" s="49" t="str">
        <f>IFERROR(__xludf.DUMMYFUNCTION("""COMPUTED_VALUE"""),"configurations")</f>
        <v>configurations</v>
      </c>
      <c r="AF1923" s="49" t="str">
        <f t="shared" si="4"/>
        <v>joel,</v>
      </c>
      <c r="AG1923" s="49"/>
      <c r="AH1923" s="1" t="s">
        <v>2902</v>
      </c>
      <c r="AI1923" s="1" t="s">
        <v>4915</v>
      </c>
      <c r="AJ1923" s="6" t="str">
        <f>IFERROR(__xludf.DUMMYFUNCTION("""COMPUTED_VALUE"""),"bow")</f>
        <v>bow</v>
      </c>
      <c r="AK1923" s="49"/>
      <c r="AL1923" s="49"/>
      <c r="AM1923" s="49"/>
      <c r="AN1923" s="52" t="str">
        <f t="shared" si="5"/>
        <v>information,</v>
      </c>
    </row>
    <row r="1924">
      <c r="A1924" s="51"/>
      <c r="B1924" s="50" t="s">
        <v>225</v>
      </c>
      <c r="C1924" s="50" t="s">
        <v>6557</v>
      </c>
      <c r="D1924" s="49" t="str">
        <f>IFERROR(__xludf.DUMMYFUNCTION("""COMPUTED_VALUE"""),"panic")</f>
        <v>panic</v>
      </c>
      <c r="E1924" s="49"/>
      <c r="F1924" s="49"/>
      <c r="G1924" s="49"/>
      <c r="H1924" s="54" t="str">
        <f t="shared" si="1"/>
        <v>viewers,</v>
      </c>
      <c r="I1924" s="50"/>
      <c r="J1924" s="50" t="s">
        <v>4812</v>
      </c>
      <c r="K1924" s="50" t="s">
        <v>2906</v>
      </c>
      <c r="L1924" s="49"/>
      <c r="M1924" s="49"/>
      <c r="N1924" s="49"/>
      <c r="O1924" s="49" t="str">
        <f>IFERROR(__xludf.DUMMYFUNCTION("""COMPUTED_VALUE"""),"apocalypse")</f>
        <v>apocalypse</v>
      </c>
      <c r="P1924" s="49" t="str">
        <f t="shared" si="2"/>
        <v>concern,</v>
      </c>
      <c r="Q1924" s="49"/>
      <c r="R1924" s="50" t="s">
        <v>4226</v>
      </c>
      <c r="S1924" s="55" t="s">
        <v>5922</v>
      </c>
      <c r="T1924" s="49"/>
      <c r="U1924" s="49"/>
      <c r="V1924" s="49"/>
      <c r="W1924" s="49"/>
      <c r="X1924" s="49" t="str">
        <f t="shared" si="3"/>
        <v>feat,</v>
      </c>
      <c r="Y1924" s="49"/>
      <c r="Z1924" s="1" t="s">
        <v>449</v>
      </c>
      <c r="AA1924" s="1" t="s">
        <v>1537</v>
      </c>
      <c r="AB1924" s="49"/>
      <c r="AC1924" s="49"/>
      <c r="AD1924" s="49"/>
      <c r="AE1924" s="49" t="str">
        <f>IFERROR(__xludf.DUMMYFUNCTION("""COMPUTED_VALUE"""),"apocalypse")</f>
        <v>apocalypse</v>
      </c>
      <c r="AF1924" s="49" t="str">
        <f t="shared" si="4"/>
        <v>schumacher,</v>
      </c>
      <c r="AG1924" s="49"/>
      <c r="AH1924" s="1" t="s">
        <v>4843</v>
      </c>
      <c r="AI1924" s="1" t="s">
        <v>2469</v>
      </c>
      <c r="AJ1924" s="6" t="str">
        <f>IFERROR(__xludf.DUMMYFUNCTION("""COMPUTED_VALUE"""),"jacques")</f>
        <v>jacques</v>
      </c>
      <c r="AK1924" s="49"/>
      <c r="AL1924" s="49"/>
      <c r="AM1924" s="49"/>
      <c r="AN1924" s="52" t="str">
        <f t="shared" si="5"/>
        <v>producer,</v>
      </c>
    </row>
    <row r="1925">
      <c r="A1925" s="51"/>
      <c r="B1925" s="50" t="s">
        <v>7111</v>
      </c>
      <c r="C1925" s="50" t="s">
        <v>92</v>
      </c>
      <c r="D1925" s="49" t="str">
        <f>IFERROR(__xludf.DUMMYFUNCTION("""COMPUTED_VALUE"""),"sweat")</f>
        <v>sweat</v>
      </c>
      <c r="E1925" s="49"/>
      <c r="F1925" s="49"/>
      <c r="G1925" s="49"/>
      <c r="H1925" s="54" t="str">
        <f t="shared" si="1"/>
        <v>pet,</v>
      </c>
      <c r="I1925" s="50"/>
      <c r="J1925" s="50" t="s">
        <v>5524</v>
      </c>
      <c r="K1925" s="50" t="s">
        <v>3523</v>
      </c>
      <c r="L1925" s="49"/>
      <c r="M1925" s="49"/>
      <c r="N1925" s="49"/>
      <c r="O1925" s="49" t="str">
        <f>IFERROR(__xludf.DUMMYFUNCTION("""COMPUTED_VALUE"""),"generations")</f>
        <v>generations</v>
      </c>
      <c r="P1925" s="49" t="str">
        <f t="shared" si="2"/>
        <v>lesson,</v>
      </c>
      <c r="Q1925" s="49"/>
      <c r="R1925" s="50" t="s">
        <v>7477</v>
      </c>
      <c r="S1925" s="55" t="s">
        <v>3351</v>
      </c>
      <c r="T1925" s="49"/>
      <c r="U1925" s="49"/>
      <c r="V1925" s="49"/>
      <c r="W1925" s="49"/>
      <c r="X1925" s="49" t="str">
        <f t="shared" si="3"/>
        <v>doubtful,</v>
      </c>
      <c r="Y1925" s="49"/>
      <c r="Z1925" s="1" t="s">
        <v>3033</v>
      </c>
      <c r="AA1925" s="1" t="s">
        <v>1206</v>
      </c>
      <c r="AB1925" s="49"/>
      <c r="AC1925" s="49"/>
      <c r="AD1925" s="49"/>
      <c r="AE1925" s="49" t="str">
        <f>IFERROR(__xludf.DUMMYFUNCTION("""COMPUTED_VALUE"""),"generations")</f>
        <v>generations</v>
      </c>
      <c r="AF1925" s="49" t="str">
        <f t="shared" si="4"/>
        <v>ranks,</v>
      </c>
      <c r="AG1925" s="49"/>
      <c r="AH1925" s="1" t="s">
        <v>7478</v>
      </c>
      <c r="AI1925" s="1" t="s">
        <v>3236</v>
      </c>
      <c r="AJ1925" s="6" t="str">
        <f>IFERROR(__xludf.DUMMYFUNCTION("""COMPUTED_VALUE"""),"creek")</f>
        <v>creek</v>
      </c>
      <c r="AK1925" s="49"/>
      <c r="AL1925" s="49"/>
      <c r="AM1925" s="49"/>
      <c r="AN1925" s="52" t="str">
        <f t="shared" si="5"/>
        <v>lieutenant,</v>
      </c>
    </row>
    <row r="1926">
      <c r="A1926" s="51"/>
      <c r="B1926" s="50" t="s">
        <v>5618</v>
      </c>
      <c r="C1926" s="50" t="s">
        <v>6572</v>
      </c>
      <c r="D1926" s="49" t="str">
        <f>IFERROR(__xludf.DUMMYFUNCTION("""COMPUTED_VALUE"""),"manage")</f>
        <v>manage</v>
      </c>
      <c r="E1926" s="49"/>
      <c r="F1926" s="49"/>
      <c r="G1926" s="49"/>
      <c r="H1926" s="54" t="str">
        <f t="shared" si="1"/>
        <v>ace,</v>
      </c>
      <c r="I1926" s="50"/>
      <c r="J1926" s="50" t="s">
        <v>5996</v>
      </c>
      <c r="K1926" s="50" t="s">
        <v>3526</v>
      </c>
      <c r="L1926" s="49"/>
      <c r="M1926" s="49"/>
      <c r="N1926" s="49"/>
      <c r="O1926" s="49" t="str">
        <f>IFERROR(__xludf.DUMMYFUNCTION("""COMPUTED_VALUE"""),"deeds")</f>
        <v>deeds</v>
      </c>
      <c r="P1926" s="49" t="str">
        <f t="shared" si="2"/>
        <v>explode,</v>
      </c>
      <c r="Q1926" s="49"/>
      <c r="R1926" s="50" t="s">
        <v>5706</v>
      </c>
      <c r="S1926" s="55" t="s">
        <v>1814</v>
      </c>
      <c r="T1926" s="49"/>
      <c r="U1926" s="49"/>
      <c r="V1926" s="49"/>
      <c r="W1926" s="49"/>
      <c r="X1926" s="49" t="str">
        <f t="shared" si="3"/>
        <v>succeed,</v>
      </c>
      <c r="Y1926" s="49"/>
      <c r="Z1926" s="1" t="s">
        <v>2477</v>
      </c>
      <c r="AA1926" s="1" t="s">
        <v>1544</v>
      </c>
      <c r="AB1926" s="49"/>
      <c r="AC1926" s="49"/>
      <c r="AD1926" s="49"/>
      <c r="AE1926" s="49" t="str">
        <f>IFERROR(__xludf.DUMMYFUNCTION("""COMPUTED_VALUE"""),"deeds")</f>
        <v>deeds</v>
      </c>
      <c r="AF1926" s="49" t="str">
        <f t="shared" si="4"/>
        <v>choose,</v>
      </c>
      <c r="AG1926" s="49"/>
      <c r="AH1926" s="1" t="s">
        <v>1749</v>
      </c>
      <c r="AI1926" s="1" t="s">
        <v>3485</v>
      </c>
      <c r="AJ1926" s="6" t="str">
        <f>IFERROR(__xludf.DUMMYFUNCTION("""COMPUTED_VALUE"""),"blues")</f>
        <v>blues</v>
      </c>
      <c r="AK1926" s="49"/>
      <c r="AL1926" s="49"/>
      <c r="AM1926" s="49"/>
      <c r="AN1926" s="52" t="str">
        <f t="shared" si="5"/>
        <v>carry,</v>
      </c>
    </row>
    <row r="1927">
      <c r="A1927" s="51"/>
      <c r="B1927" s="50" t="s">
        <v>4456</v>
      </c>
      <c r="C1927" s="50" t="s">
        <v>3320</v>
      </c>
      <c r="D1927" s="49" t="str">
        <f>IFERROR(__xludf.DUMMYFUNCTION("""COMPUTED_VALUE"""),"wants")</f>
        <v>wants</v>
      </c>
      <c r="E1927" s="49"/>
      <c r="F1927" s="49"/>
      <c r="G1927" s="49"/>
      <c r="H1927" s="54" t="str">
        <f t="shared" si="1"/>
        <v>terms,</v>
      </c>
      <c r="I1927" s="50"/>
      <c r="J1927" s="50" t="s">
        <v>1284</v>
      </c>
      <c r="K1927" s="50" t="s">
        <v>4609</v>
      </c>
      <c r="L1927" s="49"/>
      <c r="M1927" s="49"/>
      <c r="N1927" s="49"/>
      <c r="O1927" s="49" t="str">
        <f>IFERROR(__xludf.DUMMYFUNCTION("""COMPUTED_VALUE"""),"innate")</f>
        <v>innate</v>
      </c>
      <c r="P1927" s="49" t="str">
        <f t="shared" si="2"/>
        <v>chiefly,</v>
      </c>
      <c r="Q1927" s="49"/>
      <c r="R1927" s="50" t="s">
        <v>4347</v>
      </c>
      <c r="S1927" s="55" t="s">
        <v>279</v>
      </c>
      <c r="T1927" s="49"/>
      <c r="U1927" s="49"/>
      <c r="V1927" s="49"/>
      <c r="W1927" s="49"/>
      <c r="X1927" s="49" t="str">
        <f t="shared" si="3"/>
        <v>devotion,</v>
      </c>
      <c r="Y1927" s="49"/>
      <c r="Z1927" s="1" t="s">
        <v>7479</v>
      </c>
      <c r="AA1927" s="1" t="s">
        <v>4129</v>
      </c>
      <c r="AB1927" s="49"/>
      <c r="AC1927" s="49"/>
      <c r="AD1927" s="49"/>
      <c r="AE1927" s="49" t="str">
        <f>IFERROR(__xludf.DUMMYFUNCTION("""COMPUTED_VALUE"""),"innate")</f>
        <v>innate</v>
      </c>
      <c r="AF1927" s="49" t="str">
        <f t="shared" si="4"/>
        <v>jerk,</v>
      </c>
      <c r="AG1927" s="49"/>
      <c r="AH1927" s="1" t="s">
        <v>6473</v>
      </c>
      <c r="AI1927" s="1" t="s">
        <v>4920</v>
      </c>
      <c r="AJ1927" s="6" t="str">
        <f>IFERROR(__xludf.DUMMYFUNCTION("""COMPUTED_VALUE"""),"columbia")</f>
        <v>columbia</v>
      </c>
      <c r="AK1927" s="49"/>
      <c r="AL1927" s="49"/>
      <c r="AM1927" s="49"/>
      <c r="AN1927" s="52" t="str">
        <f t="shared" si="5"/>
        <v>combination,</v>
      </c>
    </row>
    <row r="1928">
      <c r="A1928" s="51"/>
      <c r="B1928" s="50" t="s">
        <v>6974</v>
      </c>
      <c r="C1928" s="50" t="s">
        <v>2542</v>
      </c>
      <c r="D1928" s="49" t="str">
        <f>IFERROR(__xludf.DUMMYFUNCTION("""COMPUTED_VALUE"""),"sick")</f>
        <v>sick</v>
      </c>
      <c r="E1928" s="49"/>
      <c r="F1928" s="49"/>
      <c r="G1928" s="49"/>
      <c r="H1928" s="54" t="str">
        <f t="shared" si="1"/>
        <v>outer,</v>
      </c>
      <c r="I1928" s="50"/>
      <c r="J1928" s="50" t="s">
        <v>2441</v>
      </c>
      <c r="K1928" s="50" t="s">
        <v>3648</v>
      </c>
      <c r="L1928" s="49"/>
      <c r="M1928" s="49"/>
      <c r="N1928" s="49"/>
      <c r="O1928" s="49" t="str">
        <f>IFERROR(__xludf.DUMMYFUNCTION("""COMPUTED_VALUE"""),"flattened")</f>
        <v>flattened</v>
      </c>
      <c r="P1928" s="49" t="str">
        <f t="shared" si="2"/>
        <v>lane,</v>
      </c>
      <c r="Q1928" s="49"/>
      <c r="R1928" s="50" t="s">
        <v>2506</v>
      </c>
      <c r="S1928" s="55" t="s">
        <v>3022</v>
      </c>
      <c r="T1928" s="49"/>
      <c r="U1928" s="49"/>
      <c r="V1928" s="49"/>
      <c r="W1928" s="49"/>
      <c r="X1928" s="49" t="str">
        <f t="shared" si="3"/>
        <v>developed,</v>
      </c>
      <c r="Y1928" s="49"/>
      <c r="Z1928" s="1" t="s">
        <v>3440</v>
      </c>
      <c r="AA1928" s="1" t="s">
        <v>4130</v>
      </c>
      <c r="AB1928" s="49"/>
      <c r="AC1928" s="49"/>
      <c r="AD1928" s="49"/>
      <c r="AE1928" s="49" t="str">
        <f>IFERROR(__xludf.DUMMYFUNCTION("""COMPUTED_VALUE"""),"flattened")</f>
        <v>flattened</v>
      </c>
      <c r="AF1928" s="49" t="str">
        <f t="shared" si="4"/>
        <v>mile,</v>
      </c>
      <c r="AG1928" s="49"/>
      <c r="AH1928" s="1" t="s">
        <v>4980</v>
      </c>
      <c r="AI1928" s="1" t="s">
        <v>6605</v>
      </c>
      <c r="AJ1928" s="6" t="str">
        <f>IFERROR(__xludf.DUMMYFUNCTION("""COMPUTED_VALUE"""),"holds")</f>
        <v>holds</v>
      </c>
      <c r="AK1928" s="49"/>
      <c r="AL1928" s="49"/>
      <c r="AM1928" s="49"/>
      <c r="AN1928" s="52" t="str">
        <f t="shared" si="5"/>
        <v>unusual,</v>
      </c>
    </row>
    <row r="1929">
      <c r="A1929" s="51"/>
      <c r="B1929" s="50" t="s">
        <v>2614</v>
      </c>
      <c r="C1929" s="50" t="s">
        <v>6559</v>
      </c>
      <c r="D1929" s="49" t="str">
        <f>IFERROR(__xludf.DUMMYFUNCTION("""COMPUTED_VALUE"""),"african")</f>
        <v>african</v>
      </c>
      <c r="E1929" s="49"/>
      <c r="F1929" s="49"/>
      <c r="G1929" s="49"/>
      <c r="H1929" s="54" t="str">
        <f t="shared" si="1"/>
        <v>generated,</v>
      </c>
      <c r="I1929" s="50"/>
      <c r="J1929" s="50" t="s">
        <v>2915</v>
      </c>
      <c r="K1929" s="50" t="s">
        <v>3530</v>
      </c>
      <c r="L1929" s="49"/>
      <c r="M1929" s="49"/>
      <c r="N1929" s="49"/>
      <c r="O1929" s="49" t="str">
        <f>IFERROR(__xludf.DUMMYFUNCTION("""COMPUTED_VALUE"""),"potter")</f>
        <v>potter</v>
      </c>
      <c r="P1929" s="49" t="str">
        <f t="shared" si="2"/>
        <v>established,</v>
      </c>
      <c r="Q1929" s="49"/>
      <c r="R1929" s="50" t="s">
        <v>1421</v>
      </c>
      <c r="S1929" s="55" t="s">
        <v>5006</v>
      </c>
      <c r="T1929" s="49"/>
      <c r="U1929" s="49"/>
      <c r="V1929" s="49"/>
      <c r="W1929" s="49"/>
      <c r="X1929" s="49" t="str">
        <f t="shared" si="3"/>
        <v>paranormal,</v>
      </c>
      <c r="Y1929" s="49"/>
      <c r="Z1929" s="1" t="s">
        <v>193</v>
      </c>
      <c r="AA1929" s="1" t="s">
        <v>2548</v>
      </c>
      <c r="AB1929" s="49"/>
      <c r="AC1929" s="49"/>
      <c r="AD1929" s="49"/>
      <c r="AE1929" s="49" t="str">
        <f>IFERROR(__xludf.DUMMYFUNCTION("""COMPUTED_VALUE"""),"potter")</f>
        <v>potter</v>
      </c>
      <c r="AF1929" s="49" t="str">
        <f t="shared" si="4"/>
        <v>earnest,</v>
      </c>
      <c r="AG1929" s="49"/>
      <c r="AH1929" s="1" t="s">
        <v>252</v>
      </c>
      <c r="AI1929" s="1" t="s">
        <v>6588</v>
      </c>
      <c r="AJ1929" s="6" t="str">
        <f>IFERROR(__xludf.DUMMYFUNCTION("""COMPUTED_VALUE"""),"billy")</f>
        <v>billy</v>
      </c>
      <c r="AK1929" s="49"/>
      <c r="AL1929" s="49"/>
      <c r="AM1929" s="49"/>
      <c r="AN1929" s="52" t="str">
        <f t="shared" si="5"/>
        <v>interest,</v>
      </c>
    </row>
    <row r="1930">
      <c r="A1930" s="51"/>
      <c r="B1930" s="50" t="s">
        <v>3395</v>
      </c>
      <c r="C1930" s="50" t="s">
        <v>4655</v>
      </c>
      <c r="D1930" s="49" t="str">
        <f>IFERROR(__xludf.DUMMYFUNCTION("""COMPUTED_VALUE"""),"range")</f>
        <v>range</v>
      </c>
      <c r="E1930" s="49"/>
      <c r="F1930" s="49"/>
      <c r="G1930" s="49"/>
      <c r="H1930" s="54" t="str">
        <f t="shared" si="1"/>
        <v>impressive,</v>
      </c>
      <c r="I1930" s="50"/>
      <c r="J1930" s="50" t="s">
        <v>7480</v>
      </c>
      <c r="K1930" s="50" t="s">
        <v>5153</v>
      </c>
      <c r="L1930" s="49"/>
      <c r="M1930" s="49"/>
      <c r="N1930" s="49"/>
      <c r="O1930" s="49" t="str">
        <f>IFERROR(__xludf.DUMMYFUNCTION("""COMPUTED_VALUE"""),"principals")</f>
        <v>principals</v>
      </c>
      <c r="P1930" s="49" t="str">
        <f t="shared" si="2"/>
        <v>decor,</v>
      </c>
      <c r="Q1930" s="49"/>
      <c r="R1930" s="50" t="s">
        <v>6690</v>
      </c>
      <c r="S1930" s="55" t="s">
        <v>3358</v>
      </c>
      <c r="T1930" s="49"/>
      <c r="U1930" s="49"/>
      <c r="V1930" s="49"/>
      <c r="W1930" s="49"/>
      <c r="X1930" s="49" t="str">
        <f t="shared" si="3"/>
        <v>rivals,</v>
      </c>
      <c r="Y1930" s="49"/>
      <c r="Z1930" s="1" t="s">
        <v>311</v>
      </c>
      <c r="AA1930" s="1" t="s">
        <v>5151</v>
      </c>
      <c r="AB1930" s="49"/>
      <c r="AC1930" s="49"/>
      <c r="AD1930" s="49"/>
      <c r="AE1930" s="49" t="str">
        <f>IFERROR(__xludf.DUMMYFUNCTION("""COMPUTED_VALUE"""),"principals")</f>
        <v>principals</v>
      </c>
      <c r="AF1930" s="49" t="str">
        <f t="shared" si="4"/>
        <v>absorbing,</v>
      </c>
      <c r="AG1930" s="49"/>
      <c r="AH1930" s="1" t="s">
        <v>2945</v>
      </c>
      <c r="AI1930" s="1" t="s">
        <v>1671</v>
      </c>
      <c r="AJ1930" s="6" t="str">
        <f>IFERROR(__xludf.DUMMYFUNCTION("""COMPUTED_VALUE"""),"crystal")</f>
        <v>crystal</v>
      </c>
      <c r="AK1930" s="49"/>
      <c r="AL1930" s="49"/>
      <c r="AM1930" s="49"/>
      <c r="AN1930" s="52" t="str">
        <f t="shared" si="5"/>
        <v>certain,</v>
      </c>
    </row>
    <row r="1931">
      <c r="A1931" s="51"/>
      <c r="B1931" s="50" t="s">
        <v>6322</v>
      </c>
      <c r="C1931" s="50" t="s">
        <v>891</v>
      </c>
      <c r="D1931" s="49" t="str">
        <f>IFERROR(__xludf.DUMMYFUNCTION("""COMPUTED_VALUE"""),"rise")</f>
        <v>rise</v>
      </c>
      <c r="E1931" s="49"/>
      <c r="F1931" s="49"/>
      <c r="G1931" s="49"/>
      <c r="H1931" s="54" t="str">
        <f t="shared" si="1"/>
        <v>sea,</v>
      </c>
      <c r="I1931" s="50"/>
      <c r="J1931" s="50" t="s">
        <v>1922</v>
      </c>
      <c r="K1931" s="50" t="s">
        <v>1196</v>
      </c>
      <c r="L1931" s="49"/>
      <c r="M1931" s="49"/>
      <c r="N1931" s="49"/>
      <c r="O1931" s="49" t="str">
        <f>IFERROR(__xludf.DUMMYFUNCTION("""COMPUTED_VALUE"""),"rigged")</f>
        <v>rigged</v>
      </c>
      <c r="P1931" s="49" t="str">
        <f t="shared" si="2"/>
        <v>corners,</v>
      </c>
      <c r="Q1931" s="49"/>
      <c r="R1931" s="50" t="s">
        <v>3061</v>
      </c>
      <c r="S1931" s="55" t="s">
        <v>1822</v>
      </c>
      <c r="T1931" s="49"/>
      <c r="U1931" s="49"/>
      <c r="V1931" s="49"/>
      <c r="W1931" s="49"/>
      <c r="X1931" s="49" t="str">
        <f t="shared" si="3"/>
        <v>avid,</v>
      </c>
      <c r="Y1931" s="49"/>
      <c r="Z1931" s="1" t="s">
        <v>2436</v>
      </c>
      <c r="AA1931" s="1" t="s">
        <v>1552</v>
      </c>
      <c r="AB1931" s="49"/>
      <c r="AC1931" s="49"/>
      <c r="AD1931" s="49"/>
      <c r="AE1931" s="49" t="str">
        <f>IFERROR(__xludf.DUMMYFUNCTION("""COMPUTED_VALUE"""),"rigged")</f>
        <v>rigged</v>
      </c>
      <c r="AF1931" s="49" t="str">
        <f t="shared" si="4"/>
        <v>tones,</v>
      </c>
      <c r="AG1931" s="49"/>
      <c r="AH1931" s="1" t="s">
        <v>310</v>
      </c>
      <c r="AI1931" s="1" t="s">
        <v>4125</v>
      </c>
      <c r="AJ1931" s="6" t="str">
        <f>IFERROR(__xludf.DUMMYFUNCTION("""COMPUTED_VALUE"""),"trouble")</f>
        <v>trouble</v>
      </c>
      <c r="AK1931" s="49"/>
      <c r="AL1931" s="49"/>
      <c r="AM1931" s="49"/>
      <c r="AN1931" s="52" t="str">
        <f t="shared" si="5"/>
        <v>existence,</v>
      </c>
    </row>
    <row r="1932">
      <c r="A1932" s="51"/>
      <c r="B1932" s="50">
        <v>24.0</v>
      </c>
      <c r="C1932" s="50" t="s">
        <v>6606</v>
      </c>
      <c r="D1932" s="49" t="str">
        <f>IFERROR(__xludf.DUMMYFUNCTION("""COMPUTED_VALUE"""),"broadway")</f>
        <v>broadway</v>
      </c>
      <c r="E1932" s="49"/>
      <c r="F1932" s="49"/>
      <c r="G1932" s="49"/>
      <c r="H1932" s="54" t="str">
        <f t="shared" si="1"/>
        <v>24,</v>
      </c>
      <c r="I1932" s="50"/>
      <c r="J1932" s="50" t="s">
        <v>2969</v>
      </c>
      <c r="K1932" s="50" t="s">
        <v>4615</v>
      </c>
      <c r="L1932" s="49"/>
      <c r="M1932" s="49"/>
      <c r="N1932" s="49"/>
      <c r="O1932" s="49" t="str">
        <f>IFERROR(__xludf.DUMMYFUNCTION("""COMPUTED_VALUE"""),"valiant")</f>
        <v>valiant</v>
      </c>
      <c r="P1932" s="49" t="str">
        <f t="shared" si="2"/>
        <v>prevents,</v>
      </c>
      <c r="Q1932" s="49"/>
      <c r="R1932" s="50" t="s">
        <v>7481</v>
      </c>
      <c r="S1932" s="55" t="s">
        <v>5135</v>
      </c>
      <c r="T1932" s="49"/>
      <c r="U1932" s="49"/>
      <c r="V1932" s="49"/>
      <c r="W1932" s="49"/>
      <c r="X1932" s="49" t="str">
        <f t="shared" si="3"/>
        <v>ville,</v>
      </c>
      <c r="Y1932" s="49"/>
      <c r="Z1932" s="1" t="s">
        <v>5132</v>
      </c>
      <c r="AA1932" s="1" t="s">
        <v>3518</v>
      </c>
      <c r="AB1932" s="49"/>
      <c r="AC1932" s="49"/>
      <c r="AD1932" s="49"/>
      <c r="AE1932" s="49" t="str">
        <f>IFERROR(__xludf.DUMMYFUNCTION("""COMPUTED_VALUE"""),"valiant")</f>
        <v>valiant</v>
      </c>
      <c r="AF1932" s="49" t="str">
        <f t="shared" si="4"/>
        <v>sober,</v>
      </c>
      <c r="AG1932" s="49"/>
      <c r="AH1932" s="1" t="s">
        <v>6879</v>
      </c>
      <c r="AI1932" s="1" t="s">
        <v>3284</v>
      </c>
      <c r="AJ1932" s="6" t="str">
        <f>IFERROR(__xludf.DUMMYFUNCTION("""COMPUTED_VALUE"""),"driving")</f>
        <v>driving</v>
      </c>
      <c r="AK1932" s="49"/>
      <c r="AL1932" s="49"/>
      <c r="AM1932" s="49"/>
      <c r="AN1932" s="52" t="str">
        <f t="shared" si="5"/>
        <v>downtown,</v>
      </c>
    </row>
    <row r="1933">
      <c r="A1933" s="51"/>
      <c r="B1933" s="50" t="s">
        <v>962</v>
      </c>
      <c r="C1933" s="50" t="s">
        <v>2821</v>
      </c>
      <c r="D1933" s="49" t="str">
        <f>IFERROR(__xludf.DUMMYFUNCTION("""COMPUTED_VALUE"""),"german")</f>
        <v>german</v>
      </c>
      <c r="E1933" s="49"/>
      <c r="F1933" s="49"/>
      <c r="G1933" s="49"/>
      <c r="H1933" s="54" t="str">
        <f t="shared" si="1"/>
        <v>runs,</v>
      </c>
      <c r="I1933" s="50"/>
      <c r="J1933" s="50" t="s">
        <v>2173</v>
      </c>
      <c r="K1933" s="50" t="s">
        <v>5155</v>
      </c>
      <c r="L1933" s="49"/>
      <c r="M1933" s="49"/>
      <c r="N1933" s="49"/>
      <c r="O1933" s="49" t="str">
        <f>IFERROR(__xludf.DUMMYFUNCTION("""COMPUTED_VALUE"""),"springer")</f>
        <v>springer</v>
      </c>
      <c r="P1933" s="49" t="str">
        <f t="shared" si="2"/>
        <v>reacting,</v>
      </c>
      <c r="Q1933" s="49"/>
      <c r="R1933" s="50" t="s">
        <v>7482</v>
      </c>
      <c r="S1933" s="55" t="s">
        <v>5016</v>
      </c>
      <c r="T1933" s="49"/>
      <c r="U1933" s="49"/>
      <c r="V1933" s="49"/>
      <c r="W1933" s="49"/>
      <c r="X1933" s="49" t="str">
        <f t="shared" si="3"/>
        <v>altering,</v>
      </c>
      <c r="Y1933" s="49"/>
      <c r="Z1933" s="1" t="s">
        <v>1178</v>
      </c>
      <c r="AA1933" s="1" t="s">
        <v>4041</v>
      </c>
      <c r="AB1933" s="49"/>
      <c r="AC1933" s="49"/>
      <c r="AD1933" s="49"/>
      <c r="AE1933" s="49" t="str">
        <f>IFERROR(__xludf.DUMMYFUNCTION("""COMPUTED_VALUE"""),"springer")</f>
        <v>springer</v>
      </c>
      <c r="AF1933" s="49" t="str">
        <f t="shared" si="4"/>
        <v>profound,</v>
      </c>
      <c r="AG1933" s="49"/>
      <c r="AH1933" s="1" t="s">
        <v>3394</v>
      </c>
      <c r="AI1933" s="1" t="s">
        <v>6607</v>
      </c>
      <c r="AJ1933" s="6" t="str">
        <f>IFERROR(__xludf.DUMMYFUNCTION("""COMPUTED_VALUE"""),"abandoned")</f>
        <v>abandoned</v>
      </c>
      <c r="AK1933" s="49"/>
      <c r="AL1933" s="49"/>
      <c r="AM1933" s="49"/>
      <c r="AN1933" s="52" t="str">
        <f t="shared" si="5"/>
        <v>hop,</v>
      </c>
    </row>
    <row r="1934">
      <c r="A1934" s="51"/>
      <c r="B1934" s="50" t="s">
        <v>179</v>
      </c>
      <c r="C1934" s="50" t="s">
        <v>2461</v>
      </c>
      <c r="D1934" s="49" t="str">
        <f>IFERROR(__xludf.DUMMYFUNCTION("""COMPUTED_VALUE"""),"express")</f>
        <v>express</v>
      </c>
      <c r="E1934" s="49"/>
      <c r="F1934" s="49"/>
      <c r="G1934" s="49"/>
      <c r="H1934" s="54" t="str">
        <f t="shared" si="1"/>
        <v>actress,</v>
      </c>
      <c r="I1934" s="50"/>
      <c r="J1934" s="50" t="s">
        <v>7483</v>
      </c>
      <c r="K1934" s="50" t="s">
        <v>1923</v>
      </c>
      <c r="L1934" s="49"/>
      <c r="M1934" s="49"/>
      <c r="N1934" s="49"/>
      <c r="O1934" s="49" t="str">
        <f>IFERROR(__xludf.DUMMYFUNCTION("""COMPUTED_VALUE"""),"enemies")</f>
        <v>enemies</v>
      </c>
      <c r="P1934" s="49" t="str">
        <f t="shared" si="2"/>
        <v>sim,</v>
      </c>
      <c r="Q1934" s="49"/>
      <c r="R1934" s="50" t="s">
        <v>1765</v>
      </c>
      <c r="S1934" s="55" t="s">
        <v>686</v>
      </c>
      <c r="T1934" s="49"/>
      <c r="U1934" s="49"/>
      <c r="V1934" s="49"/>
      <c r="W1934" s="49"/>
      <c r="X1934" s="49" t="str">
        <f t="shared" si="3"/>
        <v>maneuvers,</v>
      </c>
      <c r="Y1934" s="49"/>
      <c r="Z1934" s="1" t="s">
        <v>2440</v>
      </c>
      <c r="AA1934" s="1" t="s">
        <v>5156</v>
      </c>
      <c r="AB1934" s="49"/>
      <c r="AC1934" s="49"/>
      <c r="AD1934" s="49"/>
      <c r="AE1934" s="49" t="str">
        <f>IFERROR(__xludf.DUMMYFUNCTION("""COMPUTED_VALUE"""),"enemies")</f>
        <v>enemies</v>
      </c>
      <c r="AF1934" s="49" t="str">
        <f t="shared" si="4"/>
        <v>dose,</v>
      </c>
      <c r="AG1934" s="49"/>
      <c r="AH1934" s="1" t="s">
        <v>4148</v>
      </c>
      <c r="AI1934" s="1" t="s">
        <v>3615</v>
      </c>
      <c r="AJ1934" s="6" t="str">
        <f>IFERROR(__xludf.DUMMYFUNCTION("""COMPUTED_VALUE"""),"market")</f>
        <v>market</v>
      </c>
      <c r="AK1934" s="49"/>
      <c r="AL1934" s="49"/>
      <c r="AM1934" s="49"/>
      <c r="AN1934" s="52" t="str">
        <f t="shared" si="5"/>
        <v>explains,</v>
      </c>
    </row>
    <row r="1935">
      <c r="A1935" s="51"/>
      <c r="B1935" s="50" t="s">
        <v>5534</v>
      </c>
      <c r="C1935" s="50" t="s">
        <v>3770</v>
      </c>
      <c r="D1935" s="49" t="str">
        <f>IFERROR(__xludf.DUMMYFUNCTION("""COMPUTED_VALUE"""),"inner")</f>
        <v>inner</v>
      </c>
      <c r="E1935" s="49"/>
      <c r="F1935" s="49"/>
      <c r="G1935" s="49"/>
      <c r="H1935" s="54" t="str">
        <f t="shared" si="1"/>
        <v>molly,</v>
      </c>
      <c r="I1935" s="50"/>
      <c r="J1935" s="50" t="s">
        <v>5246</v>
      </c>
      <c r="K1935" s="50" t="s">
        <v>491</v>
      </c>
      <c r="L1935" s="49"/>
      <c r="M1935" s="49"/>
      <c r="N1935" s="49"/>
      <c r="O1935" s="49" t="str">
        <f>IFERROR(__xludf.DUMMYFUNCTION("""COMPUTED_VALUE"""),"zoe")</f>
        <v>zoe</v>
      </c>
      <c r="P1935" s="49" t="str">
        <f t="shared" si="2"/>
        <v>athletes,</v>
      </c>
      <c r="Q1935" s="49"/>
      <c r="R1935" s="50" t="s">
        <v>6558</v>
      </c>
      <c r="S1935" s="55" t="s">
        <v>4466</v>
      </c>
      <c r="T1935" s="49"/>
      <c r="U1935" s="49"/>
      <c r="V1935" s="49"/>
      <c r="W1935" s="49"/>
      <c r="X1935" s="49" t="str">
        <f t="shared" si="3"/>
        <v>ignored,</v>
      </c>
      <c r="Y1935" s="49"/>
      <c r="Z1935" s="1" t="s">
        <v>3430</v>
      </c>
      <c r="AA1935" s="1" t="s">
        <v>1210</v>
      </c>
      <c r="AB1935" s="49"/>
      <c r="AC1935" s="49"/>
      <c r="AD1935" s="49"/>
      <c r="AE1935" s="49" t="str">
        <f>IFERROR(__xludf.DUMMYFUNCTION("""COMPUTED_VALUE"""),"zoe")</f>
        <v>zoe</v>
      </c>
      <c r="AF1935" s="49" t="str">
        <f t="shared" si="4"/>
        <v>sharp,</v>
      </c>
      <c r="AG1935" s="49"/>
      <c r="AH1935" s="1" t="s">
        <v>1216</v>
      </c>
      <c r="AI1935" s="1" t="s">
        <v>3742</v>
      </c>
      <c r="AJ1935" s="6" t="str">
        <f>IFERROR(__xludf.DUMMYFUNCTION("""COMPUTED_VALUE"""),"heavy")</f>
        <v>heavy</v>
      </c>
      <c r="AK1935" s="49"/>
      <c r="AL1935" s="49"/>
      <c r="AM1935" s="49"/>
      <c r="AN1935" s="52" t="str">
        <f t="shared" si="5"/>
        <v>red,</v>
      </c>
    </row>
    <row r="1936">
      <c r="A1936" s="51"/>
      <c r="B1936" s="50">
        <v>2000.0</v>
      </c>
      <c r="C1936" s="50" t="s">
        <v>4494</v>
      </c>
      <c r="D1936" s="49" t="str">
        <f>IFERROR(__xludf.DUMMYFUNCTION("""COMPUTED_VALUE"""),"survivors")</f>
        <v>survivors</v>
      </c>
      <c r="E1936" s="49"/>
      <c r="F1936" s="49"/>
      <c r="G1936" s="49"/>
      <c r="H1936" s="54" t="str">
        <f t="shared" si="1"/>
        <v>2000,</v>
      </c>
      <c r="I1936" s="50"/>
      <c r="J1936" s="50" t="s">
        <v>4984</v>
      </c>
      <c r="K1936" s="50" t="s">
        <v>3537</v>
      </c>
      <c r="L1936" s="49"/>
      <c r="M1936" s="49"/>
      <c r="N1936" s="49"/>
      <c r="O1936" s="49" t="str">
        <f>IFERROR(__xludf.DUMMYFUNCTION("""COMPUTED_VALUE"""),"theological")</f>
        <v>theological</v>
      </c>
      <c r="P1936" s="49" t="str">
        <f t="shared" si="2"/>
        <v>sink,</v>
      </c>
      <c r="Q1936" s="49"/>
      <c r="R1936" s="50" t="s">
        <v>157</v>
      </c>
      <c r="S1936" s="55" t="s">
        <v>3031</v>
      </c>
      <c r="T1936" s="49"/>
      <c r="U1936" s="49"/>
      <c r="V1936" s="49"/>
      <c r="W1936" s="49"/>
      <c r="X1936" s="49" t="str">
        <f t="shared" si="3"/>
        <v>reveals,</v>
      </c>
      <c r="Y1936" s="49"/>
      <c r="Z1936" s="1" t="s">
        <v>3438</v>
      </c>
      <c r="AA1936" s="1" t="s">
        <v>2311</v>
      </c>
      <c r="AB1936" s="49"/>
      <c r="AC1936" s="49"/>
      <c r="AD1936" s="49"/>
      <c r="AE1936" s="49" t="str">
        <f>IFERROR(__xludf.DUMMYFUNCTION("""COMPUTED_VALUE"""),"theological")</f>
        <v>theological</v>
      </c>
      <c r="AF1936" s="49" t="str">
        <f t="shared" si="4"/>
        <v>credit,</v>
      </c>
      <c r="AG1936" s="49"/>
      <c r="AH1936" s="1" t="s">
        <v>2195</v>
      </c>
      <c r="AI1936" s="1" t="s">
        <v>1541</v>
      </c>
      <c r="AJ1936" s="6" t="str">
        <f>IFERROR(__xludf.DUMMYFUNCTION("""COMPUTED_VALUE"""),"youth")</f>
        <v>youth</v>
      </c>
      <c r="AK1936" s="49"/>
      <c r="AL1936" s="49"/>
      <c r="AM1936" s="49"/>
      <c r="AN1936" s="52" t="str">
        <f t="shared" si="5"/>
        <v>result,</v>
      </c>
    </row>
    <row r="1937">
      <c r="A1937" s="51"/>
      <c r="B1937" s="50" t="s">
        <v>3281</v>
      </c>
      <c r="C1937" s="50" t="s">
        <v>1448</v>
      </c>
      <c r="D1937" s="49" t="str">
        <f>IFERROR(__xludf.DUMMYFUNCTION("""COMPUTED_VALUE"""),"blade")</f>
        <v>blade</v>
      </c>
      <c r="E1937" s="49"/>
      <c r="F1937" s="49"/>
      <c r="G1937" s="49"/>
      <c r="H1937" s="54" t="str">
        <f t="shared" si="1"/>
        <v>artists,</v>
      </c>
      <c r="I1937" s="50"/>
      <c r="J1937" s="50" t="s">
        <v>4321</v>
      </c>
      <c r="K1937" s="50" t="s">
        <v>3539</v>
      </c>
      <c r="L1937" s="49"/>
      <c r="M1937" s="49"/>
      <c r="N1937" s="49"/>
      <c r="O1937" s="49" t="str">
        <f>IFERROR(__xludf.DUMMYFUNCTION("""COMPUTED_VALUE"""),"motown")</f>
        <v>motown</v>
      </c>
      <c r="P1937" s="49" t="str">
        <f t="shared" si="2"/>
        <v>staring,</v>
      </c>
      <c r="Q1937" s="49"/>
      <c r="R1937" s="50" t="s">
        <v>2546</v>
      </c>
      <c r="S1937" s="55" t="s">
        <v>1130</v>
      </c>
      <c r="T1937" s="49"/>
      <c r="U1937" s="49"/>
      <c r="V1937" s="49"/>
      <c r="W1937" s="49"/>
      <c r="X1937" s="49" t="str">
        <f t="shared" si="3"/>
        <v>desperation,</v>
      </c>
      <c r="Y1937" s="49"/>
      <c r="Z1937" s="1" t="s">
        <v>720</v>
      </c>
      <c r="AA1937" s="1" t="s">
        <v>2315</v>
      </c>
      <c r="AB1937" s="49"/>
      <c r="AC1937" s="49"/>
      <c r="AD1937" s="49"/>
      <c r="AE1937" s="49" t="str">
        <f>IFERROR(__xludf.DUMMYFUNCTION("""COMPUTED_VALUE"""),"motown")</f>
        <v>motown</v>
      </c>
      <c r="AF1937" s="49" t="str">
        <f t="shared" si="4"/>
        <v>pleasures,</v>
      </c>
      <c r="AG1937" s="49"/>
      <c r="AH1937" s="1" t="s">
        <v>4143</v>
      </c>
      <c r="AI1937" s="1" t="s">
        <v>6451</v>
      </c>
      <c r="AJ1937" s="6" t="str">
        <f>IFERROR(__xludf.DUMMYFUNCTION("""COMPUTED_VALUE"""),"remaining")</f>
        <v>remaining</v>
      </c>
      <c r="AK1937" s="49"/>
      <c r="AL1937" s="49"/>
      <c r="AM1937" s="49"/>
      <c r="AN1937" s="52" t="str">
        <f t="shared" si="5"/>
        <v>foot,</v>
      </c>
    </row>
    <row r="1938">
      <c r="A1938" s="51"/>
      <c r="B1938" s="50" t="s">
        <v>4206</v>
      </c>
      <c r="C1938" s="50" t="s">
        <v>3052</v>
      </c>
      <c r="D1938" s="49" t="str">
        <f>IFERROR(__xludf.DUMMYFUNCTION("""COMPUTED_VALUE"""),"wear")</f>
        <v>wear</v>
      </c>
      <c r="E1938" s="49"/>
      <c r="F1938" s="49"/>
      <c r="G1938" s="49"/>
      <c r="H1938" s="54" t="str">
        <f t="shared" si="1"/>
        <v>vision,</v>
      </c>
      <c r="I1938" s="50"/>
      <c r="J1938" s="50" t="s">
        <v>7432</v>
      </c>
      <c r="K1938" s="50" t="s">
        <v>1202</v>
      </c>
      <c r="L1938" s="49"/>
      <c r="M1938" s="49"/>
      <c r="N1938" s="49"/>
      <c r="O1938" s="49" t="str">
        <f>IFERROR(__xludf.DUMMYFUNCTION("""COMPUTED_VALUE"""),"alexandre")</f>
        <v>alexandre</v>
      </c>
      <c r="P1938" s="49" t="str">
        <f t="shared" si="2"/>
        <v>tin,</v>
      </c>
      <c r="Q1938" s="49"/>
      <c r="R1938" s="50" t="s">
        <v>2777</v>
      </c>
      <c r="S1938" s="55" t="s">
        <v>3035</v>
      </c>
      <c r="T1938" s="49"/>
      <c r="U1938" s="49"/>
      <c r="V1938" s="49"/>
      <c r="W1938" s="49"/>
      <c r="X1938" s="49" t="str">
        <f t="shared" si="3"/>
        <v>unexpectedly,</v>
      </c>
      <c r="Y1938" s="49"/>
      <c r="Z1938" s="1" t="s">
        <v>3780</v>
      </c>
      <c r="AA1938" s="1" t="s">
        <v>1217</v>
      </c>
      <c r="AB1938" s="49"/>
      <c r="AC1938" s="49"/>
      <c r="AD1938" s="49"/>
      <c r="AE1938" s="49" t="str">
        <f>IFERROR(__xludf.DUMMYFUNCTION("""COMPUTED_VALUE"""),"alexandre")</f>
        <v>alexandre</v>
      </c>
      <c r="AF1938" s="49" t="str">
        <f t="shared" si="4"/>
        <v>refreshing,</v>
      </c>
      <c r="AG1938" s="49"/>
      <c r="AH1938" s="1" t="s">
        <v>1864</v>
      </c>
      <c r="AI1938" s="1" t="s">
        <v>4385</v>
      </c>
      <c r="AJ1938" s="6" t="str">
        <f>IFERROR(__xludf.DUMMYFUNCTION("""COMPUTED_VALUE"""),"growing")</f>
        <v>growing</v>
      </c>
      <c r="AK1938" s="49"/>
      <c r="AL1938" s="49"/>
      <c r="AM1938" s="49"/>
      <c r="AN1938" s="52" t="str">
        <f t="shared" si="5"/>
        <v>reach,</v>
      </c>
    </row>
    <row r="1939">
      <c r="A1939" s="51"/>
      <c r="B1939" s="50" t="s">
        <v>4875</v>
      </c>
      <c r="C1939" s="50" t="s">
        <v>2826</v>
      </c>
      <c r="D1939" s="49" t="str">
        <f>IFERROR(__xludf.DUMMYFUNCTION("""COMPUTED_VALUE"""),"shock")</f>
        <v>shock</v>
      </c>
      <c r="E1939" s="49"/>
      <c r="F1939" s="49"/>
      <c r="G1939" s="49"/>
      <c r="H1939" s="54" t="str">
        <f t="shared" si="1"/>
        <v>inner,</v>
      </c>
      <c r="I1939" s="50"/>
      <c r="J1939" s="50" t="s">
        <v>7433</v>
      </c>
      <c r="K1939" s="50" t="s">
        <v>1930</v>
      </c>
      <c r="L1939" s="49"/>
      <c r="M1939" s="49"/>
      <c r="N1939" s="49"/>
      <c r="O1939" s="49" t="str">
        <f>IFERROR(__xludf.DUMMYFUNCTION("""COMPUTED_VALUE"""),"writings")</f>
        <v>writings</v>
      </c>
      <c r="P1939" s="49" t="str">
        <f t="shared" si="2"/>
        <v>bra,</v>
      </c>
      <c r="Q1939" s="49"/>
      <c r="R1939" s="50" t="s">
        <v>2791</v>
      </c>
      <c r="S1939" s="55" t="s">
        <v>3372</v>
      </c>
      <c r="T1939" s="49"/>
      <c r="U1939" s="49"/>
      <c r="V1939" s="49"/>
      <c r="W1939" s="49"/>
      <c r="X1939" s="49" t="str">
        <f t="shared" si="3"/>
        <v>awe,</v>
      </c>
      <c r="Y1939" s="49"/>
      <c r="Z1939" s="1" t="s">
        <v>6627</v>
      </c>
      <c r="AA1939" s="1" t="s">
        <v>5158</v>
      </c>
      <c r="AB1939" s="49"/>
      <c r="AC1939" s="49"/>
      <c r="AD1939" s="49"/>
      <c r="AE1939" s="49" t="str">
        <f>IFERROR(__xludf.DUMMYFUNCTION("""COMPUTED_VALUE"""),"writings")</f>
        <v>writings</v>
      </c>
      <c r="AF1939" s="49" t="str">
        <f t="shared" si="4"/>
        <v>mike,</v>
      </c>
      <c r="AG1939" s="49"/>
      <c r="AH1939" s="1" t="s">
        <v>1777</v>
      </c>
      <c r="AI1939" s="1" t="s">
        <v>5124</v>
      </c>
      <c r="AJ1939" s="6" t="str">
        <f>IFERROR(__xludf.DUMMYFUNCTION("""COMPUTED_VALUE"""),"jersey")</f>
        <v>jersey</v>
      </c>
      <c r="AK1939" s="49"/>
      <c r="AL1939" s="49"/>
      <c r="AM1939" s="49"/>
      <c r="AN1939" s="52" t="str">
        <f t="shared" si="5"/>
        <v>serious,</v>
      </c>
    </row>
    <row r="1940">
      <c r="A1940" s="51"/>
      <c r="B1940" s="50" t="s">
        <v>2135</v>
      </c>
      <c r="C1940" s="50" t="s">
        <v>2355</v>
      </c>
      <c r="D1940" s="49" t="str">
        <f>IFERROR(__xludf.DUMMYFUNCTION("""COMPUTED_VALUE"""),"arrangements")</f>
        <v>arrangements</v>
      </c>
      <c r="E1940" s="49"/>
      <c r="F1940" s="49"/>
      <c r="G1940" s="49"/>
      <c r="H1940" s="54" t="str">
        <f t="shared" si="1"/>
        <v>decided,</v>
      </c>
      <c r="I1940" s="50"/>
      <c r="J1940" s="50" t="s">
        <v>992</v>
      </c>
      <c r="K1940" s="50" t="s">
        <v>5161</v>
      </c>
      <c r="L1940" s="49"/>
      <c r="M1940" s="49"/>
      <c r="N1940" s="49"/>
      <c r="O1940" s="49">
        <f>IFERROR(__xludf.DUMMYFUNCTION("""COMPUTED_VALUE"""),1962.0)</f>
        <v>1962</v>
      </c>
      <c r="P1940" s="49" t="str">
        <f t="shared" si="2"/>
        <v>precisely,</v>
      </c>
      <c r="Q1940" s="49"/>
      <c r="R1940" s="50" t="s">
        <v>3478</v>
      </c>
      <c r="S1940" s="55" t="s">
        <v>1200</v>
      </c>
      <c r="T1940" s="49"/>
      <c r="U1940" s="49"/>
      <c r="V1940" s="49"/>
      <c r="W1940" s="49"/>
      <c r="X1940" s="49" t="str">
        <f t="shared" si="3"/>
        <v>encompasses,</v>
      </c>
      <c r="Y1940" s="49"/>
      <c r="Z1940" s="1" t="s">
        <v>496</v>
      </c>
      <c r="AA1940" s="1" t="s">
        <v>1224</v>
      </c>
      <c r="AB1940" s="49"/>
      <c r="AC1940" s="49"/>
      <c r="AD1940" s="49"/>
      <c r="AE1940" s="49">
        <f>IFERROR(__xludf.DUMMYFUNCTION("""COMPUTED_VALUE"""),1962.0)</f>
        <v>1962</v>
      </c>
      <c r="AF1940" s="49" t="str">
        <f t="shared" si="4"/>
        <v>suffers,</v>
      </c>
      <c r="AG1940" s="49"/>
      <c r="AH1940" s="1" t="s">
        <v>2812</v>
      </c>
      <c r="AI1940" s="1" t="s">
        <v>2922</v>
      </c>
      <c r="AJ1940" s="6" t="str">
        <f>IFERROR(__xludf.DUMMYFUNCTION("""COMPUTED_VALUE"""),"1950s")</f>
        <v>1950s</v>
      </c>
      <c r="AK1940" s="49"/>
      <c r="AL1940" s="49"/>
      <c r="AM1940" s="49"/>
      <c r="AN1940" s="52" t="str">
        <f t="shared" si="5"/>
        <v>trace,</v>
      </c>
    </row>
    <row r="1941">
      <c r="A1941" s="51"/>
      <c r="B1941" s="50" t="s">
        <v>2307</v>
      </c>
      <c r="C1941" s="50" t="s">
        <v>2829</v>
      </c>
      <c r="D1941" s="49" t="str">
        <f>IFERROR(__xludf.DUMMYFUNCTION("""COMPUTED_VALUE"""),"danger")</f>
        <v>danger</v>
      </c>
      <c r="E1941" s="49"/>
      <c r="F1941" s="49"/>
      <c r="G1941" s="49"/>
      <c r="H1941" s="54" t="str">
        <f t="shared" si="1"/>
        <v>clear,</v>
      </c>
      <c r="I1941" s="50"/>
      <c r="J1941" s="50" t="s">
        <v>2036</v>
      </c>
      <c r="K1941" s="50" t="s">
        <v>3119</v>
      </c>
      <c r="L1941" s="49"/>
      <c r="M1941" s="49"/>
      <c r="N1941" s="49"/>
      <c r="O1941" s="49" t="str">
        <f>IFERROR(__xludf.DUMMYFUNCTION("""COMPUTED_VALUE"""),"afterlife")</f>
        <v>afterlife</v>
      </c>
      <c r="P1941" s="49" t="str">
        <f t="shared" si="2"/>
        <v>backlash,</v>
      </c>
      <c r="Q1941" s="49"/>
      <c r="R1941" s="50" t="s">
        <v>772</v>
      </c>
      <c r="S1941" s="55" t="s">
        <v>5187</v>
      </c>
      <c r="T1941" s="49"/>
      <c r="U1941" s="49"/>
      <c r="V1941" s="49"/>
      <c r="W1941" s="49"/>
      <c r="X1941" s="49" t="str">
        <f t="shared" si="3"/>
        <v>gaping,</v>
      </c>
      <c r="Y1941" s="49"/>
      <c r="Z1941" s="1" t="s">
        <v>1562</v>
      </c>
      <c r="AA1941" s="1" t="s">
        <v>4137</v>
      </c>
      <c r="AB1941" s="49"/>
      <c r="AC1941" s="49"/>
      <c r="AD1941" s="49"/>
      <c r="AE1941" s="49" t="str">
        <f>IFERROR(__xludf.DUMMYFUNCTION("""COMPUTED_VALUE"""),"afterlife")</f>
        <v>afterlife</v>
      </c>
      <c r="AF1941" s="49" t="str">
        <f t="shared" si="4"/>
        <v>overcome,</v>
      </c>
      <c r="AG1941" s="49"/>
      <c r="AH1941" s="1" t="s">
        <v>1669</v>
      </c>
      <c r="AI1941" s="1" t="s">
        <v>4933</v>
      </c>
      <c r="AJ1941" s="6" t="str">
        <f>IFERROR(__xludf.DUMMYFUNCTION("""COMPUTED_VALUE"""),"adults")</f>
        <v>adults</v>
      </c>
      <c r="AK1941" s="49"/>
      <c r="AL1941" s="49"/>
      <c r="AM1941" s="49"/>
      <c r="AN1941" s="52" t="str">
        <f t="shared" si="5"/>
        <v>heart,</v>
      </c>
    </row>
    <row r="1942">
      <c r="A1942" s="51"/>
      <c r="B1942" s="50" t="s">
        <v>6427</v>
      </c>
      <c r="C1942" s="50" t="s">
        <v>6562</v>
      </c>
      <c r="D1942" s="49" t="str">
        <f>IFERROR(__xludf.DUMMYFUNCTION("""COMPUTED_VALUE"""),"access")</f>
        <v>access</v>
      </c>
      <c r="E1942" s="49"/>
      <c r="F1942" s="49"/>
      <c r="G1942" s="49"/>
      <c r="H1942" s="54" t="str">
        <f t="shared" si="1"/>
        <v>apart,</v>
      </c>
      <c r="I1942" s="50"/>
      <c r="J1942" s="50" t="s">
        <v>5151</v>
      </c>
      <c r="K1942" s="50" t="s">
        <v>1935</v>
      </c>
      <c r="L1942" s="49"/>
      <c r="M1942" s="49"/>
      <c r="N1942" s="49"/>
      <c r="O1942" s="49" t="str">
        <f>IFERROR(__xludf.DUMMYFUNCTION("""COMPUTED_VALUE"""),"mob")</f>
        <v>mob</v>
      </c>
      <c r="P1942" s="49" t="str">
        <f t="shared" si="2"/>
        <v>feathers,</v>
      </c>
      <c r="Q1942" s="49"/>
      <c r="R1942" s="50" t="s">
        <v>4797</v>
      </c>
      <c r="S1942" s="55" t="s">
        <v>1826</v>
      </c>
      <c r="T1942" s="49"/>
      <c r="U1942" s="49"/>
      <c r="V1942" s="49"/>
      <c r="W1942" s="49"/>
      <c r="X1942" s="49" t="str">
        <f t="shared" si="3"/>
        <v>intellectuals,</v>
      </c>
      <c r="Y1942" s="49"/>
      <c r="Z1942" s="1" t="s">
        <v>3791</v>
      </c>
      <c r="AA1942" s="1" t="s">
        <v>5162</v>
      </c>
      <c r="AB1942" s="49"/>
      <c r="AC1942" s="49"/>
      <c r="AD1942" s="49"/>
      <c r="AE1942" s="49" t="str">
        <f>IFERROR(__xludf.DUMMYFUNCTION("""COMPUTED_VALUE"""),"mob")</f>
        <v>mob</v>
      </c>
      <c r="AF1942" s="49" t="str">
        <f t="shared" si="4"/>
        <v>irresistible,</v>
      </c>
      <c r="AG1942" s="49"/>
      <c r="AH1942" s="1" t="s">
        <v>2769</v>
      </c>
      <c r="AI1942" s="1" t="s">
        <v>4273</v>
      </c>
      <c r="AJ1942" s="6" t="str">
        <f>IFERROR(__xludf.DUMMYFUNCTION("""COMPUTED_VALUE"""),"notes")</f>
        <v>notes</v>
      </c>
      <c r="AK1942" s="49"/>
      <c r="AL1942" s="49"/>
      <c r="AM1942" s="49"/>
      <c r="AN1942" s="52" t="str">
        <f t="shared" si="5"/>
        <v>god,</v>
      </c>
    </row>
    <row r="1943">
      <c r="A1943" s="51"/>
      <c r="B1943" s="50" t="s">
        <v>1866</v>
      </c>
      <c r="C1943" s="50" t="s">
        <v>6608</v>
      </c>
      <c r="D1943" s="49" t="str">
        <f>IFERROR(__xludf.DUMMYFUNCTION("""COMPUTED_VALUE"""),"damn")</f>
        <v>damn</v>
      </c>
      <c r="E1943" s="49"/>
      <c r="F1943" s="49"/>
      <c r="G1943" s="49"/>
      <c r="H1943" s="54" t="str">
        <f t="shared" si="1"/>
        <v>pilot,</v>
      </c>
      <c r="I1943" s="50"/>
      <c r="J1943" s="50" t="s">
        <v>4063</v>
      </c>
      <c r="K1943" s="50" t="s">
        <v>4473</v>
      </c>
      <c r="L1943" s="49"/>
      <c r="M1943" s="49"/>
      <c r="N1943" s="49"/>
      <c r="O1943" s="49" t="str">
        <f>IFERROR(__xludf.DUMMYFUNCTION("""COMPUTED_VALUE"""),"capped")</f>
        <v>capped</v>
      </c>
      <c r="P1943" s="49" t="str">
        <f t="shared" si="2"/>
        <v>hall,</v>
      </c>
      <c r="Q1943" s="49"/>
      <c r="R1943" s="50" t="s">
        <v>1383</v>
      </c>
      <c r="S1943" s="55" t="s">
        <v>3380</v>
      </c>
      <c r="T1943" s="49"/>
      <c r="U1943" s="49"/>
      <c r="V1943" s="49"/>
      <c r="W1943" s="49"/>
      <c r="X1943" s="49" t="str">
        <f t="shared" si="3"/>
        <v>noble,</v>
      </c>
      <c r="Y1943" s="49"/>
      <c r="Z1943" s="1" t="s">
        <v>1082</v>
      </c>
      <c r="AA1943" s="1" t="s">
        <v>2324</v>
      </c>
      <c r="AB1943" s="49"/>
      <c r="AC1943" s="49"/>
      <c r="AD1943" s="49"/>
      <c r="AE1943" s="49" t="str">
        <f>IFERROR(__xludf.DUMMYFUNCTION("""COMPUTED_VALUE"""),"capped")</f>
        <v>capped</v>
      </c>
      <c r="AF1943" s="49" t="str">
        <f t="shared" si="4"/>
        <v>entirely,</v>
      </c>
      <c r="AG1943" s="49"/>
      <c r="AH1943" s="1" t="s">
        <v>4541</v>
      </c>
      <c r="AI1943" s="1" t="s">
        <v>3250</v>
      </c>
      <c r="AJ1943" s="6" t="str">
        <f>IFERROR(__xludf.DUMMYFUNCTION("""COMPUTED_VALUE"""),"victims")</f>
        <v>victims</v>
      </c>
      <c r="AK1943" s="49"/>
      <c r="AL1943" s="49"/>
      <c r="AM1943" s="49"/>
      <c r="AN1943" s="52" t="str">
        <f t="shared" si="5"/>
        <v>windows,</v>
      </c>
    </row>
    <row r="1944">
      <c r="A1944" s="51"/>
      <c r="B1944" s="50" t="s">
        <v>638</v>
      </c>
      <c r="C1944" s="50" t="s">
        <v>859</v>
      </c>
      <c r="D1944" s="49" t="str">
        <f>IFERROR(__xludf.DUMMYFUNCTION("""COMPUTED_VALUE"""),"choice")</f>
        <v>choice</v>
      </c>
      <c r="E1944" s="49"/>
      <c r="F1944" s="49"/>
      <c r="G1944" s="49"/>
      <c r="H1944" s="54" t="str">
        <f t="shared" si="1"/>
        <v>fourth,</v>
      </c>
      <c r="I1944" s="50"/>
      <c r="J1944" s="50" t="s">
        <v>501</v>
      </c>
      <c r="K1944" s="50" t="s">
        <v>3123</v>
      </c>
      <c r="L1944" s="49"/>
      <c r="M1944" s="49"/>
      <c r="N1944" s="49"/>
      <c r="O1944" s="49" t="str">
        <f>IFERROR(__xludf.DUMMYFUNCTION("""COMPUTED_VALUE"""),"fertility")</f>
        <v>fertility</v>
      </c>
      <c r="P1944" s="49" t="str">
        <f t="shared" si="2"/>
        <v>titular,</v>
      </c>
      <c r="Q1944" s="49"/>
      <c r="R1944" s="50" t="s">
        <v>4914</v>
      </c>
      <c r="S1944" s="55" t="s">
        <v>1262</v>
      </c>
      <c r="T1944" s="49"/>
      <c r="U1944" s="49"/>
      <c r="V1944" s="49"/>
      <c r="W1944" s="49"/>
      <c r="X1944" s="49" t="str">
        <f t="shared" si="3"/>
        <v>associated,</v>
      </c>
      <c r="Y1944" s="49"/>
      <c r="Z1944" s="1" t="s">
        <v>3788</v>
      </c>
      <c r="AA1944" s="1" t="s">
        <v>5164</v>
      </c>
      <c r="AB1944" s="49"/>
      <c r="AC1944" s="49"/>
      <c r="AD1944" s="49"/>
      <c r="AE1944" s="49" t="str">
        <f>IFERROR(__xludf.DUMMYFUNCTION("""COMPUTED_VALUE"""),"fertility")</f>
        <v>fertility</v>
      </c>
      <c r="AF1944" s="49" t="str">
        <f t="shared" si="4"/>
        <v>carries,</v>
      </c>
      <c r="AG1944" s="49"/>
      <c r="AH1944" s="1" t="s">
        <v>6333</v>
      </c>
      <c r="AI1944" s="1" t="s">
        <v>1098</v>
      </c>
      <c r="AJ1944" s="6" t="str">
        <f>IFERROR(__xludf.DUMMYFUNCTION("""COMPUTED_VALUE"""),"k")</f>
        <v>k</v>
      </c>
      <c r="AK1944" s="49"/>
      <c r="AL1944" s="49"/>
      <c r="AM1944" s="49"/>
      <c r="AN1944" s="52" t="str">
        <f t="shared" si="5"/>
        <v>save,</v>
      </c>
    </row>
    <row r="1945">
      <c r="A1945" s="51"/>
      <c r="B1945" s="50" t="s">
        <v>5911</v>
      </c>
      <c r="C1945" s="50" t="s">
        <v>3238</v>
      </c>
      <c r="D1945" s="49" t="str">
        <f>IFERROR(__xludf.DUMMYFUNCTION("""COMPUTED_VALUE"""),"paid")</f>
        <v>paid</v>
      </c>
      <c r="E1945" s="49"/>
      <c r="F1945" s="49"/>
      <c r="G1945" s="49"/>
      <c r="H1945" s="54" t="str">
        <f t="shared" si="1"/>
        <v>nick,</v>
      </c>
      <c r="I1945" s="50"/>
      <c r="J1945" s="50" t="s">
        <v>4011</v>
      </c>
      <c r="K1945" s="50" t="s">
        <v>1208</v>
      </c>
      <c r="L1945" s="49"/>
      <c r="M1945" s="49"/>
      <c r="N1945" s="49"/>
      <c r="O1945" s="49" t="str">
        <f>IFERROR(__xludf.DUMMYFUNCTION("""COMPUTED_VALUE"""),"mitch")</f>
        <v>mitch</v>
      </c>
      <c r="P1945" s="49" t="str">
        <f t="shared" si="2"/>
        <v>rendered,</v>
      </c>
      <c r="Q1945" s="49"/>
      <c r="R1945" s="50" t="s">
        <v>4804</v>
      </c>
      <c r="S1945" s="55" t="s">
        <v>4472</v>
      </c>
      <c r="T1945" s="49"/>
      <c r="U1945" s="49"/>
      <c r="V1945" s="49"/>
      <c r="W1945" s="49"/>
      <c r="X1945" s="49" t="str">
        <f t="shared" si="3"/>
        <v>surrounding,</v>
      </c>
      <c r="Y1945" s="49"/>
      <c r="Z1945" s="1" t="s">
        <v>6382</v>
      </c>
      <c r="AA1945" s="1" t="s">
        <v>4713</v>
      </c>
      <c r="AB1945" s="49"/>
      <c r="AC1945" s="49"/>
      <c r="AD1945" s="49"/>
      <c r="AE1945" s="49" t="str">
        <f>IFERROR(__xludf.DUMMYFUNCTION("""COMPUTED_VALUE"""),"mitch")</f>
        <v>mitch</v>
      </c>
      <c r="AF1945" s="49" t="str">
        <f t="shared" si="4"/>
        <v>caught,</v>
      </c>
      <c r="AG1945" s="49"/>
      <c r="AH1945" s="1" t="s">
        <v>2217</v>
      </c>
      <c r="AI1945" s="1" t="s">
        <v>4584</v>
      </c>
      <c r="AJ1945" s="6" t="str">
        <f>IFERROR(__xludf.DUMMYFUNCTION("""COMPUTED_VALUE"""),"river")</f>
        <v>river</v>
      </c>
      <c r="AK1945" s="49"/>
      <c r="AL1945" s="49"/>
      <c r="AM1945" s="49"/>
      <c r="AN1945" s="52" t="str">
        <f t="shared" si="5"/>
        <v>positive,</v>
      </c>
    </row>
    <row r="1946">
      <c r="A1946" s="51"/>
      <c r="B1946" s="50" t="s">
        <v>6873</v>
      </c>
      <c r="C1946" s="50" t="s">
        <v>6573</v>
      </c>
      <c r="D1946" s="49" t="str">
        <f>IFERROR(__xludf.DUMMYFUNCTION("""COMPUTED_VALUE"""),"raised")</f>
        <v>raised</v>
      </c>
      <c r="E1946" s="49"/>
      <c r="F1946" s="49"/>
      <c r="G1946" s="49"/>
      <c r="H1946" s="54" t="str">
        <f t="shared" si="1"/>
        <v>plastic,</v>
      </c>
      <c r="I1946" s="50"/>
      <c r="J1946" s="50" t="s">
        <v>2779</v>
      </c>
      <c r="K1946" s="50" t="s">
        <v>1933</v>
      </c>
      <c r="L1946" s="49"/>
      <c r="M1946" s="49"/>
      <c r="N1946" s="49"/>
      <c r="O1946" s="49" t="str">
        <f>IFERROR(__xludf.DUMMYFUNCTION("""COMPUTED_VALUE"""),"plagued")</f>
        <v>plagued</v>
      </c>
      <c r="P1946" s="49" t="str">
        <f t="shared" si="2"/>
        <v>section,</v>
      </c>
      <c r="Q1946" s="49"/>
      <c r="R1946" s="50" t="s">
        <v>2141</v>
      </c>
      <c r="S1946" s="55" t="s">
        <v>3385</v>
      </c>
      <c r="T1946" s="49"/>
      <c r="U1946" s="49"/>
      <c r="V1946" s="49"/>
      <c r="W1946" s="49"/>
      <c r="X1946" s="49" t="str">
        <f t="shared" si="3"/>
        <v>solemn,</v>
      </c>
      <c r="Y1946" s="49"/>
      <c r="Z1946" s="1" t="s">
        <v>1341</v>
      </c>
      <c r="AA1946" s="1" t="s">
        <v>1228</v>
      </c>
      <c r="AB1946" s="49"/>
      <c r="AC1946" s="49"/>
      <c r="AD1946" s="49"/>
      <c r="AE1946" s="49" t="str">
        <f>IFERROR(__xludf.DUMMYFUNCTION("""COMPUTED_VALUE"""),"plagued")</f>
        <v>plagued</v>
      </c>
      <c r="AF1946" s="49" t="str">
        <f t="shared" si="4"/>
        <v>misery,</v>
      </c>
      <c r="AG1946" s="49"/>
      <c r="AH1946" s="1" t="s">
        <v>887</v>
      </c>
      <c r="AI1946" s="1" t="s">
        <v>1520</v>
      </c>
      <c r="AJ1946" s="6" t="str">
        <f>IFERROR(__xludf.DUMMYFUNCTION("""COMPUTED_VALUE"""),"center")</f>
        <v>center</v>
      </c>
      <c r="AK1946" s="49"/>
      <c r="AL1946" s="49"/>
      <c r="AM1946" s="49"/>
      <c r="AN1946" s="52" t="str">
        <f t="shared" si="5"/>
        <v>faith,</v>
      </c>
    </row>
    <row r="1947">
      <c r="A1947" s="51"/>
      <c r="B1947" s="50" t="s">
        <v>2802</v>
      </c>
      <c r="C1947" s="50" t="s">
        <v>4328</v>
      </c>
      <c r="D1947" s="49" t="str">
        <f>IFERROR(__xludf.DUMMYFUNCTION("""COMPUTED_VALUE"""),"natural")</f>
        <v>natural</v>
      </c>
      <c r="E1947" s="49"/>
      <c r="F1947" s="49"/>
      <c r="G1947" s="49"/>
      <c r="H1947" s="54" t="str">
        <f t="shared" si="1"/>
        <v>bride,</v>
      </c>
      <c r="I1947" s="50"/>
      <c r="J1947" s="50" t="s">
        <v>655</v>
      </c>
      <c r="K1947" s="50" t="s">
        <v>3851</v>
      </c>
      <c r="L1947" s="49"/>
      <c r="M1947" s="49"/>
      <c r="N1947" s="49"/>
      <c r="O1947" s="49">
        <f>IFERROR(__xludf.DUMMYFUNCTION("""COMPUTED_VALUE"""),1987.0)</f>
        <v>1987</v>
      </c>
      <c r="P1947" s="49" t="str">
        <f t="shared" si="2"/>
        <v>capable,</v>
      </c>
      <c r="Q1947" s="49"/>
      <c r="R1947" s="50" t="s">
        <v>3279</v>
      </c>
      <c r="S1947" s="55" t="s">
        <v>3082</v>
      </c>
      <c r="T1947" s="49"/>
      <c r="U1947" s="49"/>
      <c r="V1947" s="49"/>
      <c r="W1947" s="49"/>
      <c r="X1947" s="49" t="str">
        <f t="shared" si="3"/>
        <v>ballistic,</v>
      </c>
      <c r="Y1947" s="49"/>
      <c r="Z1947" s="1" t="s">
        <v>5811</v>
      </c>
      <c r="AA1947" s="1" t="s">
        <v>5168</v>
      </c>
      <c r="AB1947" s="49"/>
      <c r="AC1947" s="49"/>
      <c r="AD1947" s="49"/>
      <c r="AE1947" s="49">
        <f>IFERROR(__xludf.DUMMYFUNCTION("""COMPUTED_VALUE"""),1987.0)</f>
        <v>1987</v>
      </c>
      <c r="AF1947" s="49" t="str">
        <f t="shared" si="4"/>
        <v>winner,</v>
      </c>
      <c r="AG1947" s="49"/>
      <c r="AH1947" s="1" t="s">
        <v>4340</v>
      </c>
      <c r="AI1947" s="1" t="s">
        <v>1175</v>
      </c>
      <c r="AJ1947" s="6" t="str">
        <f>IFERROR(__xludf.DUMMYFUNCTION("""COMPUTED_VALUE"""),"approach")</f>
        <v>approach</v>
      </c>
      <c r="AK1947" s="49"/>
      <c r="AL1947" s="49"/>
      <c r="AM1947" s="49"/>
      <c r="AN1947" s="52" t="str">
        <f t="shared" si="5"/>
        <v>shooting,</v>
      </c>
    </row>
    <row r="1948">
      <c r="A1948" s="51"/>
      <c r="B1948" s="50" t="s">
        <v>2752</v>
      </c>
      <c r="C1948" s="50" t="s">
        <v>3065</v>
      </c>
      <c r="D1948" s="49" t="str">
        <f>IFERROR(__xludf.DUMMYFUNCTION("""COMPUTED_VALUE"""),"abandoned")</f>
        <v>abandoned</v>
      </c>
      <c r="E1948" s="49"/>
      <c r="F1948" s="49"/>
      <c r="G1948" s="49"/>
      <c r="H1948" s="54" t="str">
        <f t="shared" si="1"/>
        <v>means,</v>
      </c>
      <c r="I1948" s="50"/>
      <c r="J1948" s="50" t="s">
        <v>2510</v>
      </c>
      <c r="K1948" s="50" t="s">
        <v>1212</v>
      </c>
      <c r="L1948" s="49"/>
      <c r="M1948" s="49"/>
      <c r="N1948" s="49"/>
      <c r="O1948" s="49" t="str">
        <f>IFERROR(__xludf.DUMMYFUNCTION("""COMPUTED_VALUE"""),"bytes")</f>
        <v>bytes</v>
      </c>
      <c r="P1948" s="49" t="str">
        <f t="shared" si="2"/>
        <v>sketch,</v>
      </c>
      <c r="Q1948" s="49"/>
      <c r="R1948" s="50" t="s">
        <v>1649</v>
      </c>
      <c r="S1948" s="55" t="s">
        <v>3387</v>
      </c>
      <c r="T1948" s="49"/>
      <c r="U1948" s="49"/>
      <c r="V1948" s="49"/>
      <c r="W1948" s="49"/>
      <c r="X1948" s="49" t="str">
        <f t="shared" si="3"/>
        <v>distance,</v>
      </c>
      <c r="Y1948" s="49"/>
      <c r="Z1948" s="1" t="s">
        <v>5048</v>
      </c>
      <c r="AA1948" s="1" t="s">
        <v>5169</v>
      </c>
      <c r="AB1948" s="49"/>
      <c r="AC1948" s="49"/>
      <c r="AD1948" s="49"/>
      <c r="AE1948" s="49" t="str">
        <f>IFERROR(__xludf.DUMMYFUNCTION("""COMPUTED_VALUE"""),"bytes")</f>
        <v>bytes</v>
      </c>
      <c r="AF1948" s="49" t="str">
        <f t="shared" si="4"/>
        <v>photography,</v>
      </c>
      <c r="AG1948" s="49"/>
      <c r="AH1948" s="1" t="s">
        <v>6777</v>
      </c>
      <c r="AI1948" s="1" t="s">
        <v>6597</v>
      </c>
      <c r="AJ1948" s="6" t="str">
        <f>IFERROR(__xludf.DUMMYFUNCTION("""COMPUTED_VALUE"""),"treat")</f>
        <v>treat</v>
      </c>
      <c r="AK1948" s="49"/>
      <c r="AL1948" s="49"/>
      <c r="AM1948" s="49"/>
      <c r="AN1948" s="52" t="str">
        <f t="shared" si="5"/>
        <v>bomb,</v>
      </c>
    </row>
    <row r="1949">
      <c r="A1949" s="51"/>
      <c r="B1949" s="50" t="s">
        <v>3076</v>
      </c>
      <c r="C1949" s="50" t="s">
        <v>6609</v>
      </c>
      <c r="D1949" s="49" t="str">
        <f>IFERROR(__xludf.DUMMYFUNCTION("""COMPUTED_VALUE"""),"hopes")</f>
        <v>hopes</v>
      </c>
      <c r="E1949" s="49"/>
      <c r="F1949" s="49"/>
      <c r="G1949" s="49"/>
      <c r="H1949" s="54" t="str">
        <f t="shared" si="1"/>
        <v>tongue,</v>
      </c>
      <c r="I1949" s="50"/>
      <c r="J1949" s="50" t="s">
        <v>2337</v>
      </c>
      <c r="K1949" s="50" t="s">
        <v>597</v>
      </c>
      <c r="L1949" s="49"/>
      <c r="M1949" s="49"/>
      <c r="N1949" s="49"/>
      <c r="O1949" s="49" t="str">
        <f>IFERROR(__xludf.DUMMYFUNCTION("""COMPUTED_VALUE"""),"documenting")</f>
        <v>documenting</v>
      </c>
      <c r="P1949" s="49" t="str">
        <f t="shared" si="2"/>
        <v>narrator,</v>
      </c>
      <c r="Q1949" s="49"/>
      <c r="R1949" s="50" t="s">
        <v>7484</v>
      </c>
      <c r="S1949" s="55" t="s">
        <v>3391</v>
      </c>
      <c r="T1949" s="49"/>
      <c r="U1949" s="49"/>
      <c r="V1949" s="49"/>
      <c r="W1949" s="49"/>
      <c r="X1949" s="49" t="str">
        <f t="shared" si="3"/>
        <v>mi,</v>
      </c>
      <c r="Y1949" s="49"/>
      <c r="Z1949" s="1" t="s">
        <v>1426</v>
      </c>
      <c r="AA1949" s="1" t="s">
        <v>1234</v>
      </c>
      <c r="AB1949" s="49"/>
      <c r="AC1949" s="49"/>
      <c r="AD1949" s="49"/>
      <c r="AE1949" s="49" t="str">
        <f>IFERROR(__xludf.DUMMYFUNCTION("""COMPUTED_VALUE"""),"documenting")</f>
        <v>documenting</v>
      </c>
      <c r="AF1949" s="49" t="str">
        <f t="shared" si="4"/>
        <v>demonstrating,</v>
      </c>
      <c r="AG1949" s="49"/>
      <c r="AH1949" s="1" t="s">
        <v>3544</v>
      </c>
      <c r="AI1949" s="1" t="s">
        <v>1576</v>
      </c>
      <c r="AJ1949" s="6" t="str">
        <f>IFERROR(__xludf.DUMMYFUNCTION("""COMPUTED_VALUE"""),"song")</f>
        <v>song</v>
      </c>
      <c r="AK1949" s="49"/>
      <c r="AL1949" s="49"/>
      <c r="AM1949" s="49"/>
      <c r="AN1949" s="52" t="str">
        <f t="shared" si="5"/>
        <v>arnold,</v>
      </c>
    </row>
    <row r="1950">
      <c r="A1950" s="51"/>
      <c r="B1950" s="50" t="s">
        <v>3484</v>
      </c>
      <c r="C1950" s="50" t="s">
        <v>4734</v>
      </c>
      <c r="D1950" s="49" t="str">
        <f>IFERROR(__xludf.DUMMYFUNCTION("""COMPUTED_VALUE"""),"finale")</f>
        <v>finale</v>
      </c>
      <c r="E1950" s="49"/>
      <c r="F1950" s="49"/>
      <c r="G1950" s="49"/>
      <c r="H1950" s="54" t="str">
        <f t="shared" si="1"/>
        <v>wet,</v>
      </c>
      <c r="I1950" s="50"/>
      <c r="J1950" s="50" t="s">
        <v>2214</v>
      </c>
      <c r="K1950" s="50" t="s">
        <v>5172</v>
      </c>
      <c r="L1950" s="49"/>
      <c r="M1950" s="49"/>
      <c r="N1950" s="49"/>
      <c r="O1950" s="49" t="str">
        <f>IFERROR(__xludf.DUMMYFUNCTION("""COMPUTED_VALUE"""),"andrei")</f>
        <v>andrei</v>
      </c>
      <c r="P1950" s="49" t="str">
        <f t="shared" si="2"/>
        <v>sum,</v>
      </c>
      <c r="Q1950" s="49"/>
      <c r="R1950" s="50" t="s">
        <v>4575</v>
      </c>
      <c r="S1950" s="55" t="s">
        <v>3393</v>
      </c>
      <c r="T1950" s="49"/>
      <c r="U1950" s="49"/>
      <c r="V1950" s="49"/>
      <c r="W1950" s="49"/>
      <c r="X1950" s="49" t="str">
        <f t="shared" si="3"/>
        <v>cheer,</v>
      </c>
      <c r="Y1950" s="49"/>
      <c r="Z1950" s="1" t="s">
        <v>6744</v>
      </c>
      <c r="AA1950" s="1" t="s">
        <v>5171</v>
      </c>
      <c r="AB1950" s="49"/>
      <c r="AC1950" s="49"/>
      <c r="AD1950" s="49"/>
      <c r="AE1950" s="49" t="str">
        <f>IFERROR(__xludf.DUMMYFUNCTION("""COMPUTED_VALUE"""),"andrei")</f>
        <v>andrei</v>
      </c>
      <c r="AF1950" s="49" t="str">
        <f t="shared" si="4"/>
        <v>fail,</v>
      </c>
      <c r="AG1950" s="49"/>
      <c r="AH1950" s="1">
        <v>1999.0</v>
      </c>
      <c r="AI1950" s="1" t="s">
        <v>5139</v>
      </c>
      <c r="AJ1950" s="6" t="str">
        <f>IFERROR(__xludf.DUMMYFUNCTION("""COMPUTED_VALUE"""),"perform")</f>
        <v>perform</v>
      </c>
      <c r="AK1950" s="49"/>
      <c r="AL1950" s="49"/>
      <c r="AM1950" s="49"/>
      <c r="AN1950" s="52" t="str">
        <f t="shared" si="5"/>
        <v>1999,</v>
      </c>
    </row>
    <row r="1951">
      <c r="A1951" s="51"/>
      <c r="B1951" s="50" t="s">
        <v>5742</v>
      </c>
      <c r="C1951" s="50" t="s">
        <v>2836</v>
      </c>
      <c r="D1951" s="49">
        <f>IFERROR(__xludf.DUMMYFUNCTION("""COMPUTED_VALUE"""),101.0)</f>
        <v>101</v>
      </c>
      <c r="E1951" s="49"/>
      <c r="F1951" s="49"/>
      <c r="G1951" s="49"/>
      <c r="H1951" s="54" t="str">
        <f t="shared" si="1"/>
        <v>cheek,</v>
      </c>
      <c r="I1951" s="50"/>
      <c r="J1951" s="50" t="s">
        <v>1173</v>
      </c>
      <c r="K1951" s="50" t="s">
        <v>475</v>
      </c>
      <c r="L1951" s="49"/>
      <c r="M1951" s="49"/>
      <c r="N1951" s="49"/>
      <c r="O1951" s="49" t="str">
        <f>IFERROR(__xludf.DUMMYFUNCTION("""COMPUTED_VALUE"""),"ventures")</f>
        <v>ventures</v>
      </c>
      <c r="P1951" s="49" t="str">
        <f t="shared" si="2"/>
        <v>paxton,</v>
      </c>
      <c r="Q1951" s="49"/>
      <c r="R1951" s="50" t="s">
        <v>6748</v>
      </c>
      <c r="S1951" s="55" t="s">
        <v>2238</v>
      </c>
      <c r="T1951" s="49"/>
      <c r="U1951" s="49"/>
      <c r="V1951" s="49"/>
      <c r="W1951" s="49"/>
      <c r="X1951" s="49" t="str">
        <f t="shared" si="3"/>
        <v>racing,</v>
      </c>
      <c r="Y1951" s="49"/>
      <c r="Z1951" s="1" t="s">
        <v>4873</v>
      </c>
      <c r="AA1951" s="1" t="s">
        <v>1240</v>
      </c>
      <c r="AB1951" s="49"/>
      <c r="AC1951" s="49"/>
      <c r="AD1951" s="49"/>
      <c r="AE1951" s="49" t="str">
        <f>IFERROR(__xludf.DUMMYFUNCTION("""COMPUTED_VALUE"""),"ventures")</f>
        <v>ventures</v>
      </c>
      <c r="AF1951" s="49" t="str">
        <f t="shared" si="4"/>
        <v>benefit,</v>
      </c>
      <c r="AG1951" s="49"/>
      <c r="AH1951" s="1" t="s">
        <v>6674</v>
      </c>
      <c r="AI1951" s="1" t="s">
        <v>947</v>
      </c>
      <c r="AJ1951" s="6" t="str">
        <f>IFERROR(__xludf.DUMMYFUNCTION("""COMPUTED_VALUE"""),"develop")</f>
        <v>develop</v>
      </c>
      <c r="AK1951" s="49"/>
      <c r="AL1951" s="49"/>
      <c r="AM1951" s="49"/>
      <c r="AN1951" s="52" t="str">
        <f t="shared" si="5"/>
        <v>volume,</v>
      </c>
    </row>
    <row r="1952">
      <c r="A1952" s="51"/>
      <c r="B1952" s="50" t="s">
        <v>3273</v>
      </c>
      <c r="C1952" s="50" t="s">
        <v>4238</v>
      </c>
      <c r="D1952" s="49" t="str">
        <f>IFERROR(__xludf.DUMMYFUNCTION("""COMPUTED_VALUE"""),"eating")</f>
        <v>eating</v>
      </c>
      <c r="E1952" s="49"/>
      <c r="F1952" s="49"/>
      <c r="G1952" s="49"/>
      <c r="H1952" s="54" t="str">
        <f t="shared" si="1"/>
        <v>rolling,</v>
      </c>
      <c r="I1952" s="50"/>
      <c r="J1952" s="50" t="s">
        <v>5099</v>
      </c>
      <c r="K1952" s="50" t="s">
        <v>3555</v>
      </c>
      <c r="L1952" s="49"/>
      <c r="M1952" s="49"/>
      <c r="N1952" s="49"/>
      <c r="O1952" s="49" t="str">
        <f>IFERROR(__xludf.DUMMYFUNCTION("""COMPUTED_VALUE"""),"commune")</f>
        <v>commune</v>
      </c>
      <c r="P1952" s="49" t="str">
        <f t="shared" si="2"/>
        <v>finale,</v>
      </c>
      <c r="Q1952" s="49"/>
      <c r="R1952" s="50" t="s">
        <v>5000</v>
      </c>
      <c r="S1952" s="55" t="s">
        <v>3039</v>
      </c>
      <c r="T1952" s="49"/>
      <c r="U1952" s="49"/>
      <c r="V1952" s="49"/>
      <c r="W1952" s="49"/>
      <c r="X1952" s="49" t="str">
        <f t="shared" si="3"/>
        <v>mexican,</v>
      </c>
      <c r="Y1952" s="49"/>
      <c r="Z1952" s="1" t="s">
        <v>1718</v>
      </c>
      <c r="AA1952" s="1" t="s">
        <v>3528</v>
      </c>
      <c r="AB1952" s="49"/>
      <c r="AC1952" s="49"/>
      <c r="AD1952" s="49"/>
      <c r="AE1952" s="49" t="str">
        <f>IFERROR(__xludf.DUMMYFUNCTION("""COMPUTED_VALUE"""),"commune")</f>
        <v>commune</v>
      </c>
      <c r="AF1952" s="49" t="str">
        <f t="shared" si="4"/>
        <v>insult,</v>
      </c>
      <c r="AG1952" s="49"/>
      <c r="AH1952" s="1" t="s">
        <v>1982</v>
      </c>
      <c r="AI1952" s="1" t="s">
        <v>2983</v>
      </c>
      <c r="AJ1952" s="6" t="str">
        <f>IFERROR(__xludf.DUMMYFUNCTION("""COMPUTED_VALUE"""),"intense")</f>
        <v>intense</v>
      </c>
      <c r="AK1952" s="49"/>
      <c r="AL1952" s="49"/>
      <c r="AM1952" s="49"/>
      <c r="AN1952" s="52" t="str">
        <f t="shared" si="5"/>
        <v>buy,</v>
      </c>
    </row>
    <row r="1953">
      <c r="A1953" s="51"/>
      <c r="B1953" s="50" t="s">
        <v>4559</v>
      </c>
      <c r="C1953" s="50" t="s">
        <v>6564</v>
      </c>
      <c r="D1953" s="49" t="str">
        <f>IFERROR(__xludf.DUMMYFUNCTION("""COMPUTED_VALUE"""),"candy")</f>
        <v>candy</v>
      </c>
      <c r="E1953" s="49"/>
      <c r="F1953" s="49"/>
      <c r="G1953" s="49"/>
      <c r="H1953" s="54" t="str">
        <f t="shared" si="1"/>
        <v>robinson,</v>
      </c>
      <c r="I1953" s="50"/>
      <c r="J1953" s="50" t="s">
        <v>4109</v>
      </c>
      <c r="K1953" s="50" t="s">
        <v>5176</v>
      </c>
      <c r="L1953" s="49"/>
      <c r="M1953" s="49"/>
      <c r="N1953" s="49"/>
      <c r="O1953" s="49" t="str">
        <f>IFERROR(__xludf.DUMMYFUNCTION("""COMPUTED_VALUE"""),"fragile")</f>
        <v>fragile</v>
      </c>
      <c r="P1953" s="49" t="str">
        <f t="shared" si="2"/>
        <v>w,</v>
      </c>
      <c r="Q1953" s="49"/>
      <c r="R1953" s="50" t="s">
        <v>6016</v>
      </c>
      <c r="S1953" s="55" t="s">
        <v>1658</v>
      </c>
      <c r="T1953" s="49"/>
      <c r="U1953" s="49"/>
      <c r="V1953" s="49"/>
      <c r="W1953" s="49"/>
      <c r="X1953" s="49" t="str">
        <f t="shared" si="3"/>
        <v>rewarded,</v>
      </c>
      <c r="Y1953" s="49"/>
      <c r="Z1953" s="1" t="s">
        <v>5756</v>
      </c>
      <c r="AA1953" s="1" t="s">
        <v>4411</v>
      </c>
      <c r="AB1953" s="49"/>
      <c r="AC1953" s="49"/>
      <c r="AD1953" s="49"/>
      <c r="AE1953" s="49" t="str">
        <f>IFERROR(__xludf.DUMMYFUNCTION("""COMPUTED_VALUE"""),"fragile")</f>
        <v>fragile</v>
      </c>
      <c r="AF1953" s="49" t="str">
        <f t="shared" si="4"/>
        <v>swallow,</v>
      </c>
      <c r="AG1953" s="49"/>
      <c r="AH1953" s="1" t="s">
        <v>6541</v>
      </c>
      <c r="AI1953" s="1" t="s">
        <v>3397</v>
      </c>
      <c r="AJ1953" s="6" t="str">
        <f>IFERROR(__xludf.DUMMYFUNCTION("""COMPUTED_VALUE"""),"stewart")</f>
        <v>stewart</v>
      </c>
      <c r="AK1953" s="49"/>
      <c r="AL1953" s="49"/>
      <c r="AM1953" s="49"/>
      <c r="AN1953" s="52" t="str">
        <f t="shared" si="5"/>
        <v>demand,</v>
      </c>
    </row>
    <row r="1954">
      <c r="A1954" s="51"/>
      <c r="B1954" s="50" t="s">
        <v>294</v>
      </c>
      <c r="C1954" s="50" t="s">
        <v>4205</v>
      </c>
      <c r="D1954" s="49" t="str">
        <f>IFERROR(__xludf.DUMMYFUNCTION("""COMPUTED_VALUE"""),"corn")</f>
        <v>corn</v>
      </c>
      <c r="E1954" s="49"/>
      <c r="F1954" s="49"/>
      <c r="G1954" s="49"/>
      <c r="H1954" s="54" t="str">
        <f t="shared" si="1"/>
        <v>friendship,</v>
      </c>
      <c r="I1954" s="50"/>
      <c r="J1954" s="50" t="s">
        <v>3306</v>
      </c>
      <c r="K1954" s="50" t="s">
        <v>3558</v>
      </c>
      <c r="L1954" s="49"/>
      <c r="M1954" s="49"/>
      <c r="N1954" s="49"/>
      <c r="O1954" s="49" t="str">
        <f>IFERROR(__xludf.DUMMYFUNCTION("""COMPUTED_VALUE"""),"chop")</f>
        <v>chop</v>
      </c>
      <c r="P1954" s="49" t="str">
        <f t="shared" si="2"/>
        <v>jagger,</v>
      </c>
      <c r="Q1954" s="49"/>
      <c r="R1954" s="50" t="s">
        <v>2048</v>
      </c>
      <c r="S1954" s="55" t="s">
        <v>5248</v>
      </c>
      <c r="T1954" s="49"/>
      <c r="U1954" s="49"/>
      <c r="V1954" s="49"/>
      <c r="W1954" s="49"/>
      <c r="X1954" s="49" t="str">
        <f t="shared" si="3"/>
        <v>draws,</v>
      </c>
      <c r="Y1954" s="49"/>
      <c r="Z1954" s="1" t="s">
        <v>2357</v>
      </c>
      <c r="AA1954" s="1" t="s">
        <v>5177</v>
      </c>
      <c r="AB1954" s="49"/>
      <c r="AC1954" s="49"/>
      <c r="AD1954" s="49"/>
      <c r="AE1954" s="49" t="str">
        <f>IFERROR(__xludf.DUMMYFUNCTION("""COMPUTED_VALUE"""),"chop")</f>
        <v>chop</v>
      </c>
      <c r="AF1954" s="49" t="str">
        <f t="shared" si="4"/>
        <v>timeless,</v>
      </c>
      <c r="AG1954" s="49"/>
      <c r="AH1954" s="1" t="s">
        <v>4286</v>
      </c>
      <c r="AI1954" s="1" t="s">
        <v>6610</v>
      </c>
      <c r="AJ1954" s="6" t="str">
        <f>IFERROR(__xludf.DUMMYFUNCTION("""COMPUTED_VALUE"""),"bid")</f>
        <v>bid</v>
      </c>
      <c r="AK1954" s="49"/>
      <c r="AL1954" s="49"/>
      <c r="AM1954" s="49"/>
      <c r="AN1954" s="52" t="str">
        <f t="shared" si="5"/>
        <v>businesses,</v>
      </c>
    </row>
    <row r="1955">
      <c r="A1955" s="51"/>
      <c r="B1955" s="50" t="s">
        <v>3234</v>
      </c>
      <c r="C1955" s="50" t="s">
        <v>6574</v>
      </c>
      <c r="D1955" s="49" t="str">
        <f>IFERROR(__xludf.DUMMYFUNCTION("""COMPUTED_VALUE"""),"parents")</f>
        <v>parents</v>
      </c>
      <c r="E1955" s="49"/>
      <c r="F1955" s="49"/>
      <c r="G1955" s="49"/>
      <c r="H1955" s="54" t="str">
        <f t="shared" si="1"/>
        <v>stopped,</v>
      </c>
      <c r="I1955" s="50"/>
      <c r="J1955" s="50" t="s">
        <v>3836</v>
      </c>
      <c r="K1955" s="50" t="s">
        <v>977</v>
      </c>
      <c r="L1955" s="49"/>
      <c r="M1955" s="49"/>
      <c r="N1955" s="49"/>
      <c r="O1955" s="49" t="str">
        <f>IFERROR(__xludf.DUMMYFUNCTION("""COMPUTED_VALUE"""),"teaming")</f>
        <v>teaming</v>
      </c>
      <c r="P1955" s="49" t="str">
        <f t="shared" si="2"/>
        <v>normally,</v>
      </c>
      <c r="Q1955" s="49"/>
      <c r="R1955" s="50" t="s">
        <v>1433</v>
      </c>
      <c r="S1955" s="55" t="s">
        <v>1835</v>
      </c>
      <c r="T1955" s="49"/>
      <c r="U1955" s="49"/>
      <c r="V1955" s="49"/>
      <c r="W1955" s="49"/>
      <c r="X1955" s="49" t="str">
        <f t="shared" si="3"/>
        <v>holocaust,</v>
      </c>
      <c r="Y1955" s="49"/>
      <c r="Z1955" s="1" t="s">
        <v>456</v>
      </c>
      <c r="AA1955" s="1" t="s">
        <v>4149</v>
      </c>
      <c r="AB1955" s="49"/>
      <c r="AC1955" s="49"/>
      <c r="AD1955" s="49"/>
      <c r="AE1955" s="49" t="str">
        <f>IFERROR(__xludf.DUMMYFUNCTION("""COMPUTED_VALUE"""),"teaming")</f>
        <v>teaming</v>
      </c>
      <c r="AF1955" s="49" t="str">
        <f t="shared" si="4"/>
        <v>literary,</v>
      </c>
      <c r="AG1955" s="49"/>
      <c r="AH1955" s="1" t="s">
        <v>5174</v>
      </c>
      <c r="AI1955" s="1" t="s">
        <v>6611</v>
      </c>
      <c r="AJ1955" s="6" t="str">
        <f>IFERROR(__xludf.DUMMYFUNCTION("""COMPUTED_VALUE"""),"breaks")</f>
        <v>breaks</v>
      </c>
      <c r="AK1955" s="49"/>
      <c r="AL1955" s="49"/>
      <c r="AM1955" s="49"/>
      <c r="AN1955" s="52" t="str">
        <f t="shared" si="5"/>
        <v>survive,</v>
      </c>
    </row>
    <row r="1956">
      <c r="A1956" s="51"/>
      <c r="B1956" s="50" t="s">
        <v>1035</v>
      </c>
      <c r="C1956" s="50" t="s">
        <v>2844</v>
      </c>
      <c r="D1956" s="49" t="str">
        <f>IFERROR(__xludf.DUMMYFUNCTION("""COMPUTED_VALUE"""),"settle")</f>
        <v>settle</v>
      </c>
      <c r="E1956" s="49"/>
      <c r="F1956" s="49"/>
      <c r="G1956" s="49"/>
      <c r="H1956" s="54" t="str">
        <f t="shared" si="1"/>
        <v>recording,</v>
      </c>
      <c r="I1956" s="50"/>
      <c r="J1956" s="50" t="s">
        <v>6581</v>
      </c>
      <c r="K1956" s="50" t="s">
        <v>3137</v>
      </c>
      <c r="L1956" s="49"/>
      <c r="M1956" s="49"/>
      <c r="N1956" s="49"/>
      <c r="O1956" s="49" t="str">
        <f>IFERROR(__xludf.DUMMYFUNCTION("""COMPUTED_VALUE"""),"casualties")</f>
        <v>casualties</v>
      </c>
      <c r="P1956" s="49" t="str">
        <f t="shared" si="2"/>
        <v>paid,</v>
      </c>
      <c r="Q1956" s="49"/>
      <c r="R1956" s="50" t="s">
        <v>5546</v>
      </c>
      <c r="S1956" s="55" t="s">
        <v>1841</v>
      </c>
      <c r="T1956" s="49"/>
      <c r="U1956" s="49"/>
      <c r="V1956" s="49"/>
      <c r="W1956" s="49"/>
      <c r="X1956" s="49" t="str">
        <f t="shared" si="3"/>
        <v>topics,</v>
      </c>
      <c r="Y1956" s="49"/>
      <c r="Z1956" s="1" t="s">
        <v>548</v>
      </c>
      <c r="AA1956" s="1" t="s">
        <v>5179</v>
      </c>
      <c r="AB1956" s="49"/>
      <c r="AC1956" s="49"/>
      <c r="AD1956" s="49"/>
      <c r="AE1956" s="49" t="str">
        <f>IFERROR(__xludf.DUMMYFUNCTION("""COMPUTED_VALUE"""),"casualties")</f>
        <v>casualties</v>
      </c>
      <c r="AF1956" s="49" t="str">
        <f t="shared" si="4"/>
        <v>south,</v>
      </c>
      <c r="AG1956" s="49"/>
      <c r="AH1956" s="1" t="s">
        <v>5558</v>
      </c>
      <c r="AI1956" s="1" t="s">
        <v>3830</v>
      </c>
      <c r="AJ1956" s="6">
        <f>IFERROR(__xludf.DUMMYFUNCTION("""COMPUTED_VALUE"""),9.0)</f>
        <v>9</v>
      </c>
      <c r="AK1956" s="49"/>
      <c r="AL1956" s="49"/>
      <c r="AM1956" s="49"/>
      <c r="AN1956" s="52" t="str">
        <f t="shared" si="5"/>
        <v>adams,</v>
      </c>
    </row>
    <row r="1957">
      <c r="A1957" s="51"/>
      <c r="B1957" s="50" t="s">
        <v>4289</v>
      </c>
      <c r="C1957" s="50" t="s">
        <v>2477</v>
      </c>
      <c r="D1957" s="49" t="str">
        <f>IFERROR(__xludf.DUMMYFUNCTION("""COMPUTED_VALUE"""),"blood")</f>
        <v>blood</v>
      </c>
      <c r="E1957" s="49"/>
      <c r="F1957" s="49"/>
      <c r="G1957" s="49"/>
      <c r="H1957" s="54" t="str">
        <f t="shared" si="1"/>
        <v>print,</v>
      </c>
      <c r="I1957" s="50"/>
      <c r="J1957" s="50" t="s">
        <v>1286</v>
      </c>
      <c r="K1957" s="50" t="s">
        <v>3841</v>
      </c>
      <c r="L1957" s="49"/>
      <c r="M1957" s="49"/>
      <c r="N1957" s="49"/>
      <c r="O1957" s="49" t="str">
        <f>IFERROR(__xludf.DUMMYFUNCTION("""COMPUTED_VALUE"""),"engulfed")</f>
        <v>engulfed</v>
      </c>
      <c r="P1957" s="49" t="str">
        <f t="shared" si="2"/>
        <v>zhang,</v>
      </c>
      <c r="Q1957" s="49"/>
      <c r="R1957" s="50" t="s">
        <v>3547</v>
      </c>
      <c r="S1957" s="55" t="s">
        <v>6612</v>
      </c>
      <c r="T1957" s="49"/>
      <c r="U1957" s="49"/>
      <c r="V1957" s="49"/>
      <c r="W1957" s="49"/>
      <c r="X1957" s="49" t="str">
        <f t="shared" si="3"/>
        <v>combat,</v>
      </c>
      <c r="Y1957" s="49"/>
      <c r="Z1957" s="1" t="s">
        <v>1050</v>
      </c>
      <c r="AA1957" s="1" t="s">
        <v>3359</v>
      </c>
      <c r="AB1957" s="49"/>
      <c r="AC1957" s="49"/>
      <c r="AD1957" s="49"/>
      <c r="AE1957" s="49" t="str">
        <f>IFERROR(__xludf.DUMMYFUNCTION("""COMPUTED_VALUE"""),"engulfed")</f>
        <v>engulfed</v>
      </c>
      <c r="AF1957" s="49" t="str">
        <f t="shared" si="4"/>
        <v>park,</v>
      </c>
      <c r="AG1957" s="49"/>
      <c r="AH1957" s="1" t="s">
        <v>4312</v>
      </c>
      <c r="AI1957" s="1" t="s">
        <v>3168</v>
      </c>
      <c r="AJ1957" s="6" t="str">
        <f>IFERROR(__xludf.DUMMYFUNCTION("""COMPUTED_VALUE"""),"level")</f>
        <v>level</v>
      </c>
      <c r="AK1957" s="49"/>
      <c r="AL1957" s="49"/>
      <c r="AM1957" s="49"/>
      <c r="AN1957" s="52" t="str">
        <f t="shared" si="5"/>
        <v>rise,</v>
      </c>
    </row>
    <row r="1958">
      <c r="A1958" s="51"/>
      <c r="B1958" s="50" t="s">
        <v>5885</v>
      </c>
      <c r="C1958" s="50" t="s">
        <v>4741</v>
      </c>
      <c r="D1958" s="49" t="str">
        <f>IFERROR(__xludf.DUMMYFUNCTION("""COMPUTED_VALUE"""),"reflect")</f>
        <v>reflect</v>
      </c>
      <c r="E1958" s="49"/>
      <c r="F1958" s="49"/>
      <c r="G1958" s="49"/>
      <c r="H1958" s="54" t="str">
        <f t="shared" si="1"/>
        <v>ram,</v>
      </c>
      <c r="I1958" s="50"/>
      <c r="J1958" s="50" t="s">
        <v>6030</v>
      </c>
      <c r="K1958" s="50" t="s">
        <v>4606</v>
      </c>
      <c r="L1958" s="49"/>
      <c r="M1958" s="49"/>
      <c r="N1958" s="49"/>
      <c r="O1958" s="49" t="str">
        <f>IFERROR(__xludf.DUMMYFUNCTION("""COMPUTED_VALUE"""),"expansion")</f>
        <v>expansion</v>
      </c>
      <c r="P1958" s="49" t="str">
        <f t="shared" si="2"/>
        <v>noticeable,</v>
      </c>
      <c r="Q1958" s="49"/>
      <c r="R1958" s="50" t="s">
        <v>7485</v>
      </c>
      <c r="S1958" s="55" t="s">
        <v>6613</v>
      </c>
      <c r="T1958" s="49"/>
      <c r="U1958" s="49"/>
      <c r="V1958" s="49"/>
      <c r="W1958" s="49"/>
      <c r="X1958" s="49" t="str">
        <f t="shared" si="3"/>
        <v>correct,</v>
      </c>
      <c r="Y1958" s="49"/>
      <c r="Z1958" s="1" t="s">
        <v>2957</v>
      </c>
      <c r="AA1958" s="1" t="s">
        <v>2334</v>
      </c>
      <c r="AB1958" s="49"/>
      <c r="AC1958" s="49"/>
      <c r="AD1958" s="49"/>
      <c r="AE1958" s="49" t="str">
        <f>IFERROR(__xludf.DUMMYFUNCTION("""COMPUTED_VALUE"""),"expansion")</f>
        <v>expansion</v>
      </c>
      <c r="AF1958" s="49" t="str">
        <f t="shared" si="4"/>
        <v>nonsense,</v>
      </c>
      <c r="AG1958" s="49"/>
      <c r="AH1958" s="1" t="s">
        <v>2202</v>
      </c>
      <c r="AI1958" s="1" t="s">
        <v>1699</v>
      </c>
      <c r="AJ1958" s="6" t="str">
        <f>IFERROR(__xludf.DUMMYFUNCTION("""COMPUTED_VALUE"""),"separate")</f>
        <v>separate</v>
      </c>
      <c r="AK1958" s="49"/>
      <c r="AL1958" s="49"/>
      <c r="AM1958" s="49"/>
      <c r="AN1958" s="52" t="str">
        <f t="shared" si="5"/>
        <v>americans,</v>
      </c>
    </row>
    <row r="1959">
      <c r="A1959" s="51"/>
      <c r="B1959" s="50" t="s">
        <v>2450</v>
      </c>
      <c r="C1959" s="50" t="s">
        <v>1597</v>
      </c>
      <c r="D1959" s="49" t="str">
        <f>IFERROR(__xludf.DUMMYFUNCTION("""COMPUTED_VALUE"""),"journalism")</f>
        <v>journalism</v>
      </c>
      <c r="E1959" s="49"/>
      <c r="F1959" s="49"/>
      <c r="G1959" s="49"/>
      <c r="H1959" s="54" t="str">
        <f t="shared" si="1"/>
        <v>dish,</v>
      </c>
      <c r="I1959" s="50"/>
      <c r="J1959" s="50" t="s">
        <v>4651</v>
      </c>
      <c r="K1959" s="50" t="s">
        <v>1225</v>
      </c>
      <c r="L1959" s="49"/>
      <c r="M1959" s="49"/>
      <c r="N1959" s="49"/>
      <c r="O1959" s="49" t="str">
        <f>IFERROR(__xludf.DUMMYFUNCTION("""COMPUTED_VALUE"""),"traces")</f>
        <v>traces</v>
      </c>
      <c r="P1959" s="49" t="str">
        <f t="shared" si="2"/>
        <v>properly,</v>
      </c>
      <c r="Q1959" s="49"/>
      <c r="R1959" s="50" t="s">
        <v>4841</v>
      </c>
      <c r="S1959" s="55" t="s">
        <v>3403</v>
      </c>
      <c r="T1959" s="49"/>
      <c r="U1959" s="49"/>
      <c r="V1959" s="49"/>
      <c r="W1959" s="49"/>
      <c r="X1959" s="49" t="str">
        <f t="shared" si="3"/>
        <v>invest,</v>
      </c>
      <c r="Y1959" s="49"/>
      <c r="Z1959" s="1" t="s">
        <v>209</v>
      </c>
      <c r="AA1959" s="1" t="s">
        <v>1251</v>
      </c>
      <c r="AB1959" s="49"/>
      <c r="AC1959" s="49"/>
      <c r="AD1959" s="49"/>
      <c r="AE1959" s="49" t="str">
        <f>IFERROR(__xludf.DUMMYFUNCTION("""COMPUTED_VALUE"""),"traces")</f>
        <v>traces</v>
      </c>
      <c r="AF1959" s="49" t="str">
        <f t="shared" si="4"/>
        <v>masterpiece,</v>
      </c>
      <c r="AG1959" s="49"/>
      <c r="AH1959" s="1" t="s">
        <v>2165</v>
      </c>
      <c r="AI1959" s="1" t="s">
        <v>6614</v>
      </c>
      <c r="AJ1959" s="6" t="str">
        <f>IFERROR(__xludf.DUMMYFUNCTION("""COMPUTED_VALUE"""),"parallel")</f>
        <v>parallel</v>
      </c>
      <c r="AK1959" s="49"/>
      <c r="AL1959" s="49"/>
      <c r="AM1959" s="49"/>
      <c r="AN1959" s="52" t="str">
        <f t="shared" si="5"/>
        <v>edited,</v>
      </c>
    </row>
    <row r="1960">
      <c r="A1960" s="51"/>
      <c r="B1960" s="50" t="s">
        <v>4788</v>
      </c>
      <c r="C1960" s="50" t="s">
        <v>1666</v>
      </c>
      <c r="D1960" s="49" t="str">
        <f>IFERROR(__xludf.DUMMYFUNCTION("""COMPUTED_VALUE"""),"threat")</f>
        <v>threat</v>
      </c>
      <c r="E1960" s="49"/>
      <c r="F1960" s="49"/>
      <c r="G1960" s="49"/>
      <c r="H1960" s="54" t="str">
        <f t="shared" si="1"/>
        <v>cross,</v>
      </c>
      <c r="I1960" s="50"/>
      <c r="J1960" s="50" t="s">
        <v>3973</v>
      </c>
      <c r="K1960" s="50" t="s">
        <v>3564</v>
      </c>
      <c r="L1960" s="49"/>
      <c r="M1960" s="49"/>
      <c r="N1960" s="49"/>
      <c r="O1960" s="49" t="str">
        <f>IFERROR(__xludf.DUMMYFUNCTION("""COMPUTED_VALUE"""),"guarded")</f>
        <v>guarded</v>
      </c>
      <c r="P1960" s="49" t="str">
        <f t="shared" si="2"/>
        <v>tendency,</v>
      </c>
      <c r="Q1960" s="49"/>
      <c r="R1960" s="50" t="s">
        <v>3492</v>
      </c>
      <c r="S1960" s="55" t="s">
        <v>3406</v>
      </c>
      <c r="T1960" s="49"/>
      <c r="U1960" s="49"/>
      <c r="V1960" s="49"/>
      <c r="W1960" s="49"/>
      <c r="X1960" s="49" t="str">
        <f t="shared" si="3"/>
        <v>cry,</v>
      </c>
      <c r="Y1960" s="49"/>
      <c r="Z1960" s="1" t="s">
        <v>921</v>
      </c>
      <c r="AA1960" s="1" t="s">
        <v>5181</v>
      </c>
      <c r="AB1960" s="49"/>
      <c r="AC1960" s="49"/>
      <c r="AD1960" s="49"/>
      <c r="AE1960" s="49" t="str">
        <f>IFERROR(__xludf.DUMMYFUNCTION("""COMPUTED_VALUE"""),"guarded")</f>
        <v>guarded</v>
      </c>
      <c r="AF1960" s="49" t="str">
        <f t="shared" si="4"/>
        <v>creates,</v>
      </c>
      <c r="AG1960" s="49"/>
      <c r="AH1960" s="1" t="s">
        <v>6771</v>
      </c>
      <c r="AI1960" s="1" t="s">
        <v>3298</v>
      </c>
      <c r="AJ1960" s="6" t="str">
        <f>IFERROR(__xludf.DUMMYFUNCTION("""COMPUTED_VALUE"""),"eve")</f>
        <v>eve</v>
      </c>
      <c r="AK1960" s="49"/>
      <c r="AL1960" s="49"/>
      <c r="AM1960" s="49"/>
      <c r="AN1960" s="52" t="str">
        <f t="shared" si="5"/>
        <v>occasion,</v>
      </c>
    </row>
    <row r="1961">
      <c r="A1961" s="51"/>
      <c r="B1961" s="50" t="s">
        <v>7344</v>
      </c>
      <c r="C1961" s="50" t="s">
        <v>4209</v>
      </c>
      <c r="D1961" s="49" t="str">
        <f>IFERROR(__xludf.DUMMYFUNCTION("""COMPUTED_VALUE"""),"rope")</f>
        <v>rope</v>
      </c>
      <c r="E1961" s="49"/>
      <c r="F1961" s="49"/>
      <c r="G1961" s="49"/>
      <c r="H1961" s="54" t="str">
        <f t="shared" si="1"/>
        <v>fifteen,</v>
      </c>
      <c r="I1961" s="50"/>
      <c r="J1961" s="50" t="s">
        <v>533</v>
      </c>
      <c r="K1961" s="50" t="s">
        <v>3566</v>
      </c>
      <c r="L1961" s="49"/>
      <c r="M1961" s="49"/>
      <c r="N1961" s="49"/>
      <c r="O1961" s="49" t="str">
        <f>IFERROR(__xludf.DUMMYFUNCTION("""COMPUTED_VALUE"""),"spells")</f>
        <v>spells</v>
      </c>
      <c r="P1961" s="49" t="str">
        <f t="shared" si="2"/>
        <v>innocence,</v>
      </c>
      <c r="Q1961" s="49"/>
      <c r="R1961" s="50" t="s">
        <v>7486</v>
      </c>
      <c r="S1961" s="55" t="s">
        <v>3408</v>
      </c>
      <c r="T1961" s="49"/>
      <c r="U1961" s="49"/>
      <c r="V1961" s="49"/>
      <c r="W1961" s="49"/>
      <c r="X1961" s="49" t="str">
        <f t="shared" si="3"/>
        <v>sucking,</v>
      </c>
      <c r="Y1961" s="49"/>
      <c r="Z1961" s="1" t="s">
        <v>4210</v>
      </c>
      <c r="AA1961" s="1" t="s">
        <v>1563</v>
      </c>
      <c r="AB1961" s="49"/>
      <c r="AC1961" s="49"/>
      <c r="AD1961" s="49"/>
      <c r="AE1961" s="49" t="str">
        <f>IFERROR(__xludf.DUMMYFUNCTION("""COMPUTED_VALUE"""),"spells")</f>
        <v>spells</v>
      </c>
      <c r="AF1961" s="49" t="str">
        <f t="shared" si="4"/>
        <v>mildly,</v>
      </c>
      <c r="AG1961" s="49"/>
      <c r="AH1961" s="1" t="s">
        <v>4121</v>
      </c>
      <c r="AI1961" s="1" t="s">
        <v>4418</v>
      </c>
      <c r="AJ1961" s="6" t="str">
        <f>IFERROR(__xludf.DUMMYFUNCTION("""COMPUTED_VALUE"""),"voting")</f>
        <v>voting</v>
      </c>
      <c r="AK1961" s="49"/>
      <c r="AL1961" s="49"/>
      <c r="AM1961" s="49"/>
      <c r="AN1961" s="52" t="str">
        <f t="shared" si="5"/>
        <v>rage,</v>
      </c>
    </row>
    <row r="1962">
      <c r="A1962" s="51"/>
      <c r="B1962" s="50" t="s">
        <v>2599</v>
      </c>
      <c r="C1962" s="50" t="s">
        <v>4161</v>
      </c>
      <c r="D1962" s="49" t="str">
        <f>IFERROR(__xludf.DUMMYFUNCTION("""COMPUTED_VALUE"""),"struggle")</f>
        <v>struggle</v>
      </c>
      <c r="E1962" s="49"/>
      <c r="F1962" s="49"/>
      <c r="G1962" s="49"/>
      <c r="H1962" s="54" t="str">
        <f t="shared" si="1"/>
        <v>appeal,</v>
      </c>
      <c r="I1962" s="50"/>
      <c r="J1962" s="50" t="s">
        <v>7487</v>
      </c>
      <c r="K1962" s="50" t="s">
        <v>5183</v>
      </c>
      <c r="L1962" s="49"/>
      <c r="M1962" s="49"/>
      <c r="N1962" s="49"/>
      <c r="O1962" s="49" t="str">
        <f>IFERROR(__xludf.DUMMYFUNCTION("""COMPUTED_VALUE"""),"archibald")</f>
        <v>archibald</v>
      </c>
      <c r="P1962" s="49" t="str">
        <f t="shared" si="2"/>
        <v>button,</v>
      </c>
      <c r="Q1962" s="49"/>
      <c r="R1962" s="50" t="s">
        <v>3497</v>
      </c>
      <c r="S1962" s="55" t="s">
        <v>608</v>
      </c>
      <c r="T1962" s="49"/>
      <c r="U1962" s="49"/>
      <c r="V1962" s="49"/>
      <c r="W1962" s="49"/>
      <c r="X1962" s="49" t="str">
        <f t="shared" si="3"/>
        <v>incarnation,</v>
      </c>
      <c r="Y1962" s="49"/>
      <c r="Z1962" s="1" t="s">
        <v>2142</v>
      </c>
      <c r="AA1962" s="1" t="s">
        <v>1259</v>
      </c>
      <c r="AB1962" s="49"/>
      <c r="AC1962" s="49"/>
      <c r="AD1962" s="49"/>
      <c r="AE1962" s="49" t="str">
        <f>IFERROR(__xludf.DUMMYFUNCTION("""COMPUTED_VALUE"""),"archibald")</f>
        <v>archibald</v>
      </c>
      <c r="AF1962" s="49" t="str">
        <f t="shared" si="4"/>
        <v>designed,</v>
      </c>
      <c r="AG1962" s="49"/>
      <c r="AH1962" s="1" t="s">
        <v>7022</v>
      </c>
      <c r="AI1962" s="1" t="s">
        <v>6602</v>
      </c>
      <c r="AJ1962" s="6" t="str">
        <f>IFERROR(__xludf.DUMMYFUNCTION("""COMPUTED_VALUE"""),"prince")</f>
        <v>prince</v>
      </c>
      <c r="AK1962" s="49"/>
      <c r="AL1962" s="49"/>
      <c r="AM1962" s="49"/>
      <c r="AN1962" s="52" t="str">
        <f t="shared" si="5"/>
        <v>personally,</v>
      </c>
    </row>
    <row r="1963">
      <c r="A1963" s="51"/>
      <c r="B1963" s="50" t="s">
        <v>4367</v>
      </c>
      <c r="C1963" s="50" t="s">
        <v>2849</v>
      </c>
      <c r="D1963" s="49" t="str">
        <f>IFERROR(__xludf.DUMMYFUNCTION("""COMPUTED_VALUE"""),"reputation")</f>
        <v>reputation</v>
      </c>
      <c r="E1963" s="49"/>
      <c r="F1963" s="49"/>
      <c r="G1963" s="49"/>
      <c r="H1963" s="54" t="str">
        <f t="shared" si="1"/>
        <v>japan,</v>
      </c>
      <c r="I1963" s="50"/>
      <c r="J1963" s="50" t="s">
        <v>7439</v>
      </c>
      <c r="K1963" s="50" t="s">
        <v>5033</v>
      </c>
      <c r="L1963" s="49"/>
      <c r="M1963" s="49"/>
      <c r="N1963" s="49"/>
      <c r="O1963" s="49" t="str">
        <f>IFERROR(__xludf.DUMMYFUNCTION("""COMPUTED_VALUE"""),"paralyzed")</f>
        <v>paralyzed</v>
      </c>
      <c r="P1963" s="49" t="str">
        <f t="shared" si="2"/>
        <v>gulp,</v>
      </c>
      <c r="Q1963" s="49"/>
      <c r="R1963" s="50" t="s">
        <v>3678</v>
      </c>
      <c r="S1963" s="55" t="s">
        <v>4490</v>
      </c>
      <c r="T1963" s="49"/>
      <c r="U1963" s="49"/>
      <c r="V1963" s="49"/>
      <c r="W1963" s="49"/>
      <c r="X1963" s="49" t="str">
        <f t="shared" si="3"/>
        <v>exceeds,</v>
      </c>
      <c r="Y1963" s="49"/>
      <c r="Z1963" s="1" t="s">
        <v>3956</v>
      </c>
      <c r="AA1963" s="1" t="s">
        <v>1945</v>
      </c>
      <c r="AB1963" s="49"/>
      <c r="AC1963" s="49"/>
      <c r="AD1963" s="49"/>
      <c r="AE1963" s="49" t="str">
        <f>IFERROR(__xludf.DUMMYFUNCTION("""COMPUTED_VALUE"""),"paralyzed")</f>
        <v>paralyzed</v>
      </c>
      <c r="AF1963" s="49" t="str">
        <f t="shared" si="4"/>
        <v>common,</v>
      </c>
      <c r="AG1963" s="49"/>
      <c r="AH1963" s="1" t="s">
        <v>717</v>
      </c>
      <c r="AI1963" s="1" t="s">
        <v>6615</v>
      </c>
      <c r="AJ1963" s="6" t="str">
        <f>IFERROR(__xludf.DUMMYFUNCTION("""COMPUTED_VALUE"""),"egypt")</f>
        <v>egypt</v>
      </c>
      <c r="AK1963" s="49"/>
      <c r="AL1963" s="49"/>
      <c r="AM1963" s="49"/>
      <c r="AN1963" s="52" t="str">
        <f t="shared" si="5"/>
        <v>area,</v>
      </c>
    </row>
    <row r="1964">
      <c r="A1964" s="51"/>
      <c r="B1964" s="50" t="s">
        <v>1123</v>
      </c>
      <c r="C1964" s="50" t="s">
        <v>6576</v>
      </c>
      <c r="D1964" s="49" t="str">
        <f>IFERROR(__xludf.DUMMYFUNCTION("""COMPUTED_VALUE"""),"critical")</f>
        <v>critical</v>
      </c>
      <c r="E1964" s="49"/>
      <c r="F1964" s="49"/>
      <c r="G1964" s="49"/>
      <c r="H1964" s="54" t="str">
        <f t="shared" si="1"/>
        <v>wins,</v>
      </c>
      <c r="I1964" s="50"/>
      <c r="J1964" s="50" t="s">
        <v>3032</v>
      </c>
      <c r="K1964" s="50" t="s">
        <v>3143</v>
      </c>
      <c r="L1964" s="49"/>
      <c r="M1964" s="49"/>
      <c r="N1964" s="49"/>
      <c r="O1964" s="49" t="str">
        <f>IFERROR(__xludf.DUMMYFUNCTION("""COMPUTED_VALUE"""),"enabling")</f>
        <v>enabling</v>
      </c>
      <c r="P1964" s="49" t="str">
        <f t="shared" si="2"/>
        <v>merits,</v>
      </c>
      <c r="Q1964" s="49"/>
      <c r="R1964" s="50" t="s">
        <v>902</v>
      </c>
      <c r="S1964" s="55" t="s">
        <v>521</v>
      </c>
      <c r="T1964" s="49"/>
      <c r="U1964" s="49"/>
      <c r="V1964" s="49"/>
      <c r="W1964" s="49"/>
      <c r="X1964" s="49" t="str">
        <f t="shared" si="3"/>
        <v>breathe,</v>
      </c>
      <c r="Y1964" s="49"/>
      <c r="Z1964" s="1" t="s">
        <v>894</v>
      </c>
      <c r="AA1964" s="1" t="s">
        <v>5185</v>
      </c>
      <c r="AB1964" s="49"/>
      <c r="AC1964" s="49"/>
      <c r="AD1964" s="49"/>
      <c r="AE1964" s="49" t="str">
        <f>IFERROR(__xludf.DUMMYFUNCTION("""COMPUTED_VALUE"""),"enabling")</f>
        <v>enabling</v>
      </c>
      <c r="AF1964" s="49" t="str">
        <f t="shared" si="4"/>
        <v>champion,</v>
      </c>
      <c r="AG1964" s="49"/>
      <c r="AH1964" s="1" t="s">
        <v>2176</v>
      </c>
      <c r="AI1964" s="1" t="s">
        <v>6604</v>
      </c>
      <c r="AJ1964" s="6" t="str">
        <f>IFERROR(__xludf.DUMMYFUNCTION("""COMPUTED_VALUE"""),"whereas")</f>
        <v>whereas</v>
      </c>
      <c r="AK1964" s="49"/>
      <c r="AL1964" s="49"/>
      <c r="AM1964" s="49"/>
      <c r="AN1964" s="52" t="str">
        <f t="shared" si="5"/>
        <v>includes,</v>
      </c>
    </row>
    <row r="1965">
      <c r="A1965" s="51"/>
      <c r="B1965" s="50" t="s">
        <v>4702</v>
      </c>
      <c r="C1965" s="50" t="s">
        <v>5175</v>
      </c>
      <c r="D1965" s="49" t="str">
        <f>IFERROR(__xludf.DUMMYFUNCTION("""COMPUTED_VALUE"""),"convinced")</f>
        <v>convinced</v>
      </c>
      <c r="E1965" s="49"/>
      <c r="F1965" s="49"/>
      <c r="G1965" s="49"/>
      <c r="H1965" s="54" t="str">
        <f t="shared" si="1"/>
        <v>vs,</v>
      </c>
      <c r="I1965" s="50"/>
      <c r="J1965" s="50" t="s">
        <v>2838</v>
      </c>
      <c r="K1965" s="50" t="s">
        <v>1948</v>
      </c>
      <c r="L1965" s="49"/>
      <c r="M1965" s="49"/>
      <c r="N1965" s="49"/>
      <c r="O1965" s="49" t="str">
        <f>IFERROR(__xludf.DUMMYFUNCTION("""COMPUTED_VALUE"""),"anarchy")</f>
        <v>anarchy</v>
      </c>
      <c r="P1965" s="49" t="str">
        <f t="shared" si="2"/>
        <v>relative,</v>
      </c>
      <c r="Q1965" s="49"/>
      <c r="R1965" s="50" t="s">
        <v>2622</v>
      </c>
      <c r="S1965" s="55" t="s">
        <v>3047</v>
      </c>
      <c r="T1965" s="49"/>
      <c r="U1965" s="49"/>
      <c r="V1965" s="49"/>
      <c r="W1965" s="49"/>
      <c r="X1965" s="49" t="str">
        <f t="shared" si="3"/>
        <v>claim,</v>
      </c>
      <c r="Y1965" s="49"/>
      <c r="Z1965" s="1" t="s">
        <v>3541</v>
      </c>
      <c r="AA1965" s="1" t="s">
        <v>5186</v>
      </c>
      <c r="AB1965" s="49"/>
      <c r="AC1965" s="49"/>
      <c r="AD1965" s="49"/>
      <c r="AE1965" s="49" t="str">
        <f>IFERROR(__xludf.DUMMYFUNCTION("""COMPUTED_VALUE"""),"anarchy")</f>
        <v>anarchy</v>
      </c>
      <c r="AF1965" s="49" t="str">
        <f t="shared" si="4"/>
        <v>upper,</v>
      </c>
      <c r="AG1965" s="49"/>
      <c r="AH1965" s="1" t="s">
        <v>5195</v>
      </c>
      <c r="AI1965" s="1" t="s">
        <v>1784</v>
      </c>
      <c r="AJ1965" s="6" t="str">
        <f>IFERROR(__xludf.DUMMYFUNCTION("""COMPUTED_VALUE"""),"thinks")</f>
        <v>thinks</v>
      </c>
      <c r="AK1965" s="49"/>
      <c r="AL1965" s="49"/>
      <c r="AM1965" s="49"/>
      <c r="AN1965" s="52" t="str">
        <f t="shared" si="5"/>
        <v>captain,</v>
      </c>
    </row>
    <row r="1966">
      <c r="A1966" s="51"/>
      <c r="B1966" s="50" t="s">
        <v>4436</v>
      </c>
      <c r="C1966" s="50" t="s">
        <v>6565</v>
      </c>
      <c r="D1966" s="49" t="str">
        <f>IFERROR(__xludf.DUMMYFUNCTION("""COMPUTED_VALUE"""),"lucky")</f>
        <v>lucky</v>
      </c>
      <c r="E1966" s="49"/>
      <c r="F1966" s="49"/>
      <c r="G1966" s="49"/>
      <c r="H1966" s="54" t="str">
        <f t="shared" si="1"/>
        <v>christopher,</v>
      </c>
      <c r="I1966" s="50"/>
      <c r="J1966" s="50" t="s">
        <v>2715</v>
      </c>
      <c r="K1966" s="50" t="s">
        <v>1953</v>
      </c>
      <c r="L1966" s="49"/>
      <c r="M1966" s="49"/>
      <c r="N1966" s="49"/>
      <c r="O1966" s="49" t="str">
        <f>IFERROR(__xludf.DUMMYFUNCTION("""COMPUTED_VALUE"""),"compositions")</f>
        <v>compositions</v>
      </c>
      <c r="P1966" s="49" t="str">
        <f t="shared" si="2"/>
        <v>glorious,</v>
      </c>
      <c r="Q1966" s="49"/>
      <c r="R1966" s="50" t="s">
        <v>7488</v>
      </c>
      <c r="S1966" s="55" t="s">
        <v>1148</v>
      </c>
      <c r="T1966" s="49"/>
      <c r="U1966" s="49"/>
      <c r="V1966" s="49"/>
      <c r="W1966" s="49"/>
      <c r="X1966" s="49" t="str">
        <f t="shared" si="3"/>
        <v>co,</v>
      </c>
      <c r="Y1966" s="49"/>
      <c r="Z1966" s="1" t="s">
        <v>3958</v>
      </c>
      <c r="AA1966" s="1" t="s">
        <v>4160</v>
      </c>
      <c r="AB1966" s="49"/>
      <c r="AC1966" s="49"/>
      <c r="AD1966" s="49"/>
      <c r="AE1966" s="49" t="str">
        <f>IFERROR(__xludf.DUMMYFUNCTION("""COMPUTED_VALUE"""),"compositions")</f>
        <v>compositions</v>
      </c>
      <c r="AF1966" s="49" t="str">
        <f t="shared" si="4"/>
        <v>safe,</v>
      </c>
      <c r="AG1966" s="49"/>
      <c r="AH1966" s="1" t="s">
        <v>4590</v>
      </c>
      <c r="AI1966" s="1" t="s">
        <v>717</v>
      </c>
      <c r="AJ1966" s="6" t="str">
        <f>IFERROR(__xludf.DUMMYFUNCTION("""COMPUTED_VALUE"""),"offer")</f>
        <v>offer</v>
      </c>
      <c r="AK1966" s="49"/>
      <c r="AL1966" s="49"/>
      <c r="AM1966" s="49"/>
      <c r="AN1966" s="52" t="str">
        <f t="shared" si="5"/>
        <v>visit,</v>
      </c>
    </row>
    <row r="1967">
      <c r="A1967" s="51"/>
      <c r="B1967" s="50" t="s">
        <v>4589</v>
      </c>
      <c r="C1967" s="50" t="s">
        <v>3055</v>
      </c>
      <c r="D1967" s="49" t="str">
        <f>IFERROR(__xludf.DUMMYFUNCTION("""COMPUTED_VALUE"""),"anthony")</f>
        <v>anthony</v>
      </c>
      <c r="E1967" s="49"/>
      <c r="F1967" s="49"/>
      <c r="G1967" s="49"/>
      <c r="H1967" s="54" t="str">
        <f t="shared" si="1"/>
        <v>meets,</v>
      </c>
      <c r="I1967" s="50"/>
      <c r="J1967" s="50" t="s">
        <v>1116</v>
      </c>
      <c r="K1967" s="50" t="s">
        <v>3149</v>
      </c>
      <c r="L1967" s="49"/>
      <c r="M1967" s="49"/>
      <c r="N1967" s="49"/>
      <c r="O1967" s="49" t="str">
        <f>IFERROR(__xludf.DUMMYFUNCTION("""COMPUTED_VALUE"""),"impetus")</f>
        <v>impetus</v>
      </c>
      <c r="P1967" s="49" t="str">
        <f t="shared" si="2"/>
        <v>history,</v>
      </c>
      <c r="Q1967" s="49"/>
      <c r="R1967" s="50" t="s">
        <v>7489</v>
      </c>
      <c r="S1967" s="55" t="s">
        <v>3414</v>
      </c>
      <c r="T1967" s="49"/>
      <c r="U1967" s="49"/>
      <c r="V1967" s="49"/>
      <c r="W1967" s="49"/>
      <c r="X1967" s="49" t="str">
        <f t="shared" si="3"/>
        <v>vi,</v>
      </c>
      <c r="Y1967" s="49"/>
      <c r="Z1967" s="1" t="s">
        <v>2600</v>
      </c>
      <c r="AA1967" s="1" t="s">
        <v>3544</v>
      </c>
      <c r="AB1967" s="49"/>
      <c r="AC1967" s="49"/>
      <c r="AD1967" s="49"/>
      <c r="AE1967" s="49" t="str">
        <f>IFERROR(__xludf.DUMMYFUNCTION("""COMPUTED_VALUE"""),"impetus")</f>
        <v>impetus</v>
      </c>
      <c r="AF1967" s="49" t="str">
        <f t="shared" si="4"/>
        <v>equivalent,</v>
      </c>
      <c r="AG1967" s="49"/>
      <c r="AH1967" s="1" t="s">
        <v>6282</v>
      </c>
      <c r="AI1967" s="1" t="s">
        <v>2340</v>
      </c>
      <c r="AJ1967" s="6" t="str">
        <f>IFERROR(__xludf.DUMMYFUNCTION("""COMPUTED_VALUE"""),"twice")</f>
        <v>twice</v>
      </c>
      <c r="AK1967" s="49"/>
      <c r="AL1967" s="49"/>
      <c r="AM1967" s="49"/>
      <c r="AN1967" s="52" t="str">
        <f t="shared" si="5"/>
        <v>dick,</v>
      </c>
    </row>
    <row r="1968">
      <c r="A1968" s="51"/>
      <c r="B1968" s="50" t="s">
        <v>2259</v>
      </c>
      <c r="C1968" s="50" t="s">
        <v>4502</v>
      </c>
      <c r="D1968" s="49" t="str">
        <f>IFERROR(__xludf.DUMMYFUNCTION("""COMPUTED_VALUE"""),"killer")</f>
        <v>killer</v>
      </c>
      <c r="E1968" s="49"/>
      <c r="F1968" s="49"/>
      <c r="G1968" s="49"/>
      <c r="H1968" s="54" t="str">
        <f t="shared" si="1"/>
        <v>totally,</v>
      </c>
      <c r="I1968" s="50"/>
      <c r="J1968" s="50" t="s">
        <v>692</v>
      </c>
      <c r="K1968" s="50" t="s">
        <v>1959</v>
      </c>
      <c r="L1968" s="49"/>
      <c r="M1968" s="49"/>
      <c r="N1968" s="49"/>
      <c r="O1968" s="49" t="str">
        <f>IFERROR(__xludf.DUMMYFUNCTION("""COMPUTED_VALUE"""),"castro")</f>
        <v>castro</v>
      </c>
      <c r="P1968" s="49" t="str">
        <f t="shared" si="2"/>
        <v>dramatically,</v>
      </c>
      <c r="Q1968" s="49"/>
      <c r="R1968" s="50" t="s">
        <v>2593</v>
      </c>
      <c r="S1968" s="55" t="s">
        <v>4495</v>
      </c>
      <c r="T1968" s="49"/>
      <c r="U1968" s="49"/>
      <c r="V1968" s="49"/>
      <c r="W1968" s="49"/>
      <c r="X1968" s="49" t="str">
        <f t="shared" si="3"/>
        <v>celebrated,</v>
      </c>
      <c r="Y1968" s="49"/>
      <c r="Z1968" s="1" t="s">
        <v>6512</v>
      </c>
      <c r="AA1968" s="1" t="s">
        <v>4162</v>
      </c>
      <c r="AB1968" s="49"/>
      <c r="AC1968" s="49"/>
      <c r="AD1968" s="49"/>
      <c r="AE1968" s="49" t="str">
        <f>IFERROR(__xludf.DUMMYFUNCTION("""COMPUTED_VALUE"""),"castro")</f>
        <v>castro</v>
      </c>
      <c r="AF1968" s="49" t="str">
        <f t="shared" si="4"/>
        <v>daily,</v>
      </c>
      <c r="AG1968" s="49"/>
      <c r="AH1968" s="1" t="s">
        <v>3407</v>
      </c>
      <c r="AI1968" s="1" t="s">
        <v>4434</v>
      </c>
      <c r="AJ1968" s="6" t="str">
        <f>IFERROR(__xludf.DUMMYFUNCTION("""COMPUTED_VALUE"""),"landing")</f>
        <v>landing</v>
      </c>
      <c r="AK1968" s="49"/>
      <c r="AL1968" s="49"/>
      <c r="AM1968" s="49"/>
      <c r="AN1968" s="52" t="str">
        <f t="shared" si="5"/>
        <v>gang,</v>
      </c>
    </row>
    <row r="1969">
      <c r="A1969" s="51"/>
      <c r="B1969" s="50" t="s">
        <v>5491</v>
      </c>
      <c r="C1969" s="50" t="s">
        <v>5257</v>
      </c>
      <c r="D1969" s="49" t="str">
        <f>IFERROR(__xludf.DUMMYFUNCTION("""COMPUTED_VALUE"""),"eye")</f>
        <v>eye</v>
      </c>
      <c r="E1969" s="49"/>
      <c r="F1969" s="49"/>
      <c r="G1969" s="49"/>
      <c r="H1969" s="54" t="str">
        <f t="shared" si="1"/>
        <v>chen,</v>
      </c>
      <c r="I1969" s="50"/>
      <c r="J1969" s="50" t="s">
        <v>2930</v>
      </c>
      <c r="K1969" s="50" t="s">
        <v>1231</v>
      </c>
      <c r="L1969" s="49"/>
      <c r="M1969" s="49"/>
      <c r="N1969" s="49"/>
      <c r="O1969" s="49" t="str">
        <f>IFERROR(__xludf.DUMMYFUNCTION("""COMPUTED_VALUE"""),"captives")</f>
        <v>captives</v>
      </c>
      <c r="P1969" s="49" t="str">
        <f t="shared" si="2"/>
        <v>resemble,</v>
      </c>
      <c r="Q1969" s="49"/>
      <c r="R1969" s="50" t="s">
        <v>671</v>
      </c>
      <c r="S1969" s="55" t="s">
        <v>4498</v>
      </c>
      <c r="T1969" s="49"/>
      <c r="U1969" s="49"/>
      <c r="V1969" s="49"/>
      <c r="W1969" s="49"/>
      <c r="X1969" s="49" t="str">
        <f t="shared" si="3"/>
        <v>shadowy,</v>
      </c>
      <c r="Y1969" s="49"/>
      <c r="Z1969" s="1" t="s">
        <v>4715</v>
      </c>
      <c r="AA1969" s="1" t="s">
        <v>3547</v>
      </c>
      <c r="AB1969" s="49"/>
      <c r="AC1969" s="49"/>
      <c r="AD1969" s="49"/>
      <c r="AE1969" s="49" t="str">
        <f>IFERROR(__xludf.DUMMYFUNCTION("""COMPUTED_VALUE"""),"captives")</f>
        <v>captives</v>
      </c>
      <c r="AF1969" s="49" t="str">
        <f t="shared" si="4"/>
        <v>toilet,</v>
      </c>
      <c r="AG1969" s="49"/>
      <c r="AH1969" s="1" t="s">
        <v>5484</v>
      </c>
      <c r="AI1969" s="1" t="s">
        <v>3319</v>
      </c>
      <c r="AJ1969" s="6" t="str">
        <f>IFERROR(__xludf.DUMMYFUNCTION("""COMPUTED_VALUE"""),"advance")</f>
        <v>advance</v>
      </c>
      <c r="AK1969" s="49"/>
      <c r="AL1969" s="49"/>
      <c r="AM1969" s="49"/>
      <c r="AN1969" s="52" t="str">
        <f t="shared" si="5"/>
        <v>bow,</v>
      </c>
    </row>
    <row r="1970">
      <c r="A1970" s="51"/>
      <c r="B1970" s="50" t="s">
        <v>7347</v>
      </c>
      <c r="C1970" s="50" t="s">
        <v>3095</v>
      </c>
      <c r="D1970" s="49" t="str">
        <f>IFERROR(__xludf.DUMMYFUNCTION("""COMPUTED_VALUE"""),"blind")</f>
        <v>blind</v>
      </c>
      <c r="E1970" s="49"/>
      <c r="F1970" s="49"/>
      <c r="G1970" s="49"/>
      <c r="H1970" s="54" t="str">
        <f t="shared" si="1"/>
        <v>capital,</v>
      </c>
      <c r="I1970" s="50"/>
      <c r="J1970" s="50" t="s">
        <v>5903</v>
      </c>
      <c r="K1970" s="50" t="s">
        <v>5190</v>
      </c>
      <c r="L1970" s="49"/>
      <c r="M1970" s="49"/>
      <c r="N1970" s="49"/>
      <c r="O1970" s="49" t="str">
        <f>IFERROR(__xludf.DUMMYFUNCTION("""COMPUTED_VALUE"""),"famed")</f>
        <v>famed</v>
      </c>
      <c r="P1970" s="49" t="str">
        <f t="shared" si="2"/>
        <v>pre,</v>
      </c>
      <c r="Q1970" s="49"/>
      <c r="R1970" s="50" t="s">
        <v>2457</v>
      </c>
      <c r="S1970" s="55" t="s">
        <v>3105</v>
      </c>
      <c r="T1970" s="49"/>
      <c r="U1970" s="49"/>
      <c r="V1970" s="49"/>
      <c r="W1970" s="49"/>
      <c r="X1970" s="49" t="str">
        <f t="shared" si="3"/>
        <v>optimistic,</v>
      </c>
      <c r="Y1970" s="49"/>
      <c r="Z1970" s="1" t="s">
        <v>2643</v>
      </c>
      <c r="AA1970" s="1" t="s">
        <v>4164</v>
      </c>
      <c r="AB1970" s="49"/>
      <c r="AC1970" s="49"/>
      <c r="AD1970" s="49"/>
      <c r="AE1970" s="49" t="str">
        <f>IFERROR(__xludf.DUMMYFUNCTION("""COMPUTED_VALUE"""),"famed")</f>
        <v>famed</v>
      </c>
      <c r="AF1970" s="49" t="str">
        <f t="shared" si="4"/>
        <v>won,</v>
      </c>
      <c r="AG1970" s="49"/>
      <c r="AH1970" s="1" t="s">
        <v>3911</v>
      </c>
      <c r="AI1970" s="1" t="s">
        <v>4436</v>
      </c>
      <c r="AJ1970" s="6" t="str">
        <f>IFERROR(__xludf.DUMMYFUNCTION("""COMPUTED_VALUE"""),"denied")</f>
        <v>denied</v>
      </c>
      <c r="AK1970" s="49"/>
      <c r="AL1970" s="49"/>
      <c r="AM1970" s="49"/>
      <c r="AN1970" s="52" t="str">
        <f t="shared" si="5"/>
        <v>jacques,</v>
      </c>
    </row>
    <row r="1971">
      <c r="A1971" s="51"/>
      <c r="B1971" s="50" t="s">
        <v>1851</v>
      </c>
      <c r="C1971" s="50" t="s">
        <v>900</v>
      </c>
      <c r="D1971" s="49" t="str">
        <f>IFERROR(__xludf.DUMMYFUNCTION("""COMPUTED_VALUE"""),"teach")</f>
        <v>teach</v>
      </c>
      <c r="E1971" s="49"/>
      <c r="F1971" s="49"/>
      <c r="G1971" s="49"/>
      <c r="H1971" s="54" t="str">
        <f t="shared" si="1"/>
        <v>hundred,</v>
      </c>
      <c r="I1971" s="50"/>
      <c r="J1971" s="50" t="s">
        <v>7444</v>
      </c>
      <c r="K1971" s="50" t="s">
        <v>2663</v>
      </c>
      <c r="L1971" s="49"/>
      <c r="M1971" s="49"/>
      <c r="N1971" s="49"/>
      <c r="O1971" s="49" t="str">
        <f>IFERROR(__xludf.DUMMYFUNCTION("""COMPUTED_VALUE"""),"johnnie")</f>
        <v>johnnie</v>
      </c>
      <c r="P1971" s="49" t="str">
        <f t="shared" si="2"/>
        <v>prof,</v>
      </c>
      <c r="Q1971" s="49"/>
      <c r="R1971" s="50" t="s">
        <v>6210</v>
      </c>
      <c r="S1971" s="55" t="s">
        <v>956</v>
      </c>
      <c r="T1971" s="49"/>
      <c r="U1971" s="49"/>
      <c r="V1971" s="49"/>
      <c r="W1971" s="49"/>
      <c r="X1971" s="49" t="str">
        <f t="shared" si="3"/>
        <v>fright,</v>
      </c>
      <c r="Y1971" s="49"/>
      <c r="Z1971" s="1" t="s">
        <v>4676</v>
      </c>
      <c r="AA1971" s="1" t="s">
        <v>251</v>
      </c>
      <c r="AB1971" s="49"/>
      <c r="AC1971" s="49"/>
      <c r="AD1971" s="49"/>
      <c r="AE1971" s="49" t="str">
        <f>IFERROR(__xludf.DUMMYFUNCTION("""COMPUTED_VALUE"""),"johnnie")</f>
        <v>johnnie</v>
      </c>
      <c r="AF1971" s="49" t="str">
        <f t="shared" si="4"/>
        <v>relies,</v>
      </c>
      <c r="AG1971" s="49"/>
      <c r="AH1971" s="1" t="s">
        <v>4213</v>
      </c>
      <c r="AI1971" s="1" t="s">
        <v>3328</v>
      </c>
      <c r="AJ1971" s="6" t="str">
        <f>IFERROR(__xludf.DUMMYFUNCTION("""COMPUTED_VALUE"""),"stay")</f>
        <v>stay</v>
      </c>
      <c r="AK1971" s="49"/>
      <c r="AL1971" s="49"/>
      <c r="AM1971" s="49"/>
      <c r="AN1971" s="52" t="str">
        <f t="shared" si="5"/>
        <v>creek,</v>
      </c>
    </row>
    <row r="1972">
      <c r="A1972" s="51"/>
      <c r="B1972" s="50" t="s">
        <v>5075</v>
      </c>
      <c r="C1972" s="50" t="s">
        <v>6577</v>
      </c>
      <c r="D1972" s="49" t="str">
        <f>IFERROR(__xludf.DUMMYFUNCTION("""COMPUTED_VALUE"""),"ash")</f>
        <v>ash</v>
      </c>
      <c r="E1972" s="49"/>
      <c r="F1972" s="49"/>
      <c r="G1972" s="49"/>
      <c r="H1972" s="54" t="str">
        <f t="shared" si="1"/>
        <v>tiny,</v>
      </c>
      <c r="I1972" s="50"/>
      <c r="J1972" s="50" t="s">
        <v>4115</v>
      </c>
      <c r="K1972" s="50" t="s">
        <v>3153</v>
      </c>
      <c r="L1972" s="49"/>
      <c r="M1972" s="49"/>
      <c r="N1972" s="49"/>
      <c r="O1972" s="49" t="str">
        <f>IFERROR(__xludf.DUMMYFUNCTION("""COMPUTED_VALUE"""),"occupational")</f>
        <v>occupational</v>
      </c>
      <c r="P1972" s="49" t="str">
        <f t="shared" si="2"/>
        <v>unnamed,</v>
      </c>
      <c r="Q1972" s="49"/>
      <c r="R1972" s="50" t="s">
        <v>6644</v>
      </c>
      <c r="S1972" s="55" t="s">
        <v>3050</v>
      </c>
      <c r="T1972" s="49"/>
      <c r="U1972" s="49"/>
      <c r="V1972" s="49"/>
      <c r="W1972" s="49"/>
      <c r="X1972" s="49" t="str">
        <f t="shared" si="3"/>
        <v>pushing,</v>
      </c>
      <c r="Y1972" s="49"/>
      <c r="Z1972" s="1" t="s">
        <v>2139</v>
      </c>
      <c r="AA1972" s="1" t="s">
        <v>1277</v>
      </c>
      <c r="AB1972" s="49"/>
      <c r="AC1972" s="49"/>
      <c r="AD1972" s="49"/>
      <c r="AE1972" s="49" t="str">
        <f>IFERROR(__xludf.DUMMYFUNCTION("""COMPUTED_VALUE"""),"occupational")</f>
        <v>occupational</v>
      </c>
      <c r="AF1972" s="49" t="str">
        <f t="shared" si="4"/>
        <v>credibility,</v>
      </c>
      <c r="AG1972" s="49"/>
      <c r="AH1972" s="1" t="s">
        <v>3383</v>
      </c>
      <c r="AI1972" s="1" t="s">
        <v>4995</v>
      </c>
      <c r="AJ1972" s="6" t="str">
        <f>IFERROR(__xludf.DUMMYFUNCTION("""COMPUTED_VALUE"""),"bar")</f>
        <v>bar</v>
      </c>
      <c r="AK1972" s="49"/>
      <c r="AL1972" s="49"/>
      <c r="AM1972" s="49"/>
      <c r="AN1972" s="52" t="str">
        <f t="shared" si="5"/>
        <v>blues,</v>
      </c>
    </row>
    <row r="1973">
      <c r="A1973" s="51"/>
      <c r="B1973" s="50" t="s">
        <v>6508</v>
      </c>
      <c r="C1973" s="50" t="s">
        <v>4057</v>
      </c>
      <c r="D1973" s="49" t="str">
        <f>IFERROR(__xludf.DUMMYFUNCTION("""COMPUTED_VALUE"""),"wednesday")</f>
        <v>wednesday</v>
      </c>
      <c r="E1973" s="49"/>
      <c r="F1973" s="49"/>
      <c r="G1973" s="49"/>
      <c r="H1973" s="54" t="str">
        <f t="shared" si="1"/>
        <v>argument,</v>
      </c>
      <c r="I1973" s="50"/>
      <c r="J1973" s="50" t="s">
        <v>1734</v>
      </c>
      <c r="K1973" s="50" t="s">
        <v>656</v>
      </c>
      <c r="L1973" s="49"/>
      <c r="M1973" s="49"/>
      <c r="N1973" s="49"/>
      <c r="O1973" s="49" t="str">
        <f>IFERROR(__xludf.DUMMYFUNCTION("""COMPUTED_VALUE"""),"rose")</f>
        <v>rose</v>
      </c>
      <c r="P1973" s="49" t="str">
        <f t="shared" si="2"/>
        <v>share,</v>
      </c>
      <c r="Q1973" s="49"/>
      <c r="R1973" s="50" t="s">
        <v>3028</v>
      </c>
      <c r="S1973" s="55" t="s">
        <v>1852</v>
      </c>
      <c r="T1973" s="49"/>
      <c r="U1973" s="49"/>
      <c r="V1973" s="49"/>
      <c r="W1973" s="49"/>
      <c r="X1973" s="49" t="str">
        <f t="shared" si="3"/>
        <v>reportedly,</v>
      </c>
      <c r="Y1973" s="49"/>
      <c r="Z1973" s="1" t="s">
        <v>3188</v>
      </c>
      <c r="AA1973" s="1" t="s">
        <v>1270</v>
      </c>
      <c r="AB1973" s="49"/>
      <c r="AC1973" s="49"/>
      <c r="AD1973" s="49"/>
      <c r="AE1973" s="49" t="str">
        <f>IFERROR(__xludf.DUMMYFUNCTION("""COMPUTED_VALUE"""),"rose")</f>
        <v>rose</v>
      </c>
      <c r="AF1973" s="49" t="str">
        <f t="shared" si="4"/>
        <v>lush,</v>
      </c>
      <c r="AG1973" s="49"/>
      <c r="AH1973" s="1" t="s">
        <v>5397</v>
      </c>
      <c r="AI1973" s="1" t="s">
        <v>536</v>
      </c>
      <c r="AJ1973" s="6" t="str">
        <f>IFERROR(__xludf.DUMMYFUNCTION("""COMPUTED_VALUE"""),"chance")</f>
        <v>chance</v>
      </c>
      <c r="AK1973" s="49"/>
      <c r="AL1973" s="49"/>
      <c r="AM1973" s="49"/>
      <c r="AN1973" s="52" t="str">
        <f t="shared" si="5"/>
        <v>columbia,</v>
      </c>
    </row>
    <row r="1974">
      <c r="A1974" s="51"/>
      <c r="B1974" s="50" t="s">
        <v>6387</v>
      </c>
      <c r="C1974" s="50" t="s">
        <v>2314</v>
      </c>
      <c r="D1974" s="49" t="str">
        <f>IFERROR(__xludf.DUMMYFUNCTION("""COMPUTED_VALUE"""),"enter")</f>
        <v>enter</v>
      </c>
      <c r="E1974" s="49"/>
      <c r="F1974" s="49"/>
      <c r="G1974" s="49"/>
      <c r="H1974" s="54" t="str">
        <f t="shared" si="1"/>
        <v>heated,</v>
      </c>
      <c r="I1974" s="50"/>
      <c r="J1974" s="50" t="s">
        <v>7445</v>
      </c>
      <c r="K1974" s="50" t="s">
        <v>3573</v>
      </c>
      <c r="L1974" s="49"/>
      <c r="M1974" s="49"/>
      <c r="N1974" s="49"/>
      <c r="O1974" s="49" t="str">
        <f>IFERROR(__xludf.DUMMYFUNCTION("""COMPUTED_VALUE"""),"diver")</f>
        <v>diver</v>
      </c>
      <c r="P1974" s="49" t="str">
        <f t="shared" si="2"/>
        <v>ma,</v>
      </c>
      <c r="Q1974" s="49"/>
      <c r="R1974" s="50" t="s">
        <v>677</v>
      </c>
      <c r="S1974" s="55" t="s">
        <v>4508</v>
      </c>
      <c r="T1974" s="49"/>
      <c r="U1974" s="49"/>
      <c r="V1974" s="49"/>
      <c r="W1974" s="49"/>
      <c r="X1974" s="49" t="str">
        <f t="shared" si="3"/>
        <v>showcase,</v>
      </c>
      <c r="Y1974" s="49"/>
      <c r="Z1974" s="1" t="s">
        <v>3264</v>
      </c>
      <c r="AA1974" s="1" t="s">
        <v>1284</v>
      </c>
      <c r="AB1974" s="49"/>
      <c r="AC1974" s="49"/>
      <c r="AD1974" s="49"/>
      <c r="AE1974" s="49" t="str">
        <f>IFERROR(__xludf.DUMMYFUNCTION("""COMPUTED_VALUE"""),"diver")</f>
        <v>diver</v>
      </c>
      <c r="AF1974" s="49" t="str">
        <f t="shared" si="4"/>
        <v>visuals,</v>
      </c>
      <c r="AG1974" s="49"/>
      <c r="AH1974" s="1" t="s">
        <v>3055</v>
      </c>
      <c r="AI1974" s="1" t="s">
        <v>3335</v>
      </c>
      <c r="AJ1974" s="6" t="str">
        <f>IFERROR(__xludf.DUMMYFUNCTION("""COMPUTED_VALUE"""),"dedicated")</f>
        <v>dedicated</v>
      </c>
      <c r="AK1974" s="49"/>
      <c r="AL1974" s="49"/>
      <c r="AM1974" s="49"/>
      <c r="AN1974" s="52" t="str">
        <f t="shared" si="5"/>
        <v>holds,</v>
      </c>
    </row>
    <row r="1975">
      <c r="A1975" s="51"/>
      <c r="B1975" s="50" t="s">
        <v>2180</v>
      </c>
      <c r="C1975" s="50" t="s">
        <v>980</v>
      </c>
      <c r="D1975" s="49" t="str">
        <f>IFERROR(__xludf.DUMMYFUNCTION("""COMPUTED_VALUE"""),"accept")</f>
        <v>accept</v>
      </c>
      <c r="E1975" s="49"/>
      <c r="F1975" s="49"/>
      <c r="G1975" s="49"/>
      <c r="H1975" s="54" t="str">
        <f t="shared" si="1"/>
        <v>thinking,</v>
      </c>
      <c r="I1975" s="50"/>
      <c r="J1975" s="50" t="s">
        <v>819</v>
      </c>
      <c r="K1975" s="50" t="s">
        <v>981</v>
      </c>
      <c r="L1975" s="49"/>
      <c r="M1975" s="49"/>
      <c r="N1975" s="49"/>
      <c r="O1975" s="49" t="str">
        <f>IFERROR(__xludf.DUMMYFUNCTION("""COMPUTED_VALUE"""),"prologue")</f>
        <v>prologue</v>
      </c>
      <c r="P1975" s="49" t="str">
        <f t="shared" si="2"/>
        <v>territory,</v>
      </c>
      <c r="Q1975" s="49"/>
      <c r="R1975" s="50" t="s">
        <v>2521</v>
      </c>
      <c r="S1975" s="55" t="s">
        <v>6616</v>
      </c>
      <c r="T1975" s="49"/>
      <c r="U1975" s="49"/>
      <c r="V1975" s="49"/>
      <c r="W1975" s="49"/>
      <c r="X1975" s="49" t="str">
        <f t="shared" si="3"/>
        <v>reckless,</v>
      </c>
      <c r="Y1975" s="49"/>
      <c r="Z1975" s="1" t="s">
        <v>1682</v>
      </c>
      <c r="AA1975" s="1" t="s">
        <v>4179</v>
      </c>
      <c r="AB1975" s="49"/>
      <c r="AC1975" s="49"/>
      <c r="AD1975" s="49"/>
      <c r="AE1975" s="49" t="str">
        <f>IFERROR(__xludf.DUMMYFUNCTION("""COMPUTED_VALUE"""),"prologue")</f>
        <v>prologue</v>
      </c>
      <c r="AF1975" s="49" t="str">
        <f t="shared" si="4"/>
        <v>lesser,</v>
      </c>
      <c r="AG1975" s="49"/>
      <c r="AH1975" s="1" t="s">
        <v>6502</v>
      </c>
      <c r="AI1975" s="1" t="s">
        <v>4441</v>
      </c>
      <c r="AJ1975" s="6" t="str">
        <f>IFERROR(__xludf.DUMMYFUNCTION("""COMPUTED_VALUE"""),"license")</f>
        <v>license</v>
      </c>
      <c r="AK1975" s="49"/>
      <c r="AL1975" s="49"/>
      <c r="AM1975" s="49"/>
      <c r="AN1975" s="52" t="str">
        <f t="shared" si="5"/>
        <v>billy,</v>
      </c>
    </row>
    <row r="1976">
      <c r="A1976" s="51"/>
      <c r="B1976" s="50" t="s">
        <v>6687</v>
      </c>
      <c r="C1976" s="50" t="s">
        <v>6579</v>
      </c>
      <c r="D1976" s="49" t="str">
        <f>IFERROR(__xludf.DUMMYFUNCTION("""COMPUTED_VALUE"""),"sin")</f>
        <v>sin</v>
      </c>
      <c r="E1976" s="49"/>
      <c r="F1976" s="49"/>
      <c r="G1976" s="49"/>
      <c r="H1976" s="54" t="str">
        <f t="shared" si="1"/>
        <v>baby,</v>
      </c>
      <c r="I1976" s="50"/>
      <c r="J1976" s="50" t="s">
        <v>2498</v>
      </c>
      <c r="K1976" s="50" t="s">
        <v>1105</v>
      </c>
      <c r="L1976" s="49"/>
      <c r="M1976" s="49"/>
      <c r="N1976" s="49"/>
      <c r="O1976" s="49" t="str">
        <f>IFERROR(__xludf.DUMMYFUNCTION("""COMPUTED_VALUE"""),"kane")</f>
        <v>kane</v>
      </c>
      <c r="P1976" s="49" t="str">
        <f t="shared" si="2"/>
        <v>interaction,</v>
      </c>
      <c r="Q1976" s="49"/>
      <c r="R1976" s="50" t="s">
        <v>7490</v>
      </c>
      <c r="S1976" s="55" t="s">
        <v>5230</v>
      </c>
      <c r="T1976" s="49"/>
      <c r="U1976" s="49"/>
      <c r="V1976" s="49"/>
      <c r="W1976" s="49"/>
      <c r="X1976" s="49" t="str">
        <f t="shared" si="3"/>
        <v>altogether,</v>
      </c>
      <c r="Y1976" s="49"/>
      <c r="Z1976" s="1" t="s">
        <v>1598</v>
      </c>
      <c r="AA1976" s="1" t="s">
        <v>5195</v>
      </c>
      <c r="AB1976" s="49"/>
      <c r="AC1976" s="49"/>
      <c r="AD1976" s="49"/>
      <c r="AE1976" s="49" t="str">
        <f>IFERROR(__xludf.DUMMYFUNCTION("""COMPUTED_VALUE"""),"kane")</f>
        <v>kane</v>
      </c>
      <c r="AF1976" s="49" t="str">
        <f t="shared" si="4"/>
        <v>astonishing,</v>
      </c>
      <c r="AG1976" s="49"/>
      <c r="AH1976" s="1" t="s">
        <v>7044</v>
      </c>
      <c r="AI1976" s="1" t="s">
        <v>5122</v>
      </c>
      <c r="AJ1976" s="6" t="str">
        <f>IFERROR(__xludf.DUMMYFUNCTION("""COMPUTED_VALUE"""),"careful")</f>
        <v>careful</v>
      </c>
      <c r="AK1976" s="49"/>
      <c r="AL1976" s="49"/>
      <c r="AM1976" s="49"/>
      <c r="AN1976" s="52" t="str">
        <f t="shared" si="5"/>
        <v>crystal,</v>
      </c>
    </row>
    <row r="1977">
      <c r="A1977" s="51"/>
      <c r="B1977" s="50" t="s">
        <v>3405</v>
      </c>
      <c r="C1977" s="50" t="s">
        <v>4218</v>
      </c>
      <c r="D1977" s="49" t="str">
        <f>IFERROR(__xludf.DUMMYFUNCTION("""COMPUTED_VALUE"""),"single")</f>
        <v>single</v>
      </c>
      <c r="E1977" s="49"/>
      <c r="F1977" s="49"/>
      <c r="G1977" s="49"/>
      <c r="H1977" s="54" t="str">
        <f t="shared" si="1"/>
        <v>task,</v>
      </c>
      <c r="I1977" s="50"/>
      <c r="J1977" s="50" t="s">
        <v>4373</v>
      </c>
      <c r="K1977" s="50" t="s">
        <v>106</v>
      </c>
      <c r="L1977" s="49"/>
      <c r="M1977" s="49"/>
      <c r="N1977" s="49"/>
      <c r="O1977" s="49" t="str">
        <f>IFERROR(__xludf.DUMMYFUNCTION("""COMPUTED_VALUE"""),"antonia")</f>
        <v>antonia</v>
      </c>
      <c r="P1977" s="49" t="str">
        <f t="shared" si="2"/>
        <v>crisp,</v>
      </c>
      <c r="Q1977" s="49"/>
      <c r="R1977" s="50" t="s">
        <v>5854</v>
      </c>
      <c r="S1977" s="55" t="s">
        <v>1159</v>
      </c>
      <c r="T1977" s="49"/>
      <c r="U1977" s="49"/>
      <c r="V1977" s="49"/>
      <c r="W1977" s="49"/>
      <c r="X1977" s="49" t="str">
        <f t="shared" si="3"/>
        <v>thirteen,</v>
      </c>
      <c r="Y1977" s="49"/>
      <c r="Z1977" s="1" t="s">
        <v>70</v>
      </c>
      <c r="AA1977" s="1" t="s">
        <v>5197</v>
      </c>
      <c r="AB1977" s="49"/>
      <c r="AC1977" s="49"/>
      <c r="AD1977" s="49"/>
      <c r="AE1977" s="49" t="str">
        <f>IFERROR(__xludf.DUMMYFUNCTION("""COMPUTED_VALUE"""),"antonia")</f>
        <v>antonia</v>
      </c>
      <c r="AF1977" s="49" t="str">
        <f t="shared" si="4"/>
        <v>demonstrates,</v>
      </c>
      <c r="AG1977" s="49"/>
      <c r="AH1977" s="1" t="s">
        <v>2073</v>
      </c>
      <c r="AI1977" s="1" t="s">
        <v>4447</v>
      </c>
      <c r="AJ1977" s="6" t="str">
        <f>IFERROR(__xludf.DUMMYFUNCTION("""COMPUTED_VALUE"""),"craft")</f>
        <v>craft</v>
      </c>
      <c r="AK1977" s="49"/>
      <c r="AL1977" s="49"/>
      <c r="AM1977" s="49"/>
      <c r="AN1977" s="52" t="str">
        <f t="shared" si="5"/>
        <v>trouble,</v>
      </c>
    </row>
    <row r="1978">
      <c r="A1978" s="51"/>
      <c r="B1978" s="50" t="s">
        <v>4585</v>
      </c>
      <c r="C1978" s="50" t="s">
        <v>4954</v>
      </c>
      <c r="D1978" s="49" t="str">
        <f>IFERROR(__xludf.DUMMYFUNCTION("""COMPUTED_VALUE"""),"shorts")</f>
        <v>shorts</v>
      </c>
      <c r="E1978" s="49"/>
      <c r="F1978" s="49"/>
      <c r="G1978" s="49"/>
      <c r="H1978" s="54" t="str">
        <f t="shared" si="1"/>
        <v>monument,</v>
      </c>
      <c r="I1978" s="50"/>
      <c r="J1978" s="50" t="s">
        <v>616</v>
      </c>
      <c r="K1978" s="50" t="s">
        <v>5199</v>
      </c>
      <c r="L1978" s="49"/>
      <c r="M1978" s="49"/>
      <c r="N1978" s="49"/>
      <c r="O1978" s="49" t="str">
        <f>IFERROR(__xludf.DUMMYFUNCTION("""COMPUTED_VALUE"""),"uncover")</f>
        <v>uncover</v>
      </c>
      <c r="P1978" s="49" t="str">
        <f t="shared" si="2"/>
        <v>plotting,</v>
      </c>
      <c r="Q1978" s="49"/>
      <c r="R1978" s="50" t="s">
        <v>1502</v>
      </c>
      <c r="S1978" s="55" t="s">
        <v>2498</v>
      </c>
      <c r="T1978" s="49"/>
      <c r="U1978" s="49"/>
      <c r="V1978" s="49"/>
      <c r="W1978" s="49"/>
      <c r="X1978" s="49" t="str">
        <f t="shared" si="3"/>
        <v>poet,</v>
      </c>
      <c r="Y1978" s="49"/>
      <c r="Z1978" s="1" t="s">
        <v>640</v>
      </c>
      <c r="AA1978" s="1" t="s">
        <v>675</v>
      </c>
      <c r="AB1978" s="49"/>
      <c r="AC1978" s="49"/>
      <c r="AD1978" s="49"/>
      <c r="AE1978" s="49" t="str">
        <f>IFERROR(__xludf.DUMMYFUNCTION("""COMPUTED_VALUE"""),"uncover")</f>
        <v>uncover</v>
      </c>
      <c r="AF1978" s="49" t="str">
        <f t="shared" si="4"/>
        <v>caine,</v>
      </c>
      <c r="AG1978" s="49"/>
      <c r="AH1978" s="1" t="s">
        <v>6294</v>
      </c>
      <c r="AI1978" s="1" t="s">
        <v>1123</v>
      </c>
      <c r="AJ1978" s="6" t="str">
        <f>IFERROR(__xludf.DUMMYFUNCTION("""COMPUTED_VALUE"""),"often")</f>
        <v>often</v>
      </c>
      <c r="AK1978" s="49"/>
      <c r="AL1978" s="49"/>
      <c r="AM1978" s="49"/>
      <c r="AN1978" s="52" t="str">
        <f t="shared" si="5"/>
        <v>driving,</v>
      </c>
    </row>
    <row r="1979">
      <c r="A1979" s="51"/>
      <c r="B1979" s="50" t="s">
        <v>2924</v>
      </c>
      <c r="C1979" s="50" t="s">
        <v>3115</v>
      </c>
      <c r="D1979" s="49" t="str">
        <f>IFERROR(__xludf.DUMMYFUNCTION("""COMPUTED_VALUE"""),"crazy")</f>
        <v>crazy</v>
      </c>
      <c r="E1979" s="49"/>
      <c r="F1979" s="49"/>
      <c r="G1979" s="49"/>
      <c r="H1979" s="54" t="str">
        <f t="shared" si="1"/>
        <v>gradually,</v>
      </c>
      <c r="I1979" s="50"/>
      <c r="J1979" s="50" t="s">
        <v>4969</v>
      </c>
      <c r="K1979" s="50" t="s">
        <v>5200</v>
      </c>
      <c r="L1979" s="49"/>
      <c r="M1979" s="49"/>
      <c r="N1979" s="49"/>
      <c r="O1979" s="49" t="str">
        <f>IFERROR(__xludf.DUMMYFUNCTION("""COMPUTED_VALUE"""),"confuse")</f>
        <v>confuse</v>
      </c>
      <c r="P1979" s="49" t="str">
        <f t="shared" si="2"/>
        <v>map,</v>
      </c>
      <c r="Q1979" s="49"/>
      <c r="R1979" s="50" t="s">
        <v>6187</v>
      </c>
      <c r="S1979" s="55" t="s">
        <v>3422</v>
      </c>
      <c r="T1979" s="49"/>
      <c r="U1979" s="49"/>
      <c r="V1979" s="49"/>
      <c r="W1979" s="49"/>
      <c r="X1979" s="49" t="str">
        <f t="shared" si="3"/>
        <v>rough,</v>
      </c>
      <c r="Y1979" s="49"/>
      <c r="Z1979" s="1" t="s">
        <v>3913</v>
      </c>
      <c r="AA1979" s="1" t="s">
        <v>983</v>
      </c>
      <c r="AB1979" s="49"/>
      <c r="AC1979" s="49"/>
      <c r="AD1979" s="49"/>
      <c r="AE1979" s="49" t="str">
        <f>IFERROR(__xludf.DUMMYFUNCTION("""COMPUTED_VALUE"""),"confuse")</f>
        <v>confuse</v>
      </c>
      <c r="AF1979" s="49" t="str">
        <f t="shared" si="4"/>
        <v>grace,</v>
      </c>
      <c r="AG1979" s="49"/>
      <c r="AH1979" s="1" t="s">
        <v>4900</v>
      </c>
      <c r="AI1979" s="1" t="s">
        <v>5167</v>
      </c>
      <c r="AJ1979" s="6" t="str">
        <f>IFERROR(__xludf.DUMMYFUNCTION("""COMPUTED_VALUE"""),"arts")</f>
        <v>arts</v>
      </c>
      <c r="AK1979" s="49"/>
      <c r="AL1979" s="49"/>
      <c r="AM1979" s="49"/>
      <c r="AN1979" s="52" t="str">
        <f t="shared" si="5"/>
        <v>abandoned,</v>
      </c>
    </row>
    <row r="1980">
      <c r="A1980" s="51"/>
      <c r="B1980" s="50" t="s">
        <v>2654</v>
      </c>
      <c r="C1980" s="50" t="s">
        <v>4231</v>
      </c>
      <c r="D1980" s="49" t="str">
        <f>IFERROR(__xludf.DUMMYFUNCTION("""COMPUTED_VALUE"""),"grandfather")</f>
        <v>grandfather</v>
      </c>
      <c r="E1980" s="49"/>
      <c r="F1980" s="49"/>
      <c r="G1980" s="49"/>
      <c r="H1980" s="54" t="str">
        <f t="shared" si="1"/>
        <v>floating,</v>
      </c>
      <c r="I1980" s="50"/>
      <c r="J1980" s="50" t="s">
        <v>5536</v>
      </c>
      <c r="K1980" s="50" t="s">
        <v>4668</v>
      </c>
      <c r="L1980" s="49"/>
      <c r="M1980" s="49"/>
      <c r="N1980" s="49"/>
      <c r="O1980" s="49" t="str">
        <f>IFERROR(__xludf.DUMMYFUNCTION("""COMPUTED_VALUE"""),"enlightenment")</f>
        <v>enlightenment</v>
      </c>
      <c r="P1980" s="49" t="str">
        <f t="shared" si="2"/>
        <v>ladder,</v>
      </c>
      <c r="Q1980" s="49"/>
      <c r="R1980" s="50" t="s">
        <v>203</v>
      </c>
      <c r="S1980" s="55" t="s">
        <v>2108</v>
      </c>
      <c r="T1980" s="49"/>
      <c r="U1980" s="49"/>
      <c r="V1980" s="49"/>
      <c r="W1980" s="49"/>
      <c r="X1980" s="49" t="str">
        <f t="shared" si="3"/>
        <v>triumph,</v>
      </c>
      <c r="Y1980" s="49"/>
      <c r="Z1980" s="1" t="s">
        <v>6580</v>
      </c>
      <c r="AA1980" s="1" t="s">
        <v>4290</v>
      </c>
      <c r="AB1980" s="49"/>
      <c r="AC1980" s="49"/>
      <c r="AD1980" s="49"/>
      <c r="AE1980" s="49" t="str">
        <f>IFERROR(__xludf.DUMMYFUNCTION("""COMPUTED_VALUE"""),"enlightenment")</f>
        <v>enlightenment</v>
      </c>
      <c r="AF1980" s="49" t="str">
        <f t="shared" si="4"/>
        <v>choice,</v>
      </c>
      <c r="AG1980" s="49"/>
      <c r="AH1980" s="1" t="s">
        <v>2960</v>
      </c>
      <c r="AI1980" s="1" t="s">
        <v>6453</v>
      </c>
      <c r="AJ1980" s="6" t="str">
        <f>IFERROR(__xludf.DUMMYFUNCTION("""COMPUTED_VALUE"""),"projects")</f>
        <v>projects</v>
      </c>
      <c r="AK1980" s="49"/>
      <c r="AL1980" s="49"/>
      <c r="AM1980" s="49"/>
      <c r="AN1980" s="52" t="str">
        <f t="shared" si="5"/>
        <v>market,</v>
      </c>
    </row>
    <row r="1981">
      <c r="A1981" s="51"/>
      <c r="B1981" s="50" t="s">
        <v>678</v>
      </c>
      <c r="C1981" s="50" t="s">
        <v>4237</v>
      </c>
      <c r="D1981" s="49" t="str">
        <f>IFERROR(__xludf.DUMMYFUNCTION("""COMPUTED_VALUE"""),"deliver")</f>
        <v>deliver</v>
      </c>
      <c r="E1981" s="49"/>
      <c r="F1981" s="49"/>
      <c r="G1981" s="49"/>
      <c r="H1981" s="54" t="str">
        <f t="shared" si="1"/>
        <v>deadly,</v>
      </c>
      <c r="I1981" s="50"/>
      <c r="J1981" s="50" t="s">
        <v>6142</v>
      </c>
      <c r="K1981" s="50" t="s">
        <v>203</v>
      </c>
      <c r="L1981" s="49"/>
      <c r="M1981" s="49"/>
      <c r="N1981" s="49"/>
      <c r="O1981" s="49" t="str">
        <f>IFERROR(__xludf.DUMMYFUNCTION("""COMPUTED_VALUE"""),"rudd")</f>
        <v>rudd</v>
      </c>
      <c r="P1981" s="49" t="str">
        <f t="shared" si="2"/>
        <v>agency,</v>
      </c>
      <c r="Q1981" s="49"/>
      <c r="R1981" s="50" t="s">
        <v>7045</v>
      </c>
      <c r="S1981" s="55" t="s">
        <v>2006</v>
      </c>
      <c r="T1981" s="49"/>
      <c r="U1981" s="49"/>
      <c r="V1981" s="49"/>
      <c r="W1981" s="49"/>
      <c r="X1981" s="49" t="str">
        <f t="shared" si="3"/>
        <v>bath,</v>
      </c>
      <c r="Y1981" s="49"/>
      <c r="Z1981" s="1" t="s">
        <v>3105</v>
      </c>
      <c r="AA1981" s="1" t="s">
        <v>4612</v>
      </c>
      <c r="AB1981" s="49"/>
      <c r="AC1981" s="49"/>
      <c r="AD1981" s="49"/>
      <c r="AE1981" s="49" t="str">
        <f>IFERROR(__xludf.DUMMYFUNCTION("""COMPUTED_VALUE"""),"rudd")</f>
        <v>rudd</v>
      </c>
      <c r="AF1981" s="49" t="str">
        <f t="shared" si="4"/>
        <v>corner,</v>
      </c>
      <c r="AG1981" s="49"/>
      <c r="AH1981" s="1" t="s">
        <v>2624</v>
      </c>
      <c r="AI1981" s="1">
        <v>15.0</v>
      </c>
      <c r="AJ1981" s="6" t="str">
        <f>IFERROR(__xludf.DUMMYFUNCTION("""COMPUTED_VALUE"""),"dragon")</f>
        <v>dragon</v>
      </c>
      <c r="AK1981" s="49"/>
      <c r="AL1981" s="49"/>
      <c r="AM1981" s="49"/>
      <c r="AN1981" s="52" t="str">
        <f t="shared" si="5"/>
        <v>heavy,</v>
      </c>
    </row>
    <row r="1982">
      <c r="A1982" s="51"/>
      <c r="B1982" s="50" t="s">
        <v>6532</v>
      </c>
      <c r="C1982" s="50" t="s">
        <v>5370</v>
      </c>
      <c r="D1982" s="49" t="str">
        <f>IFERROR(__xludf.DUMMYFUNCTION("""COMPUTED_VALUE"""),"lines")</f>
        <v>lines</v>
      </c>
      <c r="E1982" s="49"/>
      <c r="F1982" s="49"/>
      <c r="G1982" s="49"/>
      <c r="H1982" s="54" t="str">
        <f t="shared" si="1"/>
        <v>elizabeth,</v>
      </c>
      <c r="I1982" s="50"/>
      <c r="J1982" s="50" t="s">
        <v>6883</v>
      </c>
      <c r="K1982" s="50" t="s">
        <v>5203</v>
      </c>
      <c r="L1982" s="49"/>
      <c r="M1982" s="49"/>
      <c r="N1982" s="49"/>
      <c r="O1982" s="49" t="str">
        <f>IFERROR(__xludf.DUMMYFUNCTION("""COMPUTED_VALUE"""),"confession")</f>
        <v>confession</v>
      </c>
      <c r="P1982" s="49" t="str">
        <f t="shared" si="2"/>
        <v>grateful,</v>
      </c>
      <c r="Q1982" s="49"/>
      <c r="R1982" s="50" t="s">
        <v>6411</v>
      </c>
      <c r="S1982" s="55" t="s">
        <v>6617</v>
      </c>
      <c r="T1982" s="49"/>
      <c r="U1982" s="49"/>
      <c r="V1982" s="49"/>
      <c r="W1982" s="49"/>
      <c r="X1982" s="49" t="str">
        <f t="shared" si="3"/>
        <v>freshly,</v>
      </c>
      <c r="Y1982" s="49"/>
      <c r="Z1982" s="1" t="s">
        <v>3700</v>
      </c>
      <c r="AA1982" s="1" t="s">
        <v>5202</v>
      </c>
      <c r="AB1982" s="49"/>
      <c r="AC1982" s="49"/>
      <c r="AD1982" s="49"/>
      <c r="AE1982" s="49" t="str">
        <f>IFERROR(__xludf.DUMMYFUNCTION("""COMPUTED_VALUE"""),"confession")</f>
        <v>confession</v>
      </c>
      <c r="AF1982" s="49" t="str">
        <f t="shared" si="4"/>
        <v>awkward,</v>
      </c>
      <c r="AG1982" s="49"/>
      <c r="AH1982" s="1" t="s">
        <v>5032</v>
      </c>
      <c r="AI1982" s="1" t="s">
        <v>2201</v>
      </c>
      <c r="AJ1982" s="6" t="str">
        <f>IFERROR(__xludf.DUMMYFUNCTION("""COMPUTED_VALUE"""),"jet")</f>
        <v>jet</v>
      </c>
      <c r="AK1982" s="49"/>
      <c r="AL1982" s="49"/>
      <c r="AM1982" s="49"/>
      <c r="AN1982" s="52" t="str">
        <f t="shared" si="5"/>
        <v>youth,</v>
      </c>
    </row>
    <row r="1983">
      <c r="A1983" s="51"/>
      <c r="B1983" s="50" t="s">
        <v>1249</v>
      </c>
      <c r="C1983" s="50" t="s">
        <v>4226</v>
      </c>
      <c r="D1983" s="49" t="str">
        <f>IFERROR(__xludf.DUMMYFUNCTION("""COMPUTED_VALUE"""),"reading")</f>
        <v>reading</v>
      </c>
      <c r="E1983" s="49"/>
      <c r="F1983" s="49"/>
      <c r="G1983" s="49"/>
      <c r="H1983" s="54" t="str">
        <f t="shared" si="1"/>
        <v>midnight,</v>
      </c>
      <c r="I1983" s="50"/>
      <c r="J1983" s="50" t="s">
        <v>3377</v>
      </c>
      <c r="K1983" s="50" t="s">
        <v>1254</v>
      </c>
      <c r="L1983" s="49"/>
      <c r="M1983" s="49"/>
      <c r="N1983" s="49"/>
      <c r="O1983" s="49" t="str">
        <f>IFERROR(__xludf.DUMMYFUNCTION("""COMPUTED_VALUE"""),"thoughtfully")</f>
        <v>thoughtfully</v>
      </c>
      <c r="P1983" s="49" t="str">
        <f t="shared" si="2"/>
        <v>layers,</v>
      </c>
      <c r="Q1983" s="49"/>
      <c r="R1983" s="50" t="s">
        <v>293</v>
      </c>
      <c r="S1983" s="55" t="s">
        <v>4280</v>
      </c>
      <c r="T1983" s="49"/>
      <c r="U1983" s="49"/>
      <c r="V1983" s="49"/>
      <c r="W1983" s="49"/>
      <c r="X1983" s="49" t="str">
        <f t="shared" si="3"/>
        <v>considerable,</v>
      </c>
      <c r="Y1983" s="49"/>
      <c r="Z1983" s="1" t="s">
        <v>4488</v>
      </c>
      <c r="AA1983" s="1" t="s">
        <v>5204</v>
      </c>
      <c r="AB1983" s="49"/>
      <c r="AC1983" s="49"/>
      <c r="AD1983" s="49"/>
      <c r="AE1983" s="49" t="str">
        <f>IFERROR(__xludf.DUMMYFUNCTION("""COMPUTED_VALUE"""),"thoughtfully")</f>
        <v>thoughtfully</v>
      </c>
      <c r="AF1983" s="49" t="str">
        <f t="shared" si="4"/>
        <v>fit,</v>
      </c>
      <c r="AG1983" s="49"/>
      <c r="AH1983" s="1" t="s">
        <v>5231</v>
      </c>
      <c r="AI1983" s="1" t="s">
        <v>3022</v>
      </c>
      <c r="AJ1983" s="6" t="str">
        <f>IFERROR(__xludf.DUMMYFUNCTION("""COMPUTED_VALUE"""),"paying")</f>
        <v>paying</v>
      </c>
      <c r="AK1983" s="49"/>
      <c r="AL1983" s="49"/>
      <c r="AM1983" s="49"/>
      <c r="AN1983" s="52" t="str">
        <f t="shared" si="5"/>
        <v>remaining,</v>
      </c>
    </row>
    <row r="1984">
      <c r="A1984" s="51"/>
      <c r="B1984" s="50" t="s">
        <v>964</v>
      </c>
      <c r="C1984" s="50" t="s">
        <v>1389</v>
      </c>
      <c r="D1984" s="49" t="str">
        <f>IFERROR(__xludf.DUMMYFUNCTION("""COMPUTED_VALUE"""),"figures")</f>
        <v>figures</v>
      </c>
      <c r="E1984" s="49"/>
      <c r="F1984" s="49"/>
      <c r="G1984" s="49"/>
      <c r="H1984" s="54" t="str">
        <f t="shared" si="1"/>
        <v>musical,</v>
      </c>
      <c r="I1984" s="50"/>
      <c r="J1984" s="50" t="s">
        <v>1759</v>
      </c>
      <c r="K1984" s="50" t="s">
        <v>2031</v>
      </c>
      <c r="L1984" s="49"/>
      <c r="M1984" s="49"/>
      <c r="N1984" s="49"/>
      <c r="O1984" s="49" t="str">
        <f>IFERROR(__xludf.DUMMYFUNCTION("""COMPUTED_VALUE"""),"susceptible")</f>
        <v>susceptible</v>
      </c>
      <c r="P1984" s="49" t="str">
        <f t="shared" si="2"/>
        <v>seeks,</v>
      </c>
      <c r="Q1984" s="49"/>
      <c r="R1984" s="50" t="s">
        <v>7491</v>
      </c>
      <c r="S1984" s="55" t="s">
        <v>6167</v>
      </c>
      <c r="T1984" s="49"/>
      <c r="U1984" s="49"/>
      <c r="V1984" s="49"/>
      <c r="W1984" s="49"/>
      <c r="X1984" s="49" t="str">
        <f t="shared" si="3"/>
        <v>depend,</v>
      </c>
      <c r="Y1984" s="49"/>
      <c r="Z1984" s="1" t="s">
        <v>5047</v>
      </c>
      <c r="AA1984" s="1" t="s">
        <v>4185</v>
      </c>
      <c r="AB1984" s="49"/>
      <c r="AC1984" s="49"/>
      <c r="AD1984" s="49"/>
      <c r="AE1984" s="49" t="str">
        <f>IFERROR(__xludf.DUMMYFUNCTION("""COMPUTED_VALUE"""),"susceptible")</f>
        <v>susceptible</v>
      </c>
      <c r="AF1984" s="49" t="str">
        <f t="shared" si="4"/>
        <v>expects,</v>
      </c>
      <c r="AG1984" s="49"/>
      <c r="AH1984" s="1" t="s">
        <v>2757</v>
      </c>
      <c r="AI1984" s="1" t="s">
        <v>5174</v>
      </c>
      <c r="AJ1984" s="6" t="str">
        <f>IFERROR(__xludf.DUMMYFUNCTION("""COMPUTED_VALUE"""),"martial")</f>
        <v>martial</v>
      </c>
      <c r="AK1984" s="49"/>
      <c r="AL1984" s="49"/>
      <c r="AM1984" s="49"/>
      <c r="AN1984" s="52" t="str">
        <f t="shared" si="5"/>
        <v>growing,</v>
      </c>
    </row>
    <row r="1985">
      <c r="A1985" s="51"/>
      <c r="B1985" s="50" t="s">
        <v>6890</v>
      </c>
      <c r="C1985" s="50" t="s">
        <v>6582</v>
      </c>
      <c r="D1985" s="49" t="str">
        <f>IFERROR(__xludf.DUMMYFUNCTION("""COMPUTED_VALUE"""),"expert")</f>
        <v>expert</v>
      </c>
      <c r="E1985" s="49"/>
      <c r="F1985" s="49"/>
      <c r="G1985" s="49"/>
      <c r="H1985" s="54" t="str">
        <f t="shared" si="1"/>
        <v>doors,</v>
      </c>
      <c r="I1985" s="50"/>
      <c r="J1985" s="50" t="s">
        <v>3088</v>
      </c>
      <c r="K1985" s="50" t="s">
        <v>4670</v>
      </c>
      <c r="L1985" s="49"/>
      <c r="M1985" s="49"/>
      <c r="N1985" s="49"/>
      <c r="O1985" s="49" t="str">
        <f>IFERROR(__xludf.DUMMYFUNCTION("""COMPUTED_VALUE"""),"liberalism")</f>
        <v>liberalism</v>
      </c>
      <c r="P1985" s="49" t="str">
        <f t="shared" si="2"/>
        <v>bag,</v>
      </c>
      <c r="Q1985" s="49"/>
      <c r="R1985" s="50" t="s">
        <v>3516</v>
      </c>
      <c r="S1985" s="55" t="s">
        <v>2213</v>
      </c>
      <c r="T1985" s="49"/>
      <c r="U1985" s="49"/>
      <c r="V1985" s="49"/>
      <c r="W1985" s="49"/>
      <c r="X1985" s="49" t="str">
        <f t="shared" si="3"/>
        <v>timely,</v>
      </c>
      <c r="Y1985" s="49"/>
      <c r="Z1985" s="1" t="s">
        <v>2207</v>
      </c>
      <c r="AA1985" s="1" t="s">
        <v>5207</v>
      </c>
      <c r="AB1985" s="49"/>
      <c r="AC1985" s="49"/>
      <c r="AD1985" s="49"/>
      <c r="AE1985" s="49" t="str">
        <f>IFERROR(__xludf.DUMMYFUNCTION("""COMPUTED_VALUE"""),"liberalism")</f>
        <v>liberalism</v>
      </c>
      <c r="AF1985" s="49" t="str">
        <f t="shared" si="4"/>
        <v>strike,</v>
      </c>
      <c r="AG1985" s="49"/>
      <c r="AH1985" s="1" t="s">
        <v>5157</v>
      </c>
      <c r="AI1985" s="1" t="s">
        <v>5006</v>
      </c>
      <c r="AJ1985" s="6" t="str">
        <f>IFERROR(__xludf.DUMMYFUNCTION("""COMPUTED_VALUE"""),"flying")</f>
        <v>flying</v>
      </c>
      <c r="AK1985" s="49"/>
      <c r="AL1985" s="49"/>
      <c r="AM1985" s="49"/>
      <c r="AN1985" s="52" t="str">
        <f t="shared" si="5"/>
        <v>jersey,</v>
      </c>
    </row>
    <row r="1986">
      <c r="A1986" s="51"/>
      <c r="B1986" s="50" t="s">
        <v>2364</v>
      </c>
      <c r="C1986" s="50" t="s">
        <v>6583</v>
      </c>
      <c r="D1986" s="49" t="str">
        <f>IFERROR(__xludf.DUMMYFUNCTION("""COMPUTED_VALUE"""),"viewed")</f>
        <v>viewed</v>
      </c>
      <c r="E1986" s="49"/>
      <c r="F1986" s="49"/>
      <c r="G1986" s="49"/>
      <c r="H1986" s="54" t="str">
        <f t="shared" si="1"/>
        <v>camera,</v>
      </c>
      <c r="I1986" s="50"/>
      <c r="J1986" s="50" t="s">
        <v>2482</v>
      </c>
      <c r="K1986" s="50" t="s">
        <v>5211</v>
      </c>
      <c r="L1986" s="49"/>
      <c r="M1986" s="49"/>
      <c r="N1986" s="49"/>
      <c r="O1986" s="49" t="str">
        <f>IFERROR(__xludf.DUMMYFUNCTION("""COMPUTED_VALUE"""),"readings")</f>
        <v>readings</v>
      </c>
      <c r="P1986" s="49" t="str">
        <f t="shared" si="2"/>
        <v>evelyn,</v>
      </c>
      <c r="Q1986" s="49"/>
      <c r="R1986" s="50" t="s">
        <v>452</v>
      </c>
      <c r="S1986" s="55" t="s">
        <v>1165</v>
      </c>
      <c r="T1986" s="49"/>
      <c r="U1986" s="49"/>
      <c r="V1986" s="49"/>
      <c r="W1986" s="49"/>
      <c r="X1986" s="49" t="str">
        <f t="shared" si="3"/>
        <v>smug,</v>
      </c>
      <c r="Y1986" s="49"/>
      <c r="Z1986" s="1" t="s">
        <v>2071</v>
      </c>
      <c r="AA1986" s="1" t="s">
        <v>5209</v>
      </c>
      <c r="AB1986" s="49"/>
      <c r="AC1986" s="49"/>
      <c r="AD1986" s="49"/>
      <c r="AE1986" s="49" t="str">
        <f>IFERROR(__xludf.DUMMYFUNCTION("""COMPUTED_VALUE"""),"readings")</f>
        <v>readings</v>
      </c>
      <c r="AF1986" s="49" t="str">
        <f t="shared" si="4"/>
        <v>disguised,</v>
      </c>
      <c r="AG1986" s="49"/>
      <c r="AH1986" s="1" t="s">
        <v>4922</v>
      </c>
      <c r="AI1986" s="1" t="s">
        <v>3355</v>
      </c>
      <c r="AJ1986" s="6" t="str">
        <f>IFERROR(__xludf.DUMMYFUNCTION("""COMPUTED_VALUE"""),"images")</f>
        <v>images</v>
      </c>
      <c r="AK1986" s="49"/>
      <c r="AL1986" s="49"/>
      <c r="AM1986" s="49"/>
      <c r="AN1986" s="52" t="str">
        <f t="shared" si="5"/>
        <v>1950s,</v>
      </c>
    </row>
    <row r="1987">
      <c r="A1987" s="51"/>
      <c r="B1987" s="50" t="s">
        <v>5108</v>
      </c>
      <c r="C1987" s="50" t="s">
        <v>5426</v>
      </c>
      <c r="D1987" s="49" t="str">
        <f>IFERROR(__xludf.DUMMYFUNCTION("""COMPUTED_VALUE"""),"angle")</f>
        <v>angle</v>
      </c>
      <c r="E1987" s="49"/>
      <c r="F1987" s="49"/>
      <c r="G1987" s="49"/>
      <c r="H1987" s="54" t="str">
        <f t="shared" si="1"/>
        <v>sudden,</v>
      </c>
      <c r="I1987" s="50"/>
      <c r="J1987" s="50" t="s">
        <v>5977</v>
      </c>
      <c r="K1987" s="50" t="s">
        <v>2883</v>
      </c>
      <c r="L1987" s="49"/>
      <c r="M1987" s="49"/>
      <c r="N1987" s="49"/>
      <c r="O1987" s="49" t="str">
        <f>IFERROR(__xludf.DUMMYFUNCTION("""COMPUTED_VALUE"""),"troopers")</f>
        <v>troopers</v>
      </c>
      <c r="P1987" s="49" t="str">
        <f t="shared" si="2"/>
        <v>masses,</v>
      </c>
      <c r="Q1987" s="49"/>
      <c r="R1987" s="50" t="s">
        <v>1098</v>
      </c>
      <c r="S1987" s="55" t="s">
        <v>966</v>
      </c>
      <c r="T1987" s="49"/>
      <c r="U1987" s="49"/>
      <c r="V1987" s="49"/>
      <c r="W1987" s="49"/>
      <c r="X1987" s="49" t="str">
        <f t="shared" si="3"/>
        <v>viewed,</v>
      </c>
      <c r="Y1987" s="49"/>
      <c r="Z1987" s="1" t="s">
        <v>4770</v>
      </c>
      <c r="AA1987" s="1" t="s">
        <v>4187</v>
      </c>
      <c r="AB1987" s="49"/>
      <c r="AC1987" s="49"/>
      <c r="AD1987" s="49"/>
      <c r="AE1987" s="49" t="str">
        <f>IFERROR(__xludf.DUMMYFUNCTION("""COMPUTED_VALUE"""),"troopers")</f>
        <v>troopers</v>
      </c>
      <c r="AF1987" s="49" t="str">
        <f t="shared" si="4"/>
        <v>fills,</v>
      </c>
      <c r="AG1987" s="49"/>
      <c r="AH1987" s="1" t="s">
        <v>4281</v>
      </c>
      <c r="AI1987" s="1" t="s">
        <v>5135</v>
      </c>
      <c r="AJ1987" s="6" t="str">
        <f>IFERROR(__xludf.DUMMYFUNCTION("""COMPUTED_VALUE"""),"cousin")</f>
        <v>cousin</v>
      </c>
      <c r="AK1987" s="49"/>
      <c r="AL1987" s="49"/>
      <c r="AM1987" s="49"/>
      <c r="AN1987" s="52" t="str">
        <f t="shared" si="5"/>
        <v>adults,</v>
      </c>
    </row>
    <row r="1988">
      <c r="A1988" s="51"/>
      <c r="B1988" s="50" t="s">
        <v>6780</v>
      </c>
      <c r="C1988" s="50" t="s">
        <v>4248</v>
      </c>
      <c r="D1988" s="49" t="str">
        <f>IFERROR(__xludf.DUMMYFUNCTION("""COMPUTED_VALUE"""),"hand")</f>
        <v>hand</v>
      </c>
      <c r="E1988" s="49"/>
      <c r="F1988" s="49"/>
      <c r="G1988" s="49"/>
      <c r="H1988" s="54" t="str">
        <f t="shared" si="1"/>
        <v>focuses,</v>
      </c>
      <c r="I1988" s="50"/>
      <c r="J1988" s="50" t="s">
        <v>6574</v>
      </c>
      <c r="K1988" s="50" t="s">
        <v>4672</v>
      </c>
      <c r="L1988" s="49"/>
      <c r="M1988" s="49"/>
      <c r="N1988" s="49"/>
      <c r="O1988" s="49" t="str">
        <f>IFERROR(__xludf.DUMMYFUNCTION("""COMPUTED_VALUE"""),"powerhouse")</f>
        <v>powerhouse</v>
      </c>
      <c r="P1988" s="49" t="str">
        <f t="shared" si="2"/>
        <v>sorry,</v>
      </c>
      <c r="Q1988" s="49"/>
      <c r="R1988" s="50" t="s">
        <v>3551</v>
      </c>
      <c r="S1988" s="55" t="s">
        <v>961</v>
      </c>
      <c r="T1988" s="49"/>
      <c r="U1988" s="49"/>
      <c r="V1988" s="49"/>
      <c r="W1988" s="49"/>
      <c r="X1988" s="49" t="str">
        <f t="shared" si="3"/>
        <v>teddy,</v>
      </c>
      <c r="Y1988" s="49"/>
      <c r="Z1988" s="1" t="s">
        <v>2804</v>
      </c>
      <c r="AA1988" s="1" t="s">
        <v>5212</v>
      </c>
      <c r="AB1988" s="49"/>
      <c r="AC1988" s="49"/>
      <c r="AD1988" s="49"/>
      <c r="AE1988" s="49" t="str">
        <f>IFERROR(__xludf.DUMMYFUNCTION("""COMPUTED_VALUE"""),"powerhouse")</f>
        <v>powerhouse</v>
      </c>
      <c r="AF1988" s="49" t="str">
        <f t="shared" si="4"/>
        <v>bond,</v>
      </c>
      <c r="AG1988" s="49"/>
      <c r="AH1988" s="1" t="s">
        <v>4663</v>
      </c>
      <c r="AI1988" s="1" t="s">
        <v>3363</v>
      </c>
      <c r="AJ1988" s="6" t="str">
        <f>IFERROR(__xludf.DUMMYFUNCTION("""COMPUTED_VALUE"""),"depression")</f>
        <v>depression</v>
      </c>
      <c r="AK1988" s="49"/>
      <c r="AL1988" s="49"/>
      <c r="AM1988" s="49"/>
      <c r="AN1988" s="52" t="str">
        <f t="shared" si="5"/>
        <v>notes,</v>
      </c>
    </row>
    <row r="1989">
      <c r="A1989" s="51"/>
      <c r="B1989" s="50" t="s">
        <v>589</v>
      </c>
      <c r="C1989" s="50" t="s">
        <v>415</v>
      </c>
      <c r="D1989" s="49" t="str">
        <f>IFERROR(__xludf.DUMMYFUNCTION("""COMPUTED_VALUE"""),"mature")</f>
        <v>mature</v>
      </c>
      <c r="E1989" s="49"/>
      <c r="F1989" s="49"/>
      <c r="G1989" s="49"/>
      <c r="H1989" s="54" t="str">
        <f t="shared" si="1"/>
        <v>pulse,</v>
      </c>
      <c r="I1989" s="50"/>
      <c r="J1989" s="50" t="s">
        <v>1638</v>
      </c>
      <c r="K1989" s="50" t="s">
        <v>3584</v>
      </c>
      <c r="L1989" s="49"/>
      <c r="M1989" s="49"/>
      <c r="N1989" s="49"/>
      <c r="O1989" s="49" t="str">
        <f>IFERROR(__xludf.DUMMYFUNCTION("""COMPUTED_VALUE"""),"searches")</f>
        <v>searches</v>
      </c>
      <c r="P1989" s="49" t="str">
        <f t="shared" si="2"/>
        <v>st,</v>
      </c>
      <c r="Q1989" s="49"/>
      <c r="R1989" s="50" t="s">
        <v>4786</v>
      </c>
      <c r="S1989" s="55" t="s">
        <v>1868</v>
      </c>
      <c r="T1989" s="49"/>
      <c r="U1989" s="49"/>
      <c r="V1989" s="49"/>
      <c r="W1989" s="49"/>
      <c r="X1989" s="49" t="str">
        <f t="shared" si="3"/>
        <v>painting,</v>
      </c>
      <c r="Y1989" s="49"/>
      <c r="Z1989" s="1" t="s">
        <v>747</v>
      </c>
      <c r="AA1989" s="1" t="s">
        <v>1581</v>
      </c>
      <c r="AB1989" s="49"/>
      <c r="AC1989" s="49"/>
      <c r="AD1989" s="49"/>
      <c r="AE1989" s="49" t="str">
        <f>IFERROR(__xludf.DUMMYFUNCTION("""COMPUTED_VALUE"""),"searches")</f>
        <v>searches</v>
      </c>
      <c r="AF1989" s="49" t="str">
        <f t="shared" si="4"/>
        <v>spielberg,</v>
      </c>
      <c r="AG1989" s="49"/>
      <c r="AH1989" s="1" t="s">
        <v>3875</v>
      </c>
      <c r="AI1989" s="1" t="s">
        <v>5016</v>
      </c>
      <c r="AJ1989" s="6" t="str">
        <f>IFERROR(__xludf.DUMMYFUNCTION("""COMPUTED_VALUE"""),"fine")</f>
        <v>fine</v>
      </c>
      <c r="AK1989" s="49"/>
      <c r="AL1989" s="49"/>
      <c r="AM1989" s="49"/>
      <c r="AN1989" s="52" t="str">
        <f t="shared" si="5"/>
        <v>victims,</v>
      </c>
    </row>
    <row r="1990">
      <c r="A1990" s="51"/>
      <c r="B1990" s="50" t="s">
        <v>2056</v>
      </c>
      <c r="C1990" s="50" t="s">
        <v>6585</v>
      </c>
      <c r="D1990" s="49" t="str">
        <f>IFERROR(__xludf.DUMMYFUNCTION("""COMPUTED_VALUE"""),"number")</f>
        <v>number</v>
      </c>
      <c r="E1990" s="49"/>
      <c r="F1990" s="49"/>
      <c r="G1990" s="49"/>
      <c r="H1990" s="54" t="str">
        <f t="shared" si="1"/>
        <v>desperately,</v>
      </c>
      <c r="I1990" s="50"/>
      <c r="J1990" s="50" t="s">
        <v>7492</v>
      </c>
      <c r="K1990" s="50" t="s">
        <v>5213</v>
      </c>
      <c r="L1990" s="49"/>
      <c r="M1990" s="49"/>
      <c r="N1990" s="49"/>
      <c r="O1990" s="49" t="str">
        <f>IFERROR(__xludf.DUMMYFUNCTION("""COMPUTED_VALUE"""),"leigh")</f>
        <v>leigh</v>
      </c>
      <c r="P1990" s="49" t="str">
        <f t="shared" si="2"/>
        <v>awesome,</v>
      </c>
      <c r="Q1990" s="49"/>
      <c r="R1990" s="50" t="s">
        <v>6428</v>
      </c>
      <c r="S1990" s="55" t="s">
        <v>5069</v>
      </c>
      <c r="T1990" s="49"/>
      <c r="U1990" s="49"/>
      <c r="V1990" s="49"/>
      <c r="W1990" s="49"/>
      <c r="X1990" s="49" t="str">
        <f t="shared" si="3"/>
        <v>wonderland,</v>
      </c>
      <c r="Y1990" s="49"/>
      <c r="Z1990" s="1" t="s">
        <v>865</v>
      </c>
      <c r="AA1990" s="1" t="s">
        <v>994</v>
      </c>
      <c r="AB1990" s="49"/>
      <c r="AC1990" s="49"/>
      <c r="AD1990" s="49"/>
      <c r="AE1990" s="49" t="str">
        <f>IFERROR(__xludf.DUMMYFUNCTION("""COMPUTED_VALUE"""),"leigh")</f>
        <v>leigh</v>
      </c>
      <c r="AF1990" s="49" t="str">
        <f t="shared" si="4"/>
        <v>superb,</v>
      </c>
      <c r="AG1990" s="49"/>
      <c r="AH1990" s="1" t="s">
        <v>6962</v>
      </c>
      <c r="AI1990" s="1" t="s">
        <v>3031</v>
      </c>
      <c r="AJ1990" s="6" t="str">
        <f>IFERROR(__xludf.DUMMYFUNCTION("""COMPUTED_VALUE"""),"realized")</f>
        <v>realized</v>
      </c>
      <c r="AK1990" s="49"/>
      <c r="AL1990" s="49"/>
      <c r="AM1990" s="49"/>
      <c r="AN1990" s="52" t="str">
        <f t="shared" si="5"/>
        <v>k,</v>
      </c>
    </row>
    <row r="1991">
      <c r="A1991" s="51"/>
      <c r="B1991" s="50" t="s">
        <v>407</v>
      </c>
      <c r="C1991" s="50" t="s">
        <v>3862</v>
      </c>
      <c r="D1991" s="49" t="str">
        <f>IFERROR(__xludf.DUMMYFUNCTION("""COMPUTED_VALUE"""),"pro")</f>
        <v>pro</v>
      </c>
      <c r="E1991" s="49"/>
      <c r="F1991" s="49"/>
      <c r="G1991" s="49"/>
      <c r="H1991" s="54" t="str">
        <f t="shared" si="1"/>
        <v>room,</v>
      </c>
      <c r="I1991" s="50"/>
      <c r="J1991" s="50" t="s">
        <v>706</v>
      </c>
      <c r="K1991" s="50" t="s">
        <v>5215</v>
      </c>
      <c r="L1991" s="49"/>
      <c r="M1991" s="49"/>
      <c r="N1991" s="49"/>
      <c r="O1991" s="49" t="str">
        <f>IFERROR(__xludf.DUMMYFUNCTION("""COMPUTED_VALUE"""),"infants")</f>
        <v>infants</v>
      </c>
      <c r="P1991" s="49" t="str">
        <f t="shared" si="2"/>
        <v>skill,</v>
      </c>
      <c r="Q1991" s="49"/>
      <c r="R1991" s="50" t="s">
        <v>7493</v>
      </c>
      <c r="S1991" s="55" t="s">
        <v>5953</v>
      </c>
      <c r="T1991" s="49"/>
      <c r="U1991" s="49"/>
      <c r="V1991" s="49"/>
      <c r="W1991" s="49"/>
      <c r="X1991" s="49" t="str">
        <f t="shared" si="3"/>
        <v>benign,</v>
      </c>
      <c r="Y1991" s="49"/>
      <c r="Z1991" s="1" t="s">
        <v>2183</v>
      </c>
      <c r="AA1991" s="1" t="s">
        <v>5214</v>
      </c>
      <c r="AB1991" s="49"/>
      <c r="AC1991" s="49"/>
      <c r="AD1991" s="49"/>
      <c r="AE1991" s="49" t="str">
        <f>IFERROR(__xludf.DUMMYFUNCTION("""COMPUTED_VALUE"""),"infants")</f>
        <v>infants</v>
      </c>
      <c r="AF1991" s="49" t="str">
        <f t="shared" si="4"/>
        <v>marvel,</v>
      </c>
      <c r="AG1991" s="49"/>
      <c r="AH1991" s="1" t="s">
        <v>572</v>
      </c>
      <c r="AI1991" s="1" t="s">
        <v>6618</v>
      </c>
      <c r="AJ1991" s="6" t="str">
        <f>IFERROR(__xludf.DUMMYFUNCTION("""COMPUTED_VALUE"""),"extended")</f>
        <v>extended</v>
      </c>
      <c r="AK1991" s="49"/>
      <c r="AL1991" s="49"/>
      <c r="AM1991" s="49"/>
      <c r="AN1991" s="52" t="str">
        <f t="shared" si="5"/>
        <v>river,</v>
      </c>
    </row>
    <row r="1992">
      <c r="A1992" s="51"/>
      <c r="B1992" s="50" t="s">
        <v>2519</v>
      </c>
      <c r="C1992" s="50" t="s">
        <v>3126</v>
      </c>
      <c r="D1992" s="49" t="str">
        <f>IFERROR(__xludf.DUMMYFUNCTION("""COMPUTED_VALUE"""),"con")</f>
        <v>con</v>
      </c>
      <c r="E1992" s="49"/>
      <c r="F1992" s="49"/>
      <c r="G1992" s="49"/>
      <c r="H1992" s="54" t="str">
        <f t="shared" si="1"/>
        <v>required,</v>
      </c>
      <c r="I1992" s="50"/>
      <c r="J1992" s="50" t="s">
        <v>6599</v>
      </c>
      <c r="K1992" s="50" t="s">
        <v>984</v>
      </c>
      <c r="L1992" s="49"/>
      <c r="M1992" s="49"/>
      <c r="N1992" s="49"/>
      <c r="O1992" s="49" t="str">
        <f>IFERROR(__xludf.DUMMYFUNCTION("""COMPUTED_VALUE"""),"communicate")</f>
        <v>communicate</v>
      </c>
      <c r="P1992" s="49" t="str">
        <f t="shared" si="2"/>
        <v>trap,</v>
      </c>
      <c r="Q1992" s="49"/>
      <c r="R1992" s="50" t="s">
        <v>5456</v>
      </c>
      <c r="S1992" s="55" t="s">
        <v>4520</v>
      </c>
      <c r="T1992" s="49"/>
      <c r="U1992" s="49"/>
      <c r="V1992" s="49"/>
      <c r="W1992" s="49"/>
      <c r="X1992" s="49" t="str">
        <f t="shared" si="3"/>
        <v>protective,</v>
      </c>
      <c r="Y1992" s="49"/>
      <c r="Z1992" s="1" t="s">
        <v>821</v>
      </c>
      <c r="AA1992" s="1" t="s">
        <v>5216</v>
      </c>
      <c r="AB1992" s="49"/>
      <c r="AC1992" s="49"/>
      <c r="AD1992" s="49"/>
      <c r="AE1992" s="49" t="str">
        <f>IFERROR(__xludf.DUMMYFUNCTION("""COMPUTED_VALUE"""),"communicate")</f>
        <v>communicate</v>
      </c>
      <c r="AF1992" s="49" t="str">
        <f t="shared" si="4"/>
        <v>sour,</v>
      </c>
      <c r="AG1992" s="49"/>
      <c r="AH1992" s="1" t="s">
        <v>1350</v>
      </c>
      <c r="AI1992" s="1" t="s">
        <v>1200</v>
      </c>
      <c r="AJ1992" s="6" t="str">
        <f>IFERROR(__xludf.DUMMYFUNCTION("""COMPUTED_VALUE"""),"olympic")</f>
        <v>olympic</v>
      </c>
      <c r="AK1992" s="49"/>
      <c r="AL1992" s="49"/>
      <c r="AM1992" s="49"/>
      <c r="AN1992" s="52" t="str">
        <f t="shared" si="5"/>
        <v>center,</v>
      </c>
    </row>
    <row r="1993">
      <c r="A1993" s="51"/>
      <c r="B1993" s="50" t="s">
        <v>2737</v>
      </c>
      <c r="C1993" s="50" t="s">
        <v>67</v>
      </c>
      <c r="D1993" s="49" t="str">
        <f>IFERROR(__xludf.DUMMYFUNCTION("""COMPUTED_VALUE"""),"stars")</f>
        <v>stars</v>
      </c>
      <c r="E1993" s="49"/>
      <c r="F1993" s="49"/>
      <c r="G1993" s="49"/>
      <c r="H1993" s="54" t="str">
        <f t="shared" si="1"/>
        <v>stories,</v>
      </c>
      <c r="I1993" s="50"/>
      <c r="J1993" s="50" t="s">
        <v>412</v>
      </c>
      <c r="K1993" s="50" t="s">
        <v>3588</v>
      </c>
      <c r="L1993" s="49"/>
      <c r="M1993" s="49"/>
      <c r="N1993" s="49"/>
      <c r="O1993" s="49" t="str">
        <f>IFERROR(__xludf.DUMMYFUNCTION("""COMPUTED_VALUE"""),"ransom")</f>
        <v>ransom</v>
      </c>
      <c r="P1993" s="49" t="str">
        <f t="shared" si="2"/>
        <v>subtle,</v>
      </c>
      <c r="Q1993" s="49"/>
      <c r="R1993" s="50" t="s">
        <v>6289</v>
      </c>
      <c r="S1993" s="55" t="s">
        <v>3128</v>
      </c>
      <c r="T1993" s="49"/>
      <c r="U1993" s="49"/>
      <c r="V1993" s="49"/>
      <c r="W1993" s="49"/>
      <c r="X1993" s="49" t="str">
        <f t="shared" si="3"/>
        <v>tucked,</v>
      </c>
      <c r="Y1993" s="49"/>
      <c r="Z1993" s="1" t="s">
        <v>3026</v>
      </c>
      <c r="AA1993" s="1" t="s">
        <v>1295</v>
      </c>
      <c r="AB1993" s="49"/>
      <c r="AC1993" s="49"/>
      <c r="AD1993" s="49"/>
      <c r="AE1993" s="49" t="str">
        <f>IFERROR(__xludf.DUMMYFUNCTION("""COMPUTED_VALUE"""),"ransom")</f>
        <v>ransom</v>
      </c>
      <c r="AF1993" s="49" t="str">
        <f t="shared" si="4"/>
        <v>fairly,</v>
      </c>
      <c r="AG1993" s="49"/>
      <c r="AH1993" s="1" t="s">
        <v>6370</v>
      </c>
      <c r="AI1993" s="1" t="s">
        <v>6619</v>
      </c>
      <c r="AJ1993" s="6" t="str">
        <f>IFERROR(__xludf.DUMMYFUNCTION("""COMPUTED_VALUE"""),"memory")</f>
        <v>memory</v>
      </c>
      <c r="AK1993" s="49"/>
      <c r="AL1993" s="49"/>
      <c r="AM1993" s="49"/>
      <c r="AN1993" s="52" t="str">
        <f t="shared" si="5"/>
        <v>approach,</v>
      </c>
    </row>
    <row r="1994">
      <c r="A1994" s="51"/>
      <c r="B1994" s="50" t="s">
        <v>6755</v>
      </c>
      <c r="C1994" s="50" t="s">
        <v>4991</v>
      </c>
      <c r="D1994" s="49" t="str">
        <f>IFERROR(__xludf.DUMMYFUNCTION("""COMPUTED_VALUE"""),"layer")</f>
        <v>layer</v>
      </c>
      <c r="E1994" s="49"/>
      <c r="F1994" s="49"/>
      <c r="G1994" s="49"/>
      <c r="H1994" s="54" t="str">
        <f t="shared" si="1"/>
        <v>lover,</v>
      </c>
      <c r="I1994" s="50"/>
      <c r="J1994" s="50" t="s">
        <v>573</v>
      </c>
      <c r="K1994" s="50" t="s">
        <v>1261</v>
      </c>
      <c r="L1994" s="49"/>
      <c r="M1994" s="49"/>
      <c r="N1994" s="49"/>
      <c r="O1994" s="49" t="str">
        <f>IFERROR(__xludf.DUMMYFUNCTION("""COMPUTED_VALUE"""),"lucia")</f>
        <v>lucia</v>
      </c>
      <c r="P1994" s="49" t="str">
        <f t="shared" si="2"/>
        <v>realism,</v>
      </c>
      <c r="Q1994" s="49"/>
      <c r="R1994" s="50" t="s">
        <v>4691</v>
      </c>
      <c r="S1994" s="55" t="s">
        <v>3994</v>
      </c>
      <c r="T1994" s="49"/>
      <c r="U1994" s="49"/>
      <c r="V1994" s="49"/>
      <c r="W1994" s="49"/>
      <c r="X1994" s="49" t="str">
        <f t="shared" si="3"/>
        <v>brit,</v>
      </c>
      <c r="Y1994" s="49"/>
      <c r="Z1994" s="1" t="s">
        <v>4581</v>
      </c>
      <c r="AA1994" s="1" t="s">
        <v>4194</v>
      </c>
      <c r="AB1994" s="49"/>
      <c r="AC1994" s="49"/>
      <c r="AD1994" s="49"/>
      <c r="AE1994" s="49" t="str">
        <f>IFERROR(__xludf.DUMMYFUNCTION("""COMPUTED_VALUE"""),"lucia")</f>
        <v>lucia</v>
      </c>
      <c r="AF1994" s="49" t="str">
        <f t="shared" si="4"/>
        <v>boat,</v>
      </c>
      <c r="AG1994" s="49"/>
      <c r="AH1994" s="1" t="s">
        <v>3031</v>
      </c>
      <c r="AI1994" s="1" t="s">
        <v>4472</v>
      </c>
      <c r="AJ1994" s="6" t="str">
        <f>IFERROR(__xludf.DUMMYFUNCTION("""COMPUTED_VALUE"""),"belly")</f>
        <v>belly</v>
      </c>
      <c r="AK1994" s="49"/>
      <c r="AL1994" s="49"/>
      <c r="AM1994" s="49"/>
      <c r="AN1994" s="52" t="str">
        <f t="shared" si="5"/>
        <v>treat,</v>
      </c>
    </row>
    <row r="1995">
      <c r="A1995" s="51"/>
      <c r="B1995" s="50" t="s">
        <v>3977</v>
      </c>
      <c r="C1995" s="50" t="s">
        <v>4685</v>
      </c>
      <c r="D1995" s="49" t="str">
        <f>IFERROR(__xludf.DUMMYFUNCTION("""COMPUTED_VALUE"""),"house")</f>
        <v>house</v>
      </c>
      <c r="E1995" s="49"/>
      <c r="F1995" s="49"/>
      <c r="G1995" s="49"/>
      <c r="H1995" s="54" t="str">
        <f t="shared" si="1"/>
        <v>reception,</v>
      </c>
      <c r="I1995" s="50"/>
      <c r="J1995" s="50" t="s">
        <v>491</v>
      </c>
      <c r="K1995" s="50" t="s">
        <v>5221</v>
      </c>
      <c r="L1995" s="49"/>
      <c r="M1995" s="49"/>
      <c r="N1995" s="49"/>
      <c r="O1995" s="49" t="str">
        <f>IFERROR(__xludf.DUMMYFUNCTION("""COMPUTED_VALUE"""),"fluttering")</f>
        <v>fluttering</v>
      </c>
      <c r="P1995" s="49" t="str">
        <f t="shared" si="2"/>
        <v>slump,</v>
      </c>
      <c r="Q1995" s="49"/>
      <c r="R1995" s="50" t="s">
        <v>6802</v>
      </c>
      <c r="S1995" s="55" t="s">
        <v>5072</v>
      </c>
      <c r="T1995" s="49"/>
      <c r="U1995" s="49"/>
      <c r="V1995" s="49"/>
      <c r="W1995" s="49"/>
      <c r="X1995" s="49" t="str">
        <f t="shared" si="3"/>
        <v>asset,</v>
      </c>
      <c r="Y1995" s="49"/>
      <c r="Z1995" s="1" t="s">
        <v>995</v>
      </c>
      <c r="AA1995" s="1" t="s">
        <v>2367</v>
      </c>
      <c r="AB1995" s="49"/>
      <c r="AC1995" s="49"/>
      <c r="AD1995" s="49"/>
      <c r="AE1995" s="49" t="str">
        <f>IFERROR(__xludf.DUMMYFUNCTION("""COMPUTED_VALUE"""),"fluttering")</f>
        <v>fluttering</v>
      </c>
      <c r="AF1995" s="49" t="str">
        <f t="shared" si="4"/>
        <v>eat,</v>
      </c>
      <c r="AG1995" s="49"/>
      <c r="AH1995" s="1" t="s">
        <v>1790</v>
      </c>
      <c r="AI1995" s="1" t="s">
        <v>3082</v>
      </c>
      <c r="AJ1995" s="6" t="str">
        <f>IFERROR(__xludf.DUMMYFUNCTION("""COMPUTED_VALUE"""),"ok")</f>
        <v>ok</v>
      </c>
      <c r="AK1995" s="49"/>
      <c r="AL1995" s="49"/>
      <c r="AM1995" s="49"/>
      <c r="AN1995" s="52" t="str">
        <f t="shared" si="5"/>
        <v>song,</v>
      </c>
    </row>
    <row r="1996">
      <c r="A1996" s="51"/>
      <c r="B1996" s="50" t="s">
        <v>6223</v>
      </c>
      <c r="C1996" s="50" t="s">
        <v>4789</v>
      </c>
      <c r="D1996" s="49" t="str">
        <f>IFERROR(__xludf.DUMMYFUNCTION("""COMPUTED_VALUE"""),"cuts")</f>
        <v>cuts</v>
      </c>
      <c r="E1996" s="49"/>
      <c r="F1996" s="49"/>
      <c r="G1996" s="49"/>
      <c r="H1996" s="54" t="str">
        <f t="shared" si="1"/>
        <v>roland,</v>
      </c>
      <c r="I1996" s="50"/>
      <c r="J1996" s="50" t="s">
        <v>5780</v>
      </c>
      <c r="K1996" s="50" t="s">
        <v>1983</v>
      </c>
      <c r="L1996" s="49"/>
      <c r="M1996" s="49"/>
      <c r="N1996" s="49"/>
      <c r="O1996" s="49" t="str">
        <f>IFERROR(__xludf.DUMMYFUNCTION("""COMPUTED_VALUE"""),"heartbreak")</f>
        <v>heartbreak</v>
      </c>
      <c r="P1996" s="49" t="str">
        <f t="shared" si="2"/>
        <v>expressing,</v>
      </c>
      <c r="Q1996" s="49"/>
      <c r="R1996" s="50" t="s">
        <v>1693</v>
      </c>
      <c r="S1996" s="55" t="s">
        <v>1872</v>
      </c>
      <c r="T1996" s="49"/>
      <c r="U1996" s="49"/>
      <c r="V1996" s="49"/>
      <c r="W1996" s="49"/>
      <c r="X1996" s="49" t="str">
        <f t="shared" si="3"/>
        <v>darling,</v>
      </c>
      <c r="Y1996" s="49"/>
      <c r="Z1996" s="1" t="s">
        <v>2080</v>
      </c>
      <c r="AA1996" s="1" t="s">
        <v>5222</v>
      </c>
      <c r="AB1996" s="49"/>
      <c r="AC1996" s="49"/>
      <c r="AD1996" s="49"/>
      <c r="AE1996" s="49" t="str">
        <f>IFERROR(__xludf.DUMMYFUNCTION("""COMPUTED_VALUE"""),"heartbreak")</f>
        <v>heartbreak</v>
      </c>
      <c r="AF1996" s="49" t="str">
        <f t="shared" si="4"/>
        <v>stuck,</v>
      </c>
      <c r="AG1996" s="49"/>
      <c r="AH1996" s="1" t="s">
        <v>5346</v>
      </c>
      <c r="AI1996" s="1" t="s">
        <v>5192</v>
      </c>
      <c r="AJ1996" s="6" t="str">
        <f>IFERROR(__xludf.DUMMYFUNCTION("""COMPUTED_VALUE"""),"moving")</f>
        <v>moving</v>
      </c>
      <c r="AK1996" s="49"/>
      <c r="AL1996" s="49"/>
      <c r="AM1996" s="49"/>
      <c r="AN1996" s="52" t="str">
        <f t="shared" si="5"/>
        <v>perform,</v>
      </c>
    </row>
    <row r="1997">
      <c r="A1997" s="51"/>
      <c r="B1997" s="50" t="s">
        <v>2920</v>
      </c>
      <c r="C1997" s="50" t="s">
        <v>6587</v>
      </c>
      <c r="D1997" s="49" t="str">
        <f>IFERROR(__xludf.DUMMYFUNCTION("""COMPUTED_VALUE"""),"coffee")</f>
        <v>coffee</v>
      </c>
      <c r="E1997" s="49"/>
      <c r="F1997" s="49"/>
      <c r="G1997" s="49"/>
      <c r="H1997" s="54" t="str">
        <f t="shared" si="1"/>
        <v>ellen,</v>
      </c>
      <c r="I1997" s="50"/>
      <c r="J1997" s="50" t="s">
        <v>2926</v>
      </c>
      <c r="K1997" s="50" t="s">
        <v>2020</v>
      </c>
      <c r="L1997" s="49"/>
      <c r="M1997" s="49"/>
      <c r="N1997" s="49"/>
      <c r="O1997" s="49" t="str">
        <f>IFERROR(__xludf.DUMMYFUNCTION("""COMPUTED_VALUE"""),"schultz")</f>
        <v>schultz</v>
      </c>
      <c r="P1997" s="49" t="str">
        <f t="shared" si="2"/>
        <v>pow,</v>
      </c>
      <c r="Q1997" s="49"/>
      <c r="R1997" s="50" t="s">
        <v>1462</v>
      </c>
      <c r="S1997" s="55" t="s">
        <v>5079</v>
      </c>
      <c r="T1997" s="49"/>
      <c r="U1997" s="49"/>
      <c r="V1997" s="49"/>
      <c r="W1997" s="49"/>
      <c r="X1997" s="49" t="str">
        <f t="shared" si="3"/>
        <v>swim,</v>
      </c>
      <c r="Y1997" s="49"/>
      <c r="Z1997" s="1" t="s">
        <v>6442</v>
      </c>
      <c r="AA1997" s="1" t="s">
        <v>5223</v>
      </c>
      <c r="AB1997" s="49"/>
      <c r="AC1997" s="49"/>
      <c r="AD1997" s="49"/>
      <c r="AE1997" s="49" t="str">
        <f>IFERROR(__xludf.DUMMYFUNCTION("""COMPUTED_VALUE"""),"schultz")</f>
        <v>schultz</v>
      </c>
      <c r="AF1997" s="49" t="str">
        <f t="shared" si="4"/>
        <v>junior,</v>
      </c>
      <c r="AG1997" s="49"/>
      <c r="AH1997" s="1" t="s">
        <v>3564</v>
      </c>
      <c r="AI1997" s="1" t="s">
        <v>964</v>
      </c>
      <c r="AJ1997" s="6" t="str">
        <f>IFERROR(__xludf.DUMMYFUNCTION("""COMPUTED_VALUE"""),"forced")</f>
        <v>forced</v>
      </c>
      <c r="AK1997" s="49"/>
      <c r="AL1997" s="49"/>
      <c r="AM1997" s="49"/>
      <c r="AN1997" s="52" t="str">
        <f t="shared" si="5"/>
        <v>develop,</v>
      </c>
    </row>
    <row r="1998">
      <c r="A1998" s="51"/>
      <c r="B1998" s="50" t="s">
        <v>2872</v>
      </c>
      <c r="C1998" s="50" t="s">
        <v>4996</v>
      </c>
      <c r="D1998" s="49" t="str">
        <f>IFERROR(__xludf.DUMMYFUNCTION("""COMPUTED_VALUE"""),"nobody")</f>
        <v>nobody</v>
      </c>
      <c r="E1998" s="49"/>
      <c r="F1998" s="49"/>
      <c r="G1998" s="49"/>
      <c r="H1998" s="54" t="str">
        <f t="shared" si="1"/>
        <v>editing,</v>
      </c>
      <c r="I1998" s="50"/>
      <c r="J1998" s="50" t="s">
        <v>1515</v>
      </c>
      <c r="K1998" s="50" t="s">
        <v>5225</v>
      </c>
      <c r="L1998" s="49"/>
      <c r="M1998" s="49"/>
      <c r="N1998" s="49"/>
      <c r="O1998" s="49" t="str">
        <f>IFERROR(__xludf.DUMMYFUNCTION("""COMPUTED_VALUE"""),"australia")</f>
        <v>australia</v>
      </c>
      <c r="P1998" s="49" t="str">
        <f t="shared" si="2"/>
        <v>forged,</v>
      </c>
      <c r="Q1998" s="49"/>
      <c r="R1998" s="50" t="s">
        <v>6185</v>
      </c>
      <c r="S1998" s="55" t="s">
        <v>4154</v>
      </c>
      <c r="T1998" s="49"/>
      <c r="U1998" s="49"/>
      <c r="V1998" s="49"/>
      <c r="W1998" s="49"/>
      <c r="X1998" s="49" t="str">
        <f t="shared" si="3"/>
        <v>defensive,</v>
      </c>
      <c r="Y1998" s="49"/>
      <c r="Z1998" s="1" t="s">
        <v>100</v>
      </c>
      <c r="AA1998" s="1" t="s">
        <v>1073</v>
      </c>
      <c r="AB1998" s="49"/>
      <c r="AC1998" s="49"/>
      <c r="AD1998" s="49"/>
      <c r="AE1998" s="49" t="str">
        <f>IFERROR(__xludf.DUMMYFUNCTION("""COMPUTED_VALUE"""),"australia")</f>
        <v>australia</v>
      </c>
      <c r="AF1998" s="49" t="str">
        <f t="shared" si="4"/>
        <v>poetry,</v>
      </c>
      <c r="AG1998" s="49"/>
      <c r="AH1998" s="1" t="s">
        <v>2243</v>
      </c>
      <c r="AI1998" s="1" t="s">
        <v>3391</v>
      </c>
      <c r="AJ1998" s="6" t="str">
        <f>IFERROR(__xludf.DUMMYFUNCTION("""COMPUTED_VALUE"""),"status")</f>
        <v>status</v>
      </c>
      <c r="AK1998" s="49"/>
      <c r="AL1998" s="49"/>
      <c r="AM1998" s="49"/>
      <c r="AN1998" s="52" t="str">
        <f t="shared" si="5"/>
        <v>intense,</v>
      </c>
    </row>
    <row r="1999">
      <c r="A1999" s="51"/>
      <c r="B1999" s="50" t="s">
        <v>1561</v>
      </c>
      <c r="C1999" s="50" t="s">
        <v>1790</v>
      </c>
      <c r="D1999" s="49" t="str">
        <f>IFERROR(__xludf.DUMMYFUNCTION("""COMPUTED_VALUE"""),"ignore")</f>
        <v>ignore</v>
      </c>
      <c r="E1999" s="49"/>
      <c r="F1999" s="49"/>
      <c r="G1999" s="49"/>
      <c r="H1999" s="54" t="str">
        <f t="shared" si="1"/>
        <v>office,</v>
      </c>
      <c r="I1999" s="50"/>
      <c r="J1999" s="50" t="s">
        <v>3524</v>
      </c>
      <c r="K1999" s="50" t="s">
        <v>1267</v>
      </c>
      <c r="L1999" s="49"/>
      <c r="M1999" s="49"/>
      <c r="N1999" s="49"/>
      <c r="O1999" s="49" t="str">
        <f>IFERROR(__xludf.DUMMYFUNCTION("""COMPUTED_VALUE"""),"gliding")</f>
        <v>gliding</v>
      </c>
      <c r="P1999" s="49" t="str">
        <f t="shared" si="2"/>
        <v>vietnam,</v>
      </c>
      <c r="Q1999" s="49"/>
      <c r="R1999" s="50" t="s">
        <v>2540</v>
      </c>
      <c r="S1999" s="55" t="s">
        <v>1877</v>
      </c>
      <c r="T1999" s="49"/>
      <c r="U1999" s="49"/>
      <c r="V1999" s="49"/>
      <c r="W1999" s="49"/>
      <c r="X1999" s="49" t="str">
        <f t="shared" si="3"/>
        <v>focused,</v>
      </c>
      <c r="Y1999" s="49"/>
      <c r="Z1999" s="1">
        <v>22.0</v>
      </c>
      <c r="AA1999" s="1" t="s">
        <v>5226</v>
      </c>
      <c r="AB1999" s="49"/>
      <c r="AC1999" s="49"/>
      <c r="AD1999" s="49"/>
      <c r="AE1999" s="49" t="str">
        <f>IFERROR(__xludf.DUMMYFUNCTION("""COMPUTED_VALUE"""),"gliding")</f>
        <v>gliding</v>
      </c>
      <c r="AF1999" s="49" t="str">
        <f t="shared" si="4"/>
        <v>22,</v>
      </c>
      <c r="AG1999" s="49"/>
      <c r="AH1999" s="1" t="s">
        <v>3196</v>
      </c>
      <c r="AI1999" s="1" t="s">
        <v>2238</v>
      </c>
      <c r="AJ1999" s="6" t="str">
        <f>IFERROR(__xludf.DUMMYFUNCTION("""COMPUTED_VALUE"""),"enjoyed")</f>
        <v>enjoyed</v>
      </c>
      <c r="AK1999" s="49"/>
      <c r="AL1999" s="49"/>
      <c r="AM1999" s="49"/>
      <c r="AN1999" s="52" t="str">
        <f t="shared" si="5"/>
        <v>stewart,</v>
      </c>
    </row>
    <row r="2000">
      <c r="A2000" s="51"/>
      <c r="B2000" s="50" t="s">
        <v>3182</v>
      </c>
      <c r="C2000" s="50" t="s">
        <v>3507</v>
      </c>
      <c r="D2000" s="49" t="str">
        <f>IFERROR(__xludf.DUMMYFUNCTION("""COMPUTED_VALUE"""),"pass")</f>
        <v>pass</v>
      </c>
      <c r="E2000" s="49"/>
      <c r="F2000" s="49"/>
      <c r="G2000" s="49"/>
      <c r="H2000" s="54" t="str">
        <f t="shared" si="1"/>
        <v>male,</v>
      </c>
      <c r="I2000" s="50"/>
      <c r="J2000" s="50" t="s">
        <v>3694</v>
      </c>
      <c r="K2000" s="50" t="s">
        <v>1273</v>
      </c>
      <c r="L2000" s="49"/>
      <c r="M2000" s="49"/>
      <c r="N2000" s="49"/>
      <c r="O2000" s="49" t="str">
        <f>IFERROR(__xludf.DUMMYFUNCTION("""COMPUTED_VALUE"""),"stitch")</f>
        <v>stitch</v>
      </c>
      <c r="P2000" s="49" t="str">
        <f t="shared" si="2"/>
        <v>marine,</v>
      </c>
      <c r="Q2000" s="49"/>
      <c r="R2000" s="50">
        <v>112.0</v>
      </c>
      <c r="S2000" s="55" t="s">
        <v>1882</v>
      </c>
      <c r="T2000" s="49"/>
      <c r="U2000" s="49"/>
      <c r="V2000" s="49"/>
      <c r="W2000" s="49"/>
      <c r="X2000" s="49" t="str">
        <f t="shared" si="3"/>
        <v>112,</v>
      </c>
      <c r="Y2000" s="49"/>
      <c r="Z2000" s="1" t="s">
        <v>5917</v>
      </c>
      <c r="AA2000" s="1" t="s">
        <v>1300</v>
      </c>
      <c r="AB2000" s="49"/>
      <c r="AC2000" s="49"/>
      <c r="AD2000" s="49"/>
      <c r="AE2000" s="49" t="str">
        <f>IFERROR(__xludf.DUMMYFUNCTION("""COMPUTED_VALUE"""),"stitch")</f>
        <v>stitch</v>
      </c>
      <c r="AF2000" s="49" t="str">
        <f t="shared" si="4"/>
        <v>eventually,</v>
      </c>
      <c r="AG2000" s="49"/>
      <c r="AH2000" s="1" t="s">
        <v>3450</v>
      </c>
      <c r="AI2000" s="1" t="s">
        <v>6455</v>
      </c>
      <c r="AJ2000" s="6" t="str">
        <f>IFERROR(__xludf.DUMMYFUNCTION("""COMPUTED_VALUE"""),"fat")</f>
        <v>fat</v>
      </c>
      <c r="AK2000" s="49"/>
      <c r="AL2000" s="49"/>
      <c r="AM2000" s="49"/>
      <c r="AN2000" s="52" t="str">
        <f t="shared" si="5"/>
        <v>bid,</v>
      </c>
    </row>
    <row r="2001">
      <c r="A2001" s="51"/>
      <c r="B2001" s="50" t="s">
        <v>4666</v>
      </c>
      <c r="C2001" s="50" t="s">
        <v>5374</v>
      </c>
      <c r="D2001" s="49" t="str">
        <f>IFERROR(__xludf.DUMMYFUNCTION("""COMPUTED_VALUE"""),"older")</f>
        <v>older</v>
      </c>
      <c r="E2001" s="49"/>
      <c r="F2001" s="49"/>
      <c r="G2001" s="49"/>
      <c r="H2001" s="54" t="str">
        <f t="shared" si="1"/>
        <v>campus,</v>
      </c>
      <c r="I2001" s="50"/>
      <c r="J2001" s="50" t="s">
        <v>3802</v>
      </c>
      <c r="K2001" s="50" t="s">
        <v>5232</v>
      </c>
      <c r="L2001" s="49"/>
      <c r="M2001" s="49"/>
      <c r="N2001" s="49"/>
      <c r="O2001" s="49" t="str">
        <f>IFERROR(__xludf.DUMMYFUNCTION("""COMPUTED_VALUE"""),"assets")</f>
        <v>assets</v>
      </c>
      <c r="P2001" s="49" t="str">
        <f t="shared" si="2"/>
        <v>patience,</v>
      </c>
      <c r="Q2001" s="49"/>
      <c r="R2001" s="50" t="s">
        <v>4562</v>
      </c>
      <c r="S2001" s="55" t="s">
        <v>5086</v>
      </c>
      <c r="T2001" s="49"/>
      <c r="U2001" s="49"/>
      <c r="V2001" s="49"/>
      <c r="W2001" s="49"/>
      <c r="X2001" s="49" t="str">
        <f t="shared" si="3"/>
        <v>grin,</v>
      </c>
      <c r="Y2001" s="49"/>
      <c r="Z2001" s="1" t="s">
        <v>6397</v>
      </c>
      <c r="AA2001" s="1" t="s">
        <v>5229</v>
      </c>
      <c r="AB2001" s="49"/>
      <c r="AC2001" s="49"/>
      <c r="AD2001" s="49"/>
      <c r="AE2001" s="49" t="str">
        <f>IFERROR(__xludf.DUMMYFUNCTION("""COMPUTED_VALUE"""),"assets")</f>
        <v>assets</v>
      </c>
      <c r="AF2001" s="49" t="str">
        <f t="shared" si="4"/>
        <v>weird,</v>
      </c>
      <c r="AG2001" s="49"/>
      <c r="AH2001" s="1" t="s">
        <v>5253</v>
      </c>
      <c r="AI2001" s="1" t="s">
        <v>4776</v>
      </c>
      <c r="AJ2001" s="6" t="str">
        <f>IFERROR(__xludf.DUMMYFUNCTION("""COMPUTED_VALUE"""),"debt")</f>
        <v>debt</v>
      </c>
      <c r="AK2001" s="49"/>
      <c r="AL2001" s="49"/>
      <c r="AM2001" s="49"/>
      <c r="AN2001" s="52" t="str">
        <f t="shared" si="5"/>
        <v>breaks,</v>
      </c>
    </row>
    <row r="2002">
      <c r="A2002" s="51"/>
      <c r="B2002" s="50" t="s">
        <v>3636</v>
      </c>
      <c r="C2002" s="50" t="s">
        <v>4709</v>
      </c>
      <c r="D2002" s="49" t="str">
        <f>IFERROR(__xludf.DUMMYFUNCTION("""COMPUTED_VALUE"""),"former")</f>
        <v>former</v>
      </c>
      <c r="E2002" s="49"/>
      <c r="F2002" s="49"/>
      <c r="G2002" s="49"/>
      <c r="H2002" s="54" t="str">
        <f t="shared" si="1"/>
        <v>primarily,</v>
      </c>
      <c r="I2002" s="50"/>
      <c r="J2002" s="50" t="s">
        <v>4292</v>
      </c>
      <c r="K2002" s="50" t="s">
        <v>989</v>
      </c>
      <c r="L2002" s="49"/>
      <c r="M2002" s="49"/>
      <c r="N2002" s="49"/>
      <c r="O2002" s="49" t="str">
        <f>IFERROR(__xludf.DUMMYFUNCTION("""COMPUTED_VALUE"""),"partnerships")</f>
        <v>partnerships</v>
      </c>
      <c r="P2002" s="49" t="str">
        <f t="shared" si="2"/>
        <v>stomach,</v>
      </c>
      <c r="Q2002" s="49"/>
      <c r="R2002" s="50" t="s">
        <v>3786</v>
      </c>
      <c r="S2002" s="55" t="s">
        <v>4200</v>
      </c>
      <c r="T2002" s="49"/>
      <c r="U2002" s="49"/>
      <c r="V2002" s="49"/>
      <c r="W2002" s="49"/>
      <c r="X2002" s="49" t="str">
        <f t="shared" si="3"/>
        <v>energetic,</v>
      </c>
      <c r="Y2002" s="49"/>
      <c r="Z2002" s="1" t="s">
        <v>1105</v>
      </c>
      <c r="AA2002" s="1" t="s">
        <v>4199</v>
      </c>
      <c r="AB2002" s="49"/>
      <c r="AC2002" s="49"/>
      <c r="AD2002" s="49"/>
      <c r="AE2002" s="49" t="str">
        <f>IFERROR(__xludf.DUMMYFUNCTION("""COMPUTED_VALUE"""),"partnerships")</f>
        <v>partnerships</v>
      </c>
      <c r="AF2002" s="49" t="str">
        <f t="shared" si="4"/>
        <v>populated,</v>
      </c>
      <c r="AG2002" s="49"/>
      <c r="AH2002" s="1">
        <v>9.0</v>
      </c>
      <c r="AI2002" s="1" t="s">
        <v>6613</v>
      </c>
      <c r="AJ2002" s="6" t="str">
        <f>IFERROR(__xludf.DUMMYFUNCTION("""COMPUTED_VALUE"""),"leaves")</f>
        <v>leaves</v>
      </c>
      <c r="AK2002" s="49"/>
      <c r="AL2002" s="49"/>
      <c r="AM2002" s="49"/>
      <c r="AN2002" s="52" t="str">
        <f t="shared" si="5"/>
        <v>9,</v>
      </c>
    </row>
    <row r="2003">
      <c r="A2003" s="51"/>
      <c r="B2003" s="50" t="s">
        <v>1657</v>
      </c>
      <c r="C2003" s="50" t="s">
        <v>2872</v>
      </c>
      <c r="D2003" s="49" t="str">
        <f>IFERROR(__xludf.DUMMYFUNCTION("""COMPUTED_VALUE"""),"drew")</f>
        <v>drew</v>
      </c>
      <c r="E2003" s="49"/>
      <c r="F2003" s="49"/>
      <c r="G2003" s="49"/>
      <c r="H2003" s="54" t="str">
        <f t="shared" si="1"/>
        <v>wrapped,</v>
      </c>
      <c r="I2003" s="50"/>
      <c r="J2003" s="50" t="s">
        <v>543</v>
      </c>
      <c r="K2003" s="50" t="s">
        <v>114</v>
      </c>
      <c r="L2003" s="49"/>
      <c r="M2003" s="49"/>
      <c r="N2003" s="49"/>
      <c r="O2003" s="49"/>
      <c r="P2003" s="49" t="str">
        <f t="shared" si="2"/>
        <v>portrait,</v>
      </c>
      <c r="Q2003" s="49"/>
      <c r="R2003" s="50" t="s">
        <v>2799</v>
      </c>
      <c r="S2003" s="55" t="s">
        <v>4543</v>
      </c>
      <c r="T2003" s="49"/>
      <c r="U2003" s="49"/>
      <c r="V2003" s="49"/>
      <c r="W2003" s="49"/>
      <c r="X2003" s="49" t="str">
        <f t="shared" si="3"/>
        <v>delight,</v>
      </c>
      <c r="Y2003" s="49"/>
      <c r="Z2003" s="1" t="s">
        <v>1424</v>
      </c>
      <c r="AA2003" s="1" t="s">
        <v>4201</v>
      </c>
      <c r="AB2003" s="49"/>
      <c r="AC2003" s="49"/>
      <c r="AD2003" s="49"/>
      <c r="AE2003" s="49"/>
      <c r="AF2003" s="49" t="str">
        <f t="shared" si="4"/>
        <v>packed,</v>
      </c>
      <c r="AG2003" s="49"/>
      <c r="AH2003" s="1" t="s">
        <v>3034</v>
      </c>
      <c r="AI2003" s="1" t="s">
        <v>3403</v>
      </c>
      <c r="AJ2003" s="6" t="str">
        <f>IFERROR(__xludf.DUMMYFUNCTION("""COMPUTED_VALUE"""),"lying")</f>
        <v>lying</v>
      </c>
      <c r="AK2003" s="49"/>
      <c r="AL2003" s="49"/>
      <c r="AM2003" s="49"/>
      <c r="AN2003" s="52" t="str">
        <f t="shared" si="5"/>
        <v>level,</v>
      </c>
    </row>
    <row r="2004">
      <c r="A2004" s="51"/>
      <c r="B2004" s="50" t="s">
        <v>7112</v>
      </c>
      <c r="C2004" s="50" t="s">
        <v>2875</v>
      </c>
      <c r="D2004" s="49" t="str">
        <f>IFERROR(__xludf.DUMMYFUNCTION("""COMPUTED_VALUE"""),"maintaining")</f>
        <v>maintaining</v>
      </c>
      <c r="E2004" s="49"/>
      <c r="F2004" s="49"/>
      <c r="G2004" s="49"/>
      <c r="H2004" s="54" t="str">
        <f t="shared" si="1"/>
        <v>items,</v>
      </c>
      <c r="I2004" s="50"/>
      <c r="J2004" s="50" t="s">
        <v>3011</v>
      </c>
      <c r="K2004" s="50" t="s">
        <v>3600</v>
      </c>
      <c r="L2004" s="49"/>
      <c r="M2004" s="49"/>
      <c r="N2004" s="49"/>
      <c r="O2004" s="49"/>
      <c r="P2004" s="49" t="str">
        <f t="shared" si="2"/>
        <v>wore,</v>
      </c>
      <c r="Q2004" s="49"/>
      <c r="R2004" s="50" t="s">
        <v>5196</v>
      </c>
      <c r="S2004" s="55" t="s">
        <v>5088</v>
      </c>
      <c r="T2004" s="49"/>
      <c r="U2004" s="49"/>
      <c r="V2004" s="49"/>
      <c r="W2004" s="49"/>
      <c r="X2004" s="49" t="str">
        <f t="shared" si="3"/>
        <v>reflect,</v>
      </c>
      <c r="Y2004" s="49"/>
      <c r="Z2004" s="1" t="s">
        <v>4612</v>
      </c>
      <c r="AA2004" s="1" t="s">
        <v>5233</v>
      </c>
      <c r="AB2004" s="49"/>
      <c r="AC2004" s="49"/>
      <c r="AD2004" s="49"/>
      <c r="AE2004" s="49"/>
      <c r="AF2004" s="49" t="str">
        <f t="shared" si="4"/>
        <v>throws,</v>
      </c>
      <c r="AG2004" s="49"/>
      <c r="AH2004" s="1" t="s">
        <v>6543</v>
      </c>
      <c r="AI2004" s="1" t="s">
        <v>4480</v>
      </c>
      <c r="AJ2004" s="6" t="str">
        <f>IFERROR(__xludf.DUMMYFUNCTION("""COMPUTED_VALUE"""),"act")</f>
        <v>act</v>
      </c>
      <c r="AK2004" s="49"/>
      <c r="AL2004" s="49"/>
      <c r="AM2004" s="49"/>
      <c r="AN2004" s="52" t="str">
        <f t="shared" si="5"/>
        <v>separate,</v>
      </c>
    </row>
    <row r="2005">
      <c r="A2005" s="51"/>
      <c r="B2005" s="50" t="s">
        <v>6849</v>
      </c>
      <c r="C2005" s="50" t="s">
        <v>6589</v>
      </c>
      <c r="D2005" s="49" t="str">
        <f>IFERROR(__xludf.DUMMYFUNCTION("""COMPUTED_VALUE"""),"accident")</f>
        <v>accident</v>
      </c>
      <c r="E2005" s="49"/>
      <c r="F2005" s="49"/>
      <c r="G2005" s="49"/>
      <c r="H2005" s="54" t="str">
        <f t="shared" si="1"/>
        <v>decline,</v>
      </c>
      <c r="I2005" s="50"/>
      <c r="J2005" s="50" t="s">
        <v>5033</v>
      </c>
      <c r="K2005" s="50" t="s">
        <v>1696</v>
      </c>
      <c r="L2005" s="49"/>
      <c r="M2005" s="49"/>
      <c r="N2005" s="49"/>
      <c r="O2005" s="49"/>
      <c r="P2005" s="49" t="str">
        <f t="shared" si="2"/>
        <v>require,</v>
      </c>
      <c r="Q2005" s="49"/>
      <c r="R2005" s="50" t="s">
        <v>3740</v>
      </c>
      <c r="S2005" s="55" t="s">
        <v>1917</v>
      </c>
      <c r="T2005" s="49"/>
      <c r="U2005" s="49"/>
      <c r="V2005" s="49"/>
      <c r="W2005" s="49"/>
      <c r="X2005" s="49" t="str">
        <f t="shared" si="3"/>
        <v>legally,</v>
      </c>
      <c r="Y2005" s="49"/>
      <c r="Z2005" s="1" t="s">
        <v>1416</v>
      </c>
      <c r="AA2005" s="1" t="s">
        <v>1589</v>
      </c>
      <c r="AB2005" s="49"/>
      <c r="AC2005" s="49"/>
      <c r="AD2005" s="49"/>
      <c r="AE2005" s="49"/>
      <c r="AF2005" s="49" t="str">
        <f t="shared" si="4"/>
        <v>demands,</v>
      </c>
      <c r="AG2005" s="49"/>
      <c r="AH2005" s="1" t="s">
        <v>2224</v>
      </c>
      <c r="AI2005" s="1" t="s">
        <v>6612</v>
      </c>
      <c r="AJ2005" s="6" t="str">
        <f>IFERROR(__xludf.DUMMYFUNCTION("""COMPUTED_VALUE"""),"concerned")</f>
        <v>concerned</v>
      </c>
      <c r="AK2005" s="49"/>
      <c r="AL2005" s="49"/>
      <c r="AM2005" s="49"/>
      <c r="AN2005" s="52" t="str">
        <f t="shared" si="5"/>
        <v>location,</v>
      </c>
    </row>
    <row r="2006">
      <c r="A2006" s="51"/>
      <c r="B2006" s="50" t="s">
        <v>6703</v>
      </c>
      <c r="C2006" s="50" t="s">
        <v>4978</v>
      </c>
      <c r="D2006" s="49" t="str">
        <f>IFERROR(__xludf.DUMMYFUNCTION("""COMPUTED_VALUE"""),"somebody")</f>
        <v>somebody</v>
      </c>
      <c r="E2006" s="49"/>
      <c r="F2006" s="49"/>
      <c r="G2006" s="49"/>
      <c r="H2006" s="54" t="str">
        <f t="shared" si="1"/>
        <v>cream,</v>
      </c>
      <c r="I2006" s="50"/>
      <c r="J2006" s="50">
        <v>94.0</v>
      </c>
      <c r="K2006" s="50" t="s">
        <v>5237</v>
      </c>
      <c r="L2006" s="49"/>
      <c r="M2006" s="49"/>
      <c r="N2006" s="49"/>
      <c r="O2006" s="49"/>
      <c r="P2006" s="49" t="str">
        <f t="shared" si="2"/>
        <v>94,</v>
      </c>
      <c r="Q2006" s="49"/>
      <c r="R2006" s="50" t="s">
        <v>4947</v>
      </c>
      <c r="S2006" s="55" t="s">
        <v>3441</v>
      </c>
      <c r="T2006" s="49"/>
      <c r="U2006" s="49"/>
      <c r="V2006" s="49"/>
      <c r="W2006" s="49"/>
      <c r="X2006" s="49" t="str">
        <f t="shared" si="3"/>
        <v>humble,</v>
      </c>
      <c r="Y2006" s="49"/>
      <c r="Z2006" s="1" t="s">
        <v>521</v>
      </c>
      <c r="AA2006" s="1" t="s">
        <v>5236</v>
      </c>
      <c r="AB2006" s="49"/>
      <c r="AC2006" s="49"/>
      <c r="AD2006" s="49"/>
      <c r="AE2006" s="49"/>
      <c r="AF2006" s="49" t="str">
        <f t="shared" si="4"/>
        <v>morality,</v>
      </c>
      <c r="AG2006" s="49"/>
      <c r="AH2006" s="1" t="s">
        <v>6900</v>
      </c>
      <c r="AI2006" s="1" t="s">
        <v>6620</v>
      </c>
      <c r="AJ2006" s="6" t="str">
        <f>IFERROR(__xludf.DUMMYFUNCTION("""COMPUTED_VALUE"""),"burning")</f>
        <v>burning</v>
      </c>
      <c r="AK2006" s="49"/>
      <c r="AL2006" s="49"/>
      <c r="AM2006" s="49"/>
      <c r="AN2006" s="52" t="str">
        <f t="shared" si="5"/>
        <v>parallel,</v>
      </c>
    </row>
    <row r="2007">
      <c r="A2007" s="51"/>
      <c r="B2007" s="50" t="s">
        <v>4000</v>
      </c>
      <c r="C2007" s="50" t="s">
        <v>1042</v>
      </c>
      <c r="D2007" s="49" t="str">
        <f>IFERROR(__xludf.DUMMYFUNCTION("""COMPUTED_VALUE"""),"seemingly")</f>
        <v>seemingly</v>
      </c>
      <c r="E2007" s="49"/>
      <c r="F2007" s="49"/>
      <c r="G2007" s="49"/>
      <c r="H2007" s="54" t="str">
        <f t="shared" si="1"/>
        <v>mainstream,</v>
      </c>
      <c r="I2007" s="50"/>
      <c r="J2007" s="50" t="s">
        <v>6840</v>
      </c>
      <c r="K2007" s="50" t="s">
        <v>4174</v>
      </c>
      <c r="L2007" s="49"/>
      <c r="M2007" s="49"/>
      <c r="N2007" s="49"/>
      <c r="O2007" s="49"/>
      <c r="P2007" s="49" t="str">
        <f t="shared" si="2"/>
        <v>sooner,</v>
      </c>
      <c r="Q2007" s="49"/>
      <c r="R2007" s="50" t="s">
        <v>5026</v>
      </c>
      <c r="S2007" s="55" t="s">
        <v>79</v>
      </c>
      <c r="T2007" s="49"/>
      <c r="U2007" s="49"/>
      <c r="V2007" s="49"/>
      <c r="W2007" s="49"/>
      <c r="X2007" s="49" t="str">
        <f t="shared" si="3"/>
        <v>gaze,</v>
      </c>
      <c r="Y2007" s="49"/>
      <c r="Z2007" s="1" t="s">
        <v>2423</v>
      </c>
      <c r="AA2007" s="1" t="s">
        <v>1173</v>
      </c>
      <c r="AB2007" s="49"/>
      <c r="AC2007" s="49"/>
      <c r="AD2007" s="49"/>
      <c r="AE2007" s="49"/>
      <c r="AF2007" s="49" t="str">
        <f t="shared" si="4"/>
        <v>crippled,</v>
      </c>
      <c r="AG2007" s="49"/>
      <c r="AH2007" s="1" t="s">
        <v>7049</v>
      </c>
      <c r="AI2007" s="1" t="s">
        <v>187</v>
      </c>
      <c r="AJ2007" s="6" t="str">
        <f>IFERROR(__xludf.DUMMYFUNCTION("""COMPUTED_VALUE"""),"secretary")</f>
        <v>secretary</v>
      </c>
      <c r="AK2007" s="49"/>
      <c r="AL2007" s="49"/>
      <c r="AM2007" s="49"/>
      <c r="AN2007" s="52" t="str">
        <f t="shared" si="5"/>
        <v>eve,</v>
      </c>
    </row>
    <row r="2008">
      <c r="A2008" s="51"/>
      <c r="B2008" s="50" t="s">
        <v>4711</v>
      </c>
      <c r="C2008" s="50" t="s">
        <v>1940</v>
      </c>
      <c r="D2008" s="49" t="str">
        <f>IFERROR(__xludf.DUMMYFUNCTION("""COMPUTED_VALUE"""),"boys")</f>
        <v>boys</v>
      </c>
      <c r="E2008" s="49"/>
      <c r="F2008" s="49"/>
      <c r="G2008" s="49"/>
      <c r="H2008" s="54" t="str">
        <f t="shared" si="1"/>
        <v>mtv,</v>
      </c>
      <c r="I2008" s="50"/>
      <c r="J2008" s="50" t="s">
        <v>2734</v>
      </c>
      <c r="K2008" s="50" t="s">
        <v>1994</v>
      </c>
      <c r="L2008" s="49"/>
      <c r="M2008" s="49"/>
      <c r="N2008" s="49"/>
      <c r="O2008" s="49"/>
      <c r="P2008" s="49" t="str">
        <f t="shared" si="2"/>
        <v>pokemon,</v>
      </c>
      <c r="Q2008" s="49"/>
      <c r="R2008" s="50" t="s">
        <v>1411</v>
      </c>
      <c r="S2008" s="55" t="s">
        <v>5093</v>
      </c>
      <c r="T2008" s="49"/>
      <c r="U2008" s="49"/>
      <c r="V2008" s="49"/>
      <c r="W2008" s="49"/>
      <c r="X2008" s="49" t="str">
        <f t="shared" si="3"/>
        <v>beings,</v>
      </c>
      <c r="Y2008" s="49"/>
      <c r="Z2008" s="1" t="s">
        <v>3485</v>
      </c>
      <c r="AA2008" s="1" t="s">
        <v>5239</v>
      </c>
      <c r="AB2008" s="49"/>
      <c r="AC2008" s="49"/>
      <c r="AD2008" s="49"/>
      <c r="AE2008" s="49"/>
      <c r="AF2008" s="49" t="str">
        <f t="shared" si="4"/>
        <v>convinced,</v>
      </c>
      <c r="AG2008" s="49"/>
      <c r="AH2008" s="1" t="s">
        <v>5314</v>
      </c>
      <c r="AI2008" s="1" t="s">
        <v>5974</v>
      </c>
      <c r="AJ2008" s="6" t="str">
        <f>IFERROR(__xludf.DUMMYFUNCTION("""COMPUTED_VALUE"""),"lines")</f>
        <v>lines</v>
      </c>
      <c r="AK2008" s="49"/>
      <c r="AL2008" s="49"/>
      <c r="AM2008" s="49"/>
      <c r="AN2008" s="52" t="str">
        <f t="shared" si="5"/>
        <v>voting,</v>
      </c>
    </row>
    <row r="2009">
      <c r="A2009" s="51"/>
      <c r="B2009" s="50" t="s">
        <v>7321</v>
      </c>
      <c r="C2009" s="50" t="s">
        <v>2879</v>
      </c>
      <c r="D2009" s="49" t="str">
        <f>IFERROR(__xludf.DUMMYFUNCTION("""COMPUTED_VALUE"""),"decisions")</f>
        <v>decisions</v>
      </c>
      <c r="E2009" s="49"/>
      <c r="F2009" s="49"/>
      <c r="G2009" s="49"/>
      <c r="H2009" s="54" t="str">
        <f t="shared" si="1"/>
        <v>met,</v>
      </c>
      <c r="I2009" s="50"/>
      <c r="J2009" s="50" t="s">
        <v>943</v>
      </c>
      <c r="K2009" s="50" t="s">
        <v>5241</v>
      </c>
      <c r="L2009" s="49"/>
      <c r="M2009" s="49"/>
      <c r="N2009" s="49"/>
      <c r="O2009" s="49"/>
      <c r="P2009" s="49" t="str">
        <f t="shared" si="2"/>
        <v>sophisticated,</v>
      </c>
      <c r="Q2009" s="49"/>
      <c r="R2009" s="50" t="s">
        <v>6928</v>
      </c>
      <c r="S2009" s="55" t="s">
        <v>3639</v>
      </c>
      <c r="T2009" s="49"/>
      <c r="U2009" s="49"/>
      <c r="V2009" s="49"/>
      <c r="W2009" s="49"/>
      <c r="X2009" s="49" t="str">
        <f t="shared" si="3"/>
        <v>recommended,</v>
      </c>
      <c r="Y2009" s="49"/>
      <c r="Z2009" s="1" t="s">
        <v>700</v>
      </c>
      <c r="AA2009" s="1" t="s">
        <v>3572</v>
      </c>
      <c r="AB2009" s="49"/>
      <c r="AC2009" s="49"/>
      <c r="AD2009" s="49"/>
      <c r="AE2009" s="49"/>
      <c r="AF2009" s="49" t="str">
        <f t="shared" si="4"/>
        <v>issues,</v>
      </c>
      <c r="AG2009" s="49"/>
      <c r="AH2009" s="1" t="s">
        <v>5830</v>
      </c>
      <c r="AI2009" s="1" t="s">
        <v>3043</v>
      </c>
      <c r="AJ2009" s="6" t="str">
        <f>IFERROR(__xludf.DUMMYFUNCTION("""COMPUTED_VALUE"""),"grew")</f>
        <v>grew</v>
      </c>
      <c r="AK2009" s="49"/>
      <c r="AL2009" s="49"/>
      <c r="AM2009" s="49"/>
      <c r="AN2009" s="52" t="str">
        <f t="shared" si="5"/>
        <v>prince,</v>
      </c>
    </row>
    <row r="2010">
      <c r="A2010" s="51"/>
      <c r="B2010" s="50" t="s">
        <v>6681</v>
      </c>
      <c r="C2010" s="50" t="s">
        <v>4456</v>
      </c>
      <c r="D2010" s="49" t="str">
        <f>IFERROR(__xludf.DUMMYFUNCTION("""COMPUTED_VALUE"""),"naturally")</f>
        <v>naturally</v>
      </c>
      <c r="E2010" s="49"/>
      <c r="F2010" s="49"/>
      <c r="G2010" s="49"/>
      <c r="H2010" s="54" t="str">
        <f t="shared" si="1"/>
        <v>serving,</v>
      </c>
      <c r="I2010" s="50"/>
      <c r="J2010" s="50" t="s">
        <v>3391</v>
      </c>
      <c r="K2010" s="50" t="s">
        <v>4063</v>
      </c>
      <c r="L2010" s="49"/>
      <c r="M2010" s="49"/>
      <c r="N2010" s="49"/>
      <c r="O2010" s="49"/>
      <c r="P2010" s="49" t="str">
        <f t="shared" si="2"/>
        <v>terror,</v>
      </c>
      <c r="Q2010" s="49"/>
      <c r="R2010" s="50" t="s">
        <v>6609</v>
      </c>
      <c r="S2010" s="55" t="s">
        <v>1889</v>
      </c>
      <c r="T2010" s="49"/>
      <c r="U2010" s="49"/>
      <c r="V2010" s="49"/>
      <c r="W2010" s="49"/>
      <c r="X2010" s="49" t="str">
        <f t="shared" si="3"/>
        <v>ignoring,</v>
      </c>
      <c r="Y2010" s="49"/>
      <c r="Z2010" s="1" t="s">
        <v>2016</v>
      </c>
      <c r="AA2010" s="1" t="s">
        <v>2387</v>
      </c>
      <c r="AB2010" s="49"/>
      <c r="AC2010" s="49"/>
      <c r="AD2010" s="49"/>
      <c r="AE2010" s="49"/>
      <c r="AF2010" s="49" t="str">
        <f t="shared" si="4"/>
        <v>laughter,</v>
      </c>
      <c r="AG2010" s="49"/>
      <c r="AH2010" s="1" t="s">
        <v>2533</v>
      </c>
      <c r="AI2010" s="1" t="s">
        <v>6621</v>
      </c>
      <c r="AJ2010" s="6" t="str">
        <f>IFERROR(__xludf.DUMMYFUNCTION("""COMPUTED_VALUE"""),"ray")</f>
        <v>ray</v>
      </c>
      <c r="AK2010" s="49"/>
      <c r="AL2010" s="49"/>
      <c r="AM2010" s="49"/>
      <c r="AN2010" s="52" t="str">
        <f t="shared" si="5"/>
        <v>egypt,</v>
      </c>
    </row>
    <row r="2011">
      <c r="A2011" s="51"/>
      <c r="B2011" s="50" t="s">
        <v>3897</v>
      </c>
      <c r="C2011" s="50" t="s">
        <v>4803</v>
      </c>
      <c r="D2011" s="49" t="str">
        <f>IFERROR(__xludf.DUMMYFUNCTION("""COMPUTED_VALUE"""),"springs")</f>
        <v>springs</v>
      </c>
      <c r="E2011" s="49"/>
      <c r="F2011" s="49"/>
      <c r="G2011" s="49"/>
      <c r="H2011" s="54" t="str">
        <f t="shared" si="1"/>
        <v>describes,</v>
      </c>
      <c r="I2011" s="50"/>
      <c r="J2011" s="50" t="s">
        <v>4757</v>
      </c>
      <c r="K2011" s="50" t="s">
        <v>4697</v>
      </c>
      <c r="L2011" s="49"/>
      <c r="M2011" s="49"/>
      <c r="N2011" s="49"/>
      <c r="O2011" s="49"/>
      <c r="P2011" s="49" t="str">
        <f t="shared" si="2"/>
        <v>spectacular,</v>
      </c>
      <c r="Q2011" s="49"/>
      <c r="R2011" s="50" t="s">
        <v>5653</v>
      </c>
      <c r="S2011" s="55" t="s">
        <v>3449</v>
      </c>
      <c r="T2011" s="49"/>
      <c r="U2011" s="49"/>
      <c r="V2011" s="49"/>
      <c r="W2011" s="49"/>
      <c r="X2011" s="49" t="str">
        <f t="shared" si="3"/>
        <v>exasperated,</v>
      </c>
      <c r="Y2011" s="49"/>
      <c r="Z2011" s="1" t="s">
        <v>244</v>
      </c>
      <c r="AA2011" s="1" t="s">
        <v>5242</v>
      </c>
      <c r="AB2011" s="49"/>
      <c r="AC2011" s="49"/>
      <c r="AD2011" s="49"/>
      <c r="AE2011" s="49"/>
      <c r="AF2011" s="49" t="str">
        <f t="shared" si="4"/>
        <v>finish,</v>
      </c>
      <c r="AG2011" s="49"/>
      <c r="AH2011" s="1" t="s">
        <v>7056</v>
      </c>
      <c r="AI2011" s="1" t="s">
        <v>3408</v>
      </c>
      <c r="AJ2011" s="6" t="str">
        <f>IFERROR(__xludf.DUMMYFUNCTION("""COMPUTED_VALUE"""),"struck")</f>
        <v>struck</v>
      </c>
      <c r="AK2011" s="49"/>
      <c r="AL2011" s="49"/>
      <c r="AM2011" s="49"/>
      <c r="AN2011" s="52" t="str">
        <f t="shared" si="5"/>
        <v>whereas,</v>
      </c>
    </row>
    <row r="2012">
      <c r="A2012" s="51"/>
      <c r="B2012" s="50" t="s">
        <v>6845</v>
      </c>
      <c r="C2012" s="50" t="s">
        <v>1820</v>
      </c>
      <c r="D2012" s="49" t="str">
        <f>IFERROR(__xludf.DUMMYFUNCTION("""COMPUTED_VALUE"""),"siege")</f>
        <v>siege</v>
      </c>
      <c r="E2012" s="49"/>
      <c r="F2012" s="49"/>
      <c r="G2012" s="49"/>
      <c r="H2012" s="54" t="str">
        <f t="shared" si="1"/>
        <v>accompanied,</v>
      </c>
      <c r="I2012" s="50"/>
      <c r="J2012" s="50" t="s">
        <v>3136</v>
      </c>
      <c r="K2012" s="50" t="s">
        <v>1998</v>
      </c>
      <c r="L2012" s="49"/>
      <c r="M2012" s="49"/>
      <c r="N2012" s="49"/>
      <c r="O2012" s="49"/>
      <c r="P2012" s="49" t="str">
        <f t="shared" si="2"/>
        <v>professionals,</v>
      </c>
      <c r="Q2012" s="49"/>
      <c r="R2012" s="50" t="s">
        <v>7494</v>
      </c>
      <c r="S2012" s="55" t="s">
        <v>1893</v>
      </c>
      <c r="T2012" s="49"/>
      <c r="U2012" s="49"/>
      <c r="V2012" s="49"/>
      <c r="W2012" s="49"/>
      <c r="X2012" s="49" t="str">
        <f t="shared" si="3"/>
        <v>visitor,</v>
      </c>
      <c r="Y2012" s="49"/>
      <c r="Z2012" s="1" t="s">
        <v>4444</v>
      </c>
      <c r="AA2012" s="1" t="s">
        <v>3574</v>
      </c>
      <c r="AB2012" s="49"/>
      <c r="AC2012" s="49"/>
      <c r="AD2012" s="49"/>
      <c r="AE2012" s="49"/>
      <c r="AF2012" s="49" t="str">
        <f t="shared" si="4"/>
        <v>laughing,</v>
      </c>
      <c r="AG2012" s="49"/>
      <c r="AH2012" s="1" t="s">
        <v>3272</v>
      </c>
      <c r="AI2012" s="1" t="s">
        <v>1136</v>
      </c>
      <c r="AJ2012" s="6" t="str">
        <f>IFERROR(__xludf.DUMMYFUNCTION("""COMPUTED_VALUE"""),"shots")</f>
        <v>shots</v>
      </c>
      <c r="AK2012" s="49"/>
      <c r="AL2012" s="49"/>
      <c r="AM2012" s="49"/>
      <c r="AN2012" s="52" t="str">
        <f t="shared" si="5"/>
        <v>thinks,</v>
      </c>
    </row>
    <row r="2013">
      <c r="A2013" s="51"/>
      <c r="B2013" s="50" t="s">
        <v>4435</v>
      </c>
      <c r="C2013" s="50" t="s">
        <v>6447</v>
      </c>
      <c r="D2013" s="49" t="str">
        <f>IFERROR(__xludf.DUMMYFUNCTION("""COMPUTED_VALUE"""),"gravity")</f>
        <v>gravity</v>
      </c>
      <c r="E2013" s="49"/>
      <c r="F2013" s="49"/>
      <c r="G2013" s="49"/>
      <c r="H2013" s="54" t="str">
        <f t="shared" si="1"/>
        <v>con,</v>
      </c>
      <c r="I2013" s="50"/>
      <c r="J2013" s="50" t="s">
        <v>4923</v>
      </c>
      <c r="K2013" s="50" t="s">
        <v>5113</v>
      </c>
      <c r="L2013" s="49"/>
      <c r="M2013" s="49"/>
      <c r="N2013" s="49"/>
      <c r="O2013" s="49"/>
      <c r="P2013" s="49" t="str">
        <f t="shared" si="2"/>
        <v>pinnacle,</v>
      </c>
      <c r="Q2013" s="49"/>
      <c r="R2013" s="50" t="s">
        <v>3392</v>
      </c>
      <c r="S2013" s="55" t="s">
        <v>1911</v>
      </c>
      <c r="T2013" s="49"/>
      <c r="U2013" s="49"/>
      <c r="V2013" s="49"/>
      <c r="W2013" s="49"/>
      <c r="X2013" s="49" t="str">
        <f t="shared" si="3"/>
        <v>aged,</v>
      </c>
      <c r="Y2013" s="49"/>
      <c r="Z2013" s="1" t="s">
        <v>224</v>
      </c>
      <c r="AA2013" s="1" t="s">
        <v>4999</v>
      </c>
      <c r="AB2013" s="49"/>
      <c r="AC2013" s="49"/>
      <c r="AD2013" s="49"/>
      <c r="AE2013" s="49"/>
      <c r="AF2013" s="49" t="str">
        <f t="shared" si="4"/>
        <v>clumsy,</v>
      </c>
      <c r="AG2013" s="49"/>
      <c r="AH2013" s="1" t="s">
        <v>3896</v>
      </c>
      <c r="AI2013" s="1" t="s">
        <v>6622</v>
      </c>
      <c r="AJ2013" s="6" t="str">
        <f>IFERROR(__xludf.DUMMYFUNCTION("""COMPUTED_VALUE"""),"herself")</f>
        <v>herself</v>
      </c>
      <c r="AK2013" s="49"/>
      <c r="AL2013" s="49"/>
      <c r="AM2013" s="49"/>
      <c r="AN2013" s="52" t="str">
        <f t="shared" si="5"/>
        <v>offer,</v>
      </c>
    </row>
    <row r="2014">
      <c r="A2014" s="51"/>
      <c r="B2014" s="50" t="s">
        <v>2645</v>
      </c>
      <c r="C2014" s="50" t="s">
        <v>1661</v>
      </c>
      <c r="D2014" s="49" t="str">
        <f>IFERROR(__xludf.DUMMYFUNCTION("""COMPUTED_VALUE"""),"area")</f>
        <v>area</v>
      </c>
      <c r="E2014" s="49"/>
      <c r="F2014" s="49"/>
      <c r="G2014" s="49"/>
      <c r="H2014" s="54" t="str">
        <f t="shared" si="1"/>
        <v>cover,</v>
      </c>
      <c r="I2014" s="50"/>
      <c r="J2014" s="50" t="s">
        <v>3037</v>
      </c>
      <c r="K2014" s="50" t="s">
        <v>3608</v>
      </c>
      <c r="L2014" s="49"/>
      <c r="M2014" s="49"/>
      <c r="N2014" s="49"/>
      <c r="O2014" s="49"/>
      <c r="P2014" s="49" t="str">
        <f t="shared" si="2"/>
        <v>daughters,</v>
      </c>
      <c r="Q2014" s="49"/>
      <c r="R2014" s="50" t="s">
        <v>5722</v>
      </c>
      <c r="S2014" s="55" t="s">
        <v>4725</v>
      </c>
      <c r="T2014" s="49"/>
      <c r="U2014" s="49"/>
      <c r="V2014" s="49"/>
      <c r="W2014" s="49"/>
      <c r="X2014" s="49" t="str">
        <f t="shared" si="3"/>
        <v>labor,</v>
      </c>
      <c r="Y2014" s="49"/>
      <c r="Z2014" s="1" t="s">
        <v>4983</v>
      </c>
      <c r="AA2014" s="1" t="s">
        <v>5243</v>
      </c>
      <c r="AB2014" s="49"/>
      <c r="AC2014" s="49"/>
      <c r="AD2014" s="49"/>
      <c r="AE2014" s="49"/>
      <c r="AF2014" s="49" t="str">
        <f t="shared" si="4"/>
        <v>dinner,</v>
      </c>
      <c r="AG2014" s="49"/>
      <c r="AH2014" s="1" t="s">
        <v>1880</v>
      </c>
      <c r="AI2014" s="1" t="s">
        <v>4498</v>
      </c>
      <c r="AJ2014" s="6" t="str">
        <f>IFERROR(__xludf.DUMMYFUNCTION("""COMPUTED_VALUE"""),"pushed")</f>
        <v>pushed</v>
      </c>
      <c r="AK2014" s="49"/>
      <c r="AL2014" s="49"/>
      <c r="AM2014" s="49"/>
      <c r="AN2014" s="52" t="str">
        <f t="shared" si="5"/>
        <v>twice,</v>
      </c>
    </row>
    <row r="2015">
      <c r="A2015" s="51"/>
      <c r="B2015" s="50" t="s">
        <v>4103</v>
      </c>
      <c r="C2015" s="50" t="s">
        <v>602</v>
      </c>
      <c r="D2015" s="49" t="str">
        <f>IFERROR(__xludf.DUMMYFUNCTION("""COMPUTED_VALUE"""),"popular")</f>
        <v>popular</v>
      </c>
      <c r="E2015" s="49"/>
      <c r="F2015" s="49"/>
      <c r="G2015" s="49"/>
      <c r="H2015" s="54" t="str">
        <f t="shared" si="1"/>
        <v>speed,</v>
      </c>
      <c r="I2015" s="50"/>
      <c r="J2015" s="50" t="s">
        <v>6935</v>
      </c>
      <c r="K2015" s="50" t="s">
        <v>5244</v>
      </c>
      <c r="L2015" s="49"/>
      <c r="M2015" s="49"/>
      <c r="N2015" s="49"/>
      <c r="O2015" s="49"/>
      <c r="P2015" s="49" t="str">
        <f t="shared" si="2"/>
        <v>baked,</v>
      </c>
      <c r="Q2015" s="49"/>
      <c r="R2015" s="50" t="s">
        <v>7495</v>
      </c>
      <c r="S2015" s="55" t="s">
        <v>1172</v>
      </c>
      <c r="T2015" s="49"/>
      <c r="U2015" s="49"/>
      <c r="V2015" s="49"/>
      <c r="W2015" s="49"/>
      <c r="X2015" s="49" t="str">
        <f t="shared" si="3"/>
        <v>caring,</v>
      </c>
      <c r="Y2015" s="49"/>
      <c r="Z2015" s="1" t="s">
        <v>3519</v>
      </c>
      <c r="AA2015" s="1" t="s">
        <v>4523</v>
      </c>
      <c r="AB2015" s="49"/>
      <c r="AC2015" s="49"/>
      <c r="AD2015" s="49"/>
      <c r="AE2015" s="49"/>
      <c r="AF2015" s="49" t="str">
        <f t="shared" si="4"/>
        <v>brand,</v>
      </c>
      <c r="AG2015" s="49"/>
      <c r="AH2015" s="1" t="s">
        <v>5876</v>
      </c>
      <c r="AI2015" s="1" t="s">
        <v>3105</v>
      </c>
      <c r="AJ2015" s="6" t="str">
        <f>IFERROR(__xludf.DUMMYFUNCTION("""COMPUTED_VALUE"""),"contributed")</f>
        <v>contributed</v>
      </c>
      <c r="AK2015" s="49"/>
      <c r="AL2015" s="49"/>
      <c r="AM2015" s="49"/>
      <c r="AN2015" s="52" t="str">
        <f t="shared" si="5"/>
        <v>landing,</v>
      </c>
    </row>
    <row r="2016">
      <c r="A2016" s="51"/>
      <c r="B2016" s="50" t="s">
        <v>1683</v>
      </c>
      <c r="C2016" s="50" t="s">
        <v>4267</v>
      </c>
      <c r="D2016" s="49" t="str">
        <f>IFERROR(__xludf.DUMMYFUNCTION("""COMPUTED_VALUE"""),"imagined")</f>
        <v>imagined</v>
      </c>
      <c r="E2016" s="49"/>
      <c r="F2016" s="49"/>
      <c r="G2016" s="49"/>
      <c r="H2016" s="54" t="str">
        <f t="shared" si="1"/>
        <v>amount,</v>
      </c>
      <c r="I2016" s="50"/>
      <c r="J2016" s="50" t="s">
        <v>6058</v>
      </c>
      <c r="K2016" s="50" t="s">
        <v>5245</v>
      </c>
      <c r="L2016" s="49"/>
      <c r="M2016" s="49"/>
      <c r="N2016" s="49"/>
      <c r="O2016" s="49"/>
      <c r="P2016" s="49" t="str">
        <f t="shared" si="2"/>
        <v>fueled,</v>
      </c>
      <c r="Q2016" s="49"/>
      <c r="R2016" s="50" t="s">
        <v>3671</v>
      </c>
      <c r="S2016" s="55" t="s">
        <v>3456</v>
      </c>
      <c r="T2016" s="49"/>
      <c r="U2016" s="49"/>
      <c r="V2016" s="49"/>
      <c r="W2016" s="49"/>
      <c r="X2016" s="49" t="str">
        <f t="shared" si="3"/>
        <v>spotlight,</v>
      </c>
      <c r="Y2016" s="49"/>
      <c r="Z2016" s="1" t="s">
        <v>3408</v>
      </c>
      <c r="AA2016" s="1" t="s">
        <v>4208</v>
      </c>
      <c r="AB2016" s="49"/>
      <c r="AC2016" s="49"/>
      <c r="AD2016" s="49"/>
      <c r="AE2016" s="49"/>
      <c r="AF2016" s="49" t="str">
        <f t="shared" si="4"/>
        <v>surely,</v>
      </c>
      <c r="AG2016" s="49"/>
      <c r="AH2016" s="1" t="s">
        <v>3125</v>
      </c>
      <c r="AI2016" s="1" t="s">
        <v>6623</v>
      </c>
      <c r="AJ2016" s="6" t="str">
        <f>IFERROR(__xludf.DUMMYFUNCTION("""COMPUTED_VALUE"""),"barry")</f>
        <v>barry</v>
      </c>
      <c r="AK2016" s="49"/>
      <c r="AL2016" s="49"/>
      <c r="AM2016" s="49"/>
      <c r="AN2016" s="52" t="str">
        <f t="shared" si="5"/>
        <v>advance,</v>
      </c>
    </row>
    <row r="2017">
      <c r="A2017" s="51"/>
      <c r="B2017" s="50" t="s">
        <v>2844</v>
      </c>
      <c r="C2017" s="50" t="s">
        <v>5009</v>
      </c>
      <c r="D2017" s="49" t="str">
        <f>IFERROR(__xludf.DUMMYFUNCTION("""COMPUTED_VALUE"""),"damage")</f>
        <v>damage</v>
      </c>
      <c r="E2017" s="49"/>
      <c r="F2017" s="49"/>
      <c r="G2017" s="49"/>
      <c r="H2017" s="54" t="str">
        <f t="shared" si="1"/>
        <v>fame,</v>
      </c>
      <c r="I2017" s="50"/>
      <c r="J2017" s="50" t="s">
        <v>6604</v>
      </c>
      <c r="K2017" s="50" t="s">
        <v>4676</v>
      </c>
      <c r="L2017" s="49"/>
      <c r="M2017" s="49"/>
      <c r="N2017" s="49"/>
      <c r="O2017" s="49"/>
      <c r="P2017" s="49" t="str">
        <f t="shared" si="2"/>
        <v>springs,</v>
      </c>
      <c r="Q2017" s="49"/>
      <c r="R2017" s="50" t="s">
        <v>484</v>
      </c>
      <c r="S2017" s="55" t="s">
        <v>3085</v>
      </c>
      <c r="T2017" s="49"/>
      <c r="U2017" s="49"/>
      <c r="V2017" s="49"/>
      <c r="W2017" s="49"/>
      <c r="X2017" s="49" t="str">
        <f t="shared" si="3"/>
        <v>mendes,</v>
      </c>
      <c r="Y2017" s="49"/>
      <c r="Z2017" s="1" t="s">
        <v>2963</v>
      </c>
      <c r="AA2017" s="1" t="s">
        <v>3577</v>
      </c>
      <c r="AB2017" s="49"/>
      <c r="AC2017" s="49"/>
      <c r="AD2017" s="49"/>
      <c r="AE2017" s="49"/>
      <c r="AF2017" s="49" t="str">
        <f t="shared" si="4"/>
        <v>embarrassment,</v>
      </c>
      <c r="AG2017" s="49"/>
      <c r="AH2017" s="1" t="s">
        <v>6655</v>
      </c>
      <c r="AI2017" s="1" t="s">
        <v>3050</v>
      </c>
      <c r="AJ2017" s="6" t="str">
        <f>IFERROR(__xludf.DUMMYFUNCTION("""COMPUTED_VALUE"""),"majority")</f>
        <v>majority</v>
      </c>
      <c r="AK2017" s="49"/>
      <c r="AL2017" s="49"/>
      <c r="AM2017" s="49"/>
      <c r="AN2017" s="52" t="str">
        <f t="shared" si="5"/>
        <v>denied,</v>
      </c>
    </row>
    <row r="2018">
      <c r="A2018" s="51"/>
      <c r="B2018" s="50" t="s">
        <v>7496</v>
      </c>
      <c r="C2018" s="50" t="s">
        <v>6593</v>
      </c>
      <c r="D2018" s="49" t="str">
        <f>IFERROR(__xludf.DUMMYFUNCTION("""COMPUTED_VALUE"""),"neil")</f>
        <v>neil</v>
      </c>
      <c r="E2018" s="49"/>
      <c r="F2018" s="49"/>
      <c r="G2018" s="49"/>
      <c r="H2018" s="54" t="str">
        <f t="shared" si="1"/>
        <v>Jan,</v>
      </c>
      <c r="I2018" s="50"/>
      <c r="J2018" s="50" t="s">
        <v>4573</v>
      </c>
      <c r="K2018" s="50" t="s">
        <v>623</v>
      </c>
      <c r="L2018" s="49"/>
      <c r="M2018" s="49"/>
      <c r="N2018" s="49"/>
      <c r="O2018" s="49"/>
      <c r="P2018" s="49" t="str">
        <f t="shared" si="2"/>
        <v>chaotic,</v>
      </c>
      <c r="Q2018" s="49"/>
      <c r="R2018" s="50" t="s">
        <v>4886</v>
      </c>
      <c r="S2018" s="55" t="s">
        <v>3081</v>
      </c>
      <c r="T2018" s="49"/>
      <c r="U2018" s="49"/>
      <c r="V2018" s="49"/>
      <c r="W2018" s="49"/>
      <c r="X2018" s="49" t="str">
        <f t="shared" si="3"/>
        <v>ball,</v>
      </c>
      <c r="Y2018" s="49"/>
      <c r="Z2018" s="1" t="s">
        <v>2029</v>
      </c>
      <c r="AA2018" s="1" t="s">
        <v>5246</v>
      </c>
      <c r="AB2018" s="49"/>
      <c r="AC2018" s="49"/>
      <c r="AD2018" s="49"/>
      <c r="AE2018" s="49"/>
      <c r="AF2018" s="49" t="str">
        <f t="shared" si="4"/>
        <v>drag,</v>
      </c>
      <c r="AG2018" s="49"/>
      <c r="AH2018" s="1" t="s">
        <v>1363</v>
      </c>
      <c r="AI2018" s="1" t="s">
        <v>3418</v>
      </c>
      <c r="AJ2018" s="6" t="str">
        <f>IFERROR(__xludf.DUMMYFUNCTION("""COMPUTED_VALUE"""),"venture")</f>
        <v>venture</v>
      </c>
      <c r="AK2018" s="49"/>
      <c r="AL2018" s="49"/>
      <c r="AM2018" s="49"/>
      <c r="AN2018" s="52" t="str">
        <f t="shared" si="5"/>
        <v>stay,</v>
      </c>
    </row>
    <row r="2019">
      <c r="A2019" s="51"/>
      <c r="B2019" s="50" t="s">
        <v>2194</v>
      </c>
      <c r="C2019" s="50" t="s">
        <v>1674</v>
      </c>
      <c r="D2019" s="49" t="str">
        <f>IFERROR(__xludf.DUMMYFUNCTION("""COMPUTED_VALUE"""),"christopher")</f>
        <v>christopher</v>
      </c>
      <c r="E2019" s="49"/>
      <c r="F2019" s="49"/>
      <c r="G2019" s="49"/>
      <c r="H2019" s="54" t="str">
        <f t="shared" si="1"/>
        <v>psychology,</v>
      </c>
      <c r="I2019" s="50"/>
      <c r="J2019" s="50" t="s">
        <v>7497</v>
      </c>
      <c r="K2019" s="50" t="s">
        <v>3611</v>
      </c>
      <c r="L2019" s="49"/>
      <c r="M2019" s="49"/>
      <c r="N2019" s="49"/>
      <c r="O2019" s="49"/>
      <c r="P2019" s="49" t="str">
        <f t="shared" si="2"/>
        <v>steer,</v>
      </c>
      <c r="Q2019" s="49"/>
      <c r="R2019" s="50" t="s">
        <v>4931</v>
      </c>
      <c r="S2019" s="55" t="s">
        <v>6624</v>
      </c>
      <c r="T2019" s="49"/>
      <c r="U2019" s="49"/>
      <c r="V2019" s="49"/>
      <c r="W2019" s="49"/>
      <c r="X2019" s="49" t="str">
        <f t="shared" si="3"/>
        <v>blanket,</v>
      </c>
      <c r="Y2019" s="49"/>
      <c r="Z2019" s="1" t="s">
        <v>1711</v>
      </c>
      <c r="AA2019" s="1" t="s">
        <v>1593</v>
      </c>
      <c r="AB2019" s="49"/>
      <c r="AC2019" s="49"/>
      <c r="AD2019" s="49"/>
      <c r="AE2019" s="49"/>
      <c r="AF2019" s="49" t="str">
        <f t="shared" si="4"/>
        <v>hole,</v>
      </c>
      <c r="AG2019" s="49"/>
      <c r="AH2019" s="1" t="s">
        <v>1955</v>
      </c>
      <c r="AI2019" s="1" t="s">
        <v>4132</v>
      </c>
      <c r="AJ2019" s="6" t="str">
        <f>IFERROR(__xludf.DUMMYFUNCTION("""COMPUTED_VALUE"""),"report")</f>
        <v>report</v>
      </c>
      <c r="AK2019" s="49"/>
      <c r="AL2019" s="49"/>
      <c r="AM2019" s="49"/>
      <c r="AN2019" s="52" t="str">
        <f t="shared" si="5"/>
        <v>bar,</v>
      </c>
    </row>
    <row r="2020">
      <c r="A2020" s="51"/>
      <c r="B2020" s="50" t="s">
        <v>2400</v>
      </c>
      <c r="C2020" s="50" t="s">
        <v>6595</v>
      </c>
      <c r="D2020" s="49" t="str">
        <f>IFERROR(__xludf.DUMMYFUNCTION("""COMPUTED_VALUE"""),"delivery")</f>
        <v>delivery</v>
      </c>
      <c r="E2020" s="49"/>
      <c r="F2020" s="49"/>
      <c r="G2020" s="49"/>
      <c r="H2020" s="54" t="str">
        <f t="shared" si="1"/>
        <v>animals,</v>
      </c>
      <c r="I2020" s="50"/>
      <c r="J2020" s="50" t="s">
        <v>5185</v>
      </c>
      <c r="K2020" s="50" t="s">
        <v>4698</v>
      </c>
      <c r="L2020" s="49"/>
      <c r="M2020" s="49"/>
      <c r="N2020" s="49"/>
      <c r="O2020" s="49"/>
      <c r="P2020" s="49" t="str">
        <f t="shared" si="2"/>
        <v>enjoyment,</v>
      </c>
      <c r="Q2020" s="49"/>
      <c r="R2020" s="50" t="s">
        <v>5477</v>
      </c>
      <c r="S2020" s="55" t="s">
        <v>5106</v>
      </c>
      <c r="T2020" s="49"/>
      <c r="U2020" s="49"/>
      <c r="V2020" s="49"/>
      <c r="W2020" s="49"/>
      <c r="X2020" s="49" t="str">
        <f t="shared" si="3"/>
        <v>innovative,</v>
      </c>
      <c r="Y2020" s="49"/>
      <c r="Z2020" s="1" t="s">
        <v>3984</v>
      </c>
      <c r="AA2020" s="1" t="s">
        <v>2397</v>
      </c>
      <c r="AB2020" s="49"/>
      <c r="AC2020" s="49"/>
      <c r="AD2020" s="49"/>
      <c r="AE2020" s="49"/>
      <c r="AF2020" s="49" t="str">
        <f t="shared" si="4"/>
        <v>faster,</v>
      </c>
      <c r="AG2020" s="49"/>
      <c r="AH2020" s="1" t="s">
        <v>2735</v>
      </c>
      <c r="AI2020" s="1" t="s">
        <v>6616</v>
      </c>
      <c r="AJ2020" s="6" t="str">
        <f>IFERROR(__xludf.DUMMYFUNCTION("""COMPUTED_VALUE"""),"entering")</f>
        <v>entering</v>
      </c>
      <c r="AK2020" s="49"/>
      <c r="AL2020" s="49"/>
      <c r="AM2020" s="49"/>
      <c r="AN2020" s="52" t="str">
        <f t="shared" si="5"/>
        <v>chance,</v>
      </c>
    </row>
    <row r="2021">
      <c r="A2021" s="51"/>
      <c r="B2021" s="50" t="s">
        <v>991</v>
      </c>
      <c r="C2021" s="50" t="s">
        <v>347</v>
      </c>
      <c r="D2021" s="49" t="str">
        <f>IFERROR(__xludf.DUMMYFUNCTION("""COMPUTED_VALUE"""),"direct")</f>
        <v>direct</v>
      </c>
      <c r="E2021" s="49"/>
      <c r="F2021" s="49"/>
      <c r="G2021" s="49"/>
      <c r="H2021" s="54" t="str">
        <f t="shared" si="1"/>
        <v>core,</v>
      </c>
      <c r="I2021" s="50"/>
      <c r="J2021" s="50" t="s">
        <v>4915</v>
      </c>
      <c r="K2021" s="50" t="s">
        <v>4701</v>
      </c>
      <c r="L2021" s="49"/>
      <c r="M2021" s="49"/>
      <c r="N2021" s="49"/>
      <c r="O2021" s="49"/>
      <c r="P2021" s="49" t="str">
        <f t="shared" si="2"/>
        <v>struggle,</v>
      </c>
      <c r="Q2021" s="49"/>
      <c r="R2021" s="50" t="s">
        <v>2037</v>
      </c>
      <c r="S2021" s="55" t="s">
        <v>876</v>
      </c>
      <c r="T2021" s="49"/>
      <c r="U2021" s="49"/>
      <c r="V2021" s="49"/>
      <c r="W2021" s="49"/>
      <c r="X2021" s="49" t="str">
        <f t="shared" si="3"/>
        <v>dash,</v>
      </c>
      <c r="Y2021" s="49"/>
      <c r="Z2021" s="1" t="s">
        <v>3307</v>
      </c>
      <c r="AA2021" s="1" t="s">
        <v>5249</v>
      </c>
      <c r="AB2021" s="49"/>
      <c r="AC2021" s="49"/>
      <c r="AD2021" s="49"/>
      <c r="AE2021" s="49"/>
      <c r="AF2021" s="49" t="str">
        <f t="shared" si="4"/>
        <v>naturally,</v>
      </c>
      <c r="AG2021" s="49"/>
      <c r="AH2021" s="1" t="s">
        <v>5293</v>
      </c>
      <c r="AI2021" s="1" t="s">
        <v>4505</v>
      </c>
      <c r="AJ2021" s="6" t="str">
        <f>IFERROR(__xludf.DUMMYFUNCTION("""COMPUTED_VALUE"""),"technique")</f>
        <v>technique</v>
      </c>
      <c r="AK2021" s="49"/>
      <c r="AL2021" s="49"/>
      <c r="AM2021" s="49"/>
      <c r="AN2021" s="52" t="str">
        <f t="shared" si="5"/>
        <v>dedicated,</v>
      </c>
    </row>
    <row r="2022">
      <c r="A2022" s="51"/>
      <c r="B2022" s="50" t="s">
        <v>3934</v>
      </c>
      <c r="C2022" s="50" t="s">
        <v>3706</v>
      </c>
      <c r="D2022" s="49" t="str">
        <f>IFERROR(__xludf.DUMMYFUNCTION("""COMPUTED_VALUE"""),"scores")</f>
        <v>scores</v>
      </c>
      <c r="E2022" s="49"/>
      <c r="F2022" s="49"/>
      <c r="G2022" s="49"/>
      <c r="H2022" s="54" t="str">
        <f t="shared" si="1"/>
        <v>grave,</v>
      </c>
      <c r="I2022" s="50"/>
      <c r="J2022" s="50" t="s">
        <v>5673</v>
      </c>
      <c r="K2022" s="50" t="s">
        <v>2000</v>
      </c>
      <c r="L2022" s="49"/>
      <c r="M2022" s="49"/>
      <c r="N2022" s="49"/>
      <c r="O2022" s="49"/>
      <c r="P2022" s="49" t="str">
        <f t="shared" si="2"/>
        <v>philip,</v>
      </c>
      <c r="Q2022" s="49"/>
      <c r="R2022" s="50" t="s">
        <v>7498</v>
      </c>
      <c r="S2022" s="55" t="s">
        <v>4562</v>
      </c>
      <c r="T2022" s="49"/>
      <c r="U2022" s="49"/>
      <c r="V2022" s="49"/>
      <c r="W2022" s="49"/>
      <c r="X2022" s="49" t="str">
        <f t="shared" si="3"/>
        <v>floyd,</v>
      </c>
      <c r="Y2022" s="49"/>
      <c r="Z2022" s="1" t="s">
        <v>3721</v>
      </c>
      <c r="AA2022" s="1" t="s">
        <v>4215</v>
      </c>
      <c r="AB2022" s="49"/>
      <c r="AC2022" s="49"/>
      <c r="AD2022" s="49"/>
      <c r="AE2022" s="49"/>
      <c r="AF2022" s="49" t="str">
        <f t="shared" si="4"/>
        <v>recipe,</v>
      </c>
      <c r="AG2022" s="49"/>
      <c r="AH2022" s="1" t="s">
        <v>2974</v>
      </c>
      <c r="AI2022" s="1" t="s">
        <v>5230</v>
      </c>
      <c r="AJ2022" s="6" t="str">
        <f>IFERROR(__xludf.DUMMYFUNCTION("""COMPUTED_VALUE"""),"sessions")</f>
        <v>sessions</v>
      </c>
      <c r="AK2022" s="49"/>
      <c r="AL2022" s="49"/>
      <c r="AM2022" s="49"/>
      <c r="AN2022" s="52" t="str">
        <f t="shared" si="5"/>
        <v>license,</v>
      </c>
    </row>
    <row r="2023">
      <c r="A2023" s="51"/>
      <c r="B2023" s="50" t="s">
        <v>6412</v>
      </c>
      <c r="C2023" s="50" t="s">
        <v>4270</v>
      </c>
      <c r="D2023" s="49" t="str">
        <f>IFERROR(__xludf.DUMMYFUNCTION("""COMPUTED_VALUE"""),"warrior")</f>
        <v>warrior</v>
      </c>
      <c r="E2023" s="49"/>
      <c r="F2023" s="49"/>
      <c r="G2023" s="49"/>
      <c r="H2023" s="54" t="str">
        <f t="shared" si="1"/>
        <v>hill,</v>
      </c>
      <c r="I2023" s="50"/>
      <c r="J2023" s="50" t="s">
        <v>5422</v>
      </c>
      <c r="K2023" s="50" t="s">
        <v>4704</v>
      </c>
      <c r="L2023" s="49"/>
      <c r="M2023" s="49"/>
      <c r="N2023" s="49"/>
      <c r="O2023" s="49"/>
      <c r="P2023" s="49" t="str">
        <f t="shared" si="2"/>
        <v>realm,</v>
      </c>
      <c r="Q2023" s="49"/>
      <c r="R2023" s="50" t="s">
        <v>7499</v>
      </c>
      <c r="S2023" s="55" t="s">
        <v>3088</v>
      </c>
      <c r="T2023" s="49"/>
      <c r="U2023" s="49"/>
      <c r="V2023" s="49"/>
      <c r="W2023" s="49"/>
      <c r="X2023" s="49" t="str">
        <f t="shared" si="3"/>
        <v>en,</v>
      </c>
      <c r="Y2023" s="49"/>
      <c r="Z2023" s="1" t="s">
        <v>4080</v>
      </c>
      <c r="AA2023" s="1" t="s">
        <v>5251</v>
      </c>
      <c r="AB2023" s="49"/>
      <c r="AC2023" s="49"/>
      <c r="AD2023" s="49"/>
      <c r="AE2023" s="49"/>
      <c r="AF2023" s="49" t="str">
        <f t="shared" si="4"/>
        <v>knowing,</v>
      </c>
      <c r="AG2023" s="49"/>
      <c r="AH2023" s="1" t="s">
        <v>4314</v>
      </c>
      <c r="AI2023" s="1" t="s">
        <v>4950</v>
      </c>
      <c r="AJ2023" s="6" t="str">
        <f>IFERROR(__xludf.DUMMYFUNCTION("""COMPUTED_VALUE"""),"master")</f>
        <v>master</v>
      </c>
      <c r="AK2023" s="49"/>
      <c r="AL2023" s="49"/>
      <c r="AM2023" s="49"/>
      <c r="AN2023" s="52" t="str">
        <f t="shared" si="5"/>
        <v>careful,</v>
      </c>
    </row>
    <row r="2024">
      <c r="A2024" s="51"/>
      <c r="B2024" s="50" t="s">
        <v>7145</v>
      </c>
      <c r="C2024" s="50" t="s">
        <v>1054</v>
      </c>
      <c r="D2024" s="49" t="str">
        <f>IFERROR(__xludf.DUMMYFUNCTION("""COMPUTED_VALUE"""),"proud")</f>
        <v>proud</v>
      </c>
      <c r="E2024" s="49"/>
      <c r="F2024" s="49"/>
      <c r="G2024" s="49"/>
      <c r="H2024" s="54" t="str">
        <f t="shared" si="1"/>
        <v>officer,</v>
      </c>
      <c r="I2024" s="50"/>
      <c r="J2024" s="50" t="s">
        <v>4899</v>
      </c>
      <c r="K2024" s="50" t="s">
        <v>1292</v>
      </c>
      <c r="L2024" s="49"/>
      <c r="M2024" s="49"/>
      <c r="N2024" s="49"/>
      <c r="O2024" s="49"/>
      <c r="P2024" s="49" t="str">
        <f t="shared" si="2"/>
        <v>knowledge,</v>
      </c>
      <c r="Q2024" s="49"/>
      <c r="R2024" s="50" t="s">
        <v>4351</v>
      </c>
      <c r="S2024" s="55" t="s">
        <v>2555</v>
      </c>
      <c r="T2024" s="49"/>
      <c r="U2024" s="49"/>
      <c r="V2024" s="49"/>
      <c r="W2024" s="49"/>
      <c r="X2024" s="49" t="str">
        <f t="shared" si="3"/>
        <v>mixture,</v>
      </c>
      <c r="Y2024" s="49"/>
      <c r="Z2024" s="1" t="s">
        <v>5905</v>
      </c>
      <c r="AA2024" s="1" t="s">
        <v>969</v>
      </c>
      <c r="AB2024" s="49"/>
      <c r="AC2024" s="49"/>
      <c r="AD2024" s="49"/>
      <c r="AE2024" s="49"/>
      <c r="AF2024" s="49" t="str">
        <f t="shared" si="4"/>
        <v>scratch,</v>
      </c>
      <c r="AG2024" s="49"/>
      <c r="AH2024" s="1" t="s">
        <v>5330</v>
      </c>
      <c r="AI2024" s="1" t="s">
        <v>3053</v>
      </c>
      <c r="AJ2024" s="6" t="str">
        <f>IFERROR(__xludf.DUMMYFUNCTION("""COMPUTED_VALUE"""),"advantage")</f>
        <v>advantage</v>
      </c>
      <c r="AK2024" s="49"/>
      <c r="AL2024" s="49"/>
      <c r="AM2024" s="49"/>
      <c r="AN2024" s="52" t="str">
        <f t="shared" si="5"/>
        <v>craft,</v>
      </c>
    </row>
    <row r="2025">
      <c r="A2025" s="51"/>
      <c r="B2025" s="50" t="s">
        <v>4188</v>
      </c>
      <c r="C2025" s="50" t="s">
        <v>6596</v>
      </c>
      <c r="D2025" s="49" t="str">
        <f>IFERROR(__xludf.DUMMYFUNCTION("""COMPUTED_VALUE"""),"nose")</f>
        <v>nose</v>
      </c>
      <c r="E2025" s="49"/>
      <c r="F2025" s="49"/>
      <c r="G2025" s="49"/>
      <c r="H2025" s="54" t="str">
        <f t="shared" si="1"/>
        <v>animal,</v>
      </c>
      <c r="I2025" s="50"/>
      <c r="J2025" s="50" t="s">
        <v>2377</v>
      </c>
      <c r="K2025" s="50" t="s">
        <v>1463</v>
      </c>
      <c r="L2025" s="49"/>
      <c r="M2025" s="49"/>
      <c r="N2025" s="49"/>
      <c r="O2025" s="49"/>
      <c r="P2025" s="49" t="str">
        <f t="shared" si="2"/>
        <v>moral,</v>
      </c>
      <c r="Q2025" s="49"/>
      <c r="R2025" s="50" t="s">
        <v>4243</v>
      </c>
      <c r="S2025" s="55" t="s">
        <v>3459</v>
      </c>
      <c r="T2025" s="49"/>
      <c r="U2025" s="49"/>
      <c r="V2025" s="49"/>
      <c r="W2025" s="49"/>
      <c r="X2025" s="49" t="str">
        <f t="shared" si="3"/>
        <v>insurance,</v>
      </c>
      <c r="Y2025" s="49"/>
      <c r="Z2025" s="1" t="s">
        <v>3759</v>
      </c>
      <c r="AA2025" s="1" t="s">
        <v>3585</v>
      </c>
      <c r="AB2025" s="49"/>
      <c r="AC2025" s="49"/>
      <c r="AD2025" s="49"/>
      <c r="AE2025" s="49"/>
      <c r="AF2025" s="49" t="str">
        <f t="shared" si="4"/>
        <v>tales,</v>
      </c>
      <c r="AG2025" s="49"/>
      <c r="AH2025" s="1" t="s">
        <v>264</v>
      </c>
      <c r="AI2025" s="1" t="s">
        <v>2108</v>
      </c>
      <c r="AJ2025" s="6" t="str">
        <f>IFERROR(__xludf.DUMMYFUNCTION("""COMPUTED_VALUE"""),"believed")</f>
        <v>believed</v>
      </c>
      <c r="AK2025" s="49"/>
      <c r="AL2025" s="49"/>
      <c r="AM2025" s="49"/>
      <c r="AN2025" s="52" t="str">
        <f t="shared" si="5"/>
        <v>often,</v>
      </c>
    </row>
    <row r="2026">
      <c r="A2026" s="51"/>
      <c r="B2026" s="50" t="s">
        <v>6531</v>
      </c>
      <c r="C2026" s="50" t="s">
        <v>2981</v>
      </c>
      <c r="D2026" s="49" t="str">
        <f>IFERROR(__xludf.DUMMYFUNCTION("""COMPUTED_VALUE"""),"convention")</f>
        <v>convention</v>
      </c>
      <c r="E2026" s="49"/>
      <c r="F2026" s="49"/>
      <c r="G2026" s="49"/>
      <c r="H2026" s="54" t="str">
        <f t="shared" si="1"/>
        <v>clerk,</v>
      </c>
      <c r="I2026" s="50"/>
      <c r="J2026" s="50" t="s">
        <v>5897</v>
      </c>
      <c r="K2026" s="50" t="s">
        <v>3616</v>
      </c>
      <c r="L2026" s="49"/>
      <c r="M2026" s="49"/>
      <c r="N2026" s="49"/>
      <c r="O2026" s="49"/>
      <c r="P2026" s="49" t="str">
        <f t="shared" si="2"/>
        <v>electric,</v>
      </c>
      <c r="Q2026" s="49"/>
      <c r="R2026" s="50" t="s">
        <v>3123</v>
      </c>
      <c r="S2026" s="55" t="s">
        <v>3091</v>
      </c>
      <c r="T2026" s="49"/>
      <c r="U2026" s="49"/>
      <c r="V2026" s="49"/>
      <c r="W2026" s="49"/>
      <c r="X2026" s="49" t="str">
        <f t="shared" si="3"/>
        <v>conflict,</v>
      </c>
      <c r="Y2026" s="49"/>
      <c r="Z2026" s="1" t="s">
        <v>1406</v>
      </c>
      <c r="AA2026" s="1" t="s">
        <v>1315</v>
      </c>
      <c r="AB2026" s="49"/>
      <c r="AC2026" s="49"/>
      <c r="AD2026" s="49"/>
      <c r="AE2026" s="49"/>
      <c r="AF2026" s="49" t="str">
        <f t="shared" si="4"/>
        <v>observation,</v>
      </c>
      <c r="AG2026" s="49"/>
      <c r="AH2026" s="1" t="s">
        <v>2125</v>
      </c>
      <c r="AI2026" s="1" t="s">
        <v>2006</v>
      </c>
      <c r="AJ2026" s="6" t="str">
        <f>IFERROR(__xludf.DUMMYFUNCTION("""COMPUTED_VALUE"""),"detailed")</f>
        <v>detailed</v>
      </c>
      <c r="AK2026" s="49"/>
      <c r="AL2026" s="49"/>
      <c r="AM2026" s="49"/>
      <c r="AN2026" s="52" t="str">
        <f t="shared" si="5"/>
        <v>arts,</v>
      </c>
    </row>
    <row r="2027">
      <c r="A2027" s="51"/>
      <c r="B2027" s="50" t="s">
        <v>2902</v>
      </c>
      <c r="C2027" s="50" t="s">
        <v>3819</v>
      </c>
      <c r="D2027" s="49" t="str">
        <f>IFERROR(__xludf.DUMMYFUNCTION("""COMPUTED_VALUE"""),"wins")</f>
        <v>wins</v>
      </c>
      <c r="E2027" s="49"/>
      <c r="F2027" s="49"/>
      <c r="G2027" s="49"/>
      <c r="H2027" s="54" t="str">
        <f t="shared" si="1"/>
        <v>information,</v>
      </c>
      <c r="I2027" s="50"/>
      <c r="J2027" s="50" t="s">
        <v>4144</v>
      </c>
      <c r="K2027" s="50" t="s">
        <v>4707</v>
      </c>
      <c r="L2027" s="49"/>
      <c r="M2027" s="49"/>
      <c r="N2027" s="49"/>
      <c r="O2027" s="49"/>
      <c r="P2027" s="49" t="str">
        <f t="shared" si="2"/>
        <v>clocks,</v>
      </c>
      <c r="Q2027" s="49"/>
      <c r="R2027" s="50" t="s">
        <v>2355</v>
      </c>
      <c r="S2027" s="55" t="s">
        <v>3462</v>
      </c>
      <c r="T2027" s="49"/>
      <c r="U2027" s="49"/>
      <c r="V2027" s="49"/>
      <c r="W2027" s="49"/>
      <c r="X2027" s="49" t="str">
        <f t="shared" si="3"/>
        <v>pat,</v>
      </c>
      <c r="Y2027" s="49"/>
      <c r="Z2027" s="1" t="s">
        <v>1780</v>
      </c>
      <c r="AA2027" s="1" t="s">
        <v>607</v>
      </c>
      <c r="AB2027" s="49"/>
      <c r="AC2027" s="49"/>
      <c r="AD2027" s="49"/>
      <c r="AE2027" s="49"/>
      <c r="AF2027" s="49" t="str">
        <f t="shared" si="4"/>
        <v>further,</v>
      </c>
      <c r="AG2027" s="49"/>
      <c r="AH2027" s="1" t="s">
        <v>451</v>
      </c>
      <c r="AI2027" s="1" t="s">
        <v>4280</v>
      </c>
      <c r="AJ2027" s="6" t="str">
        <f>IFERROR(__xludf.DUMMYFUNCTION("""COMPUTED_VALUE"""),"reveal")</f>
        <v>reveal</v>
      </c>
      <c r="AK2027" s="49"/>
      <c r="AL2027" s="49"/>
      <c r="AM2027" s="49"/>
      <c r="AN2027" s="52" t="str">
        <f t="shared" si="5"/>
        <v>projects,</v>
      </c>
    </row>
    <row r="2028">
      <c r="A2028" s="51"/>
      <c r="B2028" s="50" t="s">
        <v>4843</v>
      </c>
      <c r="C2028" s="50" t="s">
        <v>5796</v>
      </c>
      <c r="D2028" s="49" t="str">
        <f>IFERROR(__xludf.DUMMYFUNCTION("""COMPUTED_VALUE"""),"closing")</f>
        <v>closing</v>
      </c>
      <c r="E2028" s="49"/>
      <c r="F2028" s="49"/>
      <c r="G2028" s="49"/>
      <c r="H2028" s="54" t="str">
        <f t="shared" si="1"/>
        <v>producer,</v>
      </c>
      <c r="I2028" s="50"/>
      <c r="J2028" s="50" t="s">
        <v>4378</v>
      </c>
      <c r="K2028" s="50" t="s">
        <v>3617</v>
      </c>
      <c r="L2028" s="49"/>
      <c r="M2028" s="49"/>
      <c r="N2028" s="49"/>
      <c r="O2028" s="49"/>
      <c r="P2028" s="49" t="str">
        <f t="shared" si="2"/>
        <v>embarrassed,</v>
      </c>
      <c r="Q2028" s="49"/>
      <c r="R2028" s="50" t="s">
        <v>2913</v>
      </c>
      <c r="S2028" s="55" t="s">
        <v>3093</v>
      </c>
      <c r="T2028" s="49"/>
      <c r="U2028" s="49"/>
      <c r="V2028" s="49"/>
      <c r="W2028" s="49"/>
      <c r="X2028" s="49" t="str">
        <f t="shared" si="3"/>
        <v>hades,</v>
      </c>
      <c r="Y2028" s="49"/>
      <c r="Z2028" s="1" t="s">
        <v>122</v>
      </c>
      <c r="AA2028" s="1" t="s">
        <v>3589</v>
      </c>
      <c r="AB2028" s="49"/>
      <c r="AC2028" s="49"/>
      <c r="AD2028" s="49"/>
      <c r="AE2028" s="49"/>
      <c r="AF2028" s="49" t="str">
        <f t="shared" si="4"/>
        <v>heroes,</v>
      </c>
      <c r="AG2028" s="49"/>
      <c r="AH2028" s="1" t="s">
        <v>1690</v>
      </c>
      <c r="AI2028" s="1" t="s">
        <v>6625</v>
      </c>
      <c r="AJ2028" s="6" t="str">
        <f>IFERROR(__xludf.DUMMYFUNCTION("""COMPUTED_VALUE"""),"burn")</f>
        <v>burn</v>
      </c>
      <c r="AK2028" s="49"/>
      <c r="AL2028" s="49"/>
      <c r="AM2028" s="49"/>
      <c r="AN2028" s="52" t="str">
        <f t="shared" si="5"/>
        <v>dragon,</v>
      </c>
    </row>
    <row r="2029">
      <c r="A2029" s="51"/>
      <c r="B2029" s="50" t="s">
        <v>7478</v>
      </c>
      <c r="C2029" s="50" t="s">
        <v>897</v>
      </c>
      <c r="D2029" s="49" t="str">
        <f>IFERROR(__xludf.DUMMYFUNCTION("""COMPUTED_VALUE"""),"mercy")</f>
        <v>mercy</v>
      </c>
      <c r="E2029" s="49"/>
      <c r="F2029" s="49"/>
      <c r="G2029" s="49"/>
      <c r="H2029" s="54" t="str">
        <f t="shared" si="1"/>
        <v>lieutenant,</v>
      </c>
      <c r="I2029" s="50"/>
      <c r="J2029" s="50" t="s">
        <v>1287</v>
      </c>
      <c r="K2029" s="50" t="s">
        <v>3620</v>
      </c>
      <c r="L2029" s="49"/>
      <c r="M2029" s="49"/>
      <c r="N2029" s="49"/>
      <c r="O2029" s="49"/>
      <c r="P2029" s="49" t="str">
        <f t="shared" si="2"/>
        <v>irritating,</v>
      </c>
      <c r="Q2029" s="49"/>
      <c r="R2029" s="50" t="s">
        <v>2249</v>
      </c>
      <c r="S2029" s="55">
        <v>7.0</v>
      </c>
      <c r="T2029" s="49"/>
      <c r="U2029" s="49"/>
      <c r="V2029" s="49"/>
      <c r="W2029" s="49"/>
      <c r="X2029" s="49" t="str">
        <f t="shared" si="3"/>
        <v>tunes,</v>
      </c>
      <c r="Y2029" s="49"/>
      <c r="Z2029" s="1" t="s">
        <v>3474</v>
      </c>
      <c r="AA2029" s="1" t="s">
        <v>1326</v>
      </c>
      <c r="AB2029" s="49"/>
      <c r="AC2029" s="49"/>
      <c r="AD2029" s="49"/>
      <c r="AE2029" s="49"/>
      <c r="AF2029" s="49" t="str">
        <f t="shared" si="4"/>
        <v>remembering,</v>
      </c>
      <c r="AG2029" s="49"/>
      <c r="AH2029" s="1" t="s">
        <v>5946</v>
      </c>
      <c r="AI2029" s="1" t="s">
        <v>2213</v>
      </c>
      <c r="AJ2029" s="6" t="str">
        <f>IFERROR(__xludf.DUMMYFUNCTION("""COMPUTED_VALUE"""),"trio")</f>
        <v>trio</v>
      </c>
      <c r="AK2029" s="49"/>
      <c r="AL2029" s="49"/>
      <c r="AM2029" s="49"/>
      <c r="AN2029" s="52" t="str">
        <f t="shared" si="5"/>
        <v>jet,</v>
      </c>
    </row>
    <row r="2030">
      <c r="A2030" s="51"/>
      <c r="B2030" s="50" t="s">
        <v>1749</v>
      </c>
      <c r="C2030" s="50" t="s">
        <v>4587</v>
      </c>
      <c r="D2030" s="49">
        <f>IFERROR(__xludf.DUMMYFUNCTION("""COMPUTED_VALUE"""),15.0)</f>
        <v>15</v>
      </c>
      <c r="E2030" s="49"/>
      <c r="F2030" s="49"/>
      <c r="G2030" s="49"/>
      <c r="H2030" s="54" t="str">
        <f t="shared" si="1"/>
        <v>carry,</v>
      </c>
      <c r="I2030" s="50"/>
      <c r="J2030" s="50" t="s">
        <v>7454</v>
      </c>
      <c r="K2030" s="50" t="s">
        <v>5254</v>
      </c>
      <c r="L2030" s="49"/>
      <c r="M2030" s="49"/>
      <c r="N2030" s="49"/>
      <c r="O2030" s="49"/>
      <c r="P2030" s="49" t="str">
        <f t="shared" si="2"/>
        <v>reasonably,</v>
      </c>
      <c r="Q2030" s="49"/>
      <c r="R2030" s="50" t="s">
        <v>2110</v>
      </c>
      <c r="S2030" s="55" t="s">
        <v>6626</v>
      </c>
      <c r="T2030" s="49"/>
      <c r="U2030" s="49"/>
      <c r="V2030" s="49"/>
      <c r="W2030" s="49"/>
      <c r="X2030" s="49" t="str">
        <f t="shared" si="3"/>
        <v>substances,</v>
      </c>
      <c r="Y2030" s="49"/>
      <c r="Z2030" s="1" t="s">
        <v>3748</v>
      </c>
      <c r="AA2030" s="1" t="s">
        <v>1605</v>
      </c>
      <c r="AB2030" s="49"/>
      <c r="AC2030" s="49"/>
      <c r="AD2030" s="49"/>
      <c r="AE2030" s="49"/>
      <c r="AF2030" s="49" t="str">
        <f t="shared" si="4"/>
        <v>regardless,</v>
      </c>
      <c r="AG2030" s="49"/>
      <c r="AH2030" s="1" t="s">
        <v>6772</v>
      </c>
      <c r="AI2030" s="1" t="s">
        <v>1165</v>
      </c>
      <c r="AJ2030" s="6" t="str">
        <f>IFERROR(__xludf.DUMMYFUNCTION("""COMPUTED_VALUE"""),"evening")</f>
        <v>evening</v>
      </c>
      <c r="AK2030" s="49"/>
      <c r="AL2030" s="49"/>
      <c r="AM2030" s="49"/>
      <c r="AN2030" s="52" t="str">
        <f t="shared" si="5"/>
        <v>paying,</v>
      </c>
    </row>
    <row r="2031">
      <c r="A2031" s="51"/>
      <c r="B2031" s="50" t="s">
        <v>6473</v>
      </c>
      <c r="C2031" s="50">
        <v>30.0</v>
      </c>
      <c r="D2031" s="49" t="str">
        <f>IFERROR(__xludf.DUMMYFUNCTION("""COMPUTED_VALUE"""),"person")</f>
        <v>person</v>
      </c>
      <c r="E2031" s="49"/>
      <c r="F2031" s="49"/>
      <c r="G2031" s="49"/>
      <c r="H2031" s="54" t="str">
        <f t="shared" si="1"/>
        <v>combination,</v>
      </c>
      <c r="I2031" s="50"/>
      <c r="J2031" s="50" t="s">
        <v>3929</v>
      </c>
      <c r="K2031" s="50" t="s">
        <v>1250</v>
      </c>
      <c r="L2031" s="49"/>
      <c r="M2031" s="49"/>
      <c r="N2031" s="49"/>
      <c r="O2031" s="49"/>
      <c r="P2031" s="49" t="str">
        <f t="shared" si="2"/>
        <v>elegant,</v>
      </c>
      <c r="Q2031" s="49"/>
      <c r="R2031" s="50" t="s">
        <v>1268</v>
      </c>
      <c r="S2031" s="55" t="s">
        <v>761</v>
      </c>
      <c r="T2031" s="49"/>
      <c r="U2031" s="49"/>
      <c r="V2031" s="49"/>
      <c r="W2031" s="49"/>
      <c r="X2031" s="49" t="str">
        <f t="shared" si="3"/>
        <v>contempt,</v>
      </c>
      <c r="Y2031" s="49"/>
      <c r="Z2031" s="1" t="s">
        <v>599</v>
      </c>
      <c r="AA2031" s="1" t="s">
        <v>2410</v>
      </c>
      <c r="AB2031" s="49"/>
      <c r="AC2031" s="49"/>
      <c r="AD2031" s="49"/>
      <c r="AE2031" s="49"/>
      <c r="AF2031" s="49" t="str">
        <f t="shared" si="4"/>
        <v>narrative,</v>
      </c>
      <c r="AG2031" s="49"/>
      <c r="AH2031" s="1" t="s">
        <v>1272</v>
      </c>
      <c r="AI2031" s="1" t="s">
        <v>1483</v>
      </c>
      <c r="AJ2031" s="6" t="str">
        <f>IFERROR(__xludf.DUMMYFUNCTION("""COMPUTED_VALUE"""),"orders")</f>
        <v>orders</v>
      </c>
      <c r="AK2031" s="49"/>
      <c r="AL2031" s="49"/>
      <c r="AM2031" s="49"/>
      <c r="AN2031" s="52" t="str">
        <f t="shared" si="5"/>
        <v>martial,</v>
      </c>
    </row>
    <row r="2032">
      <c r="A2032" s="51"/>
      <c r="B2032" s="50" t="s">
        <v>4980</v>
      </c>
      <c r="C2032" s="50" t="s">
        <v>3438</v>
      </c>
      <c r="D2032" s="49" t="str">
        <f>IFERROR(__xludf.DUMMYFUNCTION("""COMPUTED_VALUE"""),"imagine")</f>
        <v>imagine</v>
      </c>
      <c r="E2032" s="49"/>
      <c r="F2032" s="49"/>
      <c r="G2032" s="49"/>
      <c r="H2032" s="54" t="str">
        <f t="shared" si="1"/>
        <v>unusual,</v>
      </c>
      <c r="I2032" s="50"/>
      <c r="J2032" s="50" t="s">
        <v>1335</v>
      </c>
      <c r="K2032" s="50" t="s">
        <v>5255</v>
      </c>
      <c r="L2032" s="49"/>
      <c r="M2032" s="49"/>
      <c r="N2032" s="49"/>
      <c r="O2032" s="49"/>
      <c r="P2032" s="49" t="str">
        <f t="shared" si="2"/>
        <v>charming,</v>
      </c>
      <c r="Q2032" s="49"/>
      <c r="R2032" s="50" t="s">
        <v>1897</v>
      </c>
      <c r="S2032" s="55" t="s">
        <v>3483</v>
      </c>
      <c r="T2032" s="49"/>
      <c r="U2032" s="49"/>
      <c r="V2032" s="49"/>
      <c r="W2032" s="49"/>
      <c r="X2032" s="49" t="str">
        <f t="shared" si="3"/>
        <v>thoughtful,</v>
      </c>
      <c r="Y2032" s="49"/>
      <c r="Z2032" s="1" t="s">
        <v>3731</v>
      </c>
      <c r="AA2032" s="1" t="s">
        <v>3591</v>
      </c>
      <c r="AB2032" s="49"/>
      <c r="AC2032" s="49"/>
      <c r="AD2032" s="49"/>
      <c r="AE2032" s="49"/>
      <c r="AF2032" s="49" t="str">
        <f t="shared" si="4"/>
        <v>fairy,</v>
      </c>
      <c r="AG2032" s="49"/>
      <c r="AH2032" s="1" t="s">
        <v>6645</v>
      </c>
      <c r="AI2032" s="1" t="s">
        <v>6627</v>
      </c>
      <c r="AJ2032" s="6" t="str">
        <f>IFERROR(__xludf.DUMMYFUNCTION("""COMPUTED_VALUE"""),"hanging")</f>
        <v>hanging</v>
      </c>
      <c r="AK2032" s="49"/>
      <c r="AL2032" s="49"/>
      <c r="AM2032" s="49"/>
      <c r="AN2032" s="52" t="str">
        <f t="shared" si="5"/>
        <v>flying,</v>
      </c>
    </row>
    <row r="2033">
      <c r="A2033" s="51"/>
      <c r="B2033" s="50" t="s">
        <v>252</v>
      </c>
      <c r="C2033" s="50" t="s">
        <v>6598</v>
      </c>
      <c r="D2033" s="49" t="str">
        <f>IFERROR(__xludf.DUMMYFUNCTION("""COMPUTED_VALUE"""),"survive")</f>
        <v>survive</v>
      </c>
      <c r="E2033" s="49"/>
      <c r="F2033" s="49"/>
      <c r="G2033" s="49"/>
      <c r="H2033" s="54" t="str">
        <f t="shared" si="1"/>
        <v>interest,</v>
      </c>
      <c r="I2033" s="50"/>
      <c r="J2033" s="50" t="s">
        <v>7456</v>
      </c>
      <c r="K2033" s="50" t="s">
        <v>3621</v>
      </c>
      <c r="L2033" s="49"/>
      <c r="M2033" s="49"/>
      <c r="N2033" s="49"/>
      <c r="O2033" s="49"/>
      <c r="P2033" s="49" t="str">
        <f t="shared" si="2"/>
        <v>Mar,</v>
      </c>
      <c r="Q2033" s="49"/>
      <c r="R2033" s="50" t="s">
        <v>5021</v>
      </c>
      <c r="S2033" s="55" t="s">
        <v>3465</v>
      </c>
      <c r="T2033" s="49"/>
      <c r="U2033" s="49"/>
      <c r="V2033" s="49"/>
      <c r="W2033" s="49"/>
      <c r="X2033" s="49" t="str">
        <f t="shared" si="3"/>
        <v>utter,</v>
      </c>
      <c r="Y2033" s="49"/>
      <c r="Z2033" s="1" t="s">
        <v>3889</v>
      </c>
      <c r="AA2033" s="1" t="s">
        <v>3593</v>
      </c>
      <c r="AB2033" s="49"/>
      <c r="AC2033" s="49"/>
      <c r="AD2033" s="49"/>
      <c r="AE2033" s="49"/>
      <c r="AF2033" s="49" t="str">
        <f t="shared" si="4"/>
        <v>notice,</v>
      </c>
      <c r="AG2033" s="49"/>
      <c r="AH2033" s="1" t="s">
        <v>688</v>
      </c>
      <c r="AI2033" s="1" t="s">
        <v>3128</v>
      </c>
      <c r="AJ2033" s="6" t="str">
        <f>IFERROR(__xludf.DUMMYFUNCTION("""COMPUTED_VALUE"""),"leave")</f>
        <v>leave</v>
      </c>
      <c r="AK2033" s="49"/>
      <c r="AL2033" s="49"/>
      <c r="AM2033" s="49"/>
      <c r="AN2033" s="52" t="str">
        <f t="shared" si="5"/>
        <v>images,</v>
      </c>
    </row>
    <row r="2034">
      <c r="A2034" s="51"/>
      <c r="B2034" s="50" t="s">
        <v>1926</v>
      </c>
      <c r="C2034" s="50" t="s">
        <v>4838</v>
      </c>
      <c r="D2034" s="49" t="str">
        <f>IFERROR(__xludf.DUMMYFUNCTION("""COMPUTED_VALUE"""),"harm")</f>
        <v>harm</v>
      </c>
      <c r="E2034" s="49"/>
      <c r="F2034" s="49"/>
      <c r="G2034" s="49"/>
      <c r="H2034" s="54" t="str">
        <f t="shared" si="1"/>
        <v>lovely,</v>
      </c>
      <c r="I2034" s="50"/>
      <c r="J2034" s="50" t="s">
        <v>6415</v>
      </c>
      <c r="K2034" s="50" t="s">
        <v>1001</v>
      </c>
      <c r="L2034" s="49"/>
      <c r="M2034" s="49"/>
      <c r="N2034" s="49"/>
      <c r="O2034" s="49"/>
      <c r="P2034" s="49" t="str">
        <f t="shared" si="2"/>
        <v>bank,</v>
      </c>
      <c r="Q2034" s="49"/>
      <c r="R2034" s="50" t="s">
        <v>5043</v>
      </c>
      <c r="S2034" s="55" t="s">
        <v>1716</v>
      </c>
      <c r="T2034" s="49"/>
      <c r="U2034" s="49"/>
      <c r="V2034" s="49"/>
      <c r="W2034" s="49"/>
      <c r="X2034" s="49" t="str">
        <f t="shared" si="3"/>
        <v>michel,</v>
      </c>
      <c r="Y2034" s="49"/>
      <c r="Z2034" s="1" t="s">
        <v>1699</v>
      </c>
      <c r="AA2034" s="1" t="s">
        <v>5256</v>
      </c>
      <c r="AB2034" s="49"/>
      <c r="AC2034" s="49"/>
      <c r="AD2034" s="49"/>
      <c r="AE2034" s="49"/>
      <c r="AF2034" s="49" t="str">
        <f t="shared" si="4"/>
        <v>former,</v>
      </c>
      <c r="AG2034" s="49"/>
      <c r="AH2034" s="1" t="s">
        <v>5895</v>
      </c>
      <c r="AI2034" s="1" t="s">
        <v>4521</v>
      </c>
      <c r="AJ2034" s="6" t="str">
        <f>IFERROR(__xludf.DUMMYFUNCTION("""COMPUTED_VALUE"""),"foreign")</f>
        <v>foreign</v>
      </c>
      <c r="AK2034" s="49"/>
      <c r="AL2034" s="49"/>
      <c r="AM2034" s="49"/>
      <c r="AN2034" s="52" t="str">
        <f t="shared" si="5"/>
        <v>cousin,</v>
      </c>
    </row>
    <row r="2035">
      <c r="A2035" s="51"/>
      <c r="B2035" s="50" t="s">
        <v>7500</v>
      </c>
      <c r="C2035" s="50" t="s">
        <v>1631</v>
      </c>
      <c r="D2035" s="49" t="str">
        <f>IFERROR(__xludf.DUMMYFUNCTION("""COMPUTED_VALUE"""),"depression")</f>
        <v>depression</v>
      </c>
      <c r="E2035" s="49"/>
      <c r="F2035" s="49"/>
      <c r="G2035" s="49"/>
      <c r="H2035" s="54" t="str">
        <f t="shared" si="1"/>
        <v>flowing,</v>
      </c>
      <c r="I2035" s="50"/>
      <c r="J2035" s="50" t="s">
        <v>7457</v>
      </c>
      <c r="K2035" s="50" t="s">
        <v>1006</v>
      </c>
      <c r="L2035" s="49"/>
      <c r="M2035" s="49"/>
      <c r="N2035" s="49"/>
      <c r="O2035" s="49"/>
      <c r="P2035" s="49" t="str">
        <f t="shared" si="2"/>
        <v>eva,</v>
      </c>
      <c r="Q2035" s="49"/>
      <c r="R2035" s="50" t="s">
        <v>1917</v>
      </c>
      <c r="S2035" s="55" t="s">
        <v>5118</v>
      </c>
      <c r="T2035" s="49"/>
      <c r="U2035" s="49"/>
      <c r="V2035" s="49"/>
      <c r="W2035" s="49"/>
      <c r="X2035" s="49" t="str">
        <f t="shared" si="3"/>
        <v>homosexual,</v>
      </c>
      <c r="Y2035" s="49"/>
      <c r="Z2035" s="1" t="s">
        <v>3214</v>
      </c>
      <c r="AA2035" s="1" t="s">
        <v>5258</v>
      </c>
      <c r="AB2035" s="49"/>
      <c r="AC2035" s="49"/>
      <c r="AD2035" s="49"/>
      <c r="AE2035" s="49"/>
      <c r="AF2035" s="49" t="str">
        <f t="shared" si="4"/>
        <v>obscure,</v>
      </c>
      <c r="AG2035" s="49"/>
      <c r="AH2035" s="1" t="s">
        <v>3355</v>
      </c>
      <c r="AI2035" s="1" t="s">
        <v>6628</v>
      </c>
      <c r="AJ2035" s="6" t="str">
        <f>IFERROR(__xludf.DUMMYFUNCTION("""COMPUTED_VALUE"""),"males")</f>
        <v>males</v>
      </c>
      <c r="AK2035" s="49"/>
      <c r="AL2035" s="49"/>
      <c r="AM2035" s="49"/>
      <c r="AN2035" s="52" t="str">
        <f t="shared" si="5"/>
        <v>depression,</v>
      </c>
    </row>
    <row r="2036">
      <c r="A2036" s="51"/>
      <c r="B2036" s="50" t="s">
        <v>2945</v>
      </c>
      <c r="C2036" s="50" t="s">
        <v>2964</v>
      </c>
      <c r="D2036" s="49" t="str">
        <f>IFERROR(__xludf.DUMMYFUNCTION("""COMPUTED_VALUE"""),"singer")</f>
        <v>singer</v>
      </c>
      <c r="E2036" s="49"/>
      <c r="F2036" s="49"/>
      <c r="G2036" s="49"/>
      <c r="H2036" s="54" t="str">
        <f t="shared" si="1"/>
        <v>certain,</v>
      </c>
      <c r="I2036" s="50"/>
      <c r="J2036" s="50" t="s">
        <v>2588</v>
      </c>
      <c r="K2036" s="50" t="s">
        <v>2007</v>
      </c>
      <c r="L2036" s="49"/>
      <c r="M2036" s="49"/>
      <c r="N2036" s="49"/>
      <c r="O2036" s="49"/>
      <c r="P2036" s="49" t="str">
        <f t="shared" si="2"/>
        <v>parker,</v>
      </c>
      <c r="Q2036" s="49"/>
      <c r="R2036" s="50" t="s">
        <v>7123</v>
      </c>
      <c r="S2036" s="55" t="s">
        <v>3469</v>
      </c>
      <c r="T2036" s="49"/>
      <c r="U2036" s="49"/>
      <c r="V2036" s="49"/>
      <c r="W2036" s="49"/>
      <c r="X2036" s="49" t="str">
        <f t="shared" si="3"/>
        <v>phoenix,</v>
      </c>
      <c r="Y2036" s="49"/>
      <c r="Z2036" s="1" t="s">
        <v>2663</v>
      </c>
      <c r="AA2036" s="1" t="s">
        <v>5259</v>
      </c>
      <c r="AB2036" s="49"/>
      <c r="AC2036" s="49"/>
      <c r="AD2036" s="49"/>
      <c r="AE2036" s="49"/>
      <c r="AF2036" s="49" t="str">
        <f t="shared" si="4"/>
        <v>floor,</v>
      </c>
      <c r="AG2036" s="49"/>
      <c r="AH2036" s="1" t="s">
        <v>1215</v>
      </c>
      <c r="AI2036" s="1">
        <v>86.0</v>
      </c>
      <c r="AJ2036" s="6" t="str">
        <f>IFERROR(__xludf.DUMMYFUNCTION("""COMPUTED_VALUE"""),"seconds")</f>
        <v>seconds</v>
      </c>
      <c r="AK2036" s="49"/>
      <c r="AL2036" s="49"/>
      <c r="AM2036" s="49"/>
      <c r="AN2036" s="52" t="str">
        <f t="shared" si="5"/>
        <v>fine,</v>
      </c>
    </row>
    <row r="2037">
      <c r="A2037" s="51"/>
      <c r="B2037" s="50" t="s">
        <v>310</v>
      </c>
      <c r="C2037" s="50" t="s">
        <v>6600</v>
      </c>
      <c r="D2037" s="49" t="str">
        <f>IFERROR(__xludf.DUMMYFUNCTION("""COMPUTED_VALUE"""),"ear")</f>
        <v>ear</v>
      </c>
      <c r="E2037" s="49"/>
      <c r="F2037" s="49"/>
      <c r="G2037" s="49"/>
      <c r="H2037" s="54" t="str">
        <f t="shared" si="1"/>
        <v>existence,</v>
      </c>
      <c r="I2037" s="50"/>
      <c r="J2037" s="50" t="s">
        <v>4737</v>
      </c>
      <c r="K2037" s="50" t="s">
        <v>1297</v>
      </c>
      <c r="L2037" s="49"/>
      <c r="M2037" s="49"/>
      <c r="N2037" s="49"/>
      <c r="O2037" s="49"/>
      <c r="P2037" s="49" t="str">
        <f t="shared" si="2"/>
        <v>essence,</v>
      </c>
      <c r="Q2037" s="49"/>
      <c r="R2037" s="50" t="s">
        <v>6575</v>
      </c>
      <c r="S2037" s="55" t="s">
        <v>5270</v>
      </c>
      <c r="T2037" s="49"/>
      <c r="U2037" s="49"/>
      <c r="V2037" s="49"/>
      <c r="W2037" s="49"/>
      <c r="X2037" s="49" t="str">
        <f t="shared" si="3"/>
        <v>starving,</v>
      </c>
      <c r="Y2037" s="49"/>
      <c r="Z2037" s="1" t="s">
        <v>5251</v>
      </c>
      <c r="AA2037" s="1" t="s">
        <v>4220</v>
      </c>
      <c r="AB2037" s="49"/>
      <c r="AC2037" s="49"/>
      <c r="AD2037" s="49"/>
      <c r="AE2037" s="49"/>
      <c r="AF2037" s="49" t="str">
        <f t="shared" si="4"/>
        <v>grown,</v>
      </c>
      <c r="AG2037" s="49"/>
      <c r="AH2037" s="1" t="s">
        <v>6695</v>
      </c>
      <c r="AI2037" s="1" t="s">
        <v>5075</v>
      </c>
      <c r="AJ2037" s="6" t="str">
        <f>IFERROR(__xludf.DUMMYFUNCTION("""COMPUTED_VALUE"""),"machines")</f>
        <v>machines</v>
      </c>
      <c r="AK2037" s="49"/>
      <c r="AL2037" s="49"/>
      <c r="AM2037" s="49"/>
      <c r="AN2037" s="52" t="str">
        <f t="shared" si="5"/>
        <v>realized,</v>
      </c>
    </row>
    <row r="2038">
      <c r="A2038" s="51"/>
      <c r="B2038" s="50" t="s">
        <v>6879</v>
      </c>
      <c r="C2038" s="50" t="s">
        <v>2914</v>
      </c>
      <c r="D2038" s="49" t="str">
        <f>IFERROR(__xludf.DUMMYFUNCTION("""COMPUTED_VALUE"""),"treat")</f>
        <v>treat</v>
      </c>
      <c r="E2038" s="49"/>
      <c r="F2038" s="49"/>
      <c r="G2038" s="49"/>
      <c r="H2038" s="54" t="str">
        <f t="shared" si="1"/>
        <v>downtown,</v>
      </c>
      <c r="I2038" s="50"/>
      <c r="J2038" s="50" t="s">
        <v>7501</v>
      </c>
      <c r="K2038" s="50" t="s">
        <v>4722</v>
      </c>
      <c r="L2038" s="49"/>
      <c r="M2038" s="49"/>
      <c r="N2038" s="49"/>
      <c r="O2038" s="49"/>
      <c r="P2038" s="49" t="str">
        <f t="shared" si="2"/>
        <v>ushered,</v>
      </c>
      <c r="Q2038" s="49"/>
      <c r="R2038" s="50" t="s">
        <v>786</v>
      </c>
      <c r="S2038" s="55" t="s">
        <v>3473</v>
      </c>
      <c r="T2038" s="49"/>
      <c r="U2038" s="49"/>
      <c r="V2038" s="49"/>
      <c r="W2038" s="49"/>
      <c r="X2038" s="49" t="str">
        <f t="shared" si="3"/>
        <v>dickens,</v>
      </c>
      <c r="Y2038" s="49"/>
      <c r="Z2038" s="1" t="s">
        <v>2708</v>
      </c>
      <c r="AA2038" s="1" t="s">
        <v>2413</v>
      </c>
      <c r="AB2038" s="49"/>
      <c r="AC2038" s="49"/>
      <c r="AD2038" s="49"/>
      <c r="AE2038" s="49"/>
      <c r="AF2038" s="49" t="str">
        <f t="shared" si="4"/>
        <v>commercial,</v>
      </c>
      <c r="AG2038" s="49"/>
      <c r="AH2038" s="1" t="s">
        <v>2085</v>
      </c>
      <c r="AI2038" s="1" t="s">
        <v>4533</v>
      </c>
      <c r="AJ2038" s="6" t="str">
        <f>IFERROR(__xludf.DUMMYFUNCTION("""COMPUTED_VALUE"""),"worry")</f>
        <v>worry</v>
      </c>
      <c r="AK2038" s="49"/>
      <c r="AL2038" s="49"/>
      <c r="AM2038" s="49"/>
      <c r="AN2038" s="52" t="str">
        <f t="shared" si="5"/>
        <v>extended,</v>
      </c>
    </row>
    <row r="2039">
      <c r="A2039" s="51"/>
      <c r="B2039" s="50" t="s">
        <v>3394</v>
      </c>
      <c r="C2039" s="50" t="s">
        <v>6601</v>
      </c>
      <c r="D2039" s="49" t="str">
        <f>IFERROR(__xludf.DUMMYFUNCTION("""COMPUTED_VALUE"""),"cat")</f>
        <v>cat</v>
      </c>
      <c r="E2039" s="49"/>
      <c r="F2039" s="49"/>
      <c r="G2039" s="49"/>
      <c r="H2039" s="54" t="str">
        <f t="shared" si="1"/>
        <v>hop,</v>
      </c>
      <c r="I2039" s="50"/>
      <c r="J2039" s="50" t="s">
        <v>1697</v>
      </c>
      <c r="K2039" s="50" t="s">
        <v>1276</v>
      </c>
      <c r="L2039" s="49"/>
      <c r="M2039" s="49"/>
      <c r="N2039" s="49"/>
      <c r="O2039" s="49"/>
      <c r="P2039" s="49" t="str">
        <f t="shared" si="2"/>
        <v>manner,</v>
      </c>
      <c r="Q2039" s="49"/>
      <c r="R2039" s="50" t="s">
        <v>4072</v>
      </c>
      <c r="S2039" s="55" t="s">
        <v>1178</v>
      </c>
      <c r="T2039" s="49"/>
      <c r="U2039" s="49"/>
      <c r="V2039" s="49"/>
      <c r="W2039" s="49"/>
      <c r="X2039" s="49" t="str">
        <f t="shared" si="3"/>
        <v>anonymous,</v>
      </c>
      <c r="Y2039" s="49"/>
      <c r="Z2039" s="1" t="s">
        <v>1766</v>
      </c>
      <c r="AA2039" s="1" t="s">
        <v>3595</v>
      </c>
      <c r="AB2039" s="49"/>
      <c r="AC2039" s="49"/>
      <c r="AD2039" s="49"/>
      <c r="AE2039" s="49"/>
      <c r="AF2039" s="49" t="str">
        <f t="shared" si="4"/>
        <v>relatively,</v>
      </c>
      <c r="AG2039" s="49"/>
      <c r="AH2039" s="1" t="s">
        <v>2638</v>
      </c>
      <c r="AI2039" s="1" t="s">
        <v>5079</v>
      </c>
      <c r="AJ2039" s="6" t="str">
        <f>IFERROR(__xludf.DUMMYFUNCTION("""COMPUTED_VALUE"""),"prisoners")</f>
        <v>prisoners</v>
      </c>
      <c r="AK2039" s="49"/>
      <c r="AL2039" s="49"/>
      <c r="AM2039" s="49"/>
      <c r="AN2039" s="52" t="str">
        <f t="shared" si="5"/>
        <v>olympic,</v>
      </c>
    </row>
    <row r="2040">
      <c r="A2040" s="51"/>
      <c r="B2040" s="50" t="s">
        <v>4148</v>
      </c>
      <c r="C2040" s="50" t="s">
        <v>1383</v>
      </c>
      <c r="D2040" s="49" t="str">
        <f>IFERROR(__xludf.DUMMYFUNCTION("""COMPUTED_VALUE"""),"hunger")</f>
        <v>hunger</v>
      </c>
      <c r="E2040" s="49"/>
      <c r="F2040" s="49"/>
      <c r="G2040" s="49"/>
      <c r="H2040" s="54" t="str">
        <f t="shared" si="1"/>
        <v>explains,</v>
      </c>
      <c r="I2040" s="50"/>
      <c r="J2040" s="50" t="s">
        <v>3951</v>
      </c>
      <c r="K2040" s="50" t="s">
        <v>3206</v>
      </c>
      <c r="L2040" s="49"/>
      <c r="M2040" s="49"/>
      <c r="N2040" s="49"/>
      <c r="O2040" s="49"/>
      <c r="P2040" s="49" t="str">
        <f t="shared" si="2"/>
        <v>demons,</v>
      </c>
      <c r="Q2040" s="49"/>
      <c r="R2040" s="50" t="s">
        <v>2693</v>
      </c>
      <c r="S2040" s="55" t="s">
        <v>3482</v>
      </c>
      <c r="T2040" s="49"/>
      <c r="U2040" s="49"/>
      <c r="V2040" s="49"/>
      <c r="W2040" s="49"/>
      <c r="X2040" s="49" t="str">
        <f t="shared" si="3"/>
        <v>pun,</v>
      </c>
      <c r="Y2040" s="49"/>
      <c r="Z2040" s="1" t="s">
        <v>2478</v>
      </c>
      <c r="AA2040" s="1" t="s">
        <v>2416</v>
      </c>
      <c r="AB2040" s="49"/>
      <c r="AC2040" s="49"/>
      <c r="AD2040" s="49"/>
      <c r="AE2040" s="49"/>
      <c r="AF2040" s="49" t="str">
        <f t="shared" si="4"/>
        <v>force,</v>
      </c>
      <c r="AG2040" s="49"/>
      <c r="AH2040" s="1" t="s">
        <v>4571</v>
      </c>
      <c r="AI2040" s="1" t="s">
        <v>4289</v>
      </c>
      <c r="AJ2040" s="6" t="str">
        <f>IFERROR(__xludf.DUMMYFUNCTION("""COMPUTED_VALUE"""),"naked")</f>
        <v>naked</v>
      </c>
      <c r="AK2040" s="49"/>
      <c r="AL2040" s="49"/>
      <c r="AM2040" s="49"/>
      <c r="AN2040" s="52" t="str">
        <f t="shared" si="5"/>
        <v>memory,</v>
      </c>
    </row>
    <row r="2041">
      <c r="A2041" s="51"/>
      <c r="B2041" s="50" t="s">
        <v>7357</v>
      </c>
      <c r="C2041" s="50" t="s">
        <v>4078</v>
      </c>
      <c r="D2041" s="49" t="str">
        <f>IFERROR(__xludf.DUMMYFUNCTION("""COMPUTED_VALUE"""),"within")</f>
        <v>within</v>
      </c>
      <c r="E2041" s="49"/>
      <c r="F2041" s="49"/>
      <c r="G2041" s="49"/>
      <c r="H2041" s="54" t="str">
        <f t="shared" si="1"/>
        <v>pounding,</v>
      </c>
      <c r="I2041" s="50"/>
      <c r="J2041" s="50" t="s">
        <v>5069</v>
      </c>
      <c r="K2041" s="50" t="s">
        <v>3209</v>
      </c>
      <c r="L2041" s="49"/>
      <c r="M2041" s="49"/>
      <c r="N2041" s="49"/>
      <c r="O2041" s="49"/>
      <c r="P2041" s="49" t="str">
        <f t="shared" si="2"/>
        <v>dimension,</v>
      </c>
      <c r="Q2041" s="49"/>
      <c r="R2041" s="50" t="s">
        <v>561</v>
      </c>
      <c r="S2041" s="55" t="s">
        <v>1899</v>
      </c>
      <c r="T2041" s="49"/>
      <c r="U2041" s="49"/>
      <c r="V2041" s="49"/>
      <c r="W2041" s="49"/>
      <c r="X2041" s="49" t="str">
        <f t="shared" si="3"/>
        <v>startling,</v>
      </c>
      <c r="Y2041" s="49"/>
      <c r="Z2041" s="1" t="s">
        <v>2059</v>
      </c>
      <c r="AA2041" s="1" t="s">
        <v>4229</v>
      </c>
      <c r="AB2041" s="49"/>
      <c r="AC2041" s="49"/>
      <c r="AD2041" s="49"/>
      <c r="AE2041" s="49"/>
      <c r="AF2041" s="49" t="str">
        <f t="shared" si="4"/>
        <v>absolutely,</v>
      </c>
      <c r="AG2041" s="49"/>
      <c r="AH2041" s="1" t="s">
        <v>4407</v>
      </c>
      <c r="AI2041" s="1" t="s">
        <v>4200</v>
      </c>
      <c r="AJ2041" s="6" t="str">
        <f>IFERROR(__xludf.DUMMYFUNCTION("""COMPUTED_VALUE"""),"front")</f>
        <v>front</v>
      </c>
      <c r="AK2041" s="49"/>
      <c r="AL2041" s="49"/>
      <c r="AM2041" s="49"/>
      <c r="AN2041" s="52" t="str">
        <f t="shared" si="5"/>
        <v>belly,</v>
      </c>
    </row>
    <row r="2042">
      <c r="A2042" s="51"/>
      <c r="B2042" s="50" t="s">
        <v>1216</v>
      </c>
      <c r="C2042" s="50" t="s">
        <v>4285</v>
      </c>
      <c r="D2042" s="49" t="str">
        <f>IFERROR(__xludf.DUMMYFUNCTION("""COMPUTED_VALUE"""),"ground")</f>
        <v>ground</v>
      </c>
      <c r="E2042" s="49"/>
      <c r="F2042" s="49"/>
      <c r="G2042" s="49"/>
      <c r="H2042" s="54" t="str">
        <f t="shared" si="1"/>
        <v>red,</v>
      </c>
      <c r="I2042" s="50"/>
      <c r="J2042" s="50" t="s">
        <v>3609</v>
      </c>
      <c r="K2042" s="50" t="s">
        <v>2011</v>
      </c>
      <c r="L2042" s="49"/>
      <c r="M2042" s="49"/>
      <c r="N2042" s="49"/>
      <c r="O2042" s="49"/>
      <c r="P2042" s="49" t="str">
        <f t="shared" si="2"/>
        <v>ready,</v>
      </c>
      <c r="Q2042" s="49"/>
      <c r="R2042" s="50" t="s">
        <v>6339</v>
      </c>
      <c r="S2042" s="55" t="s">
        <v>3486</v>
      </c>
      <c r="T2042" s="49"/>
      <c r="U2042" s="49"/>
      <c r="V2042" s="49"/>
      <c r="W2042" s="49"/>
      <c r="X2042" s="49" t="str">
        <f t="shared" si="3"/>
        <v>smooth,</v>
      </c>
      <c r="Y2042" s="49"/>
      <c r="Z2042" s="1" t="s">
        <v>3132</v>
      </c>
      <c r="AA2042" s="1" t="s">
        <v>4235</v>
      </c>
      <c r="AB2042" s="49"/>
      <c r="AC2042" s="49"/>
      <c r="AD2042" s="49"/>
      <c r="AE2042" s="49"/>
      <c r="AF2042" s="49" t="str">
        <f t="shared" si="4"/>
        <v>key,</v>
      </c>
      <c r="AG2042" s="49"/>
      <c r="AH2042" s="1" t="s">
        <v>7023</v>
      </c>
      <c r="AI2042" s="1" t="s">
        <v>4543</v>
      </c>
      <c r="AJ2042" s="6" t="str">
        <f>IFERROR(__xludf.DUMMYFUNCTION("""COMPUTED_VALUE"""),"basis")</f>
        <v>basis</v>
      </c>
      <c r="AK2042" s="49"/>
      <c r="AL2042" s="49"/>
      <c r="AM2042" s="49"/>
      <c r="AN2042" s="52" t="str">
        <f t="shared" si="5"/>
        <v>ok,</v>
      </c>
    </row>
    <row r="2043">
      <c r="A2043" s="51"/>
      <c r="B2043" s="50" t="s">
        <v>2195</v>
      </c>
      <c r="C2043" s="50" t="s">
        <v>3024</v>
      </c>
      <c r="D2043" s="49" t="str">
        <f>IFERROR(__xludf.DUMMYFUNCTION("""COMPUTED_VALUE"""),"bitter")</f>
        <v>bitter</v>
      </c>
      <c r="E2043" s="49"/>
      <c r="F2043" s="49"/>
      <c r="G2043" s="49"/>
      <c r="H2043" s="54" t="str">
        <f t="shared" si="1"/>
        <v>result,</v>
      </c>
      <c r="I2043" s="50"/>
      <c r="J2043" s="50" t="s">
        <v>3073</v>
      </c>
      <c r="K2043" s="50" t="s">
        <v>4729</v>
      </c>
      <c r="L2043" s="49"/>
      <c r="M2043" s="49"/>
      <c r="N2043" s="49"/>
      <c r="O2043" s="49"/>
      <c r="P2043" s="49" t="str">
        <f t="shared" si="2"/>
        <v>sewage,</v>
      </c>
      <c r="Q2043" s="49"/>
      <c r="R2043" s="50" t="s">
        <v>4591</v>
      </c>
      <c r="S2043" s="55" t="s">
        <v>1185</v>
      </c>
      <c r="T2043" s="49"/>
      <c r="U2043" s="49"/>
      <c r="V2043" s="49"/>
      <c r="W2043" s="49"/>
      <c r="X2043" s="49" t="str">
        <f t="shared" si="3"/>
        <v>socially,</v>
      </c>
      <c r="Y2043" s="49"/>
      <c r="Z2043" s="1" t="s">
        <v>733</v>
      </c>
      <c r="AA2043" s="1" t="s">
        <v>5263</v>
      </c>
      <c r="AB2043" s="49"/>
      <c r="AC2043" s="49"/>
      <c r="AD2043" s="49"/>
      <c r="AE2043" s="49"/>
      <c r="AF2043" s="49" t="str">
        <f t="shared" si="4"/>
        <v>moved,</v>
      </c>
      <c r="AG2043" s="49"/>
      <c r="AH2043" s="1" t="s">
        <v>1487</v>
      </c>
      <c r="AI2043" s="1" t="s">
        <v>5088</v>
      </c>
      <c r="AJ2043" s="6" t="str">
        <f>IFERROR(__xludf.DUMMYFUNCTION("""COMPUTED_VALUE"""),"laugh")</f>
        <v>laugh</v>
      </c>
      <c r="AK2043" s="49"/>
      <c r="AL2043" s="49"/>
      <c r="AM2043" s="49"/>
      <c r="AN2043" s="52" t="str">
        <f t="shared" si="5"/>
        <v>moving,</v>
      </c>
    </row>
    <row r="2044">
      <c r="A2044" s="51"/>
      <c r="B2044" s="50" t="s">
        <v>4143</v>
      </c>
      <c r="C2044" s="50" t="s">
        <v>3192</v>
      </c>
      <c r="D2044" s="49" t="str">
        <f>IFERROR(__xludf.DUMMYFUNCTION("""COMPUTED_VALUE"""),"hughes")</f>
        <v>hughes</v>
      </c>
      <c r="E2044" s="49"/>
      <c r="F2044" s="49"/>
      <c r="G2044" s="49"/>
      <c r="H2044" s="54" t="str">
        <f t="shared" si="1"/>
        <v>foot,</v>
      </c>
      <c r="I2044" s="50"/>
      <c r="J2044" s="50" t="s">
        <v>134</v>
      </c>
      <c r="K2044" s="50" t="s">
        <v>1013</v>
      </c>
      <c r="L2044" s="49"/>
      <c r="M2044" s="49"/>
      <c r="N2044" s="49"/>
      <c r="O2044" s="49"/>
      <c r="P2044" s="49" t="str">
        <f t="shared" si="2"/>
        <v>effortlessly,</v>
      </c>
      <c r="Q2044" s="49"/>
      <c r="R2044" s="50" t="s">
        <v>3215</v>
      </c>
      <c r="S2044" s="55" t="s">
        <v>6629</v>
      </c>
      <c r="T2044" s="49"/>
      <c r="U2044" s="49"/>
      <c r="V2044" s="49"/>
      <c r="W2044" s="49"/>
      <c r="X2044" s="49" t="str">
        <f t="shared" si="3"/>
        <v>sides,</v>
      </c>
      <c r="Y2044" s="49"/>
      <c r="Z2044" s="1" t="s">
        <v>7502</v>
      </c>
      <c r="AA2044" s="1" t="s">
        <v>1332</v>
      </c>
      <c r="AB2044" s="49"/>
      <c r="AC2044" s="49"/>
      <c r="AD2044" s="49"/>
      <c r="AE2044" s="49"/>
      <c r="AF2044" s="49" t="str">
        <f t="shared" si="4"/>
        <v>recommend,</v>
      </c>
      <c r="AG2044" s="49"/>
      <c r="AH2044" s="1" t="s">
        <v>4182</v>
      </c>
      <c r="AI2044" s="1" t="s">
        <v>6459</v>
      </c>
      <c r="AJ2044" s="6" t="str">
        <f>IFERROR(__xludf.DUMMYFUNCTION("""COMPUTED_VALUE"""),"na")</f>
        <v>na</v>
      </c>
      <c r="AK2044" s="49"/>
      <c r="AL2044" s="49"/>
      <c r="AM2044" s="49"/>
      <c r="AN2044" s="52" t="str">
        <f t="shared" si="5"/>
        <v>forced,</v>
      </c>
    </row>
    <row r="2045">
      <c r="A2045" s="51"/>
      <c r="B2045" s="50" t="s">
        <v>1864</v>
      </c>
      <c r="C2045" s="50" t="s">
        <v>5050</v>
      </c>
      <c r="D2045" s="49" t="str">
        <f>IFERROR(__xludf.DUMMYFUNCTION("""COMPUTED_VALUE"""),"afraid")</f>
        <v>afraid</v>
      </c>
      <c r="E2045" s="49"/>
      <c r="F2045" s="49"/>
      <c r="G2045" s="49"/>
      <c r="H2045" s="54" t="str">
        <f t="shared" si="1"/>
        <v>reach,</v>
      </c>
      <c r="I2045" s="50"/>
      <c r="J2045" s="50" t="s">
        <v>3663</v>
      </c>
      <c r="K2045" s="50" t="s">
        <v>3219</v>
      </c>
      <c r="L2045" s="49"/>
      <c r="M2045" s="49"/>
      <c r="N2045" s="49"/>
      <c r="O2045" s="49"/>
      <c r="P2045" s="49" t="str">
        <f t="shared" si="2"/>
        <v>locations,</v>
      </c>
      <c r="Q2045" s="49"/>
      <c r="R2045" s="50" t="s">
        <v>3727</v>
      </c>
      <c r="S2045" s="55" t="s">
        <v>5001</v>
      </c>
      <c r="T2045" s="49"/>
      <c r="U2045" s="49"/>
      <c r="V2045" s="49"/>
      <c r="W2045" s="49"/>
      <c r="X2045" s="49" t="str">
        <f t="shared" si="3"/>
        <v>logical,</v>
      </c>
      <c r="Y2045" s="49"/>
      <c r="Z2045" s="1" t="s">
        <v>3622</v>
      </c>
      <c r="AA2045" s="1" t="s">
        <v>3598</v>
      </c>
      <c r="AB2045" s="49"/>
      <c r="AC2045" s="49"/>
      <c r="AD2045" s="49"/>
      <c r="AE2045" s="49"/>
      <c r="AF2045" s="49" t="str">
        <f t="shared" si="4"/>
        <v>content,</v>
      </c>
      <c r="AG2045" s="49"/>
      <c r="AH2045" s="1" t="s">
        <v>2826</v>
      </c>
      <c r="AI2045" s="1" t="s">
        <v>5091</v>
      </c>
      <c r="AJ2045" s="6" t="str">
        <f>IFERROR(__xludf.DUMMYFUNCTION("""COMPUTED_VALUE"""),"longer")</f>
        <v>longer</v>
      </c>
      <c r="AK2045" s="49"/>
      <c r="AL2045" s="49"/>
      <c r="AM2045" s="49"/>
      <c r="AN2045" s="52" t="str">
        <f t="shared" si="5"/>
        <v>status,</v>
      </c>
    </row>
    <row r="2046">
      <c r="A2046" s="51"/>
      <c r="B2046" s="50" t="s">
        <v>1777</v>
      </c>
      <c r="C2046" s="50" t="s">
        <v>3195</v>
      </c>
      <c r="D2046" s="49" t="str">
        <f>IFERROR(__xludf.DUMMYFUNCTION("""COMPUTED_VALUE"""),"lord")</f>
        <v>lord</v>
      </c>
      <c r="E2046" s="49"/>
      <c r="F2046" s="49"/>
      <c r="G2046" s="49"/>
      <c r="H2046" s="54" t="str">
        <f t="shared" si="1"/>
        <v>serious,</v>
      </c>
      <c r="I2046" s="50"/>
      <c r="J2046" s="50" t="s">
        <v>757</v>
      </c>
      <c r="K2046" s="50" t="s">
        <v>3636</v>
      </c>
      <c r="L2046" s="49"/>
      <c r="M2046" s="49"/>
      <c r="N2046" s="49"/>
      <c r="O2046" s="49"/>
      <c r="P2046" s="49" t="str">
        <f t="shared" si="2"/>
        <v>stuart,</v>
      </c>
      <c r="Q2046" s="49"/>
      <c r="R2046" s="50" t="s">
        <v>1080</v>
      </c>
      <c r="S2046" s="55" t="s">
        <v>6630</v>
      </c>
      <c r="T2046" s="49"/>
      <c r="U2046" s="49"/>
      <c r="V2046" s="49"/>
      <c r="W2046" s="49"/>
      <c r="X2046" s="49" t="str">
        <f t="shared" si="3"/>
        <v>darkly,</v>
      </c>
      <c r="Y2046" s="49"/>
      <c r="Z2046" s="1" t="s">
        <v>4138</v>
      </c>
      <c r="AA2046" s="1" t="s">
        <v>5264</v>
      </c>
      <c r="AB2046" s="49"/>
      <c r="AC2046" s="49"/>
      <c r="AD2046" s="49"/>
      <c r="AE2046" s="49"/>
      <c r="AF2046" s="49" t="str">
        <f t="shared" si="4"/>
        <v>contemporary,</v>
      </c>
      <c r="AG2046" s="49"/>
      <c r="AH2046" s="1" t="s">
        <v>3880</v>
      </c>
      <c r="AI2046" s="1" t="s">
        <v>5093</v>
      </c>
      <c r="AJ2046" s="6" t="str">
        <f>IFERROR(__xludf.DUMMYFUNCTION("""COMPUTED_VALUE"""),"intellectual")</f>
        <v>intellectual</v>
      </c>
      <c r="AK2046" s="49"/>
      <c r="AL2046" s="49"/>
      <c r="AM2046" s="49"/>
      <c r="AN2046" s="52" t="str">
        <f t="shared" si="5"/>
        <v>enjoyed,</v>
      </c>
    </row>
    <row r="2047">
      <c r="A2047" s="51"/>
      <c r="B2047" s="50" t="s">
        <v>2812</v>
      </c>
      <c r="C2047" s="50" t="s">
        <v>2921</v>
      </c>
      <c r="D2047" s="49" t="str">
        <f>IFERROR(__xludf.DUMMYFUNCTION("""COMPUTED_VALUE"""),"musical")</f>
        <v>musical</v>
      </c>
      <c r="E2047" s="49"/>
      <c r="F2047" s="49"/>
      <c r="G2047" s="49"/>
      <c r="H2047" s="54" t="str">
        <f t="shared" si="1"/>
        <v>trace,</v>
      </c>
      <c r="I2047" s="50"/>
      <c r="J2047" s="50" t="s">
        <v>7503</v>
      </c>
      <c r="K2047" s="50" t="s">
        <v>3640</v>
      </c>
      <c r="L2047" s="49"/>
      <c r="M2047" s="49"/>
      <c r="N2047" s="49"/>
      <c r="O2047" s="49"/>
      <c r="P2047" s="49" t="str">
        <f t="shared" si="2"/>
        <v>bothered,</v>
      </c>
      <c r="Q2047" s="49"/>
      <c r="R2047" s="50" t="s">
        <v>2785</v>
      </c>
      <c r="S2047" s="55" t="s">
        <v>1338</v>
      </c>
      <c r="T2047" s="49"/>
      <c r="U2047" s="49"/>
      <c r="V2047" s="49"/>
      <c r="W2047" s="49"/>
      <c r="X2047" s="49" t="str">
        <f t="shared" si="3"/>
        <v>inspiring,</v>
      </c>
      <c r="Y2047" s="49"/>
      <c r="Z2047" s="1" t="s">
        <v>4750</v>
      </c>
      <c r="AA2047" s="1" t="s">
        <v>2428</v>
      </c>
      <c r="AB2047" s="49"/>
      <c r="AC2047" s="49"/>
      <c r="AD2047" s="49"/>
      <c r="AE2047" s="49"/>
      <c r="AF2047" s="49" t="str">
        <f t="shared" si="4"/>
        <v>encounter,</v>
      </c>
      <c r="AG2047" s="49"/>
      <c r="AH2047" s="1" t="s">
        <v>1698</v>
      </c>
      <c r="AI2047" s="1" t="s">
        <v>4546</v>
      </c>
      <c r="AJ2047" s="6" t="str">
        <f>IFERROR(__xludf.DUMMYFUNCTION("""COMPUTED_VALUE"""),"collapse")</f>
        <v>collapse</v>
      </c>
      <c r="AK2047" s="49"/>
      <c r="AL2047" s="49"/>
      <c r="AM2047" s="49"/>
      <c r="AN2047" s="52" t="str">
        <f t="shared" si="5"/>
        <v>fat,</v>
      </c>
    </row>
    <row r="2048">
      <c r="A2048" s="51"/>
      <c r="B2048" s="50" t="s">
        <v>3719</v>
      </c>
      <c r="C2048" s="50" t="s">
        <v>4862</v>
      </c>
      <c r="D2048" s="49" t="str">
        <f>IFERROR(__xludf.DUMMYFUNCTION("""COMPUTED_VALUE"""),"praise")</f>
        <v>praise</v>
      </c>
      <c r="E2048" s="49"/>
      <c r="F2048" s="49"/>
      <c r="G2048" s="49"/>
      <c r="H2048" s="54" t="str">
        <f t="shared" si="1"/>
        <v>hopes,</v>
      </c>
      <c r="I2048" s="50"/>
      <c r="J2048" s="50" t="s">
        <v>7504</v>
      </c>
      <c r="K2048" s="50" t="s">
        <v>2017</v>
      </c>
      <c r="L2048" s="49"/>
      <c r="M2048" s="49"/>
      <c r="N2048" s="49"/>
      <c r="O2048" s="49"/>
      <c r="P2048" s="49" t="str">
        <f t="shared" si="2"/>
        <v>ex,</v>
      </c>
      <c r="Q2048" s="49"/>
      <c r="R2048" s="50" t="s">
        <v>5070</v>
      </c>
      <c r="S2048" s="55" t="s">
        <v>4578</v>
      </c>
      <c r="T2048" s="49"/>
      <c r="U2048" s="49"/>
      <c r="V2048" s="49"/>
      <c r="W2048" s="49"/>
      <c r="X2048" s="49" t="str">
        <f t="shared" si="3"/>
        <v>sorrow,</v>
      </c>
      <c r="Y2048" s="49"/>
      <c r="Z2048" s="1" t="s">
        <v>5935</v>
      </c>
      <c r="AA2048" s="1" t="s">
        <v>362</v>
      </c>
      <c r="AB2048" s="49"/>
      <c r="AC2048" s="49"/>
      <c r="AD2048" s="49"/>
      <c r="AE2048" s="49"/>
      <c r="AF2048" s="49" t="str">
        <f t="shared" si="4"/>
        <v>aspects,</v>
      </c>
      <c r="AG2048" s="49"/>
      <c r="AH2048" s="1" t="s">
        <v>2817</v>
      </c>
      <c r="AI2048" s="1" t="s">
        <v>4551</v>
      </c>
      <c r="AJ2048" s="6" t="str">
        <f>IFERROR(__xludf.DUMMYFUNCTION("""COMPUTED_VALUE"""),"period")</f>
        <v>period</v>
      </c>
      <c r="AK2048" s="49"/>
      <c r="AL2048" s="49"/>
      <c r="AM2048" s="49"/>
      <c r="AN2048" s="52" t="str">
        <f t="shared" si="5"/>
        <v>debt,</v>
      </c>
    </row>
    <row r="2049">
      <c r="A2049" s="51"/>
      <c r="B2049" s="50" t="s">
        <v>1669</v>
      </c>
      <c r="C2049" s="50" t="s">
        <v>1943</v>
      </c>
      <c r="D2049" s="49" t="str">
        <f>IFERROR(__xludf.DUMMYFUNCTION("""COMPUTED_VALUE"""),"terror")</f>
        <v>terror</v>
      </c>
      <c r="E2049" s="49"/>
      <c r="F2049" s="49"/>
      <c r="G2049" s="49"/>
      <c r="H2049" s="54" t="str">
        <f t="shared" si="1"/>
        <v>heart,</v>
      </c>
      <c r="I2049" s="50"/>
      <c r="J2049" s="50" t="s">
        <v>472</v>
      </c>
      <c r="K2049" s="50" t="s">
        <v>1302</v>
      </c>
      <c r="L2049" s="49"/>
      <c r="M2049" s="49"/>
      <c r="N2049" s="49"/>
      <c r="O2049" s="49"/>
      <c r="P2049" s="49" t="str">
        <f t="shared" si="2"/>
        <v>poem,</v>
      </c>
      <c r="Q2049" s="49"/>
      <c r="R2049" s="50" t="s">
        <v>7505</v>
      </c>
      <c r="S2049" s="55" t="s">
        <v>1903</v>
      </c>
      <c r="T2049" s="49"/>
      <c r="U2049" s="49"/>
      <c r="V2049" s="49"/>
      <c r="W2049" s="49"/>
      <c r="X2049" s="49" t="str">
        <f t="shared" si="3"/>
        <v>evan,</v>
      </c>
      <c r="Y2049" s="49"/>
      <c r="Z2049" s="1" t="s">
        <v>6478</v>
      </c>
      <c r="AA2049" s="1" t="s">
        <v>4241</v>
      </c>
      <c r="AB2049" s="49"/>
      <c r="AC2049" s="49"/>
      <c r="AD2049" s="49"/>
      <c r="AE2049" s="49"/>
      <c r="AF2049" s="49" t="str">
        <f t="shared" si="4"/>
        <v>variety,</v>
      </c>
      <c r="AG2049" s="49"/>
      <c r="AH2049" s="1" t="s">
        <v>7506</v>
      </c>
      <c r="AI2049" s="1">
        <v>22.0</v>
      </c>
      <c r="AJ2049" s="6" t="str">
        <f>IFERROR(__xludf.DUMMYFUNCTION("""COMPUTED_VALUE"""),"silver")</f>
        <v>silver</v>
      </c>
      <c r="AK2049" s="49"/>
      <c r="AL2049" s="49"/>
      <c r="AM2049" s="49"/>
      <c r="AN2049" s="52" t="str">
        <f t="shared" si="5"/>
        <v>coast,</v>
      </c>
    </row>
    <row r="2050">
      <c r="A2050" s="51"/>
      <c r="B2050" s="50" t="s">
        <v>2769</v>
      </c>
      <c r="C2050" s="50" t="s">
        <v>4298</v>
      </c>
      <c r="D2050" s="49" t="str">
        <f>IFERROR(__xludf.DUMMYFUNCTION("""COMPUTED_VALUE"""),"stop")</f>
        <v>stop</v>
      </c>
      <c r="E2050" s="49"/>
      <c r="F2050" s="49"/>
      <c r="G2050" s="49"/>
      <c r="H2050" s="54" t="str">
        <f t="shared" si="1"/>
        <v>god,</v>
      </c>
      <c r="I2050" s="50"/>
      <c r="J2050" s="50" t="s">
        <v>2437</v>
      </c>
      <c r="K2050" s="50" t="s">
        <v>1927</v>
      </c>
      <c r="L2050" s="49"/>
      <c r="M2050" s="49"/>
      <c r="N2050" s="49"/>
      <c r="O2050" s="49"/>
      <c r="P2050" s="49" t="str">
        <f t="shared" si="2"/>
        <v>topic,</v>
      </c>
      <c r="Q2050" s="49"/>
      <c r="R2050" s="50" t="s">
        <v>649</v>
      </c>
      <c r="S2050" s="55" t="s">
        <v>3495</v>
      </c>
      <c r="T2050" s="49"/>
      <c r="U2050" s="49"/>
      <c r="V2050" s="49"/>
      <c r="W2050" s="49"/>
      <c r="X2050" s="49" t="str">
        <f t="shared" si="3"/>
        <v>stylistic,</v>
      </c>
      <c r="Y2050" s="49"/>
      <c r="Z2050" s="1" t="s">
        <v>6637</v>
      </c>
      <c r="AA2050" s="1" t="s">
        <v>4976</v>
      </c>
      <c r="AB2050" s="49"/>
      <c r="AC2050" s="49"/>
      <c r="AD2050" s="49"/>
      <c r="AE2050" s="49"/>
      <c r="AF2050" s="49" t="str">
        <f t="shared" si="4"/>
        <v>birthday,</v>
      </c>
      <c r="AG2050" s="49"/>
      <c r="AH2050" s="1" t="s">
        <v>2722</v>
      </c>
      <c r="AI2050" s="1" t="s">
        <v>1889</v>
      </c>
      <c r="AJ2050" s="6" t="str">
        <f>IFERROR(__xludf.DUMMYFUNCTION("""COMPUTED_VALUE"""),"carried")</f>
        <v>carried</v>
      </c>
      <c r="AK2050" s="49"/>
      <c r="AL2050" s="49"/>
      <c r="AM2050" s="49"/>
      <c r="AN2050" s="52" t="str">
        <f t="shared" si="5"/>
        <v>leaves,</v>
      </c>
    </row>
    <row r="2051">
      <c r="A2051" s="51"/>
      <c r="B2051" s="50" t="s">
        <v>4541</v>
      </c>
      <c r="C2051" s="50" t="s">
        <v>4312</v>
      </c>
      <c r="D2051" s="49" t="str">
        <f>IFERROR(__xludf.DUMMYFUNCTION("""COMPUTED_VALUE"""),"obviously")</f>
        <v>obviously</v>
      </c>
      <c r="E2051" s="49"/>
      <c r="F2051" s="49"/>
      <c r="G2051" s="49"/>
      <c r="H2051" s="54" t="str">
        <f t="shared" si="1"/>
        <v>windows,</v>
      </c>
      <c r="I2051" s="50"/>
      <c r="J2051" s="50">
        <v>6.0</v>
      </c>
      <c r="K2051" s="50" t="s">
        <v>3223</v>
      </c>
      <c r="L2051" s="49"/>
      <c r="M2051" s="49"/>
      <c r="N2051" s="49"/>
      <c r="O2051" s="49"/>
      <c r="P2051" s="49" t="str">
        <f t="shared" si="2"/>
        <v>6,</v>
      </c>
      <c r="Q2051" s="49"/>
      <c r="R2051" s="50" t="s">
        <v>5125</v>
      </c>
      <c r="S2051" s="55" t="s">
        <v>4478</v>
      </c>
      <c r="T2051" s="49"/>
      <c r="U2051" s="49"/>
      <c r="V2051" s="49"/>
      <c r="W2051" s="49"/>
      <c r="X2051" s="49" t="str">
        <f t="shared" si="3"/>
        <v>styles,</v>
      </c>
      <c r="Y2051" s="49"/>
      <c r="Z2051" s="1" t="s">
        <v>3689</v>
      </c>
      <c r="AA2051" s="1" t="s">
        <v>4266</v>
      </c>
      <c r="AB2051" s="49"/>
      <c r="AC2051" s="49"/>
      <c r="AD2051" s="49"/>
      <c r="AE2051" s="49"/>
      <c r="AF2051" s="49" t="str">
        <f t="shared" si="4"/>
        <v>remotely,</v>
      </c>
      <c r="AG2051" s="49"/>
      <c r="AH2051" s="1" t="s">
        <v>6826</v>
      </c>
      <c r="AI2051" s="1" t="s">
        <v>3070</v>
      </c>
      <c r="AJ2051" s="6" t="str">
        <f>IFERROR(__xludf.DUMMYFUNCTION("""COMPUTED_VALUE"""),"unique")</f>
        <v>unique</v>
      </c>
      <c r="AK2051" s="49"/>
      <c r="AL2051" s="49"/>
      <c r="AM2051" s="49"/>
      <c r="AN2051" s="52" t="str">
        <f t="shared" si="5"/>
        <v>lying,</v>
      </c>
    </row>
    <row r="2052">
      <c r="A2052" s="51"/>
      <c r="B2052" s="50" t="s">
        <v>6333</v>
      </c>
      <c r="C2052" s="50" t="s">
        <v>4313</v>
      </c>
      <c r="D2052" s="49" t="str">
        <f>IFERROR(__xludf.DUMMYFUNCTION("""COMPUTED_VALUE"""),"occasional")</f>
        <v>occasional</v>
      </c>
      <c r="E2052" s="49"/>
      <c r="F2052" s="49"/>
      <c r="G2052" s="49"/>
      <c r="H2052" s="54" t="str">
        <f t="shared" si="1"/>
        <v>save,</v>
      </c>
      <c r="I2052" s="50"/>
      <c r="J2052" s="50" t="s">
        <v>2836</v>
      </c>
      <c r="K2052" s="50" t="s">
        <v>2021</v>
      </c>
      <c r="L2052" s="49"/>
      <c r="M2052" s="49"/>
      <c r="N2052" s="49"/>
      <c r="O2052" s="49"/>
      <c r="P2052" s="49" t="str">
        <f t="shared" si="2"/>
        <v>turkey,</v>
      </c>
      <c r="Q2052" s="49"/>
      <c r="R2052" s="50" t="s">
        <v>6447</v>
      </c>
      <c r="S2052" s="55" t="s">
        <v>3497</v>
      </c>
      <c r="T2052" s="49"/>
      <c r="U2052" s="49"/>
      <c r="V2052" s="49"/>
      <c r="W2052" s="49"/>
      <c r="X2052" s="49" t="str">
        <f t="shared" si="3"/>
        <v>com,</v>
      </c>
      <c r="Y2052" s="49"/>
      <c r="Z2052" s="1" t="s">
        <v>450</v>
      </c>
      <c r="AA2052" s="1" t="s">
        <v>4244</v>
      </c>
      <c r="AB2052" s="49"/>
      <c r="AC2052" s="49"/>
      <c r="AD2052" s="49"/>
      <c r="AE2052" s="49"/>
      <c r="AF2052" s="49" t="str">
        <f t="shared" si="4"/>
        <v>thrilling,</v>
      </c>
      <c r="AG2052" s="49"/>
      <c r="AH2052" s="1" t="s">
        <v>6470</v>
      </c>
      <c r="AI2052" s="1" t="s">
        <v>6631</v>
      </c>
      <c r="AJ2052" s="6" t="str">
        <f>IFERROR(__xludf.DUMMYFUNCTION("""COMPUTED_VALUE"""),"minute")</f>
        <v>minute</v>
      </c>
      <c r="AK2052" s="49"/>
      <c r="AL2052" s="49"/>
      <c r="AM2052" s="49"/>
      <c r="AN2052" s="52" t="str">
        <f t="shared" si="5"/>
        <v>act,</v>
      </c>
    </row>
    <row r="2053">
      <c r="A2053" s="51"/>
      <c r="B2053" s="50" t="s">
        <v>2217</v>
      </c>
      <c r="C2053" s="50" t="s">
        <v>2565</v>
      </c>
      <c r="D2053" s="49" t="str">
        <f>IFERROR(__xludf.DUMMYFUNCTION("""COMPUTED_VALUE"""),"smiles")</f>
        <v>smiles</v>
      </c>
      <c r="E2053" s="49"/>
      <c r="F2053" s="49"/>
      <c r="G2053" s="49"/>
      <c r="H2053" s="54" t="str">
        <f t="shared" si="1"/>
        <v>positive,</v>
      </c>
      <c r="I2053" s="50"/>
      <c r="J2053" s="50" t="s">
        <v>1407</v>
      </c>
      <c r="K2053" s="50" t="s">
        <v>3882</v>
      </c>
      <c r="L2053" s="49"/>
      <c r="M2053" s="49"/>
      <c r="N2053" s="49"/>
      <c r="O2053" s="49"/>
      <c r="P2053" s="49" t="str">
        <f t="shared" si="2"/>
        <v>riot,</v>
      </c>
      <c r="Q2053" s="49"/>
      <c r="R2053" s="50" t="s">
        <v>4034</v>
      </c>
      <c r="S2053" s="55" t="s">
        <v>3502</v>
      </c>
      <c r="T2053" s="49"/>
      <c r="U2053" s="49"/>
      <c r="V2053" s="49"/>
      <c r="W2053" s="49"/>
      <c r="X2053" s="49" t="str">
        <f t="shared" si="3"/>
        <v>revelation,</v>
      </c>
      <c r="Y2053" s="49"/>
      <c r="Z2053" s="1" t="s">
        <v>609</v>
      </c>
      <c r="AA2053" s="1" t="s">
        <v>4246</v>
      </c>
      <c r="AB2053" s="49"/>
      <c r="AC2053" s="49"/>
      <c r="AD2053" s="49"/>
      <c r="AE2053" s="49"/>
      <c r="AF2053" s="49" t="str">
        <f t="shared" si="4"/>
        <v>flair,</v>
      </c>
      <c r="AG2053" s="49"/>
      <c r="AH2053" s="1" t="s">
        <v>7507</v>
      </c>
      <c r="AI2053" s="1" t="s">
        <v>1911</v>
      </c>
      <c r="AJ2053" s="6" t="str">
        <f>IFERROR(__xludf.DUMMYFUNCTION("""COMPUTED_VALUE"""),"pull")</f>
        <v>pull</v>
      </c>
      <c r="AK2053" s="49"/>
      <c r="AL2053" s="49"/>
      <c r="AM2053" s="49"/>
      <c r="AN2053" s="52" t="str">
        <f t="shared" si="5"/>
        <v>jesus,</v>
      </c>
    </row>
    <row r="2054">
      <c r="A2054" s="51"/>
      <c r="B2054" s="50" t="s">
        <v>887</v>
      </c>
      <c r="C2054" s="50" t="s">
        <v>3317</v>
      </c>
      <c r="D2054" s="49" t="str">
        <f>IFERROR(__xludf.DUMMYFUNCTION("""COMPUTED_VALUE"""),"display")</f>
        <v>display</v>
      </c>
      <c r="E2054" s="49"/>
      <c r="F2054" s="49"/>
      <c r="G2054" s="49"/>
      <c r="H2054" s="54" t="str">
        <f t="shared" si="1"/>
        <v>faith,</v>
      </c>
      <c r="I2054" s="50"/>
      <c r="J2054" s="50" t="s">
        <v>3832</v>
      </c>
      <c r="K2054" s="50" t="s">
        <v>5268</v>
      </c>
      <c r="L2054" s="49"/>
      <c r="M2054" s="49"/>
      <c r="N2054" s="49"/>
      <c r="O2054" s="49"/>
      <c r="P2054" s="49" t="str">
        <f t="shared" si="2"/>
        <v>ties,</v>
      </c>
      <c r="Q2054" s="49"/>
      <c r="R2054" s="50" t="s">
        <v>1837</v>
      </c>
      <c r="S2054" s="55" t="s">
        <v>4589</v>
      </c>
      <c r="T2054" s="49"/>
      <c r="U2054" s="49"/>
      <c r="V2054" s="49"/>
      <c r="W2054" s="49"/>
      <c r="X2054" s="49" t="str">
        <f t="shared" si="3"/>
        <v>naive,</v>
      </c>
      <c r="Y2054" s="49"/>
      <c r="Z2054" s="1" t="s">
        <v>38</v>
      </c>
      <c r="AA2054" s="1" t="s">
        <v>5267</v>
      </c>
      <c r="AB2054" s="49"/>
      <c r="AC2054" s="49"/>
      <c r="AD2054" s="49"/>
      <c r="AE2054" s="49"/>
      <c r="AF2054" s="49" t="str">
        <f t="shared" si="4"/>
        <v>filmmaker,</v>
      </c>
      <c r="AG2054" s="49"/>
      <c r="AH2054" s="1" t="s">
        <v>3965</v>
      </c>
      <c r="AI2054" s="1" t="s">
        <v>6632</v>
      </c>
      <c r="AJ2054" s="6" t="str">
        <f>IFERROR(__xludf.DUMMYFUNCTION("""COMPUTED_VALUE"""),"settle")</f>
        <v>settle</v>
      </c>
      <c r="AK2054" s="49"/>
      <c r="AL2054" s="49"/>
      <c r="AM2054" s="49"/>
      <c r="AN2054" s="52" t="str">
        <f t="shared" si="5"/>
        <v>concerned,</v>
      </c>
    </row>
    <row r="2055">
      <c r="A2055" s="51"/>
      <c r="B2055" s="50" t="s">
        <v>4340</v>
      </c>
      <c r="C2055" s="50" t="s">
        <v>4875</v>
      </c>
      <c r="D2055" s="49" t="str">
        <f>IFERROR(__xludf.DUMMYFUNCTION("""COMPUTED_VALUE"""),"san")</f>
        <v>san</v>
      </c>
      <c r="E2055" s="49"/>
      <c r="F2055" s="49"/>
      <c r="G2055" s="49"/>
      <c r="H2055" s="54" t="str">
        <f t="shared" si="1"/>
        <v>shooting,</v>
      </c>
      <c r="I2055" s="50"/>
      <c r="J2055" s="50" t="s">
        <v>5979</v>
      </c>
      <c r="K2055" s="50" t="s">
        <v>3666</v>
      </c>
      <c r="L2055" s="49"/>
      <c r="M2055" s="49"/>
      <c r="N2055" s="49"/>
      <c r="O2055" s="49"/>
      <c r="P2055" s="49" t="str">
        <f t="shared" si="2"/>
        <v>fi,</v>
      </c>
      <c r="Q2055" s="49"/>
      <c r="R2055" s="50" t="s">
        <v>4730</v>
      </c>
      <c r="S2055" s="55" t="s">
        <v>4581</v>
      </c>
      <c r="T2055" s="49"/>
      <c r="U2055" s="49"/>
      <c r="V2055" s="49"/>
      <c r="W2055" s="49"/>
      <c r="X2055" s="49" t="str">
        <f t="shared" si="3"/>
        <v>keen,</v>
      </c>
      <c r="Y2055" s="49"/>
      <c r="Z2055" s="1" t="s">
        <v>3979</v>
      </c>
      <c r="AA2055" s="1" t="s">
        <v>4250</v>
      </c>
      <c r="AB2055" s="49"/>
      <c r="AC2055" s="49"/>
      <c r="AD2055" s="49"/>
      <c r="AE2055" s="49"/>
      <c r="AF2055" s="49" t="str">
        <f t="shared" si="4"/>
        <v>par,</v>
      </c>
      <c r="AG2055" s="49"/>
      <c r="AH2055" s="1" t="s">
        <v>4270</v>
      </c>
      <c r="AI2055" s="1" t="s">
        <v>4725</v>
      </c>
      <c r="AJ2055" s="6" t="str">
        <f>IFERROR(__xludf.DUMMYFUNCTION("""COMPUTED_VALUE"""),"frank")</f>
        <v>frank</v>
      </c>
      <c r="AK2055" s="49"/>
      <c r="AL2055" s="49"/>
      <c r="AM2055" s="49"/>
      <c r="AN2055" s="52" t="str">
        <f t="shared" si="5"/>
        <v>burning,</v>
      </c>
    </row>
    <row r="2056">
      <c r="A2056" s="51"/>
      <c r="B2056" s="50" t="s">
        <v>6777</v>
      </c>
      <c r="C2056" s="50" t="s">
        <v>4318</v>
      </c>
      <c r="D2056" s="49" t="str">
        <f>IFERROR(__xludf.DUMMYFUNCTION("""COMPUTED_VALUE"""),"naval")</f>
        <v>naval</v>
      </c>
      <c r="E2056" s="49"/>
      <c r="F2056" s="49"/>
      <c r="G2056" s="49"/>
      <c r="H2056" s="54" t="str">
        <f t="shared" si="1"/>
        <v>bomb,</v>
      </c>
      <c r="I2056" s="50"/>
      <c r="J2056" s="50" t="s">
        <v>7012</v>
      </c>
      <c r="K2056" s="50" t="s">
        <v>2025</v>
      </c>
      <c r="L2056" s="49"/>
      <c r="M2056" s="49"/>
      <c r="N2056" s="49"/>
      <c r="O2056" s="49"/>
      <c r="P2056" s="49" t="str">
        <f t="shared" si="2"/>
        <v>fulfilling,</v>
      </c>
      <c r="Q2056" s="49"/>
      <c r="R2056" s="50" t="s">
        <v>5678</v>
      </c>
      <c r="S2056" s="55" t="s">
        <v>5138</v>
      </c>
      <c r="T2056" s="49"/>
      <c r="U2056" s="49"/>
      <c r="V2056" s="49"/>
      <c r="W2056" s="49"/>
      <c r="X2056" s="49" t="str">
        <f t="shared" si="3"/>
        <v>instincts,</v>
      </c>
      <c r="Y2056" s="49"/>
      <c r="Z2056" s="1" t="s">
        <v>857</v>
      </c>
      <c r="AA2056" s="1" t="s">
        <v>3601</v>
      </c>
      <c r="AB2056" s="49"/>
      <c r="AC2056" s="49"/>
      <c r="AD2056" s="49"/>
      <c r="AE2056" s="49"/>
      <c r="AF2056" s="49" t="str">
        <f t="shared" si="4"/>
        <v>effort,</v>
      </c>
      <c r="AG2056" s="49"/>
      <c r="AH2056" s="1" t="s">
        <v>7380</v>
      </c>
      <c r="AI2056" s="1" t="s">
        <v>3085</v>
      </c>
      <c r="AJ2056" s="6" t="str">
        <f>IFERROR(__xludf.DUMMYFUNCTION("""COMPUTED_VALUE"""),"discovered")</f>
        <v>discovered</v>
      </c>
      <c r="AK2056" s="49"/>
      <c r="AL2056" s="49"/>
      <c r="AM2056" s="49"/>
      <c r="AN2056" s="52" t="str">
        <f t="shared" si="5"/>
        <v>arch,</v>
      </c>
    </row>
    <row r="2057">
      <c r="A2057" s="51"/>
      <c r="B2057" s="50" t="s">
        <v>3544</v>
      </c>
      <c r="C2057" s="50" t="s">
        <v>1727</v>
      </c>
      <c r="D2057" s="49" t="str">
        <f>IFERROR(__xludf.DUMMYFUNCTION("""COMPUTED_VALUE"""),"tears")</f>
        <v>tears</v>
      </c>
      <c r="E2057" s="49"/>
      <c r="F2057" s="49"/>
      <c r="G2057" s="49"/>
      <c r="H2057" s="54" t="str">
        <f t="shared" si="1"/>
        <v>arnold,</v>
      </c>
      <c r="I2057" s="50"/>
      <c r="J2057" s="50" t="s">
        <v>1805</v>
      </c>
      <c r="K2057" s="50" t="s">
        <v>3227</v>
      </c>
      <c r="L2057" s="49"/>
      <c r="M2057" s="49"/>
      <c r="N2057" s="49"/>
      <c r="O2057" s="49"/>
      <c r="P2057" s="49" t="str">
        <f t="shared" si="2"/>
        <v>humming,</v>
      </c>
      <c r="Q2057" s="49"/>
      <c r="R2057" s="50" t="s">
        <v>441</v>
      </c>
      <c r="S2057" s="55" t="s">
        <v>5136</v>
      </c>
      <c r="T2057" s="49"/>
      <c r="U2057" s="49"/>
      <c r="V2057" s="49"/>
      <c r="W2057" s="49"/>
      <c r="X2057" s="49" t="str">
        <f t="shared" si="3"/>
        <v>friendships,</v>
      </c>
      <c r="Y2057" s="49"/>
      <c r="Z2057" s="1" t="s">
        <v>7399</v>
      </c>
      <c r="AA2057" s="1" t="s">
        <v>1339</v>
      </c>
      <c r="AB2057" s="49"/>
      <c r="AC2057" s="49"/>
      <c r="AD2057" s="49"/>
      <c r="AE2057" s="49"/>
      <c r="AF2057" s="49" t="str">
        <f t="shared" si="4"/>
        <v>caliber,</v>
      </c>
      <c r="AG2057" s="49"/>
      <c r="AH2057" s="1" t="s">
        <v>4578</v>
      </c>
      <c r="AI2057" s="1" t="s">
        <v>5106</v>
      </c>
      <c r="AJ2057" s="6" t="str">
        <f>IFERROR(__xludf.DUMMYFUNCTION("""COMPUTED_VALUE"""),"powers")</f>
        <v>powers</v>
      </c>
      <c r="AK2057" s="49"/>
      <c r="AL2057" s="49"/>
      <c r="AM2057" s="49"/>
      <c r="AN2057" s="52" t="str">
        <f t="shared" si="5"/>
        <v>secretary,</v>
      </c>
    </row>
    <row r="2058">
      <c r="A2058" s="51"/>
      <c r="B2058" s="50" t="s">
        <v>2537</v>
      </c>
      <c r="C2058" s="50" t="s">
        <v>3220</v>
      </c>
      <c r="D2058" s="49" t="str">
        <f>IFERROR(__xludf.DUMMYFUNCTION("""COMPUTED_VALUE"""),"personnel")</f>
        <v>personnel</v>
      </c>
      <c r="E2058" s="49"/>
      <c r="F2058" s="49"/>
      <c r="G2058" s="49"/>
      <c r="H2058" s="54" t="str">
        <f t="shared" si="1"/>
        <v>transformation,</v>
      </c>
      <c r="I2058" s="50"/>
      <c r="J2058" s="50" t="s">
        <v>1288</v>
      </c>
      <c r="K2058" s="50" t="s">
        <v>3231</v>
      </c>
      <c r="L2058" s="49"/>
      <c r="M2058" s="49"/>
      <c r="N2058" s="49"/>
      <c r="O2058" s="49"/>
      <c r="P2058" s="49" t="str">
        <f t="shared" si="2"/>
        <v>heck,</v>
      </c>
      <c r="Q2058" s="49"/>
      <c r="R2058" s="50" t="s">
        <v>1710</v>
      </c>
      <c r="S2058" s="55" t="s">
        <v>3444</v>
      </c>
      <c r="T2058" s="49"/>
      <c r="U2058" s="49"/>
      <c r="V2058" s="49"/>
      <c r="W2058" s="49"/>
      <c r="X2058" s="49" t="str">
        <f t="shared" si="3"/>
        <v>potent,</v>
      </c>
      <c r="Y2058" s="49"/>
      <c r="Z2058" s="1" t="s">
        <v>1786</v>
      </c>
      <c r="AA2058" s="1" t="s">
        <v>1344</v>
      </c>
      <c r="AB2058" s="49"/>
      <c r="AC2058" s="49"/>
      <c r="AD2058" s="49"/>
      <c r="AE2058" s="49"/>
      <c r="AF2058" s="49" t="str">
        <f t="shared" si="4"/>
        <v>pleasant,</v>
      </c>
      <c r="AG2058" s="49"/>
      <c r="AH2058" s="1" t="s">
        <v>5124</v>
      </c>
      <c r="AI2058" s="1" t="s">
        <v>6633</v>
      </c>
      <c r="AJ2058" s="6" t="str">
        <f>IFERROR(__xludf.DUMMYFUNCTION("""COMPUTED_VALUE"""),"writings")</f>
        <v>writings</v>
      </c>
      <c r="AK2058" s="49"/>
      <c r="AL2058" s="49"/>
      <c r="AM2058" s="49"/>
      <c r="AN2058" s="52" t="str">
        <f t="shared" si="5"/>
        <v>lines,</v>
      </c>
    </row>
    <row r="2059">
      <c r="A2059" s="51"/>
      <c r="B2059" s="50">
        <v>1999.0</v>
      </c>
      <c r="C2059" s="50" t="s">
        <v>3972</v>
      </c>
      <c r="D2059" s="49" t="str">
        <f>IFERROR(__xludf.DUMMYFUNCTION("""COMPUTED_VALUE"""),"diego")</f>
        <v>diego</v>
      </c>
      <c r="E2059" s="49"/>
      <c r="F2059" s="49"/>
      <c r="G2059" s="49"/>
      <c r="H2059" s="54" t="str">
        <f t="shared" si="1"/>
        <v>1999,</v>
      </c>
      <c r="I2059" s="50"/>
      <c r="J2059" s="50" t="s">
        <v>1076</v>
      </c>
      <c r="K2059" s="50" t="s">
        <v>3545</v>
      </c>
      <c r="L2059" s="49"/>
      <c r="M2059" s="49"/>
      <c r="N2059" s="49"/>
      <c r="O2059" s="49"/>
      <c r="P2059" s="49" t="str">
        <f t="shared" si="2"/>
        <v>glued,</v>
      </c>
      <c r="Q2059" s="49"/>
      <c r="R2059" s="50" t="s">
        <v>361</v>
      </c>
      <c r="S2059" s="55" t="s">
        <v>1906</v>
      </c>
      <c r="T2059" s="49"/>
      <c r="U2059" s="49"/>
      <c r="V2059" s="49"/>
      <c r="W2059" s="49"/>
      <c r="X2059" s="49" t="str">
        <f t="shared" si="3"/>
        <v>pale,</v>
      </c>
      <c r="Y2059" s="49"/>
      <c r="Z2059" s="1" t="s">
        <v>3320</v>
      </c>
      <c r="AA2059" s="1" t="s">
        <v>1269</v>
      </c>
      <c r="AB2059" s="49"/>
      <c r="AC2059" s="49"/>
      <c r="AD2059" s="49"/>
      <c r="AE2059" s="49"/>
      <c r="AF2059" s="49" t="str">
        <f t="shared" si="4"/>
        <v>spring,</v>
      </c>
      <c r="AG2059" s="49"/>
      <c r="AH2059" s="1" t="s">
        <v>3059</v>
      </c>
      <c r="AI2059" s="1" t="s">
        <v>876</v>
      </c>
      <c r="AJ2059" s="6" t="str">
        <f>IFERROR(__xludf.DUMMYFUNCTION("""COMPUTED_VALUE"""),"reaching")</f>
        <v>reaching</v>
      </c>
      <c r="AK2059" s="49"/>
      <c r="AL2059" s="49"/>
      <c r="AM2059" s="49"/>
      <c r="AN2059" s="52" t="str">
        <f t="shared" si="5"/>
        <v>grew,</v>
      </c>
    </row>
    <row r="2060">
      <c r="A2060" s="51"/>
      <c r="B2060" s="50" t="s">
        <v>6674</v>
      </c>
      <c r="C2060" s="50" t="s">
        <v>4333</v>
      </c>
      <c r="D2060" s="49" t="str">
        <f>IFERROR(__xludf.DUMMYFUNCTION("""COMPUTED_VALUE"""),"tourism")</f>
        <v>tourism</v>
      </c>
      <c r="E2060" s="49"/>
      <c r="F2060" s="49"/>
      <c r="G2060" s="49"/>
      <c r="H2060" s="54" t="str">
        <f t="shared" si="1"/>
        <v>volume,</v>
      </c>
      <c r="I2060" s="50"/>
      <c r="J2060" s="50" t="s">
        <v>6090</v>
      </c>
      <c r="K2060" s="50" t="s">
        <v>2010</v>
      </c>
      <c r="L2060" s="49"/>
      <c r="M2060" s="49"/>
      <c r="N2060" s="49"/>
      <c r="O2060" s="49"/>
      <c r="P2060" s="49" t="str">
        <f t="shared" si="2"/>
        <v>throat,</v>
      </c>
      <c r="Q2060" s="49"/>
      <c r="R2060" s="50" t="s">
        <v>1558</v>
      </c>
      <c r="S2060" s="55" t="s">
        <v>4592</v>
      </c>
      <c r="T2060" s="49"/>
      <c r="U2060" s="49"/>
      <c r="V2060" s="49"/>
      <c r="W2060" s="49"/>
      <c r="X2060" s="49" t="str">
        <f t="shared" si="3"/>
        <v>weary,</v>
      </c>
      <c r="Y2060" s="49"/>
      <c r="Z2060" s="1" t="s">
        <v>2193</v>
      </c>
      <c r="AA2060" s="1" t="s">
        <v>4202</v>
      </c>
      <c r="AB2060" s="49"/>
      <c r="AC2060" s="49"/>
      <c r="AD2060" s="49"/>
      <c r="AE2060" s="49"/>
      <c r="AF2060" s="49" t="str">
        <f t="shared" si="4"/>
        <v>hip,</v>
      </c>
      <c r="AG2060" s="49"/>
      <c r="AH2060" s="1" t="s">
        <v>5252</v>
      </c>
      <c r="AI2060" s="1" t="s">
        <v>6634</v>
      </c>
      <c r="AJ2060" s="6" t="str">
        <f>IFERROR(__xludf.DUMMYFUNCTION("""COMPUTED_VALUE"""),"kid")</f>
        <v>kid</v>
      </c>
      <c r="AK2060" s="49"/>
      <c r="AL2060" s="49"/>
      <c r="AM2060" s="49"/>
      <c r="AN2060" s="52" t="str">
        <f t="shared" si="5"/>
        <v>ray,</v>
      </c>
    </row>
    <row r="2061">
      <c r="A2061" s="51"/>
      <c r="B2061" s="50" t="s">
        <v>1982</v>
      </c>
      <c r="C2061" s="50" t="s">
        <v>4337</v>
      </c>
      <c r="D2061" s="49" t="str">
        <f>IFERROR(__xludf.DUMMYFUNCTION("""COMPUTED_VALUE"""),"developers")</f>
        <v>developers</v>
      </c>
      <c r="E2061" s="49"/>
      <c r="F2061" s="49"/>
      <c r="G2061" s="49"/>
      <c r="H2061" s="54" t="str">
        <f t="shared" si="1"/>
        <v>buy,</v>
      </c>
      <c r="I2061" s="50"/>
      <c r="J2061" s="50" t="s">
        <v>6359</v>
      </c>
      <c r="K2061" s="50" t="s">
        <v>5273</v>
      </c>
      <c r="L2061" s="49"/>
      <c r="M2061" s="49"/>
      <c r="N2061" s="49"/>
      <c r="O2061" s="49"/>
      <c r="P2061" s="49" t="str">
        <f t="shared" si="2"/>
        <v>honestly,</v>
      </c>
      <c r="Q2061" s="49"/>
      <c r="R2061" s="50" t="s">
        <v>745</v>
      </c>
      <c r="S2061" s="55" t="s">
        <v>1912</v>
      </c>
      <c r="T2061" s="49"/>
      <c r="U2061" s="49"/>
      <c r="V2061" s="49"/>
      <c r="W2061" s="49"/>
      <c r="X2061" s="49" t="str">
        <f t="shared" si="3"/>
        <v>sentiment,</v>
      </c>
      <c r="Y2061" s="49"/>
      <c r="Z2061" s="1" t="s">
        <v>2878</v>
      </c>
      <c r="AA2061" s="1" t="s">
        <v>3607</v>
      </c>
      <c r="AB2061" s="49"/>
      <c r="AC2061" s="49"/>
      <c r="AD2061" s="49"/>
      <c r="AE2061" s="49"/>
      <c r="AF2061" s="49" t="str">
        <f t="shared" si="4"/>
        <v>pieces,</v>
      </c>
      <c r="AG2061" s="49"/>
      <c r="AH2061" s="1" t="s">
        <v>5322</v>
      </c>
      <c r="AI2061" s="1" t="s">
        <v>3088</v>
      </c>
      <c r="AJ2061" s="6" t="str">
        <f>IFERROR(__xludf.DUMMYFUNCTION("""COMPUTED_VALUE"""),"available")</f>
        <v>available</v>
      </c>
      <c r="AK2061" s="49"/>
      <c r="AL2061" s="49"/>
      <c r="AM2061" s="49"/>
      <c r="AN2061" s="52" t="str">
        <f t="shared" si="5"/>
        <v>struck,</v>
      </c>
    </row>
    <row r="2062">
      <c r="A2062" s="51"/>
      <c r="B2062" s="50" t="s">
        <v>6541</v>
      </c>
      <c r="C2062" s="50" t="s">
        <v>6603</v>
      </c>
      <c r="D2062" s="49" t="str">
        <f>IFERROR(__xludf.DUMMYFUNCTION("""COMPUTED_VALUE"""),"cultural")</f>
        <v>cultural</v>
      </c>
      <c r="E2062" s="49"/>
      <c r="F2062" s="49"/>
      <c r="G2062" s="49"/>
      <c r="H2062" s="54" t="str">
        <f t="shared" si="1"/>
        <v>demand,</v>
      </c>
      <c r="I2062" s="50"/>
      <c r="J2062" s="50" t="s">
        <v>6001</v>
      </c>
      <c r="K2062" s="50" t="s">
        <v>2028</v>
      </c>
      <c r="L2062" s="49"/>
      <c r="M2062" s="49"/>
      <c r="N2062" s="49"/>
      <c r="O2062" s="49"/>
      <c r="P2062" s="49" t="str">
        <f t="shared" si="2"/>
        <v>loving,</v>
      </c>
      <c r="Q2062" s="49"/>
      <c r="R2062" s="50" t="s">
        <v>3361</v>
      </c>
      <c r="S2062" s="55" t="s">
        <v>3879</v>
      </c>
      <c r="T2062" s="49"/>
      <c r="U2062" s="49"/>
      <c r="V2062" s="49"/>
      <c r="W2062" s="49"/>
      <c r="X2062" s="49" t="str">
        <f t="shared" si="3"/>
        <v>implies,</v>
      </c>
      <c r="Y2062" s="49"/>
      <c r="Z2062" s="1" t="s">
        <v>1399</v>
      </c>
      <c r="AA2062" s="1" t="s">
        <v>3992</v>
      </c>
      <c r="AB2062" s="49"/>
      <c r="AC2062" s="49"/>
      <c r="AD2062" s="49"/>
      <c r="AE2062" s="49"/>
      <c r="AF2062" s="49" t="str">
        <f t="shared" si="4"/>
        <v>arbitrary,</v>
      </c>
      <c r="AG2062" s="49"/>
      <c r="AH2062" s="1" t="s">
        <v>4211</v>
      </c>
      <c r="AI2062" s="1" t="s">
        <v>6635</v>
      </c>
      <c r="AJ2062" s="6" t="str">
        <f>IFERROR(__xludf.DUMMYFUNCTION("""COMPUTED_VALUE"""),"food")</f>
        <v>food</v>
      </c>
      <c r="AK2062" s="49"/>
      <c r="AL2062" s="49"/>
      <c r="AM2062" s="49"/>
      <c r="AN2062" s="52" t="str">
        <f t="shared" si="5"/>
        <v>shots,</v>
      </c>
    </row>
    <row r="2063">
      <c r="A2063" s="51"/>
      <c r="B2063" s="50" t="s">
        <v>4286</v>
      </c>
      <c r="C2063" s="50" t="s">
        <v>3827</v>
      </c>
      <c r="D2063" s="49" t="str">
        <f>IFERROR(__xludf.DUMMYFUNCTION("""COMPUTED_VALUE"""),"resulted")</f>
        <v>resulted</v>
      </c>
      <c r="E2063" s="49"/>
      <c r="F2063" s="49"/>
      <c r="G2063" s="49"/>
      <c r="H2063" s="54" t="str">
        <f t="shared" si="1"/>
        <v>businesses,</v>
      </c>
      <c r="I2063" s="50"/>
      <c r="J2063" s="50" t="s">
        <v>4639</v>
      </c>
      <c r="K2063" s="50" t="s">
        <v>1732</v>
      </c>
      <c r="L2063" s="49"/>
      <c r="M2063" s="49"/>
      <c r="N2063" s="49"/>
      <c r="O2063" s="49"/>
      <c r="P2063" s="49" t="str">
        <f t="shared" si="2"/>
        <v>eventual,</v>
      </c>
      <c r="Q2063" s="49"/>
      <c r="R2063" s="50" t="s">
        <v>5823</v>
      </c>
      <c r="S2063" s="55" t="s">
        <v>1676</v>
      </c>
      <c r="T2063" s="49"/>
      <c r="U2063" s="49"/>
      <c r="V2063" s="49"/>
      <c r="W2063" s="49"/>
      <c r="X2063" s="49" t="str">
        <f t="shared" si="3"/>
        <v>splitting,</v>
      </c>
      <c r="Y2063" s="49"/>
      <c r="Z2063" s="1" t="s">
        <v>96</v>
      </c>
      <c r="AA2063" s="1" t="s">
        <v>1187</v>
      </c>
      <c r="AB2063" s="49"/>
      <c r="AC2063" s="49"/>
      <c r="AD2063" s="49"/>
      <c r="AE2063" s="49"/>
      <c r="AF2063" s="49" t="str">
        <f t="shared" si="4"/>
        <v>recycled,</v>
      </c>
      <c r="AG2063" s="49"/>
      <c r="AH2063" s="1" t="s">
        <v>2891</v>
      </c>
      <c r="AI2063" s="1" t="s">
        <v>6636</v>
      </c>
      <c r="AJ2063" s="6" t="str">
        <f>IFERROR(__xludf.DUMMYFUNCTION("""COMPUTED_VALUE"""),"waiting")</f>
        <v>waiting</v>
      </c>
      <c r="AK2063" s="49"/>
      <c r="AL2063" s="49"/>
      <c r="AM2063" s="49"/>
      <c r="AN2063" s="52" t="str">
        <f t="shared" si="5"/>
        <v>herself,</v>
      </c>
    </row>
    <row r="2064">
      <c r="A2064" s="51"/>
      <c r="B2064" s="50" t="s">
        <v>5174</v>
      </c>
      <c r="C2064" s="50" t="s">
        <v>6578</v>
      </c>
      <c r="D2064" s="49" t="str">
        <f>IFERROR(__xludf.DUMMYFUNCTION("""COMPUTED_VALUE"""),"surely")</f>
        <v>surely</v>
      </c>
      <c r="E2064" s="49"/>
      <c r="F2064" s="49"/>
      <c r="G2064" s="49"/>
      <c r="H2064" s="54" t="str">
        <f t="shared" si="1"/>
        <v>survive,</v>
      </c>
      <c r="I2064" s="50"/>
      <c r="J2064" s="50" t="s">
        <v>5061</v>
      </c>
      <c r="K2064" s="50" t="s">
        <v>3660</v>
      </c>
      <c r="L2064" s="49"/>
      <c r="M2064" s="49"/>
      <c r="N2064" s="49"/>
      <c r="O2064" s="49"/>
      <c r="P2064" s="49" t="str">
        <f t="shared" si="2"/>
        <v>stein,</v>
      </c>
      <c r="Q2064" s="49"/>
      <c r="R2064" s="50" t="s">
        <v>30</v>
      </c>
      <c r="S2064" s="55" t="s">
        <v>304</v>
      </c>
      <c r="T2064" s="49"/>
      <c r="U2064" s="49"/>
      <c r="V2064" s="49"/>
      <c r="W2064" s="49"/>
      <c r="X2064" s="49" t="str">
        <f t="shared" si="3"/>
        <v>parental,</v>
      </c>
      <c r="Y2064" s="49"/>
      <c r="Z2064" s="1" t="s">
        <v>1941</v>
      </c>
      <c r="AA2064" s="1" t="s">
        <v>3949</v>
      </c>
      <c r="AB2064" s="49"/>
      <c r="AC2064" s="49"/>
      <c r="AD2064" s="49"/>
      <c r="AE2064" s="49"/>
      <c r="AF2064" s="49" t="str">
        <f t="shared" si="4"/>
        <v>midway,</v>
      </c>
      <c r="AG2064" s="49"/>
      <c r="AH2064" s="1" t="s">
        <v>6976</v>
      </c>
      <c r="AI2064" s="1" t="s">
        <v>4562</v>
      </c>
      <c r="AJ2064" s="6" t="str">
        <f>IFERROR(__xludf.DUMMYFUNCTION("""COMPUTED_VALUE"""),"supporting")</f>
        <v>supporting</v>
      </c>
      <c r="AK2064" s="49"/>
      <c r="AL2064" s="49"/>
      <c r="AM2064" s="49"/>
      <c r="AN2064" s="52" t="str">
        <f t="shared" si="5"/>
        <v>pushed,</v>
      </c>
    </row>
    <row r="2065">
      <c r="A2065" s="51"/>
      <c r="B2065" s="50" t="s">
        <v>5558</v>
      </c>
      <c r="C2065" s="50">
        <v>80.0</v>
      </c>
      <c r="D2065" s="49" t="str">
        <f>IFERROR(__xludf.DUMMYFUNCTION("""COMPUTED_VALUE"""),"trailer")</f>
        <v>trailer</v>
      </c>
      <c r="E2065" s="49"/>
      <c r="F2065" s="49"/>
      <c r="G2065" s="49"/>
      <c r="H2065" s="54" t="str">
        <f t="shared" si="1"/>
        <v>adams,</v>
      </c>
      <c r="I2065" s="50"/>
      <c r="J2065" s="50" t="s">
        <v>2288</v>
      </c>
      <c r="K2065" s="50" t="s">
        <v>3662</v>
      </c>
      <c r="L2065" s="49"/>
      <c r="M2065" s="49"/>
      <c r="N2065" s="49"/>
      <c r="O2065" s="49"/>
      <c r="P2065" s="49" t="str">
        <f t="shared" si="2"/>
        <v>cleansing,</v>
      </c>
      <c r="Q2065" s="49"/>
      <c r="R2065" s="50" t="s">
        <v>4180</v>
      </c>
      <c r="S2065" s="55" t="s">
        <v>3104</v>
      </c>
      <c r="T2065" s="49"/>
      <c r="U2065" s="49"/>
      <c r="V2065" s="49"/>
      <c r="W2065" s="49"/>
      <c r="X2065" s="49" t="str">
        <f t="shared" si="3"/>
        <v>dismissed,</v>
      </c>
      <c r="Y2065" s="49"/>
      <c r="Z2065" s="1" t="s">
        <v>2509</v>
      </c>
      <c r="AA2065" s="1" t="s">
        <v>5275</v>
      </c>
      <c r="AB2065" s="49"/>
      <c r="AC2065" s="49"/>
      <c r="AD2065" s="49"/>
      <c r="AE2065" s="49"/>
      <c r="AF2065" s="49" t="str">
        <f t="shared" si="4"/>
        <v>players,</v>
      </c>
      <c r="AG2065" s="49"/>
      <c r="AH2065" s="1" t="s">
        <v>3569</v>
      </c>
      <c r="AI2065" s="1" t="s">
        <v>2555</v>
      </c>
      <c r="AJ2065" s="6" t="str">
        <f>IFERROR(__xludf.DUMMYFUNCTION("""COMPUTED_VALUE"""),"constant")</f>
        <v>constant</v>
      </c>
      <c r="AK2065" s="49"/>
      <c r="AL2065" s="49"/>
      <c r="AM2065" s="49"/>
      <c r="AN2065" s="52" t="str">
        <f t="shared" si="5"/>
        <v>contributed,</v>
      </c>
    </row>
    <row r="2066">
      <c r="A2066" s="51"/>
      <c r="B2066" s="50" t="s">
        <v>7436</v>
      </c>
      <c r="C2066" s="50" t="s">
        <v>6580</v>
      </c>
      <c r="D2066" s="49" t="str">
        <f>IFERROR(__xludf.DUMMYFUNCTION("""COMPUTED_VALUE"""),"heaven")</f>
        <v>heaven</v>
      </c>
      <c r="E2066" s="49"/>
      <c r="F2066" s="49"/>
      <c r="G2066" s="49"/>
      <c r="H2066" s="54" t="str">
        <f t="shared" si="1"/>
        <v>oriented,</v>
      </c>
      <c r="I2066" s="50"/>
      <c r="J2066" s="50" t="s">
        <v>4552</v>
      </c>
      <c r="K2066" s="50" t="s">
        <v>1023</v>
      </c>
      <c r="L2066" s="49"/>
      <c r="M2066" s="49"/>
      <c r="N2066" s="49"/>
      <c r="O2066" s="49"/>
      <c r="P2066" s="49" t="str">
        <f t="shared" si="2"/>
        <v>wash,</v>
      </c>
      <c r="Q2066" s="49"/>
      <c r="R2066" s="50" t="s">
        <v>4813</v>
      </c>
      <c r="S2066" s="55" t="s">
        <v>6637</v>
      </c>
      <c r="T2066" s="49"/>
      <c r="U2066" s="49"/>
      <c r="V2066" s="49"/>
      <c r="W2066" s="49"/>
      <c r="X2066" s="49" t="str">
        <f t="shared" si="3"/>
        <v>wake,</v>
      </c>
      <c r="Y2066" s="49"/>
      <c r="Z2066" s="1" t="s">
        <v>1771</v>
      </c>
      <c r="AA2066" s="1" t="s">
        <v>5277</v>
      </c>
      <c r="AB2066" s="49"/>
      <c r="AC2066" s="49"/>
      <c r="AD2066" s="49"/>
      <c r="AE2066" s="49"/>
      <c r="AF2066" s="49" t="str">
        <f t="shared" si="4"/>
        <v>league,</v>
      </c>
      <c r="AG2066" s="49"/>
      <c r="AH2066" s="1" t="s">
        <v>4577</v>
      </c>
      <c r="AI2066" s="1" t="s">
        <v>4564</v>
      </c>
      <c r="AJ2066" s="6" t="str">
        <f>IFERROR(__xludf.DUMMYFUNCTION("""COMPUTED_VALUE"""),"relegated")</f>
        <v>relegated</v>
      </c>
      <c r="AK2066" s="49"/>
      <c r="AL2066" s="49"/>
      <c r="AM2066" s="49"/>
      <c r="AN2066" s="52" t="str">
        <f t="shared" si="5"/>
        <v>barry,</v>
      </c>
    </row>
    <row r="2067">
      <c r="A2067" s="51"/>
      <c r="B2067" s="50" t="s">
        <v>3879</v>
      </c>
      <c r="C2067" s="50" t="s">
        <v>6581</v>
      </c>
      <c r="D2067" s="49" t="str">
        <f>IFERROR(__xludf.DUMMYFUNCTION("""COMPUTED_VALUE"""),"elaborate")</f>
        <v>elaborate</v>
      </c>
      <c r="E2067" s="49"/>
      <c r="F2067" s="49"/>
      <c r="G2067" s="49"/>
      <c r="H2067" s="54" t="str">
        <f t="shared" si="1"/>
        <v>enormous,</v>
      </c>
      <c r="I2067" s="50"/>
      <c r="J2067" s="50" t="s">
        <v>5451</v>
      </c>
      <c r="K2067" s="50" t="s">
        <v>3237</v>
      </c>
      <c r="L2067" s="49"/>
      <c r="M2067" s="49"/>
      <c r="N2067" s="49"/>
      <c r="O2067" s="49"/>
      <c r="P2067" s="49" t="str">
        <f t="shared" si="2"/>
        <v>discovery,</v>
      </c>
      <c r="Q2067" s="49"/>
      <c r="R2067" s="50" t="s">
        <v>7508</v>
      </c>
      <c r="S2067" s="55" t="s">
        <v>3515</v>
      </c>
      <c r="T2067" s="49"/>
      <c r="U2067" s="49"/>
      <c r="V2067" s="49"/>
      <c r="W2067" s="49"/>
      <c r="X2067" s="49" t="str">
        <f t="shared" si="3"/>
        <v>hopefully,</v>
      </c>
      <c r="Y2067" s="49"/>
      <c r="Z2067" s="1" t="s">
        <v>4094</v>
      </c>
      <c r="AA2067" s="1" t="s">
        <v>1351</v>
      </c>
      <c r="AB2067" s="49"/>
      <c r="AC2067" s="49"/>
      <c r="AD2067" s="49"/>
      <c r="AE2067" s="49"/>
      <c r="AF2067" s="49" t="str">
        <f t="shared" si="4"/>
        <v>coma,</v>
      </c>
      <c r="AG2067" s="49"/>
      <c r="AH2067" s="1" t="s">
        <v>3653</v>
      </c>
      <c r="AI2067" s="1" t="s">
        <v>4565</v>
      </c>
      <c r="AJ2067" s="6" t="str">
        <f>IFERROR(__xludf.DUMMYFUNCTION("""COMPUTED_VALUE"""),"german")</f>
        <v>german</v>
      </c>
      <c r="AK2067" s="49"/>
      <c r="AL2067" s="49"/>
      <c r="AM2067" s="49"/>
      <c r="AN2067" s="52" t="str">
        <f t="shared" si="5"/>
        <v>majority,</v>
      </c>
    </row>
    <row r="2068">
      <c r="A2068" s="51"/>
      <c r="B2068" s="50" t="s">
        <v>5318</v>
      </c>
      <c r="C2068" s="50" t="s">
        <v>4897</v>
      </c>
      <c r="D2068" s="49" t="str">
        <f>IFERROR(__xludf.DUMMYFUNCTION("""COMPUTED_VALUE"""),"ruined")</f>
        <v>ruined</v>
      </c>
      <c r="E2068" s="49"/>
      <c r="F2068" s="49"/>
      <c r="G2068" s="49"/>
      <c r="H2068" s="54" t="str">
        <f t="shared" si="1"/>
        <v>patch,</v>
      </c>
      <c r="I2068" s="50"/>
      <c r="J2068" s="50" t="s">
        <v>7462</v>
      </c>
      <c r="K2068" s="50">
        <v>1993.0</v>
      </c>
      <c r="L2068" s="49"/>
      <c r="M2068" s="49"/>
      <c r="N2068" s="49"/>
      <c r="O2068" s="49"/>
      <c r="P2068" s="49" t="str">
        <f t="shared" si="2"/>
        <v>hu,</v>
      </c>
      <c r="Q2068" s="49"/>
      <c r="R2068" s="50" t="s">
        <v>1195</v>
      </c>
      <c r="S2068" s="55" t="s">
        <v>3654</v>
      </c>
      <c r="T2068" s="49"/>
      <c r="U2068" s="49"/>
      <c r="V2068" s="49"/>
      <c r="W2068" s="49"/>
      <c r="X2068" s="49" t="str">
        <f t="shared" si="3"/>
        <v>crossover,</v>
      </c>
      <c r="Y2068" s="49"/>
      <c r="Z2068" s="1" t="s">
        <v>3098</v>
      </c>
      <c r="AA2068" s="1" t="s">
        <v>5278</v>
      </c>
      <c r="AB2068" s="49"/>
      <c r="AC2068" s="49"/>
      <c r="AD2068" s="49"/>
      <c r="AE2068" s="49"/>
      <c r="AF2068" s="49" t="str">
        <f t="shared" si="4"/>
        <v>spin,</v>
      </c>
      <c r="AG2068" s="49"/>
      <c r="AH2068" s="1" t="s">
        <v>3389</v>
      </c>
      <c r="AI2068" s="1" t="s">
        <v>3091</v>
      </c>
      <c r="AJ2068" s="6" t="str">
        <f>IFERROR(__xludf.DUMMYFUNCTION("""COMPUTED_VALUE"""),"jewish")</f>
        <v>jewish</v>
      </c>
      <c r="AK2068" s="49"/>
      <c r="AL2068" s="49"/>
      <c r="AM2068" s="49"/>
      <c r="AN2068" s="52" t="str">
        <f t="shared" si="5"/>
        <v>venture,</v>
      </c>
    </row>
    <row r="2069">
      <c r="A2069" s="51"/>
      <c r="B2069" s="50" t="s">
        <v>7326</v>
      </c>
      <c r="C2069" s="50" t="s">
        <v>2591</v>
      </c>
      <c r="D2069" s="49" t="str">
        <f>IFERROR(__xludf.DUMMYFUNCTION("""COMPUTED_VALUE"""),"lobby")</f>
        <v>lobby</v>
      </c>
      <c r="E2069" s="49"/>
      <c r="F2069" s="49"/>
      <c r="G2069" s="49"/>
      <c r="H2069" s="54" t="str">
        <f t="shared" si="1"/>
        <v>largest,</v>
      </c>
      <c r="I2069" s="50"/>
      <c r="J2069" s="50" t="s">
        <v>1696</v>
      </c>
      <c r="K2069" s="50" t="s">
        <v>2032</v>
      </c>
      <c r="L2069" s="49"/>
      <c r="M2069" s="49"/>
      <c r="N2069" s="49"/>
      <c r="O2069" s="49"/>
      <c r="P2069" s="49" t="str">
        <f t="shared" si="2"/>
        <v>vague,</v>
      </c>
      <c r="Q2069" s="49"/>
      <c r="R2069" s="50" t="s">
        <v>873</v>
      </c>
      <c r="S2069" s="55" t="s">
        <v>970</v>
      </c>
      <c r="T2069" s="49"/>
      <c r="U2069" s="49"/>
      <c r="V2069" s="49"/>
      <c r="W2069" s="49"/>
      <c r="X2069" s="49" t="str">
        <f t="shared" si="3"/>
        <v>touched,</v>
      </c>
      <c r="Y2069" s="49"/>
      <c r="Z2069" s="1" t="s">
        <v>51</v>
      </c>
      <c r="AA2069" s="1" t="s">
        <v>1354</v>
      </c>
      <c r="AB2069" s="49"/>
      <c r="AC2069" s="49"/>
      <c r="AD2069" s="49"/>
      <c r="AE2069" s="49"/>
      <c r="AF2069" s="49" t="str">
        <f t="shared" si="4"/>
        <v>notorious,</v>
      </c>
      <c r="AG2069" s="49"/>
      <c r="AH2069" s="1" t="s">
        <v>7509</v>
      </c>
      <c r="AI2069" s="1" t="s">
        <v>6626</v>
      </c>
      <c r="AJ2069" s="6" t="str">
        <f>IFERROR(__xludf.DUMMYFUNCTION("""COMPUTED_VALUE"""),"residents")</f>
        <v>residents</v>
      </c>
      <c r="AK2069" s="49"/>
      <c r="AL2069" s="49"/>
      <c r="AM2069" s="49"/>
      <c r="AN2069" s="52" t="str">
        <f t="shared" si="5"/>
        <v>describing,</v>
      </c>
    </row>
    <row r="2070">
      <c r="A2070" s="51"/>
      <c r="B2070" s="50" t="s">
        <v>4312</v>
      </c>
      <c r="C2070" s="50" t="s">
        <v>4900</v>
      </c>
      <c r="D2070" s="49" t="str">
        <f>IFERROR(__xludf.DUMMYFUNCTION("""COMPUTED_VALUE"""),"corner")</f>
        <v>corner</v>
      </c>
      <c r="E2070" s="49"/>
      <c r="F2070" s="49"/>
      <c r="G2070" s="49"/>
      <c r="H2070" s="54" t="str">
        <f t="shared" si="1"/>
        <v>rise,</v>
      </c>
      <c r="I2070" s="50"/>
      <c r="J2070" s="50" t="s">
        <v>6789</v>
      </c>
      <c r="K2070" s="50" t="s">
        <v>2033</v>
      </c>
      <c r="L2070" s="49"/>
      <c r="M2070" s="49"/>
      <c r="N2070" s="49"/>
      <c r="O2070" s="49"/>
      <c r="P2070" s="49" t="str">
        <f t="shared" si="2"/>
        <v>q,</v>
      </c>
      <c r="Q2070" s="49"/>
      <c r="R2070" s="50" t="s">
        <v>1036</v>
      </c>
      <c r="S2070" s="55" t="s">
        <v>5149</v>
      </c>
      <c r="T2070" s="49"/>
      <c r="U2070" s="49"/>
      <c r="V2070" s="49"/>
      <c r="W2070" s="49"/>
      <c r="X2070" s="49" t="str">
        <f t="shared" si="3"/>
        <v>racist,</v>
      </c>
      <c r="Y2070" s="49"/>
      <c r="Z2070" s="1" t="s">
        <v>4280</v>
      </c>
      <c r="AA2070" s="1" t="s">
        <v>4257</v>
      </c>
      <c r="AB2070" s="49"/>
      <c r="AC2070" s="49"/>
      <c r="AD2070" s="49"/>
      <c r="AE2070" s="49"/>
      <c r="AF2070" s="49" t="str">
        <f t="shared" si="4"/>
        <v>younger,</v>
      </c>
      <c r="AG2070" s="49"/>
      <c r="AH2070" s="1" t="s">
        <v>2672</v>
      </c>
      <c r="AI2070" s="1">
        <v>7.0</v>
      </c>
      <c r="AJ2070" s="6" t="str">
        <f>IFERROR(__xludf.DUMMYFUNCTION("""COMPUTED_VALUE"""),"jews")</f>
        <v>jews</v>
      </c>
      <c r="AK2070" s="49"/>
      <c r="AL2070" s="49"/>
      <c r="AM2070" s="49"/>
      <c r="AN2070" s="52" t="str">
        <f t="shared" si="5"/>
        <v>report,</v>
      </c>
    </row>
    <row r="2071">
      <c r="A2071" s="51"/>
      <c r="B2071" s="50" t="s">
        <v>2202</v>
      </c>
      <c r="C2071" s="50" t="s">
        <v>3719</v>
      </c>
      <c r="D2071" s="49" t="str">
        <f>IFERROR(__xludf.DUMMYFUNCTION("""COMPUTED_VALUE"""),"friendly")</f>
        <v>friendly</v>
      </c>
      <c r="E2071" s="49"/>
      <c r="F2071" s="49"/>
      <c r="G2071" s="49"/>
      <c r="H2071" s="54" t="str">
        <f t="shared" si="1"/>
        <v>americans,</v>
      </c>
      <c r="I2071" s="50"/>
      <c r="J2071" s="50" t="s">
        <v>1033</v>
      </c>
      <c r="K2071" s="50" t="s">
        <v>5282</v>
      </c>
      <c r="L2071" s="49"/>
      <c r="M2071" s="49"/>
      <c r="N2071" s="49"/>
      <c r="O2071" s="49"/>
      <c r="P2071" s="49" t="str">
        <f t="shared" si="2"/>
        <v>continuation,</v>
      </c>
      <c r="Q2071" s="49"/>
      <c r="R2071" s="50" t="s">
        <v>3588</v>
      </c>
      <c r="S2071" s="55" t="s">
        <v>3112</v>
      </c>
      <c r="T2071" s="49"/>
      <c r="U2071" s="49"/>
      <c r="V2071" s="49"/>
      <c r="W2071" s="49"/>
      <c r="X2071" s="49" t="str">
        <f t="shared" si="3"/>
        <v>mistress,</v>
      </c>
      <c r="Y2071" s="49"/>
      <c r="Z2071" s="1" t="s">
        <v>926</v>
      </c>
      <c r="AA2071" s="1" t="s">
        <v>5280</v>
      </c>
      <c r="AB2071" s="49"/>
      <c r="AC2071" s="49"/>
      <c r="AD2071" s="49"/>
      <c r="AE2071" s="49"/>
      <c r="AF2071" s="49" t="str">
        <f t="shared" si="4"/>
        <v>endure,</v>
      </c>
      <c r="AG2071" s="49"/>
      <c r="AH2071" s="1" t="s">
        <v>7024</v>
      </c>
      <c r="AI2071" s="1" t="s">
        <v>761</v>
      </c>
      <c r="AJ2071" s="6" t="str">
        <f>IFERROR(__xludf.DUMMYFUNCTION("""COMPUTED_VALUE"""),"cafe")</f>
        <v>cafe</v>
      </c>
      <c r="AK2071" s="49"/>
      <c r="AL2071" s="49"/>
      <c r="AM2071" s="49"/>
      <c r="AN2071" s="52" t="str">
        <f t="shared" si="5"/>
        <v>entering,</v>
      </c>
    </row>
    <row r="2072">
      <c r="A2072" s="51"/>
      <c r="B2072" s="50" t="s">
        <v>2165</v>
      </c>
      <c r="C2072" s="50" t="s">
        <v>5099</v>
      </c>
      <c r="D2072" s="49" t="str">
        <f>IFERROR(__xludf.DUMMYFUNCTION("""COMPUTED_VALUE"""),"circuit")</f>
        <v>circuit</v>
      </c>
      <c r="E2072" s="49"/>
      <c r="F2072" s="49"/>
      <c r="G2072" s="49"/>
      <c r="H2072" s="54" t="str">
        <f t="shared" si="1"/>
        <v>edited,</v>
      </c>
      <c r="I2072" s="50"/>
      <c r="J2072" s="50" t="s">
        <v>4364</v>
      </c>
      <c r="K2072" s="50" t="s">
        <v>3672</v>
      </c>
      <c r="L2072" s="49"/>
      <c r="M2072" s="49"/>
      <c r="N2072" s="49"/>
      <c r="O2072" s="49"/>
      <c r="P2072" s="49" t="str">
        <f t="shared" si="2"/>
        <v>understanding,</v>
      </c>
      <c r="Q2072" s="49"/>
      <c r="R2072" s="50" t="s">
        <v>3787</v>
      </c>
      <c r="S2072" s="55" t="s">
        <v>5013</v>
      </c>
      <c r="T2072" s="49"/>
      <c r="U2072" s="49"/>
      <c r="V2072" s="49"/>
      <c r="W2072" s="49"/>
      <c r="X2072" s="49" t="str">
        <f t="shared" si="3"/>
        <v>densely,</v>
      </c>
      <c r="Y2072" s="49"/>
      <c r="Z2072" s="1" t="s">
        <v>3510</v>
      </c>
      <c r="AA2072" s="1" t="s">
        <v>1358</v>
      </c>
      <c r="AB2072" s="49"/>
      <c r="AC2072" s="49"/>
      <c r="AD2072" s="49"/>
      <c r="AE2072" s="49"/>
      <c r="AF2072" s="49" t="str">
        <f t="shared" si="4"/>
        <v>suggest,</v>
      </c>
      <c r="AG2072" s="49"/>
      <c r="AH2072" s="1" t="s">
        <v>3464</v>
      </c>
      <c r="AI2072" s="1">
        <v>24.0</v>
      </c>
      <c r="AJ2072" s="6" t="str">
        <f>IFERROR(__xludf.DUMMYFUNCTION("""COMPUTED_VALUE"""),"single")</f>
        <v>single</v>
      </c>
      <c r="AK2072" s="49"/>
      <c r="AL2072" s="49"/>
      <c r="AM2072" s="49"/>
      <c r="AN2072" s="52" t="str">
        <f t="shared" si="5"/>
        <v>technique,</v>
      </c>
    </row>
    <row r="2073">
      <c r="A2073" s="51"/>
      <c r="B2073" s="50" t="s">
        <v>6771</v>
      </c>
      <c r="C2073" s="50">
        <v>101.0</v>
      </c>
      <c r="D2073" s="49" t="str">
        <f>IFERROR(__xludf.DUMMYFUNCTION("""COMPUTED_VALUE"""),"staying")</f>
        <v>staying</v>
      </c>
      <c r="E2073" s="49"/>
      <c r="F2073" s="49"/>
      <c r="G2073" s="49"/>
      <c r="H2073" s="54" t="str">
        <f t="shared" si="1"/>
        <v>occasion,</v>
      </c>
      <c r="I2073" s="50"/>
      <c r="J2073" s="50" t="s">
        <v>7464</v>
      </c>
      <c r="K2073" s="50" t="s">
        <v>2036</v>
      </c>
      <c r="L2073" s="49"/>
      <c r="M2073" s="49"/>
      <c r="N2073" s="49"/>
      <c r="O2073" s="49"/>
      <c r="P2073" s="49" t="str">
        <f t="shared" si="2"/>
        <v>wanna,</v>
      </c>
      <c r="Q2073" s="49"/>
      <c r="R2073" s="50" t="s">
        <v>5386</v>
      </c>
      <c r="S2073" s="55" t="s">
        <v>6638</v>
      </c>
      <c r="T2073" s="49"/>
      <c r="U2073" s="49"/>
      <c r="V2073" s="49"/>
      <c r="W2073" s="49"/>
      <c r="X2073" s="49" t="str">
        <f t="shared" si="3"/>
        <v>sticking,</v>
      </c>
      <c r="Y2073" s="49"/>
      <c r="Z2073" s="1" t="s">
        <v>1390</v>
      </c>
      <c r="AA2073" s="1" t="s">
        <v>2445</v>
      </c>
      <c r="AB2073" s="49"/>
      <c r="AC2073" s="49"/>
      <c r="AD2073" s="49"/>
      <c r="AE2073" s="49"/>
      <c r="AF2073" s="49" t="str">
        <f t="shared" si="4"/>
        <v>successor,</v>
      </c>
      <c r="AG2073" s="49"/>
      <c r="AH2073" s="1" t="s">
        <v>5311</v>
      </c>
      <c r="AI2073" s="1" t="s">
        <v>2135</v>
      </c>
      <c r="AJ2073" s="6" t="str">
        <f>IFERROR(__xludf.DUMMYFUNCTION("""COMPUTED_VALUE"""),"interviews")</f>
        <v>interviews</v>
      </c>
      <c r="AK2073" s="49"/>
      <c r="AL2073" s="49"/>
      <c r="AM2073" s="49"/>
      <c r="AN2073" s="52" t="str">
        <f t="shared" si="5"/>
        <v>sessions,</v>
      </c>
    </row>
    <row r="2074">
      <c r="A2074" s="51"/>
      <c r="B2074" s="50" t="s">
        <v>4121</v>
      </c>
      <c r="C2074" s="50" t="s">
        <v>2951</v>
      </c>
      <c r="D2074" s="49" t="str">
        <f>IFERROR(__xludf.DUMMYFUNCTION("""COMPUTED_VALUE"""),"travel")</f>
        <v>travel</v>
      </c>
      <c r="E2074" s="49"/>
      <c r="F2074" s="49"/>
      <c r="G2074" s="49"/>
      <c r="H2074" s="54" t="str">
        <f t="shared" si="1"/>
        <v>rage,</v>
      </c>
      <c r="I2074" s="50"/>
      <c r="J2074" s="50" t="s">
        <v>123</v>
      </c>
      <c r="K2074" s="50" t="s">
        <v>5283</v>
      </c>
      <c r="L2074" s="49"/>
      <c r="M2074" s="49"/>
      <c r="N2074" s="49"/>
      <c r="O2074" s="49"/>
      <c r="P2074" s="49" t="str">
        <f t="shared" si="2"/>
        <v>suicidal,</v>
      </c>
      <c r="Q2074" s="49"/>
      <c r="R2074" s="50" t="s">
        <v>438</v>
      </c>
      <c r="S2074" s="55" t="s">
        <v>4602</v>
      </c>
      <c r="T2074" s="49"/>
      <c r="U2074" s="49"/>
      <c r="V2074" s="49"/>
      <c r="W2074" s="49"/>
      <c r="X2074" s="49" t="str">
        <f t="shared" si="3"/>
        <v>harvesting,</v>
      </c>
      <c r="Y2074" s="49"/>
      <c r="Z2074" s="1" t="s">
        <v>2402</v>
      </c>
      <c r="AA2074" s="1" t="s">
        <v>2448</v>
      </c>
      <c r="AB2074" s="49"/>
      <c r="AC2074" s="49"/>
      <c r="AD2074" s="49"/>
      <c r="AE2074" s="49"/>
      <c r="AF2074" s="49" t="str">
        <f t="shared" si="4"/>
        <v>unpleasant,</v>
      </c>
      <c r="AG2074" s="49"/>
      <c r="AH2074" s="1" t="s">
        <v>2646</v>
      </c>
      <c r="AI2074" s="1" t="s">
        <v>5114</v>
      </c>
      <c r="AJ2074" s="6" t="str">
        <f>IFERROR(__xludf.DUMMYFUNCTION("""COMPUTED_VALUE"""),"blue")</f>
        <v>blue</v>
      </c>
      <c r="AK2074" s="49"/>
      <c r="AL2074" s="49"/>
      <c r="AM2074" s="49"/>
      <c r="AN2074" s="52" t="str">
        <f t="shared" si="5"/>
        <v>master,</v>
      </c>
    </row>
    <row r="2075">
      <c r="A2075" s="51"/>
      <c r="B2075" s="50" t="s">
        <v>7022</v>
      </c>
      <c r="C2075" s="50" t="s">
        <v>4095</v>
      </c>
      <c r="D2075" s="49" t="str">
        <f>IFERROR(__xludf.DUMMYFUNCTION("""COMPUTED_VALUE"""),"shop")</f>
        <v>shop</v>
      </c>
      <c r="E2075" s="49"/>
      <c r="F2075" s="49"/>
      <c r="G2075" s="49"/>
      <c r="H2075" s="54" t="str">
        <f t="shared" si="1"/>
        <v>personally,</v>
      </c>
      <c r="I2075" s="50"/>
      <c r="J2075" s="50" t="s">
        <v>2601</v>
      </c>
      <c r="K2075" s="50" t="s">
        <v>3676</v>
      </c>
      <c r="L2075" s="49"/>
      <c r="M2075" s="49"/>
      <c r="N2075" s="49"/>
      <c r="O2075" s="49"/>
      <c r="P2075" s="49" t="str">
        <f t="shared" si="2"/>
        <v>slender,</v>
      </c>
      <c r="Q2075" s="49"/>
      <c r="R2075" s="50" t="s">
        <v>2579</v>
      </c>
      <c r="S2075" s="55" t="s">
        <v>3523</v>
      </c>
      <c r="T2075" s="49"/>
      <c r="U2075" s="49"/>
      <c r="V2075" s="49"/>
      <c r="W2075" s="49"/>
      <c r="X2075" s="49" t="str">
        <f t="shared" si="3"/>
        <v>pointed,</v>
      </c>
      <c r="Y2075" s="49"/>
      <c r="Z2075" s="1" t="s">
        <v>2040</v>
      </c>
      <c r="AA2075" s="1" t="s">
        <v>1624</v>
      </c>
      <c r="AB2075" s="49"/>
      <c r="AC2075" s="49"/>
      <c r="AD2075" s="49"/>
      <c r="AE2075" s="49"/>
      <c r="AF2075" s="49" t="str">
        <f t="shared" si="4"/>
        <v>accomplished,</v>
      </c>
      <c r="AG2075" s="49"/>
      <c r="AH2075" s="1" t="s">
        <v>262</v>
      </c>
      <c r="AI2075" s="1" t="s">
        <v>4568</v>
      </c>
      <c r="AJ2075" s="6" t="str">
        <f>IFERROR(__xludf.DUMMYFUNCTION("""COMPUTED_VALUE"""),"hills")</f>
        <v>hills</v>
      </c>
      <c r="AK2075" s="49"/>
      <c r="AL2075" s="49"/>
      <c r="AM2075" s="49"/>
      <c r="AN2075" s="52" t="str">
        <f t="shared" si="5"/>
        <v>advantage,</v>
      </c>
    </row>
    <row r="2076">
      <c r="A2076" s="51"/>
      <c r="B2076" s="50" t="s">
        <v>1629</v>
      </c>
      <c r="C2076" s="50" t="s">
        <v>4906</v>
      </c>
      <c r="D2076" s="49" t="str">
        <f>IFERROR(__xludf.DUMMYFUNCTION("""COMPUTED_VALUE"""),"sell")</f>
        <v>sell</v>
      </c>
      <c r="E2076" s="49"/>
      <c r="F2076" s="49"/>
      <c r="G2076" s="49"/>
      <c r="H2076" s="54" t="str">
        <f t="shared" si="1"/>
        <v>phenomenon,</v>
      </c>
      <c r="I2076" s="50"/>
      <c r="J2076" s="50" t="s">
        <v>2119</v>
      </c>
      <c r="K2076" s="50" t="s">
        <v>3678</v>
      </c>
      <c r="L2076" s="49"/>
      <c r="M2076" s="49"/>
      <c r="N2076" s="49"/>
      <c r="O2076" s="49"/>
      <c r="P2076" s="49" t="str">
        <f t="shared" si="2"/>
        <v>scattered,</v>
      </c>
      <c r="Q2076" s="49"/>
      <c r="R2076" s="50" t="s">
        <v>7510</v>
      </c>
      <c r="S2076" s="55" t="s">
        <v>3526</v>
      </c>
      <c r="T2076" s="49"/>
      <c r="U2076" s="49"/>
      <c r="V2076" s="49"/>
      <c r="W2076" s="49"/>
      <c r="X2076" s="49" t="str">
        <f t="shared" si="3"/>
        <v>wheeling,</v>
      </c>
      <c r="Y2076" s="49"/>
      <c r="Z2076" s="1" t="s">
        <v>1627</v>
      </c>
      <c r="AA2076" s="1">
        <v>1938.0</v>
      </c>
      <c r="AB2076" s="49"/>
      <c r="AC2076" s="49"/>
      <c r="AD2076" s="49"/>
      <c r="AE2076" s="49"/>
      <c r="AF2076" s="49" t="str">
        <f t="shared" si="4"/>
        <v>hoffman,</v>
      </c>
      <c r="AG2076" s="49"/>
      <c r="AH2076" s="1" t="s">
        <v>5866</v>
      </c>
      <c r="AI2076" s="1" t="s">
        <v>5228</v>
      </c>
      <c r="AJ2076" s="6" t="str">
        <f>IFERROR(__xludf.DUMMYFUNCTION("""COMPUTED_VALUE"""),"paper")</f>
        <v>paper</v>
      </c>
      <c r="AK2076" s="49"/>
      <c r="AL2076" s="49"/>
      <c r="AM2076" s="49"/>
      <c r="AN2076" s="52" t="str">
        <f t="shared" si="5"/>
        <v>believed,</v>
      </c>
    </row>
    <row r="2077">
      <c r="A2077" s="51"/>
      <c r="B2077" s="50" t="s">
        <v>717</v>
      </c>
      <c r="C2077" s="50" t="s">
        <v>4941</v>
      </c>
      <c r="D2077" s="49" t="str">
        <f>IFERROR(__xludf.DUMMYFUNCTION("""COMPUTED_VALUE"""),"costume")</f>
        <v>costume</v>
      </c>
      <c r="E2077" s="49"/>
      <c r="F2077" s="49"/>
      <c r="G2077" s="49"/>
      <c r="H2077" s="54" t="str">
        <f t="shared" si="1"/>
        <v>area,</v>
      </c>
      <c r="I2077" s="50"/>
      <c r="J2077" s="50" t="s">
        <v>3533</v>
      </c>
      <c r="K2077" s="50" t="s">
        <v>3538</v>
      </c>
      <c r="L2077" s="49"/>
      <c r="M2077" s="49"/>
      <c r="N2077" s="49"/>
      <c r="O2077" s="49"/>
      <c r="P2077" s="49" t="str">
        <f t="shared" si="2"/>
        <v>knees,</v>
      </c>
      <c r="Q2077" s="49"/>
      <c r="R2077" s="50" t="s">
        <v>2542</v>
      </c>
      <c r="S2077" s="55" t="s">
        <v>6639</v>
      </c>
      <c r="T2077" s="49"/>
      <c r="U2077" s="49"/>
      <c r="V2077" s="49"/>
      <c r="W2077" s="49"/>
      <c r="X2077" s="49" t="str">
        <f t="shared" si="3"/>
        <v>gear,</v>
      </c>
      <c r="Y2077" s="49"/>
      <c r="Z2077" s="1" t="s">
        <v>6544</v>
      </c>
      <c r="AA2077" s="1" t="s">
        <v>135</v>
      </c>
      <c r="AB2077" s="49"/>
      <c r="AC2077" s="49"/>
      <c r="AD2077" s="49"/>
      <c r="AE2077" s="49"/>
      <c r="AF2077" s="49" t="str">
        <f t="shared" si="4"/>
        <v>experiences,</v>
      </c>
      <c r="AG2077" s="49"/>
      <c r="AH2077" s="1" t="s">
        <v>5100</v>
      </c>
      <c r="AI2077" s="1" t="s">
        <v>1716</v>
      </c>
      <c r="AJ2077" s="6" t="str">
        <f>IFERROR(__xludf.DUMMYFUNCTION("""COMPUTED_VALUE"""),"defined")</f>
        <v>defined</v>
      </c>
      <c r="AK2077" s="49"/>
      <c r="AL2077" s="49"/>
      <c r="AM2077" s="49"/>
      <c r="AN2077" s="52" t="str">
        <f t="shared" si="5"/>
        <v>detailed,</v>
      </c>
    </row>
    <row r="2078">
      <c r="A2078" s="51"/>
      <c r="B2078" s="50" t="s">
        <v>2176</v>
      </c>
      <c r="C2078" s="50" t="s">
        <v>6584</v>
      </c>
      <c r="D2078" s="49" t="str">
        <f>IFERROR(__xludf.DUMMYFUNCTION("""COMPUTED_VALUE"""),"allowing")</f>
        <v>allowing</v>
      </c>
      <c r="E2078" s="49"/>
      <c r="F2078" s="49"/>
      <c r="G2078" s="49"/>
      <c r="H2078" s="54" t="str">
        <f t="shared" si="1"/>
        <v>includes,</v>
      </c>
      <c r="I2078" s="50"/>
      <c r="J2078" s="50" t="s">
        <v>2012</v>
      </c>
      <c r="K2078" s="50" t="s">
        <v>781</v>
      </c>
      <c r="L2078" s="49"/>
      <c r="M2078" s="49"/>
      <c r="N2078" s="49"/>
      <c r="O2078" s="49"/>
      <c r="P2078" s="49" t="str">
        <f t="shared" si="2"/>
        <v>assembled,</v>
      </c>
      <c r="Q2078" s="49"/>
      <c r="R2078" s="50" t="b">
        <v>0</v>
      </c>
      <c r="S2078" s="55" t="s">
        <v>4611</v>
      </c>
      <c r="T2078" s="49"/>
      <c r="U2078" s="49"/>
      <c r="V2078" s="49"/>
      <c r="W2078" s="49"/>
      <c r="X2078" s="49" t="str">
        <f t="shared" si="3"/>
        <v>FALSE,</v>
      </c>
      <c r="Y2078" s="49"/>
      <c r="Z2078" s="1" t="s">
        <v>5749</v>
      </c>
      <c r="AA2078" s="1" t="s">
        <v>2459</v>
      </c>
      <c r="AB2078" s="49"/>
      <c r="AC2078" s="49"/>
      <c r="AD2078" s="49"/>
      <c r="AE2078" s="49"/>
      <c r="AF2078" s="49" t="str">
        <f t="shared" si="4"/>
        <v>pairing,</v>
      </c>
      <c r="AG2078" s="49"/>
      <c r="AH2078" s="1" t="s">
        <v>5929</v>
      </c>
      <c r="AI2078" s="1" t="s">
        <v>5118</v>
      </c>
      <c r="AJ2078" s="6" t="str">
        <f>IFERROR(__xludf.DUMMYFUNCTION("""COMPUTED_VALUE"""),"drawing")</f>
        <v>drawing</v>
      </c>
      <c r="AK2078" s="49"/>
      <c r="AL2078" s="49"/>
      <c r="AM2078" s="49"/>
      <c r="AN2078" s="52" t="str">
        <f t="shared" si="5"/>
        <v>reveal,</v>
      </c>
    </row>
    <row r="2079">
      <c r="A2079" s="51"/>
      <c r="B2079" s="50" t="s">
        <v>5195</v>
      </c>
      <c r="C2079" s="50" t="s">
        <v>3481</v>
      </c>
      <c r="D2079" s="49" t="str">
        <f>IFERROR(__xludf.DUMMYFUNCTION("""COMPUTED_VALUE"""),"desert")</f>
        <v>desert</v>
      </c>
      <c r="E2079" s="49"/>
      <c r="F2079" s="49"/>
      <c r="G2079" s="49"/>
      <c r="H2079" s="54" t="str">
        <f t="shared" si="1"/>
        <v>captain,</v>
      </c>
      <c r="I2079" s="50"/>
      <c r="J2079" s="50" t="s">
        <v>3577</v>
      </c>
      <c r="K2079" s="50" t="s">
        <v>5288</v>
      </c>
      <c r="L2079" s="49"/>
      <c r="M2079" s="49"/>
      <c r="N2079" s="49"/>
      <c r="O2079" s="49"/>
      <c r="P2079" s="49" t="str">
        <f t="shared" si="2"/>
        <v>brains,</v>
      </c>
      <c r="Q2079" s="49"/>
      <c r="R2079" s="50" t="s">
        <v>2696</v>
      </c>
      <c r="S2079" s="55" t="s">
        <v>3648</v>
      </c>
      <c r="T2079" s="49"/>
      <c r="U2079" s="49"/>
      <c r="V2079" s="49"/>
      <c r="W2079" s="49"/>
      <c r="X2079" s="49" t="str">
        <f t="shared" si="3"/>
        <v>foundation,</v>
      </c>
      <c r="Y2079" s="49"/>
      <c r="Z2079" s="1" t="s">
        <v>49</v>
      </c>
      <c r="AA2079" s="1" t="s">
        <v>5286</v>
      </c>
      <c r="AB2079" s="49"/>
      <c r="AC2079" s="49"/>
      <c r="AD2079" s="49"/>
      <c r="AE2079" s="49"/>
      <c r="AF2079" s="49" t="str">
        <f t="shared" si="4"/>
        <v>hide,</v>
      </c>
      <c r="AG2079" s="49"/>
      <c r="AH2079" s="1" t="s">
        <v>4200</v>
      </c>
      <c r="AI2079" s="1" t="s">
        <v>3469</v>
      </c>
      <c r="AJ2079" s="6" t="str">
        <f>IFERROR(__xludf.DUMMYFUNCTION("""COMPUTED_VALUE"""),"invasion")</f>
        <v>invasion</v>
      </c>
      <c r="AK2079" s="49"/>
      <c r="AL2079" s="49"/>
      <c r="AM2079" s="49"/>
      <c r="AN2079" s="52" t="str">
        <f t="shared" si="5"/>
        <v>burn,</v>
      </c>
    </row>
    <row r="2080">
      <c r="A2080" s="51"/>
      <c r="B2080" s="50" t="s">
        <v>4590</v>
      </c>
      <c r="C2080" s="50" t="s">
        <v>2954</v>
      </c>
      <c r="D2080" s="49" t="str">
        <f>IFERROR(__xludf.DUMMYFUNCTION("""COMPUTED_VALUE"""),"interaction")</f>
        <v>interaction</v>
      </c>
      <c r="E2080" s="49"/>
      <c r="F2080" s="49"/>
      <c r="G2080" s="49"/>
      <c r="H2080" s="54" t="str">
        <f t="shared" si="1"/>
        <v>visit,</v>
      </c>
      <c r="I2080" s="50"/>
      <c r="J2080" s="50" t="s">
        <v>1242</v>
      </c>
      <c r="K2080" s="50" t="s">
        <v>4775</v>
      </c>
      <c r="L2080" s="49"/>
      <c r="M2080" s="49"/>
      <c r="N2080" s="49"/>
      <c r="O2080" s="49"/>
      <c r="P2080" s="49" t="str">
        <f t="shared" si="2"/>
        <v>amused,</v>
      </c>
      <c r="Q2080" s="49"/>
      <c r="R2080" s="50" t="s">
        <v>693</v>
      </c>
      <c r="S2080" s="55" t="s">
        <v>3530</v>
      </c>
      <c r="T2080" s="49"/>
      <c r="U2080" s="49"/>
      <c r="V2080" s="49"/>
      <c r="W2080" s="49"/>
      <c r="X2080" s="49" t="str">
        <f t="shared" si="3"/>
        <v>jerking,</v>
      </c>
      <c r="Y2080" s="49"/>
      <c r="Z2080" s="1" t="s">
        <v>6825</v>
      </c>
      <c r="AA2080" s="1" t="s">
        <v>529</v>
      </c>
      <c r="AB2080" s="49"/>
      <c r="AC2080" s="49"/>
      <c r="AD2080" s="49"/>
      <c r="AE2080" s="49"/>
      <c r="AF2080" s="49" t="str">
        <f t="shared" si="4"/>
        <v>appeared,</v>
      </c>
      <c r="AG2080" s="49"/>
      <c r="AH2080" s="1" t="s">
        <v>7011</v>
      </c>
      <c r="AI2080" s="1" t="s">
        <v>5001</v>
      </c>
      <c r="AJ2080" s="6" t="str">
        <f>IFERROR(__xludf.DUMMYFUNCTION("""COMPUTED_VALUE"""),"masters")</f>
        <v>masters</v>
      </c>
      <c r="AK2080" s="49"/>
      <c r="AL2080" s="49"/>
      <c r="AM2080" s="49"/>
      <c r="AN2080" s="52" t="str">
        <f t="shared" si="5"/>
        <v>trio,</v>
      </c>
    </row>
    <row r="2081">
      <c r="A2081" s="51"/>
      <c r="B2081" s="50" t="s">
        <v>6282</v>
      </c>
      <c r="C2081" s="50" t="s">
        <v>6586</v>
      </c>
      <c r="D2081" s="49" t="str">
        <f>IFERROR(__xludf.DUMMYFUNCTION("""COMPUTED_VALUE"""),"phone")</f>
        <v>phone</v>
      </c>
      <c r="E2081" s="49"/>
      <c r="F2081" s="49"/>
      <c r="G2081" s="49"/>
      <c r="H2081" s="54" t="str">
        <f t="shared" si="1"/>
        <v>dick,</v>
      </c>
      <c r="I2081" s="50"/>
      <c r="J2081" s="50" t="s">
        <v>3768</v>
      </c>
      <c r="K2081" s="50" t="s">
        <v>3247</v>
      </c>
      <c r="L2081" s="49"/>
      <c r="M2081" s="49"/>
      <c r="N2081" s="49"/>
      <c r="O2081" s="49"/>
      <c r="P2081" s="49" t="str">
        <f t="shared" si="2"/>
        <v>zone,</v>
      </c>
      <c r="Q2081" s="49"/>
      <c r="R2081" s="50" t="s">
        <v>1297</v>
      </c>
      <c r="S2081" s="55" t="s">
        <v>5153</v>
      </c>
      <c r="T2081" s="49"/>
      <c r="U2081" s="49"/>
      <c r="V2081" s="49"/>
      <c r="W2081" s="49"/>
      <c r="X2081" s="49" t="str">
        <f t="shared" si="3"/>
        <v>costly,</v>
      </c>
      <c r="Y2081" s="49"/>
      <c r="Z2081" s="1" t="s">
        <v>1391</v>
      </c>
      <c r="AA2081" s="1" t="s">
        <v>2462</v>
      </c>
      <c r="AB2081" s="49"/>
      <c r="AC2081" s="49"/>
      <c r="AD2081" s="49"/>
      <c r="AE2081" s="49"/>
      <c r="AF2081" s="49" t="str">
        <f t="shared" si="4"/>
        <v>mainly,</v>
      </c>
      <c r="AG2081" s="49"/>
      <c r="AH2081" s="1" t="s">
        <v>3177</v>
      </c>
      <c r="AI2081" s="1" t="s">
        <v>4479</v>
      </c>
      <c r="AJ2081" s="6" t="str">
        <f>IFERROR(__xludf.DUMMYFUNCTION("""COMPUTED_VALUE"""),"dawn")</f>
        <v>dawn</v>
      </c>
      <c r="AK2081" s="49"/>
      <c r="AL2081" s="49"/>
      <c r="AM2081" s="49"/>
      <c r="AN2081" s="52" t="str">
        <f t="shared" si="5"/>
        <v>evening,</v>
      </c>
    </row>
    <row r="2082">
      <c r="A2082" s="51"/>
      <c r="B2082" s="50" t="s">
        <v>3407</v>
      </c>
      <c r="C2082" s="50" t="s">
        <v>5196</v>
      </c>
      <c r="D2082" s="49" t="str">
        <f>IFERROR(__xludf.DUMMYFUNCTION("""COMPUTED_VALUE"""),"card")</f>
        <v>card</v>
      </c>
      <c r="E2082" s="49"/>
      <c r="F2082" s="49"/>
      <c r="G2082" s="49"/>
      <c r="H2082" s="54" t="str">
        <f t="shared" si="1"/>
        <v>gang,</v>
      </c>
      <c r="I2082" s="50"/>
      <c r="J2082" s="50" t="s">
        <v>6150</v>
      </c>
      <c r="K2082" s="50" t="s">
        <v>2043</v>
      </c>
      <c r="L2082" s="49"/>
      <c r="M2082" s="49"/>
      <c r="N2082" s="49"/>
      <c r="O2082" s="49"/>
      <c r="P2082" s="49" t="str">
        <f t="shared" si="2"/>
        <v>spade,</v>
      </c>
      <c r="Q2082" s="49"/>
      <c r="R2082" s="50" t="s">
        <v>4380</v>
      </c>
      <c r="S2082" s="55" t="s">
        <v>1196</v>
      </c>
      <c r="T2082" s="49"/>
      <c r="U2082" s="49"/>
      <c r="V2082" s="49"/>
      <c r="W2082" s="49"/>
      <c r="X2082" s="49" t="str">
        <f t="shared" si="3"/>
        <v>adjective,</v>
      </c>
      <c r="Y2082" s="49"/>
      <c r="Z2082" s="1" t="s">
        <v>851</v>
      </c>
      <c r="AA2082" s="1" t="s">
        <v>5290</v>
      </c>
      <c r="AB2082" s="49"/>
      <c r="AC2082" s="49"/>
      <c r="AD2082" s="49"/>
      <c r="AE2082" s="49"/>
      <c r="AF2082" s="49" t="str">
        <f t="shared" si="4"/>
        <v>impressions,</v>
      </c>
      <c r="AG2082" s="49"/>
      <c r="AH2082" s="1" t="s">
        <v>1808</v>
      </c>
      <c r="AI2082" s="1" t="s">
        <v>1338</v>
      </c>
      <c r="AJ2082" s="6" t="str">
        <f>IFERROR(__xludf.DUMMYFUNCTION("""COMPUTED_VALUE"""),"ideal")</f>
        <v>ideal</v>
      </c>
      <c r="AK2082" s="49"/>
      <c r="AL2082" s="49"/>
      <c r="AM2082" s="49"/>
      <c r="AN2082" s="52" t="str">
        <f t="shared" si="5"/>
        <v>orders,</v>
      </c>
    </row>
    <row r="2083">
      <c r="A2083" s="51"/>
      <c r="B2083" s="50" t="s">
        <v>5484</v>
      </c>
      <c r="C2083" s="50" t="s">
        <v>3233</v>
      </c>
      <c r="D2083" s="49" t="str">
        <f>IFERROR(__xludf.DUMMYFUNCTION("""COMPUTED_VALUE"""),"younger")</f>
        <v>younger</v>
      </c>
      <c r="E2083" s="49"/>
      <c r="F2083" s="49"/>
      <c r="G2083" s="49"/>
      <c r="H2083" s="54" t="str">
        <f t="shared" si="1"/>
        <v>bow,</v>
      </c>
      <c r="I2083" s="50"/>
      <c r="J2083" s="50" t="s">
        <v>968</v>
      </c>
      <c r="K2083" s="50" t="s">
        <v>5293</v>
      </c>
      <c r="L2083" s="49"/>
      <c r="M2083" s="49"/>
      <c r="N2083" s="49"/>
      <c r="O2083" s="49"/>
      <c r="P2083" s="49" t="str">
        <f t="shared" si="2"/>
        <v>clarity,</v>
      </c>
      <c r="Q2083" s="49"/>
      <c r="R2083" s="50" t="s">
        <v>4414</v>
      </c>
      <c r="S2083" s="55" t="s">
        <v>6640</v>
      </c>
      <c r="T2083" s="49"/>
      <c r="U2083" s="49"/>
      <c r="V2083" s="49"/>
      <c r="W2083" s="49"/>
      <c r="X2083" s="49" t="str">
        <f t="shared" si="3"/>
        <v>expressions,</v>
      </c>
      <c r="Y2083" s="49"/>
      <c r="Z2083" s="1" t="s">
        <v>4301</v>
      </c>
      <c r="AA2083" s="1" t="s">
        <v>5292</v>
      </c>
      <c r="AB2083" s="49"/>
      <c r="AC2083" s="49"/>
      <c r="AD2083" s="49"/>
      <c r="AE2083" s="49"/>
      <c r="AF2083" s="49" t="str">
        <f t="shared" si="4"/>
        <v>odds,</v>
      </c>
      <c r="AG2083" s="49"/>
      <c r="AH2083" s="1" t="s">
        <v>2774</v>
      </c>
      <c r="AI2083" s="1" t="s">
        <v>4578</v>
      </c>
      <c r="AJ2083" s="6" t="str">
        <f>IFERROR(__xludf.DUMMYFUNCTION("""COMPUTED_VALUE"""),"tour")</f>
        <v>tour</v>
      </c>
      <c r="AK2083" s="49"/>
      <c r="AL2083" s="49"/>
      <c r="AM2083" s="49"/>
      <c r="AN2083" s="52" t="str">
        <f t="shared" si="5"/>
        <v>hanging,</v>
      </c>
    </row>
    <row r="2084">
      <c r="A2084" s="51"/>
      <c r="B2084" s="50" t="s">
        <v>3911</v>
      </c>
      <c r="C2084" s="50" t="s">
        <v>4354</v>
      </c>
      <c r="D2084" s="49" t="str">
        <f>IFERROR(__xludf.DUMMYFUNCTION("""COMPUTED_VALUE"""),"laid")</f>
        <v>laid</v>
      </c>
      <c r="E2084" s="49"/>
      <c r="F2084" s="49"/>
      <c r="G2084" s="49"/>
      <c r="H2084" s="54" t="str">
        <f t="shared" si="1"/>
        <v>jacques,</v>
      </c>
      <c r="I2084" s="50"/>
      <c r="J2084" s="50" t="s">
        <v>2854</v>
      </c>
      <c r="K2084" s="50" t="s">
        <v>1028</v>
      </c>
      <c r="L2084" s="49"/>
      <c r="M2084" s="49"/>
      <c r="N2084" s="49"/>
      <c r="O2084" s="49"/>
      <c r="P2084" s="49" t="str">
        <f t="shared" si="2"/>
        <v>refusal,</v>
      </c>
      <c r="Q2084" s="49"/>
      <c r="R2084" s="50" t="s">
        <v>4013</v>
      </c>
      <c r="S2084" s="55" t="s">
        <v>4616</v>
      </c>
      <c r="T2084" s="49"/>
      <c r="U2084" s="49"/>
      <c r="V2084" s="49"/>
      <c r="W2084" s="49"/>
      <c r="X2084" s="49" t="str">
        <f t="shared" si="3"/>
        <v>fool,</v>
      </c>
      <c r="Y2084" s="49"/>
      <c r="Z2084" s="1">
        <v>90.0</v>
      </c>
      <c r="AA2084" s="1" t="s">
        <v>2470</v>
      </c>
      <c r="AB2084" s="49"/>
      <c r="AC2084" s="49"/>
      <c r="AD2084" s="49"/>
      <c r="AE2084" s="49"/>
      <c r="AF2084" s="49" t="str">
        <f t="shared" si="4"/>
        <v>90,</v>
      </c>
      <c r="AG2084" s="49"/>
      <c r="AH2084" s="1" t="s">
        <v>2711</v>
      </c>
      <c r="AI2084" s="1" t="s">
        <v>4478</v>
      </c>
      <c r="AJ2084" s="6" t="str">
        <f>IFERROR(__xludf.DUMMYFUNCTION("""COMPUTED_VALUE"""),"lower")</f>
        <v>lower</v>
      </c>
      <c r="AK2084" s="49"/>
      <c r="AL2084" s="49"/>
      <c r="AM2084" s="49"/>
      <c r="AN2084" s="52" t="str">
        <f t="shared" si="5"/>
        <v>leave,</v>
      </c>
    </row>
    <row r="2085">
      <c r="A2085" s="51"/>
      <c r="B2085" s="50" t="s">
        <v>7090</v>
      </c>
      <c r="C2085" s="50" t="s">
        <v>6641</v>
      </c>
      <c r="D2085" s="49" t="str">
        <f>IFERROR(__xludf.DUMMYFUNCTION("""COMPUTED_VALUE"""),"sports")</f>
        <v>sports</v>
      </c>
      <c r="E2085" s="49"/>
      <c r="F2085" s="49"/>
      <c r="G2085" s="49"/>
      <c r="H2085" s="54" t="str">
        <f t="shared" si="1"/>
        <v>doc,</v>
      </c>
      <c r="I2085" s="50"/>
      <c r="J2085" s="50" t="s">
        <v>2896</v>
      </c>
      <c r="K2085" s="50" t="s">
        <v>758</v>
      </c>
      <c r="L2085" s="49"/>
      <c r="M2085" s="49"/>
      <c r="N2085" s="49"/>
      <c r="O2085" s="49"/>
      <c r="P2085" s="49" t="str">
        <f t="shared" si="2"/>
        <v>places,</v>
      </c>
      <c r="Q2085" s="49"/>
      <c r="R2085" s="50" t="s">
        <v>4334</v>
      </c>
      <c r="S2085" s="55" t="s">
        <v>5155</v>
      </c>
      <c r="T2085" s="49"/>
      <c r="U2085" s="49"/>
      <c r="V2085" s="49"/>
      <c r="W2085" s="49"/>
      <c r="X2085" s="49" t="str">
        <f t="shared" si="3"/>
        <v>paradigm,</v>
      </c>
      <c r="Y2085" s="49"/>
      <c r="Z2085" s="1" t="s">
        <v>5234</v>
      </c>
      <c r="AA2085" s="1" t="s">
        <v>2466</v>
      </c>
      <c r="AB2085" s="49"/>
      <c r="AC2085" s="49"/>
      <c r="AD2085" s="49"/>
      <c r="AE2085" s="49"/>
      <c r="AF2085" s="49" t="str">
        <f t="shared" si="4"/>
        <v>grows,</v>
      </c>
      <c r="AG2085" s="49"/>
      <c r="AH2085" s="1" t="s">
        <v>4742</v>
      </c>
      <c r="AI2085" s="1" t="s">
        <v>4581</v>
      </c>
      <c r="AJ2085" s="6" t="str">
        <f>IFERROR(__xludf.DUMMYFUNCTION("""COMPUTED_VALUE"""),"overall")</f>
        <v>overall</v>
      </c>
      <c r="AK2085" s="49"/>
      <c r="AL2085" s="49"/>
      <c r="AM2085" s="49"/>
      <c r="AN2085" s="52" t="str">
        <f t="shared" si="5"/>
        <v>foreign,</v>
      </c>
    </row>
    <row r="2086">
      <c r="A2086" s="51"/>
      <c r="B2086" s="50" t="s">
        <v>4213</v>
      </c>
      <c r="C2086" s="50" t="s">
        <v>4915</v>
      </c>
      <c r="D2086" s="49" t="str">
        <f>IFERROR(__xludf.DUMMYFUNCTION("""COMPUTED_VALUE"""),"quietly")</f>
        <v>quietly</v>
      </c>
      <c r="E2086" s="49"/>
      <c r="F2086" s="49"/>
      <c r="G2086" s="49"/>
      <c r="H2086" s="54" t="str">
        <f t="shared" si="1"/>
        <v>creek,</v>
      </c>
      <c r="I2086" s="50"/>
      <c r="J2086" s="50" t="s">
        <v>5226</v>
      </c>
      <c r="K2086" s="50" t="s">
        <v>1565</v>
      </c>
      <c r="L2086" s="49"/>
      <c r="M2086" s="49"/>
      <c r="N2086" s="49"/>
      <c r="O2086" s="49"/>
      <c r="P2086" s="49" t="str">
        <f t="shared" si="2"/>
        <v>hug,</v>
      </c>
      <c r="Q2086" s="49"/>
      <c r="R2086" s="50" t="s">
        <v>5787</v>
      </c>
      <c r="S2086" s="55" t="s">
        <v>1923</v>
      </c>
      <c r="T2086" s="49"/>
      <c r="U2086" s="49"/>
      <c r="V2086" s="49"/>
      <c r="W2086" s="49"/>
      <c r="X2086" s="49" t="str">
        <f t="shared" si="3"/>
        <v>forum,</v>
      </c>
      <c r="Y2086" s="49"/>
      <c r="Z2086" s="1" t="s">
        <v>2052</v>
      </c>
      <c r="AA2086" s="1" t="s">
        <v>1629</v>
      </c>
      <c r="AB2086" s="49"/>
      <c r="AC2086" s="49"/>
      <c r="AD2086" s="49"/>
      <c r="AE2086" s="49"/>
      <c r="AF2086" s="49" t="str">
        <f t="shared" si="4"/>
        <v>promises,</v>
      </c>
      <c r="AG2086" s="49"/>
      <c r="AH2086" s="1" t="s">
        <v>7068</v>
      </c>
      <c r="AI2086" s="1" t="s">
        <v>6642</v>
      </c>
      <c r="AJ2086" s="6" t="str">
        <f>IFERROR(__xludf.DUMMYFUNCTION("""COMPUTED_VALUE"""),"dress")</f>
        <v>dress</v>
      </c>
      <c r="AK2086" s="49"/>
      <c r="AL2086" s="49"/>
      <c r="AM2086" s="49"/>
      <c r="AN2086" s="52" t="str">
        <f t="shared" si="5"/>
        <v>males,</v>
      </c>
    </row>
    <row r="2087">
      <c r="A2087" s="51"/>
      <c r="B2087" s="50" t="s">
        <v>7136</v>
      </c>
      <c r="C2087" s="50" t="s">
        <v>2469</v>
      </c>
      <c r="D2087" s="49" t="str">
        <f>IFERROR(__xludf.DUMMYFUNCTION("""COMPUTED_VALUE"""),"peak")</f>
        <v>peak</v>
      </c>
      <c r="E2087" s="49"/>
      <c r="F2087" s="49"/>
      <c r="G2087" s="49"/>
      <c r="H2087" s="54" t="str">
        <f t="shared" si="1"/>
        <v>steps,</v>
      </c>
      <c r="I2087" s="50"/>
      <c r="J2087" s="50" t="s">
        <v>7008</v>
      </c>
      <c r="K2087" s="50" t="s">
        <v>4786</v>
      </c>
      <c r="L2087" s="49"/>
      <c r="M2087" s="49"/>
      <c r="N2087" s="49"/>
      <c r="O2087" s="49"/>
      <c r="P2087" s="49" t="str">
        <f t="shared" si="2"/>
        <v>annoyed,</v>
      </c>
      <c r="Q2087" s="49"/>
      <c r="R2087" s="50" t="s">
        <v>47</v>
      </c>
      <c r="S2087" s="55" t="s">
        <v>491</v>
      </c>
      <c r="T2087" s="49"/>
      <c r="U2087" s="49"/>
      <c r="V2087" s="49"/>
      <c r="W2087" s="49"/>
      <c r="X2087" s="49" t="str">
        <f t="shared" si="3"/>
        <v>redundant,</v>
      </c>
      <c r="Y2087" s="49"/>
      <c r="Z2087" s="1" t="s">
        <v>782</v>
      </c>
      <c r="AA2087" s="1" t="s">
        <v>1461</v>
      </c>
      <c r="AB2087" s="49"/>
      <c r="AC2087" s="49"/>
      <c r="AD2087" s="49"/>
      <c r="AE2087" s="49"/>
      <c r="AF2087" s="49" t="str">
        <f t="shared" si="4"/>
        <v>joy,</v>
      </c>
      <c r="AG2087" s="49"/>
      <c r="AH2087" s="1" t="s">
        <v>3941</v>
      </c>
      <c r="AI2087" s="1" t="s">
        <v>2952</v>
      </c>
      <c r="AJ2087" s="6" t="str">
        <f>IFERROR(__xludf.DUMMYFUNCTION("""COMPUTED_VALUE"""),"ride")</f>
        <v>ride</v>
      </c>
      <c r="AK2087" s="49"/>
      <c r="AL2087" s="49"/>
      <c r="AM2087" s="49"/>
      <c r="AN2087" s="52" t="str">
        <f t="shared" si="5"/>
        <v>seconds,</v>
      </c>
    </row>
    <row r="2088">
      <c r="A2088" s="51"/>
      <c r="B2088" s="50" t="s">
        <v>7511</v>
      </c>
      <c r="C2088" s="50" t="s">
        <v>3236</v>
      </c>
      <c r="D2088" s="49" t="str">
        <f>IFERROR(__xludf.DUMMYFUNCTION("""COMPUTED_VALUE"""),"savage")</f>
        <v>savage</v>
      </c>
      <c r="E2088" s="49"/>
      <c r="F2088" s="49"/>
      <c r="G2088" s="49"/>
      <c r="H2088" s="54" t="str">
        <f t="shared" si="1"/>
        <v>der,</v>
      </c>
      <c r="I2088" s="50"/>
      <c r="J2088" s="50" t="s">
        <v>3962</v>
      </c>
      <c r="K2088" s="50" t="s">
        <v>3651</v>
      </c>
      <c r="L2088" s="49"/>
      <c r="M2088" s="49"/>
      <c r="N2088" s="49"/>
      <c r="O2088" s="49"/>
      <c r="P2088" s="49" t="str">
        <f t="shared" si="2"/>
        <v>accidental,</v>
      </c>
      <c r="Q2088" s="49"/>
      <c r="R2088" s="50" t="s">
        <v>3603</v>
      </c>
      <c r="S2088" s="55" t="s">
        <v>3537</v>
      </c>
      <c r="T2088" s="49"/>
      <c r="U2088" s="49"/>
      <c r="V2088" s="49"/>
      <c r="W2088" s="49"/>
      <c r="X2088" s="49" t="str">
        <f t="shared" si="3"/>
        <v>pack,</v>
      </c>
      <c r="Y2088" s="49"/>
      <c r="Z2088" s="1" t="s">
        <v>475</v>
      </c>
      <c r="AA2088" s="1" t="s">
        <v>3622</v>
      </c>
      <c r="AB2088" s="49"/>
      <c r="AC2088" s="49"/>
      <c r="AD2088" s="49"/>
      <c r="AE2088" s="49"/>
      <c r="AF2088" s="49" t="str">
        <f t="shared" si="4"/>
        <v>brooding,</v>
      </c>
      <c r="AG2088" s="49"/>
      <c r="AH2088" s="1" t="s">
        <v>6461</v>
      </c>
      <c r="AI2088" s="1" t="s">
        <v>4589</v>
      </c>
      <c r="AJ2088" s="6" t="str">
        <f>IFERROR(__xludf.DUMMYFUNCTION("""COMPUTED_VALUE"""),"neighborhood")</f>
        <v>neighborhood</v>
      </c>
      <c r="AK2088" s="49"/>
      <c r="AL2088" s="49"/>
      <c r="AM2088" s="49"/>
      <c r="AN2088" s="52" t="str">
        <f t="shared" si="5"/>
        <v>machines,</v>
      </c>
    </row>
    <row r="2089">
      <c r="A2089" s="51"/>
      <c r="B2089" s="50" t="s">
        <v>3383</v>
      </c>
      <c r="C2089" s="50" t="s">
        <v>3485</v>
      </c>
      <c r="D2089" s="49" t="str">
        <f>IFERROR(__xludf.DUMMYFUNCTION("""COMPUTED_VALUE"""),"dimension")</f>
        <v>dimension</v>
      </c>
      <c r="E2089" s="49"/>
      <c r="F2089" s="49"/>
      <c r="G2089" s="49"/>
      <c r="H2089" s="54" t="str">
        <f t="shared" si="1"/>
        <v>blues,</v>
      </c>
      <c r="I2089" s="50"/>
      <c r="J2089" s="50" t="s">
        <v>6196</v>
      </c>
      <c r="K2089" s="50" t="s">
        <v>1342</v>
      </c>
      <c r="L2089" s="49"/>
      <c r="M2089" s="49"/>
      <c r="N2089" s="49"/>
      <c r="O2089" s="49"/>
      <c r="P2089" s="49" t="str">
        <f t="shared" si="2"/>
        <v>wrought,</v>
      </c>
      <c r="Q2089" s="49"/>
      <c r="R2089" s="50" t="s">
        <v>4382</v>
      </c>
      <c r="S2089" s="55" t="s">
        <v>3539</v>
      </c>
      <c r="T2089" s="49"/>
      <c r="U2089" s="49"/>
      <c r="V2089" s="49"/>
      <c r="W2089" s="49"/>
      <c r="X2089" s="49" t="str">
        <f t="shared" si="3"/>
        <v>applies,</v>
      </c>
      <c r="Y2089" s="49"/>
      <c r="Z2089" s="1" t="s">
        <v>909</v>
      </c>
      <c r="AA2089" s="1" t="s">
        <v>1366</v>
      </c>
      <c r="AB2089" s="49"/>
      <c r="AC2089" s="49"/>
      <c r="AD2089" s="49"/>
      <c r="AE2089" s="49"/>
      <c r="AF2089" s="49" t="str">
        <f t="shared" si="4"/>
        <v>grab,</v>
      </c>
      <c r="AG2089" s="49"/>
      <c r="AH2089" s="1" t="s">
        <v>3010</v>
      </c>
      <c r="AI2089" s="1" t="s">
        <v>4583</v>
      </c>
      <c r="AJ2089" s="6" t="str">
        <f>IFERROR(__xludf.DUMMYFUNCTION("""COMPUTED_VALUE"""),"responsibility")</f>
        <v>responsibility</v>
      </c>
      <c r="AK2089" s="49"/>
      <c r="AL2089" s="49"/>
      <c r="AM2089" s="49"/>
      <c r="AN2089" s="52" t="str">
        <f t="shared" si="5"/>
        <v>worry,</v>
      </c>
    </row>
    <row r="2090">
      <c r="A2090" s="51"/>
      <c r="B2090" s="50" t="s">
        <v>1054</v>
      </c>
      <c r="C2090" s="50" t="s">
        <v>4920</v>
      </c>
      <c r="D2090" s="49" t="str">
        <f>IFERROR(__xludf.DUMMYFUNCTION("""COMPUTED_VALUE"""),"graphic")</f>
        <v>graphic</v>
      </c>
      <c r="E2090" s="49"/>
      <c r="F2090" s="49"/>
      <c r="G2090" s="49"/>
      <c r="H2090" s="54" t="str">
        <f t="shared" si="1"/>
        <v>sensation,</v>
      </c>
      <c r="I2090" s="50"/>
      <c r="J2090" s="50" t="s">
        <v>3437</v>
      </c>
      <c r="K2090" s="50" t="s">
        <v>3692</v>
      </c>
      <c r="L2090" s="49"/>
      <c r="M2090" s="49"/>
      <c r="N2090" s="49"/>
      <c r="O2090" s="49"/>
      <c r="P2090" s="49" t="str">
        <f t="shared" si="2"/>
        <v>reminder,</v>
      </c>
      <c r="Q2090" s="49"/>
      <c r="R2090" s="50" t="s">
        <v>3898</v>
      </c>
      <c r="S2090" s="55" t="s">
        <v>1930</v>
      </c>
      <c r="T2090" s="49"/>
      <c r="U2090" s="49"/>
      <c r="V2090" s="49"/>
      <c r="W2090" s="49"/>
      <c r="X2090" s="49" t="str">
        <f t="shared" si="3"/>
        <v>shaky,</v>
      </c>
      <c r="Y2090" s="49"/>
      <c r="Z2090" s="1" t="s">
        <v>5842</v>
      </c>
      <c r="AA2090" s="1" t="s">
        <v>5299</v>
      </c>
      <c r="AB2090" s="49"/>
      <c r="AC2090" s="49"/>
      <c r="AD2090" s="49"/>
      <c r="AE2090" s="49"/>
      <c r="AF2090" s="49" t="str">
        <f t="shared" si="4"/>
        <v>gifts,</v>
      </c>
      <c r="AG2090" s="49"/>
      <c r="AH2090" s="1" t="s">
        <v>4849</v>
      </c>
      <c r="AI2090" s="1" t="s">
        <v>3502</v>
      </c>
      <c r="AJ2090" s="6" t="str">
        <f>IFERROR(__xludf.DUMMYFUNCTION("""COMPUTED_VALUE"""),"sing")</f>
        <v>sing</v>
      </c>
      <c r="AK2090" s="49"/>
      <c r="AL2090" s="49"/>
      <c r="AM2090" s="49"/>
      <c r="AN2090" s="52" t="str">
        <f t="shared" si="5"/>
        <v>prisoners,</v>
      </c>
    </row>
    <row r="2091">
      <c r="A2091" s="51"/>
      <c r="B2091" s="50" t="s">
        <v>5397</v>
      </c>
      <c r="C2091" s="50" t="s">
        <v>6605</v>
      </c>
      <c r="D2091" s="49" t="str">
        <f>IFERROR(__xludf.DUMMYFUNCTION("""COMPUTED_VALUE"""),"mike")</f>
        <v>mike</v>
      </c>
      <c r="E2091" s="49"/>
      <c r="F2091" s="49"/>
      <c r="G2091" s="49"/>
      <c r="H2091" s="54" t="str">
        <f t="shared" si="1"/>
        <v>columbia,</v>
      </c>
      <c r="I2091" s="50"/>
      <c r="J2091" s="50" t="s">
        <v>628</v>
      </c>
      <c r="K2091" s="50" t="s">
        <v>5300</v>
      </c>
      <c r="L2091" s="49"/>
      <c r="M2091" s="49"/>
      <c r="N2091" s="49"/>
      <c r="O2091" s="49"/>
      <c r="P2091" s="49" t="str">
        <f t="shared" si="2"/>
        <v>detached,</v>
      </c>
      <c r="Q2091" s="49"/>
      <c r="R2091" s="50" t="s">
        <v>3967</v>
      </c>
      <c r="S2091" s="55" t="s">
        <v>3119</v>
      </c>
      <c r="T2091" s="49"/>
      <c r="U2091" s="49"/>
      <c r="V2091" s="49"/>
      <c r="W2091" s="49"/>
      <c r="X2091" s="49" t="str">
        <f t="shared" si="3"/>
        <v>adrenaline,</v>
      </c>
      <c r="Y2091" s="49"/>
      <c r="Z2091" s="1" t="s">
        <v>1517</v>
      </c>
      <c r="AA2091" s="1" t="s">
        <v>3624</v>
      </c>
      <c r="AB2091" s="49"/>
      <c r="AC2091" s="49"/>
      <c r="AD2091" s="49"/>
      <c r="AE2091" s="49"/>
      <c r="AF2091" s="49" t="str">
        <f t="shared" si="4"/>
        <v>delivers,</v>
      </c>
      <c r="AG2091" s="49"/>
      <c r="AH2091" s="1" t="s">
        <v>5059</v>
      </c>
      <c r="AI2091" s="1" t="s">
        <v>3505</v>
      </c>
      <c r="AJ2091" s="6" t="str">
        <f>IFERROR(__xludf.DUMMYFUNCTION("""COMPUTED_VALUE"""),"photo")</f>
        <v>photo</v>
      </c>
      <c r="AK2091" s="49"/>
      <c r="AL2091" s="49"/>
      <c r="AM2091" s="49"/>
      <c r="AN2091" s="52" t="str">
        <f t="shared" si="5"/>
        <v>naked,</v>
      </c>
    </row>
    <row r="2092">
      <c r="A2092" s="51"/>
      <c r="B2092" s="50" t="s">
        <v>3055</v>
      </c>
      <c r="C2092" s="50" t="s">
        <v>6588</v>
      </c>
      <c r="D2092" s="49" t="str">
        <f>IFERROR(__xludf.DUMMYFUNCTION("""COMPUTED_VALUE"""),"hell")</f>
        <v>hell</v>
      </c>
      <c r="E2092" s="49"/>
      <c r="F2092" s="49"/>
      <c r="G2092" s="49"/>
      <c r="H2092" s="54" t="str">
        <f t="shared" si="1"/>
        <v>holds,</v>
      </c>
      <c r="I2092" s="50"/>
      <c r="J2092" s="50" t="s">
        <v>2414</v>
      </c>
      <c r="K2092" s="50" t="s">
        <v>3694</v>
      </c>
      <c r="L2092" s="49"/>
      <c r="M2092" s="49"/>
      <c r="N2092" s="49"/>
      <c r="O2092" s="49"/>
      <c r="P2092" s="49" t="str">
        <f t="shared" si="2"/>
        <v>tragedy,</v>
      </c>
      <c r="Q2092" s="49"/>
      <c r="R2092" s="50" t="s">
        <v>3658</v>
      </c>
      <c r="S2092" s="55" t="s">
        <v>1935</v>
      </c>
      <c r="T2092" s="49"/>
      <c r="U2092" s="49"/>
      <c r="V2092" s="49"/>
      <c r="W2092" s="49"/>
      <c r="X2092" s="49" t="str">
        <f t="shared" si="3"/>
        <v>chest,</v>
      </c>
      <c r="Y2092" s="49"/>
      <c r="Z2092" s="1" t="s">
        <v>7407</v>
      </c>
      <c r="AA2092" s="1" t="s">
        <v>5301</v>
      </c>
      <c r="AB2092" s="49"/>
      <c r="AC2092" s="49"/>
      <c r="AD2092" s="49"/>
      <c r="AE2092" s="49"/>
      <c r="AF2092" s="49" t="str">
        <f t="shared" si="4"/>
        <v>pleasantly,</v>
      </c>
      <c r="AG2092" s="49"/>
      <c r="AH2092" s="1" t="s">
        <v>1182</v>
      </c>
      <c r="AI2092" s="1" t="s">
        <v>5136</v>
      </c>
      <c r="AJ2092" s="6" t="str">
        <f>IFERROR(__xludf.DUMMYFUNCTION("""COMPUTED_VALUE"""),"education")</f>
        <v>education</v>
      </c>
      <c r="AK2092" s="49"/>
      <c r="AL2092" s="49"/>
      <c r="AM2092" s="49"/>
      <c r="AN2092" s="52" t="str">
        <f t="shared" si="5"/>
        <v>front,</v>
      </c>
    </row>
    <row r="2093">
      <c r="A2093" s="51"/>
      <c r="B2093" s="50" t="s">
        <v>6502</v>
      </c>
      <c r="C2093" s="50" t="s">
        <v>1671</v>
      </c>
      <c r="D2093" s="49" t="str">
        <f>IFERROR(__xludf.DUMMYFUNCTION("""COMPUTED_VALUE"""),"philosophy")</f>
        <v>philosophy</v>
      </c>
      <c r="E2093" s="49"/>
      <c r="F2093" s="49"/>
      <c r="G2093" s="49"/>
      <c r="H2093" s="54" t="str">
        <f t="shared" si="1"/>
        <v>billy,</v>
      </c>
      <c r="I2093" s="50"/>
      <c r="J2093" s="50" t="s">
        <v>6124</v>
      </c>
      <c r="K2093" s="50" t="s">
        <v>1317</v>
      </c>
      <c r="L2093" s="49"/>
      <c r="M2093" s="49"/>
      <c r="N2093" s="49"/>
      <c r="O2093" s="49"/>
      <c r="P2093" s="49" t="str">
        <f t="shared" si="2"/>
        <v>clinical,</v>
      </c>
      <c r="Q2093" s="49"/>
      <c r="R2093" s="50" t="s">
        <v>3454</v>
      </c>
      <c r="S2093" s="55" t="s">
        <v>6643</v>
      </c>
      <c r="T2093" s="49"/>
      <c r="U2093" s="49"/>
      <c r="V2093" s="49"/>
      <c r="W2093" s="49"/>
      <c r="X2093" s="49" t="str">
        <f t="shared" si="3"/>
        <v>delhi,</v>
      </c>
      <c r="Y2093" s="49"/>
      <c r="Z2093" s="1" t="s">
        <v>7449</v>
      </c>
      <c r="AA2093" s="1" t="s">
        <v>4274</v>
      </c>
      <c r="AB2093" s="49"/>
      <c r="AC2093" s="49"/>
      <c r="AD2093" s="49"/>
      <c r="AE2093" s="49"/>
      <c r="AF2093" s="49" t="str">
        <f t="shared" si="4"/>
        <v>amazingly,</v>
      </c>
      <c r="AG2093" s="49"/>
      <c r="AH2093" s="1" t="s">
        <v>3642</v>
      </c>
      <c r="AI2093" s="1" t="s">
        <v>5138</v>
      </c>
      <c r="AJ2093" s="6" t="str">
        <f>IFERROR(__xludf.DUMMYFUNCTION("""COMPUTED_VALUE"""),"suggested")</f>
        <v>suggested</v>
      </c>
      <c r="AK2093" s="49"/>
      <c r="AL2093" s="49"/>
      <c r="AM2093" s="49"/>
      <c r="AN2093" s="52" t="str">
        <f t="shared" si="5"/>
        <v>basis,</v>
      </c>
    </row>
    <row r="2094">
      <c r="A2094" s="51"/>
      <c r="B2094" s="50" t="s">
        <v>7044</v>
      </c>
      <c r="C2094" s="50" t="s">
        <v>4125</v>
      </c>
      <c r="D2094" s="49" t="str">
        <f>IFERROR(__xludf.DUMMYFUNCTION("""COMPUTED_VALUE"""),"surrounded")</f>
        <v>surrounded</v>
      </c>
      <c r="E2094" s="49"/>
      <c r="F2094" s="49"/>
      <c r="G2094" s="49"/>
      <c r="H2094" s="54" t="str">
        <f t="shared" si="1"/>
        <v>crystal,</v>
      </c>
      <c r="I2094" s="50"/>
      <c r="J2094" s="50" t="s">
        <v>1008</v>
      </c>
      <c r="K2094" s="50" t="s">
        <v>3696</v>
      </c>
      <c r="L2094" s="49"/>
      <c r="M2094" s="49"/>
      <c r="N2094" s="49"/>
      <c r="O2094" s="49"/>
      <c r="P2094" s="49" t="str">
        <f t="shared" si="2"/>
        <v>dramas,</v>
      </c>
      <c r="Q2094" s="49"/>
      <c r="R2094" s="50" t="s">
        <v>2342</v>
      </c>
      <c r="S2094" s="55" t="s">
        <v>6644</v>
      </c>
      <c r="T2094" s="49"/>
      <c r="U2094" s="49"/>
      <c r="V2094" s="49"/>
      <c r="W2094" s="49"/>
      <c r="X2094" s="49" t="str">
        <f t="shared" si="3"/>
        <v>sadness,</v>
      </c>
      <c r="Y2094" s="49"/>
      <c r="Z2094" s="1" t="s">
        <v>4132</v>
      </c>
      <c r="AA2094" s="1" t="s">
        <v>1374</v>
      </c>
      <c r="AB2094" s="49"/>
      <c r="AC2094" s="49"/>
      <c r="AD2094" s="49"/>
      <c r="AE2094" s="49"/>
      <c r="AF2094" s="49" t="str">
        <f t="shared" si="4"/>
        <v>travel,</v>
      </c>
      <c r="AG2094" s="49"/>
      <c r="AH2094" s="1" t="s">
        <v>1311</v>
      </c>
      <c r="AI2094" s="1" t="s">
        <v>3444</v>
      </c>
      <c r="AJ2094" s="6" t="str">
        <f>IFERROR(__xludf.DUMMYFUNCTION("""COMPUTED_VALUE"""),"investigation")</f>
        <v>investigation</v>
      </c>
      <c r="AK2094" s="49"/>
      <c r="AL2094" s="49"/>
      <c r="AM2094" s="49"/>
      <c r="AN2094" s="52" t="str">
        <f t="shared" si="5"/>
        <v>laugh,</v>
      </c>
    </row>
    <row r="2095">
      <c r="A2095" s="51"/>
      <c r="B2095" s="50" t="s">
        <v>2073</v>
      </c>
      <c r="C2095" s="50" t="s">
        <v>3284</v>
      </c>
      <c r="D2095" s="49" t="str">
        <f>IFERROR(__xludf.DUMMYFUNCTION("""COMPUTED_VALUE"""),"handling")</f>
        <v>handling</v>
      </c>
      <c r="E2095" s="49"/>
      <c r="F2095" s="49"/>
      <c r="G2095" s="49"/>
      <c r="H2095" s="54" t="str">
        <f t="shared" si="1"/>
        <v>trouble,</v>
      </c>
      <c r="I2095" s="50"/>
      <c r="J2095" s="50" t="s">
        <v>2065</v>
      </c>
      <c r="K2095" s="50" t="s">
        <v>1323</v>
      </c>
      <c r="L2095" s="49"/>
      <c r="M2095" s="49"/>
      <c r="N2095" s="49"/>
      <c r="O2095" s="49"/>
      <c r="P2095" s="49" t="str">
        <f t="shared" si="2"/>
        <v>showcases,</v>
      </c>
      <c r="Q2095" s="49"/>
      <c r="R2095" s="50" t="s">
        <v>426</v>
      </c>
      <c r="S2095" s="55" t="s">
        <v>3123</v>
      </c>
      <c r="T2095" s="49"/>
      <c r="U2095" s="49"/>
      <c r="V2095" s="49"/>
      <c r="W2095" s="49"/>
      <c r="X2095" s="49" t="str">
        <f t="shared" si="3"/>
        <v>strongest,</v>
      </c>
      <c r="Y2095" s="49"/>
      <c r="Z2095" s="1" t="s">
        <v>1606</v>
      </c>
      <c r="AA2095" s="1" t="s">
        <v>1160</v>
      </c>
      <c r="AB2095" s="49"/>
      <c r="AC2095" s="49"/>
      <c r="AD2095" s="49"/>
      <c r="AE2095" s="49"/>
      <c r="AF2095" s="49" t="str">
        <f t="shared" si="4"/>
        <v>relief,</v>
      </c>
      <c r="AG2095" s="49"/>
      <c r="AH2095" s="1" t="s">
        <v>2269</v>
      </c>
      <c r="AI2095" s="1" t="s">
        <v>4592</v>
      </c>
      <c r="AJ2095" s="6" t="str">
        <f>IFERROR(__xludf.DUMMYFUNCTION("""COMPUTED_VALUE"""),"incident")</f>
        <v>incident</v>
      </c>
      <c r="AK2095" s="49"/>
      <c r="AL2095" s="49"/>
      <c r="AM2095" s="49"/>
      <c r="AN2095" s="52" t="str">
        <f t="shared" si="5"/>
        <v>na,</v>
      </c>
    </row>
    <row r="2096">
      <c r="A2096" s="51"/>
      <c r="B2096" s="50" t="s">
        <v>6294</v>
      </c>
      <c r="C2096" s="50" t="s">
        <v>5490</v>
      </c>
      <c r="D2096" s="49" t="str">
        <f>IFERROR(__xludf.DUMMYFUNCTION("""COMPUTED_VALUE"""),"tiny")</f>
        <v>tiny</v>
      </c>
      <c r="E2096" s="49"/>
      <c r="F2096" s="49"/>
      <c r="G2096" s="49"/>
      <c r="H2096" s="54" t="str">
        <f t="shared" si="1"/>
        <v>driving,</v>
      </c>
      <c r="I2096" s="50"/>
      <c r="J2096" s="50" t="s">
        <v>4960</v>
      </c>
      <c r="K2096" s="50" t="s">
        <v>5284</v>
      </c>
      <c r="L2096" s="49"/>
      <c r="M2096" s="49"/>
      <c r="N2096" s="49"/>
      <c r="O2096" s="49"/>
      <c r="P2096" s="49" t="str">
        <f t="shared" si="2"/>
        <v>sting,</v>
      </c>
      <c r="Q2096" s="49"/>
      <c r="R2096" s="50" t="s">
        <v>2898</v>
      </c>
      <c r="S2096" s="55" t="s">
        <v>1208</v>
      </c>
      <c r="T2096" s="49"/>
      <c r="U2096" s="49"/>
      <c r="V2096" s="49"/>
      <c r="W2096" s="49"/>
      <c r="X2096" s="49" t="str">
        <f t="shared" si="3"/>
        <v>discovering,</v>
      </c>
      <c r="Y2096" s="49"/>
      <c r="Z2096" s="1" t="s">
        <v>3546</v>
      </c>
      <c r="AA2096" s="1" t="s">
        <v>5303</v>
      </c>
      <c r="AB2096" s="49"/>
      <c r="AC2096" s="49"/>
      <c r="AD2096" s="49"/>
      <c r="AE2096" s="49"/>
      <c r="AF2096" s="49" t="str">
        <f t="shared" si="4"/>
        <v>provides,</v>
      </c>
      <c r="AG2096" s="49"/>
      <c r="AH2096" s="1" t="s">
        <v>1977</v>
      </c>
      <c r="AI2096" s="1" t="s">
        <v>6645</v>
      </c>
      <c r="AJ2096" s="6" t="str">
        <f>IFERROR(__xludf.DUMMYFUNCTION("""COMPUTED_VALUE"""),"detail")</f>
        <v>detail</v>
      </c>
      <c r="AK2096" s="49"/>
      <c r="AL2096" s="49"/>
      <c r="AM2096" s="49"/>
      <c r="AN2096" s="52" t="str">
        <f t="shared" si="5"/>
        <v>longer,</v>
      </c>
    </row>
    <row r="2097">
      <c r="A2097" s="51"/>
      <c r="B2097" s="50" t="s">
        <v>4900</v>
      </c>
      <c r="C2097" s="50" t="s">
        <v>6607</v>
      </c>
      <c r="D2097" s="49" t="str">
        <f>IFERROR(__xludf.DUMMYFUNCTION("""COMPUTED_VALUE"""),"rushed")</f>
        <v>rushed</v>
      </c>
      <c r="E2097" s="49"/>
      <c r="F2097" s="49"/>
      <c r="G2097" s="49"/>
      <c r="H2097" s="54" t="str">
        <f t="shared" si="1"/>
        <v>abandoned,</v>
      </c>
      <c r="I2097" s="50"/>
      <c r="J2097" s="50" t="s">
        <v>629</v>
      </c>
      <c r="K2097" s="50" t="s">
        <v>5306</v>
      </c>
      <c r="L2097" s="49"/>
      <c r="M2097" s="49"/>
      <c r="N2097" s="49"/>
      <c r="O2097" s="49"/>
      <c r="P2097" s="49" t="str">
        <f t="shared" si="2"/>
        <v>chuckles,</v>
      </c>
      <c r="Q2097" s="49"/>
      <c r="R2097" s="50" t="s">
        <v>7512</v>
      </c>
      <c r="S2097" s="55" t="s">
        <v>4637</v>
      </c>
      <c r="T2097" s="49"/>
      <c r="U2097" s="49"/>
      <c r="V2097" s="49"/>
      <c r="W2097" s="49"/>
      <c r="X2097" s="49" t="str">
        <f t="shared" si="3"/>
        <v>spitting,</v>
      </c>
      <c r="Y2097" s="49"/>
      <c r="Z2097" s="1" t="s">
        <v>2990</v>
      </c>
      <c r="AA2097" s="1" t="s">
        <v>3631</v>
      </c>
      <c r="AB2097" s="49"/>
      <c r="AC2097" s="49"/>
      <c r="AD2097" s="49"/>
      <c r="AE2097" s="49"/>
      <c r="AF2097" s="49" t="str">
        <f t="shared" si="4"/>
        <v>spiritual,</v>
      </c>
      <c r="AG2097" s="49"/>
      <c r="AH2097" s="1" t="s">
        <v>144</v>
      </c>
      <c r="AI2097" s="1" t="s">
        <v>4536</v>
      </c>
      <c r="AJ2097" s="6" t="str">
        <f>IFERROR(__xludf.DUMMYFUNCTION("""COMPUTED_VALUE"""),"aspect")</f>
        <v>aspect</v>
      </c>
      <c r="AK2097" s="49"/>
      <c r="AL2097" s="49"/>
      <c r="AM2097" s="49"/>
      <c r="AN2097" s="52" t="str">
        <f t="shared" si="5"/>
        <v>intellectual,</v>
      </c>
    </row>
    <row r="2098">
      <c r="A2098" s="51"/>
      <c r="B2098" s="50" t="s">
        <v>7328</v>
      </c>
      <c r="C2098" s="50" t="s">
        <v>2626</v>
      </c>
      <c r="D2098" s="49" t="str">
        <f>IFERROR(__xludf.DUMMYFUNCTION("""COMPUTED_VALUE"""),"garcia")</f>
        <v>garcia</v>
      </c>
      <c r="E2098" s="49"/>
      <c r="F2098" s="49"/>
      <c r="G2098" s="49"/>
      <c r="H2098" s="54" t="str">
        <f t="shared" si="1"/>
        <v>dropping,</v>
      </c>
      <c r="I2098" s="50"/>
      <c r="J2098" s="50" t="s">
        <v>4096</v>
      </c>
      <c r="K2098" s="50" t="s">
        <v>5307</v>
      </c>
      <c r="L2098" s="49"/>
      <c r="M2098" s="49"/>
      <c r="N2098" s="49"/>
      <c r="O2098" s="49"/>
      <c r="P2098" s="49" t="str">
        <f t="shared" si="2"/>
        <v>forth,</v>
      </c>
      <c r="Q2098" s="49"/>
      <c r="R2098" s="50" t="s">
        <v>5473</v>
      </c>
      <c r="S2098" s="55" t="s">
        <v>1933</v>
      </c>
      <c r="T2098" s="49"/>
      <c r="U2098" s="49"/>
      <c r="V2098" s="49"/>
      <c r="W2098" s="49"/>
      <c r="X2098" s="49" t="str">
        <f t="shared" si="3"/>
        <v>outrage,</v>
      </c>
      <c r="Y2098" s="49"/>
      <c r="Z2098" s="1" t="s">
        <v>5925</v>
      </c>
      <c r="AA2098" s="1" t="s">
        <v>4277</v>
      </c>
      <c r="AB2098" s="49"/>
      <c r="AC2098" s="49"/>
      <c r="AD2098" s="49"/>
      <c r="AE2098" s="49"/>
      <c r="AF2098" s="49" t="str">
        <f t="shared" si="4"/>
        <v>mid,</v>
      </c>
      <c r="AG2098" s="49"/>
      <c r="AH2098" s="1" t="s">
        <v>802</v>
      </c>
      <c r="AI2098" s="1" t="s">
        <v>1683</v>
      </c>
      <c r="AJ2098" s="6" t="str">
        <f>IFERROR(__xludf.DUMMYFUNCTION("""COMPUTED_VALUE"""),"activities")</f>
        <v>activities</v>
      </c>
      <c r="AK2098" s="49"/>
      <c r="AL2098" s="49"/>
      <c r="AM2098" s="49"/>
      <c r="AN2098" s="52" t="str">
        <f t="shared" si="5"/>
        <v>collapse,</v>
      </c>
    </row>
    <row r="2099">
      <c r="A2099" s="51"/>
      <c r="B2099" s="50" t="s">
        <v>4004</v>
      </c>
      <c r="C2099" s="50" t="s">
        <v>3615</v>
      </c>
      <c r="D2099" s="49" t="str">
        <f>IFERROR(__xludf.DUMMYFUNCTION("""COMPUTED_VALUE"""),"print")</f>
        <v>print</v>
      </c>
      <c r="E2099" s="49"/>
      <c r="F2099" s="49"/>
      <c r="G2099" s="49"/>
      <c r="H2099" s="54" t="str">
        <f t="shared" si="1"/>
        <v>spy,</v>
      </c>
      <c r="I2099" s="50"/>
      <c r="J2099" s="50" t="s">
        <v>2751</v>
      </c>
      <c r="K2099" s="50" t="s">
        <v>3701</v>
      </c>
      <c r="L2099" s="49"/>
      <c r="M2099" s="49"/>
      <c r="N2099" s="49"/>
      <c r="O2099" s="49"/>
      <c r="P2099" s="49" t="str">
        <f t="shared" si="2"/>
        <v>anatomical,</v>
      </c>
      <c r="Q2099" s="49"/>
      <c r="R2099" s="50" t="s">
        <v>763</v>
      </c>
      <c r="S2099" s="55" t="s">
        <v>1212</v>
      </c>
      <c r="T2099" s="49"/>
      <c r="U2099" s="49"/>
      <c r="V2099" s="49"/>
      <c r="W2099" s="49"/>
      <c r="X2099" s="49" t="str">
        <f t="shared" si="3"/>
        <v>betrayed,</v>
      </c>
      <c r="Y2099" s="49"/>
      <c r="Z2099" s="1" t="s">
        <v>3846</v>
      </c>
      <c r="AA2099" s="1" t="s">
        <v>5308</v>
      </c>
      <c r="AB2099" s="49"/>
      <c r="AC2099" s="49"/>
      <c r="AD2099" s="49"/>
      <c r="AE2099" s="49"/>
      <c r="AF2099" s="49" t="str">
        <f t="shared" si="4"/>
        <v>shining,</v>
      </c>
      <c r="AG2099" s="49"/>
      <c r="AH2099" s="1" t="s">
        <v>6439</v>
      </c>
      <c r="AI2099" s="1" t="s">
        <v>1676</v>
      </c>
      <c r="AJ2099" s="6" t="str">
        <f>IFERROR(__xludf.DUMMYFUNCTION("""COMPUTED_VALUE"""),"sexual")</f>
        <v>sexual</v>
      </c>
      <c r="AK2099" s="49"/>
      <c r="AL2099" s="49"/>
      <c r="AM2099" s="49"/>
      <c r="AN2099" s="52" t="str">
        <f t="shared" si="5"/>
        <v>period,</v>
      </c>
    </row>
    <row r="2100">
      <c r="A2100" s="51"/>
      <c r="B2100" s="50" t="s">
        <v>4596</v>
      </c>
      <c r="C2100" s="50" t="s">
        <v>3742</v>
      </c>
      <c r="D2100" s="49" t="str">
        <f>IFERROR(__xludf.DUMMYFUNCTION("""COMPUTED_VALUE"""),"burn")</f>
        <v>burn</v>
      </c>
      <c r="E2100" s="49"/>
      <c r="F2100" s="49"/>
      <c r="G2100" s="49"/>
      <c r="H2100" s="54" t="str">
        <f t="shared" si="1"/>
        <v>pipe,</v>
      </c>
      <c r="I2100" s="50"/>
      <c r="J2100" s="50" t="s">
        <v>4164</v>
      </c>
      <c r="K2100" s="50" t="s">
        <v>3264</v>
      </c>
      <c r="L2100" s="49"/>
      <c r="M2100" s="49"/>
      <c r="N2100" s="49"/>
      <c r="O2100" s="49"/>
      <c r="P2100" s="49" t="str">
        <f t="shared" si="2"/>
        <v>expose,</v>
      </c>
      <c r="Q2100" s="49"/>
      <c r="R2100" s="50" t="s">
        <v>4306</v>
      </c>
      <c r="S2100" s="55" t="s">
        <v>2701</v>
      </c>
      <c r="T2100" s="49"/>
      <c r="U2100" s="49"/>
      <c r="V2100" s="49"/>
      <c r="W2100" s="49"/>
      <c r="X2100" s="49" t="str">
        <f t="shared" si="3"/>
        <v>verve,</v>
      </c>
      <c r="Y2100" s="49"/>
      <c r="Z2100" s="1" t="s">
        <v>3302</v>
      </c>
      <c r="AA2100" s="1" t="s">
        <v>1379</v>
      </c>
      <c r="AB2100" s="49"/>
      <c r="AC2100" s="49"/>
      <c r="AD2100" s="49"/>
      <c r="AE2100" s="49"/>
      <c r="AF2100" s="49" t="str">
        <f t="shared" si="4"/>
        <v>setting,</v>
      </c>
      <c r="AG2100" s="49"/>
      <c r="AH2100" s="1" t="s">
        <v>5853</v>
      </c>
      <c r="AI2100" s="1" t="s">
        <v>3154</v>
      </c>
      <c r="AJ2100" s="6" t="str">
        <f>IFERROR(__xludf.DUMMYFUNCTION("""COMPUTED_VALUE"""),"pointing")</f>
        <v>pointing</v>
      </c>
      <c r="AK2100" s="49"/>
      <c r="AL2100" s="49"/>
      <c r="AM2100" s="49"/>
      <c r="AN2100" s="52" t="str">
        <f t="shared" si="5"/>
        <v>silver,</v>
      </c>
    </row>
    <row r="2101">
      <c r="A2101" s="51"/>
      <c r="B2101" s="50" t="s">
        <v>2960</v>
      </c>
      <c r="C2101" s="50" t="s">
        <v>6590</v>
      </c>
      <c r="D2101" s="49" t="str">
        <f>IFERROR(__xludf.DUMMYFUNCTION("""COMPUTED_VALUE"""),"copy")</f>
        <v>copy</v>
      </c>
      <c r="E2101" s="49"/>
      <c r="F2101" s="49"/>
      <c r="G2101" s="49"/>
      <c r="H2101" s="54" t="str">
        <f t="shared" si="1"/>
        <v>market,</v>
      </c>
      <c r="I2101" s="50"/>
      <c r="J2101" s="50" t="s">
        <v>3542</v>
      </c>
      <c r="K2101" s="50" t="s">
        <v>3707</v>
      </c>
      <c r="L2101" s="49"/>
      <c r="M2101" s="49"/>
      <c r="N2101" s="49"/>
      <c r="O2101" s="49"/>
      <c r="P2101" s="49" t="str">
        <f t="shared" si="2"/>
        <v>splash,</v>
      </c>
      <c r="Q2101" s="49"/>
      <c r="R2101" s="50" t="s">
        <v>1633</v>
      </c>
      <c r="S2101" s="55" t="s">
        <v>597</v>
      </c>
      <c r="T2101" s="49"/>
      <c r="U2101" s="49"/>
      <c r="V2101" s="49"/>
      <c r="W2101" s="49"/>
      <c r="X2101" s="49" t="str">
        <f t="shared" si="3"/>
        <v>pageant,</v>
      </c>
      <c r="Y2101" s="49"/>
      <c r="Z2101" s="1" t="s">
        <v>2553</v>
      </c>
      <c r="AA2101" s="1" t="s">
        <v>5311</v>
      </c>
      <c r="AB2101" s="49"/>
      <c r="AC2101" s="49"/>
      <c r="AD2101" s="49"/>
      <c r="AE2101" s="49"/>
      <c r="AF2101" s="49" t="str">
        <f t="shared" si="4"/>
        <v>lived,</v>
      </c>
      <c r="AG2101" s="49"/>
      <c r="AH2101" s="1" t="s">
        <v>1102</v>
      </c>
      <c r="AI2101" s="1" t="s">
        <v>5668</v>
      </c>
      <c r="AJ2101" s="6" t="str">
        <f>IFERROR(__xludf.DUMMYFUNCTION("""COMPUTED_VALUE"""),"del")</f>
        <v>del</v>
      </c>
      <c r="AK2101" s="49"/>
      <c r="AL2101" s="49"/>
      <c r="AM2101" s="49"/>
      <c r="AN2101" s="52" t="str">
        <f t="shared" si="5"/>
        <v>carried,</v>
      </c>
    </row>
    <row r="2102">
      <c r="A2102" s="51"/>
      <c r="B2102" s="50" t="s">
        <v>2624</v>
      </c>
      <c r="C2102" s="50" t="s">
        <v>1541</v>
      </c>
      <c r="D2102" s="49" t="str">
        <f>IFERROR(__xludf.DUMMYFUNCTION("""COMPUTED_VALUE"""),"relationship")</f>
        <v>relationship</v>
      </c>
      <c r="E2102" s="49"/>
      <c r="F2102" s="49"/>
      <c r="G2102" s="49"/>
      <c r="H2102" s="54" t="str">
        <f t="shared" si="1"/>
        <v>heavy,</v>
      </c>
      <c r="I2102" s="50"/>
      <c r="J2102" s="50" t="s">
        <v>3972</v>
      </c>
      <c r="K2102" s="50" t="s">
        <v>5312</v>
      </c>
      <c r="L2102" s="49"/>
      <c r="M2102" s="49"/>
      <c r="N2102" s="49"/>
      <c r="O2102" s="49"/>
      <c r="P2102" s="49" t="str">
        <f t="shared" si="2"/>
        <v>wear,</v>
      </c>
      <c r="Q2102" s="49"/>
      <c r="R2102" s="50" t="s">
        <v>1017</v>
      </c>
      <c r="S2102" s="55" t="s">
        <v>475</v>
      </c>
      <c r="T2102" s="49"/>
      <c r="U2102" s="49"/>
      <c r="V2102" s="49"/>
      <c r="W2102" s="49"/>
      <c r="X2102" s="49" t="str">
        <f t="shared" si="3"/>
        <v>adequately,</v>
      </c>
      <c r="Y2102" s="49"/>
      <c r="Z2102" s="1" t="s">
        <v>4125</v>
      </c>
      <c r="AA2102" s="1" t="s">
        <v>3635</v>
      </c>
      <c r="AB2102" s="49"/>
      <c r="AC2102" s="49"/>
      <c r="AD2102" s="49"/>
      <c r="AE2102" s="49"/>
      <c r="AF2102" s="49" t="str">
        <f t="shared" si="4"/>
        <v>blind,</v>
      </c>
      <c r="AG2102" s="49"/>
      <c r="AH2102" s="1" t="s">
        <v>3606</v>
      </c>
      <c r="AI2102" s="1" t="s">
        <v>3041</v>
      </c>
      <c r="AJ2102" s="6" t="str">
        <f>IFERROR(__xludf.DUMMYFUNCTION("""COMPUTED_VALUE"""),"scared")</f>
        <v>scared</v>
      </c>
      <c r="AK2102" s="49"/>
      <c r="AL2102" s="49"/>
      <c r="AM2102" s="49"/>
      <c r="AN2102" s="52" t="str">
        <f t="shared" si="5"/>
        <v>unique,</v>
      </c>
    </row>
    <row r="2103">
      <c r="A2103" s="51"/>
      <c r="B2103" s="50" t="s">
        <v>5032</v>
      </c>
      <c r="C2103" s="50" t="s">
        <v>4926</v>
      </c>
      <c r="D2103" s="49" t="str">
        <f>IFERROR(__xludf.DUMMYFUNCTION("""COMPUTED_VALUE"""),"amy")</f>
        <v>amy</v>
      </c>
      <c r="E2103" s="49"/>
      <c r="F2103" s="49"/>
      <c r="G2103" s="49"/>
      <c r="H2103" s="54" t="str">
        <f t="shared" si="1"/>
        <v>youth,</v>
      </c>
      <c r="I2103" s="50"/>
      <c r="J2103" s="50" t="s">
        <v>1039</v>
      </c>
      <c r="K2103" s="50" t="s">
        <v>1328</v>
      </c>
      <c r="L2103" s="49"/>
      <c r="M2103" s="49"/>
      <c r="N2103" s="49"/>
      <c r="O2103" s="49"/>
      <c r="P2103" s="49" t="str">
        <f t="shared" si="2"/>
        <v>served,</v>
      </c>
      <c r="Q2103" s="49"/>
      <c r="R2103" s="50" t="s">
        <v>1117</v>
      </c>
      <c r="S2103" s="55" t="s">
        <v>977</v>
      </c>
      <c r="T2103" s="49"/>
      <c r="U2103" s="49"/>
      <c r="V2103" s="49"/>
      <c r="W2103" s="49"/>
      <c r="X2103" s="49" t="str">
        <f t="shared" si="3"/>
        <v>explore,</v>
      </c>
      <c r="Y2103" s="49"/>
      <c r="Z2103" s="1" t="s">
        <v>2158</v>
      </c>
      <c r="AA2103" s="1" t="s">
        <v>3638</v>
      </c>
      <c r="AB2103" s="49"/>
      <c r="AC2103" s="49"/>
      <c r="AD2103" s="49"/>
      <c r="AE2103" s="49"/>
      <c r="AF2103" s="49" t="str">
        <f t="shared" si="4"/>
        <v>doses,</v>
      </c>
      <c r="AG2103" s="49"/>
      <c r="AH2103" s="1" t="s">
        <v>2756</v>
      </c>
      <c r="AI2103" s="1" t="s">
        <v>2400</v>
      </c>
      <c r="AJ2103" s="6" t="str">
        <f>IFERROR(__xludf.DUMMYFUNCTION("""COMPUTED_VALUE"""),"j")</f>
        <v>j</v>
      </c>
      <c r="AK2103" s="49"/>
      <c r="AL2103" s="49"/>
      <c r="AM2103" s="49"/>
      <c r="AN2103" s="52" t="str">
        <f t="shared" si="5"/>
        <v>minute,</v>
      </c>
    </row>
    <row r="2104">
      <c r="A2104" s="51"/>
      <c r="B2104" s="50" t="s">
        <v>5231</v>
      </c>
      <c r="C2104" s="50" t="s">
        <v>6451</v>
      </c>
      <c r="D2104" s="49" t="str">
        <f>IFERROR(__xludf.DUMMYFUNCTION("""COMPUTED_VALUE"""),"seek")</f>
        <v>seek</v>
      </c>
      <c r="E2104" s="49"/>
      <c r="F2104" s="49"/>
      <c r="G2104" s="49"/>
      <c r="H2104" s="54" t="str">
        <f t="shared" si="1"/>
        <v>remaining,</v>
      </c>
      <c r="I2104" s="50"/>
      <c r="J2104" s="50" t="s">
        <v>308</v>
      </c>
      <c r="K2104" s="50" t="s">
        <v>4810</v>
      </c>
      <c r="L2104" s="49"/>
      <c r="M2104" s="49"/>
      <c r="N2104" s="49"/>
      <c r="O2104" s="49"/>
      <c r="P2104" s="49" t="str">
        <f t="shared" si="2"/>
        <v>evade,</v>
      </c>
      <c r="Q2104" s="49"/>
      <c r="R2104" s="50" t="s">
        <v>4799</v>
      </c>
      <c r="S2104" s="55" t="s">
        <v>1062</v>
      </c>
      <c r="T2104" s="49"/>
      <c r="U2104" s="49"/>
      <c r="V2104" s="49"/>
      <c r="W2104" s="49"/>
      <c r="X2104" s="49" t="str">
        <f t="shared" si="3"/>
        <v>keel,</v>
      </c>
      <c r="Y2104" s="49"/>
      <c r="Z2104" s="1" t="s">
        <v>3127</v>
      </c>
      <c r="AA2104" s="1" t="s">
        <v>1731</v>
      </c>
      <c r="AB2104" s="49"/>
      <c r="AC2104" s="49"/>
      <c r="AD2104" s="49"/>
      <c r="AE2104" s="49"/>
      <c r="AF2104" s="49" t="str">
        <f t="shared" si="4"/>
        <v>scenic,</v>
      </c>
      <c r="AG2104" s="49"/>
      <c r="AH2104" s="1" t="s">
        <v>4507</v>
      </c>
      <c r="AI2104" s="1" t="s">
        <v>6637</v>
      </c>
      <c r="AJ2104" s="6" t="str">
        <f>IFERROR(__xludf.DUMMYFUNCTION("""COMPUTED_VALUE"""),"placed")</f>
        <v>placed</v>
      </c>
      <c r="AK2104" s="49"/>
      <c r="AL2104" s="49"/>
      <c r="AM2104" s="49"/>
      <c r="AN2104" s="52" t="str">
        <f t="shared" si="5"/>
        <v>pull,</v>
      </c>
    </row>
    <row r="2105">
      <c r="A2105" s="51"/>
      <c r="B2105" s="50" t="s">
        <v>2757</v>
      </c>
      <c r="C2105" s="50" t="s">
        <v>4385</v>
      </c>
      <c r="D2105" s="49" t="str">
        <f>IFERROR(__xludf.DUMMYFUNCTION("""COMPUTED_VALUE"""),"flash")</f>
        <v>flash</v>
      </c>
      <c r="E2105" s="49"/>
      <c r="F2105" s="49"/>
      <c r="G2105" s="49"/>
      <c r="H2105" s="54" t="str">
        <f t="shared" si="1"/>
        <v>growing,</v>
      </c>
      <c r="I2105" s="50"/>
      <c r="J2105" s="50" t="s">
        <v>3555</v>
      </c>
      <c r="K2105" s="50" t="s">
        <v>5315</v>
      </c>
      <c r="L2105" s="49"/>
      <c r="M2105" s="49"/>
      <c r="N2105" s="49"/>
      <c r="O2105" s="49"/>
      <c r="P2105" s="49" t="str">
        <f t="shared" si="2"/>
        <v>hitting,</v>
      </c>
      <c r="Q2105" s="49"/>
      <c r="R2105" s="50" t="s">
        <v>7513</v>
      </c>
      <c r="S2105" s="55" t="s">
        <v>3137</v>
      </c>
      <c r="T2105" s="49"/>
      <c r="U2105" s="49"/>
      <c r="V2105" s="49"/>
      <c r="W2105" s="49"/>
      <c r="X2105" s="49" t="str">
        <f t="shared" si="3"/>
        <v>infant,</v>
      </c>
      <c r="Y2105" s="49"/>
      <c r="Z2105" s="1" t="s">
        <v>3092</v>
      </c>
      <c r="AA2105" s="1" t="s">
        <v>2482</v>
      </c>
      <c r="AB2105" s="49"/>
      <c r="AC2105" s="49"/>
      <c r="AD2105" s="49"/>
      <c r="AE2105" s="49"/>
      <c r="AF2105" s="49" t="str">
        <f t="shared" si="4"/>
        <v>truck,</v>
      </c>
      <c r="AG2105" s="49"/>
      <c r="AH2105" s="1" t="s">
        <v>2954</v>
      </c>
      <c r="AI2105" s="1" t="s">
        <v>6646</v>
      </c>
      <c r="AJ2105" s="6" t="str">
        <f>IFERROR(__xludf.DUMMYFUNCTION("""COMPUTED_VALUE"""),"fifth")</f>
        <v>fifth</v>
      </c>
      <c r="AK2105" s="49"/>
      <c r="AL2105" s="49"/>
      <c r="AM2105" s="49"/>
      <c r="AN2105" s="52" t="str">
        <f t="shared" si="5"/>
        <v>settle,</v>
      </c>
    </row>
    <row r="2106">
      <c r="A2106" s="51"/>
      <c r="B2106" s="50" t="s">
        <v>5157</v>
      </c>
      <c r="C2106" s="50" t="s">
        <v>3730</v>
      </c>
      <c r="D2106" s="49" t="str">
        <f>IFERROR(__xludf.DUMMYFUNCTION("""COMPUTED_VALUE"""),"mad")</f>
        <v>mad</v>
      </c>
      <c r="E2106" s="49"/>
      <c r="F2106" s="49"/>
      <c r="G2106" s="49"/>
      <c r="H2106" s="54" t="str">
        <f t="shared" si="1"/>
        <v>jersey,</v>
      </c>
      <c r="I2106" s="50"/>
      <c r="J2106" s="50" t="s">
        <v>2079</v>
      </c>
      <c r="K2106" s="50" t="s">
        <v>4812</v>
      </c>
      <c r="L2106" s="49"/>
      <c r="M2106" s="49"/>
      <c r="N2106" s="49"/>
      <c r="O2106" s="49"/>
      <c r="P2106" s="49" t="str">
        <f t="shared" si="2"/>
        <v>targeted,</v>
      </c>
      <c r="Q2106" s="49"/>
      <c r="R2106" s="50" t="s">
        <v>4785</v>
      </c>
      <c r="S2106" s="55" t="s">
        <v>3841</v>
      </c>
      <c r="T2106" s="49"/>
      <c r="U2106" s="49"/>
      <c r="V2106" s="49"/>
      <c r="W2106" s="49"/>
      <c r="X2106" s="49" t="str">
        <f t="shared" si="3"/>
        <v>shine,</v>
      </c>
      <c r="Y2106" s="49"/>
      <c r="Z2106" s="1" t="s">
        <v>3100</v>
      </c>
      <c r="AA2106" s="1" t="s">
        <v>4287</v>
      </c>
      <c r="AB2106" s="49"/>
      <c r="AC2106" s="49"/>
      <c r="AD2106" s="49"/>
      <c r="AE2106" s="49"/>
      <c r="AF2106" s="49" t="str">
        <f t="shared" si="4"/>
        <v>catches,</v>
      </c>
      <c r="AG2106" s="49"/>
      <c r="AH2106" s="1" t="s">
        <v>3989</v>
      </c>
      <c r="AI2106" s="1" t="s">
        <v>5294</v>
      </c>
      <c r="AJ2106" s="6" t="str">
        <f>IFERROR(__xludf.DUMMYFUNCTION("""COMPUTED_VALUE"""),"grade")</f>
        <v>grade</v>
      </c>
      <c r="AK2106" s="49"/>
      <c r="AL2106" s="49"/>
      <c r="AM2106" s="49"/>
      <c r="AN2106" s="52" t="str">
        <f t="shared" si="5"/>
        <v>frank,</v>
      </c>
    </row>
    <row r="2107">
      <c r="A2107" s="51"/>
      <c r="B2107" s="50" t="s">
        <v>4922</v>
      </c>
      <c r="C2107" s="50" t="s">
        <v>5124</v>
      </c>
      <c r="D2107" s="49" t="str">
        <f>IFERROR(__xludf.DUMMYFUNCTION("""COMPUTED_VALUE"""),"wise")</f>
        <v>wise</v>
      </c>
      <c r="E2107" s="49"/>
      <c r="F2107" s="49"/>
      <c r="G2107" s="49"/>
      <c r="H2107" s="54" t="str">
        <f t="shared" si="1"/>
        <v>1950s,</v>
      </c>
      <c r="I2107" s="50"/>
      <c r="J2107" s="50" t="s">
        <v>4384</v>
      </c>
      <c r="K2107" s="50" t="s">
        <v>3272</v>
      </c>
      <c r="L2107" s="49"/>
      <c r="M2107" s="49"/>
      <c r="N2107" s="49"/>
      <c r="O2107" s="49"/>
      <c r="P2107" s="49" t="str">
        <f t="shared" si="2"/>
        <v>mill,</v>
      </c>
      <c r="Q2107" s="49"/>
      <c r="R2107" s="50" t="s">
        <v>1165</v>
      </c>
      <c r="S2107" s="55" t="s">
        <v>4340</v>
      </c>
      <c r="T2107" s="49"/>
      <c r="U2107" s="49"/>
      <c r="V2107" s="49"/>
      <c r="W2107" s="49"/>
      <c r="X2107" s="49" t="str">
        <f t="shared" si="3"/>
        <v>quietly,</v>
      </c>
      <c r="Y2107" s="49"/>
      <c r="Z2107" s="1" t="s">
        <v>5308</v>
      </c>
      <c r="AA2107" s="1" t="s">
        <v>2485</v>
      </c>
      <c r="AB2107" s="49"/>
      <c r="AC2107" s="49"/>
      <c r="AD2107" s="49"/>
      <c r="AE2107" s="49"/>
      <c r="AF2107" s="49" t="str">
        <f t="shared" si="4"/>
        <v>wonders,</v>
      </c>
      <c r="AG2107" s="49"/>
      <c r="AH2107" s="1" t="s">
        <v>7013</v>
      </c>
      <c r="AI2107" s="1" t="s">
        <v>5149</v>
      </c>
      <c r="AJ2107" s="6" t="str">
        <f>IFERROR(__xludf.DUMMYFUNCTION("""COMPUTED_VALUE"""),"danger")</f>
        <v>danger</v>
      </c>
      <c r="AK2107" s="49"/>
      <c r="AL2107" s="49"/>
      <c r="AM2107" s="49"/>
      <c r="AN2107" s="52" t="str">
        <f t="shared" si="5"/>
        <v>discovered,</v>
      </c>
    </row>
    <row r="2108">
      <c r="A2108" s="51"/>
      <c r="B2108" s="50" t="s">
        <v>4281</v>
      </c>
      <c r="C2108" s="50" t="s">
        <v>2922</v>
      </c>
      <c r="D2108" s="49" t="str">
        <f>IFERROR(__xludf.DUMMYFUNCTION("""COMPUTED_VALUE"""),"anime")</f>
        <v>anime</v>
      </c>
      <c r="E2108" s="49"/>
      <c r="F2108" s="49"/>
      <c r="G2108" s="49"/>
      <c r="H2108" s="54" t="str">
        <f t="shared" si="1"/>
        <v>adults,</v>
      </c>
      <c r="I2108" s="50"/>
      <c r="J2108" s="50" t="s">
        <v>901</v>
      </c>
      <c r="K2108" s="50" t="s">
        <v>1334</v>
      </c>
      <c r="L2108" s="49"/>
      <c r="M2108" s="49"/>
      <c r="N2108" s="49"/>
      <c r="O2108" s="49"/>
      <c r="P2108" s="49" t="str">
        <f t="shared" si="2"/>
        <v>groundbreaking,</v>
      </c>
      <c r="Q2108" s="49"/>
      <c r="R2108" s="50" t="s">
        <v>3101</v>
      </c>
      <c r="S2108" s="55" t="s">
        <v>3140</v>
      </c>
      <c r="T2108" s="49"/>
      <c r="U2108" s="49"/>
      <c r="V2108" s="49"/>
      <c r="W2108" s="49"/>
      <c r="X2108" s="49" t="str">
        <f t="shared" si="3"/>
        <v>complicated,</v>
      </c>
      <c r="Y2108" s="49"/>
      <c r="Z2108" s="1" t="s">
        <v>6459</v>
      </c>
      <c r="AA2108" s="1" t="s">
        <v>1425</v>
      </c>
      <c r="AB2108" s="49"/>
      <c r="AC2108" s="49"/>
      <c r="AD2108" s="49"/>
      <c r="AE2108" s="49"/>
      <c r="AF2108" s="49" t="str">
        <f t="shared" si="4"/>
        <v>amy,</v>
      </c>
      <c r="AG2108" s="49"/>
      <c r="AH2108" s="1" t="s">
        <v>835</v>
      </c>
      <c r="AI2108" s="1" t="s">
        <v>5013</v>
      </c>
      <c r="AJ2108" s="6" t="str">
        <f>IFERROR(__xludf.DUMMYFUNCTION("""COMPUTED_VALUE"""),"wayne")</f>
        <v>wayne</v>
      </c>
      <c r="AK2108" s="49"/>
      <c r="AL2108" s="49"/>
      <c r="AM2108" s="49"/>
      <c r="AN2108" s="52" t="str">
        <f t="shared" si="5"/>
        <v>powers,</v>
      </c>
    </row>
    <row r="2109">
      <c r="A2109" s="51"/>
      <c r="B2109" s="50" t="s">
        <v>4935</v>
      </c>
      <c r="C2109" s="50" t="s">
        <v>4933</v>
      </c>
      <c r="D2109" s="49" t="str">
        <f>IFERROR(__xludf.DUMMYFUNCTION("""COMPUTED_VALUE"""),"accused")</f>
        <v>accused</v>
      </c>
      <c r="E2109" s="49"/>
      <c r="F2109" s="49"/>
      <c r="G2109" s="49"/>
      <c r="H2109" s="54" t="str">
        <f t="shared" si="1"/>
        <v>depicted,</v>
      </c>
      <c r="I2109" s="50"/>
      <c r="J2109" s="50" t="s">
        <v>4693</v>
      </c>
      <c r="K2109" s="50" t="s">
        <v>3709</v>
      </c>
      <c r="L2109" s="49"/>
      <c r="M2109" s="49"/>
      <c r="N2109" s="49"/>
      <c r="O2109" s="49"/>
      <c r="P2109" s="49" t="str">
        <f t="shared" si="2"/>
        <v>metropolitan,</v>
      </c>
      <c r="Q2109" s="49"/>
      <c r="R2109" s="50" t="s">
        <v>701</v>
      </c>
      <c r="S2109" s="55" t="s">
        <v>3815</v>
      </c>
      <c r="T2109" s="49"/>
      <c r="U2109" s="49"/>
      <c r="V2109" s="49"/>
      <c r="W2109" s="49"/>
      <c r="X2109" s="49" t="str">
        <f t="shared" si="3"/>
        <v>longest,</v>
      </c>
      <c r="Y2109" s="49"/>
      <c r="Z2109" s="1" t="s">
        <v>2432</v>
      </c>
      <c r="AA2109" s="1" t="s">
        <v>4291</v>
      </c>
      <c r="AB2109" s="49"/>
      <c r="AC2109" s="49"/>
      <c r="AD2109" s="49"/>
      <c r="AE2109" s="49"/>
      <c r="AF2109" s="49" t="str">
        <f t="shared" si="4"/>
        <v>spite,</v>
      </c>
      <c r="AG2109" s="49"/>
      <c r="AH2109" s="1" t="s">
        <v>3303</v>
      </c>
      <c r="AI2109" s="1" t="s">
        <v>4567</v>
      </c>
      <c r="AJ2109" s="6" t="str">
        <f>IFERROR(__xludf.DUMMYFUNCTION("""COMPUTED_VALUE"""),"bear")</f>
        <v>bear</v>
      </c>
      <c r="AK2109" s="49"/>
      <c r="AL2109" s="49"/>
      <c r="AM2109" s="49"/>
      <c r="AN2109" s="52" t="str">
        <f t="shared" si="5"/>
        <v>writings,</v>
      </c>
    </row>
    <row r="2110">
      <c r="A2110" s="51"/>
      <c r="B2110" s="50" t="s">
        <v>4663</v>
      </c>
      <c r="C2110" s="50" t="s">
        <v>4273</v>
      </c>
      <c r="D2110" s="49">
        <f>IFERROR(__xludf.DUMMYFUNCTION("""COMPUTED_VALUE"""),22.0)</f>
        <v>22</v>
      </c>
      <c r="E2110" s="49"/>
      <c r="F2110" s="49"/>
      <c r="G2110" s="49"/>
      <c r="H2110" s="54" t="str">
        <f t="shared" si="1"/>
        <v>notes,</v>
      </c>
      <c r="I2110" s="50"/>
      <c r="J2110" s="50" t="s">
        <v>3192</v>
      </c>
      <c r="K2110" s="50" t="s">
        <v>3710</v>
      </c>
      <c r="L2110" s="49"/>
      <c r="M2110" s="49"/>
      <c r="N2110" s="49"/>
      <c r="O2110" s="49"/>
      <c r="P2110" s="49" t="str">
        <f t="shared" si="2"/>
        <v>panic,</v>
      </c>
      <c r="Q2110" s="49"/>
      <c r="R2110" s="50" t="s">
        <v>5882</v>
      </c>
      <c r="S2110" s="55" t="s">
        <v>6647</v>
      </c>
      <c r="T2110" s="49"/>
      <c r="U2110" s="49"/>
      <c r="V2110" s="49"/>
      <c r="W2110" s="49"/>
      <c r="X2110" s="49" t="str">
        <f t="shared" si="3"/>
        <v>annoyance,</v>
      </c>
      <c r="Y2110" s="49"/>
      <c r="Z2110" s="1" t="s">
        <v>483</v>
      </c>
      <c r="AA2110" s="1" t="s">
        <v>3289</v>
      </c>
      <c r="AB2110" s="49"/>
      <c r="AC2110" s="49"/>
      <c r="AD2110" s="49"/>
      <c r="AE2110" s="49"/>
      <c r="AF2110" s="49" t="str">
        <f t="shared" si="4"/>
        <v>dignity,</v>
      </c>
      <c r="AG2110" s="49"/>
      <c r="AH2110" s="1" t="s">
        <v>5956</v>
      </c>
      <c r="AI2110" s="1" t="s">
        <v>3519</v>
      </c>
      <c r="AJ2110" s="6" t="str">
        <f>IFERROR(__xludf.DUMMYFUNCTION("""COMPUTED_VALUE"""),"breaking")</f>
        <v>breaking</v>
      </c>
      <c r="AK2110" s="49"/>
      <c r="AL2110" s="49"/>
      <c r="AM2110" s="49"/>
      <c r="AN2110" s="52" t="str">
        <f t="shared" si="5"/>
        <v>reaching,</v>
      </c>
    </row>
    <row r="2111">
      <c r="A2111" s="51"/>
      <c r="B2111" s="50" t="s">
        <v>3875</v>
      </c>
      <c r="C2111" s="50" t="s">
        <v>3250</v>
      </c>
      <c r="D2111" s="49" t="str">
        <f>IFERROR(__xludf.DUMMYFUNCTION("""COMPUTED_VALUE"""),"distinguished")</f>
        <v>distinguished</v>
      </c>
      <c r="E2111" s="49"/>
      <c r="F2111" s="49"/>
      <c r="G2111" s="49"/>
      <c r="H2111" s="54" t="str">
        <f t="shared" si="1"/>
        <v>victims,</v>
      </c>
      <c r="I2111" s="50"/>
      <c r="J2111" s="50" t="s">
        <v>4025</v>
      </c>
      <c r="K2111" s="50" t="s">
        <v>262</v>
      </c>
      <c r="L2111" s="49"/>
      <c r="M2111" s="49"/>
      <c r="N2111" s="49"/>
      <c r="O2111" s="49"/>
      <c r="P2111" s="49" t="str">
        <f t="shared" si="2"/>
        <v>pencil,</v>
      </c>
      <c r="Q2111" s="49"/>
      <c r="R2111" s="50" t="s">
        <v>7514</v>
      </c>
      <c r="S2111" s="55" t="s">
        <v>3564</v>
      </c>
      <c r="T2111" s="49"/>
      <c r="U2111" s="49"/>
      <c r="V2111" s="49"/>
      <c r="W2111" s="49"/>
      <c r="X2111" s="49" t="str">
        <f t="shared" si="3"/>
        <v>rogue,</v>
      </c>
      <c r="Y2111" s="49"/>
      <c r="Z2111" s="1" t="s">
        <v>4699</v>
      </c>
      <c r="AA2111" s="1" t="s">
        <v>5321</v>
      </c>
      <c r="AB2111" s="49"/>
      <c r="AC2111" s="49"/>
      <c r="AD2111" s="49"/>
      <c r="AE2111" s="49"/>
      <c r="AF2111" s="49" t="str">
        <f t="shared" si="4"/>
        <v>degree,</v>
      </c>
      <c r="AG2111" s="49"/>
      <c r="AH2111" s="1" t="s">
        <v>1135</v>
      </c>
      <c r="AI2111" s="1" t="s">
        <v>6638</v>
      </c>
      <c r="AJ2111" s="6" t="str">
        <f>IFERROR(__xludf.DUMMYFUNCTION("""COMPUTED_VALUE"""),"pleasure")</f>
        <v>pleasure</v>
      </c>
      <c r="AK2111" s="49"/>
      <c r="AL2111" s="49"/>
      <c r="AM2111" s="49"/>
      <c r="AN2111" s="52" t="str">
        <f t="shared" si="5"/>
        <v>kid,</v>
      </c>
    </row>
    <row r="2112">
      <c r="A2112" s="51"/>
      <c r="B2112" s="50" t="s">
        <v>572</v>
      </c>
      <c r="C2112" s="50" t="s">
        <v>1098</v>
      </c>
      <c r="D2112" s="49" t="str">
        <f>IFERROR(__xludf.DUMMYFUNCTION("""COMPUTED_VALUE"""),"johnny")</f>
        <v>johnny</v>
      </c>
      <c r="E2112" s="49"/>
      <c r="F2112" s="49"/>
      <c r="G2112" s="49"/>
      <c r="H2112" s="54" t="str">
        <f t="shared" si="1"/>
        <v>river,</v>
      </c>
      <c r="I2112" s="50"/>
      <c r="J2112" s="50" t="s">
        <v>2072</v>
      </c>
      <c r="K2112" s="50" t="s">
        <v>4820</v>
      </c>
      <c r="L2112" s="49"/>
      <c r="M2112" s="49"/>
      <c r="N2112" s="49"/>
      <c r="O2112" s="49"/>
      <c r="P2112" s="49" t="str">
        <f t="shared" si="2"/>
        <v>barrel,</v>
      </c>
      <c r="Q2112" s="49"/>
      <c r="R2112" s="50" t="s">
        <v>1855</v>
      </c>
      <c r="S2112" s="55" t="s">
        <v>1225</v>
      </c>
      <c r="T2112" s="49"/>
      <c r="U2112" s="49"/>
      <c r="V2112" s="49"/>
      <c r="W2112" s="49"/>
      <c r="X2112" s="49" t="str">
        <f t="shared" si="3"/>
        <v>pushes,</v>
      </c>
      <c r="Y2112" s="49"/>
      <c r="Z2112" s="1" t="s">
        <v>7408</v>
      </c>
      <c r="AA2112" s="1" t="s">
        <v>2486</v>
      </c>
      <c r="AB2112" s="49"/>
      <c r="AC2112" s="49"/>
      <c r="AD2112" s="49"/>
      <c r="AE2112" s="49"/>
      <c r="AF2112" s="49" t="str">
        <f t="shared" si="4"/>
        <v>notch,</v>
      </c>
      <c r="AG2112" s="49"/>
      <c r="AH2112" s="1" t="s">
        <v>6091</v>
      </c>
      <c r="AI2112" s="1" t="s">
        <v>6648</v>
      </c>
      <c r="AJ2112" s="6" t="str">
        <f>IFERROR(__xludf.DUMMYFUNCTION("""COMPUTED_VALUE"""),"feed")</f>
        <v>feed</v>
      </c>
      <c r="AK2112" s="49"/>
      <c r="AL2112" s="49"/>
      <c r="AM2112" s="49"/>
      <c r="AN2112" s="52" t="str">
        <f t="shared" si="5"/>
        <v>available,</v>
      </c>
    </row>
    <row r="2113">
      <c r="A2113" s="51"/>
      <c r="B2113" s="50" t="s">
        <v>1350</v>
      </c>
      <c r="C2113" s="50" t="s">
        <v>4584</v>
      </c>
      <c r="D2113" s="49" t="str">
        <f>IFERROR(__xludf.DUMMYFUNCTION("""COMPUTED_VALUE"""),"books")</f>
        <v>books</v>
      </c>
      <c r="E2113" s="49"/>
      <c r="F2113" s="49"/>
      <c r="G2113" s="49"/>
      <c r="H2113" s="54" t="str">
        <f t="shared" si="1"/>
        <v>center,</v>
      </c>
      <c r="I2113" s="50"/>
      <c r="J2113" s="50" t="s">
        <v>4835</v>
      </c>
      <c r="K2113" s="50" t="s">
        <v>2971</v>
      </c>
      <c r="L2113" s="49"/>
      <c r="M2113" s="49"/>
      <c r="N2113" s="49"/>
      <c r="O2113" s="49"/>
      <c r="P2113" s="49" t="str">
        <f t="shared" si="2"/>
        <v>parrot,</v>
      </c>
      <c r="Q2113" s="49"/>
      <c r="R2113" s="50" t="s">
        <v>4942</v>
      </c>
      <c r="S2113" s="55" t="s">
        <v>5183</v>
      </c>
      <c r="T2113" s="49"/>
      <c r="U2113" s="49"/>
      <c r="V2113" s="49"/>
      <c r="W2113" s="49"/>
      <c r="X2113" s="49" t="str">
        <f t="shared" si="3"/>
        <v>fashioned,</v>
      </c>
      <c r="Y2113" s="49"/>
      <c r="Z2113" s="1" t="s">
        <v>2821</v>
      </c>
      <c r="AA2113" s="1" t="s">
        <v>5324</v>
      </c>
      <c r="AB2113" s="49"/>
      <c r="AC2113" s="49"/>
      <c r="AD2113" s="49"/>
      <c r="AE2113" s="49"/>
      <c r="AF2113" s="49" t="str">
        <f t="shared" si="4"/>
        <v>technology,</v>
      </c>
      <c r="AG2113" s="49"/>
      <c r="AH2113" s="1" t="s">
        <v>702</v>
      </c>
      <c r="AI2113" s="1" t="s">
        <v>2906</v>
      </c>
      <c r="AJ2113" s="6" t="str">
        <f>IFERROR(__xludf.DUMMYFUNCTION("""COMPUTED_VALUE"""),"abuse")</f>
        <v>abuse</v>
      </c>
      <c r="AK2113" s="49"/>
      <c r="AL2113" s="49"/>
      <c r="AM2113" s="49"/>
      <c r="AN2113" s="52" t="str">
        <f t="shared" si="5"/>
        <v>food,</v>
      </c>
    </row>
    <row r="2114">
      <c r="A2114" s="51"/>
      <c r="B2114" s="50" t="s">
        <v>6370</v>
      </c>
      <c r="C2114" s="50" t="s">
        <v>1520</v>
      </c>
      <c r="D2114" s="49" t="str">
        <f>IFERROR(__xludf.DUMMYFUNCTION("""COMPUTED_VALUE"""),"likely")</f>
        <v>likely</v>
      </c>
      <c r="E2114" s="49"/>
      <c r="F2114" s="49"/>
      <c r="G2114" s="49"/>
      <c r="H2114" s="54" t="str">
        <f t="shared" si="1"/>
        <v>approach,</v>
      </c>
      <c r="I2114" s="50"/>
      <c r="J2114" s="50" t="s">
        <v>4973</v>
      </c>
      <c r="K2114" s="50">
        <v>1899.0</v>
      </c>
      <c r="L2114" s="49"/>
      <c r="M2114" s="49"/>
      <c r="N2114" s="49"/>
      <c r="O2114" s="49"/>
      <c r="P2114" s="49" t="str">
        <f t="shared" si="2"/>
        <v>santa,</v>
      </c>
      <c r="Q2114" s="49"/>
      <c r="R2114" s="50" t="s">
        <v>2168</v>
      </c>
      <c r="S2114" s="55" t="s">
        <v>3143</v>
      </c>
      <c r="T2114" s="49"/>
      <c r="U2114" s="49"/>
      <c r="V2114" s="49"/>
      <c r="W2114" s="49"/>
      <c r="X2114" s="49" t="str">
        <f t="shared" si="3"/>
        <v>ourselves,</v>
      </c>
      <c r="Y2114" s="49"/>
      <c r="Z2114" s="1" t="s">
        <v>1769</v>
      </c>
      <c r="AA2114" s="1" t="s">
        <v>5325</v>
      </c>
      <c r="AB2114" s="49"/>
      <c r="AC2114" s="49"/>
      <c r="AD2114" s="49"/>
      <c r="AE2114" s="49"/>
      <c r="AF2114" s="49" t="str">
        <f t="shared" si="4"/>
        <v>serves,</v>
      </c>
      <c r="AG2114" s="49"/>
      <c r="AH2114" s="1" t="s">
        <v>6347</v>
      </c>
      <c r="AI2114" s="1">
        <v>110.0</v>
      </c>
      <c r="AJ2114" s="6" t="str">
        <f>IFERROR(__xludf.DUMMYFUNCTION("""COMPUTED_VALUE"""),"carved")</f>
        <v>carved</v>
      </c>
      <c r="AK2114" s="49"/>
      <c r="AL2114" s="49"/>
      <c r="AM2114" s="49"/>
      <c r="AN2114" s="52" t="str">
        <f t="shared" si="5"/>
        <v>waiting,</v>
      </c>
    </row>
    <row r="2115">
      <c r="A2115" s="51"/>
      <c r="B2115" s="50" t="s">
        <v>3031</v>
      </c>
      <c r="C2115" s="50" t="s">
        <v>3263</v>
      </c>
      <c r="D2115" s="49" t="str">
        <f>IFERROR(__xludf.DUMMYFUNCTION("""COMPUTED_VALUE"""),"thousand")</f>
        <v>thousand</v>
      </c>
      <c r="E2115" s="49"/>
      <c r="F2115" s="49"/>
      <c r="G2115" s="49"/>
      <c r="H2115" s="54" t="str">
        <f t="shared" si="1"/>
        <v>treat,</v>
      </c>
      <c r="I2115" s="50"/>
      <c r="J2115" s="50" t="s">
        <v>1781</v>
      </c>
      <c r="K2115" s="50" t="s">
        <v>1341</v>
      </c>
      <c r="L2115" s="49"/>
      <c r="M2115" s="49"/>
      <c r="N2115" s="49"/>
      <c r="O2115" s="49"/>
      <c r="P2115" s="49" t="str">
        <f t="shared" si="2"/>
        <v>diversion,</v>
      </c>
      <c r="Q2115" s="49"/>
      <c r="R2115" s="50" t="s">
        <v>6381</v>
      </c>
      <c r="S2115" s="55" t="s">
        <v>1948</v>
      </c>
      <c r="T2115" s="49"/>
      <c r="U2115" s="49"/>
      <c r="V2115" s="49"/>
      <c r="W2115" s="49"/>
      <c r="X2115" s="49" t="str">
        <f t="shared" si="3"/>
        <v>outstanding,</v>
      </c>
      <c r="Y2115" s="49"/>
      <c r="Z2115" s="1" t="s">
        <v>3138</v>
      </c>
      <c r="AA2115" s="1" t="s">
        <v>1641</v>
      </c>
      <c r="AB2115" s="49"/>
      <c r="AC2115" s="49"/>
      <c r="AD2115" s="49"/>
      <c r="AE2115" s="49"/>
      <c r="AF2115" s="49" t="str">
        <f t="shared" si="4"/>
        <v>guaranteed,</v>
      </c>
      <c r="AG2115" s="49"/>
      <c r="AH2115" s="1" t="s">
        <v>3799</v>
      </c>
      <c r="AI2115" s="1" t="s">
        <v>4609</v>
      </c>
      <c r="AJ2115" s="6" t="str">
        <f>IFERROR(__xludf.DUMMYFUNCTION("""COMPUTED_VALUE"""),"criminal")</f>
        <v>criminal</v>
      </c>
      <c r="AK2115" s="49"/>
      <c r="AL2115" s="49"/>
      <c r="AM2115" s="49"/>
      <c r="AN2115" s="52" t="str">
        <f t="shared" si="5"/>
        <v>supporting,</v>
      </c>
    </row>
    <row r="2116">
      <c r="A2116" s="51"/>
      <c r="B2116" s="50" t="s">
        <v>1790</v>
      </c>
      <c r="C2116" s="50" t="s">
        <v>1175</v>
      </c>
      <c r="D2116" s="49" t="str">
        <f>IFERROR(__xludf.DUMMYFUNCTION("""COMPUTED_VALUE"""),"reign")</f>
        <v>reign</v>
      </c>
      <c r="E2116" s="49"/>
      <c r="F2116" s="49"/>
      <c r="G2116" s="49"/>
      <c r="H2116" s="54" t="str">
        <f t="shared" si="1"/>
        <v>song,</v>
      </c>
      <c r="I2116" s="50"/>
      <c r="J2116" s="50" t="s">
        <v>1848</v>
      </c>
      <c r="K2116" s="50" t="s">
        <v>1346</v>
      </c>
      <c r="L2116" s="49"/>
      <c r="M2116" s="49"/>
      <c r="N2116" s="49"/>
      <c r="O2116" s="49"/>
      <c r="P2116" s="49" t="str">
        <f t="shared" si="2"/>
        <v>clause,</v>
      </c>
      <c r="Q2116" s="49"/>
      <c r="R2116" s="50" t="s">
        <v>5526</v>
      </c>
      <c r="S2116" s="55" t="s">
        <v>1953</v>
      </c>
      <c r="T2116" s="49"/>
      <c r="U2116" s="49"/>
      <c r="V2116" s="49"/>
      <c r="W2116" s="49"/>
      <c r="X2116" s="49" t="str">
        <f t="shared" si="3"/>
        <v>maid,</v>
      </c>
      <c r="Y2116" s="49"/>
      <c r="Z2116" s="1" t="s">
        <v>3331</v>
      </c>
      <c r="AA2116" s="1" t="s">
        <v>5328</v>
      </c>
      <c r="AB2116" s="49"/>
      <c r="AC2116" s="49"/>
      <c r="AD2116" s="49"/>
      <c r="AE2116" s="49"/>
      <c r="AF2116" s="49" t="str">
        <f t="shared" si="4"/>
        <v>china,</v>
      </c>
      <c r="AG2116" s="49"/>
      <c r="AH2116" s="1" t="s">
        <v>2807</v>
      </c>
      <c r="AI2116" s="1" t="s">
        <v>3648</v>
      </c>
      <c r="AJ2116" s="6" t="str">
        <f>IFERROR(__xludf.DUMMYFUNCTION("""COMPUTED_VALUE"""),"flowers")</f>
        <v>flowers</v>
      </c>
      <c r="AK2116" s="49"/>
      <c r="AL2116" s="49"/>
      <c r="AM2116" s="49"/>
      <c r="AN2116" s="52" t="str">
        <f t="shared" si="5"/>
        <v>constant,</v>
      </c>
    </row>
    <row r="2117">
      <c r="A2117" s="51"/>
      <c r="B2117" s="50" t="s">
        <v>5346</v>
      </c>
      <c r="C2117" s="50" t="s">
        <v>6597</v>
      </c>
      <c r="D2117" s="49" t="str">
        <f>IFERROR(__xludf.DUMMYFUNCTION("""COMPUTED_VALUE"""),"dragons")</f>
        <v>dragons</v>
      </c>
      <c r="E2117" s="49"/>
      <c r="F2117" s="49"/>
      <c r="G2117" s="49"/>
      <c r="H2117" s="54" t="str">
        <f t="shared" si="1"/>
        <v>perform,</v>
      </c>
      <c r="I2117" s="50"/>
      <c r="J2117" s="50" t="s">
        <v>6462</v>
      </c>
      <c r="K2117" s="50" t="s">
        <v>3715</v>
      </c>
      <c r="L2117" s="49"/>
      <c r="M2117" s="49"/>
      <c r="N2117" s="49"/>
      <c r="O2117" s="49"/>
      <c r="P2117" s="49" t="str">
        <f t="shared" si="2"/>
        <v>environment,</v>
      </c>
      <c r="Q2117" s="49"/>
      <c r="R2117" s="50" t="s">
        <v>3717</v>
      </c>
      <c r="S2117" s="55" t="s">
        <v>4528</v>
      </c>
      <c r="T2117" s="49"/>
      <c r="U2117" s="49"/>
      <c r="V2117" s="49"/>
      <c r="W2117" s="49"/>
      <c r="X2117" s="49" t="str">
        <f t="shared" si="3"/>
        <v>marquis,</v>
      </c>
      <c r="Y2117" s="49"/>
      <c r="Z2117" s="1" t="s">
        <v>1857</v>
      </c>
      <c r="AA2117" s="1" t="s">
        <v>1647</v>
      </c>
      <c r="AB2117" s="49"/>
      <c r="AC2117" s="49"/>
      <c r="AD2117" s="49"/>
      <c r="AE2117" s="49"/>
      <c r="AF2117" s="49" t="str">
        <f t="shared" si="4"/>
        <v>chinese,</v>
      </c>
      <c r="AG2117" s="49"/>
      <c r="AH2117" s="1" t="s">
        <v>4219</v>
      </c>
      <c r="AI2117" s="1" t="s">
        <v>6640</v>
      </c>
      <c r="AJ2117" s="6" t="str">
        <f>IFERROR(__xludf.DUMMYFUNCTION("""COMPUTED_VALUE"""),"column")</f>
        <v>column</v>
      </c>
      <c r="AK2117" s="49"/>
      <c r="AL2117" s="49"/>
      <c r="AM2117" s="49"/>
      <c r="AN2117" s="52" t="str">
        <f t="shared" si="5"/>
        <v>relegated,</v>
      </c>
    </row>
    <row r="2118">
      <c r="A2118" s="51"/>
      <c r="B2118" s="50" t="s">
        <v>7515</v>
      </c>
      <c r="C2118" s="50" t="s">
        <v>4435</v>
      </c>
      <c r="D2118" s="49" t="str">
        <f>IFERROR(__xludf.DUMMYFUNCTION("""COMPUTED_VALUE"""),"disappointed")</f>
        <v>disappointed</v>
      </c>
      <c r="E2118" s="49"/>
      <c r="F2118" s="49"/>
      <c r="G2118" s="49"/>
      <c r="H2118" s="54" t="str">
        <f t="shared" si="1"/>
        <v>patrol,</v>
      </c>
      <c r="I2118" s="50"/>
      <c r="J2118" s="50" t="s">
        <v>3149</v>
      </c>
      <c r="K2118" s="50" t="s">
        <v>1352</v>
      </c>
      <c r="L2118" s="49"/>
      <c r="M2118" s="49"/>
      <c r="N2118" s="49"/>
      <c r="O2118" s="49"/>
      <c r="P2118" s="49" t="str">
        <f t="shared" si="2"/>
        <v>toss,</v>
      </c>
      <c r="Q2118" s="49"/>
      <c r="R2118" s="50" t="s">
        <v>2507</v>
      </c>
      <c r="S2118" s="55" t="s">
        <v>1959</v>
      </c>
      <c r="T2118" s="49"/>
      <c r="U2118" s="49"/>
      <c r="V2118" s="49"/>
      <c r="W2118" s="49"/>
      <c r="X2118" s="49" t="str">
        <f t="shared" si="3"/>
        <v>process,</v>
      </c>
      <c r="Y2118" s="49"/>
      <c r="Z2118" s="1" t="s">
        <v>166</v>
      </c>
      <c r="AA2118" s="1" t="s">
        <v>2491</v>
      </c>
      <c r="AB2118" s="49"/>
      <c r="AC2118" s="49"/>
      <c r="AD2118" s="49"/>
      <c r="AE2118" s="49"/>
      <c r="AF2118" s="49" t="str">
        <f t="shared" si="4"/>
        <v>eastwood,</v>
      </c>
      <c r="AG2118" s="49"/>
      <c r="AH2118" s="1" t="s">
        <v>2565</v>
      </c>
      <c r="AI2118" s="1" t="s">
        <v>5153</v>
      </c>
      <c r="AJ2118" s="6" t="str">
        <f>IFERROR(__xludf.DUMMYFUNCTION("""COMPUTED_VALUE"""),"conclusion")</f>
        <v>conclusion</v>
      </c>
      <c r="AK2118" s="49"/>
      <c r="AL2118" s="49"/>
      <c r="AM2118" s="49"/>
      <c r="AN2118" s="52" t="str">
        <f t="shared" si="5"/>
        <v>german,</v>
      </c>
    </row>
    <row r="2119">
      <c r="A2119" s="51"/>
      <c r="B2119" s="50" t="s">
        <v>3564</v>
      </c>
      <c r="C2119" s="50" t="s">
        <v>1576</v>
      </c>
      <c r="D2119" s="49" t="str">
        <f>IFERROR(__xludf.DUMMYFUNCTION("""COMPUTED_VALUE"""),"models")</f>
        <v>models</v>
      </c>
      <c r="E2119" s="49"/>
      <c r="F2119" s="49"/>
      <c r="G2119" s="49"/>
      <c r="H2119" s="54" t="str">
        <f t="shared" si="1"/>
        <v>develop,</v>
      </c>
      <c r="I2119" s="50"/>
      <c r="J2119" s="50" t="s">
        <v>5396</v>
      </c>
      <c r="K2119" s="50" t="s">
        <v>5331</v>
      </c>
      <c r="L2119" s="49"/>
      <c r="M2119" s="49"/>
      <c r="N2119" s="49"/>
      <c r="O2119" s="49"/>
      <c r="P2119" s="49" t="str">
        <f t="shared" si="2"/>
        <v>shudder,</v>
      </c>
      <c r="Q2119" s="49"/>
      <c r="R2119" s="50" t="s">
        <v>7516</v>
      </c>
      <c r="S2119" s="55" t="s">
        <v>1231</v>
      </c>
      <c r="T2119" s="49"/>
      <c r="U2119" s="49"/>
      <c r="V2119" s="49"/>
      <c r="W2119" s="49"/>
      <c r="X2119" s="49" t="str">
        <f t="shared" si="3"/>
        <v>shen,</v>
      </c>
      <c r="Y2119" s="49"/>
      <c r="Z2119" s="1" t="s">
        <v>3747</v>
      </c>
      <c r="AA2119" s="1" t="s">
        <v>2495</v>
      </c>
      <c r="AB2119" s="49"/>
      <c r="AC2119" s="49"/>
      <c r="AD2119" s="49"/>
      <c r="AE2119" s="49"/>
      <c r="AF2119" s="49" t="str">
        <f t="shared" si="4"/>
        <v>improved,</v>
      </c>
      <c r="AG2119" s="49"/>
      <c r="AH2119" s="1" t="s">
        <v>6471</v>
      </c>
      <c r="AI2119" s="1" t="s">
        <v>5155</v>
      </c>
      <c r="AJ2119" s="6" t="str">
        <f>IFERROR(__xludf.DUMMYFUNCTION("""COMPUTED_VALUE"""),"arrive")</f>
        <v>arrive</v>
      </c>
      <c r="AK2119" s="49"/>
      <c r="AL2119" s="49"/>
      <c r="AM2119" s="49"/>
      <c r="AN2119" s="52" t="str">
        <f t="shared" si="5"/>
        <v>jewish,</v>
      </c>
    </row>
    <row r="2120">
      <c r="A2120" s="51"/>
      <c r="B2120" s="50" t="s">
        <v>2243</v>
      </c>
      <c r="C2120" s="50" t="s">
        <v>5139</v>
      </c>
      <c r="D2120" s="49" t="str">
        <f>IFERROR(__xludf.DUMMYFUNCTION("""COMPUTED_VALUE"""),"shoulder")</f>
        <v>shoulder</v>
      </c>
      <c r="E2120" s="49"/>
      <c r="F2120" s="49"/>
      <c r="G2120" s="49"/>
      <c r="H2120" s="54" t="str">
        <f t="shared" si="1"/>
        <v>intense,</v>
      </c>
      <c r="I2120" s="50"/>
      <c r="J2120" s="50" t="s">
        <v>3263</v>
      </c>
      <c r="K2120" s="50" t="s">
        <v>5334</v>
      </c>
      <c r="L2120" s="49"/>
      <c r="M2120" s="49"/>
      <c r="N2120" s="49"/>
      <c r="O2120" s="49"/>
      <c r="P2120" s="49" t="str">
        <f t="shared" si="2"/>
        <v>mature,</v>
      </c>
      <c r="Q2120" s="49"/>
      <c r="R2120" s="50" t="s">
        <v>5408</v>
      </c>
      <c r="S2120" s="55" t="s">
        <v>5190</v>
      </c>
      <c r="T2120" s="49"/>
      <c r="U2120" s="49"/>
      <c r="V2120" s="49"/>
      <c r="W2120" s="49"/>
      <c r="X2120" s="49" t="str">
        <f t="shared" si="3"/>
        <v>presenting,</v>
      </c>
      <c r="Y2120" s="49"/>
      <c r="Z2120" s="1" t="s">
        <v>3693</v>
      </c>
      <c r="AA2120" s="1" t="s">
        <v>5332</v>
      </c>
      <c r="AB2120" s="49"/>
      <c r="AC2120" s="49"/>
      <c r="AD2120" s="49"/>
      <c r="AE2120" s="49"/>
      <c r="AF2120" s="49" t="str">
        <f t="shared" si="4"/>
        <v>factor,</v>
      </c>
      <c r="AG2120" s="49"/>
      <c r="AH2120" s="1" t="s">
        <v>6906</v>
      </c>
      <c r="AI2120" s="1" t="s">
        <v>4623</v>
      </c>
      <c r="AJ2120" s="6" t="str">
        <f>IFERROR(__xludf.DUMMYFUNCTION("""COMPUTED_VALUE"""),"championship")</f>
        <v>championship</v>
      </c>
      <c r="AK2120" s="49"/>
      <c r="AL2120" s="49"/>
      <c r="AM2120" s="49"/>
      <c r="AN2120" s="52" t="str">
        <f t="shared" si="5"/>
        <v>residents,</v>
      </c>
    </row>
    <row r="2121">
      <c r="A2121" s="51"/>
      <c r="B2121" s="50" t="s">
        <v>5686</v>
      </c>
      <c r="C2121" s="50" t="s">
        <v>5137</v>
      </c>
      <c r="D2121" s="49" t="str">
        <f>IFERROR(__xludf.DUMMYFUNCTION("""COMPUTED_VALUE"""),"wearing")</f>
        <v>wearing</v>
      </c>
      <c r="E2121" s="49"/>
      <c r="F2121" s="49"/>
      <c r="G2121" s="49"/>
      <c r="H2121" s="54" t="str">
        <f t="shared" si="1"/>
        <v>jessica,</v>
      </c>
      <c r="I2121" s="50"/>
      <c r="J2121" s="50" t="s">
        <v>4897</v>
      </c>
      <c r="K2121" s="50" t="s">
        <v>3280</v>
      </c>
      <c r="L2121" s="49"/>
      <c r="M2121" s="49"/>
      <c r="N2121" s="49"/>
      <c r="O2121" s="49"/>
      <c r="P2121" s="49" t="str">
        <f t="shared" si="2"/>
        <v>raised,</v>
      </c>
      <c r="Q2121" s="49"/>
      <c r="R2121" s="50" t="s">
        <v>3870</v>
      </c>
      <c r="S2121" s="55" t="s">
        <v>3153</v>
      </c>
      <c r="T2121" s="49"/>
      <c r="U2121" s="49"/>
      <c r="V2121" s="49"/>
      <c r="W2121" s="49"/>
      <c r="X2121" s="49" t="str">
        <f t="shared" si="3"/>
        <v>pink,</v>
      </c>
      <c r="Y2121" s="49"/>
      <c r="Z2121" s="1" t="s">
        <v>3728</v>
      </c>
      <c r="AA2121" s="1" t="s">
        <v>4296</v>
      </c>
      <c r="AB2121" s="49"/>
      <c r="AC2121" s="49"/>
      <c r="AD2121" s="49"/>
      <c r="AE2121" s="49"/>
      <c r="AF2121" s="49" t="str">
        <f t="shared" si="4"/>
        <v>anderson,</v>
      </c>
      <c r="AG2121" s="49"/>
      <c r="AH2121" s="1" t="s">
        <v>5095</v>
      </c>
      <c r="AI2121" s="1" t="s">
        <v>3539</v>
      </c>
      <c r="AJ2121" s="6" t="str">
        <f>IFERROR(__xludf.DUMMYFUNCTION("""COMPUTED_VALUE"""),"wrestling")</f>
        <v>wrestling</v>
      </c>
      <c r="AK2121" s="49"/>
      <c r="AL2121" s="49"/>
      <c r="AM2121" s="49"/>
      <c r="AN2121" s="52" t="str">
        <f t="shared" si="5"/>
        <v>jews,</v>
      </c>
    </row>
    <row r="2122">
      <c r="A2122" s="51"/>
      <c r="B2122" s="50" t="s">
        <v>4020</v>
      </c>
      <c r="C2122" s="50" t="s">
        <v>947</v>
      </c>
      <c r="D2122" s="49" t="str">
        <f>IFERROR(__xludf.DUMMYFUNCTION("""COMPUTED_VALUE"""),"bag")</f>
        <v>bag</v>
      </c>
      <c r="E2122" s="49"/>
      <c r="F2122" s="49"/>
      <c r="G2122" s="49"/>
      <c r="H2122" s="54" t="str">
        <f t="shared" si="1"/>
        <v>prefer,</v>
      </c>
      <c r="I2122" s="50"/>
      <c r="J2122" s="50" t="s">
        <v>842</v>
      </c>
      <c r="K2122" s="50" t="s">
        <v>4666</v>
      </c>
      <c r="L2122" s="49"/>
      <c r="M2122" s="49"/>
      <c r="N2122" s="49"/>
      <c r="O2122" s="49"/>
      <c r="P2122" s="49" t="str">
        <f t="shared" si="2"/>
        <v>smarter,</v>
      </c>
      <c r="Q2122" s="49"/>
      <c r="R2122" s="50" t="s">
        <v>898</v>
      </c>
      <c r="S2122" s="55" t="s">
        <v>1236</v>
      </c>
      <c r="T2122" s="49"/>
      <c r="U2122" s="49"/>
      <c r="V2122" s="49"/>
      <c r="W2122" s="49"/>
      <c r="X2122" s="49" t="str">
        <f t="shared" si="3"/>
        <v>monstrous,</v>
      </c>
      <c r="Y2122" s="49"/>
      <c r="Z2122" s="1" t="s">
        <v>969</v>
      </c>
      <c r="AA2122" s="1" t="s">
        <v>1384</v>
      </c>
      <c r="AB2122" s="49"/>
      <c r="AC2122" s="49"/>
      <c r="AD2122" s="49"/>
      <c r="AE2122" s="49"/>
      <c r="AF2122" s="49" t="str">
        <f t="shared" si="4"/>
        <v>flesh,</v>
      </c>
      <c r="AG2122" s="49"/>
      <c r="AH2122" s="1" t="s">
        <v>6887</v>
      </c>
      <c r="AI2122" s="1" t="s">
        <v>6649</v>
      </c>
      <c r="AJ2122" s="6" t="str">
        <f>IFERROR(__xludf.DUMMYFUNCTION("""COMPUTED_VALUE"""),"straight")</f>
        <v>straight</v>
      </c>
      <c r="AK2122" s="49"/>
      <c r="AL2122" s="49"/>
      <c r="AM2122" s="49"/>
      <c r="AN2122" s="52" t="str">
        <f t="shared" si="5"/>
        <v>cafe,</v>
      </c>
    </row>
    <row r="2123">
      <c r="A2123" s="51"/>
      <c r="B2123" s="50" t="s">
        <v>7367</v>
      </c>
      <c r="C2123" s="50" t="s">
        <v>2983</v>
      </c>
      <c r="D2123" s="49" t="str">
        <f>IFERROR(__xludf.DUMMYFUNCTION("""COMPUTED_VALUE"""),"carrying")</f>
        <v>carrying</v>
      </c>
      <c r="E2123" s="49"/>
      <c r="F2123" s="49"/>
      <c r="G2123" s="49"/>
      <c r="H2123" s="54" t="str">
        <f t="shared" si="1"/>
        <v>ass,</v>
      </c>
      <c r="I2123" s="50"/>
      <c r="J2123" s="50" t="s">
        <v>3563</v>
      </c>
      <c r="K2123" s="50" t="s">
        <v>2057</v>
      </c>
      <c r="L2123" s="49"/>
      <c r="M2123" s="49"/>
      <c r="N2123" s="49"/>
      <c r="O2123" s="49"/>
      <c r="P2123" s="49" t="str">
        <f t="shared" si="2"/>
        <v>rumor,</v>
      </c>
      <c r="Q2123" s="49"/>
      <c r="R2123" s="50" t="s">
        <v>3631</v>
      </c>
      <c r="S2123" s="55" t="s">
        <v>2396</v>
      </c>
      <c r="T2123" s="49"/>
      <c r="U2123" s="49"/>
      <c r="V2123" s="49"/>
      <c r="W2123" s="49"/>
      <c r="X2123" s="49" t="str">
        <f t="shared" si="3"/>
        <v>clown,</v>
      </c>
      <c r="Y2123" s="49"/>
      <c r="Z2123" s="1" t="s">
        <v>503</v>
      </c>
      <c r="AA2123" s="1" t="s">
        <v>2499</v>
      </c>
      <c r="AB2123" s="49"/>
      <c r="AC2123" s="49"/>
      <c r="AD2123" s="49"/>
      <c r="AE2123" s="49"/>
      <c r="AF2123" s="49" t="str">
        <f t="shared" si="4"/>
        <v>drown,</v>
      </c>
      <c r="AG2123" s="49"/>
      <c r="AH2123" s="1" t="s">
        <v>1541</v>
      </c>
      <c r="AI2123" s="1" t="s">
        <v>5554</v>
      </c>
      <c r="AJ2123" s="6" t="str">
        <f>IFERROR(__xludf.DUMMYFUNCTION("""COMPUTED_VALUE"""),"anywhere")</f>
        <v>anywhere</v>
      </c>
      <c r="AK2123" s="49"/>
      <c r="AL2123" s="49"/>
      <c r="AM2123" s="49"/>
      <c r="AN2123" s="52" t="str">
        <f t="shared" si="5"/>
        <v>single,</v>
      </c>
    </row>
    <row r="2124">
      <c r="A2124" s="51"/>
      <c r="B2124" s="50" t="s">
        <v>3196</v>
      </c>
      <c r="C2124" s="50" t="s">
        <v>3397</v>
      </c>
      <c r="D2124" s="49" t="str">
        <f>IFERROR(__xludf.DUMMYFUNCTION("""COMPUTED_VALUE"""),"grin")</f>
        <v>grin</v>
      </c>
      <c r="E2124" s="49"/>
      <c r="F2124" s="49"/>
      <c r="G2124" s="49"/>
      <c r="H2124" s="54" t="str">
        <f t="shared" si="1"/>
        <v>stewart,</v>
      </c>
      <c r="I2124" s="50"/>
      <c r="J2124" s="50" t="s">
        <v>329</v>
      </c>
      <c r="K2124" s="50" t="s">
        <v>1356</v>
      </c>
      <c r="L2124" s="49"/>
      <c r="M2124" s="49"/>
      <c r="N2124" s="49"/>
      <c r="O2124" s="49"/>
      <c r="P2124" s="49" t="str">
        <f t="shared" si="2"/>
        <v>fiercely,</v>
      </c>
      <c r="Q2124" s="49"/>
      <c r="R2124" s="50" t="s">
        <v>1499</v>
      </c>
      <c r="S2124" s="55" t="s">
        <v>656</v>
      </c>
      <c r="T2124" s="49"/>
      <c r="U2124" s="49"/>
      <c r="V2124" s="49"/>
      <c r="W2124" s="49"/>
      <c r="X2124" s="49" t="str">
        <f t="shared" si="3"/>
        <v>received,</v>
      </c>
      <c r="Y2124" s="49"/>
      <c r="Z2124" s="1" t="s">
        <v>707</v>
      </c>
      <c r="AA2124" s="1" t="s">
        <v>2501</v>
      </c>
      <c r="AB2124" s="49"/>
      <c r="AC2124" s="49"/>
      <c r="AD2124" s="49"/>
      <c r="AE2124" s="49"/>
      <c r="AF2124" s="49" t="str">
        <f t="shared" si="4"/>
        <v>collapses,</v>
      </c>
      <c r="AG2124" s="49"/>
      <c r="AH2124" s="1" t="s">
        <v>7345</v>
      </c>
      <c r="AI2124" s="1" t="s">
        <v>1930</v>
      </c>
      <c r="AJ2124" s="6" t="str">
        <f>IFERROR(__xludf.DUMMYFUNCTION("""COMPUTED_VALUE"""),"sweat")</f>
        <v>sweat</v>
      </c>
      <c r="AK2124" s="49"/>
      <c r="AL2124" s="49"/>
      <c r="AM2124" s="49"/>
      <c r="AN2124" s="52" t="str">
        <f t="shared" si="5"/>
        <v>jazz,</v>
      </c>
    </row>
    <row r="2125">
      <c r="A2125" s="51"/>
      <c r="B2125" s="50" t="s">
        <v>7517</v>
      </c>
      <c r="C2125" s="50" t="s">
        <v>6610</v>
      </c>
      <c r="D2125" s="49" t="str">
        <f>IFERROR(__xludf.DUMMYFUNCTION("""COMPUTED_VALUE"""),"managed")</f>
        <v>managed</v>
      </c>
      <c r="E2125" s="49"/>
      <c r="F2125" s="49"/>
      <c r="G2125" s="49"/>
      <c r="H2125" s="54" t="str">
        <f t="shared" si="1"/>
        <v>julian,</v>
      </c>
      <c r="I2125" s="50"/>
      <c r="J2125" s="50" t="s">
        <v>5241</v>
      </c>
      <c r="K2125" s="50" t="s">
        <v>3288</v>
      </c>
      <c r="L2125" s="49"/>
      <c r="M2125" s="49"/>
      <c r="N2125" s="49"/>
      <c r="O2125" s="49"/>
      <c r="P2125" s="49" t="str">
        <f t="shared" si="2"/>
        <v>smack,</v>
      </c>
      <c r="Q2125" s="49"/>
      <c r="R2125" s="50" t="s">
        <v>5116</v>
      </c>
      <c r="S2125" s="55" t="s">
        <v>3573</v>
      </c>
      <c r="T2125" s="49"/>
      <c r="U2125" s="49"/>
      <c r="V2125" s="49"/>
      <c r="W2125" s="49"/>
      <c r="X2125" s="49" t="str">
        <f t="shared" si="3"/>
        <v>pressed,</v>
      </c>
      <c r="Y2125" s="49"/>
      <c r="Z2125" s="1" t="s">
        <v>509</v>
      </c>
      <c r="AA2125" s="1" t="s">
        <v>4304</v>
      </c>
      <c r="AB2125" s="49"/>
      <c r="AC2125" s="49"/>
      <c r="AD2125" s="49"/>
      <c r="AE2125" s="49"/>
      <c r="AF2125" s="49" t="str">
        <f t="shared" si="4"/>
        <v>smile,</v>
      </c>
      <c r="AG2125" s="49"/>
      <c r="AH2125" s="1" t="s">
        <v>1580</v>
      </c>
      <c r="AI2125" s="1" t="s">
        <v>4069</v>
      </c>
      <c r="AJ2125" s="6" t="str">
        <f>IFERROR(__xludf.DUMMYFUNCTION("""COMPUTED_VALUE"""),"pain")</f>
        <v>pain</v>
      </c>
      <c r="AK2125" s="49"/>
      <c r="AL2125" s="49"/>
      <c r="AM2125" s="49"/>
      <c r="AN2125" s="52" t="str">
        <f t="shared" si="5"/>
        <v>interviews,</v>
      </c>
    </row>
    <row r="2126">
      <c r="A2126" s="51"/>
      <c r="B2126" s="50" t="s">
        <v>3450</v>
      </c>
      <c r="C2126" s="50" t="s">
        <v>6611</v>
      </c>
      <c r="D2126" s="49" t="str">
        <f>IFERROR(__xludf.DUMMYFUNCTION("""COMPUTED_VALUE"""),"marry")</f>
        <v>marry</v>
      </c>
      <c r="E2126" s="49"/>
      <c r="F2126" s="49"/>
      <c r="G2126" s="49"/>
      <c r="H2126" s="54" t="str">
        <f t="shared" si="1"/>
        <v>bid,</v>
      </c>
      <c r="I2126" s="50"/>
      <c r="J2126" s="50" t="s">
        <v>3525</v>
      </c>
      <c r="K2126" s="50" t="s">
        <v>3722</v>
      </c>
      <c r="L2126" s="49"/>
      <c r="M2126" s="49"/>
      <c r="N2126" s="49"/>
      <c r="O2126" s="49"/>
      <c r="P2126" s="49" t="str">
        <f t="shared" si="2"/>
        <v>crack,</v>
      </c>
      <c r="Q2126" s="49"/>
      <c r="R2126" s="50" t="s">
        <v>4331</v>
      </c>
      <c r="S2126" s="55" t="s">
        <v>981</v>
      </c>
      <c r="T2126" s="49"/>
      <c r="U2126" s="49"/>
      <c r="V2126" s="49"/>
      <c r="W2126" s="49"/>
      <c r="X2126" s="49" t="str">
        <f t="shared" si="3"/>
        <v>forcing,</v>
      </c>
      <c r="Y2126" s="49"/>
      <c r="Z2126" s="1" t="s">
        <v>1069</v>
      </c>
      <c r="AA2126" s="1" t="s">
        <v>1390</v>
      </c>
      <c r="AB2126" s="49"/>
      <c r="AC2126" s="49"/>
      <c r="AD2126" s="49"/>
      <c r="AE2126" s="49"/>
      <c r="AF2126" s="49" t="str">
        <f t="shared" si="4"/>
        <v>exposition,</v>
      </c>
      <c r="AG2126" s="49"/>
      <c r="AH2126" s="1" t="s">
        <v>2163</v>
      </c>
      <c r="AI2126" s="1" t="s">
        <v>5163</v>
      </c>
      <c r="AJ2126" s="6" t="str">
        <f>IFERROR(__xludf.DUMMYFUNCTION("""COMPUTED_VALUE"""),"faces")</f>
        <v>faces</v>
      </c>
      <c r="AK2126" s="49"/>
      <c r="AL2126" s="49"/>
      <c r="AM2126" s="49"/>
      <c r="AN2126" s="52" t="str">
        <f t="shared" si="5"/>
        <v>blue,</v>
      </c>
    </row>
    <row r="2127">
      <c r="A2127" s="51"/>
      <c r="B2127" s="50" t="s">
        <v>7115</v>
      </c>
      <c r="C2127" s="50" t="s">
        <v>6650</v>
      </c>
      <c r="D2127" s="49" t="str">
        <f>IFERROR(__xludf.DUMMYFUNCTION("""COMPUTED_VALUE"""),"wang")</f>
        <v>wang</v>
      </c>
      <c r="E2127" s="49"/>
      <c r="F2127" s="49"/>
      <c r="G2127" s="49"/>
      <c r="H2127" s="54" t="str">
        <f t="shared" si="1"/>
        <v>dylan,</v>
      </c>
      <c r="I2127" s="50"/>
      <c r="J2127" s="50" t="s">
        <v>7020</v>
      </c>
      <c r="K2127" s="50" t="s">
        <v>4931</v>
      </c>
      <c r="L2127" s="49"/>
      <c r="M2127" s="49"/>
      <c r="N2127" s="49"/>
      <c r="O2127" s="49"/>
      <c r="P2127" s="49" t="str">
        <f t="shared" si="2"/>
        <v>reverse,</v>
      </c>
      <c r="Q2127" s="49"/>
      <c r="R2127" s="50" t="s">
        <v>2144</v>
      </c>
      <c r="S2127" s="55" t="s">
        <v>106</v>
      </c>
      <c r="T2127" s="49"/>
      <c r="U2127" s="49"/>
      <c r="V2127" s="49"/>
      <c r="W2127" s="49"/>
      <c r="X2127" s="49" t="str">
        <f t="shared" si="3"/>
        <v>nicely,</v>
      </c>
      <c r="Y2127" s="49"/>
      <c r="Z2127" s="1" t="s">
        <v>4533</v>
      </c>
      <c r="AA2127" s="1" t="s">
        <v>4618</v>
      </c>
      <c r="AB2127" s="49"/>
      <c r="AC2127" s="49"/>
      <c r="AD2127" s="49"/>
      <c r="AE2127" s="49"/>
      <c r="AF2127" s="49" t="str">
        <f t="shared" si="4"/>
        <v>rushed,</v>
      </c>
      <c r="AG2127" s="49"/>
      <c r="AH2127" s="1" t="s">
        <v>7005</v>
      </c>
      <c r="AI2127" s="1" t="s">
        <v>6643</v>
      </c>
      <c r="AJ2127" s="6" t="str">
        <f>IFERROR(__xludf.DUMMYFUNCTION("""COMPUTED_VALUE"""),"submarine")</f>
        <v>submarine</v>
      </c>
      <c r="AK2127" s="49"/>
      <c r="AL2127" s="49"/>
      <c r="AM2127" s="49"/>
      <c r="AN2127" s="52" t="str">
        <f t="shared" si="5"/>
        <v>hills,</v>
      </c>
    </row>
    <row r="2128">
      <c r="A2128" s="51"/>
      <c r="B2128" s="50" t="s">
        <v>5253</v>
      </c>
      <c r="C2128" s="50" t="s">
        <v>3830</v>
      </c>
      <c r="D2128" s="49" t="str">
        <f>IFERROR(__xludf.DUMMYFUNCTION("""COMPUTED_VALUE"""),"hands")</f>
        <v>hands</v>
      </c>
      <c r="E2128" s="49"/>
      <c r="F2128" s="49"/>
      <c r="G2128" s="49"/>
      <c r="H2128" s="54" t="str">
        <f t="shared" si="1"/>
        <v>breaks,</v>
      </c>
      <c r="I2128" s="50"/>
      <c r="J2128" s="50" t="s">
        <v>2371</v>
      </c>
      <c r="K2128" s="50" t="s">
        <v>3177</v>
      </c>
      <c r="L2128" s="49"/>
      <c r="M2128" s="49"/>
      <c r="N2128" s="49"/>
      <c r="O2128" s="49"/>
      <c r="P2128" s="49" t="str">
        <f t="shared" si="2"/>
        <v>discipline,</v>
      </c>
      <c r="Q2128" s="49"/>
      <c r="R2128" s="50" t="s">
        <v>1271</v>
      </c>
      <c r="S2128" s="55" t="s">
        <v>4668</v>
      </c>
      <c r="T2128" s="49"/>
      <c r="U2128" s="49"/>
      <c r="V2128" s="49"/>
      <c r="W2128" s="49"/>
      <c r="X2128" s="49" t="str">
        <f t="shared" si="3"/>
        <v>holm,</v>
      </c>
      <c r="Y2128" s="49"/>
      <c r="Z2128" s="1" t="s">
        <v>1716</v>
      </c>
      <c r="AA2128" s="1" t="s">
        <v>5338</v>
      </c>
      <c r="AB2128" s="49"/>
      <c r="AC2128" s="49"/>
      <c r="AD2128" s="49"/>
      <c r="AE2128" s="49"/>
      <c r="AF2128" s="49" t="str">
        <f t="shared" si="4"/>
        <v>held,</v>
      </c>
      <c r="AG2128" s="49"/>
      <c r="AH2128" s="1" t="s">
        <v>3296</v>
      </c>
      <c r="AI2128" s="1" t="s">
        <v>4295</v>
      </c>
      <c r="AJ2128" s="6" t="str">
        <f>IFERROR(__xludf.DUMMYFUNCTION("""COMPUTED_VALUE"""),"described")</f>
        <v>described</v>
      </c>
      <c r="AK2128" s="49"/>
      <c r="AL2128" s="49"/>
      <c r="AM2128" s="49"/>
      <c r="AN2128" s="52" t="str">
        <f t="shared" si="5"/>
        <v>paper,</v>
      </c>
    </row>
    <row r="2129">
      <c r="A2129" s="51"/>
      <c r="B2129" s="50" t="s">
        <v>5172</v>
      </c>
      <c r="C2129" s="50" t="s">
        <v>3168</v>
      </c>
      <c r="D2129" s="49">
        <f>IFERROR(__xludf.DUMMYFUNCTION("""COMPUTED_VALUE"""),24.0)</f>
        <v>24</v>
      </c>
      <c r="E2129" s="49"/>
      <c r="F2129" s="49"/>
      <c r="G2129" s="49"/>
      <c r="H2129" s="54" t="str">
        <f t="shared" si="1"/>
        <v>centered,</v>
      </c>
      <c r="I2129" s="50"/>
      <c r="J2129" s="50" t="s">
        <v>1566</v>
      </c>
      <c r="K2129" s="50" t="s">
        <v>3724</v>
      </c>
      <c r="L2129" s="49"/>
      <c r="M2129" s="49"/>
      <c r="N2129" s="49"/>
      <c r="O2129" s="49"/>
      <c r="P2129" s="49" t="str">
        <f t="shared" si="2"/>
        <v>scientists,</v>
      </c>
      <c r="Q2129" s="49"/>
      <c r="R2129" s="50" t="s">
        <v>2959</v>
      </c>
      <c r="S2129" s="55" t="s">
        <v>5200</v>
      </c>
      <c r="T2129" s="49"/>
      <c r="U2129" s="49"/>
      <c r="V2129" s="49"/>
      <c r="W2129" s="49"/>
      <c r="X2129" s="49" t="str">
        <f t="shared" si="3"/>
        <v>reminds,</v>
      </c>
      <c r="Y2129" s="49"/>
      <c r="Z2129" s="1" t="s">
        <v>274</v>
      </c>
      <c r="AA2129" s="1" t="s">
        <v>5339</v>
      </c>
      <c r="AB2129" s="49"/>
      <c r="AC2129" s="49"/>
      <c r="AD2129" s="49"/>
      <c r="AE2129" s="49"/>
      <c r="AF2129" s="49" t="str">
        <f t="shared" si="4"/>
        <v>undead,</v>
      </c>
      <c r="AG2129" s="49"/>
      <c r="AH2129" s="1" t="s">
        <v>5981</v>
      </c>
      <c r="AI2129" s="1" t="s">
        <v>6644</v>
      </c>
      <c r="AJ2129" s="6" t="str">
        <f>IFERROR(__xludf.DUMMYFUNCTION("""COMPUTED_VALUE"""),"spot")</f>
        <v>spot</v>
      </c>
      <c r="AK2129" s="49"/>
      <c r="AL2129" s="49"/>
      <c r="AM2129" s="49"/>
      <c r="AN2129" s="52" t="str">
        <f t="shared" si="5"/>
        <v>defined,</v>
      </c>
    </row>
    <row r="2130">
      <c r="A2130" s="51"/>
      <c r="B2130" s="50" t="s">
        <v>1016</v>
      </c>
      <c r="C2130" s="50" t="s">
        <v>1699</v>
      </c>
      <c r="D2130" s="49" t="str">
        <f>IFERROR(__xludf.DUMMYFUNCTION("""COMPUTED_VALUE"""),"decided")</f>
        <v>decided</v>
      </c>
      <c r="E2130" s="49"/>
      <c r="F2130" s="49"/>
      <c r="G2130" s="49"/>
      <c r="H2130" s="54" t="str">
        <f t="shared" si="1"/>
        <v>damned,</v>
      </c>
      <c r="I2130" s="50"/>
      <c r="J2130" s="50" t="s">
        <v>5973</v>
      </c>
      <c r="K2130" s="50" t="s">
        <v>3725</v>
      </c>
      <c r="L2130" s="49"/>
      <c r="M2130" s="49"/>
      <c r="N2130" s="49"/>
      <c r="O2130" s="49"/>
      <c r="P2130" s="49" t="str">
        <f t="shared" si="2"/>
        <v>reduce,</v>
      </c>
      <c r="Q2130" s="49"/>
      <c r="R2130" s="50" t="s">
        <v>2928</v>
      </c>
      <c r="S2130" s="55" t="s">
        <v>5203</v>
      </c>
      <c r="T2130" s="49"/>
      <c r="U2130" s="49"/>
      <c r="V2130" s="49"/>
      <c r="W2130" s="49"/>
      <c r="X2130" s="49" t="str">
        <f t="shared" si="3"/>
        <v>miracle,</v>
      </c>
      <c r="Y2130" s="49"/>
      <c r="Z2130" s="1" t="s">
        <v>2586</v>
      </c>
      <c r="AA2130" s="1" t="s">
        <v>1662</v>
      </c>
      <c r="AB2130" s="49"/>
      <c r="AC2130" s="49"/>
      <c r="AD2130" s="49"/>
      <c r="AE2130" s="49"/>
      <c r="AF2130" s="49" t="str">
        <f t="shared" si="4"/>
        <v>ian,</v>
      </c>
      <c r="AG2130" s="49"/>
      <c r="AH2130" s="1" t="s">
        <v>4929</v>
      </c>
      <c r="AI2130" s="1" t="s">
        <v>4473</v>
      </c>
      <c r="AJ2130" s="6" t="str">
        <f>IFERROR(__xludf.DUMMYFUNCTION("""COMPUTED_VALUE"""),"titled")</f>
        <v>titled</v>
      </c>
      <c r="AK2130" s="49"/>
      <c r="AL2130" s="49"/>
      <c r="AM2130" s="49"/>
      <c r="AN2130" s="52" t="str">
        <f t="shared" si="5"/>
        <v>drawing,</v>
      </c>
    </row>
    <row r="2131">
      <c r="A2131" s="51"/>
      <c r="B2131" s="50" t="s">
        <v>3034</v>
      </c>
      <c r="C2131" s="50" t="s">
        <v>6614</v>
      </c>
      <c r="D2131" s="49" t="str">
        <f>IFERROR(__xludf.DUMMYFUNCTION("""COMPUTED_VALUE"""),"throwing")</f>
        <v>throwing</v>
      </c>
      <c r="E2131" s="49"/>
      <c r="F2131" s="49"/>
      <c r="G2131" s="49"/>
      <c r="H2131" s="54" t="str">
        <f t="shared" si="1"/>
        <v>level,</v>
      </c>
      <c r="I2131" s="50"/>
      <c r="J2131" s="50" t="s">
        <v>2349</v>
      </c>
      <c r="K2131" s="50" t="s">
        <v>3874</v>
      </c>
      <c r="L2131" s="49"/>
      <c r="M2131" s="49"/>
      <c r="N2131" s="49"/>
      <c r="O2131" s="49"/>
      <c r="P2131" s="49" t="str">
        <f t="shared" si="2"/>
        <v>balance,</v>
      </c>
      <c r="Q2131" s="49"/>
      <c r="R2131" s="50" t="s">
        <v>1992</v>
      </c>
      <c r="S2131" s="55" t="s">
        <v>203</v>
      </c>
      <c r="T2131" s="49"/>
      <c r="U2131" s="49"/>
      <c r="V2131" s="49"/>
      <c r="W2131" s="49"/>
      <c r="X2131" s="49" t="str">
        <f t="shared" si="3"/>
        <v>fights,</v>
      </c>
      <c r="Y2131" s="49"/>
      <c r="Z2131" s="1" t="s">
        <v>3168</v>
      </c>
      <c r="AA2131" s="1" t="s">
        <v>695</v>
      </c>
      <c r="AB2131" s="49"/>
      <c r="AC2131" s="49"/>
      <c r="AD2131" s="49"/>
      <c r="AE2131" s="49"/>
      <c r="AF2131" s="49" t="str">
        <f t="shared" si="4"/>
        <v>older,</v>
      </c>
      <c r="AG2131" s="49"/>
      <c r="AH2131" s="1" t="s">
        <v>4705</v>
      </c>
      <c r="AI2131" s="1" t="s">
        <v>3123</v>
      </c>
      <c r="AJ2131" s="6" t="str">
        <f>IFERROR(__xludf.DUMMYFUNCTION("""COMPUTED_VALUE"""),"trained")</f>
        <v>trained</v>
      </c>
      <c r="AK2131" s="49"/>
      <c r="AL2131" s="49"/>
      <c r="AM2131" s="49"/>
      <c r="AN2131" s="52" t="str">
        <f t="shared" si="5"/>
        <v>invasion,</v>
      </c>
    </row>
    <row r="2132">
      <c r="A2132" s="51"/>
      <c r="B2132" s="50" t="s">
        <v>6543</v>
      </c>
      <c r="C2132" s="50" t="s">
        <v>2996</v>
      </c>
      <c r="D2132" s="49" t="str">
        <f>IFERROR(__xludf.DUMMYFUNCTION("""COMPUTED_VALUE"""),"records")</f>
        <v>records</v>
      </c>
      <c r="E2132" s="49"/>
      <c r="F2132" s="49"/>
      <c r="G2132" s="49"/>
      <c r="H2132" s="54" t="str">
        <f t="shared" si="1"/>
        <v>separate,</v>
      </c>
      <c r="I2132" s="50"/>
      <c r="J2132" s="50" t="s">
        <v>5394</v>
      </c>
      <c r="K2132" s="50" t="s">
        <v>1033</v>
      </c>
      <c r="L2132" s="49"/>
      <c r="M2132" s="49"/>
      <c r="N2132" s="49"/>
      <c r="O2132" s="49"/>
      <c r="P2132" s="49" t="str">
        <f t="shared" si="2"/>
        <v>confidence,</v>
      </c>
      <c r="Q2132" s="49"/>
      <c r="R2132" s="50" t="s">
        <v>1452</v>
      </c>
      <c r="S2132" s="55" t="s">
        <v>2031</v>
      </c>
      <c r="T2132" s="49"/>
      <c r="U2132" s="49"/>
      <c r="V2132" s="49"/>
      <c r="W2132" s="49"/>
      <c r="X2132" s="49" t="str">
        <f t="shared" si="3"/>
        <v>characteristic,</v>
      </c>
      <c r="Y2132" s="49"/>
      <c r="Z2132" s="1" t="s">
        <v>6642</v>
      </c>
      <c r="AA2132" s="1" t="s">
        <v>4316</v>
      </c>
      <c r="AB2132" s="49"/>
      <c r="AC2132" s="49"/>
      <c r="AD2132" s="49"/>
      <c r="AE2132" s="49"/>
      <c r="AF2132" s="49" t="str">
        <f t="shared" si="4"/>
        <v>clean,</v>
      </c>
      <c r="AG2132" s="49"/>
      <c r="AH2132" s="1" t="s">
        <v>6911</v>
      </c>
      <c r="AI2132" s="1" t="s">
        <v>6651</v>
      </c>
      <c r="AJ2132" s="6" t="str">
        <f>IFERROR(__xludf.DUMMYFUNCTION("""COMPUTED_VALUE"""),"loose")</f>
        <v>loose</v>
      </c>
      <c r="AK2132" s="49"/>
      <c r="AL2132" s="49"/>
      <c r="AM2132" s="49"/>
      <c r="AN2132" s="52" t="str">
        <f t="shared" si="5"/>
        <v>masters,</v>
      </c>
    </row>
    <row r="2133">
      <c r="A2133" s="51"/>
      <c r="B2133" s="50" t="s">
        <v>3610</v>
      </c>
      <c r="C2133" s="50" t="s">
        <v>6652</v>
      </c>
      <c r="D2133" s="49" t="str">
        <f>IFERROR(__xludf.DUMMYFUNCTION("""COMPUTED_VALUE"""),"span")</f>
        <v>span</v>
      </c>
      <c r="E2133" s="49"/>
      <c r="F2133" s="49"/>
      <c r="G2133" s="49"/>
      <c r="H2133" s="54" t="str">
        <f t="shared" si="1"/>
        <v>expecting,</v>
      </c>
      <c r="I2133" s="50"/>
      <c r="J2133" s="50" t="s">
        <v>6891</v>
      </c>
      <c r="K2133" s="50" t="s">
        <v>3727</v>
      </c>
      <c r="L2133" s="49"/>
      <c r="M2133" s="49"/>
      <c r="N2133" s="49"/>
      <c r="O2133" s="49"/>
      <c r="P2133" s="49" t="str">
        <f t="shared" si="2"/>
        <v>dust,</v>
      </c>
      <c r="Q2133" s="49"/>
      <c r="R2133" s="50" t="s">
        <v>106</v>
      </c>
      <c r="S2133" s="55" t="s">
        <v>4670</v>
      </c>
      <c r="T2133" s="49"/>
      <c r="U2133" s="49"/>
      <c r="V2133" s="49"/>
      <c r="W2133" s="49"/>
      <c r="X2133" s="49" t="str">
        <f t="shared" si="3"/>
        <v>emotion,</v>
      </c>
      <c r="Y2133" s="49"/>
      <c r="Z2133" s="1" t="s">
        <v>1835</v>
      </c>
      <c r="AA2133" s="1" t="s">
        <v>5341</v>
      </c>
      <c r="AB2133" s="49"/>
      <c r="AC2133" s="49"/>
      <c r="AD2133" s="49"/>
      <c r="AE2133" s="49"/>
      <c r="AF2133" s="49" t="str">
        <f t="shared" si="4"/>
        <v>owes,</v>
      </c>
      <c r="AG2133" s="49"/>
      <c r="AH2133" s="1" t="s">
        <v>3330</v>
      </c>
      <c r="AI2133" s="1" t="s">
        <v>3125</v>
      </c>
      <c r="AJ2133" s="6" t="str">
        <f>IFERROR(__xludf.DUMMYFUNCTION("""COMPUTED_VALUE"""),"standing")</f>
        <v>standing</v>
      </c>
      <c r="AK2133" s="49"/>
      <c r="AL2133" s="49"/>
      <c r="AM2133" s="49"/>
      <c r="AN2133" s="52" t="str">
        <f t="shared" si="5"/>
        <v>dawn,</v>
      </c>
    </row>
    <row r="2134">
      <c r="A2134" s="51"/>
      <c r="B2134" s="50" t="s">
        <v>6900</v>
      </c>
      <c r="C2134" s="50" t="s">
        <v>3298</v>
      </c>
      <c r="D2134" s="49" t="str">
        <f>IFERROR(__xludf.DUMMYFUNCTION("""COMPUTED_VALUE"""),"held")</f>
        <v>held</v>
      </c>
      <c r="E2134" s="49"/>
      <c r="F2134" s="49"/>
      <c r="G2134" s="49"/>
      <c r="H2134" s="54" t="str">
        <f t="shared" si="1"/>
        <v>parallel,</v>
      </c>
      <c r="I2134" s="50"/>
      <c r="J2134" s="50" t="s">
        <v>6527</v>
      </c>
      <c r="K2134" s="50" t="s">
        <v>3700</v>
      </c>
      <c r="L2134" s="49"/>
      <c r="M2134" s="49"/>
      <c r="N2134" s="49"/>
      <c r="O2134" s="49"/>
      <c r="P2134" s="49" t="str">
        <f t="shared" si="2"/>
        <v>charge,</v>
      </c>
      <c r="Q2134" s="49"/>
      <c r="R2134" s="50" t="s">
        <v>3530</v>
      </c>
      <c r="S2134" s="55" t="s">
        <v>3172</v>
      </c>
      <c r="T2134" s="49"/>
      <c r="U2134" s="49"/>
      <c r="V2134" s="49"/>
      <c r="W2134" s="49"/>
      <c r="X2134" s="49" t="str">
        <f t="shared" si="3"/>
        <v>fearless,</v>
      </c>
      <c r="Y2134" s="49"/>
      <c r="Z2134" s="1" t="s">
        <v>581</v>
      </c>
      <c r="AA2134" s="1" t="s">
        <v>5342</v>
      </c>
      <c r="AB2134" s="49"/>
      <c r="AC2134" s="49"/>
      <c r="AD2134" s="49"/>
      <c r="AE2134" s="49"/>
      <c r="AF2134" s="49" t="str">
        <f t="shared" si="4"/>
        <v>alternative,</v>
      </c>
      <c r="AG2134" s="49"/>
      <c r="AH2134" s="1" t="s">
        <v>5254</v>
      </c>
      <c r="AI2134" s="1" t="s">
        <v>5330</v>
      </c>
      <c r="AJ2134" s="6" t="str">
        <f>IFERROR(__xludf.DUMMYFUNCTION("""COMPUTED_VALUE"""),"fellow")</f>
        <v>fellow</v>
      </c>
      <c r="AK2134" s="49"/>
      <c r="AL2134" s="49"/>
      <c r="AM2134" s="49"/>
      <c r="AN2134" s="52" t="str">
        <f t="shared" si="5"/>
        <v>ideal,</v>
      </c>
    </row>
    <row r="2135">
      <c r="A2135" s="51"/>
      <c r="B2135" s="50" t="s">
        <v>7049</v>
      </c>
      <c r="C2135" s="50" t="s">
        <v>3000</v>
      </c>
      <c r="D2135" s="49" t="str">
        <f>IFERROR(__xludf.DUMMYFUNCTION("""COMPUTED_VALUE"""),"odd")</f>
        <v>odd</v>
      </c>
      <c r="E2135" s="49"/>
      <c r="F2135" s="49"/>
      <c r="G2135" s="49"/>
      <c r="H2135" s="54" t="str">
        <f t="shared" si="1"/>
        <v>eve,</v>
      </c>
      <c r="I2135" s="50"/>
      <c r="J2135" s="50" t="s">
        <v>2191</v>
      </c>
      <c r="K2135" s="50" t="s">
        <v>3731</v>
      </c>
      <c r="L2135" s="49"/>
      <c r="M2135" s="49"/>
      <c r="N2135" s="49"/>
      <c r="O2135" s="49"/>
      <c r="P2135" s="49" t="str">
        <f t="shared" si="2"/>
        <v>exposure,</v>
      </c>
      <c r="Q2135" s="49"/>
      <c r="R2135" s="50" t="s">
        <v>1689</v>
      </c>
      <c r="S2135" s="55" t="s">
        <v>6653</v>
      </c>
      <c r="T2135" s="49"/>
      <c r="U2135" s="49"/>
      <c r="V2135" s="49"/>
      <c r="W2135" s="49"/>
      <c r="X2135" s="49" t="str">
        <f t="shared" si="3"/>
        <v>taut,</v>
      </c>
      <c r="Y2135" s="49"/>
      <c r="Z2135" s="1" t="s">
        <v>3289</v>
      </c>
      <c r="AA2135" s="1" t="s">
        <v>4320</v>
      </c>
      <c r="AB2135" s="49"/>
      <c r="AC2135" s="49"/>
      <c r="AD2135" s="49"/>
      <c r="AE2135" s="49"/>
      <c r="AF2135" s="49" t="str">
        <f t="shared" si="4"/>
        <v>media,</v>
      </c>
      <c r="AG2135" s="49"/>
      <c r="AH2135" s="1" t="s">
        <v>3265</v>
      </c>
      <c r="AI2135" s="1" t="s">
        <v>5335</v>
      </c>
      <c r="AJ2135" s="6" t="str">
        <f>IFERROR(__xludf.DUMMYFUNCTION("""COMPUTED_VALUE"""),"bathroom")</f>
        <v>bathroom</v>
      </c>
      <c r="AK2135" s="49"/>
      <c r="AL2135" s="49"/>
      <c r="AM2135" s="49"/>
      <c r="AN2135" s="52" t="str">
        <f t="shared" si="5"/>
        <v>tour,</v>
      </c>
    </row>
    <row r="2136">
      <c r="A2136" s="51"/>
      <c r="B2136" s="50" t="s">
        <v>5314</v>
      </c>
      <c r="C2136" s="50" t="s">
        <v>4418</v>
      </c>
      <c r="D2136" s="49" t="str">
        <f>IFERROR(__xludf.DUMMYFUNCTION("""COMPUTED_VALUE"""),"sound")</f>
        <v>sound</v>
      </c>
      <c r="E2136" s="49"/>
      <c r="F2136" s="49"/>
      <c r="G2136" s="49"/>
      <c r="H2136" s="54" t="str">
        <f t="shared" si="1"/>
        <v>voting,</v>
      </c>
      <c r="I2136" s="50"/>
      <c r="J2136" s="50" t="s">
        <v>3153</v>
      </c>
      <c r="K2136" s="50" t="s">
        <v>3295</v>
      </c>
      <c r="L2136" s="49"/>
      <c r="M2136" s="49"/>
      <c r="N2136" s="49"/>
      <c r="O2136" s="49"/>
      <c r="P2136" s="49" t="str">
        <f t="shared" si="2"/>
        <v>interpretation,</v>
      </c>
      <c r="Q2136" s="49"/>
      <c r="R2136" s="50" t="s">
        <v>5208</v>
      </c>
      <c r="S2136" s="55" t="s">
        <v>4672</v>
      </c>
      <c r="T2136" s="49"/>
      <c r="U2136" s="49"/>
      <c r="V2136" s="49"/>
      <c r="W2136" s="49"/>
      <c r="X2136" s="49" t="str">
        <f t="shared" si="3"/>
        <v>regards,</v>
      </c>
      <c r="Y2136" s="49"/>
      <c r="Z2136" s="1" t="s">
        <v>4113</v>
      </c>
      <c r="AA2136" s="1" t="s">
        <v>4824</v>
      </c>
      <c r="AB2136" s="49"/>
      <c r="AC2136" s="49"/>
      <c r="AD2136" s="49"/>
      <c r="AE2136" s="49"/>
      <c r="AF2136" s="49" t="str">
        <f t="shared" si="4"/>
        <v>weight,</v>
      </c>
      <c r="AG2136" s="49"/>
      <c r="AH2136" s="1" t="s">
        <v>1945</v>
      </c>
      <c r="AI2136" s="1" t="s">
        <v>6654</v>
      </c>
      <c r="AJ2136" s="6" t="str">
        <f>IFERROR(__xludf.DUMMYFUNCTION("""COMPUTED_VALUE"""),"manage")</f>
        <v>manage</v>
      </c>
      <c r="AK2136" s="49"/>
      <c r="AL2136" s="49"/>
      <c r="AM2136" s="49"/>
      <c r="AN2136" s="52" t="str">
        <f t="shared" si="5"/>
        <v>lower,</v>
      </c>
    </row>
    <row r="2137">
      <c r="A2137" s="51"/>
      <c r="B2137" s="50" t="s">
        <v>5830</v>
      </c>
      <c r="C2137" s="50" t="s">
        <v>3755</v>
      </c>
      <c r="D2137" s="49" t="str">
        <f>IFERROR(__xludf.DUMMYFUNCTION("""COMPUTED_VALUE"""),"bodies")</f>
        <v>bodies</v>
      </c>
      <c r="E2137" s="49"/>
      <c r="F2137" s="49"/>
      <c r="G2137" s="49"/>
      <c r="H2137" s="54" t="str">
        <f t="shared" si="1"/>
        <v>prince,</v>
      </c>
      <c r="I2137" s="50"/>
      <c r="J2137" s="50" t="s">
        <v>4179</v>
      </c>
      <c r="K2137" s="50" t="s">
        <v>3735</v>
      </c>
      <c r="L2137" s="49"/>
      <c r="M2137" s="49"/>
      <c r="N2137" s="49"/>
      <c r="O2137" s="49"/>
      <c r="P2137" s="49" t="str">
        <f t="shared" si="2"/>
        <v>yearning,</v>
      </c>
      <c r="Q2137" s="49"/>
      <c r="R2137" s="50" t="s">
        <v>6534</v>
      </c>
      <c r="S2137" s="55" t="s">
        <v>5215</v>
      </c>
      <c r="T2137" s="49"/>
      <c r="U2137" s="49"/>
      <c r="V2137" s="49"/>
      <c r="W2137" s="49"/>
      <c r="X2137" s="49" t="str">
        <f t="shared" si="3"/>
        <v>holding,</v>
      </c>
      <c r="Y2137" s="49"/>
      <c r="Z2137" s="1" t="s">
        <v>4181</v>
      </c>
      <c r="AA2137" s="1" t="s">
        <v>2511</v>
      </c>
      <c r="AB2137" s="49"/>
      <c r="AC2137" s="49"/>
      <c r="AD2137" s="49"/>
      <c r="AE2137" s="49"/>
      <c r="AF2137" s="49" t="str">
        <f t="shared" si="4"/>
        <v>scale,</v>
      </c>
      <c r="AG2137" s="49"/>
      <c r="AH2137" s="1" t="s">
        <v>6302</v>
      </c>
      <c r="AI2137" s="1" t="s">
        <v>3555</v>
      </c>
      <c r="AJ2137" s="6" t="str">
        <f>IFERROR(__xludf.DUMMYFUNCTION("""COMPUTED_VALUE"""),"murray")</f>
        <v>murray</v>
      </c>
      <c r="AK2137" s="49"/>
      <c r="AL2137" s="49"/>
      <c r="AM2137" s="49"/>
      <c r="AN2137" s="52" t="str">
        <f t="shared" si="5"/>
        <v>overall,</v>
      </c>
    </row>
    <row r="2138">
      <c r="A2138" s="51"/>
      <c r="B2138" s="50" t="s">
        <v>2533</v>
      </c>
      <c r="C2138" s="50" t="s">
        <v>6602</v>
      </c>
      <c r="D2138" s="49" t="str">
        <f>IFERROR(__xludf.DUMMYFUNCTION("""COMPUTED_VALUE"""),"leather")</f>
        <v>leather</v>
      </c>
      <c r="E2138" s="49"/>
      <c r="F2138" s="49"/>
      <c r="G2138" s="49"/>
      <c r="H2138" s="54" t="str">
        <f t="shared" si="1"/>
        <v>egypt,</v>
      </c>
      <c r="I2138" s="50"/>
      <c r="J2138" s="50" t="s">
        <v>3649</v>
      </c>
      <c r="K2138" s="50" t="s">
        <v>3301</v>
      </c>
      <c r="L2138" s="49"/>
      <c r="M2138" s="49"/>
      <c r="N2138" s="49"/>
      <c r="O2138" s="49"/>
      <c r="P2138" s="49" t="str">
        <f t="shared" si="2"/>
        <v>cia,</v>
      </c>
      <c r="Q2138" s="49"/>
      <c r="R2138" s="50" t="s">
        <v>411</v>
      </c>
      <c r="S2138" s="55" t="s">
        <v>984</v>
      </c>
      <c r="T2138" s="49"/>
      <c r="U2138" s="49"/>
      <c r="V2138" s="49"/>
      <c r="W2138" s="49"/>
      <c r="X2138" s="49" t="str">
        <f t="shared" si="3"/>
        <v>lengths,</v>
      </c>
      <c r="Y2138" s="49"/>
      <c r="Z2138" s="1" t="s">
        <v>3416</v>
      </c>
      <c r="AA2138" s="1" t="s">
        <v>2508</v>
      </c>
      <c r="AB2138" s="49"/>
      <c r="AC2138" s="49"/>
      <c r="AD2138" s="49"/>
      <c r="AE2138" s="49"/>
      <c r="AF2138" s="49" t="str">
        <f t="shared" si="4"/>
        <v>gay,</v>
      </c>
      <c r="AG2138" s="49"/>
      <c r="AH2138" s="1" t="s">
        <v>3803</v>
      </c>
      <c r="AI2138" s="1" t="s">
        <v>6655</v>
      </c>
      <c r="AJ2138" s="6" t="str">
        <f>IFERROR(__xludf.DUMMYFUNCTION("""COMPUTED_VALUE"""),"central")</f>
        <v>central</v>
      </c>
      <c r="AK2138" s="49"/>
      <c r="AL2138" s="49"/>
      <c r="AM2138" s="49"/>
      <c r="AN2138" s="52" t="str">
        <f t="shared" si="5"/>
        <v>dress,</v>
      </c>
    </row>
    <row r="2139">
      <c r="A2139" s="51"/>
      <c r="B2139" s="50" t="s">
        <v>7056</v>
      </c>
      <c r="C2139" s="50" t="s">
        <v>6615</v>
      </c>
      <c r="D2139" s="49" t="str">
        <f>IFERROR(__xludf.DUMMYFUNCTION("""COMPUTED_VALUE"""),"quinn")</f>
        <v>quinn</v>
      </c>
      <c r="E2139" s="49"/>
      <c r="F2139" s="49"/>
      <c r="G2139" s="49"/>
      <c r="H2139" s="54" t="str">
        <f t="shared" si="1"/>
        <v>whereas,</v>
      </c>
      <c r="I2139" s="50"/>
      <c r="J2139" s="50" t="s">
        <v>7472</v>
      </c>
      <c r="K2139" s="50" t="s">
        <v>3740</v>
      </c>
      <c r="L2139" s="49"/>
      <c r="M2139" s="49"/>
      <c r="N2139" s="49"/>
      <c r="O2139" s="49"/>
      <c r="P2139" s="49" t="str">
        <f t="shared" si="2"/>
        <v>knee,</v>
      </c>
      <c r="Q2139" s="49"/>
      <c r="R2139" s="50" t="s">
        <v>2745</v>
      </c>
      <c r="S2139" s="55" t="s">
        <v>3588</v>
      </c>
      <c r="T2139" s="49"/>
      <c r="U2139" s="49"/>
      <c r="V2139" s="49"/>
      <c r="W2139" s="49"/>
      <c r="X2139" s="49" t="str">
        <f t="shared" si="3"/>
        <v>substantive,</v>
      </c>
      <c r="Y2139" s="49"/>
      <c r="Z2139" s="1" t="s">
        <v>811</v>
      </c>
      <c r="AA2139" s="1" t="s">
        <v>1668</v>
      </c>
      <c r="AB2139" s="49"/>
      <c r="AC2139" s="49"/>
      <c r="AD2139" s="49"/>
      <c r="AE2139" s="49"/>
      <c r="AF2139" s="49" t="str">
        <f t="shared" si="4"/>
        <v>villain,</v>
      </c>
      <c r="AG2139" s="49"/>
      <c r="AH2139" s="1" t="s">
        <v>2166</v>
      </c>
      <c r="AI2139" s="1" t="s">
        <v>1062</v>
      </c>
      <c r="AJ2139" s="6" t="str">
        <f>IFERROR(__xludf.DUMMYFUNCTION("""COMPUTED_VALUE"""),"dropped")</f>
        <v>dropped</v>
      </c>
      <c r="AK2139" s="49"/>
      <c r="AL2139" s="49"/>
      <c r="AM2139" s="49"/>
      <c r="AN2139" s="52" t="str">
        <f t="shared" si="5"/>
        <v>ride,</v>
      </c>
    </row>
    <row r="2140">
      <c r="A2140" s="51"/>
      <c r="B2140" s="50" t="s">
        <v>3272</v>
      </c>
      <c r="C2140" s="50" t="s">
        <v>3307</v>
      </c>
      <c r="D2140" s="49" t="str">
        <f>IFERROR(__xludf.DUMMYFUNCTION("""COMPUTED_VALUE"""),"several")</f>
        <v>several</v>
      </c>
      <c r="E2140" s="49"/>
      <c r="F2140" s="49"/>
      <c r="G2140" s="49"/>
      <c r="H2140" s="54" t="str">
        <f t="shared" si="1"/>
        <v>thinks,</v>
      </c>
      <c r="I2140" s="50"/>
      <c r="J2140" s="50" t="s">
        <v>563</v>
      </c>
      <c r="K2140" s="50" t="s">
        <v>3743</v>
      </c>
      <c r="L2140" s="49"/>
      <c r="M2140" s="49"/>
      <c r="N2140" s="49"/>
      <c r="O2140" s="49"/>
      <c r="P2140" s="49" t="str">
        <f t="shared" si="2"/>
        <v>reaction,</v>
      </c>
      <c r="Q2140" s="49"/>
      <c r="R2140" s="50" t="s">
        <v>3864</v>
      </c>
      <c r="S2140" s="55" t="s">
        <v>5362</v>
      </c>
      <c r="T2140" s="49"/>
      <c r="U2140" s="49"/>
      <c r="V2140" s="49"/>
      <c r="W2140" s="49"/>
      <c r="X2140" s="49" t="str">
        <f t="shared" si="3"/>
        <v>relevance,</v>
      </c>
      <c r="Y2140" s="49"/>
      <c r="Z2140" s="1" t="s">
        <v>3922</v>
      </c>
      <c r="AA2140" s="1" t="s">
        <v>2515</v>
      </c>
      <c r="AB2140" s="49"/>
      <c r="AC2140" s="49"/>
      <c r="AD2140" s="49"/>
      <c r="AE2140" s="49"/>
      <c r="AF2140" s="49" t="str">
        <f t="shared" si="4"/>
        <v>genuinely,</v>
      </c>
      <c r="AG2140" s="49"/>
      <c r="AH2140" s="1" t="s">
        <v>5577</v>
      </c>
      <c r="AI2140" s="1" t="s">
        <v>6656</v>
      </c>
      <c r="AJ2140" s="6" t="str">
        <f>IFERROR(__xludf.DUMMYFUNCTION("""COMPUTED_VALUE"""),"device")</f>
        <v>device</v>
      </c>
      <c r="AK2140" s="49"/>
      <c r="AL2140" s="49"/>
      <c r="AM2140" s="49"/>
      <c r="AN2140" s="52" t="str">
        <f t="shared" si="5"/>
        <v>neighborhood,</v>
      </c>
    </row>
    <row r="2141">
      <c r="A2141" s="51"/>
      <c r="B2141" s="50" t="s">
        <v>3896</v>
      </c>
      <c r="C2141" s="50" t="s">
        <v>6604</v>
      </c>
      <c r="D2141" s="49" t="str">
        <f>IFERROR(__xludf.DUMMYFUNCTION("""COMPUTED_VALUE"""),"secretary")</f>
        <v>secretary</v>
      </c>
      <c r="E2141" s="49"/>
      <c r="F2141" s="49"/>
      <c r="G2141" s="49"/>
      <c r="H2141" s="54" t="str">
        <f t="shared" si="1"/>
        <v>offer,</v>
      </c>
      <c r="I2141" s="50"/>
      <c r="J2141" s="50" t="s">
        <v>7474</v>
      </c>
      <c r="K2141" s="50" t="s">
        <v>4843</v>
      </c>
      <c r="L2141" s="49"/>
      <c r="M2141" s="49"/>
      <c r="N2141" s="49"/>
      <c r="O2141" s="49"/>
      <c r="P2141" s="49" t="str">
        <f t="shared" si="2"/>
        <v>tap,</v>
      </c>
      <c r="Q2141" s="49"/>
      <c r="R2141" s="50" t="s">
        <v>7518</v>
      </c>
      <c r="S2141" s="55" t="s">
        <v>1261</v>
      </c>
      <c r="T2141" s="49"/>
      <c r="U2141" s="49"/>
      <c r="V2141" s="49"/>
      <c r="W2141" s="49"/>
      <c r="X2141" s="49" t="str">
        <f t="shared" si="3"/>
        <v>global,</v>
      </c>
      <c r="Y2141" s="49"/>
      <c r="Z2141" s="1" t="s">
        <v>680</v>
      </c>
      <c r="AA2141" s="1" t="s">
        <v>1675</v>
      </c>
      <c r="AB2141" s="49"/>
      <c r="AC2141" s="49"/>
      <c r="AD2141" s="49"/>
      <c r="AE2141" s="49"/>
      <c r="AF2141" s="49" t="str">
        <f t="shared" si="4"/>
        <v>psychological,</v>
      </c>
      <c r="AG2141" s="49"/>
      <c r="AH2141" s="1" t="s">
        <v>5097</v>
      </c>
      <c r="AI2141" s="1" t="s">
        <v>3841</v>
      </c>
      <c r="AJ2141" s="6" t="str">
        <f>IFERROR(__xludf.DUMMYFUNCTION("""COMPUTED_VALUE"""),"nicholas")</f>
        <v>nicholas</v>
      </c>
      <c r="AK2141" s="49"/>
      <c r="AL2141" s="49"/>
      <c r="AM2141" s="49"/>
      <c r="AN2141" s="52" t="str">
        <f t="shared" si="5"/>
        <v>responsibility,</v>
      </c>
    </row>
    <row r="2142">
      <c r="A2142" s="51"/>
      <c r="B2142" s="50" t="s">
        <v>1880</v>
      </c>
      <c r="C2142" s="50" t="s">
        <v>1784</v>
      </c>
      <c r="D2142" s="49" t="str">
        <f>IFERROR(__xludf.DUMMYFUNCTION("""COMPUTED_VALUE"""),"teenage")</f>
        <v>teenage</v>
      </c>
      <c r="E2142" s="49"/>
      <c r="F2142" s="49"/>
      <c r="G2142" s="49"/>
      <c r="H2142" s="54" t="str">
        <f t="shared" si="1"/>
        <v>twice,</v>
      </c>
      <c r="I2142" s="50"/>
      <c r="J2142" s="50" t="s">
        <v>3344</v>
      </c>
      <c r="K2142" s="50" t="s">
        <v>1040</v>
      </c>
      <c r="L2142" s="49"/>
      <c r="M2142" s="49"/>
      <c r="N2142" s="49"/>
      <c r="O2142" s="49"/>
      <c r="P2142" s="49" t="str">
        <f t="shared" si="2"/>
        <v>brutality,</v>
      </c>
      <c r="Q2142" s="49"/>
      <c r="R2142" s="50" t="s">
        <v>2502</v>
      </c>
      <c r="S2142" s="55" t="s">
        <v>5221</v>
      </c>
      <c r="T2142" s="49"/>
      <c r="U2142" s="49"/>
      <c r="V2142" s="49"/>
      <c r="W2142" s="49"/>
      <c r="X2142" s="49" t="str">
        <f t="shared" si="3"/>
        <v>devoid,</v>
      </c>
      <c r="Y2142" s="49"/>
      <c r="Z2142" s="1" t="s">
        <v>6115</v>
      </c>
      <c r="AA2142" s="1" t="s">
        <v>4332</v>
      </c>
      <c r="AB2142" s="49"/>
      <c r="AC2142" s="49"/>
      <c r="AD2142" s="49"/>
      <c r="AE2142" s="49"/>
      <c r="AF2142" s="49" t="str">
        <f t="shared" si="4"/>
        <v>brow,</v>
      </c>
      <c r="AG2142" s="49"/>
      <c r="AH2142" s="1" t="s">
        <v>1049</v>
      </c>
      <c r="AI2142" s="1" t="s">
        <v>5789</v>
      </c>
      <c r="AJ2142" s="6" t="str">
        <f>IFERROR(__xludf.DUMMYFUNCTION("""COMPUTED_VALUE"""),"ninth")</f>
        <v>ninth</v>
      </c>
      <c r="AK2142" s="49"/>
      <c r="AL2142" s="49"/>
      <c r="AM2142" s="49"/>
      <c r="AN2142" s="52" t="str">
        <f t="shared" si="5"/>
        <v>sing,</v>
      </c>
    </row>
    <row r="2143">
      <c r="A2143" s="51"/>
      <c r="B2143" s="50" t="s">
        <v>5876</v>
      </c>
      <c r="C2143" s="50" t="s">
        <v>4426</v>
      </c>
      <c r="D2143" s="49" t="str">
        <f>IFERROR(__xludf.DUMMYFUNCTION("""COMPUTED_VALUE"""),"ten")</f>
        <v>ten</v>
      </c>
      <c r="E2143" s="49"/>
      <c r="F2143" s="49"/>
      <c r="G2143" s="49"/>
      <c r="H2143" s="54" t="str">
        <f t="shared" si="1"/>
        <v>landing,</v>
      </c>
      <c r="I2143" s="50"/>
      <c r="J2143" s="50" t="s">
        <v>3243</v>
      </c>
      <c r="K2143" s="50" t="s">
        <v>4372</v>
      </c>
      <c r="L2143" s="49"/>
      <c r="M2143" s="49"/>
      <c r="N2143" s="49"/>
      <c r="O2143" s="49"/>
      <c r="P2143" s="49" t="str">
        <f t="shared" si="2"/>
        <v>mouth,</v>
      </c>
      <c r="Q2143" s="49"/>
      <c r="R2143" s="50" t="s">
        <v>143</v>
      </c>
      <c r="S2143" s="55" t="s">
        <v>4682</v>
      </c>
      <c r="T2143" s="49"/>
      <c r="U2143" s="49"/>
      <c r="V2143" s="49"/>
      <c r="W2143" s="49"/>
      <c r="X2143" s="49" t="str">
        <f t="shared" si="3"/>
        <v>emptiness,</v>
      </c>
      <c r="Y2143" s="49"/>
      <c r="Z2143" s="1" t="s">
        <v>1342</v>
      </c>
      <c r="AA2143" s="1" t="s">
        <v>2520</v>
      </c>
      <c r="AB2143" s="49"/>
      <c r="AC2143" s="49"/>
      <c r="AD2143" s="49"/>
      <c r="AE2143" s="49"/>
      <c r="AF2143" s="49" t="str">
        <f t="shared" si="4"/>
        <v>adolescent,</v>
      </c>
      <c r="AG2143" s="49"/>
      <c r="AH2143" s="1" t="s">
        <v>1782</v>
      </c>
      <c r="AI2143" s="1" t="s">
        <v>4340</v>
      </c>
      <c r="AJ2143" s="6" t="str">
        <f>IFERROR(__xludf.DUMMYFUNCTION("""COMPUTED_VALUE"""),"please")</f>
        <v>please</v>
      </c>
      <c r="AK2143" s="49"/>
      <c r="AL2143" s="49"/>
      <c r="AM2143" s="49"/>
      <c r="AN2143" s="52" t="str">
        <f t="shared" si="5"/>
        <v>photo,</v>
      </c>
    </row>
    <row r="2144">
      <c r="A2144" s="51"/>
      <c r="B2144" s="50" t="s">
        <v>3125</v>
      </c>
      <c r="C2144" s="50" t="s">
        <v>717</v>
      </c>
      <c r="D2144" s="49" t="str">
        <f>IFERROR(__xludf.DUMMYFUNCTION("""COMPUTED_VALUE"""),"boat")</f>
        <v>boat</v>
      </c>
      <c r="E2144" s="49"/>
      <c r="F2144" s="49"/>
      <c r="G2144" s="49"/>
      <c r="H2144" s="54" t="str">
        <f t="shared" si="1"/>
        <v>advance,</v>
      </c>
      <c r="I2144" s="50"/>
      <c r="J2144" s="50" t="s">
        <v>3800</v>
      </c>
      <c r="K2144" s="50" t="s">
        <v>4846</v>
      </c>
      <c r="L2144" s="49"/>
      <c r="M2144" s="49"/>
      <c r="N2144" s="49"/>
      <c r="O2144" s="49"/>
      <c r="P2144" s="49" t="str">
        <f t="shared" si="2"/>
        <v>operative,</v>
      </c>
      <c r="Q2144" s="49"/>
      <c r="R2144" s="50" t="s">
        <v>3441</v>
      </c>
      <c r="S2144" s="55" t="s">
        <v>1983</v>
      </c>
      <c r="T2144" s="49"/>
      <c r="U2144" s="49"/>
      <c r="V2144" s="49"/>
      <c r="W2144" s="49"/>
      <c r="X2144" s="49" t="str">
        <f t="shared" si="3"/>
        <v>depict,</v>
      </c>
      <c r="Y2144" s="49"/>
      <c r="Z2144" s="1" t="s">
        <v>988</v>
      </c>
      <c r="AA2144" s="1" t="s">
        <v>5348</v>
      </c>
      <c r="AB2144" s="49"/>
      <c r="AC2144" s="49"/>
      <c r="AD2144" s="49"/>
      <c r="AE2144" s="49"/>
      <c r="AF2144" s="49" t="str">
        <f t="shared" si="4"/>
        <v>oliver,</v>
      </c>
      <c r="AG2144" s="49"/>
      <c r="AH2144" s="1" t="s">
        <v>6862</v>
      </c>
      <c r="AI2144" s="1" t="s">
        <v>3815</v>
      </c>
      <c r="AJ2144" s="6" t="str">
        <f>IFERROR(__xludf.DUMMYFUNCTION("""COMPUTED_VALUE"""),"approached")</f>
        <v>approached</v>
      </c>
      <c r="AK2144" s="49"/>
      <c r="AL2144" s="49"/>
      <c r="AM2144" s="49"/>
      <c r="AN2144" s="52" t="str">
        <f t="shared" si="5"/>
        <v>education,</v>
      </c>
    </row>
    <row r="2145">
      <c r="A2145" s="51"/>
      <c r="B2145" s="50" t="s">
        <v>6655</v>
      </c>
      <c r="C2145" s="50" t="s">
        <v>2340</v>
      </c>
      <c r="D2145" s="49" t="str">
        <f>IFERROR(__xludf.DUMMYFUNCTION("""COMPUTED_VALUE"""),"clean")</f>
        <v>clean</v>
      </c>
      <c r="E2145" s="49"/>
      <c r="F2145" s="49"/>
      <c r="G2145" s="49"/>
      <c r="H2145" s="54" t="str">
        <f t="shared" si="1"/>
        <v>denied,</v>
      </c>
      <c r="I2145" s="50"/>
      <c r="J2145" s="50" t="s">
        <v>2720</v>
      </c>
      <c r="K2145" s="50" t="s">
        <v>1047</v>
      </c>
      <c r="L2145" s="49"/>
      <c r="M2145" s="49"/>
      <c r="N2145" s="49"/>
      <c r="O2145" s="49"/>
      <c r="P2145" s="49" t="str">
        <f t="shared" si="2"/>
        <v>misses,</v>
      </c>
      <c r="Q2145" s="49"/>
      <c r="R2145" s="50" t="s">
        <v>2608</v>
      </c>
      <c r="S2145" s="55" t="s">
        <v>2020</v>
      </c>
      <c r="T2145" s="49"/>
      <c r="U2145" s="49"/>
      <c r="V2145" s="49"/>
      <c r="W2145" s="49"/>
      <c r="X2145" s="49" t="str">
        <f t="shared" si="3"/>
        <v>inherent,</v>
      </c>
      <c r="Y2145" s="49"/>
      <c r="Z2145" s="1" t="s">
        <v>1990</v>
      </c>
      <c r="AA2145" s="1" t="s">
        <v>1397</v>
      </c>
      <c r="AB2145" s="49"/>
      <c r="AC2145" s="49"/>
      <c r="AD2145" s="49"/>
      <c r="AE2145" s="49"/>
      <c r="AF2145" s="49" t="str">
        <f t="shared" si="4"/>
        <v>subjects,</v>
      </c>
      <c r="AG2145" s="49"/>
      <c r="AH2145" s="1" t="s">
        <v>7519</v>
      </c>
      <c r="AI2145" s="1" t="s">
        <v>6657</v>
      </c>
      <c r="AJ2145" s="6" t="str">
        <f>IFERROR(__xludf.DUMMYFUNCTION("""COMPUTED_VALUE"""),"dry")</f>
        <v>dry</v>
      </c>
      <c r="AK2145" s="49"/>
      <c r="AL2145" s="49"/>
      <c r="AM2145" s="49"/>
      <c r="AN2145" s="52" t="str">
        <f t="shared" si="5"/>
        <v>pressure,</v>
      </c>
    </row>
    <row r="2146">
      <c r="A2146" s="51"/>
      <c r="B2146" s="50" t="s">
        <v>7089</v>
      </c>
      <c r="C2146" s="50" t="s">
        <v>5344</v>
      </c>
      <c r="D2146" s="49" t="str">
        <f>IFERROR(__xludf.DUMMYFUNCTION("""COMPUTED_VALUE"""),"friday")</f>
        <v>friday</v>
      </c>
      <c r="E2146" s="49"/>
      <c r="F2146" s="49"/>
      <c r="G2146" s="49"/>
      <c r="H2146" s="54" t="str">
        <f t="shared" si="1"/>
        <v>healthy,</v>
      </c>
      <c r="I2146" s="50"/>
      <c r="J2146" s="50" t="s">
        <v>7476</v>
      </c>
      <c r="K2146" s="50" t="s">
        <v>1609</v>
      </c>
      <c r="L2146" s="49"/>
      <c r="M2146" s="49"/>
      <c r="N2146" s="49"/>
      <c r="O2146" s="49"/>
      <c r="P2146" s="49" t="str">
        <f t="shared" si="2"/>
        <v>ridden,</v>
      </c>
      <c r="Q2146" s="49"/>
      <c r="R2146" s="50" t="s">
        <v>7520</v>
      </c>
      <c r="S2146" s="55" t="s">
        <v>2900</v>
      </c>
      <c r="T2146" s="49"/>
      <c r="U2146" s="49"/>
      <c r="V2146" s="49"/>
      <c r="W2146" s="49"/>
      <c r="X2146" s="49" t="str">
        <f t="shared" si="3"/>
        <v>bu,</v>
      </c>
      <c r="Y2146" s="49"/>
      <c r="Z2146" s="1" t="s">
        <v>2380</v>
      </c>
      <c r="AA2146" s="1" t="s">
        <v>5349</v>
      </c>
      <c r="AB2146" s="49"/>
      <c r="AC2146" s="49"/>
      <c r="AD2146" s="49"/>
      <c r="AE2146" s="49"/>
      <c r="AF2146" s="49" t="str">
        <f t="shared" si="4"/>
        <v>purely,</v>
      </c>
      <c r="AG2146" s="49"/>
      <c r="AH2146" s="1" t="s">
        <v>6847</v>
      </c>
      <c r="AI2146" s="1" t="s">
        <v>6658</v>
      </c>
      <c r="AJ2146" s="6" t="str">
        <f>IFERROR(__xludf.DUMMYFUNCTION("""COMPUTED_VALUE"""),"tradition")</f>
        <v>tradition</v>
      </c>
      <c r="AK2146" s="49"/>
      <c r="AL2146" s="49"/>
      <c r="AM2146" s="49"/>
      <c r="AN2146" s="52" t="str">
        <f t="shared" si="5"/>
        <v>suggested,</v>
      </c>
    </row>
    <row r="2147">
      <c r="A2147" s="51"/>
      <c r="B2147" s="50" t="s">
        <v>1363</v>
      </c>
      <c r="C2147" s="50" t="s">
        <v>4434</v>
      </c>
      <c r="D2147" s="49" t="str">
        <f>IFERROR(__xludf.DUMMYFUNCTION("""COMPUTED_VALUE"""),"meets")</f>
        <v>meets</v>
      </c>
      <c r="E2147" s="49"/>
      <c r="F2147" s="49"/>
      <c r="G2147" s="49"/>
      <c r="H2147" s="54" t="str">
        <f t="shared" si="1"/>
        <v>stay,</v>
      </c>
      <c r="I2147" s="50"/>
      <c r="J2147" s="50" t="s">
        <v>5801</v>
      </c>
      <c r="K2147" s="50" t="s">
        <v>2067</v>
      </c>
      <c r="L2147" s="49"/>
      <c r="M2147" s="49"/>
      <c r="N2147" s="49"/>
      <c r="O2147" s="49"/>
      <c r="P2147" s="49" t="str">
        <f t="shared" si="2"/>
        <v>solo,</v>
      </c>
      <c r="Q2147" s="49"/>
      <c r="R2147" s="50" t="s">
        <v>265</v>
      </c>
      <c r="S2147" s="55" t="s">
        <v>5225</v>
      </c>
      <c r="T2147" s="49"/>
      <c r="U2147" s="49"/>
      <c r="V2147" s="49"/>
      <c r="W2147" s="49"/>
      <c r="X2147" s="49" t="str">
        <f t="shared" si="3"/>
        <v>resonance,</v>
      </c>
      <c r="Y2147" s="49"/>
      <c r="Z2147" s="1" t="s">
        <v>3831</v>
      </c>
      <c r="AA2147" s="1" t="s">
        <v>4336</v>
      </c>
      <c r="AB2147" s="49"/>
      <c r="AC2147" s="49"/>
      <c r="AD2147" s="49"/>
      <c r="AE2147" s="49"/>
      <c r="AF2147" s="49" t="str">
        <f t="shared" si="4"/>
        <v>nation,</v>
      </c>
      <c r="AG2147" s="49"/>
      <c r="AH2147" s="1" t="s">
        <v>5609</v>
      </c>
      <c r="AI2147" s="1" t="s">
        <v>3566</v>
      </c>
      <c r="AJ2147" s="6" t="str">
        <f>IFERROR(__xludf.DUMMYFUNCTION("""COMPUTED_VALUE"""),"difficulty")</f>
        <v>difficulty</v>
      </c>
      <c r="AK2147" s="49"/>
      <c r="AL2147" s="49"/>
      <c r="AM2147" s="49"/>
      <c r="AN2147" s="52" t="str">
        <f t="shared" si="5"/>
        <v>investigation,</v>
      </c>
    </row>
    <row r="2148">
      <c r="A2148" s="51"/>
      <c r="B2148" s="50" t="s">
        <v>1955</v>
      </c>
      <c r="C2148" s="50" t="s">
        <v>3319</v>
      </c>
      <c r="D2148" s="49" t="str">
        <f>IFERROR(__xludf.DUMMYFUNCTION("""COMPUTED_VALUE"""),"13th")</f>
        <v>13th</v>
      </c>
      <c r="E2148" s="49"/>
      <c r="F2148" s="49"/>
      <c r="G2148" s="49"/>
      <c r="H2148" s="54" t="str">
        <f t="shared" si="1"/>
        <v>bar,</v>
      </c>
      <c r="I2148" s="50"/>
      <c r="J2148" s="50" t="s">
        <v>4850</v>
      </c>
      <c r="K2148" s="50" t="s">
        <v>3750</v>
      </c>
      <c r="L2148" s="49"/>
      <c r="M2148" s="49"/>
      <c r="N2148" s="49"/>
      <c r="O2148" s="49"/>
      <c r="P2148" s="49" t="str">
        <f t="shared" si="2"/>
        <v>prolific,</v>
      </c>
      <c r="Q2148" s="49"/>
      <c r="R2148" s="50" t="s">
        <v>4503</v>
      </c>
      <c r="S2148" s="55" t="s">
        <v>6659</v>
      </c>
      <c r="T2148" s="49"/>
      <c r="U2148" s="49"/>
      <c r="V2148" s="49"/>
      <c r="W2148" s="49"/>
      <c r="X2148" s="49" t="str">
        <f t="shared" si="3"/>
        <v>atlantic,</v>
      </c>
      <c r="Y2148" s="49"/>
      <c r="Z2148" s="1" t="s">
        <v>1582</v>
      </c>
      <c r="AA2148" s="1" t="s">
        <v>5351</v>
      </c>
      <c r="AB2148" s="49"/>
      <c r="AC2148" s="49"/>
      <c r="AD2148" s="49"/>
      <c r="AE2148" s="49"/>
      <c r="AF2148" s="49" t="str">
        <f t="shared" si="4"/>
        <v>national,</v>
      </c>
      <c r="AG2148" s="49"/>
      <c r="AH2148" s="1" t="s">
        <v>7030</v>
      </c>
      <c r="AI2148" s="1" t="s">
        <v>3564</v>
      </c>
      <c r="AJ2148" s="6" t="str">
        <f>IFERROR(__xludf.DUMMYFUNCTION("""COMPUTED_VALUE"""),"danny")</f>
        <v>danny</v>
      </c>
      <c r="AK2148" s="49"/>
      <c r="AL2148" s="49"/>
      <c r="AM2148" s="49"/>
      <c r="AN2148" s="52" t="str">
        <f t="shared" si="5"/>
        <v>incident,</v>
      </c>
    </row>
    <row r="2149">
      <c r="A2149" s="51"/>
      <c r="B2149" s="50" t="s">
        <v>2735</v>
      </c>
      <c r="C2149" s="50" t="s">
        <v>4436</v>
      </c>
      <c r="D2149" s="49" t="str">
        <f>IFERROR(__xludf.DUMMYFUNCTION("""COMPUTED_VALUE"""),"indians")</f>
        <v>indians</v>
      </c>
      <c r="E2149" s="49"/>
      <c r="F2149" s="49"/>
      <c r="G2149" s="49"/>
      <c r="H2149" s="54" t="str">
        <f t="shared" si="1"/>
        <v>chance,</v>
      </c>
      <c r="I2149" s="50"/>
      <c r="J2149" s="50" t="s">
        <v>4226</v>
      </c>
      <c r="K2149" s="50" t="s">
        <v>2071</v>
      </c>
      <c r="L2149" s="49"/>
      <c r="M2149" s="49"/>
      <c r="N2149" s="49"/>
      <c r="O2149" s="49"/>
      <c r="P2149" s="49" t="str">
        <f t="shared" si="2"/>
        <v>feat,</v>
      </c>
      <c r="Q2149" s="49"/>
      <c r="R2149" s="50" t="s">
        <v>4395</v>
      </c>
      <c r="S2149" s="55" t="s">
        <v>1267</v>
      </c>
      <c r="T2149" s="49"/>
      <c r="U2149" s="49"/>
      <c r="V2149" s="49"/>
      <c r="W2149" s="49"/>
      <c r="X2149" s="49" t="str">
        <f t="shared" si="3"/>
        <v>complications,</v>
      </c>
      <c r="Y2149" s="49"/>
      <c r="Z2149" s="1" t="s">
        <v>467</v>
      </c>
      <c r="AA2149" s="1" t="s">
        <v>3670</v>
      </c>
      <c r="AB2149" s="49"/>
      <c r="AC2149" s="49"/>
      <c r="AD2149" s="49"/>
      <c r="AE2149" s="49"/>
      <c r="AF2149" s="49" t="str">
        <f t="shared" si="4"/>
        <v>offensive,</v>
      </c>
      <c r="AG2149" s="49"/>
      <c r="AH2149" s="1" t="s">
        <v>3340</v>
      </c>
      <c r="AI2149" s="1" t="s">
        <v>5033</v>
      </c>
      <c r="AJ2149" s="6" t="str">
        <f>IFERROR(__xludf.DUMMYFUNCTION("""COMPUTED_VALUE"""),"easier")</f>
        <v>easier</v>
      </c>
      <c r="AK2149" s="49"/>
      <c r="AL2149" s="49"/>
      <c r="AM2149" s="49"/>
      <c r="AN2149" s="52" t="str">
        <f t="shared" si="5"/>
        <v>detail,</v>
      </c>
    </row>
    <row r="2150">
      <c r="A2150" s="51"/>
      <c r="B2150" s="50" t="s">
        <v>5293</v>
      </c>
      <c r="C2150" s="50" t="s">
        <v>3328</v>
      </c>
      <c r="D2150" s="49" t="str">
        <f>IFERROR(__xludf.DUMMYFUNCTION("""COMPUTED_VALUE"""),"circle")</f>
        <v>circle</v>
      </c>
      <c r="E2150" s="49"/>
      <c r="F2150" s="49"/>
      <c r="G2150" s="49"/>
      <c r="H2150" s="54" t="str">
        <f t="shared" si="1"/>
        <v>dedicated,</v>
      </c>
      <c r="I2150" s="50"/>
      <c r="J2150" s="50" t="s">
        <v>7477</v>
      </c>
      <c r="K2150" s="50" t="s">
        <v>2077</v>
      </c>
      <c r="L2150" s="49"/>
      <c r="M2150" s="49"/>
      <c r="N2150" s="49"/>
      <c r="O2150" s="49"/>
      <c r="P2150" s="49" t="str">
        <f t="shared" si="2"/>
        <v>doubtful,</v>
      </c>
      <c r="Q2150" s="49"/>
      <c r="R2150" s="50" t="s">
        <v>7521</v>
      </c>
      <c r="S2150" s="55" t="s">
        <v>1273</v>
      </c>
      <c r="T2150" s="49"/>
      <c r="U2150" s="49"/>
      <c r="V2150" s="49"/>
      <c r="W2150" s="49"/>
      <c r="X2150" s="49" t="str">
        <f t="shared" si="3"/>
        <v>sl,</v>
      </c>
      <c r="Y2150" s="49"/>
      <c r="Z2150" s="1" t="s">
        <v>3579</v>
      </c>
      <c r="AA2150" s="1">
        <v>66.0</v>
      </c>
      <c r="AB2150" s="49"/>
      <c r="AC2150" s="49"/>
      <c r="AD2150" s="49"/>
      <c r="AE2150" s="49"/>
      <c r="AF2150" s="49" t="str">
        <f t="shared" si="4"/>
        <v>ill,</v>
      </c>
      <c r="AG2150" s="49"/>
      <c r="AH2150" s="1" t="s">
        <v>5326</v>
      </c>
      <c r="AI2150" s="1" t="s">
        <v>3143</v>
      </c>
      <c r="AJ2150" s="6" t="str">
        <f>IFERROR(__xludf.DUMMYFUNCTION("""COMPUTED_VALUE"""),"screaming")</f>
        <v>screaming</v>
      </c>
      <c r="AK2150" s="49"/>
      <c r="AL2150" s="49"/>
      <c r="AM2150" s="49"/>
      <c r="AN2150" s="52" t="str">
        <f t="shared" si="5"/>
        <v>aspect,</v>
      </c>
    </row>
    <row r="2151">
      <c r="A2151" s="51"/>
      <c r="B2151" s="50" t="s">
        <v>2974</v>
      </c>
      <c r="C2151" s="50" t="s">
        <v>4995</v>
      </c>
      <c r="D2151" s="49" t="str">
        <f>IFERROR(__xludf.DUMMYFUNCTION("""COMPUTED_VALUE"""),"chain")</f>
        <v>chain</v>
      </c>
      <c r="E2151" s="49"/>
      <c r="F2151" s="49"/>
      <c r="G2151" s="49"/>
      <c r="H2151" s="54" t="str">
        <f t="shared" si="1"/>
        <v>license,</v>
      </c>
      <c r="I2151" s="50"/>
      <c r="J2151" s="50" t="s">
        <v>5298</v>
      </c>
      <c r="K2151" s="50" t="s">
        <v>1051</v>
      </c>
      <c r="L2151" s="49"/>
      <c r="M2151" s="49"/>
      <c r="N2151" s="49"/>
      <c r="O2151" s="49"/>
      <c r="P2151" s="49" t="str">
        <f t="shared" si="2"/>
        <v>intentionally,</v>
      </c>
      <c r="Q2151" s="49"/>
      <c r="R2151" s="50" t="s">
        <v>3498</v>
      </c>
      <c r="S2151" s="55" t="s">
        <v>5232</v>
      </c>
      <c r="T2151" s="49"/>
      <c r="U2151" s="49"/>
      <c r="V2151" s="49"/>
      <c r="W2151" s="49"/>
      <c r="X2151" s="49" t="str">
        <f t="shared" si="3"/>
        <v>hail,</v>
      </c>
      <c r="Y2151" s="49"/>
      <c r="Z2151" s="1" t="s">
        <v>4091</v>
      </c>
      <c r="AA2151" s="1" t="s">
        <v>3234</v>
      </c>
      <c r="AB2151" s="49"/>
      <c r="AC2151" s="49"/>
      <c r="AD2151" s="49"/>
      <c r="AE2151" s="49"/>
      <c r="AF2151" s="49" t="str">
        <f t="shared" si="4"/>
        <v>wind,</v>
      </c>
      <c r="AG2151" s="49"/>
      <c r="AH2151" s="1" t="s">
        <v>6156</v>
      </c>
      <c r="AI2151" s="1" t="s">
        <v>3147</v>
      </c>
      <c r="AJ2151" s="6" t="str">
        <f>IFERROR(__xludf.DUMMYFUNCTION("""COMPUTED_VALUE"""),"decision")</f>
        <v>decision</v>
      </c>
      <c r="AK2151" s="49"/>
      <c r="AL2151" s="49"/>
      <c r="AM2151" s="49"/>
      <c r="AN2151" s="52" t="str">
        <f t="shared" si="5"/>
        <v>activities,</v>
      </c>
    </row>
    <row r="2152">
      <c r="A2152" s="51"/>
      <c r="B2152" s="50" t="s">
        <v>4314</v>
      </c>
      <c r="C2152" s="50" t="s">
        <v>536</v>
      </c>
      <c r="D2152" s="49" t="str">
        <f>IFERROR(__xludf.DUMMYFUNCTION("""COMPUTED_VALUE"""),"pick")</f>
        <v>pick</v>
      </c>
      <c r="E2152" s="49"/>
      <c r="F2152" s="49"/>
      <c r="G2152" s="49"/>
      <c r="H2152" s="54" t="str">
        <f t="shared" si="1"/>
        <v>careful,</v>
      </c>
      <c r="I2152" s="50"/>
      <c r="J2152" s="50" t="s">
        <v>1421</v>
      </c>
      <c r="K2152" s="50" t="s">
        <v>5355</v>
      </c>
      <c r="L2152" s="49"/>
      <c r="M2152" s="49"/>
      <c r="N2152" s="49"/>
      <c r="O2152" s="49"/>
      <c r="P2152" s="49" t="str">
        <f t="shared" si="2"/>
        <v>paranormal,</v>
      </c>
      <c r="Q2152" s="49"/>
      <c r="R2152" s="50" t="s">
        <v>4254</v>
      </c>
      <c r="S2152" s="55" t="s">
        <v>989</v>
      </c>
      <c r="T2152" s="49"/>
      <c r="U2152" s="49"/>
      <c r="V2152" s="49"/>
      <c r="W2152" s="49"/>
      <c r="X2152" s="49" t="str">
        <f t="shared" si="3"/>
        <v>composed,</v>
      </c>
      <c r="Y2152" s="49"/>
      <c r="Z2152" s="1" t="s">
        <v>6499</v>
      </c>
      <c r="AA2152" s="1" t="s">
        <v>4345</v>
      </c>
      <c r="AB2152" s="49"/>
      <c r="AC2152" s="49"/>
      <c r="AD2152" s="49"/>
      <c r="AE2152" s="49"/>
      <c r="AF2152" s="49" t="str">
        <f t="shared" si="4"/>
        <v>helped,</v>
      </c>
      <c r="AG2152" s="49"/>
      <c r="AH2152" s="1" t="s">
        <v>2539</v>
      </c>
      <c r="AI2152" s="1" t="s">
        <v>4528</v>
      </c>
      <c r="AJ2152" s="6" t="str">
        <f>IFERROR(__xludf.DUMMYFUNCTION("""COMPUTED_VALUE"""),"pick")</f>
        <v>pick</v>
      </c>
      <c r="AK2152" s="49"/>
      <c r="AL2152" s="49"/>
      <c r="AM2152" s="49"/>
      <c r="AN2152" s="52" t="str">
        <f t="shared" si="5"/>
        <v>sexual,</v>
      </c>
    </row>
    <row r="2153">
      <c r="A2153" s="51"/>
      <c r="B2153" s="50" t="s">
        <v>5330</v>
      </c>
      <c r="C2153" s="50" t="s">
        <v>3335</v>
      </c>
      <c r="D2153" s="49" t="str">
        <f>IFERROR(__xludf.DUMMYFUNCTION("""COMPUTED_VALUE"""),"wallace")</f>
        <v>wallace</v>
      </c>
      <c r="E2153" s="49"/>
      <c r="F2153" s="49"/>
      <c r="G2153" s="49"/>
      <c r="H2153" s="54" t="str">
        <f t="shared" si="1"/>
        <v>craft,</v>
      </c>
      <c r="I2153" s="50"/>
      <c r="J2153" s="50" t="s">
        <v>3061</v>
      </c>
      <c r="K2153" s="50" t="s">
        <v>1381</v>
      </c>
      <c r="L2153" s="49"/>
      <c r="M2153" s="49"/>
      <c r="N2153" s="49"/>
      <c r="O2153" s="49"/>
      <c r="P2153" s="49" t="str">
        <f t="shared" si="2"/>
        <v>avid,</v>
      </c>
      <c r="Q2153" s="49"/>
      <c r="R2153" s="50" t="s">
        <v>7522</v>
      </c>
      <c r="S2153" s="55" t="s">
        <v>114</v>
      </c>
      <c r="T2153" s="49"/>
      <c r="U2153" s="49"/>
      <c r="V2153" s="49"/>
      <c r="W2153" s="49"/>
      <c r="X2153" s="49" t="str">
        <f t="shared" si="3"/>
        <v>ari,</v>
      </c>
      <c r="Y2153" s="49"/>
      <c r="Z2153" s="1" t="s">
        <v>5486</v>
      </c>
      <c r="AA2153" s="1" t="s">
        <v>1755</v>
      </c>
      <c r="AB2153" s="49"/>
      <c r="AC2153" s="49"/>
      <c r="AD2153" s="49"/>
      <c r="AE2153" s="49"/>
      <c r="AF2153" s="49" t="str">
        <f t="shared" si="4"/>
        <v>pic,</v>
      </c>
      <c r="AG2153" s="49"/>
      <c r="AH2153" s="1" t="s">
        <v>7032</v>
      </c>
      <c r="AI2153" s="1" t="s">
        <v>4656</v>
      </c>
      <c r="AJ2153" s="6" t="str">
        <f>IFERROR(__xludf.DUMMYFUNCTION("""COMPUTED_VALUE"""),"celebration")</f>
        <v>celebration</v>
      </c>
      <c r="AK2153" s="49"/>
      <c r="AL2153" s="49"/>
      <c r="AM2153" s="49"/>
      <c r="AN2153" s="52" t="str">
        <f t="shared" si="5"/>
        <v>pointing,</v>
      </c>
    </row>
    <row r="2154">
      <c r="A2154" s="51"/>
      <c r="B2154" s="50" t="s">
        <v>4174</v>
      </c>
      <c r="C2154" s="50" t="s">
        <v>4441</v>
      </c>
      <c r="D2154" s="49" t="str">
        <f>IFERROR(__xludf.DUMMYFUNCTION("""COMPUTED_VALUE"""),"flying")</f>
        <v>flying</v>
      </c>
      <c r="E2154" s="49"/>
      <c r="F2154" s="49"/>
      <c r="G2154" s="49"/>
      <c r="H2154" s="54" t="str">
        <f t="shared" si="1"/>
        <v>cult,</v>
      </c>
      <c r="I2154" s="50"/>
      <c r="J2154" s="50" t="s">
        <v>1298</v>
      </c>
      <c r="K2154" s="50" t="s">
        <v>4859</v>
      </c>
      <c r="L2154" s="49"/>
      <c r="M2154" s="49"/>
      <c r="N2154" s="49"/>
      <c r="O2154" s="49"/>
      <c r="P2154" s="49" t="str">
        <f t="shared" si="2"/>
        <v>borders,</v>
      </c>
      <c r="Q2154" s="49"/>
      <c r="R2154" s="50" t="s">
        <v>6103</v>
      </c>
      <c r="S2154" s="55" t="s">
        <v>5377</v>
      </c>
      <c r="T2154" s="49"/>
      <c r="U2154" s="49"/>
      <c r="V2154" s="49"/>
      <c r="W2154" s="49"/>
      <c r="X2154" s="49" t="str">
        <f t="shared" si="3"/>
        <v>confuse,</v>
      </c>
      <c r="Y2154" s="49"/>
      <c r="Z2154" s="1" t="s">
        <v>2383</v>
      </c>
      <c r="AA2154" s="1" t="s">
        <v>2530</v>
      </c>
      <c r="AB2154" s="49"/>
      <c r="AC2154" s="49"/>
      <c r="AD2154" s="49"/>
      <c r="AE2154" s="49"/>
      <c r="AF2154" s="49" t="str">
        <f t="shared" si="4"/>
        <v>adult,</v>
      </c>
      <c r="AG2154" s="49"/>
      <c r="AH2154" s="1" t="s">
        <v>5178</v>
      </c>
      <c r="AI2154" s="1" t="s">
        <v>5066</v>
      </c>
      <c r="AJ2154" s="6" t="str">
        <f>IFERROR(__xludf.DUMMYFUNCTION("""COMPUTED_VALUE"""),"thank")</f>
        <v>thank</v>
      </c>
      <c r="AK2154" s="49"/>
      <c r="AL2154" s="49"/>
      <c r="AM2154" s="49"/>
      <c r="AN2154" s="52" t="str">
        <f t="shared" si="5"/>
        <v>del,</v>
      </c>
    </row>
    <row r="2155">
      <c r="A2155" s="51"/>
      <c r="B2155" s="50" t="s">
        <v>3925</v>
      </c>
      <c r="C2155" s="50" t="s">
        <v>5122</v>
      </c>
      <c r="D2155" s="49" t="str">
        <f>IFERROR(__xludf.DUMMYFUNCTION("""COMPUTED_VALUE"""),"cooper")</f>
        <v>cooper</v>
      </c>
      <c r="E2155" s="49"/>
      <c r="F2155" s="49"/>
      <c r="G2155" s="49"/>
      <c r="H2155" s="54" t="str">
        <f t="shared" si="1"/>
        <v>surgeon,</v>
      </c>
      <c r="I2155" s="50"/>
      <c r="J2155" s="50" t="s">
        <v>2621</v>
      </c>
      <c r="K2155" s="50" t="s">
        <v>3161</v>
      </c>
      <c r="L2155" s="49"/>
      <c r="M2155" s="49"/>
      <c r="N2155" s="49"/>
      <c r="O2155" s="49"/>
      <c r="P2155" s="49" t="str">
        <f t="shared" si="2"/>
        <v>paranoid,</v>
      </c>
      <c r="Q2155" s="49"/>
      <c r="R2155" s="50" t="s">
        <v>667</v>
      </c>
      <c r="S2155" s="55" t="s">
        <v>6086</v>
      </c>
      <c r="T2155" s="49"/>
      <c r="U2155" s="49"/>
      <c r="V2155" s="49"/>
      <c r="W2155" s="49"/>
      <c r="X2155" s="49" t="str">
        <f t="shared" si="3"/>
        <v>stirring,</v>
      </c>
      <c r="Y2155" s="49"/>
      <c r="Z2155" s="1" t="s">
        <v>1281</v>
      </c>
      <c r="AA2155" s="1" t="s">
        <v>2533</v>
      </c>
      <c r="AB2155" s="49"/>
      <c r="AC2155" s="49"/>
      <c r="AD2155" s="49"/>
      <c r="AE2155" s="49"/>
      <c r="AF2155" s="49" t="str">
        <f t="shared" si="4"/>
        <v>vulgar,</v>
      </c>
      <c r="AG2155" s="49"/>
      <c r="AH2155" s="1" t="s">
        <v>6724</v>
      </c>
      <c r="AI2155" s="1" t="s">
        <v>2663</v>
      </c>
      <c r="AJ2155" s="6" t="str">
        <f>IFERROR(__xludf.DUMMYFUNCTION("""COMPUTED_VALUE"""),"ages")</f>
        <v>ages</v>
      </c>
      <c r="AK2155" s="49"/>
      <c r="AL2155" s="49"/>
      <c r="AM2155" s="49"/>
      <c r="AN2155" s="52" t="str">
        <f t="shared" si="5"/>
        <v>scared,</v>
      </c>
    </row>
    <row r="2156">
      <c r="A2156" s="51"/>
      <c r="B2156" s="50" t="s">
        <v>264</v>
      </c>
      <c r="C2156" s="50" t="s">
        <v>4447</v>
      </c>
      <c r="D2156" s="49" t="str">
        <f>IFERROR(__xludf.DUMMYFUNCTION("""COMPUTED_VALUE"""),"amount")</f>
        <v>amount</v>
      </c>
      <c r="E2156" s="49"/>
      <c r="F2156" s="49"/>
      <c r="G2156" s="49"/>
      <c r="H2156" s="54" t="str">
        <f t="shared" si="1"/>
        <v>often,</v>
      </c>
      <c r="I2156" s="50"/>
      <c r="J2156" s="50" t="s">
        <v>4347</v>
      </c>
      <c r="K2156" s="50" t="s">
        <v>3759</v>
      </c>
      <c r="L2156" s="49"/>
      <c r="M2156" s="49"/>
      <c r="N2156" s="49"/>
      <c r="O2156" s="49"/>
      <c r="P2156" s="49" t="str">
        <f t="shared" si="2"/>
        <v>devotion,</v>
      </c>
      <c r="Q2156" s="49"/>
      <c r="R2156" s="50" t="s">
        <v>7523</v>
      </c>
      <c r="S2156" s="55" t="s">
        <v>5237</v>
      </c>
      <c r="T2156" s="49"/>
      <c r="U2156" s="49"/>
      <c r="V2156" s="49"/>
      <c r="W2156" s="49"/>
      <c r="X2156" s="49" t="str">
        <f t="shared" si="3"/>
        <v>inducing,</v>
      </c>
      <c r="Y2156" s="49"/>
      <c r="Z2156" s="1" t="s">
        <v>4246</v>
      </c>
      <c r="AA2156" s="1" t="s">
        <v>5358</v>
      </c>
      <c r="AB2156" s="49"/>
      <c r="AC2156" s="49"/>
      <c r="AD2156" s="49"/>
      <c r="AE2156" s="49"/>
      <c r="AF2156" s="49" t="str">
        <f t="shared" si="4"/>
        <v>references,</v>
      </c>
      <c r="AG2156" s="49"/>
      <c r="AH2156" s="1" t="s">
        <v>5460</v>
      </c>
      <c r="AI2156" s="1" t="s">
        <v>3153</v>
      </c>
      <c r="AJ2156" s="6" t="str">
        <f>IFERROR(__xludf.DUMMYFUNCTION("""COMPUTED_VALUE"""),"angels")</f>
        <v>angels</v>
      </c>
      <c r="AK2156" s="49"/>
      <c r="AL2156" s="49"/>
      <c r="AM2156" s="49"/>
      <c r="AN2156" s="52" t="str">
        <f t="shared" si="5"/>
        <v>j,</v>
      </c>
    </row>
    <row r="2157">
      <c r="A2157" s="51"/>
      <c r="B2157" s="50" t="s">
        <v>2125</v>
      </c>
      <c r="C2157" s="50" t="s">
        <v>1123</v>
      </c>
      <c r="D2157" s="49" t="str">
        <f>IFERROR(__xludf.DUMMYFUNCTION("""COMPUTED_VALUE"""),"enormous")</f>
        <v>enormous</v>
      </c>
      <c r="E2157" s="49"/>
      <c r="F2157" s="49"/>
      <c r="G2157" s="49"/>
      <c r="H2157" s="54" t="str">
        <f t="shared" si="1"/>
        <v>arts,</v>
      </c>
      <c r="I2157" s="50"/>
      <c r="J2157" s="50" t="s">
        <v>2285</v>
      </c>
      <c r="K2157" s="50" t="s">
        <v>3761</v>
      </c>
      <c r="L2157" s="49"/>
      <c r="M2157" s="49"/>
      <c r="N2157" s="49"/>
      <c r="O2157" s="49"/>
      <c r="P2157" s="49" t="str">
        <f t="shared" si="2"/>
        <v>indian,</v>
      </c>
      <c r="Q2157" s="49"/>
      <c r="R2157" s="50" t="s">
        <v>1722</v>
      </c>
      <c r="S2157" s="55" t="s">
        <v>6660</v>
      </c>
      <c r="T2157" s="49"/>
      <c r="U2157" s="49"/>
      <c r="V2157" s="49"/>
      <c r="W2157" s="49"/>
      <c r="X2157" s="49" t="str">
        <f t="shared" si="3"/>
        <v>fury,</v>
      </c>
      <c r="Y2157" s="49"/>
      <c r="Z2157" s="1" t="s">
        <v>1608</v>
      </c>
      <c r="AA2157" s="1" t="s">
        <v>3673</v>
      </c>
      <c r="AB2157" s="49"/>
      <c r="AC2157" s="49"/>
      <c r="AD2157" s="49"/>
      <c r="AE2157" s="49"/>
      <c r="AF2157" s="49" t="str">
        <f t="shared" si="4"/>
        <v>opera,</v>
      </c>
      <c r="AG2157" s="49"/>
      <c r="AH2157" s="1" t="s">
        <v>6448</v>
      </c>
      <c r="AI2157" s="1" t="s">
        <v>6661</v>
      </c>
      <c r="AJ2157" s="6" t="str">
        <f>IFERROR(__xludf.DUMMYFUNCTION("""COMPUTED_VALUE"""),"interview")</f>
        <v>interview</v>
      </c>
      <c r="AK2157" s="49"/>
      <c r="AL2157" s="49"/>
      <c r="AM2157" s="49"/>
      <c r="AN2157" s="52" t="str">
        <f t="shared" si="5"/>
        <v>placed,</v>
      </c>
    </row>
    <row r="2158">
      <c r="A2158" s="51"/>
      <c r="B2158" s="50" t="s">
        <v>451</v>
      </c>
      <c r="C2158" s="50" t="s">
        <v>5167</v>
      </c>
      <c r="D2158" s="49" t="str">
        <f>IFERROR(__xludf.DUMMYFUNCTION("""COMPUTED_VALUE"""),"cause")</f>
        <v>cause</v>
      </c>
      <c r="E2158" s="49"/>
      <c r="F2158" s="49"/>
      <c r="G2158" s="49"/>
      <c r="H2158" s="54" t="str">
        <f t="shared" si="1"/>
        <v>projects,</v>
      </c>
      <c r="I2158" s="50"/>
      <c r="J2158" s="50" t="s">
        <v>7482</v>
      </c>
      <c r="K2158" s="50" t="s">
        <v>5359</v>
      </c>
      <c r="L2158" s="49"/>
      <c r="M2158" s="49"/>
      <c r="N2158" s="49"/>
      <c r="O2158" s="49"/>
      <c r="P2158" s="49" t="str">
        <f t="shared" si="2"/>
        <v>altering,</v>
      </c>
      <c r="Q2158" s="49"/>
      <c r="R2158" s="50" t="s">
        <v>4332</v>
      </c>
      <c r="S2158" s="55" t="s">
        <v>6662</v>
      </c>
      <c r="T2158" s="49"/>
      <c r="U2158" s="49"/>
      <c r="V2158" s="49"/>
      <c r="W2158" s="49"/>
      <c r="X2158" s="49" t="str">
        <f t="shared" si="3"/>
        <v>inclination,</v>
      </c>
      <c r="Y2158" s="49"/>
      <c r="Z2158" s="1" t="s">
        <v>5142</v>
      </c>
      <c r="AA2158" s="1" t="s">
        <v>2536</v>
      </c>
      <c r="AB2158" s="49"/>
      <c r="AC2158" s="49"/>
      <c r="AD2158" s="49"/>
      <c r="AE2158" s="49"/>
      <c r="AF2158" s="49" t="str">
        <f t="shared" si="4"/>
        <v>stunning,</v>
      </c>
      <c r="AG2158" s="49"/>
      <c r="AH2158" s="1" t="s">
        <v>6823</v>
      </c>
      <c r="AI2158" s="1" t="s">
        <v>1236</v>
      </c>
      <c r="AJ2158" s="6" t="str">
        <f>IFERROR(__xludf.DUMMYFUNCTION("""COMPUTED_VALUE"""),"vampire")</f>
        <v>vampire</v>
      </c>
      <c r="AK2158" s="49"/>
      <c r="AL2158" s="49"/>
      <c r="AM2158" s="49"/>
      <c r="AN2158" s="52" t="str">
        <f t="shared" si="5"/>
        <v>fifth,</v>
      </c>
    </row>
    <row r="2159">
      <c r="A2159" s="51"/>
      <c r="B2159" s="50" t="s">
        <v>1690</v>
      </c>
      <c r="C2159" s="50" t="s">
        <v>6453</v>
      </c>
      <c r="D2159" s="49" t="str">
        <f>IFERROR(__xludf.DUMMYFUNCTION("""COMPUTED_VALUE"""),"afternoon")</f>
        <v>afternoon</v>
      </c>
      <c r="E2159" s="49"/>
      <c r="F2159" s="49"/>
      <c r="G2159" s="49"/>
      <c r="H2159" s="54" t="str">
        <f t="shared" si="1"/>
        <v>dragon,</v>
      </c>
      <c r="I2159" s="50"/>
      <c r="J2159" s="50" t="s">
        <v>6558</v>
      </c>
      <c r="K2159" s="50" t="s">
        <v>1757</v>
      </c>
      <c r="L2159" s="49"/>
      <c r="M2159" s="49"/>
      <c r="N2159" s="49"/>
      <c r="O2159" s="49"/>
      <c r="P2159" s="49" t="str">
        <f t="shared" si="2"/>
        <v>ignored,</v>
      </c>
      <c r="Q2159" s="49"/>
      <c r="R2159" s="50" t="s">
        <v>7036</v>
      </c>
      <c r="S2159" s="55" t="s">
        <v>6663</v>
      </c>
      <c r="T2159" s="49"/>
      <c r="U2159" s="49"/>
      <c r="V2159" s="49"/>
      <c r="W2159" s="49"/>
      <c r="X2159" s="49" t="str">
        <f t="shared" si="3"/>
        <v>heap,</v>
      </c>
      <c r="Y2159" s="49"/>
      <c r="Z2159" s="1" t="s">
        <v>744</v>
      </c>
      <c r="AA2159" s="1" t="s">
        <v>4597</v>
      </c>
      <c r="AB2159" s="49"/>
      <c r="AC2159" s="49"/>
      <c r="AD2159" s="49"/>
      <c r="AE2159" s="49"/>
      <c r="AF2159" s="49" t="str">
        <f t="shared" si="4"/>
        <v>opaque,</v>
      </c>
      <c r="AG2159" s="49"/>
      <c r="AH2159" s="1" t="s">
        <v>1547</v>
      </c>
      <c r="AI2159" s="1" t="s">
        <v>2396</v>
      </c>
      <c r="AJ2159" s="6" t="str">
        <f>IFERROR(__xludf.DUMMYFUNCTION("""COMPUTED_VALUE"""),"roots")</f>
        <v>roots</v>
      </c>
      <c r="AK2159" s="49"/>
      <c r="AL2159" s="49"/>
      <c r="AM2159" s="49"/>
      <c r="AN2159" s="52" t="str">
        <f t="shared" si="5"/>
        <v>grade,</v>
      </c>
    </row>
    <row r="2160">
      <c r="A2160" s="51"/>
      <c r="B2160" s="50" t="s">
        <v>5946</v>
      </c>
      <c r="C2160" s="50" t="s">
        <v>5922</v>
      </c>
      <c r="D2160" s="49" t="str">
        <f>IFERROR(__xludf.DUMMYFUNCTION("""COMPUTED_VALUE"""),"random")</f>
        <v>random</v>
      </c>
      <c r="E2160" s="49"/>
      <c r="F2160" s="49"/>
      <c r="G2160" s="49"/>
      <c r="H2160" s="54" t="str">
        <f t="shared" si="1"/>
        <v>jet,</v>
      </c>
      <c r="I2160" s="50"/>
      <c r="J2160" s="50" t="s">
        <v>1765</v>
      </c>
      <c r="K2160" s="50" t="s">
        <v>2084</v>
      </c>
      <c r="L2160" s="49"/>
      <c r="M2160" s="49"/>
      <c r="N2160" s="49"/>
      <c r="O2160" s="49"/>
      <c r="P2160" s="49" t="str">
        <f t="shared" si="2"/>
        <v>maneuvers,</v>
      </c>
      <c r="Q2160" s="49"/>
      <c r="R2160" s="50" t="s">
        <v>1663</v>
      </c>
      <c r="S2160" s="55" t="s">
        <v>1994</v>
      </c>
      <c r="T2160" s="49"/>
      <c r="U2160" s="49"/>
      <c r="V2160" s="49"/>
      <c r="W2160" s="49"/>
      <c r="X2160" s="49" t="str">
        <f t="shared" si="3"/>
        <v>extraordinary,</v>
      </c>
      <c r="Y2160" s="49"/>
      <c r="Z2160" s="1" t="s">
        <v>4670</v>
      </c>
      <c r="AA2160" s="1" t="s">
        <v>1410</v>
      </c>
      <c r="AB2160" s="49"/>
      <c r="AC2160" s="49"/>
      <c r="AD2160" s="49"/>
      <c r="AE2160" s="49"/>
      <c r="AF2160" s="49" t="str">
        <f t="shared" si="4"/>
        <v>marvelous,</v>
      </c>
      <c r="AG2160" s="49"/>
      <c r="AH2160" s="1" t="s">
        <v>6603</v>
      </c>
      <c r="AI2160" s="1" t="s">
        <v>106</v>
      </c>
      <c r="AJ2160" s="6" t="str">
        <f>IFERROR(__xludf.DUMMYFUNCTION("""COMPUTED_VALUE"""),"total")</f>
        <v>total</v>
      </c>
      <c r="AK2160" s="49"/>
      <c r="AL2160" s="49"/>
      <c r="AM2160" s="49"/>
      <c r="AN2160" s="52" t="str">
        <f t="shared" si="5"/>
        <v>danger,</v>
      </c>
    </row>
    <row r="2161">
      <c r="A2161" s="51"/>
      <c r="B2161" s="50" t="s">
        <v>6772</v>
      </c>
      <c r="C2161" s="50">
        <v>15.0</v>
      </c>
      <c r="D2161" s="49" t="str">
        <f>IFERROR(__xludf.DUMMYFUNCTION("""COMPUTED_VALUE"""),"notion")</f>
        <v>notion</v>
      </c>
      <c r="E2161" s="49"/>
      <c r="F2161" s="49"/>
      <c r="G2161" s="49"/>
      <c r="H2161" s="54" t="str">
        <f t="shared" si="1"/>
        <v>paying,</v>
      </c>
      <c r="I2161" s="50"/>
      <c r="J2161" s="50" t="s">
        <v>7524</v>
      </c>
      <c r="K2161" s="50" t="s">
        <v>2086</v>
      </c>
      <c r="L2161" s="49"/>
      <c r="M2161" s="49"/>
      <c r="N2161" s="49"/>
      <c r="O2161" s="49"/>
      <c r="P2161" s="49" t="str">
        <f t="shared" si="2"/>
        <v>mate,</v>
      </c>
      <c r="Q2161" s="49"/>
      <c r="R2161" s="50" t="s">
        <v>3604</v>
      </c>
      <c r="S2161" s="55" t="s">
        <v>2442</v>
      </c>
      <c r="T2161" s="49"/>
      <c r="U2161" s="49"/>
      <c r="V2161" s="49"/>
      <c r="W2161" s="49"/>
      <c r="X2161" s="49" t="str">
        <f t="shared" si="3"/>
        <v>neatly,</v>
      </c>
      <c r="Y2161" s="49"/>
      <c r="Z2161" s="1" t="s">
        <v>6495</v>
      </c>
      <c r="AA2161" s="1" t="s">
        <v>1415</v>
      </c>
      <c r="AB2161" s="49"/>
      <c r="AC2161" s="49"/>
      <c r="AD2161" s="49"/>
      <c r="AE2161" s="49"/>
      <c r="AF2161" s="49" t="str">
        <f t="shared" si="4"/>
        <v>attitude,</v>
      </c>
      <c r="AG2161" s="49"/>
      <c r="AH2161" s="1" t="s">
        <v>6882</v>
      </c>
      <c r="AI2161" s="1" t="s">
        <v>5200</v>
      </c>
      <c r="AJ2161" s="6" t="str">
        <f>IFERROR(__xludf.DUMMYFUNCTION("""COMPUTED_VALUE"""),"appearing")</f>
        <v>appearing</v>
      </c>
      <c r="AK2161" s="49"/>
      <c r="AL2161" s="49"/>
      <c r="AM2161" s="49"/>
      <c r="AN2161" s="52" t="str">
        <f t="shared" si="5"/>
        <v>wayne,</v>
      </c>
    </row>
    <row r="2162">
      <c r="A2162" s="51"/>
      <c r="B2162" s="50" t="s">
        <v>1272</v>
      </c>
      <c r="C2162" s="50" t="s">
        <v>2201</v>
      </c>
      <c r="D2162" s="49" t="str">
        <f>IFERROR(__xludf.DUMMYFUNCTION("""COMPUTED_VALUE"""),"animals")</f>
        <v>animals</v>
      </c>
      <c r="E2162" s="49"/>
      <c r="F2162" s="49"/>
      <c r="G2162" s="49"/>
      <c r="H2162" s="54" t="str">
        <f t="shared" si="1"/>
        <v>martial,</v>
      </c>
      <c r="I2162" s="50"/>
      <c r="J2162" s="50" t="s">
        <v>157</v>
      </c>
      <c r="K2162" s="50" t="s">
        <v>3767</v>
      </c>
      <c r="L2162" s="49"/>
      <c r="M2162" s="49"/>
      <c r="N2162" s="49"/>
      <c r="O2162" s="49"/>
      <c r="P2162" s="49" t="str">
        <f t="shared" si="2"/>
        <v>reveals,</v>
      </c>
      <c r="Q2162" s="49"/>
      <c r="R2162" s="50" t="s">
        <v>5168</v>
      </c>
      <c r="S2162" s="55" t="s">
        <v>4063</v>
      </c>
      <c r="T2162" s="49"/>
      <c r="U2162" s="49"/>
      <c r="V2162" s="49"/>
      <c r="W2162" s="49"/>
      <c r="X2162" s="49" t="str">
        <f t="shared" si="3"/>
        <v>bouncing,</v>
      </c>
      <c r="Y2162" s="49"/>
      <c r="Z2162" s="1" t="s">
        <v>2583</v>
      </c>
      <c r="AA2162" s="1" t="s">
        <v>1680</v>
      </c>
      <c r="AB2162" s="49"/>
      <c r="AC2162" s="49"/>
      <c r="AD2162" s="49"/>
      <c r="AE2162" s="49"/>
      <c r="AF2162" s="49" t="str">
        <f t="shared" si="4"/>
        <v>thoroughly,</v>
      </c>
      <c r="AG2162" s="49"/>
      <c r="AH2162" s="1" t="s">
        <v>3710</v>
      </c>
      <c r="AI2162" s="1" t="s">
        <v>6664</v>
      </c>
      <c r="AJ2162" s="6" t="str">
        <f>IFERROR(__xludf.DUMMYFUNCTION("""COMPUTED_VALUE"""),"service")</f>
        <v>service</v>
      </c>
      <c r="AK2162" s="49"/>
      <c r="AL2162" s="49"/>
      <c r="AM2162" s="49"/>
      <c r="AN2162" s="52" t="str">
        <f t="shared" si="5"/>
        <v>bear,</v>
      </c>
    </row>
    <row r="2163">
      <c r="A2163" s="51"/>
      <c r="B2163" s="50" t="s">
        <v>5260</v>
      </c>
      <c r="C2163" s="50" t="s">
        <v>3022</v>
      </c>
      <c r="D2163" s="49" t="str">
        <f>IFERROR(__xludf.DUMMYFUNCTION("""COMPUTED_VALUE"""),"birthday")</f>
        <v>birthday</v>
      </c>
      <c r="E2163" s="49"/>
      <c r="F2163" s="49"/>
      <c r="G2163" s="49"/>
      <c r="H2163" s="54" t="str">
        <f t="shared" si="1"/>
        <v>tree,</v>
      </c>
      <c r="I2163" s="50"/>
      <c r="J2163" s="50" t="s">
        <v>6514</v>
      </c>
      <c r="K2163" s="50" t="s">
        <v>2090</v>
      </c>
      <c r="L2163" s="49"/>
      <c r="M2163" s="49"/>
      <c r="N2163" s="49"/>
      <c r="O2163" s="49"/>
      <c r="P2163" s="49" t="str">
        <f t="shared" si="2"/>
        <v>universe,</v>
      </c>
      <c r="Q2163" s="49"/>
      <c r="R2163" s="50" t="s">
        <v>2216</v>
      </c>
      <c r="S2163" s="55" t="s">
        <v>4697</v>
      </c>
      <c r="T2163" s="49"/>
      <c r="U2163" s="49"/>
      <c r="V2163" s="49"/>
      <c r="W2163" s="49"/>
      <c r="X2163" s="49" t="str">
        <f t="shared" si="3"/>
        <v>pianist,</v>
      </c>
      <c r="Y2163" s="49"/>
      <c r="Z2163" s="1" t="s">
        <v>267</v>
      </c>
      <c r="AA2163" s="1" t="s">
        <v>4356</v>
      </c>
      <c r="AB2163" s="49"/>
      <c r="AC2163" s="49"/>
      <c r="AD2163" s="49"/>
      <c r="AE2163" s="49"/>
      <c r="AF2163" s="49" t="str">
        <f t="shared" si="4"/>
        <v>uneven,</v>
      </c>
      <c r="AG2163" s="49"/>
      <c r="AH2163" s="1" t="s">
        <v>5793</v>
      </c>
      <c r="AI2163" s="1">
        <v>5.0</v>
      </c>
      <c r="AJ2163" s="6" t="str">
        <f>IFERROR(__xludf.DUMMYFUNCTION("""COMPUTED_VALUE"""),"failure")</f>
        <v>failure</v>
      </c>
      <c r="AK2163" s="49"/>
      <c r="AL2163" s="49"/>
      <c r="AM2163" s="49"/>
      <c r="AN2163" s="52" t="str">
        <f t="shared" si="5"/>
        <v>breaking,</v>
      </c>
    </row>
    <row r="2164">
      <c r="A2164" s="51"/>
      <c r="B2164" s="50" t="s">
        <v>6645</v>
      </c>
      <c r="C2164" s="50" t="s">
        <v>5174</v>
      </c>
      <c r="D2164" s="49" t="str">
        <f>IFERROR(__xludf.DUMMYFUNCTION("""COMPUTED_VALUE"""),"cake")</f>
        <v>cake</v>
      </c>
      <c r="E2164" s="49"/>
      <c r="F2164" s="49"/>
      <c r="G2164" s="49"/>
      <c r="H2164" s="54" t="str">
        <f t="shared" si="1"/>
        <v>flying,</v>
      </c>
      <c r="I2164" s="50"/>
      <c r="J2164" s="50" t="s">
        <v>2777</v>
      </c>
      <c r="K2164" s="50" t="s">
        <v>3772</v>
      </c>
      <c r="L2164" s="49"/>
      <c r="M2164" s="49"/>
      <c r="N2164" s="49"/>
      <c r="O2164" s="49"/>
      <c r="P2164" s="49" t="str">
        <f t="shared" si="2"/>
        <v>unexpectedly,</v>
      </c>
      <c r="Q2164" s="49"/>
      <c r="R2164" s="50" t="s">
        <v>5962</v>
      </c>
      <c r="S2164" s="55" t="s">
        <v>1998</v>
      </c>
      <c r="T2164" s="49"/>
      <c r="U2164" s="49"/>
      <c r="V2164" s="49"/>
      <c r="W2164" s="49"/>
      <c r="X2164" s="49" t="str">
        <f t="shared" si="3"/>
        <v>damaged,</v>
      </c>
      <c r="Y2164" s="49"/>
      <c r="Z2164" s="1" t="s">
        <v>5327</v>
      </c>
      <c r="AA2164" s="1" t="s">
        <v>346</v>
      </c>
      <c r="AB2164" s="49"/>
      <c r="AC2164" s="49"/>
      <c r="AD2164" s="49"/>
      <c r="AE2164" s="49"/>
      <c r="AF2164" s="49" t="str">
        <f t="shared" si="4"/>
        <v>numbers,</v>
      </c>
      <c r="AG2164" s="49"/>
      <c r="AH2164" s="1" t="s">
        <v>2911</v>
      </c>
      <c r="AI2164" s="1" t="s">
        <v>3172</v>
      </c>
      <c r="AJ2164" s="6" t="str">
        <f>IFERROR(__xludf.DUMMYFUNCTION("""COMPUTED_VALUE"""),"talked")</f>
        <v>talked</v>
      </c>
      <c r="AK2164" s="49"/>
      <c r="AL2164" s="49"/>
      <c r="AM2164" s="49"/>
      <c r="AN2164" s="52" t="str">
        <f t="shared" si="5"/>
        <v>pleasure,</v>
      </c>
    </row>
    <row r="2165">
      <c r="A2165" s="51"/>
      <c r="B2165" s="50" t="s">
        <v>688</v>
      </c>
      <c r="C2165" s="50" t="s">
        <v>5006</v>
      </c>
      <c r="D2165" s="49" t="str">
        <f>IFERROR(__xludf.DUMMYFUNCTION("""COMPUTED_VALUE"""),"zero")</f>
        <v>zero</v>
      </c>
      <c r="E2165" s="49"/>
      <c r="F2165" s="49"/>
      <c r="G2165" s="49"/>
      <c r="H2165" s="54" t="str">
        <f t="shared" si="1"/>
        <v>images,</v>
      </c>
      <c r="I2165" s="50"/>
      <c r="J2165" s="50" t="s">
        <v>4567</v>
      </c>
      <c r="K2165" s="50" t="s">
        <v>1782</v>
      </c>
      <c r="L2165" s="49"/>
      <c r="M2165" s="49"/>
      <c r="N2165" s="49"/>
      <c r="O2165" s="49"/>
      <c r="P2165" s="49" t="str">
        <f t="shared" si="2"/>
        <v>breath,</v>
      </c>
      <c r="Q2165" s="49"/>
      <c r="R2165" s="50" t="s">
        <v>7525</v>
      </c>
      <c r="S2165" s="55" t="s">
        <v>5113</v>
      </c>
      <c r="T2165" s="49"/>
      <c r="U2165" s="49"/>
      <c r="V2165" s="49"/>
      <c r="W2165" s="49"/>
      <c r="X2165" s="49" t="str">
        <f t="shared" si="3"/>
        <v>capt,</v>
      </c>
      <c r="Y2165" s="49"/>
      <c r="Z2165" s="1" t="s">
        <v>2257</v>
      </c>
      <c r="AA2165" s="1" t="s">
        <v>2543</v>
      </c>
      <c r="AB2165" s="49"/>
      <c r="AC2165" s="49"/>
      <c r="AD2165" s="49"/>
      <c r="AE2165" s="49"/>
      <c r="AF2165" s="49" t="str">
        <f t="shared" si="4"/>
        <v>punishment,</v>
      </c>
      <c r="AG2165" s="49"/>
      <c r="AH2165" s="1" t="s">
        <v>7037</v>
      </c>
      <c r="AI2165" s="1" t="s">
        <v>2883</v>
      </c>
      <c r="AJ2165" s="6" t="str">
        <f>IFERROR(__xludf.DUMMYFUNCTION("""COMPUTED_VALUE"""),"students")</f>
        <v>students</v>
      </c>
      <c r="AK2165" s="49"/>
      <c r="AL2165" s="49"/>
      <c r="AM2165" s="49"/>
      <c r="AN2165" s="52" t="str">
        <f t="shared" si="5"/>
        <v>feed,</v>
      </c>
    </row>
    <row r="2166">
      <c r="A2166" s="51"/>
      <c r="B2166" s="50" t="s">
        <v>7331</v>
      </c>
      <c r="C2166" s="50" t="s">
        <v>3355</v>
      </c>
      <c r="D2166" s="49" t="str">
        <f>IFERROR(__xludf.DUMMYFUNCTION("""COMPUTED_VALUE"""),"rating")</f>
        <v>rating</v>
      </c>
      <c r="E2166" s="49"/>
      <c r="F2166" s="49"/>
      <c r="G2166" s="49"/>
      <c r="H2166" s="54" t="str">
        <f t="shared" si="1"/>
        <v>inter,</v>
      </c>
      <c r="I2166" s="50"/>
      <c r="J2166" s="50" t="s">
        <v>2791</v>
      </c>
      <c r="K2166" s="50" t="s">
        <v>4433</v>
      </c>
      <c r="L2166" s="49"/>
      <c r="M2166" s="49"/>
      <c r="N2166" s="49"/>
      <c r="O2166" s="49"/>
      <c r="P2166" s="49" t="str">
        <f t="shared" si="2"/>
        <v>awe,</v>
      </c>
      <c r="Q2166" s="49"/>
      <c r="R2166" s="50" t="s">
        <v>3756</v>
      </c>
      <c r="S2166" s="55" t="s">
        <v>3189</v>
      </c>
      <c r="T2166" s="49"/>
      <c r="U2166" s="49"/>
      <c r="V2166" s="49"/>
      <c r="W2166" s="49"/>
      <c r="X2166" s="49" t="str">
        <f t="shared" si="3"/>
        <v>miller,</v>
      </c>
      <c r="Y2166" s="49"/>
      <c r="Z2166" s="1" t="s">
        <v>2076</v>
      </c>
      <c r="AA2166" s="1" t="s">
        <v>5365</v>
      </c>
      <c r="AB2166" s="49"/>
      <c r="AC2166" s="49"/>
      <c r="AD2166" s="49"/>
      <c r="AE2166" s="49"/>
      <c r="AF2166" s="49" t="str">
        <f t="shared" si="4"/>
        <v>missed,</v>
      </c>
      <c r="AG2166" s="49"/>
      <c r="AH2166" s="1" t="s">
        <v>489</v>
      </c>
      <c r="AI2166" s="1" t="s">
        <v>6653</v>
      </c>
      <c r="AJ2166" s="6" t="str">
        <f>IFERROR(__xludf.DUMMYFUNCTION("""COMPUTED_VALUE"""),"reached")</f>
        <v>reached</v>
      </c>
      <c r="AK2166" s="49"/>
      <c r="AL2166" s="49"/>
      <c r="AM2166" s="49"/>
      <c r="AN2166" s="52" t="str">
        <f t="shared" si="5"/>
        <v>abuse,</v>
      </c>
    </row>
    <row r="2167">
      <c r="A2167" s="51"/>
      <c r="B2167" s="50" t="s">
        <v>2698</v>
      </c>
      <c r="C2167" s="50" t="s">
        <v>5135</v>
      </c>
      <c r="D2167" s="49" t="str">
        <f>IFERROR(__xludf.DUMMYFUNCTION("""COMPUTED_VALUE"""),"rat")</f>
        <v>rat</v>
      </c>
      <c r="E2167" s="49"/>
      <c r="F2167" s="49"/>
      <c r="G2167" s="49"/>
      <c r="H2167" s="54" t="str">
        <f t="shared" si="1"/>
        <v>legacy,</v>
      </c>
      <c r="I2167" s="50"/>
      <c r="J2167" s="50" t="s">
        <v>3478</v>
      </c>
      <c r="K2167" s="50" t="s">
        <v>2076</v>
      </c>
      <c r="L2167" s="49"/>
      <c r="M2167" s="49"/>
      <c r="N2167" s="49"/>
      <c r="O2167" s="49"/>
      <c r="P2167" s="49" t="str">
        <f t="shared" si="2"/>
        <v>encompasses,</v>
      </c>
      <c r="Q2167" s="49"/>
      <c r="R2167" s="50" t="s">
        <v>3050</v>
      </c>
      <c r="S2167" s="55" t="s">
        <v>3281</v>
      </c>
      <c r="T2167" s="49"/>
      <c r="U2167" s="49"/>
      <c r="V2167" s="49"/>
      <c r="W2167" s="49"/>
      <c r="X2167" s="49" t="str">
        <f t="shared" si="3"/>
        <v>circuit,</v>
      </c>
      <c r="Y2167" s="49"/>
      <c r="Z2167" s="1" t="s">
        <v>2393</v>
      </c>
      <c r="AA2167" s="1" t="s">
        <v>4360</v>
      </c>
      <c r="AB2167" s="49"/>
      <c r="AC2167" s="49"/>
      <c r="AD2167" s="49"/>
      <c r="AE2167" s="49"/>
      <c r="AF2167" s="49" t="str">
        <f t="shared" si="4"/>
        <v>childhood,</v>
      </c>
      <c r="AG2167" s="49"/>
      <c r="AH2167" s="1" t="s">
        <v>5153</v>
      </c>
      <c r="AI2167" s="1" t="s">
        <v>4672</v>
      </c>
      <c r="AJ2167" s="6" t="str">
        <f>IFERROR(__xludf.DUMMYFUNCTION("""COMPUTED_VALUE"""),"loved")</f>
        <v>loved</v>
      </c>
      <c r="AK2167" s="49"/>
      <c r="AL2167" s="49"/>
      <c r="AM2167" s="49"/>
      <c r="AN2167" s="52" t="str">
        <f t="shared" si="5"/>
        <v>carved,</v>
      </c>
    </row>
    <row r="2168">
      <c r="A2168" s="51"/>
      <c r="B2168" s="50" t="s">
        <v>5895</v>
      </c>
      <c r="C2168" s="50" t="s">
        <v>3363</v>
      </c>
      <c r="D2168" s="49" t="str">
        <f>IFERROR(__xludf.DUMMYFUNCTION("""COMPUTED_VALUE"""),"technical")</f>
        <v>technical</v>
      </c>
      <c r="E2168" s="49"/>
      <c r="F2168" s="49"/>
      <c r="G2168" s="49"/>
      <c r="H2168" s="54" t="str">
        <f t="shared" si="1"/>
        <v>cousin,</v>
      </c>
      <c r="I2168" s="50"/>
      <c r="J2168" s="50" t="s">
        <v>772</v>
      </c>
      <c r="K2168" s="50" t="s">
        <v>1057</v>
      </c>
      <c r="L2168" s="49"/>
      <c r="M2168" s="49"/>
      <c r="N2168" s="49"/>
      <c r="O2168" s="49"/>
      <c r="P2168" s="49" t="str">
        <f t="shared" si="2"/>
        <v>gaping,</v>
      </c>
      <c r="Q2168" s="49"/>
      <c r="R2168" s="50" t="s">
        <v>3531</v>
      </c>
      <c r="S2168" s="55" t="s">
        <v>4676</v>
      </c>
      <c r="T2168" s="49"/>
      <c r="U2168" s="49"/>
      <c r="V2168" s="49"/>
      <c r="W2168" s="49"/>
      <c r="X2168" s="49" t="str">
        <f t="shared" si="3"/>
        <v>accessible,</v>
      </c>
      <c r="Y2168" s="49"/>
      <c r="Z2168" s="1" t="s">
        <v>4282</v>
      </c>
      <c r="AA2168" s="1" t="s">
        <v>5367</v>
      </c>
      <c r="AB2168" s="49"/>
      <c r="AC2168" s="49"/>
      <c r="AD2168" s="49"/>
      <c r="AE2168" s="49"/>
      <c r="AF2168" s="49" t="str">
        <f t="shared" si="4"/>
        <v>social,</v>
      </c>
      <c r="AG2168" s="49"/>
      <c r="AH2168" s="1" t="s">
        <v>1124</v>
      </c>
      <c r="AI2168" s="1" t="s">
        <v>5213</v>
      </c>
      <c r="AJ2168" s="6" t="str">
        <f>IFERROR(__xludf.DUMMYFUNCTION("""COMPUTED_VALUE"""),"brain")</f>
        <v>brain</v>
      </c>
      <c r="AK2168" s="49"/>
      <c r="AL2168" s="49"/>
      <c r="AM2168" s="49"/>
      <c r="AN2168" s="52" t="str">
        <f t="shared" si="5"/>
        <v>criminal,</v>
      </c>
    </row>
    <row r="2169">
      <c r="A2169" s="51"/>
      <c r="B2169" s="50" t="s">
        <v>3355</v>
      </c>
      <c r="C2169" s="50" t="s">
        <v>5016</v>
      </c>
      <c r="D2169" s="49" t="str">
        <f>IFERROR(__xludf.DUMMYFUNCTION("""COMPUTED_VALUE"""),"considered")</f>
        <v>considered</v>
      </c>
      <c r="E2169" s="49"/>
      <c r="F2169" s="49"/>
      <c r="G2169" s="49"/>
      <c r="H2169" s="54" t="str">
        <f t="shared" si="1"/>
        <v>depression,</v>
      </c>
      <c r="I2169" s="50"/>
      <c r="J2169" s="50">
        <v>1984.0</v>
      </c>
      <c r="K2169" s="50" t="s">
        <v>1063</v>
      </c>
      <c r="L2169" s="49"/>
      <c r="M2169" s="49"/>
      <c r="N2169" s="49"/>
      <c r="O2169" s="49"/>
      <c r="P2169" s="49" t="str">
        <f t="shared" si="2"/>
        <v>1984,</v>
      </c>
      <c r="Q2169" s="49"/>
      <c r="R2169" s="50" t="s">
        <v>2749</v>
      </c>
      <c r="S2169" s="55" t="s">
        <v>3611</v>
      </c>
      <c r="T2169" s="49"/>
      <c r="U2169" s="49"/>
      <c r="V2169" s="49"/>
      <c r="W2169" s="49"/>
      <c r="X2169" s="49" t="str">
        <f t="shared" si="3"/>
        <v>freaks,</v>
      </c>
      <c r="Y2169" s="49"/>
      <c r="Z2169" s="1" t="s">
        <v>2365</v>
      </c>
      <c r="AA2169" s="1" t="s">
        <v>5140</v>
      </c>
      <c r="AB2169" s="49"/>
      <c r="AC2169" s="49"/>
      <c r="AD2169" s="49"/>
      <c r="AE2169" s="49"/>
      <c r="AF2169" s="49" t="str">
        <f t="shared" si="4"/>
        <v>jackson,</v>
      </c>
      <c r="AG2169" s="49"/>
      <c r="AH2169" s="1" t="s">
        <v>6799</v>
      </c>
      <c r="AI2169" s="1" t="s">
        <v>5215</v>
      </c>
      <c r="AJ2169" s="6" t="str">
        <f>IFERROR(__xludf.DUMMYFUNCTION("""COMPUTED_VALUE"""),"entered")</f>
        <v>entered</v>
      </c>
      <c r="AK2169" s="49"/>
      <c r="AL2169" s="49"/>
      <c r="AM2169" s="49"/>
      <c r="AN2169" s="52" t="str">
        <f t="shared" si="5"/>
        <v>flowers,</v>
      </c>
    </row>
    <row r="2170">
      <c r="A2170" s="51"/>
      <c r="B2170" s="50" t="s">
        <v>5040</v>
      </c>
      <c r="C2170" s="50" t="s">
        <v>3031</v>
      </c>
      <c r="D2170" s="49" t="str">
        <f>IFERROR(__xludf.DUMMYFUNCTION("""COMPUTED_VALUE"""),"breath")</f>
        <v>breath</v>
      </c>
      <c r="E2170" s="49"/>
      <c r="F2170" s="49"/>
      <c r="G2170" s="49"/>
      <c r="H2170" s="54" t="str">
        <f t="shared" si="1"/>
        <v>arrives,</v>
      </c>
      <c r="I2170" s="50"/>
      <c r="J2170" s="50" t="s">
        <v>4914</v>
      </c>
      <c r="K2170" s="50" t="s">
        <v>1596</v>
      </c>
      <c r="L2170" s="49"/>
      <c r="M2170" s="49"/>
      <c r="N2170" s="49"/>
      <c r="O2170" s="49"/>
      <c r="P2170" s="49" t="str">
        <f t="shared" si="2"/>
        <v>associated,</v>
      </c>
      <c r="Q2170" s="49"/>
      <c r="R2170" s="50" t="s">
        <v>6000</v>
      </c>
      <c r="S2170" s="55" t="s">
        <v>4701</v>
      </c>
      <c r="T2170" s="49"/>
      <c r="U2170" s="49"/>
      <c r="V2170" s="49"/>
      <c r="W2170" s="49"/>
      <c r="X2170" s="49" t="str">
        <f t="shared" si="3"/>
        <v>extension,</v>
      </c>
      <c r="Y2170" s="49"/>
      <c r="Z2170" s="1" t="s">
        <v>3165</v>
      </c>
      <c r="AA2170" s="1" t="s">
        <v>5369</v>
      </c>
      <c r="AB2170" s="49"/>
      <c r="AC2170" s="49"/>
      <c r="AD2170" s="49"/>
      <c r="AE2170" s="49"/>
      <c r="AF2170" s="49" t="str">
        <f t="shared" si="4"/>
        <v>mountain,</v>
      </c>
      <c r="AG2170" s="49"/>
      <c r="AH2170" s="1" t="s">
        <v>5572</v>
      </c>
      <c r="AI2170" s="1" t="s">
        <v>5362</v>
      </c>
      <c r="AJ2170" s="6" t="str">
        <f>IFERROR(__xludf.DUMMYFUNCTION("""COMPUTED_VALUE"""),"path")</f>
        <v>path</v>
      </c>
      <c r="AK2170" s="49"/>
      <c r="AL2170" s="49"/>
      <c r="AM2170" s="49"/>
      <c r="AN2170" s="52" t="str">
        <f t="shared" si="5"/>
        <v>column,</v>
      </c>
    </row>
    <row r="2171">
      <c r="A2171" s="51"/>
      <c r="B2171" s="50" t="s">
        <v>1215</v>
      </c>
      <c r="C2171" s="50" t="s">
        <v>6618</v>
      </c>
      <c r="D2171" s="49" t="str">
        <f>IFERROR(__xludf.DUMMYFUNCTION("""COMPUTED_VALUE"""),"brand")</f>
        <v>brand</v>
      </c>
      <c r="E2171" s="49"/>
      <c r="F2171" s="49"/>
      <c r="G2171" s="49"/>
      <c r="H2171" s="54" t="str">
        <f t="shared" si="1"/>
        <v>fine,</v>
      </c>
      <c r="I2171" s="50"/>
      <c r="J2171" s="50" t="s">
        <v>5164</v>
      </c>
      <c r="K2171" s="50" t="s">
        <v>4879</v>
      </c>
      <c r="L2171" s="49"/>
      <c r="M2171" s="49"/>
      <c r="N2171" s="49"/>
      <c r="O2171" s="49"/>
      <c r="P2171" s="49" t="str">
        <f t="shared" si="2"/>
        <v>nazi,</v>
      </c>
      <c r="Q2171" s="49"/>
      <c r="R2171" s="50" t="s">
        <v>4001</v>
      </c>
      <c r="S2171" s="55" t="s">
        <v>2000</v>
      </c>
      <c r="T2171" s="49"/>
      <c r="U2171" s="49"/>
      <c r="V2171" s="49"/>
      <c r="W2171" s="49"/>
      <c r="X2171" s="49" t="str">
        <f t="shared" si="3"/>
        <v>integrity,</v>
      </c>
      <c r="Y2171" s="49"/>
      <c r="Z2171" s="1" t="s">
        <v>1554</v>
      </c>
      <c r="AA2171" s="1" t="s">
        <v>2545</v>
      </c>
      <c r="AB2171" s="49"/>
      <c r="AC2171" s="49"/>
      <c r="AD2171" s="49"/>
      <c r="AE2171" s="49"/>
      <c r="AF2171" s="49" t="str">
        <f t="shared" si="4"/>
        <v>trash,</v>
      </c>
      <c r="AG2171" s="49"/>
      <c r="AH2171" s="1" t="s">
        <v>6373</v>
      </c>
      <c r="AI2171" s="1" t="s">
        <v>3175</v>
      </c>
      <c r="AJ2171" s="6" t="str">
        <f>IFERROR(__xludf.DUMMYFUNCTION("""COMPUTED_VALUE"""),"architect")</f>
        <v>architect</v>
      </c>
      <c r="AK2171" s="49"/>
      <c r="AL2171" s="49"/>
      <c r="AM2171" s="49"/>
      <c r="AN2171" s="52" t="str">
        <f t="shared" si="5"/>
        <v>conclusion,</v>
      </c>
    </row>
    <row r="2172">
      <c r="A2172" s="51"/>
      <c r="B2172" s="50" t="s">
        <v>6695</v>
      </c>
      <c r="C2172" s="50" t="s">
        <v>5692</v>
      </c>
      <c r="D2172" s="49" t="str">
        <f>IFERROR(__xludf.DUMMYFUNCTION("""COMPUTED_VALUE"""),"immediately")</f>
        <v>immediately</v>
      </c>
      <c r="E2172" s="49"/>
      <c r="F2172" s="49"/>
      <c r="G2172" s="49"/>
      <c r="H2172" s="54" t="str">
        <f t="shared" si="1"/>
        <v>realized,</v>
      </c>
      <c r="I2172" s="50"/>
      <c r="J2172" s="50" t="s">
        <v>2141</v>
      </c>
      <c r="K2172" s="50" t="s">
        <v>4419</v>
      </c>
      <c r="L2172" s="49"/>
      <c r="M2172" s="49"/>
      <c r="N2172" s="49"/>
      <c r="O2172" s="49"/>
      <c r="P2172" s="49" t="str">
        <f t="shared" si="2"/>
        <v>solemn,</v>
      </c>
      <c r="Q2172" s="49"/>
      <c r="R2172" s="50" t="s">
        <v>7526</v>
      </c>
      <c r="S2172" s="55" t="s">
        <v>1292</v>
      </c>
      <c r="T2172" s="49"/>
      <c r="U2172" s="49"/>
      <c r="V2172" s="49"/>
      <c r="W2172" s="49"/>
      <c r="X2172" s="49" t="str">
        <f t="shared" si="3"/>
        <v>freshman,</v>
      </c>
      <c r="Y2172" s="49"/>
      <c r="Z2172" s="1" t="s">
        <v>2182</v>
      </c>
      <c r="AA2172" s="1" t="s">
        <v>338</v>
      </c>
      <c r="AB2172" s="49"/>
      <c r="AC2172" s="49"/>
      <c r="AD2172" s="49"/>
      <c r="AE2172" s="49"/>
      <c r="AF2172" s="49" t="str">
        <f t="shared" si="4"/>
        <v>context,</v>
      </c>
      <c r="AG2172" s="49"/>
      <c r="AH2172" s="1" t="s">
        <v>3877</v>
      </c>
      <c r="AI2172" s="1" t="s">
        <v>4682</v>
      </c>
      <c r="AJ2172" s="6" t="str">
        <f>IFERROR(__xludf.DUMMYFUNCTION("""COMPUTED_VALUE"""),"ranks")</f>
        <v>ranks</v>
      </c>
      <c r="AK2172" s="49"/>
      <c r="AL2172" s="49"/>
      <c r="AM2172" s="49"/>
      <c r="AN2172" s="52" t="str">
        <f t="shared" si="5"/>
        <v>arrive,</v>
      </c>
    </row>
    <row r="2173">
      <c r="A2173" s="51"/>
      <c r="B2173" s="50" t="s">
        <v>2085</v>
      </c>
      <c r="C2173" s="50" t="s">
        <v>1200</v>
      </c>
      <c r="D2173" s="49" t="str">
        <f>IFERROR(__xludf.DUMMYFUNCTION("""COMPUTED_VALUE"""),"issue")</f>
        <v>issue</v>
      </c>
      <c r="E2173" s="49"/>
      <c r="F2173" s="49"/>
      <c r="G2173" s="49"/>
      <c r="H2173" s="54" t="str">
        <f t="shared" si="1"/>
        <v>extended,</v>
      </c>
      <c r="I2173" s="50"/>
      <c r="J2173" s="50" t="s">
        <v>3279</v>
      </c>
      <c r="K2173" s="50" t="s">
        <v>3316</v>
      </c>
      <c r="L2173" s="49"/>
      <c r="M2173" s="49"/>
      <c r="N2173" s="49"/>
      <c r="O2173" s="49"/>
      <c r="P2173" s="49" t="str">
        <f t="shared" si="2"/>
        <v>ballistic,</v>
      </c>
      <c r="Q2173" s="49"/>
      <c r="R2173" s="50" t="s">
        <v>31</v>
      </c>
      <c r="S2173" s="55" t="s">
        <v>6468</v>
      </c>
      <c r="T2173" s="49"/>
      <c r="U2173" s="49"/>
      <c r="V2173" s="49"/>
      <c r="W2173" s="49"/>
      <c r="X2173" s="49" t="str">
        <f t="shared" si="3"/>
        <v>affecting,</v>
      </c>
      <c r="Y2173" s="49"/>
      <c r="Z2173" s="1" t="s">
        <v>1642</v>
      </c>
      <c r="AA2173" s="1" t="s">
        <v>5372</v>
      </c>
      <c r="AB2173" s="49"/>
      <c r="AC2173" s="49"/>
      <c r="AD2173" s="49"/>
      <c r="AE2173" s="49"/>
      <c r="AF2173" s="49" t="str">
        <f t="shared" si="4"/>
        <v>ahead,</v>
      </c>
      <c r="AG2173" s="49"/>
      <c r="AH2173" s="1" t="s">
        <v>4204</v>
      </c>
      <c r="AI2173" s="1" t="s">
        <v>2020</v>
      </c>
      <c r="AJ2173" s="6">
        <f>IFERROR(__xludf.DUMMYFUNCTION("""COMPUTED_VALUE"""),1962.0)</f>
        <v>1962</v>
      </c>
      <c r="AK2173" s="49"/>
      <c r="AL2173" s="49"/>
      <c r="AM2173" s="49"/>
      <c r="AN2173" s="52" t="str">
        <f t="shared" si="5"/>
        <v>championship,</v>
      </c>
    </row>
    <row r="2174">
      <c r="A2174" s="51"/>
      <c r="B2174" s="50" t="s">
        <v>2638</v>
      </c>
      <c r="C2174" s="50" t="s">
        <v>6619</v>
      </c>
      <c r="D2174" s="49" t="str">
        <f>IFERROR(__xludf.DUMMYFUNCTION("""COMPUTED_VALUE"""),"lifetime")</f>
        <v>lifetime</v>
      </c>
      <c r="E2174" s="49"/>
      <c r="F2174" s="49"/>
      <c r="G2174" s="49"/>
      <c r="H2174" s="54" t="str">
        <f t="shared" si="1"/>
        <v>olympic,</v>
      </c>
      <c r="I2174" s="50"/>
      <c r="J2174" s="50" t="s">
        <v>7484</v>
      </c>
      <c r="K2174" s="50" t="s">
        <v>4882</v>
      </c>
      <c r="L2174" s="49"/>
      <c r="M2174" s="49"/>
      <c r="N2174" s="49"/>
      <c r="O2174" s="49"/>
      <c r="P2174" s="49" t="str">
        <f t="shared" si="2"/>
        <v>mi,</v>
      </c>
      <c r="Q2174" s="49"/>
      <c r="R2174" s="50" t="s">
        <v>1557</v>
      </c>
      <c r="S2174" s="55" t="s">
        <v>3616</v>
      </c>
      <c r="T2174" s="49"/>
      <c r="U2174" s="49"/>
      <c r="V2174" s="49"/>
      <c r="W2174" s="49"/>
      <c r="X2174" s="49" t="str">
        <f t="shared" si="3"/>
        <v>tendencies,</v>
      </c>
      <c r="Y2174" s="49"/>
      <c r="Z2174" s="1" t="s">
        <v>1708</v>
      </c>
      <c r="AA2174" s="1" t="s">
        <v>4368</v>
      </c>
      <c r="AB2174" s="49"/>
      <c r="AC2174" s="49"/>
      <c r="AD2174" s="49"/>
      <c r="AE2174" s="49"/>
      <c r="AF2174" s="49" t="str">
        <f t="shared" si="4"/>
        <v>keeping,</v>
      </c>
      <c r="AG2174" s="49"/>
      <c r="AH2174" s="1" t="s">
        <v>3820</v>
      </c>
      <c r="AI2174" s="1" t="s">
        <v>5225</v>
      </c>
      <c r="AJ2174" s="6" t="str">
        <f>IFERROR(__xludf.DUMMYFUNCTION("""COMPUTED_VALUE"""),"choose")</f>
        <v>choose</v>
      </c>
      <c r="AK2174" s="49"/>
      <c r="AL2174" s="49"/>
      <c r="AM2174" s="49"/>
      <c r="AN2174" s="52" t="str">
        <f t="shared" si="5"/>
        <v>wrestling,</v>
      </c>
    </row>
    <row r="2175">
      <c r="A2175" s="51"/>
      <c r="B2175" s="50" t="s">
        <v>4571</v>
      </c>
      <c r="C2175" s="50" t="s">
        <v>5187</v>
      </c>
      <c r="D2175" s="49" t="str">
        <f>IFERROR(__xludf.DUMMYFUNCTION("""COMPUTED_VALUE"""),"letting")</f>
        <v>letting</v>
      </c>
      <c r="E2175" s="49"/>
      <c r="F2175" s="49"/>
      <c r="G2175" s="49"/>
      <c r="H2175" s="54" t="str">
        <f t="shared" si="1"/>
        <v>memory,</v>
      </c>
      <c r="I2175" s="50"/>
      <c r="J2175" s="50" t="s">
        <v>4575</v>
      </c>
      <c r="K2175" s="50" t="s">
        <v>4883</v>
      </c>
      <c r="L2175" s="49"/>
      <c r="M2175" s="49"/>
      <c r="N2175" s="49"/>
      <c r="O2175" s="49"/>
      <c r="P2175" s="49" t="str">
        <f t="shared" si="2"/>
        <v>cheer,</v>
      </c>
      <c r="Q2175" s="49"/>
      <c r="R2175" s="50" t="s">
        <v>4284</v>
      </c>
      <c r="S2175" s="55" t="s">
        <v>3302</v>
      </c>
      <c r="T2175" s="49"/>
      <c r="U2175" s="49"/>
      <c r="V2175" s="49"/>
      <c r="W2175" s="49"/>
      <c r="X2175" s="49" t="str">
        <f t="shared" si="3"/>
        <v>tender,</v>
      </c>
      <c r="Y2175" s="49"/>
      <c r="Z2175" s="1" t="s">
        <v>1221</v>
      </c>
      <c r="AA2175" s="1" t="s">
        <v>5373</v>
      </c>
      <c r="AB2175" s="49"/>
      <c r="AC2175" s="49"/>
      <c r="AD2175" s="49"/>
      <c r="AE2175" s="49"/>
      <c r="AF2175" s="49" t="str">
        <f t="shared" si="4"/>
        <v>length,</v>
      </c>
      <c r="AG2175" s="49"/>
      <c r="AH2175" s="1" t="s">
        <v>7527</v>
      </c>
      <c r="AI2175" s="1" t="s">
        <v>6659</v>
      </c>
      <c r="AJ2175" s="6" t="str">
        <f>IFERROR(__xludf.DUMMYFUNCTION("""COMPUTED_VALUE"""),"mile")</f>
        <v>mile</v>
      </c>
      <c r="AK2175" s="49"/>
      <c r="AL2175" s="49"/>
      <c r="AM2175" s="49"/>
      <c r="AN2175" s="52" t="str">
        <f t="shared" si="5"/>
        <v>concerns,</v>
      </c>
    </row>
    <row r="2176">
      <c r="A2176" s="51"/>
      <c r="B2176" s="50" t="s">
        <v>4407</v>
      </c>
      <c r="C2176" s="50" t="s">
        <v>4472</v>
      </c>
      <c r="D2176" s="49" t="str">
        <f>IFERROR(__xludf.DUMMYFUNCTION("""COMPUTED_VALUE"""),"comfortable")</f>
        <v>comfortable</v>
      </c>
      <c r="E2176" s="49"/>
      <c r="F2176" s="49"/>
      <c r="G2176" s="49"/>
      <c r="H2176" s="54" t="str">
        <f t="shared" si="1"/>
        <v>belly,</v>
      </c>
      <c r="I2176" s="50"/>
      <c r="J2176" s="50" t="s">
        <v>6016</v>
      </c>
      <c r="K2176" s="50" t="s">
        <v>2097</v>
      </c>
      <c r="L2176" s="49"/>
      <c r="M2176" s="49"/>
      <c r="N2176" s="49"/>
      <c r="O2176" s="49"/>
      <c r="P2176" s="49" t="str">
        <f t="shared" si="2"/>
        <v>rewarded,</v>
      </c>
      <c r="Q2176" s="49"/>
      <c r="R2176" s="50" t="s">
        <v>7528</v>
      </c>
      <c r="S2176" s="55" t="s">
        <v>5254</v>
      </c>
      <c r="T2176" s="49"/>
      <c r="U2176" s="49"/>
      <c r="V2176" s="49"/>
      <c r="W2176" s="49"/>
      <c r="X2176" s="49" t="str">
        <f t="shared" si="3"/>
        <v>sami,</v>
      </c>
      <c r="Y2176" s="49"/>
      <c r="Z2176" s="1" t="s">
        <v>5091</v>
      </c>
      <c r="AA2176" s="1" t="s">
        <v>5375</v>
      </c>
      <c r="AB2176" s="49"/>
      <c r="AC2176" s="49"/>
      <c r="AD2176" s="49"/>
      <c r="AE2176" s="49"/>
      <c r="AF2176" s="49" t="str">
        <f t="shared" si="4"/>
        <v>seek,</v>
      </c>
      <c r="AG2176" s="49"/>
      <c r="AH2176" s="1" t="s">
        <v>2642</v>
      </c>
      <c r="AI2176" s="1" t="s">
        <v>5447</v>
      </c>
      <c r="AJ2176" s="6" t="str">
        <f>IFERROR(__xludf.DUMMYFUNCTION("""COMPUTED_VALUE"""),"philosophy")</f>
        <v>philosophy</v>
      </c>
      <c r="AK2176" s="49"/>
      <c r="AL2176" s="49"/>
      <c r="AM2176" s="49"/>
      <c r="AN2176" s="52" t="str">
        <f t="shared" si="5"/>
        <v>straight,</v>
      </c>
    </row>
    <row r="2177">
      <c r="A2177" s="51"/>
      <c r="B2177" s="50" t="s">
        <v>7023</v>
      </c>
      <c r="C2177" s="50" t="s">
        <v>3385</v>
      </c>
      <c r="D2177" s="49" t="str">
        <f>IFERROR(__xludf.DUMMYFUNCTION("""COMPUTED_VALUE"""),"carved")</f>
        <v>carved</v>
      </c>
      <c r="E2177" s="49"/>
      <c r="F2177" s="49"/>
      <c r="G2177" s="49"/>
      <c r="H2177" s="54" t="str">
        <f t="shared" si="1"/>
        <v>ok,</v>
      </c>
      <c r="I2177" s="50"/>
      <c r="J2177" s="50" t="s">
        <v>3154</v>
      </c>
      <c r="K2177" s="50" t="s">
        <v>3785</v>
      </c>
      <c r="L2177" s="49"/>
      <c r="M2177" s="49"/>
      <c r="N2177" s="49"/>
      <c r="O2177" s="49"/>
      <c r="P2177" s="49" t="str">
        <f t="shared" si="2"/>
        <v>afternoon,</v>
      </c>
      <c r="Q2177" s="49"/>
      <c r="R2177" s="50" t="s">
        <v>920</v>
      </c>
      <c r="S2177" s="55" t="s">
        <v>1250</v>
      </c>
      <c r="T2177" s="49"/>
      <c r="U2177" s="49"/>
      <c r="V2177" s="49"/>
      <c r="W2177" s="49"/>
      <c r="X2177" s="49" t="str">
        <f t="shared" si="3"/>
        <v>embracing,</v>
      </c>
      <c r="Y2177" s="49"/>
      <c r="Z2177" s="1" t="s">
        <v>7466</v>
      </c>
      <c r="AA2177" s="1" t="s">
        <v>4370</v>
      </c>
      <c r="AB2177" s="49"/>
      <c r="AC2177" s="49"/>
      <c r="AD2177" s="49"/>
      <c r="AE2177" s="49"/>
      <c r="AF2177" s="49" t="str">
        <f t="shared" si="4"/>
        <v>mr,</v>
      </c>
      <c r="AG2177" s="49"/>
      <c r="AH2177" s="1" t="s">
        <v>5693</v>
      </c>
      <c r="AI2177" s="1" t="s">
        <v>1273</v>
      </c>
      <c r="AJ2177" s="6" t="str">
        <f>IFERROR(__xludf.DUMMYFUNCTION("""COMPUTED_VALUE"""),"f")</f>
        <v>f</v>
      </c>
      <c r="AK2177" s="49"/>
      <c r="AL2177" s="49"/>
      <c r="AM2177" s="49"/>
      <c r="AN2177" s="52" t="str">
        <f t="shared" si="5"/>
        <v>anywhere,</v>
      </c>
    </row>
    <row r="2178">
      <c r="A2178" s="51"/>
      <c r="B2178" s="50" t="s">
        <v>1487</v>
      </c>
      <c r="C2178" s="50" t="s">
        <v>3082</v>
      </c>
      <c r="D2178" s="49" t="str">
        <f>IFERROR(__xludf.DUMMYFUNCTION("""COMPUTED_VALUE"""),"slowly")</f>
        <v>slowly</v>
      </c>
      <c r="E2178" s="49"/>
      <c r="F2178" s="49"/>
      <c r="G2178" s="49"/>
      <c r="H2178" s="54" t="str">
        <f t="shared" si="1"/>
        <v>moving,</v>
      </c>
      <c r="I2178" s="50"/>
      <c r="J2178" s="50" t="s">
        <v>2048</v>
      </c>
      <c r="K2178" s="50" t="s">
        <v>3788</v>
      </c>
      <c r="L2178" s="49"/>
      <c r="M2178" s="49"/>
      <c r="N2178" s="49"/>
      <c r="O2178" s="49"/>
      <c r="P2178" s="49" t="str">
        <f t="shared" si="2"/>
        <v>draws,</v>
      </c>
      <c r="Q2178" s="49"/>
      <c r="R2178" s="50" t="s">
        <v>1176</v>
      </c>
      <c r="S2178" s="55" t="s">
        <v>4714</v>
      </c>
      <c r="T2178" s="49"/>
      <c r="U2178" s="49"/>
      <c r="V2178" s="49"/>
      <c r="W2178" s="49"/>
      <c r="X2178" s="49" t="str">
        <f t="shared" si="3"/>
        <v>olivier,</v>
      </c>
      <c r="Y2178" s="49"/>
      <c r="Z2178" s="1" t="s">
        <v>1104</v>
      </c>
      <c r="AA2178" s="1" t="s">
        <v>3683</v>
      </c>
      <c r="AB2178" s="49"/>
      <c r="AC2178" s="49"/>
      <c r="AD2178" s="49"/>
      <c r="AE2178" s="49"/>
      <c r="AF2178" s="49" t="str">
        <f t="shared" si="4"/>
        <v>largely,</v>
      </c>
      <c r="AG2178" s="49"/>
      <c r="AH2178" s="1" t="s">
        <v>5050</v>
      </c>
      <c r="AI2178" s="1" t="s">
        <v>6665</v>
      </c>
      <c r="AJ2178" s="6" t="str">
        <f>IFERROR(__xludf.DUMMYFUNCTION("""COMPUTED_VALUE"""),"illness")</f>
        <v>illness</v>
      </c>
      <c r="AK2178" s="49"/>
      <c r="AL2178" s="49"/>
      <c r="AM2178" s="49"/>
      <c r="AN2178" s="52" t="str">
        <f t="shared" si="5"/>
        <v>sweat,</v>
      </c>
    </row>
    <row r="2179">
      <c r="A2179" s="51"/>
      <c r="B2179" s="50" t="s">
        <v>4182</v>
      </c>
      <c r="C2179" s="50" t="s">
        <v>5192</v>
      </c>
      <c r="D2179" s="49" t="str">
        <f>IFERROR(__xludf.DUMMYFUNCTION("""COMPUTED_VALUE"""),"beaten")</f>
        <v>beaten</v>
      </c>
      <c r="E2179" s="49"/>
      <c r="F2179" s="49"/>
      <c r="G2179" s="49"/>
      <c r="H2179" s="54" t="str">
        <f t="shared" si="1"/>
        <v>forced,</v>
      </c>
      <c r="I2179" s="50"/>
      <c r="J2179" s="50" t="s">
        <v>1113</v>
      </c>
      <c r="K2179" s="50" t="s">
        <v>988</v>
      </c>
      <c r="L2179" s="49"/>
      <c r="M2179" s="49"/>
      <c r="N2179" s="49"/>
      <c r="O2179" s="49"/>
      <c r="P2179" s="49" t="str">
        <f t="shared" si="2"/>
        <v>reliance,</v>
      </c>
      <c r="Q2179" s="49"/>
      <c r="R2179" s="50" t="s">
        <v>4442</v>
      </c>
      <c r="S2179" s="55" t="s">
        <v>1001</v>
      </c>
      <c r="T2179" s="49"/>
      <c r="U2179" s="49"/>
      <c r="V2179" s="49"/>
      <c r="W2179" s="49"/>
      <c r="X2179" s="49" t="str">
        <f t="shared" si="3"/>
        <v>rouge,</v>
      </c>
      <c r="Y2179" s="49"/>
      <c r="Z2179" s="1" t="s">
        <v>1075</v>
      </c>
      <c r="AA2179" s="1" t="s">
        <v>4377</v>
      </c>
      <c r="AB2179" s="49"/>
      <c r="AC2179" s="49"/>
      <c r="AD2179" s="49"/>
      <c r="AE2179" s="49"/>
      <c r="AF2179" s="49" t="str">
        <f t="shared" si="4"/>
        <v>pacing,</v>
      </c>
      <c r="AG2179" s="49"/>
      <c r="AH2179" s="1" t="s">
        <v>2127</v>
      </c>
      <c r="AI2179" s="1" t="s">
        <v>5377</v>
      </c>
      <c r="AJ2179" s="6" t="str">
        <f>IFERROR(__xludf.DUMMYFUNCTION("""COMPUTED_VALUE"""),"woods")</f>
        <v>woods</v>
      </c>
      <c r="AK2179" s="49"/>
      <c r="AL2179" s="49"/>
      <c r="AM2179" s="49"/>
      <c r="AN2179" s="52" t="str">
        <f t="shared" si="5"/>
        <v>pain,</v>
      </c>
    </row>
    <row r="2180">
      <c r="A2180" s="51"/>
      <c r="B2180" s="50" t="s">
        <v>2826</v>
      </c>
      <c r="C2180" s="50" t="s">
        <v>964</v>
      </c>
      <c r="D2180" s="49" t="str">
        <f>IFERROR(__xludf.DUMMYFUNCTION("""COMPUTED_VALUE"""),"necessarily")</f>
        <v>necessarily</v>
      </c>
      <c r="E2180" s="49"/>
      <c r="F2180" s="49"/>
      <c r="G2180" s="49"/>
      <c r="H2180" s="54" t="str">
        <f t="shared" si="1"/>
        <v>status,</v>
      </c>
      <c r="I2180" s="50"/>
      <c r="J2180" s="50" t="s">
        <v>5634</v>
      </c>
      <c r="K2180" s="50" t="s">
        <v>3791</v>
      </c>
      <c r="L2180" s="49"/>
      <c r="M2180" s="49"/>
      <c r="N2180" s="49"/>
      <c r="O2180" s="49"/>
      <c r="P2180" s="49" t="str">
        <f t="shared" si="2"/>
        <v>releasing,</v>
      </c>
      <c r="Q2180" s="49"/>
      <c r="R2180" s="50" t="s">
        <v>4602</v>
      </c>
      <c r="S2180" s="55" t="s">
        <v>1006</v>
      </c>
      <c r="T2180" s="49"/>
      <c r="U2180" s="49"/>
      <c r="V2180" s="49"/>
      <c r="W2180" s="49"/>
      <c r="X2180" s="49" t="str">
        <f t="shared" si="3"/>
        <v>immature,</v>
      </c>
      <c r="Y2180" s="49"/>
      <c r="Z2180" s="1" t="s">
        <v>4821</v>
      </c>
      <c r="AA2180" s="1" t="s">
        <v>3684</v>
      </c>
      <c r="AB2180" s="49"/>
      <c r="AC2180" s="49"/>
      <c r="AD2180" s="49"/>
      <c r="AE2180" s="49"/>
      <c r="AF2180" s="49" t="str">
        <f t="shared" si="4"/>
        <v>driven,</v>
      </c>
      <c r="AG2180" s="49"/>
      <c r="AH2180" s="1" t="s">
        <v>4455</v>
      </c>
      <c r="AI2180" s="1" t="s">
        <v>3600</v>
      </c>
      <c r="AJ2180" s="6" t="str">
        <f>IFERROR(__xludf.DUMMYFUNCTION("""COMPUTED_VALUE"""),"guest")</f>
        <v>guest</v>
      </c>
      <c r="AK2180" s="49"/>
      <c r="AL2180" s="49"/>
      <c r="AM2180" s="49"/>
      <c r="AN2180" s="52" t="str">
        <f t="shared" si="5"/>
        <v>faces,</v>
      </c>
    </row>
    <row r="2181">
      <c r="A2181" s="51"/>
      <c r="B2181" s="50" t="s">
        <v>3880</v>
      </c>
      <c r="C2181" s="50" t="s">
        <v>6666</v>
      </c>
      <c r="D2181" s="49" t="str">
        <f>IFERROR(__xludf.DUMMYFUNCTION("""COMPUTED_VALUE"""),"gender")</f>
        <v>gender</v>
      </c>
      <c r="E2181" s="49"/>
      <c r="F2181" s="49"/>
      <c r="G2181" s="49"/>
      <c r="H2181" s="54" t="str">
        <f t="shared" si="1"/>
        <v>enjoyed,</v>
      </c>
      <c r="I2181" s="50"/>
      <c r="J2181" s="50" t="s">
        <v>7485</v>
      </c>
      <c r="K2181" s="50" t="s">
        <v>5381</v>
      </c>
      <c r="L2181" s="49"/>
      <c r="M2181" s="49"/>
      <c r="N2181" s="49"/>
      <c r="O2181" s="49"/>
      <c r="P2181" s="49" t="str">
        <f t="shared" si="2"/>
        <v>correct,</v>
      </c>
      <c r="Q2181" s="49"/>
      <c r="R2181" s="50" t="s">
        <v>1064</v>
      </c>
      <c r="S2181" s="55" t="s">
        <v>6472</v>
      </c>
      <c r="T2181" s="49"/>
      <c r="U2181" s="49"/>
      <c r="V2181" s="49"/>
      <c r="W2181" s="49"/>
      <c r="X2181" s="49" t="str">
        <f t="shared" si="3"/>
        <v>speculation,</v>
      </c>
      <c r="Y2181" s="49"/>
      <c r="Z2181" s="1" t="s">
        <v>6533</v>
      </c>
      <c r="AA2181" s="1" t="s">
        <v>1695</v>
      </c>
      <c r="AB2181" s="49"/>
      <c r="AC2181" s="49"/>
      <c r="AD2181" s="49"/>
      <c r="AE2181" s="49"/>
      <c r="AF2181" s="49" t="str">
        <f t="shared" si="4"/>
        <v>italian,</v>
      </c>
      <c r="AG2181" s="49"/>
      <c r="AH2181" s="1" t="s">
        <v>210</v>
      </c>
      <c r="AI2181" s="1" t="s">
        <v>6667</v>
      </c>
      <c r="AJ2181" s="6" t="str">
        <f>IFERROR(__xludf.DUMMYFUNCTION("""COMPUTED_VALUE"""),"sharp")</f>
        <v>sharp</v>
      </c>
      <c r="AK2181" s="49"/>
      <c r="AL2181" s="49"/>
      <c r="AM2181" s="49"/>
      <c r="AN2181" s="52" t="str">
        <f t="shared" si="5"/>
        <v>submarine,</v>
      </c>
    </row>
    <row r="2182">
      <c r="A2182" s="51"/>
      <c r="B2182" s="50" t="s">
        <v>7141</v>
      </c>
      <c r="C2182" s="50" t="s">
        <v>3391</v>
      </c>
      <c r="D2182" s="49" t="str">
        <f>IFERROR(__xludf.DUMMYFUNCTION("""COMPUTED_VALUE"""),"gary")</f>
        <v>gary</v>
      </c>
      <c r="E2182" s="49"/>
      <c r="F2182" s="49"/>
      <c r="G2182" s="49"/>
      <c r="H2182" s="54" t="str">
        <f t="shared" si="1"/>
        <v>requires,</v>
      </c>
      <c r="I2182" s="50"/>
      <c r="J2182" s="50">
        <v>30.0</v>
      </c>
      <c r="K2182" s="50" t="s">
        <v>2099</v>
      </c>
      <c r="L2182" s="49"/>
      <c r="M2182" s="49"/>
      <c r="N2182" s="49"/>
      <c r="O2182" s="49"/>
      <c r="P2182" s="49" t="str">
        <f t="shared" si="2"/>
        <v>30,</v>
      </c>
      <c r="Q2182" s="49"/>
      <c r="R2182" s="50" t="s">
        <v>5659</v>
      </c>
      <c r="S2182" s="55" t="s">
        <v>2007</v>
      </c>
      <c r="T2182" s="49"/>
      <c r="U2182" s="49"/>
      <c r="V2182" s="49"/>
      <c r="W2182" s="49"/>
      <c r="X2182" s="49" t="str">
        <f t="shared" si="3"/>
        <v>prose,</v>
      </c>
      <c r="Y2182" s="49"/>
      <c r="Z2182" s="1" t="s">
        <v>3615</v>
      </c>
      <c r="AA2182" s="1" t="s">
        <v>5382</v>
      </c>
      <c r="AB2182" s="49"/>
      <c r="AC2182" s="49"/>
      <c r="AD2182" s="49"/>
      <c r="AE2182" s="49"/>
      <c r="AF2182" s="49" t="str">
        <f t="shared" si="4"/>
        <v>enter,</v>
      </c>
      <c r="AG2182" s="49"/>
      <c r="AH2182" s="1" t="s">
        <v>7529</v>
      </c>
      <c r="AI2182" s="1" t="s">
        <v>6660</v>
      </c>
      <c r="AJ2182" s="6" t="str">
        <f>IFERROR(__xludf.DUMMYFUNCTION("""COMPUTED_VALUE"""),"credit")</f>
        <v>credit</v>
      </c>
      <c r="AK2182" s="49"/>
      <c r="AL2182" s="49"/>
      <c r="AM2182" s="49"/>
      <c r="AN2182" s="52" t="str">
        <f t="shared" si="5"/>
        <v>belong,</v>
      </c>
    </row>
    <row r="2183">
      <c r="A2183" s="51"/>
      <c r="B2183" s="50" t="s">
        <v>1698</v>
      </c>
      <c r="C2183" s="50" t="s">
        <v>2238</v>
      </c>
      <c r="D2183" s="49" t="str">
        <f>IFERROR(__xludf.DUMMYFUNCTION("""COMPUTED_VALUE"""),"voices")</f>
        <v>voices</v>
      </c>
      <c r="E2183" s="49"/>
      <c r="F2183" s="49"/>
      <c r="G2183" s="49"/>
      <c r="H2183" s="54" t="str">
        <f t="shared" si="1"/>
        <v>fat,</v>
      </c>
      <c r="I2183" s="50"/>
      <c r="J2183" s="50" t="s">
        <v>7486</v>
      </c>
      <c r="K2183" s="50" t="s">
        <v>3795</v>
      </c>
      <c r="L2183" s="49"/>
      <c r="M2183" s="49"/>
      <c r="N2183" s="49"/>
      <c r="O2183" s="49"/>
      <c r="P2183" s="49" t="str">
        <f t="shared" si="2"/>
        <v>sucking,</v>
      </c>
      <c r="Q2183" s="49"/>
      <c r="R2183" s="50">
        <v>1957.0</v>
      </c>
      <c r="S2183" s="55" t="s">
        <v>1297</v>
      </c>
      <c r="T2183" s="49"/>
      <c r="U2183" s="49"/>
      <c r="V2183" s="49"/>
      <c r="W2183" s="49"/>
      <c r="X2183" s="49" t="str">
        <f t="shared" si="3"/>
        <v>1957,</v>
      </c>
      <c r="Y2183" s="49"/>
      <c r="Z2183" s="1" t="s">
        <v>834</v>
      </c>
      <c r="AA2183" s="1" t="s">
        <v>5383</v>
      </c>
      <c r="AB2183" s="49"/>
      <c r="AC2183" s="49"/>
      <c r="AD2183" s="49"/>
      <c r="AE2183" s="49"/>
      <c r="AF2183" s="49" t="str">
        <f t="shared" si="4"/>
        <v>achievement,</v>
      </c>
      <c r="AG2183" s="49"/>
      <c r="AH2183" s="1" t="s">
        <v>5698</v>
      </c>
      <c r="AI2183" s="1" t="s">
        <v>6662</v>
      </c>
      <c r="AJ2183" s="6" t="str">
        <f>IFERROR(__xludf.DUMMYFUNCTION("""COMPUTED_VALUE"""),"mike")</f>
        <v>mike</v>
      </c>
      <c r="AK2183" s="49"/>
      <c r="AL2183" s="49"/>
      <c r="AM2183" s="49"/>
      <c r="AN2183" s="52" t="str">
        <f t="shared" si="5"/>
        <v>described,</v>
      </c>
    </row>
    <row r="2184">
      <c r="A2184" s="51"/>
      <c r="B2184" s="50" t="s">
        <v>2817</v>
      </c>
      <c r="C2184" s="50" t="s">
        <v>6455</v>
      </c>
      <c r="D2184" s="49" t="str">
        <f>IFERROR(__xludf.DUMMYFUNCTION("""COMPUTED_VALUE"""),"shanghai")</f>
        <v>shanghai</v>
      </c>
      <c r="E2184" s="49"/>
      <c r="F2184" s="49"/>
      <c r="G2184" s="49"/>
      <c r="H2184" s="54" t="str">
        <f t="shared" si="1"/>
        <v>debt,</v>
      </c>
      <c r="I2184" s="50"/>
      <c r="J2184" s="50" t="s">
        <v>3497</v>
      </c>
      <c r="K2184" s="50" t="s">
        <v>3609</v>
      </c>
      <c r="L2184" s="49"/>
      <c r="M2184" s="49"/>
      <c r="N2184" s="49"/>
      <c r="O2184" s="49"/>
      <c r="P2184" s="49" t="str">
        <f t="shared" si="2"/>
        <v>incarnation,</v>
      </c>
      <c r="Q2184" s="49"/>
      <c r="R2184" s="50" t="s">
        <v>4537</v>
      </c>
      <c r="S2184" s="55" t="s">
        <v>6668</v>
      </c>
      <c r="T2184" s="49"/>
      <c r="U2184" s="49"/>
      <c r="V2184" s="49"/>
      <c r="W2184" s="49"/>
      <c r="X2184" s="49" t="str">
        <f t="shared" si="3"/>
        <v>backstage,</v>
      </c>
      <c r="Y2184" s="49"/>
      <c r="Z2184" s="1" t="s">
        <v>3491</v>
      </c>
      <c r="AA2184" s="1" t="s">
        <v>3686</v>
      </c>
      <c r="AB2184" s="49"/>
      <c r="AC2184" s="49"/>
      <c r="AD2184" s="49"/>
      <c r="AE2184" s="49"/>
      <c r="AF2184" s="49" t="str">
        <f t="shared" si="4"/>
        <v>holiday,</v>
      </c>
      <c r="AG2184" s="49"/>
      <c r="AH2184" s="1" t="s">
        <v>6353</v>
      </c>
      <c r="AI2184" s="1" t="s">
        <v>6663</v>
      </c>
      <c r="AJ2184" s="6" t="str">
        <f>IFERROR(__xludf.DUMMYFUNCTION("""COMPUTED_VALUE"""),"austin")</f>
        <v>austin</v>
      </c>
      <c r="AK2184" s="49"/>
      <c r="AL2184" s="49"/>
      <c r="AM2184" s="49"/>
      <c r="AN2184" s="52" t="str">
        <f t="shared" si="5"/>
        <v>spot,</v>
      </c>
    </row>
    <row r="2185">
      <c r="A2185" s="51"/>
      <c r="B2185" s="50" t="s">
        <v>7506</v>
      </c>
      <c r="C2185" s="50" t="s">
        <v>5248</v>
      </c>
      <c r="D2185" s="49" t="str">
        <f>IFERROR(__xludf.DUMMYFUNCTION("""COMPUTED_VALUE"""),"individual")</f>
        <v>individual</v>
      </c>
      <c r="E2185" s="49"/>
      <c r="F2185" s="49"/>
      <c r="G2185" s="49"/>
      <c r="H2185" s="54" t="str">
        <f t="shared" si="1"/>
        <v>coast,</v>
      </c>
      <c r="I2185" s="50"/>
      <c r="J2185" s="50" t="s">
        <v>3678</v>
      </c>
      <c r="K2185" s="50" t="s">
        <v>3800</v>
      </c>
      <c r="L2185" s="49"/>
      <c r="M2185" s="49"/>
      <c r="N2185" s="49"/>
      <c r="O2185" s="49"/>
      <c r="P2185" s="49" t="str">
        <f t="shared" si="2"/>
        <v>exceeds,</v>
      </c>
      <c r="Q2185" s="49"/>
      <c r="R2185" s="50" t="s">
        <v>5494</v>
      </c>
      <c r="S2185" s="55" t="s">
        <v>6669</v>
      </c>
      <c r="T2185" s="49"/>
      <c r="U2185" s="49"/>
      <c r="V2185" s="49"/>
      <c r="W2185" s="49"/>
      <c r="X2185" s="49" t="str">
        <f t="shared" si="3"/>
        <v>belgium,</v>
      </c>
      <c r="Y2185" s="49"/>
      <c r="Z2185" s="1" t="s">
        <v>5953</v>
      </c>
      <c r="AA2185" s="1" t="s">
        <v>5385</v>
      </c>
      <c r="AB2185" s="49"/>
      <c r="AC2185" s="49"/>
      <c r="AD2185" s="49"/>
      <c r="AE2185" s="49"/>
      <c r="AF2185" s="49" t="str">
        <f t="shared" si="4"/>
        <v>graphic,</v>
      </c>
      <c r="AG2185" s="49"/>
      <c r="AH2185" s="1" t="s">
        <v>1180</v>
      </c>
      <c r="AI2185" s="1" t="s">
        <v>6670</v>
      </c>
      <c r="AJ2185" s="6" t="str">
        <f>IFERROR(__xludf.DUMMYFUNCTION("""COMPUTED_VALUE"""),"model")</f>
        <v>model</v>
      </c>
      <c r="AK2185" s="49"/>
      <c r="AL2185" s="49"/>
      <c r="AM2185" s="49"/>
      <c r="AN2185" s="52" t="str">
        <f t="shared" si="5"/>
        <v>titled,</v>
      </c>
    </row>
    <row r="2186">
      <c r="A2186" s="51"/>
      <c r="B2186" s="50" t="s">
        <v>2722</v>
      </c>
      <c r="C2186" s="50" t="s">
        <v>1658</v>
      </c>
      <c r="D2186" s="49" t="str">
        <f>IFERROR(__xludf.DUMMYFUNCTION("""COMPUTED_VALUE"""),"steam")</f>
        <v>steam</v>
      </c>
      <c r="E2186" s="49"/>
      <c r="F2186" s="49"/>
      <c r="G2186" s="49"/>
      <c r="H2186" s="54" t="str">
        <f t="shared" si="1"/>
        <v>leaves,</v>
      </c>
      <c r="I2186" s="50"/>
      <c r="J2186" s="50" t="s">
        <v>2622</v>
      </c>
      <c r="K2186" s="50" t="s">
        <v>1069</v>
      </c>
      <c r="L2186" s="49"/>
      <c r="M2186" s="49"/>
      <c r="N2186" s="49"/>
      <c r="O2186" s="49"/>
      <c r="P2186" s="49" t="str">
        <f t="shared" si="2"/>
        <v>claim,</v>
      </c>
      <c r="Q2186" s="49"/>
      <c r="R2186" s="50" t="s">
        <v>217</v>
      </c>
      <c r="S2186" s="55" t="s">
        <v>3206</v>
      </c>
      <c r="T2186" s="49"/>
      <c r="U2186" s="49"/>
      <c r="V2186" s="49"/>
      <c r="W2186" s="49"/>
      <c r="X2186" s="49" t="str">
        <f t="shared" si="3"/>
        <v>revealing,</v>
      </c>
      <c r="Y2186" s="49"/>
      <c r="Z2186" s="1" t="s">
        <v>125</v>
      </c>
      <c r="AA2186" s="1" t="s">
        <v>5387</v>
      </c>
      <c r="AB2186" s="49"/>
      <c r="AC2186" s="49"/>
      <c r="AD2186" s="49"/>
      <c r="AE2186" s="49"/>
      <c r="AF2186" s="49" t="str">
        <f t="shared" si="4"/>
        <v>pointless,</v>
      </c>
      <c r="AG2186" s="49"/>
      <c r="AH2186" s="1" t="s">
        <v>6963</v>
      </c>
      <c r="AI2186" s="1" t="s">
        <v>4063</v>
      </c>
      <c r="AJ2186" s="6" t="str">
        <f>IFERROR(__xludf.DUMMYFUNCTION("""COMPUTED_VALUE"""),"crisis")</f>
        <v>crisis</v>
      </c>
      <c r="AK2186" s="49"/>
      <c r="AL2186" s="49"/>
      <c r="AM2186" s="49"/>
      <c r="AN2186" s="52" t="str">
        <f t="shared" si="5"/>
        <v>trained,</v>
      </c>
    </row>
    <row r="2187">
      <c r="A2187" s="51"/>
      <c r="B2187" s="50" t="s">
        <v>6826</v>
      </c>
      <c r="C2187" s="50" t="s">
        <v>4776</v>
      </c>
      <c r="D2187" s="49" t="str">
        <f>IFERROR(__xludf.DUMMYFUNCTION("""COMPUTED_VALUE"""),"nervous")</f>
        <v>nervous</v>
      </c>
      <c r="E2187" s="49"/>
      <c r="F2187" s="49"/>
      <c r="G2187" s="49"/>
      <c r="H2187" s="54" t="str">
        <f t="shared" si="1"/>
        <v>lying,</v>
      </c>
      <c r="I2187" s="50"/>
      <c r="J2187" s="50" t="s">
        <v>902</v>
      </c>
      <c r="K2187" s="50" t="s">
        <v>3802</v>
      </c>
      <c r="L2187" s="49"/>
      <c r="M2187" s="49"/>
      <c r="N2187" s="49"/>
      <c r="O2187" s="49"/>
      <c r="P2187" s="49" t="str">
        <f t="shared" si="2"/>
        <v>breathe,</v>
      </c>
      <c r="Q2187" s="49"/>
      <c r="R2187" s="50" t="s">
        <v>5131</v>
      </c>
      <c r="S2187" s="55" t="s">
        <v>3209</v>
      </c>
      <c r="T2187" s="49"/>
      <c r="U2187" s="49"/>
      <c r="V2187" s="49"/>
      <c r="W2187" s="49"/>
      <c r="X2187" s="49" t="str">
        <f t="shared" si="3"/>
        <v>teeth,</v>
      </c>
      <c r="Y2187" s="49"/>
      <c r="Z2187" s="1" t="s">
        <v>4514</v>
      </c>
      <c r="AA2187" s="1" t="s">
        <v>268</v>
      </c>
      <c r="AB2187" s="49"/>
      <c r="AC2187" s="49"/>
      <c r="AD2187" s="49"/>
      <c r="AE2187" s="49"/>
      <c r="AF2187" s="49" t="str">
        <f t="shared" si="4"/>
        <v>hallmark,</v>
      </c>
      <c r="AG2187" s="49"/>
      <c r="AH2187" s="1" t="s">
        <v>1853</v>
      </c>
      <c r="AI2187" s="1" t="s">
        <v>2442</v>
      </c>
      <c r="AJ2187" s="6" t="str">
        <f>IFERROR(__xludf.DUMMYFUNCTION("""COMPUTED_VALUE"""),"nelson")</f>
        <v>nelson</v>
      </c>
      <c r="AK2187" s="49"/>
      <c r="AL2187" s="49"/>
      <c r="AM2187" s="49"/>
      <c r="AN2187" s="52" t="str">
        <f t="shared" si="5"/>
        <v>loose,</v>
      </c>
    </row>
    <row r="2188">
      <c r="A2188" s="51"/>
      <c r="B2188" s="50" t="s">
        <v>7378</v>
      </c>
      <c r="C2188" s="50" t="s">
        <v>6613</v>
      </c>
      <c r="D2188" s="49" t="str">
        <f>IFERROR(__xludf.DUMMYFUNCTION("""COMPUTED_VALUE"""),"gates")</f>
        <v>gates</v>
      </c>
      <c r="E2188" s="49"/>
      <c r="F2188" s="49"/>
      <c r="G2188" s="49"/>
      <c r="H2188" s="54" t="str">
        <f t="shared" si="1"/>
        <v>knife,</v>
      </c>
      <c r="I2188" s="50"/>
      <c r="J2188" s="50" t="s">
        <v>7488</v>
      </c>
      <c r="K2188" s="50" t="s">
        <v>3982</v>
      </c>
      <c r="L2188" s="49"/>
      <c r="M2188" s="49"/>
      <c r="N2188" s="49"/>
      <c r="O2188" s="49"/>
      <c r="P2188" s="49" t="str">
        <f t="shared" si="2"/>
        <v>co,</v>
      </c>
      <c r="Q2188" s="49"/>
      <c r="R2188" s="50" t="s">
        <v>7530</v>
      </c>
      <c r="S2188" s="55" t="s">
        <v>2011</v>
      </c>
      <c r="T2188" s="49"/>
      <c r="U2188" s="49"/>
      <c r="V2188" s="49"/>
      <c r="W2188" s="49"/>
      <c r="X2188" s="49" t="str">
        <f t="shared" si="3"/>
        <v>rec,</v>
      </c>
      <c r="Y2188" s="49"/>
      <c r="Z2188" s="1" t="s">
        <v>7531</v>
      </c>
      <c r="AA2188" s="1" t="s">
        <v>5390</v>
      </c>
      <c r="AB2188" s="49"/>
      <c r="AC2188" s="49"/>
      <c r="AD2188" s="49"/>
      <c r="AE2188" s="49"/>
      <c r="AF2188" s="49" t="str">
        <f t="shared" si="4"/>
        <v>anybody,</v>
      </c>
      <c r="AG2188" s="49"/>
      <c r="AH2188" s="1" t="s">
        <v>7038</v>
      </c>
      <c r="AI2188" s="1" t="s">
        <v>6671</v>
      </c>
      <c r="AJ2188" s="6" t="str">
        <f>IFERROR(__xludf.DUMMYFUNCTION("""COMPUTED_VALUE"""),"mental")</f>
        <v>mental</v>
      </c>
      <c r="AK2188" s="49"/>
      <c r="AL2188" s="49"/>
      <c r="AM2188" s="49"/>
      <c r="AN2188" s="52" t="str">
        <f t="shared" si="5"/>
        <v>standing,</v>
      </c>
    </row>
    <row r="2189">
      <c r="A2189" s="51"/>
      <c r="B2189" s="50" t="s">
        <v>7334</v>
      </c>
      <c r="C2189" s="50" t="s">
        <v>3403</v>
      </c>
      <c r="D2189" s="49" t="str">
        <f>IFERROR(__xludf.DUMMYFUNCTION("""COMPUTED_VALUE"""),"pushing")</f>
        <v>pushing</v>
      </c>
      <c r="E2189" s="49"/>
      <c r="F2189" s="49"/>
      <c r="G2189" s="49"/>
      <c r="H2189" s="54" t="str">
        <f t="shared" si="1"/>
        <v>benjamin,</v>
      </c>
      <c r="I2189" s="50"/>
      <c r="J2189" s="50" t="s">
        <v>2593</v>
      </c>
      <c r="K2189" s="50" t="s">
        <v>2104</v>
      </c>
      <c r="L2189" s="49"/>
      <c r="M2189" s="49"/>
      <c r="N2189" s="49"/>
      <c r="O2189" s="49"/>
      <c r="P2189" s="49" t="str">
        <f t="shared" si="2"/>
        <v>celebrated,</v>
      </c>
      <c r="Q2189" s="49"/>
      <c r="R2189" s="50" t="s">
        <v>2298</v>
      </c>
      <c r="S2189" s="55" t="s">
        <v>4729</v>
      </c>
      <c r="T2189" s="49"/>
      <c r="U2189" s="49"/>
      <c r="V2189" s="49"/>
      <c r="W2189" s="49"/>
      <c r="X2189" s="49" t="str">
        <f t="shared" si="3"/>
        <v>haute,</v>
      </c>
      <c r="Y2189" s="49"/>
      <c r="Z2189" s="1" t="s">
        <v>6481</v>
      </c>
      <c r="AA2189" s="1" t="s">
        <v>5391</v>
      </c>
      <c r="AB2189" s="49"/>
      <c r="AC2189" s="49"/>
      <c r="AD2189" s="49"/>
      <c r="AE2189" s="49"/>
      <c r="AF2189" s="49" t="str">
        <f t="shared" si="4"/>
        <v>perfectly,</v>
      </c>
      <c r="AG2189" s="49"/>
      <c r="AH2189" s="1" t="s">
        <v>4961</v>
      </c>
      <c r="AI2189" s="1" t="s">
        <v>4697</v>
      </c>
      <c r="AJ2189" s="6" t="str">
        <f>IFERROR(__xludf.DUMMYFUNCTION("""COMPUTED_VALUE"""),"suspected")</f>
        <v>suspected</v>
      </c>
      <c r="AK2189" s="49"/>
      <c r="AL2189" s="49"/>
      <c r="AM2189" s="49"/>
      <c r="AN2189" s="52" t="str">
        <f t="shared" si="5"/>
        <v>fellow,</v>
      </c>
    </row>
    <row r="2190">
      <c r="A2190" s="51"/>
      <c r="B2190" s="50" t="s">
        <v>6470</v>
      </c>
      <c r="C2190" s="50" t="s">
        <v>4480</v>
      </c>
      <c r="D2190" s="49" t="str">
        <f>IFERROR(__xludf.DUMMYFUNCTION("""COMPUTED_VALUE"""),"larger")</f>
        <v>larger</v>
      </c>
      <c r="E2190" s="49"/>
      <c r="F2190" s="49"/>
      <c r="G2190" s="49"/>
      <c r="H2190" s="54" t="str">
        <f t="shared" si="1"/>
        <v>act,</v>
      </c>
      <c r="I2190" s="50"/>
      <c r="J2190" s="50" t="s">
        <v>4431</v>
      </c>
      <c r="K2190" s="50" t="s">
        <v>904</v>
      </c>
      <c r="L2190" s="49"/>
      <c r="M2190" s="49"/>
      <c r="N2190" s="49"/>
      <c r="O2190" s="49"/>
      <c r="P2190" s="49" t="str">
        <f t="shared" si="2"/>
        <v>runner,</v>
      </c>
      <c r="Q2190" s="49"/>
      <c r="R2190" s="50" t="s">
        <v>7532</v>
      </c>
      <c r="S2190" s="55" t="s">
        <v>2689</v>
      </c>
      <c r="T2190" s="49"/>
      <c r="U2190" s="49"/>
      <c r="V2190" s="49"/>
      <c r="W2190" s="49"/>
      <c r="X2190" s="49" t="str">
        <f t="shared" si="3"/>
        <v>yong,</v>
      </c>
      <c r="Y2190" s="49"/>
      <c r="Z2190" s="1" t="s">
        <v>1768</v>
      </c>
      <c r="AA2190" s="1" t="s">
        <v>4387</v>
      </c>
      <c r="AB2190" s="49"/>
      <c r="AC2190" s="49"/>
      <c r="AD2190" s="49"/>
      <c r="AE2190" s="49"/>
      <c r="AF2190" s="49" t="str">
        <f t="shared" si="4"/>
        <v>era,</v>
      </c>
      <c r="AG2190" s="49"/>
      <c r="AH2190" s="1" t="s">
        <v>7533</v>
      </c>
      <c r="AI2190" s="1" t="s">
        <v>3186</v>
      </c>
      <c r="AJ2190" s="6" t="str">
        <f>IFERROR(__xludf.DUMMYFUNCTION("""COMPUTED_VALUE"""),"caught")</f>
        <v>caught</v>
      </c>
      <c r="AK2190" s="49"/>
      <c r="AL2190" s="49"/>
      <c r="AM2190" s="49"/>
      <c r="AN2190" s="52" t="str">
        <f t="shared" si="5"/>
        <v>prepared,</v>
      </c>
    </row>
    <row r="2191">
      <c r="A2191" s="51"/>
      <c r="B2191" s="50" t="s">
        <v>3965</v>
      </c>
      <c r="C2191" s="50" t="s">
        <v>6612</v>
      </c>
      <c r="D2191" s="49" t="str">
        <f>IFERROR(__xludf.DUMMYFUNCTION("""COMPUTED_VALUE"""),"conflict")</f>
        <v>conflict</v>
      </c>
      <c r="E2191" s="49"/>
      <c r="F2191" s="49"/>
      <c r="G2191" s="49"/>
      <c r="H2191" s="54" t="str">
        <f t="shared" si="1"/>
        <v>concerned,</v>
      </c>
      <c r="I2191" s="50"/>
      <c r="J2191" s="50" t="s">
        <v>671</v>
      </c>
      <c r="K2191" s="50" t="s">
        <v>2105</v>
      </c>
      <c r="L2191" s="49"/>
      <c r="M2191" s="49"/>
      <c r="N2191" s="49"/>
      <c r="O2191" s="49"/>
      <c r="P2191" s="49" t="str">
        <f t="shared" si="2"/>
        <v>shadowy,</v>
      </c>
      <c r="Q2191" s="49"/>
      <c r="R2191" s="50" t="s">
        <v>6317</v>
      </c>
      <c r="S2191" s="55" t="s">
        <v>4070</v>
      </c>
      <c r="T2191" s="49"/>
      <c r="U2191" s="49"/>
      <c r="V2191" s="49"/>
      <c r="W2191" s="49"/>
      <c r="X2191" s="49" t="str">
        <f t="shared" si="3"/>
        <v>online,</v>
      </c>
      <c r="Y2191" s="49"/>
      <c r="Z2191" s="1" t="s">
        <v>536</v>
      </c>
      <c r="AA2191" s="1" t="s">
        <v>4389</v>
      </c>
      <c r="AB2191" s="49"/>
      <c r="AC2191" s="49"/>
      <c r="AD2191" s="49"/>
      <c r="AE2191" s="49"/>
      <c r="AF2191" s="49" t="str">
        <f t="shared" si="4"/>
        <v>scores,</v>
      </c>
      <c r="AG2191" s="49"/>
      <c r="AH2191" s="1" t="s">
        <v>6706</v>
      </c>
      <c r="AI2191" s="1" t="s">
        <v>3189</v>
      </c>
      <c r="AJ2191" s="6" t="str">
        <f>IFERROR(__xludf.DUMMYFUNCTION("""COMPUTED_VALUE"""),"entirely")</f>
        <v>entirely</v>
      </c>
      <c r="AK2191" s="49"/>
      <c r="AL2191" s="49"/>
      <c r="AM2191" s="49"/>
      <c r="AN2191" s="52" t="str">
        <f t="shared" si="5"/>
        <v>bathroom,</v>
      </c>
    </row>
    <row r="2192">
      <c r="A2192" s="51"/>
      <c r="B2192" s="50" t="s">
        <v>4270</v>
      </c>
      <c r="C2192" s="50" t="s">
        <v>6620</v>
      </c>
      <c r="D2192" s="49" t="str">
        <f>IFERROR(__xludf.DUMMYFUNCTION("""COMPUTED_VALUE"""),"contained")</f>
        <v>contained</v>
      </c>
      <c r="E2192" s="49"/>
      <c r="F2192" s="49"/>
      <c r="G2192" s="49"/>
      <c r="H2192" s="54" t="str">
        <f t="shared" si="1"/>
        <v>burning,</v>
      </c>
      <c r="I2192" s="50"/>
      <c r="J2192" s="50" t="s">
        <v>2457</v>
      </c>
      <c r="K2192" s="50" t="s">
        <v>3330</v>
      </c>
      <c r="L2192" s="49"/>
      <c r="M2192" s="49"/>
      <c r="N2192" s="49"/>
      <c r="O2192" s="49"/>
      <c r="P2192" s="49" t="str">
        <f t="shared" si="2"/>
        <v>optimistic,</v>
      </c>
      <c r="Q2192" s="49"/>
      <c r="R2192" s="50" t="s">
        <v>117</v>
      </c>
      <c r="S2192" s="55" t="s">
        <v>4662</v>
      </c>
      <c r="T2192" s="49"/>
      <c r="U2192" s="49"/>
      <c r="V2192" s="49"/>
      <c r="W2192" s="49"/>
      <c r="X2192" s="49" t="str">
        <f t="shared" si="3"/>
        <v>deeply,</v>
      </c>
      <c r="Y2192" s="49"/>
      <c r="Z2192" s="1" t="s">
        <v>3556</v>
      </c>
      <c r="AA2192" s="1" t="s">
        <v>574</v>
      </c>
      <c r="AB2192" s="49"/>
      <c r="AC2192" s="49"/>
      <c r="AD2192" s="49"/>
      <c r="AE2192" s="49"/>
      <c r="AF2192" s="49" t="str">
        <f t="shared" si="4"/>
        <v>shoot,</v>
      </c>
      <c r="AG2192" s="49"/>
      <c r="AH2192" s="1" t="s">
        <v>3195</v>
      </c>
      <c r="AI2192" s="1" t="s">
        <v>3281</v>
      </c>
      <c r="AJ2192" s="6" t="str">
        <f>IFERROR(__xludf.DUMMYFUNCTION("""COMPUTED_VALUE"""),"brief")</f>
        <v>brief</v>
      </c>
      <c r="AK2192" s="49"/>
      <c r="AL2192" s="49"/>
      <c r="AM2192" s="49"/>
      <c r="AN2192" s="52" t="str">
        <f t="shared" si="5"/>
        <v>manage,</v>
      </c>
    </row>
    <row r="2193">
      <c r="A2193" s="51"/>
      <c r="B2193" s="50" t="s">
        <v>7380</v>
      </c>
      <c r="C2193" s="50" t="s">
        <v>187</v>
      </c>
      <c r="D2193" s="49" t="str">
        <f>IFERROR(__xludf.DUMMYFUNCTION("""COMPUTED_VALUE"""),"advance")</f>
        <v>advance</v>
      </c>
      <c r="E2193" s="49"/>
      <c r="F2193" s="49"/>
      <c r="G2193" s="49"/>
      <c r="H2193" s="54" t="str">
        <f t="shared" si="1"/>
        <v>arch,</v>
      </c>
      <c r="I2193" s="50"/>
      <c r="J2193" s="50" t="s">
        <v>6644</v>
      </c>
      <c r="K2193" s="50" t="s">
        <v>4373</v>
      </c>
      <c r="L2193" s="49"/>
      <c r="M2193" s="49"/>
      <c r="N2193" s="49"/>
      <c r="O2193" s="49"/>
      <c r="P2193" s="49" t="str">
        <f t="shared" si="2"/>
        <v>pushing,</v>
      </c>
      <c r="Q2193" s="49"/>
      <c r="R2193" s="50" t="s">
        <v>759</v>
      </c>
      <c r="S2193" s="55" t="s">
        <v>1013</v>
      </c>
      <c r="T2193" s="49"/>
      <c r="U2193" s="49"/>
      <c r="V2193" s="49"/>
      <c r="W2193" s="49"/>
      <c r="X2193" s="49" t="str">
        <f t="shared" si="3"/>
        <v>landscape,</v>
      </c>
      <c r="Y2193" s="49"/>
      <c r="Z2193" s="1" t="s">
        <v>2014</v>
      </c>
      <c r="AA2193" s="1" t="s">
        <v>5394</v>
      </c>
      <c r="AB2193" s="49"/>
      <c r="AC2193" s="49"/>
      <c r="AD2193" s="49"/>
      <c r="AE2193" s="49"/>
      <c r="AF2193" s="49" t="str">
        <f t="shared" si="4"/>
        <v>sweeping,</v>
      </c>
      <c r="AG2193" s="49"/>
      <c r="AH2193" s="1" t="s">
        <v>5797</v>
      </c>
      <c r="AI2193" s="1" t="s">
        <v>623</v>
      </c>
      <c r="AJ2193" s="6" t="str">
        <f>IFERROR(__xludf.DUMMYFUNCTION("""COMPUTED_VALUE"""),"closing")</f>
        <v>closing</v>
      </c>
      <c r="AK2193" s="49"/>
      <c r="AL2193" s="49"/>
      <c r="AM2193" s="49"/>
      <c r="AN2193" s="52" t="str">
        <f t="shared" si="5"/>
        <v>murray,</v>
      </c>
    </row>
    <row r="2194">
      <c r="A2194" s="51"/>
      <c r="B2194" s="50" t="s">
        <v>4578</v>
      </c>
      <c r="C2194" s="50" t="s">
        <v>5974</v>
      </c>
      <c r="D2194" s="49" t="str">
        <f>IFERROR(__xludf.DUMMYFUNCTION("""COMPUTED_VALUE"""),"classics")</f>
        <v>classics</v>
      </c>
      <c r="E2194" s="49"/>
      <c r="F2194" s="49"/>
      <c r="G2194" s="49"/>
      <c r="H2194" s="54" t="str">
        <f t="shared" si="1"/>
        <v>secretary,</v>
      </c>
      <c r="I2194" s="50"/>
      <c r="J2194" s="50" t="s">
        <v>1280</v>
      </c>
      <c r="K2194" s="50" t="s">
        <v>5396</v>
      </c>
      <c r="L2194" s="49"/>
      <c r="M2194" s="49"/>
      <c r="N2194" s="49"/>
      <c r="O2194" s="49"/>
      <c r="P2194" s="49" t="str">
        <f t="shared" si="2"/>
        <v>terrific,</v>
      </c>
      <c r="Q2194" s="49"/>
      <c r="R2194" s="50" t="s">
        <v>2361</v>
      </c>
      <c r="S2194" s="55" t="s">
        <v>3219</v>
      </c>
      <c r="T2194" s="49"/>
      <c r="U2194" s="49"/>
      <c r="V2194" s="49"/>
      <c r="W2194" s="49"/>
      <c r="X2194" s="49" t="str">
        <f t="shared" si="3"/>
        <v>hugely,</v>
      </c>
      <c r="Y2194" s="49"/>
      <c r="Z2194" s="1" t="s">
        <v>3311</v>
      </c>
      <c r="AA2194" s="1" t="s">
        <v>1433</v>
      </c>
      <c r="AB2194" s="49"/>
      <c r="AC2194" s="49"/>
      <c r="AD2194" s="49"/>
      <c r="AE2194" s="49"/>
      <c r="AF2194" s="49" t="str">
        <f t="shared" si="4"/>
        <v>passionate,</v>
      </c>
      <c r="AG2194" s="49"/>
      <c r="AH2194" s="1" t="s">
        <v>1307</v>
      </c>
      <c r="AI2194" s="1" t="s">
        <v>6672</v>
      </c>
      <c r="AJ2194" s="6" t="str">
        <f>IFERROR(__xludf.DUMMYFUNCTION("""COMPUTED_VALUE"""),"carries")</f>
        <v>carries</v>
      </c>
      <c r="AK2194" s="49"/>
      <c r="AL2194" s="49"/>
      <c r="AM2194" s="49"/>
      <c r="AN2194" s="52" t="str">
        <f t="shared" si="5"/>
        <v>central,</v>
      </c>
    </row>
    <row r="2195">
      <c r="A2195" s="51"/>
      <c r="B2195" s="50" t="s">
        <v>5124</v>
      </c>
      <c r="C2195" s="50" t="s">
        <v>6673</v>
      </c>
      <c r="D2195" s="49" t="str">
        <f>IFERROR(__xludf.DUMMYFUNCTION("""COMPUTED_VALUE"""),"craft")</f>
        <v>craft</v>
      </c>
      <c r="E2195" s="49"/>
      <c r="F2195" s="49"/>
      <c r="G2195" s="49"/>
      <c r="H2195" s="54" t="str">
        <f t="shared" si="1"/>
        <v>lines,</v>
      </c>
      <c r="I2195" s="50"/>
      <c r="J2195" s="50" t="s">
        <v>3784</v>
      </c>
      <c r="K2195" s="50" t="s">
        <v>3812</v>
      </c>
      <c r="L2195" s="49"/>
      <c r="M2195" s="49"/>
      <c r="N2195" s="49"/>
      <c r="O2195" s="49"/>
      <c r="P2195" s="49" t="str">
        <f t="shared" si="2"/>
        <v>pedestrian,</v>
      </c>
      <c r="Q2195" s="49"/>
      <c r="R2195" s="50" t="s">
        <v>1874</v>
      </c>
      <c r="S2195" s="55" t="s">
        <v>2017</v>
      </c>
      <c r="T2195" s="49"/>
      <c r="U2195" s="49"/>
      <c r="V2195" s="49"/>
      <c r="W2195" s="49"/>
      <c r="X2195" s="49" t="str">
        <f t="shared" si="3"/>
        <v>parking,</v>
      </c>
      <c r="Y2195" s="49"/>
      <c r="Z2195" s="1" t="s">
        <v>4549</v>
      </c>
      <c r="AA2195" s="1" t="s">
        <v>1630</v>
      </c>
      <c r="AB2195" s="49"/>
      <c r="AC2195" s="49"/>
      <c r="AD2195" s="49"/>
      <c r="AE2195" s="49"/>
      <c r="AF2195" s="49" t="str">
        <f t="shared" si="4"/>
        <v>anime,</v>
      </c>
      <c r="AG2195" s="49"/>
      <c r="AH2195" s="1" t="s">
        <v>6806</v>
      </c>
      <c r="AI2195" s="1" t="s">
        <v>4701</v>
      </c>
      <c r="AJ2195" s="6" t="str">
        <f>IFERROR(__xludf.DUMMYFUNCTION("""COMPUTED_VALUE"""),"design")</f>
        <v>design</v>
      </c>
      <c r="AK2195" s="49"/>
      <c r="AL2195" s="49"/>
      <c r="AM2195" s="49"/>
      <c r="AN2195" s="52" t="str">
        <f t="shared" si="5"/>
        <v>dropped,</v>
      </c>
    </row>
    <row r="2196">
      <c r="A2196" s="51"/>
      <c r="B2196" s="50" t="s">
        <v>3059</v>
      </c>
      <c r="C2196" s="50" t="s">
        <v>3043</v>
      </c>
      <c r="D2196" s="49" t="str">
        <f>IFERROR(__xludf.DUMMYFUNCTION("""COMPUTED_VALUE"""),"ears")</f>
        <v>ears</v>
      </c>
      <c r="E2196" s="49"/>
      <c r="F2196" s="49"/>
      <c r="G2196" s="49"/>
      <c r="H2196" s="54" t="str">
        <f t="shared" si="1"/>
        <v>grew,</v>
      </c>
      <c r="I2196" s="50"/>
      <c r="J2196" s="50" t="s">
        <v>5387</v>
      </c>
      <c r="K2196" s="50" t="s">
        <v>5318</v>
      </c>
      <c r="L2196" s="49"/>
      <c r="M2196" s="49"/>
      <c r="N2196" s="49"/>
      <c r="O2196" s="49"/>
      <c r="P2196" s="49" t="str">
        <f t="shared" si="2"/>
        <v>dismay,</v>
      </c>
      <c r="Q2196" s="49"/>
      <c r="R2196" s="50" t="s">
        <v>6904</v>
      </c>
      <c r="S2196" s="55" t="s">
        <v>1302</v>
      </c>
      <c r="T2196" s="49"/>
      <c r="U2196" s="49"/>
      <c r="V2196" s="49"/>
      <c r="W2196" s="49"/>
      <c r="X2196" s="49" t="str">
        <f t="shared" si="3"/>
        <v>aggressive,</v>
      </c>
      <c r="Y2196" s="49"/>
      <c r="Z2196" s="1" t="s">
        <v>1860</v>
      </c>
      <c r="AA2196" s="1" t="s">
        <v>2562</v>
      </c>
      <c r="AB2196" s="49"/>
      <c r="AC2196" s="49"/>
      <c r="AD2196" s="49"/>
      <c r="AE2196" s="49"/>
      <c r="AF2196" s="49" t="str">
        <f t="shared" si="4"/>
        <v>dozen,</v>
      </c>
      <c r="AG2196" s="49"/>
      <c r="AH2196" s="1" t="s">
        <v>2631</v>
      </c>
      <c r="AI2196" s="1" t="s">
        <v>4705</v>
      </c>
      <c r="AJ2196" s="6" t="str">
        <f>IFERROR(__xludf.DUMMYFUNCTION("""COMPUTED_VALUE"""),"winner")</f>
        <v>winner</v>
      </c>
      <c r="AK2196" s="49"/>
      <c r="AL2196" s="49"/>
      <c r="AM2196" s="49"/>
      <c r="AN2196" s="52" t="str">
        <f t="shared" si="5"/>
        <v>device,</v>
      </c>
    </row>
    <row r="2197">
      <c r="A2197" s="51"/>
      <c r="B2197" s="50" t="s">
        <v>5252</v>
      </c>
      <c r="C2197" s="50" t="s">
        <v>6621</v>
      </c>
      <c r="D2197" s="49" t="str">
        <f>IFERROR(__xludf.DUMMYFUNCTION("""COMPUTED_VALUE"""),"sport")</f>
        <v>sport</v>
      </c>
      <c r="E2197" s="49"/>
      <c r="F2197" s="49"/>
      <c r="G2197" s="49"/>
      <c r="H2197" s="54" t="str">
        <f t="shared" si="1"/>
        <v>ray,</v>
      </c>
      <c r="I2197" s="50"/>
      <c r="J2197" s="50" t="s">
        <v>2228</v>
      </c>
      <c r="K2197" s="50" t="s">
        <v>2109</v>
      </c>
      <c r="L2197" s="49"/>
      <c r="M2197" s="49"/>
      <c r="N2197" s="49"/>
      <c r="O2197" s="49"/>
      <c r="P2197" s="49" t="str">
        <f t="shared" si="2"/>
        <v>represented,</v>
      </c>
      <c r="Q2197" s="49"/>
      <c r="R2197" s="50" t="s">
        <v>6494</v>
      </c>
      <c r="S2197" s="55" t="s">
        <v>4430</v>
      </c>
      <c r="T2197" s="49"/>
      <c r="U2197" s="49"/>
      <c r="V2197" s="49"/>
      <c r="W2197" s="49"/>
      <c r="X2197" s="49" t="str">
        <f t="shared" si="3"/>
        <v>array,</v>
      </c>
      <c r="Y2197" s="49"/>
      <c r="Z2197" s="1" t="s">
        <v>2719</v>
      </c>
      <c r="AA2197" s="1" t="s">
        <v>2566</v>
      </c>
      <c r="AB2197" s="49"/>
      <c r="AC2197" s="49"/>
      <c r="AD2197" s="49"/>
      <c r="AE2197" s="49"/>
      <c r="AF2197" s="49" t="str">
        <f t="shared" si="4"/>
        <v>added,</v>
      </c>
      <c r="AG2197" s="49"/>
      <c r="AH2197" s="1" t="s">
        <v>1169</v>
      </c>
      <c r="AI2197" s="1" t="s">
        <v>6468</v>
      </c>
      <c r="AJ2197" s="6" t="str">
        <f>IFERROR(__xludf.DUMMYFUNCTION("""COMPUTED_VALUE"""),"photography")</f>
        <v>photography</v>
      </c>
      <c r="AK2197" s="49"/>
      <c r="AL2197" s="49"/>
      <c r="AM2197" s="49"/>
      <c r="AN2197" s="52" t="str">
        <f t="shared" si="5"/>
        <v>nicholas,</v>
      </c>
    </row>
    <row r="2198">
      <c r="A2198" s="51"/>
      <c r="B2198" s="50" t="s">
        <v>5322</v>
      </c>
      <c r="C2198" s="50" t="s">
        <v>3408</v>
      </c>
      <c r="D2198" s="49" t="str">
        <f>IFERROR(__xludf.DUMMYFUNCTION("""COMPUTED_VALUE"""),"centered")</f>
        <v>centered</v>
      </c>
      <c r="E2198" s="49"/>
      <c r="F2198" s="49"/>
      <c r="G2198" s="49"/>
      <c r="H2198" s="54" t="str">
        <f t="shared" si="1"/>
        <v>struck,</v>
      </c>
      <c r="I2198" s="50"/>
      <c r="J2198" s="50" t="s">
        <v>389</v>
      </c>
      <c r="K2198" s="50" t="s">
        <v>5398</v>
      </c>
      <c r="L2198" s="49"/>
      <c r="M2198" s="49"/>
      <c r="N2198" s="49"/>
      <c r="O2198" s="49"/>
      <c r="P2198" s="49" t="str">
        <f t="shared" si="2"/>
        <v>thrill,</v>
      </c>
      <c r="Q2198" s="49"/>
      <c r="R2198" s="50" t="s">
        <v>7534</v>
      </c>
      <c r="S2198" s="55" t="s">
        <v>1927</v>
      </c>
      <c r="T2198" s="49"/>
      <c r="U2198" s="49"/>
      <c r="V2198" s="49"/>
      <c r="W2198" s="49"/>
      <c r="X2198" s="49" t="str">
        <f t="shared" si="3"/>
        <v>outdated,</v>
      </c>
      <c r="Y2198" s="49"/>
      <c r="Z2198" s="1" t="s">
        <v>6258</v>
      </c>
      <c r="AA2198" s="1" t="s">
        <v>2568</v>
      </c>
      <c r="AB2198" s="49"/>
      <c r="AC2198" s="49"/>
      <c r="AD2198" s="49"/>
      <c r="AE2198" s="49"/>
      <c r="AF2198" s="49" t="str">
        <f t="shared" si="4"/>
        <v>gem,</v>
      </c>
      <c r="AG2198" s="49"/>
      <c r="AH2198" s="1" t="s">
        <v>4826</v>
      </c>
      <c r="AI2198" s="1" t="s">
        <v>5253</v>
      </c>
      <c r="AJ2198" s="6" t="str">
        <f>IFERROR(__xludf.DUMMYFUNCTION("""COMPUTED_VALUE"""),"luck")</f>
        <v>luck</v>
      </c>
      <c r="AK2198" s="49"/>
      <c r="AL2198" s="49"/>
      <c r="AM2198" s="49"/>
      <c r="AN2198" s="52" t="str">
        <f t="shared" si="5"/>
        <v>ninth,</v>
      </c>
    </row>
    <row r="2199">
      <c r="A2199" s="51"/>
      <c r="B2199" s="50" t="s">
        <v>4211</v>
      </c>
      <c r="C2199" s="50" t="s">
        <v>1136</v>
      </c>
      <c r="D2199" s="49" t="str">
        <f>IFERROR(__xludf.DUMMYFUNCTION("""COMPUTED_VALUE"""),"hitting")</f>
        <v>hitting</v>
      </c>
      <c r="E2199" s="49"/>
      <c r="F2199" s="49"/>
      <c r="G2199" s="49"/>
      <c r="H2199" s="54" t="str">
        <f t="shared" si="1"/>
        <v>shots,</v>
      </c>
      <c r="I2199" s="50"/>
      <c r="J2199" s="50" t="s">
        <v>7535</v>
      </c>
      <c r="K2199" s="50" t="s">
        <v>5401</v>
      </c>
      <c r="L2199" s="49"/>
      <c r="M2199" s="49"/>
      <c r="N2199" s="49"/>
      <c r="O2199" s="49"/>
      <c r="P2199" s="49" t="str">
        <f t="shared" si="2"/>
        <v>tee,</v>
      </c>
      <c r="Q2199" s="49"/>
      <c r="R2199" s="50" t="s">
        <v>6469</v>
      </c>
      <c r="S2199" s="55" t="s">
        <v>2021</v>
      </c>
      <c r="T2199" s="49"/>
      <c r="U2199" s="49"/>
      <c r="V2199" s="49"/>
      <c r="W2199" s="49"/>
      <c r="X2199" s="49" t="str">
        <f t="shared" si="3"/>
        <v>strongly,</v>
      </c>
      <c r="Y2199" s="49"/>
      <c r="Z2199" s="1" t="s">
        <v>4135</v>
      </c>
      <c r="AA2199" s="1" t="s">
        <v>5047</v>
      </c>
      <c r="AB2199" s="49"/>
      <c r="AC2199" s="49"/>
      <c r="AD2199" s="49"/>
      <c r="AE2199" s="49"/>
      <c r="AF2199" s="49" t="str">
        <f t="shared" si="4"/>
        <v>excess,</v>
      </c>
      <c r="AG2199" s="49"/>
      <c r="AH2199" s="1" t="s">
        <v>3058</v>
      </c>
      <c r="AI2199" s="1" t="s">
        <v>3617</v>
      </c>
      <c r="AJ2199" s="6" t="str">
        <f>IFERROR(__xludf.DUMMYFUNCTION("""COMPUTED_VALUE"""),"plant")</f>
        <v>plant</v>
      </c>
      <c r="AK2199" s="49"/>
      <c r="AL2199" s="49"/>
      <c r="AM2199" s="49"/>
      <c r="AN2199" s="52" t="str">
        <f t="shared" si="5"/>
        <v>please,</v>
      </c>
    </row>
    <row r="2200">
      <c r="A2200" s="51"/>
      <c r="B2200" s="50" t="s">
        <v>6976</v>
      </c>
      <c r="C2200" s="50" t="s">
        <v>4490</v>
      </c>
      <c r="D2200" s="49" t="str">
        <f>IFERROR(__xludf.DUMMYFUNCTION("""COMPUTED_VALUE"""),"denied")</f>
        <v>denied</v>
      </c>
      <c r="E2200" s="49"/>
      <c r="F2200" s="49"/>
      <c r="G2200" s="49"/>
      <c r="H2200" s="54" t="str">
        <f t="shared" si="1"/>
        <v>pushed,</v>
      </c>
      <c r="I2200" s="50"/>
      <c r="J2200" s="50" t="s">
        <v>2521</v>
      </c>
      <c r="K2200" s="50" t="s">
        <v>3817</v>
      </c>
      <c r="L2200" s="49"/>
      <c r="M2200" s="49"/>
      <c r="N2200" s="49"/>
      <c r="O2200" s="49"/>
      <c r="P2200" s="49" t="str">
        <f t="shared" si="2"/>
        <v>reckless,</v>
      </c>
      <c r="Q2200" s="49"/>
      <c r="R2200" s="50" t="s">
        <v>4829</v>
      </c>
      <c r="S2200" s="55" t="s">
        <v>3666</v>
      </c>
      <c r="T2200" s="49"/>
      <c r="U2200" s="49"/>
      <c r="V2200" s="49"/>
      <c r="W2200" s="49"/>
      <c r="X2200" s="49" t="str">
        <f t="shared" si="3"/>
        <v>fuzzy,</v>
      </c>
      <c r="Y2200" s="49"/>
      <c r="Z2200" s="1" t="s">
        <v>2488</v>
      </c>
      <c r="AA2200" s="1" t="s">
        <v>4396</v>
      </c>
      <c r="AB2200" s="49"/>
      <c r="AC2200" s="49"/>
      <c r="AD2200" s="49"/>
      <c r="AE2200" s="49"/>
      <c r="AF2200" s="49" t="str">
        <f t="shared" si="4"/>
        <v>dynamic,</v>
      </c>
      <c r="AG2200" s="49"/>
      <c r="AH2200" s="1" t="s">
        <v>6981</v>
      </c>
      <c r="AI2200" s="1" t="s">
        <v>5180</v>
      </c>
      <c r="AJ2200" s="6" t="str">
        <f>IFERROR(__xludf.DUMMYFUNCTION("""COMPUTED_VALUE"""),"growth")</f>
        <v>growth</v>
      </c>
      <c r="AK2200" s="49"/>
      <c r="AL2200" s="49"/>
      <c r="AM2200" s="49"/>
      <c r="AN2200" s="52" t="str">
        <f t="shared" si="5"/>
        <v>approached,</v>
      </c>
    </row>
    <row r="2201">
      <c r="A2201" s="51"/>
      <c r="B2201" s="50" t="s">
        <v>7337</v>
      </c>
      <c r="C2201" s="50" t="s">
        <v>6622</v>
      </c>
      <c r="D2201" s="49" t="str">
        <f>IFERROR(__xludf.DUMMYFUNCTION("""COMPUTED_VALUE"""),"although")</f>
        <v>although</v>
      </c>
      <c r="E2201" s="49"/>
      <c r="F2201" s="49"/>
      <c r="G2201" s="49"/>
      <c r="H2201" s="54" t="str">
        <f t="shared" si="1"/>
        <v>thumb,</v>
      </c>
      <c r="I2201" s="50"/>
      <c r="J2201" s="50" t="s">
        <v>1502</v>
      </c>
      <c r="K2201" s="50" t="s">
        <v>4908</v>
      </c>
      <c r="L2201" s="49"/>
      <c r="M2201" s="49"/>
      <c r="N2201" s="49"/>
      <c r="O2201" s="49"/>
      <c r="P2201" s="49" t="str">
        <f t="shared" si="2"/>
        <v>poet,</v>
      </c>
      <c r="Q2201" s="49"/>
      <c r="R2201" s="50" t="s">
        <v>5909</v>
      </c>
      <c r="S2201" s="55" t="s">
        <v>3227</v>
      </c>
      <c r="T2201" s="49"/>
      <c r="U2201" s="49"/>
      <c r="V2201" s="49"/>
      <c r="W2201" s="49"/>
      <c r="X2201" s="49" t="str">
        <f t="shared" si="3"/>
        <v>fuse,</v>
      </c>
      <c r="Y2201" s="49"/>
      <c r="Z2201" s="1" t="s">
        <v>6358</v>
      </c>
      <c r="AA2201" s="1" t="s">
        <v>4398</v>
      </c>
      <c r="AB2201" s="49"/>
      <c r="AC2201" s="49"/>
      <c r="AD2201" s="49"/>
      <c r="AE2201" s="49"/>
      <c r="AF2201" s="49" t="str">
        <f t="shared" si="4"/>
        <v>private,</v>
      </c>
      <c r="AG2201" s="49"/>
      <c r="AH2201" s="1" t="s">
        <v>6291</v>
      </c>
      <c r="AI2201" s="1" t="s">
        <v>3620</v>
      </c>
      <c r="AJ2201" s="6" t="str">
        <f>IFERROR(__xludf.DUMMYFUNCTION("""COMPUTED_VALUE"""),"benefit")</f>
        <v>benefit</v>
      </c>
      <c r="AK2201" s="49"/>
      <c r="AL2201" s="49"/>
      <c r="AM2201" s="49"/>
      <c r="AN2201" s="52" t="str">
        <f t="shared" si="5"/>
        <v>dry,</v>
      </c>
    </row>
    <row r="2202">
      <c r="A2202" s="51"/>
      <c r="B2202" s="50" t="s">
        <v>3569</v>
      </c>
      <c r="C2202" s="50" t="s">
        <v>1148</v>
      </c>
      <c r="D2202" s="49" t="str">
        <f>IFERROR(__xludf.DUMMYFUNCTION("""COMPUTED_VALUE"""),"defense")</f>
        <v>defense</v>
      </c>
      <c r="E2202" s="49"/>
      <c r="F2202" s="49"/>
      <c r="G2202" s="49"/>
      <c r="H2202" s="54" t="str">
        <f t="shared" si="1"/>
        <v>contributed,</v>
      </c>
      <c r="I2202" s="50"/>
      <c r="J2202" s="50" t="s">
        <v>7045</v>
      </c>
      <c r="K2202" s="50" t="s">
        <v>3820</v>
      </c>
      <c r="L2202" s="49"/>
      <c r="M2202" s="49"/>
      <c r="N2202" s="49"/>
      <c r="O2202" s="49"/>
      <c r="P2202" s="49" t="str">
        <f t="shared" si="2"/>
        <v>bath,</v>
      </c>
      <c r="Q2202" s="49"/>
      <c r="R2202" s="50" t="s">
        <v>4359</v>
      </c>
      <c r="S2202" s="55" t="s">
        <v>3229</v>
      </c>
      <c r="T2202" s="49"/>
      <c r="U2202" s="49"/>
      <c r="V2202" s="49"/>
      <c r="W2202" s="49"/>
      <c r="X2202" s="49" t="str">
        <f t="shared" si="3"/>
        <v>schedule,</v>
      </c>
      <c r="Y2202" s="49"/>
      <c r="Z2202" s="1" t="s">
        <v>3017</v>
      </c>
      <c r="AA2202" s="1" t="s">
        <v>4401</v>
      </c>
      <c r="AB2202" s="49"/>
      <c r="AC2202" s="49"/>
      <c r="AD2202" s="49"/>
      <c r="AE2202" s="49"/>
      <c r="AF2202" s="49" t="str">
        <f t="shared" si="4"/>
        <v>alive,</v>
      </c>
      <c r="AG2202" s="49"/>
      <c r="AH2202" s="1" t="s">
        <v>1492</v>
      </c>
      <c r="AI2202" s="1" t="s">
        <v>6674</v>
      </c>
      <c r="AJ2202" s="6" t="str">
        <f>IFERROR(__xludf.DUMMYFUNCTION("""COMPUTED_VALUE"""),"literary")</f>
        <v>literary</v>
      </c>
      <c r="AK2202" s="49"/>
      <c r="AL2202" s="49"/>
      <c r="AM2202" s="49"/>
      <c r="AN2202" s="52" t="str">
        <f t="shared" si="5"/>
        <v>tradition,</v>
      </c>
    </row>
    <row r="2203">
      <c r="A2203" s="51"/>
      <c r="B2203" s="50" t="s">
        <v>4577</v>
      </c>
      <c r="C2203" s="50" t="s">
        <v>6675</v>
      </c>
      <c r="D2203" s="49" t="str">
        <f>IFERROR(__xludf.DUMMYFUNCTION("""COMPUTED_VALUE"""),"shooting")</f>
        <v>shooting</v>
      </c>
      <c r="E2203" s="49"/>
      <c r="F2203" s="49"/>
      <c r="G2203" s="49"/>
      <c r="H2203" s="54" t="str">
        <f t="shared" si="1"/>
        <v>barry,</v>
      </c>
      <c r="I2203" s="50"/>
      <c r="J2203" s="50" t="s">
        <v>203</v>
      </c>
      <c r="K2203" s="50" t="s">
        <v>3823</v>
      </c>
      <c r="L2203" s="49"/>
      <c r="M2203" s="49"/>
      <c r="N2203" s="49"/>
      <c r="O2203" s="49"/>
      <c r="P2203" s="49" t="str">
        <f t="shared" si="2"/>
        <v>triumph,</v>
      </c>
      <c r="Q2203" s="49"/>
      <c r="R2203" s="50" t="s">
        <v>7536</v>
      </c>
      <c r="S2203" s="55" t="s">
        <v>2025</v>
      </c>
      <c r="T2203" s="49"/>
      <c r="U2203" s="49"/>
      <c r="V2203" s="49"/>
      <c r="W2203" s="49"/>
      <c r="X2203" s="49" t="str">
        <f t="shared" si="3"/>
        <v>improper,</v>
      </c>
      <c r="Y2203" s="49"/>
      <c r="Z2203" s="1" t="s">
        <v>3041</v>
      </c>
      <c r="AA2203" s="1" t="s">
        <v>1439</v>
      </c>
      <c r="AB2203" s="49"/>
      <c r="AC2203" s="49"/>
      <c r="AD2203" s="49"/>
      <c r="AE2203" s="49"/>
      <c r="AF2203" s="49" t="str">
        <f t="shared" si="4"/>
        <v>random,</v>
      </c>
      <c r="AG2203" s="49"/>
      <c r="AH2203" s="1" t="s">
        <v>5743</v>
      </c>
      <c r="AI2203" s="1" t="s">
        <v>3302</v>
      </c>
      <c r="AJ2203" s="6" t="str">
        <f>IFERROR(__xludf.DUMMYFUNCTION("""COMPUTED_VALUE"""),"south")</f>
        <v>south</v>
      </c>
      <c r="AK2203" s="49"/>
      <c r="AL2203" s="49"/>
      <c r="AM2203" s="49"/>
      <c r="AN2203" s="52" t="str">
        <f t="shared" si="5"/>
        <v>difficulty,</v>
      </c>
    </row>
    <row r="2204">
      <c r="A2204" s="51"/>
      <c r="B2204" s="50" t="s">
        <v>3653</v>
      </c>
      <c r="C2204" s="50" t="s">
        <v>4498</v>
      </c>
      <c r="D2204" s="49" t="str">
        <f>IFERROR(__xludf.DUMMYFUNCTION("""COMPUTED_VALUE"""),"wave")</f>
        <v>wave</v>
      </c>
      <c r="E2204" s="49"/>
      <c r="F2204" s="49"/>
      <c r="G2204" s="49"/>
      <c r="H2204" s="54" t="str">
        <f t="shared" si="1"/>
        <v>majority,</v>
      </c>
      <c r="I2204" s="50"/>
      <c r="J2204" s="50" t="s">
        <v>6411</v>
      </c>
      <c r="K2204" s="50" t="s">
        <v>3825</v>
      </c>
      <c r="L2204" s="49"/>
      <c r="M2204" s="49"/>
      <c r="N2204" s="49"/>
      <c r="O2204" s="49"/>
      <c r="P2204" s="49" t="str">
        <f t="shared" si="2"/>
        <v>freshly,</v>
      </c>
      <c r="Q2204" s="49"/>
      <c r="R2204" s="50" t="s">
        <v>1465</v>
      </c>
      <c r="S2204" s="55" t="s">
        <v>3231</v>
      </c>
      <c r="T2204" s="49"/>
      <c r="U2204" s="49"/>
      <c r="V2204" s="49"/>
      <c r="W2204" s="49"/>
      <c r="X2204" s="49" t="str">
        <f t="shared" si="3"/>
        <v>kaufman,</v>
      </c>
      <c r="Y2204" s="49"/>
      <c r="Z2204" s="1" t="s">
        <v>2973</v>
      </c>
      <c r="AA2204" s="1" t="s">
        <v>1445</v>
      </c>
      <c r="AB2204" s="49"/>
      <c r="AC2204" s="49"/>
      <c r="AD2204" s="49"/>
      <c r="AE2204" s="49"/>
      <c r="AF2204" s="49" t="str">
        <f t="shared" si="4"/>
        <v>maintain,</v>
      </c>
      <c r="AG2204" s="49"/>
      <c r="AH2204" s="1" t="s">
        <v>5998</v>
      </c>
      <c r="AI2204" s="1" t="s">
        <v>6676</v>
      </c>
      <c r="AJ2204" s="6" t="str">
        <f>IFERROR(__xludf.DUMMYFUNCTION("""COMPUTED_VALUE"""),"park")</f>
        <v>park</v>
      </c>
      <c r="AK2204" s="49"/>
      <c r="AL2204" s="49"/>
      <c r="AM2204" s="49"/>
      <c r="AN2204" s="52" t="str">
        <f t="shared" si="5"/>
        <v>danny,</v>
      </c>
    </row>
    <row r="2205">
      <c r="A2205" s="51"/>
      <c r="B2205" s="50" t="s">
        <v>3389</v>
      </c>
      <c r="C2205" s="50" t="s">
        <v>3581</v>
      </c>
      <c r="D2205" s="49" t="str">
        <f>IFERROR(__xludf.DUMMYFUNCTION("""COMPUTED_VALUE"""),"dish")</f>
        <v>dish</v>
      </c>
      <c r="E2205" s="49"/>
      <c r="F2205" s="49"/>
      <c r="G2205" s="49"/>
      <c r="H2205" s="54" t="str">
        <f t="shared" si="1"/>
        <v>venture,</v>
      </c>
      <c r="I2205" s="50"/>
      <c r="J2205" s="50" t="s">
        <v>4658</v>
      </c>
      <c r="K2205" s="50" t="s">
        <v>2113</v>
      </c>
      <c r="L2205" s="49"/>
      <c r="M2205" s="49"/>
      <c r="N2205" s="49"/>
      <c r="O2205" s="49"/>
      <c r="P2205" s="49" t="str">
        <f t="shared" si="2"/>
        <v>exploring,</v>
      </c>
      <c r="Q2205" s="49"/>
      <c r="R2205" s="50" t="s">
        <v>1510</v>
      </c>
      <c r="S2205" s="55" t="s">
        <v>4749</v>
      </c>
      <c r="T2205" s="49"/>
      <c r="U2205" s="49"/>
      <c r="V2205" s="49"/>
      <c r="W2205" s="49"/>
      <c r="X2205" s="49" t="str">
        <f t="shared" si="3"/>
        <v>intensely,</v>
      </c>
      <c r="Y2205" s="49"/>
      <c r="Z2205" s="1" t="s">
        <v>3539</v>
      </c>
      <c r="AA2205" s="1" t="s">
        <v>4412</v>
      </c>
      <c r="AB2205" s="49"/>
      <c r="AC2205" s="49"/>
      <c r="AD2205" s="49"/>
      <c r="AE2205" s="49"/>
      <c r="AF2205" s="49" t="str">
        <f t="shared" si="4"/>
        <v>gender,</v>
      </c>
      <c r="AG2205" s="49"/>
      <c r="AH2205" s="1" t="s">
        <v>7537</v>
      </c>
      <c r="AI2205" s="1" t="s">
        <v>3199</v>
      </c>
      <c r="AJ2205" s="6" t="str">
        <f>IFERROR(__xludf.DUMMYFUNCTION("""COMPUTED_VALUE"""),"tall")</f>
        <v>tall</v>
      </c>
      <c r="AK2205" s="49"/>
      <c r="AL2205" s="49"/>
      <c r="AM2205" s="49"/>
      <c r="AN2205" s="52" t="str">
        <f t="shared" si="5"/>
        <v>began,</v>
      </c>
    </row>
    <row r="2206">
      <c r="A2206" s="51"/>
      <c r="B2206" s="50" t="s">
        <v>1745</v>
      </c>
      <c r="C2206" s="50" t="s">
        <v>3105</v>
      </c>
      <c r="D2206" s="49" t="str">
        <f>IFERROR(__xludf.DUMMYFUNCTION("""COMPUTED_VALUE"""),"walking")</f>
        <v>walking</v>
      </c>
      <c r="E2206" s="49"/>
      <c r="F2206" s="49"/>
      <c r="G2206" s="49"/>
      <c r="H2206" s="54" t="str">
        <f t="shared" si="1"/>
        <v>imagination,</v>
      </c>
      <c r="I2206" s="50"/>
      <c r="J2206" s="50" t="s">
        <v>3328</v>
      </c>
      <c r="K2206" s="50" t="s">
        <v>3828</v>
      </c>
      <c r="L2206" s="49"/>
      <c r="M2206" s="49"/>
      <c r="N2206" s="49"/>
      <c r="O2206" s="49"/>
      <c r="P2206" s="49" t="str">
        <f t="shared" si="2"/>
        <v>delivery,</v>
      </c>
      <c r="Q2206" s="49"/>
      <c r="R2206" s="50" t="s">
        <v>4610</v>
      </c>
      <c r="S2206" s="55" t="s">
        <v>1343</v>
      </c>
      <c r="T2206" s="49"/>
      <c r="U2206" s="49"/>
      <c r="V2206" s="49"/>
      <c r="W2206" s="49"/>
      <c r="X2206" s="49" t="str">
        <f t="shared" si="3"/>
        <v>companion,</v>
      </c>
      <c r="Y2206" s="49"/>
      <c r="Z2206" s="1" t="s">
        <v>3701</v>
      </c>
      <c r="AA2206" s="1" t="s">
        <v>5403</v>
      </c>
      <c r="AB2206" s="49"/>
      <c r="AC2206" s="49"/>
      <c r="AD2206" s="49"/>
      <c r="AE2206" s="49"/>
      <c r="AF2206" s="49" t="str">
        <f t="shared" si="4"/>
        <v>details,</v>
      </c>
      <c r="AG2206" s="49"/>
      <c r="AH2206" s="1" t="s">
        <v>6717</v>
      </c>
      <c r="AI2206" s="1" t="s">
        <v>5254</v>
      </c>
      <c r="AJ2206" s="6" t="str">
        <f>IFERROR(__xludf.DUMMYFUNCTION("""COMPUTED_VALUE"""),"recognized")</f>
        <v>recognized</v>
      </c>
      <c r="AK2206" s="49"/>
      <c r="AL2206" s="49"/>
      <c r="AM2206" s="49"/>
      <c r="AN2206" s="52" t="str">
        <f t="shared" si="5"/>
        <v>easier,</v>
      </c>
    </row>
    <row r="2207">
      <c r="A2207" s="51"/>
      <c r="B2207" s="50" t="s">
        <v>2672</v>
      </c>
      <c r="C2207" s="50" t="s">
        <v>6623</v>
      </c>
      <c r="D2207" s="49" t="str">
        <f>IFERROR(__xludf.DUMMYFUNCTION("""COMPUTED_VALUE"""),"student")</f>
        <v>student</v>
      </c>
      <c r="E2207" s="49"/>
      <c r="F2207" s="49"/>
      <c r="G2207" s="49"/>
      <c r="H2207" s="54" t="str">
        <f t="shared" si="1"/>
        <v>report,</v>
      </c>
      <c r="I2207" s="50"/>
      <c r="J2207" s="50" t="s">
        <v>6406</v>
      </c>
      <c r="K2207" s="50" t="s">
        <v>5327</v>
      </c>
      <c r="L2207" s="49"/>
      <c r="M2207" s="49"/>
      <c r="N2207" s="49"/>
      <c r="O2207" s="49"/>
      <c r="P2207" s="49" t="str">
        <f t="shared" si="2"/>
        <v>witnessed,</v>
      </c>
      <c r="Q2207" s="49"/>
      <c r="R2207" s="50" t="s">
        <v>5975</v>
      </c>
      <c r="S2207" s="55" t="s">
        <v>6677</v>
      </c>
      <c r="T2207" s="49"/>
      <c r="U2207" s="49"/>
      <c r="V2207" s="49"/>
      <c r="W2207" s="49"/>
      <c r="X2207" s="49" t="str">
        <f t="shared" si="3"/>
        <v>educational,</v>
      </c>
      <c r="Y2207" s="49"/>
      <c r="Z2207" s="1" t="s">
        <v>1861</v>
      </c>
      <c r="AA2207" s="1" t="s">
        <v>5404</v>
      </c>
      <c r="AB2207" s="49"/>
      <c r="AC2207" s="49"/>
      <c r="AD2207" s="49"/>
      <c r="AE2207" s="49"/>
      <c r="AF2207" s="49" t="str">
        <f t="shared" si="4"/>
        <v>study,</v>
      </c>
      <c r="AG2207" s="49"/>
      <c r="AH2207" s="1" t="s">
        <v>6332</v>
      </c>
      <c r="AI2207" s="1" t="s">
        <v>1250</v>
      </c>
      <c r="AJ2207" s="6" t="str">
        <f>IFERROR(__xludf.DUMMYFUNCTION("""COMPUTED_VALUE"""),"les")</f>
        <v>les</v>
      </c>
      <c r="AK2207" s="49"/>
      <c r="AL2207" s="49"/>
      <c r="AM2207" s="49"/>
      <c r="AN2207" s="52" t="str">
        <f t="shared" si="5"/>
        <v>screaming,</v>
      </c>
    </row>
    <row r="2208">
      <c r="A2208" s="51"/>
      <c r="B2208" s="50" t="s">
        <v>7024</v>
      </c>
      <c r="C2208" s="50" t="s">
        <v>3050</v>
      </c>
      <c r="D2208" s="49" t="str">
        <f>IFERROR(__xludf.DUMMYFUNCTION("""COMPUTED_VALUE"""),"language")</f>
        <v>language</v>
      </c>
      <c r="E2208" s="49"/>
      <c r="F2208" s="49"/>
      <c r="G2208" s="49"/>
      <c r="H2208" s="54" t="str">
        <f t="shared" si="1"/>
        <v>entering,</v>
      </c>
      <c r="I2208" s="50"/>
      <c r="J2208" s="50" t="s">
        <v>3516</v>
      </c>
      <c r="K2208" s="50" t="s">
        <v>3831</v>
      </c>
      <c r="L2208" s="49"/>
      <c r="M2208" s="49"/>
      <c r="N2208" s="49"/>
      <c r="O2208" s="49"/>
      <c r="P2208" s="49" t="str">
        <f t="shared" si="2"/>
        <v>timely,</v>
      </c>
      <c r="Q2208" s="49"/>
      <c r="R2208" s="50">
        <v>103.0</v>
      </c>
      <c r="S2208" s="55" t="s">
        <v>2028</v>
      </c>
      <c r="T2208" s="49"/>
      <c r="U2208" s="49"/>
      <c r="V2208" s="49"/>
      <c r="W2208" s="49"/>
      <c r="X2208" s="49" t="str">
        <f t="shared" si="3"/>
        <v>103,</v>
      </c>
      <c r="Y2208" s="49"/>
      <c r="Z2208" s="1" t="s">
        <v>820</v>
      </c>
      <c r="AA2208" s="1" t="s">
        <v>4414</v>
      </c>
      <c r="AB2208" s="49"/>
      <c r="AC2208" s="49"/>
      <c r="AD2208" s="49"/>
      <c r="AE2208" s="49"/>
      <c r="AF2208" s="49" t="str">
        <f t="shared" si="4"/>
        <v>glossy,</v>
      </c>
      <c r="AG2208" s="49"/>
      <c r="AH2208" s="1" t="s">
        <v>4397</v>
      </c>
      <c r="AI2208" s="1" t="s">
        <v>3621</v>
      </c>
      <c r="AJ2208" s="6" t="str">
        <f>IFERROR(__xludf.DUMMYFUNCTION("""COMPUTED_VALUE"""),"impressed")</f>
        <v>impressed</v>
      </c>
      <c r="AK2208" s="49"/>
      <c r="AL2208" s="49"/>
      <c r="AM2208" s="49"/>
      <c r="AN2208" s="52" t="str">
        <f t="shared" si="5"/>
        <v>decision,</v>
      </c>
    </row>
    <row r="2209">
      <c r="A2209" s="51"/>
      <c r="B2209" s="50" t="s">
        <v>3464</v>
      </c>
      <c r="C2209" s="50" t="s">
        <v>3418</v>
      </c>
      <c r="D2209" s="49" t="str">
        <f>IFERROR(__xludf.DUMMYFUNCTION("""COMPUTED_VALUE"""),"develop")</f>
        <v>develop</v>
      </c>
      <c r="E2209" s="49"/>
      <c r="F2209" s="49"/>
      <c r="G2209" s="49"/>
      <c r="H2209" s="54" t="str">
        <f t="shared" si="1"/>
        <v>technique,</v>
      </c>
      <c r="I2209" s="50"/>
      <c r="J2209" s="50" t="s">
        <v>5767</v>
      </c>
      <c r="K2209" s="50" t="s">
        <v>126</v>
      </c>
      <c r="L2209" s="49"/>
      <c r="M2209" s="49"/>
      <c r="N2209" s="49"/>
      <c r="O2209" s="49"/>
      <c r="P2209" s="49" t="str">
        <f t="shared" si="2"/>
        <v>debate,</v>
      </c>
      <c r="Q2209" s="49"/>
      <c r="R2209" s="50" t="s">
        <v>2909</v>
      </c>
      <c r="S2209" s="55" t="s">
        <v>4752</v>
      </c>
      <c r="T2209" s="49"/>
      <c r="U2209" s="49"/>
      <c r="V2209" s="49"/>
      <c r="W2209" s="49"/>
      <c r="X2209" s="49" t="str">
        <f t="shared" si="3"/>
        <v>casual,</v>
      </c>
      <c r="Y2209" s="49"/>
      <c r="Z2209" s="1" t="s">
        <v>3713</v>
      </c>
      <c r="AA2209" s="1" t="s">
        <v>3708</v>
      </c>
      <c r="AB2209" s="49"/>
      <c r="AC2209" s="49"/>
      <c r="AD2209" s="49"/>
      <c r="AE2209" s="49"/>
      <c r="AF2209" s="49" t="str">
        <f t="shared" si="4"/>
        <v>sparkling,</v>
      </c>
      <c r="AG2209" s="49"/>
      <c r="AH2209" s="1" t="s">
        <v>3444</v>
      </c>
      <c r="AI2209" s="1" t="s">
        <v>4717</v>
      </c>
      <c r="AJ2209" s="6" t="str">
        <f>IFERROR(__xludf.DUMMYFUNCTION("""COMPUTED_VALUE"""),"designed")</f>
        <v>designed</v>
      </c>
      <c r="AK2209" s="49"/>
      <c r="AL2209" s="49"/>
      <c r="AM2209" s="49"/>
      <c r="AN2209" s="52" t="str">
        <f t="shared" si="5"/>
        <v>pick,</v>
      </c>
    </row>
    <row r="2210">
      <c r="A2210" s="51"/>
      <c r="B2210" s="50" t="s">
        <v>5311</v>
      </c>
      <c r="C2210" s="50" t="s">
        <v>4132</v>
      </c>
      <c r="D2210" s="49" t="str">
        <f>IFERROR(__xludf.DUMMYFUNCTION("""COMPUTED_VALUE"""),"require")</f>
        <v>require</v>
      </c>
      <c r="E2210" s="49"/>
      <c r="F2210" s="49"/>
      <c r="G2210" s="49"/>
      <c r="H2210" s="54" t="str">
        <f t="shared" si="1"/>
        <v>sessions,</v>
      </c>
      <c r="I2210" s="50"/>
      <c r="J2210" s="50" t="s">
        <v>7538</v>
      </c>
      <c r="K2210" s="50" t="s">
        <v>3835</v>
      </c>
      <c r="L2210" s="49"/>
      <c r="M2210" s="49"/>
      <c r="N2210" s="49"/>
      <c r="O2210" s="49"/>
      <c r="P2210" s="49" t="str">
        <f t="shared" si="2"/>
        <v>hat,</v>
      </c>
      <c r="Q2210" s="49"/>
      <c r="R2210" s="50" t="s">
        <v>7539</v>
      </c>
      <c r="S2210" s="55" t="s">
        <v>3660</v>
      </c>
      <c r="T2210" s="49"/>
      <c r="U2210" s="49"/>
      <c r="V2210" s="49"/>
      <c r="W2210" s="49"/>
      <c r="X2210" s="49" t="str">
        <f t="shared" si="3"/>
        <v>shed,</v>
      </c>
      <c r="Y2210" s="49"/>
      <c r="Z2210" s="1" t="s">
        <v>3742</v>
      </c>
      <c r="AA2210" s="1" t="s">
        <v>1491</v>
      </c>
      <c r="AB2210" s="49"/>
      <c r="AC2210" s="49"/>
      <c r="AD2210" s="49"/>
      <c r="AE2210" s="49"/>
      <c r="AF2210" s="49" t="str">
        <f t="shared" si="4"/>
        <v>accept,</v>
      </c>
      <c r="AG2210" s="49"/>
      <c r="AH2210" s="1" t="s">
        <v>1345</v>
      </c>
      <c r="AI2210" s="1" t="s">
        <v>6678</v>
      </c>
      <c r="AJ2210" s="6" t="str">
        <f>IFERROR(__xludf.DUMMYFUNCTION("""COMPUTED_VALUE"""),"disease")</f>
        <v>disease</v>
      </c>
      <c r="AK2210" s="49"/>
      <c r="AL2210" s="49"/>
      <c r="AM2210" s="49"/>
      <c r="AN2210" s="52" t="str">
        <f t="shared" si="5"/>
        <v>celebration,</v>
      </c>
    </row>
    <row r="2211">
      <c r="A2211" s="51"/>
      <c r="B2211" s="50" t="s">
        <v>7540</v>
      </c>
      <c r="C2211" s="50" t="s">
        <v>6616</v>
      </c>
      <c r="D2211" s="49" t="str">
        <f>IFERROR(__xludf.DUMMYFUNCTION("""COMPUTED_VALUE"""),"connect")</f>
        <v>connect</v>
      </c>
      <c r="E2211" s="49"/>
      <c r="F2211" s="49"/>
      <c r="G2211" s="49"/>
      <c r="H2211" s="54" t="str">
        <f t="shared" si="1"/>
        <v>therapy,</v>
      </c>
      <c r="I2211" s="50"/>
      <c r="J2211" s="50" t="s">
        <v>1098</v>
      </c>
      <c r="K2211" s="50" t="s">
        <v>3837</v>
      </c>
      <c r="L2211" s="49"/>
      <c r="M2211" s="49"/>
      <c r="N2211" s="49"/>
      <c r="O2211" s="49"/>
      <c r="P2211" s="49" t="str">
        <f t="shared" si="2"/>
        <v>viewed,</v>
      </c>
      <c r="Q2211" s="49"/>
      <c r="R2211" s="50" t="s">
        <v>5770</v>
      </c>
      <c r="S2211" s="55" t="s">
        <v>6679</v>
      </c>
      <c r="T2211" s="49"/>
      <c r="U2211" s="49"/>
      <c r="V2211" s="49"/>
      <c r="W2211" s="49"/>
      <c r="X2211" s="49" t="str">
        <f t="shared" si="3"/>
        <v>broader,</v>
      </c>
      <c r="Y2211" s="49"/>
      <c r="Z2211" s="1" t="s">
        <v>6027</v>
      </c>
      <c r="AA2211" s="1" t="s">
        <v>4416</v>
      </c>
      <c r="AB2211" s="49"/>
      <c r="AC2211" s="49"/>
      <c r="AD2211" s="49"/>
      <c r="AE2211" s="49"/>
      <c r="AF2211" s="49" t="str">
        <f t="shared" si="4"/>
        <v>conscious,</v>
      </c>
      <c r="AG2211" s="49"/>
      <c r="AH2211" s="1" t="s">
        <v>6457</v>
      </c>
      <c r="AI2211" s="1" t="s">
        <v>6668</v>
      </c>
      <c r="AJ2211" s="6" t="str">
        <f>IFERROR(__xludf.DUMMYFUNCTION("""COMPUTED_VALUE"""),"common")</f>
        <v>common</v>
      </c>
      <c r="AK2211" s="49"/>
      <c r="AL2211" s="49"/>
      <c r="AM2211" s="49"/>
      <c r="AN2211" s="52" t="str">
        <f t="shared" si="5"/>
        <v>thank,</v>
      </c>
    </row>
    <row r="2212">
      <c r="A2212" s="51"/>
      <c r="B2212" s="50" t="s">
        <v>6143</v>
      </c>
      <c r="C2212" s="50" t="s">
        <v>4505</v>
      </c>
      <c r="D2212" s="49" t="str">
        <f>IFERROR(__xludf.DUMMYFUNCTION("""COMPUTED_VALUE"""),"military")</f>
        <v>military</v>
      </c>
      <c r="E2212" s="49"/>
      <c r="F2212" s="49"/>
      <c r="G2212" s="49"/>
      <c r="H2212" s="54" t="str">
        <f t="shared" si="1"/>
        <v>matrix,</v>
      </c>
      <c r="I2212" s="50"/>
      <c r="J2212" s="50" t="s">
        <v>4786</v>
      </c>
      <c r="K2212" s="50" t="s">
        <v>5407</v>
      </c>
      <c r="L2212" s="49"/>
      <c r="M2212" s="49"/>
      <c r="N2212" s="49"/>
      <c r="O2212" s="49"/>
      <c r="P2212" s="49" t="str">
        <f t="shared" si="2"/>
        <v>painting,</v>
      </c>
      <c r="Q2212" s="49"/>
      <c r="R2212" s="50" t="s">
        <v>1626</v>
      </c>
      <c r="S2212" s="55" t="s">
        <v>3662</v>
      </c>
      <c r="T2212" s="49"/>
      <c r="U2212" s="49"/>
      <c r="V2212" s="49"/>
      <c r="W2212" s="49"/>
      <c r="X2212" s="49" t="str">
        <f t="shared" si="3"/>
        <v>destructive,</v>
      </c>
      <c r="Y2212" s="49"/>
      <c r="Z2212" s="1" t="s">
        <v>2994</v>
      </c>
      <c r="AA2212" s="1" t="s">
        <v>1450</v>
      </c>
      <c r="AB2212" s="49"/>
      <c r="AC2212" s="49"/>
      <c r="AD2212" s="49"/>
      <c r="AE2212" s="49"/>
      <c r="AF2212" s="49" t="str">
        <f t="shared" si="4"/>
        <v>mood,</v>
      </c>
      <c r="AG2212" s="49"/>
      <c r="AH2212" s="1" t="s">
        <v>2995</v>
      </c>
      <c r="AI2212" s="1" t="s">
        <v>6669</v>
      </c>
      <c r="AJ2212" s="6" t="str">
        <f>IFERROR(__xludf.DUMMYFUNCTION("""COMPUTED_VALUE"""),"champion")</f>
        <v>champion</v>
      </c>
      <c r="AK2212" s="49"/>
      <c r="AL2212" s="49"/>
      <c r="AM2212" s="49"/>
      <c r="AN2212" s="52" t="str">
        <f t="shared" si="5"/>
        <v>ages,</v>
      </c>
    </row>
    <row r="2213">
      <c r="A2213" s="51"/>
      <c r="B2213" s="50" t="s">
        <v>1252</v>
      </c>
      <c r="C2213" s="50" t="s">
        <v>6680</v>
      </c>
      <c r="D2213" s="49" t="str">
        <f>IFERROR(__xludf.DUMMYFUNCTION("""COMPUTED_VALUE"""),"toss")</f>
        <v>toss</v>
      </c>
      <c r="E2213" s="49"/>
      <c r="F2213" s="49"/>
      <c r="G2213" s="49"/>
      <c r="H2213" s="54" t="str">
        <f t="shared" si="1"/>
        <v>lopez,</v>
      </c>
      <c r="I2213" s="50"/>
      <c r="J2213" s="50" t="s">
        <v>5263</v>
      </c>
      <c r="K2213" s="50" t="s">
        <v>2117</v>
      </c>
      <c r="L2213" s="49"/>
      <c r="M2213" s="49"/>
      <c r="N2213" s="49"/>
      <c r="O2213" s="49"/>
      <c r="P2213" s="49" t="str">
        <f t="shared" si="2"/>
        <v>erin,</v>
      </c>
      <c r="Q2213" s="49"/>
      <c r="R2213" s="50" t="s">
        <v>1319</v>
      </c>
      <c r="S2213" s="55" t="s">
        <v>1023</v>
      </c>
      <c r="T2213" s="49"/>
      <c r="U2213" s="49"/>
      <c r="V2213" s="49"/>
      <c r="W2213" s="49"/>
      <c r="X2213" s="49" t="str">
        <f t="shared" si="3"/>
        <v>3d,</v>
      </c>
      <c r="Y2213" s="49"/>
      <c r="Z2213" s="1" t="s">
        <v>5731</v>
      </c>
      <c r="AA2213" s="1" t="s">
        <v>5360</v>
      </c>
      <c r="AB2213" s="49"/>
      <c r="AC2213" s="49"/>
      <c r="AD2213" s="49"/>
      <c r="AE2213" s="49"/>
      <c r="AF2213" s="49" t="str">
        <f t="shared" si="4"/>
        <v>marriage,</v>
      </c>
      <c r="AG2213" s="49"/>
      <c r="AH2213" s="1" t="s">
        <v>5644</v>
      </c>
      <c r="AI2213" s="1" t="s">
        <v>3206</v>
      </c>
      <c r="AJ2213" s="6" t="str">
        <f>IFERROR(__xludf.DUMMYFUNCTION("""COMPUTED_VALUE"""),"upper")</f>
        <v>upper</v>
      </c>
      <c r="AK2213" s="49"/>
      <c r="AL2213" s="49"/>
      <c r="AM2213" s="49"/>
      <c r="AN2213" s="52" t="str">
        <f t="shared" si="5"/>
        <v>angels,</v>
      </c>
    </row>
    <row r="2214">
      <c r="A2214" s="51"/>
      <c r="B2214" s="50" t="s">
        <v>2646</v>
      </c>
      <c r="C2214" s="50" t="s">
        <v>5230</v>
      </c>
      <c r="D2214" s="49" t="str">
        <f>IFERROR(__xludf.DUMMYFUNCTION("""COMPUTED_VALUE"""),"onto")</f>
        <v>onto</v>
      </c>
      <c r="E2214" s="49"/>
      <c r="F2214" s="49"/>
      <c r="G2214" s="49"/>
      <c r="H2214" s="54" t="str">
        <f t="shared" si="1"/>
        <v>master,</v>
      </c>
      <c r="I2214" s="50"/>
      <c r="J2214" s="50" t="s">
        <v>7493</v>
      </c>
      <c r="K2214" s="50" t="s">
        <v>3587</v>
      </c>
      <c r="L2214" s="49"/>
      <c r="M2214" s="49"/>
      <c r="N2214" s="49"/>
      <c r="O2214" s="49"/>
      <c r="P2214" s="49" t="str">
        <f t="shared" si="2"/>
        <v>benign,</v>
      </c>
      <c r="Q2214" s="49"/>
      <c r="R2214" s="50" t="s">
        <v>439</v>
      </c>
      <c r="S2214" s="55" t="s">
        <v>3237</v>
      </c>
      <c r="T2214" s="49"/>
      <c r="U2214" s="49"/>
      <c r="V2214" s="49"/>
      <c r="W2214" s="49"/>
      <c r="X2214" s="49" t="str">
        <f t="shared" si="3"/>
        <v>wildlife,</v>
      </c>
      <c r="Y2214" s="49"/>
      <c r="Z2214" s="1" t="s">
        <v>2950</v>
      </c>
      <c r="AA2214" s="1" t="s">
        <v>5409</v>
      </c>
      <c r="AB2214" s="49"/>
      <c r="AC2214" s="49"/>
      <c r="AD2214" s="49"/>
      <c r="AE2214" s="49"/>
      <c r="AF2214" s="49" t="str">
        <f t="shared" si="4"/>
        <v>assured,</v>
      </c>
      <c r="AG2214" s="49"/>
      <c r="AH2214" s="1" t="s">
        <v>6067</v>
      </c>
      <c r="AI2214" s="1" t="s">
        <v>4729</v>
      </c>
      <c r="AJ2214" s="6" t="str">
        <f>IFERROR(__xludf.DUMMYFUNCTION("""COMPUTED_VALUE"""),"safe")</f>
        <v>safe</v>
      </c>
      <c r="AK2214" s="49"/>
      <c r="AL2214" s="49"/>
      <c r="AM2214" s="49"/>
      <c r="AN2214" s="52" t="str">
        <f t="shared" si="5"/>
        <v>interview,</v>
      </c>
    </row>
    <row r="2215">
      <c r="A2215" s="51"/>
      <c r="B2215" s="50" t="s">
        <v>262</v>
      </c>
      <c r="C2215" s="50" t="s">
        <v>4950</v>
      </c>
      <c r="D2215" s="49" t="str">
        <f>IFERROR(__xludf.DUMMYFUNCTION("""COMPUTED_VALUE"""),"crosses")</f>
        <v>crosses</v>
      </c>
      <c r="E2215" s="49"/>
      <c r="F2215" s="49"/>
      <c r="G2215" s="49"/>
      <c r="H2215" s="54" t="str">
        <f t="shared" si="1"/>
        <v>advantage,</v>
      </c>
      <c r="I2215" s="50"/>
      <c r="J2215" s="50" t="s">
        <v>5456</v>
      </c>
      <c r="K2215" s="50" t="s">
        <v>2121</v>
      </c>
      <c r="L2215" s="49"/>
      <c r="M2215" s="49"/>
      <c r="N2215" s="49"/>
      <c r="O2215" s="49"/>
      <c r="P2215" s="49" t="str">
        <f t="shared" si="2"/>
        <v>protective,</v>
      </c>
      <c r="Q2215" s="49"/>
      <c r="R2215" s="50" t="s">
        <v>1184</v>
      </c>
      <c r="S2215" s="55">
        <v>1993.0</v>
      </c>
      <c r="T2215" s="49"/>
      <c r="U2215" s="49"/>
      <c r="V2215" s="49"/>
      <c r="W2215" s="49"/>
      <c r="X2215" s="49" t="str">
        <f t="shared" si="3"/>
        <v>spare,</v>
      </c>
      <c r="Y2215" s="49"/>
      <c r="Z2215" s="1" t="s">
        <v>4105</v>
      </c>
      <c r="AA2215" s="1" t="s">
        <v>2582</v>
      </c>
      <c r="AB2215" s="49"/>
      <c r="AC2215" s="49"/>
      <c r="AD2215" s="49"/>
      <c r="AE2215" s="49"/>
      <c r="AF2215" s="49" t="str">
        <f t="shared" si="4"/>
        <v>circumstances,</v>
      </c>
      <c r="AG2215" s="49"/>
      <c r="AH2215" s="1" t="s">
        <v>2408</v>
      </c>
      <c r="AI2215" s="1" t="s">
        <v>2689</v>
      </c>
      <c r="AJ2215" s="6" t="str">
        <f>IFERROR(__xludf.DUMMYFUNCTION("""COMPUTED_VALUE"""),"walker")</f>
        <v>walker</v>
      </c>
      <c r="AK2215" s="49"/>
      <c r="AL2215" s="49"/>
      <c r="AM2215" s="49"/>
      <c r="AN2215" s="52" t="str">
        <f t="shared" si="5"/>
        <v>vampire,</v>
      </c>
    </row>
    <row r="2216">
      <c r="A2216" s="51"/>
      <c r="B2216" s="50" t="s">
        <v>5866</v>
      </c>
      <c r="C2216" s="50" t="s">
        <v>2498</v>
      </c>
      <c r="D2216" s="49" t="str">
        <f>IFERROR(__xludf.DUMMYFUNCTION("""COMPUTED_VALUE"""),"floor")</f>
        <v>floor</v>
      </c>
      <c r="E2216" s="49"/>
      <c r="F2216" s="49"/>
      <c r="G2216" s="49"/>
      <c r="H2216" s="54" t="str">
        <f t="shared" si="1"/>
        <v>believed,</v>
      </c>
      <c r="I2216" s="50"/>
      <c r="J2216" s="50" t="s">
        <v>1693</v>
      </c>
      <c r="K2216" s="50" t="s">
        <v>3348</v>
      </c>
      <c r="L2216" s="49"/>
      <c r="M2216" s="49"/>
      <c r="N2216" s="49"/>
      <c r="O2216" s="49"/>
      <c r="P2216" s="49" t="str">
        <f t="shared" si="2"/>
        <v>darling,</v>
      </c>
      <c r="Q2216" s="49"/>
      <c r="R2216" s="50" t="s">
        <v>4754</v>
      </c>
      <c r="S2216" s="55" t="s">
        <v>2032</v>
      </c>
      <c r="T2216" s="49"/>
      <c r="U2216" s="49"/>
      <c r="V2216" s="49"/>
      <c r="W2216" s="49"/>
      <c r="X2216" s="49" t="str">
        <f t="shared" si="3"/>
        <v>retiring,</v>
      </c>
      <c r="Y2216" s="49"/>
      <c r="Z2216" s="1" t="s">
        <v>6140</v>
      </c>
      <c r="AA2216" s="1" t="s">
        <v>2588</v>
      </c>
      <c r="AB2216" s="49"/>
      <c r="AC2216" s="49"/>
      <c r="AD2216" s="49"/>
      <c r="AE2216" s="49"/>
      <c r="AF2216" s="49" t="str">
        <f t="shared" si="4"/>
        <v>rose,</v>
      </c>
      <c r="AG2216" s="49"/>
      <c r="AH2216" s="1" t="s">
        <v>5720</v>
      </c>
      <c r="AI2216" s="1" t="s">
        <v>5981</v>
      </c>
      <c r="AJ2216" s="6" t="str">
        <f>IFERROR(__xludf.DUMMYFUNCTION("""COMPUTED_VALUE"""),"daily")</f>
        <v>daily</v>
      </c>
      <c r="AK2216" s="49"/>
      <c r="AL2216" s="49"/>
      <c r="AM2216" s="49"/>
      <c r="AN2216" s="52" t="str">
        <f t="shared" si="5"/>
        <v>roots,</v>
      </c>
    </row>
    <row r="2217">
      <c r="A2217" s="51"/>
      <c r="B2217" s="50" t="s">
        <v>5100</v>
      </c>
      <c r="C2217" s="50" t="s">
        <v>3053</v>
      </c>
      <c r="D2217" s="49" t="str">
        <f>IFERROR(__xludf.DUMMYFUNCTION("""COMPUTED_VALUE"""),"interpretation")</f>
        <v>interpretation</v>
      </c>
      <c r="E2217" s="49"/>
      <c r="F2217" s="49"/>
      <c r="G2217" s="49"/>
      <c r="H2217" s="54" t="str">
        <f t="shared" si="1"/>
        <v>detailed,</v>
      </c>
      <c r="I2217" s="50"/>
      <c r="J2217" s="50" t="s">
        <v>2846</v>
      </c>
      <c r="K2217" s="50" t="s">
        <v>3846</v>
      </c>
      <c r="L2217" s="49"/>
      <c r="M2217" s="49"/>
      <c r="N2217" s="49"/>
      <c r="O2217" s="49"/>
      <c r="P2217" s="49" t="str">
        <f t="shared" si="2"/>
        <v>distant,</v>
      </c>
      <c r="Q2217" s="49"/>
      <c r="R2217" s="50" t="s">
        <v>4205</v>
      </c>
      <c r="S2217" s="55" t="s">
        <v>2033</v>
      </c>
      <c r="T2217" s="49"/>
      <c r="U2217" s="49"/>
      <c r="V2217" s="49"/>
      <c r="W2217" s="49"/>
      <c r="X2217" s="49" t="str">
        <f t="shared" si="3"/>
        <v>documented,</v>
      </c>
      <c r="Y2217" s="49"/>
      <c r="Z2217" s="1">
        <v>100.0</v>
      </c>
      <c r="AA2217" s="1" t="s">
        <v>1457</v>
      </c>
      <c r="AB2217" s="49"/>
      <c r="AC2217" s="49"/>
      <c r="AD2217" s="49"/>
      <c r="AE2217" s="49"/>
      <c r="AF2217" s="49" t="str">
        <f t="shared" si="4"/>
        <v>100,</v>
      </c>
      <c r="AG2217" s="49"/>
      <c r="AH2217" s="1" t="s">
        <v>1247</v>
      </c>
      <c r="AI2217" s="1" t="s">
        <v>6681</v>
      </c>
      <c r="AJ2217" s="6" t="str">
        <f>IFERROR(__xludf.DUMMYFUNCTION("""COMPUTED_VALUE"""),"equivalent")</f>
        <v>equivalent</v>
      </c>
      <c r="AK2217" s="49"/>
      <c r="AL2217" s="49"/>
      <c r="AM2217" s="49"/>
      <c r="AN2217" s="52" t="str">
        <f t="shared" si="5"/>
        <v>total,</v>
      </c>
    </row>
    <row r="2218">
      <c r="A2218" s="51"/>
      <c r="B2218" s="50" t="s">
        <v>5929</v>
      </c>
      <c r="C2218" s="50" t="s">
        <v>2108</v>
      </c>
      <c r="D2218" s="49" t="str">
        <f>IFERROR(__xludf.DUMMYFUNCTION("""COMPUTED_VALUE"""),"represent")</f>
        <v>represent</v>
      </c>
      <c r="E2218" s="49"/>
      <c r="F2218" s="49"/>
      <c r="G2218" s="49"/>
      <c r="H2218" s="54" t="str">
        <f t="shared" si="1"/>
        <v>reveal,</v>
      </c>
      <c r="I2218" s="50"/>
      <c r="J2218" s="50" t="s">
        <v>1462</v>
      </c>
      <c r="K2218" s="50" t="s">
        <v>484</v>
      </c>
      <c r="L2218" s="49"/>
      <c r="M2218" s="49"/>
      <c r="N2218" s="49"/>
      <c r="O2218" s="49"/>
      <c r="P2218" s="49" t="str">
        <f t="shared" si="2"/>
        <v>swim,</v>
      </c>
      <c r="Q2218" s="49"/>
      <c r="R2218" s="50" t="s">
        <v>3640</v>
      </c>
      <c r="S2218" s="55" t="s">
        <v>4386</v>
      </c>
      <c r="T2218" s="49"/>
      <c r="U2218" s="49"/>
      <c r="V2218" s="49"/>
      <c r="W2218" s="49"/>
      <c r="X2218" s="49" t="str">
        <f t="shared" si="3"/>
        <v>reside,</v>
      </c>
      <c r="Y2218" s="49"/>
      <c r="Z2218" s="1" t="s">
        <v>1908</v>
      </c>
      <c r="AA2218" s="1" t="s">
        <v>4425</v>
      </c>
      <c r="AB2218" s="49"/>
      <c r="AC2218" s="49"/>
      <c r="AD2218" s="49"/>
      <c r="AE2218" s="49"/>
      <c r="AF2218" s="49" t="str">
        <f t="shared" si="4"/>
        <v>bold,</v>
      </c>
      <c r="AG2218" s="49"/>
      <c r="AH2218" s="1" t="s">
        <v>3708</v>
      </c>
      <c r="AI2218" s="1" t="s">
        <v>3216</v>
      </c>
      <c r="AJ2218" s="6" t="str">
        <f>IFERROR(__xludf.DUMMYFUNCTION("""COMPUTED_VALUE"""),"won")</f>
        <v>won</v>
      </c>
      <c r="AK2218" s="49"/>
      <c r="AL2218" s="49"/>
      <c r="AM2218" s="49"/>
      <c r="AN2218" s="52" t="str">
        <f t="shared" si="5"/>
        <v>appearing,</v>
      </c>
    </row>
    <row r="2219">
      <c r="A2219" s="51"/>
      <c r="B2219" s="50" t="s">
        <v>2186</v>
      </c>
      <c r="C2219" s="50" t="s">
        <v>2006</v>
      </c>
      <c r="D2219" s="49" t="str">
        <f>IFERROR(__xludf.DUMMYFUNCTION("""COMPUTED_VALUE"""),"represents")</f>
        <v>represents</v>
      </c>
      <c r="E2219" s="49"/>
      <c r="F2219" s="49"/>
      <c r="G2219" s="49"/>
      <c r="H2219" s="54" t="str">
        <f t="shared" si="1"/>
        <v>pulls,</v>
      </c>
      <c r="I2219" s="50"/>
      <c r="J2219" s="50" t="s">
        <v>325</v>
      </c>
      <c r="K2219" s="50" t="s">
        <v>1392</v>
      </c>
      <c r="L2219" s="49"/>
      <c r="M2219" s="49"/>
      <c r="N2219" s="49"/>
      <c r="O2219" s="49"/>
      <c r="P2219" s="49" t="str">
        <f t="shared" si="2"/>
        <v>vulnerable,</v>
      </c>
      <c r="Q2219" s="49"/>
      <c r="R2219" s="50" t="s">
        <v>5102</v>
      </c>
      <c r="S2219" s="55" t="s">
        <v>2036</v>
      </c>
      <c r="T2219" s="49"/>
      <c r="U2219" s="49"/>
      <c r="V2219" s="49"/>
      <c r="W2219" s="49"/>
      <c r="X2219" s="49" t="str">
        <f t="shared" si="3"/>
        <v>fuss,</v>
      </c>
      <c r="Y2219" s="49"/>
      <c r="Z2219" s="1" t="s">
        <v>4812</v>
      </c>
      <c r="AA2219" s="1" t="s">
        <v>2595</v>
      </c>
      <c r="AB2219" s="49"/>
      <c r="AC2219" s="49"/>
      <c r="AD2219" s="49"/>
      <c r="AE2219" s="49"/>
      <c r="AF2219" s="49" t="str">
        <f t="shared" si="4"/>
        <v>concern,</v>
      </c>
      <c r="AG2219" s="49"/>
      <c r="AH2219" s="1" t="s">
        <v>103</v>
      </c>
      <c r="AI2219" s="1" t="s">
        <v>5414</v>
      </c>
      <c r="AJ2219" s="6" t="str">
        <f>IFERROR(__xludf.DUMMYFUNCTION("""COMPUTED_VALUE"""),"bernard")</f>
        <v>bernard</v>
      </c>
      <c r="AK2219" s="49"/>
      <c r="AL2219" s="49"/>
      <c r="AM2219" s="49"/>
      <c r="AN2219" s="52" t="str">
        <f t="shared" si="5"/>
        <v>service,</v>
      </c>
    </row>
    <row r="2220">
      <c r="A2220" s="51"/>
      <c r="B2220" s="50" t="s">
        <v>233</v>
      </c>
      <c r="C2220" s="50" t="s">
        <v>4280</v>
      </c>
      <c r="D2220" s="49" t="str">
        <f>IFERROR(__xludf.DUMMYFUNCTION("""COMPUTED_VALUE"""),"using")</f>
        <v>using</v>
      </c>
      <c r="E2220" s="49"/>
      <c r="F2220" s="49"/>
      <c r="G2220" s="49"/>
      <c r="H2220" s="54" t="str">
        <f t="shared" si="1"/>
        <v>spirits,</v>
      </c>
      <c r="I2220" s="50"/>
      <c r="J2220" s="50" t="s">
        <v>6185</v>
      </c>
      <c r="K2220" s="50" t="s">
        <v>3554</v>
      </c>
      <c r="L2220" s="49"/>
      <c r="M2220" s="49"/>
      <c r="N2220" s="49"/>
      <c r="O2220" s="49"/>
      <c r="P2220" s="49" t="str">
        <f t="shared" si="2"/>
        <v>defensive,</v>
      </c>
      <c r="Q2220" s="49"/>
      <c r="R2220" s="50" t="s">
        <v>3204</v>
      </c>
      <c r="S2220" s="55" t="s">
        <v>3676</v>
      </c>
      <c r="T2220" s="49"/>
      <c r="U2220" s="49"/>
      <c r="V2220" s="49"/>
      <c r="W2220" s="49"/>
      <c r="X2220" s="49" t="str">
        <f t="shared" si="3"/>
        <v>glass,</v>
      </c>
      <c r="Y2220" s="49"/>
      <c r="Z2220" s="1" t="s">
        <v>3955</v>
      </c>
      <c r="AA2220" s="1" t="s">
        <v>2601</v>
      </c>
      <c r="AB2220" s="49"/>
      <c r="AC2220" s="49"/>
      <c r="AD2220" s="49"/>
      <c r="AE2220" s="49"/>
      <c r="AF2220" s="49" t="str">
        <f t="shared" si="4"/>
        <v>blank,</v>
      </c>
      <c r="AG2220" s="49"/>
      <c r="AH2220" s="1" t="s">
        <v>1618</v>
      </c>
      <c r="AI2220" s="1" t="s">
        <v>6682</v>
      </c>
      <c r="AJ2220" s="6" t="str">
        <f>IFERROR(__xludf.DUMMYFUNCTION("""COMPUTED_VALUE"""),"extent")</f>
        <v>extent</v>
      </c>
      <c r="AK2220" s="49"/>
      <c r="AL2220" s="49"/>
      <c r="AM2220" s="49"/>
      <c r="AN2220" s="52" t="str">
        <f t="shared" si="5"/>
        <v>failure,</v>
      </c>
    </row>
    <row r="2221">
      <c r="A2221" s="51"/>
      <c r="B2221" s="50" t="s">
        <v>4200</v>
      </c>
      <c r="C2221" s="50" t="s">
        <v>6625</v>
      </c>
      <c r="D2221" s="49" t="str">
        <f>IFERROR(__xludf.DUMMYFUNCTION("""COMPUTED_VALUE"""),"exhausted")</f>
        <v>exhausted</v>
      </c>
      <c r="E2221" s="49"/>
      <c r="F2221" s="49"/>
      <c r="G2221" s="49"/>
      <c r="H2221" s="54" t="str">
        <f t="shared" si="1"/>
        <v>burn,</v>
      </c>
      <c r="I2221" s="50"/>
      <c r="J2221" s="50" t="s">
        <v>4842</v>
      </c>
      <c r="K2221" s="50" t="s">
        <v>3852</v>
      </c>
      <c r="L2221" s="49"/>
      <c r="M2221" s="49"/>
      <c r="N2221" s="49"/>
      <c r="O2221" s="49"/>
      <c r="P2221" s="49" t="str">
        <f t="shared" si="2"/>
        <v>x,</v>
      </c>
      <c r="Q2221" s="49"/>
      <c r="R2221" s="50" t="s">
        <v>3586</v>
      </c>
      <c r="S2221" s="55" t="s">
        <v>781</v>
      </c>
      <c r="T2221" s="49"/>
      <c r="U2221" s="49"/>
      <c r="V2221" s="49"/>
      <c r="W2221" s="49"/>
      <c r="X2221" s="49" t="str">
        <f t="shared" si="3"/>
        <v>handled,</v>
      </c>
      <c r="Y2221" s="49"/>
      <c r="Z2221" s="1" t="s">
        <v>5524</v>
      </c>
      <c r="AA2221" s="1" t="s">
        <v>5413</v>
      </c>
      <c r="AB2221" s="49"/>
      <c r="AC2221" s="49"/>
      <c r="AD2221" s="49"/>
      <c r="AE2221" s="49"/>
      <c r="AF2221" s="49" t="str">
        <f t="shared" si="4"/>
        <v>lesson,</v>
      </c>
      <c r="AG2221" s="49"/>
      <c r="AH2221" s="1" t="s">
        <v>6553</v>
      </c>
      <c r="AI2221" s="1" t="s">
        <v>3636</v>
      </c>
      <c r="AJ2221" s="6" t="str">
        <f>IFERROR(__xludf.DUMMYFUNCTION("""COMPUTED_VALUE"""),"stretched")</f>
        <v>stretched</v>
      </c>
      <c r="AK2221" s="49"/>
      <c r="AL2221" s="49"/>
      <c r="AM2221" s="49"/>
      <c r="AN2221" s="52" t="str">
        <f t="shared" si="5"/>
        <v>talked,</v>
      </c>
    </row>
    <row r="2222">
      <c r="A2222" s="51"/>
      <c r="B2222" s="50" t="s">
        <v>7011</v>
      </c>
      <c r="C2222" s="50" t="s">
        <v>2213</v>
      </c>
      <c r="D2222" s="49" t="str">
        <f>IFERROR(__xludf.DUMMYFUNCTION("""COMPUTED_VALUE"""),"emotion")</f>
        <v>emotion</v>
      </c>
      <c r="E2222" s="49"/>
      <c r="F2222" s="49"/>
      <c r="G2222" s="49"/>
      <c r="H2222" s="54" t="str">
        <f t="shared" si="1"/>
        <v>trio,</v>
      </c>
      <c r="I2222" s="50"/>
      <c r="J2222" s="50" t="s">
        <v>334</v>
      </c>
      <c r="K2222" s="50" t="s">
        <v>3855</v>
      </c>
      <c r="L2222" s="49"/>
      <c r="M2222" s="49"/>
      <c r="N2222" s="49"/>
      <c r="O2222" s="49"/>
      <c r="P2222" s="49" t="str">
        <f t="shared" si="2"/>
        <v>happening,</v>
      </c>
      <c r="Q2222" s="49"/>
      <c r="R2222" s="50" t="s">
        <v>903</v>
      </c>
      <c r="S2222" s="55" t="s">
        <v>3698</v>
      </c>
      <c r="T2222" s="49"/>
      <c r="U2222" s="49"/>
      <c r="V2222" s="49"/>
      <c r="W2222" s="49"/>
      <c r="X2222" s="49" t="str">
        <f t="shared" si="3"/>
        <v>pays,</v>
      </c>
      <c r="Y2222" s="49"/>
      <c r="Z2222" s="1" t="s">
        <v>5248</v>
      </c>
      <c r="AA2222" s="1" t="s">
        <v>1465</v>
      </c>
      <c r="AB2222" s="49"/>
      <c r="AC2222" s="49"/>
      <c r="AD2222" s="49"/>
      <c r="AE2222" s="49"/>
      <c r="AF2222" s="49" t="str">
        <f t="shared" si="4"/>
        <v>occasional,</v>
      </c>
      <c r="AG2222" s="49"/>
      <c r="AH2222" s="1" t="s">
        <v>6144</v>
      </c>
      <c r="AI2222" s="1" t="s">
        <v>4430</v>
      </c>
      <c r="AJ2222" s="6" t="str">
        <f>IFERROR(__xludf.DUMMYFUNCTION("""COMPUTED_VALUE"""),"plus")</f>
        <v>plus</v>
      </c>
      <c r="AK2222" s="49"/>
      <c r="AL2222" s="49"/>
      <c r="AM2222" s="49"/>
      <c r="AN2222" s="52" t="str">
        <f t="shared" si="5"/>
        <v>producing,</v>
      </c>
    </row>
    <row r="2223">
      <c r="A2223" s="51"/>
      <c r="B2223" s="50" t="s">
        <v>6811</v>
      </c>
      <c r="C2223" s="50" t="s">
        <v>1165</v>
      </c>
      <c r="D2223" s="49" t="str">
        <f>IFERROR(__xludf.DUMMYFUNCTION("""COMPUTED_VALUE"""),"glow")</f>
        <v>glow</v>
      </c>
      <c r="E2223" s="49"/>
      <c r="F2223" s="49"/>
      <c r="G2223" s="49"/>
      <c r="H2223" s="54" t="str">
        <f t="shared" si="1"/>
        <v>sucked,</v>
      </c>
      <c r="I2223" s="50"/>
      <c r="J2223" s="50" t="s">
        <v>2862</v>
      </c>
      <c r="K2223" s="50" t="s">
        <v>4929</v>
      </c>
      <c r="L2223" s="49"/>
      <c r="M2223" s="49"/>
      <c r="N2223" s="49"/>
      <c r="O2223" s="49"/>
      <c r="P2223" s="49" t="str">
        <f t="shared" si="2"/>
        <v>charismatic,</v>
      </c>
      <c r="Q2223" s="49"/>
      <c r="R2223" s="50" t="s">
        <v>3014</v>
      </c>
      <c r="S2223" s="55" t="s">
        <v>5288</v>
      </c>
      <c r="T2223" s="49"/>
      <c r="U2223" s="49"/>
      <c r="V2223" s="49"/>
      <c r="W2223" s="49"/>
      <c r="X2223" s="49" t="str">
        <f t="shared" si="3"/>
        <v>convince,</v>
      </c>
      <c r="Y2223" s="49"/>
      <c r="Z2223" s="1" t="s">
        <v>2441</v>
      </c>
      <c r="AA2223" s="1" t="s">
        <v>2607</v>
      </c>
      <c r="AB2223" s="49"/>
      <c r="AC2223" s="49"/>
      <c r="AD2223" s="49"/>
      <c r="AE2223" s="49"/>
      <c r="AF2223" s="49" t="str">
        <f t="shared" si="4"/>
        <v>lane,</v>
      </c>
      <c r="AG2223" s="49"/>
      <c r="AH2223" s="1" t="s">
        <v>6737</v>
      </c>
      <c r="AI2223" s="1" t="s">
        <v>5056</v>
      </c>
      <c r="AJ2223" s="6" t="str">
        <f>IFERROR(__xludf.DUMMYFUNCTION("""COMPUTED_VALUE"""),"shoulder")</f>
        <v>shoulder</v>
      </c>
      <c r="AK2223" s="49"/>
      <c r="AL2223" s="49"/>
      <c r="AM2223" s="49"/>
      <c r="AN2223" s="52" t="str">
        <f t="shared" si="5"/>
        <v>students,</v>
      </c>
    </row>
    <row r="2224">
      <c r="A2224" s="51"/>
      <c r="B2224" s="50" t="s">
        <v>7096</v>
      </c>
      <c r="C2224" s="50" t="s">
        <v>1483</v>
      </c>
      <c r="D2224" s="49" t="str">
        <f>IFERROR(__xludf.DUMMYFUNCTION("""COMPUTED_VALUE"""),"killed")</f>
        <v>killed</v>
      </c>
      <c r="E2224" s="49"/>
      <c r="F2224" s="49"/>
      <c r="G2224" s="49"/>
      <c r="H2224" s="54" t="str">
        <f t="shared" si="1"/>
        <v>simpson,</v>
      </c>
      <c r="I2224" s="50"/>
      <c r="J2224" s="50" t="s">
        <v>2540</v>
      </c>
      <c r="K2224" s="50" t="s">
        <v>5417</v>
      </c>
      <c r="L2224" s="49"/>
      <c r="M2224" s="49"/>
      <c r="N2224" s="49"/>
      <c r="O2224" s="49"/>
      <c r="P2224" s="49" t="str">
        <f t="shared" si="2"/>
        <v>focused,</v>
      </c>
      <c r="Q2224" s="49"/>
      <c r="R2224" s="50" t="s">
        <v>5516</v>
      </c>
      <c r="S2224" s="55" t="s">
        <v>3247</v>
      </c>
      <c r="T2224" s="49"/>
      <c r="U2224" s="49"/>
      <c r="V2224" s="49"/>
      <c r="W2224" s="49"/>
      <c r="X2224" s="49" t="str">
        <f t="shared" si="3"/>
        <v>sought,</v>
      </c>
      <c r="Y2224" s="49"/>
      <c r="Z2224" s="1" t="s">
        <v>3184</v>
      </c>
      <c r="AA2224" s="1" t="s">
        <v>5416</v>
      </c>
      <c r="AB2224" s="49"/>
      <c r="AC2224" s="49"/>
      <c r="AD2224" s="49"/>
      <c r="AE2224" s="49"/>
      <c r="AF2224" s="49" t="str">
        <f t="shared" si="4"/>
        <v>inherently,</v>
      </c>
      <c r="AG2224" s="49"/>
      <c r="AH2224" s="1" t="s">
        <v>5837</v>
      </c>
      <c r="AI2224" s="1" t="s">
        <v>3882</v>
      </c>
      <c r="AJ2224" s="6" t="str">
        <f>IFERROR(__xludf.DUMMYFUNCTION("""COMPUTED_VALUE"""),"nights")</f>
        <v>nights</v>
      </c>
      <c r="AK2224" s="49"/>
      <c r="AL2224" s="49"/>
      <c r="AM2224" s="49"/>
      <c r="AN2224" s="52" t="str">
        <f t="shared" si="5"/>
        <v>reached,</v>
      </c>
    </row>
    <row r="2225">
      <c r="A2225" s="51"/>
      <c r="B2225" s="50" t="s">
        <v>3177</v>
      </c>
      <c r="C2225" s="50" t="s">
        <v>961</v>
      </c>
      <c r="D2225" s="49" t="str">
        <f>IFERROR(__xludf.DUMMYFUNCTION("""COMPUTED_VALUE"""),"bunch")</f>
        <v>bunch</v>
      </c>
      <c r="E2225" s="49"/>
      <c r="F2225" s="49"/>
      <c r="G2225" s="49"/>
      <c r="H2225" s="54" t="str">
        <f t="shared" si="1"/>
        <v>evening,</v>
      </c>
      <c r="I2225" s="50"/>
      <c r="J2225" s="50" t="s">
        <v>4411</v>
      </c>
      <c r="K2225" s="50" t="s">
        <v>1399</v>
      </c>
      <c r="L2225" s="49"/>
      <c r="M2225" s="49"/>
      <c r="N2225" s="49"/>
      <c r="O2225" s="49"/>
      <c r="P2225" s="49" t="str">
        <f t="shared" si="2"/>
        <v>replaced,</v>
      </c>
      <c r="Q2225" s="49"/>
      <c r="R2225" s="50" t="s">
        <v>4438</v>
      </c>
      <c r="S2225" s="55" t="s">
        <v>2043</v>
      </c>
      <c r="T2225" s="49"/>
      <c r="U2225" s="49"/>
      <c r="V2225" s="49"/>
      <c r="W2225" s="49"/>
      <c r="X2225" s="49" t="str">
        <f t="shared" si="3"/>
        <v>classify,</v>
      </c>
      <c r="Y2225" s="49"/>
      <c r="Z2225" s="1" t="s">
        <v>4134</v>
      </c>
      <c r="AA2225" s="1" t="s">
        <v>1472</v>
      </c>
      <c r="AB2225" s="49"/>
      <c r="AC2225" s="49"/>
      <c r="AD2225" s="49"/>
      <c r="AE2225" s="49"/>
      <c r="AF2225" s="49" t="str">
        <f t="shared" si="4"/>
        <v>shocking,</v>
      </c>
      <c r="AG2225" s="49"/>
      <c r="AH2225" s="1" t="s">
        <v>6437</v>
      </c>
      <c r="AI2225" s="1" t="s">
        <v>3666</v>
      </c>
      <c r="AJ2225" s="6" t="str">
        <f>IFERROR(__xludf.DUMMYFUNCTION("""COMPUTED_VALUE"""),"hospital")</f>
        <v>hospital</v>
      </c>
      <c r="AK2225" s="49"/>
      <c r="AL2225" s="49"/>
      <c r="AM2225" s="49"/>
      <c r="AN2225" s="52" t="str">
        <f t="shared" si="5"/>
        <v>loved,</v>
      </c>
    </row>
    <row r="2226">
      <c r="A2226" s="51"/>
      <c r="B2226" s="50" t="s">
        <v>1808</v>
      </c>
      <c r="C2226" s="50" t="s">
        <v>5069</v>
      </c>
      <c r="D2226" s="49" t="str">
        <f>IFERROR(__xludf.DUMMYFUNCTION("""COMPUTED_VALUE"""),"combined")</f>
        <v>combined</v>
      </c>
      <c r="E2226" s="49"/>
      <c r="F2226" s="49"/>
      <c r="G2226" s="49"/>
      <c r="H2226" s="54" t="str">
        <f t="shared" si="1"/>
        <v>orders,</v>
      </c>
      <c r="I2226" s="50"/>
      <c r="J2226" s="50" t="s">
        <v>4562</v>
      </c>
      <c r="K2226" s="50" t="s">
        <v>5419</v>
      </c>
      <c r="L2226" s="49"/>
      <c r="M2226" s="49"/>
      <c r="N2226" s="49"/>
      <c r="O2226" s="49"/>
      <c r="P2226" s="49" t="str">
        <f t="shared" si="2"/>
        <v>grin,</v>
      </c>
      <c r="Q2226" s="49"/>
      <c r="R2226" s="50" t="s">
        <v>4446</v>
      </c>
      <c r="S2226" s="55" t="s">
        <v>4621</v>
      </c>
      <c r="T2226" s="49"/>
      <c r="U2226" s="49"/>
      <c r="V2226" s="49"/>
      <c r="W2226" s="49"/>
      <c r="X2226" s="49" t="str">
        <f t="shared" si="3"/>
        <v>speculative,</v>
      </c>
      <c r="Y2226" s="49"/>
      <c r="Z2226" s="1" t="s">
        <v>2318</v>
      </c>
      <c r="AA2226" s="1" t="s">
        <v>3712</v>
      </c>
      <c r="AB2226" s="49"/>
      <c r="AC2226" s="49"/>
      <c r="AD2226" s="49"/>
      <c r="AE2226" s="49"/>
      <c r="AF2226" s="49" t="str">
        <f t="shared" si="4"/>
        <v>fate,</v>
      </c>
      <c r="AG2226" s="49"/>
      <c r="AH2226" s="1" t="s">
        <v>3916</v>
      </c>
      <c r="AI2226" s="1" t="s">
        <v>5276</v>
      </c>
      <c r="AJ2226" s="6" t="str">
        <f>IFERROR(__xludf.DUMMYFUNCTION("""COMPUTED_VALUE"""),"choice")</f>
        <v>choice</v>
      </c>
      <c r="AK2226" s="49"/>
      <c r="AL2226" s="49"/>
      <c r="AM2226" s="49"/>
      <c r="AN2226" s="52" t="str">
        <f t="shared" si="5"/>
        <v>brain,</v>
      </c>
    </row>
    <row r="2227">
      <c r="A2227" s="51"/>
      <c r="B2227" s="50" t="s">
        <v>2774</v>
      </c>
      <c r="C2227" s="50" t="s">
        <v>5953</v>
      </c>
      <c r="D2227" s="49" t="str">
        <f>IFERROR(__xludf.DUMMYFUNCTION("""COMPUTED_VALUE"""),"shame")</f>
        <v>shame</v>
      </c>
      <c r="E2227" s="49"/>
      <c r="F2227" s="49"/>
      <c r="G2227" s="49"/>
      <c r="H2227" s="54" t="str">
        <f t="shared" si="1"/>
        <v>hanging,</v>
      </c>
      <c r="I2227" s="50"/>
      <c r="J2227" s="50" t="s">
        <v>3786</v>
      </c>
      <c r="K2227" s="50" t="s">
        <v>3859</v>
      </c>
      <c r="L2227" s="49"/>
      <c r="M2227" s="49"/>
      <c r="N2227" s="49"/>
      <c r="O2227" s="49"/>
      <c r="P2227" s="49" t="str">
        <f t="shared" si="2"/>
        <v>energetic,</v>
      </c>
      <c r="Q2227" s="49"/>
      <c r="R2227" s="50" t="s">
        <v>7541</v>
      </c>
      <c r="S2227" s="55" t="s">
        <v>5293</v>
      </c>
      <c r="T2227" s="49"/>
      <c r="U2227" s="49"/>
      <c r="V2227" s="49"/>
      <c r="W2227" s="49"/>
      <c r="X2227" s="49" t="str">
        <f t="shared" si="3"/>
        <v>harmon,</v>
      </c>
      <c r="Y2227" s="49"/>
      <c r="Z2227" s="1" t="s">
        <v>2173</v>
      </c>
      <c r="AA2227" s="1" t="s">
        <v>1707</v>
      </c>
      <c r="AB2227" s="49"/>
      <c r="AC2227" s="49"/>
      <c r="AD2227" s="49"/>
      <c r="AE2227" s="49"/>
      <c r="AF2227" s="49" t="str">
        <f t="shared" si="4"/>
        <v>reacting,</v>
      </c>
      <c r="AG2227" s="49"/>
      <c r="AH2227" s="1" t="s">
        <v>7542</v>
      </c>
      <c r="AI2227" s="1" t="s">
        <v>2902</v>
      </c>
      <c r="AJ2227" s="6" t="str">
        <f>IFERROR(__xludf.DUMMYFUNCTION("""COMPUTED_VALUE"""),"driver")</f>
        <v>driver</v>
      </c>
      <c r="AK2227" s="49"/>
      <c r="AL2227" s="49"/>
      <c r="AM2227" s="49"/>
      <c r="AN2227" s="52" t="str">
        <f t="shared" si="5"/>
        <v>components,</v>
      </c>
    </row>
    <row r="2228">
      <c r="A2228" s="51"/>
      <c r="B2228" s="50" t="s">
        <v>2711</v>
      </c>
      <c r="C2228" s="50" t="s">
        <v>6627</v>
      </c>
      <c r="D2228" s="49" t="str">
        <f>IFERROR(__xludf.DUMMYFUNCTION("""COMPUTED_VALUE"""),"base")</f>
        <v>base</v>
      </c>
      <c r="E2228" s="49"/>
      <c r="F2228" s="49"/>
      <c r="G2228" s="49"/>
      <c r="H2228" s="54" t="str">
        <f t="shared" si="1"/>
        <v>leave,</v>
      </c>
      <c r="I2228" s="50"/>
      <c r="J2228" s="50">
        <v>112.0</v>
      </c>
      <c r="K2228" s="50" t="s">
        <v>5420</v>
      </c>
      <c r="L2228" s="49"/>
      <c r="M2228" s="49"/>
      <c r="N2228" s="49"/>
      <c r="O2228" s="49"/>
      <c r="P2228" s="49" t="str">
        <f t="shared" si="2"/>
        <v>112,</v>
      </c>
      <c r="Q2228" s="49"/>
      <c r="R2228" s="50" t="s">
        <v>1645</v>
      </c>
      <c r="S2228" s="55" t="s">
        <v>1028</v>
      </c>
      <c r="T2228" s="49"/>
      <c r="U2228" s="49"/>
      <c r="V2228" s="49"/>
      <c r="W2228" s="49"/>
      <c r="X2228" s="49" t="str">
        <f t="shared" si="3"/>
        <v>welsh,</v>
      </c>
      <c r="Y2228" s="49"/>
      <c r="Z2228" s="1" t="s">
        <v>4984</v>
      </c>
      <c r="AA2228" s="1" t="s">
        <v>4440</v>
      </c>
      <c r="AB2228" s="49"/>
      <c r="AC2228" s="49"/>
      <c r="AD2228" s="49"/>
      <c r="AE2228" s="49"/>
      <c r="AF2228" s="49" t="str">
        <f t="shared" si="4"/>
        <v>sink,</v>
      </c>
      <c r="AG2228" s="49"/>
      <c r="AH2228" s="1" t="s">
        <v>6790</v>
      </c>
      <c r="AI2228" s="1" t="s">
        <v>3545</v>
      </c>
      <c r="AJ2228" s="6" t="str">
        <f>IFERROR(__xludf.DUMMYFUNCTION("""COMPUTED_VALUE"""),"resources")</f>
        <v>resources</v>
      </c>
      <c r="AK2228" s="49"/>
      <c r="AL2228" s="49"/>
      <c r="AM2228" s="49"/>
      <c r="AN2228" s="52" t="str">
        <f t="shared" si="5"/>
        <v>entered,</v>
      </c>
    </row>
    <row r="2229">
      <c r="A2229" s="51"/>
      <c r="B2229" s="50" t="s">
        <v>4742</v>
      </c>
      <c r="C2229" s="50" t="s">
        <v>3128</v>
      </c>
      <c r="D2229" s="49" t="str">
        <f>IFERROR(__xludf.DUMMYFUNCTION("""COMPUTED_VALUE"""),"luck")</f>
        <v>luck</v>
      </c>
      <c r="E2229" s="49"/>
      <c r="F2229" s="49"/>
      <c r="G2229" s="49"/>
      <c r="H2229" s="54" t="str">
        <f t="shared" si="1"/>
        <v>foreign,</v>
      </c>
      <c r="I2229" s="50"/>
      <c r="J2229" s="50" t="s">
        <v>2799</v>
      </c>
      <c r="K2229" s="50" t="s">
        <v>1080</v>
      </c>
      <c r="L2229" s="49"/>
      <c r="M2229" s="49"/>
      <c r="N2229" s="49"/>
      <c r="O2229" s="49"/>
      <c r="P2229" s="49" t="str">
        <f t="shared" si="2"/>
        <v>delight,</v>
      </c>
      <c r="Q2229" s="49"/>
      <c r="R2229" s="50" t="s">
        <v>5985</v>
      </c>
      <c r="S2229" s="55" t="s">
        <v>758</v>
      </c>
      <c r="T2229" s="49"/>
      <c r="U2229" s="49"/>
      <c r="V2229" s="49"/>
      <c r="W2229" s="49"/>
      <c r="X2229" s="49" t="str">
        <f t="shared" si="3"/>
        <v>namesake,</v>
      </c>
      <c r="Y2229" s="49"/>
      <c r="Z2229" s="1" t="s">
        <v>4321</v>
      </c>
      <c r="AA2229" s="1" t="s">
        <v>5421</v>
      </c>
      <c r="AB2229" s="49"/>
      <c r="AC2229" s="49"/>
      <c r="AD2229" s="49"/>
      <c r="AE2229" s="49"/>
      <c r="AF2229" s="49" t="str">
        <f t="shared" si="4"/>
        <v>staring,</v>
      </c>
      <c r="AG2229" s="49"/>
      <c r="AH2229" s="1" t="s">
        <v>6335</v>
      </c>
      <c r="AI2229" s="1" t="s">
        <v>6683</v>
      </c>
      <c r="AJ2229" s="6" t="str">
        <f>IFERROR(__xludf.DUMMYFUNCTION("""COMPUTED_VALUE"""),"grace")</f>
        <v>grace</v>
      </c>
      <c r="AK2229" s="49"/>
      <c r="AL2229" s="49"/>
      <c r="AM2229" s="49"/>
      <c r="AN2229" s="52" t="str">
        <f t="shared" si="5"/>
        <v>path,</v>
      </c>
    </row>
    <row r="2230">
      <c r="A2230" s="51"/>
      <c r="B2230" s="50" t="s">
        <v>7068</v>
      </c>
      <c r="C2230" s="50" t="s">
        <v>4521</v>
      </c>
      <c r="D2230" s="49" t="str">
        <f>IFERROR(__xludf.DUMMYFUNCTION("""COMPUTED_VALUE"""),"shifted")</f>
        <v>shifted</v>
      </c>
      <c r="E2230" s="49"/>
      <c r="F2230" s="49"/>
      <c r="G2230" s="49"/>
      <c r="H2230" s="54" t="str">
        <f t="shared" si="1"/>
        <v>males,</v>
      </c>
      <c r="I2230" s="50"/>
      <c r="J2230" s="50" t="s">
        <v>4010</v>
      </c>
      <c r="K2230" s="50" t="s">
        <v>4934</v>
      </c>
      <c r="L2230" s="49"/>
      <c r="M2230" s="49"/>
      <c r="N2230" s="49"/>
      <c r="O2230" s="49"/>
      <c r="P2230" s="49" t="str">
        <f t="shared" si="2"/>
        <v>privy,</v>
      </c>
      <c r="Q2230" s="49"/>
      <c r="R2230" s="50" t="s">
        <v>5978</v>
      </c>
      <c r="S2230" s="55" t="s">
        <v>1565</v>
      </c>
      <c r="T2230" s="49"/>
      <c r="U2230" s="49"/>
      <c r="V2230" s="49"/>
      <c r="W2230" s="49"/>
      <c r="X2230" s="49" t="str">
        <f t="shared" si="3"/>
        <v>filming,</v>
      </c>
      <c r="Y2230" s="49"/>
      <c r="Z2230" s="1" t="s">
        <v>992</v>
      </c>
      <c r="AA2230" s="1" t="s">
        <v>4443</v>
      </c>
      <c r="AB2230" s="49"/>
      <c r="AC2230" s="49"/>
      <c r="AD2230" s="49"/>
      <c r="AE2230" s="49"/>
      <c r="AF2230" s="49" t="str">
        <f t="shared" si="4"/>
        <v>precisely,</v>
      </c>
      <c r="AG2230" s="49"/>
      <c r="AH2230" s="1" t="s">
        <v>5455</v>
      </c>
      <c r="AI2230" s="1" t="s">
        <v>2010</v>
      </c>
      <c r="AJ2230" s="6" t="str">
        <f>IFERROR(__xludf.DUMMYFUNCTION("""COMPUTED_VALUE"""),"draft")</f>
        <v>draft</v>
      </c>
      <c r="AK2230" s="49"/>
      <c r="AL2230" s="49"/>
      <c r="AM2230" s="49"/>
      <c r="AN2230" s="52" t="str">
        <f t="shared" si="5"/>
        <v>architect,</v>
      </c>
    </row>
    <row r="2231">
      <c r="A2231" s="51"/>
      <c r="B2231" s="50" t="s">
        <v>3941</v>
      </c>
      <c r="C2231" s="50" t="s">
        <v>6628</v>
      </c>
      <c r="D2231" s="49" t="str">
        <f>IFERROR(__xludf.DUMMYFUNCTION("""COMPUTED_VALUE"""),"asia")</f>
        <v>asia</v>
      </c>
      <c r="E2231" s="49"/>
      <c r="F2231" s="49"/>
      <c r="G2231" s="49"/>
      <c r="H2231" s="54" t="str">
        <f t="shared" si="1"/>
        <v>seconds,</v>
      </c>
      <c r="I2231" s="50"/>
      <c r="J2231" s="50" t="s">
        <v>5622</v>
      </c>
      <c r="K2231" s="50" t="s">
        <v>5422</v>
      </c>
      <c r="L2231" s="49"/>
      <c r="M2231" s="49"/>
      <c r="N2231" s="49"/>
      <c r="O2231" s="49"/>
      <c r="P2231" s="49" t="str">
        <f t="shared" si="2"/>
        <v>liking,</v>
      </c>
      <c r="Q2231" s="49"/>
      <c r="R2231" s="50" t="s">
        <v>7543</v>
      </c>
      <c r="S2231" s="55" t="s">
        <v>4786</v>
      </c>
      <c r="T2231" s="49"/>
      <c r="U2231" s="49"/>
      <c r="V2231" s="49"/>
      <c r="W2231" s="49"/>
      <c r="X2231" s="49" t="str">
        <f t="shared" si="3"/>
        <v>neo,</v>
      </c>
      <c r="Y2231" s="49"/>
      <c r="Z2231" s="1" t="s">
        <v>1141</v>
      </c>
      <c r="AA2231" s="1" t="s">
        <v>4446</v>
      </c>
      <c r="AB2231" s="49"/>
      <c r="AC2231" s="49"/>
      <c r="AD2231" s="49"/>
      <c r="AE2231" s="49"/>
      <c r="AF2231" s="49" t="str">
        <f t="shared" si="4"/>
        <v>term,</v>
      </c>
      <c r="AG2231" s="49"/>
      <c r="AH2231" s="1" t="s">
        <v>3033</v>
      </c>
      <c r="AI2231" s="1" t="s">
        <v>1343</v>
      </c>
      <c r="AJ2231" s="6" t="str">
        <f>IFERROR(__xludf.DUMMYFUNCTION("""COMPUTED_VALUE"""),"corner")</f>
        <v>corner</v>
      </c>
      <c r="AK2231" s="49"/>
      <c r="AL2231" s="49"/>
      <c r="AM2231" s="49"/>
      <c r="AN2231" s="52" t="str">
        <f t="shared" si="5"/>
        <v>ranks,</v>
      </c>
    </row>
    <row r="2232">
      <c r="A2232" s="51"/>
      <c r="B2232" s="50" t="s">
        <v>7386</v>
      </c>
      <c r="C2232" s="50">
        <v>86.0</v>
      </c>
      <c r="D2232" s="49" t="str">
        <f>IFERROR(__xludf.DUMMYFUNCTION("""COMPUTED_VALUE"""),"institution")</f>
        <v>institution</v>
      </c>
      <c r="E2232" s="49"/>
      <c r="F2232" s="49"/>
      <c r="G2232" s="49"/>
      <c r="H2232" s="54" t="str">
        <f t="shared" si="1"/>
        <v>worn,</v>
      </c>
      <c r="I2232" s="50"/>
      <c r="J2232" s="50" t="s">
        <v>3740</v>
      </c>
      <c r="K2232" s="50" t="s">
        <v>3863</v>
      </c>
      <c r="L2232" s="49"/>
      <c r="M2232" s="49"/>
      <c r="N2232" s="49"/>
      <c r="O2232" s="49"/>
      <c r="P2232" s="49" t="str">
        <f t="shared" si="2"/>
        <v>legally,</v>
      </c>
      <c r="Q2232" s="49"/>
      <c r="R2232" s="50" t="s">
        <v>4079</v>
      </c>
      <c r="S2232" s="55" t="s">
        <v>1342</v>
      </c>
      <c r="T2232" s="49"/>
      <c r="U2232" s="49"/>
      <c r="V2232" s="49"/>
      <c r="W2232" s="49"/>
      <c r="X2232" s="49" t="str">
        <f t="shared" si="3"/>
        <v>groan,</v>
      </c>
      <c r="Y2232" s="49"/>
      <c r="Z2232" s="1" t="s">
        <v>2091</v>
      </c>
      <c r="AA2232" s="1" t="s">
        <v>5235</v>
      </c>
      <c r="AB2232" s="49"/>
      <c r="AC2232" s="49"/>
      <c r="AD2232" s="49"/>
      <c r="AE2232" s="49"/>
      <c r="AF2232" s="49" t="str">
        <f t="shared" si="4"/>
        <v>footage,</v>
      </c>
      <c r="AG2232" s="49"/>
      <c r="AH2232" s="1">
        <v>1962.0</v>
      </c>
      <c r="AI2232" s="1" t="s">
        <v>6684</v>
      </c>
      <c r="AJ2232" s="6" t="str">
        <f>IFERROR(__xludf.DUMMYFUNCTION("""COMPUTED_VALUE"""),"fit")</f>
        <v>fit</v>
      </c>
      <c r="AK2232" s="49"/>
      <c r="AL2232" s="49"/>
      <c r="AM2232" s="49"/>
      <c r="AN2232" s="52" t="str">
        <f t="shared" si="5"/>
        <v>1962,</v>
      </c>
    </row>
    <row r="2233">
      <c r="A2233" s="51"/>
      <c r="B2233" s="50" t="s">
        <v>6461</v>
      </c>
      <c r="C2233" s="50" t="s">
        <v>3994</v>
      </c>
      <c r="D2233" s="49" t="str">
        <f>IFERROR(__xludf.DUMMYFUNCTION("""COMPUTED_VALUE"""),"girlfriend")</f>
        <v>girlfriend</v>
      </c>
      <c r="E2233" s="49"/>
      <c r="F2233" s="49"/>
      <c r="G2233" s="49"/>
      <c r="H2233" s="54" t="str">
        <f t="shared" si="1"/>
        <v>machines,</v>
      </c>
      <c r="I2233" s="50"/>
      <c r="J2233" s="50" t="s">
        <v>7544</v>
      </c>
      <c r="K2233" s="50" t="s">
        <v>5424</v>
      </c>
      <c r="L2233" s="49"/>
      <c r="M2233" s="49"/>
      <c r="N2233" s="49"/>
      <c r="O2233" s="49"/>
      <c r="P2233" s="49" t="str">
        <f t="shared" si="2"/>
        <v>prone,</v>
      </c>
      <c r="Q2233" s="49"/>
      <c r="R2233" s="50" t="s">
        <v>626</v>
      </c>
      <c r="S2233" s="55" t="s">
        <v>3692</v>
      </c>
      <c r="T2233" s="49"/>
      <c r="U2233" s="49"/>
      <c r="V2233" s="49"/>
      <c r="W2233" s="49"/>
      <c r="X2233" s="49" t="str">
        <f t="shared" si="3"/>
        <v>spirituality,</v>
      </c>
      <c r="Y2233" s="49"/>
      <c r="Z2233" s="1" t="s">
        <v>4011</v>
      </c>
      <c r="AA2233" s="1" t="s">
        <v>2293</v>
      </c>
      <c r="AB2233" s="49"/>
      <c r="AC2233" s="49"/>
      <c r="AD2233" s="49"/>
      <c r="AE2233" s="49"/>
      <c r="AF2233" s="49" t="str">
        <f t="shared" si="4"/>
        <v>rendered,</v>
      </c>
      <c r="AG2233" s="49"/>
      <c r="AH2233" s="1" t="s">
        <v>5352</v>
      </c>
      <c r="AI2233" s="1" t="s">
        <v>6685</v>
      </c>
      <c r="AJ2233" s="6" t="str">
        <f>IFERROR(__xludf.DUMMYFUNCTION("""COMPUTED_VALUE"""),"notably")</f>
        <v>notably</v>
      </c>
      <c r="AK2233" s="49"/>
      <c r="AL2233" s="49"/>
      <c r="AM2233" s="49"/>
      <c r="AN2233" s="52" t="str">
        <f t="shared" si="5"/>
        <v>respectively,</v>
      </c>
    </row>
    <row r="2234">
      <c r="A2234" s="51"/>
      <c r="B2234" s="50" t="s">
        <v>7385</v>
      </c>
      <c r="C2234" s="50" t="s">
        <v>5075</v>
      </c>
      <c r="D2234" s="49" t="str">
        <f>IFERROR(__xludf.DUMMYFUNCTION("""COMPUTED_VALUE"""),"window")</f>
        <v>window</v>
      </c>
      <c r="E2234" s="49"/>
      <c r="F2234" s="49"/>
      <c r="G2234" s="49"/>
      <c r="H2234" s="54" t="str">
        <f t="shared" si="1"/>
        <v>muscle,</v>
      </c>
      <c r="I2234" s="50"/>
      <c r="J2234" s="50" t="s">
        <v>1940</v>
      </c>
      <c r="K2234" s="50" t="s">
        <v>4936</v>
      </c>
      <c r="L2234" s="49"/>
      <c r="M2234" s="49"/>
      <c r="N2234" s="49"/>
      <c r="O2234" s="49"/>
      <c r="P2234" s="49" t="str">
        <f t="shared" si="2"/>
        <v>cutting,</v>
      </c>
      <c r="Q2234" s="49"/>
      <c r="R2234" s="50" t="s">
        <v>5344</v>
      </c>
      <c r="S2234" s="55" t="s">
        <v>3694</v>
      </c>
      <c r="T2234" s="49"/>
      <c r="U2234" s="49"/>
      <c r="V2234" s="49"/>
      <c r="W2234" s="49"/>
      <c r="X2234" s="49" t="str">
        <f t="shared" si="3"/>
        <v>imagined,</v>
      </c>
      <c r="Y2234" s="49"/>
      <c r="Z2234" s="1" t="s">
        <v>655</v>
      </c>
      <c r="AA2234" s="1" t="s">
        <v>2619</v>
      </c>
      <c r="AB2234" s="49"/>
      <c r="AC2234" s="49"/>
      <c r="AD2234" s="49"/>
      <c r="AE2234" s="49"/>
      <c r="AF2234" s="49" t="str">
        <f t="shared" si="4"/>
        <v>capable,</v>
      </c>
      <c r="AG2234" s="49"/>
      <c r="AH2234" s="1" t="s">
        <v>2477</v>
      </c>
      <c r="AI2234" s="1" t="s">
        <v>6677</v>
      </c>
      <c r="AJ2234" s="6" t="str">
        <f>IFERROR(__xludf.DUMMYFUNCTION("""COMPUTED_VALUE"""),"interior")</f>
        <v>interior</v>
      </c>
      <c r="AK2234" s="49"/>
      <c r="AL2234" s="49"/>
      <c r="AM2234" s="49"/>
      <c r="AN2234" s="52" t="str">
        <f t="shared" si="5"/>
        <v>choose,</v>
      </c>
    </row>
    <row r="2235">
      <c r="A2235" s="51"/>
      <c r="B2235" s="50" t="s">
        <v>6336</v>
      </c>
      <c r="C2235" s="50" t="s">
        <v>4533</v>
      </c>
      <c r="D2235" s="49" t="str">
        <f>IFERROR(__xludf.DUMMYFUNCTION("""COMPUTED_VALUE"""),"television")</f>
        <v>television</v>
      </c>
      <c r="E2235" s="49"/>
      <c r="F2235" s="49"/>
      <c r="G2235" s="49"/>
      <c r="H2235" s="54" t="str">
        <f t="shared" si="1"/>
        <v>loaded,</v>
      </c>
      <c r="I2235" s="50"/>
      <c r="J2235" s="50" t="s">
        <v>1261</v>
      </c>
      <c r="K2235" s="50" t="s">
        <v>3864</v>
      </c>
      <c r="L2235" s="49"/>
      <c r="M2235" s="49"/>
      <c r="N2235" s="49"/>
      <c r="O2235" s="49"/>
      <c r="P2235" s="49" t="str">
        <f t="shared" si="2"/>
        <v>breakthrough,</v>
      </c>
      <c r="Q2235" s="49"/>
      <c r="R2235" s="50" t="s">
        <v>4810</v>
      </c>
      <c r="S2235" s="55" t="s">
        <v>1317</v>
      </c>
      <c r="T2235" s="49"/>
      <c r="U2235" s="49"/>
      <c r="V2235" s="49"/>
      <c r="W2235" s="49"/>
      <c r="X2235" s="49" t="str">
        <f t="shared" si="3"/>
        <v>treasure,</v>
      </c>
      <c r="Y2235" s="49"/>
      <c r="Z2235" s="1" t="s">
        <v>2510</v>
      </c>
      <c r="AA2235" s="1" t="s">
        <v>5425</v>
      </c>
      <c r="AB2235" s="49"/>
      <c r="AC2235" s="49"/>
      <c r="AD2235" s="49"/>
      <c r="AE2235" s="49"/>
      <c r="AF2235" s="49" t="str">
        <f t="shared" si="4"/>
        <v>sketch,</v>
      </c>
      <c r="AG2235" s="49"/>
      <c r="AH2235" s="1" t="s">
        <v>3440</v>
      </c>
      <c r="AI2235" s="1" t="s">
        <v>2028</v>
      </c>
      <c r="AJ2235" s="6" t="str">
        <f>IFERROR(__xludf.DUMMYFUNCTION("""COMPUTED_VALUE"""),"strike")</f>
        <v>strike</v>
      </c>
      <c r="AK2235" s="49"/>
      <c r="AL2235" s="49"/>
      <c r="AM2235" s="49"/>
      <c r="AN2235" s="52" t="str">
        <f t="shared" si="5"/>
        <v>mile,</v>
      </c>
    </row>
    <row r="2236">
      <c r="A2236" s="51"/>
      <c r="B2236" s="50" t="s">
        <v>4328</v>
      </c>
      <c r="C2236" s="50" t="s">
        <v>5079</v>
      </c>
      <c r="D2236" s="49" t="str">
        <f>IFERROR(__xludf.DUMMYFUNCTION("""COMPUTED_VALUE"""),"bright")</f>
        <v>bright</v>
      </c>
      <c r="E2236" s="49"/>
      <c r="F2236" s="49"/>
      <c r="G2236" s="49"/>
      <c r="H2236" s="54" t="str">
        <f t="shared" si="1"/>
        <v>attraction,</v>
      </c>
      <c r="I2236" s="50"/>
      <c r="J2236" s="50" t="s">
        <v>5026</v>
      </c>
      <c r="K2236" s="50" t="s">
        <v>3866</v>
      </c>
      <c r="L2236" s="49"/>
      <c r="M2236" s="49"/>
      <c r="N2236" s="49"/>
      <c r="O2236" s="49"/>
      <c r="P2236" s="49" t="str">
        <f t="shared" si="2"/>
        <v>gaze,</v>
      </c>
      <c r="Q2236" s="49"/>
      <c r="R2236" s="50" t="s">
        <v>2979</v>
      </c>
      <c r="S2236" s="55" t="s">
        <v>3696</v>
      </c>
      <c r="T2236" s="49"/>
      <c r="U2236" s="49"/>
      <c r="V2236" s="49"/>
      <c r="W2236" s="49"/>
      <c r="X2236" s="49" t="str">
        <f t="shared" si="3"/>
        <v>revolutionary,</v>
      </c>
      <c r="Y2236" s="49"/>
      <c r="Z2236" s="1" t="s">
        <v>2214</v>
      </c>
      <c r="AA2236" s="1" t="s">
        <v>1479</v>
      </c>
      <c r="AB2236" s="49"/>
      <c r="AC2236" s="49"/>
      <c r="AD2236" s="49"/>
      <c r="AE2236" s="49"/>
      <c r="AF2236" s="49" t="str">
        <f t="shared" si="4"/>
        <v>sum,</v>
      </c>
      <c r="AG2236" s="49"/>
      <c r="AH2236" s="1" t="s">
        <v>4521</v>
      </c>
      <c r="AI2236" s="1" t="s">
        <v>1732</v>
      </c>
      <c r="AJ2236" s="6" t="str">
        <f>IFERROR(__xludf.DUMMYFUNCTION("""COMPUTED_VALUE"""),"lyrics")</f>
        <v>lyrics</v>
      </c>
      <c r="AK2236" s="49"/>
      <c r="AL2236" s="49"/>
      <c r="AM2236" s="49"/>
      <c r="AN2236" s="52" t="str">
        <f t="shared" si="5"/>
        <v>philosophy,</v>
      </c>
    </row>
    <row r="2237">
      <c r="A2237" s="51"/>
      <c r="B2237" s="50" t="s">
        <v>3010</v>
      </c>
      <c r="C2237" s="50" t="s">
        <v>4154</v>
      </c>
      <c r="D2237" s="49" t="str">
        <f>IFERROR(__xludf.DUMMYFUNCTION("""COMPUTED_VALUE"""),"recovery")</f>
        <v>recovery</v>
      </c>
      <c r="E2237" s="49"/>
      <c r="F2237" s="49"/>
      <c r="G2237" s="49"/>
      <c r="H2237" s="54" t="str">
        <f t="shared" si="1"/>
        <v>worry,</v>
      </c>
      <c r="I2237" s="50"/>
      <c r="J2237" s="50" t="s">
        <v>1411</v>
      </c>
      <c r="K2237" s="50" t="s">
        <v>4938</v>
      </c>
      <c r="L2237" s="49"/>
      <c r="M2237" s="49"/>
      <c r="N2237" s="49"/>
      <c r="O2237" s="49"/>
      <c r="P2237" s="49" t="str">
        <f t="shared" si="2"/>
        <v>beings,</v>
      </c>
      <c r="Q2237" s="49"/>
      <c r="R2237" s="50" t="s">
        <v>1807</v>
      </c>
      <c r="S2237" s="55" t="s">
        <v>1323</v>
      </c>
      <c r="T2237" s="49"/>
      <c r="U2237" s="49"/>
      <c r="V2237" s="49"/>
      <c r="W2237" s="49"/>
      <c r="X2237" s="49" t="str">
        <f t="shared" si="3"/>
        <v>shirt,</v>
      </c>
      <c r="Y2237" s="49"/>
      <c r="Z2237" s="1" t="s">
        <v>2914</v>
      </c>
      <c r="AA2237" s="1" t="s">
        <v>1713</v>
      </c>
      <c r="AB2237" s="49"/>
      <c r="AC2237" s="49"/>
      <c r="AD2237" s="49"/>
      <c r="AE2237" s="49"/>
      <c r="AF2237" s="49" t="str">
        <f t="shared" si="4"/>
        <v>themes,</v>
      </c>
      <c r="AG2237" s="49"/>
      <c r="AH2237" s="1" t="s">
        <v>6465</v>
      </c>
      <c r="AI2237" s="1" t="s">
        <v>2433</v>
      </c>
      <c r="AJ2237" s="6" t="str">
        <f>IFERROR(__xludf.DUMMYFUNCTION("""COMPUTED_VALUE"""),"bond")</f>
        <v>bond</v>
      </c>
      <c r="AK2237" s="49"/>
      <c r="AL2237" s="49"/>
      <c r="AM2237" s="49"/>
      <c r="AN2237" s="52" t="str">
        <f t="shared" si="5"/>
        <v>f,</v>
      </c>
    </row>
    <row r="2238">
      <c r="A2238" s="51"/>
      <c r="B2238" s="50" t="s">
        <v>4849</v>
      </c>
      <c r="C2238" s="50" t="s">
        <v>4289</v>
      </c>
      <c r="D2238" s="49" t="str">
        <f>IFERROR(__xludf.DUMMYFUNCTION("""COMPUTED_VALUE"""),"separation")</f>
        <v>separation</v>
      </c>
      <c r="E2238" s="49"/>
      <c r="F2238" s="49"/>
      <c r="G2238" s="49"/>
      <c r="H2238" s="54" t="str">
        <f t="shared" si="1"/>
        <v>prisoners,</v>
      </c>
      <c r="I2238" s="50"/>
      <c r="J2238" s="50" t="s">
        <v>6609</v>
      </c>
      <c r="K2238" s="50" t="s">
        <v>3868</v>
      </c>
      <c r="L2238" s="49"/>
      <c r="M2238" s="49"/>
      <c r="N2238" s="49"/>
      <c r="O2238" s="49"/>
      <c r="P2238" s="49" t="str">
        <f t="shared" si="2"/>
        <v>ignoring,</v>
      </c>
      <c r="Q2238" s="49"/>
      <c r="R2238" s="50" t="s">
        <v>6074</v>
      </c>
      <c r="S2238" s="55" t="s">
        <v>3173</v>
      </c>
      <c r="T2238" s="49"/>
      <c r="U2238" s="49"/>
      <c r="V2238" s="49"/>
      <c r="W2238" s="49"/>
      <c r="X2238" s="49" t="str">
        <f t="shared" si="3"/>
        <v>bryan,</v>
      </c>
      <c r="Y2238" s="49"/>
      <c r="Z2238" s="1" t="s">
        <v>1173</v>
      </c>
      <c r="AA2238" s="1" t="s">
        <v>3717</v>
      </c>
      <c r="AB2238" s="49"/>
      <c r="AC2238" s="49"/>
      <c r="AD2238" s="49"/>
      <c r="AE2238" s="49"/>
      <c r="AF2238" s="49" t="str">
        <f t="shared" si="4"/>
        <v>paxton,</v>
      </c>
      <c r="AG2238" s="49"/>
      <c r="AH2238" s="1" t="s">
        <v>3589</v>
      </c>
      <c r="AI2238" s="1" t="s">
        <v>1851</v>
      </c>
      <c r="AJ2238" s="6" t="str">
        <f>IFERROR(__xludf.DUMMYFUNCTION("""COMPUTED_VALUE"""),"al")</f>
        <v>al</v>
      </c>
      <c r="AK2238" s="49"/>
      <c r="AL2238" s="49"/>
      <c r="AM2238" s="49"/>
      <c r="AN2238" s="52" t="str">
        <f t="shared" si="5"/>
        <v>illness,</v>
      </c>
    </row>
    <row r="2239">
      <c r="A2239" s="51"/>
      <c r="B2239" s="50" t="s">
        <v>5059</v>
      </c>
      <c r="C2239" s="50" t="s">
        <v>4200</v>
      </c>
      <c r="D2239" s="49" t="str">
        <f>IFERROR(__xludf.DUMMYFUNCTION("""COMPUTED_VALUE"""),"hated")</f>
        <v>hated</v>
      </c>
      <c r="E2239" s="49"/>
      <c r="F2239" s="49"/>
      <c r="G2239" s="49"/>
      <c r="H2239" s="54" t="str">
        <f t="shared" si="1"/>
        <v>naked,</v>
      </c>
      <c r="I2239" s="50"/>
      <c r="J2239" s="50" t="s">
        <v>7494</v>
      </c>
      <c r="K2239" s="50" t="s">
        <v>3870</v>
      </c>
      <c r="L2239" s="49"/>
      <c r="M2239" s="49"/>
      <c r="N2239" s="49"/>
      <c r="O2239" s="49"/>
      <c r="P2239" s="49" t="str">
        <f t="shared" si="2"/>
        <v>visitor,</v>
      </c>
      <c r="Q2239" s="49"/>
      <c r="R2239" s="50" t="s">
        <v>1273</v>
      </c>
      <c r="S2239" s="55" t="s">
        <v>3260</v>
      </c>
      <c r="T2239" s="49"/>
      <c r="U2239" s="49"/>
      <c r="V2239" s="49"/>
      <c r="W2239" s="49"/>
      <c r="X2239" s="49" t="str">
        <f t="shared" si="3"/>
        <v>capture,</v>
      </c>
      <c r="Y2239" s="49"/>
      <c r="Z2239" s="1" t="s">
        <v>5099</v>
      </c>
      <c r="AA2239" s="1" t="s">
        <v>2627</v>
      </c>
      <c r="AB2239" s="49"/>
      <c r="AC2239" s="49"/>
      <c r="AD2239" s="49"/>
      <c r="AE2239" s="49"/>
      <c r="AF2239" s="49" t="str">
        <f t="shared" si="4"/>
        <v>finale,</v>
      </c>
      <c r="AG2239" s="49"/>
      <c r="AH2239" s="1" t="s">
        <v>6057</v>
      </c>
      <c r="AI2239" s="1" t="s">
        <v>1419</v>
      </c>
      <c r="AJ2239" s="6" t="str">
        <f>IFERROR(__xludf.DUMMYFUNCTION("""COMPUTED_VALUE"""),"comics")</f>
        <v>comics</v>
      </c>
      <c r="AK2239" s="49"/>
      <c r="AL2239" s="49"/>
      <c r="AM2239" s="49"/>
      <c r="AN2239" s="52" t="str">
        <f t="shared" si="5"/>
        <v>woods,</v>
      </c>
    </row>
    <row r="2240">
      <c r="A2240" s="51"/>
      <c r="B2240" s="50" t="s">
        <v>1276</v>
      </c>
      <c r="C2240" s="50" t="s">
        <v>4543</v>
      </c>
      <c r="D2240" s="49" t="str">
        <f>IFERROR(__xludf.DUMMYFUNCTION("""COMPUTED_VALUE"""),"capture")</f>
        <v>capture</v>
      </c>
      <c r="E2240" s="49"/>
      <c r="F2240" s="49"/>
      <c r="G2240" s="49"/>
      <c r="H2240" s="54" t="str">
        <f t="shared" si="1"/>
        <v>tickets,</v>
      </c>
      <c r="I2240" s="50"/>
      <c r="J2240" s="50" t="s">
        <v>2427</v>
      </c>
      <c r="K2240" s="50" t="s">
        <v>2133</v>
      </c>
      <c r="L2240" s="49"/>
      <c r="M2240" s="49"/>
      <c r="N2240" s="49"/>
      <c r="O2240" s="49"/>
      <c r="P2240" s="49" t="str">
        <f t="shared" si="2"/>
        <v>clinic,</v>
      </c>
      <c r="Q2240" s="49"/>
      <c r="R2240" s="50" t="s">
        <v>4563</v>
      </c>
      <c r="S2240" s="55" t="s">
        <v>3501</v>
      </c>
      <c r="T2240" s="49"/>
      <c r="U2240" s="49"/>
      <c r="V2240" s="49"/>
      <c r="W2240" s="49"/>
      <c r="X2240" s="49" t="str">
        <f t="shared" si="3"/>
        <v>ethics,</v>
      </c>
      <c r="Y2240" s="49"/>
      <c r="Z2240" s="1" t="s">
        <v>1435</v>
      </c>
      <c r="AA2240" s="1" t="s">
        <v>5429</v>
      </c>
      <c r="AB2240" s="49"/>
      <c r="AC2240" s="49"/>
      <c r="AD2240" s="49"/>
      <c r="AE2240" s="49"/>
      <c r="AF2240" s="49" t="str">
        <f t="shared" si="4"/>
        <v>approaches,</v>
      </c>
      <c r="AG2240" s="49"/>
      <c r="AH2240" s="1" t="s">
        <v>3436</v>
      </c>
      <c r="AI2240" s="1" t="s">
        <v>6679</v>
      </c>
      <c r="AJ2240" s="6" t="str">
        <f>IFERROR(__xludf.DUMMYFUNCTION("""COMPUTED_VALUE"""),"todd")</f>
        <v>todd</v>
      </c>
      <c r="AK2240" s="49"/>
      <c r="AL2240" s="49"/>
      <c r="AM2240" s="49"/>
      <c r="AN2240" s="52" t="str">
        <f t="shared" si="5"/>
        <v>guest,</v>
      </c>
    </row>
    <row r="2241">
      <c r="A2241" s="51"/>
      <c r="B2241" s="50" t="s">
        <v>927</v>
      </c>
      <c r="C2241" s="50" t="s">
        <v>5088</v>
      </c>
      <c r="D2241" s="49" t="str">
        <f>IFERROR(__xludf.DUMMYFUNCTION("""COMPUTED_VALUE"""),"chaos")</f>
        <v>chaos</v>
      </c>
      <c r="E2241" s="49"/>
      <c r="F2241" s="49"/>
      <c r="G2241" s="49"/>
      <c r="H2241" s="54" t="str">
        <f t="shared" si="1"/>
        <v>grief,</v>
      </c>
      <c r="I2241" s="50"/>
      <c r="J2241" s="50" t="s">
        <v>5722</v>
      </c>
      <c r="K2241" s="50" t="s">
        <v>2136</v>
      </c>
      <c r="L2241" s="49"/>
      <c r="M2241" s="49"/>
      <c r="N2241" s="49"/>
      <c r="O2241" s="49"/>
      <c r="P2241" s="49" t="str">
        <f t="shared" si="2"/>
        <v>labor,</v>
      </c>
      <c r="Q2241" s="49"/>
      <c r="R2241" s="50" t="s">
        <v>2941</v>
      </c>
      <c r="S2241" s="55" t="s">
        <v>5307</v>
      </c>
      <c r="T2241" s="49"/>
      <c r="U2241" s="49"/>
      <c r="V2241" s="49"/>
      <c r="W2241" s="49"/>
      <c r="X2241" s="49" t="str">
        <f t="shared" si="3"/>
        <v>sincere,</v>
      </c>
      <c r="Y2241" s="49"/>
      <c r="Z2241" s="1" t="s">
        <v>3247</v>
      </c>
      <c r="AA2241" s="1" t="s">
        <v>5430</v>
      </c>
      <c r="AB2241" s="49"/>
      <c r="AC2241" s="49"/>
      <c r="AD2241" s="49"/>
      <c r="AE2241" s="49"/>
      <c r="AF2241" s="49" t="str">
        <f t="shared" si="4"/>
        <v>suited,</v>
      </c>
      <c r="AG2241" s="49"/>
      <c r="AH2241" s="1" t="s">
        <v>3430</v>
      </c>
      <c r="AI2241" s="1">
        <v>1993.0</v>
      </c>
      <c r="AJ2241" s="6" t="str">
        <f>IFERROR(__xludf.DUMMYFUNCTION("""COMPUTED_VALUE"""),"explosion")</f>
        <v>explosion</v>
      </c>
      <c r="AK2241" s="49"/>
      <c r="AL2241" s="49"/>
      <c r="AM2241" s="49"/>
      <c r="AN2241" s="52" t="str">
        <f t="shared" si="5"/>
        <v>sharp,</v>
      </c>
    </row>
    <row r="2242">
      <c r="A2242" s="51"/>
      <c r="B2242" s="50" t="s">
        <v>1182</v>
      </c>
      <c r="C2242" s="50" t="s">
        <v>6459</v>
      </c>
      <c r="D2242" s="49" t="str">
        <f>IFERROR(__xludf.DUMMYFUNCTION("""COMPUTED_VALUE"""),"draft")</f>
        <v>draft</v>
      </c>
      <c r="E2242" s="49"/>
      <c r="F2242" s="49"/>
      <c r="G2242" s="49"/>
      <c r="H2242" s="54" t="str">
        <f t="shared" si="1"/>
        <v>front,</v>
      </c>
      <c r="I2242" s="50"/>
      <c r="J2242" s="50" t="s">
        <v>3625</v>
      </c>
      <c r="K2242" s="50" t="s">
        <v>3875</v>
      </c>
      <c r="L2242" s="49"/>
      <c r="M2242" s="49"/>
      <c r="N2242" s="49"/>
      <c r="O2242" s="49"/>
      <c r="P2242" s="49" t="str">
        <f t="shared" si="2"/>
        <v>aware,</v>
      </c>
      <c r="Q2242" s="49"/>
      <c r="R2242" s="50" t="s">
        <v>6116</v>
      </c>
      <c r="S2242" s="55" t="s">
        <v>3264</v>
      </c>
      <c r="T2242" s="49"/>
      <c r="U2242" s="49"/>
      <c r="V2242" s="49"/>
      <c r="W2242" s="49"/>
      <c r="X2242" s="49" t="str">
        <f t="shared" si="3"/>
        <v>wherever,</v>
      </c>
      <c r="Y2242" s="49"/>
      <c r="Z2242" s="1" t="s">
        <v>2493</v>
      </c>
      <c r="AA2242" s="1" t="s">
        <v>5431</v>
      </c>
      <c r="AB2242" s="49"/>
      <c r="AC2242" s="49"/>
      <c r="AD2242" s="49"/>
      <c r="AE2242" s="49"/>
      <c r="AF2242" s="49" t="str">
        <f t="shared" si="4"/>
        <v>changing,</v>
      </c>
      <c r="AG2242" s="49"/>
      <c r="AH2242" s="1" t="s">
        <v>3438</v>
      </c>
      <c r="AI2242" s="1" t="s">
        <v>3241</v>
      </c>
      <c r="AJ2242" s="6" t="str">
        <f>IFERROR(__xludf.DUMMYFUNCTION("""COMPUTED_VALUE"""),"fairly")</f>
        <v>fairly</v>
      </c>
      <c r="AK2242" s="49"/>
      <c r="AL2242" s="49"/>
      <c r="AM2242" s="49"/>
      <c r="AN2242" s="52" t="str">
        <f t="shared" si="5"/>
        <v>credit,</v>
      </c>
    </row>
    <row r="2243">
      <c r="A2243" s="51"/>
      <c r="B2243" s="50" t="s">
        <v>3642</v>
      </c>
      <c r="C2243" s="50" t="s">
        <v>5091</v>
      </c>
      <c r="D2243" s="49" t="str">
        <f>IFERROR(__xludf.DUMMYFUNCTION("""COMPUTED_VALUE"""),"blow")</f>
        <v>blow</v>
      </c>
      <c r="E2243" s="49"/>
      <c r="F2243" s="49"/>
      <c r="G2243" s="49"/>
      <c r="H2243" s="54" t="str">
        <f t="shared" si="1"/>
        <v>basis,</v>
      </c>
      <c r="I2243" s="50"/>
      <c r="J2243" s="50" t="s">
        <v>7495</v>
      </c>
      <c r="K2243" s="50" t="s">
        <v>1087</v>
      </c>
      <c r="L2243" s="49"/>
      <c r="M2243" s="49"/>
      <c r="N2243" s="49"/>
      <c r="O2243" s="49"/>
      <c r="P2243" s="49" t="str">
        <f t="shared" si="2"/>
        <v>caring,</v>
      </c>
      <c r="Q2243" s="49"/>
      <c r="R2243" s="50" t="s">
        <v>3085</v>
      </c>
      <c r="S2243" s="55" t="s">
        <v>6199</v>
      </c>
      <c r="T2243" s="49"/>
      <c r="U2243" s="49"/>
      <c r="V2243" s="49"/>
      <c r="W2243" s="49"/>
      <c r="X2243" s="49" t="str">
        <f t="shared" si="3"/>
        <v>reign,</v>
      </c>
      <c r="Y2243" s="49"/>
      <c r="Z2243" s="1" t="s">
        <v>6510</v>
      </c>
      <c r="AA2243" s="1" t="s">
        <v>5433</v>
      </c>
      <c r="AB2243" s="49"/>
      <c r="AC2243" s="49"/>
      <c r="AD2243" s="49"/>
      <c r="AE2243" s="49"/>
      <c r="AF2243" s="49" t="str">
        <f t="shared" si="4"/>
        <v>atmosphere,</v>
      </c>
      <c r="AG2243" s="49"/>
      <c r="AH2243" s="1" t="s">
        <v>6627</v>
      </c>
      <c r="AI2243" s="1" t="s">
        <v>2494</v>
      </c>
      <c r="AJ2243" s="6" t="str">
        <f>IFERROR(__xludf.DUMMYFUNCTION("""COMPUTED_VALUE"""),"storm")</f>
        <v>storm</v>
      </c>
      <c r="AK2243" s="49"/>
      <c r="AL2243" s="49"/>
      <c r="AM2243" s="49"/>
      <c r="AN2243" s="52" t="str">
        <f t="shared" si="5"/>
        <v>mike,</v>
      </c>
    </row>
    <row r="2244">
      <c r="A2244" s="51"/>
      <c r="B2244" s="50" t="s">
        <v>1311</v>
      </c>
      <c r="C2244" s="50" t="s">
        <v>5093</v>
      </c>
      <c r="D2244" s="49" t="str">
        <f>IFERROR(__xludf.DUMMYFUNCTION("""COMPUTED_VALUE"""),"happened")</f>
        <v>happened</v>
      </c>
      <c r="E2244" s="49"/>
      <c r="F2244" s="49"/>
      <c r="G2244" s="49"/>
      <c r="H2244" s="54" t="str">
        <f t="shared" si="1"/>
        <v>laugh,</v>
      </c>
      <c r="I2244" s="50"/>
      <c r="J2244" s="50" t="s">
        <v>4555</v>
      </c>
      <c r="K2244" s="50" t="s">
        <v>4946</v>
      </c>
      <c r="L2244" s="49"/>
      <c r="M2244" s="49"/>
      <c r="N2244" s="49"/>
      <c r="O2244" s="49"/>
      <c r="P2244" s="49" t="str">
        <f t="shared" si="2"/>
        <v>ordinary,</v>
      </c>
      <c r="Q2244" s="49"/>
      <c r="R2244" s="50" t="s">
        <v>2949</v>
      </c>
      <c r="S2244" s="55" t="s">
        <v>3707</v>
      </c>
      <c r="T2244" s="49"/>
      <c r="U2244" s="49"/>
      <c r="V2244" s="49"/>
      <c r="W2244" s="49"/>
      <c r="X2244" s="49" t="str">
        <f t="shared" si="3"/>
        <v>ceremonies,</v>
      </c>
      <c r="Y2244" s="49"/>
      <c r="Z2244" s="1" t="s">
        <v>2550</v>
      </c>
      <c r="AA2244" s="1" t="s">
        <v>4457</v>
      </c>
      <c r="AB2244" s="49"/>
      <c r="AC2244" s="49"/>
      <c r="AD2244" s="49"/>
      <c r="AE2244" s="49"/>
      <c r="AF2244" s="49" t="str">
        <f t="shared" si="4"/>
        <v>seat,</v>
      </c>
      <c r="AG2244" s="49"/>
      <c r="AH2244" s="1" t="s">
        <v>4930</v>
      </c>
      <c r="AI2244" s="1" t="s">
        <v>1677</v>
      </c>
      <c r="AJ2244" s="6" t="str">
        <f>IFERROR(__xludf.DUMMYFUNCTION("""COMPUTED_VALUE"""),"boat")</f>
        <v>boat</v>
      </c>
      <c r="AK2244" s="49"/>
      <c r="AL2244" s="49"/>
      <c r="AM2244" s="49"/>
      <c r="AN2244" s="52" t="str">
        <f t="shared" si="5"/>
        <v>austin,</v>
      </c>
    </row>
    <row r="2245">
      <c r="A2245" s="51"/>
      <c r="B2245" s="50" t="s">
        <v>2269</v>
      </c>
      <c r="C2245" s="50" t="s">
        <v>4546</v>
      </c>
      <c r="D2245" s="49" t="str">
        <f>IFERROR(__xludf.DUMMYFUNCTION("""COMPUTED_VALUE"""),"memories")</f>
        <v>memories</v>
      </c>
      <c r="E2245" s="49"/>
      <c r="F2245" s="49"/>
      <c r="G2245" s="49"/>
      <c r="H2245" s="54" t="str">
        <f t="shared" si="1"/>
        <v>na,</v>
      </c>
      <c r="I2245" s="50"/>
      <c r="J2245" s="50" t="s">
        <v>4536</v>
      </c>
      <c r="K2245" s="50" t="s">
        <v>2141</v>
      </c>
      <c r="L2245" s="49"/>
      <c r="M2245" s="49"/>
      <c r="N2245" s="49"/>
      <c r="O2245" s="49"/>
      <c r="P2245" s="49" t="str">
        <f t="shared" si="2"/>
        <v>cooper,</v>
      </c>
      <c r="Q2245" s="49"/>
      <c r="R2245" s="50" t="s">
        <v>2129</v>
      </c>
      <c r="S2245" s="55" t="s">
        <v>4806</v>
      </c>
      <c r="T2245" s="49"/>
      <c r="U2245" s="49"/>
      <c r="V2245" s="49"/>
      <c r="W2245" s="49"/>
      <c r="X2245" s="49" t="str">
        <f t="shared" si="3"/>
        <v>moody,</v>
      </c>
      <c r="Y2245" s="49"/>
      <c r="Z2245" s="1" t="s">
        <v>4651</v>
      </c>
      <c r="AA2245" s="1" t="s">
        <v>2632</v>
      </c>
      <c r="AB2245" s="49"/>
      <c r="AC2245" s="49"/>
      <c r="AD2245" s="49"/>
      <c r="AE2245" s="49"/>
      <c r="AF2245" s="49" t="str">
        <f t="shared" si="4"/>
        <v>properly,</v>
      </c>
      <c r="AG2245" s="49"/>
      <c r="AH2245" s="1" t="s">
        <v>6568</v>
      </c>
      <c r="AI2245" s="1" t="s">
        <v>6686</v>
      </c>
      <c r="AJ2245" s="6" t="str">
        <f>IFERROR(__xludf.DUMMYFUNCTION("""COMPUTED_VALUE"""),"eat")</f>
        <v>eat</v>
      </c>
      <c r="AK2245" s="49"/>
      <c r="AL2245" s="49"/>
      <c r="AM2245" s="49"/>
      <c r="AN2245" s="52" t="str">
        <f t="shared" si="5"/>
        <v>model,</v>
      </c>
    </row>
    <row r="2246">
      <c r="A2246" s="51"/>
      <c r="B2246" s="50" t="s">
        <v>1977</v>
      </c>
      <c r="C2246" s="50" t="s">
        <v>3639</v>
      </c>
      <c r="D2246" s="49" t="str">
        <f>IFERROR(__xludf.DUMMYFUNCTION("""COMPUTED_VALUE"""),"favorite")</f>
        <v>favorite</v>
      </c>
      <c r="E2246" s="49"/>
      <c r="F2246" s="49"/>
      <c r="G2246" s="49"/>
      <c r="H2246" s="54" t="str">
        <f t="shared" si="1"/>
        <v>longer,</v>
      </c>
      <c r="I2246" s="50"/>
      <c r="J2246" s="50" t="s">
        <v>484</v>
      </c>
      <c r="K2246" s="50" t="s">
        <v>5435</v>
      </c>
      <c r="L2246" s="49"/>
      <c r="M2246" s="49"/>
      <c r="N2246" s="49"/>
      <c r="O2246" s="49"/>
      <c r="P2246" s="49" t="str">
        <f t="shared" si="2"/>
        <v>mendes,</v>
      </c>
      <c r="Q2246" s="49"/>
      <c r="R2246" s="50" t="s">
        <v>661</v>
      </c>
      <c r="S2246" s="55" t="s">
        <v>4807</v>
      </c>
      <c r="T2246" s="49"/>
      <c r="U2246" s="49"/>
      <c r="V2246" s="49"/>
      <c r="W2246" s="49"/>
      <c r="X2246" s="49" t="str">
        <f t="shared" si="3"/>
        <v>homosexuality,</v>
      </c>
      <c r="Y2246" s="49"/>
      <c r="Z2246" s="1" t="s">
        <v>4065</v>
      </c>
      <c r="AA2246" s="1" t="s">
        <v>2629</v>
      </c>
      <c r="AB2246" s="49"/>
      <c r="AC2246" s="49"/>
      <c r="AD2246" s="49"/>
      <c r="AE2246" s="49"/>
      <c r="AF2246" s="49" t="str">
        <f t="shared" si="4"/>
        <v>politically,</v>
      </c>
      <c r="AG2246" s="49"/>
      <c r="AH2246" s="1" t="s">
        <v>3895</v>
      </c>
      <c r="AI2246" s="1" t="s">
        <v>4449</v>
      </c>
      <c r="AJ2246" s="6" t="str">
        <f>IFERROR(__xludf.DUMMYFUNCTION("""COMPUTED_VALUE"""),"stuck")</f>
        <v>stuck</v>
      </c>
      <c r="AK2246" s="49"/>
      <c r="AL2246" s="49"/>
      <c r="AM2246" s="49"/>
      <c r="AN2246" s="52" t="str">
        <f t="shared" si="5"/>
        <v>crisis,</v>
      </c>
    </row>
    <row r="2247">
      <c r="A2247" s="51"/>
      <c r="B2247" s="50" t="s">
        <v>144</v>
      </c>
      <c r="C2247" s="50" t="s">
        <v>4549</v>
      </c>
      <c r="D2247" s="49" t="str">
        <f>IFERROR(__xludf.DUMMYFUNCTION("""COMPUTED_VALUE"""),"cult")</f>
        <v>cult</v>
      </c>
      <c r="E2247" s="49"/>
      <c r="F2247" s="49"/>
      <c r="G2247" s="49"/>
      <c r="H2247" s="54" t="str">
        <f t="shared" si="1"/>
        <v>intellectual,</v>
      </c>
      <c r="I2247" s="50"/>
      <c r="J2247" s="50" t="s">
        <v>4886</v>
      </c>
      <c r="K2247" s="50" t="s">
        <v>3799</v>
      </c>
      <c r="L2247" s="49"/>
      <c r="M2247" s="49"/>
      <c r="N2247" s="49"/>
      <c r="O2247" s="49"/>
      <c r="P2247" s="49" t="str">
        <f t="shared" si="2"/>
        <v>ball,</v>
      </c>
      <c r="Q2247" s="49"/>
      <c r="R2247" s="50" t="s">
        <v>7545</v>
      </c>
      <c r="S2247" s="55" t="s">
        <v>4073</v>
      </c>
      <c r="T2247" s="49"/>
      <c r="U2247" s="49"/>
      <c r="V2247" s="49"/>
      <c r="W2247" s="49"/>
      <c r="X2247" s="49" t="str">
        <f t="shared" si="3"/>
        <v>vow,</v>
      </c>
      <c r="Y2247" s="49"/>
      <c r="Z2247" s="1" t="s">
        <v>533</v>
      </c>
      <c r="AA2247" s="1" t="s">
        <v>5436</v>
      </c>
      <c r="AB2247" s="49"/>
      <c r="AC2247" s="49"/>
      <c r="AD2247" s="49"/>
      <c r="AE2247" s="49"/>
      <c r="AF2247" s="49" t="str">
        <f t="shared" si="4"/>
        <v>innocence,</v>
      </c>
      <c r="AG2247" s="49"/>
      <c r="AH2247" s="1" t="s">
        <v>3699</v>
      </c>
      <c r="AI2247" s="1" t="s">
        <v>6687</v>
      </c>
      <c r="AJ2247" s="6" t="str">
        <f>IFERROR(__xludf.DUMMYFUNCTION("""COMPUTED_VALUE"""),"fruit")</f>
        <v>fruit</v>
      </c>
      <c r="AK2247" s="49"/>
      <c r="AL2247" s="49"/>
      <c r="AM2247" s="49"/>
      <c r="AN2247" s="52" t="str">
        <f t="shared" si="5"/>
        <v>nelson,</v>
      </c>
    </row>
    <row r="2248">
      <c r="A2248" s="51"/>
      <c r="B2248" s="50" t="s">
        <v>802</v>
      </c>
      <c r="C2248" s="50" t="s">
        <v>4551</v>
      </c>
      <c r="D2248" s="49" t="str">
        <f>IFERROR(__xludf.DUMMYFUNCTION("""COMPUTED_VALUE"""),"quick")</f>
        <v>quick</v>
      </c>
      <c r="E2248" s="49"/>
      <c r="F2248" s="49"/>
      <c r="G2248" s="49"/>
      <c r="H2248" s="54" t="str">
        <f t="shared" si="1"/>
        <v>collapse,</v>
      </c>
      <c r="I2248" s="50"/>
      <c r="J2248" s="50" t="s">
        <v>545</v>
      </c>
      <c r="K2248" s="50" t="s">
        <v>4958</v>
      </c>
      <c r="L2248" s="49"/>
      <c r="M2248" s="49"/>
      <c r="N2248" s="49"/>
      <c r="O2248" s="49"/>
      <c r="P2248" s="49" t="str">
        <f t="shared" si="2"/>
        <v>significant,</v>
      </c>
      <c r="Q2248" s="49"/>
      <c r="R2248" s="50" t="s">
        <v>7546</v>
      </c>
      <c r="S2248" s="55" t="s">
        <v>6688</v>
      </c>
      <c r="T2248" s="49"/>
      <c r="U2248" s="49"/>
      <c r="V2248" s="49"/>
      <c r="W2248" s="49"/>
      <c r="X2248" s="49" t="str">
        <f t="shared" si="3"/>
        <v>po,</v>
      </c>
      <c r="Y2248" s="49"/>
      <c r="Z2248" s="1" t="s">
        <v>7440</v>
      </c>
      <c r="AA2248" s="1" t="s">
        <v>5437</v>
      </c>
      <c r="AB2248" s="49"/>
      <c r="AC2248" s="49"/>
      <c r="AD2248" s="49"/>
      <c r="AE2248" s="49"/>
      <c r="AF2248" s="49" t="str">
        <f t="shared" si="4"/>
        <v>non,</v>
      </c>
      <c r="AG2248" s="49"/>
      <c r="AH2248" s="1" t="s">
        <v>5087</v>
      </c>
      <c r="AI2248" s="1" t="s">
        <v>3698</v>
      </c>
      <c r="AJ2248" s="6" t="str">
        <f>IFERROR(__xludf.DUMMYFUNCTION("""COMPUTED_VALUE"""),"court")</f>
        <v>court</v>
      </c>
      <c r="AK2248" s="49"/>
      <c r="AL2248" s="49"/>
      <c r="AM2248" s="49"/>
      <c r="AN2248" s="52" t="str">
        <f t="shared" si="5"/>
        <v>mental,</v>
      </c>
    </row>
    <row r="2249">
      <c r="A2249" s="51"/>
      <c r="B2249" s="50" t="s">
        <v>6439</v>
      </c>
      <c r="C2249" s="50">
        <v>22.0</v>
      </c>
      <c r="D2249" s="49" t="str">
        <f>IFERROR(__xludf.DUMMYFUNCTION("""COMPUTED_VALUE"""),"hall")</f>
        <v>hall</v>
      </c>
      <c r="E2249" s="49"/>
      <c r="F2249" s="49"/>
      <c r="G2249" s="49"/>
      <c r="H2249" s="54" t="str">
        <f t="shared" si="1"/>
        <v>period,</v>
      </c>
      <c r="I2249" s="50"/>
      <c r="J2249" s="50" t="s">
        <v>4931</v>
      </c>
      <c r="K2249" s="50" t="s">
        <v>128</v>
      </c>
      <c r="L2249" s="49"/>
      <c r="M2249" s="49"/>
      <c r="N2249" s="49"/>
      <c r="O2249" s="49"/>
      <c r="P2249" s="49" t="str">
        <f t="shared" si="2"/>
        <v>blanket,</v>
      </c>
      <c r="Q2249" s="49"/>
      <c r="R2249" s="50" t="s">
        <v>4041</v>
      </c>
      <c r="S2249" s="55" t="s">
        <v>5312</v>
      </c>
      <c r="T2249" s="49"/>
      <c r="U2249" s="49"/>
      <c r="V2249" s="49"/>
      <c r="W2249" s="49"/>
      <c r="X2249" s="49" t="str">
        <f t="shared" si="3"/>
        <v>exit,</v>
      </c>
      <c r="Y2249" s="49"/>
      <c r="Z2249" s="1" t="s">
        <v>3032</v>
      </c>
      <c r="AA2249" s="1" t="s">
        <v>2635</v>
      </c>
      <c r="AB2249" s="49"/>
      <c r="AC2249" s="49"/>
      <c r="AD2249" s="49"/>
      <c r="AE2249" s="49"/>
      <c r="AF2249" s="49" t="str">
        <f t="shared" si="4"/>
        <v>merits,</v>
      </c>
      <c r="AG2249" s="49"/>
      <c r="AH2249" s="1" t="s">
        <v>4003</v>
      </c>
      <c r="AI2249" s="1" t="s">
        <v>5288</v>
      </c>
      <c r="AJ2249" s="6">
        <f>IFERROR(__xludf.DUMMYFUNCTION("""COMPUTED_VALUE"""),22.0)</f>
        <v>22</v>
      </c>
      <c r="AK2249" s="49"/>
      <c r="AL2249" s="49"/>
      <c r="AM2249" s="49"/>
      <c r="AN2249" s="52" t="str">
        <f t="shared" si="5"/>
        <v>suspected,</v>
      </c>
    </row>
    <row r="2250">
      <c r="A2250" s="51"/>
      <c r="B2250" s="50" t="s">
        <v>5853</v>
      </c>
      <c r="C2250" s="50" t="s">
        <v>1889</v>
      </c>
      <c r="D2250" s="49" t="str">
        <f>IFERROR(__xludf.DUMMYFUNCTION("""COMPUTED_VALUE"""),"heard")</f>
        <v>heard</v>
      </c>
      <c r="E2250" s="49"/>
      <c r="F2250" s="49"/>
      <c r="G2250" s="49"/>
      <c r="H2250" s="54" t="str">
        <f t="shared" si="1"/>
        <v>silver,</v>
      </c>
      <c r="I2250" s="50"/>
      <c r="J2250" s="50" t="s">
        <v>5477</v>
      </c>
      <c r="K2250" s="50" t="s">
        <v>3883</v>
      </c>
      <c r="L2250" s="49"/>
      <c r="M2250" s="49"/>
      <c r="N2250" s="49"/>
      <c r="O2250" s="49"/>
      <c r="P2250" s="49" t="str">
        <f t="shared" si="2"/>
        <v>innovative,</v>
      </c>
      <c r="Q2250" s="49"/>
      <c r="R2250" s="50" t="s">
        <v>4607</v>
      </c>
      <c r="S2250" s="55" t="s">
        <v>1328</v>
      </c>
      <c r="T2250" s="49"/>
      <c r="U2250" s="49"/>
      <c r="V2250" s="49"/>
      <c r="W2250" s="49"/>
      <c r="X2250" s="49" t="str">
        <f t="shared" si="3"/>
        <v>duration,</v>
      </c>
      <c r="Y2250" s="49"/>
      <c r="Z2250" s="1" t="s">
        <v>2838</v>
      </c>
      <c r="AA2250" s="1" t="s">
        <v>5438</v>
      </c>
      <c r="AB2250" s="49"/>
      <c r="AC2250" s="49"/>
      <c r="AD2250" s="49"/>
      <c r="AE2250" s="49"/>
      <c r="AF2250" s="49" t="str">
        <f t="shared" si="4"/>
        <v>relative,</v>
      </c>
      <c r="AG2250" s="49"/>
      <c r="AH2250" s="1" t="s">
        <v>6382</v>
      </c>
      <c r="AI2250" s="1" t="s">
        <v>4621</v>
      </c>
      <c r="AJ2250" s="6" t="str">
        <f>IFERROR(__xludf.DUMMYFUNCTION("""COMPUTED_VALUE"""),"junior")</f>
        <v>junior</v>
      </c>
      <c r="AK2250" s="49"/>
      <c r="AL2250" s="49"/>
      <c r="AM2250" s="49"/>
      <c r="AN2250" s="52" t="str">
        <f t="shared" si="5"/>
        <v>caught,</v>
      </c>
    </row>
    <row r="2251">
      <c r="A2251" s="51"/>
      <c r="B2251" s="50" t="s">
        <v>1102</v>
      </c>
      <c r="C2251" s="50" t="s">
        <v>3070</v>
      </c>
      <c r="D2251" s="49" t="str">
        <f>IFERROR(__xludf.DUMMYFUNCTION("""COMPUTED_VALUE"""),"letter")</f>
        <v>letter</v>
      </c>
      <c r="E2251" s="49"/>
      <c r="F2251" s="49"/>
      <c r="G2251" s="49"/>
      <c r="H2251" s="54" t="str">
        <f t="shared" si="1"/>
        <v>carried,</v>
      </c>
      <c r="I2251" s="50"/>
      <c r="J2251" s="50" t="s">
        <v>2037</v>
      </c>
      <c r="K2251" s="50" t="s">
        <v>3886</v>
      </c>
      <c r="L2251" s="49"/>
      <c r="M2251" s="49"/>
      <c r="N2251" s="49"/>
      <c r="O2251" s="49"/>
      <c r="P2251" s="49" t="str">
        <f t="shared" si="2"/>
        <v>dash,</v>
      </c>
      <c r="Q2251" s="49"/>
      <c r="R2251" s="50" t="s">
        <v>5239</v>
      </c>
      <c r="S2251" s="55" t="s">
        <v>6689</v>
      </c>
      <c r="T2251" s="49"/>
      <c r="U2251" s="49"/>
      <c r="V2251" s="49"/>
      <c r="W2251" s="49"/>
      <c r="X2251" s="49" t="str">
        <f t="shared" si="3"/>
        <v>resistance,</v>
      </c>
      <c r="Y2251" s="49"/>
      <c r="Z2251" s="1" t="s">
        <v>692</v>
      </c>
      <c r="AA2251" s="1" t="s">
        <v>2637</v>
      </c>
      <c r="AB2251" s="49"/>
      <c r="AC2251" s="49"/>
      <c r="AD2251" s="49"/>
      <c r="AE2251" s="49"/>
      <c r="AF2251" s="49" t="str">
        <f t="shared" si="4"/>
        <v>dramatically,</v>
      </c>
      <c r="AG2251" s="49"/>
      <c r="AH2251" s="1" t="s">
        <v>1082</v>
      </c>
      <c r="AI2251" s="1" t="s">
        <v>5293</v>
      </c>
      <c r="AJ2251" s="6" t="str">
        <f>IFERROR(__xludf.DUMMYFUNCTION("""COMPUTED_VALUE"""),"poetry")</f>
        <v>poetry</v>
      </c>
      <c r="AK2251" s="49"/>
      <c r="AL2251" s="49"/>
      <c r="AM2251" s="49"/>
      <c r="AN2251" s="52" t="str">
        <f t="shared" si="5"/>
        <v>entirely,</v>
      </c>
    </row>
    <row r="2252">
      <c r="A2252" s="51"/>
      <c r="B2252" s="50" t="s">
        <v>3606</v>
      </c>
      <c r="C2252" s="50" t="s">
        <v>6631</v>
      </c>
      <c r="D2252" s="49" t="str">
        <f>IFERROR(__xludf.DUMMYFUNCTION("""COMPUTED_VALUE"""),"inspiration")</f>
        <v>inspiration</v>
      </c>
      <c r="E2252" s="49"/>
      <c r="F2252" s="49"/>
      <c r="G2252" s="49"/>
      <c r="H2252" s="54" t="str">
        <f t="shared" si="1"/>
        <v>unique,</v>
      </c>
      <c r="I2252" s="50"/>
      <c r="J2252" s="50" t="s">
        <v>7499</v>
      </c>
      <c r="K2252" s="50" t="s">
        <v>277</v>
      </c>
      <c r="L2252" s="49"/>
      <c r="M2252" s="49"/>
      <c r="N2252" s="49"/>
      <c r="O2252" s="49"/>
      <c r="P2252" s="49" t="str">
        <f t="shared" si="2"/>
        <v>en,</v>
      </c>
      <c r="Q2252" s="49"/>
      <c r="R2252" s="50" t="s">
        <v>5282</v>
      </c>
      <c r="S2252" s="55" t="s">
        <v>6690</v>
      </c>
      <c r="T2252" s="49"/>
      <c r="U2252" s="49"/>
      <c r="V2252" s="49"/>
      <c r="W2252" s="49"/>
      <c r="X2252" s="49" t="str">
        <f t="shared" si="3"/>
        <v>sunshine,</v>
      </c>
      <c r="Y2252" s="49"/>
      <c r="Z2252" s="1" t="s">
        <v>4421</v>
      </c>
      <c r="AA2252" s="1" t="s">
        <v>5439</v>
      </c>
      <c r="AB2252" s="49"/>
      <c r="AC2252" s="49"/>
      <c r="AD2252" s="49"/>
      <c r="AE2252" s="49"/>
      <c r="AF2252" s="49" t="str">
        <f t="shared" si="4"/>
        <v>picked,</v>
      </c>
      <c r="AG2252" s="49"/>
      <c r="AH2252" s="1" t="s">
        <v>3500</v>
      </c>
      <c r="AI2252" s="1" t="s">
        <v>1565</v>
      </c>
      <c r="AJ2252" s="6" t="str">
        <f>IFERROR(__xludf.DUMMYFUNCTION("""COMPUTED_VALUE"""),"jacket")</f>
        <v>jacket</v>
      </c>
      <c r="AK2252" s="49"/>
      <c r="AL2252" s="49"/>
      <c r="AM2252" s="49"/>
      <c r="AN2252" s="52" t="str">
        <f t="shared" si="5"/>
        <v>brief,</v>
      </c>
    </row>
    <row r="2253">
      <c r="A2253" s="51"/>
      <c r="B2253" s="50" t="s">
        <v>2756</v>
      </c>
      <c r="C2253" s="50" t="s">
        <v>1911</v>
      </c>
      <c r="D2253" s="49" t="str">
        <f>IFERROR(__xludf.DUMMYFUNCTION("""COMPUTED_VALUE"""),"category")</f>
        <v>category</v>
      </c>
      <c r="E2253" s="49"/>
      <c r="F2253" s="49"/>
      <c r="G2253" s="49"/>
      <c r="H2253" s="54" t="str">
        <f t="shared" si="1"/>
        <v>minute,</v>
      </c>
      <c r="I2253" s="50"/>
      <c r="J2253" s="50" t="s">
        <v>4351</v>
      </c>
      <c r="K2253" s="50" t="s">
        <v>3891</v>
      </c>
      <c r="L2253" s="49"/>
      <c r="M2253" s="49"/>
      <c r="N2253" s="49"/>
      <c r="O2253" s="49"/>
      <c r="P2253" s="49" t="str">
        <f t="shared" si="2"/>
        <v>mixture,</v>
      </c>
      <c r="Q2253" s="49"/>
      <c r="R2253" s="50" t="s">
        <v>7547</v>
      </c>
      <c r="S2253" s="55" t="s">
        <v>1334</v>
      </c>
      <c r="T2253" s="49"/>
      <c r="U2253" s="49"/>
      <c r="V2253" s="49"/>
      <c r="W2253" s="49"/>
      <c r="X2253" s="49" t="str">
        <f t="shared" si="3"/>
        <v>orchestra,</v>
      </c>
      <c r="Y2253" s="49"/>
      <c r="Z2253" s="1" t="s">
        <v>5126</v>
      </c>
      <c r="AA2253" s="1" t="s">
        <v>5441</v>
      </c>
      <c r="AB2253" s="49"/>
      <c r="AC2253" s="49"/>
      <c r="AD2253" s="49"/>
      <c r="AE2253" s="49"/>
      <c r="AF2253" s="49" t="str">
        <f t="shared" si="4"/>
        <v>sword,</v>
      </c>
      <c r="AG2253" s="49"/>
      <c r="AH2253" s="1" t="s">
        <v>5167</v>
      </c>
      <c r="AI2253" s="1" t="s">
        <v>4786</v>
      </c>
      <c r="AJ2253" s="6" t="str">
        <f>IFERROR(__xludf.DUMMYFUNCTION("""COMPUTED_VALUE"""),"writes")</f>
        <v>writes</v>
      </c>
      <c r="AK2253" s="49"/>
      <c r="AL2253" s="49"/>
      <c r="AM2253" s="49"/>
      <c r="AN2253" s="52" t="str">
        <f t="shared" si="5"/>
        <v>closing,</v>
      </c>
    </row>
    <row r="2254">
      <c r="A2254" s="51"/>
      <c r="B2254" s="50" t="s">
        <v>4507</v>
      </c>
      <c r="C2254" s="50" t="s">
        <v>6632</v>
      </c>
      <c r="D2254" s="49" t="str">
        <f>IFERROR(__xludf.DUMMYFUNCTION("""COMPUTED_VALUE"""),"recognize")</f>
        <v>recognize</v>
      </c>
      <c r="E2254" s="49"/>
      <c r="F2254" s="49"/>
      <c r="G2254" s="49"/>
      <c r="H2254" s="54" t="str">
        <f t="shared" si="1"/>
        <v>pull,</v>
      </c>
      <c r="I2254" s="50"/>
      <c r="J2254" s="50" t="s">
        <v>4614</v>
      </c>
      <c r="K2254" s="50" t="s">
        <v>4965</v>
      </c>
      <c r="L2254" s="49"/>
      <c r="M2254" s="49"/>
      <c r="N2254" s="49"/>
      <c r="O2254" s="49"/>
      <c r="P2254" s="49" t="str">
        <f t="shared" si="2"/>
        <v>glory,</v>
      </c>
      <c r="Q2254" s="49"/>
      <c r="R2254" s="50" t="s">
        <v>5419</v>
      </c>
      <c r="S2254" s="55" t="s">
        <v>3709</v>
      </c>
      <c r="T2254" s="49"/>
      <c r="U2254" s="49"/>
      <c r="V2254" s="49"/>
      <c r="W2254" s="49"/>
      <c r="X2254" s="49" t="str">
        <f t="shared" si="3"/>
        <v>labeled,</v>
      </c>
      <c r="Y2254" s="49"/>
      <c r="Z2254" s="1" t="s">
        <v>1116</v>
      </c>
      <c r="AA2254" s="1" t="s">
        <v>1485</v>
      </c>
      <c r="AB2254" s="49"/>
      <c r="AC2254" s="49"/>
      <c r="AD2254" s="49"/>
      <c r="AE2254" s="49"/>
      <c r="AF2254" s="49" t="str">
        <f t="shared" si="4"/>
        <v>history,</v>
      </c>
      <c r="AG2254" s="49"/>
      <c r="AH2254" s="1" t="s">
        <v>3788</v>
      </c>
      <c r="AI2254" s="1" t="s">
        <v>3651</v>
      </c>
      <c r="AJ2254" s="6" t="str">
        <f>IFERROR(__xludf.DUMMYFUNCTION("""COMPUTED_VALUE"""),"eventually")</f>
        <v>eventually</v>
      </c>
      <c r="AK2254" s="49"/>
      <c r="AL2254" s="49"/>
      <c r="AM2254" s="49"/>
      <c r="AN2254" s="52" t="str">
        <f t="shared" si="5"/>
        <v>carries,</v>
      </c>
    </row>
    <row r="2255">
      <c r="A2255" s="51"/>
      <c r="B2255" s="50" t="s">
        <v>2954</v>
      </c>
      <c r="C2255" s="50" t="s">
        <v>4725</v>
      </c>
      <c r="D2255" s="49" t="str">
        <f>IFERROR(__xludf.DUMMYFUNCTION("""COMPUTED_VALUE"""),"artists")</f>
        <v>artists</v>
      </c>
      <c r="E2255" s="49"/>
      <c r="F2255" s="49"/>
      <c r="G2255" s="49"/>
      <c r="H2255" s="54" t="str">
        <f t="shared" si="1"/>
        <v>settle,</v>
      </c>
      <c r="I2255" s="50"/>
      <c r="J2255" s="50" t="s">
        <v>4243</v>
      </c>
      <c r="K2255" s="50" t="s">
        <v>1407</v>
      </c>
      <c r="L2255" s="49"/>
      <c r="M2255" s="49"/>
      <c r="N2255" s="49"/>
      <c r="O2255" s="49"/>
      <c r="P2255" s="49" t="str">
        <f t="shared" si="2"/>
        <v>insurance,</v>
      </c>
      <c r="Q2255" s="49"/>
      <c r="R2255" s="50" t="s">
        <v>3465</v>
      </c>
      <c r="S2255" s="55" t="s">
        <v>3710</v>
      </c>
      <c r="T2255" s="49"/>
      <c r="U2255" s="49"/>
      <c r="V2255" s="49"/>
      <c r="W2255" s="49"/>
      <c r="X2255" s="49" t="str">
        <f t="shared" si="3"/>
        <v>span,</v>
      </c>
      <c r="Y2255" s="49"/>
      <c r="Z2255" s="1" t="s">
        <v>2930</v>
      </c>
      <c r="AA2255" s="1" t="s">
        <v>5443</v>
      </c>
      <c r="AB2255" s="49"/>
      <c r="AC2255" s="49"/>
      <c r="AD2255" s="49"/>
      <c r="AE2255" s="49"/>
      <c r="AF2255" s="49" t="str">
        <f t="shared" si="4"/>
        <v>resemble,</v>
      </c>
      <c r="AG2255" s="49"/>
      <c r="AH2255" s="1" t="s">
        <v>5180</v>
      </c>
      <c r="AI2255" s="1" t="s">
        <v>6691</v>
      </c>
      <c r="AJ2255" s="6" t="str">
        <f>IFERROR(__xludf.DUMMYFUNCTION("""COMPUTED_VALUE"""),"rival")</f>
        <v>rival</v>
      </c>
      <c r="AK2255" s="49"/>
      <c r="AL2255" s="49"/>
      <c r="AM2255" s="49"/>
      <c r="AN2255" s="52" t="str">
        <f t="shared" si="5"/>
        <v>design,</v>
      </c>
    </row>
    <row r="2256">
      <c r="A2256" s="51"/>
      <c r="B2256" s="50" t="s">
        <v>3557</v>
      </c>
      <c r="C2256" s="50" t="s">
        <v>3085</v>
      </c>
      <c r="D2256" s="49" t="str">
        <f>IFERROR(__xludf.DUMMYFUNCTION("""COMPUTED_VALUE"""),"mortal")</f>
        <v>mortal</v>
      </c>
      <c r="E2256" s="49"/>
      <c r="F2256" s="49"/>
      <c r="G2256" s="49"/>
      <c r="H2256" s="54" t="str">
        <f t="shared" si="1"/>
        <v>celebrity,</v>
      </c>
      <c r="I2256" s="50"/>
      <c r="J2256" s="50" t="s">
        <v>2753</v>
      </c>
      <c r="K2256" s="50" t="s">
        <v>1412</v>
      </c>
      <c r="L2256" s="49"/>
      <c r="M2256" s="49"/>
      <c r="N2256" s="49"/>
      <c r="O2256" s="49"/>
      <c r="P2256" s="49" t="str">
        <f t="shared" si="2"/>
        <v>rely,</v>
      </c>
      <c r="Q2256" s="49"/>
      <c r="R2256" s="50" t="s">
        <v>7548</v>
      </c>
      <c r="S2256" s="55" t="s">
        <v>262</v>
      </c>
      <c r="T2256" s="49"/>
      <c r="U2256" s="49"/>
      <c r="V2256" s="49"/>
      <c r="W2256" s="49"/>
      <c r="X2256" s="49" t="str">
        <f t="shared" si="3"/>
        <v>cu,</v>
      </c>
      <c r="Y2256" s="49"/>
      <c r="Z2256" s="1" t="s">
        <v>5903</v>
      </c>
      <c r="AA2256" s="1" t="s">
        <v>4468</v>
      </c>
      <c r="AB2256" s="49"/>
      <c r="AC2256" s="49"/>
      <c r="AD2256" s="49"/>
      <c r="AE2256" s="49"/>
      <c r="AF2256" s="49" t="str">
        <f t="shared" si="4"/>
        <v>pre,</v>
      </c>
      <c r="AG2256" s="49"/>
      <c r="AH2256" s="1" t="s">
        <v>5811</v>
      </c>
      <c r="AI2256" s="1" t="s">
        <v>6692</v>
      </c>
      <c r="AJ2256" s="6" t="str">
        <f>IFERROR(__xludf.DUMMYFUNCTION("""COMPUTED_VALUE"""),"individual")</f>
        <v>individual</v>
      </c>
      <c r="AK2256" s="49"/>
      <c r="AL2256" s="49"/>
      <c r="AM2256" s="49"/>
      <c r="AN2256" s="52" t="str">
        <f t="shared" si="5"/>
        <v>winner,</v>
      </c>
    </row>
    <row r="2257">
      <c r="A2257" s="51"/>
      <c r="B2257" s="50" t="s">
        <v>2625</v>
      </c>
      <c r="C2257" s="50" t="s">
        <v>3081</v>
      </c>
      <c r="D2257" s="49" t="str">
        <f>IFERROR(__xludf.DUMMYFUNCTION("""COMPUTED_VALUE"""),"opportunities")</f>
        <v>opportunities</v>
      </c>
      <c r="E2257" s="49"/>
      <c r="F2257" s="49"/>
      <c r="G2257" s="49"/>
      <c r="H2257" s="54" t="str">
        <f t="shared" si="1"/>
        <v>resist,</v>
      </c>
      <c r="I2257" s="50"/>
      <c r="J2257" s="50" t="s">
        <v>2110</v>
      </c>
      <c r="K2257" s="50" t="s">
        <v>922</v>
      </c>
      <c r="L2257" s="49"/>
      <c r="M2257" s="49"/>
      <c r="N2257" s="49"/>
      <c r="O2257" s="49"/>
      <c r="P2257" s="49" t="str">
        <f t="shared" si="2"/>
        <v>substances,</v>
      </c>
      <c r="Q2257" s="49"/>
      <c r="R2257" s="50" t="s">
        <v>7549</v>
      </c>
      <c r="S2257" s="55" t="s">
        <v>4820</v>
      </c>
      <c r="T2257" s="49"/>
      <c r="U2257" s="49"/>
      <c r="V2257" s="49"/>
      <c r="W2257" s="49"/>
      <c r="X2257" s="49" t="str">
        <f t="shared" si="3"/>
        <v>ar,</v>
      </c>
      <c r="Y2257" s="49"/>
      <c r="Z2257" s="1" t="s">
        <v>6303</v>
      </c>
      <c r="AA2257" s="1">
        <v>295.0</v>
      </c>
      <c r="AB2257" s="49"/>
      <c r="AC2257" s="49"/>
      <c r="AD2257" s="49"/>
      <c r="AE2257" s="49"/>
      <c r="AF2257" s="49" t="str">
        <f t="shared" si="4"/>
        <v>answers,</v>
      </c>
      <c r="AG2257" s="49"/>
      <c r="AH2257" s="1" t="s">
        <v>5048</v>
      </c>
      <c r="AI2257" s="1" t="s">
        <v>3694</v>
      </c>
      <c r="AJ2257" s="6" t="str">
        <f>IFERROR(__xludf.DUMMYFUNCTION("""COMPUTED_VALUE"""),"folk")</f>
        <v>folk</v>
      </c>
      <c r="AK2257" s="49"/>
      <c r="AL2257" s="49"/>
      <c r="AM2257" s="49"/>
      <c r="AN2257" s="52" t="str">
        <f t="shared" si="5"/>
        <v>photography,</v>
      </c>
    </row>
    <row r="2258">
      <c r="A2258" s="51"/>
      <c r="B2258" s="50" t="s">
        <v>3989</v>
      </c>
      <c r="C2258" s="50" t="s">
        <v>6693</v>
      </c>
      <c r="D2258" s="49" t="str">
        <f>IFERROR(__xludf.DUMMYFUNCTION("""COMPUTED_VALUE"""),"intent")</f>
        <v>intent</v>
      </c>
      <c r="E2258" s="49"/>
      <c r="F2258" s="49"/>
      <c r="G2258" s="49"/>
      <c r="H2258" s="54" t="str">
        <f t="shared" si="1"/>
        <v>frank,</v>
      </c>
      <c r="I2258" s="50"/>
      <c r="J2258" s="50" t="s">
        <v>2970</v>
      </c>
      <c r="K2258" s="50">
        <v>51.0</v>
      </c>
      <c r="L2258" s="49"/>
      <c r="M2258" s="49"/>
      <c r="N2258" s="49"/>
      <c r="O2258" s="49"/>
      <c r="P2258" s="49" t="str">
        <f t="shared" si="2"/>
        <v>imaginative,</v>
      </c>
      <c r="Q2258" s="49"/>
      <c r="R2258" s="50" t="s">
        <v>945</v>
      </c>
      <c r="S2258" s="55" t="s">
        <v>3275</v>
      </c>
      <c r="T2258" s="49"/>
      <c r="U2258" s="49"/>
      <c r="V2258" s="49"/>
      <c r="W2258" s="49"/>
      <c r="X2258" s="49" t="str">
        <f t="shared" si="3"/>
        <v>structured,</v>
      </c>
      <c r="Y2258" s="49"/>
      <c r="Z2258" s="1" t="s">
        <v>3560</v>
      </c>
      <c r="AA2258" s="1" t="s">
        <v>4927</v>
      </c>
      <c r="AB2258" s="49"/>
      <c r="AC2258" s="49"/>
      <c r="AD2258" s="49"/>
      <c r="AE2258" s="49"/>
      <c r="AF2258" s="49" t="str">
        <f t="shared" si="4"/>
        <v>skin,</v>
      </c>
      <c r="AG2258" s="49"/>
      <c r="AH2258" s="1" t="s">
        <v>6653</v>
      </c>
      <c r="AI2258" s="1" t="s">
        <v>6694</v>
      </c>
      <c r="AJ2258" s="6" t="str">
        <f>IFERROR(__xludf.DUMMYFUNCTION("""COMPUTED_VALUE"""),"gates")</f>
        <v>gates</v>
      </c>
      <c r="AK2258" s="49"/>
      <c r="AL2258" s="49"/>
      <c r="AM2258" s="49"/>
      <c r="AN2258" s="52" t="str">
        <f t="shared" si="5"/>
        <v>luck,</v>
      </c>
    </row>
    <row r="2259">
      <c r="A2259" s="51"/>
      <c r="B2259" s="50" t="s">
        <v>7013</v>
      </c>
      <c r="C2259" s="50" t="s">
        <v>5106</v>
      </c>
      <c r="D2259" s="49" t="str">
        <f>IFERROR(__xludf.DUMMYFUNCTION("""COMPUTED_VALUE"""),"swear")</f>
        <v>swear</v>
      </c>
      <c r="E2259" s="49"/>
      <c r="F2259" s="49"/>
      <c r="G2259" s="49"/>
      <c r="H2259" s="54" t="str">
        <f t="shared" si="1"/>
        <v>discovered,</v>
      </c>
      <c r="I2259" s="50"/>
      <c r="J2259" s="50" t="s">
        <v>1897</v>
      </c>
      <c r="K2259" s="50" t="s">
        <v>3900</v>
      </c>
      <c r="L2259" s="49"/>
      <c r="M2259" s="49"/>
      <c r="N2259" s="49"/>
      <c r="O2259" s="49"/>
      <c r="P2259" s="49" t="str">
        <f t="shared" si="2"/>
        <v>thoughtful,</v>
      </c>
      <c r="Q2259" s="49"/>
      <c r="R2259" s="50" t="s">
        <v>1993</v>
      </c>
      <c r="S2259" s="55" t="s">
        <v>2971</v>
      </c>
      <c r="T2259" s="49"/>
      <c r="U2259" s="49"/>
      <c r="V2259" s="49"/>
      <c r="W2259" s="49"/>
      <c r="X2259" s="49" t="str">
        <f t="shared" si="3"/>
        <v>significantly,</v>
      </c>
      <c r="Y2259" s="49"/>
      <c r="Z2259" s="1" t="s">
        <v>2712</v>
      </c>
      <c r="AA2259" s="1">
        <v>1958.0</v>
      </c>
      <c r="AB2259" s="49"/>
      <c r="AC2259" s="49"/>
      <c r="AD2259" s="49"/>
      <c r="AE2259" s="49"/>
      <c r="AF2259" s="49" t="str">
        <f t="shared" si="4"/>
        <v>competent,</v>
      </c>
      <c r="AG2259" s="49"/>
      <c r="AH2259" s="1" t="s">
        <v>4955</v>
      </c>
      <c r="AI2259" s="1" t="s">
        <v>2550</v>
      </c>
      <c r="AJ2259" s="6" t="str">
        <f>IFERROR(__xludf.DUMMYFUNCTION("""COMPUTED_VALUE"""),"weird")</f>
        <v>weird</v>
      </c>
      <c r="AK2259" s="49"/>
      <c r="AL2259" s="49"/>
      <c r="AM2259" s="49"/>
      <c r="AN2259" s="52" t="str">
        <f t="shared" si="5"/>
        <v>plant,</v>
      </c>
    </row>
    <row r="2260">
      <c r="A2260" s="51"/>
      <c r="B2260" s="50" t="s">
        <v>835</v>
      </c>
      <c r="C2260" s="50" t="s">
        <v>6633</v>
      </c>
      <c r="D2260" s="49" t="str">
        <f>IFERROR(__xludf.DUMMYFUNCTION("""COMPUTED_VALUE"""),"invasion")</f>
        <v>invasion</v>
      </c>
      <c r="E2260" s="49"/>
      <c r="F2260" s="49"/>
      <c r="G2260" s="49"/>
      <c r="H2260" s="54" t="str">
        <f t="shared" si="1"/>
        <v>powers,</v>
      </c>
      <c r="I2260" s="50"/>
      <c r="J2260" s="50" t="s">
        <v>5021</v>
      </c>
      <c r="K2260" s="50" t="s">
        <v>3903</v>
      </c>
      <c r="L2260" s="49"/>
      <c r="M2260" s="49"/>
      <c r="N2260" s="49"/>
      <c r="O2260" s="49"/>
      <c r="P2260" s="49" t="str">
        <f t="shared" si="2"/>
        <v>utter,</v>
      </c>
      <c r="Q2260" s="49"/>
      <c r="R2260" s="50" t="s">
        <v>6612</v>
      </c>
      <c r="S2260" s="55">
        <v>1899.0</v>
      </c>
      <c r="T2260" s="49"/>
      <c r="U2260" s="49"/>
      <c r="V2260" s="49"/>
      <c r="W2260" s="49"/>
      <c r="X2260" s="49" t="str">
        <f t="shared" si="3"/>
        <v>personnel,</v>
      </c>
      <c r="Y2260" s="49"/>
      <c r="Z2260" s="1" t="s">
        <v>1734</v>
      </c>
      <c r="AA2260" s="1" t="s">
        <v>504</v>
      </c>
      <c r="AB2260" s="49"/>
      <c r="AC2260" s="49"/>
      <c r="AD2260" s="49"/>
      <c r="AE2260" s="49"/>
      <c r="AF2260" s="49" t="str">
        <f t="shared" si="4"/>
        <v>share,</v>
      </c>
      <c r="AG2260" s="49"/>
      <c r="AH2260" s="1" t="s">
        <v>2706</v>
      </c>
      <c r="AI2260" s="1" t="s">
        <v>3173</v>
      </c>
      <c r="AJ2260" s="6" t="str">
        <f>IFERROR(__xludf.DUMMYFUNCTION("""COMPUTED_VALUE"""),"demands")</f>
        <v>demands</v>
      </c>
      <c r="AK2260" s="49"/>
      <c r="AL2260" s="49"/>
      <c r="AM2260" s="49"/>
      <c r="AN2260" s="52" t="str">
        <f t="shared" si="5"/>
        <v>growth,</v>
      </c>
    </row>
    <row r="2261">
      <c r="A2261" s="51"/>
      <c r="B2261" s="50" t="s">
        <v>3303</v>
      </c>
      <c r="C2261" s="50" t="s">
        <v>876</v>
      </c>
      <c r="D2261" s="49" t="str">
        <f>IFERROR(__xludf.DUMMYFUNCTION("""COMPUTED_VALUE"""),"breaks")</f>
        <v>breaks</v>
      </c>
      <c r="E2261" s="49"/>
      <c r="F2261" s="49"/>
      <c r="G2261" s="49"/>
      <c r="H2261" s="54" t="str">
        <f t="shared" si="1"/>
        <v>writings,</v>
      </c>
      <c r="I2261" s="50"/>
      <c r="J2261" s="50" t="s">
        <v>468</v>
      </c>
      <c r="K2261" s="50" t="s">
        <v>4972</v>
      </c>
      <c r="L2261" s="49"/>
      <c r="M2261" s="49"/>
      <c r="N2261" s="49"/>
      <c r="O2261" s="49"/>
      <c r="P2261" s="49" t="str">
        <f t="shared" si="2"/>
        <v>meaningful,</v>
      </c>
      <c r="Q2261" s="49"/>
      <c r="R2261" s="50" t="s">
        <v>6044</v>
      </c>
      <c r="S2261" s="55" t="s">
        <v>6695</v>
      </c>
      <c r="T2261" s="49"/>
      <c r="U2261" s="49"/>
      <c r="V2261" s="49"/>
      <c r="W2261" s="49"/>
      <c r="X2261" s="49" t="str">
        <f t="shared" si="3"/>
        <v>conducted,</v>
      </c>
      <c r="Y2261" s="49"/>
      <c r="Z2261" s="1" t="s">
        <v>2015</v>
      </c>
      <c r="AA2261" s="1" t="s">
        <v>2651</v>
      </c>
      <c r="AB2261" s="49"/>
      <c r="AC2261" s="49"/>
      <c r="AD2261" s="49"/>
      <c r="AE2261" s="49"/>
      <c r="AF2261" s="49" t="str">
        <f t="shared" si="4"/>
        <v>goofy,</v>
      </c>
      <c r="AG2261" s="49"/>
      <c r="AH2261" s="1" t="s">
        <v>4873</v>
      </c>
      <c r="AI2261" s="1">
        <v>500.0</v>
      </c>
      <c r="AJ2261" s="6" t="str">
        <f>IFERROR(__xludf.DUMMYFUNCTION("""COMPUTED_VALUE"""),"issues")</f>
        <v>issues</v>
      </c>
      <c r="AK2261" s="49"/>
      <c r="AL2261" s="49"/>
      <c r="AM2261" s="49"/>
      <c r="AN2261" s="52" t="str">
        <f t="shared" si="5"/>
        <v>benefit,</v>
      </c>
    </row>
    <row r="2262">
      <c r="A2262" s="51"/>
      <c r="B2262" s="50" t="s">
        <v>4371</v>
      </c>
      <c r="C2262" s="50" t="s">
        <v>6634</v>
      </c>
      <c r="D2262" s="49" t="str">
        <f>IFERROR(__xludf.DUMMYFUNCTION("""COMPUTED_VALUE"""),"design")</f>
        <v>design</v>
      </c>
      <c r="E2262" s="49"/>
      <c r="F2262" s="49"/>
      <c r="G2262" s="49"/>
      <c r="H2262" s="54" t="str">
        <f t="shared" si="1"/>
        <v>healing,</v>
      </c>
      <c r="I2262" s="50"/>
      <c r="J2262" s="50" t="s">
        <v>5043</v>
      </c>
      <c r="K2262" s="50" t="s">
        <v>4940</v>
      </c>
      <c r="L2262" s="49"/>
      <c r="M2262" s="49"/>
      <c r="N2262" s="49"/>
      <c r="O2262" s="49"/>
      <c r="P2262" s="49" t="str">
        <f t="shared" si="2"/>
        <v>michel,</v>
      </c>
      <c r="Q2262" s="49"/>
      <c r="R2262" s="50" t="s">
        <v>1340</v>
      </c>
      <c r="S2262" s="55" t="s">
        <v>5477</v>
      </c>
      <c r="T2262" s="49"/>
      <c r="U2262" s="49"/>
      <c r="V2262" s="49"/>
      <c r="W2262" s="49"/>
      <c r="X2262" s="49" t="str">
        <f t="shared" si="3"/>
        <v>bracing,</v>
      </c>
      <c r="Y2262" s="49"/>
      <c r="Z2262" s="1" t="s">
        <v>819</v>
      </c>
      <c r="AA2262" s="1" t="s">
        <v>2655</v>
      </c>
      <c r="AB2262" s="49"/>
      <c r="AC2262" s="49"/>
      <c r="AD2262" s="49"/>
      <c r="AE2262" s="49"/>
      <c r="AF2262" s="49" t="str">
        <f t="shared" si="4"/>
        <v>territory,</v>
      </c>
      <c r="AG2262" s="49"/>
      <c r="AH2262" s="1" t="s">
        <v>7550</v>
      </c>
      <c r="AI2262" s="1" t="s">
        <v>3260</v>
      </c>
      <c r="AJ2262" s="6" t="str">
        <f>IFERROR(__xludf.DUMMYFUNCTION("""COMPUTED_VALUE"""),"convinced")</f>
        <v>convinced</v>
      </c>
      <c r="AK2262" s="49"/>
      <c r="AL2262" s="49"/>
      <c r="AM2262" s="49"/>
      <c r="AN2262" s="52" t="str">
        <f t="shared" si="5"/>
        <v>alexander,</v>
      </c>
    </row>
    <row r="2263">
      <c r="A2263" s="51"/>
      <c r="B2263" s="50" t="s">
        <v>5956</v>
      </c>
      <c r="C2263" s="50" t="s">
        <v>3088</v>
      </c>
      <c r="D2263" s="49" t="str">
        <f>IFERROR(__xludf.DUMMYFUNCTION("""COMPUTED_VALUE"""),"hospital")</f>
        <v>hospital</v>
      </c>
      <c r="E2263" s="49"/>
      <c r="F2263" s="49"/>
      <c r="G2263" s="49"/>
      <c r="H2263" s="54" t="str">
        <f t="shared" si="1"/>
        <v>reaching,</v>
      </c>
      <c r="I2263" s="50"/>
      <c r="J2263" s="50" t="s">
        <v>5275</v>
      </c>
      <c r="K2263" s="50" t="s">
        <v>3906</v>
      </c>
      <c r="L2263" s="49"/>
      <c r="M2263" s="49"/>
      <c r="N2263" s="49"/>
      <c r="O2263" s="49"/>
      <c r="P2263" s="49" t="str">
        <f t="shared" si="2"/>
        <v>suggests,</v>
      </c>
      <c r="Q2263" s="49"/>
      <c r="R2263" s="50" t="s">
        <v>3611</v>
      </c>
      <c r="S2263" s="55" t="s">
        <v>1346</v>
      </c>
      <c r="T2263" s="49"/>
      <c r="U2263" s="49"/>
      <c r="V2263" s="49"/>
      <c r="W2263" s="49"/>
      <c r="X2263" s="49" t="str">
        <f t="shared" si="3"/>
        <v>ache,</v>
      </c>
      <c r="Y2263" s="49"/>
      <c r="Z2263" s="1" t="s">
        <v>616</v>
      </c>
      <c r="AA2263" s="1" t="s">
        <v>4476</v>
      </c>
      <c r="AB2263" s="49"/>
      <c r="AC2263" s="49"/>
      <c r="AD2263" s="49"/>
      <c r="AE2263" s="49"/>
      <c r="AF2263" s="49" t="str">
        <f t="shared" si="4"/>
        <v>plotting,</v>
      </c>
      <c r="AG2263" s="49"/>
      <c r="AH2263" s="1" t="s">
        <v>456</v>
      </c>
      <c r="AI2263" s="1" t="s">
        <v>5307</v>
      </c>
      <c r="AJ2263" s="6" t="str">
        <f>IFERROR(__xludf.DUMMYFUNCTION("""COMPUTED_VALUE"""),"charlotte")</f>
        <v>charlotte</v>
      </c>
      <c r="AK2263" s="49"/>
      <c r="AL2263" s="49"/>
      <c r="AM2263" s="49"/>
      <c r="AN2263" s="52" t="str">
        <f t="shared" si="5"/>
        <v>literary,</v>
      </c>
    </row>
    <row r="2264">
      <c r="A2264" s="51"/>
      <c r="B2264" s="50" t="s">
        <v>1135</v>
      </c>
      <c r="C2264" s="50" t="s">
        <v>6635</v>
      </c>
      <c r="D2264" s="49" t="str">
        <f>IFERROR(__xludf.DUMMYFUNCTION("""COMPUTED_VALUE"""),"volume")</f>
        <v>volume</v>
      </c>
      <c r="E2264" s="49"/>
      <c r="F2264" s="49"/>
      <c r="G2264" s="49"/>
      <c r="H2264" s="54" t="str">
        <f t="shared" si="1"/>
        <v>kid,</v>
      </c>
      <c r="I2264" s="50"/>
      <c r="J2264" s="50" t="s">
        <v>1917</v>
      </c>
      <c r="K2264" s="50" t="s">
        <v>5448</v>
      </c>
      <c r="L2264" s="49"/>
      <c r="M2264" s="49"/>
      <c r="N2264" s="49"/>
      <c r="O2264" s="49"/>
      <c r="P2264" s="49" t="str">
        <f t="shared" si="2"/>
        <v>homosexual,</v>
      </c>
      <c r="Q2264" s="49"/>
      <c r="R2264" s="50" t="s">
        <v>2208</v>
      </c>
      <c r="S2264" s="55" t="s">
        <v>3715</v>
      </c>
      <c r="T2264" s="49"/>
      <c r="U2264" s="49"/>
      <c r="V2264" s="49"/>
      <c r="W2264" s="49"/>
      <c r="X2264" s="49" t="str">
        <f t="shared" si="3"/>
        <v>garnered,</v>
      </c>
      <c r="Y2264" s="49"/>
      <c r="Z2264" s="1" t="s">
        <v>2498</v>
      </c>
      <c r="AA2264" s="1" t="s">
        <v>4475</v>
      </c>
      <c r="AB2264" s="49"/>
      <c r="AC2264" s="49"/>
      <c r="AD2264" s="49"/>
      <c r="AE2264" s="49"/>
      <c r="AF2264" s="49" t="str">
        <f t="shared" si="4"/>
        <v>interaction,</v>
      </c>
      <c r="AG2264" s="49"/>
      <c r="AH2264" s="1" t="s">
        <v>548</v>
      </c>
      <c r="AI2264" s="1" t="s">
        <v>3701</v>
      </c>
      <c r="AJ2264" s="6" t="str">
        <f>IFERROR(__xludf.DUMMYFUNCTION("""COMPUTED_VALUE"""),"finish")</f>
        <v>finish</v>
      </c>
      <c r="AK2264" s="49"/>
      <c r="AL2264" s="49"/>
      <c r="AM2264" s="49"/>
      <c r="AN2264" s="52" t="str">
        <f t="shared" si="5"/>
        <v>south,</v>
      </c>
    </row>
    <row r="2265">
      <c r="A2265" s="51"/>
      <c r="B2265" s="50" t="s">
        <v>6091</v>
      </c>
      <c r="C2265" s="50" t="s">
        <v>6636</v>
      </c>
      <c r="D2265" s="49" t="str">
        <f>IFERROR(__xludf.DUMMYFUNCTION("""COMPUTED_VALUE"""),"setting")</f>
        <v>setting</v>
      </c>
      <c r="E2265" s="49"/>
      <c r="F2265" s="49"/>
      <c r="G2265" s="49"/>
      <c r="H2265" s="54" t="str">
        <f t="shared" si="1"/>
        <v>available,</v>
      </c>
      <c r="I2265" s="50"/>
      <c r="J2265" s="50" t="s">
        <v>786</v>
      </c>
      <c r="K2265" s="50" t="s">
        <v>2143</v>
      </c>
      <c r="L2265" s="49"/>
      <c r="M2265" s="49"/>
      <c r="N2265" s="49"/>
      <c r="O2265" s="49"/>
      <c r="P2265" s="49" t="str">
        <f t="shared" si="2"/>
        <v>dickens,</v>
      </c>
      <c r="Q2265" s="49"/>
      <c r="R2265" s="50" t="s">
        <v>2147</v>
      </c>
      <c r="S2265" s="55" t="s">
        <v>5334</v>
      </c>
      <c r="T2265" s="49"/>
      <c r="U2265" s="49"/>
      <c r="V2265" s="49"/>
      <c r="W2265" s="49"/>
      <c r="X2265" s="49" t="str">
        <f t="shared" si="3"/>
        <v>observations,</v>
      </c>
      <c r="Y2265" s="49"/>
      <c r="Z2265" s="1" t="s">
        <v>4373</v>
      </c>
      <c r="AA2265" s="1" t="s">
        <v>2659</v>
      </c>
      <c r="AB2265" s="49"/>
      <c r="AC2265" s="49"/>
      <c r="AD2265" s="49"/>
      <c r="AE2265" s="49"/>
      <c r="AF2265" s="49" t="str">
        <f t="shared" si="4"/>
        <v>crisp,</v>
      </c>
      <c r="AG2265" s="49"/>
      <c r="AH2265" s="1" t="s">
        <v>1050</v>
      </c>
      <c r="AI2265" s="1" t="s">
        <v>2885</v>
      </c>
      <c r="AJ2265" s="6" t="str">
        <f>IFERROR(__xludf.DUMMYFUNCTION("""COMPUTED_VALUE"""),"laughing")</f>
        <v>laughing</v>
      </c>
      <c r="AK2265" s="49"/>
      <c r="AL2265" s="49"/>
      <c r="AM2265" s="49"/>
      <c r="AN2265" s="52" t="str">
        <f t="shared" si="5"/>
        <v>park,</v>
      </c>
    </row>
    <row r="2266">
      <c r="A2266" s="51"/>
      <c r="B2266" s="50" t="s">
        <v>702</v>
      </c>
      <c r="C2266" s="50" t="s">
        <v>4562</v>
      </c>
      <c r="D2266" s="49" t="str">
        <f>IFERROR(__xludf.DUMMYFUNCTION("""COMPUTED_VALUE"""),"scott")</f>
        <v>scott</v>
      </c>
      <c r="E2266" s="49"/>
      <c r="F2266" s="49"/>
      <c r="G2266" s="49"/>
      <c r="H2266" s="54" t="str">
        <f t="shared" si="1"/>
        <v>food,</v>
      </c>
      <c r="I2266" s="50"/>
      <c r="J2266" s="50" t="s">
        <v>6575</v>
      </c>
      <c r="K2266" s="50" t="s">
        <v>3261</v>
      </c>
      <c r="L2266" s="49"/>
      <c r="M2266" s="49"/>
      <c r="N2266" s="49"/>
      <c r="O2266" s="49"/>
      <c r="P2266" s="49" t="str">
        <f t="shared" si="2"/>
        <v>starving,</v>
      </c>
      <c r="Q2266" s="49"/>
      <c r="R2266" s="50" t="s">
        <v>579</v>
      </c>
      <c r="S2266" s="55" t="s">
        <v>2057</v>
      </c>
      <c r="T2266" s="49"/>
      <c r="U2266" s="49"/>
      <c r="V2266" s="49"/>
      <c r="W2266" s="49"/>
      <c r="X2266" s="49" t="str">
        <f t="shared" si="3"/>
        <v>maturity,</v>
      </c>
      <c r="Y2266" s="49"/>
      <c r="Z2266" s="1" t="s">
        <v>4335</v>
      </c>
      <c r="AA2266" s="1" t="s">
        <v>2664</v>
      </c>
      <c r="AB2266" s="49"/>
      <c r="AC2266" s="49"/>
      <c r="AD2266" s="49"/>
      <c r="AE2266" s="49"/>
      <c r="AF2266" s="49" t="str">
        <f t="shared" si="4"/>
        <v>desired,</v>
      </c>
      <c r="AG2266" s="49"/>
      <c r="AH2266" s="1" t="s">
        <v>4910</v>
      </c>
      <c r="AI2266" s="1" t="s">
        <v>6696</v>
      </c>
      <c r="AJ2266" s="6" t="str">
        <f>IFERROR(__xludf.DUMMYFUNCTION("""COMPUTED_VALUE"""),"laughter")</f>
        <v>laughter</v>
      </c>
      <c r="AK2266" s="49"/>
      <c r="AL2266" s="49"/>
      <c r="AM2266" s="49"/>
      <c r="AN2266" s="52" t="str">
        <f t="shared" si="5"/>
        <v>tall,</v>
      </c>
    </row>
    <row r="2267">
      <c r="A2267" s="51"/>
      <c r="B2267" s="50" t="s">
        <v>6347</v>
      </c>
      <c r="C2267" s="50" t="s">
        <v>2555</v>
      </c>
      <c r="D2267" s="49" t="str">
        <f>IFERROR(__xludf.DUMMYFUNCTION("""COMPUTED_VALUE"""),"campbell")</f>
        <v>campbell</v>
      </c>
      <c r="E2267" s="49"/>
      <c r="F2267" s="49"/>
      <c r="G2267" s="49"/>
      <c r="H2267" s="54" t="str">
        <f t="shared" si="1"/>
        <v>waiting,</v>
      </c>
      <c r="I2267" s="50"/>
      <c r="J2267" s="50" t="s">
        <v>2693</v>
      </c>
      <c r="K2267" s="50" t="s">
        <v>3032</v>
      </c>
      <c r="L2267" s="49"/>
      <c r="M2267" s="49"/>
      <c r="N2267" s="49"/>
      <c r="O2267" s="49"/>
      <c r="P2267" s="49" t="str">
        <f t="shared" si="2"/>
        <v>pun,</v>
      </c>
      <c r="Q2267" s="49"/>
      <c r="R2267" s="50" t="s">
        <v>7055</v>
      </c>
      <c r="S2267" s="55" t="s">
        <v>1356</v>
      </c>
      <c r="T2267" s="49"/>
      <c r="U2267" s="49"/>
      <c r="V2267" s="49"/>
      <c r="W2267" s="49"/>
      <c r="X2267" s="49" t="str">
        <f t="shared" si="3"/>
        <v>variable,</v>
      </c>
      <c r="Y2267" s="49"/>
      <c r="Z2267" s="1" t="s">
        <v>4996</v>
      </c>
      <c r="AA2267" s="1" t="s">
        <v>4808</v>
      </c>
      <c r="AB2267" s="49"/>
      <c r="AC2267" s="49"/>
      <c r="AD2267" s="49"/>
      <c r="AE2267" s="49"/>
      <c r="AF2267" s="49" t="str">
        <f t="shared" si="4"/>
        <v>comfort,</v>
      </c>
      <c r="AG2267" s="49"/>
      <c r="AH2267" s="1" t="s">
        <v>6712</v>
      </c>
      <c r="AI2267" s="1" t="s">
        <v>4807</v>
      </c>
      <c r="AJ2267" s="6" t="str">
        <f>IFERROR(__xludf.DUMMYFUNCTION("""COMPUTED_VALUE"""),"dinner")</f>
        <v>dinner</v>
      </c>
      <c r="AK2267" s="49"/>
      <c r="AL2267" s="49"/>
      <c r="AM2267" s="49"/>
      <c r="AN2267" s="52" t="str">
        <f t="shared" si="5"/>
        <v>recognized,</v>
      </c>
    </row>
    <row r="2268">
      <c r="A2268" s="51"/>
      <c r="B2268" s="50" t="s">
        <v>3799</v>
      </c>
      <c r="C2268" s="50" t="s">
        <v>4564</v>
      </c>
      <c r="D2268" s="49" t="str">
        <f>IFERROR(__xludf.DUMMYFUNCTION("""COMPUTED_VALUE"""),"ideal")</f>
        <v>ideal</v>
      </c>
      <c r="E2268" s="49"/>
      <c r="F2268" s="49"/>
      <c r="G2268" s="49"/>
      <c r="H2268" s="54" t="str">
        <f t="shared" si="1"/>
        <v>supporting,</v>
      </c>
      <c r="I2268" s="50"/>
      <c r="J2268" s="50" t="s">
        <v>6324</v>
      </c>
      <c r="K2268" s="50" t="s">
        <v>1422</v>
      </c>
      <c r="L2268" s="49"/>
      <c r="M2268" s="49"/>
      <c r="N2268" s="49"/>
      <c r="O2268" s="49"/>
      <c r="P2268" s="49" t="str">
        <f t="shared" si="2"/>
        <v>per,</v>
      </c>
      <c r="Q2268" s="49"/>
      <c r="R2268" s="50" t="s">
        <v>934</v>
      </c>
      <c r="S2268" s="55" t="s">
        <v>4413</v>
      </c>
      <c r="T2268" s="49"/>
      <c r="U2268" s="49"/>
      <c r="V2268" s="49"/>
      <c r="W2268" s="49"/>
      <c r="X2268" s="49" t="str">
        <f t="shared" si="3"/>
        <v>inactive,</v>
      </c>
      <c r="Y2268" s="49"/>
      <c r="Z2268" s="1">
        <v>12.0</v>
      </c>
      <c r="AA2268" s="1" t="s">
        <v>2669</v>
      </c>
      <c r="AB2268" s="49"/>
      <c r="AC2268" s="49"/>
      <c r="AD2268" s="49"/>
      <c r="AE2268" s="49"/>
      <c r="AF2268" s="49" t="str">
        <f t="shared" si="4"/>
        <v>12,</v>
      </c>
      <c r="AG2268" s="49"/>
      <c r="AH2268" s="1" t="s">
        <v>7001</v>
      </c>
      <c r="AI2268" s="1" t="s">
        <v>4073</v>
      </c>
      <c r="AJ2268" s="6" t="str">
        <f>IFERROR(__xludf.DUMMYFUNCTION("""COMPUTED_VALUE"""),"selection")</f>
        <v>selection</v>
      </c>
      <c r="AK2268" s="49"/>
      <c r="AL2268" s="49"/>
      <c r="AM2268" s="49"/>
      <c r="AN2268" s="52" t="str">
        <f t="shared" si="5"/>
        <v>les,</v>
      </c>
    </row>
    <row r="2269">
      <c r="A2269" s="51"/>
      <c r="B2269" s="50" t="s">
        <v>2807</v>
      </c>
      <c r="C2269" s="50" t="s">
        <v>5265</v>
      </c>
      <c r="D2269" s="49" t="str">
        <f>IFERROR(__xludf.DUMMYFUNCTION("""COMPUTED_VALUE"""),"body")</f>
        <v>body</v>
      </c>
      <c r="E2269" s="49"/>
      <c r="F2269" s="49"/>
      <c r="G2269" s="49"/>
      <c r="H2269" s="54" t="str">
        <f t="shared" si="1"/>
        <v>constant,</v>
      </c>
      <c r="I2269" s="50"/>
      <c r="J2269" s="50" t="s">
        <v>6339</v>
      </c>
      <c r="K2269" s="50" t="s">
        <v>1429</v>
      </c>
      <c r="L2269" s="49"/>
      <c r="M2269" s="49"/>
      <c r="N2269" s="49"/>
      <c r="O2269" s="49"/>
      <c r="P2269" s="49" t="str">
        <f t="shared" si="2"/>
        <v>smooth,</v>
      </c>
      <c r="Q2269" s="49"/>
      <c r="R2269" s="50" t="s">
        <v>766</v>
      </c>
      <c r="S2269" s="55" t="s">
        <v>3283</v>
      </c>
      <c r="T2269" s="49"/>
      <c r="U2269" s="49"/>
      <c r="V2269" s="49"/>
      <c r="W2269" s="49"/>
      <c r="X2269" s="49" t="str">
        <f t="shared" si="3"/>
        <v>heightened,</v>
      </c>
      <c r="Y2269" s="49"/>
      <c r="Z2269" s="1" t="s">
        <v>3377</v>
      </c>
      <c r="AA2269" s="1" t="s">
        <v>1854</v>
      </c>
      <c r="AB2269" s="49"/>
      <c r="AC2269" s="49"/>
      <c r="AD2269" s="49"/>
      <c r="AE2269" s="49"/>
      <c r="AF2269" s="49" t="str">
        <f t="shared" si="4"/>
        <v>layers,</v>
      </c>
      <c r="AG2269" s="49"/>
      <c r="AH2269" s="1" t="s">
        <v>2403</v>
      </c>
      <c r="AI2269" s="1" t="s">
        <v>6688</v>
      </c>
      <c r="AJ2269" s="6" t="str">
        <f>IFERROR(__xludf.DUMMYFUNCTION("""COMPUTED_VALUE"""),"hang")</f>
        <v>hang</v>
      </c>
      <c r="AK2269" s="49"/>
      <c r="AL2269" s="49"/>
      <c r="AM2269" s="49"/>
      <c r="AN2269" s="52" t="str">
        <f t="shared" si="5"/>
        <v>impressed,</v>
      </c>
    </row>
    <row r="2270">
      <c r="A2270" s="51"/>
      <c r="B2270" s="50" t="s">
        <v>4219</v>
      </c>
      <c r="C2270" s="50" t="s">
        <v>4565</v>
      </c>
      <c r="D2270" s="49" t="str">
        <f>IFERROR(__xludf.DUMMYFUNCTION("""COMPUTED_VALUE"""),"stretch")</f>
        <v>stretch</v>
      </c>
      <c r="E2270" s="49"/>
      <c r="F2270" s="49"/>
      <c r="G2270" s="49"/>
      <c r="H2270" s="54" t="str">
        <f t="shared" si="1"/>
        <v>relegated,</v>
      </c>
      <c r="I2270" s="50"/>
      <c r="J2270" s="50" t="s">
        <v>6443</v>
      </c>
      <c r="K2270" s="50" t="s">
        <v>1095</v>
      </c>
      <c r="L2270" s="49"/>
      <c r="M2270" s="49"/>
      <c r="N2270" s="49"/>
      <c r="O2270" s="49"/>
      <c r="P2270" s="49" t="str">
        <f t="shared" si="2"/>
        <v>questionable,</v>
      </c>
      <c r="Q2270" s="49"/>
      <c r="R2270" s="50" t="s">
        <v>3415</v>
      </c>
      <c r="S2270" s="55" t="s">
        <v>3288</v>
      </c>
      <c r="T2270" s="49"/>
      <c r="U2270" s="49"/>
      <c r="V2270" s="49"/>
      <c r="W2270" s="49"/>
      <c r="X2270" s="49" t="str">
        <f t="shared" si="3"/>
        <v>rural,</v>
      </c>
      <c r="Y2270" s="49"/>
      <c r="Z2270" s="1" t="s">
        <v>3088</v>
      </c>
      <c r="AA2270" s="1" t="s">
        <v>2675</v>
      </c>
      <c r="AB2270" s="49"/>
      <c r="AC2270" s="49"/>
      <c r="AD2270" s="49"/>
      <c r="AE2270" s="49"/>
      <c r="AF2270" s="49" t="str">
        <f t="shared" si="4"/>
        <v>bag,</v>
      </c>
      <c r="AG2270" s="49"/>
      <c r="AH2270" s="1" t="s">
        <v>2142</v>
      </c>
      <c r="AI2270" s="1" t="s">
        <v>6697</v>
      </c>
      <c r="AJ2270" s="6" t="str">
        <f>IFERROR(__xludf.DUMMYFUNCTION("""COMPUTED_VALUE"""),"brand")</f>
        <v>brand</v>
      </c>
      <c r="AK2270" s="49"/>
      <c r="AL2270" s="49"/>
      <c r="AM2270" s="49"/>
      <c r="AN2270" s="52" t="str">
        <f t="shared" si="5"/>
        <v>designed,</v>
      </c>
    </row>
    <row r="2271">
      <c r="A2271" s="51"/>
      <c r="B2271" s="50" t="s">
        <v>2908</v>
      </c>
      <c r="C2271" s="50" t="s">
        <v>761</v>
      </c>
      <c r="D2271" s="49" t="str">
        <f>IFERROR(__xludf.DUMMYFUNCTION("""COMPUTED_VALUE"""),"thousands")</f>
        <v>thousands</v>
      </c>
      <c r="E2271" s="49"/>
      <c r="F2271" s="49"/>
      <c r="G2271" s="49"/>
      <c r="H2271" s="54" t="str">
        <f t="shared" si="1"/>
        <v>frustration,</v>
      </c>
      <c r="I2271" s="50"/>
      <c r="J2271" s="50" t="s">
        <v>3070</v>
      </c>
      <c r="K2271" s="50" t="s">
        <v>2151</v>
      </c>
      <c r="L2271" s="49"/>
      <c r="M2271" s="49"/>
      <c r="N2271" s="49"/>
      <c r="O2271" s="49"/>
      <c r="P2271" s="49" t="str">
        <f t="shared" si="2"/>
        <v>johnny,</v>
      </c>
      <c r="Q2271" s="49"/>
      <c r="R2271" s="50" t="s">
        <v>2169</v>
      </c>
      <c r="S2271" s="55" t="s">
        <v>3722</v>
      </c>
      <c r="T2271" s="49"/>
      <c r="U2271" s="49"/>
      <c r="V2271" s="49"/>
      <c r="W2271" s="49"/>
      <c r="X2271" s="49" t="str">
        <f t="shared" si="3"/>
        <v>weighted,</v>
      </c>
      <c r="Y2271" s="49"/>
      <c r="Z2271" s="1" t="s">
        <v>6574</v>
      </c>
      <c r="AA2271" s="1" t="s">
        <v>5451</v>
      </c>
      <c r="AB2271" s="49"/>
      <c r="AC2271" s="49"/>
      <c r="AD2271" s="49"/>
      <c r="AE2271" s="49"/>
      <c r="AF2271" s="49" t="str">
        <f t="shared" si="4"/>
        <v>sorry,</v>
      </c>
      <c r="AG2271" s="49"/>
      <c r="AH2271" s="1" t="s">
        <v>5264</v>
      </c>
      <c r="AI2271" s="1" t="s">
        <v>5315</v>
      </c>
      <c r="AJ2271" s="6" t="str">
        <f>IFERROR(__xludf.DUMMYFUNCTION("""COMPUTED_VALUE"""),"proper")</f>
        <v>proper</v>
      </c>
      <c r="AK2271" s="49"/>
      <c r="AL2271" s="49"/>
      <c r="AM2271" s="49"/>
      <c r="AN2271" s="52" t="str">
        <f t="shared" si="5"/>
        <v>disease,</v>
      </c>
    </row>
    <row r="2272">
      <c r="A2272" s="51"/>
      <c r="B2272" s="50" t="s">
        <v>2565</v>
      </c>
      <c r="C2272" s="50">
        <v>24.0</v>
      </c>
      <c r="D2272" s="49" t="str">
        <f>IFERROR(__xludf.DUMMYFUNCTION("""COMPUTED_VALUE"""),"influence")</f>
        <v>influence</v>
      </c>
      <c r="E2272" s="49"/>
      <c r="F2272" s="49"/>
      <c r="G2272" s="49"/>
      <c r="H2272" s="54" t="str">
        <f t="shared" si="1"/>
        <v>german,</v>
      </c>
      <c r="I2272" s="50"/>
      <c r="J2272" s="50" t="s">
        <v>6635</v>
      </c>
      <c r="K2272" s="50" t="s">
        <v>3076</v>
      </c>
      <c r="L2272" s="49"/>
      <c r="M2272" s="49"/>
      <c r="N2272" s="49"/>
      <c r="O2272" s="49"/>
      <c r="P2272" s="49" t="str">
        <f t="shared" si="2"/>
        <v>carrying,</v>
      </c>
      <c r="Q2272" s="49"/>
      <c r="R2272" s="50" t="s">
        <v>2744</v>
      </c>
      <c r="S2272" s="55" t="s">
        <v>4931</v>
      </c>
      <c r="T2272" s="49"/>
      <c r="U2272" s="49"/>
      <c r="V2272" s="49"/>
      <c r="W2272" s="49"/>
      <c r="X2272" s="49" t="str">
        <f t="shared" si="3"/>
        <v>square,</v>
      </c>
      <c r="Y2272" s="49"/>
      <c r="Z2272" s="1" t="s">
        <v>681</v>
      </c>
      <c r="AA2272" s="1" t="s">
        <v>1735</v>
      </c>
      <c r="AB2272" s="49"/>
      <c r="AC2272" s="49"/>
      <c r="AD2272" s="49"/>
      <c r="AE2272" s="49"/>
      <c r="AF2272" s="49" t="str">
        <f t="shared" si="4"/>
        <v>tear,</v>
      </c>
      <c r="AG2272" s="49"/>
      <c r="AH2272" s="1" t="s">
        <v>3956</v>
      </c>
      <c r="AI2272" s="1" t="s">
        <v>4812</v>
      </c>
      <c r="AJ2272" s="6" t="str">
        <f>IFERROR(__xludf.DUMMYFUNCTION("""COMPUTED_VALUE"""),"surely")</f>
        <v>surely</v>
      </c>
      <c r="AK2272" s="49"/>
      <c r="AL2272" s="49"/>
      <c r="AM2272" s="49"/>
      <c r="AN2272" s="52" t="str">
        <f t="shared" si="5"/>
        <v>common,</v>
      </c>
    </row>
    <row r="2273">
      <c r="A2273" s="51"/>
      <c r="B2273" s="50" t="s">
        <v>6471</v>
      </c>
      <c r="C2273" s="50" t="s">
        <v>2135</v>
      </c>
      <c r="D2273" s="49" t="str">
        <f>IFERROR(__xludf.DUMMYFUNCTION("""COMPUTED_VALUE"""),"theories")</f>
        <v>theories</v>
      </c>
      <c r="E2273" s="49"/>
      <c r="F2273" s="49"/>
      <c r="G2273" s="49"/>
      <c r="H2273" s="54" t="str">
        <f t="shared" si="1"/>
        <v>jewish,</v>
      </c>
      <c r="I2273" s="50"/>
      <c r="J2273" s="50" t="s">
        <v>3727</v>
      </c>
      <c r="K2273" s="50" t="s">
        <v>1101</v>
      </c>
      <c r="L2273" s="49"/>
      <c r="M2273" s="49"/>
      <c r="N2273" s="49"/>
      <c r="O2273" s="49"/>
      <c r="P2273" s="49" t="str">
        <f t="shared" si="2"/>
        <v>logical,</v>
      </c>
      <c r="Q2273" s="49"/>
      <c r="R2273" s="50" t="s">
        <v>880</v>
      </c>
      <c r="S2273" s="55" t="s">
        <v>6698</v>
      </c>
      <c r="T2273" s="49"/>
      <c r="U2273" s="49"/>
      <c r="V2273" s="49"/>
      <c r="W2273" s="49"/>
      <c r="X2273" s="49" t="str">
        <f t="shared" si="3"/>
        <v>problematic,</v>
      </c>
      <c r="Y2273" s="49"/>
      <c r="Z2273" s="1" t="s">
        <v>706</v>
      </c>
      <c r="AA2273" s="1" t="s">
        <v>5453</v>
      </c>
      <c r="AB2273" s="49"/>
      <c r="AC2273" s="49"/>
      <c r="AD2273" s="49"/>
      <c r="AE2273" s="49"/>
      <c r="AF2273" s="49" t="str">
        <f t="shared" si="4"/>
        <v>skill,</v>
      </c>
      <c r="AG2273" s="49"/>
      <c r="AH2273" s="1" t="s">
        <v>894</v>
      </c>
      <c r="AI2273" s="1" t="s">
        <v>3272</v>
      </c>
      <c r="AJ2273" s="6" t="str">
        <f>IFERROR(__xludf.DUMMYFUNCTION("""COMPUTED_VALUE"""),"September")</f>
        <v>September</v>
      </c>
      <c r="AK2273" s="49"/>
      <c r="AL2273" s="49"/>
      <c r="AM2273" s="49"/>
      <c r="AN2273" s="52" t="str">
        <f t="shared" si="5"/>
        <v>champion,</v>
      </c>
    </row>
    <row r="2274">
      <c r="A2274" s="51"/>
      <c r="B2274" s="50" t="s">
        <v>6906</v>
      </c>
      <c r="C2274" s="50" t="s">
        <v>5114</v>
      </c>
      <c r="D2274" s="49" t="str">
        <f>IFERROR(__xludf.DUMMYFUNCTION("""COMPUTED_VALUE"""),"dragged")</f>
        <v>dragged</v>
      </c>
      <c r="E2274" s="49"/>
      <c r="F2274" s="49"/>
      <c r="G2274" s="49"/>
      <c r="H2274" s="54" t="str">
        <f t="shared" si="1"/>
        <v>residents,</v>
      </c>
      <c r="I2274" s="50"/>
      <c r="J2274" s="50" t="s">
        <v>1080</v>
      </c>
      <c r="K2274" s="50" t="s">
        <v>1435</v>
      </c>
      <c r="L2274" s="49"/>
      <c r="M2274" s="49"/>
      <c r="N2274" s="49"/>
      <c r="O2274" s="49"/>
      <c r="P2274" s="49" t="str">
        <f t="shared" si="2"/>
        <v>darkly,</v>
      </c>
      <c r="Q2274" s="49"/>
      <c r="R2274" s="50" t="s">
        <v>1163</v>
      </c>
      <c r="S2274" s="55" t="s">
        <v>4836</v>
      </c>
      <c r="T2274" s="49"/>
      <c r="U2274" s="49"/>
      <c r="V2274" s="49"/>
      <c r="W2274" s="49"/>
      <c r="X2274" s="49" t="str">
        <f t="shared" si="3"/>
        <v>hartley,</v>
      </c>
      <c r="Y2274" s="49"/>
      <c r="Z2274" s="1" t="s">
        <v>6288</v>
      </c>
      <c r="AA2274" s="1" t="s">
        <v>4487</v>
      </c>
      <c r="AB2274" s="49"/>
      <c r="AC2274" s="49"/>
      <c r="AD2274" s="49"/>
      <c r="AE2274" s="49"/>
      <c r="AF2274" s="49" t="str">
        <f t="shared" si="4"/>
        <v>acted,</v>
      </c>
      <c r="AG2274" s="49"/>
      <c r="AH2274" s="1" t="s">
        <v>1905</v>
      </c>
      <c r="AI2274" s="1" t="s">
        <v>1334</v>
      </c>
      <c r="AJ2274" s="6" t="str">
        <f>IFERROR(__xludf.DUMMYFUNCTION("""COMPUTED_VALUE"""),"outside")</f>
        <v>outside</v>
      </c>
      <c r="AK2274" s="49"/>
      <c r="AL2274" s="49"/>
      <c r="AM2274" s="49"/>
      <c r="AN2274" s="52" t="str">
        <f t="shared" si="5"/>
        <v>pulled,</v>
      </c>
    </row>
    <row r="2275">
      <c r="A2275" s="51"/>
      <c r="B2275" s="50" t="s">
        <v>5095</v>
      </c>
      <c r="C2275" s="50" t="s">
        <v>4568</v>
      </c>
      <c r="D2275" s="49" t="str">
        <f>IFERROR(__xludf.DUMMYFUNCTION("""COMPUTED_VALUE"""),"divorce")</f>
        <v>divorce</v>
      </c>
      <c r="E2275" s="49"/>
      <c r="F2275" s="49"/>
      <c r="G2275" s="49"/>
      <c r="H2275" s="54" t="str">
        <f t="shared" si="1"/>
        <v>jews,</v>
      </c>
      <c r="I2275" s="50"/>
      <c r="J2275" s="50" t="s">
        <v>1010</v>
      </c>
      <c r="K2275" s="50" t="s">
        <v>134</v>
      </c>
      <c r="L2275" s="49"/>
      <c r="M2275" s="49"/>
      <c r="N2275" s="49"/>
      <c r="O2275" s="49"/>
      <c r="P2275" s="49" t="str">
        <f t="shared" si="2"/>
        <v>harmless,</v>
      </c>
      <c r="Q2275" s="49"/>
      <c r="R2275" s="50" t="s">
        <v>1301</v>
      </c>
      <c r="S2275" s="55" t="s">
        <v>3918</v>
      </c>
      <c r="T2275" s="49"/>
      <c r="U2275" s="49"/>
      <c r="V2275" s="49"/>
      <c r="W2275" s="49"/>
      <c r="X2275" s="49" t="str">
        <f t="shared" si="3"/>
        <v>performed,</v>
      </c>
      <c r="Y2275" s="49"/>
      <c r="Z2275" s="1" t="s">
        <v>4776</v>
      </c>
      <c r="AA2275" s="1" t="s">
        <v>5455</v>
      </c>
      <c r="AB2275" s="49"/>
      <c r="AC2275" s="49"/>
      <c r="AD2275" s="49"/>
      <c r="AE2275" s="49"/>
      <c r="AF2275" s="49" t="str">
        <f t="shared" si="4"/>
        <v>display,</v>
      </c>
      <c r="AG2275" s="49"/>
      <c r="AH2275" s="1" t="s">
        <v>3541</v>
      </c>
      <c r="AI2275" s="1" t="s">
        <v>3710</v>
      </c>
      <c r="AJ2275" s="6" t="str">
        <f>IFERROR(__xludf.DUMMYFUNCTION("""COMPUTED_VALUE"""),"hole")</f>
        <v>hole</v>
      </c>
      <c r="AK2275" s="49"/>
      <c r="AL2275" s="49"/>
      <c r="AM2275" s="49"/>
      <c r="AN2275" s="52" t="str">
        <f t="shared" si="5"/>
        <v>upper,</v>
      </c>
    </row>
    <row r="2276">
      <c r="A2276" s="51"/>
      <c r="B2276" s="50" t="s">
        <v>6887</v>
      </c>
      <c r="C2276" s="50" t="s">
        <v>5228</v>
      </c>
      <c r="D2276" s="49" t="str">
        <f>IFERROR(__xludf.DUMMYFUNCTION("""COMPUTED_VALUE"""),"hidden")</f>
        <v>hidden</v>
      </c>
      <c r="E2276" s="49"/>
      <c r="F2276" s="49"/>
      <c r="G2276" s="49"/>
      <c r="H2276" s="54" t="str">
        <f t="shared" si="1"/>
        <v>cafe,</v>
      </c>
      <c r="I2276" s="50"/>
      <c r="J2276" s="50" t="s">
        <v>2785</v>
      </c>
      <c r="K2276" s="50" t="s">
        <v>1441</v>
      </c>
      <c r="L2276" s="49"/>
      <c r="M2276" s="49"/>
      <c r="N2276" s="49"/>
      <c r="O2276" s="49"/>
      <c r="P2276" s="49" t="str">
        <f t="shared" si="2"/>
        <v>inspiring,</v>
      </c>
      <c r="Q2276" s="49"/>
      <c r="R2276" s="50" t="s">
        <v>2130</v>
      </c>
      <c r="S2276" s="55" t="s">
        <v>3725</v>
      </c>
      <c r="T2276" s="49"/>
      <c r="U2276" s="49"/>
      <c r="V2276" s="49"/>
      <c r="W2276" s="49"/>
      <c r="X2276" s="49" t="str">
        <f t="shared" si="3"/>
        <v>graduated,</v>
      </c>
      <c r="Y2276" s="49"/>
      <c r="Z2276" s="1" t="s">
        <v>6599</v>
      </c>
      <c r="AA2276" s="1" t="s">
        <v>5104</v>
      </c>
      <c r="AB2276" s="49"/>
      <c r="AC2276" s="49"/>
      <c r="AD2276" s="49"/>
      <c r="AE2276" s="49"/>
      <c r="AF2276" s="49" t="str">
        <f t="shared" si="4"/>
        <v>trap,</v>
      </c>
      <c r="AG2276" s="49"/>
      <c r="AH2276" s="1" t="s">
        <v>3958</v>
      </c>
      <c r="AI2276" s="1" t="s">
        <v>262</v>
      </c>
      <c r="AJ2276" s="6" t="str">
        <f>IFERROR(__xludf.DUMMYFUNCTION("""COMPUTED_VALUE"""),"faster")</f>
        <v>faster</v>
      </c>
      <c r="AK2276" s="49"/>
      <c r="AL2276" s="49"/>
      <c r="AM2276" s="49"/>
      <c r="AN2276" s="52" t="str">
        <f t="shared" si="5"/>
        <v>safe,</v>
      </c>
    </row>
    <row r="2277">
      <c r="A2277" s="51"/>
      <c r="B2277" s="50" t="s">
        <v>6732</v>
      </c>
      <c r="C2277" s="50" t="s">
        <v>3465</v>
      </c>
      <c r="D2277" s="49" t="str">
        <f>IFERROR(__xludf.DUMMYFUNCTION("""COMPUTED_VALUE"""),"buying")</f>
        <v>buying</v>
      </c>
      <c r="E2277" s="49"/>
      <c r="F2277" s="49"/>
      <c r="G2277" s="49"/>
      <c r="H2277" s="54" t="str">
        <f t="shared" si="1"/>
        <v>efficient,</v>
      </c>
      <c r="I2277" s="50"/>
      <c r="J2277" s="50" t="s">
        <v>5070</v>
      </c>
      <c r="K2277" s="50">
        <v>50.0</v>
      </c>
      <c r="L2277" s="49"/>
      <c r="M2277" s="49"/>
      <c r="N2277" s="49"/>
      <c r="O2277" s="49"/>
      <c r="P2277" s="49" t="str">
        <f t="shared" si="2"/>
        <v>sorrow,</v>
      </c>
      <c r="Q2277" s="49"/>
      <c r="R2277" s="50" t="s">
        <v>7551</v>
      </c>
      <c r="S2277" s="55" t="s">
        <v>3874</v>
      </c>
      <c r="T2277" s="49"/>
      <c r="U2277" s="49"/>
      <c r="V2277" s="49"/>
      <c r="W2277" s="49"/>
      <c r="X2277" s="49" t="str">
        <f t="shared" si="3"/>
        <v>cum,</v>
      </c>
      <c r="Y2277" s="49"/>
      <c r="Z2277" s="1" t="s">
        <v>3793</v>
      </c>
      <c r="AA2277" s="1" t="s">
        <v>5457</v>
      </c>
      <c r="AB2277" s="49"/>
      <c r="AC2277" s="49"/>
      <c r="AD2277" s="49"/>
      <c r="AE2277" s="49"/>
      <c r="AF2277" s="49" t="str">
        <f t="shared" si="4"/>
        <v>obligatory,</v>
      </c>
      <c r="AG2277" s="49"/>
      <c r="AH2277" s="1" t="s">
        <v>6925</v>
      </c>
      <c r="AI2277" s="1" t="s">
        <v>6699</v>
      </c>
      <c r="AJ2277" s="6" t="str">
        <f>IFERROR(__xludf.DUMMYFUNCTION("""COMPUTED_VALUE"""),"defense")</f>
        <v>defense</v>
      </c>
      <c r="AK2277" s="49"/>
      <c r="AL2277" s="49"/>
      <c r="AM2277" s="49"/>
      <c r="AN2277" s="52" t="str">
        <f t="shared" si="5"/>
        <v>walker,</v>
      </c>
    </row>
    <row r="2278">
      <c r="A2278" s="51"/>
      <c r="B2278" s="50" t="s">
        <v>1541</v>
      </c>
      <c r="C2278" s="50" t="s">
        <v>1716</v>
      </c>
      <c r="D2278" s="49" t="str">
        <f>IFERROR(__xludf.DUMMYFUNCTION("""COMPUTED_VALUE"""),"tickets")</f>
        <v>tickets</v>
      </c>
      <c r="E2278" s="49"/>
      <c r="F2278" s="49"/>
      <c r="G2278" s="49"/>
      <c r="H2278" s="54" t="str">
        <f t="shared" si="1"/>
        <v>single,</v>
      </c>
      <c r="I2278" s="50"/>
      <c r="J2278" s="50" t="s">
        <v>7505</v>
      </c>
      <c r="K2278" s="50" t="s">
        <v>3396</v>
      </c>
      <c r="L2278" s="49"/>
      <c r="M2278" s="49"/>
      <c r="N2278" s="49"/>
      <c r="O2278" s="49"/>
      <c r="P2278" s="49" t="str">
        <f t="shared" si="2"/>
        <v>evan,</v>
      </c>
      <c r="Q2278" s="49"/>
      <c r="R2278" s="50" t="s">
        <v>1237</v>
      </c>
      <c r="S2278" s="55" t="s">
        <v>1033</v>
      </c>
      <c r="T2278" s="49"/>
      <c r="U2278" s="49"/>
      <c r="V2278" s="49"/>
      <c r="W2278" s="49"/>
      <c r="X2278" s="49" t="str">
        <f t="shared" si="3"/>
        <v>authority,</v>
      </c>
      <c r="Y2278" s="49"/>
      <c r="Z2278" s="1" t="s">
        <v>6598</v>
      </c>
      <c r="AA2278" s="1" t="s">
        <v>5459</v>
      </c>
      <c r="AB2278" s="49"/>
      <c r="AC2278" s="49"/>
      <c r="AD2278" s="49"/>
      <c r="AE2278" s="49"/>
      <c r="AF2278" s="49" t="str">
        <f t="shared" si="4"/>
        <v>craig,</v>
      </c>
      <c r="AG2278" s="49"/>
      <c r="AH2278" s="1" t="s">
        <v>6512</v>
      </c>
      <c r="AI2278" s="1" t="s">
        <v>5314</v>
      </c>
      <c r="AJ2278" s="6" t="str">
        <f>IFERROR(__xludf.DUMMYFUNCTION("""COMPUTED_VALUE"""),"judge")</f>
        <v>judge</v>
      </c>
      <c r="AK2278" s="49"/>
      <c r="AL2278" s="49"/>
      <c r="AM2278" s="49"/>
      <c r="AN2278" s="52" t="str">
        <f t="shared" si="5"/>
        <v>daily,</v>
      </c>
    </row>
    <row r="2279">
      <c r="A2279" s="51"/>
      <c r="B2279" s="50" t="s">
        <v>7345</v>
      </c>
      <c r="C2279" s="50" t="s">
        <v>5118</v>
      </c>
      <c r="D2279" s="49" t="str">
        <f>IFERROR(__xludf.DUMMYFUNCTION("""COMPUTED_VALUE"""),"variant")</f>
        <v>variant</v>
      </c>
      <c r="E2279" s="49"/>
      <c r="F2279" s="49"/>
      <c r="G2279" s="49"/>
      <c r="H2279" s="54" t="str">
        <f t="shared" si="1"/>
        <v>jazz,</v>
      </c>
      <c r="I2279" s="50"/>
      <c r="J2279" s="50" t="s">
        <v>649</v>
      </c>
      <c r="K2279" s="50" t="s">
        <v>3919</v>
      </c>
      <c r="L2279" s="49"/>
      <c r="M2279" s="49"/>
      <c r="N2279" s="49"/>
      <c r="O2279" s="49"/>
      <c r="P2279" s="49" t="str">
        <f t="shared" si="2"/>
        <v>stylistic,</v>
      </c>
      <c r="Q2279" s="49"/>
      <c r="R2279" s="50" t="s">
        <v>5247</v>
      </c>
      <c r="S2279" s="55" t="s">
        <v>3727</v>
      </c>
      <c r="T2279" s="49"/>
      <c r="U2279" s="49"/>
      <c r="V2279" s="49"/>
      <c r="W2279" s="49"/>
      <c r="X2279" s="49" t="str">
        <f t="shared" si="3"/>
        <v>12th,</v>
      </c>
      <c r="Y2279" s="49"/>
      <c r="Z2279" s="1" t="s">
        <v>412</v>
      </c>
      <c r="AA2279" s="1" t="s">
        <v>5461</v>
      </c>
      <c r="AB2279" s="49"/>
      <c r="AC2279" s="49"/>
      <c r="AD2279" s="49"/>
      <c r="AE2279" s="49"/>
      <c r="AF2279" s="49" t="str">
        <f t="shared" si="4"/>
        <v>subtle,</v>
      </c>
      <c r="AG2279" s="49"/>
      <c r="AH2279" s="1" t="s">
        <v>2600</v>
      </c>
      <c r="AI2279" s="1" t="s">
        <v>2971</v>
      </c>
      <c r="AJ2279" s="6" t="str">
        <f>IFERROR(__xludf.DUMMYFUNCTION("""COMPUTED_VALUE"""),"knowing")</f>
        <v>knowing</v>
      </c>
      <c r="AK2279" s="49"/>
      <c r="AL2279" s="49"/>
      <c r="AM2279" s="49"/>
      <c r="AN2279" s="52" t="str">
        <f t="shared" si="5"/>
        <v>equivalent,</v>
      </c>
    </row>
    <row r="2280">
      <c r="A2280" s="51"/>
      <c r="B2280" s="50" t="s">
        <v>1580</v>
      </c>
      <c r="C2280" s="50" t="s">
        <v>3469</v>
      </c>
      <c r="D2280" s="49" t="str">
        <f>IFERROR(__xludf.DUMMYFUNCTION("""COMPUTED_VALUE"""),"department")</f>
        <v>department</v>
      </c>
      <c r="E2280" s="49"/>
      <c r="F2280" s="49"/>
      <c r="G2280" s="49"/>
      <c r="H2280" s="54" t="str">
        <f t="shared" si="1"/>
        <v>interviews,</v>
      </c>
      <c r="I2280" s="50"/>
      <c r="J2280" s="50" t="s">
        <v>5125</v>
      </c>
      <c r="K2280" s="50" t="s">
        <v>4907</v>
      </c>
      <c r="L2280" s="49"/>
      <c r="M2280" s="49"/>
      <c r="N2280" s="49"/>
      <c r="O2280" s="49"/>
      <c r="P2280" s="49" t="str">
        <f t="shared" si="2"/>
        <v>styles,</v>
      </c>
      <c r="Q2280" s="49"/>
      <c r="R2280" s="50" t="s">
        <v>1831</v>
      </c>
      <c r="S2280" s="55" t="s">
        <v>3700</v>
      </c>
      <c r="T2280" s="49"/>
      <c r="U2280" s="49"/>
      <c r="V2280" s="49"/>
      <c r="W2280" s="49"/>
      <c r="X2280" s="49" t="str">
        <f t="shared" si="3"/>
        <v>album,</v>
      </c>
      <c r="Y2280" s="49"/>
      <c r="Z2280" s="1" t="s">
        <v>6551</v>
      </c>
      <c r="AA2280" s="1" t="s">
        <v>5462</v>
      </c>
      <c r="AB2280" s="49"/>
      <c r="AC2280" s="49"/>
      <c r="AD2280" s="49"/>
      <c r="AE2280" s="49"/>
      <c r="AF2280" s="49" t="str">
        <f t="shared" si="4"/>
        <v>adequate,</v>
      </c>
      <c r="AG2280" s="49"/>
      <c r="AH2280" s="1" t="s">
        <v>2643</v>
      </c>
      <c r="AI2280" s="1" t="s">
        <v>2647</v>
      </c>
      <c r="AJ2280" s="6" t="str">
        <f>IFERROR(__xludf.DUMMYFUNCTION("""COMPUTED_VALUE"""),"strings")</f>
        <v>strings</v>
      </c>
      <c r="AK2280" s="49"/>
      <c r="AL2280" s="49"/>
      <c r="AM2280" s="49"/>
      <c r="AN2280" s="52" t="str">
        <f t="shared" si="5"/>
        <v>won,</v>
      </c>
    </row>
    <row r="2281">
      <c r="A2281" s="51"/>
      <c r="B2281" s="50" t="s">
        <v>7183</v>
      </c>
      <c r="C2281" s="50" t="s">
        <v>5001</v>
      </c>
      <c r="D2281" s="49" t="str">
        <f>IFERROR(__xludf.DUMMYFUNCTION("""COMPUTED_VALUE"""),"land")</f>
        <v>land</v>
      </c>
      <c r="E2281" s="49"/>
      <c r="F2281" s="49"/>
      <c r="G2281" s="49"/>
      <c r="H2281" s="54" t="str">
        <f t="shared" si="1"/>
        <v>michelle,</v>
      </c>
      <c r="I2281" s="50"/>
      <c r="J2281" s="50" t="s">
        <v>6920</v>
      </c>
      <c r="K2281" s="50" t="s">
        <v>2154</v>
      </c>
      <c r="L2281" s="49"/>
      <c r="M2281" s="49"/>
      <c r="N2281" s="49"/>
      <c r="O2281" s="49"/>
      <c r="P2281" s="49" t="str">
        <f t="shared" si="2"/>
        <v>intervention,</v>
      </c>
      <c r="Q2281" s="49"/>
      <c r="R2281" s="50" t="s">
        <v>5169</v>
      </c>
      <c r="S2281" s="55" t="s">
        <v>3295</v>
      </c>
      <c r="T2281" s="49"/>
      <c r="U2281" s="49"/>
      <c r="V2281" s="49"/>
      <c r="W2281" s="49"/>
      <c r="X2281" s="49" t="str">
        <f t="shared" si="3"/>
        <v>practiced,</v>
      </c>
      <c r="Y2281" s="49"/>
      <c r="Z2281" s="1" t="s">
        <v>2351</v>
      </c>
      <c r="AA2281" s="1" t="s">
        <v>4492</v>
      </c>
      <c r="AB2281" s="49"/>
      <c r="AC2281" s="49"/>
      <c r="AD2281" s="49"/>
      <c r="AE2281" s="49"/>
      <c r="AF2281" s="49" t="str">
        <f t="shared" si="4"/>
        <v>distinctive,</v>
      </c>
      <c r="AG2281" s="49"/>
      <c r="AH2281" s="1" t="s">
        <v>6160</v>
      </c>
      <c r="AI2281" s="1">
        <v>1899.0</v>
      </c>
      <c r="AJ2281" s="6" t="str">
        <f>IFERROR(__xludf.DUMMYFUNCTION("""COMPUTED_VALUE"""),"tales")</f>
        <v>tales</v>
      </c>
      <c r="AK2281" s="49"/>
      <c r="AL2281" s="49"/>
      <c r="AM2281" s="49"/>
      <c r="AN2281" s="52" t="str">
        <f t="shared" si="5"/>
        <v>bernard,</v>
      </c>
    </row>
    <row r="2282">
      <c r="A2282" s="51"/>
      <c r="B2282" s="50" t="s">
        <v>7552</v>
      </c>
      <c r="C2282" s="50" t="s">
        <v>4479</v>
      </c>
      <c r="D2282" s="49" t="str">
        <f>IFERROR(__xludf.DUMMYFUNCTION("""COMPUTED_VALUE"""),"washed")</f>
        <v>washed</v>
      </c>
      <c r="E2282" s="49"/>
      <c r="F2282" s="49"/>
      <c r="G2282" s="49"/>
      <c r="H2282" s="54" t="str">
        <f t="shared" si="1"/>
        <v>demo,</v>
      </c>
      <c r="I2282" s="50"/>
      <c r="J2282" s="50" t="s">
        <v>6447</v>
      </c>
      <c r="K2282" s="50" t="s">
        <v>1106</v>
      </c>
      <c r="L2282" s="49"/>
      <c r="M2282" s="49"/>
      <c r="N2282" s="49"/>
      <c r="O2282" s="49"/>
      <c r="P2282" s="49" t="str">
        <f t="shared" si="2"/>
        <v>com,</v>
      </c>
      <c r="Q2282" s="49"/>
      <c r="R2282" s="50" t="s">
        <v>654</v>
      </c>
      <c r="S2282" s="55" t="s">
        <v>1499</v>
      </c>
      <c r="T2282" s="49"/>
      <c r="U2282" s="49"/>
      <c r="V2282" s="49"/>
      <c r="W2282" s="49"/>
      <c r="X2282" s="49" t="str">
        <f t="shared" si="3"/>
        <v>devastating,</v>
      </c>
      <c r="Y2282" s="49"/>
      <c r="Z2282" s="1" t="s">
        <v>573</v>
      </c>
      <c r="AA2282" s="1" t="s">
        <v>4286</v>
      </c>
      <c r="AB2282" s="49"/>
      <c r="AC2282" s="49"/>
      <c r="AD2282" s="49"/>
      <c r="AE2282" s="49"/>
      <c r="AF2282" s="49" t="str">
        <f t="shared" si="4"/>
        <v>realism,</v>
      </c>
      <c r="AG2282" s="49"/>
      <c r="AH2282" s="1" t="s">
        <v>4978</v>
      </c>
      <c r="AI2282" s="1" t="s">
        <v>5969</v>
      </c>
      <c r="AJ2282" s="6" t="str">
        <f>IFERROR(__xludf.DUMMYFUNCTION("""COMPUTED_VALUE"""),"station")</f>
        <v>station</v>
      </c>
      <c r="AK2282" s="49"/>
      <c r="AL2282" s="49"/>
      <c r="AM2282" s="49"/>
      <c r="AN2282" s="52" t="str">
        <f t="shared" si="5"/>
        <v>extent,</v>
      </c>
    </row>
    <row r="2283">
      <c r="A2283" s="51"/>
      <c r="B2283" s="50" t="s">
        <v>814</v>
      </c>
      <c r="C2283" s="50" t="s">
        <v>3097</v>
      </c>
      <c r="D2283" s="49" t="str">
        <f>IFERROR(__xludf.DUMMYFUNCTION("""COMPUTED_VALUE"""),"captured")</f>
        <v>captured</v>
      </c>
      <c r="E2283" s="49"/>
      <c r="F2283" s="49"/>
      <c r="G2283" s="49"/>
      <c r="H2283" s="54" t="str">
        <f t="shared" si="1"/>
        <v>directing,</v>
      </c>
      <c r="I2283" s="50"/>
      <c r="J2283" s="50" t="s">
        <v>6990</v>
      </c>
      <c r="K2283" s="50" t="s">
        <v>5465</v>
      </c>
      <c r="L2283" s="49"/>
      <c r="M2283" s="49"/>
      <c r="N2283" s="49"/>
      <c r="O2283" s="49"/>
      <c r="P2283" s="49" t="str">
        <f t="shared" si="2"/>
        <v>maker,</v>
      </c>
      <c r="Q2283" s="49"/>
      <c r="R2283" s="50" t="s">
        <v>7553</v>
      </c>
      <c r="S2283" s="55" t="s">
        <v>3735</v>
      </c>
      <c r="T2283" s="49"/>
      <c r="U2283" s="49"/>
      <c r="V2283" s="49"/>
      <c r="W2283" s="49"/>
      <c r="X2283" s="49" t="str">
        <f t="shared" si="3"/>
        <v>eng,</v>
      </c>
      <c r="Y2283" s="49"/>
      <c r="Z2283" s="1" t="s">
        <v>2926</v>
      </c>
      <c r="AA2283" s="1" t="s">
        <v>5463</v>
      </c>
      <c r="AB2283" s="49"/>
      <c r="AC2283" s="49"/>
      <c r="AD2283" s="49"/>
      <c r="AE2283" s="49"/>
      <c r="AF2283" s="49" t="str">
        <f t="shared" si="4"/>
        <v>pow,</v>
      </c>
      <c r="AG2283" s="49"/>
      <c r="AH2283" s="1" t="s">
        <v>1530</v>
      </c>
      <c r="AI2283" s="1" t="s">
        <v>6695</v>
      </c>
      <c r="AJ2283" s="6" t="str">
        <f>IFERROR(__xludf.DUMMYFUNCTION("""COMPUTED_VALUE"""),"further")</f>
        <v>further</v>
      </c>
      <c r="AK2283" s="49"/>
      <c r="AL2283" s="49"/>
      <c r="AM2283" s="49"/>
      <c r="AN2283" s="52" t="str">
        <f t="shared" si="5"/>
        <v>stretched,</v>
      </c>
    </row>
    <row r="2284">
      <c r="A2284" s="51"/>
      <c r="B2284" s="50" t="s">
        <v>2163</v>
      </c>
      <c r="C2284" s="50" t="s">
        <v>1338</v>
      </c>
      <c r="D2284" s="49" t="str">
        <f>IFERROR(__xludf.DUMMYFUNCTION("""COMPUTED_VALUE"""),"equal")</f>
        <v>equal</v>
      </c>
      <c r="E2284" s="49"/>
      <c r="F2284" s="49"/>
      <c r="G2284" s="49"/>
      <c r="H2284" s="54" t="str">
        <f t="shared" si="1"/>
        <v>blue,</v>
      </c>
      <c r="I2284" s="50"/>
      <c r="J2284" s="50" t="s">
        <v>4034</v>
      </c>
      <c r="K2284" s="50" t="s">
        <v>4989</v>
      </c>
      <c r="L2284" s="49"/>
      <c r="M2284" s="49"/>
      <c r="N2284" s="49"/>
      <c r="O2284" s="49"/>
      <c r="P2284" s="49" t="str">
        <f t="shared" si="2"/>
        <v>revelation,</v>
      </c>
      <c r="Q2284" s="49"/>
      <c r="R2284" s="50" t="s">
        <v>7554</v>
      </c>
      <c r="S2284" s="55" t="s">
        <v>4840</v>
      </c>
      <c r="T2284" s="49"/>
      <c r="U2284" s="49"/>
      <c r="V2284" s="49"/>
      <c r="W2284" s="49"/>
      <c r="X2284" s="49" t="str">
        <f t="shared" si="3"/>
        <v>ang,</v>
      </c>
      <c r="Y2284" s="49"/>
      <c r="Z2284" s="1" t="s">
        <v>6394</v>
      </c>
      <c r="AA2284" s="1" t="s">
        <v>5466</v>
      </c>
      <c r="AB2284" s="49"/>
      <c r="AC2284" s="49"/>
      <c r="AD2284" s="49"/>
      <c r="AE2284" s="49"/>
      <c r="AF2284" s="49" t="str">
        <f t="shared" si="4"/>
        <v>terry,</v>
      </c>
      <c r="AG2284" s="49"/>
      <c r="AH2284" s="1" t="s">
        <v>5544</v>
      </c>
      <c r="AI2284" s="1" t="s">
        <v>2668</v>
      </c>
      <c r="AJ2284" s="6" t="str">
        <f>IFERROR(__xludf.DUMMYFUNCTION("""COMPUTED_VALUE"""),"via")</f>
        <v>via</v>
      </c>
      <c r="AK2284" s="49"/>
      <c r="AL2284" s="49"/>
      <c r="AM2284" s="49"/>
      <c r="AN2284" s="52" t="str">
        <f t="shared" si="5"/>
        <v>plus,</v>
      </c>
    </row>
    <row r="2285">
      <c r="A2285" s="51"/>
      <c r="B2285" s="50" t="s">
        <v>7005</v>
      </c>
      <c r="C2285" s="50" t="s">
        <v>4578</v>
      </c>
      <c r="D2285" s="49" t="str">
        <f>IFERROR(__xludf.DUMMYFUNCTION("""COMPUTED_VALUE"""),"defined")</f>
        <v>defined</v>
      </c>
      <c r="E2285" s="49"/>
      <c r="F2285" s="49"/>
      <c r="G2285" s="49"/>
      <c r="H2285" s="54" t="str">
        <f t="shared" si="1"/>
        <v>hills,</v>
      </c>
      <c r="I2285" s="50"/>
      <c r="J2285" s="50" t="s">
        <v>1604</v>
      </c>
      <c r="K2285" s="50" t="s">
        <v>2157</v>
      </c>
      <c r="L2285" s="49"/>
      <c r="M2285" s="49"/>
      <c r="N2285" s="49"/>
      <c r="O2285" s="49"/>
      <c r="P2285" s="49" t="str">
        <f t="shared" si="2"/>
        <v>partnership,</v>
      </c>
      <c r="Q2285" s="49"/>
      <c r="R2285" s="50" t="s">
        <v>1743</v>
      </c>
      <c r="S2285" s="55" t="s">
        <v>5829</v>
      </c>
      <c r="T2285" s="49"/>
      <c r="U2285" s="49"/>
      <c r="V2285" s="49"/>
      <c r="W2285" s="49"/>
      <c r="X2285" s="49" t="str">
        <f t="shared" si="3"/>
        <v>precise,</v>
      </c>
      <c r="Y2285" s="49"/>
      <c r="Z2285" s="1" t="s">
        <v>543</v>
      </c>
      <c r="AA2285" s="1" t="s">
        <v>1387</v>
      </c>
      <c r="AB2285" s="49"/>
      <c r="AC2285" s="49"/>
      <c r="AD2285" s="49"/>
      <c r="AE2285" s="49"/>
      <c r="AF2285" s="49" t="str">
        <f t="shared" si="4"/>
        <v>portrait,</v>
      </c>
      <c r="AG2285" s="49"/>
      <c r="AH2285" s="1" t="s">
        <v>6633</v>
      </c>
      <c r="AI2285" s="1" t="s">
        <v>6700</v>
      </c>
      <c r="AJ2285" s="6" t="str">
        <f>IFERROR(__xludf.DUMMYFUNCTION("""COMPUTED_VALUE"""),"heroes")</f>
        <v>heroes</v>
      </c>
      <c r="AK2285" s="49"/>
      <c r="AL2285" s="49"/>
      <c r="AM2285" s="49"/>
      <c r="AN2285" s="52" t="str">
        <f t="shared" si="5"/>
        <v>shoulder,</v>
      </c>
    </row>
    <row r="2286">
      <c r="A2286" s="51"/>
      <c r="B2286" s="50" t="s">
        <v>6410</v>
      </c>
      <c r="C2286" s="50" t="s">
        <v>5309</v>
      </c>
      <c r="D2286" s="49" t="str">
        <f>IFERROR(__xludf.DUMMYFUNCTION("""COMPUTED_VALUE"""),"handful")</f>
        <v>handful</v>
      </c>
      <c r="E2286" s="49"/>
      <c r="F2286" s="49"/>
      <c r="G2286" s="49"/>
      <c r="H2286" s="54" t="str">
        <f t="shared" si="1"/>
        <v>mysterious,</v>
      </c>
      <c r="I2286" s="50"/>
      <c r="J2286" s="50" t="s">
        <v>942</v>
      </c>
      <c r="K2286" s="50" t="s">
        <v>2161</v>
      </c>
      <c r="L2286" s="49"/>
      <c r="M2286" s="49"/>
      <c r="N2286" s="49"/>
      <c r="O2286" s="49"/>
      <c r="P2286" s="49" t="str">
        <f t="shared" si="2"/>
        <v>ambitions,</v>
      </c>
      <c r="Q2286" s="49"/>
      <c r="R2286" s="50" t="s">
        <v>7555</v>
      </c>
      <c r="S2286" s="55" t="s">
        <v>1040</v>
      </c>
      <c r="T2286" s="49"/>
      <c r="U2286" s="49"/>
      <c r="V2286" s="49"/>
      <c r="W2286" s="49"/>
      <c r="X2286" s="49" t="str">
        <f t="shared" si="3"/>
        <v>mo,</v>
      </c>
      <c r="Y2286" s="49"/>
      <c r="Z2286" s="1" t="s">
        <v>4896</v>
      </c>
      <c r="AA2286" s="1" t="s">
        <v>1507</v>
      </c>
      <c r="AB2286" s="49"/>
      <c r="AC2286" s="49"/>
      <c r="AD2286" s="49"/>
      <c r="AE2286" s="49"/>
      <c r="AF2286" s="49" t="str">
        <f t="shared" si="4"/>
        <v>losing,</v>
      </c>
      <c r="AG2286" s="49"/>
      <c r="AH2286" s="1" t="s">
        <v>6758</v>
      </c>
      <c r="AI2286" s="1" t="s">
        <v>4666</v>
      </c>
      <c r="AJ2286" s="6" t="str">
        <f>IFERROR(__xludf.DUMMYFUNCTION("""COMPUTED_VALUE"""),"london")</f>
        <v>london</v>
      </c>
      <c r="AK2286" s="49"/>
      <c r="AL2286" s="49"/>
      <c r="AM2286" s="49"/>
      <c r="AN2286" s="52" t="str">
        <f t="shared" si="5"/>
        <v>nights,</v>
      </c>
    </row>
    <row r="2287">
      <c r="A2287" s="51"/>
      <c r="B2287" s="50" t="s">
        <v>5406</v>
      </c>
      <c r="C2287" s="50" t="s">
        <v>4478</v>
      </c>
      <c r="D2287" s="49" t="str">
        <f>IFERROR(__xludf.DUMMYFUNCTION("""COMPUTED_VALUE"""),"serving")</f>
        <v>serving</v>
      </c>
      <c r="E2287" s="49"/>
      <c r="F2287" s="49"/>
      <c r="G2287" s="49"/>
      <c r="H2287" s="54" t="str">
        <f t="shared" si="1"/>
        <v>buying,</v>
      </c>
      <c r="I2287" s="50"/>
      <c r="J2287" s="50" t="s">
        <v>3558</v>
      </c>
      <c r="K2287" s="50" t="s">
        <v>1113</v>
      </c>
      <c r="L2287" s="49"/>
      <c r="M2287" s="49"/>
      <c r="N2287" s="49"/>
      <c r="O2287" s="49"/>
      <c r="P2287" s="49" t="str">
        <f t="shared" si="2"/>
        <v>modest,</v>
      </c>
      <c r="Q2287" s="49"/>
      <c r="R2287" s="50" t="s">
        <v>2664</v>
      </c>
      <c r="S2287" s="55" t="s">
        <v>1047</v>
      </c>
      <c r="T2287" s="49"/>
      <c r="U2287" s="49"/>
      <c r="V2287" s="49"/>
      <c r="W2287" s="49"/>
      <c r="X2287" s="49" t="str">
        <f t="shared" si="3"/>
        <v>telescope,</v>
      </c>
      <c r="Y2287" s="49"/>
      <c r="Z2287" s="1" t="s">
        <v>3802</v>
      </c>
      <c r="AA2287" s="1" t="s">
        <v>5469</v>
      </c>
      <c r="AB2287" s="49"/>
      <c r="AC2287" s="49"/>
      <c r="AD2287" s="49"/>
      <c r="AE2287" s="49"/>
      <c r="AF2287" s="49" t="str">
        <f t="shared" si="4"/>
        <v>patience,</v>
      </c>
      <c r="AG2287" s="49"/>
      <c r="AH2287" s="1" t="s">
        <v>3620</v>
      </c>
      <c r="AI2287" s="1" t="s">
        <v>4413</v>
      </c>
      <c r="AJ2287" s="6" t="str">
        <f>IFERROR(__xludf.DUMMYFUNCTION("""COMPUTED_VALUE"""),"depending")</f>
        <v>depending</v>
      </c>
      <c r="AK2287" s="49"/>
      <c r="AL2287" s="49"/>
      <c r="AM2287" s="49"/>
      <c r="AN2287" s="52" t="str">
        <f t="shared" si="5"/>
        <v>hospital,</v>
      </c>
    </row>
    <row r="2288">
      <c r="A2288" s="51"/>
      <c r="B2288" s="50" t="s">
        <v>3296</v>
      </c>
      <c r="C2288" s="50" t="s">
        <v>4581</v>
      </c>
      <c r="D2288" s="49" t="str">
        <f>IFERROR(__xludf.DUMMYFUNCTION("""COMPUTED_VALUE"""),"sara")</f>
        <v>sara</v>
      </c>
      <c r="E2288" s="49"/>
      <c r="F2288" s="49"/>
      <c r="G2288" s="49"/>
      <c r="H2288" s="54" t="str">
        <f t="shared" si="1"/>
        <v>paper,</v>
      </c>
      <c r="I2288" s="50"/>
      <c r="J2288" s="50" t="s">
        <v>5678</v>
      </c>
      <c r="K2288" s="50" t="s">
        <v>2169</v>
      </c>
      <c r="L2288" s="49"/>
      <c r="M2288" s="49"/>
      <c r="N2288" s="49"/>
      <c r="O2288" s="49"/>
      <c r="P2288" s="49" t="str">
        <f t="shared" si="2"/>
        <v>instincts,</v>
      </c>
      <c r="Q2288" s="49"/>
      <c r="R2288" s="50" t="s">
        <v>5441</v>
      </c>
      <c r="S2288" s="55" t="s">
        <v>1361</v>
      </c>
      <c r="T2288" s="49"/>
      <c r="U2288" s="49"/>
      <c r="V2288" s="49"/>
      <c r="W2288" s="49"/>
      <c r="X2288" s="49" t="str">
        <f t="shared" si="3"/>
        <v>hiding,</v>
      </c>
      <c r="Y2288" s="49"/>
      <c r="Z2288" s="1" t="s">
        <v>4292</v>
      </c>
      <c r="AA2288" s="1" t="s">
        <v>1514</v>
      </c>
      <c r="AB2288" s="49"/>
      <c r="AC2288" s="49"/>
      <c r="AD2288" s="49"/>
      <c r="AE2288" s="49"/>
      <c r="AF2288" s="49" t="str">
        <f t="shared" si="4"/>
        <v>stomach,</v>
      </c>
      <c r="AG2288" s="49"/>
      <c r="AH2288" s="1" t="s">
        <v>6580</v>
      </c>
      <c r="AI2288" s="1" t="s">
        <v>3217</v>
      </c>
      <c r="AJ2288" s="6" t="str">
        <f>IFERROR(__xludf.DUMMYFUNCTION("""COMPUTED_VALUE"""),"eating")</f>
        <v>eating</v>
      </c>
      <c r="AK2288" s="49"/>
      <c r="AL2288" s="49"/>
      <c r="AM2288" s="49"/>
      <c r="AN2288" s="52" t="str">
        <f t="shared" si="5"/>
        <v>choice,</v>
      </c>
    </row>
    <row r="2289">
      <c r="A2289" s="51"/>
      <c r="B2289" s="50" t="s">
        <v>5981</v>
      </c>
      <c r="C2289" s="50" t="s">
        <v>6642</v>
      </c>
      <c r="D2289" s="49" t="str">
        <f>IFERROR(__xludf.DUMMYFUNCTION("""COMPUTED_VALUE"""),"realizing")</f>
        <v>realizing</v>
      </c>
      <c r="E2289" s="49"/>
      <c r="F2289" s="49"/>
      <c r="G2289" s="49"/>
      <c r="H2289" s="54" t="str">
        <f t="shared" si="1"/>
        <v>defined,</v>
      </c>
      <c r="I2289" s="50"/>
      <c r="J2289" s="50" t="s">
        <v>1710</v>
      </c>
      <c r="K2289" s="50" t="s">
        <v>4715</v>
      </c>
      <c r="L2289" s="49"/>
      <c r="M2289" s="49"/>
      <c r="N2289" s="49"/>
      <c r="O2289" s="49"/>
      <c r="P2289" s="49" t="str">
        <f t="shared" si="2"/>
        <v>potent,</v>
      </c>
      <c r="Q2289" s="49"/>
      <c r="R2289" s="50" t="s">
        <v>3251</v>
      </c>
      <c r="S2289" s="55" t="s">
        <v>2067</v>
      </c>
      <c r="T2289" s="49"/>
      <c r="U2289" s="49"/>
      <c r="V2289" s="49"/>
      <c r="W2289" s="49"/>
      <c r="X2289" s="49" t="str">
        <f t="shared" si="3"/>
        <v>ate,</v>
      </c>
      <c r="Y2289" s="49"/>
      <c r="Z2289" s="1" t="s">
        <v>3540</v>
      </c>
      <c r="AA2289" s="1" t="s">
        <v>4496</v>
      </c>
      <c r="AB2289" s="49"/>
      <c r="AC2289" s="49"/>
      <c r="AD2289" s="49"/>
      <c r="AE2289" s="49"/>
      <c r="AF2289" s="49" t="str">
        <f t="shared" si="4"/>
        <v>overrun,</v>
      </c>
      <c r="AG2289" s="49"/>
      <c r="AH2289" s="1" t="s">
        <v>4798</v>
      </c>
      <c r="AI2289" s="1" t="s">
        <v>4836</v>
      </c>
      <c r="AJ2289" s="6" t="str">
        <f>IFERROR(__xludf.DUMMYFUNCTION("""COMPUTED_VALUE"""),"apple")</f>
        <v>apple</v>
      </c>
      <c r="AK2289" s="49"/>
      <c r="AL2289" s="49"/>
      <c r="AM2289" s="49"/>
      <c r="AN2289" s="52" t="str">
        <f t="shared" si="5"/>
        <v>driver,</v>
      </c>
    </row>
    <row r="2290">
      <c r="A2290" s="51"/>
      <c r="B2290" s="50" t="s">
        <v>4929</v>
      </c>
      <c r="C2290" s="50" t="s">
        <v>2952</v>
      </c>
      <c r="D2290" s="49" t="str">
        <f>IFERROR(__xludf.DUMMYFUNCTION("""COMPUTED_VALUE"""),"closed")</f>
        <v>closed</v>
      </c>
      <c r="E2290" s="49"/>
      <c r="F2290" s="49"/>
      <c r="G2290" s="49"/>
      <c r="H2290" s="54" t="str">
        <f t="shared" si="1"/>
        <v>drawing,</v>
      </c>
      <c r="I2290" s="50"/>
      <c r="J2290" s="50" t="s">
        <v>1558</v>
      </c>
      <c r="K2290" s="50" t="s">
        <v>4998</v>
      </c>
      <c r="L2290" s="49"/>
      <c r="M2290" s="49"/>
      <c r="N2290" s="49"/>
      <c r="O2290" s="49"/>
      <c r="P2290" s="49" t="str">
        <f t="shared" si="2"/>
        <v>weary,</v>
      </c>
      <c r="Q2290" s="49"/>
      <c r="R2290" s="50" t="s">
        <v>6730</v>
      </c>
      <c r="S2290" s="55" t="s">
        <v>3750</v>
      </c>
      <c r="T2290" s="49"/>
      <c r="U2290" s="49"/>
      <c r="V2290" s="49"/>
      <c r="W2290" s="49"/>
      <c r="X2290" s="49" t="str">
        <f t="shared" si="3"/>
        <v>prevent,</v>
      </c>
      <c r="Y2290" s="49"/>
      <c r="Z2290" s="1" t="s">
        <v>2999</v>
      </c>
      <c r="AA2290" s="1" t="s">
        <v>2686</v>
      </c>
      <c r="AB2290" s="49"/>
      <c r="AC2290" s="49"/>
      <c r="AD2290" s="49"/>
      <c r="AE2290" s="49"/>
      <c r="AF2290" s="49" t="str">
        <f t="shared" si="4"/>
        <v>immediate,</v>
      </c>
      <c r="AG2290" s="49"/>
      <c r="AH2290" s="1" t="s">
        <v>5877</v>
      </c>
      <c r="AI2290" s="1" t="s">
        <v>3177</v>
      </c>
      <c r="AJ2290" s="6" t="str">
        <f>IFERROR(__xludf.DUMMYFUNCTION("""COMPUTED_VALUE"""),"regardless")</f>
        <v>regardless</v>
      </c>
      <c r="AK2290" s="49"/>
      <c r="AL2290" s="49"/>
      <c r="AM2290" s="49"/>
      <c r="AN2290" s="52" t="str">
        <f t="shared" si="5"/>
        <v>resources,</v>
      </c>
    </row>
    <row r="2291">
      <c r="A2291" s="51"/>
      <c r="B2291" s="50" t="s">
        <v>4705</v>
      </c>
      <c r="C2291" s="50" t="s">
        <v>4589</v>
      </c>
      <c r="D2291" s="49" t="str">
        <f>IFERROR(__xludf.DUMMYFUNCTION("""COMPUTED_VALUE"""),"primarily")</f>
        <v>primarily</v>
      </c>
      <c r="E2291" s="49"/>
      <c r="F2291" s="49"/>
      <c r="G2291" s="49"/>
      <c r="H2291" s="54" t="str">
        <f t="shared" si="1"/>
        <v>invasion,</v>
      </c>
      <c r="I2291" s="50"/>
      <c r="J2291" s="50" t="s">
        <v>3361</v>
      </c>
      <c r="K2291" s="50" t="s">
        <v>3935</v>
      </c>
      <c r="L2291" s="49"/>
      <c r="M2291" s="49"/>
      <c r="N2291" s="49"/>
      <c r="O2291" s="49"/>
      <c r="P2291" s="49" t="str">
        <f t="shared" si="2"/>
        <v>implies,</v>
      </c>
      <c r="Q2291" s="49"/>
      <c r="R2291" s="50" t="s">
        <v>301</v>
      </c>
      <c r="S2291" s="55" t="s">
        <v>2071</v>
      </c>
      <c r="T2291" s="49"/>
      <c r="U2291" s="49"/>
      <c r="V2291" s="49"/>
      <c r="W2291" s="49"/>
      <c r="X2291" s="49" t="str">
        <f t="shared" si="3"/>
        <v>enables,</v>
      </c>
      <c r="Y2291" s="49"/>
      <c r="Z2291" s="1" t="s">
        <v>2907</v>
      </c>
      <c r="AA2291" s="1" t="s">
        <v>5472</v>
      </c>
      <c r="AB2291" s="49"/>
      <c r="AC2291" s="49"/>
      <c r="AD2291" s="49"/>
      <c r="AE2291" s="49"/>
      <c r="AF2291" s="49" t="str">
        <f t="shared" si="4"/>
        <v>development,</v>
      </c>
      <c r="AG2291" s="49"/>
      <c r="AH2291" s="1" t="s">
        <v>3913</v>
      </c>
      <c r="AI2291" s="1" t="s">
        <v>3918</v>
      </c>
      <c r="AJ2291" s="6" t="str">
        <f>IFERROR(__xludf.DUMMYFUNCTION("""COMPUTED_VALUE"""),"closest")</f>
        <v>closest</v>
      </c>
      <c r="AK2291" s="49"/>
      <c r="AL2291" s="49"/>
      <c r="AM2291" s="49"/>
      <c r="AN2291" s="52" t="str">
        <f t="shared" si="5"/>
        <v>grace,</v>
      </c>
    </row>
    <row r="2292">
      <c r="A2292" s="51"/>
      <c r="B2292" s="50" t="s">
        <v>6911</v>
      </c>
      <c r="C2292" s="50" t="s">
        <v>4583</v>
      </c>
      <c r="D2292" s="49" t="str">
        <f>IFERROR(__xludf.DUMMYFUNCTION("""COMPUTED_VALUE"""),"fail")</f>
        <v>fail</v>
      </c>
      <c r="E2292" s="49"/>
      <c r="F2292" s="49"/>
      <c r="G2292" s="49"/>
      <c r="H2292" s="54" t="str">
        <f t="shared" si="1"/>
        <v>masters,</v>
      </c>
      <c r="I2292" s="50"/>
      <c r="J2292" s="50" t="s">
        <v>5823</v>
      </c>
      <c r="K2292" s="58">
        <v>3.0</v>
      </c>
      <c r="L2292" s="49"/>
      <c r="M2292" s="49"/>
      <c r="N2292" s="49"/>
      <c r="O2292" s="49"/>
      <c r="P2292" s="49" t="str">
        <f t="shared" si="2"/>
        <v>splitting,</v>
      </c>
      <c r="Q2292" s="49"/>
      <c r="R2292" s="50" t="s">
        <v>1826</v>
      </c>
      <c r="S2292" s="55" t="s">
        <v>1368</v>
      </c>
      <c r="T2292" s="49"/>
      <c r="U2292" s="49"/>
      <c r="V2292" s="49"/>
      <c r="W2292" s="49"/>
      <c r="X2292" s="49" t="str">
        <f t="shared" si="3"/>
        <v>conventions,</v>
      </c>
      <c r="Y2292" s="49"/>
      <c r="Z2292" s="1" t="s">
        <v>1509</v>
      </c>
      <c r="AA2292" s="1" t="s">
        <v>2690</v>
      </c>
      <c r="AB2292" s="49"/>
      <c r="AC2292" s="49"/>
      <c r="AD2292" s="49"/>
      <c r="AE2292" s="49"/>
      <c r="AF2292" s="49" t="str">
        <f t="shared" si="4"/>
        <v>bound,</v>
      </c>
      <c r="AG2292" s="49"/>
      <c r="AH2292" s="1" t="s">
        <v>6665</v>
      </c>
      <c r="AI2292" s="1" t="s">
        <v>4275</v>
      </c>
      <c r="AJ2292" s="6" t="str">
        <f>IFERROR(__xludf.DUMMYFUNCTION("""COMPUTED_VALUE"""),"inhabitants")</f>
        <v>inhabitants</v>
      </c>
      <c r="AK2292" s="49"/>
      <c r="AL2292" s="49"/>
      <c r="AM2292" s="49"/>
      <c r="AN2292" s="52" t="str">
        <f t="shared" si="5"/>
        <v>draft,</v>
      </c>
    </row>
    <row r="2293">
      <c r="A2293" s="51"/>
      <c r="B2293" s="50" t="s">
        <v>3330</v>
      </c>
      <c r="C2293" s="50" t="s">
        <v>3502</v>
      </c>
      <c r="D2293" s="49" t="str">
        <f>IFERROR(__xludf.DUMMYFUNCTION("""COMPUTED_VALUE"""),"vehicle")</f>
        <v>vehicle</v>
      </c>
      <c r="E2293" s="49"/>
      <c r="F2293" s="49"/>
      <c r="G2293" s="49"/>
      <c r="H2293" s="54" t="str">
        <f t="shared" si="1"/>
        <v>dawn,</v>
      </c>
      <c r="I2293" s="50"/>
      <c r="J2293" s="50" t="s">
        <v>7556</v>
      </c>
      <c r="K2293" s="50" t="s">
        <v>3938</v>
      </c>
      <c r="L2293" s="49"/>
      <c r="M2293" s="49"/>
      <c r="N2293" s="49"/>
      <c r="O2293" s="49"/>
      <c r="P2293" s="49" t="str">
        <f t="shared" si="2"/>
        <v>tempered,</v>
      </c>
      <c r="Q2293" s="49"/>
      <c r="R2293" s="50" t="s">
        <v>5331</v>
      </c>
      <c r="S2293" s="55" t="s">
        <v>2077</v>
      </c>
      <c r="T2293" s="49"/>
      <c r="U2293" s="49"/>
      <c r="V2293" s="49"/>
      <c r="W2293" s="49"/>
      <c r="X2293" s="49" t="str">
        <f t="shared" si="3"/>
        <v>tactics,</v>
      </c>
      <c r="Y2293" s="49"/>
      <c r="Z2293" s="1" t="s">
        <v>2734</v>
      </c>
      <c r="AA2293" s="1" t="s">
        <v>2915</v>
      </c>
      <c r="AB2293" s="49"/>
      <c r="AC2293" s="49"/>
      <c r="AD2293" s="49"/>
      <c r="AE2293" s="49"/>
      <c r="AF2293" s="49" t="str">
        <f t="shared" si="4"/>
        <v>pokemon,</v>
      </c>
      <c r="AG2293" s="49"/>
      <c r="AH2293" s="1" t="s">
        <v>3105</v>
      </c>
      <c r="AI2293" s="1" t="s">
        <v>4103</v>
      </c>
      <c r="AJ2293" s="6" t="str">
        <f>IFERROR(__xludf.DUMMYFUNCTION("""COMPUTED_VALUE"""),"notice")</f>
        <v>notice</v>
      </c>
      <c r="AK2293" s="49"/>
      <c r="AL2293" s="49"/>
      <c r="AM2293" s="49"/>
      <c r="AN2293" s="52" t="str">
        <f t="shared" si="5"/>
        <v>corner,</v>
      </c>
    </row>
    <row r="2294">
      <c r="A2294" s="51"/>
      <c r="B2294" s="50" t="s">
        <v>1928</v>
      </c>
      <c r="C2294" s="50" t="s">
        <v>3505</v>
      </c>
      <c r="D2294" s="49" t="str">
        <f>IFERROR(__xludf.DUMMYFUNCTION("""COMPUTED_VALUE"""),"release")</f>
        <v>release</v>
      </c>
      <c r="E2294" s="49"/>
      <c r="F2294" s="49"/>
      <c r="G2294" s="49"/>
      <c r="H2294" s="54" t="str">
        <f t="shared" si="1"/>
        <v>rodriguez,</v>
      </c>
      <c r="I2294" s="50"/>
      <c r="J2294" s="50" t="s">
        <v>4180</v>
      </c>
      <c r="K2294" s="50" t="s">
        <v>3942</v>
      </c>
      <c r="L2294" s="49"/>
      <c r="M2294" s="49"/>
      <c r="N2294" s="49"/>
      <c r="O2294" s="49"/>
      <c r="P2294" s="49" t="str">
        <f t="shared" si="2"/>
        <v>dismissed,</v>
      </c>
      <c r="Q2294" s="49"/>
      <c r="R2294" s="50" t="s">
        <v>7557</v>
      </c>
      <c r="S2294" s="55" t="s">
        <v>1051</v>
      </c>
      <c r="T2294" s="49"/>
      <c r="U2294" s="49"/>
      <c r="V2294" s="49"/>
      <c r="W2294" s="49"/>
      <c r="X2294" s="49" t="str">
        <f t="shared" si="3"/>
        <v>stir,</v>
      </c>
      <c r="Y2294" s="49"/>
      <c r="Z2294" s="1" t="s">
        <v>943</v>
      </c>
      <c r="AA2294" s="1" t="s">
        <v>4006</v>
      </c>
      <c r="AB2294" s="49"/>
      <c r="AC2294" s="49"/>
      <c r="AD2294" s="49"/>
      <c r="AE2294" s="49"/>
      <c r="AF2294" s="49" t="str">
        <f t="shared" si="4"/>
        <v>sophisticated,</v>
      </c>
      <c r="AG2294" s="49"/>
      <c r="AH2294" s="1" t="s">
        <v>4488</v>
      </c>
      <c r="AI2294" s="1" t="s">
        <v>1499</v>
      </c>
      <c r="AJ2294" s="6" t="str">
        <f>IFERROR(__xludf.DUMMYFUNCTION("""COMPUTED_VALUE"""),"globe")</f>
        <v>globe</v>
      </c>
      <c r="AK2294" s="49"/>
      <c r="AL2294" s="49"/>
      <c r="AM2294" s="49"/>
      <c r="AN2294" s="52" t="str">
        <f t="shared" si="5"/>
        <v>fit,</v>
      </c>
    </row>
    <row r="2295">
      <c r="A2295" s="51"/>
      <c r="B2295" s="50" t="s">
        <v>5254</v>
      </c>
      <c r="C2295" s="50" t="s">
        <v>5136</v>
      </c>
      <c r="D2295" s="49" t="str">
        <f>IFERROR(__xludf.DUMMYFUNCTION("""COMPUTED_VALUE"""),"changes")</f>
        <v>changes</v>
      </c>
      <c r="E2295" s="49"/>
      <c r="F2295" s="49"/>
      <c r="G2295" s="49"/>
      <c r="H2295" s="54" t="str">
        <f t="shared" si="1"/>
        <v>ideal,</v>
      </c>
      <c r="I2295" s="50"/>
      <c r="J2295" s="50" t="s">
        <v>30</v>
      </c>
      <c r="K2295" s="50" t="s">
        <v>5474</v>
      </c>
      <c r="L2295" s="49"/>
      <c r="M2295" s="49"/>
      <c r="N2295" s="49"/>
      <c r="O2295" s="49"/>
      <c r="P2295" s="49" t="str">
        <f t="shared" si="2"/>
        <v>parental,</v>
      </c>
      <c r="Q2295" s="49"/>
      <c r="R2295" s="50" t="s">
        <v>4664</v>
      </c>
      <c r="S2295" s="55" t="s">
        <v>1000</v>
      </c>
      <c r="T2295" s="49"/>
      <c r="U2295" s="49"/>
      <c r="V2295" s="49"/>
      <c r="W2295" s="49"/>
      <c r="X2295" s="49" t="str">
        <f t="shared" si="3"/>
        <v>amazement,</v>
      </c>
      <c r="Y2295" s="49"/>
      <c r="Z2295" s="1" t="s">
        <v>3391</v>
      </c>
      <c r="AA2295" s="1" t="s">
        <v>5473</v>
      </c>
      <c r="AB2295" s="49"/>
      <c r="AC2295" s="49"/>
      <c r="AD2295" s="49"/>
      <c r="AE2295" s="49"/>
      <c r="AF2295" s="49" t="str">
        <f t="shared" si="4"/>
        <v>terror,</v>
      </c>
      <c r="AG2295" s="49"/>
      <c r="AH2295" s="1" t="s">
        <v>5838</v>
      </c>
      <c r="AI2295" s="1" t="s">
        <v>3301</v>
      </c>
      <c r="AJ2295" s="6">
        <f>IFERROR(__xludf.DUMMYFUNCTION("""COMPUTED_VALUE"""),0.0)</f>
        <v>0</v>
      </c>
      <c r="AK2295" s="49"/>
      <c r="AL2295" s="49"/>
      <c r="AM2295" s="49"/>
      <c r="AN2295" s="52" t="str">
        <f t="shared" si="5"/>
        <v>notably,</v>
      </c>
    </row>
    <row r="2296">
      <c r="A2296" s="51"/>
      <c r="B2296" s="50" t="s">
        <v>3265</v>
      </c>
      <c r="C2296" s="50" t="s">
        <v>5138</v>
      </c>
      <c r="D2296" s="49" t="str">
        <f>IFERROR(__xludf.DUMMYFUNCTION("""COMPUTED_VALUE"""),"thick")</f>
        <v>thick</v>
      </c>
      <c r="E2296" s="49"/>
      <c r="F2296" s="49"/>
      <c r="G2296" s="49"/>
      <c r="H2296" s="54" t="str">
        <f t="shared" si="1"/>
        <v>tour,</v>
      </c>
      <c r="I2296" s="50"/>
      <c r="J2296" s="50" t="s">
        <v>6770</v>
      </c>
      <c r="K2296" s="50" t="s">
        <v>5287</v>
      </c>
      <c r="L2296" s="49"/>
      <c r="M2296" s="49"/>
      <c r="N2296" s="49"/>
      <c r="O2296" s="49"/>
      <c r="P2296" s="49" t="str">
        <f t="shared" si="2"/>
        <v>finishing,</v>
      </c>
      <c r="Q2296" s="49"/>
      <c r="R2296" s="50" t="s">
        <v>3736</v>
      </c>
      <c r="S2296" s="55" t="s">
        <v>1381</v>
      </c>
      <c r="T2296" s="49"/>
      <c r="U2296" s="49"/>
      <c r="V2296" s="49"/>
      <c r="W2296" s="49"/>
      <c r="X2296" s="49" t="str">
        <f t="shared" si="3"/>
        <v>loyal,</v>
      </c>
      <c r="Y2296" s="49"/>
      <c r="Z2296" s="1" t="s">
        <v>3359</v>
      </c>
      <c r="AA2296" s="1" t="s">
        <v>2702</v>
      </c>
      <c r="AB2296" s="49"/>
      <c r="AC2296" s="49"/>
      <c r="AD2296" s="49"/>
      <c r="AE2296" s="49"/>
      <c r="AF2296" s="49" t="str">
        <f t="shared" si="4"/>
        <v>hoped,</v>
      </c>
      <c r="AG2296" s="49"/>
      <c r="AH2296" s="1" t="s">
        <v>2314</v>
      </c>
      <c r="AI2296" s="1" t="s">
        <v>4843</v>
      </c>
      <c r="AJ2296" s="6" t="str">
        <f>IFERROR(__xludf.DUMMYFUNCTION("""COMPUTED_VALUE"""),"former")</f>
        <v>former</v>
      </c>
      <c r="AK2296" s="49"/>
      <c r="AL2296" s="49"/>
      <c r="AM2296" s="49"/>
      <c r="AN2296" s="52" t="str">
        <f t="shared" si="5"/>
        <v>interior,</v>
      </c>
    </row>
    <row r="2297">
      <c r="A2297" s="51"/>
      <c r="B2297" s="50" t="s">
        <v>1945</v>
      </c>
      <c r="C2297" s="50" t="s">
        <v>3444</v>
      </c>
      <c r="D2297" s="49" t="str">
        <f>IFERROR(__xludf.DUMMYFUNCTION("""COMPUTED_VALUE"""),"awarded")</f>
        <v>awarded</v>
      </c>
      <c r="E2297" s="49"/>
      <c r="F2297" s="49"/>
      <c r="G2297" s="49"/>
      <c r="H2297" s="54" t="str">
        <f t="shared" si="1"/>
        <v>lower,</v>
      </c>
      <c r="I2297" s="50"/>
      <c r="J2297" s="50" t="s">
        <v>873</v>
      </c>
      <c r="K2297" s="50" t="s">
        <v>1122</v>
      </c>
      <c r="L2297" s="49"/>
      <c r="M2297" s="49"/>
      <c r="N2297" s="49"/>
      <c r="O2297" s="49"/>
      <c r="P2297" s="49" t="str">
        <f t="shared" si="2"/>
        <v>touched,</v>
      </c>
      <c r="Q2297" s="49"/>
      <c r="R2297" s="50" t="s">
        <v>3682</v>
      </c>
      <c r="S2297" s="55" t="s">
        <v>4859</v>
      </c>
      <c r="T2297" s="49"/>
      <c r="U2297" s="49"/>
      <c r="V2297" s="49"/>
      <c r="W2297" s="49"/>
      <c r="X2297" s="49" t="str">
        <f t="shared" si="3"/>
        <v>waters,</v>
      </c>
      <c r="Y2297" s="49"/>
      <c r="Z2297" s="1" t="s">
        <v>2230</v>
      </c>
      <c r="AA2297" s="1" t="s">
        <v>1521</v>
      </c>
      <c r="AB2297" s="49"/>
      <c r="AC2297" s="49"/>
      <c r="AD2297" s="49"/>
      <c r="AE2297" s="49"/>
      <c r="AF2297" s="49" t="str">
        <f t="shared" si="4"/>
        <v>virtually,</v>
      </c>
      <c r="AG2297" s="49"/>
      <c r="AH2297" s="1" t="s">
        <v>2207</v>
      </c>
      <c r="AI2297" s="1" t="s">
        <v>3743</v>
      </c>
      <c r="AJ2297" s="6">
        <f>IFERROR(__xludf.DUMMYFUNCTION("""COMPUTED_VALUE"""),1958.0)</f>
        <v>1958</v>
      </c>
      <c r="AK2297" s="49"/>
      <c r="AL2297" s="49"/>
      <c r="AM2297" s="49"/>
      <c r="AN2297" s="52" t="str">
        <f t="shared" si="5"/>
        <v>strike,</v>
      </c>
    </row>
    <row r="2298">
      <c r="A2298" s="51"/>
      <c r="B2298" s="50" t="s">
        <v>6302</v>
      </c>
      <c r="C2298" s="50" t="s">
        <v>4592</v>
      </c>
      <c r="D2298" s="49" t="str">
        <f>IFERROR(__xludf.DUMMYFUNCTION("""COMPUTED_VALUE"""),"information")</f>
        <v>information</v>
      </c>
      <c r="E2298" s="49"/>
      <c r="F2298" s="49"/>
      <c r="G2298" s="49"/>
      <c r="H2298" s="54" t="str">
        <f t="shared" si="1"/>
        <v>overall,</v>
      </c>
      <c r="I2298" s="50"/>
      <c r="J2298" s="50" t="s">
        <v>1195</v>
      </c>
      <c r="K2298" s="50" t="s">
        <v>3946</v>
      </c>
      <c r="L2298" s="49"/>
      <c r="M2298" s="49"/>
      <c r="N2298" s="49"/>
      <c r="O2298" s="49"/>
      <c r="P2298" s="49" t="str">
        <f t="shared" si="2"/>
        <v>crossover,</v>
      </c>
      <c r="Q2298" s="49"/>
      <c r="R2298" s="50" t="s">
        <v>3568</v>
      </c>
      <c r="S2298" s="55" t="s">
        <v>4860</v>
      </c>
      <c r="T2298" s="49"/>
      <c r="U2298" s="49"/>
      <c r="V2298" s="49"/>
      <c r="W2298" s="49"/>
      <c r="X2298" s="49" t="str">
        <f t="shared" si="3"/>
        <v>collective,</v>
      </c>
      <c r="Y2298" s="49"/>
      <c r="Z2298" s="1" t="s">
        <v>4757</v>
      </c>
      <c r="AA2298" s="1" t="s">
        <v>4511</v>
      </c>
      <c r="AB2298" s="49"/>
      <c r="AC2298" s="49"/>
      <c r="AD2298" s="49"/>
      <c r="AE2298" s="49"/>
      <c r="AF2298" s="49" t="str">
        <f t="shared" si="4"/>
        <v>spectacular,</v>
      </c>
      <c r="AG2298" s="49"/>
      <c r="AH2298" s="1" t="s">
        <v>5896</v>
      </c>
      <c r="AI2298" s="1" t="s">
        <v>5829</v>
      </c>
      <c r="AJ2298" s="6" t="str">
        <f>IFERROR(__xludf.DUMMYFUNCTION("""COMPUTED_VALUE"""),"vincent")</f>
        <v>vincent</v>
      </c>
      <c r="AK2298" s="49"/>
      <c r="AL2298" s="49"/>
      <c r="AM2298" s="49"/>
      <c r="AN2298" s="52" t="str">
        <f t="shared" si="5"/>
        <v>lyrics,</v>
      </c>
    </row>
    <row r="2299">
      <c r="A2299" s="51"/>
      <c r="B2299" s="50" t="s">
        <v>7558</v>
      </c>
      <c r="C2299" s="50" t="s">
        <v>6645</v>
      </c>
      <c r="D2299" s="49" t="str">
        <f>IFERROR(__xludf.DUMMYFUNCTION("""COMPUTED_VALUE"""),"movement")</f>
        <v>movement</v>
      </c>
      <c r="E2299" s="49"/>
      <c r="F2299" s="49"/>
      <c r="G2299" s="49"/>
      <c r="H2299" s="54" t="str">
        <f t="shared" si="1"/>
        <v>bus,</v>
      </c>
      <c r="I2299" s="50"/>
      <c r="J2299" s="50" t="s">
        <v>5950</v>
      </c>
      <c r="K2299" s="50" t="s">
        <v>1128</v>
      </c>
      <c r="L2299" s="49"/>
      <c r="M2299" s="49"/>
      <c r="N2299" s="49"/>
      <c r="O2299" s="49"/>
      <c r="P2299" s="49" t="str">
        <f t="shared" si="2"/>
        <v>gregory,</v>
      </c>
      <c r="Q2299" s="49"/>
      <c r="R2299" s="50" t="s">
        <v>7559</v>
      </c>
      <c r="S2299" s="55" t="s">
        <v>3759</v>
      </c>
      <c r="T2299" s="49"/>
      <c r="U2299" s="49"/>
      <c r="V2299" s="49"/>
      <c r="W2299" s="49"/>
      <c r="X2299" s="49" t="str">
        <f t="shared" si="3"/>
        <v>supreme,</v>
      </c>
      <c r="Y2299" s="49"/>
      <c r="Z2299" s="1" t="s">
        <v>4628</v>
      </c>
      <c r="AA2299" s="1" t="s">
        <v>4513</v>
      </c>
      <c r="AB2299" s="49"/>
      <c r="AC2299" s="49"/>
      <c r="AD2299" s="49"/>
      <c r="AE2299" s="49"/>
      <c r="AF2299" s="49" t="str">
        <f t="shared" si="4"/>
        <v>shanghai,</v>
      </c>
      <c r="AG2299" s="49"/>
      <c r="AH2299" s="1" t="s">
        <v>2804</v>
      </c>
      <c r="AI2299" s="1" t="s">
        <v>1609</v>
      </c>
      <c r="AJ2299" s="6" t="str">
        <f>IFERROR(__xludf.DUMMYFUNCTION("""COMPUTED_VALUE"""),"gathering")</f>
        <v>gathering</v>
      </c>
      <c r="AK2299" s="49"/>
      <c r="AL2299" s="49"/>
      <c r="AM2299" s="49"/>
      <c r="AN2299" s="52" t="str">
        <f t="shared" si="5"/>
        <v>bond,</v>
      </c>
    </row>
    <row r="2300">
      <c r="A2300" s="51"/>
      <c r="B2300" s="50" t="s">
        <v>3803</v>
      </c>
      <c r="C2300" s="50" t="s">
        <v>4536</v>
      </c>
      <c r="D2300" s="49" t="str">
        <f>IFERROR(__xludf.DUMMYFUNCTION("""COMPUTED_VALUE"""),"roughly")</f>
        <v>roughly</v>
      </c>
      <c r="E2300" s="49"/>
      <c r="F2300" s="49"/>
      <c r="G2300" s="49"/>
      <c r="H2300" s="54" t="str">
        <f t="shared" si="1"/>
        <v>dress,</v>
      </c>
      <c r="I2300" s="50"/>
      <c r="J2300" s="50" t="s">
        <v>1036</v>
      </c>
      <c r="K2300" s="50" t="s">
        <v>3950</v>
      </c>
      <c r="L2300" s="49"/>
      <c r="M2300" s="49"/>
      <c r="N2300" s="49"/>
      <c r="O2300" s="49"/>
      <c r="P2300" s="49" t="str">
        <f t="shared" si="2"/>
        <v>racist,</v>
      </c>
      <c r="Q2300" s="49"/>
      <c r="R2300" s="50" t="s">
        <v>240</v>
      </c>
      <c r="S2300" s="55" t="s">
        <v>3761</v>
      </c>
      <c r="T2300" s="49"/>
      <c r="U2300" s="49"/>
      <c r="V2300" s="49"/>
      <c r="W2300" s="49"/>
      <c r="X2300" s="49" t="str">
        <f t="shared" si="3"/>
        <v>grips,</v>
      </c>
      <c r="Y2300" s="49"/>
      <c r="Z2300" s="1" t="s">
        <v>3037</v>
      </c>
      <c r="AA2300" s="1" t="s">
        <v>1534</v>
      </c>
      <c r="AB2300" s="49"/>
      <c r="AC2300" s="49"/>
      <c r="AD2300" s="49"/>
      <c r="AE2300" s="49"/>
      <c r="AF2300" s="49" t="str">
        <f t="shared" si="4"/>
        <v>daughters,</v>
      </c>
      <c r="AG2300" s="49"/>
      <c r="AH2300" s="1" t="s">
        <v>7560</v>
      </c>
      <c r="AI2300" s="1" t="s">
        <v>6701</v>
      </c>
      <c r="AJ2300" s="6" t="str">
        <f>IFERROR(__xludf.DUMMYFUNCTION("""COMPUTED_VALUE"""),"floor")</f>
        <v>floor</v>
      </c>
      <c r="AK2300" s="49"/>
      <c r="AL2300" s="49"/>
      <c r="AM2300" s="49"/>
      <c r="AN2300" s="52" t="str">
        <f t="shared" si="5"/>
        <v>civil,</v>
      </c>
    </row>
    <row r="2301">
      <c r="A2301" s="51"/>
      <c r="B2301" s="50" t="s">
        <v>2166</v>
      </c>
      <c r="C2301" s="50" t="s">
        <v>1683</v>
      </c>
      <c r="D2301" s="49" t="str">
        <f>IFERROR(__xludf.DUMMYFUNCTION("""COMPUTED_VALUE"""),"competition")</f>
        <v>competition</v>
      </c>
      <c r="E2301" s="49"/>
      <c r="F2301" s="49"/>
      <c r="G2301" s="49"/>
      <c r="H2301" s="54" t="str">
        <f t="shared" si="1"/>
        <v>ride,</v>
      </c>
      <c r="I2301" s="50"/>
      <c r="J2301" s="50" t="s">
        <v>5676</v>
      </c>
      <c r="K2301" s="50" t="s">
        <v>4184</v>
      </c>
      <c r="L2301" s="49"/>
      <c r="M2301" s="49"/>
      <c r="N2301" s="49"/>
      <c r="O2301" s="49"/>
      <c r="P2301" s="49" t="str">
        <f t="shared" si="2"/>
        <v>uncomfortable,</v>
      </c>
      <c r="Q2301" s="49"/>
      <c r="R2301" s="50" t="s">
        <v>7561</v>
      </c>
      <c r="S2301" s="55" t="s">
        <v>5359</v>
      </c>
      <c r="T2301" s="49"/>
      <c r="U2301" s="49"/>
      <c r="V2301" s="49"/>
      <c r="W2301" s="49"/>
      <c r="X2301" s="49" t="str">
        <f t="shared" si="3"/>
        <v>rafael,</v>
      </c>
      <c r="Y2301" s="49"/>
      <c r="Z2301" s="1" t="s">
        <v>4141</v>
      </c>
      <c r="AA2301" s="1" t="s">
        <v>5480</v>
      </c>
      <c r="AB2301" s="49"/>
      <c r="AC2301" s="49"/>
      <c r="AD2301" s="49"/>
      <c r="AE2301" s="49"/>
      <c r="AF2301" s="49" t="str">
        <f t="shared" si="4"/>
        <v>chasing,</v>
      </c>
      <c r="AG2301" s="49"/>
      <c r="AH2301" s="1" t="s">
        <v>6801</v>
      </c>
      <c r="AI2301" s="1" t="s">
        <v>1368</v>
      </c>
      <c r="AJ2301" s="6" t="str">
        <f>IFERROR(__xludf.DUMMYFUNCTION("""COMPUTED_VALUE"""),"mask")</f>
        <v>mask</v>
      </c>
      <c r="AK2301" s="49"/>
      <c r="AL2301" s="49"/>
      <c r="AM2301" s="49"/>
      <c r="AN2301" s="52" t="str">
        <f t="shared" si="5"/>
        <v>al,</v>
      </c>
    </row>
    <row r="2302">
      <c r="A2302" s="51"/>
      <c r="B2302" s="50" t="s">
        <v>5577</v>
      </c>
      <c r="C2302" s="50" t="s">
        <v>3879</v>
      </c>
      <c r="D2302" s="49" t="str">
        <f>IFERROR(__xludf.DUMMYFUNCTION("""COMPUTED_VALUE"""),"mother")</f>
        <v>mother</v>
      </c>
      <c r="E2302" s="49"/>
      <c r="F2302" s="49"/>
      <c r="G2302" s="49"/>
      <c r="H2302" s="54" t="str">
        <f t="shared" si="1"/>
        <v>neighborhood,</v>
      </c>
      <c r="I2302" s="50"/>
      <c r="J2302" s="50" t="s">
        <v>3505</v>
      </c>
      <c r="K2302" s="50" t="s">
        <v>3954</v>
      </c>
      <c r="L2302" s="49"/>
      <c r="M2302" s="49"/>
      <c r="N2302" s="49"/>
      <c r="O2302" s="49"/>
      <c r="P2302" s="49" t="str">
        <f t="shared" si="2"/>
        <v>circle,</v>
      </c>
      <c r="Q2302" s="49"/>
      <c r="R2302" s="50" t="s">
        <v>2292</v>
      </c>
      <c r="S2302" s="55" t="s">
        <v>6702</v>
      </c>
      <c r="T2302" s="49"/>
      <c r="U2302" s="49"/>
      <c r="V2302" s="49"/>
      <c r="W2302" s="49"/>
      <c r="X2302" s="49" t="str">
        <f t="shared" si="3"/>
        <v>layered,</v>
      </c>
      <c r="Y2302" s="49"/>
      <c r="Z2302" s="1" t="s">
        <v>2805</v>
      </c>
      <c r="AA2302" s="1" t="s">
        <v>4516</v>
      </c>
      <c r="AB2302" s="49"/>
      <c r="AC2302" s="49"/>
      <c r="AD2302" s="49"/>
      <c r="AE2302" s="49"/>
      <c r="AF2302" s="49" t="str">
        <f t="shared" si="4"/>
        <v>polished,</v>
      </c>
      <c r="AG2302" s="49"/>
      <c r="AH2302" s="1" t="s">
        <v>2460</v>
      </c>
      <c r="AI2302" s="1" t="s">
        <v>3161</v>
      </c>
      <c r="AJ2302" s="6" t="str">
        <f>IFERROR(__xludf.DUMMYFUNCTION("""COMPUTED_VALUE"""),"continue")</f>
        <v>continue</v>
      </c>
      <c r="AK2302" s="49"/>
      <c r="AL2302" s="49"/>
      <c r="AM2302" s="49"/>
      <c r="AN2302" s="52" t="str">
        <f t="shared" si="5"/>
        <v>comics,</v>
      </c>
    </row>
    <row r="2303">
      <c r="A2303" s="51"/>
      <c r="B2303" s="50" t="s">
        <v>5097</v>
      </c>
      <c r="C2303" s="50" t="s">
        <v>1676</v>
      </c>
      <c r="D2303" s="49" t="str">
        <f>IFERROR(__xludf.DUMMYFUNCTION("""COMPUTED_VALUE"""),"featured")</f>
        <v>featured</v>
      </c>
      <c r="E2303" s="49"/>
      <c r="F2303" s="49"/>
      <c r="G2303" s="49"/>
      <c r="H2303" s="54" t="str">
        <f t="shared" si="1"/>
        <v>responsibility,</v>
      </c>
      <c r="I2303" s="50"/>
      <c r="J2303" s="50" t="s">
        <v>1973</v>
      </c>
      <c r="K2303" s="50" t="s">
        <v>3957</v>
      </c>
      <c r="L2303" s="49"/>
      <c r="M2303" s="49"/>
      <c r="N2303" s="49"/>
      <c r="O2303" s="49"/>
      <c r="P2303" s="49" t="str">
        <f t="shared" si="2"/>
        <v>sake,</v>
      </c>
      <c r="Q2303" s="49"/>
      <c r="R2303" s="50" t="s">
        <v>1225</v>
      </c>
      <c r="S2303" s="55" t="s">
        <v>1757</v>
      </c>
      <c r="T2303" s="49"/>
      <c r="U2303" s="49"/>
      <c r="V2303" s="49"/>
      <c r="W2303" s="49"/>
      <c r="X2303" s="49" t="str">
        <f t="shared" si="3"/>
        <v>conspicuous,</v>
      </c>
      <c r="Y2303" s="49"/>
      <c r="Z2303" s="1" t="s">
        <v>4860</v>
      </c>
      <c r="AA2303" s="1" t="s">
        <v>4517</v>
      </c>
      <c r="AB2303" s="49"/>
      <c r="AC2303" s="49"/>
      <c r="AD2303" s="49"/>
      <c r="AE2303" s="49"/>
      <c r="AF2303" s="49" t="str">
        <f t="shared" si="4"/>
        <v>smash,</v>
      </c>
      <c r="AG2303" s="49"/>
      <c r="AH2303" s="1" t="s">
        <v>4355</v>
      </c>
      <c r="AI2303" s="1" t="s">
        <v>3759</v>
      </c>
      <c r="AJ2303" s="6" t="str">
        <f>IFERROR(__xludf.DUMMYFUNCTION("""COMPUTED_VALUE"""),"commercial")</f>
        <v>commercial</v>
      </c>
      <c r="AK2303" s="49"/>
      <c r="AL2303" s="49"/>
      <c r="AM2303" s="49"/>
      <c r="AN2303" s="52" t="str">
        <f t="shared" si="5"/>
        <v>todd,</v>
      </c>
    </row>
    <row r="2304">
      <c r="A2304" s="51"/>
      <c r="B2304" s="50" t="s">
        <v>1049</v>
      </c>
      <c r="C2304" s="50" t="s">
        <v>3154</v>
      </c>
      <c r="D2304" s="49" t="str">
        <f>IFERROR(__xludf.DUMMYFUNCTION("""COMPUTED_VALUE"""),"hits")</f>
        <v>hits</v>
      </c>
      <c r="E2304" s="49"/>
      <c r="F2304" s="49"/>
      <c r="G2304" s="49"/>
      <c r="H2304" s="54" t="str">
        <f t="shared" si="1"/>
        <v>sing,</v>
      </c>
      <c r="I2304" s="50"/>
      <c r="J2304" s="50" t="s">
        <v>241</v>
      </c>
      <c r="K2304" s="50" t="s">
        <v>3399</v>
      </c>
      <c r="L2304" s="49"/>
      <c r="M2304" s="49"/>
      <c r="N2304" s="49"/>
      <c r="O2304" s="49"/>
      <c r="P2304" s="49" t="str">
        <f t="shared" si="2"/>
        <v>realistic,</v>
      </c>
      <c r="Q2304" s="49"/>
      <c r="R2304" s="50" t="s">
        <v>6926</v>
      </c>
      <c r="S2304" s="55" t="s">
        <v>2084</v>
      </c>
      <c r="T2304" s="49"/>
      <c r="U2304" s="49"/>
      <c r="V2304" s="49"/>
      <c r="W2304" s="49"/>
      <c r="X2304" s="49" t="str">
        <f t="shared" si="3"/>
        <v>participate,</v>
      </c>
      <c r="Y2304" s="49"/>
      <c r="Z2304" s="1" t="s">
        <v>4573</v>
      </c>
      <c r="AA2304" s="1" t="s">
        <v>750</v>
      </c>
      <c r="AB2304" s="49"/>
      <c r="AC2304" s="49"/>
      <c r="AD2304" s="49"/>
      <c r="AE2304" s="49"/>
      <c r="AF2304" s="49" t="str">
        <f t="shared" si="4"/>
        <v>chaotic,</v>
      </c>
      <c r="AG2304" s="49"/>
      <c r="AH2304" s="1" t="s">
        <v>5332</v>
      </c>
      <c r="AI2304" s="1" t="s">
        <v>3761</v>
      </c>
      <c r="AJ2304" s="6" t="str">
        <f>IFERROR(__xludf.DUMMYFUNCTION("""COMPUTED_VALUE"""),"relatively")</f>
        <v>relatively</v>
      </c>
      <c r="AK2304" s="49"/>
      <c r="AL2304" s="49"/>
      <c r="AM2304" s="49"/>
      <c r="AN2304" s="52" t="str">
        <f t="shared" si="5"/>
        <v>explosion,</v>
      </c>
    </row>
    <row r="2305">
      <c r="A2305" s="51"/>
      <c r="B2305" s="50" t="s">
        <v>1782</v>
      </c>
      <c r="C2305" s="50" t="s">
        <v>5668</v>
      </c>
      <c r="D2305" s="49" t="str">
        <f>IFERROR(__xludf.DUMMYFUNCTION("""COMPUTED_VALUE"""),"cost")</f>
        <v>cost</v>
      </c>
      <c r="E2305" s="49"/>
      <c r="F2305" s="49"/>
      <c r="G2305" s="49"/>
      <c r="H2305" s="54" t="str">
        <f t="shared" si="1"/>
        <v>photo,</v>
      </c>
      <c r="I2305" s="50"/>
      <c r="J2305" s="50" t="s">
        <v>4194</v>
      </c>
      <c r="K2305" s="50" t="s">
        <v>3401</v>
      </c>
      <c r="L2305" s="49"/>
      <c r="M2305" s="49"/>
      <c r="N2305" s="49"/>
      <c r="O2305" s="49"/>
      <c r="P2305" s="49" t="str">
        <f t="shared" si="2"/>
        <v>aids,</v>
      </c>
      <c r="Q2305" s="49"/>
      <c r="R2305" s="50" t="s">
        <v>7562</v>
      </c>
      <c r="S2305" s="55" t="s">
        <v>2086</v>
      </c>
      <c r="T2305" s="49"/>
      <c r="U2305" s="49"/>
      <c r="V2305" s="49"/>
      <c r="W2305" s="49"/>
      <c r="X2305" s="49" t="str">
        <f t="shared" si="3"/>
        <v>steaming,</v>
      </c>
      <c r="Y2305" s="49"/>
      <c r="Z2305" s="1" t="s">
        <v>5552</v>
      </c>
      <c r="AA2305" s="1" t="s">
        <v>2718</v>
      </c>
      <c r="AB2305" s="49"/>
      <c r="AC2305" s="49"/>
      <c r="AD2305" s="49"/>
      <c r="AE2305" s="49"/>
      <c r="AF2305" s="49" t="str">
        <f t="shared" si="4"/>
        <v>urge,</v>
      </c>
      <c r="AG2305" s="49"/>
      <c r="AH2305" s="1" t="s">
        <v>3026</v>
      </c>
      <c r="AI2305" s="1" t="s">
        <v>1867</v>
      </c>
      <c r="AJ2305" s="6" t="str">
        <f>IFERROR(__xludf.DUMMYFUNCTION("""COMPUTED_VALUE"""),"grown")</f>
        <v>grown</v>
      </c>
      <c r="AK2305" s="49"/>
      <c r="AL2305" s="49"/>
      <c r="AM2305" s="49"/>
      <c r="AN2305" s="52" t="str">
        <f t="shared" si="5"/>
        <v>fairly,</v>
      </c>
    </row>
    <row r="2306">
      <c r="A2306" s="51"/>
      <c r="B2306" s="50" t="s">
        <v>6862</v>
      </c>
      <c r="C2306" s="50" t="s">
        <v>3041</v>
      </c>
      <c r="D2306" s="49" t="str">
        <f>IFERROR(__xludf.DUMMYFUNCTION("""COMPUTED_VALUE"""),"radical")</f>
        <v>radical</v>
      </c>
      <c r="E2306" s="49"/>
      <c r="F2306" s="49"/>
      <c r="G2306" s="49"/>
      <c r="H2306" s="54" t="str">
        <f t="shared" si="1"/>
        <v>education,</v>
      </c>
      <c r="I2306" s="50"/>
      <c r="J2306" s="50" t="s">
        <v>430</v>
      </c>
      <c r="K2306" s="50" t="s">
        <v>3962</v>
      </c>
      <c r="L2306" s="49"/>
      <c r="M2306" s="49"/>
      <c r="N2306" s="49"/>
      <c r="O2306" s="49"/>
      <c r="P2306" s="49" t="str">
        <f t="shared" si="2"/>
        <v>plotted,</v>
      </c>
      <c r="Q2306" s="49"/>
      <c r="R2306" s="50" t="s">
        <v>1563</v>
      </c>
      <c r="S2306" s="55" t="s">
        <v>3767</v>
      </c>
      <c r="T2306" s="49"/>
      <c r="U2306" s="49"/>
      <c r="V2306" s="49"/>
      <c r="W2306" s="49"/>
      <c r="X2306" s="49" t="str">
        <f t="shared" si="3"/>
        <v>whale,</v>
      </c>
      <c r="Y2306" s="49"/>
      <c r="Z2306" s="1" t="s">
        <v>3607</v>
      </c>
      <c r="AA2306" s="1" t="s">
        <v>2124</v>
      </c>
      <c r="AB2306" s="49"/>
      <c r="AC2306" s="49"/>
      <c r="AD2306" s="49"/>
      <c r="AE2306" s="49"/>
      <c r="AF2306" s="49" t="str">
        <f t="shared" si="4"/>
        <v>junk,</v>
      </c>
      <c r="AG2306" s="49"/>
      <c r="AH2306" s="1" t="s">
        <v>630</v>
      </c>
      <c r="AI2306" s="1" t="s">
        <v>6703</v>
      </c>
      <c r="AJ2306" s="6" t="str">
        <f>IFERROR(__xludf.DUMMYFUNCTION("""COMPUTED_VALUE"""),"force")</f>
        <v>force</v>
      </c>
      <c r="AK2306" s="49"/>
      <c r="AL2306" s="49"/>
      <c r="AM2306" s="49"/>
      <c r="AN2306" s="52" t="str">
        <f t="shared" si="5"/>
        <v>storm,</v>
      </c>
    </row>
    <row r="2307">
      <c r="A2307" s="51"/>
      <c r="B2307" s="50" t="s">
        <v>6847</v>
      </c>
      <c r="C2307" s="50" t="s">
        <v>3104</v>
      </c>
      <c r="D2307" s="49" t="str">
        <f>IFERROR(__xludf.DUMMYFUNCTION("""COMPUTED_VALUE"""),"de")</f>
        <v>de</v>
      </c>
      <c r="E2307" s="49"/>
      <c r="F2307" s="49"/>
      <c r="G2307" s="49"/>
      <c r="H2307" s="54" t="str">
        <f t="shared" si="1"/>
        <v>suggested,</v>
      </c>
      <c r="I2307" s="50"/>
      <c r="J2307" s="50" t="s">
        <v>3787</v>
      </c>
      <c r="K2307" s="50" t="s">
        <v>2181</v>
      </c>
      <c r="L2307" s="49"/>
      <c r="M2307" s="49"/>
      <c r="N2307" s="49"/>
      <c r="O2307" s="49"/>
      <c r="P2307" s="49" t="str">
        <f t="shared" si="2"/>
        <v>densely,</v>
      </c>
      <c r="Q2307" s="49"/>
      <c r="R2307" s="50" t="s">
        <v>832</v>
      </c>
      <c r="S2307" s="55" t="s">
        <v>2090</v>
      </c>
      <c r="T2307" s="49"/>
      <c r="U2307" s="49"/>
      <c r="V2307" s="49"/>
      <c r="W2307" s="49"/>
      <c r="X2307" s="49" t="str">
        <f t="shared" si="3"/>
        <v>laboratory,</v>
      </c>
      <c r="Y2307" s="49"/>
      <c r="Z2307" s="1" t="s">
        <v>5897</v>
      </c>
      <c r="AA2307" s="1" t="s">
        <v>1751</v>
      </c>
      <c r="AB2307" s="49"/>
      <c r="AC2307" s="49"/>
      <c r="AD2307" s="49"/>
      <c r="AE2307" s="49"/>
      <c r="AF2307" s="49" t="str">
        <f t="shared" si="4"/>
        <v>electric,</v>
      </c>
      <c r="AG2307" s="49"/>
      <c r="AH2307" s="1" t="s">
        <v>4581</v>
      </c>
      <c r="AI2307" s="1" t="s">
        <v>6702</v>
      </c>
      <c r="AJ2307" s="6" t="str">
        <f>IFERROR(__xludf.DUMMYFUNCTION("""COMPUTED_VALUE"""),"key")</f>
        <v>key</v>
      </c>
      <c r="AK2307" s="49"/>
      <c r="AL2307" s="49"/>
      <c r="AM2307" s="49"/>
      <c r="AN2307" s="52" t="str">
        <f t="shared" si="5"/>
        <v>boat,</v>
      </c>
    </row>
    <row r="2308">
      <c r="A2308" s="51"/>
      <c r="B2308" s="50" t="s">
        <v>5609</v>
      </c>
      <c r="C2308" s="50" t="s">
        <v>2400</v>
      </c>
      <c r="D2308" s="49" t="str">
        <f>IFERROR(__xludf.DUMMYFUNCTION("""COMPUTED_VALUE"""),"portuguese")</f>
        <v>portuguese</v>
      </c>
      <c r="E2308" s="49"/>
      <c r="F2308" s="49"/>
      <c r="G2308" s="49"/>
      <c r="H2308" s="54" t="str">
        <f t="shared" si="1"/>
        <v>investigation,</v>
      </c>
      <c r="I2308" s="50"/>
      <c r="J2308" s="50" t="s">
        <v>5869</v>
      </c>
      <c r="K2308" s="50" t="s">
        <v>5011</v>
      </c>
      <c r="L2308" s="49"/>
      <c r="M2308" s="49"/>
      <c r="N2308" s="49"/>
      <c r="O2308" s="49"/>
      <c r="P2308" s="49" t="str">
        <f t="shared" si="2"/>
        <v>marred,</v>
      </c>
      <c r="Q2308" s="49"/>
      <c r="R2308" s="50" t="s">
        <v>4652</v>
      </c>
      <c r="S2308" s="55" t="s">
        <v>4433</v>
      </c>
      <c r="T2308" s="49"/>
      <c r="U2308" s="49"/>
      <c r="V2308" s="49"/>
      <c r="W2308" s="49"/>
      <c r="X2308" s="49" t="str">
        <f t="shared" si="3"/>
        <v>filter,</v>
      </c>
      <c r="Y2308" s="49"/>
      <c r="Z2308" s="1" t="s">
        <v>4899</v>
      </c>
      <c r="AA2308" s="1" t="s">
        <v>2724</v>
      </c>
      <c r="AB2308" s="49"/>
      <c r="AC2308" s="49"/>
      <c r="AD2308" s="49"/>
      <c r="AE2308" s="49"/>
      <c r="AF2308" s="49" t="str">
        <f t="shared" si="4"/>
        <v>knowledge,</v>
      </c>
      <c r="AG2308" s="49"/>
      <c r="AH2308" s="1" t="s">
        <v>995</v>
      </c>
      <c r="AI2308" s="1" t="s">
        <v>1757</v>
      </c>
      <c r="AJ2308" s="6" t="str">
        <f>IFERROR(__xludf.DUMMYFUNCTION("""COMPUTED_VALUE"""),"absolutely")</f>
        <v>absolutely</v>
      </c>
      <c r="AK2308" s="49"/>
      <c r="AL2308" s="49"/>
      <c r="AM2308" s="49"/>
      <c r="AN2308" s="52" t="str">
        <f t="shared" si="5"/>
        <v>eat,</v>
      </c>
    </row>
    <row r="2309">
      <c r="A2309" s="51"/>
      <c r="B2309" s="50" t="s">
        <v>7030</v>
      </c>
      <c r="C2309" s="50" t="s">
        <v>6637</v>
      </c>
      <c r="D2309" s="49" t="str">
        <f>IFERROR(__xludf.DUMMYFUNCTION("""COMPUTED_VALUE"""),"hundred")</f>
        <v>hundred</v>
      </c>
      <c r="E2309" s="49"/>
      <c r="F2309" s="49"/>
      <c r="G2309" s="49"/>
      <c r="H2309" s="54" t="str">
        <f t="shared" si="1"/>
        <v>incident,</v>
      </c>
      <c r="I2309" s="50"/>
      <c r="J2309" s="50" t="s">
        <v>438</v>
      </c>
      <c r="K2309" s="50" t="s">
        <v>3967</v>
      </c>
      <c r="L2309" s="49"/>
      <c r="M2309" s="49"/>
      <c r="N2309" s="49"/>
      <c r="O2309" s="49"/>
      <c r="P2309" s="49" t="str">
        <f t="shared" si="2"/>
        <v>harvesting,</v>
      </c>
      <c r="Q2309" s="49"/>
      <c r="R2309" s="50" t="s">
        <v>7563</v>
      </c>
      <c r="S2309" s="55" t="s">
        <v>5514</v>
      </c>
      <c r="T2309" s="49"/>
      <c r="U2309" s="49"/>
      <c r="V2309" s="49"/>
      <c r="W2309" s="49"/>
      <c r="X2309" s="49" t="str">
        <f t="shared" si="3"/>
        <v>painter,</v>
      </c>
      <c r="Y2309" s="49"/>
      <c r="Z2309" s="1" t="s">
        <v>2829</v>
      </c>
      <c r="AA2309" s="1" t="s">
        <v>5485</v>
      </c>
      <c r="AB2309" s="49"/>
      <c r="AC2309" s="49"/>
      <c r="AD2309" s="49"/>
      <c r="AE2309" s="49"/>
      <c r="AF2309" s="49" t="str">
        <f t="shared" si="4"/>
        <v>identity,</v>
      </c>
      <c r="AG2309" s="49"/>
      <c r="AH2309" s="1" t="s">
        <v>2080</v>
      </c>
      <c r="AI2309" s="1" t="s">
        <v>6704</v>
      </c>
      <c r="AJ2309" s="6" t="str">
        <f>IFERROR(__xludf.DUMMYFUNCTION("""COMPUTED_VALUE"""),"moved")</f>
        <v>moved</v>
      </c>
      <c r="AK2309" s="49"/>
      <c r="AL2309" s="49"/>
      <c r="AM2309" s="49"/>
      <c r="AN2309" s="52" t="str">
        <f t="shared" si="5"/>
        <v>stuck,</v>
      </c>
    </row>
    <row r="2310">
      <c r="A2310" s="51"/>
      <c r="B2310" s="50" t="s">
        <v>7100</v>
      </c>
      <c r="C2310" s="50" t="s">
        <v>2286</v>
      </c>
      <c r="D2310" s="49" t="str">
        <f>IFERROR(__xludf.DUMMYFUNCTION("""COMPUTED_VALUE"""),"exact")</f>
        <v>exact</v>
      </c>
      <c r="E2310" s="49"/>
      <c r="F2310" s="49"/>
      <c r="G2310" s="49"/>
      <c r="H2310" s="54" t="str">
        <f t="shared" si="1"/>
        <v>crash,</v>
      </c>
      <c r="I2310" s="50"/>
      <c r="J2310" s="50" t="s">
        <v>5386</v>
      </c>
      <c r="K2310" s="50" t="s">
        <v>1336</v>
      </c>
      <c r="L2310" s="49"/>
      <c r="M2310" s="49"/>
      <c r="N2310" s="49"/>
      <c r="O2310" s="49"/>
      <c r="P2310" s="49" t="str">
        <f t="shared" si="2"/>
        <v>sticking,</v>
      </c>
      <c r="Q2310" s="49"/>
      <c r="R2310" s="50" t="s">
        <v>7564</v>
      </c>
      <c r="S2310" s="55" t="s">
        <v>2076</v>
      </c>
      <c r="T2310" s="49"/>
      <c r="U2310" s="49"/>
      <c r="V2310" s="49"/>
      <c r="W2310" s="49"/>
      <c r="X2310" s="49" t="str">
        <f t="shared" si="3"/>
        <v>af,</v>
      </c>
      <c r="Y2310" s="49"/>
      <c r="Z2310" s="1" t="s">
        <v>2377</v>
      </c>
      <c r="AA2310" s="1" t="s">
        <v>5487</v>
      </c>
      <c r="AB2310" s="49"/>
      <c r="AC2310" s="49"/>
      <c r="AD2310" s="49"/>
      <c r="AE2310" s="49"/>
      <c r="AF2310" s="49" t="str">
        <f t="shared" si="4"/>
        <v>moral,</v>
      </c>
      <c r="AG2310" s="49"/>
      <c r="AH2310" s="1" t="s">
        <v>6941</v>
      </c>
      <c r="AI2310" s="1" t="s">
        <v>2609</v>
      </c>
      <c r="AJ2310" s="6" t="str">
        <f>IFERROR(__xludf.DUMMYFUNCTION("""COMPUTED_VALUE"""),"captured")</f>
        <v>captured</v>
      </c>
      <c r="AK2310" s="49"/>
      <c r="AL2310" s="49"/>
      <c r="AM2310" s="49"/>
      <c r="AN2310" s="52" t="str">
        <f t="shared" si="5"/>
        <v>fruit,</v>
      </c>
    </row>
    <row r="2311">
      <c r="A2311" s="51"/>
      <c r="B2311" s="50" t="s">
        <v>3340</v>
      </c>
      <c r="C2311" s="50" t="s">
        <v>6646</v>
      </c>
      <c r="D2311" s="49" t="str">
        <f>IFERROR(__xludf.DUMMYFUNCTION("""COMPUTED_VALUE"""),"tells")</f>
        <v>tells</v>
      </c>
      <c r="E2311" s="49"/>
      <c r="F2311" s="49"/>
      <c r="G2311" s="49"/>
      <c r="H2311" s="54" t="str">
        <f t="shared" si="1"/>
        <v>detail,</v>
      </c>
      <c r="I2311" s="50"/>
      <c r="J2311" s="50" t="s">
        <v>2579</v>
      </c>
      <c r="K2311" s="50" t="s">
        <v>3407</v>
      </c>
      <c r="L2311" s="49"/>
      <c r="M2311" s="49"/>
      <c r="N2311" s="49"/>
      <c r="O2311" s="49"/>
      <c r="P2311" s="49" t="str">
        <f t="shared" si="2"/>
        <v>pointed,</v>
      </c>
      <c r="Q2311" s="49"/>
      <c r="R2311" s="50" t="s">
        <v>5030</v>
      </c>
      <c r="S2311" s="55" t="s">
        <v>1057</v>
      </c>
      <c r="T2311" s="49"/>
      <c r="U2311" s="49"/>
      <c r="V2311" s="49"/>
      <c r="W2311" s="49"/>
      <c r="X2311" s="49" t="str">
        <f t="shared" si="3"/>
        <v>tomorrow,</v>
      </c>
      <c r="Y2311" s="49"/>
      <c r="Z2311" s="1" t="s">
        <v>4915</v>
      </c>
      <c r="AA2311" s="1" t="s">
        <v>4526</v>
      </c>
      <c r="AB2311" s="49"/>
      <c r="AC2311" s="49"/>
      <c r="AD2311" s="49"/>
      <c r="AE2311" s="49"/>
      <c r="AF2311" s="49" t="str">
        <f t="shared" si="4"/>
        <v>struggle,</v>
      </c>
      <c r="AG2311" s="49"/>
      <c r="AH2311" s="1" t="s">
        <v>4599</v>
      </c>
      <c r="AI2311" s="1" t="s">
        <v>1782</v>
      </c>
      <c r="AJ2311" s="6" t="str">
        <f>IFERROR(__xludf.DUMMYFUNCTION("""COMPUTED_VALUE"""),"content")</f>
        <v>content</v>
      </c>
      <c r="AK2311" s="49"/>
      <c r="AL2311" s="49"/>
      <c r="AM2311" s="49"/>
      <c r="AN2311" s="52" t="str">
        <f t="shared" si="5"/>
        <v>court,</v>
      </c>
    </row>
    <row r="2312">
      <c r="A2312" s="51"/>
      <c r="B2312" s="50" t="s">
        <v>5326</v>
      </c>
      <c r="C2312" s="50" t="s">
        <v>5294</v>
      </c>
      <c r="D2312" s="49" t="str">
        <f>IFERROR(__xludf.DUMMYFUNCTION("""COMPUTED_VALUE"""),"hook")</f>
        <v>hook</v>
      </c>
      <c r="E2312" s="49"/>
      <c r="F2312" s="49"/>
      <c r="G2312" s="49"/>
      <c r="H2312" s="54" t="str">
        <f t="shared" si="1"/>
        <v>aspect,</v>
      </c>
      <c r="I2312" s="50"/>
      <c r="J2312" s="50" t="s">
        <v>7510</v>
      </c>
      <c r="K2312" s="50" t="s">
        <v>3969</v>
      </c>
      <c r="L2312" s="49"/>
      <c r="M2312" s="49"/>
      <c r="N2312" s="49"/>
      <c r="O2312" s="49"/>
      <c r="P2312" s="49" t="str">
        <f t="shared" si="2"/>
        <v>wheeling,</v>
      </c>
      <c r="Q2312" s="49"/>
      <c r="R2312" s="50" t="s">
        <v>6617</v>
      </c>
      <c r="S2312" s="55" t="s">
        <v>1063</v>
      </c>
      <c r="T2312" s="49"/>
      <c r="U2312" s="49"/>
      <c r="V2312" s="49"/>
      <c r="W2312" s="49"/>
      <c r="X2312" s="49" t="str">
        <f t="shared" si="3"/>
        <v>convenient,</v>
      </c>
      <c r="Y2312" s="49"/>
      <c r="Z2312" s="1" t="s">
        <v>6371</v>
      </c>
      <c r="AA2312" s="1" t="s">
        <v>4529</v>
      </c>
      <c r="AB2312" s="49"/>
      <c r="AC2312" s="49"/>
      <c r="AD2312" s="49"/>
      <c r="AE2312" s="49"/>
      <c r="AF2312" s="49" t="str">
        <f t="shared" si="4"/>
        <v>instantly,</v>
      </c>
      <c r="AG2312" s="49"/>
      <c r="AH2312" s="1">
        <v>22.0</v>
      </c>
      <c r="AI2312" s="1" t="s">
        <v>2076</v>
      </c>
      <c r="AJ2312" s="6" t="str">
        <f>IFERROR(__xludf.DUMMYFUNCTION("""COMPUTED_VALUE"""),"managed")</f>
        <v>managed</v>
      </c>
      <c r="AK2312" s="49"/>
      <c r="AL2312" s="49"/>
      <c r="AM2312" s="49"/>
      <c r="AN2312" s="52" t="str">
        <f t="shared" si="5"/>
        <v>22,</v>
      </c>
    </row>
    <row r="2313">
      <c r="A2313" s="51"/>
      <c r="B2313" s="50" t="s">
        <v>1001</v>
      </c>
      <c r="C2313" s="50" t="s">
        <v>3108</v>
      </c>
      <c r="D2313" s="49">
        <f>IFERROR(__xludf.DUMMYFUNCTION("""COMPUTED_VALUE"""),1993.0)</f>
        <v>1993</v>
      </c>
      <c r="E2313" s="49"/>
      <c r="F2313" s="49"/>
      <c r="G2313" s="49"/>
      <c r="H2313" s="54" t="str">
        <f t="shared" si="1"/>
        <v>theories,</v>
      </c>
      <c r="I2313" s="50"/>
      <c r="J2313" s="50" t="s">
        <v>2542</v>
      </c>
      <c r="K2313" s="50" t="s">
        <v>3973</v>
      </c>
      <c r="L2313" s="49"/>
      <c r="M2313" s="49"/>
      <c r="N2313" s="49"/>
      <c r="O2313" s="49"/>
      <c r="P2313" s="49" t="str">
        <f t="shared" si="2"/>
        <v>gear,</v>
      </c>
      <c r="Q2313" s="49"/>
      <c r="R2313" s="50" t="s">
        <v>7565</v>
      </c>
      <c r="S2313" s="55" t="s">
        <v>1596</v>
      </c>
      <c r="T2313" s="49"/>
      <c r="U2313" s="49"/>
      <c r="V2313" s="49"/>
      <c r="W2313" s="49"/>
      <c r="X2313" s="49" t="str">
        <f t="shared" si="3"/>
        <v>intention,</v>
      </c>
      <c r="Y2313" s="49"/>
      <c r="Z2313" s="1" t="s">
        <v>4378</v>
      </c>
      <c r="AA2313" s="1" t="s">
        <v>2730</v>
      </c>
      <c r="AB2313" s="49"/>
      <c r="AC2313" s="49"/>
      <c r="AD2313" s="49"/>
      <c r="AE2313" s="49"/>
      <c r="AF2313" s="49" t="str">
        <f t="shared" si="4"/>
        <v>embarrassed,</v>
      </c>
      <c r="AG2313" s="49"/>
      <c r="AH2313" s="1" t="s">
        <v>6442</v>
      </c>
      <c r="AI2313" s="1" t="s">
        <v>1596</v>
      </c>
      <c r="AJ2313" s="6" t="str">
        <f>IFERROR(__xludf.DUMMYFUNCTION("""COMPUTED_VALUE"""),"contemporary")</f>
        <v>contemporary</v>
      </c>
      <c r="AK2313" s="49"/>
      <c r="AL2313" s="49"/>
      <c r="AM2313" s="49"/>
      <c r="AN2313" s="52" t="str">
        <f t="shared" si="5"/>
        <v>junior,</v>
      </c>
    </row>
    <row r="2314">
      <c r="A2314" s="51"/>
      <c r="B2314" s="50" t="s">
        <v>6156</v>
      </c>
      <c r="C2314" s="50" t="s">
        <v>5149</v>
      </c>
      <c r="D2314" s="49" t="str">
        <f>IFERROR(__xludf.DUMMYFUNCTION("""COMPUTED_VALUE"""),"scottish")</f>
        <v>scottish</v>
      </c>
      <c r="E2314" s="49"/>
      <c r="F2314" s="49"/>
      <c r="G2314" s="49"/>
      <c r="H2314" s="54" t="str">
        <f t="shared" si="1"/>
        <v>activities,</v>
      </c>
      <c r="I2314" s="50"/>
      <c r="J2314" s="50" t="b">
        <v>0</v>
      </c>
      <c r="K2314" s="50" t="s">
        <v>4748</v>
      </c>
      <c r="L2314" s="49"/>
      <c r="M2314" s="49"/>
      <c r="N2314" s="49"/>
      <c r="O2314" s="49"/>
      <c r="P2314" s="49" t="str">
        <f t="shared" si="2"/>
        <v>FALSE,</v>
      </c>
      <c r="Q2314" s="49"/>
      <c r="R2314" s="50" t="s">
        <v>7566</v>
      </c>
      <c r="S2314" s="55" t="s">
        <v>5523</v>
      </c>
      <c r="T2314" s="49"/>
      <c r="U2314" s="49"/>
      <c r="V2314" s="49"/>
      <c r="W2314" s="49"/>
      <c r="X2314" s="49" t="str">
        <f t="shared" si="3"/>
        <v>privileged,</v>
      </c>
      <c r="Y2314" s="49"/>
      <c r="Z2314" s="1" t="s">
        <v>1287</v>
      </c>
      <c r="AA2314" s="1" t="s">
        <v>5489</v>
      </c>
      <c r="AB2314" s="49"/>
      <c r="AC2314" s="49"/>
      <c r="AD2314" s="49"/>
      <c r="AE2314" s="49"/>
      <c r="AF2314" s="49" t="str">
        <f t="shared" si="4"/>
        <v>irritating,</v>
      </c>
      <c r="AG2314" s="49"/>
      <c r="AH2314" s="1" t="s">
        <v>100</v>
      </c>
      <c r="AI2314" s="1" t="s">
        <v>5523</v>
      </c>
      <c r="AJ2314" s="6" t="str">
        <f>IFERROR(__xludf.DUMMYFUNCTION("""COMPUTED_VALUE"""),"soldiers")</f>
        <v>soldiers</v>
      </c>
      <c r="AK2314" s="49"/>
      <c r="AL2314" s="49"/>
      <c r="AM2314" s="49"/>
      <c r="AN2314" s="52" t="str">
        <f t="shared" si="5"/>
        <v>poetry,</v>
      </c>
    </row>
    <row r="2315">
      <c r="A2315" s="51"/>
      <c r="B2315" s="50" t="s">
        <v>2539</v>
      </c>
      <c r="C2315" s="50" t="s">
        <v>5013</v>
      </c>
      <c r="D2315" s="49" t="str">
        <f>IFERROR(__xludf.DUMMYFUNCTION("""COMPUTED_VALUE"""),"invited")</f>
        <v>invited</v>
      </c>
      <c r="E2315" s="49"/>
      <c r="F2315" s="49"/>
      <c r="G2315" s="49"/>
      <c r="H2315" s="54" t="str">
        <f t="shared" si="1"/>
        <v>sexual,</v>
      </c>
      <c r="I2315" s="50"/>
      <c r="J2315" s="50" t="s">
        <v>2696</v>
      </c>
      <c r="K2315" s="50" t="s">
        <v>3975</v>
      </c>
      <c r="L2315" s="49"/>
      <c r="M2315" s="49"/>
      <c r="N2315" s="49"/>
      <c r="O2315" s="49"/>
      <c r="P2315" s="49" t="str">
        <f t="shared" si="2"/>
        <v>foundation,</v>
      </c>
      <c r="Q2315" s="49"/>
      <c r="R2315" s="50" t="s">
        <v>251</v>
      </c>
      <c r="S2315" s="55" t="s">
        <v>4364</v>
      </c>
      <c r="T2315" s="49"/>
      <c r="U2315" s="49"/>
      <c r="V2315" s="49"/>
      <c r="W2315" s="49"/>
      <c r="X2315" s="49" t="str">
        <f t="shared" si="3"/>
        <v>prejudice,</v>
      </c>
      <c r="Y2315" s="49"/>
      <c r="Z2315" s="1" t="s">
        <v>7454</v>
      </c>
      <c r="AA2315" s="1" t="s">
        <v>5491</v>
      </c>
      <c r="AB2315" s="49"/>
      <c r="AC2315" s="49"/>
      <c r="AD2315" s="49"/>
      <c r="AE2315" s="49"/>
      <c r="AF2315" s="49" t="str">
        <f t="shared" si="4"/>
        <v>reasonably,</v>
      </c>
      <c r="AG2315" s="49"/>
      <c r="AH2315" s="1" t="s">
        <v>2535</v>
      </c>
      <c r="AI2315" s="1" t="s">
        <v>3310</v>
      </c>
      <c r="AJ2315" s="6" t="str">
        <f>IFERROR(__xludf.DUMMYFUNCTION("""COMPUTED_VALUE"""),"exist")</f>
        <v>exist</v>
      </c>
      <c r="AK2315" s="49"/>
      <c r="AL2315" s="49"/>
      <c r="AM2315" s="49"/>
      <c r="AN2315" s="52" t="str">
        <f t="shared" si="5"/>
        <v>jacket,</v>
      </c>
    </row>
    <row r="2316">
      <c r="A2316" s="51"/>
      <c r="B2316" s="50" t="s">
        <v>7567</v>
      </c>
      <c r="C2316" s="50" t="s">
        <v>4567</v>
      </c>
      <c r="D2316" s="49" t="str">
        <f>IFERROR(__xludf.DUMMYFUNCTION("""COMPUTED_VALUE"""),"displays")</f>
        <v>displays</v>
      </c>
      <c r="E2316" s="49"/>
      <c r="F2316" s="49"/>
      <c r="G2316" s="49"/>
      <c r="H2316" s="54" t="str">
        <f t="shared" si="1"/>
        <v>fa,</v>
      </c>
      <c r="I2316" s="50"/>
      <c r="J2316" s="50" t="s">
        <v>3894</v>
      </c>
      <c r="K2316" s="50" t="s">
        <v>2185</v>
      </c>
      <c r="L2316" s="49"/>
      <c r="M2316" s="49"/>
      <c r="N2316" s="49"/>
      <c r="O2316" s="49"/>
      <c r="P2316" s="49" t="str">
        <f t="shared" si="2"/>
        <v>introduction,</v>
      </c>
      <c r="Q2316" s="49"/>
      <c r="R2316" s="50" t="s">
        <v>6785</v>
      </c>
      <c r="S2316" s="55" t="s">
        <v>3310</v>
      </c>
      <c r="T2316" s="49"/>
      <c r="U2316" s="49"/>
      <c r="V2316" s="49"/>
      <c r="W2316" s="49"/>
      <c r="X2316" s="49" t="str">
        <f t="shared" si="3"/>
        <v>pride,</v>
      </c>
      <c r="Y2316" s="49"/>
      <c r="Z2316" s="1" t="s">
        <v>1335</v>
      </c>
      <c r="AA2316" s="1" t="s">
        <v>1550</v>
      </c>
      <c r="AB2316" s="49"/>
      <c r="AC2316" s="49"/>
      <c r="AD2316" s="49"/>
      <c r="AE2316" s="49"/>
      <c r="AF2316" s="49" t="str">
        <f t="shared" si="4"/>
        <v>charming,</v>
      </c>
      <c r="AG2316" s="49"/>
      <c r="AH2316" s="1" t="s">
        <v>6113</v>
      </c>
      <c r="AI2316" s="1" t="s">
        <v>4364</v>
      </c>
      <c r="AJ2316" s="6" t="str">
        <f>IFERROR(__xludf.DUMMYFUNCTION("""COMPUTED_VALUE"""),"aspects")</f>
        <v>aspects</v>
      </c>
      <c r="AK2316" s="49"/>
      <c r="AL2316" s="49"/>
      <c r="AM2316" s="49"/>
      <c r="AN2316" s="52" t="str">
        <f t="shared" si="5"/>
        <v>writes,</v>
      </c>
    </row>
    <row r="2317">
      <c r="A2317" s="51"/>
      <c r="B2317" s="50" t="s">
        <v>7032</v>
      </c>
      <c r="C2317" s="50" t="s">
        <v>3519</v>
      </c>
      <c r="D2317" s="49" t="str">
        <f>IFERROR(__xludf.DUMMYFUNCTION("""COMPUTED_VALUE"""),"state")</f>
        <v>state</v>
      </c>
      <c r="E2317" s="49"/>
      <c r="F2317" s="49"/>
      <c r="G2317" s="49"/>
      <c r="H2317" s="54" t="str">
        <f t="shared" si="1"/>
        <v>pointing,</v>
      </c>
      <c r="I2317" s="50"/>
      <c r="J2317" s="50" t="s">
        <v>4487</v>
      </c>
      <c r="K2317" s="50" t="s">
        <v>3411</v>
      </c>
      <c r="L2317" s="49"/>
      <c r="M2317" s="49"/>
      <c r="N2317" s="49"/>
      <c r="O2317" s="49"/>
      <c r="P2317" s="49" t="str">
        <f t="shared" si="2"/>
        <v>concentration,</v>
      </c>
      <c r="Q2317" s="49"/>
      <c r="R2317" s="50" t="s">
        <v>1371</v>
      </c>
      <c r="S2317" s="55" t="s">
        <v>6705</v>
      </c>
      <c r="T2317" s="49"/>
      <c r="U2317" s="49"/>
      <c r="V2317" s="49"/>
      <c r="W2317" s="49"/>
      <c r="X2317" s="49" t="str">
        <f t="shared" si="3"/>
        <v>observed,</v>
      </c>
      <c r="Y2317" s="49"/>
      <c r="Z2317" s="1" t="s">
        <v>3929</v>
      </c>
      <c r="AA2317" s="1" t="s">
        <v>4537</v>
      </c>
      <c r="AB2317" s="49"/>
      <c r="AC2317" s="49"/>
      <c r="AD2317" s="49"/>
      <c r="AE2317" s="49"/>
      <c r="AF2317" s="49" t="str">
        <f t="shared" si="4"/>
        <v>elegant,</v>
      </c>
      <c r="AG2317" s="49"/>
      <c r="AH2317" s="1" t="s">
        <v>5917</v>
      </c>
      <c r="AI2317" s="1" t="s">
        <v>6705</v>
      </c>
      <c r="AJ2317" s="6" t="str">
        <f>IFERROR(__xludf.DUMMYFUNCTION("""COMPUTED_VALUE"""),"warriors")</f>
        <v>warriors</v>
      </c>
      <c r="AK2317" s="49"/>
      <c r="AL2317" s="49"/>
      <c r="AM2317" s="49"/>
      <c r="AN2317" s="52" t="str">
        <f t="shared" si="5"/>
        <v>eventually,</v>
      </c>
    </row>
    <row r="2318">
      <c r="A2318" s="51"/>
      <c r="B2318" s="50" t="s">
        <v>5178</v>
      </c>
      <c r="C2318" s="50" t="s">
        <v>6638</v>
      </c>
      <c r="D2318" s="49" t="str">
        <f>IFERROR(__xludf.DUMMYFUNCTION("""COMPUTED_VALUE"""),"sunshine")</f>
        <v>sunshine</v>
      </c>
      <c r="E2318" s="49"/>
      <c r="F2318" s="49"/>
      <c r="G2318" s="49"/>
      <c r="H2318" s="54" t="str">
        <f t="shared" si="1"/>
        <v>del,</v>
      </c>
      <c r="I2318" s="50"/>
      <c r="J2318" s="50" t="s">
        <v>693</v>
      </c>
      <c r="K2318" s="50" t="s">
        <v>3738</v>
      </c>
      <c r="L2318" s="49"/>
      <c r="M2318" s="49"/>
      <c r="N2318" s="49"/>
      <c r="O2318" s="49"/>
      <c r="P2318" s="49" t="str">
        <f t="shared" si="2"/>
        <v>jerking,</v>
      </c>
      <c r="Q2318" s="49"/>
      <c r="R2318" s="50" t="s">
        <v>1361</v>
      </c>
      <c r="S2318" s="55" t="s">
        <v>4879</v>
      </c>
      <c r="T2318" s="49"/>
      <c r="U2318" s="49"/>
      <c r="V2318" s="49"/>
      <c r="W2318" s="49"/>
      <c r="X2318" s="49" t="str">
        <f t="shared" si="3"/>
        <v>assurance,</v>
      </c>
      <c r="Y2318" s="49"/>
      <c r="Z2318" s="1" t="s">
        <v>7033</v>
      </c>
      <c r="AA2318" s="1" t="s">
        <v>5493</v>
      </c>
      <c r="AB2318" s="49"/>
      <c r="AC2318" s="49"/>
      <c r="AD2318" s="49"/>
      <c r="AE2318" s="49"/>
      <c r="AF2318" s="49" t="str">
        <f t="shared" si="4"/>
        <v>faced,</v>
      </c>
      <c r="AG2318" s="49"/>
      <c r="AH2318" s="1" t="s">
        <v>5617</v>
      </c>
      <c r="AI2318" s="1" t="s">
        <v>4879</v>
      </c>
      <c r="AJ2318" s="6" t="str">
        <f>IFERROR(__xludf.DUMMYFUNCTION("""COMPUTED_VALUE"""),"recognize")</f>
        <v>recognize</v>
      </c>
      <c r="AK2318" s="49"/>
      <c r="AL2318" s="49"/>
      <c r="AM2318" s="49"/>
      <c r="AN2318" s="52" t="str">
        <f t="shared" si="5"/>
        <v>rival,</v>
      </c>
    </row>
    <row r="2319">
      <c r="A2319" s="51"/>
      <c r="B2319" s="50" t="s">
        <v>6724</v>
      </c>
      <c r="C2319" s="50" t="s">
        <v>6648</v>
      </c>
      <c r="D2319" s="49" t="str">
        <f>IFERROR(__xludf.DUMMYFUNCTION("""COMPUTED_VALUE"""),"tom")</f>
        <v>tom</v>
      </c>
      <c r="E2319" s="49"/>
      <c r="F2319" s="49"/>
      <c r="G2319" s="49"/>
      <c r="H2319" s="54" t="str">
        <f t="shared" si="1"/>
        <v>scared,</v>
      </c>
      <c r="I2319" s="50"/>
      <c r="J2319" s="50" t="s">
        <v>3924</v>
      </c>
      <c r="K2319" s="50" t="s">
        <v>5026</v>
      </c>
      <c r="L2319" s="49"/>
      <c r="M2319" s="49"/>
      <c r="N2319" s="49"/>
      <c r="O2319" s="49"/>
      <c r="P2319" s="49" t="str">
        <f t="shared" si="2"/>
        <v>connected,</v>
      </c>
      <c r="Q2319" s="49"/>
      <c r="R2319" s="50" t="s">
        <v>5575</v>
      </c>
      <c r="S2319" s="55" t="s">
        <v>3316</v>
      </c>
      <c r="T2319" s="49"/>
      <c r="U2319" s="49"/>
      <c r="V2319" s="49"/>
      <c r="W2319" s="49"/>
      <c r="X2319" s="49" t="str">
        <f t="shared" si="3"/>
        <v>buried,</v>
      </c>
      <c r="Y2319" s="49"/>
      <c r="Z2319" s="1" t="s">
        <v>3667</v>
      </c>
      <c r="AA2319" s="1" t="s">
        <v>4539</v>
      </c>
      <c r="AB2319" s="49"/>
      <c r="AC2319" s="49"/>
      <c r="AD2319" s="49"/>
      <c r="AE2319" s="49"/>
      <c r="AF2319" s="49" t="str">
        <f t="shared" si="4"/>
        <v>overwhelming,</v>
      </c>
      <c r="AG2319" s="49"/>
      <c r="AH2319" s="1" t="s">
        <v>7388</v>
      </c>
      <c r="AI2319" s="1" t="s">
        <v>3316</v>
      </c>
      <c r="AJ2319" s="6" t="str">
        <f>IFERROR(__xludf.DUMMYFUNCTION("""COMPUTED_VALUE"""),"experiment")</f>
        <v>experiment</v>
      </c>
      <c r="AK2319" s="49"/>
      <c r="AL2319" s="49"/>
      <c r="AM2319" s="49"/>
      <c r="AN2319" s="52" t="str">
        <f t="shared" si="5"/>
        <v>brooklyn,</v>
      </c>
    </row>
    <row r="2320">
      <c r="A2320" s="51"/>
      <c r="B2320" s="50" t="s">
        <v>6448</v>
      </c>
      <c r="C2320" s="50">
        <v>110.0</v>
      </c>
      <c r="D2320" s="49" t="str">
        <f>IFERROR(__xludf.DUMMYFUNCTION("""COMPUTED_VALUE"""),"prospect")</f>
        <v>prospect</v>
      </c>
      <c r="E2320" s="49"/>
      <c r="F2320" s="49"/>
      <c r="G2320" s="49"/>
      <c r="H2320" s="54" t="str">
        <f t="shared" si="1"/>
        <v>placed,</v>
      </c>
      <c r="I2320" s="50"/>
      <c r="J2320" s="50" t="s">
        <v>1297</v>
      </c>
      <c r="K2320" s="50" t="s">
        <v>629</v>
      </c>
      <c r="L2320" s="49"/>
      <c r="M2320" s="49"/>
      <c r="N2320" s="49"/>
      <c r="O2320" s="49"/>
      <c r="P2320" s="49" t="str">
        <f t="shared" si="2"/>
        <v>costly,</v>
      </c>
      <c r="Q2320" s="49"/>
      <c r="R2320" s="50" t="s">
        <v>121</v>
      </c>
      <c r="S2320" s="55" t="s">
        <v>4882</v>
      </c>
      <c r="T2320" s="49"/>
      <c r="U2320" s="49"/>
      <c r="V2320" s="49"/>
      <c r="W2320" s="49"/>
      <c r="X2320" s="49" t="str">
        <f t="shared" si="3"/>
        <v>extremes,</v>
      </c>
      <c r="Y2320" s="49"/>
      <c r="Z2320" s="1" t="s">
        <v>4709</v>
      </c>
      <c r="AA2320" s="1" t="s">
        <v>4540</v>
      </c>
      <c r="AB2320" s="49"/>
      <c r="AC2320" s="49"/>
      <c r="AD2320" s="49"/>
      <c r="AE2320" s="49"/>
      <c r="AF2320" s="49" t="str">
        <f t="shared" si="4"/>
        <v>extreme,</v>
      </c>
      <c r="AG2320" s="49"/>
      <c r="AH2320" s="1" t="s">
        <v>4069</v>
      </c>
      <c r="AI2320" s="1" t="s">
        <v>4314</v>
      </c>
      <c r="AJ2320" s="6" t="str">
        <f>IFERROR(__xludf.DUMMYFUNCTION("""COMPUTED_VALUE"""),"variety")</f>
        <v>variety</v>
      </c>
      <c r="AK2320" s="49"/>
      <c r="AL2320" s="49"/>
      <c r="AM2320" s="49"/>
      <c r="AN2320" s="52" t="str">
        <f t="shared" si="5"/>
        <v>individual,</v>
      </c>
    </row>
    <row r="2321">
      <c r="A2321" s="51"/>
      <c r="B2321" s="50" t="s">
        <v>6823</v>
      </c>
      <c r="C2321" s="50" t="s">
        <v>4609</v>
      </c>
      <c r="D2321" s="49" t="str">
        <f>IFERROR(__xludf.DUMMYFUNCTION("""COMPUTED_VALUE"""),"tank")</f>
        <v>tank</v>
      </c>
      <c r="E2321" s="49"/>
      <c r="F2321" s="49"/>
      <c r="G2321" s="49"/>
      <c r="H2321" s="54" t="str">
        <f t="shared" si="1"/>
        <v>fifth,</v>
      </c>
      <c r="I2321" s="50"/>
      <c r="J2321" s="50" t="s">
        <v>242</v>
      </c>
      <c r="K2321" s="50" t="s">
        <v>1831</v>
      </c>
      <c r="L2321" s="49"/>
      <c r="M2321" s="49"/>
      <c r="N2321" s="49"/>
      <c r="O2321" s="49"/>
      <c r="P2321" s="49" t="str">
        <f t="shared" si="2"/>
        <v>reduces,</v>
      </c>
      <c r="Q2321" s="49"/>
      <c r="R2321" s="50" t="s">
        <v>3045</v>
      </c>
      <c r="S2321" s="55" t="s">
        <v>2781</v>
      </c>
      <c r="T2321" s="49"/>
      <c r="U2321" s="49"/>
      <c r="V2321" s="49"/>
      <c r="W2321" s="49"/>
      <c r="X2321" s="49" t="str">
        <f t="shared" si="3"/>
        <v>indifference,</v>
      </c>
      <c r="Y2321" s="49"/>
      <c r="Z2321" s="1" t="s">
        <v>2588</v>
      </c>
      <c r="AA2321" s="1" t="s">
        <v>2739</v>
      </c>
      <c r="AB2321" s="49"/>
      <c r="AC2321" s="49"/>
      <c r="AD2321" s="49"/>
      <c r="AE2321" s="49"/>
      <c r="AF2321" s="49" t="str">
        <f t="shared" si="4"/>
        <v>parker,</v>
      </c>
      <c r="AG2321" s="49"/>
      <c r="AH2321" s="1" t="s">
        <v>5638</v>
      </c>
      <c r="AI2321" s="1" t="s">
        <v>6706</v>
      </c>
      <c r="AJ2321" s="6" t="str">
        <f>IFERROR(__xludf.DUMMYFUNCTION("""COMPUTED_VALUE"""),"sources")</f>
        <v>sources</v>
      </c>
      <c r="AK2321" s="49"/>
      <c r="AL2321" s="49"/>
      <c r="AM2321" s="49"/>
      <c r="AN2321" s="52" t="str">
        <f t="shared" si="5"/>
        <v>folk,</v>
      </c>
    </row>
    <row r="2322">
      <c r="A2322" s="51"/>
      <c r="B2322" s="50" t="s">
        <v>1547</v>
      </c>
      <c r="C2322" s="50" t="s">
        <v>3648</v>
      </c>
      <c r="D2322" s="49" t="str">
        <f>IFERROR(__xludf.DUMMYFUNCTION("""COMPUTED_VALUE"""),"baby")</f>
        <v>baby</v>
      </c>
      <c r="E2322" s="49"/>
      <c r="F2322" s="49"/>
      <c r="G2322" s="49"/>
      <c r="H2322" s="54" t="str">
        <f t="shared" si="1"/>
        <v>grade,</v>
      </c>
      <c r="I2322" s="50"/>
      <c r="J2322" s="50" t="s">
        <v>974</v>
      </c>
      <c r="K2322" s="50" t="s">
        <v>2190</v>
      </c>
      <c r="L2322" s="49"/>
      <c r="M2322" s="49"/>
      <c r="N2322" s="49"/>
      <c r="O2322" s="49"/>
      <c r="P2322" s="49" t="str">
        <f t="shared" si="2"/>
        <v>minority,</v>
      </c>
      <c r="Q2322" s="49"/>
      <c r="R2322" s="50" t="s">
        <v>5643</v>
      </c>
      <c r="S2322" s="55" t="s">
        <v>2097</v>
      </c>
      <c r="T2322" s="49"/>
      <c r="U2322" s="49"/>
      <c r="V2322" s="49"/>
      <c r="W2322" s="49"/>
      <c r="X2322" s="49" t="str">
        <f t="shared" si="3"/>
        <v>refined,</v>
      </c>
      <c r="Y2322" s="49"/>
      <c r="Z2322" s="1" t="s">
        <v>4737</v>
      </c>
      <c r="AA2322" s="1" t="s">
        <v>4888</v>
      </c>
      <c r="AB2322" s="49"/>
      <c r="AC2322" s="49"/>
      <c r="AD2322" s="49"/>
      <c r="AE2322" s="49"/>
      <c r="AF2322" s="49" t="str">
        <f t="shared" si="4"/>
        <v>essence,</v>
      </c>
      <c r="AG2322" s="49"/>
      <c r="AH2322" s="1" t="s">
        <v>4295</v>
      </c>
      <c r="AI2322" s="1" t="s">
        <v>5527</v>
      </c>
      <c r="AJ2322" s="6" t="str">
        <f>IFERROR(__xludf.DUMMYFUNCTION("""COMPUTED_VALUE"""),"birthday")</f>
        <v>birthday</v>
      </c>
      <c r="AK2322" s="49"/>
      <c r="AL2322" s="49"/>
      <c r="AM2322" s="49"/>
      <c r="AN2322" s="52" t="str">
        <f t="shared" si="5"/>
        <v>gates,</v>
      </c>
    </row>
    <row r="2323">
      <c r="A2323" s="51"/>
      <c r="B2323" s="50" t="s">
        <v>6603</v>
      </c>
      <c r="C2323" s="50" t="s">
        <v>6707</v>
      </c>
      <c r="D2323" s="49" t="str">
        <f>IFERROR(__xludf.DUMMYFUNCTION("""COMPUTED_VALUE"""),"theory")</f>
        <v>theory</v>
      </c>
      <c r="E2323" s="49"/>
      <c r="F2323" s="49"/>
      <c r="G2323" s="49"/>
      <c r="H2323" s="54" t="str">
        <f t="shared" si="1"/>
        <v>danger,</v>
      </c>
      <c r="I2323" s="50"/>
      <c r="J2323" s="50" t="s">
        <v>4524</v>
      </c>
      <c r="K2323" s="50" t="s">
        <v>336</v>
      </c>
      <c r="L2323" s="49"/>
      <c r="M2323" s="49"/>
      <c r="N2323" s="49"/>
      <c r="O2323" s="49"/>
      <c r="P2323" s="49" t="str">
        <f t="shared" si="2"/>
        <v>engineering,</v>
      </c>
      <c r="Q2323" s="49"/>
      <c r="R2323" s="50" t="s">
        <v>459</v>
      </c>
      <c r="S2323" s="55" t="s">
        <v>988</v>
      </c>
      <c r="T2323" s="49"/>
      <c r="U2323" s="49"/>
      <c r="V2323" s="49"/>
      <c r="W2323" s="49"/>
      <c r="X2323" s="49" t="str">
        <f t="shared" si="3"/>
        <v>captures,</v>
      </c>
      <c r="Y2323" s="49"/>
      <c r="Z2323" s="1" t="s">
        <v>3310</v>
      </c>
      <c r="AA2323" s="1" t="s">
        <v>5495</v>
      </c>
      <c r="AB2323" s="49"/>
      <c r="AC2323" s="49"/>
      <c r="AD2323" s="49"/>
      <c r="AE2323" s="49"/>
      <c r="AF2323" s="49" t="str">
        <f t="shared" si="4"/>
        <v>presented,</v>
      </c>
      <c r="AG2323" s="49"/>
      <c r="AH2323" s="1" t="s">
        <v>6397</v>
      </c>
      <c r="AI2323" s="1" t="s">
        <v>3788</v>
      </c>
      <c r="AJ2323" s="6" t="str">
        <f>IFERROR(__xludf.DUMMYFUNCTION("""COMPUTED_VALUE"""),"passed")</f>
        <v>passed</v>
      </c>
      <c r="AK2323" s="49"/>
      <c r="AL2323" s="49"/>
      <c r="AM2323" s="49"/>
      <c r="AN2323" s="52" t="str">
        <f t="shared" si="5"/>
        <v>weird,</v>
      </c>
    </row>
    <row r="2324">
      <c r="A2324" s="51"/>
      <c r="B2324" s="50" t="s">
        <v>6882</v>
      </c>
      <c r="C2324" s="50" t="s">
        <v>6640</v>
      </c>
      <c r="D2324" s="49" t="str">
        <f>IFERROR(__xludf.DUMMYFUNCTION("""COMPUTED_VALUE"""),"wall")</f>
        <v>wall</v>
      </c>
      <c r="E2324" s="49"/>
      <c r="F2324" s="49"/>
      <c r="G2324" s="49"/>
      <c r="H2324" s="54" t="str">
        <f t="shared" si="1"/>
        <v>wayne,</v>
      </c>
      <c r="I2324" s="50"/>
      <c r="J2324" s="50" t="s">
        <v>4013</v>
      </c>
      <c r="K2324" s="50" t="s">
        <v>2197</v>
      </c>
      <c r="L2324" s="49"/>
      <c r="M2324" s="49"/>
      <c r="N2324" s="49"/>
      <c r="O2324" s="49"/>
      <c r="P2324" s="49" t="str">
        <f t="shared" si="2"/>
        <v>fool,</v>
      </c>
      <c r="Q2324" s="49"/>
      <c r="R2324" s="50" t="s">
        <v>1241</v>
      </c>
      <c r="S2324" s="55" t="s">
        <v>4885</v>
      </c>
      <c r="T2324" s="49"/>
      <c r="U2324" s="49"/>
      <c r="V2324" s="49"/>
      <c r="W2324" s="49"/>
      <c r="X2324" s="49" t="str">
        <f t="shared" si="3"/>
        <v>achievements,</v>
      </c>
      <c r="Y2324" s="49"/>
      <c r="Z2324" s="1" t="s">
        <v>6312</v>
      </c>
      <c r="AA2324" s="1" t="s">
        <v>5496</v>
      </c>
      <c r="AB2324" s="49"/>
      <c r="AC2324" s="49"/>
      <c r="AD2324" s="49"/>
      <c r="AE2324" s="49"/>
      <c r="AF2324" s="49" t="str">
        <f t="shared" si="4"/>
        <v>website,</v>
      </c>
      <c r="AG2324" s="49"/>
      <c r="AH2324" s="1" t="s">
        <v>1416</v>
      </c>
      <c r="AI2324" s="1" t="s">
        <v>988</v>
      </c>
      <c r="AJ2324" s="6" t="str">
        <f>IFERROR(__xludf.DUMMYFUNCTION("""COMPUTED_VALUE"""),"effort")</f>
        <v>effort</v>
      </c>
      <c r="AK2324" s="49"/>
      <c r="AL2324" s="49"/>
      <c r="AM2324" s="49"/>
      <c r="AN2324" s="52" t="str">
        <f t="shared" si="5"/>
        <v>demands,</v>
      </c>
    </row>
    <row r="2325">
      <c r="A2325" s="51"/>
      <c r="B2325" s="50" t="s">
        <v>3710</v>
      </c>
      <c r="C2325" s="50" t="s">
        <v>5153</v>
      </c>
      <c r="D2325" s="49" t="str">
        <f>IFERROR(__xludf.DUMMYFUNCTION("""COMPUTED_VALUE"""),"catch")</f>
        <v>catch</v>
      </c>
      <c r="E2325" s="49"/>
      <c r="F2325" s="49"/>
      <c r="G2325" s="49"/>
      <c r="H2325" s="54" t="str">
        <f t="shared" si="1"/>
        <v>bear,</v>
      </c>
      <c r="I2325" s="50"/>
      <c r="J2325" s="50" t="s">
        <v>5787</v>
      </c>
      <c r="K2325" s="50" t="s">
        <v>2744</v>
      </c>
      <c r="L2325" s="49"/>
      <c r="M2325" s="49"/>
      <c r="N2325" s="49"/>
      <c r="O2325" s="49"/>
      <c r="P2325" s="49" t="str">
        <f t="shared" si="2"/>
        <v>forum,</v>
      </c>
      <c r="Q2325" s="49"/>
      <c r="R2325" s="50" t="s">
        <v>399</v>
      </c>
      <c r="S2325" s="55" t="s">
        <v>3791</v>
      </c>
      <c r="T2325" s="49"/>
      <c r="U2325" s="49"/>
      <c r="V2325" s="49"/>
      <c r="W2325" s="49"/>
      <c r="X2325" s="49" t="str">
        <f t="shared" si="3"/>
        <v>iranian,</v>
      </c>
      <c r="Y2325" s="49"/>
      <c r="Z2325" s="1" t="s">
        <v>3143</v>
      </c>
      <c r="AA2325" s="1" t="s">
        <v>5498</v>
      </c>
      <c r="AB2325" s="49"/>
      <c r="AC2325" s="49"/>
      <c r="AD2325" s="49"/>
      <c r="AE2325" s="49"/>
      <c r="AF2325" s="49" t="str">
        <f t="shared" si="4"/>
        <v>connect,</v>
      </c>
      <c r="AG2325" s="49"/>
      <c r="AH2325" s="1" t="s">
        <v>700</v>
      </c>
      <c r="AI2325" s="1" t="s">
        <v>3695</v>
      </c>
      <c r="AJ2325" s="6" t="str">
        <f>IFERROR(__xludf.DUMMYFUNCTION("""COMPUTED_VALUE"""),"awards")</f>
        <v>awards</v>
      </c>
      <c r="AK2325" s="49"/>
      <c r="AL2325" s="49"/>
      <c r="AM2325" s="49"/>
      <c r="AN2325" s="52" t="str">
        <f t="shared" si="5"/>
        <v>issues,</v>
      </c>
    </row>
    <row r="2326">
      <c r="A2326" s="51"/>
      <c r="B2326" s="50" t="s">
        <v>5793</v>
      </c>
      <c r="C2326" s="50" t="s">
        <v>5155</v>
      </c>
      <c r="D2326" s="49" t="str">
        <f>IFERROR(__xludf.DUMMYFUNCTION("""COMPUTED_VALUE"""),"dedicated")</f>
        <v>dedicated</v>
      </c>
      <c r="E2326" s="49"/>
      <c r="F2326" s="49"/>
      <c r="G2326" s="49"/>
      <c r="H2326" s="54" t="str">
        <f t="shared" si="1"/>
        <v>breaking,</v>
      </c>
      <c r="I2326" s="50"/>
      <c r="J2326" s="50" t="s">
        <v>3603</v>
      </c>
      <c r="K2326" s="50" t="s">
        <v>1134</v>
      </c>
      <c r="L2326" s="49"/>
      <c r="M2326" s="49"/>
      <c r="N2326" s="49"/>
      <c r="O2326" s="49"/>
      <c r="P2326" s="49" t="str">
        <f t="shared" si="2"/>
        <v>pack,</v>
      </c>
      <c r="Q2326" s="49"/>
      <c r="R2326" s="50" t="s">
        <v>4433</v>
      </c>
      <c r="S2326" s="55" t="s">
        <v>5381</v>
      </c>
      <c r="T2326" s="49"/>
      <c r="U2326" s="49"/>
      <c r="V2326" s="49"/>
      <c r="W2326" s="49"/>
      <c r="X2326" s="49" t="str">
        <f t="shared" si="3"/>
        <v>vastly,</v>
      </c>
      <c r="Y2326" s="49"/>
      <c r="Z2326" s="1" t="s">
        <v>1697</v>
      </c>
      <c r="AA2326" s="1" t="s">
        <v>3749</v>
      </c>
      <c r="AB2326" s="49"/>
      <c r="AC2326" s="49"/>
      <c r="AD2326" s="49"/>
      <c r="AE2326" s="49"/>
      <c r="AF2326" s="49" t="str">
        <f t="shared" si="4"/>
        <v>manner,</v>
      </c>
      <c r="AG2326" s="49"/>
      <c r="AH2326" s="1" t="s">
        <v>3485</v>
      </c>
      <c r="AI2326" s="1" t="s">
        <v>5381</v>
      </c>
      <c r="AJ2326" s="6" t="str">
        <f>IFERROR(__xludf.DUMMYFUNCTION("""COMPUTED_VALUE"""),"decide")</f>
        <v>decide</v>
      </c>
      <c r="AK2326" s="49"/>
      <c r="AL2326" s="49"/>
      <c r="AM2326" s="49"/>
      <c r="AN2326" s="52" t="str">
        <f t="shared" si="5"/>
        <v>convinced,</v>
      </c>
    </row>
    <row r="2327">
      <c r="A2327" s="51"/>
      <c r="B2327" s="50" t="s">
        <v>7568</v>
      </c>
      <c r="C2327" s="50" t="s">
        <v>4623</v>
      </c>
      <c r="D2327" s="49" t="str">
        <f>IFERROR(__xludf.DUMMYFUNCTION("""COMPUTED_VALUE"""),"asian")</f>
        <v>asian</v>
      </c>
      <c r="E2327" s="49"/>
      <c r="F2327" s="49"/>
      <c r="G2327" s="49"/>
      <c r="H2327" s="54" t="str">
        <f t="shared" si="1"/>
        <v>phil,</v>
      </c>
      <c r="I2327" s="50"/>
      <c r="J2327" s="50" t="s">
        <v>47</v>
      </c>
      <c r="K2327" s="50" t="s">
        <v>1140</v>
      </c>
      <c r="L2327" s="49"/>
      <c r="M2327" s="49"/>
      <c r="N2327" s="49"/>
      <c r="O2327" s="49"/>
      <c r="P2327" s="49" t="str">
        <f t="shared" si="2"/>
        <v>redundant,</v>
      </c>
      <c r="Q2327" s="49"/>
      <c r="R2327" s="50" t="s">
        <v>6769</v>
      </c>
      <c r="S2327" s="55" t="s">
        <v>2099</v>
      </c>
      <c r="T2327" s="49"/>
      <c r="U2327" s="49"/>
      <c r="V2327" s="49"/>
      <c r="W2327" s="49"/>
      <c r="X2327" s="49" t="str">
        <f t="shared" si="3"/>
        <v>charged,</v>
      </c>
      <c r="Y2327" s="49"/>
      <c r="Z2327" s="1" t="s">
        <v>5069</v>
      </c>
      <c r="AA2327" s="1" t="s">
        <v>5500</v>
      </c>
      <c r="AB2327" s="49"/>
      <c r="AC2327" s="49"/>
      <c r="AD2327" s="49"/>
      <c r="AE2327" s="49"/>
      <c r="AF2327" s="49" t="str">
        <f t="shared" si="4"/>
        <v>dimension,</v>
      </c>
      <c r="AG2327" s="49"/>
      <c r="AH2327" s="1" t="s">
        <v>6506</v>
      </c>
      <c r="AI2327" s="1" t="s">
        <v>3609</v>
      </c>
      <c r="AJ2327" s="6" t="str">
        <f>IFERROR(__xludf.DUMMYFUNCTION("""COMPUTED_VALUE"""),"sixth")</f>
        <v>sixth</v>
      </c>
      <c r="AK2327" s="49"/>
      <c r="AL2327" s="49"/>
      <c r="AM2327" s="49"/>
      <c r="AN2327" s="52" t="str">
        <f t="shared" si="5"/>
        <v>charlotte,</v>
      </c>
    </row>
    <row r="2328">
      <c r="A2328" s="51"/>
      <c r="B2328" s="50" t="s">
        <v>3097</v>
      </c>
      <c r="C2328" s="50" t="s">
        <v>3424</v>
      </c>
      <c r="D2328" s="49" t="str">
        <f>IFERROR(__xludf.DUMMYFUNCTION("""COMPUTED_VALUE"""),"painting")</f>
        <v>painting</v>
      </c>
      <c r="E2328" s="49"/>
      <c r="F2328" s="49"/>
      <c r="G2328" s="49"/>
      <c r="H2328" s="54" t="str">
        <f t="shared" si="1"/>
        <v>quinn,</v>
      </c>
      <c r="I2328" s="50"/>
      <c r="J2328" s="50" t="s">
        <v>4382</v>
      </c>
      <c r="K2328" s="50" t="s">
        <v>3415</v>
      </c>
      <c r="L2328" s="49"/>
      <c r="M2328" s="49"/>
      <c r="N2328" s="49"/>
      <c r="O2328" s="49"/>
      <c r="P2328" s="49" t="str">
        <f t="shared" si="2"/>
        <v>applies,</v>
      </c>
      <c r="Q2328" s="49"/>
      <c r="R2328" s="50" t="s">
        <v>6761</v>
      </c>
      <c r="S2328" s="55" t="s">
        <v>3795</v>
      </c>
      <c r="T2328" s="49"/>
      <c r="U2328" s="49"/>
      <c r="V2328" s="49"/>
      <c r="W2328" s="49"/>
      <c r="X2328" s="49" t="str">
        <f t="shared" si="3"/>
        <v>choices,</v>
      </c>
      <c r="Y2328" s="49"/>
      <c r="Z2328" s="1" t="s">
        <v>3951</v>
      </c>
      <c r="AA2328" s="1" t="s">
        <v>4547</v>
      </c>
      <c r="AB2328" s="49"/>
      <c r="AC2328" s="49"/>
      <c r="AD2328" s="49"/>
      <c r="AE2328" s="49"/>
      <c r="AF2328" s="49" t="str">
        <f t="shared" si="4"/>
        <v>demons,</v>
      </c>
      <c r="AG2328" s="49"/>
      <c r="AH2328" s="1" t="s">
        <v>244</v>
      </c>
      <c r="AI2328" s="1" t="s">
        <v>5535</v>
      </c>
      <c r="AJ2328" s="6" t="str">
        <f>IFERROR(__xludf.DUMMYFUNCTION("""COMPUTED_VALUE"""),"signals")</f>
        <v>signals</v>
      </c>
      <c r="AK2328" s="49"/>
      <c r="AL2328" s="49"/>
      <c r="AM2328" s="49"/>
      <c r="AN2328" s="52" t="str">
        <f t="shared" si="5"/>
        <v>finish,</v>
      </c>
    </row>
    <row r="2329">
      <c r="A2329" s="51"/>
      <c r="B2329" s="50" t="s">
        <v>2911</v>
      </c>
      <c r="C2329" s="50" t="s">
        <v>3539</v>
      </c>
      <c r="D2329" s="49" t="str">
        <f>IFERROR(__xludf.DUMMYFUNCTION("""COMPUTED_VALUE"""),"reasons")</f>
        <v>reasons</v>
      </c>
      <c r="E2329" s="49"/>
      <c r="F2329" s="49"/>
      <c r="G2329" s="49"/>
      <c r="H2329" s="54" t="str">
        <f t="shared" si="1"/>
        <v>pleasure,</v>
      </c>
      <c r="I2329" s="50"/>
      <c r="J2329" s="50" t="s">
        <v>3488</v>
      </c>
      <c r="K2329" s="50" t="s">
        <v>5503</v>
      </c>
      <c r="L2329" s="49"/>
      <c r="M2329" s="49"/>
      <c r="N2329" s="49"/>
      <c r="O2329" s="49"/>
      <c r="P2329" s="49" t="str">
        <f t="shared" si="2"/>
        <v>lessons,</v>
      </c>
      <c r="Q2329" s="49"/>
      <c r="R2329" s="50" t="s">
        <v>7569</v>
      </c>
      <c r="S2329" s="55" t="s">
        <v>3800</v>
      </c>
      <c r="T2329" s="49"/>
      <c r="U2329" s="49"/>
      <c r="V2329" s="49"/>
      <c r="W2329" s="49"/>
      <c r="X2329" s="49" t="str">
        <f t="shared" si="3"/>
        <v>uncommon,</v>
      </c>
      <c r="Y2329" s="49"/>
      <c r="Z2329" s="1" t="s">
        <v>3609</v>
      </c>
      <c r="AA2329" s="1" t="s">
        <v>5502</v>
      </c>
      <c r="AB2329" s="49"/>
      <c r="AC2329" s="49"/>
      <c r="AD2329" s="49"/>
      <c r="AE2329" s="49"/>
      <c r="AF2329" s="49" t="str">
        <f t="shared" si="4"/>
        <v>ready,</v>
      </c>
      <c r="AG2329" s="49"/>
      <c r="AH2329" s="1" t="s">
        <v>4444</v>
      </c>
      <c r="AI2329" s="1" t="s">
        <v>3322</v>
      </c>
      <c r="AJ2329" s="6" t="str">
        <f>IFERROR(__xludf.DUMMYFUNCTION("""COMPUTED_VALUE"""),"spring")</f>
        <v>spring</v>
      </c>
      <c r="AK2329" s="49"/>
      <c r="AL2329" s="49"/>
      <c r="AM2329" s="49"/>
      <c r="AN2329" s="52" t="str">
        <f t="shared" si="5"/>
        <v>laughing,</v>
      </c>
    </row>
    <row r="2330">
      <c r="A2330" s="51"/>
      <c r="B2330" s="50" t="s">
        <v>7037</v>
      </c>
      <c r="C2330" s="50" t="s">
        <v>6649</v>
      </c>
      <c r="D2330" s="49" t="str">
        <f>IFERROR(__xludf.DUMMYFUNCTION("""COMPUTED_VALUE"""),"regular")</f>
        <v>regular</v>
      </c>
      <c r="E2330" s="49"/>
      <c r="F2330" s="49"/>
      <c r="G2330" s="49"/>
      <c r="H2330" s="54" t="str">
        <f t="shared" si="1"/>
        <v>feed,</v>
      </c>
      <c r="I2330" s="50"/>
      <c r="J2330" s="50" t="s">
        <v>1785</v>
      </c>
      <c r="K2330" s="50" t="s">
        <v>2204</v>
      </c>
      <c r="L2330" s="49"/>
      <c r="M2330" s="49"/>
      <c r="N2330" s="49"/>
      <c r="O2330" s="49"/>
      <c r="P2330" s="49" t="str">
        <f t="shared" si="2"/>
        <v>ordeal,</v>
      </c>
      <c r="Q2330" s="49"/>
      <c r="R2330" s="50" t="s">
        <v>3409</v>
      </c>
      <c r="S2330" s="55" t="s">
        <v>4891</v>
      </c>
      <c r="T2330" s="49"/>
      <c r="U2330" s="49"/>
      <c r="V2330" s="49"/>
      <c r="W2330" s="49"/>
      <c r="X2330" s="49" t="str">
        <f t="shared" si="3"/>
        <v>buttons,</v>
      </c>
      <c r="Y2330" s="49"/>
      <c r="Z2330" s="1" t="s">
        <v>134</v>
      </c>
      <c r="AA2330" s="1" t="s">
        <v>5504</v>
      </c>
      <c r="AB2330" s="49"/>
      <c r="AC2330" s="49"/>
      <c r="AD2330" s="49"/>
      <c r="AE2330" s="49"/>
      <c r="AF2330" s="49" t="str">
        <f t="shared" si="4"/>
        <v>effortlessly,</v>
      </c>
      <c r="AG2330" s="49"/>
      <c r="AH2330" s="1" t="s">
        <v>2016</v>
      </c>
      <c r="AI2330" s="1" t="s">
        <v>4896</v>
      </c>
      <c r="AJ2330" s="6" t="str">
        <f>IFERROR(__xludf.DUMMYFUNCTION("""COMPUTED_VALUE"""),"eleven")</f>
        <v>eleven</v>
      </c>
      <c r="AK2330" s="49"/>
      <c r="AL2330" s="49"/>
      <c r="AM2330" s="49"/>
      <c r="AN2330" s="52" t="str">
        <f t="shared" si="5"/>
        <v>laughter,</v>
      </c>
    </row>
    <row r="2331">
      <c r="A2331" s="51"/>
      <c r="B2331" s="50" t="s">
        <v>489</v>
      </c>
      <c r="C2331" s="50" t="s">
        <v>5554</v>
      </c>
      <c r="D2331" s="49" t="str">
        <f>IFERROR(__xludf.DUMMYFUNCTION("""COMPUTED_VALUE"""),"bought")</f>
        <v>bought</v>
      </c>
      <c r="E2331" s="49"/>
      <c r="F2331" s="49"/>
      <c r="G2331" s="49"/>
      <c r="H2331" s="54" t="str">
        <f t="shared" si="1"/>
        <v>abuse,</v>
      </c>
      <c r="I2331" s="50"/>
      <c r="J2331" s="50" t="s">
        <v>3967</v>
      </c>
      <c r="K2331" s="50" t="s">
        <v>5507</v>
      </c>
      <c r="L2331" s="49"/>
      <c r="M2331" s="49"/>
      <c r="N2331" s="49"/>
      <c r="O2331" s="49"/>
      <c r="P2331" s="49" t="str">
        <f t="shared" si="2"/>
        <v>adrenaline,</v>
      </c>
      <c r="Q2331" s="49"/>
      <c r="R2331" s="50" t="s">
        <v>989</v>
      </c>
      <c r="S2331" s="55" t="s">
        <v>4892</v>
      </c>
      <c r="T2331" s="49"/>
      <c r="U2331" s="49"/>
      <c r="V2331" s="49"/>
      <c r="W2331" s="49"/>
      <c r="X2331" s="49" t="str">
        <f t="shared" si="3"/>
        <v>penetrating,</v>
      </c>
      <c r="Y2331" s="49"/>
      <c r="Z2331" s="1" t="s">
        <v>3663</v>
      </c>
      <c r="AA2331" s="1" t="s">
        <v>5505</v>
      </c>
      <c r="AB2331" s="49"/>
      <c r="AC2331" s="49"/>
      <c r="AD2331" s="49"/>
      <c r="AE2331" s="49"/>
      <c r="AF2331" s="49" t="str">
        <f t="shared" si="4"/>
        <v>locations,</v>
      </c>
      <c r="AG2331" s="49"/>
      <c r="AH2331" s="1" t="s">
        <v>4983</v>
      </c>
      <c r="AI2331" s="1" t="s">
        <v>2360</v>
      </c>
      <c r="AJ2331" s="6" t="str">
        <f>IFERROR(__xludf.DUMMYFUNCTION("""COMPUTED_VALUE"""),"steam")</f>
        <v>steam</v>
      </c>
      <c r="AK2331" s="49"/>
      <c r="AL2331" s="49"/>
      <c r="AM2331" s="49"/>
      <c r="AN2331" s="52" t="str">
        <f t="shared" si="5"/>
        <v>dinner,</v>
      </c>
    </row>
    <row r="2332">
      <c r="A2332" s="51"/>
      <c r="B2332" s="50" t="s">
        <v>5153</v>
      </c>
      <c r="C2332" s="50" t="s">
        <v>1930</v>
      </c>
      <c r="D2332" s="49" t="str">
        <f>IFERROR(__xludf.DUMMYFUNCTION("""COMPUTED_VALUE"""),"protective")</f>
        <v>protective</v>
      </c>
      <c r="E2332" s="49"/>
      <c r="F2332" s="49"/>
      <c r="G2332" s="49"/>
      <c r="H2332" s="54" t="str">
        <f t="shared" si="1"/>
        <v>carved,</v>
      </c>
      <c r="I2332" s="50"/>
      <c r="J2332" s="50" t="s">
        <v>2051</v>
      </c>
      <c r="K2332" s="50" t="s">
        <v>1481</v>
      </c>
      <c r="L2332" s="49"/>
      <c r="M2332" s="49"/>
      <c r="N2332" s="49"/>
      <c r="O2332" s="49"/>
      <c r="P2332" s="49" t="str">
        <f t="shared" si="2"/>
        <v>bits,</v>
      </c>
      <c r="Q2332" s="49"/>
      <c r="R2332" s="50" t="s">
        <v>7570</v>
      </c>
      <c r="S2332" s="55" t="s">
        <v>1069</v>
      </c>
      <c r="T2332" s="49"/>
      <c r="U2332" s="49"/>
      <c r="V2332" s="49"/>
      <c r="W2332" s="49"/>
      <c r="X2332" s="49" t="str">
        <f t="shared" si="3"/>
        <v>abc,</v>
      </c>
      <c r="Y2332" s="49"/>
      <c r="Z2332" s="1" t="s">
        <v>472</v>
      </c>
      <c r="AA2332" s="1" t="s">
        <v>5508</v>
      </c>
      <c r="AB2332" s="49"/>
      <c r="AC2332" s="49"/>
      <c r="AD2332" s="49"/>
      <c r="AE2332" s="49"/>
      <c r="AF2332" s="49" t="str">
        <f t="shared" si="4"/>
        <v>poem,</v>
      </c>
      <c r="AG2332" s="49"/>
      <c r="AH2332" s="1" t="s">
        <v>6480</v>
      </c>
      <c r="AI2332" s="1" t="s">
        <v>954</v>
      </c>
      <c r="AJ2332" s="6" t="str">
        <f>IFERROR(__xludf.DUMMYFUNCTION("""COMPUTED_VALUE"""),"aimed")</f>
        <v>aimed</v>
      </c>
      <c r="AK2332" s="49"/>
      <c r="AL2332" s="49"/>
      <c r="AM2332" s="49"/>
      <c r="AN2332" s="52" t="str">
        <f t="shared" si="5"/>
        <v>selection,</v>
      </c>
    </row>
    <row r="2333">
      <c r="A2333" s="51"/>
      <c r="B2333" s="50" t="s">
        <v>7571</v>
      </c>
      <c r="C2333" s="50" t="s">
        <v>4628</v>
      </c>
      <c r="D2333" s="49" t="str">
        <f>IFERROR(__xludf.DUMMYFUNCTION("""COMPUTED_VALUE"""),"marine")</f>
        <v>marine</v>
      </c>
      <c r="E2333" s="49"/>
      <c r="F2333" s="49"/>
      <c r="G2333" s="49"/>
      <c r="H2333" s="54" t="str">
        <f t="shared" si="1"/>
        <v>sarah,</v>
      </c>
      <c r="I2333" s="50"/>
      <c r="J2333" s="50" t="s">
        <v>3658</v>
      </c>
      <c r="K2333" s="50" t="s">
        <v>1488</v>
      </c>
      <c r="L2333" s="49"/>
      <c r="M2333" s="49"/>
      <c r="N2333" s="49"/>
      <c r="O2333" s="49"/>
      <c r="P2333" s="49" t="str">
        <f t="shared" si="2"/>
        <v>chest,</v>
      </c>
      <c r="Q2333" s="49"/>
      <c r="R2333" s="50" t="s">
        <v>7016</v>
      </c>
      <c r="S2333" s="55" t="s">
        <v>4896</v>
      </c>
      <c r="T2333" s="49"/>
      <c r="U2333" s="49"/>
      <c r="V2333" s="49"/>
      <c r="W2333" s="49"/>
      <c r="X2333" s="49" t="str">
        <f t="shared" si="3"/>
        <v>admitted,</v>
      </c>
      <c r="Y2333" s="49"/>
      <c r="Z2333" s="1" t="s">
        <v>4461</v>
      </c>
      <c r="AA2333" s="1" t="s">
        <v>5509</v>
      </c>
      <c r="AB2333" s="49"/>
      <c r="AC2333" s="49"/>
      <c r="AD2333" s="49"/>
      <c r="AE2333" s="49"/>
      <c r="AF2333" s="49" t="str">
        <f t="shared" si="4"/>
        <v>davis,</v>
      </c>
      <c r="AG2333" s="49"/>
      <c r="AH2333" s="1" t="s">
        <v>6564</v>
      </c>
      <c r="AI2333" s="1" t="s">
        <v>6708</v>
      </c>
      <c r="AJ2333" s="6" t="str">
        <f>IFERROR(__xludf.DUMMYFUNCTION("""COMPUTED_VALUE"""),"pieces")</f>
        <v>pieces</v>
      </c>
      <c r="AK2333" s="49"/>
      <c r="AL2333" s="49"/>
      <c r="AM2333" s="49"/>
      <c r="AN2333" s="52" t="str">
        <f t="shared" si="5"/>
        <v>hang,</v>
      </c>
    </row>
    <row r="2334">
      <c r="A2334" s="51"/>
      <c r="B2334" s="50" t="s">
        <v>1124</v>
      </c>
      <c r="C2334" s="50" t="s">
        <v>4069</v>
      </c>
      <c r="D2334" s="49" t="str">
        <f>IFERROR(__xludf.DUMMYFUNCTION("""COMPUTED_VALUE"""),"agreed")</f>
        <v>agreed</v>
      </c>
      <c r="E2334" s="49"/>
      <c r="F2334" s="49"/>
      <c r="G2334" s="49"/>
      <c r="H2334" s="54" t="str">
        <f t="shared" si="1"/>
        <v>criminal,</v>
      </c>
      <c r="I2334" s="50"/>
      <c r="J2334" s="50" t="s">
        <v>3842</v>
      </c>
      <c r="K2334" s="50" t="s">
        <v>5039</v>
      </c>
      <c r="L2334" s="49"/>
      <c r="M2334" s="49"/>
      <c r="N2334" s="49"/>
      <c r="O2334" s="49"/>
      <c r="P2334" s="49" t="str">
        <f t="shared" si="2"/>
        <v>dare,</v>
      </c>
      <c r="Q2334" s="49"/>
      <c r="R2334" s="50" t="s">
        <v>2686</v>
      </c>
      <c r="S2334" s="55" t="s">
        <v>3982</v>
      </c>
      <c r="T2334" s="49"/>
      <c r="U2334" s="49"/>
      <c r="V2334" s="49"/>
      <c r="W2334" s="49"/>
      <c r="X2334" s="49" t="str">
        <f t="shared" si="3"/>
        <v>wilde,</v>
      </c>
      <c r="Y2334" s="49"/>
      <c r="Z2334" s="1" t="s">
        <v>3483</v>
      </c>
      <c r="AA2334" s="1" t="s">
        <v>4553</v>
      </c>
      <c r="AB2334" s="49"/>
      <c r="AC2334" s="49"/>
      <c r="AD2334" s="49"/>
      <c r="AE2334" s="49"/>
      <c r="AF2334" s="49" t="str">
        <f t="shared" si="4"/>
        <v>sane,</v>
      </c>
      <c r="AG2334" s="49"/>
      <c r="AH2334" s="1" t="s">
        <v>3519</v>
      </c>
      <c r="AI2334" s="1" t="s">
        <v>3845</v>
      </c>
      <c r="AJ2334" s="6" t="str">
        <f>IFERROR(__xludf.DUMMYFUNCTION("""COMPUTED_VALUE"""),"thoughts")</f>
        <v>thoughts</v>
      </c>
      <c r="AK2334" s="49"/>
      <c r="AL2334" s="49"/>
      <c r="AM2334" s="49"/>
      <c r="AN2334" s="52" t="str">
        <f t="shared" si="5"/>
        <v>brand,</v>
      </c>
    </row>
    <row r="2335">
      <c r="A2335" s="51"/>
      <c r="B2335" s="50" t="s">
        <v>6799</v>
      </c>
      <c r="C2335" s="50" t="s">
        <v>5163</v>
      </c>
      <c r="D2335" s="49" t="str">
        <f>IFERROR(__xludf.DUMMYFUNCTION("""COMPUTED_VALUE"""),"seat")</f>
        <v>seat</v>
      </c>
      <c r="E2335" s="49"/>
      <c r="F2335" s="49"/>
      <c r="G2335" s="49"/>
      <c r="H2335" s="54" t="str">
        <f t="shared" si="1"/>
        <v>flowers,</v>
      </c>
      <c r="I2335" s="50"/>
      <c r="J2335" s="50" t="s">
        <v>2342</v>
      </c>
      <c r="K2335" s="50" t="s">
        <v>1182</v>
      </c>
      <c r="L2335" s="49"/>
      <c r="M2335" s="49"/>
      <c r="N2335" s="49"/>
      <c r="O2335" s="49"/>
      <c r="P2335" s="49" t="str">
        <f t="shared" si="2"/>
        <v>sadness,</v>
      </c>
      <c r="Q2335" s="49"/>
      <c r="R2335" s="50" t="s">
        <v>7094</v>
      </c>
      <c r="S2335" s="55" t="s">
        <v>2104</v>
      </c>
      <c r="T2335" s="49"/>
      <c r="U2335" s="49"/>
      <c r="V2335" s="49"/>
      <c r="W2335" s="49"/>
      <c r="X2335" s="49" t="str">
        <f t="shared" si="3"/>
        <v>pin,</v>
      </c>
      <c r="Y2335" s="49"/>
      <c r="Z2335" s="1" t="s">
        <v>2437</v>
      </c>
      <c r="AA2335" s="1" t="s">
        <v>2745</v>
      </c>
      <c r="AB2335" s="49"/>
      <c r="AC2335" s="49"/>
      <c r="AD2335" s="49"/>
      <c r="AE2335" s="49"/>
      <c r="AF2335" s="49" t="str">
        <f t="shared" si="4"/>
        <v>topic,</v>
      </c>
      <c r="AG2335" s="49"/>
      <c r="AH2335" s="1" t="s">
        <v>1400</v>
      </c>
      <c r="AI2335" s="1" t="s">
        <v>3982</v>
      </c>
      <c r="AJ2335" s="6" t="str">
        <f>IFERROR(__xludf.DUMMYFUNCTION("""COMPUTED_VALUE"""),"invited")</f>
        <v>invited</v>
      </c>
      <c r="AK2335" s="49"/>
      <c r="AL2335" s="49"/>
      <c r="AM2335" s="49"/>
      <c r="AN2335" s="52" t="str">
        <f t="shared" si="5"/>
        <v>proper,</v>
      </c>
    </row>
    <row r="2336">
      <c r="A2336" s="51"/>
      <c r="B2336" s="50" t="s">
        <v>5572</v>
      </c>
      <c r="C2336" s="50" t="s">
        <v>6643</v>
      </c>
      <c r="D2336" s="49" t="str">
        <f>IFERROR(__xludf.DUMMYFUNCTION("""COMPUTED_VALUE"""),"wife")</f>
        <v>wife</v>
      </c>
      <c r="E2336" s="49"/>
      <c r="F2336" s="49"/>
      <c r="G2336" s="49"/>
      <c r="H2336" s="54" t="str">
        <f t="shared" si="1"/>
        <v>column,</v>
      </c>
      <c r="I2336" s="50"/>
      <c r="J2336" s="50" t="s">
        <v>3454</v>
      </c>
      <c r="K2336" s="50" t="s">
        <v>2206</v>
      </c>
      <c r="L2336" s="49"/>
      <c r="M2336" s="49"/>
      <c r="N2336" s="49"/>
      <c r="O2336" s="49"/>
      <c r="P2336" s="49" t="str">
        <f t="shared" si="2"/>
        <v>delhi,</v>
      </c>
      <c r="Q2336" s="49"/>
      <c r="R2336" s="50" t="s">
        <v>5954</v>
      </c>
      <c r="S2336" s="55" t="s">
        <v>904</v>
      </c>
      <c r="T2336" s="49"/>
      <c r="U2336" s="49"/>
      <c r="V2336" s="49"/>
      <c r="W2336" s="49"/>
      <c r="X2336" s="49" t="str">
        <f t="shared" si="3"/>
        <v>placing,</v>
      </c>
      <c r="Y2336" s="49"/>
      <c r="Z2336" s="1" t="s">
        <v>1613</v>
      </c>
      <c r="AA2336" s="1" t="s">
        <v>5131</v>
      </c>
      <c r="AB2336" s="49"/>
      <c r="AC2336" s="49"/>
      <c r="AD2336" s="49"/>
      <c r="AE2336" s="49"/>
      <c r="AF2336" s="49" t="str">
        <f t="shared" si="4"/>
        <v>soap,</v>
      </c>
      <c r="AG2336" s="49"/>
      <c r="AH2336" s="1" t="s">
        <v>3408</v>
      </c>
      <c r="AI2336" s="1" t="s">
        <v>6709</v>
      </c>
      <c r="AJ2336" s="6" t="str">
        <f>IFERROR(__xludf.DUMMYFUNCTION("""COMPUTED_VALUE"""),"hip")</f>
        <v>hip</v>
      </c>
      <c r="AK2336" s="49"/>
      <c r="AL2336" s="49"/>
      <c r="AM2336" s="49"/>
      <c r="AN2336" s="52" t="str">
        <f t="shared" si="5"/>
        <v>surely,</v>
      </c>
    </row>
    <row r="2337">
      <c r="A2337" s="51"/>
      <c r="B2337" s="50" t="s">
        <v>6373</v>
      </c>
      <c r="C2337" s="50" t="s">
        <v>4295</v>
      </c>
      <c r="D2337" s="49" t="str">
        <f>IFERROR(__xludf.DUMMYFUNCTION("""COMPUTED_VALUE"""),"incredible")</f>
        <v>incredible</v>
      </c>
      <c r="E2337" s="49"/>
      <c r="F2337" s="49"/>
      <c r="G2337" s="49"/>
      <c r="H2337" s="54" t="str">
        <f t="shared" si="1"/>
        <v>conclusion,</v>
      </c>
      <c r="I2337" s="50"/>
      <c r="J2337" s="50" t="s">
        <v>7512</v>
      </c>
      <c r="K2337" s="50" t="s">
        <v>3999</v>
      </c>
      <c r="L2337" s="49"/>
      <c r="M2337" s="49"/>
      <c r="N2337" s="49"/>
      <c r="O2337" s="49"/>
      <c r="P2337" s="49" t="str">
        <f t="shared" si="2"/>
        <v>spitting,</v>
      </c>
      <c r="Q2337" s="49"/>
      <c r="R2337" s="50" t="s">
        <v>4838</v>
      </c>
      <c r="S2337" s="55" t="s">
        <v>5828</v>
      </c>
      <c r="T2337" s="49"/>
      <c r="U2337" s="49"/>
      <c r="V2337" s="49"/>
      <c r="W2337" s="49"/>
      <c r="X2337" s="49" t="str">
        <f t="shared" si="3"/>
        <v>updated,</v>
      </c>
      <c r="Y2337" s="49"/>
      <c r="Z2337" s="1" t="s">
        <v>6492</v>
      </c>
      <c r="AA2337" s="1" t="s">
        <v>1475</v>
      </c>
      <c r="AB2337" s="49"/>
      <c r="AC2337" s="49"/>
      <c r="AD2337" s="49"/>
      <c r="AE2337" s="49"/>
      <c r="AF2337" s="49" t="str">
        <f t="shared" si="4"/>
        <v>nevertheless,</v>
      </c>
      <c r="AG2337" s="49"/>
      <c r="AH2337" s="1" t="s">
        <v>1813</v>
      </c>
      <c r="AI2337" s="1" t="s">
        <v>5544</v>
      </c>
      <c r="AJ2337" s="6" t="str">
        <f>IFERROR(__xludf.DUMMYFUNCTION("""COMPUTED_VALUE"""),"heat")</f>
        <v>heat</v>
      </c>
      <c r="AK2337" s="49"/>
      <c r="AL2337" s="49"/>
      <c r="AM2337" s="49"/>
      <c r="AN2337" s="52" t="str">
        <f t="shared" si="5"/>
        <v>September,</v>
      </c>
    </row>
    <row r="2338">
      <c r="A2338" s="51"/>
      <c r="B2338" s="50" t="s">
        <v>3877</v>
      </c>
      <c r="C2338" s="50" t="s">
        <v>6644</v>
      </c>
      <c r="D2338" s="49" t="str">
        <f>IFERROR(__xludf.DUMMYFUNCTION("""COMPUTED_VALUE"""),"cox")</f>
        <v>cox</v>
      </c>
      <c r="E2338" s="49"/>
      <c r="F2338" s="49"/>
      <c r="G2338" s="49"/>
      <c r="H2338" s="54" t="str">
        <f t="shared" si="1"/>
        <v>arrive,</v>
      </c>
      <c r="I2338" s="50"/>
      <c r="J2338" s="50" t="s">
        <v>690</v>
      </c>
      <c r="K2338" s="50" t="s">
        <v>3416</v>
      </c>
      <c r="L2338" s="49"/>
      <c r="M2338" s="49"/>
      <c r="N2338" s="49"/>
      <c r="O2338" s="49"/>
      <c r="P2338" s="49" t="str">
        <f t="shared" si="2"/>
        <v>satirical,</v>
      </c>
      <c r="Q2338" s="49"/>
      <c r="R2338" s="50" t="s">
        <v>1923</v>
      </c>
      <c r="S2338" s="55" t="s">
        <v>2105</v>
      </c>
      <c r="T2338" s="49"/>
      <c r="U2338" s="49"/>
      <c r="V2338" s="49"/>
      <c r="W2338" s="49"/>
      <c r="X2338" s="49" t="str">
        <f t="shared" si="3"/>
        <v>sophomore,</v>
      </c>
      <c r="Y2338" s="49"/>
      <c r="Z2338" s="1" t="s">
        <v>2092</v>
      </c>
      <c r="AA2338" s="1" t="s">
        <v>2746</v>
      </c>
      <c r="AB2338" s="49"/>
      <c r="AC2338" s="49"/>
      <c r="AD2338" s="49"/>
      <c r="AE2338" s="49"/>
      <c r="AF2338" s="49" t="str">
        <f t="shared" si="4"/>
        <v>bullets,</v>
      </c>
      <c r="AG2338" s="49"/>
      <c r="AH2338" s="1" t="s">
        <v>3238</v>
      </c>
      <c r="AI2338" s="1" t="s">
        <v>904</v>
      </c>
      <c r="AJ2338" s="6" t="str">
        <f>IFERROR(__xludf.DUMMYFUNCTION("""COMPUTED_VALUE"""),"spain")</f>
        <v>spain</v>
      </c>
      <c r="AK2338" s="49"/>
      <c r="AL2338" s="49"/>
      <c r="AM2338" s="49"/>
      <c r="AN2338" s="52" t="str">
        <f t="shared" si="5"/>
        <v>outside,</v>
      </c>
    </row>
    <row r="2339">
      <c r="A2339" s="51"/>
      <c r="B2339" s="50" t="s">
        <v>2070</v>
      </c>
      <c r="C2339" s="50" t="s">
        <v>4473</v>
      </c>
      <c r="D2339" s="49" t="str">
        <f>IFERROR(__xludf.DUMMYFUNCTION("""COMPUTED_VALUE"""),"martin")</f>
        <v>martin</v>
      </c>
      <c r="E2339" s="49"/>
      <c r="F2339" s="49"/>
      <c r="G2339" s="49"/>
      <c r="H2339" s="54" t="str">
        <f t="shared" si="1"/>
        <v>puts,</v>
      </c>
      <c r="I2339" s="50"/>
      <c r="J2339" s="50" t="s">
        <v>763</v>
      </c>
      <c r="K2339" s="50" t="s">
        <v>5051</v>
      </c>
      <c r="L2339" s="49"/>
      <c r="M2339" s="49"/>
      <c r="N2339" s="49"/>
      <c r="O2339" s="49"/>
      <c r="P2339" s="49" t="str">
        <f t="shared" si="2"/>
        <v>betrayed,</v>
      </c>
      <c r="Q2339" s="49"/>
      <c r="R2339" s="50" t="s">
        <v>1134</v>
      </c>
      <c r="S2339" s="55" t="s">
        <v>3330</v>
      </c>
      <c r="T2339" s="49"/>
      <c r="U2339" s="49"/>
      <c r="V2339" s="49"/>
      <c r="W2339" s="49"/>
      <c r="X2339" s="49" t="str">
        <f t="shared" si="3"/>
        <v>hilary,</v>
      </c>
      <c r="Y2339" s="49"/>
      <c r="Z2339" s="1" t="s">
        <v>5979</v>
      </c>
      <c r="AA2339" s="1" t="s">
        <v>5189</v>
      </c>
      <c r="AB2339" s="49"/>
      <c r="AC2339" s="49"/>
      <c r="AD2339" s="49"/>
      <c r="AE2339" s="49"/>
      <c r="AF2339" s="49" t="str">
        <f t="shared" si="4"/>
        <v>fi,</v>
      </c>
      <c r="AG2339" s="49"/>
      <c r="AH2339" s="1" t="s">
        <v>1711</v>
      </c>
      <c r="AI2339" s="1" t="s">
        <v>5828</v>
      </c>
      <c r="AJ2339" s="6" t="str">
        <f>IFERROR(__xludf.DUMMYFUNCTION("""COMPUTED_VALUE"""),"send")</f>
        <v>send</v>
      </c>
      <c r="AK2339" s="49"/>
      <c r="AL2339" s="49"/>
      <c r="AM2339" s="49"/>
      <c r="AN2339" s="52" t="str">
        <f t="shared" si="5"/>
        <v>hole,</v>
      </c>
    </row>
    <row r="2340">
      <c r="A2340" s="51"/>
      <c r="B2340" s="50" t="s">
        <v>7172</v>
      </c>
      <c r="C2340" s="50" t="s">
        <v>3123</v>
      </c>
      <c r="D2340" s="49" t="str">
        <f>IFERROR(__xludf.DUMMYFUNCTION("""COMPUTED_VALUE"""),"granted")</f>
        <v>granted</v>
      </c>
      <c r="E2340" s="49"/>
      <c r="F2340" s="49"/>
      <c r="G2340" s="49"/>
      <c r="H2340" s="54" t="str">
        <f t="shared" si="1"/>
        <v>blond,</v>
      </c>
      <c r="I2340" s="50"/>
      <c r="J2340" s="50" t="s">
        <v>4306</v>
      </c>
      <c r="K2340" s="50" t="s">
        <v>5512</v>
      </c>
      <c r="L2340" s="49"/>
      <c r="M2340" s="49"/>
      <c r="N2340" s="49"/>
      <c r="O2340" s="49"/>
      <c r="P2340" s="49" t="str">
        <f t="shared" si="2"/>
        <v>verve,</v>
      </c>
      <c r="Q2340" s="49"/>
      <c r="R2340" s="50" t="s">
        <v>1920</v>
      </c>
      <c r="S2340" s="55" t="s">
        <v>4373</v>
      </c>
      <c r="T2340" s="49"/>
      <c r="U2340" s="49"/>
      <c r="V2340" s="49"/>
      <c r="W2340" s="49"/>
      <c r="X2340" s="49" t="str">
        <f t="shared" si="3"/>
        <v>griffiths,</v>
      </c>
      <c r="Y2340" s="49"/>
      <c r="Z2340" s="1" t="s">
        <v>3212</v>
      </c>
      <c r="AA2340" s="1" t="s">
        <v>4556</v>
      </c>
      <c r="AB2340" s="49"/>
      <c r="AC2340" s="49"/>
      <c r="AD2340" s="49"/>
      <c r="AE2340" s="49"/>
      <c r="AF2340" s="49" t="str">
        <f t="shared" si="4"/>
        <v>colors,</v>
      </c>
      <c r="AG2340" s="49"/>
      <c r="AH2340" s="1" t="s">
        <v>3984</v>
      </c>
      <c r="AI2340" s="1" t="s">
        <v>3330</v>
      </c>
      <c r="AJ2340" s="6" t="str">
        <f>IFERROR(__xludf.DUMMYFUNCTION("""COMPUTED_VALUE"""),"league")</f>
        <v>league</v>
      </c>
      <c r="AK2340" s="49"/>
      <c r="AL2340" s="49"/>
      <c r="AM2340" s="49"/>
      <c r="AN2340" s="52" t="str">
        <f t="shared" si="5"/>
        <v>faster,</v>
      </c>
    </row>
    <row r="2341">
      <c r="A2341" s="51"/>
      <c r="B2341" s="50" t="s">
        <v>5683</v>
      </c>
      <c r="C2341" s="50" t="s">
        <v>6651</v>
      </c>
      <c r="D2341" s="49" t="str">
        <f>IFERROR(__xludf.DUMMYFUNCTION("""COMPUTED_VALUE"""),"details")</f>
        <v>details</v>
      </c>
      <c r="E2341" s="49"/>
      <c r="F2341" s="49"/>
      <c r="G2341" s="49"/>
      <c r="H2341" s="54" t="str">
        <f t="shared" si="1"/>
        <v>magical,</v>
      </c>
      <c r="I2341" s="50"/>
      <c r="J2341" s="50" t="s">
        <v>6066</v>
      </c>
      <c r="K2341" s="50" t="s">
        <v>4003</v>
      </c>
      <c r="L2341" s="49"/>
      <c r="M2341" s="49"/>
      <c r="N2341" s="49"/>
      <c r="O2341" s="49"/>
      <c r="P2341" s="49" t="str">
        <f t="shared" si="2"/>
        <v>tang,</v>
      </c>
      <c r="Q2341" s="49"/>
      <c r="R2341" s="50" t="s">
        <v>4116</v>
      </c>
      <c r="S2341" s="55" t="s">
        <v>3812</v>
      </c>
      <c r="T2341" s="49"/>
      <c r="U2341" s="49"/>
      <c r="V2341" s="49"/>
      <c r="W2341" s="49"/>
      <c r="X2341" s="49" t="str">
        <f t="shared" si="3"/>
        <v>plainly,</v>
      </c>
      <c r="Y2341" s="49"/>
      <c r="Z2341" s="1" t="s">
        <v>5786</v>
      </c>
      <c r="AA2341" s="1" t="s">
        <v>2750</v>
      </c>
      <c r="AB2341" s="49"/>
      <c r="AC2341" s="49"/>
      <c r="AD2341" s="49"/>
      <c r="AE2341" s="49"/>
      <c r="AF2341" s="49" t="str">
        <f t="shared" si="4"/>
        <v>guilt,</v>
      </c>
      <c r="AG2341" s="49"/>
      <c r="AH2341" s="1" t="s">
        <v>6656</v>
      </c>
      <c r="AI2341" s="1" t="s">
        <v>3812</v>
      </c>
      <c r="AJ2341" s="6" t="str">
        <f>IFERROR(__xludf.DUMMYFUNCTION("""COMPUTED_VALUE"""),"players")</f>
        <v>players</v>
      </c>
      <c r="AK2341" s="49"/>
      <c r="AL2341" s="49"/>
      <c r="AM2341" s="49"/>
      <c r="AN2341" s="52" t="str">
        <f t="shared" si="5"/>
        <v>defense,</v>
      </c>
    </row>
    <row r="2342">
      <c r="A2342" s="51"/>
      <c r="B2342" s="50" t="s">
        <v>562</v>
      </c>
      <c r="C2342" s="50" t="s">
        <v>3125</v>
      </c>
      <c r="D2342" s="49" t="str">
        <f>IFERROR(__xludf.DUMMYFUNCTION("""COMPUTED_VALUE"""),"adding")</f>
        <v>adding</v>
      </c>
      <c r="E2342" s="49"/>
      <c r="F2342" s="49"/>
      <c r="G2342" s="49"/>
      <c r="H2342" s="54" t="str">
        <f t="shared" si="1"/>
        <v>silly,</v>
      </c>
      <c r="I2342" s="50"/>
      <c r="J2342" s="50" t="s">
        <v>1633</v>
      </c>
      <c r="K2342" s="50" t="s">
        <v>2208</v>
      </c>
      <c r="L2342" s="49"/>
      <c r="M2342" s="49"/>
      <c r="N2342" s="49"/>
      <c r="O2342" s="49"/>
      <c r="P2342" s="49" t="str">
        <f t="shared" si="2"/>
        <v>pageant,</v>
      </c>
      <c r="Q2342" s="49"/>
      <c r="R2342" s="50" t="s">
        <v>4971</v>
      </c>
      <c r="S2342" s="55" t="s">
        <v>5318</v>
      </c>
      <c r="T2342" s="49"/>
      <c r="U2342" s="49"/>
      <c r="V2342" s="49"/>
      <c r="W2342" s="49"/>
      <c r="X2342" s="49" t="str">
        <f t="shared" si="3"/>
        <v>landscapes,</v>
      </c>
      <c r="Y2342" s="49"/>
      <c r="Z2342" s="1" t="s">
        <v>2778</v>
      </c>
      <c r="AA2342" s="1" t="s">
        <v>2748</v>
      </c>
      <c r="AB2342" s="49"/>
      <c r="AC2342" s="49"/>
      <c r="AD2342" s="49"/>
      <c r="AE2342" s="49"/>
      <c r="AF2342" s="49" t="str">
        <f t="shared" si="4"/>
        <v>obstacles,</v>
      </c>
      <c r="AG2342" s="49"/>
      <c r="AH2342" s="1" t="s">
        <v>6885</v>
      </c>
      <c r="AI2342" s="1" t="s">
        <v>3337</v>
      </c>
      <c r="AJ2342" s="6" t="str">
        <f>IFERROR(__xludf.DUMMYFUNCTION("""COMPUTED_VALUE"""),"forms")</f>
        <v>forms</v>
      </c>
      <c r="AK2342" s="49"/>
      <c r="AL2342" s="49"/>
      <c r="AM2342" s="49"/>
      <c r="AN2342" s="52" t="str">
        <f t="shared" si="5"/>
        <v>judge,</v>
      </c>
    </row>
    <row r="2343">
      <c r="A2343" s="51"/>
      <c r="B2343" s="50" t="s">
        <v>4204</v>
      </c>
      <c r="C2343" s="50" t="s">
        <v>1208</v>
      </c>
      <c r="D2343" s="49" t="str">
        <f>IFERROR(__xludf.DUMMYFUNCTION("""COMPUTED_VALUE"""),"meeting")</f>
        <v>meeting</v>
      </c>
      <c r="E2343" s="49"/>
      <c r="F2343" s="49"/>
      <c r="G2343" s="49"/>
      <c r="H2343" s="54" t="str">
        <f t="shared" si="1"/>
        <v>championship,</v>
      </c>
      <c r="I2343" s="50"/>
      <c r="J2343" s="50" t="s">
        <v>2443</v>
      </c>
      <c r="K2343" s="50" t="s">
        <v>4007</v>
      </c>
      <c r="L2343" s="49"/>
      <c r="M2343" s="49"/>
      <c r="N2343" s="49"/>
      <c r="O2343" s="49"/>
      <c r="P2343" s="49" t="str">
        <f t="shared" si="2"/>
        <v>scandal,</v>
      </c>
      <c r="Q2343" s="49"/>
      <c r="R2343" s="50" t="s">
        <v>1106</v>
      </c>
      <c r="S2343" s="55" t="s">
        <v>3337</v>
      </c>
      <c r="T2343" s="49"/>
      <c r="U2343" s="49"/>
      <c r="V2343" s="49"/>
      <c r="W2343" s="49"/>
      <c r="X2343" s="49" t="str">
        <f t="shared" si="3"/>
        <v>visionary,</v>
      </c>
      <c r="Y2343" s="49"/>
      <c r="Z2343" s="1" t="s">
        <v>2223</v>
      </c>
      <c r="AA2343" s="1" t="s">
        <v>4560</v>
      </c>
      <c r="AB2343" s="49"/>
      <c r="AC2343" s="49"/>
      <c r="AD2343" s="49"/>
      <c r="AE2343" s="49"/>
      <c r="AF2343" s="49" t="str">
        <f t="shared" si="4"/>
        <v>martha,</v>
      </c>
      <c r="AG2343" s="49"/>
      <c r="AH2343" s="1" t="s">
        <v>4080</v>
      </c>
      <c r="AI2343" s="1" t="s">
        <v>5398</v>
      </c>
      <c r="AJ2343" s="6" t="str">
        <f>IFERROR(__xludf.DUMMYFUNCTION("""COMPUTED_VALUE"""),"physician")</f>
        <v>physician</v>
      </c>
      <c r="AK2343" s="49"/>
      <c r="AL2343" s="49"/>
      <c r="AM2343" s="49"/>
      <c r="AN2343" s="52" t="str">
        <f t="shared" si="5"/>
        <v>knowing,</v>
      </c>
    </row>
    <row r="2344">
      <c r="A2344" s="51"/>
      <c r="B2344" s="50" t="s">
        <v>3820</v>
      </c>
      <c r="C2344" s="50" t="s">
        <v>3851</v>
      </c>
      <c r="D2344" s="49" t="str">
        <f>IFERROR(__xludf.DUMMYFUNCTION("""COMPUTED_VALUE"""),"empire")</f>
        <v>empire</v>
      </c>
      <c r="E2344" s="49"/>
      <c r="F2344" s="49"/>
      <c r="G2344" s="49"/>
      <c r="H2344" s="54" t="str">
        <f t="shared" si="1"/>
        <v>wrestling,</v>
      </c>
      <c r="I2344" s="50"/>
      <c r="J2344" s="50" t="s">
        <v>1017</v>
      </c>
      <c r="K2344" s="50" t="s">
        <v>4010</v>
      </c>
      <c r="L2344" s="49"/>
      <c r="M2344" s="49"/>
      <c r="N2344" s="49"/>
      <c r="O2344" s="49"/>
      <c r="P2344" s="49" t="str">
        <f t="shared" si="2"/>
        <v>adequately,</v>
      </c>
      <c r="Q2344" s="49"/>
      <c r="R2344" s="50" t="s">
        <v>3142</v>
      </c>
      <c r="S2344" s="55" t="s">
        <v>2109</v>
      </c>
      <c r="T2344" s="49"/>
      <c r="U2344" s="49"/>
      <c r="V2344" s="49"/>
      <c r="W2344" s="49"/>
      <c r="X2344" s="49" t="str">
        <f t="shared" si="3"/>
        <v>vibrant,</v>
      </c>
      <c r="Y2344" s="49"/>
      <c r="Z2344" s="1" t="s">
        <v>6090</v>
      </c>
      <c r="AA2344" s="1" t="s">
        <v>1556</v>
      </c>
      <c r="AB2344" s="49"/>
      <c r="AC2344" s="49"/>
      <c r="AD2344" s="49"/>
      <c r="AE2344" s="49"/>
      <c r="AF2344" s="49" t="str">
        <f t="shared" si="4"/>
        <v>throat,</v>
      </c>
      <c r="AG2344" s="49"/>
      <c r="AH2344" s="1" t="s">
        <v>6715</v>
      </c>
      <c r="AI2344" s="1" t="s">
        <v>5401</v>
      </c>
      <c r="AJ2344" s="6" t="str">
        <f>IFERROR(__xludf.DUMMYFUNCTION("""COMPUTED_VALUE"""),"younger")</f>
        <v>younger</v>
      </c>
      <c r="AK2344" s="49"/>
      <c r="AL2344" s="49"/>
      <c r="AM2344" s="49"/>
      <c r="AN2344" s="52" t="str">
        <f t="shared" si="5"/>
        <v>strings,</v>
      </c>
    </row>
    <row r="2345">
      <c r="A2345" s="51"/>
      <c r="B2345" s="50" t="s">
        <v>7354</v>
      </c>
      <c r="C2345" s="50" t="s">
        <v>5330</v>
      </c>
      <c r="D2345" s="49" t="str">
        <f>IFERROR(__xludf.DUMMYFUNCTION("""COMPUTED_VALUE"""),"strikes")</f>
        <v>strikes</v>
      </c>
      <c r="E2345" s="49"/>
      <c r="F2345" s="49"/>
      <c r="G2345" s="49"/>
      <c r="H2345" s="54" t="str">
        <f t="shared" si="1"/>
        <v>ted,</v>
      </c>
      <c r="I2345" s="50"/>
      <c r="J2345" s="50" t="s">
        <v>2028</v>
      </c>
      <c r="K2345" s="50" t="s">
        <v>4013</v>
      </c>
      <c r="L2345" s="49"/>
      <c r="M2345" s="49"/>
      <c r="N2345" s="49"/>
      <c r="O2345" s="49"/>
      <c r="P2345" s="49" t="str">
        <f t="shared" si="2"/>
        <v>radical,</v>
      </c>
      <c r="Q2345" s="49"/>
      <c r="R2345" s="50" t="s">
        <v>2375</v>
      </c>
      <c r="S2345" s="55" t="s">
        <v>5398</v>
      </c>
      <c r="T2345" s="49"/>
      <c r="U2345" s="49"/>
      <c r="V2345" s="49"/>
      <c r="W2345" s="49"/>
      <c r="X2345" s="49" t="str">
        <f t="shared" si="3"/>
        <v>aims,</v>
      </c>
      <c r="Y2345" s="49"/>
      <c r="Z2345" s="1" t="s">
        <v>6359</v>
      </c>
      <c r="AA2345" s="1" t="s">
        <v>5513</v>
      </c>
      <c r="AB2345" s="49"/>
      <c r="AC2345" s="49"/>
      <c r="AD2345" s="49"/>
      <c r="AE2345" s="49"/>
      <c r="AF2345" s="49" t="str">
        <f t="shared" si="4"/>
        <v>honestly,</v>
      </c>
      <c r="AG2345" s="49"/>
      <c r="AH2345" s="1" t="s">
        <v>3759</v>
      </c>
      <c r="AI2345" s="1" t="s">
        <v>6710</v>
      </c>
      <c r="AJ2345" s="6" t="str">
        <f>IFERROR(__xludf.DUMMYFUNCTION("""COMPUTED_VALUE"""),"flag")</f>
        <v>flag</v>
      </c>
      <c r="AK2345" s="49"/>
      <c r="AL2345" s="49"/>
      <c r="AM2345" s="49"/>
      <c r="AN2345" s="52" t="str">
        <f t="shared" si="5"/>
        <v>tales,</v>
      </c>
    </row>
    <row r="2346">
      <c r="A2346" s="51"/>
      <c r="B2346" s="50" t="s">
        <v>1474</v>
      </c>
      <c r="C2346" s="50" t="s">
        <v>5335</v>
      </c>
      <c r="D2346" s="49" t="str">
        <f>IFERROR(__xludf.DUMMYFUNCTION("""COMPUTED_VALUE"""),"resident")</f>
        <v>resident</v>
      </c>
      <c r="E2346" s="49"/>
      <c r="F2346" s="49"/>
      <c r="G2346" s="49"/>
      <c r="H2346" s="54" t="str">
        <f t="shared" si="1"/>
        <v>excuse,</v>
      </c>
      <c r="I2346" s="50"/>
      <c r="J2346" s="50" t="s">
        <v>2868</v>
      </c>
      <c r="K2346" s="50" t="s">
        <v>1318</v>
      </c>
      <c r="L2346" s="49"/>
      <c r="M2346" s="49"/>
      <c r="N2346" s="49"/>
      <c r="O2346" s="49"/>
      <c r="P2346" s="49" t="str">
        <f t="shared" si="2"/>
        <v>fisher,</v>
      </c>
      <c r="Q2346" s="49"/>
      <c r="R2346" s="50" t="s">
        <v>3341</v>
      </c>
      <c r="S2346" s="55" t="s">
        <v>5401</v>
      </c>
      <c r="T2346" s="49"/>
      <c r="U2346" s="49"/>
      <c r="V2346" s="49"/>
      <c r="W2346" s="49"/>
      <c r="X2346" s="49" t="str">
        <f t="shared" si="3"/>
        <v>werner,</v>
      </c>
      <c r="Y2346" s="49"/>
      <c r="Z2346" s="1" t="s">
        <v>6001</v>
      </c>
      <c r="AA2346" s="1" t="s">
        <v>2758</v>
      </c>
      <c r="AB2346" s="49"/>
      <c r="AC2346" s="49"/>
      <c r="AD2346" s="49"/>
      <c r="AE2346" s="49"/>
      <c r="AF2346" s="49" t="str">
        <f t="shared" si="4"/>
        <v>loving,</v>
      </c>
      <c r="AG2346" s="49"/>
      <c r="AH2346" s="1" t="s">
        <v>1425</v>
      </c>
      <c r="AI2346" s="1" t="s">
        <v>3820</v>
      </c>
      <c r="AJ2346" s="6" t="str">
        <f>IFERROR(__xludf.DUMMYFUNCTION("""COMPUTED_VALUE"""),"spin")</f>
        <v>spin</v>
      </c>
      <c r="AK2346" s="49"/>
      <c r="AL2346" s="49"/>
      <c r="AM2346" s="49"/>
      <c r="AN2346" s="52" t="str">
        <f t="shared" si="5"/>
        <v>station,</v>
      </c>
    </row>
    <row r="2347">
      <c r="A2347" s="51"/>
      <c r="B2347" s="50" t="s">
        <v>2642</v>
      </c>
      <c r="C2347" s="50" t="s">
        <v>6654</v>
      </c>
      <c r="D2347" s="49" t="str">
        <f>IFERROR(__xludf.DUMMYFUNCTION("""COMPUTED_VALUE"""),"experienced")</f>
        <v>experienced</v>
      </c>
      <c r="E2347" s="49"/>
      <c r="F2347" s="49"/>
      <c r="G2347" s="49"/>
      <c r="H2347" s="54" t="str">
        <f t="shared" si="1"/>
        <v>straight,</v>
      </c>
      <c r="I2347" s="50"/>
      <c r="J2347" s="50" t="s">
        <v>4785</v>
      </c>
      <c r="K2347" s="50" t="s">
        <v>2797</v>
      </c>
      <c r="L2347" s="49"/>
      <c r="M2347" s="49"/>
      <c r="N2347" s="49"/>
      <c r="O2347" s="49"/>
      <c r="P2347" s="49" t="str">
        <f t="shared" si="2"/>
        <v>shine,</v>
      </c>
      <c r="Q2347" s="49"/>
      <c r="R2347" s="50" t="s">
        <v>3680</v>
      </c>
      <c r="S2347" s="55" t="s">
        <v>3817</v>
      </c>
      <c r="T2347" s="49"/>
      <c r="U2347" s="49"/>
      <c r="V2347" s="49"/>
      <c r="W2347" s="49"/>
      <c r="X2347" s="49" t="str">
        <f t="shared" si="3"/>
        <v>exquisite,</v>
      </c>
      <c r="Y2347" s="49"/>
      <c r="Z2347" s="1" t="s">
        <v>4639</v>
      </c>
      <c r="AA2347" s="1" t="s">
        <v>2763</v>
      </c>
      <c r="AB2347" s="49"/>
      <c r="AC2347" s="49"/>
      <c r="AD2347" s="49"/>
      <c r="AE2347" s="49"/>
      <c r="AF2347" s="49" t="str">
        <f t="shared" si="4"/>
        <v>eventual,</v>
      </c>
      <c r="AG2347" s="49"/>
      <c r="AH2347" s="1" t="s">
        <v>1780</v>
      </c>
      <c r="AI2347" s="1" t="s">
        <v>6711</v>
      </c>
      <c r="AJ2347" s="6" t="str">
        <f>IFERROR(__xludf.DUMMYFUNCTION("""COMPUTED_VALUE"""),"colin")</f>
        <v>colin</v>
      </c>
      <c r="AK2347" s="49"/>
      <c r="AL2347" s="49"/>
      <c r="AM2347" s="49"/>
      <c r="AN2347" s="52" t="str">
        <f t="shared" si="5"/>
        <v>further,</v>
      </c>
    </row>
    <row r="2348">
      <c r="A2348" s="51"/>
      <c r="B2348" s="50" t="s">
        <v>5513</v>
      </c>
      <c r="C2348" s="50" t="s">
        <v>5172</v>
      </c>
      <c r="D2348" s="49" t="str">
        <f>IFERROR(__xludf.DUMMYFUNCTION("""COMPUTED_VALUE"""),"lighter")</f>
        <v>lighter</v>
      </c>
      <c r="E2348" s="49"/>
      <c r="F2348" s="49"/>
      <c r="G2348" s="49"/>
      <c r="H2348" s="54" t="str">
        <f t="shared" si="1"/>
        <v>carl,</v>
      </c>
      <c r="I2348" s="50"/>
      <c r="J2348" s="50" t="s">
        <v>4119</v>
      </c>
      <c r="K2348" s="50" t="s">
        <v>5516</v>
      </c>
      <c r="L2348" s="49"/>
      <c r="M2348" s="49"/>
      <c r="N2348" s="49"/>
      <c r="O2348" s="49"/>
      <c r="P2348" s="49" t="str">
        <f t="shared" si="2"/>
        <v>devices,</v>
      </c>
      <c r="Q2348" s="49"/>
      <c r="R2348" s="50" t="s">
        <v>5788</v>
      </c>
      <c r="S2348" s="55" t="s">
        <v>4908</v>
      </c>
      <c r="T2348" s="49"/>
      <c r="U2348" s="49"/>
      <c r="V2348" s="49"/>
      <c r="W2348" s="49"/>
      <c r="X2348" s="49" t="str">
        <f t="shared" si="3"/>
        <v>uniquely,</v>
      </c>
      <c r="Y2348" s="49"/>
      <c r="Z2348" s="1" t="s">
        <v>2689</v>
      </c>
      <c r="AA2348" s="1" t="s">
        <v>4566</v>
      </c>
      <c r="AB2348" s="49"/>
      <c r="AC2348" s="49"/>
      <c r="AD2348" s="49"/>
      <c r="AE2348" s="49"/>
      <c r="AF2348" s="49" t="str">
        <f t="shared" si="4"/>
        <v>equal,</v>
      </c>
      <c r="AG2348" s="49"/>
      <c r="AH2348" s="1" t="s">
        <v>3511</v>
      </c>
      <c r="AI2348" s="1" t="s">
        <v>3828</v>
      </c>
      <c r="AJ2348" s="6" t="str">
        <f>IFERROR(__xludf.DUMMYFUNCTION("""COMPUTED_VALUE"""),"jesse")</f>
        <v>jesse</v>
      </c>
      <c r="AK2348" s="49"/>
      <c r="AL2348" s="49"/>
      <c r="AM2348" s="49"/>
      <c r="AN2348" s="52" t="str">
        <f t="shared" si="5"/>
        <v>via,</v>
      </c>
    </row>
    <row r="2349">
      <c r="A2349" s="51"/>
      <c r="B2349" s="50" t="s">
        <v>5693</v>
      </c>
      <c r="C2349" s="50" t="s">
        <v>3555</v>
      </c>
      <c r="D2349" s="49" t="str">
        <f>IFERROR(__xludf.DUMMYFUNCTION("""COMPUTED_VALUE"""),"bowl")</f>
        <v>bowl</v>
      </c>
      <c r="E2349" s="49"/>
      <c r="F2349" s="49"/>
      <c r="G2349" s="49"/>
      <c r="H2349" s="54" t="str">
        <f t="shared" si="1"/>
        <v>anywhere,</v>
      </c>
      <c r="I2349" s="50"/>
      <c r="J2349" s="50" t="s">
        <v>4799</v>
      </c>
      <c r="K2349" s="50" t="s">
        <v>2210</v>
      </c>
      <c r="L2349" s="49"/>
      <c r="M2349" s="49"/>
      <c r="N2349" s="49"/>
      <c r="O2349" s="49"/>
      <c r="P2349" s="49" t="str">
        <f t="shared" si="2"/>
        <v>keel,</v>
      </c>
      <c r="Q2349" s="49"/>
      <c r="R2349" s="50" t="s">
        <v>4809</v>
      </c>
      <c r="S2349" s="55" t="s">
        <v>3823</v>
      </c>
      <c r="T2349" s="49"/>
      <c r="U2349" s="49"/>
      <c r="V2349" s="49"/>
      <c r="W2349" s="49"/>
      <c r="X2349" s="49" t="str">
        <f t="shared" si="3"/>
        <v>dimensional,</v>
      </c>
      <c r="Y2349" s="49"/>
      <c r="Z2349" s="1" t="s">
        <v>2288</v>
      </c>
      <c r="AA2349" s="1" t="s">
        <v>5517</v>
      </c>
      <c r="AB2349" s="49"/>
      <c r="AC2349" s="49"/>
      <c r="AD2349" s="49"/>
      <c r="AE2349" s="49"/>
      <c r="AF2349" s="49" t="str">
        <f t="shared" si="4"/>
        <v>cleansing,</v>
      </c>
      <c r="AG2349" s="49"/>
      <c r="AH2349" s="1" t="s">
        <v>122</v>
      </c>
      <c r="AI2349" s="1" t="s">
        <v>5327</v>
      </c>
      <c r="AJ2349" s="6" t="str">
        <f>IFERROR(__xludf.DUMMYFUNCTION("""COMPUTED_VALUE"""),"inc")</f>
        <v>inc</v>
      </c>
      <c r="AK2349" s="49"/>
      <c r="AL2349" s="49"/>
      <c r="AM2349" s="49"/>
      <c r="AN2349" s="52" t="str">
        <f t="shared" si="5"/>
        <v>heroes,</v>
      </c>
    </row>
    <row r="2350">
      <c r="A2350" s="51"/>
      <c r="B2350" s="50" t="s">
        <v>5050</v>
      </c>
      <c r="C2350" s="50" t="s">
        <v>6655</v>
      </c>
      <c r="D2350" s="49" t="str">
        <f>IFERROR(__xludf.DUMMYFUNCTION("""COMPUTED_VALUE"""),"treasure")</f>
        <v>treasure</v>
      </c>
      <c r="E2350" s="49"/>
      <c r="F2350" s="49"/>
      <c r="G2350" s="49"/>
      <c r="H2350" s="54" t="str">
        <f t="shared" si="1"/>
        <v>sweat,</v>
      </c>
      <c r="I2350" s="50"/>
      <c r="J2350" s="50" t="s">
        <v>7513</v>
      </c>
      <c r="K2350" s="50" t="s">
        <v>4017</v>
      </c>
      <c r="L2350" s="49"/>
      <c r="M2350" s="49"/>
      <c r="N2350" s="49"/>
      <c r="O2350" s="49"/>
      <c r="P2350" s="49" t="str">
        <f t="shared" si="2"/>
        <v>infant,</v>
      </c>
      <c r="Q2350" s="49"/>
      <c r="R2350" s="50" t="s">
        <v>7572</v>
      </c>
      <c r="S2350" s="55" t="s">
        <v>3825</v>
      </c>
      <c r="T2350" s="49"/>
      <c r="U2350" s="49"/>
      <c r="V2350" s="49"/>
      <c r="W2350" s="49"/>
      <c r="X2350" s="49" t="str">
        <f t="shared" si="3"/>
        <v>ki,</v>
      </c>
      <c r="Y2350" s="49"/>
      <c r="Z2350" s="1" t="s">
        <v>1696</v>
      </c>
      <c r="AA2350" s="1" t="s">
        <v>1884</v>
      </c>
      <c r="AB2350" s="49"/>
      <c r="AC2350" s="49"/>
      <c r="AD2350" s="49"/>
      <c r="AE2350" s="49"/>
      <c r="AF2350" s="49" t="str">
        <f t="shared" si="4"/>
        <v>vague,</v>
      </c>
      <c r="AG2350" s="49"/>
      <c r="AH2350" s="1" t="s">
        <v>1164</v>
      </c>
      <c r="AI2350" s="1" t="s">
        <v>3831</v>
      </c>
      <c r="AJ2350" s="6" t="str">
        <f>IFERROR(__xludf.DUMMYFUNCTION("""COMPUTED_VALUE"""),"dear")</f>
        <v>dear</v>
      </c>
      <c r="AK2350" s="49"/>
      <c r="AL2350" s="49"/>
      <c r="AM2350" s="49"/>
      <c r="AN2350" s="52" t="str">
        <f t="shared" si="5"/>
        <v>london,</v>
      </c>
    </row>
    <row r="2351">
      <c r="A2351" s="51"/>
      <c r="B2351" s="50" t="s">
        <v>2127</v>
      </c>
      <c r="C2351" s="50" t="s">
        <v>1062</v>
      </c>
      <c r="D2351" s="49" t="str">
        <f>IFERROR(__xludf.DUMMYFUNCTION("""COMPUTED_VALUE"""),"rivals")</f>
        <v>rivals</v>
      </c>
      <c r="E2351" s="49"/>
      <c r="F2351" s="49"/>
      <c r="G2351" s="49"/>
      <c r="H2351" s="54" t="str">
        <f t="shared" si="1"/>
        <v>pain,</v>
      </c>
      <c r="I2351" s="50"/>
      <c r="J2351" s="50" t="s">
        <v>1187</v>
      </c>
      <c r="K2351" s="50" t="s">
        <v>5521</v>
      </c>
      <c r="L2351" s="49"/>
      <c r="M2351" s="49"/>
      <c r="N2351" s="49"/>
      <c r="O2351" s="49"/>
      <c r="P2351" s="49" t="str">
        <f t="shared" si="2"/>
        <v>rejected,</v>
      </c>
      <c r="Q2351" s="49"/>
      <c r="R2351" s="50">
        <v>52.0</v>
      </c>
      <c r="S2351" s="55" t="s">
        <v>2113</v>
      </c>
      <c r="T2351" s="49"/>
      <c r="U2351" s="49"/>
      <c r="V2351" s="49"/>
      <c r="W2351" s="49"/>
      <c r="X2351" s="49" t="str">
        <f t="shared" si="3"/>
        <v>52,</v>
      </c>
      <c r="Y2351" s="49"/>
      <c r="Z2351" s="1" t="s">
        <v>5451</v>
      </c>
      <c r="AA2351" s="1" t="s">
        <v>1286</v>
      </c>
      <c r="AB2351" s="49"/>
      <c r="AC2351" s="49"/>
      <c r="AD2351" s="49"/>
      <c r="AE2351" s="49"/>
      <c r="AF2351" s="49" t="str">
        <f t="shared" si="4"/>
        <v>discovery,</v>
      </c>
      <c r="AG2351" s="49"/>
      <c r="AH2351" s="1" t="s">
        <v>4653</v>
      </c>
      <c r="AI2351" s="1" t="s">
        <v>3835</v>
      </c>
      <c r="AJ2351" s="6" t="str">
        <f>IFERROR(__xludf.DUMMYFUNCTION("""COMPUTED_VALUE"""),"suggest")</f>
        <v>suggest</v>
      </c>
      <c r="AK2351" s="49"/>
      <c r="AL2351" s="49"/>
      <c r="AM2351" s="49"/>
      <c r="AN2351" s="52" t="str">
        <f t="shared" si="5"/>
        <v>depending,</v>
      </c>
    </row>
    <row r="2352">
      <c r="A2352" s="51"/>
      <c r="B2352" s="50" t="s">
        <v>4455</v>
      </c>
      <c r="C2352" s="50" t="s">
        <v>6656</v>
      </c>
      <c r="D2352" s="49" t="str">
        <f>IFERROR(__xludf.DUMMYFUNCTION("""COMPUTED_VALUE"""),"worship")</f>
        <v>worship</v>
      </c>
      <c r="E2352" s="49"/>
      <c r="F2352" s="49"/>
      <c r="G2352" s="49"/>
      <c r="H2352" s="54" t="str">
        <f t="shared" si="1"/>
        <v>faces,</v>
      </c>
      <c r="I2352" s="50"/>
      <c r="J2352" s="50" t="s">
        <v>1165</v>
      </c>
      <c r="K2352" s="50" t="s">
        <v>4021</v>
      </c>
      <c r="L2352" s="49"/>
      <c r="M2352" s="49"/>
      <c r="N2352" s="49"/>
      <c r="O2352" s="49"/>
      <c r="P2352" s="49" t="str">
        <f t="shared" si="2"/>
        <v>quietly,</v>
      </c>
      <c r="Q2352" s="49"/>
      <c r="R2352" s="50" t="s">
        <v>1889</v>
      </c>
      <c r="S2352" s="55" t="s">
        <v>5327</v>
      </c>
      <c r="T2352" s="49"/>
      <c r="U2352" s="49"/>
      <c r="V2352" s="49"/>
      <c r="W2352" s="49"/>
      <c r="X2352" s="49" t="str">
        <f t="shared" si="3"/>
        <v>distinguished,</v>
      </c>
      <c r="Y2352" s="49"/>
      <c r="Z2352" s="1" t="s">
        <v>4075</v>
      </c>
      <c r="AA2352" s="1" t="s">
        <v>5522</v>
      </c>
      <c r="AB2352" s="49"/>
      <c r="AC2352" s="49"/>
      <c r="AD2352" s="49"/>
      <c r="AE2352" s="49"/>
      <c r="AF2352" s="49" t="str">
        <f t="shared" si="4"/>
        <v>happiness,</v>
      </c>
      <c r="AG2352" s="49"/>
      <c r="AH2352" s="1" t="s">
        <v>2951</v>
      </c>
      <c r="AI2352" s="1" t="s">
        <v>6712</v>
      </c>
      <c r="AJ2352" s="6" t="str">
        <f>IFERROR(__xludf.DUMMYFUNCTION("""COMPUTED_VALUE"""),"kept")</f>
        <v>kept</v>
      </c>
      <c r="AK2352" s="49"/>
      <c r="AL2352" s="49"/>
      <c r="AM2352" s="49"/>
      <c r="AN2352" s="52" t="str">
        <f t="shared" si="5"/>
        <v>eating,</v>
      </c>
    </row>
    <row r="2353">
      <c r="A2353" s="51"/>
      <c r="B2353" s="50" t="s">
        <v>210</v>
      </c>
      <c r="C2353" s="50" t="s">
        <v>3841</v>
      </c>
      <c r="D2353" s="49" t="str">
        <f>IFERROR(__xludf.DUMMYFUNCTION("""COMPUTED_VALUE"""),"concern")</f>
        <v>concern</v>
      </c>
      <c r="E2353" s="49"/>
      <c r="F2353" s="49"/>
      <c r="G2353" s="49"/>
      <c r="H2353" s="54" t="str">
        <f t="shared" si="1"/>
        <v>submarine,</v>
      </c>
      <c r="I2353" s="50"/>
      <c r="J2353" s="50" t="s">
        <v>3101</v>
      </c>
      <c r="K2353" s="50" t="s">
        <v>5061</v>
      </c>
      <c r="L2353" s="49"/>
      <c r="M2353" s="49"/>
      <c r="N2353" s="49"/>
      <c r="O2353" s="49"/>
      <c r="P2353" s="49" t="str">
        <f t="shared" si="2"/>
        <v>complicated,</v>
      </c>
      <c r="Q2353" s="49"/>
      <c r="R2353" s="50" t="s">
        <v>2560</v>
      </c>
      <c r="S2353" s="55" t="s">
        <v>126</v>
      </c>
      <c r="T2353" s="49"/>
      <c r="U2353" s="49"/>
      <c r="V2353" s="49"/>
      <c r="W2353" s="49"/>
      <c r="X2353" s="49" t="str">
        <f t="shared" si="3"/>
        <v>poetic,</v>
      </c>
      <c r="Y2353" s="49"/>
      <c r="Z2353" s="1" t="s">
        <v>1856</v>
      </c>
      <c r="AA2353" s="1" t="s">
        <v>1760</v>
      </c>
      <c r="AB2353" s="49"/>
      <c r="AC2353" s="49"/>
      <c r="AD2353" s="49"/>
      <c r="AE2353" s="49"/>
      <c r="AF2353" s="49" t="str">
        <f t="shared" si="4"/>
        <v>idiots,</v>
      </c>
      <c r="AG2353" s="49"/>
      <c r="AH2353" s="1" t="s">
        <v>6908</v>
      </c>
      <c r="AI2353" s="1" t="s">
        <v>5407</v>
      </c>
      <c r="AJ2353" s="6" t="str">
        <f>IFERROR(__xludf.DUMMYFUNCTION("""COMPUTED_VALUE"""),"successor")</f>
        <v>successor</v>
      </c>
      <c r="AK2353" s="49"/>
      <c r="AL2353" s="49"/>
      <c r="AM2353" s="49"/>
      <c r="AN2353" s="52" t="str">
        <f t="shared" si="5"/>
        <v>apple,</v>
      </c>
    </row>
    <row r="2354">
      <c r="A2354" s="51"/>
      <c r="B2354" s="50" t="s">
        <v>5922</v>
      </c>
      <c r="C2354" s="50" t="s">
        <v>5789</v>
      </c>
      <c r="D2354" s="49" t="str">
        <f>IFERROR(__xludf.DUMMYFUNCTION("""COMPUTED_VALUE"""),"thinks")</f>
        <v>thinks</v>
      </c>
      <c r="E2354" s="49"/>
      <c r="F2354" s="49"/>
      <c r="G2354" s="49"/>
      <c r="H2354" s="54" t="str">
        <f t="shared" si="1"/>
        <v>mercy,</v>
      </c>
      <c r="I2354" s="50"/>
      <c r="J2354" s="50" t="s">
        <v>701</v>
      </c>
      <c r="K2354" s="50" t="s">
        <v>4025</v>
      </c>
      <c r="L2354" s="49"/>
      <c r="M2354" s="49"/>
      <c r="N2354" s="49"/>
      <c r="O2354" s="49"/>
      <c r="P2354" s="49" t="str">
        <f t="shared" si="2"/>
        <v>longest,</v>
      </c>
      <c r="Q2354" s="49"/>
      <c r="R2354" s="50" t="s">
        <v>2809</v>
      </c>
      <c r="S2354" s="55" t="s">
        <v>6712</v>
      </c>
      <c r="T2354" s="49"/>
      <c r="U2354" s="49"/>
      <c r="V2354" s="49"/>
      <c r="W2354" s="49"/>
      <c r="X2354" s="49" t="str">
        <f t="shared" si="3"/>
        <v>scope,</v>
      </c>
      <c r="Y2354" s="49"/>
      <c r="Z2354" s="1" t="s">
        <v>4364</v>
      </c>
      <c r="AA2354" s="1" t="s">
        <v>2768</v>
      </c>
      <c r="AB2354" s="49"/>
      <c r="AC2354" s="49"/>
      <c r="AD2354" s="49"/>
      <c r="AE2354" s="49"/>
      <c r="AF2354" s="49" t="str">
        <f t="shared" si="4"/>
        <v>understanding,</v>
      </c>
      <c r="AG2354" s="49"/>
      <c r="AH2354" s="1" t="s">
        <v>3748</v>
      </c>
      <c r="AI2354" s="1" t="s">
        <v>5078</v>
      </c>
      <c r="AJ2354" s="6" t="str">
        <f>IFERROR(__xludf.DUMMYFUNCTION("""COMPUTED_VALUE"""),"experiences")</f>
        <v>experiences</v>
      </c>
      <c r="AK2354" s="49"/>
      <c r="AL2354" s="49"/>
      <c r="AM2354" s="49"/>
      <c r="AN2354" s="52" t="str">
        <f t="shared" si="5"/>
        <v>regardless,</v>
      </c>
    </row>
    <row r="2355">
      <c r="A2355" s="51"/>
      <c r="B2355" s="50" t="s">
        <v>5698</v>
      </c>
      <c r="C2355" s="50" t="s">
        <v>4340</v>
      </c>
      <c r="D2355" s="49" t="str">
        <f>IFERROR(__xludf.DUMMYFUNCTION("""COMPUTED_VALUE"""),"repeated")</f>
        <v>repeated</v>
      </c>
      <c r="E2355" s="49"/>
      <c r="F2355" s="49"/>
      <c r="G2355" s="49"/>
      <c r="H2355" s="54" t="str">
        <f t="shared" si="1"/>
        <v>described,</v>
      </c>
      <c r="I2355" s="50"/>
      <c r="J2355" s="50" t="s">
        <v>5882</v>
      </c>
      <c r="K2355" s="50" t="s">
        <v>5024</v>
      </c>
      <c r="L2355" s="49"/>
      <c r="M2355" s="49"/>
      <c r="N2355" s="49"/>
      <c r="O2355" s="49"/>
      <c r="P2355" s="49" t="str">
        <f t="shared" si="2"/>
        <v>annoyance,</v>
      </c>
      <c r="Q2355" s="49"/>
      <c r="R2355" s="50" t="s">
        <v>4467</v>
      </c>
      <c r="S2355" s="55" t="s">
        <v>2117</v>
      </c>
      <c r="T2355" s="49"/>
      <c r="U2355" s="49"/>
      <c r="V2355" s="49"/>
      <c r="W2355" s="49"/>
      <c r="X2355" s="49" t="str">
        <f t="shared" si="3"/>
        <v>controversy,</v>
      </c>
      <c r="Y2355" s="49"/>
      <c r="Z2355" s="1" t="s">
        <v>2119</v>
      </c>
      <c r="AA2355" s="1" t="s">
        <v>1401</v>
      </c>
      <c r="AB2355" s="49"/>
      <c r="AC2355" s="49"/>
      <c r="AD2355" s="49"/>
      <c r="AE2355" s="49"/>
      <c r="AF2355" s="49" t="str">
        <f t="shared" si="4"/>
        <v>scattered,</v>
      </c>
      <c r="AG2355" s="49"/>
      <c r="AH2355" s="1" t="s">
        <v>6738</v>
      </c>
      <c r="AI2355" s="1" t="s">
        <v>6713</v>
      </c>
      <c r="AJ2355" s="6" t="str">
        <f>IFERROR(__xludf.DUMMYFUNCTION("""COMPUTED_VALUE"""),"appeared")</f>
        <v>appeared</v>
      </c>
      <c r="AK2355" s="49"/>
      <c r="AL2355" s="49"/>
      <c r="AM2355" s="49"/>
      <c r="AN2355" s="52" t="str">
        <f t="shared" si="5"/>
        <v>closest,</v>
      </c>
    </row>
    <row r="2356">
      <c r="A2356" s="51"/>
      <c r="B2356" s="50" t="s">
        <v>6353</v>
      </c>
      <c r="C2356" s="50" t="s">
        <v>3815</v>
      </c>
      <c r="D2356" s="49" t="str">
        <f>IFERROR(__xludf.DUMMYFUNCTION("""COMPUTED_VALUE"""),"bear")</f>
        <v>bear</v>
      </c>
      <c r="E2356" s="49"/>
      <c r="F2356" s="49"/>
      <c r="G2356" s="49"/>
      <c r="H2356" s="54" t="str">
        <f t="shared" si="1"/>
        <v>spot,</v>
      </c>
      <c r="I2356" s="50"/>
      <c r="J2356" s="50" t="s">
        <v>1855</v>
      </c>
      <c r="K2356" s="50" t="s">
        <v>1147</v>
      </c>
      <c r="L2356" s="49"/>
      <c r="M2356" s="49"/>
      <c r="N2356" s="49"/>
      <c r="O2356" s="49"/>
      <c r="P2356" s="49" t="str">
        <f t="shared" si="2"/>
        <v>pushes,</v>
      </c>
      <c r="Q2356" s="49"/>
      <c r="R2356" s="50" t="s">
        <v>3381</v>
      </c>
      <c r="S2356" s="55" t="s">
        <v>3587</v>
      </c>
      <c r="T2356" s="49"/>
      <c r="U2356" s="49"/>
      <c r="V2356" s="49"/>
      <c r="W2356" s="49"/>
      <c r="X2356" s="49" t="str">
        <f t="shared" si="3"/>
        <v>heartbreak,</v>
      </c>
      <c r="Y2356" s="49"/>
      <c r="Z2356" s="1" t="s">
        <v>1242</v>
      </c>
      <c r="AA2356" s="1" t="s">
        <v>2780</v>
      </c>
      <c r="AB2356" s="49"/>
      <c r="AC2356" s="49"/>
      <c r="AD2356" s="49"/>
      <c r="AE2356" s="49"/>
      <c r="AF2356" s="49" t="str">
        <f t="shared" si="4"/>
        <v>amused,</v>
      </c>
      <c r="AG2356" s="49"/>
      <c r="AH2356" s="1" t="s">
        <v>2859</v>
      </c>
      <c r="AI2356" s="1" t="s">
        <v>3348</v>
      </c>
      <c r="AJ2356" s="6" t="str">
        <f>IFERROR(__xludf.DUMMYFUNCTION("""COMPUTED_VALUE"""),"hide")</f>
        <v>hide</v>
      </c>
      <c r="AK2356" s="49"/>
      <c r="AL2356" s="49"/>
      <c r="AM2356" s="49"/>
      <c r="AN2356" s="52" t="str">
        <f t="shared" si="5"/>
        <v>inhabitants,</v>
      </c>
    </row>
    <row r="2357">
      <c r="A2357" s="51"/>
      <c r="B2357" s="50" t="s">
        <v>1180</v>
      </c>
      <c r="C2357" s="50" t="s">
        <v>2450</v>
      </c>
      <c r="D2357" s="49" t="str">
        <f>IFERROR(__xludf.DUMMYFUNCTION("""COMPUTED_VALUE"""),"advantage")</f>
        <v>advantage</v>
      </c>
      <c r="E2357" s="49"/>
      <c r="F2357" s="49"/>
      <c r="G2357" s="49"/>
      <c r="H2357" s="54" t="str">
        <f t="shared" si="1"/>
        <v>titled,</v>
      </c>
      <c r="I2357" s="50"/>
      <c r="J2357" s="50" t="s">
        <v>3599</v>
      </c>
      <c r="K2357" s="50" t="s">
        <v>1152</v>
      </c>
      <c r="L2357" s="49"/>
      <c r="M2357" s="49"/>
      <c r="N2357" s="49"/>
      <c r="O2357" s="49"/>
      <c r="P2357" s="49" t="str">
        <f t="shared" si="2"/>
        <v>shake,</v>
      </c>
      <c r="Q2357" s="49"/>
      <c r="R2357" s="50" t="s">
        <v>1643</v>
      </c>
      <c r="S2357" s="55" t="s">
        <v>1934</v>
      </c>
      <c r="T2357" s="49"/>
      <c r="U2357" s="49"/>
      <c r="V2357" s="49"/>
      <c r="W2357" s="49"/>
      <c r="X2357" s="49" t="str">
        <f t="shared" si="3"/>
        <v>precious,</v>
      </c>
      <c r="Y2357" s="49"/>
      <c r="Z2357" s="1" t="s">
        <v>3768</v>
      </c>
      <c r="AA2357" s="1" t="s">
        <v>5525</v>
      </c>
      <c r="AB2357" s="49"/>
      <c r="AC2357" s="49"/>
      <c r="AD2357" s="49"/>
      <c r="AE2357" s="49"/>
      <c r="AF2357" s="49" t="str">
        <f t="shared" si="4"/>
        <v>zone,</v>
      </c>
      <c r="AG2357" s="49"/>
      <c r="AH2357" s="1" t="s">
        <v>3889</v>
      </c>
      <c r="AI2357" s="1" t="s">
        <v>6714</v>
      </c>
      <c r="AJ2357" s="6" t="str">
        <f>IFERROR(__xludf.DUMMYFUNCTION("""COMPUTED_VALUE"""),"collaboration")</f>
        <v>collaboration</v>
      </c>
      <c r="AK2357" s="49"/>
      <c r="AL2357" s="49"/>
      <c r="AM2357" s="49"/>
      <c r="AN2357" s="52" t="str">
        <f t="shared" si="5"/>
        <v>notice,</v>
      </c>
    </row>
    <row r="2358">
      <c r="A2358" s="51"/>
      <c r="B2358" s="50" t="s">
        <v>6963</v>
      </c>
      <c r="C2358" s="50" t="s">
        <v>6657</v>
      </c>
      <c r="D2358" s="49" t="str">
        <f>IFERROR(__xludf.DUMMYFUNCTION("""COMPUTED_VALUE"""),"month")</f>
        <v>month</v>
      </c>
      <c r="E2358" s="49"/>
      <c r="F2358" s="49"/>
      <c r="G2358" s="49"/>
      <c r="H2358" s="54" t="str">
        <f t="shared" si="1"/>
        <v>trained,</v>
      </c>
      <c r="I2358" s="50"/>
      <c r="J2358" s="50" t="s">
        <v>4120</v>
      </c>
      <c r="K2358" s="50" t="s">
        <v>3425</v>
      </c>
      <c r="L2358" s="49"/>
      <c r="M2358" s="49"/>
      <c r="N2358" s="49"/>
      <c r="O2358" s="49"/>
      <c r="P2358" s="49" t="str">
        <f t="shared" si="2"/>
        <v>manhattan,</v>
      </c>
      <c r="Q2358" s="49"/>
      <c r="R2358" s="50">
        <v>84.0</v>
      </c>
      <c r="S2358" s="55" t="s">
        <v>6713</v>
      </c>
      <c r="T2358" s="49"/>
      <c r="U2358" s="49"/>
      <c r="V2358" s="49"/>
      <c r="W2358" s="49"/>
      <c r="X2358" s="49" t="str">
        <f t="shared" si="3"/>
        <v>84,</v>
      </c>
      <c r="Y2358" s="49"/>
      <c r="Z2358" s="1" t="s">
        <v>2114</v>
      </c>
      <c r="AA2358" s="1" t="s">
        <v>3769</v>
      </c>
      <c r="AB2358" s="49"/>
      <c r="AC2358" s="49"/>
      <c r="AD2358" s="49"/>
      <c r="AE2358" s="49"/>
      <c r="AF2358" s="49" t="str">
        <f t="shared" si="4"/>
        <v>subjected,</v>
      </c>
      <c r="AG2358" s="49"/>
      <c r="AH2358" s="1" t="s">
        <v>3810</v>
      </c>
      <c r="AI2358" s="1" t="s">
        <v>6715</v>
      </c>
      <c r="AJ2358" s="6" t="str">
        <f>IFERROR(__xludf.DUMMYFUNCTION("""COMPUTED_VALUE"""),"mainly")</f>
        <v>mainly</v>
      </c>
      <c r="AK2358" s="49"/>
      <c r="AL2358" s="49"/>
      <c r="AM2358" s="49"/>
      <c r="AN2358" s="52" t="str">
        <f t="shared" si="5"/>
        <v>globe,</v>
      </c>
    </row>
    <row r="2359">
      <c r="A2359" s="51"/>
      <c r="B2359" s="50" t="s">
        <v>7573</v>
      </c>
      <c r="C2359" s="50" t="s">
        <v>6658</v>
      </c>
      <c r="D2359" s="49" t="str">
        <f>IFERROR(__xludf.DUMMYFUNCTION("""COMPUTED_VALUE"""),"voting")</f>
        <v>voting</v>
      </c>
      <c r="E2359" s="49"/>
      <c r="F2359" s="49"/>
      <c r="G2359" s="49"/>
      <c r="H2359" s="54" t="str">
        <f t="shared" si="1"/>
        <v>link,</v>
      </c>
      <c r="I2359" s="50"/>
      <c r="J2359" s="50" t="s">
        <v>2168</v>
      </c>
      <c r="K2359" s="50" t="s">
        <v>1496</v>
      </c>
      <c r="L2359" s="49"/>
      <c r="M2359" s="49"/>
      <c r="N2359" s="49"/>
      <c r="O2359" s="49"/>
      <c r="P2359" s="49" t="str">
        <f t="shared" si="2"/>
        <v>ourselves,</v>
      </c>
      <c r="Q2359" s="49"/>
      <c r="R2359" s="50" t="s">
        <v>2682</v>
      </c>
      <c r="S2359" s="55" t="s">
        <v>2121</v>
      </c>
      <c r="T2359" s="49"/>
      <c r="U2359" s="49"/>
      <c r="V2359" s="49"/>
      <c r="W2359" s="49"/>
      <c r="X2359" s="49" t="str">
        <f t="shared" si="3"/>
        <v>barrels,</v>
      </c>
      <c r="Y2359" s="49"/>
      <c r="Z2359" s="1" t="s">
        <v>6409</v>
      </c>
      <c r="AA2359" s="1" t="s">
        <v>4804</v>
      </c>
      <c r="AB2359" s="49"/>
      <c r="AC2359" s="49"/>
      <c r="AD2359" s="49"/>
      <c r="AE2359" s="49"/>
      <c r="AF2359" s="49" t="str">
        <f t="shared" si="4"/>
        <v>push,</v>
      </c>
      <c r="AG2359" s="49"/>
      <c r="AH2359" s="1">
        <v>0.0</v>
      </c>
      <c r="AI2359" s="1" t="s">
        <v>3554</v>
      </c>
      <c r="AJ2359" s="6" t="str">
        <f>IFERROR(__xludf.DUMMYFUNCTION("""COMPUTED_VALUE"""),"gas")</f>
        <v>gas</v>
      </c>
      <c r="AK2359" s="49"/>
      <c r="AL2359" s="49"/>
      <c r="AM2359" s="49"/>
      <c r="AN2359" s="52" t="str">
        <f t="shared" si="5"/>
        <v>0,</v>
      </c>
    </row>
    <row r="2360">
      <c r="A2360" s="51"/>
      <c r="B2360" s="50" t="s">
        <v>1853</v>
      </c>
      <c r="C2360" s="50" t="s">
        <v>3566</v>
      </c>
      <c r="D2360" s="49" t="str">
        <f>IFERROR(__xludf.DUMMYFUNCTION("""COMPUTED_VALUE"""),"happens")</f>
        <v>happens</v>
      </c>
      <c r="E2360" s="49"/>
      <c r="F2360" s="49"/>
      <c r="G2360" s="49"/>
      <c r="H2360" s="54" t="str">
        <f t="shared" si="1"/>
        <v>loose,</v>
      </c>
      <c r="I2360" s="50"/>
      <c r="J2360" s="50" t="s">
        <v>1628</v>
      </c>
      <c r="K2360" s="50" t="s">
        <v>5528</v>
      </c>
      <c r="L2360" s="49"/>
      <c r="M2360" s="49"/>
      <c r="N2360" s="49"/>
      <c r="O2360" s="49"/>
      <c r="P2360" s="49" t="str">
        <f t="shared" si="2"/>
        <v>creations,</v>
      </c>
      <c r="Q2360" s="49"/>
      <c r="R2360" s="50" t="s">
        <v>4338</v>
      </c>
      <c r="S2360" s="55" t="s">
        <v>6714</v>
      </c>
      <c r="T2360" s="49"/>
      <c r="U2360" s="49"/>
      <c r="V2360" s="49"/>
      <c r="W2360" s="49"/>
      <c r="X2360" s="49" t="str">
        <f t="shared" si="3"/>
        <v>lock,</v>
      </c>
      <c r="Y2360" s="49"/>
      <c r="Z2360" s="1" t="s">
        <v>2854</v>
      </c>
      <c r="AA2360" s="1" t="s">
        <v>1566</v>
      </c>
      <c r="AB2360" s="49"/>
      <c r="AC2360" s="49"/>
      <c r="AD2360" s="49"/>
      <c r="AE2360" s="49"/>
      <c r="AF2360" s="49" t="str">
        <f t="shared" si="4"/>
        <v>refusal,</v>
      </c>
      <c r="AG2360" s="49"/>
      <c r="AH2360" s="1" t="s">
        <v>1699</v>
      </c>
      <c r="AI2360" s="1" t="s">
        <v>4678</v>
      </c>
      <c r="AJ2360" s="6">
        <f>IFERROR(__xludf.DUMMYFUNCTION("""COMPUTED_VALUE"""),90.0)</f>
        <v>90</v>
      </c>
      <c r="AK2360" s="49"/>
      <c r="AL2360" s="49"/>
      <c r="AM2360" s="49"/>
      <c r="AN2360" s="52" t="str">
        <f t="shared" si="5"/>
        <v>former,</v>
      </c>
    </row>
    <row r="2361">
      <c r="A2361" s="51"/>
      <c r="B2361" s="50" t="s">
        <v>7038</v>
      </c>
      <c r="C2361" s="50" t="s">
        <v>3564</v>
      </c>
      <c r="D2361" s="49" t="str">
        <f>IFERROR(__xludf.DUMMYFUNCTION("""COMPUTED_VALUE"""),"opening")</f>
        <v>opening</v>
      </c>
      <c r="E2361" s="49"/>
      <c r="F2361" s="49"/>
      <c r="G2361" s="49"/>
      <c r="H2361" s="54" t="str">
        <f t="shared" si="1"/>
        <v>standing,</v>
      </c>
      <c r="I2361" s="50"/>
      <c r="J2361" s="50" t="s">
        <v>4942</v>
      </c>
      <c r="K2361" s="50" t="s">
        <v>5530</v>
      </c>
      <c r="L2361" s="49"/>
      <c r="M2361" s="49"/>
      <c r="N2361" s="49"/>
      <c r="O2361" s="49"/>
      <c r="P2361" s="49" t="str">
        <f t="shared" si="2"/>
        <v>fashioned,</v>
      </c>
      <c r="Q2361" s="49"/>
      <c r="R2361" s="50" t="s">
        <v>6909</v>
      </c>
      <c r="S2361" s="55" t="s">
        <v>3846</v>
      </c>
      <c r="T2361" s="49"/>
      <c r="U2361" s="49"/>
      <c r="V2361" s="49"/>
      <c r="W2361" s="49"/>
      <c r="X2361" s="49" t="str">
        <f t="shared" si="3"/>
        <v>lit,</v>
      </c>
      <c r="Y2361" s="49"/>
      <c r="Z2361" s="1" t="s">
        <v>968</v>
      </c>
      <c r="AA2361" s="1" t="s">
        <v>4574</v>
      </c>
      <c r="AB2361" s="49"/>
      <c r="AC2361" s="49"/>
      <c r="AD2361" s="49"/>
      <c r="AE2361" s="49"/>
      <c r="AF2361" s="49" t="str">
        <f t="shared" si="4"/>
        <v>clarity,</v>
      </c>
      <c r="AG2361" s="49"/>
      <c r="AH2361" s="1">
        <v>1958.0</v>
      </c>
      <c r="AI2361" s="1" t="s">
        <v>1719</v>
      </c>
      <c r="AJ2361" s="6">
        <f>IFERROR(__xludf.DUMMYFUNCTION("""COMPUTED_VALUE"""),89.0)</f>
        <v>89</v>
      </c>
      <c r="AK2361" s="49"/>
      <c r="AL2361" s="49"/>
      <c r="AM2361" s="49"/>
      <c r="AN2361" s="52" t="str">
        <f t="shared" si="5"/>
        <v>1958,</v>
      </c>
    </row>
    <row r="2362">
      <c r="A2362" s="51"/>
      <c r="B2362" s="50" t="s">
        <v>4961</v>
      </c>
      <c r="C2362" s="50" t="s">
        <v>5033</v>
      </c>
      <c r="D2362" s="49" t="str">
        <f>IFERROR(__xludf.DUMMYFUNCTION("""COMPUTED_VALUE"""),"homes")</f>
        <v>homes</v>
      </c>
      <c r="E2362" s="49"/>
      <c r="F2362" s="49"/>
      <c r="G2362" s="49"/>
      <c r="H2362" s="54" t="str">
        <f t="shared" si="1"/>
        <v>fellow,</v>
      </c>
      <c r="I2362" s="50"/>
      <c r="J2362" s="50" t="s">
        <v>2019</v>
      </c>
      <c r="K2362" s="50" t="s">
        <v>4030</v>
      </c>
      <c r="L2362" s="49"/>
      <c r="M2362" s="49"/>
      <c r="N2362" s="49"/>
      <c r="O2362" s="49"/>
      <c r="P2362" s="49" t="str">
        <f t="shared" si="2"/>
        <v>closely,</v>
      </c>
      <c r="Q2362" s="49"/>
      <c r="R2362" s="50" t="s">
        <v>7574</v>
      </c>
      <c r="S2362" s="55" t="s">
        <v>1386</v>
      </c>
      <c r="T2362" s="49"/>
      <c r="U2362" s="49"/>
      <c r="V2362" s="49"/>
      <c r="W2362" s="49"/>
      <c r="X2362" s="49" t="str">
        <f t="shared" si="3"/>
        <v>gen,</v>
      </c>
      <c r="Y2362" s="49"/>
      <c r="Z2362" s="1" t="s">
        <v>2896</v>
      </c>
      <c r="AA2362" s="1" t="s">
        <v>1572</v>
      </c>
      <c r="AB2362" s="49"/>
      <c r="AC2362" s="49"/>
      <c r="AD2362" s="49"/>
      <c r="AE2362" s="49"/>
      <c r="AF2362" s="49" t="str">
        <f t="shared" si="4"/>
        <v>places,</v>
      </c>
      <c r="AG2362" s="49"/>
      <c r="AH2362" s="1" t="s">
        <v>2513</v>
      </c>
      <c r="AI2362" s="1" t="s">
        <v>4929</v>
      </c>
      <c r="AJ2362" s="6" t="str">
        <f>IFERROR(__xludf.DUMMYFUNCTION("""COMPUTED_VALUE"""),"grows")</f>
        <v>grows</v>
      </c>
      <c r="AK2362" s="49"/>
      <c r="AL2362" s="49"/>
      <c r="AM2362" s="49"/>
      <c r="AN2362" s="52" t="str">
        <f t="shared" si="5"/>
        <v>vincent,</v>
      </c>
    </row>
    <row r="2363">
      <c r="A2363" s="51"/>
      <c r="B2363" s="50" t="s">
        <v>6706</v>
      </c>
      <c r="C2363" s="50" t="s">
        <v>3143</v>
      </c>
      <c r="D2363" s="49" t="str">
        <f>IFERROR(__xludf.DUMMYFUNCTION("""COMPUTED_VALUE"""),"realized")</f>
        <v>realized</v>
      </c>
      <c r="E2363" s="49"/>
      <c r="F2363" s="49"/>
      <c r="G2363" s="49"/>
      <c r="H2363" s="54" t="str">
        <f t="shared" si="1"/>
        <v>bathroom,</v>
      </c>
      <c r="I2363" s="50"/>
      <c r="J2363" s="50" t="s">
        <v>6621</v>
      </c>
      <c r="K2363" s="50" t="s">
        <v>5070</v>
      </c>
      <c r="L2363" s="49"/>
      <c r="M2363" s="49"/>
      <c r="N2363" s="49"/>
      <c r="O2363" s="49"/>
      <c r="P2363" s="49" t="str">
        <f t="shared" si="2"/>
        <v>resulted,</v>
      </c>
      <c r="Q2363" s="49"/>
      <c r="R2363" s="50" t="s">
        <v>756</v>
      </c>
      <c r="S2363" s="55" t="s">
        <v>484</v>
      </c>
      <c r="T2363" s="49"/>
      <c r="U2363" s="49"/>
      <c r="V2363" s="49"/>
      <c r="W2363" s="49"/>
      <c r="X2363" s="49" t="str">
        <f t="shared" si="3"/>
        <v>brightly,</v>
      </c>
      <c r="Y2363" s="49"/>
      <c r="Z2363" s="1" t="s">
        <v>2435</v>
      </c>
      <c r="AA2363" s="1" t="s">
        <v>3688</v>
      </c>
      <c r="AB2363" s="49"/>
      <c r="AC2363" s="49"/>
      <c r="AD2363" s="49"/>
      <c r="AE2363" s="49"/>
      <c r="AF2363" s="49" t="str">
        <f t="shared" si="4"/>
        <v>excited,</v>
      </c>
      <c r="AG2363" s="49"/>
      <c r="AH2363" s="1" t="s">
        <v>5492</v>
      </c>
      <c r="AI2363" s="1" t="s">
        <v>5417</v>
      </c>
      <c r="AJ2363" s="6" t="str">
        <f>IFERROR(__xludf.DUMMYFUNCTION("""COMPUTED_VALUE"""),"valley")</f>
        <v>valley</v>
      </c>
      <c r="AK2363" s="49"/>
      <c r="AL2363" s="49"/>
      <c r="AM2363" s="49"/>
      <c r="AN2363" s="52" t="str">
        <f t="shared" si="5"/>
        <v>gathering,</v>
      </c>
    </row>
    <row r="2364">
      <c r="A2364" s="51"/>
      <c r="B2364" s="50" t="s">
        <v>7575</v>
      </c>
      <c r="C2364" s="50" t="s">
        <v>3147</v>
      </c>
      <c r="D2364" s="49" t="str">
        <f>IFERROR(__xludf.DUMMYFUNCTION("""COMPUTED_VALUE"""),"innovative")</f>
        <v>innovative</v>
      </c>
      <c r="E2364" s="49"/>
      <c r="F2364" s="49"/>
      <c r="G2364" s="49"/>
      <c r="H2364" s="54" t="str">
        <f t="shared" si="1"/>
        <v>un,</v>
      </c>
      <c r="I2364" s="50"/>
      <c r="J2364" s="50" t="s">
        <v>5937</v>
      </c>
      <c r="K2364" s="50" t="s">
        <v>5313</v>
      </c>
      <c r="L2364" s="49"/>
      <c r="M2364" s="49"/>
      <c r="N2364" s="49"/>
      <c r="O2364" s="49"/>
      <c r="P2364" s="49" t="str">
        <f t="shared" si="2"/>
        <v>cure,</v>
      </c>
      <c r="Q2364" s="49"/>
      <c r="R2364" s="50" t="s">
        <v>4401</v>
      </c>
      <c r="S2364" s="55" t="s">
        <v>1392</v>
      </c>
      <c r="T2364" s="49"/>
      <c r="U2364" s="49"/>
      <c r="V2364" s="49"/>
      <c r="W2364" s="49"/>
      <c r="X2364" s="49" t="str">
        <f t="shared" si="3"/>
        <v>throbbing,</v>
      </c>
      <c r="Y2364" s="49"/>
      <c r="Z2364" s="1" t="s">
        <v>3437</v>
      </c>
      <c r="AA2364" s="1">
        <v>1952.0</v>
      </c>
      <c r="AB2364" s="49"/>
      <c r="AC2364" s="49"/>
      <c r="AD2364" s="49"/>
      <c r="AE2364" s="49"/>
      <c r="AF2364" s="49" t="str">
        <f t="shared" si="4"/>
        <v>reminder,</v>
      </c>
      <c r="AG2364" s="49"/>
      <c r="AH2364" s="1" t="s">
        <v>2663</v>
      </c>
      <c r="AI2364" s="1" t="s">
        <v>3365</v>
      </c>
      <c r="AJ2364" s="6" t="str">
        <f>IFERROR(__xludf.DUMMYFUNCTION("""COMPUTED_VALUE"""),"joy")</f>
        <v>joy</v>
      </c>
      <c r="AK2364" s="49"/>
      <c r="AL2364" s="49"/>
      <c r="AM2364" s="49"/>
      <c r="AN2364" s="52" t="str">
        <f t="shared" si="5"/>
        <v>floor,</v>
      </c>
    </row>
    <row r="2365">
      <c r="A2365" s="51"/>
      <c r="B2365" s="50" t="s">
        <v>3195</v>
      </c>
      <c r="C2365" s="50" t="s">
        <v>3149</v>
      </c>
      <c r="D2365" s="49" t="str">
        <f>IFERROR(__xludf.DUMMYFUNCTION("""COMPUTED_VALUE"""),"areas")</f>
        <v>areas</v>
      </c>
      <c r="E2365" s="49"/>
      <c r="F2365" s="49"/>
      <c r="G2365" s="49"/>
      <c r="H2365" s="54" t="str">
        <f t="shared" si="1"/>
        <v>manage,</v>
      </c>
      <c r="I2365" s="50"/>
      <c r="J2365" s="50" t="s">
        <v>6429</v>
      </c>
      <c r="K2365" s="50" t="s">
        <v>4032</v>
      </c>
      <c r="L2365" s="49"/>
      <c r="M2365" s="49"/>
      <c r="N2365" s="49"/>
      <c r="O2365" s="49"/>
      <c r="P2365" s="49" t="str">
        <f t="shared" si="2"/>
        <v>lifestyle,</v>
      </c>
      <c r="Q2365" s="49"/>
      <c r="R2365" s="50" t="s">
        <v>2324</v>
      </c>
      <c r="S2365" s="55" t="s">
        <v>3852</v>
      </c>
      <c r="T2365" s="49"/>
      <c r="U2365" s="49"/>
      <c r="V2365" s="49"/>
      <c r="W2365" s="49"/>
      <c r="X2365" s="49" t="str">
        <f t="shared" si="3"/>
        <v>origins,</v>
      </c>
      <c r="Y2365" s="49"/>
      <c r="Z2365" s="1" t="s">
        <v>2414</v>
      </c>
      <c r="AA2365" s="1" t="s">
        <v>5531</v>
      </c>
      <c r="AB2365" s="49"/>
      <c r="AC2365" s="49"/>
      <c r="AD2365" s="49"/>
      <c r="AE2365" s="49"/>
      <c r="AF2365" s="49" t="str">
        <f t="shared" si="4"/>
        <v>tragedy,</v>
      </c>
      <c r="AG2365" s="49"/>
      <c r="AH2365" s="1" t="s">
        <v>3517</v>
      </c>
      <c r="AI2365" s="1" t="s">
        <v>6716</v>
      </c>
      <c r="AJ2365" s="6" t="str">
        <f>IFERROR(__xludf.DUMMYFUNCTION("""COMPUTED_VALUE"""),"meet")</f>
        <v>meet</v>
      </c>
      <c r="AK2365" s="49"/>
      <c r="AL2365" s="49"/>
      <c r="AM2365" s="49"/>
      <c r="AN2365" s="52" t="str">
        <f t="shared" si="5"/>
        <v>mask,</v>
      </c>
    </row>
    <row r="2366">
      <c r="A2366" s="51"/>
      <c r="B2366" s="50" t="s">
        <v>5797</v>
      </c>
      <c r="C2366" s="50" t="s">
        <v>4528</v>
      </c>
      <c r="D2366" s="49" t="str">
        <f>IFERROR(__xludf.DUMMYFUNCTION("""COMPUTED_VALUE"""),"angry")</f>
        <v>angry</v>
      </c>
      <c r="E2366" s="49"/>
      <c r="F2366" s="49"/>
      <c r="G2366" s="49"/>
      <c r="H2366" s="54" t="str">
        <f t="shared" si="1"/>
        <v>murray,</v>
      </c>
      <c r="I2366" s="50"/>
      <c r="J2366" s="50" t="s">
        <v>2507</v>
      </c>
      <c r="K2366" s="50" t="s">
        <v>1510</v>
      </c>
      <c r="L2366" s="49"/>
      <c r="M2366" s="49"/>
      <c r="N2366" s="49"/>
      <c r="O2366" s="49"/>
      <c r="P2366" s="49" t="str">
        <f t="shared" si="2"/>
        <v>process,</v>
      </c>
      <c r="Q2366" s="49"/>
      <c r="R2366" s="50" t="s">
        <v>3218</v>
      </c>
      <c r="S2366" s="55" t="s">
        <v>4929</v>
      </c>
      <c r="T2366" s="49"/>
      <c r="U2366" s="49"/>
      <c r="V2366" s="49"/>
      <c r="W2366" s="49"/>
      <c r="X2366" s="49" t="str">
        <f t="shared" si="3"/>
        <v>pulling,</v>
      </c>
      <c r="Y2366" s="49"/>
      <c r="Z2366" s="1" t="s">
        <v>4096</v>
      </c>
      <c r="AA2366" s="1" t="s">
        <v>4579</v>
      </c>
      <c r="AB2366" s="49"/>
      <c r="AC2366" s="49"/>
      <c r="AD2366" s="49"/>
      <c r="AE2366" s="49"/>
      <c r="AF2366" s="49" t="str">
        <f t="shared" si="4"/>
        <v>forth,</v>
      </c>
      <c r="AG2366" s="49"/>
      <c r="AH2366" s="1" t="s">
        <v>6892</v>
      </c>
      <c r="AI2366" s="1" t="s">
        <v>5059</v>
      </c>
      <c r="AJ2366" s="6" t="str">
        <f>IFERROR(__xludf.DUMMYFUNCTION("""COMPUTED_VALUE"""),"ear")</f>
        <v>ear</v>
      </c>
      <c r="AK2366" s="49"/>
      <c r="AL2366" s="49"/>
      <c r="AM2366" s="49"/>
      <c r="AN2366" s="52" t="str">
        <f t="shared" si="5"/>
        <v>continue,</v>
      </c>
    </row>
    <row r="2367">
      <c r="A2367" s="51"/>
      <c r="B2367" s="50" t="s">
        <v>6043</v>
      </c>
      <c r="C2367" s="50" t="s">
        <v>4656</v>
      </c>
      <c r="D2367" s="49" t="str">
        <f>IFERROR(__xludf.DUMMYFUNCTION("""COMPUTED_VALUE"""),"tactics")</f>
        <v>tactics</v>
      </c>
      <c r="E2367" s="49"/>
      <c r="F2367" s="49"/>
      <c r="G2367" s="49"/>
      <c r="H2367" s="54" t="str">
        <f t="shared" si="1"/>
        <v>ivan,</v>
      </c>
      <c r="I2367" s="50"/>
      <c r="J2367" s="50" t="s">
        <v>2453</v>
      </c>
      <c r="K2367" s="50" t="s">
        <v>1158</v>
      </c>
      <c r="L2367" s="49"/>
      <c r="M2367" s="49"/>
      <c r="N2367" s="49"/>
      <c r="O2367" s="49"/>
      <c r="P2367" s="49" t="str">
        <f t="shared" si="2"/>
        <v>poverty,</v>
      </c>
      <c r="Q2367" s="49"/>
      <c r="R2367" s="50" t="s">
        <v>409</v>
      </c>
      <c r="S2367" s="55" t="s">
        <v>1399</v>
      </c>
      <c r="T2367" s="49"/>
      <c r="U2367" s="49"/>
      <c r="V2367" s="49"/>
      <c r="W2367" s="49"/>
      <c r="X2367" s="49" t="str">
        <f t="shared" si="3"/>
        <v>endurance,</v>
      </c>
      <c r="Y2367" s="49"/>
      <c r="Z2367" s="1" t="s">
        <v>2751</v>
      </c>
      <c r="AA2367" s="1" t="s">
        <v>5533</v>
      </c>
      <c r="AB2367" s="49"/>
      <c r="AC2367" s="49"/>
      <c r="AD2367" s="49"/>
      <c r="AE2367" s="49"/>
      <c r="AF2367" s="49" t="str">
        <f t="shared" si="4"/>
        <v>anatomical,</v>
      </c>
      <c r="AG2367" s="49"/>
      <c r="AH2367" s="1" t="s">
        <v>2708</v>
      </c>
      <c r="AI2367" s="1" t="s">
        <v>5271</v>
      </c>
      <c r="AJ2367" s="6" t="str">
        <f>IFERROR(__xludf.DUMMYFUNCTION("""COMPUTED_VALUE"""),"grab")</f>
        <v>grab</v>
      </c>
      <c r="AK2367" s="49"/>
      <c r="AL2367" s="49"/>
      <c r="AM2367" s="49"/>
      <c r="AN2367" s="52" t="str">
        <f t="shared" si="5"/>
        <v>commercial,</v>
      </c>
    </row>
    <row r="2368">
      <c r="A2368" s="51"/>
      <c r="B2368" s="50" t="s">
        <v>1307</v>
      </c>
      <c r="C2368" s="50" t="s">
        <v>5066</v>
      </c>
      <c r="D2368" s="49" t="str">
        <f>IFERROR(__xludf.DUMMYFUNCTION("""COMPUTED_VALUE"""),"campus")</f>
        <v>campus</v>
      </c>
      <c r="E2368" s="49"/>
      <c r="F2368" s="49"/>
      <c r="G2368" s="49"/>
      <c r="H2368" s="54" t="str">
        <f t="shared" si="1"/>
        <v>central,</v>
      </c>
      <c r="I2368" s="50"/>
      <c r="J2368" s="50" t="s">
        <v>5008</v>
      </c>
      <c r="K2368" s="50" t="s">
        <v>4034</v>
      </c>
      <c r="L2368" s="49"/>
      <c r="M2368" s="49"/>
      <c r="N2368" s="49"/>
      <c r="O2368" s="49"/>
      <c r="P2368" s="49" t="str">
        <f t="shared" si="2"/>
        <v>forefront,</v>
      </c>
      <c r="Q2368" s="49"/>
      <c r="R2368" s="50" t="s">
        <v>149</v>
      </c>
      <c r="S2368" s="55" t="s">
        <v>5419</v>
      </c>
      <c r="T2368" s="49"/>
      <c r="U2368" s="49"/>
      <c r="V2368" s="49"/>
      <c r="W2368" s="49"/>
      <c r="X2368" s="49" t="str">
        <f t="shared" si="3"/>
        <v>conviction,</v>
      </c>
      <c r="Y2368" s="49"/>
      <c r="Z2368" s="1" t="s">
        <v>1714</v>
      </c>
      <c r="AA2368" s="1" t="s">
        <v>2786</v>
      </c>
      <c r="AB2368" s="49"/>
      <c r="AC2368" s="49"/>
      <c r="AD2368" s="49"/>
      <c r="AE2368" s="49"/>
      <c r="AF2368" s="49" t="str">
        <f t="shared" si="4"/>
        <v>excitement,</v>
      </c>
      <c r="AG2368" s="49"/>
      <c r="AH2368" s="1" t="s">
        <v>1766</v>
      </c>
      <c r="AI2368" s="1" t="s">
        <v>3592</v>
      </c>
      <c r="AJ2368" s="6" t="str">
        <f>IFERROR(__xludf.DUMMYFUNCTION("""COMPUTED_VALUE"""),"refused")</f>
        <v>refused</v>
      </c>
      <c r="AK2368" s="49"/>
      <c r="AL2368" s="49"/>
      <c r="AM2368" s="49"/>
      <c r="AN2368" s="52" t="str">
        <f t="shared" si="5"/>
        <v>relatively,</v>
      </c>
    </row>
    <row r="2369">
      <c r="A2369" s="51"/>
      <c r="B2369" s="50" t="s">
        <v>6806</v>
      </c>
      <c r="C2369" s="50" t="s">
        <v>2663</v>
      </c>
      <c r="D2369" s="49" t="str">
        <f>IFERROR(__xludf.DUMMYFUNCTION("""COMPUTED_VALUE"""),"rooms")</f>
        <v>rooms</v>
      </c>
      <c r="E2369" s="49"/>
      <c r="F2369" s="49"/>
      <c r="G2369" s="49"/>
      <c r="H2369" s="54" t="str">
        <f t="shared" si="1"/>
        <v>dropped,</v>
      </c>
      <c r="I2369" s="50"/>
      <c r="J2369" s="50" t="s">
        <v>6851</v>
      </c>
      <c r="K2369" s="50" t="s">
        <v>4037</v>
      </c>
      <c r="L2369" s="49"/>
      <c r="M2369" s="49"/>
      <c r="N2369" s="49"/>
      <c r="O2369" s="49"/>
      <c r="P2369" s="49" t="str">
        <f t="shared" si="2"/>
        <v>beijing,</v>
      </c>
      <c r="Q2369" s="49"/>
      <c r="R2369" s="50" t="s">
        <v>854</v>
      </c>
      <c r="S2369" s="55" t="s">
        <v>3365</v>
      </c>
      <c r="T2369" s="49"/>
      <c r="U2369" s="49"/>
      <c r="V2369" s="49"/>
      <c r="W2369" s="49"/>
      <c r="X2369" s="49" t="str">
        <f t="shared" si="3"/>
        <v>loneliness,</v>
      </c>
      <c r="Y2369" s="49"/>
      <c r="Z2369" s="1" t="s">
        <v>3542</v>
      </c>
      <c r="AA2369" s="1" t="s">
        <v>5536</v>
      </c>
      <c r="AB2369" s="49"/>
      <c r="AC2369" s="49"/>
      <c r="AD2369" s="49"/>
      <c r="AE2369" s="49"/>
      <c r="AF2369" s="49" t="str">
        <f t="shared" si="4"/>
        <v>splash,</v>
      </c>
      <c r="AG2369" s="49"/>
      <c r="AH2369" s="1" t="s">
        <v>5251</v>
      </c>
      <c r="AI2369" s="1" t="s">
        <v>3369</v>
      </c>
      <c r="AJ2369" s="6" t="str">
        <f>IFERROR(__xludf.DUMMYFUNCTION("""COMPUTED_VALUE"""),"california")</f>
        <v>california</v>
      </c>
      <c r="AK2369" s="49"/>
      <c r="AL2369" s="49"/>
      <c r="AM2369" s="49"/>
      <c r="AN2369" s="52" t="str">
        <f t="shared" si="5"/>
        <v>grown,</v>
      </c>
    </row>
    <row r="2370">
      <c r="A2370" s="51"/>
      <c r="B2370" s="50" t="s">
        <v>2631</v>
      </c>
      <c r="C2370" s="50" t="s">
        <v>3153</v>
      </c>
      <c r="D2370" s="49" t="str">
        <f>IFERROR(__xludf.DUMMYFUNCTION("""COMPUTED_VALUE"""),"blanket")</f>
        <v>blanket</v>
      </c>
      <c r="E2370" s="49"/>
      <c r="F2370" s="49"/>
      <c r="G2370" s="49"/>
      <c r="H2370" s="54" t="str">
        <f t="shared" si="1"/>
        <v>device,</v>
      </c>
      <c r="I2370" s="50"/>
      <c r="J2370" s="50" t="s">
        <v>7576</v>
      </c>
      <c r="K2370" s="50" t="s">
        <v>3433</v>
      </c>
      <c r="L2370" s="49"/>
      <c r="M2370" s="49"/>
      <c r="N2370" s="49"/>
      <c r="O2370" s="49"/>
      <c r="P2370" s="49" t="str">
        <f t="shared" si="2"/>
        <v>fang,</v>
      </c>
      <c r="Q2370" s="49"/>
      <c r="R2370" s="50" t="s">
        <v>6749</v>
      </c>
      <c r="S2370" s="55" t="s">
        <v>6717</v>
      </c>
      <c r="T2370" s="49"/>
      <c r="U2370" s="49"/>
      <c r="V2370" s="49"/>
      <c r="W2370" s="49"/>
      <c r="X2370" s="49" t="str">
        <f t="shared" si="3"/>
        <v>deliberately,</v>
      </c>
      <c r="Y2370" s="49"/>
      <c r="Z2370" s="1" t="s">
        <v>3972</v>
      </c>
      <c r="AA2370" s="1" t="s">
        <v>2790</v>
      </c>
      <c r="AB2370" s="49"/>
      <c r="AC2370" s="49"/>
      <c r="AD2370" s="49"/>
      <c r="AE2370" s="49"/>
      <c r="AF2370" s="49" t="str">
        <f t="shared" si="4"/>
        <v>wear,</v>
      </c>
      <c r="AG2370" s="49"/>
      <c r="AH2370" s="1" t="s">
        <v>2478</v>
      </c>
      <c r="AI2370" s="1" t="s">
        <v>6718</v>
      </c>
      <c r="AJ2370" s="6" t="str">
        <f>IFERROR(__xludf.DUMMYFUNCTION("""COMPUTED_VALUE"""),"travel")</f>
        <v>travel</v>
      </c>
      <c r="AK2370" s="49"/>
      <c r="AL2370" s="49"/>
      <c r="AM2370" s="49"/>
      <c r="AN2370" s="52" t="str">
        <f t="shared" si="5"/>
        <v>force,</v>
      </c>
    </row>
    <row r="2371">
      <c r="A2371" s="51"/>
      <c r="B2371" s="50" t="s">
        <v>1169</v>
      </c>
      <c r="C2371" s="50" t="s">
        <v>6661</v>
      </c>
      <c r="D2371" s="49" t="str">
        <f>IFERROR(__xludf.DUMMYFUNCTION("""COMPUTED_VALUE"""),"kiss")</f>
        <v>kiss</v>
      </c>
      <c r="E2371" s="49"/>
      <c r="F2371" s="49"/>
      <c r="G2371" s="49"/>
      <c r="H2371" s="54" t="str">
        <f t="shared" si="1"/>
        <v>nicholas,</v>
      </c>
      <c r="I2371" s="50"/>
      <c r="J2371" s="50">
        <v>300.0</v>
      </c>
      <c r="K2371" s="50" t="s">
        <v>5082</v>
      </c>
      <c r="L2371" s="49"/>
      <c r="M2371" s="49"/>
      <c r="N2371" s="49"/>
      <c r="O2371" s="49"/>
      <c r="P2371" s="49" t="str">
        <f t="shared" si="2"/>
        <v>300,</v>
      </c>
      <c r="Q2371" s="49"/>
      <c r="R2371" s="50" t="s">
        <v>416</v>
      </c>
      <c r="S2371" s="55" t="s">
        <v>1080</v>
      </c>
      <c r="T2371" s="49"/>
      <c r="U2371" s="49"/>
      <c r="V2371" s="49"/>
      <c r="W2371" s="49"/>
      <c r="X2371" s="49" t="str">
        <f t="shared" si="3"/>
        <v>wry,</v>
      </c>
      <c r="Y2371" s="49"/>
      <c r="Z2371" s="1" t="s">
        <v>1039</v>
      </c>
      <c r="AA2371" s="1" t="s">
        <v>5538</v>
      </c>
      <c r="AB2371" s="49"/>
      <c r="AC2371" s="49"/>
      <c r="AD2371" s="49"/>
      <c r="AE2371" s="49"/>
      <c r="AF2371" s="49" t="str">
        <f t="shared" si="4"/>
        <v>served,</v>
      </c>
      <c r="AG2371" s="49"/>
      <c r="AH2371" s="1" t="s">
        <v>3132</v>
      </c>
      <c r="AI2371" s="1" t="s">
        <v>6719</v>
      </c>
      <c r="AJ2371" s="6" t="str">
        <f>IFERROR(__xludf.DUMMYFUNCTION("""COMPUTED_VALUE"""),"routes")</f>
        <v>routes</v>
      </c>
      <c r="AK2371" s="49"/>
      <c r="AL2371" s="49"/>
      <c r="AM2371" s="49"/>
      <c r="AN2371" s="52" t="str">
        <f t="shared" si="5"/>
        <v>key,</v>
      </c>
    </row>
    <row r="2372">
      <c r="A2372" s="51"/>
      <c r="B2372" s="50" t="s">
        <v>4826</v>
      </c>
      <c r="C2372" s="50" t="s">
        <v>1236</v>
      </c>
      <c r="D2372" s="49" t="str">
        <f>IFERROR(__xludf.DUMMYFUNCTION("""COMPUTED_VALUE"""),"evening")</f>
        <v>evening</v>
      </c>
      <c r="E2372" s="49"/>
      <c r="F2372" s="49"/>
      <c r="G2372" s="49"/>
      <c r="H2372" s="54" t="str">
        <f t="shared" si="1"/>
        <v>ninth,</v>
      </c>
      <c r="I2372" s="50"/>
      <c r="J2372" s="50" t="s">
        <v>7577</v>
      </c>
      <c r="K2372" s="50" t="s">
        <v>5083</v>
      </c>
      <c r="L2372" s="49"/>
      <c r="M2372" s="49"/>
      <c r="N2372" s="49"/>
      <c r="O2372" s="49"/>
      <c r="P2372" s="49" t="str">
        <f t="shared" si="2"/>
        <v>jo,</v>
      </c>
      <c r="Q2372" s="49"/>
      <c r="R2372" s="50">
        <v>91.0</v>
      </c>
      <c r="S2372" s="55" t="s">
        <v>5422</v>
      </c>
      <c r="T2372" s="49"/>
      <c r="U2372" s="49"/>
      <c r="V2372" s="49"/>
      <c r="W2372" s="49"/>
      <c r="X2372" s="49" t="str">
        <f t="shared" si="3"/>
        <v>91,</v>
      </c>
      <c r="Y2372" s="49"/>
      <c r="Z2372" s="1" t="s">
        <v>308</v>
      </c>
      <c r="AA2372" s="1" t="s">
        <v>4585</v>
      </c>
      <c r="AB2372" s="49"/>
      <c r="AC2372" s="49"/>
      <c r="AD2372" s="49"/>
      <c r="AE2372" s="49"/>
      <c r="AF2372" s="49" t="str">
        <f t="shared" si="4"/>
        <v>evade,</v>
      </c>
      <c r="AG2372" s="49"/>
      <c r="AH2372" s="1" t="s">
        <v>2059</v>
      </c>
      <c r="AI2372" s="1" t="s">
        <v>6717</v>
      </c>
      <c r="AJ2372" s="6" t="str">
        <f>IFERROR(__xludf.DUMMYFUNCTION("""COMPUTED_VALUE"""),"provides")</f>
        <v>provides</v>
      </c>
      <c r="AK2372" s="49"/>
      <c r="AL2372" s="49"/>
      <c r="AM2372" s="49"/>
      <c r="AN2372" s="52" t="str">
        <f t="shared" si="5"/>
        <v>absolutely,</v>
      </c>
    </row>
    <row r="2373">
      <c r="A2373" s="51"/>
      <c r="B2373" s="50" t="s">
        <v>3058</v>
      </c>
      <c r="C2373" s="50" t="s">
        <v>2396</v>
      </c>
      <c r="D2373" s="49" t="str">
        <f>IFERROR(__xludf.DUMMYFUNCTION("""COMPUTED_VALUE"""),"saving")</f>
        <v>saving</v>
      </c>
      <c r="E2373" s="49"/>
      <c r="F2373" s="49"/>
      <c r="G2373" s="49"/>
      <c r="H2373" s="54" t="str">
        <f t="shared" si="1"/>
        <v>please,</v>
      </c>
      <c r="I2373" s="50"/>
      <c r="J2373" s="50" t="s">
        <v>2263</v>
      </c>
      <c r="K2373" s="50" t="s">
        <v>4042</v>
      </c>
      <c r="L2373" s="49"/>
      <c r="M2373" s="49"/>
      <c r="N2373" s="49"/>
      <c r="O2373" s="49"/>
      <c r="P2373" s="49" t="str">
        <f t="shared" si="2"/>
        <v>delightful,</v>
      </c>
      <c r="Q2373" s="49"/>
      <c r="R2373" s="50" t="s">
        <v>2851</v>
      </c>
      <c r="S2373" s="55" t="s">
        <v>3389</v>
      </c>
      <c r="T2373" s="49"/>
      <c r="U2373" s="49"/>
      <c r="V2373" s="49"/>
      <c r="W2373" s="49"/>
      <c r="X2373" s="49" t="str">
        <f t="shared" si="3"/>
        <v>reassuring,</v>
      </c>
      <c r="Y2373" s="49"/>
      <c r="Z2373" s="1" t="s">
        <v>2590</v>
      </c>
      <c r="AA2373" s="1" t="s">
        <v>974</v>
      </c>
      <c r="AB2373" s="49"/>
      <c r="AC2373" s="49"/>
      <c r="AD2373" s="49"/>
      <c r="AE2373" s="49"/>
      <c r="AF2373" s="49" t="str">
        <f t="shared" si="4"/>
        <v>pace,</v>
      </c>
      <c r="AG2373" s="49"/>
      <c r="AH2373" s="1" t="s">
        <v>733</v>
      </c>
      <c r="AI2373" s="1" t="s">
        <v>6720</v>
      </c>
      <c r="AJ2373" s="6" t="str">
        <f>IFERROR(__xludf.DUMMYFUNCTION("""COMPUTED_VALUE"""),"relief")</f>
        <v>relief</v>
      </c>
      <c r="AK2373" s="49"/>
      <c r="AL2373" s="49"/>
      <c r="AM2373" s="49"/>
      <c r="AN2373" s="52" t="str">
        <f t="shared" si="5"/>
        <v>moved,</v>
      </c>
    </row>
    <row r="2374">
      <c r="A2374" s="51"/>
      <c r="B2374" s="50" t="s">
        <v>6981</v>
      </c>
      <c r="C2374" s="50" t="s">
        <v>4133</v>
      </c>
      <c r="D2374" s="49" t="str">
        <f>IFERROR(__xludf.DUMMYFUNCTION("""COMPUTED_VALUE"""),"horrible")</f>
        <v>horrible</v>
      </c>
      <c r="E2374" s="49"/>
      <c r="F2374" s="49"/>
      <c r="G2374" s="49"/>
      <c r="H2374" s="54" t="str">
        <f t="shared" si="1"/>
        <v>approached,</v>
      </c>
      <c r="I2374" s="50"/>
      <c r="J2374" s="50" t="s">
        <v>3870</v>
      </c>
      <c r="K2374" s="50" t="s">
        <v>1180</v>
      </c>
      <c r="L2374" s="49"/>
      <c r="M2374" s="49"/>
      <c r="N2374" s="49"/>
      <c r="O2374" s="49"/>
      <c r="P2374" s="49" t="str">
        <f t="shared" si="2"/>
        <v>pink,</v>
      </c>
      <c r="Q2374" s="49"/>
      <c r="R2374" s="50">
        <v>88.0</v>
      </c>
      <c r="S2374" s="55" t="s">
        <v>3445</v>
      </c>
      <c r="T2374" s="49"/>
      <c r="U2374" s="49"/>
      <c r="V2374" s="49"/>
      <c r="W2374" s="49"/>
      <c r="X2374" s="49" t="str">
        <f t="shared" si="3"/>
        <v>88,</v>
      </c>
      <c r="Y2374" s="49"/>
      <c r="Z2374" s="1" t="s">
        <v>67</v>
      </c>
      <c r="AA2374" s="1" t="s">
        <v>5541</v>
      </c>
      <c r="AB2374" s="49"/>
      <c r="AC2374" s="49"/>
      <c r="AD2374" s="49"/>
      <c r="AE2374" s="49"/>
      <c r="AF2374" s="49" t="str">
        <f t="shared" si="4"/>
        <v>uncertain,</v>
      </c>
      <c r="AG2374" s="49"/>
      <c r="AH2374" s="1" t="s">
        <v>7578</v>
      </c>
      <c r="AI2374" s="1" t="s">
        <v>3389</v>
      </c>
      <c r="AJ2374" s="6" t="str">
        <f>IFERROR(__xludf.DUMMYFUNCTION("""COMPUTED_VALUE"""),"begun")</f>
        <v>begun</v>
      </c>
      <c r="AK2374" s="49"/>
      <c r="AL2374" s="49"/>
      <c r="AM2374" s="49"/>
      <c r="AN2374" s="52" t="str">
        <f t="shared" si="5"/>
        <v>fighter,</v>
      </c>
    </row>
    <row r="2375">
      <c r="A2375" s="51"/>
      <c r="B2375" s="50" t="s">
        <v>7067</v>
      </c>
      <c r="C2375" s="50" t="s">
        <v>106</v>
      </c>
      <c r="D2375" s="49" t="str">
        <f>IFERROR(__xludf.DUMMYFUNCTION("""COMPUTED_VALUE"""),"awkward")</f>
        <v>awkward</v>
      </c>
      <c r="E2375" s="49"/>
      <c r="F2375" s="49"/>
      <c r="G2375" s="49"/>
      <c r="H2375" s="54" t="str">
        <f t="shared" si="1"/>
        <v>recall,</v>
      </c>
      <c r="I2375" s="50"/>
      <c r="J2375" s="50" t="s">
        <v>1499</v>
      </c>
      <c r="K2375" s="50" t="s">
        <v>4047</v>
      </c>
      <c r="L2375" s="49"/>
      <c r="M2375" s="49"/>
      <c r="N2375" s="49"/>
      <c r="O2375" s="49"/>
      <c r="P2375" s="49" t="str">
        <f t="shared" si="2"/>
        <v>received,</v>
      </c>
      <c r="Q2375" s="49"/>
      <c r="R2375" s="50" t="s">
        <v>7579</v>
      </c>
      <c r="S2375" s="55" t="s">
        <v>3863</v>
      </c>
      <c r="T2375" s="49"/>
      <c r="U2375" s="49"/>
      <c r="V2375" s="49"/>
      <c r="W2375" s="49"/>
      <c r="X2375" s="49" t="str">
        <f t="shared" si="3"/>
        <v>mcdonald,</v>
      </c>
      <c r="Y2375" s="49"/>
      <c r="Z2375" s="1" t="s">
        <v>3308</v>
      </c>
      <c r="AA2375" s="1" t="s">
        <v>2794</v>
      </c>
      <c r="AB2375" s="49"/>
      <c r="AC2375" s="49"/>
      <c r="AD2375" s="49"/>
      <c r="AE2375" s="49"/>
      <c r="AF2375" s="49" t="str">
        <f t="shared" si="4"/>
        <v>lazy,</v>
      </c>
      <c r="AG2375" s="49"/>
      <c r="AH2375" s="1" t="s">
        <v>4729</v>
      </c>
      <c r="AI2375" s="1" t="s">
        <v>3445</v>
      </c>
      <c r="AJ2375" s="6" t="str">
        <f>IFERROR(__xludf.DUMMYFUNCTION("""COMPUTED_VALUE"""),"mid")</f>
        <v>mid</v>
      </c>
      <c r="AK2375" s="49"/>
      <c r="AL2375" s="49"/>
      <c r="AM2375" s="49"/>
      <c r="AN2375" s="52" t="str">
        <f t="shared" si="5"/>
        <v>captured,</v>
      </c>
    </row>
    <row r="2376">
      <c r="A2376" s="51"/>
      <c r="B2376" s="50" t="s">
        <v>7580</v>
      </c>
      <c r="C2376" s="50" t="s">
        <v>5200</v>
      </c>
      <c r="D2376" s="49" t="str">
        <f>IFERROR(__xludf.DUMMYFUNCTION("""COMPUTED_VALUE"""),"yard")</f>
        <v>yard</v>
      </c>
      <c r="E2376" s="49"/>
      <c r="F2376" s="49"/>
      <c r="G2376" s="49"/>
      <c r="H2376" s="54" t="str">
        <f t="shared" si="1"/>
        <v>sir,</v>
      </c>
      <c r="I2376" s="50"/>
      <c r="J2376" s="50" t="s">
        <v>898</v>
      </c>
      <c r="K2376" s="50" t="s">
        <v>5543</v>
      </c>
      <c r="L2376" s="49"/>
      <c r="M2376" s="49"/>
      <c r="N2376" s="49"/>
      <c r="O2376" s="49"/>
      <c r="P2376" s="49" t="str">
        <f t="shared" si="2"/>
        <v>monstrous,</v>
      </c>
      <c r="Q2376" s="49"/>
      <c r="R2376" s="50" t="s">
        <v>3732</v>
      </c>
      <c r="S2376" s="55" t="s">
        <v>6721</v>
      </c>
      <c r="T2376" s="49"/>
      <c r="U2376" s="49"/>
      <c r="V2376" s="49"/>
      <c r="W2376" s="49"/>
      <c r="X2376" s="49" t="str">
        <f t="shared" si="3"/>
        <v>pan,</v>
      </c>
      <c r="Y2376" s="49"/>
      <c r="Z2376" s="1" t="s">
        <v>3555</v>
      </c>
      <c r="AA2376" s="1" t="s">
        <v>5542</v>
      </c>
      <c r="AB2376" s="49"/>
      <c r="AC2376" s="49"/>
      <c r="AD2376" s="49"/>
      <c r="AE2376" s="49"/>
      <c r="AF2376" s="49" t="str">
        <f t="shared" si="4"/>
        <v>hitting,</v>
      </c>
      <c r="AG2376" s="49"/>
      <c r="AH2376" s="1" t="s">
        <v>3622</v>
      </c>
      <c r="AI2376" s="1" t="s">
        <v>6722</v>
      </c>
      <c r="AJ2376" s="6" t="str">
        <f>IFERROR(__xludf.DUMMYFUNCTION("""COMPUTED_VALUE"""),"setting")</f>
        <v>setting</v>
      </c>
      <c r="AK2376" s="49"/>
      <c r="AL2376" s="49"/>
      <c r="AM2376" s="49"/>
      <c r="AN2376" s="52" t="str">
        <f t="shared" si="5"/>
        <v>content,</v>
      </c>
    </row>
    <row r="2377">
      <c r="A2377" s="51"/>
      <c r="B2377" s="50" t="s">
        <v>6291</v>
      </c>
      <c r="C2377" s="50" t="s">
        <v>5203</v>
      </c>
      <c r="D2377" s="49" t="str">
        <f>IFERROR(__xludf.DUMMYFUNCTION("""COMPUTED_VALUE"""),"speed")</f>
        <v>speed</v>
      </c>
      <c r="E2377" s="49"/>
      <c r="F2377" s="49"/>
      <c r="G2377" s="49"/>
      <c r="H2377" s="54" t="str">
        <f t="shared" si="1"/>
        <v>dry,</v>
      </c>
      <c r="I2377" s="50"/>
      <c r="J2377" s="50" t="s">
        <v>3631</v>
      </c>
      <c r="K2377" s="50" t="s">
        <v>4048</v>
      </c>
      <c r="L2377" s="49"/>
      <c r="M2377" s="49"/>
      <c r="N2377" s="49"/>
      <c r="O2377" s="49"/>
      <c r="P2377" s="49" t="str">
        <f t="shared" si="2"/>
        <v>clown,</v>
      </c>
      <c r="Q2377" s="49"/>
      <c r="R2377" s="50" t="s">
        <v>3163</v>
      </c>
      <c r="S2377" s="55" t="s">
        <v>4936</v>
      </c>
      <c r="T2377" s="49"/>
      <c r="U2377" s="49"/>
      <c r="V2377" s="49"/>
      <c r="W2377" s="49"/>
      <c r="X2377" s="49" t="str">
        <f t="shared" si="3"/>
        <v>unchanged,</v>
      </c>
      <c r="Y2377" s="49"/>
      <c r="Z2377" s="1" t="s">
        <v>6325</v>
      </c>
      <c r="AA2377" s="1" t="s">
        <v>1578</v>
      </c>
      <c r="AB2377" s="49"/>
      <c r="AC2377" s="49"/>
      <c r="AD2377" s="49"/>
      <c r="AE2377" s="49"/>
      <c r="AF2377" s="49" t="str">
        <f t="shared" si="4"/>
        <v>suck,</v>
      </c>
      <c r="AG2377" s="49"/>
      <c r="AH2377" s="1" t="s">
        <v>2555</v>
      </c>
      <c r="AI2377" s="1" t="s">
        <v>6723</v>
      </c>
      <c r="AJ2377" s="6" t="str">
        <f>IFERROR(__xludf.DUMMYFUNCTION("""COMPUTED_VALUE"""),"hearing")</f>
        <v>hearing</v>
      </c>
      <c r="AK2377" s="49"/>
      <c r="AL2377" s="49"/>
      <c r="AM2377" s="49"/>
      <c r="AN2377" s="52" t="str">
        <f t="shared" si="5"/>
        <v>managed,</v>
      </c>
    </row>
    <row r="2378">
      <c r="A2378" s="51"/>
      <c r="B2378" s="50" t="s">
        <v>1492</v>
      </c>
      <c r="C2378" s="50" t="s">
        <v>6664</v>
      </c>
      <c r="D2378" s="49" t="str">
        <f>IFERROR(__xludf.DUMMYFUNCTION("""COMPUTED_VALUE"""),"fairy")</f>
        <v>fairy</v>
      </c>
      <c r="E2378" s="49"/>
      <c r="F2378" s="49"/>
      <c r="G2378" s="49"/>
      <c r="H2378" s="54" t="str">
        <f t="shared" si="1"/>
        <v>tradition,</v>
      </c>
      <c r="I2378" s="50"/>
      <c r="J2378" s="50" t="s">
        <v>2144</v>
      </c>
      <c r="K2378" s="50">
        <v>83.0</v>
      </c>
      <c r="L2378" s="49"/>
      <c r="M2378" s="49"/>
      <c r="N2378" s="49"/>
      <c r="O2378" s="49"/>
      <c r="P2378" s="49" t="str">
        <f t="shared" si="2"/>
        <v>nicely,</v>
      </c>
      <c r="Q2378" s="49"/>
      <c r="R2378" s="50" t="s">
        <v>4805</v>
      </c>
      <c r="S2378" s="55" t="s">
        <v>3864</v>
      </c>
      <c r="T2378" s="49"/>
      <c r="U2378" s="49"/>
      <c r="V2378" s="49"/>
      <c r="W2378" s="49"/>
      <c r="X2378" s="49" t="str">
        <f t="shared" si="3"/>
        <v>preaching,</v>
      </c>
      <c r="Y2378" s="49"/>
      <c r="Z2378" s="1" t="s">
        <v>4384</v>
      </c>
      <c r="AA2378" s="1" t="s">
        <v>5546</v>
      </c>
      <c r="AB2378" s="49"/>
      <c r="AC2378" s="49"/>
      <c r="AD2378" s="49"/>
      <c r="AE2378" s="49"/>
      <c r="AF2378" s="49" t="str">
        <f t="shared" si="4"/>
        <v>mill,</v>
      </c>
      <c r="AG2378" s="49"/>
      <c r="AH2378" s="1" t="s">
        <v>4138</v>
      </c>
      <c r="AI2378" s="1" t="s">
        <v>6724</v>
      </c>
      <c r="AJ2378" s="6" t="str">
        <f>IFERROR(__xludf.DUMMYFUNCTION("""COMPUTED_VALUE"""),"voices")</f>
        <v>voices</v>
      </c>
      <c r="AK2378" s="49"/>
      <c r="AL2378" s="49"/>
      <c r="AM2378" s="49"/>
      <c r="AN2378" s="52" t="str">
        <f t="shared" si="5"/>
        <v>contemporary,</v>
      </c>
    </row>
    <row r="2379">
      <c r="A2379" s="51"/>
      <c r="B2379" s="50" t="s">
        <v>5743</v>
      </c>
      <c r="C2379" s="50" t="s">
        <v>2031</v>
      </c>
      <c r="D2379" s="49" t="str">
        <f>IFERROR(__xludf.DUMMYFUNCTION("""COMPUTED_VALUE"""),"received")</f>
        <v>received</v>
      </c>
      <c r="E2379" s="49"/>
      <c r="F2379" s="49"/>
      <c r="G2379" s="49"/>
      <c r="H2379" s="54" t="str">
        <f t="shared" si="1"/>
        <v>difficulty,</v>
      </c>
      <c r="I2379" s="50"/>
      <c r="J2379" s="50" t="s">
        <v>7581</v>
      </c>
      <c r="K2379" s="50" t="s">
        <v>1163</v>
      </c>
      <c r="L2379" s="49"/>
      <c r="M2379" s="49"/>
      <c r="N2379" s="49"/>
      <c r="O2379" s="49"/>
      <c r="P2379" s="49" t="str">
        <f t="shared" si="2"/>
        <v>polite,</v>
      </c>
      <c r="Q2379" s="49"/>
      <c r="R2379" s="50" t="s">
        <v>2277</v>
      </c>
      <c r="S2379" s="55" t="s">
        <v>3866</v>
      </c>
      <c r="T2379" s="49"/>
      <c r="U2379" s="49"/>
      <c r="V2379" s="49"/>
      <c r="W2379" s="49"/>
      <c r="X2379" s="49" t="str">
        <f t="shared" si="3"/>
        <v>trademark,</v>
      </c>
      <c r="Y2379" s="49"/>
      <c r="Z2379" s="1" t="s">
        <v>6485</v>
      </c>
      <c r="AA2379" s="1" t="s">
        <v>3776</v>
      </c>
      <c r="AB2379" s="49"/>
      <c r="AC2379" s="49"/>
      <c r="AD2379" s="49"/>
      <c r="AE2379" s="49"/>
      <c r="AF2379" s="49" t="str">
        <f t="shared" si="4"/>
        <v>quiet,</v>
      </c>
      <c r="AG2379" s="49"/>
      <c r="AH2379" s="1" t="s">
        <v>3883</v>
      </c>
      <c r="AI2379" s="1" t="s">
        <v>5424</v>
      </c>
      <c r="AJ2379" s="6" t="str">
        <f>IFERROR(__xludf.DUMMYFUNCTION("""COMPUTED_VALUE"""),"spiritual")</f>
        <v>spiritual</v>
      </c>
      <c r="AK2379" s="49"/>
      <c r="AL2379" s="49"/>
      <c r="AM2379" s="49"/>
      <c r="AN2379" s="52" t="str">
        <f t="shared" si="5"/>
        <v>soldiers,</v>
      </c>
    </row>
    <row r="2380">
      <c r="A2380" s="51"/>
      <c r="B2380" s="50" t="s">
        <v>5998</v>
      </c>
      <c r="C2380" s="50" t="s">
        <v>3172</v>
      </c>
      <c r="D2380" s="49" t="str">
        <f>IFERROR(__xludf.DUMMYFUNCTION("""COMPUTED_VALUE"""),"blonde")</f>
        <v>blonde</v>
      </c>
      <c r="E2380" s="49"/>
      <c r="F2380" s="49"/>
      <c r="G2380" s="49"/>
      <c r="H2380" s="54" t="str">
        <f t="shared" si="1"/>
        <v>danny,</v>
      </c>
      <c r="I2380" s="50"/>
      <c r="J2380" s="50" t="s">
        <v>1271</v>
      </c>
      <c r="K2380" s="50" t="s">
        <v>3437</v>
      </c>
      <c r="L2380" s="49"/>
      <c r="M2380" s="49"/>
      <c r="N2380" s="49"/>
      <c r="O2380" s="49"/>
      <c r="P2380" s="49" t="str">
        <f t="shared" si="2"/>
        <v>holm,</v>
      </c>
      <c r="Q2380" s="49"/>
      <c r="R2380" s="50" t="s">
        <v>3226</v>
      </c>
      <c r="S2380" s="55" t="s">
        <v>3868</v>
      </c>
      <c r="T2380" s="49"/>
      <c r="U2380" s="49"/>
      <c r="V2380" s="49"/>
      <c r="W2380" s="49"/>
      <c r="X2380" s="49" t="str">
        <f t="shared" si="3"/>
        <v>uncanny,</v>
      </c>
      <c r="Y2380" s="49"/>
      <c r="Z2380" s="1" t="s">
        <v>4025</v>
      </c>
      <c r="AA2380" s="1" t="s">
        <v>2800</v>
      </c>
      <c r="AB2380" s="49"/>
      <c r="AC2380" s="49"/>
      <c r="AD2380" s="49"/>
      <c r="AE2380" s="49"/>
      <c r="AF2380" s="49" t="str">
        <f t="shared" si="4"/>
        <v>pencil,</v>
      </c>
      <c r="AG2380" s="49"/>
      <c r="AH2380" s="1" t="s">
        <v>6486</v>
      </c>
      <c r="AI2380" s="1" t="s">
        <v>6721</v>
      </c>
      <c r="AJ2380" s="6" t="str">
        <f>IFERROR(__xludf.DUMMYFUNCTION("""COMPUTED_VALUE"""),"records")</f>
        <v>records</v>
      </c>
      <c r="AK2380" s="49"/>
      <c r="AL2380" s="49"/>
      <c r="AM2380" s="49"/>
      <c r="AN2380" s="52" t="str">
        <f t="shared" si="5"/>
        <v>exist,</v>
      </c>
    </row>
    <row r="2381">
      <c r="A2381" s="51"/>
      <c r="B2381" s="50" t="s">
        <v>2199</v>
      </c>
      <c r="C2381" s="50" t="s">
        <v>5211</v>
      </c>
      <c r="D2381" s="49" t="str">
        <f>IFERROR(__xludf.DUMMYFUNCTION("""COMPUTED_VALUE"""),"producer")</f>
        <v>producer</v>
      </c>
      <c r="E2381" s="49"/>
      <c r="F2381" s="49"/>
      <c r="G2381" s="49"/>
      <c r="H2381" s="54" t="str">
        <f t="shared" si="1"/>
        <v>renowned,</v>
      </c>
      <c r="I2381" s="50"/>
      <c r="J2381" s="50" t="s">
        <v>2928</v>
      </c>
      <c r="K2381" s="50" t="s">
        <v>4050</v>
      </c>
      <c r="L2381" s="49"/>
      <c r="M2381" s="49"/>
      <c r="N2381" s="49"/>
      <c r="O2381" s="49"/>
      <c r="P2381" s="49" t="str">
        <f t="shared" si="2"/>
        <v>miracle,</v>
      </c>
      <c r="Q2381" s="49"/>
      <c r="R2381" s="50" t="s">
        <v>4368</v>
      </c>
      <c r="S2381" s="55" t="s">
        <v>4080</v>
      </c>
      <c r="T2381" s="49"/>
      <c r="U2381" s="49"/>
      <c r="V2381" s="49"/>
      <c r="W2381" s="49"/>
      <c r="X2381" s="49" t="str">
        <f t="shared" si="3"/>
        <v>archive,</v>
      </c>
      <c r="Y2381" s="49"/>
      <c r="Z2381" s="1" t="s">
        <v>2072</v>
      </c>
      <c r="AA2381" s="1" t="s">
        <v>5548</v>
      </c>
      <c r="AB2381" s="49"/>
      <c r="AC2381" s="49"/>
      <c r="AD2381" s="49"/>
      <c r="AE2381" s="49"/>
      <c r="AF2381" s="49" t="str">
        <f t="shared" si="4"/>
        <v>barrel,</v>
      </c>
      <c r="AG2381" s="49"/>
      <c r="AH2381" s="1" t="s">
        <v>5935</v>
      </c>
      <c r="AI2381" s="1" t="s">
        <v>6725</v>
      </c>
      <c r="AJ2381" s="6" t="str">
        <f>IFERROR(__xludf.DUMMYFUNCTION("""COMPUTED_VALUE"""),"uk")</f>
        <v>uk</v>
      </c>
      <c r="AK2381" s="49"/>
      <c r="AL2381" s="49"/>
      <c r="AM2381" s="49"/>
      <c r="AN2381" s="52" t="str">
        <f t="shared" si="5"/>
        <v>aspects,</v>
      </c>
    </row>
    <row r="2382">
      <c r="A2382" s="51"/>
      <c r="B2382" s="50" t="s">
        <v>2612</v>
      </c>
      <c r="C2382" s="50" t="s">
        <v>2883</v>
      </c>
      <c r="D2382" s="49" t="str">
        <f>IFERROR(__xludf.DUMMYFUNCTION("""COMPUTED_VALUE"""),"executive")</f>
        <v>executive</v>
      </c>
      <c r="E2382" s="49"/>
      <c r="F2382" s="49"/>
      <c r="G2382" s="49"/>
      <c r="H2382" s="54" t="str">
        <f t="shared" si="1"/>
        <v>hawk,</v>
      </c>
      <c r="I2382" s="50"/>
      <c r="J2382" s="50" t="s">
        <v>1452</v>
      </c>
      <c r="K2382" s="50" t="s">
        <v>78</v>
      </c>
      <c r="L2382" s="49"/>
      <c r="M2382" s="49"/>
      <c r="N2382" s="49"/>
      <c r="O2382" s="49"/>
      <c r="P2382" s="49" t="str">
        <f t="shared" si="2"/>
        <v>characteristic,</v>
      </c>
      <c r="Q2382" s="49"/>
      <c r="R2382" s="50" t="s">
        <v>5404</v>
      </c>
      <c r="S2382" s="55" t="s">
        <v>5579</v>
      </c>
      <c r="T2382" s="49"/>
      <c r="U2382" s="49"/>
      <c r="V2382" s="49"/>
      <c r="W2382" s="49"/>
      <c r="X2382" s="49" t="str">
        <f t="shared" si="3"/>
        <v>humidity,</v>
      </c>
      <c r="Y2382" s="49"/>
      <c r="Z2382" s="1" t="s">
        <v>1781</v>
      </c>
      <c r="AA2382" s="1" t="s">
        <v>1583</v>
      </c>
      <c r="AB2382" s="49"/>
      <c r="AC2382" s="49"/>
      <c r="AD2382" s="49"/>
      <c r="AE2382" s="49"/>
      <c r="AF2382" s="49" t="str">
        <f t="shared" si="4"/>
        <v>diversion,</v>
      </c>
      <c r="AG2382" s="49"/>
      <c r="AH2382" s="1" t="s">
        <v>3954</v>
      </c>
      <c r="AI2382" s="1" t="s">
        <v>3868</v>
      </c>
      <c r="AJ2382" s="6" t="str">
        <f>IFERROR(__xludf.DUMMYFUNCTION("""COMPUTED_VALUE"""),"lived")</f>
        <v>lived</v>
      </c>
      <c r="AK2382" s="49"/>
      <c r="AL2382" s="49"/>
      <c r="AM2382" s="49"/>
      <c r="AN2382" s="52" t="str">
        <f t="shared" si="5"/>
        <v>warriors,</v>
      </c>
    </row>
    <row r="2383">
      <c r="A2383" s="51"/>
      <c r="B2383" s="50" t="s">
        <v>6717</v>
      </c>
      <c r="C2383" s="50" t="s">
        <v>6653</v>
      </c>
      <c r="D2383" s="49" t="str">
        <f>IFERROR(__xludf.DUMMYFUNCTION("""COMPUTED_VALUE"""),"international")</f>
        <v>international</v>
      </c>
      <c r="E2383" s="49"/>
      <c r="F2383" s="49"/>
      <c r="G2383" s="49"/>
      <c r="H2383" s="54" t="str">
        <f t="shared" si="1"/>
        <v>easier,</v>
      </c>
      <c r="I2383" s="50"/>
      <c r="J2383" s="50" t="s">
        <v>6375</v>
      </c>
      <c r="K2383" s="50" t="s">
        <v>2232</v>
      </c>
      <c r="L2383" s="49"/>
      <c r="M2383" s="49"/>
      <c r="N2383" s="49"/>
      <c r="O2383" s="49"/>
      <c r="P2383" s="49" t="str">
        <f t="shared" si="2"/>
        <v>helps,</v>
      </c>
      <c r="Q2383" s="49"/>
      <c r="R2383" s="50" t="s">
        <v>1318</v>
      </c>
      <c r="S2383" s="55" t="s">
        <v>3870</v>
      </c>
      <c r="T2383" s="49"/>
      <c r="U2383" s="49"/>
      <c r="V2383" s="49"/>
      <c r="W2383" s="49"/>
      <c r="X2383" s="49" t="str">
        <f t="shared" si="3"/>
        <v>underlying,</v>
      </c>
      <c r="Y2383" s="49"/>
      <c r="Z2383" s="1" t="s">
        <v>4973</v>
      </c>
      <c r="AA2383" s="1" t="s">
        <v>5549</v>
      </c>
      <c r="AB2383" s="49"/>
      <c r="AC2383" s="49"/>
      <c r="AD2383" s="49"/>
      <c r="AE2383" s="49"/>
      <c r="AF2383" s="49" t="str">
        <f t="shared" si="4"/>
        <v>santa,</v>
      </c>
      <c r="AG2383" s="49"/>
      <c r="AH2383" s="1" t="s">
        <v>3189</v>
      </c>
      <c r="AI2383" s="1" t="s">
        <v>4939</v>
      </c>
      <c r="AJ2383" s="6" t="str">
        <f>IFERROR(__xludf.DUMMYFUNCTION("""COMPUTED_VALUE"""),"letter")</f>
        <v>letter</v>
      </c>
      <c r="AK2383" s="49"/>
      <c r="AL2383" s="49"/>
      <c r="AM2383" s="49"/>
      <c r="AN2383" s="52" t="str">
        <f t="shared" si="5"/>
        <v>recognize,</v>
      </c>
    </row>
    <row r="2384">
      <c r="A2384" s="51"/>
      <c r="B2384" s="50" t="s">
        <v>6332</v>
      </c>
      <c r="C2384" s="50" t="s">
        <v>4672</v>
      </c>
      <c r="D2384" s="49" t="str">
        <f>IFERROR(__xludf.DUMMYFUNCTION("""COMPUTED_VALUE"""),"traveled")</f>
        <v>traveled</v>
      </c>
      <c r="E2384" s="49"/>
      <c r="F2384" s="49"/>
      <c r="G2384" s="49"/>
      <c r="H2384" s="54" t="str">
        <f t="shared" si="1"/>
        <v>screaming,</v>
      </c>
      <c r="I2384" s="50"/>
      <c r="J2384" s="50" t="s">
        <v>3530</v>
      </c>
      <c r="K2384" s="50" t="s">
        <v>5552</v>
      </c>
      <c r="L2384" s="49"/>
      <c r="M2384" s="49"/>
      <c r="N2384" s="49"/>
      <c r="O2384" s="49"/>
      <c r="P2384" s="49" t="str">
        <f t="shared" si="2"/>
        <v>fearless,</v>
      </c>
      <c r="Q2384" s="49"/>
      <c r="R2384" s="50" t="s">
        <v>7582</v>
      </c>
      <c r="S2384" s="55" t="s">
        <v>2133</v>
      </c>
      <c r="T2384" s="49"/>
      <c r="U2384" s="49"/>
      <c r="V2384" s="49"/>
      <c r="W2384" s="49"/>
      <c r="X2384" s="49" t="str">
        <f t="shared" si="3"/>
        <v>appetite,</v>
      </c>
      <c r="Y2384" s="49"/>
      <c r="Z2384" s="1" t="s">
        <v>2610</v>
      </c>
      <c r="AA2384" s="1" t="s">
        <v>5550</v>
      </c>
      <c r="AB2384" s="49"/>
      <c r="AC2384" s="49"/>
      <c r="AD2384" s="49"/>
      <c r="AE2384" s="49"/>
      <c r="AF2384" s="49" t="str">
        <f t="shared" si="4"/>
        <v>seeking,</v>
      </c>
      <c r="AG2384" s="49"/>
      <c r="AH2384" s="1" t="s">
        <v>5727</v>
      </c>
      <c r="AI2384" s="1" t="s">
        <v>4080</v>
      </c>
      <c r="AJ2384" s="6" t="str">
        <f>IFERROR(__xludf.DUMMYFUNCTION("""COMPUTED_VALUE"""),"surrounded")</f>
        <v>surrounded</v>
      </c>
      <c r="AK2384" s="49"/>
      <c r="AL2384" s="49"/>
      <c r="AM2384" s="49"/>
      <c r="AN2384" s="52" t="str">
        <f t="shared" si="5"/>
        <v>experiment,</v>
      </c>
    </row>
    <row r="2385">
      <c r="A2385" s="51"/>
      <c r="B2385" s="50" t="s">
        <v>4397</v>
      </c>
      <c r="C2385" s="50" t="s">
        <v>5213</v>
      </c>
      <c r="D2385" s="49" t="str">
        <f>IFERROR(__xludf.DUMMYFUNCTION("""COMPUTED_VALUE"""),"impact")</f>
        <v>impact</v>
      </c>
      <c r="E2385" s="49"/>
      <c r="F2385" s="49"/>
      <c r="G2385" s="49"/>
      <c r="H2385" s="54" t="str">
        <f t="shared" si="1"/>
        <v>decision,</v>
      </c>
      <c r="I2385" s="50"/>
      <c r="J2385" s="50" t="s">
        <v>1689</v>
      </c>
      <c r="K2385" s="50" t="s">
        <v>97</v>
      </c>
      <c r="L2385" s="49"/>
      <c r="M2385" s="49"/>
      <c r="N2385" s="49"/>
      <c r="O2385" s="49"/>
      <c r="P2385" s="49" t="str">
        <f t="shared" si="2"/>
        <v>taut,</v>
      </c>
      <c r="Q2385" s="49"/>
      <c r="R2385" s="50" t="s">
        <v>7583</v>
      </c>
      <c r="S2385" s="55" t="s">
        <v>2136</v>
      </c>
      <c r="T2385" s="49"/>
      <c r="U2385" s="49"/>
      <c r="V2385" s="49"/>
      <c r="W2385" s="49"/>
      <c r="X2385" s="49" t="str">
        <f t="shared" si="3"/>
        <v>pu,</v>
      </c>
      <c r="Y2385" s="49"/>
      <c r="Z2385" s="1" t="s">
        <v>2656</v>
      </c>
      <c r="AA2385" s="1" t="s">
        <v>5553</v>
      </c>
      <c r="AB2385" s="49"/>
      <c r="AC2385" s="49"/>
      <c r="AD2385" s="49"/>
      <c r="AE2385" s="49"/>
      <c r="AF2385" s="49" t="str">
        <f t="shared" si="4"/>
        <v>triangle,</v>
      </c>
      <c r="AG2385" s="49"/>
      <c r="AH2385" s="1" t="s">
        <v>6478</v>
      </c>
      <c r="AI2385" s="1" t="s">
        <v>3870</v>
      </c>
      <c r="AJ2385" s="6" t="str">
        <f>IFERROR(__xludf.DUMMYFUNCTION("""COMPUTED_VALUE"""),"devoted")</f>
        <v>devoted</v>
      </c>
      <c r="AK2385" s="49"/>
      <c r="AL2385" s="49"/>
      <c r="AM2385" s="49"/>
      <c r="AN2385" s="52" t="str">
        <f t="shared" si="5"/>
        <v>variety,</v>
      </c>
    </row>
    <row r="2386">
      <c r="A2386" s="51"/>
      <c r="B2386" s="50" t="s">
        <v>7584</v>
      </c>
      <c r="C2386" s="50" t="s">
        <v>5215</v>
      </c>
      <c r="D2386" s="49" t="str">
        <f>IFERROR(__xludf.DUMMYFUNCTION("""COMPUTED_VALUE"""),"millions")</f>
        <v>millions</v>
      </c>
      <c r="E2386" s="49"/>
      <c r="F2386" s="49"/>
      <c r="G2386" s="49"/>
      <c r="H2386" s="54" t="str">
        <f t="shared" si="1"/>
        <v>firm,</v>
      </c>
      <c r="I2386" s="50"/>
      <c r="J2386" s="50" t="s">
        <v>1733</v>
      </c>
      <c r="K2386" s="50" t="s">
        <v>5040</v>
      </c>
      <c r="L2386" s="49"/>
      <c r="M2386" s="49"/>
      <c r="N2386" s="49"/>
      <c r="O2386" s="49"/>
      <c r="P2386" s="49" t="str">
        <f t="shared" si="2"/>
        <v>risks,</v>
      </c>
      <c r="Q2386" s="49"/>
      <c r="R2386" s="50" t="s">
        <v>1101</v>
      </c>
      <c r="S2386" s="55" t="s">
        <v>3875</v>
      </c>
      <c r="T2386" s="49"/>
      <c r="U2386" s="49"/>
      <c r="V2386" s="49"/>
      <c r="W2386" s="49"/>
      <c r="X2386" s="49" t="str">
        <f t="shared" si="3"/>
        <v>bergman,</v>
      </c>
      <c r="Y2386" s="49"/>
      <c r="Z2386" s="1" t="s">
        <v>1545</v>
      </c>
      <c r="AA2386" s="1" t="s">
        <v>2806</v>
      </c>
      <c r="AB2386" s="49"/>
      <c r="AC2386" s="49"/>
      <c r="AD2386" s="49"/>
      <c r="AE2386" s="49"/>
      <c r="AF2386" s="49" t="str">
        <f t="shared" si="4"/>
        <v>lacking,</v>
      </c>
      <c r="AG2386" s="49"/>
      <c r="AH2386" s="1" t="s">
        <v>4863</v>
      </c>
      <c r="AI2386" s="1" t="s">
        <v>6726</v>
      </c>
      <c r="AJ2386" s="6" t="str">
        <f>IFERROR(__xludf.DUMMYFUNCTION("""COMPUTED_VALUE"""),"walls")</f>
        <v>walls</v>
      </c>
      <c r="AK2386" s="49"/>
      <c r="AL2386" s="49"/>
      <c r="AM2386" s="49"/>
      <c r="AN2386" s="52" t="str">
        <f t="shared" si="5"/>
        <v>sources,</v>
      </c>
    </row>
    <row r="2387">
      <c r="A2387" s="51"/>
      <c r="B2387" s="50" t="s">
        <v>3444</v>
      </c>
      <c r="C2387" s="50" t="s">
        <v>5362</v>
      </c>
      <c r="D2387" s="49" t="str">
        <f>IFERROR(__xludf.DUMMYFUNCTION("""COMPUTED_VALUE"""),"eager")</f>
        <v>eager</v>
      </c>
      <c r="E2387" s="49"/>
      <c r="F2387" s="49"/>
      <c r="G2387" s="49"/>
      <c r="H2387" s="54" t="str">
        <f t="shared" si="1"/>
        <v>pick,</v>
      </c>
      <c r="I2387" s="50"/>
      <c r="J2387" s="50" t="s">
        <v>6534</v>
      </c>
      <c r="K2387" s="50" t="s">
        <v>4102</v>
      </c>
      <c r="L2387" s="49"/>
      <c r="M2387" s="49"/>
      <c r="N2387" s="49"/>
      <c r="O2387" s="49"/>
      <c r="P2387" s="49" t="str">
        <f t="shared" si="2"/>
        <v>holding,</v>
      </c>
      <c r="Q2387" s="49"/>
      <c r="R2387" s="50" t="s">
        <v>5621</v>
      </c>
      <c r="S2387" s="55" t="s">
        <v>1087</v>
      </c>
      <c r="T2387" s="49"/>
      <c r="U2387" s="49"/>
      <c r="V2387" s="49"/>
      <c r="W2387" s="49"/>
      <c r="X2387" s="49" t="str">
        <f t="shared" si="3"/>
        <v>pause,</v>
      </c>
      <c r="Y2387" s="49"/>
      <c r="Z2387" s="1" t="s">
        <v>3263</v>
      </c>
      <c r="AA2387" s="1">
        <v>146.0</v>
      </c>
      <c r="AB2387" s="49"/>
      <c r="AC2387" s="49"/>
      <c r="AD2387" s="49"/>
      <c r="AE2387" s="49"/>
      <c r="AF2387" s="49" t="str">
        <f t="shared" si="4"/>
        <v>mature,</v>
      </c>
      <c r="AG2387" s="49"/>
      <c r="AH2387" s="1" t="s">
        <v>6637</v>
      </c>
      <c r="AI2387" s="1" t="s">
        <v>2133</v>
      </c>
      <c r="AJ2387" s="6" t="str">
        <f>IFERROR(__xludf.DUMMYFUNCTION("""COMPUTED_VALUE"""),"stanley")</f>
        <v>stanley</v>
      </c>
      <c r="AK2387" s="49"/>
      <c r="AL2387" s="49"/>
      <c r="AM2387" s="49"/>
      <c r="AN2387" s="52" t="str">
        <f t="shared" si="5"/>
        <v>birthday,</v>
      </c>
    </row>
    <row r="2388">
      <c r="A2388" s="51"/>
      <c r="B2388" s="50" t="s">
        <v>7156</v>
      </c>
      <c r="C2388" s="50" t="s">
        <v>3175</v>
      </c>
      <c r="D2388" s="49" t="str">
        <f>IFERROR(__xludf.DUMMYFUNCTION("""COMPUTED_VALUE"""),"prime")</f>
        <v>prime</v>
      </c>
      <c r="E2388" s="49"/>
      <c r="F2388" s="49"/>
      <c r="G2388" s="49"/>
      <c r="H2388" s="54" t="str">
        <f t="shared" si="1"/>
        <v>jury,</v>
      </c>
      <c r="I2388" s="50"/>
      <c r="J2388" s="50" t="s">
        <v>5208</v>
      </c>
      <c r="K2388" s="50" t="s">
        <v>3443</v>
      </c>
      <c r="L2388" s="49"/>
      <c r="M2388" s="49"/>
      <c r="N2388" s="49"/>
      <c r="O2388" s="49"/>
      <c r="P2388" s="49" t="str">
        <f t="shared" si="2"/>
        <v>regards,</v>
      </c>
      <c r="Q2388" s="49"/>
      <c r="R2388" s="50" t="s">
        <v>2674</v>
      </c>
      <c r="S2388" s="55" t="s">
        <v>2141</v>
      </c>
      <c r="T2388" s="49"/>
      <c r="U2388" s="49"/>
      <c r="V2388" s="49"/>
      <c r="W2388" s="49"/>
      <c r="X2388" s="49" t="str">
        <f t="shared" si="3"/>
        <v>heights,</v>
      </c>
      <c r="Y2388" s="49"/>
      <c r="Z2388" s="1" t="s">
        <v>4897</v>
      </c>
      <c r="AA2388" s="1" t="s">
        <v>4718</v>
      </c>
      <c r="AB2388" s="49"/>
      <c r="AC2388" s="49"/>
      <c r="AD2388" s="49"/>
      <c r="AE2388" s="49"/>
      <c r="AF2388" s="49" t="str">
        <f t="shared" si="4"/>
        <v>raised,</v>
      </c>
      <c r="AG2388" s="49"/>
      <c r="AH2388" s="1" t="s">
        <v>6915</v>
      </c>
      <c r="AI2388" s="1" t="s">
        <v>4944</v>
      </c>
      <c r="AJ2388" s="6" t="str">
        <f>IFERROR(__xludf.DUMMYFUNCTION("""COMPUTED_VALUE"""),"blind")</f>
        <v>blind</v>
      </c>
      <c r="AK2388" s="49"/>
      <c r="AL2388" s="49"/>
      <c r="AM2388" s="49"/>
      <c r="AN2388" s="52" t="str">
        <f t="shared" si="5"/>
        <v>passed,</v>
      </c>
    </row>
    <row r="2389">
      <c r="A2389" s="51"/>
      <c r="B2389" s="50" t="s">
        <v>1345</v>
      </c>
      <c r="C2389" s="50" t="s">
        <v>6727</v>
      </c>
      <c r="D2389" s="49" t="str">
        <f>IFERROR(__xludf.DUMMYFUNCTION("""COMPUTED_VALUE"""),"tales")</f>
        <v>tales</v>
      </c>
      <c r="E2389" s="49"/>
      <c r="F2389" s="49"/>
      <c r="G2389" s="49"/>
      <c r="H2389" s="54" t="str">
        <f t="shared" si="1"/>
        <v>celebration,</v>
      </c>
      <c r="I2389" s="50"/>
      <c r="J2389" s="50" t="s">
        <v>4828</v>
      </c>
      <c r="K2389" s="50" t="s">
        <v>1656</v>
      </c>
      <c r="L2389" s="49"/>
      <c r="M2389" s="49"/>
      <c r="N2389" s="49"/>
      <c r="O2389" s="49"/>
      <c r="P2389" s="49" t="str">
        <f t="shared" si="2"/>
        <v>authentic,</v>
      </c>
      <c r="Q2389" s="49"/>
      <c r="R2389" s="50" t="s">
        <v>1567</v>
      </c>
      <c r="S2389" s="55" t="s">
        <v>6728</v>
      </c>
      <c r="T2389" s="49"/>
      <c r="U2389" s="49"/>
      <c r="V2389" s="49"/>
      <c r="W2389" s="49"/>
      <c r="X2389" s="49" t="str">
        <f t="shared" si="3"/>
        <v>ode,</v>
      </c>
      <c r="Y2389" s="49"/>
      <c r="Z2389" s="1" t="s">
        <v>842</v>
      </c>
      <c r="AA2389" s="1" t="s">
        <v>5555</v>
      </c>
      <c r="AB2389" s="49"/>
      <c r="AC2389" s="49"/>
      <c r="AD2389" s="49"/>
      <c r="AE2389" s="49"/>
      <c r="AF2389" s="49" t="str">
        <f t="shared" si="4"/>
        <v>smarter,</v>
      </c>
      <c r="AG2389" s="49"/>
      <c r="AH2389" s="1" t="s">
        <v>857</v>
      </c>
      <c r="AI2389" s="1" t="s">
        <v>3875</v>
      </c>
      <c r="AJ2389" s="6" t="str">
        <f>IFERROR(__xludf.DUMMYFUNCTION("""COMPUTED_VALUE"""),"truck")</f>
        <v>truck</v>
      </c>
      <c r="AK2389" s="49"/>
      <c r="AL2389" s="49"/>
      <c r="AM2389" s="49"/>
      <c r="AN2389" s="52" t="str">
        <f t="shared" si="5"/>
        <v>effort,</v>
      </c>
    </row>
    <row r="2390">
      <c r="A2390" s="51"/>
      <c r="B2390" s="50" t="s">
        <v>6457</v>
      </c>
      <c r="C2390" s="50" t="s">
        <v>4682</v>
      </c>
      <c r="D2390" s="49" t="str">
        <f>IFERROR(__xludf.DUMMYFUNCTION("""COMPUTED_VALUE"""),"deaths")</f>
        <v>deaths</v>
      </c>
      <c r="E2390" s="49"/>
      <c r="F2390" s="49"/>
      <c r="G2390" s="49"/>
      <c r="H2390" s="54" t="str">
        <f t="shared" si="1"/>
        <v>thank,</v>
      </c>
      <c r="I2390" s="50"/>
      <c r="J2390" s="50" t="s">
        <v>7585</v>
      </c>
      <c r="K2390" s="50" t="s">
        <v>5557</v>
      </c>
      <c r="L2390" s="49"/>
      <c r="M2390" s="49"/>
      <c r="N2390" s="49"/>
      <c r="O2390" s="49"/>
      <c r="P2390" s="49" t="str">
        <f t="shared" si="2"/>
        <v>strive,</v>
      </c>
      <c r="Q2390" s="49"/>
      <c r="R2390" s="50" t="s">
        <v>114</v>
      </c>
      <c r="S2390" s="55" t="s">
        <v>5435</v>
      </c>
      <c r="T2390" s="49"/>
      <c r="U2390" s="49"/>
      <c r="V2390" s="49"/>
      <c r="W2390" s="49"/>
      <c r="X2390" s="49" t="str">
        <f t="shared" si="3"/>
        <v>fascination,</v>
      </c>
      <c r="Y2390" s="49"/>
      <c r="Z2390" s="1" t="s">
        <v>4333</v>
      </c>
      <c r="AA2390" s="1" t="s">
        <v>1965</v>
      </c>
      <c r="AB2390" s="49"/>
      <c r="AC2390" s="49"/>
      <c r="AD2390" s="49"/>
      <c r="AE2390" s="49"/>
      <c r="AF2390" s="49" t="str">
        <f t="shared" si="4"/>
        <v>shock,</v>
      </c>
      <c r="AG2390" s="49"/>
      <c r="AH2390" s="1" t="s">
        <v>7586</v>
      </c>
      <c r="AI2390" s="1" t="s">
        <v>5588</v>
      </c>
      <c r="AJ2390" s="6" t="str">
        <f>IFERROR(__xludf.DUMMYFUNCTION("""COMPUTED_VALUE"""),"friendly")</f>
        <v>friendly</v>
      </c>
      <c r="AK2390" s="49"/>
      <c r="AL2390" s="49"/>
      <c r="AM2390" s="49"/>
      <c r="AN2390" s="52" t="str">
        <f t="shared" si="5"/>
        <v>adrian,</v>
      </c>
    </row>
    <row r="2391">
      <c r="A2391" s="51"/>
      <c r="B2391" s="50" t="s">
        <v>2995</v>
      </c>
      <c r="C2391" s="50" t="s">
        <v>2020</v>
      </c>
      <c r="D2391" s="49" t="str">
        <f>IFERROR(__xludf.DUMMYFUNCTION("""COMPUTED_VALUE"""),"ice")</f>
        <v>ice</v>
      </c>
      <c r="E2391" s="49"/>
      <c r="F2391" s="49"/>
      <c r="G2391" s="49"/>
      <c r="H2391" s="54" t="str">
        <f t="shared" si="1"/>
        <v>ages,</v>
      </c>
      <c r="I2391" s="50"/>
      <c r="J2391" s="50" t="s">
        <v>256</v>
      </c>
      <c r="K2391" s="50" t="s">
        <v>4984</v>
      </c>
      <c r="L2391" s="49"/>
      <c r="M2391" s="49"/>
      <c r="N2391" s="49"/>
      <c r="O2391" s="49"/>
      <c r="P2391" s="49" t="str">
        <f t="shared" si="2"/>
        <v>retains,</v>
      </c>
      <c r="Q2391" s="49"/>
      <c r="R2391" s="50" t="s">
        <v>7587</v>
      </c>
      <c r="S2391" s="55" t="s">
        <v>3763</v>
      </c>
      <c r="T2391" s="49"/>
      <c r="U2391" s="49"/>
      <c r="V2391" s="49"/>
      <c r="W2391" s="49"/>
      <c r="X2391" s="49" t="str">
        <f t="shared" si="3"/>
        <v>pac,</v>
      </c>
      <c r="Y2391" s="49"/>
      <c r="Z2391" s="1" t="s">
        <v>5241</v>
      </c>
      <c r="AA2391" s="1" t="s">
        <v>2810</v>
      </c>
      <c r="AB2391" s="49"/>
      <c r="AC2391" s="49"/>
      <c r="AD2391" s="49"/>
      <c r="AE2391" s="49"/>
      <c r="AF2391" s="49" t="str">
        <f t="shared" si="4"/>
        <v>smack,</v>
      </c>
      <c r="AG2391" s="49"/>
      <c r="AH2391" s="1" t="s">
        <v>6809</v>
      </c>
      <c r="AI2391" s="1">
        <v>11.0</v>
      </c>
      <c r="AJ2391" s="6" t="str">
        <f>IFERROR(__xludf.DUMMYFUNCTION("""COMPUTED_VALUE"""),"amy")</f>
        <v>amy</v>
      </c>
      <c r="AK2391" s="49"/>
      <c r="AL2391" s="49"/>
      <c r="AM2391" s="49"/>
      <c r="AN2391" s="52" t="str">
        <f t="shared" si="5"/>
        <v>awards,</v>
      </c>
    </row>
    <row r="2392">
      <c r="A2392" s="51"/>
      <c r="B2392" s="50" t="s">
        <v>5644</v>
      </c>
      <c r="C2392" s="50" t="s">
        <v>5225</v>
      </c>
      <c r="D2392" s="49" t="str">
        <f>IFERROR(__xludf.DUMMYFUNCTION("""COMPUTED_VALUE"""),"cream")</f>
        <v>cream</v>
      </c>
      <c r="E2392" s="49"/>
      <c r="F2392" s="49"/>
      <c r="G2392" s="49"/>
      <c r="H2392" s="54" t="str">
        <f t="shared" si="1"/>
        <v>angels,</v>
      </c>
      <c r="I2392" s="50"/>
      <c r="J2392" s="50" t="s">
        <v>3441</v>
      </c>
      <c r="K2392" s="50" t="s">
        <v>4460</v>
      </c>
      <c r="L2392" s="49"/>
      <c r="M2392" s="49"/>
      <c r="N2392" s="49"/>
      <c r="O2392" s="49"/>
      <c r="P2392" s="49" t="str">
        <f t="shared" si="2"/>
        <v>depict,</v>
      </c>
      <c r="Q2392" s="49"/>
      <c r="R2392" s="50" t="s">
        <v>6095</v>
      </c>
      <c r="S2392" s="55">
        <v>11.0</v>
      </c>
      <c r="T2392" s="49"/>
      <c r="U2392" s="49"/>
      <c r="V2392" s="49"/>
      <c r="W2392" s="49"/>
      <c r="X2392" s="49" t="str">
        <f t="shared" si="3"/>
        <v>sharing,</v>
      </c>
      <c r="Y2392" s="49"/>
      <c r="Z2392" s="1" t="s">
        <v>685</v>
      </c>
      <c r="AA2392" s="1" t="s">
        <v>2815</v>
      </c>
      <c r="AB2392" s="49"/>
      <c r="AC2392" s="49"/>
      <c r="AD2392" s="49"/>
      <c r="AE2392" s="49"/>
      <c r="AF2392" s="49" t="str">
        <f t="shared" si="4"/>
        <v>striking,</v>
      </c>
      <c r="AG2392" s="49"/>
      <c r="AH2392" s="1" t="s">
        <v>413</v>
      </c>
      <c r="AI2392" s="1" t="s">
        <v>3763</v>
      </c>
      <c r="AJ2392" s="6">
        <f>IFERROR(__xludf.DUMMYFUNCTION("""COMPUTED_VALUE"""),50.0)</f>
        <v>50</v>
      </c>
      <c r="AK2392" s="49"/>
      <c r="AL2392" s="49"/>
      <c r="AM2392" s="49"/>
      <c r="AN2392" s="52" t="str">
        <f t="shared" si="5"/>
        <v>decide,</v>
      </c>
    </row>
    <row r="2393">
      <c r="A2393" s="51"/>
      <c r="B2393" s="50" t="s">
        <v>7128</v>
      </c>
      <c r="C2393" s="50" t="s">
        <v>2900</v>
      </c>
      <c r="D2393" s="49" t="str">
        <f>IFERROR(__xludf.DUMMYFUNCTION("""COMPUTED_VALUE"""),"cannon")</f>
        <v>cannon</v>
      </c>
      <c r="E2393" s="49"/>
      <c r="F2393" s="49"/>
      <c r="G2393" s="49"/>
      <c r="H2393" s="54" t="str">
        <f t="shared" si="1"/>
        <v>ireland,</v>
      </c>
      <c r="I2393" s="50"/>
      <c r="J2393" s="50" t="s">
        <v>4640</v>
      </c>
      <c r="K2393" s="50" t="s">
        <v>3450</v>
      </c>
      <c r="L2393" s="49"/>
      <c r="M2393" s="49"/>
      <c r="N2393" s="49"/>
      <c r="O2393" s="49"/>
      <c r="P2393" s="49" t="str">
        <f t="shared" si="2"/>
        <v>legal,</v>
      </c>
      <c r="Q2393" s="49"/>
      <c r="R2393" s="50" t="s">
        <v>1248</v>
      </c>
      <c r="S2393" s="55" t="s">
        <v>6729</v>
      </c>
      <c r="T2393" s="49"/>
      <c r="U2393" s="49"/>
      <c r="V2393" s="49"/>
      <c r="W2393" s="49"/>
      <c r="X2393" s="49" t="str">
        <f t="shared" si="3"/>
        <v>adventurous,</v>
      </c>
      <c r="Y2393" s="49"/>
      <c r="Z2393" s="1" t="s">
        <v>2371</v>
      </c>
      <c r="AA2393" s="1" t="s">
        <v>4600</v>
      </c>
      <c r="AB2393" s="49"/>
      <c r="AC2393" s="49"/>
      <c r="AD2393" s="49"/>
      <c r="AE2393" s="49"/>
      <c r="AF2393" s="49" t="str">
        <f t="shared" si="4"/>
        <v>discipline,</v>
      </c>
      <c r="AG2393" s="49"/>
      <c r="AH2393" s="1" t="s">
        <v>7029</v>
      </c>
      <c r="AI2393" s="1" t="s">
        <v>3799</v>
      </c>
      <c r="AJ2393" s="6" t="str">
        <f>IFERROR(__xludf.DUMMYFUNCTION("""COMPUTED_VALUE"""),"degree")</f>
        <v>degree</v>
      </c>
      <c r="AK2393" s="49"/>
      <c r="AL2393" s="49"/>
      <c r="AM2393" s="49"/>
      <c r="AN2393" s="52" t="str">
        <f t="shared" si="5"/>
        <v>sixth,</v>
      </c>
    </row>
    <row r="2394">
      <c r="A2394" s="51"/>
      <c r="B2394" s="50" t="s">
        <v>6067</v>
      </c>
      <c r="C2394" s="50" t="s">
        <v>6659</v>
      </c>
      <c r="D2394" s="49" t="str">
        <f>IFERROR(__xludf.DUMMYFUNCTION("""COMPUTED_VALUE"""),"snow")</f>
        <v>snow</v>
      </c>
      <c r="E2394" s="49"/>
      <c r="F2394" s="49"/>
      <c r="G2394" s="49"/>
      <c r="H2394" s="54" t="str">
        <f t="shared" si="1"/>
        <v>interview,</v>
      </c>
      <c r="I2394" s="50"/>
      <c r="J2394" s="50" t="s">
        <v>7520</v>
      </c>
      <c r="K2394" s="50" t="s">
        <v>5559</v>
      </c>
      <c r="L2394" s="49"/>
      <c r="M2394" s="49"/>
      <c r="N2394" s="49"/>
      <c r="O2394" s="49"/>
      <c r="P2394" s="49" t="str">
        <f t="shared" si="2"/>
        <v>bu,</v>
      </c>
      <c r="Q2394" s="49"/>
      <c r="R2394" s="50" t="s">
        <v>3528</v>
      </c>
      <c r="S2394" s="55" t="s">
        <v>128</v>
      </c>
      <c r="T2394" s="49"/>
      <c r="U2394" s="49"/>
      <c r="V2394" s="49"/>
      <c r="W2394" s="49"/>
      <c r="X2394" s="49" t="str">
        <f t="shared" si="3"/>
        <v>despair,</v>
      </c>
      <c r="Y2394" s="49"/>
      <c r="Z2394" s="1" t="s">
        <v>4908</v>
      </c>
      <c r="AA2394" s="1" t="s">
        <v>1587</v>
      </c>
      <c r="AB2394" s="49"/>
      <c r="AC2394" s="49"/>
      <c r="AD2394" s="49"/>
      <c r="AE2394" s="49"/>
      <c r="AF2394" s="49" t="str">
        <f t="shared" si="4"/>
        <v>slap,</v>
      </c>
      <c r="AG2394" s="49"/>
      <c r="AH2394" s="1" t="s">
        <v>5433</v>
      </c>
      <c r="AI2394" s="1" t="s">
        <v>4953</v>
      </c>
      <c r="AJ2394" s="6" t="str">
        <f>IFERROR(__xludf.DUMMYFUNCTION("""COMPUTED_VALUE"""),"maintained")</f>
        <v>maintained</v>
      </c>
      <c r="AK2394" s="49"/>
      <c r="AL2394" s="49"/>
      <c r="AM2394" s="49"/>
      <c r="AN2394" s="52" t="str">
        <f t="shared" si="5"/>
        <v>signals,</v>
      </c>
    </row>
    <row r="2395">
      <c r="A2395" s="51"/>
      <c r="B2395" s="50" t="s">
        <v>2408</v>
      </c>
      <c r="C2395" s="50" t="s">
        <v>5447</v>
      </c>
      <c r="D2395" s="49" t="str">
        <f>IFERROR(__xludf.DUMMYFUNCTION("""COMPUTED_VALUE"""),"form")</f>
        <v>form</v>
      </c>
      <c r="E2395" s="49"/>
      <c r="F2395" s="49"/>
      <c r="G2395" s="49"/>
      <c r="H2395" s="54" t="str">
        <f t="shared" si="1"/>
        <v>vampire,</v>
      </c>
      <c r="I2395" s="50"/>
      <c r="J2395" s="50" t="s">
        <v>265</v>
      </c>
      <c r="K2395" s="50" t="s">
        <v>5210</v>
      </c>
      <c r="L2395" s="49"/>
      <c r="M2395" s="49"/>
      <c r="N2395" s="49"/>
      <c r="O2395" s="49"/>
      <c r="P2395" s="49" t="str">
        <f t="shared" si="2"/>
        <v>resonance,</v>
      </c>
      <c r="Q2395" s="49"/>
      <c r="R2395" s="50" t="s">
        <v>2301</v>
      </c>
      <c r="S2395" s="55" t="s">
        <v>3883</v>
      </c>
      <c r="T2395" s="49"/>
      <c r="U2395" s="49"/>
      <c r="V2395" s="49"/>
      <c r="W2395" s="49"/>
      <c r="X2395" s="49" t="str">
        <f t="shared" si="3"/>
        <v>improvised,</v>
      </c>
      <c r="Y2395" s="49"/>
      <c r="Z2395" s="1" t="s">
        <v>2349</v>
      </c>
      <c r="AA2395" s="1" t="s">
        <v>1592</v>
      </c>
      <c r="AB2395" s="49"/>
      <c r="AC2395" s="49"/>
      <c r="AD2395" s="49"/>
      <c r="AE2395" s="49"/>
      <c r="AF2395" s="49" t="str">
        <f t="shared" si="4"/>
        <v>balance,</v>
      </c>
      <c r="AG2395" s="49"/>
      <c r="AH2395" s="1" t="s">
        <v>3320</v>
      </c>
      <c r="AI2395" s="1" t="s">
        <v>4958</v>
      </c>
      <c r="AJ2395" s="6" t="str">
        <f>IFERROR(__xludf.DUMMYFUNCTION("""COMPUTED_VALUE"""),"mass")</f>
        <v>mass</v>
      </c>
      <c r="AK2395" s="49"/>
      <c r="AL2395" s="49"/>
      <c r="AM2395" s="49"/>
      <c r="AN2395" s="52" t="str">
        <f t="shared" si="5"/>
        <v>spring,</v>
      </c>
    </row>
    <row r="2396">
      <c r="A2396" s="51"/>
      <c r="B2396" s="50" t="s">
        <v>5720</v>
      </c>
      <c r="C2396" s="50" t="s">
        <v>1273</v>
      </c>
      <c r="D2396" s="49" t="str">
        <f>IFERROR(__xludf.DUMMYFUNCTION("""COMPUTED_VALUE"""),"julie")</f>
        <v>julie</v>
      </c>
      <c r="E2396" s="49"/>
      <c r="F2396" s="49"/>
      <c r="G2396" s="49"/>
      <c r="H2396" s="54" t="str">
        <f t="shared" si="1"/>
        <v>roots,</v>
      </c>
      <c r="I2396" s="50"/>
      <c r="J2396" s="50" t="s">
        <v>7588</v>
      </c>
      <c r="K2396" s="50" t="s">
        <v>5100</v>
      </c>
      <c r="L2396" s="49"/>
      <c r="M2396" s="49"/>
      <c r="N2396" s="49"/>
      <c r="O2396" s="49"/>
      <c r="P2396" s="49" t="str">
        <f t="shared" si="2"/>
        <v>disneyland,</v>
      </c>
      <c r="Q2396" s="49"/>
      <c r="R2396" s="50" t="s">
        <v>6946</v>
      </c>
      <c r="S2396" s="55" t="s">
        <v>277</v>
      </c>
      <c r="T2396" s="49"/>
      <c r="U2396" s="49"/>
      <c r="V2396" s="49"/>
      <c r="W2396" s="49"/>
      <c r="X2396" s="49" t="str">
        <f t="shared" si="3"/>
        <v>pains,</v>
      </c>
      <c r="Y2396" s="49"/>
      <c r="Z2396" s="1" t="s">
        <v>6527</v>
      </c>
      <c r="AA2396" s="1" t="s">
        <v>4613</v>
      </c>
      <c r="AB2396" s="49"/>
      <c r="AC2396" s="49"/>
      <c r="AD2396" s="49"/>
      <c r="AE2396" s="49"/>
      <c r="AF2396" s="49" t="str">
        <f t="shared" si="4"/>
        <v>charge,</v>
      </c>
      <c r="AG2396" s="49"/>
      <c r="AH2396" s="1" t="s">
        <v>6817</v>
      </c>
      <c r="AI2396" s="1" t="s">
        <v>6729</v>
      </c>
      <c r="AJ2396" s="6" t="str">
        <f>IFERROR(__xludf.DUMMYFUNCTION("""COMPUTED_VALUE"""),"lunch")</f>
        <v>lunch</v>
      </c>
      <c r="AK2396" s="49"/>
      <c r="AL2396" s="49"/>
      <c r="AM2396" s="49"/>
      <c r="AN2396" s="52" t="str">
        <f t="shared" si="5"/>
        <v>eleven,</v>
      </c>
    </row>
    <row r="2397">
      <c r="A2397" s="51"/>
      <c r="B2397" s="50" t="s">
        <v>1247</v>
      </c>
      <c r="C2397" s="50" t="s">
        <v>5232</v>
      </c>
      <c r="D2397" s="49" t="str">
        <f>IFERROR(__xludf.DUMMYFUNCTION("""COMPUTED_VALUE"""),"fish")</f>
        <v>fish</v>
      </c>
      <c r="E2397" s="49"/>
      <c r="F2397" s="49"/>
      <c r="G2397" s="49"/>
      <c r="H2397" s="54" t="str">
        <f t="shared" si="1"/>
        <v>total,</v>
      </c>
      <c r="I2397" s="50"/>
      <c r="J2397" s="50" t="s">
        <v>4633</v>
      </c>
      <c r="K2397" s="50" t="s">
        <v>3899</v>
      </c>
      <c r="L2397" s="49"/>
      <c r="M2397" s="49"/>
      <c r="N2397" s="49"/>
      <c r="O2397" s="49"/>
      <c r="P2397" s="49" t="str">
        <f t="shared" si="2"/>
        <v>parent,</v>
      </c>
      <c r="Q2397" s="49"/>
      <c r="R2397" s="50" t="s">
        <v>666</v>
      </c>
      <c r="S2397" s="55" t="s">
        <v>1898</v>
      </c>
      <c r="T2397" s="49"/>
      <c r="U2397" s="49"/>
      <c r="V2397" s="49"/>
      <c r="W2397" s="49"/>
      <c r="X2397" s="49" t="str">
        <f t="shared" si="3"/>
        <v>dazzling,</v>
      </c>
      <c r="Y2397" s="49"/>
      <c r="Z2397" s="1" t="s">
        <v>3153</v>
      </c>
      <c r="AA2397" s="1" t="s">
        <v>3790</v>
      </c>
      <c r="AB2397" s="49"/>
      <c r="AC2397" s="49"/>
      <c r="AD2397" s="49"/>
      <c r="AE2397" s="49"/>
      <c r="AF2397" s="49" t="str">
        <f t="shared" si="4"/>
        <v>interpretation,</v>
      </c>
      <c r="AG2397" s="49"/>
      <c r="AH2397" s="1" t="s">
        <v>5163</v>
      </c>
      <c r="AI2397" s="1" t="s">
        <v>3883</v>
      </c>
      <c r="AJ2397" s="6" t="str">
        <f>IFERROR(__xludf.DUMMYFUNCTION("""COMPUTED_VALUE"""),"nba")</f>
        <v>nba</v>
      </c>
      <c r="AK2397" s="49"/>
      <c r="AL2397" s="49"/>
      <c r="AM2397" s="49"/>
      <c r="AN2397" s="52" t="str">
        <f t="shared" si="5"/>
        <v>steam,</v>
      </c>
    </row>
    <row r="2398">
      <c r="A2398" s="51"/>
      <c r="B2398" s="50" t="s">
        <v>3708</v>
      </c>
      <c r="C2398" s="50" t="s">
        <v>6665</v>
      </c>
      <c r="D2398" s="49" t="str">
        <f>IFERROR(__xludf.DUMMYFUNCTION("""COMPUTED_VALUE"""),"photo")</f>
        <v>photo</v>
      </c>
      <c r="E2398" s="49"/>
      <c r="F2398" s="49"/>
      <c r="G2398" s="49"/>
      <c r="H2398" s="54" t="str">
        <f t="shared" si="1"/>
        <v>appearing,</v>
      </c>
      <c r="I2398" s="50"/>
      <c r="J2398" s="50" t="s">
        <v>7521</v>
      </c>
      <c r="K2398" s="50" t="s">
        <v>5486</v>
      </c>
      <c r="L2398" s="49"/>
      <c r="M2398" s="49"/>
      <c r="N2398" s="49"/>
      <c r="O2398" s="49"/>
      <c r="P2398" s="49" t="str">
        <f t="shared" si="2"/>
        <v>sl,</v>
      </c>
      <c r="Q2398" s="49"/>
      <c r="R2398" s="50" t="s">
        <v>4888</v>
      </c>
      <c r="S2398" s="55" t="s">
        <v>3891</v>
      </c>
      <c r="T2398" s="49"/>
      <c r="U2398" s="49"/>
      <c r="V2398" s="49"/>
      <c r="W2398" s="49"/>
      <c r="X2398" s="49" t="str">
        <f t="shared" si="3"/>
        <v>stark,</v>
      </c>
      <c r="Y2398" s="49"/>
      <c r="Z2398" s="1" t="s">
        <v>7472</v>
      </c>
      <c r="AA2398" s="1" t="s">
        <v>722</v>
      </c>
      <c r="AB2398" s="49"/>
      <c r="AC2398" s="49"/>
      <c r="AD2398" s="49"/>
      <c r="AE2398" s="49"/>
      <c r="AF2398" s="49" t="str">
        <f t="shared" si="4"/>
        <v>knee,</v>
      </c>
      <c r="AG2398" s="49"/>
      <c r="AH2398" s="1" t="s">
        <v>2492</v>
      </c>
      <c r="AI2398" s="1" t="s">
        <v>4369</v>
      </c>
      <c r="AJ2398" s="6" t="str">
        <f>IFERROR(__xludf.DUMMYFUNCTION("""COMPUTED_VALUE"""),"aim")</f>
        <v>aim</v>
      </c>
      <c r="AK2398" s="49"/>
      <c r="AL2398" s="49"/>
      <c r="AM2398" s="49"/>
      <c r="AN2398" s="52" t="str">
        <f t="shared" si="5"/>
        <v>aimed,</v>
      </c>
    </row>
    <row r="2399">
      <c r="A2399" s="51"/>
      <c r="B2399" s="50" t="s">
        <v>5258</v>
      </c>
      <c r="C2399" s="50" t="s">
        <v>5377</v>
      </c>
      <c r="D2399" s="49" t="str">
        <f>IFERROR(__xludf.DUMMYFUNCTION("""COMPUTED_VALUE"""),"missed")</f>
        <v>missed</v>
      </c>
      <c r="E2399" s="49"/>
      <c r="F2399" s="49"/>
      <c r="G2399" s="49"/>
      <c r="H2399" s="54" t="str">
        <f t="shared" si="1"/>
        <v>monsters,</v>
      </c>
      <c r="I2399" s="50"/>
      <c r="J2399" s="50" t="s">
        <v>3498</v>
      </c>
      <c r="K2399" s="50" t="s">
        <v>4055</v>
      </c>
      <c r="L2399" s="49"/>
      <c r="M2399" s="49"/>
      <c r="N2399" s="49"/>
      <c r="O2399" s="49"/>
      <c r="P2399" s="49" t="str">
        <f t="shared" si="2"/>
        <v>hail,</v>
      </c>
      <c r="Q2399" s="49"/>
      <c r="R2399" s="50" t="s">
        <v>4313</v>
      </c>
      <c r="S2399" s="55" t="s">
        <v>4968</v>
      </c>
      <c r="T2399" s="49"/>
      <c r="U2399" s="49"/>
      <c r="V2399" s="49"/>
      <c r="W2399" s="49"/>
      <c r="X2399" s="49" t="str">
        <f t="shared" si="3"/>
        <v>broadway,</v>
      </c>
      <c r="Y2399" s="49"/>
      <c r="Z2399" s="1" t="s">
        <v>3649</v>
      </c>
      <c r="AA2399" s="1" t="s">
        <v>4942</v>
      </c>
      <c r="AB2399" s="49"/>
      <c r="AC2399" s="49"/>
      <c r="AD2399" s="49"/>
      <c r="AE2399" s="49"/>
      <c r="AF2399" s="49" t="str">
        <f t="shared" si="4"/>
        <v>cia,</v>
      </c>
      <c r="AG2399" s="49"/>
      <c r="AH2399" s="1" t="s">
        <v>2878</v>
      </c>
      <c r="AI2399" s="1" t="s">
        <v>277</v>
      </c>
      <c r="AJ2399" s="6" t="str">
        <f>IFERROR(__xludf.DUMMYFUNCTION("""COMPUTED_VALUE"""),"technology")</f>
        <v>technology</v>
      </c>
      <c r="AK2399" s="49"/>
      <c r="AL2399" s="49"/>
      <c r="AM2399" s="49"/>
      <c r="AN2399" s="52" t="str">
        <f t="shared" si="5"/>
        <v>pieces,</v>
      </c>
    </row>
    <row r="2400">
      <c r="A2400" s="51"/>
      <c r="B2400" s="50" t="s">
        <v>103</v>
      </c>
      <c r="C2400" s="50" t="s">
        <v>3600</v>
      </c>
      <c r="D2400" s="49" t="str">
        <f>IFERROR(__xludf.DUMMYFUNCTION("""COMPUTED_VALUE"""),"age")</f>
        <v>age</v>
      </c>
      <c r="E2400" s="49"/>
      <c r="F2400" s="49"/>
      <c r="G2400" s="49"/>
      <c r="H2400" s="54" t="str">
        <f t="shared" si="1"/>
        <v>service,</v>
      </c>
      <c r="I2400" s="50"/>
      <c r="J2400" s="50" t="s">
        <v>4254</v>
      </c>
      <c r="K2400" s="50" t="s">
        <v>5562</v>
      </c>
      <c r="L2400" s="49"/>
      <c r="M2400" s="49"/>
      <c r="N2400" s="49"/>
      <c r="O2400" s="49"/>
      <c r="P2400" s="49" t="str">
        <f t="shared" si="2"/>
        <v>composed,</v>
      </c>
      <c r="Q2400" s="49"/>
      <c r="R2400" s="50" t="s">
        <v>7010</v>
      </c>
      <c r="S2400" s="55" t="s">
        <v>1412</v>
      </c>
      <c r="T2400" s="49"/>
      <c r="U2400" s="49"/>
      <c r="V2400" s="49"/>
      <c r="W2400" s="49"/>
      <c r="X2400" s="49" t="str">
        <f t="shared" si="3"/>
        <v>7th,</v>
      </c>
      <c r="Y2400" s="49"/>
      <c r="Z2400" s="1" t="s">
        <v>3243</v>
      </c>
      <c r="AA2400" s="1" t="s">
        <v>519</v>
      </c>
      <c r="AB2400" s="49"/>
      <c r="AC2400" s="49"/>
      <c r="AD2400" s="49"/>
      <c r="AE2400" s="49"/>
      <c r="AF2400" s="49" t="str">
        <f t="shared" si="4"/>
        <v>mouth,</v>
      </c>
      <c r="AG2400" s="49"/>
      <c r="AH2400" s="1" t="s">
        <v>3930</v>
      </c>
      <c r="AI2400" s="1" t="s">
        <v>1898</v>
      </c>
      <c r="AJ2400" s="6" t="str">
        <f>IFERROR(__xludf.DUMMYFUNCTION("""COMPUTED_VALUE"""),"unit")</f>
        <v>unit</v>
      </c>
      <c r="AK2400" s="49"/>
      <c r="AL2400" s="49"/>
      <c r="AM2400" s="49"/>
      <c r="AN2400" s="52" t="str">
        <f t="shared" si="5"/>
        <v>thoughts,</v>
      </c>
    </row>
    <row r="2401">
      <c r="A2401" s="51"/>
      <c r="B2401" s="50" t="s">
        <v>1618</v>
      </c>
      <c r="C2401" s="50" t="s">
        <v>5237</v>
      </c>
      <c r="D2401" s="49" t="str">
        <f>IFERROR(__xludf.DUMMYFUNCTION("""COMPUTED_VALUE"""),"failed")</f>
        <v>failed</v>
      </c>
      <c r="E2401" s="49"/>
      <c r="F2401" s="49"/>
      <c r="G2401" s="49"/>
      <c r="H2401" s="54" t="str">
        <f t="shared" si="1"/>
        <v>failure,</v>
      </c>
      <c r="I2401" s="50"/>
      <c r="J2401" s="50" t="s">
        <v>667</v>
      </c>
      <c r="K2401" s="50" t="s">
        <v>3668</v>
      </c>
      <c r="L2401" s="49"/>
      <c r="M2401" s="49"/>
      <c r="N2401" s="49"/>
      <c r="O2401" s="49"/>
      <c r="P2401" s="49" t="str">
        <f t="shared" si="2"/>
        <v>stirring,</v>
      </c>
      <c r="Q2401" s="49"/>
      <c r="R2401" s="50" t="s">
        <v>2205</v>
      </c>
      <c r="S2401" s="55" t="s">
        <v>922</v>
      </c>
      <c r="T2401" s="49"/>
      <c r="U2401" s="49"/>
      <c r="V2401" s="49"/>
      <c r="W2401" s="49"/>
      <c r="X2401" s="49" t="str">
        <f t="shared" si="3"/>
        <v>nerve,</v>
      </c>
      <c r="Y2401" s="49"/>
      <c r="Z2401" s="1" t="s">
        <v>3800</v>
      </c>
      <c r="AA2401" s="1" t="s">
        <v>5563</v>
      </c>
      <c r="AB2401" s="49"/>
      <c r="AC2401" s="49"/>
      <c r="AD2401" s="49"/>
      <c r="AE2401" s="49"/>
      <c r="AF2401" s="49" t="str">
        <f t="shared" si="4"/>
        <v>operative,</v>
      </c>
      <c r="AG2401" s="49"/>
      <c r="AH2401" s="1" t="s">
        <v>2494</v>
      </c>
      <c r="AI2401" s="1" t="s">
        <v>4968</v>
      </c>
      <c r="AJ2401" s="6" t="str">
        <f>IFERROR(__xludf.DUMMYFUNCTION("""COMPUTED_VALUE"""),"serves")</f>
        <v>serves</v>
      </c>
      <c r="AK2401" s="49"/>
      <c r="AL2401" s="49"/>
      <c r="AM2401" s="49"/>
      <c r="AN2401" s="52" t="str">
        <f t="shared" si="5"/>
        <v>invited,</v>
      </c>
    </row>
    <row r="2402">
      <c r="A2402" s="51"/>
      <c r="B2402" s="50" t="s">
        <v>6553</v>
      </c>
      <c r="C2402" s="50" t="s">
        <v>6667</v>
      </c>
      <c r="D2402" s="49" t="str">
        <f>IFERROR(__xludf.DUMMYFUNCTION("""COMPUTED_VALUE"""),"presented")</f>
        <v>presented</v>
      </c>
      <c r="E2402" s="49"/>
      <c r="F2402" s="49"/>
      <c r="G2402" s="49"/>
      <c r="H2402" s="54" t="str">
        <f t="shared" si="1"/>
        <v>talked,</v>
      </c>
      <c r="I2402" s="50"/>
      <c r="J2402" s="50" t="s">
        <v>4228</v>
      </c>
      <c r="K2402" s="50" t="s">
        <v>2235</v>
      </c>
      <c r="L2402" s="49"/>
      <c r="M2402" s="49"/>
      <c r="N2402" s="49"/>
      <c r="O2402" s="49"/>
      <c r="P2402" s="49" t="str">
        <f t="shared" si="2"/>
        <v>calm,</v>
      </c>
      <c r="Q2402" s="49"/>
      <c r="R2402" s="50" t="s">
        <v>5225</v>
      </c>
      <c r="S2402" s="55" t="s">
        <v>3956</v>
      </c>
      <c r="T2402" s="49"/>
      <c r="U2402" s="49"/>
      <c r="V2402" s="49"/>
      <c r="W2402" s="49"/>
      <c r="X2402" s="49" t="str">
        <f t="shared" si="3"/>
        <v>recovery,</v>
      </c>
      <c r="Y2402" s="49"/>
      <c r="Z2402" s="1" t="s">
        <v>7476</v>
      </c>
      <c r="AA2402" s="1" t="s">
        <v>2827</v>
      </c>
      <c r="AB2402" s="49"/>
      <c r="AC2402" s="49"/>
      <c r="AD2402" s="49"/>
      <c r="AE2402" s="49"/>
      <c r="AF2402" s="49" t="str">
        <f t="shared" si="4"/>
        <v>ridden,</v>
      </c>
      <c r="AG2402" s="49"/>
      <c r="AH2402" s="1" t="s">
        <v>2193</v>
      </c>
      <c r="AI2402" s="1" t="s">
        <v>3956</v>
      </c>
      <c r="AJ2402" s="6" t="str">
        <f>IFERROR(__xludf.DUMMYFUNCTION("""COMPUTED_VALUE"""),"campbell")</f>
        <v>campbell</v>
      </c>
      <c r="AK2402" s="49"/>
      <c r="AL2402" s="49"/>
      <c r="AM2402" s="49"/>
      <c r="AN2402" s="52" t="str">
        <f t="shared" si="5"/>
        <v>hip,</v>
      </c>
    </row>
    <row r="2403">
      <c r="A2403" s="51"/>
      <c r="B2403" s="50" t="s">
        <v>7362</v>
      </c>
      <c r="C2403" s="50" t="s">
        <v>6660</v>
      </c>
      <c r="D2403" s="49" t="str">
        <f>IFERROR(__xludf.DUMMYFUNCTION("""COMPUTED_VALUE"""),"understanding")</f>
        <v>understanding</v>
      </c>
      <c r="E2403" s="49"/>
      <c r="F2403" s="49"/>
      <c r="G2403" s="49"/>
      <c r="H2403" s="54" t="str">
        <f t="shared" si="1"/>
        <v>turner,</v>
      </c>
      <c r="I2403" s="50"/>
      <c r="J2403" s="50" t="s">
        <v>7589</v>
      </c>
      <c r="K2403" s="50" t="s">
        <v>4198</v>
      </c>
      <c r="L2403" s="49"/>
      <c r="M2403" s="49"/>
      <c r="N2403" s="49"/>
      <c r="O2403" s="49"/>
      <c r="P2403" s="49" t="str">
        <f t="shared" si="2"/>
        <v>nan,</v>
      </c>
      <c r="Q2403" s="49"/>
      <c r="R2403" s="50" t="s">
        <v>2253</v>
      </c>
      <c r="S2403" s="55" t="s">
        <v>3900</v>
      </c>
      <c r="T2403" s="49"/>
      <c r="U2403" s="49"/>
      <c r="V2403" s="49"/>
      <c r="W2403" s="49"/>
      <c r="X2403" s="49" t="str">
        <f t="shared" si="3"/>
        <v>yarn,</v>
      </c>
      <c r="Y2403" s="49"/>
      <c r="Z2403" s="1" t="s">
        <v>4226</v>
      </c>
      <c r="AA2403" s="1" t="s">
        <v>4619</v>
      </c>
      <c r="AB2403" s="49"/>
      <c r="AC2403" s="49"/>
      <c r="AD2403" s="49"/>
      <c r="AE2403" s="49"/>
      <c r="AF2403" s="49" t="str">
        <f t="shared" si="4"/>
        <v>feat,</v>
      </c>
      <c r="AG2403" s="49"/>
      <c r="AH2403" s="1" t="s">
        <v>993</v>
      </c>
      <c r="AI2403" s="1">
        <v>51.0</v>
      </c>
      <c r="AJ2403" s="6" t="str">
        <f>IFERROR(__xludf.DUMMYFUNCTION("""COMPUTED_VALUE"""),"chinese")</f>
        <v>chinese</v>
      </c>
      <c r="AK2403" s="49"/>
      <c r="AL2403" s="49"/>
      <c r="AM2403" s="49"/>
      <c r="AN2403" s="52" t="str">
        <f t="shared" si="5"/>
        <v>heat,</v>
      </c>
    </row>
    <row r="2404">
      <c r="A2404" s="51"/>
      <c r="B2404" s="50" t="s">
        <v>7170</v>
      </c>
      <c r="C2404" s="50" t="s">
        <v>6662</v>
      </c>
      <c r="D2404" s="49" t="str">
        <f>IFERROR(__xludf.DUMMYFUNCTION("""COMPUTED_VALUE"""),"creature")</f>
        <v>creature</v>
      </c>
      <c r="E2404" s="49"/>
      <c r="F2404" s="49"/>
      <c r="G2404" s="49"/>
      <c r="H2404" s="54" t="str">
        <f t="shared" si="1"/>
        <v>exposed,</v>
      </c>
      <c r="I2404" s="50"/>
      <c r="J2404" s="50" t="s">
        <v>2392</v>
      </c>
      <c r="K2404" s="50" t="s">
        <v>2239</v>
      </c>
      <c r="L2404" s="49"/>
      <c r="M2404" s="49"/>
      <c r="N2404" s="49"/>
      <c r="O2404" s="49"/>
      <c r="P2404" s="49" t="str">
        <f t="shared" si="2"/>
        <v>suffering,</v>
      </c>
      <c r="Q2404" s="49"/>
      <c r="R2404" s="50" t="s">
        <v>7590</v>
      </c>
      <c r="S2404" s="55" t="s">
        <v>3903</v>
      </c>
      <c r="T2404" s="49"/>
      <c r="U2404" s="49"/>
      <c r="V2404" s="49"/>
      <c r="W2404" s="49"/>
      <c r="X2404" s="49" t="str">
        <f t="shared" si="3"/>
        <v>ga,</v>
      </c>
      <c r="Y2404" s="49"/>
      <c r="Z2404" s="1" t="s">
        <v>5298</v>
      </c>
      <c r="AA2404" s="1" t="s">
        <v>5565</v>
      </c>
      <c r="AB2404" s="49"/>
      <c r="AC2404" s="49"/>
      <c r="AD2404" s="49"/>
      <c r="AE2404" s="49"/>
      <c r="AF2404" s="49" t="str">
        <f t="shared" si="4"/>
        <v>intentionally,</v>
      </c>
      <c r="AG2404" s="49"/>
      <c r="AH2404" s="1" t="s">
        <v>5959</v>
      </c>
      <c r="AI2404" s="1" t="s">
        <v>6730</v>
      </c>
      <c r="AJ2404" s="6" t="str">
        <f>IFERROR(__xludf.DUMMYFUNCTION("""COMPUTED_VALUE"""),"china")</f>
        <v>china</v>
      </c>
      <c r="AK2404" s="49"/>
      <c r="AL2404" s="49"/>
      <c r="AM2404" s="49"/>
      <c r="AN2404" s="52" t="str">
        <f t="shared" si="5"/>
        <v>spain,</v>
      </c>
    </row>
    <row r="2405">
      <c r="A2405" s="51"/>
      <c r="B2405" s="50" t="s">
        <v>460</v>
      </c>
      <c r="C2405" s="50" t="s">
        <v>6663</v>
      </c>
      <c r="D2405" s="49" t="str">
        <f>IFERROR(__xludf.DUMMYFUNCTION("""COMPUTED_VALUE"""),"alien")</f>
        <v>alien</v>
      </c>
      <c r="E2405" s="49"/>
      <c r="F2405" s="49"/>
      <c r="G2405" s="49"/>
      <c r="H2405" s="54" t="str">
        <f t="shared" si="1"/>
        <v>predecessor,</v>
      </c>
      <c r="I2405" s="50"/>
      <c r="J2405" s="50" t="s">
        <v>2149</v>
      </c>
      <c r="K2405" s="50" t="s">
        <v>4058</v>
      </c>
      <c r="L2405" s="49"/>
      <c r="M2405" s="49"/>
      <c r="N2405" s="49"/>
      <c r="O2405" s="49"/>
      <c r="P2405" s="49" t="str">
        <f t="shared" si="2"/>
        <v>dvd,</v>
      </c>
      <c r="Q2405" s="49"/>
      <c r="R2405" s="50" t="s">
        <v>4475</v>
      </c>
      <c r="S2405" s="55" t="s">
        <v>4972</v>
      </c>
      <c r="T2405" s="49"/>
      <c r="U2405" s="49"/>
      <c r="V2405" s="49"/>
      <c r="W2405" s="49"/>
      <c r="X2405" s="49" t="str">
        <f t="shared" si="3"/>
        <v>confidently,</v>
      </c>
      <c r="Y2405" s="49"/>
      <c r="Z2405" s="1" t="s">
        <v>5706</v>
      </c>
      <c r="AA2405" s="1" t="s">
        <v>5566</v>
      </c>
      <c r="AB2405" s="49"/>
      <c r="AC2405" s="49"/>
      <c r="AD2405" s="49"/>
      <c r="AE2405" s="49"/>
      <c r="AF2405" s="49" t="str">
        <f t="shared" si="4"/>
        <v>succeed,</v>
      </c>
      <c r="AG2405" s="49"/>
      <c r="AH2405" s="1" t="s">
        <v>6045</v>
      </c>
      <c r="AI2405" s="1" t="s">
        <v>4940</v>
      </c>
      <c r="AJ2405" s="6" t="str">
        <f>IFERROR(__xludf.DUMMYFUNCTION("""COMPUTED_VALUE"""),"laws")</f>
        <v>laws</v>
      </c>
      <c r="AK2405" s="49"/>
      <c r="AL2405" s="49"/>
      <c r="AM2405" s="49"/>
      <c r="AN2405" s="52" t="str">
        <f t="shared" si="5"/>
        <v>send,</v>
      </c>
    </row>
    <row r="2406">
      <c r="A2406" s="51"/>
      <c r="B2406" s="50" t="s">
        <v>6032</v>
      </c>
      <c r="C2406" s="50" t="s">
        <v>4174</v>
      </c>
      <c r="D2406" s="49" t="str">
        <f>IFERROR(__xludf.DUMMYFUNCTION("""COMPUTED_VALUE"""),"quest")</f>
        <v>quest</v>
      </c>
      <c r="E2406" s="49"/>
      <c r="F2406" s="49"/>
      <c r="G2406" s="49"/>
      <c r="H2406" s="54" t="str">
        <f t="shared" si="1"/>
        <v>acquire,</v>
      </c>
      <c r="I2406" s="50"/>
      <c r="J2406" s="50" t="s">
        <v>4332</v>
      </c>
      <c r="K2406" s="50" t="s">
        <v>2472</v>
      </c>
      <c r="L2406" s="49"/>
      <c r="M2406" s="49"/>
      <c r="N2406" s="49"/>
      <c r="O2406" s="49"/>
      <c r="P2406" s="49" t="str">
        <f t="shared" si="2"/>
        <v>inclination,</v>
      </c>
      <c r="Q2406" s="49"/>
      <c r="R2406" s="50" t="s">
        <v>4220</v>
      </c>
      <c r="S2406" s="55" t="s">
        <v>1417</v>
      </c>
      <c r="T2406" s="49"/>
      <c r="U2406" s="49"/>
      <c r="V2406" s="49"/>
      <c r="W2406" s="49"/>
      <c r="X2406" s="49" t="str">
        <f t="shared" si="3"/>
        <v>rally,</v>
      </c>
      <c r="Y2406" s="49"/>
      <c r="Z2406" s="1" t="s">
        <v>2506</v>
      </c>
      <c r="AA2406" s="1" t="s">
        <v>5567</v>
      </c>
      <c r="AB2406" s="49"/>
      <c r="AC2406" s="49"/>
      <c r="AD2406" s="49"/>
      <c r="AE2406" s="49"/>
      <c r="AF2406" s="49" t="str">
        <f t="shared" si="4"/>
        <v>developed,</v>
      </c>
      <c r="AG2406" s="49"/>
      <c r="AH2406" s="1" t="s">
        <v>1771</v>
      </c>
      <c r="AI2406" s="1" t="s">
        <v>6731</v>
      </c>
      <c r="AJ2406" s="6" t="str">
        <f>IFERROR(__xludf.DUMMYFUNCTION("""COMPUTED_VALUE"""),"improved")</f>
        <v>improved</v>
      </c>
      <c r="AK2406" s="49"/>
      <c r="AL2406" s="49"/>
      <c r="AM2406" s="49"/>
      <c r="AN2406" s="52" t="str">
        <f t="shared" si="5"/>
        <v>league,</v>
      </c>
    </row>
    <row r="2407">
      <c r="A2407" s="51"/>
      <c r="B2407" s="50" t="s">
        <v>6737</v>
      </c>
      <c r="C2407" s="50" t="s">
        <v>6670</v>
      </c>
      <c r="D2407" s="49" t="str">
        <f>IFERROR(__xludf.DUMMYFUNCTION("""COMPUTED_VALUE"""),"substantial")</f>
        <v>substantial</v>
      </c>
      <c r="E2407" s="49"/>
      <c r="F2407" s="49"/>
      <c r="G2407" s="49"/>
      <c r="H2407" s="54" t="str">
        <f t="shared" si="1"/>
        <v>students,</v>
      </c>
      <c r="I2407" s="50"/>
      <c r="J2407" s="50" t="s">
        <v>2120</v>
      </c>
      <c r="K2407" s="50" t="s">
        <v>5103</v>
      </c>
      <c r="L2407" s="49"/>
      <c r="M2407" s="49"/>
      <c r="N2407" s="49"/>
      <c r="O2407" s="49"/>
      <c r="P2407" s="49" t="str">
        <f t="shared" si="2"/>
        <v>humane,</v>
      </c>
      <c r="Q2407" s="49"/>
      <c r="R2407" s="50" t="s">
        <v>1351</v>
      </c>
      <c r="S2407" s="55" t="s">
        <v>3906</v>
      </c>
      <c r="T2407" s="49"/>
      <c r="U2407" s="49"/>
      <c r="V2407" s="49"/>
      <c r="W2407" s="49"/>
      <c r="X2407" s="49" t="str">
        <f t="shared" si="3"/>
        <v>richly,</v>
      </c>
      <c r="Y2407" s="49"/>
      <c r="Z2407" s="1" t="s">
        <v>1298</v>
      </c>
      <c r="AA2407" s="1" t="s">
        <v>4622</v>
      </c>
      <c r="AB2407" s="49"/>
      <c r="AC2407" s="49"/>
      <c r="AD2407" s="49"/>
      <c r="AE2407" s="49"/>
      <c r="AF2407" s="49" t="str">
        <f t="shared" si="4"/>
        <v>borders,</v>
      </c>
      <c r="AG2407" s="49"/>
      <c r="AH2407" s="1" t="s">
        <v>2509</v>
      </c>
      <c r="AI2407" s="1" t="s">
        <v>3388</v>
      </c>
      <c r="AJ2407" s="6" t="str">
        <f>IFERROR(__xludf.DUMMYFUNCTION("""COMPUTED_VALUE"""),"factor")</f>
        <v>factor</v>
      </c>
      <c r="AK2407" s="49"/>
      <c r="AL2407" s="49"/>
      <c r="AM2407" s="49"/>
      <c r="AN2407" s="52" t="str">
        <f t="shared" si="5"/>
        <v>players,</v>
      </c>
    </row>
    <row r="2408">
      <c r="A2408" s="51"/>
      <c r="B2408" s="50" t="s">
        <v>5837</v>
      </c>
      <c r="C2408" s="50" t="s">
        <v>4063</v>
      </c>
      <c r="D2408" s="49" t="str">
        <f>IFERROR(__xludf.DUMMYFUNCTION("""COMPUTED_VALUE"""),"careful")</f>
        <v>careful</v>
      </c>
      <c r="E2408" s="49"/>
      <c r="F2408" s="49"/>
      <c r="G2408" s="49"/>
      <c r="H2408" s="54" t="str">
        <f t="shared" si="1"/>
        <v>reached,</v>
      </c>
      <c r="I2408" s="50"/>
      <c r="J2408" s="50" t="s">
        <v>7591</v>
      </c>
      <c r="K2408" s="50" t="s">
        <v>4061</v>
      </c>
      <c r="L2408" s="49"/>
      <c r="M2408" s="49"/>
      <c r="N2408" s="49"/>
      <c r="O2408" s="49"/>
      <c r="P2408" s="49" t="str">
        <f t="shared" si="2"/>
        <v>lang,</v>
      </c>
      <c r="Q2408" s="49"/>
      <c r="R2408" s="50" t="s">
        <v>3827</v>
      </c>
      <c r="S2408" s="55" t="s">
        <v>6732</v>
      </c>
      <c r="T2408" s="49"/>
      <c r="U2408" s="49"/>
      <c r="V2408" s="49"/>
      <c r="W2408" s="49"/>
      <c r="X2408" s="49" t="str">
        <f t="shared" si="3"/>
        <v>access,</v>
      </c>
      <c r="Y2408" s="49"/>
      <c r="Z2408" s="1" t="s">
        <v>2285</v>
      </c>
      <c r="AA2408" s="1" t="s">
        <v>5205</v>
      </c>
      <c r="AB2408" s="49"/>
      <c r="AC2408" s="49"/>
      <c r="AD2408" s="49"/>
      <c r="AE2408" s="49"/>
      <c r="AF2408" s="49" t="str">
        <f t="shared" si="4"/>
        <v>indian,</v>
      </c>
      <c r="AG2408" s="49"/>
      <c r="AH2408" s="1" t="s">
        <v>5269</v>
      </c>
      <c r="AI2408" s="1" t="s">
        <v>5529</v>
      </c>
      <c r="AJ2408" s="6" t="str">
        <f>IFERROR(__xludf.DUMMYFUNCTION("""COMPUTED_VALUE"""),"anderson")</f>
        <v>anderson</v>
      </c>
      <c r="AK2408" s="49"/>
      <c r="AL2408" s="49"/>
      <c r="AM2408" s="49"/>
      <c r="AN2408" s="52" t="str">
        <f t="shared" si="5"/>
        <v>forms,</v>
      </c>
    </row>
    <row r="2409">
      <c r="A2409" s="51"/>
      <c r="B2409" s="50" t="s">
        <v>6437</v>
      </c>
      <c r="C2409" s="50" t="s">
        <v>2442</v>
      </c>
      <c r="D2409" s="49" t="str">
        <f>IFERROR(__xludf.DUMMYFUNCTION("""COMPUTED_VALUE"""),"bathroom")</f>
        <v>bathroom</v>
      </c>
      <c r="E2409" s="49"/>
      <c r="F2409" s="49"/>
      <c r="G2409" s="49"/>
      <c r="H2409" s="54" t="str">
        <f t="shared" si="1"/>
        <v>loved,</v>
      </c>
      <c r="I2409" s="50"/>
      <c r="J2409" s="50" t="s">
        <v>1663</v>
      </c>
      <c r="K2409" s="50" t="s">
        <v>2242</v>
      </c>
      <c r="L2409" s="49"/>
      <c r="M2409" s="49"/>
      <c r="N2409" s="49"/>
      <c r="O2409" s="49"/>
      <c r="P2409" s="49" t="str">
        <f t="shared" si="2"/>
        <v>extraordinary,</v>
      </c>
      <c r="Q2409" s="49"/>
      <c r="R2409" s="50" t="s">
        <v>6093</v>
      </c>
      <c r="S2409" s="55" t="s">
        <v>5448</v>
      </c>
      <c r="T2409" s="49"/>
      <c r="U2409" s="49"/>
      <c r="V2409" s="49"/>
      <c r="W2409" s="49"/>
      <c r="X2409" s="49" t="str">
        <f t="shared" si="3"/>
        <v>nationwide,</v>
      </c>
      <c r="Y2409" s="49"/>
      <c r="Z2409" s="1" t="s">
        <v>1761</v>
      </c>
      <c r="AA2409" s="1" t="s">
        <v>5570</v>
      </c>
      <c r="AB2409" s="49"/>
      <c r="AC2409" s="49"/>
      <c r="AD2409" s="49"/>
      <c r="AE2409" s="49"/>
      <c r="AF2409" s="49" t="str">
        <f t="shared" si="4"/>
        <v>politics,</v>
      </c>
      <c r="AG2409" s="49"/>
      <c r="AH2409" s="1" t="s">
        <v>5986</v>
      </c>
      <c r="AI2409" s="1" t="s">
        <v>3906</v>
      </c>
      <c r="AJ2409" s="6" t="str">
        <f>IFERROR(__xludf.DUMMYFUNCTION("""COMPUTED_VALUE"""),"flesh")</f>
        <v>flesh</v>
      </c>
      <c r="AK2409" s="49"/>
      <c r="AL2409" s="49"/>
      <c r="AM2409" s="49"/>
      <c r="AN2409" s="52" t="str">
        <f t="shared" si="5"/>
        <v>physician,</v>
      </c>
    </row>
    <row r="2410">
      <c r="A2410" s="51"/>
      <c r="B2410" s="50" t="s">
        <v>3916</v>
      </c>
      <c r="C2410" s="50" t="s">
        <v>6671</v>
      </c>
      <c r="D2410" s="49" t="str">
        <f>IFERROR(__xludf.DUMMYFUNCTION("""COMPUTED_VALUE"""),"varying")</f>
        <v>varying</v>
      </c>
      <c r="E2410" s="49"/>
      <c r="F2410" s="49"/>
      <c r="G2410" s="49"/>
      <c r="H2410" s="54" t="str">
        <f t="shared" si="1"/>
        <v>brain,</v>
      </c>
      <c r="I2410" s="50"/>
      <c r="J2410" s="50" t="s">
        <v>6466</v>
      </c>
      <c r="K2410" s="50" t="s">
        <v>4065</v>
      </c>
      <c r="L2410" s="49"/>
      <c r="M2410" s="49"/>
      <c r="N2410" s="49"/>
      <c r="O2410" s="49"/>
      <c r="P2410" s="49" t="str">
        <f t="shared" si="2"/>
        <v>techniques,</v>
      </c>
      <c r="Q2410" s="49"/>
      <c r="R2410" s="50" t="s">
        <v>5613</v>
      </c>
      <c r="S2410" s="55" t="s">
        <v>2143</v>
      </c>
      <c r="T2410" s="49"/>
      <c r="U2410" s="49"/>
      <c r="V2410" s="49"/>
      <c r="W2410" s="49"/>
      <c r="X2410" s="49" t="str">
        <f t="shared" si="3"/>
        <v>emphasis,</v>
      </c>
      <c r="Y2410" s="49"/>
      <c r="Z2410" s="1" t="s">
        <v>2002</v>
      </c>
      <c r="AA2410" s="1" t="s">
        <v>4624</v>
      </c>
      <c r="AB2410" s="49"/>
      <c r="AC2410" s="49"/>
      <c r="AD2410" s="49"/>
      <c r="AE2410" s="49"/>
      <c r="AF2410" s="49" t="str">
        <f t="shared" si="4"/>
        <v>loss,</v>
      </c>
      <c r="AG2410" s="49"/>
      <c r="AH2410" s="1" t="s">
        <v>4280</v>
      </c>
      <c r="AI2410" s="1" t="s">
        <v>3261</v>
      </c>
      <c r="AJ2410" s="6" t="str">
        <f>IFERROR(__xludf.DUMMYFUNCTION("""COMPUTED_VALUE"""),"burst")</f>
        <v>burst</v>
      </c>
      <c r="AK2410" s="49"/>
      <c r="AL2410" s="49"/>
      <c r="AM2410" s="49"/>
      <c r="AN2410" s="52" t="str">
        <f t="shared" si="5"/>
        <v>younger,</v>
      </c>
    </row>
    <row r="2411">
      <c r="A2411" s="51"/>
      <c r="B2411" s="50" t="s">
        <v>6641</v>
      </c>
      <c r="C2411" s="50" t="s">
        <v>4697</v>
      </c>
      <c r="D2411" s="49" t="str">
        <f>IFERROR(__xludf.DUMMYFUNCTION("""COMPUTED_VALUE"""),"carries")</f>
        <v>carries</v>
      </c>
      <c r="E2411" s="49"/>
      <c r="F2411" s="49"/>
      <c r="G2411" s="49"/>
      <c r="H2411" s="54" t="str">
        <f t="shared" si="1"/>
        <v>rope,</v>
      </c>
      <c r="I2411" s="50"/>
      <c r="J2411" s="50" t="s">
        <v>3604</v>
      </c>
      <c r="K2411" s="50" t="s">
        <v>2244</v>
      </c>
      <c r="L2411" s="49"/>
      <c r="M2411" s="49"/>
      <c r="N2411" s="49"/>
      <c r="O2411" s="49"/>
      <c r="P2411" s="49" t="str">
        <f t="shared" si="2"/>
        <v>neatly,</v>
      </c>
      <c r="Q2411" s="49"/>
      <c r="R2411" s="50" t="s">
        <v>2061</v>
      </c>
      <c r="S2411" s="55" t="s">
        <v>3032</v>
      </c>
      <c r="T2411" s="49"/>
      <c r="U2411" s="49"/>
      <c r="V2411" s="49"/>
      <c r="W2411" s="49"/>
      <c r="X2411" s="49" t="str">
        <f t="shared" si="3"/>
        <v>strengths,</v>
      </c>
      <c r="Y2411" s="49"/>
      <c r="Z2411" s="1" t="s">
        <v>558</v>
      </c>
      <c r="AA2411" s="1" t="s">
        <v>4625</v>
      </c>
      <c r="AB2411" s="49"/>
      <c r="AC2411" s="49"/>
      <c r="AD2411" s="49"/>
      <c r="AE2411" s="49"/>
      <c r="AF2411" s="49" t="str">
        <f t="shared" si="4"/>
        <v>tribute,</v>
      </c>
      <c r="AG2411" s="49"/>
      <c r="AH2411" s="1" t="s">
        <v>5688</v>
      </c>
      <c r="AI2411" s="1" t="s">
        <v>6733</v>
      </c>
      <c r="AJ2411" s="6" t="str">
        <f>IFERROR(__xludf.DUMMYFUNCTION("""COMPUTED_VALUE"""),"sons")</f>
        <v>sons</v>
      </c>
      <c r="AK2411" s="49"/>
      <c r="AL2411" s="49"/>
      <c r="AM2411" s="49"/>
      <c r="AN2411" s="52" t="str">
        <f t="shared" si="5"/>
        <v>flag,</v>
      </c>
    </row>
    <row r="2412">
      <c r="A2412" s="51"/>
      <c r="B2412" s="50" t="s">
        <v>376</v>
      </c>
      <c r="C2412" s="50" t="s">
        <v>3186</v>
      </c>
      <c r="D2412" s="49" t="str">
        <f>IFERROR(__xludf.DUMMYFUNCTION("""COMPUTED_VALUE"""),"oliver")</f>
        <v>oliver</v>
      </c>
      <c r="E2412" s="49"/>
      <c r="F2412" s="49"/>
      <c r="G2412" s="49"/>
      <c r="H2412" s="54" t="str">
        <f t="shared" si="1"/>
        <v>intelligent,</v>
      </c>
      <c r="I2412" s="50"/>
      <c r="J2412" s="50" t="s">
        <v>4751</v>
      </c>
      <c r="K2412" s="50" t="s">
        <v>2245</v>
      </c>
      <c r="L2412" s="49"/>
      <c r="M2412" s="49"/>
      <c r="N2412" s="49"/>
      <c r="O2412" s="49"/>
      <c r="P2412" s="49" t="str">
        <f t="shared" si="2"/>
        <v>regard,</v>
      </c>
      <c r="Q2412" s="49"/>
      <c r="R2412" s="50" t="s">
        <v>3211</v>
      </c>
      <c r="S2412" s="55" t="s">
        <v>6733</v>
      </c>
      <c r="T2412" s="49"/>
      <c r="U2412" s="49"/>
      <c r="V2412" s="49"/>
      <c r="W2412" s="49"/>
      <c r="X2412" s="49" t="str">
        <f t="shared" si="3"/>
        <v>awakening,</v>
      </c>
      <c r="Y2412" s="49"/>
      <c r="Z2412" s="1" t="s">
        <v>2546</v>
      </c>
      <c r="AA2412" s="1" t="s">
        <v>5573</v>
      </c>
      <c r="AB2412" s="49"/>
      <c r="AC2412" s="49"/>
      <c r="AD2412" s="49"/>
      <c r="AE2412" s="49"/>
      <c r="AF2412" s="49" t="str">
        <f t="shared" si="4"/>
        <v>desperation,</v>
      </c>
      <c r="AG2412" s="49"/>
      <c r="AH2412" s="1" t="s">
        <v>3098</v>
      </c>
      <c r="AI2412" s="1" t="s">
        <v>6734</v>
      </c>
      <c r="AJ2412" s="6" t="str">
        <f>IFERROR(__xludf.DUMMYFUNCTION("""COMPUTED_VALUE"""),"attached")</f>
        <v>attached</v>
      </c>
      <c r="AK2412" s="49"/>
      <c r="AL2412" s="49"/>
      <c r="AM2412" s="49"/>
      <c r="AN2412" s="52" t="str">
        <f t="shared" si="5"/>
        <v>spin,</v>
      </c>
    </row>
    <row r="2413">
      <c r="A2413" s="51"/>
      <c r="B2413" s="50" t="s">
        <v>1148</v>
      </c>
      <c r="C2413" s="50" t="s">
        <v>5113</v>
      </c>
      <c r="D2413" s="49" t="str">
        <f>IFERROR(__xludf.DUMMYFUNCTION("""COMPUTED_VALUE"""),"indeed")</f>
        <v>indeed</v>
      </c>
      <c r="E2413" s="49"/>
      <c r="F2413" s="49"/>
      <c r="G2413" s="49"/>
      <c r="H2413" s="54" t="str">
        <f t="shared" si="1"/>
        <v>elaborate,</v>
      </c>
      <c r="I2413" s="50"/>
      <c r="J2413" s="50" t="s">
        <v>5962</v>
      </c>
      <c r="K2413" s="50" t="s">
        <v>5574</v>
      </c>
      <c r="L2413" s="49"/>
      <c r="M2413" s="49"/>
      <c r="N2413" s="49"/>
      <c r="O2413" s="49"/>
      <c r="P2413" s="49" t="str">
        <f t="shared" si="2"/>
        <v>damaged,</v>
      </c>
      <c r="Q2413" s="49"/>
      <c r="R2413" s="50" t="s">
        <v>3240</v>
      </c>
      <c r="S2413" s="55" t="s">
        <v>3261</v>
      </c>
      <c r="T2413" s="49"/>
      <c r="U2413" s="49"/>
      <c r="V2413" s="49"/>
      <c r="W2413" s="49"/>
      <c r="X2413" s="49" t="str">
        <f t="shared" si="3"/>
        <v>adherents,</v>
      </c>
      <c r="Y2413" s="49"/>
      <c r="Z2413" s="1" t="s">
        <v>157</v>
      </c>
      <c r="AA2413" s="1" t="s">
        <v>2830</v>
      </c>
      <c r="AB2413" s="49"/>
      <c r="AC2413" s="49"/>
      <c r="AD2413" s="49"/>
      <c r="AE2413" s="49"/>
      <c r="AF2413" s="49" t="str">
        <f t="shared" si="4"/>
        <v>reveals,</v>
      </c>
      <c r="AG2413" s="49"/>
      <c r="AH2413" s="1" t="s">
        <v>6936</v>
      </c>
      <c r="AI2413" s="1" t="s">
        <v>5609</v>
      </c>
      <c r="AJ2413" s="6" t="str">
        <f>IFERROR(__xludf.DUMMYFUNCTION("""COMPUTED_VALUE"""),"wall")</f>
        <v>wall</v>
      </c>
      <c r="AK2413" s="49"/>
      <c r="AL2413" s="49"/>
      <c r="AM2413" s="49"/>
      <c r="AN2413" s="52" t="str">
        <f t="shared" si="5"/>
        <v>colin,</v>
      </c>
    </row>
    <row r="2414">
      <c r="A2414" s="51"/>
      <c r="B2414" s="50">
        <v>1972.0</v>
      </c>
      <c r="C2414" s="50" t="s">
        <v>3189</v>
      </c>
      <c r="D2414" s="49" t="str">
        <f>IFERROR(__xludf.DUMMYFUNCTION("""COMPUTED_VALUE"""),"promising")</f>
        <v>promising</v>
      </c>
      <c r="E2414" s="49"/>
      <c r="F2414" s="49"/>
      <c r="G2414" s="49"/>
      <c r="H2414" s="54" t="str">
        <f t="shared" si="1"/>
        <v>1972,</v>
      </c>
      <c r="I2414" s="50"/>
      <c r="J2414" s="50" t="s">
        <v>7525</v>
      </c>
      <c r="K2414" s="50" t="s">
        <v>2248</v>
      </c>
      <c r="L2414" s="49"/>
      <c r="M2414" s="49"/>
      <c r="N2414" s="49"/>
      <c r="O2414" s="49"/>
      <c r="P2414" s="49" t="str">
        <f t="shared" si="2"/>
        <v>capt,</v>
      </c>
      <c r="Q2414" s="49"/>
      <c r="R2414" s="50" t="s">
        <v>4453</v>
      </c>
      <c r="S2414" s="55" t="s">
        <v>1429</v>
      </c>
      <c r="T2414" s="49"/>
      <c r="U2414" s="49"/>
      <c r="V2414" s="49"/>
      <c r="W2414" s="49"/>
      <c r="X2414" s="49" t="str">
        <f t="shared" si="3"/>
        <v>remind,</v>
      </c>
      <c r="Y2414" s="49"/>
      <c r="Z2414" s="1" t="s">
        <v>6514</v>
      </c>
      <c r="AA2414" s="1" t="s">
        <v>5575</v>
      </c>
      <c r="AB2414" s="49"/>
      <c r="AC2414" s="49"/>
      <c r="AD2414" s="49"/>
      <c r="AE2414" s="49"/>
      <c r="AF2414" s="49" t="str">
        <f t="shared" si="4"/>
        <v>universe,</v>
      </c>
      <c r="AG2414" s="49"/>
      <c r="AH2414" s="1" t="s">
        <v>6511</v>
      </c>
      <c r="AI2414" s="1" t="s">
        <v>5262</v>
      </c>
      <c r="AJ2414" s="6" t="str">
        <f>IFERROR(__xludf.DUMMYFUNCTION("""COMPUTED_VALUE"""),"smile")</f>
        <v>smile</v>
      </c>
      <c r="AK2414" s="49"/>
      <c r="AL2414" s="49"/>
      <c r="AM2414" s="49"/>
      <c r="AN2414" s="52" t="str">
        <f t="shared" si="5"/>
        <v>jesse,</v>
      </c>
    </row>
    <row r="2415">
      <c r="A2415" s="51"/>
      <c r="B2415" s="50" t="s">
        <v>5187</v>
      </c>
      <c r="C2415" s="50" t="s">
        <v>3281</v>
      </c>
      <c r="D2415" s="49" t="str">
        <f>IFERROR(__xludf.DUMMYFUNCTION("""COMPUTED_VALUE"""),"dressed")</f>
        <v>dressed</v>
      </c>
      <c r="E2415" s="49"/>
      <c r="F2415" s="49"/>
      <c r="G2415" s="49"/>
      <c r="H2415" s="54" t="str">
        <f t="shared" si="1"/>
        <v>bitter,</v>
      </c>
      <c r="I2415" s="50"/>
      <c r="J2415" s="50" t="s">
        <v>3050</v>
      </c>
      <c r="K2415" s="50" t="s">
        <v>4071</v>
      </c>
      <c r="L2415" s="49"/>
      <c r="M2415" s="49"/>
      <c r="N2415" s="49"/>
      <c r="O2415" s="49"/>
      <c r="P2415" s="49" t="str">
        <f t="shared" si="2"/>
        <v>circuit,</v>
      </c>
      <c r="Q2415" s="49"/>
      <c r="R2415" s="50" t="s">
        <v>2946</v>
      </c>
      <c r="S2415" s="55" t="s">
        <v>1422</v>
      </c>
      <c r="T2415" s="49"/>
      <c r="U2415" s="49"/>
      <c r="V2415" s="49"/>
      <c r="W2415" s="49"/>
      <c r="X2415" s="49" t="str">
        <f t="shared" si="3"/>
        <v>slim,</v>
      </c>
      <c r="Y2415" s="49"/>
      <c r="Z2415" s="1" t="s">
        <v>2777</v>
      </c>
      <c r="AA2415" s="1" t="s">
        <v>5576</v>
      </c>
      <c r="AB2415" s="49"/>
      <c r="AC2415" s="49"/>
      <c r="AD2415" s="49"/>
      <c r="AE2415" s="49"/>
      <c r="AF2415" s="49" t="str">
        <f t="shared" si="4"/>
        <v>unexpectedly,</v>
      </c>
      <c r="AG2415" s="49"/>
      <c r="AH2415" s="1" t="s">
        <v>7021</v>
      </c>
      <c r="AI2415" s="1" t="s">
        <v>3076</v>
      </c>
      <c r="AJ2415" s="6" t="str">
        <f>IFERROR(__xludf.DUMMYFUNCTION("""COMPUTED_VALUE"""),"rushed")</f>
        <v>rushed</v>
      </c>
      <c r="AK2415" s="49"/>
      <c r="AL2415" s="49"/>
      <c r="AM2415" s="49"/>
      <c r="AN2415" s="52" t="str">
        <f t="shared" si="5"/>
        <v>inc,</v>
      </c>
    </row>
    <row r="2416">
      <c r="A2416" s="51"/>
      <c r="B2416" s="50" t="s">
        <v>3210</v>
      </c>
      <c r="C2416" s="50" t="s">
        <v>623</v>
      </c>
      <c r="D2416" s="49" t="str">
        <f>IFERROR(__xludf.DUMMYFUNCTION("""COMPUTED_VALUE"""),"ready")</f>
        <v>ready</v>
      </c>
      <c r="E2416" s="49"/>
      <c r="F2416" s="49"/>
      <c r="G2416" s="49"/>
      <c r="H2416" s="54" t="str">
        <f t="shared" si="1"/>
        <v>fraser,</v>
      </c>
      <c r="I2416" s="50"/>
      <c r="J2416" s="50" t="s">
        <v>3531</v>
      </c>
      <c r="K2416" s="50" t="s">
        <v>4072</v>
      </c>
      <c r="L2416" s="49"/>
      <c r="M2416" s="49"/>
      <c r="N2416" s="49"/>
      <c r="O2416" s="49"/>
      <c r="P2416" s="49" t="str">
        <f t="shared" si="2"/>
        <v>accessible,</v>
      </c>
      <c r="Q2416" s="49"/>
      <c r="R2416" s="50" t="s">
        <v>4532</v>
      </c>
      <c r="S2416" s="55" t="s">
        <v>1095</v>
      </c>
      <c r="T2416" s="49"/>
      <c r="U2416" s="49"/>
      <c r="V2416" s="49"/>
      <c r="W2416" s="49"/>
      <c r="X2416" s="49" t="str">
        <f t="shared" si="3"/>
        <v>bias,</v>
      </c>
      <c r="Y2416" s="49"/>
      <c r="Z2416" s="1" t="s">
        <v>4567</v>
      </c>
      <c r="AA2416" s="1" t="s">
        <v>4627</v>
      </c>
      <c r="AB2416" s="49"/>
      <c r="AC2416" s="49"/>
      <c r="AD2416" s="49"/>
      <c r="AE2416" s="49"/>
      <c r="AF2416" s="49" t="str">
        <f t="shared" si="4"/>
        <v>breath,</v>
      </c>
      <c r="AG2416" s="49"/>
      <c r="AH2416" s="1" t="s">
        <v>3937</v>
      </c>
      <c r="AI2416" s="1" t="s">
        <v>6735</v>
      </c>
      <c r="AJ2416" s="6" t="str">
        <f>IFERROR(__xludf.DUMMYFUNCTION("""COMPUTED_VALUE"""),"held")</f>
        <v>held</v>
      </c>
      <c r="AK2416" s="49"/>
      <c r="AL2416" s="49"/>
      <c r="AM2416" s="49"/>
      <c r="AN2416" s="52" t="str">
        <f t="shared" si="5"/>
        <v>dear,</v>
      </c>
    </row>
    <row r="2417">
      <c r="A2417" s="51"/>
      <c r="B2417" s="50" t="s">
        <v>6790</v>
      </c>
      <c r="C2417" s="50" t="s">
        <v>4698</v>
      </c>
      <c r="D2417" s="49" t="str">
        <f>IFERROR(__xludf.DUMMYFUNCTION("""COMPUTED_VALUE"""),"permission")</f>
        <v>permission</v>
      </c>
      <c r="E2417" s="49"/>
      <c r="F2417" s="49"/>
      <c r="G2417" s="49"/>
      <c r="H2417" s="54" t="str">
        <f t="shared" si="1"/>
        <v>entered,</v>
      </c>
      <c r="I2417" s="50"/>
      <c r="J2417" s="50" t="s">
        <v>2749</v>
      </c>
      <c r="K2417" s="50" t="s">
        <v>4074</v>
      </c>
      <c r="L2417" s="49"/>
      <c r="M2417" s="49"/>
      <c r="N2417" s="49"/>
      <c r="O2417" s="49"/>
      <c r="P2417" s="49" t="str">
        <f t="shared" si="2"/>
        <v>freaks,</v>
      </c>
      <c r="Q2417" s="49"/>
      <c r="R2417" s="50" t="s">
        <v>4623</v>
      </c>
      <c r="S2417" s="55" t="s">
        <v>5262</v>
      </c>
      <c r="T2417" s="49"/>
      <c r="U2417" s="49"/>
      <c r="V2417" s="49"/>
      <c r="W2417" s="49"/>
      <c r="X2417" s="49" t="str">
        <f t="shared" si="3"/>
        <v>beaten,</v>
      </c>
      <c r="Y2417" s="49"/>
      <c r="Z2417" s="1" t="s">
        <v>2791</v>
      </c>
      <c r="AA2417" s="1" t="s">
        <v>5577</v>
      </c>
      <c r="AB2417" s="49"/>
      <c r="AC2417" s="49"/>
      <c r="AD2417" s="49"/>
      <c r="AE2417" s="49"/>
      <c r="AF2417" s="49" t="str">
        <f t="shared" si="4"/>
        <v>awe,</v>
      </c>
      <c r="AG2417" s="49"/>
      <c r="AH2417" s="1" t="s">
        <v>3510</v>
      </c>
      <c r="AI2417" s="1" t="s">
        <v>5612</v>
      </c>
      <c r="AJ2417" s="6" t="str">
        <f>IFERROR(__xludf.DUMMYFUNCTION("""COMPUTED_VALUE"""),"influenced")</f>
        <v>influenced</v>
      </c>
      <c r="AK2417" s="49"/>
      <c r="AL2417" s="49"/>
      <c r="AM2417" s="49"/>
      <c r="AN2417" s="52" t="str">
        <f t="shared" si="5"/>
        <v>suggest,</v>
      </c>
    </row>
    <row r="2418">
      <c r="A2418" s="51"/>
      <c r="B2418" s="50" t="s">
        <v>6335</v>
      </c>
      <c r="C2418" s="50" t="s">
        <v>6672</v>
      </c>
      <c r="D2418" s="49" t="str">
        <f>IFERROR(__xludf.DUMMYFUNCTION("""COMPUTED_VALUE"""),"calls")</f>
        <v>calls</v>
      </c>
      <c r="E2418" s="49"/>
      <c r="F2418" s="49"/>
      <c r="G2418" s="49"/>
      <c r="H2418" s="54" t="str">
        <f t="shared" si="1"/>
        <v>path,</v>
      </c>
      <c r="I2418" s="50"/>
      <c r="J2418" s="50" t="s">
        <v>4001</v>
      </c>
      <c r="K2418" s="50" t="s">
        <v>176</v>
      </c>
      <c r="L2418" s="49"/>
      <c r="M2418" s="49"/>
      <c r="N2418" s="49"/>
      <c r="O2418" s="49"/>
      <c r="P2418" s="49" t="str">
        <f t="shared" si="2"/>
        <v>integrity,</v>
      </c>
      <c r="Q2418" s="49"/>
      <c r="R2418" s="50" t="s">
        <v>7592</v>
      </c>
      <c r="S2418" s="55" t="s">
        <v>2151</v>
      </c>
      <c r="T2418" s="49"/>
      <c r="U2418" s="49"/>
      <c r="V2418" s="49"/>
      <c r="W2418" s="49"/>
      <c r="X2418" s="49" t="str">
        <f t="shared" si="3"/>
        <v>disturbed,</v>
      </c>
      <c r="Y2418" s="49"/>
      <c r="Z2418" s="1" t="s">
        <v>4804</v>
      </c>
      <c r="AA2418" s="1" t="s">
        <v>2832</v>
      </c>
      <c r="AB2418" s="49"/>
      <c r="AC2418" s="49"/>
      <c r="AD2418" s="49"/>
      <c r="AE2418" s="49"/>
      <c r="AF2418" s="49" t="str">
        <f t="shared" si="4"/>
        <v>surrounding,</v>
      </c>
      <c r="AG2418" s="49"/>
      <c r="AH2418" s="1" t="s">
        <v>7031</v>
      </c>
      <c r="AI2418" s="1">
        <v>50.0</v>
      </c>
      <c r="AJ2418" s="6" t="str">
        <f>IFERROR(__xludf.DUMMYFUNCTION("""COMPUTED_VALUE"""),"older")</f>
        <v>older</v>
      </c>
      <c r="AK2418" s="49"/>
      <c r="AL2418" s="49"/>
      <c r="AM2418" s="49"/>
      <c r="AN2418" s="52" t="str">
        <f t="shared" si="5"/>
        <v>kept,</v>
      </c>
    </row>
    <row r="2419">
      <c r="A2419" s="51"/>
      <c r="B2419" s="50" t="s">
        <v>2730</v>
      </c>
      <c r="C2419" s="50" t="s">
        <v>4701</v>
      </c>
      <c r="D2419" s="49" t="str">
        <f>IFERROR(__xludf.DUMMYFUNCTION("""COMPUTED_VALUE"""),"losing")</f>
        <v>losing</v>
      </c>
      <c r="E2419" s="49"/>
      <c r="F2419" s="49"/>
      <c r="G2419" s="49"/>
      <c r="H2419" s="54" t="str">
        <f t="shared" si="1"/>
        <v>nominated,</v>
      </c>
      <c r="I2419" s="50"/>
      <c r="J2419" s="50" t="s">
        <v>1431</v>
      </c>
      <c r="K2419" s="50" t="s">
        <v>1176</v>
      </c>
      <c r="L2419" s="49"/>
      <c r="M2419" s="49"/>
      <c r="N2419" s="49"/>
      <c r="O2419" s="49"/>
      <c r="P2419" s="49" t="str">
        <f t="shared" si="2"/>
        <v>format,</v>
      </c>
      <c r="Q2419" s="49"/>
      <c r="R2419" s="50" t="s">
        <v>4486</v>
      </c>
      <c r="S2419" s="55" t="s">
        <v>3076</v>
      </c>
      <c r="T2419" s="49"/>
      <c r="U2419" s="49"/>
      <c r="V2419" s="49"/>
      <c r="W2419" s="49"/>
      <c r="X2419" s="49" t="str">
        <f t="shared" si="3"/>
        <v>packages,</v>
      </c>
      <c r="Y2419" s="49"/>
      <c r="Z2419" s="1" t="s">
        <v>3801</v>
      </c>
      <c r="AA2419" s="1" t="s">
        <v>4630</v>
      </c>
      <c r="AB2419" s="49"/>
      <c r="AC2419" s="49"/>
      <c r="AD2419" s="49"/>
      <c r="AE2419" s="49"/>
      <c r="AF2419" s="49" t="str">
        <f t="shared" si="4"/>
        <v>attract,</v>
      </c>
      <c r="AG2419" s="49"/>
      <c r="AH2419" s="1" t="s">
        <v>1390</v>
      </c>
      <c r="AI2419" s="1" t="s">
        <v>3378</v>
      </c>
      <c r="AJ2419" s="6" t="str">
        <f>IFERROR(__xludf.DUMMYFUNCTION("""COMPUTED_VALUE"""),"clean")</f>
        <v>clean</v>
      </c>
      <c r="AK2419" s="49"/>
      <c r="AL2419" s="49"/>
      <c r="AM2419" s="49"/>
      <c r="AN2419" s="52" t="str">
        <f t="shared" si="5"/>
        <v>successor,</v>
      </c>
    </row>
    <row r="2420">
      <c r="A2420" s="51"/>
      <c r="B2420" s="50" t="s">
        <v>5455</v>
      </c>
      <c r="C2420" s="50" t="s">
        <v>4704</v>
      </c>
      <c r="D2420" s="49" t="str">
        <f>IFERROR(__xludf.DUMMYFUNCTION("""COMPUTED_VALUE"""),"lunch")</f>
        <v>lunch</v>
      </c>
      <c r="E2420" s="49"/>
      <c r="F2420" s="49"/>
      <c r="G2420" s="49"/>
      <c r="H2420" s="54" t="str">
        <f t="shared" si="1"/>
        <v>architect,</v>
      </c>
      <c r="I2420" s="50"/>
      <c r="J2420" s="50" t="s">
        <v>7526</v>
      </c>
      <c r="K2420" s="50" t="s">
        <v>2256</v>
      </c>
      <c r="L2420" s="49"/>
      <c r="M2420" s="49"/>
      <c r="N2420" s="49"/>
      <c r="O2420" s="49"/>
      <c r="P2420" s="49" t="str">
        <f t="shared" si="2"/>
        <v>freshman,</v>
      </c>
      <c r="Q2420" s="49"/>
      <c r="R2420" s="50" t="s">
        <v>7593</v>
      </c>
      <c r="S2420" s="55" t="s">
        <v>1101</v>
      </c>
      <c r="T2420" s="49"/>
      <c r="U2420" s="49"/>
      <c r="V2420" s="49"/>
      <c r="W2420" s="49"/>
      <c r="X2420" s="49" t="str">
        <f t="shared" si="3"/>
        <v>scotch,</v>
      </c>
      <c r="Y2420" s="49"/>
      <c r="Z2420" s="1" t="s">
        <v>3279</v>
      </c>
      <c r="AA2420" s="1" t="s">
        <v>5582</v>
      </c>
      <c r="AB2420" s="49"/>
      <c r="AC2420" s="49"/>
      <c r="AD2420" s="49"/>
      <c r="AE2420" s="49"/>
      <c r="AF2420" s="49" t="str">
        <f t="shared" si="4"/>
        <v>ballistic,</v>
      </c>
      <c r="AG2420" s="49"/>
      <c r="AH2420" s="1" t="s">
        <v>6544</v>
      </c>
      <c r="AI2420" s="1" t="s">
        <v>6736</v>
      </c>
      <c r="AJ2420" s="6" t="str">
        <f>IFERROR(__xludf.DUMMYFUNCTION("""COMPUTED_VALUE"""),"ian")</f>
        <v>ian</v>
      </c>
      <c r="AK2420" s="49"/>
      <c r="AL2420" s="49"/>
      <c r="AM2420" s="49"/>
      <c r="AN2420" s="52" t="str">
        <f t="shared" si="5"/>
        <v>experiences,</v>
      </c>
    </row>
    <row r="2421">
      <c r="A2421" s="51"/>
      <c r="B2421" s="50" t="s">
        <v>3479</v>
      </c>
      <c r="C2421" s="50" t="s">
        <v>1463</v>
      </c>
      <c r="D2421" s="49" t="str">
        <f>IFERROR(__xludf.DUMMYFUNCTION("""COMPUTED_VALUE"""),"hear")</f>
        <v>hear</v>
      </c>
      <c r="E2421" s="49"/>
      <c r="F2421" s="49"/>
      <c r="G2421" s="49"/>
      <c r="H2421" s="54" t="str">
        <f t="shared" si="1"/>
        <v>fabric,</v>
      </c>
      <c r="I2421" s="50"/>
      <c r="J2421" s="50" t="s">
        <v>1557</v>
      </c>
      <c r="K2421" s="50" t="s">
        <v>5584</v>
      </c>
      <c r="L2421" s="49"/>
      <c r="M2421" s="49"/>
      <c r="N2421" s="49"/>
      <c r="O2421" s="49"/>
      <c r="P2421" s="49" t="str">
        <f t="shared" si="2"/>
        <v>tendencies,</v>
      </c>
      <c r="Q2421" s="49"/>
      <c r="R2421" s="50" t="s">
        <v>4393</v>
      </c>
      <c r="S2421" s="55" t="s">
        <v>1435</v>
      </c>
      <c r="T2421" s="49"/>
      <c r="U2421" s="49"/>
      <c r="V2421" s="49"/>
      <c r="W2421" s="49"/>
      <c r="X2421" s="49" t="str">
        <f t="shared" si="3"/>
        <v>ideology,</v>
      </c>
      <c r="Y2421" s="49"/>
      <c r="Z2421" s="1" t="s">
        <v>1649</v>
      </c>
      <c r="AA2421" s="1" t="s">
        <v>4632</v>
      </c>
      <c r="AB2421" s="49"/>
      <c r="AC2421" s="49"/>
      <c r="AD2421" s="49"/>
      <c r="AE2421" s="49"/>
      <c r="AF2421" s="49" t="str">
        <f t="shared" si="4"/>
        <v>distance,</v>
      </c>
      <c r="AG2421" s="49"/>
      <c r="AH2421" s="1" t="s">
        <v>6825</v>
      </c>
      <c r="AI2421" s="1" t="s">
        <v>4983</v>
      </c>
      <c r="AJ2421" s="6" t="str">
        <f>IFERROR(__xludf.DUMMYFUNCTION("""COMPUTED_VALUE"""),"escaped")</f>
        <v>escaped</v>
      </c>
      <c r="AK2421" s="49"/>
      <c r="AL2421" s="49"/>
      <c r="AM2421" s="49"/>
      <c r="AN2421" s="52" t="str">
        <f t="shared" si="5"/>
        <v>appeared,</v>
      </c>
    </row>
    <row r="2422">
      <c r="A2422" s="51"/>
      <c r="B2422" s="50" t="s">
        <v>2074</v>
      </c>
      <c r="C2422" s="50" t="s">
        <v>4705</v>
      </c>
      <c r="D2422" s="49" t="str">
        <f>IFERROR(__xludf.DUMMYFUNCTION("""COMPUTED_VALUE"""),"says")</f>
        <v>says</v>
      </c>
      <c r="E2422" s="49"/>
      <c r="F2422" s="49"/>
      <c r="G2422" s="49"/>
      <c r="H2422" s="54" t="str">
        <f t="shared" si="1"/>
        <v>joel,</v>
      </c>
      <c r="I2422" s="50"/>
      <c r="J2422" s="50" t="s">
        <v>31</v>
      </c>
      <c r="K2422" s="50" t="s">
        <v>4079</v>
      </c>
      <c r="L2422" s="49"/>
      <c r="M2422" s="49"/>
      <c r="N2422" s="49"/>
      <c r="O2422" s="49"/>
      <c r="P2422" s="49" t="str">
        <f t="shared" si="2"/>
        <v>affecting,</v>
      </c>
      <c r="Q2422" s="49"/>
      <c r="R2422" s="50" t="s">
        <v>1047</v>
      </c>
      <c r="S2422" s="55" t="s">
        <v>134</v>
      </c>
      <c r="T2422" s="49"/>
      <c r="U2422" s="49"/>
      <c r="V2422" s="49"/>
      <c r="W2422" s="49"/>
      <c r="X2422" s="49" t="str">
        <f t="shared" si="3"/>
        <v>acclaim,</v>
      </c>
      <c r="Y2422" s="49"/>
      <c r="Z2422" s="1" t="s">
        <v>3154</v>
      </c>
      <c r="AA2422" s="1" t="s">
        <v>2834</v>
      </c>
      <c r="AB2422" s="49"/>
      <c r="AC2422" s="49"/>
      <c r="AD2422" s="49"/>
      <c r="AE2422" s="49"/>
      <c r="AF2422" s="49" t="str">
        <f t="shared" si="4"/>
        <v>afternoon,</v>
      </c>
      <c r="AG2422" s="49"/>
      <c r="AH2422" s="1" t="s">
        <v>49</v>
      </c>
      <c r="AI2422" s="1" t="s">
        <v>6737</v>
      </c>
      <c r="AJ2422" s="6" t="str">
        <f>IFERROR(__xludf.DUMMYFUNCTION("""COMPUTED_VALUE"""),"alternative")</f>
        <v>alternative</v>
      </c>
      <c r="AK2422" s="49"/>
      <c r="AL2422" s="49"/>
      <c r="AM2422" s="49"/>
      <c r="AN2422" s="52" t="str">
        <f t="shared" si="5"/>
        <v>hide,</v>
      </c>
    </row>
    <row r="2423">
      <c r="A2423" s="51"/>
      <c r="B2423" s="50" t="s">
        <v>3033</v>
      </c>
      <c r="C2423" s="50" t="s">
        <v>6468</v>
      </c>
      <c r="D2423" s="49" t="str">
        <f>IFERROR(__xludf.DUMMYFUNCTION("""COMPUTED_VALUE"""),"handle")</f>
        <v>handle</v>
      </c>
      <c r="E2423" s="49"/>
      <c r="F2423" s="49"/>
      <c r="G2423" s="49"/>
      <c r="H2423" s="54" t="str">
        <f t="shared" si="1"/>
        <v>ranks,</v>
      </c>
      <c r="I2423" s="50"/>
      <c r="J2423" s="50" t="s">
        <v>4284</v>
      </c>
      <c r="K2423" s="50" t="s">
        <v>4081</v>
      </c>
      <c r="L2423" s="49"/>
      <c r="M2423" s="49"/>
      <c r="N2423" s="49"/>
      <c r="O2423" s="49"/>
      <c r="P2423" s="49" t="str">
        <f t="shared" si="2"/>
        <v>tender,</v>
      </c>
      <c r="Q2423" s="49"/>
      <c r="R2423" s="50" t="s">
        <v>5034</v>
      </c>
      <c r="S2423" s="55" t="s">
        <v>3378</v>
      </c>
      <c r="T2423" s="49"/>
      <c r="U2423" s="49"/>
      <c r="V2423" s="49"/>
      <c r="W2423" s="49"/>
      <c r="X2423" s="49" t="str">
        <f t="shared" si="3"/>
        <v>muddy,</v>
      </c>
      <c r="Y2423" s="49"/>
      <c r="Z2423" s="1" t="s">
        <v>2048</v>
      </c>
      <c r="AA2423" s="1">
        <v>163.0</v>
      </c>
      <c r="AB2423" s="49"/>
      <c r="AC2423" s="49"/>
      <c r="AD2423" s="49"/>
      <c r="AE2423" s="49"/>
      <c r="AF2423" s="49" t="str">
        <f t="shared" si="4"/>
        <v>draws,</v>
      </c>
      <c r="AG2423" s="49"/>
      <c r="AH2423" s="1" t="s">
        <v>4792</v>
      </c>
      <c r="AI2423" s="1" t="s">
        <v>6738</v>
      </c>
      <c r="AJ2423" s="6" t="str">
        <f>IFERROR(__xludf.DUMMYFUNCTION("""COMPUTED_VALUE"""),"media")</f>
        <v>media</v>
      </c>
      <c r="AK2423" s="49"/>
      <c r="AL2423" s="49"/>
      <c r="AM2423" s="49"/>
      <c r="AN2423" s="52" t="str">
        <f t="shared" si="5"/>
        <v>collaboration,</v>
      </c>
    </row>
    <row r="2424">
      <c r="A2424" s="51"/>
      <c r="B2424" s="50">
        <v>1962.0</v>
      </c>
      <c r="C2424" s="50" t="s">
        <v>5253</v>
      </c>
      <c r="D2424" s="49" t="str">
        <f>IFERROR(__xludf.DUMMYFUNCTION("""COMPUTED_VALUE"""),"directly")</f>
        <v>directly</v>
      </c>
      <c r="E2424" s="49"/>
      <c r="F2424" s="49"/>
      <c r="G2424" s="49"/>
      <c r="H2424" s="54" t="str">
        <f t="shared" si="1"/>
        <v>1962,</v>
      </c>
      <c r="I2424" s="50"/>
      <c r="J2424" s="50" t="s">
        <v>920</v>
      </c>
      <c r="K2424" s="50" t="s">
        <v>4082</v>
      </c>
      <c r="L2424" s="49"/>
      <c r="M2424" s="49"/>
      <c r="N2424" s="49"/>
      <c r="O2424" s="49"/>
      <c r="P2424" s="49" t="str">
        <f t="shared" si="2"/>
        <v>embracing,</v>
      </c>
      <c r="Q2424" s="49"/>
      <c r="R2424" s="50" t="s">
        <v>3634</v>
      </c>
      <c r="S2424" s="55" t="s">
        <v>6737</v>
      </c>
      <c r="T2424" s="49"/>
      <c r="U2424" s="49"/>
      <c r="V2424" s="49"/>
      <c r="W2424" s="49"/>
      <c r="X2424" s="49" t="str">
        <f t="shared" si="3"/>
        <v>taps,</v>
      </c>
      <c r="Y2424" s="49"/>
      <c r="Z2424" s="1" t="s">
        <v>5728</v>
      </c>
      <c r="AA2424" s="1" t="s">
        <v>5587</v>
      </c>
      <c r="AB2424" s="49"/>
      <c r="AC2424" s="49"/>
      <c r="AD2424" s="49"/>
      <c r="AE2424" s="49"/>
      <c r="AF2424" s="49" t="str">
        <f t="shared" si="4"/>
        <v>biting,</v>
      </c>
      <c r="AG2424" s="49"/>
      <c r="AH2424" s="1" t="s">
        <v>1391</v>
      </c>
      <c r="AI2424" s="1" t="s">
        <v>5130</v>
      </c>
      <c r="AJ2424" s="6" t="str">
        <f>IFERROR(__xludf.DUMMYFUNCTION("""COMPUTED_VALUE"""),"weight")</f>
        <v>weight</v>
      </c>
      <c r="AK2424" s="49"/>
      <c r="AL2424" s="49"/>
      <c r="AM2424" s="49"/>
      <c r="AN2424" s="52" t="str">
        <f t="shared" si="5"/>
        <v>mainly,</v>
      </c>
    </row>
    <row r="2425">
      <c r="A2425" s="51"/>
      <c r="B2425" s="50" t="s">
        <v>2477</v>
      </c>
      <c r="C2425" s="50" t="s">
        <v>3617</v>
      </c>
      <c r="D2425" s="49" t="str">
        <f>IFERROR(__xludf.DUMMYFUNCTION("""COMPUTED_VALUE"""),"plus")</f>
        <v>plus</v>
      </c>
      <c r="E2425" s="49"/>
      <c r="F2425" s="49"/>
      <c r="G2425" s="49"/>
      <c r="H2425" s="54" t="str">
        <f t="shared" si="1"/>
        <v>choose,</v>
      </c>
      <c r="I2425" s="50"/>
      <c r="J2425" s="50" t="s">
        <v>1176</v>
      </c>
      <c r="K2425" s="50" t="s">
        <v>390</v>
      </c>
      <c r="L2425" s="49"/>
      <c r="M2425" s="49"/>
      <c r="N2425" s="49"/>
      <c r="O2425" s="49"/>
      <c r="P2425" s="49" t="str">
        <f t="shared" si="2"/>
        <v>olivier,</v>
      </c>
      <c r="Q2425" s="49"/>
      <c r="R2425" s="50" t="s">
        <v>705</v>
      </c>
      <c r="S2425" s="55" t="s">
        <v>3919</v>
      </c>
      <c r="T2425" s="49"/>
      <c r="U2425" s="49"/>
      <c r="V2425" s="49"/>
      <c r="W2425" s="49"/>
      <c r="X2425" s="49" t="str">
        <f t="shared" si="3"/>
        <v>thematic,</v>
      </c>
      <c r="Y2425" s="49"/>
      <c r="Z2425" s="1" t="s">
        <v>3492</v>
      </c>
      <c r="AA2425" s="1" t="s">
        <v>5589</v>
      </c>
      <c r="AB2425" s="49"/>
      <c r="AC2425" s="49"/>
      <c r="AD2425" s="49"/>
      <c r="AE2425" s="49"/>
      <c r="AF2425" s="49" t="str">
        <f t="shared" si="4"/>
        <v>cry,</v>
      </c>
      <c r="AG2425" s="49"/>
      <c r="AH2425" s="1" t="s">
        <v>5148</v>
      </c>
      <c r="AI2425" s="1" t="s">
        <v>3953</v>
      </c>
      <c r="AJ2425" s="6" t="str">
        <f>IFERROR(__xludf.DUMMYFUNCTION("""COMPUTED_VALUE"""),"scale")</f>
        <v>scale</v>
      </c>
      <c r="AK2425" s="49"/>
      <c r="AL2425" s="49"/>
      <c r="AM2425" s="49"/>
      <c r="AN2425" s="52" t="str">
        <f t="shared" si="5"/>
        <v>gas,</v>
      </c>
    </row>
    <row r="2426">
      <c r="A2426" s="51"/>
      <c r="B2426" s="50" t="s">
        <v>5383</v>
      </c>
      <c r="C2426" s="50" t="s">
        <v>5180</v>
      </c>
      <c r="D2426" s="49" t="str">
        <f>IFERROR(__xludf.DUMMYFUNCTION("""COMPUTED_VALUE"""),"chemistry")</f>
        <v>chemistry</v>
      </c>
      <c r="E2426" s="49"/>
      <c r="F2426" s="49"/>
      <c r="G2426" s="49"/>
      <c r="H2426" s="54" t="str">
        <f t="shared" si="1"/>
        <v>tense,</v>
      </c>
      <c r="I2426" s="50"/>
      <c r="J2426" s="50" t="s">
        <v>6625</v>
      </c>
      <c r="K2426" s="50" t="s">
        <v>3478</v>
      </c>
      <c r="L2426" s="49"/>
      <c r="M2426" s="49"/>
      <c r="N2426" s="49"/>
      <c r="O2426" s="49"/>
      <c r="P2426" s="49" t="str">
        <f t="shared" si="2"/>
        <v>laid,</v>
      </c>
      <c r="Q2426" s="49"/>
      <c r="R2426" s="50" t="s">
        <v>1042</v>
      </c>
      <c r="S2426" s="55" t="s">
        <v>2154</v>
      </c>
      <c r="T2426" s="49"/>
      <c r="U2426" s="49"/>
      <c r="V2426" s="49"/>
      <c r="W2426" s="49"/>
      <c r="X2426" s="49" t="str">
        <f t="shared" si="3"/>
        <v>confident,</v>
      </c>
      <c r="Y2426" s="49"/>
      <c r="Z2426" s="1">
        <v>30.0</v>
      </c>
      <c r="AA2426" s="1" t="s">
        <v>5261</v>
      </c>
      <c r="AB2426" s="49"/>
      <c r="AC2426" s="49"/>
      <c r="AD2426" s="49"/>
      <c r="AE2426" s="49"/>
      <c r="AF2426" s="49" t="str">
        <f t="shared" si="4"/>
        <v>30,</v>
      </c>
      <c r="AG2426" s="49"/>
      <c r="AH2426" s="1">
        <v>90.0</v>
      </c>
      <c r="AI2426" s="1" t="s">
        <v>5629</v>
      </c>
      <c r="AJ2426" s="6" t="str">
        <f>IFERROR(__xludf.DUMMYFUNCTION("""COMPUTED_VALUE"""),"models")</f>
        <v>models</v>
      </c>
      <c r="AK2426" s="49"/>
      <c r="AL2426" s="49"/>
      <c r="AM2426" s="49"/>
      <c r="AN2426" s="52" t="str">
        <f t="shared" si="5"/>
        <v>90,</v>
      </c>
    </row>
    <row r="2427">
      <c r="A2427" s="51"/>
      <c r="B2427" s="50" t="s">
        <v>3440</v>
      </c>
      <c r="C2427" s="50" t="s">
        <v>3620</v>
      </c>
      <c r="D2427" s="49" t="str">
        <f>IFERROR(__xludf.DUMMYFUNCTION("""COMPUTED_VALUE"""),"ralph")</f>
        <v>ralph</v>
      </c>
      <c r="E2427" s="49"/>
      <c r="F2427" s="49"/>
      <c r="G2427" s="49"/>
      <c r="H2427" s="54" t="str">
        <f t="shared" si="1"/>
        <v>mile,</v>
      </c>
      <c r="I2427" s="50"/>
      <c r="J2427" s="50" t="s">
        <v>7528</v>
      </c>
      <c r="K2427" s="50" t="s">
        <v>5121</v>
      </c>
      <c r="L2427" s="49"/>
      <c r="M2427" s="49"/>
      <c r="N2427" s="49"/>
      <c r="O2427" s="49"/>
      <c r="P2427" s="49" t="str">
        <f t="shared" si="2"/>
        <v>sami,</v>
      </c>
      <c r="Q2427" s="49"/>
      <c r="R2427" s="50" t="s">
        <v>5798</v>
      </c>
      <c r="S2427" s="55" t="s">
        <v>1106</v>
      </c>
      <c r="T2427" s="49"/>
      <c r="U2427" s="49"/>
      <c r="V2427" s="49"/>
      <c r="W2427" s="49"/>
      <c r="X2427" s="49" t="str">
        <f t="shared" si="3"/>
        <v>fusion,</v>
      </c>
      <c r="Y2427" s="49"/>
      <c r="Z2427" s="1" t="s">
        <v>2688</v>
      </c>
      <c r="AA2427" s="1" t="s">
        <v>4639</v>
      </c>
      <c r="AB2427" s="49"/>
      <c r="AC2427" s="49"/>
      <c r="AD2427" s="49"/>
      <c r="AE2427" s="49"/>
      <c r="AF2427" s="49" t="str">
        <f t="shared" si="4"/>
        <v>creativity,</v>
      </c>
      <c r="AG2427" s="49"/>
      <c r="AH2427" s="1">
        <v>89.0</v>
      </c>
      <c r="AI2427" s="1" t="s">
        <v>3398</v>
      </c>
      <c r="AJ2427" s="6" t="str">
        <f>IFERROR(__xludf.DUMMYFUNCTION("""COMPUTED_VALUE"""),"gay")</f>
        <v>gay</v>
      </c>
      <c r="AK2427" s="49"/>
      <c r="AL2427" s="49"/>
      <c r="AM2427" s="49"/>
      <c r="AN2427" s="52" t="str">
        <f t="shared" si="5"/>
        <v>89,</v>
      </c>
    </row>
    <row r="2428">
      <c r="A2428" s="51"/>
      <c r="B2428" s="50" t="s">
        <v>4521</v>
      </c>
      <c r="C2428" s="50" t="s">
        <v>6674</v>
      </c>
      <c r="D2428" s="49" t="str">
        <f>IFERROR(__xludf.DUMMYFUNCTION("""COMPUTED_VALUE"""),"dawn")</f>
        <v>dawn</v>
      </c>
      <c r="E2428" s="49"/>
      <c r="F2428" s="49"/>
      <c r="G2428" s="49"/>
      <c r="H2428" s="54" t="str">
        <f t="shared" si="1"/>
        <v>philosophy,</v>
      </c>
      <c r="I2428" s="50"/>
      <c r="J2428" s="50" t="s">
        <v>3581</v>
      </c>
      <c r="K2428" s="50" t="s">
        <v>1183</v>
      </c>
      <c r="L2428" s="49"/>
      <c r="M2428" s="49"/>
      <c r="N2428" s="49"/>
      <c r="O2428" s="49"/>
      <c r="P2428" s="49" t="str">
        <f t="shared" si="2"/>
        <v>lobby,</v>
      </c>
      <c r="Q2428" s="49"/>
      <c r="R2428" s="50" t="s">
        <v>3906</v>
      </c>
      <c r="S2428" s="55" t="s">
        <v>2161</v>
      </c>
      <c r="T2428" s="49"/>
      <c r="U2428" s="49"/>
      <c r="V2428" s="49"/>
      <c r="W2428" s="49"/>
      <c r="X2428" s="49" t="str">
        <f t="shared" si="3"/>
        <v>traditions,</v>
      </c>
      <c r="Y2428" s="49"/>
      <c r="Z2428" s="1" t="s">
        <v>7488</v>
      </c>
      <c r="AA2428" s="1" t="s">
        <v>1702</v>
      </c>
      <c r="AB2428" s="49"/>
      <c r="AC2428" s="49"/>
      <c r="AD2428" s="49"/>
      <c r="AE2428" s="49"/>
      <c r="AF2428" s="49" t="str">
        <f t="shared" si="4"/>
        <v>co,</v>
      </c>
      <c r="AG2428" s="49"/>
      <c r="AH2428" s="1" t="s">
        <v>5234</v>
      </c>
      <c r="AI2428" s="1" t="s">
        <v>5154</v>
      </c>
      <c r="AJ2428" s="6" t="str">
        <f>IFERROR(__xludf.DUMMYFUNCTION("""COMPUTED_VALUE"""),"san")</f>
        <v>san</v>
      </c>
      <c r="AK2428" s="49"/>
      <c r="AL2428" s="49"/>
      <c r="AM2428" s="49"/>
      <c r="AN2428" s="52" t="str">
        <f t="shared" si="5"/>
        <v>grows,</v>
      </c>
    </row>
    <row r="2429">
      <c r="A2429" s="51"/>
      <c r="B2429" s="50" t="s">
        <v>3738</v>
      </c>
      <c r="C2429" s="50" t="s">
        <v>3302</v>
      </c>
      <c r="D2429" s="49" t="str">
        <f>IFERROR(__xludf.DUMMYFUNCTION("""COMPUTED_VALUE"""),"gibson")</f>
        <v>gibson</v>
      </c>
      <c r="E2429" s="49"/>
      <c r="F2429" s="49"/>
      <c r="G2429" s="49"/>
      <c r="H2429" s="54" t="str">
        <f t="shared" si="1"/>
        <v>variation,</v>
      </c>
      <c r="I2429" s="50"/>
      <c r="J2429" s="50" t="s">
        <v>4442</v>
      </c>
      <c r="K2429" s="50" t="s">
        <v>4087</v>
      </c>
      <c r="L2429" s="49"/>
      <c r="M2429" s="49"/>
      <c r="N2429" s="49"/>
      <c r="O2429" s="49"/>
      <c r="P2429" s="49" t="str">
        <f t="shared" si="2"/>
        <v>rouge,</v>
      </c>
      <c r="Q2429" s="49"/>
      <c r="R2429" s="50" t="s">
        <v>665</v>
      </c>
      <c r="S2429" s="55" t="s">
        <v>2157</v>
      </c>
      <c r="T2429" s="49"/>
      <c r="U2429" s="49"/>
      <c r="V2429" s="49"/>
      <c r="W2429" s="49"/>
      <c r="X2429" s="49" t="str">
        <f t="shared" si="3"/>
        <v>daring,</v>
      </c>
      <c r="Y2429" s="49"/>
      <c r="Z2429" s="1" t="s">
        <v>2593</v>
      </c>
      <c r="AA2429" s="1" t="s">
        <v>5591</v>
      </c>
      <c r="AB2429" s="49"/>
      <c r="AC2429" s="49"/>
      <c r="AD2429" s="49"/>
      <c r="AE2429" s="49"/>
      <c r="AF2429" s="49" t="str">
        <f t="shared" si="4"/>
        <v>celebrated,</v>
      </c>
      <c r="AG2429" s="49"/>
      <c r="AH2429" s="1" t="s">
        <v>6388</v>
      </c>
      <c r="AI2429" s="1" t="s">
        <v>6739</v>
      </c>
      <c r="AJ2429" s="6" t="str">
        <f>IFERROR(__xludf.DUMMYFUNCTION("""COMPUTED_VALUE"""),"francisco")</f>
        <v>francisco</v>
      </c>
      <c r="AK2429" s="49"/>
      <c r="AL2429" s="49"/>
      <c r="AM2429" s="49"/>
      <c r="AN2429" s="52" t="str">
        <f t="shared" si="5"/>
        <v>valley,</v>
      </c>
    </row>
    <row r="2430">
      <c r="A2430" s="51"/>
      <c r="B2430" s="50" t="s">
        <v>4300</v>
      </c>
      <c r="C2430" s="50" t="s">
        <v>6676</v>
      </c>
      <c r="D2430" s="49" t="str">
        <f>IFERROR(__xludf.DUMMYFUNCTION("""COMPUTED_VALUE"""),"meaning")</f>
        <v>meaning</v>
      </c>
      <c r="E2430" s="49"/>
      <c r="F2430" s="49"/>
      <c r="G2430" s="49"/>
      <c r="H2430" s="54" t="str">
        <f t="shared" si="1"/>
        <v>terminal,</v>
      </c>
      <c r="I2430" s="50"/>
      <c r="J2430" s="50" t="s">
        <v>4602</v>
      </c>
      <c r="K2430" s="50" t="s">
        <v>2677</v>
      </c>
      <c r="L2430" s="49"/>
      <c r="M2430" s="49"/>
      <c r="N2430" s="49"/>
      <c r="O2430" s="49"/>
      <c r="P2430" s="49" t="str">
        <f t="shared" si="2"/>
        <v>immature,</v>
      </c>
      <c r="Q2430" s="49"/>
      <c r="R2430" s="50" t="s">
        <v>4708</v>
      </c>
      <c r="S2430" s="55" t="s">
        <v>3398</v>
      </c>
      <c r="T2430" s="49"/>
      <c r="U2430" s="49"/>
      <c r="V2430" s="49"/>
      <c r="W2430" s="49"/>
      <c r="X2430" s="49" t="str">
        <f t="shared" si="3"/>
        <v>goals,</v>
      </c>
      <c r="Y2430" s="49"/>
      <c r="Z2430" s="1" t="s">
        <v>2592</v>
      </c>
      <c r="AA2430" s="1" t="s">
        <v>2841</v>
      </c>
      <c r="AB2430" s="49"/>
      <c r="AC2430" s="49"/>
      <c r="AD2430" s="49"/>
      <c r="AE2430" s="49"/>
      <c r="AF2430" s="49" t="str">
        <f t="shared" si="4"/>
        <v>justice,</v>
      </c>
      <c r="AG2430" s="49"/>
      <c r="AH2430" s="1" t="s">
        <v>782</v>
      </c>
      <c r="AI2430" s="1" t="s">
        <v>3641</v>
      </c>
      <c r="AJ2430" s="6" t="str">
        <f>IFERROR(__xludf.DUMMYFUNCTION("""COMPUTED_VALUE"""),"oliver")</f>
        <v>oliver</v>
      </c>
      <c r="AK2430" s="49"/>
      <c r="AL2430" s="49"/>
      <c r="AM2430" s="49"/>
      <c r="AN2430" s="52" t="str">
        <f t="shared" si="5"/>
        <v>joy,</v>
      </c>
    </row>
    <row r="2431">
      <c r="A2431" s="51"/>
      <c r="B2431" s="50" t="s">
        <v>3589</v>
      </c>
      <c r="C2431" s="50" t="s">
        <v>3199</v>
      </c>
      <c r="D2431" s="49" t="str">
        <f>IFERROR(__xludf.DUMMYFUNCTION("""COMPUTED_VALUE"""),"control")</f>
        <v>control</v>
      </c>
      <c r="E2431" s="49"/>
      <c r="F2431" s="49"/>
      <c r="G2431" s="49"/>
      <c r="H2431" s="54" t="str">
        <f t="shared" si="1"/>
        <v>illness,</v>
      </c>
      <c r="I2431" s="50"/>
      <c r="J2431" s="50" t="s">
        <v>1352</v>
      </c>
      <c r="K2431" s="50" t="s">
        <v>2261</v>
      </c>
      <c r="L2431" s="49"/>
      <c r="M2431" s="49"/>
      <c r="N2431" s="49"/>
      <c r="O2431" s="49"/>
      <c r="P2431" s="49" t="str">
        <f t="shared" si="2"/>
        <v>pity,</v>
      </c>
      <c r="Q2431" s="49"/>
      <c r="R2431" s="50" t="s">
        <v>5039</v>
      </c>
      <c r="S2431" s="55" t="s">
        <v>1113</v>
      </c>
      <c r="T2431" s="49"/>
      <c r="U2431" s="49"/>
      <c r="V2431" s="49"/>
      <c r="W2431" s="49"/>
      <c r="X2431" s="49" t="str">
        <f t="shared" si="3"/>
        <v>precision,</v>
      </c>
      <c r="Y2431" s="49"/>
      <c r="Z2431" s="1" t="s">
        <v>671</v>
      </c>
      <c r="AA2431" s="1" t="s">
        <v>4643</v>
      </c>
      <c r="AB2431" s="49"/>
      <c r="AC2431" s="49"/>
      <c r="AD2431" s="49"/>
      <c r="AE2431" s="49"/>
      <c r="AF2431" s="49" t="str">
        <f t="shared" si="4"/>
        <v>shadowy,</v>
      </c>
      <c r="AG2431" s="49"/>
      <c r="AH2431" s="1" t="s">
        <v>6954</v>
      </c>
      <c r="AI2431" s="1" t="s">
        <v>4998</v>
      </c>
      <c r="AJ2431" s="6" t="str">
        <f>IFERROR(__xludf.DUMMYFUNCTION("""COMPUTED_VALUE"""),"June")</f>
        <v>June</v>
      </c>
      <c r="AK2431" s="49"/>
      <c r="AL2431" s="49"/>
      <c r="AM2431" s="49"/>
      <c r="AN2431" s="52" t="str">
        <f t="shared" si="5"/>
        <v>meet,</v>
      </c>
    </row>
    <row r="2432">
      <c r="A2432" s="51"/>
      <c r="B2432" s="50" t="s">
        <v>6456</v>
      </c>
      <c r="C2432" s="50" t="s">
        <v>5254</v>
      </c>
      <c r="D2432" s="49" t="str">
        <f>IFERROR(__xludf.DUMMYFUNCTION("""COMPUTED_VALUE"""),"patch")</f>
        <v>patch</v>
      </c>
      <c r="E2432" s="49"/>
      <c r="F2432" s="49"/>
      <c r="G2432" s="49"/>
      <c r="H2432" s="54" t="str">
        <f t="shared" si="1"/>
        <v>reserved,</v>
      </c>
      <c r="I2432" s="50"/>
      <c r="J2432" s="50" t="s">
        <v>1064</v>
      </c>
      <c r="K2432" s="50" t="s">
        <v>5030</v>
      </c>
      <c r="L2432" s="49"/>
      <c r="M2432" s="49"/>
      <c r="N2432" s="49"/>
      <c r="O2432" s="49"/>
      <c r="P2432" s="49" t="str">
        <f t="shared" si="2"/>
        <v>speculation,</v>
      </c>
      <c r="Q2432" s="49"/>
      <c r="R2432" s="50" t="s">
        <v>7594</v>
      </c>
      <c r="S2432" s="55" t="s">
        <v>2169</v>
      </c>
      <c r="T2432" s="49"/>
      <c r="U2432" s="49"/>
      <c r="V2432" s="49"/>
      <c r="W2432" s="49"/>
      <c r="X2432" s="49" t="str">
        <f t="shared" si="3"/>
        <v>accessibility,</v>
      </c>
      <c r="Y2432" s="49"/>
      <c r="Z2432" s="1" t="s">
        <v>236</v>
      </c>
      <c r="AA2432" s="1" t="s">
        <v>1743</v>
      </c>
      <c r="AB2432" s="49"/>
      <c r="AC2432" s="49"/>
      <c r="AD2432" s="49"/>
      <c r="AE2432" s="49"/>
      <c r="AF2432" s="49" t="str">
        <f t="shared" si="4"/>
        <v>treatment,</v>
      </c>
      <c r="AG2432" s="49"/>
      <c r="AH2432" s="1" t="s">
        <v>7595</v>
      </c>
      <c r="AI2432" s="9">
        <v>3.0</v>
      </c>
      <c r="AJ2432" s="6" t="str">
        <f>IFERROR(__xludf.DUMMYFUNCTION("""COMPUTED_VALUE"""),"card")</f>
        <v>card</v>
      </c>
      <c r="AK2432" s="49"/>
      <c r="AL2432" s="49"/>
      <c r="AM2432" s="49"/>
      <c r="AN2432" s="52" t="str">
        <f t="shared" si="5"/>
        <v>broke,</v>
      </c>
    </row>
    <row r="2433">
      <c r="A2433" s="51"/>
      <c r="B2433" s="50" t="s">
        <v>6057</v>
      </c>
      <c r="C2433" s="50" t="s">
        <v>1250</v>
      </c>
      <c r="D2433" s="49" t="str">
        <f>IFERROR(__xludf.DUMMYFUNCTION("""COMPUTED_VALUE"""),"bruce")</f>
        <v>bruce</v>
      </c>
      <c r="E2433" s="49"/>
      <c r="F2433" s="49"/>
      <c r="G2433" s="49"/>
      <c r="H2433" s="54" t="str">
        <f t="shared" si="1"/>
        <v>woods,</v>
      </c>
      <c r="I2433" s="50"/>
      <c r="J2433" s="50" t="s">
        <v>5659</v>
      </c>
      <c r="K2433" s="50" t="s">
        <v>5123</v>
      </c>
      <c r="L2433" s="49"/>
      <c r="M2433" s="49"/>
      <c r="N2433" s="49"/>
      <c r="O2433" s="49"/>
      <c r="P2433" s="49" t="str">
        <f t="shared" si="2"/>
        <v>prose,</v>
      </c>
      <c r="Q2433" s="49"/>
      <c r="R2433" s="50" t="s">
        <v>7596</v>
      </c>
      <c r="S2433" s="55" t="s">
        <v>5154</v>
      </c>
      <c r="T2433" s="49"/>
      <c r="U2433" s="49"/>
      <c r="V2433" s="49"/>
      <c r="W2433" s="49"/>
      <c r="X2433" s="49" t="str">
        <f t="shared" si="3"/>
        <v>owed,</v>
      </c>
      <c r="Y2433" s="49"/>
      <c r="Z2433" s="1" t="s">
        <v>1280</v>
      </c>
      <c r="AA2433" s="1" t="s">
        <v>5515</v>
      </c>
      <c r="AB2433" s="49"/>
      <c r="AC2433" s="49"/>
      <c r="AD2433" s="49"/>
      <c r="AE2433" s="49"/>
      <c r="AF2433" s="49" t="str">
        <f t="shared" si="4"/>
        <v>terrific,</v>
      </c>
      <c r="AG2433" s="49"/>
      <c r="AH2433" s="1" t="s">
        <v>3363</v>
      </c>
      <c r="AI2433" s="1" t="s">
        <v>5474</v>
      </c>
      <c r="AJ2433" s="6" t="str">
        <f>IFERROR(__xludf.DUMMYFUNCTION("""COMPUTED_VALUE"""),"subjects")</f>
        <v>subjects</v>
      </c>
      <c r="AK2433" s="49"/>
      <c r="AL2433" s="49"/>
      <c r="AM2433" s="49"/>
      <c r="AN2433" s="52" t="str">
        <f t="shared" si="5"/>
        <v>ear,</v>
      </c>
    </row>
    <row r="2434">
      <c r="A2434" s="51"/>
      <c r="B2434" s="50" t="s">
        <v>3436</v>
      </c>
      <c r="C2434" s="50" t="s">
        <v>3621</v>
      </c>
      <c r="D2434" s="49" t="str">
        <f>IFERROR(__xludf.DUMMYFUNCTION("""COMPUTED_VALUE"""),"win")</f>
        <v>win</v>
      </c>
      <c r="E2434" s="49"/>
      <c r="F2434" s="49"/>
      <c r="G2434" s="49"/>
      <c r="H2434" s="54" t="str">
        <f t="shared" si="1"/>
        <v>guest,</v>
      </c>
      <c r="I2434" s="50"/>
      <c r="J2434" s="50" t="s">
        <v>4537</v>
      </c>
      <c r="K2434" s="50" t="s">
        <v>1191</v>
      </c>
      <c r="L2434" s="49"/>
      <c r="M2434" s="49"/>
      <c r="N2434" s="49"/>
      <c r="O2434" s="49"/>
      <c r="P2434" s="49" t="str">
        <f t="shared" si="2"/>
        <v>backstage,</v>
      </c>
      <c r="Q2434" s="49"/>
      <c r="R2434" s="50" t="s">
        <v>5775</v>
      </c>
      <c r="S2434" s="55" t="s">
        <v>4715</v>
      </c>
      <c r="T2434" s="49"/>
      <c r="U2434" s="49"/>
      <c r="V2434" s="49"/>
      <c r="W2434" s="49"/>
      <c r="X2434" s="49" t="str">
        <f t="shared" si="3"/>
        <v>forgiven,</v>
      </c>
      <c r="Y2434" s="49"/>
      <c r="Z2434" s="1" t="s">
        <v>677</v>
      </c>
      <c r="AA2434" s="1" t="s">
        <v>2848</v>
      </c>
      <c r="AB2434" s="49"/>
      <c r="AC2434" s="49"/>
      <c r="AD2434" s="49"/>
      <c r="AE2434" s="49"/>
      <c r="AF2434" s="49" t="str">
        <f t="shared" si="4"/>
        <v>showcase,</v>
      </c>
      <c r="AG2434" s="49"/>
      <c r="AH2434" s="1" t="s">
        <v>909</v>
      </c>
      <c r="AI2434" s="1" t="s">
        <v>5000</v>
      </c>
      <c r="AJ2434" s="6" t="str">
        <f>IFERROR(__xludf.DUMMYFUNCTION("""COMPUTED_VALUE"""),"nation")</f>
        <v>nation</v>
      </c>
      <c r="AK2434" s="49"/>
      <c r="AL2434" s="49"/>
      <c r="AM2434" s="49"/>
      <c r="AN2434" s="52" t="str">
        <f t="shared" si="5"/>
        <v>grab,</v>
      </c>
    </row>
    <row r="2435">
      <c r="A2435" s="51"/>
      <c r="B2435" s="50" t="s">
        <v>3430</v>
      </c>
      <c r="C2435" s="50" t="s">
        <v>4717</v>
      </c>
      <c r="D2435" s="49" t="str">
        <f>IFERROR(__xludf.DUMMYFUNCTION("""COMPUTED_VALUE"""),"wrestling")</f>
        <v>wrestling</v>
      </c>
      <c r="E2435" s="49"/>
      <c r="F2435" s="49"/>
      <c r="G2435" s="49"/>
      <c r="H2435" s="54" t="str">
        <f t="shared" si="1"/>
        <v>sharp,</v>
      </c>
      <c r="I2435" s="50"/>
      <c r="J2435" s="50" t="s">
        <v>5494</v>
      </c>
      <c r="K2435" s="50" t="s">
        <v>4092</v>
      </c>
      <c r="L2435" s="49"/>
      <c r="M2435" s="49"/>
      <c r="N2435" s="49"/>
      <c r="O2435" s="49"/>
      <c r="P2435" s="49" t="str">
        <f t="shared" si="2"/>
        <v>belgium,</v>
      </c>
      <c r="Q2435" s="49"/>
      <c r="R2435" s="50" t="s">
        <v>7597</v>
      </c>
      <c r="S2435" s="55" t="s">
        <v>3935</v>
      </c>
      <c r="T2435" s="49"/>
      <c r="U2435" s="49"/>
      <c r="V2435" s="49"/>
      <c r="W2435" s="49"/>
      <c r="X2435" s="49" t="str">
        <f t="shared" si="3"/>
        <v>faux,</v>
      </c>
      <c r="Y2435" s="49"/>
      <c r="Z2435" s="1" t="s">
        <v>3396</v>
      </c>
      <c r="AA2435" s="1" t="s">
        <v>329</v>
      </c>
      <c r="AB2435" s="49"/>
      <c r="AC2435" s="49"/>
      <c r="AD2435" s="49"/>
      <c r="AE2435" s="49"/>
      <c r="AF2435" s="49" t="str">
        <f t="shared" si="4"/>
        <v>strictly,</v>
      </c>
      <c r="AG2435" s="49"/>
      <c r="AH2435" s="1" t="s">
        <v>6778</v>
      </c>
      <c r="AI2435" s="1" t="s">
        <v>6740</v>
      </c>
      <c r="AJ2435" s="6" t="str">
        <f>IFERROR(__xludf.DUMMYFUNCTION("""COMPUTED_VALUE"""),"national")</f>
        <v>national</v>
      </c>
      <c r="AK2435" s="49"/>
      <c r="AL2435" s="49"/>
      <c r="AM2435" s="49"/>
      <c r="AN2435" s="52" t="str">
        <f t="shared" si="5"/>
        <v>refused,</v>
      </c>
    </row>
    <row r="2436">
      <c r="A2436" s="51"/>
      <c r="B2436" s="50" t="s">
        <v>3438</v>
      </c>
      <c r="C2436" s="50" t="s">
        <v>4714</v>
      </c>
      <c r="D2436" s="49" t="str">
        <f>IFERROR(__xludf.DUMMYFUNCTION("""COMPUTED_VALUE"""),"fields")</f>
        <v>fields</v>
      </c>
      <c r="E2436" s="49"/>
      <c r="F2436" s="49"/>
      <c r="G2436" s="49"/>
      <c r="H2436" s="54" t="str">
        <f t="shared" si="1"/>
        <v>credit,</v>
      </c>
      <c r="I2436" s="50"/>
      <c r="J2436" s="50" t="s">
        <v>217</v>
      </c>
      <c r="K2436" s="50" t="s">
        <v>4096</v>
      </c>
      <c r="L2436" s="49"/>
      <c r="M2436" s="49"/>
      <c r="N2436" s="49"/>
      <c r="O2436" s="49"/>
      <c r="P2436" s="49" t="str">
        <f t="shared" si="2"/>
        <v>revealing,</v>
      </c>
      <c r="Q2436" s="49"/>
      <c r="R2436" s="50" t="s">
        <v>3602</v>
      </c>
      <c r="S2436" s="55" t="s">
        <v>3938</v>
      </c>
      <c r="T2436" s="49"/>
      <c r="U2436" s="49"/>
      <c r="V2436" s="49"/>
      <c r="W2436" s="49"/>
      <c r="X2436" s="49" t="str">
        <f t="shared" si="3"/>
        <v>wholly,</v>
      </c>
      <c r="Y2436" s="49"/>
      <c r="Z2436" s="1" t="s">
        <v>389</v>
      </c>
      <c r="AA2436" s="1" t="s">
        <v>5594</v>
      </c>
      <c r="AB2436" s="49"/>
      <c r="AC2436" s="49"/>
      <c r="AD2436" s="49"/>
      <c r="AE2436" s="49"/>
      <c r="AF2436" s="49" t="str">
        <f t="shared" si="4"/>
        <v>thrill,</v>
      </c>
      <c r="AG2436" s="49"/>
      <c r="AH2436" s="1" t="s">
        <v>3797</v>
      </c>
      <c r="AI2436" s="1" t="s">
        <v>6741</v>
      </c>
      <c r="AJ2436" s="6" t="str">
        <f>IFERROR(__xludf.DUMMYFUNCTION("""COMPUTED_VALUE"""),"helped")</f>
        <v>helped</v>
      </c>
      <c r="AK2436" s="49"/>
      <c r="AL2436" s="49"/>
      <c r="AM2436" s="49"/>
      <c r="AN2436" s="52" t="str">
        <f t="shared" si="5"/>
        <v>california,</v>
      </c>
    </row>
    <row r="2437">
      <c r="A2437" s="51"/>
      <c r="B2437" s="50" t="s">
        <v>6627</v>
      </c>
      <c r="C2437" s="50" t="s">
        <v>6678</v>
      </c>
      <c r="D2437" s="49" t="str">
        <f>IFERROR(__xludf.DUMMYFUNCTION("""COMPUTED_VALUE"""),"edward")</f>
        <v>edward</v>
      </c>
      <c r="E2437" s="49"/>
      <c r="F2437" s="49"/>
      <c r="G2437" s="49"/>
      <c r="H2437" s="54" t="str">
        <f t="shared" si="1"/>
        <v>mike,</v>
      </c>
      <c r="I2437" s="50"/>
      <c r="J2437" s="50" t="s">
        <v>2433</v>
      </c>
      <c r="K2437" s="50" t="s">
        <v>4097</v>
      </c>
      <c r="L2437" s="49"/>
      <c r="M2437" s="49"/>
      <c r="N2437" s="49"/>
      <c r="O2437" s="49"/>
      <c r="P2437" s="49" t="str">
        <f t="shared" si="2"/>
        <v>portuguese,</v>
      </c>
      <c r="Q2437" s="49"/>
      <c r="R2437" s="50" t="s">
        <v>5980</v>
      </c>
      <c r="S2437" s="55" t="s">
        <v>3942</v>
      </c>
      <c r="T2437" s="49"/>
      <c r="U2437" s="49"/>
      <c r="V2437" s="49"/>
      <c r="W2437" s="49"/>
      <c r="X2437" s="49" t="str">
        <f t="shared" si="3"/>
        <v>projection,</v>
      </c>
      <c r="Y2437" s="49"/>
      <c r="Z2437" s="1" t="s">
        <v>7490</v>
      </c>
      <c r="AA2437" s="1" t="s">
        <v>1504</v>
      </c>
      <c r="AB2437" s="49"/>
      <c r="AC2437" s="49"/>
      <c r="AD2437" s="49"/>
      <c r="AE2437" s="49"/>
      <c r="AF2437" s="49" t="str">
        <f t="shared" si="4"/>
        <v>altogether,</v>
      </c>
      <c r="AG2437" s="49"/>
      <c r="AH2437" s="1" t="s">
        <v>4132</v>
      </c>
      <c r="AI2437" s="1" t="s">
        <v>5558</v>
      </c>
      <c r="AJ2437" s="6" t="str">
        <f>IFERROR(__xludf.DUMMYFUNCTION("""COMPUTED_VALUE"""),"wind")</f>
        <v>wind</v>
      </c>
      <c r="AK2437" s="49"/>
      <c r="AL2437" s="49"/>
      <c r="AM2437" s="49"/>
      <c r="AN2437" s="52" t="str">
        <f t="shared" si="5"/>
        <v>travel,</v>
      </c>
    </row>
    <row r="2438">
      <c r="A2438" s="51"/>
      <c r="B2438" s="50" t="s">
        <v>4930</v>
      </c>
      <c r="C2438" s="50" t="s">
        <v>1001</v>
      </c>
      <c r="D2438" s="49" t="str">
        <f>IFERROR(__xludf.DUMMYFUNCTION("""COMPUTED_VALUE"""),"numbers")</f>
        <v>numbers</v>
      </c>
      <c r="E2438" s="49"/>
      <c r="F2438" s="49"/>
      <c r="G2438" s="49"/>
      <c r="H2438" s="54" t="str">
        <f t="shared" si="1"/>
        <v>austin,</v>
      </c>
      <c r="I2438" s="50"/>
      <c r="J2438" s="50" t="s">
        <v>2298</v>
      </c>
      <c r="K2438" s="50" t="s">
        <v>5597</v>
      </c>
      <c r="L2438" s="49"/>
      <c r="M2438" s="49"/>
      <c r="N2438" s="49"/>
      <c r="O2438" s="49"/>
      <c r="P2438" s="49" t="str">
        <f t="shared" si="2"/>
        <v>haute,</v>
      </c>
      <c r="Q2438" s="49"/>
      <c r="R2438" s="50" t="s">
        <v>4100</v>
      </c>
      <c r="S2438" s="55" t="s">
        <v>6742</v>
      </c>
      <c r="T2438" s="49"/>
      <c r="U2438" s="49"/>
      <c r="V2438" s="49"/>
      <c r="W2438" s="49"/>
      <c r="X2438" s="49" t="str">
        <f t="shared" si="3"/>
        <v>strategic,</v>
      </c>
      <c r="Y2438" s="49"/>
      <c r="Z2438" s="1" t="s">
        <v>203</v>
      </c>
      <c r="AA2438" s="1" t="s">
        <v>4650</v>
      </c>
      <c r="AB2438" s="49"/>
      <c r="AC2438" s="49"/>
      <c r="AD2438" s="49"/>
      <c r="AE2438" s="49"/>
      <c r="AF2438" s="49" t="str">
        <f t="shared" si="4"/>
        <v>triumph,</v>
      </c>
      <c r="AG2438" s="49"/>
      <c r="AH2438" s="1" t="s">
        <v>7059</v>
      </c>
      <c r="AI2438" s="1" t="s">
        <v>6743</v>
      </c>
      <c r="AJ2438" s="6" t="str">
        <f>IFERROR(__xludf.DUMMYFUNCTION("""COMPUTED_VALUE"""),"split")</f>
        <v>split</v>
      </c>
      <c r="AK2438" s="49"/>
      <c r="AL2438" s="49"/>
      <c r="AM2438" s="49"/>
      <c r="AN2438" s="52" t="str">
        <f t="shared" si="5"/>
        <v>routes,</v>
      </c>
    </row>
    <row r="2439">
      <c r="A2439" s="51"/>
      <c r="B2439" s="50" t="s">
        <v>6568</v>
      </c>
      <c r="C2439" s="50" t="s">
        <v>6472</v>
      </c>
      <c r="D2439" s="49" t="str">
        <f>IFERROR(__xludf.DUMMYFUNCTION("""COMPUTED_VALUE"""),"nation")</f>
        <v>nation</v>
      </c>
      <c r="E2439" s="49"/>
      <c r="F2439" s="49"/>
      <c r="G2439" s="49"/>
      <c r="H2439" s="54" t="str">
        <f t="shared" si="1"/>
        <v>model,</v>
      </c>
      <c r="I2439" s="50"/>
      <c r="J2439" s="50" t="s">
        <v>7532</v>
      </c>
      <c r="K2439" s="50" t="s">
        <v>5055</v>
      </c>
      <c r="L2439" s="49"/>
      <c r="M2439" s="49"/>
      <c r="N2439" s="49"/>
      <c r="O2439" s="49"/>
      <c r="P2439" s="49" t="str">
        <f t="shared" si="2"/>
        <v>yong,</v>
      </c>
      <c r="Q2439" s="49"/>
      <c r="R2439" s="50" t="s">
        <v>2283</v>
      </c>
      <c r="S2439" s="55" t="s">
        <v>1122</v>
      </c>
      <c r="T2439" s="49"/>
      <c r="U2439" s="49"/>
      <c r="V2439" s="49"/>
      <c r="W2439" s="49"/>
      <c r="X2439" s="49" t="str">
        <f t="shared" si="3"/>
        <v>dangerously,</v>
      </c>
      <c r="Y2439" s="49"/>
      <c r="Z2439" s="1" t="s">
        <v>6187</v>
      </c>
      <c r="AA2439" s="1" t="s">
        <v>2850</v>
      </c>
      <c r="AB2439" s="49"/>
      <c r="AC2439" s="49"/>
      <c r="AD2439" s="49"/>
      <c r="AE2439" s="49"/>
      <c r="AF2439" s="49" t="str">
        <f t="shared" si="4"/>
        <v>rough,</v>
      </c>
      <c r="AG2439" s="49"/>
      <c r="AH2439" s="1" t="s">
        <v>3546</v>
      </c>
      <c r="AI2439" s="1" t="s">
        <v>3950</v>
      </c>
      <c r="AJ2439" s="6" t="str">
        <f>IFERROR(__xludf.DUMMYFUNCTION("""COMPUTED_VALUE"""),"ill")</f>
        <v>ill</v>
      </c>
      <c r="AK2439" s="49"/>
      <c r="AL2439" s="49"/>
      <c r="AM2439" s="49"/>
      <c r="AN2439" s="52" t="str">
        <f t="shared" si="5"/>
        <v>provides,</v>
      </c>
    </row>
    <row r="2440">
      <c r="A2440" s="51"/>
      <c r="B2440" s="50" t="s">
        <v>5871</v>
      </c>
      <c r="C2440" s="50" t="s">
        <v>5657</v>
      </c>
      <c r="D2440" s="49" t="str">
        <f>IFERROR(__xludf.DUMMYFUNCTION("""COMPUTED_VALUE"""),"scream")</f>
        <v>scream</v>
      </c>
      <c r="E2440" s="49"/>
      <c r="F2440" s="49"/>
      <c r="G2440" s="49"/>
      <c r="H2440" s="54" t="str">
        <f t="shared" si="1"/>
        <v>paris,</v>
      </c>
      <c r="I2440" s="50"/>
      <c r="J2440" s="50" t="s">
        <v>3452</v>
      </c>
      <c r="K2440" s="50" t="s">
        <v>4100</v>
      </c>
      <c r="L2440" s="49"/>
      <c r="M2440" s="49"/>
      <c r="N2440" s="49"/>
      <c r="O2440" s="49"/>
      <c r="P2440" s="49" t="str">
        <f t="shared" si="2"/>
        <v>embedded,</v>
      </c>
      <c r="Q2440" s="49"/>
      <c r="R2440" s="50" t="s">
        <v>6028</v>
      </c>
      <c r="S2440" s="55" t="s">
        <v>3946</v>
      </c>
      <c r="T2440" s="49"/>
      <c r="U2440" s="49"/>
      <c r="V2440" s="49"/>
      <c r="W2440" s="49"/>
      <c r="X2440" s="49" t="str">
        <f t="shared" si="3"/>
        <v>laden,</v>
      </c>
      <c r="Y2440" s="49"/>
      <c r="Z2440" s="1" t="s">
        <v>6411</v>
      </c>
      <c r="AA2440" s="1" t="s">
        <v>5598</v>
      </c>
      <c r="AB2440" s="49"/>
      <c r="AC2440" s="49"/>
      <c r="AD2440" s="49"/>
      <c r="AE2440" s="49"/>
      <c r="AF2440" s="49" t="str">
        <f t="shared" si="4"/>
        <v>freshly,</v>
      </c>
      <c r="AG2440" s="49"/>
      <c r="AH2440" s="1" t="s">
        <v>1606</v>
      </c>
      <c r="AI2440" s="1" t="s">
        <v>2523</v>
      </c>
      <c r="AJ2440" s="6" t="str">
        <f>IFERROR(__xludf.DUMMYFUNCTION("""COMPUTED_VALUE"""),"offensive")</f>
        <v>offensive</v>
      </c>
      <c r="AK2440" s="49"/>
      <c r="AL2440" s="49"/>
      <c r="AM2440" s="49"/>
      <c r="AN2440" s="52" t="str">
        <f t="shared" si="5"/>
        <v>relief,</v>
      </c>
    </row>
    <row r="2441">
      <c r="A2441" s="51"/>
      <c r="B2441" s="50" t="s">
        <v>3895</v>
      </c>
      <c r="C2441" s="50" t="s">
        <v>6668</v>
      </c>
      <c r="D2441" s="49" t="str">
        <f>IFERROR(__xludf.DUMMYFUNCTION("""COMPUTED_VALUE"""),"recognized")</f>
        <v>recognized</v>
      </c>
      <c r="E2441" s="49"/>
      <c r="F2441" s="49"/>
      <c r="G2441" s="49"/>
      <c r="H2441" s="54" t="str">
        <f t="shared" si="1"/>
        <v>crisis,</v>
      </c>
      <c r="I2441" s="50"/>
      <c r="J2441" s="50" t="s">
        <v>5708</v>
      </c>
      <c r="K2441" s="50" t="s">
        <v>4101</v>
      </c>
      <c r="L2441" s="49"/>
      <c r="M2441" s="49"/>
      <c r="N2441" s="49"/>
      <c r="O2441" s="49"/>
      <c r="P2441" s="49" t="str">
        <f t="shared" si="2"/>
        <v>yours,</v>
      </c>
      <c r="Q2441" s="49"/>
      <c r="R2441" s="50" t="s">
        <v>4123</v>
      </c>
      <c r="S2441" s="55" t="s">
        <v>5558</v>
      </c>
      <c r="T2441" s="49"/>
      <c r="U2441" s="49"/>
      <c r="V2441" s="49"/>
      <c r="W2441" s="49"/>
      <c r="X2441" s="49" t="str">
        <f t="shared" si="3"/>
        <v>tapestry,</v>
      </c>
      <c r="Y2441" s="49"/>
      <c r="Z2441" s="1" t="s">
        <v>293</v>
      </c>
      <c r="AA2441" s="1" t="s">
        <v>1849</v>
      </c>
      <c r="AB2441" s="49"/>
      <c r="AC2441" s="49"/>
      <c r="AD2441" s="49"/>
      <c r="AE2441" s="49"/>
      <c r="AF2441" s="49" t="str">
        <f t="shared" si="4"/>
        <v>considerable,</v>
      </c>
      <c r="AG2441" s="49"/>
      <c r="AH2441" s="1" t="s">
        <v>5883</v>
      </c>
      <c r="AI2441" s="1" t="s">
        <v>4184</v>
      </c>
      <c r="AJ2441" s="6" t="str">
        <f>IFERROR(__xludf.DUMMYFUNCTION("""COMPUTED_VALUE"""),"adult")</f>
        <v>adult</v>
      </c>
      <c r="AK2441" s="49"/>
      <c r="AL2441" s="49"/>
      <c r="AM2441" s="49"/>
      <c r="AN2441" s="52" t="str">
        <f t="shared" si="5"/>
        <v>begun,</v>
      </c>
    </row>
    <row r="2442">
      <c r="A2442" s="51"/>
      <c r="B2442" s="50" t="s">
        <v>3699</v>
      </c>
      <c r="C2442" s="50" t="s">
        <v>5406</v>
      </c>
      <c r="D2442" s="49" t="str">
        <f>IFERROR(__xludf.DUMMYFUNCTION("""COMPUTED_VALUE"""),"considering")</f>
        <v>considering</v>
      </c>
      <c r="E2442" s="49"/>
      <c r="F2442" s="49"/>
      <c r="G2442" s="49"/>
      <c r="H2442" s="54" t="str">
        <f t="shared" si="1"/>
        <v>nelson,</v>
      </c>
      <c r="I2442" s="50"/>
      <c r="J2442" s="50" t="s">
        <v>214</v>
      </c>
      <c r="K2442" s="50" t="s">
        <v>1194</v>
      </c>
      <c r="L2442" s="49"/>
      <c r="M2442" s="49"/>
      <c r="N2442" s="49"/>
      <c r="O2442" s="49"/>
      <c r="P2442" s="49" t="str">
        <f t="shared" si="2"/>
        <v>predecessors,</v>
      </c>
      <c r="Q2442" s="49"/>
      <c r="R2442" s="50" t="s">
        <v>2410</v>
      </c>
      <c r="S2442" s="55" t="s">
        <v>1128</v>
      </c>
      <c r="T2442" s="49"/>
      <c r="U2442" s="49"/>
      <c r="V2442" s="49"/>
      <c r="W2442" s="49"/>
      <c r="X2442" s="49" t="str">
        <f t="shared" si="3"/>
        <v>echoes,</v>
      </c>
      <c r="Y2442" s="49"/>
      <c r="Z2442" s="1" t="s">
        <v>4658</v>
      </c>
      <c r="AA2442" s="1" t="s">
        <v>2857</v>
      </c>
      <c r="AB2442" s="49"/>
      <c r="AC2442" s="49"/>
      <c r="AD2442" s="49"/>
      <c r="AE2442" s="49"/>
      <c r="AF2442" s="49" t="str">
        <f t="shared" si="4"/>
        <v>exploring,</v>
      </c>
      <c r="AG2442" s="49"/>
      <c r="AH2442" s="1" t="s">
        <v>5925</v>
      </c>
      <c r="AI2442" s="1" t="s">
        <v>6012</v>
      </c>
      <c r="AJ2442" s="6" t="str">
        <f>IFERROR(__xludf.DUMMYFUNCTION("""COMPUTED_VALUE"""),"references")</f>
        <v>references</v>
      </c>
      <c r="AK2442" s="49"/>
      <c r="AL2442" s="49"/>
      <c r="AM2442" s="49"/>
      <c r="AN2442" s="52" t="str">
        <f t="shared" si="5"/>
        <v>mid,</v>
      </c>
    </row>
    <row r="2443">
      <c r="A2443" s="51"/>
      <c r="B2443" s="50" t="s">
        <v>6076</v>
      </c>
      <c r="C2443" s="50" t="s">
        <v>1276</v>
      </c>
      <c r="D2443" s="49" t="str">
        <f>IFERROR(__xludf.DUMMYFUNCTION("""COMPUTED_VALUE"""),"punch")</f>
        <v>punch</v>
      </c>
      <c r="E2443" s="49"/>
      <c r="F2443" s="49"/>
      <c r="G2443" s="49"/>
      <c r="H2443" s="54" t="str">
        <f t="shared" si="1"/>
        <v>circles,</v>
      </c>
      <c r="I2443" s="50"/>
      <c r="J2443" s="50" t="s">
        <v>759</v>
      </c>
      <c r="K2443" s="50" t="s">
        <v>2270</v>
      </c>
      <c r="L2443" s="49"/>
      <c r="M2443" s="49"/>
      <c r="N2443" s="49"/>
      <c r="O2443" s="49"/>
      <c r="P2443" s="49" t="str">
        <f t="shared" si="2"/>
        <v>landscape,</v>
      </c>
      <c r="Q2443" s="49"/>
      <c r="R2443" s="50" t="s">
        <v>2452</v>
      </c>
      <c r="S2443" s="55" t="s">
        <v>5639</v>
      </c>
      <c r="T2443" s="49"/>
      <c r="U2443" s="49"/>
      <c r="V2443" s="49"/>
      <c r="W2443" s="49"/>
      <c r="X2443" s="49" t="str">
        <f t="shared" si="3"/>
        <v>plight,</v>
      </c>
      <c r="Y2443" s="49"/>
      <c r="Z2443" s="1" t="s">
        <v>3328</v>
      </c>
      <c r="AA2443" s="1" t="s">
        <v>2859</v>
      </c>
      <c r="AB2443" s="49"/>
      <c r="AC2443" s="49"/>
      <c r="AD2443" s="49"/>
      <c r="AE2443" s="49"/>
      <c r="AF2443" s="49" t="str">
        <f t="shared" si="4"/>
        <v>delivery,</v>
      </c>
      <c r="AG2443" s="49"/>
      <c r="AH2443" s="1" t="s">
        <v>3302</v>
      </c>
      <c r="AI2443" s="1" t="s">
        <v>3954</v>
      </c>
      <c r="AJ2443" s="6" t="str">
        <f>IFERROR(__xludf.DUMMYFUNCTION("""COMPUTED_VALUE"""),"opera")</f>
        <v>opera</v>
      </c>
      <c r="AK2443" s="49"/>
      <c r="AL2443" s="49"/>
      <c r="AM2443" s="49"/>
      <c r="AN2443" s="52" t="str">
        <f t="shared" si="5"/>
        <v>setting,</v>
      </c>
    </row>
    <row r="2444">
      <c r="A2444" s="51"/>
      <c r="B2444" s="50" t="s">
        <v>1562</v>
      </c>
      <c r="C2444" s="50" t="s">
        <v>4723</v>
      </c>
      <c r="D2444" s="49" t="str">
        <f>IFERROR(__xludf.DUMMYFUNCTION("""COMPUTED_VALUE"""),"stepped")</f>
        <v>stepped</v>
      </c>
      <c r="E2444" s="49"/>
      <c r="F2444" s="49"/>
      <c r="G2444" s="49"/>
      <c r="H2444" s="54" t="str">
        <f t="shared" si="1"/>
        <v>overcome,</v>
      </c>
      <c r="I2444" s="50"/>
      <c r="J2444" s="50" t="s">
        <v>7598</v>
      </c>
      <c r="K2444" s="50" t="s">
        <v>3659</v>
      </c>
      <c r="L2444" s="49"/>
      <c r="M2444" s="49"/>
      <c r="N2444" s="49"/>
      <c r="O2444" s="49"/>
      <c r="P2444" s="49" t="str">
        <f t="shared" si="2"/>
        <v>perfection,</v>
      </c>
      <c r="Q2444" s="49"/>
      <c r="R2444" s="50" t="s">
        <v>6841</v>
      </c>
      <c r="S2444" s="55" t="s">
        <v>2523</v>
      </c>
      <c r="T2444" s="49"/>
      <c r="U2444" s="49"/>
      <c r="V2444" s="49"/>
      <c r="W2444" s="49"/>
      <c r="X2444" s="49" t="str">
        <f t="shared" si="3"/>
        <v>policy,</v>
      </c>
      <c r="Y2444" s="49"/>
      <c r="Z2444" s="1" t="s">
        <v>6406</v>
      </c>
      <c r="AA2444" s="1" t="s">
        <v>5600</v>
      </c>
      <c r="AB2444" s="49"/>
      <c r="AC2444" s="49"/>
      <c r="AD2444" s="49"/>
      <c r="AE2444" s="49"/>
      <c r="AF2444" s="49" t="str">
        <f t="shared" si="4"/>
        <v>witnessed,</v>
      </c>
      <c r="AG2444" s="49"/>
      <c r="AH2444" s="1" t="s">
        <v>6829</v>
      </c>
      <c r="AI2444" s="1" t="s">
        <v>4694</v>
      </c>
      <c r="AJ2444" s="6" t="str">
        <f>IFERROR(__xludf.DUMMYFUNCTION("""COMPUTED_VALUE"""),"attitude")</f>
        <v>attitude</v>
      </c>
      <c r="AK2444" s="49"/>
      <c r="AL2444" s="49"/>
      <c r="AM2444" s="49"/>
      <c r="AN2444" s="52" t="str">
        <f t="shared" si="5"/>
        <v>hearing,</v>
      </c>
    </row>
    <row r="2445">
      <c r="A2445" s="51"/>
      <c r="B2445" s="50" t="s">
        <v>5661</v>
      </c>
      <c r="C2445" s="50" t="s">
        <v>6669</v>
      </c>
      <c r="D2445" s="49" t="str">
        <f>IFERROR(__xludf.DUMMYFUNCTION("""COMPUTED_VALUE"""),"pronounced")</f>
        <v>pronounced</v>
      </c>
      <c r="E2445" s="49"/>
      <c r="F2445" s="49"/>
      <c r="G2445" s="49"/>
      <c r="H2445" s="54" t="str">
        <f t="shared" si="1"/>
        <v>jealous,</v>
      </c>
      <c r="I2445" s="50"/>
      <c r="J2445" s="50" t="s">
        <v>6494</v>
      </c>
      <c r="K2445" s="50" t="s">
        <v>2527</v>
      </c>
      <c r="L2445" s="49"/>
      <c r="M2445" s="49"/>
      <c r="N2445" s="49"/>
      <c r="O2445" s="49"/>
      <c r="P2445" s="49" t="str">
        <f t="shared" si="2"/>
        <v>array,</v>
      </c>
      <c r="Q2445" s="49"/>
      <c r="R2445" s="50" t="s">
        <v>2225</v>
      </c>
      <c r="S2445" s="55" t="s">
        <v>4184</v>
      </c>
      <c r="T2445" s="49"/>
      <c r="U2445" s="49"/>
      <c r="V2445" s="49"/>
      <c r="W2445" s="49"/>
      <c r="X2445" s="49" t="str">
        <f t="shared" si="3"/>
        <v>acts,</v>
      </c>
      <c r="Y2445" s="49"/>
      <c r="Z2445" s="1" t="s">
        <v>3516</v>
      </c>
      <c r="AA2445" s="1" t="s">
        <v>5601</v>
      </c>
      <c r="AB2445" s="49"/>
      <c r="AC2445" s="49"/>
      <c r="AD2445" s="49"/>
      <c r="AE2445" s="49"/>
      <c r="AF2445" s="49" t="str">
        <f t="shared" si="4"/>
        <v>timely,</v>
      </c>
      <c r="AG2445" s="49"/>
      <c r="AH2445" s="1" t="s">
        <v>5554</v>
      </c>
      <c r="AI2445" s="1" t="s">
        <v>5646</v>
      </c>
      <c r="AJ2445" s="6" t="str">
        <f>IFERROR(__xludf.DUMMYFUNCTION("""COMPUTED_VALUE"""),"theory")</f>
        <v>theory</v>
      </c>
      <c r="AK2445" s="49"/>
      <c r="AL2445" s="49"/>
      <c r="AM2445" s="49"/>
      <c r="AN2445" s="52" t="str">
        <f t="shared" si="5"/>
        <v>voices,</v>
      </c>
    </row>
    <row r="2446">
      <c r="A2446" s="51"/>
      <c r="B2446" s="50" t="s">
        <v>5087</v>
      </c>
      <c r="C2446" s="50" t="s">
        <v>3206</v>
      </c>
      <c r="D2446" s="49" t="str">
        <f>IFERROR(__xludf.DUMMYFUNCTION("""COMPUTED_VALUE"""),"garden")</f>
        <v>garden</v>
      </c>
      <c r="E2446" s="49"/>
      <c r="F2446" s="49"/>
      <c r="G2446" s="49"/>
      <c r="H2446" s="54" t="str">
        <f t="shared" si="1"/>
        <v>mental,</v>
      </c>
      <c r="I2446" s="50"/>
      <c r="J2446" s="50" t="s">
        <v>3994</v>
      </c>
      <c r="K2446" s="50" t="s">
        <v>4104</v>
      </c>
      <c r="L2446" s="49"/>
      <c r="M2446" s="49"/>
      <c r="N2446" s="49"/>
      <c r="O2446" s="49"/>
      <c r="P2446" s="49" t="str">
        <f t="shared" si="2"/>
        <v>handling,</v>
      </c>
      <c r="Q2446" s="49"/>
      <c r="R2446" s="50" t="s">
        <v>6537</v>
      </c>
      <c r="S2446" s="55" t="s">
        <v>3954</v>
      </c>
      <c r="T2446" s="49"/>
      <c r="U2446" s="49"/>
      <c r="V2446" s="49"/>
      <c r="W2446" s="49"/>
      <c r="X2446" s="49" t="str">
        <f t="shared" si="3"/>
        <v>dread,</v>
      </c>
      <c r="Y2446" s="49"/>
      <c r="Z2446" s="1" t="s">
        <v>3315</v>
      </c>
      <c r="AA2446" s="1" t="s">
        <v>5603</v>
      </c>
      <c r="AB2446" s="49"/>
      <c r="AC2446" s="49"/>
      <c r="AD2446" s="49"/>
      <c r="AE2446" s="49"/>
      <c r="AF2446" s="49" t="str">
        <f t="shared" si="4"/>
        <v>movements,</v>
      </c>
      <c r="AG2446" s="49"/>
      <c r="AH2446" s="1" t="s">
        <v>2990</v>
      </c>
      <c r="AI2446" s="1" t="s">
        <v>1454</v>
      </c>
      <c r="AJ2446" s="6" t="str">
        <f>IFERROR(__xludf.DUMMYFUNCTION("""COMPUTED_VALUE"""),"numbers")</f>
        <v>numbers</v>
      </c>
      <c r="AK2446" s="49"/>
      <c r="AL2446" s="49"/>
      <c r="AM2446" s="49"/>
      <c r="AN2446" s="52" t="str">
        <f t="shared" si="5"/>
        <v>spiritual,</v>
      </c>
    </row>
    <row r="2447">
      <c r="A2447" s="51"/>
      <c r="B2447" s="50" t="s">
        <v>4003</v>
      </c>
      <c r="C2447" s="50" t="s">
        <v>5305</v>
      </c>
      <c r="D2447" s="49" t="str">
        <f>IFERROR(__xludf.DUMMYFUNCTION("""COMPUTED_VALUE"""),"measure")</f>
        <v>measure</v>
      </c>
      <c r="E2447" s="49"/>
      <c r="F2447" s="49"/>
      <c r="G2447" s="49"/>
      <c r="H2447" s="54" t="str">
        <f t="shared" si="1"/>
        <v>suspected,</v>
      </c>
      <c r="I2447" s="50"/>
      <c r="J2447" s="50" t="s">
        <v>7534</v>
      </c>
      <c r="K2447" s="50" t="s">
        <v>5134</v>
      </c>
      <c r="L2447" s="49"/>
      <c r="M2447" s="49"/>
      <c r="N2447" s="49"/>
      <c r="O2447" s="49"/>
      <c r="P2447" s="49" t="str">
        <f t="shared" si="2"/>
        <v>outdated,</v>
      </c>
      <c r="Q2447" s="49"/>
      <c r="R2447" s="50" t="s">
        <v>2299</v>
      </c>
      <c r="S2447" s="55" t="s">
        <v>3957</v>
      </c>
      <c r="T2447" s="49"/>
      <c r="U2447" s="49"/>
      <c r="V2447" s="49"/>
      <c r="W2447" s="49"/>
      <c r="X2447" s="49" t="str">
        <f t="shared" si="3"/>
        <v>reflects,</v>
      </c>
      <c r="Y2447" s="49"/>
      <c r="Z2447" s="1" t="s">
        <v>452</v>
      </c>
      <c r="AA2447" s="1" t="s">
        <v>4657</v>
      </c>
      <c r="AB2447" s="49"/>
      <c r="AC2447" s="49"/>
      <c r="AD2447" s="49"/>
      <c r="AE2447" s="49"/>
      <c r="AF2447" s="49" t="str">
        <f t="shared" si="4"/>
        <v>smug,</v>
      </c>
      <c r="AG2447" s="49"/>
      <c r="AH2447" s="1" t="s">
        <v>5228</v>
      </c>
      <c r="AI2447" s="1" t="s">
        <v>3407</v>
      </c>
      <c r="AJ2447" s="6" t="str">
        <f>IFERROR(__xludf.DUMMYFUNCTION("""COMPUTED_VALUE"""),"shopping")</f>
        <v>shopping</v>
      </c>
      <c r="AK2447" s="49"/>
      <c r="AL2447" s="49"/>
      <c r="AM2447" s="49"/>
      <c r="AN2447" s="52" t="str">
        <f t="shared" si="5"/>
        <v>records,</v>
      </c>
    </row>
    <row r="2448">
      <c r="A2448" s="51"/>
      <c r="B2448" s="50" t="s">
        <v>2240</v>
      </c>
      <c r="C2448" s="50" t="s">
        <v>4729</v>
      </c>
      <c r="D2448" s="49" t="str">
        <f>IFERROR(__xludf.DUMMYFUNCTION("""COMPUTED_VALUE"""),"fair")</f>
        <v>fair</v>
      </c>
      <c r="E2448" s="49"/>
      <c r="F2448" s="49"/>
      <c r="G2448" s="49"/>
      <c r="H2448" s="54" t="str">
        <f t="shared" si="1"/>
        <v>receives,</v>
      </c>
      <c r="I2448" s="50"/>
      <c r="J2448" s="50" t="s">
        <v>6469</v>
      </c>
      <c r="K2448" s="50" t="s">
        <v>2273</v>
      </c>
      <c r="L2448" s="49"/>
      <c r="M2448" s="49"/>
      <c r="N2448" s="49"/>
      <c r="O2448" s="49"/>
      <c r="P2448" s="49" t="str">
        <f t="shared" si="2"/>
        <v>strongly,</v>
      </c>
      <c r="Q2448" s="49"/>
      <c r="R2448" s="50" t="s">
        <v>1605</v>
      </c>
      <c r="S2448" s="55" t="s">
        <v>3401</v>
      </c>
      <c r="T2448" s="49"/>
      <c r="U2448" s="49"/>
      <c r="V2448" s="49"/>
      <c r="W2448" s="49"/>
      <c r="X2448" s="49" t="str">
        <f t="shared" si="3"/>
        <v>collectively,</v>
      </c>
      <c r="Y2448" s="49"/>
      <c r="Z2448" s="1" t="s">
        <v>3996</v>
      </c>
      <c r="AA2448" s="1" t="s">
        <v>2863</v>
      </c>
      <c r="AB2448" s="49"/>
      <c r="AC2448" s="49"/>
      <c r="AD2448" s="49"/>
      <c r="AE2448" s="49"/>
      <c r="AF2448" s="49" t="str">
        <f t="shared" si="4"/>
        <v>howard,</v>
      </c>
      <c r="AG2448" s="49"/>
      <c r="AH2448" s="1" t="s">
        <v>5834</v>
      </c>
      <c r="AI2448" s="1" t="s">
        <v>1468</v>
      </c>
      <c r="AJ2448" s="6" t="str">
        <f>IFERROR(__xludf.DUMMYFUNCTION("""COMPUTED_VALUE"""),"punishment")</f>
        <v>punishment</v>
      </c>
      <c r="AK2448" s="49"/>
      <c r="AL2448" s="49"/>
      <c r="AM2448" s="49"/>
      <c r="AN2448" s="52" t="str">
        <f t="shared" si="5"/>
        <v>uk,</v>
      </c>
    </row>
    <row r="2449">
      <c r="A2449" s="51"/>
      <c r="B2449" s="50" t="s">
        <v>3971</v>
      </c>
      <c r="C2449" s="50" t="s">
        <v>2689</v>
      </c>
      <c r="D2449" s="49" t="str">
        <f>IFERROR(__xludf.DUMMYFUNCTION("""COMPUTED_VALUE"""),"strings")</f>
        <v>strings</v>
      </c>
      <c r="E2449" s="49"/>
      <c r="F2449" s="49"/>
      <c r="G2449" s="49"/>
      <c r="H2449" s="54" t="str">
        <f t="shared" si="1"/>
        <v>deny,</v>
      </c>
      <c r="I2449" s="50"/>
      <c r="J2449" s="50" t="s">
        <v>5909</v>
      </c>
      <c r="K2449" s="50" t="s">
        <v>2275</v>
      </c>
      <c r="L2449" s="49"/>
      <c r="M2449" s="49"/>
      <c r="N2449" s="49"/>
      <c r="O2449" s="49"/>
      <c r="P2449" s="49" t="str">
        <f t="shared" si="2"/>
        <v>fuse,</v>
      </c>
      <c r="Q2449" s="49"/>
      <c r="R2449" s="50" t="s">
        <v>3957</v>
      </c>
      <c r="S2449" s="55" t="s">
        <v>3962</v>
      </c>
      <c r="T2449" s="49"/>
      <c r="U2449" s="49"/>
      <c r="V2449" s="49"/>
      <c r="W2449" s="49"/>
      <c r="X2449" s="49" t="str">
        <f t="shared" si="3"/>
        <v>transparent,</v>
      </c>
      <c r="Y2449" s="49"/>
      <c r="Z2449" s="1" t="s">
        <v>1693</v>
      </c>
      <c r="AA2449" s="1" t="s">
        <v>1968</v>
      </c>
      <c r="AB2449" s="49"/>
      <c r="AC2449" s="49"/>
      <c r="AD2449" s="49"/>
      <c r="AE2449" s="49"/>
      <c r="AF2449" s="49" t="str">
        <f t="shared" si="4"/>
        <v>darling,</v>
      </c>
      <c r="AG2449" s="49"/>
      <c r="AH2449" s="1" t="s">
        <v>2553</v>
      </c>
      <c r="AI2449" s="1" t="s">
        <v>4748</v>
      </c>
      <c r="AJ2449" s="6" t="str">
        <f>IFERROR(__xludf.DUMMYFUNCTION("""COMPUTED_VALUE"""),"missed")</f>
        <v>missed</v>
      </c>
      <c r="AK2449" s="49"/>
      <c r="AL2449" s="49"/>
      <c r="AM2449" s="49"/>
      <c r="AN2449" s="52" t="str">
        <f t="shared" si="5"/>
        <v>lived,</v>
      </c>
    </row>
    <row r="2450">
      <c r="A2450" s="51"/>
      <c r="B2450" s="50" t="s">
        <v>6382</v>
      </c>
      <c r="C2450" s="50" t="s">
        <v>5981</v>
      </c>
      <c r="D2450" s="49" t="str">
        <f>IFERROR(__xludf.DUMMYFUNCTION("""COMPUTED_VALUE"""),"shining")</f>
        <v>shining</v>
      </c>
      <c r="E2450" s="49"/>
      <c r="F2450" s="49"/>
      <c r="G2450" s="49"/>
      <c r="H2450" s="54" t="str">
        <f t="shared" si="1"/>
        <v>caught,</v>
      </c>
      <c r="I2450" s="50"/>
      <c r="J2450" s="50" t="s">
        <v>7536</v>
      </c>
      <c r="K2450" s="50" t="s">
        <v>4107</v>
      </c>
      <c r="L2450" s="49"/>
      <c r="M2450" s="49"/>
      <c r="N2450" s="49"/>
      <c r="O2450" s="49"/>
      <c r="P2450" s="49" t="str">
        <f t="shared" si="2"/>
        <v>improper,</v>
      </c>
      <c r="Q2450" s="49"/>
      <c r="R2450" s="50" t="s">
        <v>3404</v>
      </c>
      <c r="S2450" s="55" t="s">
        <v>2181</v>
      </c>
      <c r="T2450" s="49"/>
      <c r="U2450" s="49"/>
      <c r="V2450" s="49"/>
      <c r="W2450" s="49"/>
      <c r="X2450" s="49" t="str">
        <f t="shared" si="3"/>
        <v>chilly,</v>
      </c>
      <c r="Y2450" s="49"/>
      <c r="Z2450" s="1" t="s">
        <v>3421</v>
      </c>
      <c r="AA2450" s="1" t="s">
        <v>3829</v>
      </c>
      <c r="AB2450" s="49"/>
      <c r="AC2450" s="49"/>
      <c r="AD2450" s="49"/>
      <c r="AE2450" s="49"/>
      <c r="AF2450" s="49" t="str">
        <f t="shared" si="4"/>
        <v>existed,</v>
      </c>
      <c r="AG2450" s="49"/>
      <c r="AH2450" s="1" t="s">
        <v>6671</v>
      </c>
      <c r="AI2450" s="1" t="s">
        <v>4196</v>
      </c>
      <c r="AJ2450" s="6" t="str">
        <f>IFERROR(__xludf.DUMMYFUNCTION("""COMPUTED_VALUE"""),"massive")</f>
        <v>massive</v>
      </c>
      <c r="AK2450" s="49"/>
      <c r="AL2450" s="49"/>
      <c r="AM2450" s="49"/>
      <c r="AN2450" s="52" t="str">
        <f t="shared" si="5"/>
        <v>letter,</v>
      </c>
    </row>
    <row r="2451">
      <c r="A2451" s="51"/>
      <c r="B2451" s="50" t="s">
        <v>1082</v>
      </c>
      <c r="C2451" s="50" t="s">
        <v>4070</v>
      </c>
      <c r="D2451" s="49" t="str">
        <f>IFERROR(__xludf.DUMMYFUNCTION("""COMPUTED_VALUE"""),"likes")</f>
        <v>likes</v>
      </c>
      <c r="E2451" s="49"/>
      <c r="F2451" s="49"/>
      <c r="G2451" s="49"/>
      <c r="H2451" s="54" t="str">
        <f t="shared" si="1"/>
        <v>entirely,</v>
      </c>
      <c r="I2451" s="50"/>
      <c r="J2451" s="50" t="s">
        <v>1510</v>
      </c>
      <c r="K2451" s="50" t="s">
        <v>409</v>
      </c>
      <c r="L2451" s="49"/>
      <c r="M2451" s="49"/>
      <c r="N2451" s="49"/>
      <c r="O2451" s="49"/>
      <c r="P2451" s="49" t="str">
        <f t="shared" si="2"/>
        <v>intensely,</v>
      </c>
      <c r="Q2451" s="49"/>
      <c r="R2451" s="50" t="s">
        <v>2652</v>
      </c>
      <c r="S2451" s="55" t="s">
        <v>5011</v>
      </c>
      <c r="T2451" s="49"/>
      <c r="U2451" s="49"/>
      <c r="V2451" s="49"/>
      <c r="W2451" s="49"/>
      <c r="X2451" s="49" t="str">
        <f t="shared" si="3"/>
        <v>linger,</v>
      </c>
      <c r="Y2451" s="49"/>
      <c r="Z2451" s="1" t="s">
        <v>2846</v>
      </c>
      <c r="AA2451" s="1" t="s">
        <v>3832</v>
      </c>
      <c r="AB2451" s="49"/>
      <c r="AC2451" s="49"/>
      <c r="AD2451" s="49"/>
      <c r="AE2451" s="49"/>
      <c r="AF2451" s="49" t="str">
        <f t="shared" si="4"/>
        <v>distant,</v>
      </c>
      <c r="AG2451" s="49"/>
      <c r="AH2451" s="1" t="s">
        <v>6628</v>
      </c>
      <c r="AI2451" s="1" t="s">
        <v>5007</v>
      </c>
      <c r="AJ2451" s="6" t="str">
        <f>IFERROR(__xludf.DUMMYFUNCTION("""COMPUTED_VALUE"""),"childhood")</f>
        <v>childhood</v>
      </c>
      <c r="AK2451" s="49"/>
      <c r="AL2451" s="49"/>
      <c r="AM2451" s="49"/>
      <c r="AN2451" s="52" t="str">
        <f t="shared" si="5"/>
        <v>surrounded,</v>
      </c>
    </row>
    <row r="2452">
      <c r="A2452" s="51"/>
      <c r="B2452" s="50" t="s">
        <v>3500</v>
      </c>
      <c r="C2452" s="50" t="s">
        <v>6681</v>
      </c>
      <c r="D2452" s="49" t="str">
        <f>IFERROR(__xludf.DUMMYFUNCTION("""COMPUTED_VALUE"""),"society")</f>
        <v>society</v>
      </c>
      <c r="E2452" s="49"/>
      <c r="F2452" s="49"/>
      <c r="G2452" s="49"/>
      <c r="H2452" s="54" t="str">
        <f t="shared" si="1"/>
        <v>brief,</v>
      </c>
      <c r="I2452" s="50"/>
      <c r="J2452" s="50" t="s">
        <v>4610</v>
      </c>
      <c r="K2452" s="50" t="s">
        <v>2280</v>
      </c>
      <c r="L2452" s="49"/>
      <c r="M2452" s="49"/>
      <c r="N2452" s="49"/>
      <c r="O2452" s="49"/>
      <c r="P2452" s="49" t="str">
        <f t="shared" si="2"/>
        <v>companion,</v>
      </c>
      <c r="Q2452" s="49"/>
      <c r="R2452" s="50" t="s">
        <v>6795</v>
      </c>
      <c r="S2452" s="55" t="s">
        <v>3967</v>
      </c>
      <c r="T2452" s="49"/>
      <c r="U2452" s="49"/>
      <c r="V2452" s="49"/>
      <c r="W2452" s="49"/>
      <c r="X2452" s="49" t="str">
        <f t="shared" si="3"/>
        <v>slides,</v>
      </c>
      <c r="Y2452" s="49"/>
      <c r="Z2452" s="1" t="s">
        <v>334</v>
      </c>
      <c r="AA2452" s="1" t="s">
        <v>2612</v>
      </c>
      <c r="AB2452" s="49"/>
      <c r="AC2452" s="49"/>
      <c r="AD2452" s="49"/>
      <c r="AE2452" s="49"/>
      <c r="AF2452" s="49" t="str">
        <f t="shared" si="4"/>
        <v>happening,</v>
      </c>
      <c r="AG2452" s="49"/>
      <c r="AH2452" s="1" t="s">
        <v>6432</v>
      </c>
      <c r="AI2452" s="1" t="s">
        <v>5026</v>
      </c>
      <c r="AJ2452" s="6" t="str">
        <f>IFERROR(__xludf.DUMMYFUNCTION("""COMPUTED_VALUE"""),"joined")</f>
        <v>joined</v>
      </c>
      <c r="AK2452" s="49"/>
      <c r="AL2452" s="49"/>
      <c r="AM2452" s="49"/>
      <c r="AN2452" s="52" t="str">
        <f t="shared" si="5"/>
        <v>devoted,</v>
      </c>
    </row>
    <row r="2453">
      <c r="A2453" s="51"/>
      <c r="B2453" s="50" t="s">
        <v>5167</v>
      </c>
      <c r="C2453" s="50" t="s">
        <v>3216</v>
      </c>
      <c r="D2453" s="49" t="str">
        <f>IFERROR(__xludf.DUMMYFUNCTION("""COMPUTED_VALUE"""),"return")</f>
        <v>return</v>
      </c>
      <c r="E2453" s="49"/>
      <c r="F2453" s="49"/>
      <c r="G2453" s="49"/>
      <c r="H2453" s="54" t="str">
        <f t="shared" si="1"/>
        <v>closing,</v>
      </c>
      <c r="I2453" s="50"/>
      <c r="J2453" s="50" t="s">
        <v>1578</v>
      </c>
      <c r="K2453" s="50" t="s">
        <v>4110</v>
      </c>
      <c r="L2453" s="49"/>
      <c r="M2453" s="49"/>
      <c r="N2453" s="49"/>
      <c r="O2453" s="49"/>
      <c r="P2453" s="49" t="str">
        <f t="shared" si="2"/>
        <v>fleeing,</v>
      </c>
      <c r="Q2453" s="49"/>
      <c r="R2453" s="50" t="s">
        <v>6366</v>
      </c>
      <c r="S2453" s="55" t="s">
        <v>3969</v>
      </c>
      <c r="T2453" s="49"/>
      <c r="U2453" s="49"/>
      <c r="V2453" s="49"/>
      <c r="W2453" s="49"/>
      <c r="X2453" s="49" t="str">
        <f t="shared" si="3"/>
        <v>frozen,</v>
      </c>
      <c r="Y2453" s="49"/>
      <c r="Z2453" s="1" t="s">
        <v>2862</v>
      </c>
      <c r="AA2453" s="1" t="s">
        <v>5608</v>
      </c>
      <c r="AB2453" s="49"/>
      <c r="AC2453" s="49"/>
      <c r="AD2453" s="49"/>
      <c r="AE2453" s="49"/>
      <c r="AF2453" s="49" t="str">
        <f t="shared" si="4"/>
        <v>charismatic,</v>
      </c>
      <c r="AG2453" s="49"/>
      <c r="AH2453" s="1" t="s">
        <v>6094</v>
      </c>
      <c r="AI2453" s="1" t="s">
        <v>1831</v>
      </c>
      <c r="AJ2453" s="6" t="str">
        <f>IFERROR(__xludf.DUMMYFUNCTION("""COMPUTED_VALUE"""),"broadcast")</f>
        <v>broadcast</v>
      </c>
      <c r="AK2453" s="49"/>
      <c r="AL2453" s="49"/>
      <c r="AM2453" s="49"/>
      <c r="AN2453" s="52" t="str">
        <f t="shared" si="5"/>
        <v>walls,</v>
      </c>
    </row>
    <row r="2454">
      <c r="A2454" s="51"/>
      <c r="B2454" s="50" t="s">
        <v>3788</v>
      </c>
      <c r="C2454" s="50" t="s">
        <v>4662</v>
      </c>
      <c r="D2454" s="49" t="str">
        <f>IFERROR(__xludf.DUMMYFUNCTION("""COMPUTED_VALUE"""),"drawing")</f>
        <v>drawing</v>
      </c>
      <c r="E2454" s="49"/>
      <c r="F2454" s="49"/>
      <c r="G2454" s="49"/>
      <c r="H2454" s="54" t="str">
        <f t="shared" si="1"/>
        <v>carries,</v>
      </c>
      <c r="I2454" s="50"/>
      <c r="J2454" s="50" t="s">
        <v>5975</v>
      </c>
      <c r="K2454" s="50" t="s">
        <v>3494</v>
      </c>
      <c r="L2454" s="49"/>
      <c r="M2454" s="49"/>
      <c r="N2454" s="49"/>
      <c r="O2454" s="49"/>
      <c r="P2454" s="49" t="str">
        <f t="shared" si="2"/>
        <v>educational,</v>
      </c>
      <c r="Q2454" s="49"/>
      <c r="R2454" s="50" t="s">
        <v>7599</v>
      </c>
      <c r="S2454" s="55" t="s">
        <v>3973</v>
      </c>
      <c r="T2454" s="49"/>
      <c r="U2454" s="49"/>
      <c r="V2454" s="49"/>
      <c r="W2454" s="49"/>
      <c r="X2454" s="49" t="str">
        <f t="shared" si="3"/>
        <v>chi,</v>
      </c>
      <c r="Y2454" s="49"/>
      <c r="Z2454" s="1" t="s">
        <v>2540</v>
      </c>
      <c r="AA2454" s="1" t="s">
        <v>3833</v>
      </c>
      <c r="AB2454" s="49"/>
      <c r="AC2454" s="49"/>
      <c r="AD2454" s="49"/>
      <c r="AE2454" s="49"/>
      <c r="AF2454" s="49" t="str">
        <f t="shared" si="4"/>
        <v>focused,</v>
      </c>
      <c r="AG2454" s="49"/>
      <c r="AH2454" s="1" t="s">
        <v>7600</v>
      </c>
      <c r="AI2454" s="1" t="s">
        <v>2744</v>
      </c>
      <c r="AJ2454" s="6" t="str">
        <f>IFERROR(__xludf.DUMMYFUNCTION("""COMPUTED_VALUE"""),"8th")</f>
        <v>8th</v>
      </c>
      <c r="AK2454" s="49"/>
      <c r="AL2454" s="49"/>
      <c r="AM2454" s="49"/>
      <c r="AN2454" s="52" t="str">
        <f t="shared" si="5"/>
        <v>consists,</v>
      </c>
    </row>
    <row r="2455">
      <c r="A2455" s="51"/>
      <c r="B2455" s="50" t="s">
        <v>5180</v>
      </c>
      <c r="C2455" s="50" t="s">
        <v>5414</v>
      </c>
      <c r="D2455" s="49" t="str">
        <f>IFERROR(__xludf.DUMMYFUNCTION("""COMPUTED_VALUE"""),"mistake")</f>
        <v>mistake</v>
      </c>
      <c r="E2455" s="49"/>
      <c r="F2455" s="49"/>
      <c r="G2455" s="49"/>
      <c r="H2455" s="54" t="str">
        <f t="shared" si="1"/>
        <v>design,</v>
      </c>
      <c r="I2455" s="50"/>
      <c r="J2455" s="50">
        <v>103.0</v>
      </c>
      <c r="K2455" s="50" t="s">
        <v>4111</v>
      </c>
      <c r="L2455" s="49"/>
      <c r="M2455" s="49"/>
      <c r="N2455" s="49"/>
      <c r="O2455" s="49"/>
      <c r="P2455" s="49" t="str">
        <f t="shared" si="2"/>
        <v>103,</v>
      </c>
      <c r="Q2455" s="49"/>
      <c r="R2455" s="50" t="s">
        <v>2265</v>
      </c>
      <c r="S2455" s="55" t="s">
        <v>3975</v>
      </c>
      <c r="T2455" s="49"/>
      <c r="U2455" s="49"/>
      <c r="V2455" s="49"/>
      <c r="W2455" s="49"/>
      <c r="X2455" s="49" t="str">
        <f t="shared" si="3"/>
        <v>pizza,</v>
      </c>
      <c r="Y2455" s="49"/>
      <c r="Z2455" s="1" t="s">
        <v>4411</v>
      </c>
      <c r="AA2455" s="1" t="s">
        <v>5610</v>
      </c>
      <c r="AB2455" s="49"/>
      <c r="AC2455" s="49"/>
      <c r="AD2455" s="49"/>
      <c r="AE2455" s="49"/>
      <c r="AF2455" s="49" t="str">
        <f t="shared" si="4"/>
        <v>replaced,</v>
      </c>
      <c r="AG2455" s="49"/>
      <c r="AH2455" s="1" t="s">
        <v>1007</v>
      </c>
      <c r="AI2455" s="1" t="s">
        <v>3415</v>
      </c>
      <c r="AJ2455" s="6" t="str">
        <f>IFERROR(__xludf.DUMMYFUNCTION("""COMPUTED_VALUE"""),"social")</f>
        <v>social</v>
      </c>
      <c r="AK2455" s="49"/>
      <c r="AL2455" s="49"/>
      <c r="AM2455" s="49"/>
      <c r="AN2455" s="52" t="str">
        <f t="shared" si="5"/>
        <v>stanley,</v>
      </c>
    </row>
    <row r="2456">
      <c r="A2456" s="51"/>
      <c r="B2456" s="50" t="s">
        <v>5811</v>
      </c>
      <c r="C2456" s="50" t="s">
        <v>1013</v>
      </c>
      <c r="D2456" s="49" t="str">
        <f>IFERROR(__xludf.DUMMYFUNCTION("""COMPUTED_VALUE"""),"sees")</f>
        <v>sees</v>
      </c>
      <c r="E2456" s="49"/>
      <c r="F2456" s="49"/>
      <c r="G2456" s="49"/>
      <c r="H2456" s="54" t="str">
        <f t="shared" si="1"/>
        <v>winner,</v>
      </c>
      <c r="I2456" s="50"/>
      <c r="J2456" s="50" t="s">
        <v>2909</v>
      </c>
      <c r="K2456" s="50" t="s">
        <v>3468</v>
      </c>
      <c r="L2456" s="49"/>
      <c r="M2456" s="49"/>
      <c r="N2456" s="49"/>
      <c r="O2456" s="49"/>
      <c r="P2456" s="49" t="str">
        <f t="shared" si="2"/>
        <v>casual,</v>
      </c>
      <c r="Q2456" s="49"/>
      <c r="R2456" s="50" t="s">
        <v>1980</v>
      </c>
      <c r="S2456" s="55" t="s">
        <v>2185</v>
      </c>
      <c r="T2456" s="49"/>
      <c r="U2456" s="49"/>
      <c r="V2456" s="49"/>
      <c r="W2456" s="49"/>
      <c r="X2456" s="49" t="str">
        <f t="shared" si="3"/>
        <v>transporting,</v>
      </c>
      <c r="Y2456" s="49"/>
      <c r="Z2456" s="1" t="s">
        <v>3202</v>
      </c>
      <c r="AA2456" s="1" t="s">
        <v>2867</v>
      </c>
      <c r="AB2456" s="49"/>
      <c r="AC2456" s="49"/>
      <c r="AD2456" s="49"/>
      <c r="AE2456" s="49"/>
      <c r="AF2456" s="49" t="str">
        <f t="shared" si="4"/>
        <v>kung,</v>
      </c>
      <c r="AG2456" s="49"/>
      <c r="AH2456" s="1" t="s">
        <v>4125</v>
      </c>
      <c r="AI2456" s="1" t="s">
        <v>1140</v>
      </c>
      <c r="AJ2456" s="6" t="str">
        <f>IFERROR(__xludf.DUMMYFUNCTION("""COMPUTED_VALUE"""),"issue")</f>
        <v>issue</v>
      </c>
      <c r="AK2456" s="49"/>
      <c r="AL2456" s="49"/>
      <c r="AM2456" s="49"/>
      <c r="AN2456" s="52" t="str">
        <f t="shared" si="5"/>
        <v>blind,</v>
      </c>
    </row>
    <row r="2457">
      <c r="A2457" s="51"/>
      <c r="B2457" s="50" t="s">
        <v>5048</v>
      </c>
      <c r="C2457" s="50" t="s">
        <v>6682</v>
      </c>
      <c r="D2457" s="49" t="str">
        <f>IFERROR(__xludf.DUMMYFUNCTION("""COMPUTED_VALUE"""),"1980s")</f>
        <v>1980s</v>
      </c>
      <c r="E2457" s="49"/>
      <c r="F2457" s="49"/>
      <c r="G2457" s="49"/>
      <c r="H2457" s="54" t="str">
        <f t="shared" si="1"/>
        <v>photography,</v>
      </c>
      <c r="I2457" s="50"/>
      <c r="J2457" s="50" t="s">
        <v>5770</v>
      </c>
      <c r="K2457" s="50" t="s">
        <v>2284</v>
      </c>
      <c r="L2457" s="49"/>
      <c r="M2457" s="49"/>
      <c r="N2457" s="49"/>
      <c r="O2457" s="49"/>
      <c r="P2457" s="49" t="str">
        <f t="shared" si="2"/>
        <v>broader,</v>
      </c>
      <c r="Q2457" s="49"/>
      <c r="R2457" s="50" t="s">
        <v>150</v>
      </c>
      <c r="S2457" s="55" t="s">
        <v>3411</v>
      </c>
      <c r="T2457" s="49"/>
      <c r="U2457" s="49"/>
      <c r="V2457" s="49"/>
      <c r="W2457" s="49"/>
      <c r="X2457" s="49" t="str">
        <f t="shared" si="3"/>
        <v>horrors,</v>
      </c>
      <c r="Y2457" s="49"/>
      <c r="Z2457" s="1" t="s">
        <v>3786</v>
      </c>
      <c r="AA2457" s="1" t="s">
        <v>5611</v>
      </c>
      <c r="AB2457" s="49"/>
      <c r="AC2457" s="49"/>
      <c r="AD2457" s="49"/>
      <c r="AE2457" s="49"/>
      <c r="AF2457" s="49" t="str">
        <f t="shared" si="4"/>
        <v>energetic,</v>
      </c>
      <c r="AG2457" s="49"/>
      <c r="AH2457" s="1" t="s">
        <v>7601</v>
      </c>
      <c r="AI2457" s="1" t="s">
        <v>4077</v>
      </c>
      <c r="AJ2457" s="6" t="str">
        <f>IFERROR(__xludf.DUMMYFUNCTION("""COMPUTED_VALUE"""),"jackson")</f>
        <v>jackson</v>
      </c>
      <c r="AK2457" s="49"/>
      <c r="AL2457" s="49"/>
      <c r="AM2457" s="49"/>
      <c r="AN2457" s="52" t="str">
        <f t="shared" si="5"/>
        <v>route,</v>
      </c>
    </row>
    <row r="2458">
      <c r="A2458" s="51"/>
      <c r="B2458" s="50" t="s">
        <v>6653</v>
      </c>
      <c r="C2458" s="50" t="s">
        <v>3636</v>
      </c>
      <c r="D2458" s="49" t="str">
        <f>IFERROR(__xludf.DUMMYFUNCTION("""COMPUTED_VALUE"""),"naked")</f>
        <v>naked</v>
      </c>
      <c r="E2458" s="49"/>
      <c r="F2458" s="49"/>
      <c r="G2458" s="49"/>
      <c r="H2458" s="54" t="str">
        <f t="shared" si="1"/>
        <v>luck,</v>
      </c>
      <c r="I2458" s="50"/>
      <c r="J2458" s="50" t="s">
        <v>7602</v>
      </c>
      <c r="K2458" s="50" t="s">
        <v>1952</v>
      </c>
      <c r="L2458" s="49"/>
      <c r="M2458" s="49"/>
      <c r="N2458" s="49"/>
      <c r="O2458" s="49"/>
      <c r="P2458" s="49" t="str">
        <f t="shared" si="2"/>
        <v>exotic,</v>
      </c>
      <c r="Q2458" s="49"/>
      <c r="R2458" s="50" t="s">
        <v>3817</v>
      </c>
      <c r="S2458" s="55" t="s">
        <v>5026</v>
      </c>
      <c r="T2458" s="49"/>
      <c r="U2458" s="49"/>
      <c r="V2458" s="49"/>
      <c r="W2458" s="49"/>
      <c r="X2458" s="49" t="str">
        <f t="shared" si="3"/>
        <v>creators,</v>
      </c>
      <c r="Y2458" s="49"/>
      <c r="Z2458" s="1" t="s">
        <v>2799</v>
      </c>
      <c r="AA2458" s="1" t="s">
        <v>1689</v>
      </c>
      <c r="AB2458" s="49"/>
      <c r="AC2458" s="49"/>
      <c r="AD2458" s="49"/>
      <c r="AE2458" s="49"/>
      <c r="AF2458" s="49" t="str">
        <f t="shared" si="4"/>
        <v>delight,</v>
      </c>
      <c r="AG2458" s="49"/>
      <c r="AH2458" s="1" t="s">
        <v>3092</v>
      </c>
      <c r="AI2458" s="1">
        <v>89.0</v>
      </c>
      <c r="AJ2458" s="6" t="str">
        <f>IFERROR(__xludf.DUMMYFUNCTION("""COMPUTED_VALUE"""),"mountain")</f>
        <v>mountain</v>
      </c>
      <c r="AK2458" s="49"/>
      <c r="AL2458" s="49"/>
      <c r="AM2458" s="49"/>
      <c r="AN2458" s="52" t="str">
        <f t="shared" si="5"/>
        <v>truck,</v>
      </c>
    </row>
    <row r="2459">
      <c r="A2459" s="51"/>
      <c r="B2459" s="50" t="s">
        <v>4955</v>
      </c>
      <c r="C2459" s="50" t="s">
        <v>6744</v>
      </c>
      <c r="D2459" s="49" t="str">
        <f>IFERROR(__xludf.DUMMYFUNCTION("""COMPUTED_VALUE"""),"switch")</f>
        <v>switch</v>
      </c>
      <c r="E2459" s="49"/>
      <c r="F2459" s="49"/>
      <c r="G2459" s="49"/>
      <c r="H2459" s="54" t="str">
        <f t="shared" si="1"/>
        <v>plant,</v>
      </c>
      <c r="I2459" s="50"/>
      <c r="J2459" s="50" t="s">
        <v>1319</v>
      </c>
      <c r="K2459" s="50" t="s">
        <v>4115</v>
      </c>
      <c r="L2459" s="49"/>
      <c r="M2459" s="49"/>
      <c r="N2459" s="49"/>
      <c r="O2459" s="49"/>
      <c r="P2459" s="49" t="str">
        <f t="shared" si="2"/>
        <v>3d,</v>
      </c>
      <c r="Q2459" s="49"/>
      <c r="R2459" s="50" t="s">
        <v>2241</v>
      </c>
      <c r="S2459" s="55" t="s">
        <v>629</v>
      </c>
      <c r="T2459" s="49"/>
      <c r="U2459" s="49"/>
      <c r="V2459" s="49"/>
      <c r="W2459" s="49"/>
      <c r="X2459" s="49" t="str">
        <f t="shared" si="3"/>
        <v>rug,</v>
      </c>
      <c r="Y2459" s="49"/>
      <c r="Z2459" s="1" t="s">
        <v>4562</v>
      </c>
      <c r="AA2459" s="1" t="s">
        <v>4559</v>
      </c>
      <c r="AB2459" s="49"/>
      <c r="AC2459" s="49"/>
      <c r="AD2459" s="49"/>
      <c r="AE2459" s="49"/>
      <c r="AF2459" s="49" t="str">
        <f t="shared" si="4"/>
        <v>grin,</v>
      </c>
      <c r="AG2459" s="49"/>
      <c r="AH2459" s="1" t="s">
        <v>6623</v>
      </c>
      <c r="AI2459" s="1" t="s">
        <v>6745</v>
      </c>
      <c r="AJ2459" s="6" t="str">
        <f>IFERROR(__xludf.DUMMYFUNCTION("""COMPUTED_VALUE"""),"literally")</f>
        <v>literally</v>
      </c>
      <c r="AK2459" s="49"/>
      <c r="AL2459" s="49"/>
      <c r="AM2459" s="49"/>
      <c r="AN2459" s="52" t="str">
        <f t="shared" si="5"/>
        <v>friendly,</v>
      </c>
    </row>
    <row r="2460">
      <c r="A2460" s="51"/>
      <c r="B2460" s="50" t="s">
        <v>2706</v>
      </c>
      <c r="C2460" s="50" t="s">
        <v>4430</v>
      </c>
      <c r="D2460" s="49" t="str">
        <f>IFERROR(__xludf.DUMMYFUNCTION("""COMPUTED_VALUE"""),"shadow")</f>
        <v>shadow</v>
      </c>
      <c r="E2460" s="49"/>
      <c r="F2460" s="49"/>
      <c r="G2460" s="49"/>
      <c r="H2460" s="54" t="str">
        <f t="shared" si="1"/>
        <v>growth,</v>
      </c>
      <c r="I2460" s="50"/>
      <c r="J2460" s="50" t="s">
        <v>439</v>
      </c>
      <c r="K2460" s="50" t="s">
        <v>2287</v>
      </c>
      <c r="L2460" s="49"/>
      <c r="M2460" s="49"/>
      <c r="N2460" s="49"/>
      <c r="O2460" s="49"/>
      <c r="P2460" s="49" t="str">
        <f t="shared" si="2"/>
        <v>wildlife,</v>
      </c>
      <c r="Q2460" s="49"/>
      <c r="R2460" s="50" t="s">
        <v>4021</v>
      </c>
      <c r="S2460" s="55" t="s">
        <v>1831</v>
      </c>
      <c r="T2460" s="49"/>
      <c r="U2460" s="49"/>
      <c r="V2460" s="49"/>
      <c r="W2460" s="49"/>
      <c r="X2460" s="49" t="str">
        <f t="shared" si="3"/>
        <v>kissing,</v>
      </c>
      <c r="Y2460" s="49"/>
      <c r="Z2460" s="1" t="s">
        <v>1940</v>
      </c>
      <c r="AA2460" s="1" t="s">
        <v>5614</v>
      </c>
      <c r="AB2460" s="49"/>
      <c r="AC2460" s="49"/>
      <c r="AD2460" s="49"/>
      <c r="AE2460" s="49"/>
      <c r="AF2460" s="49" t="str">
        <f t="shared" si="4"/>
        <v>cutting,</v>
      </c>
      <c r="AG2460" s="49"/>
      <c r="AH2460" s="1" t="s">
        <v>6459</v>
      </c>
      <c r="AI2460" s="1" t="s">
        <v>5670</v>
      </c>
      <c r="AJ2460" s="6" t="str">
        <f>IFERROR(__xludf.DUMMYFUNCTION("""COMPUTED_VALUE"""),"traditionally")</f>
        <v>traditionally</v>
      </c>
      <c r="AK2460" s="49"/>
      <c r="AL2460" s="49"/>
      <c r="AM2460" s="49"/>
      <c r="AN2460" s="52" t="str">
        <f t="shared" si="5"/>
        <v>amy,</v>
      </c>
    </row>
    <row r="2461">
      <c r="A2461" s="51"/>
      <c r="B2461" s="50" t="s">
        <v>6744</v>
      </c>
      <c r="C2461" s="50" t="s">
        <v>5056</v>
      </c>
      <c r="D2461" s="49" t="str">
        <f>IFERROR(__xludf.DUMMYFUNCTION("""COMPUTED_VALUE"""),"gods")</f>
        <v>gods</v>
      </c>
      <c r="E2461" s="49"/>
      <c r="F2461" s="49"/>
      <c r="G2461" s="49"/>
      <c r="H2461" s="54" t="str">
        <f t="shared" si="1"/>
        <v>fail,</v>
      </c>
      <c r="I2461" s="50"/>
      <c r="J2461" s="50" t="s">
        <v>1184</v>
      </c>
      <c r="K2461" s="50" t="s">
        <v>5617</v>
      </c>
      <c r="L2461" s="49"/>
      <c r="M2461" s="49"/>
      <c r="N2461" s="49"/>
      <c r="O2461" s="49"/>
      <c r="P2461" s="49" t="str">
        <f t="shared" si="2"/>
        <v>spare,</v>
      </c>
      <c r="Q2461" s="49"/>
      <c r="R2461" s="50" t="s">
        <v>3052</v>
      </c>
      <c r="S2461" s="55" t="s">
        <v>2190</v>
      </c>
      <c r="T2461" s="49"/>
      <c r="U2461" s="49"/>
      <c r="V2461" s="49"/>
      <c r="W2461" s="49"/>
      <c r="X2461" s="49" t="str">
        <f t="shared" si="3"/>
        <v>maintains,</v>
      </c>
      <c r="Y2461" s="49"/>
      <c r="Z2461" s="1" t="s">
        <v>2603</v>
      </c>
      <c r="AA2461" s="1" t="s">
        <v>5615</v>
      </c>
      <c r="AB2461" s="49"/>
      <c r="AC2461" s="49"/>
      <c r="AD2461" s="49"/>
      <c r="AE2461" s="49"/>
      <c r="AF2461" s="49" t="str">
        <f t="shared" si="4"/>
        <v>darker,</v>
      </c>
      <c r="AG2461" s="49"/>
      <c r="AH2461" s="1">
        <v>50.0</v>
      </c>
      <c r="AI2461" s="1" t="s">
        <v>5698</v>
      </c>
      <c r="AJ2461" s="6" t="str">
        <f>IFERROR(__xludf.DUMMYFUNCTION("""COMPUTED_VALUE"""),"context")</f>
        <v>context</v>
      </c>
      <c r="AK2461" s="49"/>
      <c r="AL2461" s="49"/>
      <c r="AM2461" s="49"/>
      <c r="AN2461" s="52" t="str">
        <f t="shared" si="5"/>
        <v>50,</v>
      </c>
    </row>
    <row r="2462">
      <c r="A2462" s="51"/>
      <c r="B2462" s="50" t="s">
        <v>5439</v>
      </c>
      <c r="C2462" s="50" t="s">
        <v>3882</v>
      </c>
      <c r="D2462" s="49" t="str">
        <f>IFERROR(__xludf.DUMMYFUNCTION("""COMPUTED_VALUE"""),"easier")</f>
        <v>easier</v>
      </c>
      <c r="E2462" s="49"/>
      <c r="F2462" s="49"/>
      <c r="G2462" s="49"/>
      <c r="H2462" s="54" t="str">
        <f t="shared" si="1"/>
        <v>worlds,</v>
      </c>
      <c r="I2462" s="50"/>
      <c r="J2462" s="50" t="s">
        <v>4754</v>
      </c>
      <c r="K2462" s="50" t="s">
        <v>3503</v>
      </c>
      <c r="L2462" s="49"/>
      <c r="M2462" s="49"/>
      <c r="N2462" s="49"/>
      <c r="O2462" s="49"/>
      <c r="P2462" s="49" t="str">
        <f t="shared" si="2"/>
        <v>retiring,</v>
      </c>
      <c r="Q2462" s="49"/>
      <c r="R2462" s="50" t="s">
        <v>4157</v>
      </c>
      <c r="S2462" s="55" t="s">
        <v>336</v>
      </c>
      <c r="T2462" s="49"/>
      <c r="U2462" s="49"/>
      <c r="V2462" s="49"/>
      <c r="W2462" s="49"/>
      <c r="X2462" s="49" t="str">
        <f t="shared" si="3"/>
        <v>deliberate,</v>
      </c>
      <c r="Y2462" s="49"/>
      <c r="Z2462" s="1" t="s">
        <v>1411</v>
      </c>
      <c r="AA2462" s="1" t="s">
        <v>1604</v>
      </c>
      <c r="AB2462" s="49"/>
      <c r="AC2462" s="49"/>
      <c r="AD2462" s="49"/>
      <c r="AE2462" s="49"/>
      <c r="AF2462" s="49" t="str">
        <f t="shared" si="4"/>
        <v>beings,</v>
      </c>
      <c r="AG2462" s="49"/>
      <c r="AH2462" s="1" t="s">
        <v>4699</v>
      </c>
      <c r="AI2462" s="1" t="s">
        <v>4297</v>
      </c>
      <c r="AJ2462" s="6" t="str">
        <f>IFERROR(__xludf.DUMMYFUNCTION("""COMPUTED_VALUE"""),"ahead")</f>
        <v>ahead</v>
      </c>
      <c r="AK2462" s="49"/>
      <c r="AL2462" s="49"/>
      <c r="AM2462" s="49"/>
      <c r="AN2462" s="52" t="str">
        <f t="shared" si="5"/>
        <v>degree,</v>
      </c>
    </row>
    <row r="2463">
      <c r="A2463" s="51"/>
      <c r="B2463" s="50" t="s">
        <v>7371</v>
      </c>
      <c r="C2463" s="50" t="s">
        <v>3666</v>
      </c>
      <c r="D2463" s="49" t="str">
        <f>IFERROR(__xludf.DUMMYFUNCTION("""COMPUTED_VALUE"""),"western")</f>
        <v>western</v>
      </c>
      <c r="E2463" s="49"/>
      <c r="F2463" s="49"/>
      <c r="G2463" s="49"/>
      <c r="H2463" s="54" t="str">
        <f t="shared" si="1"/>
        <v>es,</v>
      </c>
      <c r="I2463" s="50"/>
      <c r="J2463" s="50" t="s">
        <v>4205</v>
      </c>
      <c r="K2463" s="50" t="s">
        <v>2290</v>
      </c>
      <c r="L2463" s="49"/>
      <c r="M2463" s="49"/>
      <c r="N2463" s="49"/>
      <c r="O2463" s="49"/>
      <c r="P2463" s="49" t="str">
        <f t="shared" si="2"/>
        <v>documented,</v>
      </c>
      <c r="Q2463" s="49"/>
      <c r="R2463" s="50" t="s">
        <v>497</v>
      </c>
      <c r="S2463" s="55" t="s">
        <v>2197</v>
      </c>
      <c r="T2463" s="49"/>
      <c r="U2463" s="49"/>
      <c r="V2463" s="49"/>
      <c r="W2463" s="49"/>
      <c r="X2463" s="49" t="str">
        <f t="shared" si="3"/>
        <v>establishes,</v>
      </c>
      <c r="Y2463" s="49"/>
      <c r="Z2463" s="1" t="s">
        <v>5335</v>
      </c>
      <c r="AA2463" s="1" t="s">
        <v>2870</v>
      </c>
      <c r="AB2463" s="49"/>
      <c r="AC2463" s="49"/>
      <c r="AD2463" s="49"/>
      <c r="AE2463" s="49"/>
      <c r="AF2463" s="49" t="str">
        <f t="shared" si="4"/>
        <v>ears,</v>
      </c>
      <c r="AG2463" s="49"/>
      <c r="AH2463" s="1" t="s">
        <v>6848</v>
      </c>
      <c r="AI2463" s="1" t="s">
        <v>5036</v>
      </c>
      <c r="AJ2463" s="6" t="str">
        <f>IFERROR(__xludf.DUMMYFUNCTION("""COMPUTED_VALUE"""),"keeping")</f>
        <v>keeping</v>
      </c>
      <c r="AK2463" s="49"/>
      <c r="AL2463" s="49"/>
      <c r="AM2463" s="49"/>
      <c r="AN2463" s="52" t="str">
        <f t="shared" si="5"/>
        <v>maintained,</v>
      </c>
    </row>
    <row r="2464">
      <c r="A2464" s="51"/>
      <c r="B2464" s="50" t="s">
        <v>4873</v>
      </c>
      <c r="C2464" s="50" t="s">
        <v>5276</v>
      </c>
      <c r="D2464" s="49" t="str">
        <f>IFERROR(__xludf.DUMMYFUNCTION("""COMPUTED_VALUE"""),"venture")</f>
        <v>venture</v>
      </c>
      <c r="E2464" s="49"/>
      <c r="F2464" s="49"/>
      <c r="G2464" s="49"/>
      <c r="H2464" s="54" t="str">
        <f t="shared" si="1"/>
        <v>benefit,</v>
      </c>
      <c r="I2464" s="50"/>
      <c r="J2464" s="50" t="s">
        <v>3640</v>
      </c>
      <c r="K2464" s="50" t="s">
        <v>2291</v>
      </c>
      <c r="L2464" s="49"/>
      <c r="M2464" s="49"/>
      <c r="N2464" s="49"/>
      <c r="O2464" s="49"/>
      <c r="P2464" s="49" t="str">
        <f t="shared" si="2"/>
        <v>reside,</v>
      </c>
      <c r="Q2464" s="49"/>
      <c r="R2464" s="50" t="s">
        <v>4337</v>
      </c>
      <c r="S2464" s="55" t="s">
        <v>2744</v>
      </c>
      <c r="T2464" s="49"/>
      <c r="U2464" s="49"/>
      <c r="V2464" s="49"/>
      <c r="W2464" s="49"/>
      <c r="X2464" s="49" t="str">
        <f t="shared" si="3"/>
        <v>arrangements,</v>
      </c>
      <c r="Y2464" s="49"/>
      <c r="Z2464" s="1" t="s">
        <v>1232</v>
      </c>
      <c r="AA2464" s="1" t="s">
        <v>3204</v>
      </c>
      <c r="AB2464" s="49"/>
      <c r="AC2464" s="49"/>
      <c r="AD2464" s="49"/>
      <c r="AE2464" s="49"/>
      <c r="AF2464" s="49" t="str">
        <f t="shared" si="4"/>
        <v>concert,</v>
      </c>
      <c r="AG2464" s="49"/>
      <c r="AH2464" s="1" t="s">
        <v>6977</v>
      </c>
      <c r="AI2464" s="1" t="s">
        <v>6746</v>
      </c>
      <c r="AJ2464" s="6" t="str">
        <f>IFERROR(__xludf.DUMMYFUNCTION("""COMPUTED_VALUE"""),"shift")</f>
        <v>shift</v>
      </c>
      <c r="AK2464" s="49"/>
      <c r="AL2464" s="49"/>
      <c r="AM2464" s="49"/>
      <c r="AN2464" s="52" t="str">
        <f t="shared" si="5"/>
        <v>mass,</v>
      </c>
    </row>
    <row r="2465">
      <c r="A2465" s="51"/>
      <c r="B2465" s="50" t="s">
        <v>456</v>
      </c>
      <c r="C2465" s="50" t="s">
        <v>2902</v>
      </c>
      <c r="D2465" s="49" t="str">
        <f>IFERROR(__xludf.DUMMYFUNCTION("""COMPUTED_VALUE"""),"enters")</f>
        <v>enters</v>
      </c>
      <c r="E2465" s="49"/>
      <c r="F2465" s="49"/>
      <c r="G2465" s="49"/>
      <c r="H2465" s="54" t="str">
        <f t="shared" si="1"/>
        <v>literary,</v>
      </c>
      <c r="I2465" s="50"/>
      <c r="J2465" s="50" t="s">
        <v>4241</v>
      </c>
      <c r="K2465" s="50" t="s">
        <v>2294</v>
      </c>
      <c r="L2465" s="49"/>
      <c r="M2465" s="49"/>
      <c r="N2465" s="49"/>
      <c r="O2465" s="49"/>
      <c r="P2465" s="49" t="str">
        <f t="shared" si="2"/>
        <v>sundance,</v>
      </c>
      <c r="Q2465" s="49"/>
      <c r="R2465" s="50" t="s">
        <v>6157</v>
      </c>
      <c r="S2465" s="55" t="s">
        <v>1134</v>
      </c>
      <c r="T2465" s="49"/>
      <c r="U2465" s="49"/>
      <c r="V2465" s="49"/>
      <c r="W2465" s="49"/>
      <c r="X2465" s="49" t="str">
        <f t="shared" si="3"/>
        <v>dusty,</v>
      </c>
      <c r="Y2465" s="49"/>
      <c r="Z2465" s="1" t="s">
        <v>5215</v>
      </c>
      <c r="AA2465" s="1" t="s">
        <v>3840</v>
      </c>
      <c r="AB2465" s="49"/>
      <c r="AC2465" s="49"/>
      <c r="AD2465" s="49"/>
      <c r="AE2465" s="49"/>
      <c r="AF2465" s="49" t="str">
        <f t="shared" si="4"/>
        <v>institution,</v>
      </c>
      <c r="AG2465" s="49"/>
      <c r="AH2465" s="1" t="s">
        <v>2360</v>
      </c>
      <c r="AI2465" s="1" t="s">
        <v>3170</v>
      </c>
      <c r="AJ2465" s="6" t="str">
        <f>IFERROR(__xludf.DUMMYFUNCTION("""COMPUTED_VALUE"""),"assume")</f>
        <v>assume</v>
      </c>
      <c r="AK2465" s="49"/>
      <c r="AL2465" s="49"/>
      <c r="AM2465" s="49"/>
      <c r="AN2465" s="52" t="str">
        <f t="shared" si="5"/>
        <v>lunch,</v>
      </c>
    </row>
    <row r="2466">
      <c r="A2466" s="51"/>
      <c r="B2466" s="50" t="s">
        <v>548</v>
      </c>
      <c r="C2466" s="50" t="s">
        <v>3545</v>
      </c>
      <c r="D2466" s="49" t="str">
        <f>IFERROR(__xludf.DUMMYFUNCTION("""COMPUTED_VALUE"""),"realm")</f>
        <v>realm</v>
      </c>
      <c r="E2466" s="49"/>
      <c r="F2466" s="49"/>
      <c r="G2466" s="49"/>
      <c r="H2466" s="54" t="str">
        <f t="shared" si="1"/>
        <v>south,</v>
      </c>
      <c r="I2466" s="50"/>
      <c r="J2466" s="50" t="s">
        <v>4218</v>
      </c>
      <c r="K2466" s="50" t="s">
        <v>2297</v>
      </c>
      <c r="L2466" s="49"/>
      <c r="M2466" s="49"/>
      <c r="N2466" s="49"/>
      <c r="O2466" s="49"/>
      <c r="P2466" s="49" t="str">
        <f t="shared" si="2"/>
        <v>arguments,</v>
      </c>
      <c r="Q2466" s="49"/>
      <c r="R2466" s="50" t="s">
        <v>7603</v>
      </c>
      <c r="S2466" s="55" t="s">
        <v>1140</v>
      </c>
      <c r="T2466" s="49"/>
      <c r="U2466" s="49"/>
      <c r="V2466" s="49"/>
      <c r="W2466" s="49"/>
      <c r="X2466" s="49" t="str">
        <f t="shared" si="3"/>
        <v>poke,</v>
      </c>
      <c r="Y2466" s="49"/>
      <c r="Z2466" s="1" t="s">
        <v>4166</v>
      </c>
      <c r="AA2466" s="1" t="s">
        <v>5620</v>
      </c>
      <c r="AB2466" s="49"/>
      <c r="AC2466" s="49"/>
      <c r="AD2466" s="49"/>
      <c r="AE2466" s="49"/>
      <c r="AF2466" s="49" t="str">
        <f t="shared" si="4"/>
        <v>committed,</v>
      </c>
      <c r="AG2466" s="49"/>
      <c r="AH2466" s="1" t="s">
        <v>2329</v>
      </c>
      <c r="AI2466" s="1" t="s">
        <v>1182</v>
      </c>
      <c r="AJ2466" s="6" t="str">
        <f>IFERROR(__xludf.DUMMYFUNCTION("""COMPUTED_VALUE"""),"length")</f>
        <v>length</v>
      </c>
      <c r="AK2466" s="49"/>
      <c r="AL2466" s="49"/>
      <c r="AM2466" s="49"/>
      <c r="AN2466" s="52" t="str">
        <f t="shared" si="5"/>
        <v>nba,</v>
      </c>
    </row>
    <row r="2467">
      <c r="A2467" s="51"/>
      <c r="B2467" s="50" t="s">
        <v>1050</v>
      </c>
      <c r="C2467" s="50" t="s">
        <v>6683</v>
      </c>
      <c r="D2467" s="49" t="str">
        <f>IFERROR(__xludf.DUMMYFUNCTION("""COMPUTED_VALUE"""),"allowed")</f>
        <v>allowed</v>
      </c>
      <c r="E2467" s="49"/>
      <c r="F2467" s="49"/>
      <c r="G2467" s="49"/>
      <c r="H2467" s="54" t="str">
        <f t="shared" si="1"/>
        <v>park,</v>
      </c>
      <c r="I2467" s="50"/>
      <c r="J2467" s="50" t="s">
        <v>2580</v>
      </c>
      <c r="K2467" s="50" t="s">
        <v>2301</v>
      </c>
      <c r="L2467" s="49"/>
      <c r="M2467" s="49"/>
      <c r="N2467" s="49"/>
      <c r="O2467" s="49"/>
      <c r="P2467" s="49" t="str">
        <f t="shared" si="2"/>
        <v>wherein,</v>
      </c>
      <c r="Q2467" s="49"/>
      <c r="R2467" s="50" t="s">
        <v>2428</v>
      </c>
      <c r="S2467" s="55" t="s">
        <v>3415</v>
      </c>
      <c r="T2467" s="49"/>
      <c r="U2467" s="49"/>
      <c r="V2467" s="49"/>
      <c r="W2467" s="49"/>
      <c r="X2467" s="49" t="str">
        <f t="shared" si="3"/>
        <v>classification,</v>
      </c>
      <c r="Y2467" s="49"/>
      <c r="Z2467" s="1" t="s">
        <v>3392</v>
      </c>
      <c r="AA2467" s="1" t="s">
        <v>5621</v>
      </c>
      <c r="AB2467" s="49"/>
      <c r="AC2467" s="49"/>
      <c r="AD2467" s="49"/>
      <c r="AE2467" s="49"/>
      <c r="AF2467" s="49" t="str">
        <f t="shared" si="4"/>
        <v>aged,</v>
      </c>
      <c r="AG2467" s="49"/>
      <c r="AH2467" s="1" t="s">
        <v>7069</v>
      </c>
      <c r="AI2467" s="1" t="s">
        <v>6747</v>
      </c>
      <c r="AJ2467" s="6" t="str">
        <f>IFERROR(__xludf.DUMMYFUNCTION("""COMPUTED_VALUE"""),"page")</f>
        <v>page</v>
      </c>
      <c r="AK2467" s="49"/>
      <c r="AL2467" s="49"/>
      <c r="AM2467" s="49"/>
      <c r="AN2467" s="52" t="str">
        <f t="shared" si="5"/>
        <v>aim,</v>
      </c>
    </row>
    <row r="2468">
      <c r="A2468" s="51"/>
      <c r="B2468" s="50" t="s">
        <v>4910</v>
      </c>
      <c r="C2468" s="50" t="s">
        <v>2010</v>
      </c>
      <c r="D2468" s="49" t="str">
        <f>IFERROR(__xludf.DUMMYFUNCTION("""COMPUTED_VALUE"""),"kate")</f>
        <v>kate</v>
      </c>
      <c r="E2468" s="49"/>
      <c r="F2468" s="49"/>
      <c r="G2468" s="49"/>
      <c r="H2468" s="54" t="str">
        <f t="shared" si="1"/>
        <v>tall,</v>
      </c>
      <c r="I2468" s="50"/>
      <c r="J2468" s="50" t="s">
        <v>3204</v>
      </c>
      <c r="K2468" s="50" t="s">
        <v>4123</v>
      </c>
      <c r="L2468" s="49"/>
      <c r="M2468" s="49"/>
      <c r="N2468" s="49"/>
      <c r="O2468" s="49"/>
      <c r="P2468" s="49" t="str">
        <f t="shared" si="2"/>
        <v>glass,</v>
      </c>
      <c r="Q2468" s="49"/>
      <c r="R2468" s="50" t="s">
        <v>5162</v>
      </c>
      <c r="S2468" s="55" t="s">
        <v>5031</v>
      </c>
      <c r="T2468" s="49"/>
      <c r="U2468" s="49"/>
      <c r="V2468" s="49"/>
      <c r="W2468" s="49"/>
      <c r="X2468" s="49" t="str">
        <f t="shared" si="3"/>
        <v>hardened,</v>
      </c>
      <c r="Y2468" s="49"/>
      <c r="Z2468" s="1" t="s">
        <v>3733</v>
      </c>
      <c r="AA2468" s="1" t="s">
        <v>1610</v>
      </c>
      <c r="AB2468" s="49"/>
      <c r="AC2468" s="49"/>
      <c r="AD2468" s="49"/>
      <c r="AE2468" s="49"/>
      <c r="AF2468" s="49" t="str">
        <f t="shared" si="4"/>
        <v>underneath,</v>
      </c>
      <c r="AG2468" s="49"/>
      <c r="AH2468" s="1" t="s">
        <v>2821</v>
      </c>
      <c r="AI2468" s="1" t="s">
        <v>5051</v>
      </c>
      <c r="AJ2468" s="6" t="str">
        <f>IFERROR(__xludf.DUMMYFUNCTION("""COMPUTED_VALUE"""),"ad")</f>
        <v>ad</v>
      </c>
      <c r="AK2468" s="49"/>
      <c r="AL2468" s="49"/>
      <c r="AM2468" s="49"/>
      <c r="AN2468" s="52" t="str">
        <f t="shared" si="5"/>
        <v>technology,</v>
      </c>
    </row>
    <row r="2469">
      <c r="A2469" s="51"/>
      <c r="B2469" s="50" t="s">
        <v>1668</v>
      </c>
      <c r="C2469" s="50" t="s">
        <v>1343</v>
      </c>
      <c r="D2469" s="49" t="str">
        <f>IFERROR(__xludf.DUMMYFUNCTION("""COMPUTED_VALUE"""),"scared")</f>
        <v>scared</v>
      </c>
      <c r="E2469" s="49"/>
      <c r="F2469" s="49"/>
      <c r="G2469" s="49"/>
      <c r="H2469" s="54" t="str">
        <f t="shared" si="1"/>
        <v>transformed,</v>
      </c>
      <c r="I2469" s="50"/>
      <c r="J2469" s="50" t="s">
        <v>7604</v>
      </c>
      <c r="K2469" s="50" t="s">
        <v>1860</v>
      </c>
      <c r="L2469" s="49"/>
      <c r="M2469" s="49"/>
      <c r="N2469" s="49"/>
      <c r="O2469" s="49"/>
      <c r="P2469" s="49" t="str">
        <f t="shared" si="2"/>
        <v>finer,</v>
      </c>
      <c r="Q2469" s="49"/>
      <c r="R2469" s="50" t="s">
        <v>551</v>
      </c>
      <c r="S2469" s="55" t="s">
        <v>3610</v>
      </c>
      <c r="T2469" s="49"/>
      <c r="U2469" s="49"/>
      <c r="V2469" s="49"/>
      <c r="W2469" s="49"/>
      <c r="X2469" s="49" t="str">
        <f t="shared" si="3"/>
        <v>compassion,</v>
      </c>
      <c r="Y2469" s="49"/>
      <c r="Z2469" s="1" t="s">
        <v>3625</v>
      </c>
      <c r="AA2469" s="1" t="s">
        <v>2877</v>
      </c>
      <c r="AB2469" s="49"/>
      <c r="AC2469" s="49"/>
      <c r="AD2469" s="49"/>
      <c r="AE2469" s="49"/>
      <c r="AF2469" s="49" t="str">
        <f t="shared" si="4"/>
        <v>aware,</v>
      </c>
      <c r="AG2469" s="49"/>
      <c r="AH2469" s="1" t="s">
        <v>4410</v>
      </c>
      <c r="AI2469" s="1" t="s">
        <v>3416</v>
      </c>
      <c r="AJ2469" s="6" t="str">
        <f>IFERROR(__xludf.DUMMYFUNCTION("""COMPUTED_VALUE"""),"guide")</f>
        <v>guide</v>
      </c>
      <c r="AK2469" s="49"/>
      <c r="AL2469" s="49"/>
      <c r="AM2469" s="49"/>
      <c r="AN2469" s="52" t="str">
        <f t="shared" si="5"/>
        <v>unit,</v>
      </c>
    </row>
    <row r="2470">
      <c r="A2470" s="51"/>
      <c r="B2470" s="50" t="s">
        <v>6712</v>
      </c>
      <c r="C2470" s="50" t="s">
        <v>6684</v>
      </c>
      <c r="D2470" s="49" t="str">
        <f>IFERROR(__xludf.DUMMYFUNCTION("""COMPUTED_VALUE"""),"admit")</f>
        <v>admit</v>
      </c>
      <c r="E2470" s="49"/>
      <c r="F2470" s="49"/>
      <c r="G2470" s="49"/>
      <c r="H2470" s="54" t="str">
        <f t="shared" si="1"/>
        <v>recognized,</v>
      </c>
      <c r="I2470" s="50"/>
      <c r="J2470" s="50" t="s">
        <v>903</v>
      </c>
      <c r="K2470" s="50" t="s">
        <v>3506</v>
      </c>
      <c r="L2470" s="49"/>
      <c r="M2470" s="49"/>
      <c r="N2470" s="49"/>
      <c r="O2470" s="49"/>
      <c r="P2470" s="49" t="str">
        <f t="shared" si="2"/>
        <v>pays,</v>
      </c>
      <c r="Q2470" s="49"/>
      <c r="R2470" s="50" t="s">
        <v>3867</v>
      </c>
      <c r="S2470" s="55" t="s">
        <v>2204</v>
      </c>
      <c r="T2470" s="49"/>
      <c r="U2470" s="49"/>
      <c r="V2470" s="49"/>
      <c r="W2470" s="49"/>
      <c r="X2470" s="49" t="str">
        <f t="shared" si="3"/>
        <v>swinging,</v>
      </c>
      <c r="Y2470" s="49"/>
      <c r="Z2470" s="1" t="s">
        <v>7495</v>
      </c>
      <c r="AA2470" s="1" t="s">
        <v>4669</v>
      </c>
      <c r="AB2470" s="49"/>
      <c r="AC2470" s="49"/>
      <c r="AD2470" s="49"/>
      <c r="AE2470" s="49"/>
      <c r="AF2470" s="49" t="str">
        <f t="shared" si="4"/>
        <v>caring,</v>
      </c>
      <c r="AG2470" s="49"/>
      <c r="AH2470" s="1" t="s">
        <v>1769</v>
      </c>
      <c r="AI2470" s="1" t="s">
        <v>6748</v>
      </c>
      <c r="AJ2470" s="6" t="str">
        <f>IFERROR(__xludf.DUMMYFUNCTION("""COMPUTED_VALUE"""),"rocket")</f>
        <v>rocket</v>
      </c>
      <c r="AK2470" s="49"/>
      <c r="AL2470" s="49"/>
      <c r="AM2470" s="49"/>
      <c r="AN2470" s="52" t="str">
        <f t="shared" si="5"/>
        <v>serves,</v>
      </c>
    </row>
    <row r="2471">
      <c r="A2471" s="51"/>
      <c r="B2471" s="50" t="s">
        <v>7001</v>
      </c>
      <c r="C2471" s="50" t="s">
        <v>6685</v>
      </c>
      <c r="D2471" s="49" t="str">
        <f>IFERROR(__xludf.DUMMYFUNCTION("""COMPUTED_VALUE"""),"gold")</f>
        <v>gold</v>
      </c>
      <c r="E2471" s="49"/>
      <c r="F2471" s="49"/>
      <c r="G2471" s="49"/>
      <c r="H2471" s="54" t="str">
        <f t="shared" si="1"/>
        <v>les,</v>
      </c>
      <c r="I2471" s="50"/>
      <c r="J2471" s="50" t="s">
        <v>4438</v>
      </c>
      <c r="K2471" s="50" t="s">
        <v>2674</v>
      </c>
      <c r="L2471" s="49"/>
      <c r="M2471" s="49"/>
      <c r="N2471" s="49"/>
      <c r="O2471" s="49"/>
      <c r="P2471" s="49" t="str">
        <f t="shared" si="2"/>
        <v>classify,</v>
      </c>
      <c r="Q2471" s="49"/>
      <c r="R2471" s="50" t="s">
        <v>5437</v>
      </c>
      <c r="S2471" s="55" t="s">
        <v>5034</v>
      </c>
      <c r="T2471" s="49"/>
      <c r="U2471" s="49"/>
      <c r="V2471" s="49"/>
      <c r="W2471" s="49"/>
      <c r="X2471" s="49" t="str">
        <f t="shared" si="3"/>
        <v>swiftly,</v>
      </c>
      <c r="Y2471" s="49"/>
      <c r="Z2471" s="1" t="s">
        <v>4555</v>
      </c>
      <c r="AA2471" s="1" t="s">
        <v>1615</v>
      </c>
      <c r="AB2471" s="49"/>
      <c r="AC2471" s="49"/>
      <c r="AD2471" s="49"/>
      <c r="AE2471" s="49"/>
      <c r="AF2471" s="49" t="str">
        <f t="shared" si="4"/>
        <v>ordinary,</v>
      </c>
      <c r="AG2471" s="49"/>
      <c r="AH2471" s="1" t="s">
        <v>3199</v>
      </c>
      <c r="AI2471" s="1" t="s">
        <v>4003</v>
      </c>
      <c r="AJ2471" s="6" t="str">
        <f>IFERROR(__xludf.DUMMYFUNCTION("""COMPUTED_VALUE"""),"phrase")</f>
        <v>phrase</v>
      </c>
      <c r="AK2471" s="49"/>
      <c r="AL2471" s="49"/>
      <c r="AM2471" s="49"/>
      <c r="AN2471" s="52" t="str">
        <f t="shared" si="5"/>
        <v>campbell,</v>
      </c>
    </row>
    <row r="2472">
      <c r="A2472" s="51"/>
      <c r="B2472" s="50" t="s">
        <v>2403</v>
      </c>
      <c r="C2472" s="50" t="s">
        <v>6677</v>
      </c>
      <c r="D2472" s="49" t="str">
        <f>IFERROR(__xludf.DUMMYFUNCTION("""COMPUTED_VALUE"""),"accurate")</f>
        <v>accurate</v>
      </c>
      <c r="E2472" s="49"/>
      <c r="F2472" s="49"/>
      <c r="G2472" s="49"/>
      <c r="H2472" s="54" t="str">
        <f t="shared" si="1"/>
        <v>impressed,</v>
      </c>
      <c r="I2472" s="50"/>
      <c r="J2472" s="50" t="s">
        <v>7541</v>
      </c>
      <c r="K2472" s="50" t="s">
        <v>2305</v>
      </c>
      <c r="L2472" s="49"/>
      <c r="M2472" s="49"/>
      <c r="N2472" s="49"/>
      <c r="O2472" s="49"/>
      <c r="P2472" s="49" t="str">
        <f t="shared" si="2"/>
        <v>harmon,</v>
      </c>
      <c r="Q2472" s="49"/>
      <c r="R2472" s="50" t="s">
        <v>4800</v>
      </c>
      <c r="S2472" s="55" t="s">
        <v>5670</v>
      </c>
      <c r="T2472" s="49"/>
      <c r="U2472" s="49"/>
      <c r="V2472" s="49"/>
      <c r="W2472" s="49"/>
      <c r="X2472" s="49" t="str">
        <f t="shared" si="3"/>
        <v>celebrate,</v>
      </c>
      <c r="Y2472" s="49"/>
      <c r="Z2472" s="1" t="s">
        <v>3671</v>
      </c>
      <c r="AA2472" s="1" t="s">
        <v>5624</v>
      </c>
      <c r="AB2472" s="49"/>
      <c r="AC2472" s="49"/>
      <c r="AD2472" s="49"/>
      <c r="AE2472" s="49"/>
      <c r="AF2472" s="49" t="str">
        <f t="shared" si="4"/>
        <v>spotlight,</v>
      </c>
      <c r="AG2472" s="49"/>
      <c r="AH2472" s="1" t="s">
        <v>7605</v>
      </c>
      <c r="AI2472" s="1" t="s">
        <v>4007</v>
      </c>
      <c r="AJ2472" s="6" t="str">
        <f>IFERROR(__xludf.DUMMYFUNCTION("""COMPUTED_VALUE"""),"joseph")</f>
        <v>joseph</v>
      </c>
      <c r="AK2472" s="49"/>
      <c r="AL2472" s="49"/>
      <c r="AM2472" s="49"/>
      <c r="AN2472" s="52" t="str">
        <f t="shared" si="5"/>
        <v>population,</v>
      </c>
    </row>
    <row r="2473">
      <c r="A2473" s="51"/>
      <c r="B2473" s="50" t="s">
        <v>2142</v>
      </c>
      <c r="C2473" s="50" t="s">
        <v>2028</v>
      </c>
      <c r="D2473" s="49" t="str">
        <f>IFERROR(__xludf.DUMMYFUNCTION("""COMPUTED_VALUE"""),"jackie")</f>
        <v>jackie</v>
      </c>
      <c r="E2473" s="49"/>
      <c r="F2473" s="49"/>
      <c r="G2473" s="49"/>
      <c r="H2473" s="54" t="str">
        <f t="shared" si="1"/>
        <v>designed,</v>
      </c>
      <c r="I2473" s="50"/>
      <c r="J2473" s="50" t="s">
        <v>4720</v>
      </c>
      <c r="K2473" s="50" t="s">
        <v>1206</v>
      </c>
      <c r="L2473" s="49"/>
      <c r="M2473" s="49"/>
      <c r="N2473" s="49"/>
      <c r="O2473" s="49"/>
      <c r="P2473" s="49" t="str">
        <f t="shared" si="2"/>
        <v>sporadic,</v>
      </c>
      <c r="Q2473" s="49"/>
      <c r="R2473" s="50" t="s">
        <v>3722</v>
      </c>
      <c r="S2473" s="55" t="s">
        <v>4297</v>
      </c>
      <c r="T2473" s="49"/>
      <c r="U2473" s="49"/>
      <c r="V2473" s="49"/>
      <c r="W2473" s="49"/>
      <c r="X2473" s="49" t="str">
        <f t="shared" si="3"/>
        <v>sermon,</v>
      </c>
      <c r="Y2473" s="49"/>
      <c r="Z2473" s="1" t="s">
        <v>4886</v>
      </c>
      <c r="AA2473" s="1" t="s">
        <v>5626</v>
      </c>
      <c r="AB2473" s="49"/>
      <c r="AC2473" s="49"/>
      <c r="AD2473" s="49"/>
      <c r="AE2473" s="49"/>
      <c r="AF2473" s="49" t="str">
        <f t="shared" si="4"/>
        <v>ball,</v>
      </c>
      <c r="AG2473" s="49"/>
      <c r="AH2473" s="1" t="s">
        <v>1857</v>
      </c>
      <c r="AI2473" s="1" t="s">
        <v>2797</v>
      </c>
      <c r="AJ2473" s="6" t="str">
        <f>IFERROR(__xludf.DUMMYFUNCTION("""COMPUTED_VALUE"""),"largely")</f>
        <v>largely</v>
      </c>
      <c r="AK2473" s="49"/>
      <c r="AL2473" s="49"/>
      <c r="AM2473" s="49"/>
      <c r="AN2473" s="52" t="str">
        <f t="shared" si="5"/>
        <v>chinese,</v>
      </c>
    </row>
    <row r="2474">
      <c r="A2474" s="51"/>
      <c r="B2474" s="50" t="s">
        <v>5264</v>
      </c>
      <c r="C2474" s="50" t="s">
        <v>1732</v>
      </c>
      <c r="D2474" s="49" t="str">
        <f>IFERROR(__xludf.DUMMYFUNCTION("""COMPUTED_VALUE"""),"wilson")</f>
        <v>wilson</v>
      </c>
      <c r="E2474" s="49"/>
      <c r="F2474" s="49"/>
      <c r="G2474" s="49"/>
      <c r="H2474" s="54" t="str">
        <f t="shared" si="1"/>
        <v>disease,</v>
      </c>
      <c r="I2474" s="50"/>
      <c r="J2474" s="50" t="s">
        <v>626</v>
      </c>
      <c r="K2474" s="50" t="s">
        <v>4024</v>
      </c>
      <c r="L2474" s="49"/>
      <c r="M2474" s="49"/>
      <c r="N2474" s="49"/>
      <c r="O2474" s="49"/>
      <c r="P2474" s="49" t="str">
        <f t="shared" si="2"/>
        <v>spirituality,</v>
      </c>
      <c r="Q2474" s="49"/>
      <c r="R2474" s="50" t="s">
        <v>4952</v>
      </c>
      <c r="S2474" s="55" t="s">
        <v>6749</v>
      </c>
      <c r="T2474" s="49"/>
      <c r="U2474" s="49"/>
      <c r="V2474" s="49"/>
      <c r="W2474" s="49"/>
      <c r="X2474" s="49" t="str">
        <f t="shared" si="3"/>
        <v>ninety,</v>
      </c>
      <c r="Y2474" s="49"/>
      <c r="Z2474" s="1" t="s">
        <v>545</v>
      </c>
      <c r="AA2474" s="1" t="s">
        <v>5628</v>
      </c>
      <c r="AB2474" s="49"/>
      <c r="AC2474" s="49"/>
      <c r="AD2474" s="49"/>
      <c r="AE2474" s="49"/>
      <c r="AF2474" s="49" t="str">
        <f t="shared" si="4"/>
        <v>significant,</v>
      </c>
      <c r="AG2474" s="49"/>
      <c r="AH2474" s="1" t="s">
        <v>3331</v>
      </c>
      <c r="AI2474" s="1" t="s">
        <v>5516</v>
      </c>
      <c r="AJ2474" s="6" t="str">
        <f>IFERROR(__xludf.DUMMYFUNCTION("""COMPUTED_VALUE"""),"seek")</f>
        <v>seek</v>
      </c>
      <c r="AK2474" s="49"/>
      <c r="AL2474" s="49"/>
      <c r="AM2474" s="49"/>
      <c r="AN2474" s="52" t="str">
        <f t="shared" si="5"/>
        <v>china,</v>
      </c>
    </row>
    <row r="2475">
      <c r="A2475" s="51"/>
      <c r="B2475" s="50" t="s">
        <v>7122</v>
      </c>
      <c r="C2475" s="50" t="s">
        <v>2433</v>
      </c>
      <c r="D2475" s="49" t="str">
        <f>IFERROR(__xludf.DUMMYFUNCTION("""COMPUTED_VALUE"""),"owen")</f>
        <v>owen</v>
      </c>
      <c r="E2475" s="49"/>
      <c r="F2475" s="49"/>
      <c r="G2475" s="49"/>
      <c r="H2475" s="54" t="str">
        <f t="shared" si="1"/>
        <v>breed,</v>
      </c>
      <c r="I2475" s="50"/>
      <c r="J2475" s="50" t="s">
        <v>3223</v>
      </c>
      <c r="K2475" s="50" t="s">
        <v>1544</v>
      </c>
      <c r="L2475" s="49"/>
      <c r="M2475" s="49"/>
      <c r="N2475" s="49"/>
      <c r="O2475" s="49"/>
      <c r="P2475" s="49" t="str">
        <f t="shared" si="2"/>
        <v>delivering,</v>
      </c>
      <c r="Q2475" s="49"/>
      <c r="R2475" s="50" t="s">
        <v>4323</v>
      </c>
      <c r="S2475" s="55" t="s">
        <v>4259</v>
      </c>
      <c r="T2475" s="49"/>
      <c r="U2475" s="49"/>
      <c r="V2475" s="49"/>
      <c r="W2475" s="49"/>
      <c r="X2475" s="49" t="str">
        <f t="shared" si="3"/>
        <v>rap,</v>
      </c>
      <c r="Y2475" s="49"/>
      <c r="Z2475" s="1" t="s">
        <v>4351</v>
      </c>
      <c r="AA2475" s="1" t="s">
        <v>4795</v>
      </c>
      <c r="AB2475" s="49"/>
      <c r="AC2475" s="49"/>
      <c r="AD2475" s="49"/>
      <c r="AE2475" s="49"/>
      <c r="AF2475" s="49" t="str">
        <f t="shared" si="4"/>
        <v>mixture,</v>
      </c>
      <c r="AG2475" s="49"/>
      <c r="AH2475" s="1" t="s">
        <v>3376</v>
      </c>
      <c r="AI2475" s="1" t="s">
        <v>6750</v>
      </c>
      <c r="AJ2475" s="6" t="str">
        <f>IFERROR(__xludf.DUMMYFUNCTION("""COMPUTED_VALUE"""),"base")</f>
        <v>base</v>
      </c>
      <c r="AK2475" s="49"/>
      <c r="AL2475" s="49"/>
      <c r="AM2475" s="49"/>
      <c r="AN2475" s="52" t="str">
        <f t="shared" si="5"/>
        <v>laws,</v>
      </c>
    </row>
    <row r="2476">
      <c r="A2476" s="51"/>
      <c r="B2476" s="50" t="s">
        <v>921</v>
      </c>
      <c r="C2476" s="50" t="s">
        <v>1851</v>
      </c>
      <c r="D2476" s="49" t="str">
        <f>IFERROR(__xludf.DUMMYFUNCTION("""COMPUTED_VALUE"""),"knowing")</f>
        <v>knowing</v>
      </c>
      <c r="E2476" s="49"/>
      <c r="F2476" s="49"/>
      <c r="G2476" s="49"/>
      <c r="H2476" s="54" t="str">
        <f t="shared" si="1"/>
        <v>creates,</v>
      </c>
      <c r="I2476" s="50"/>
      <c r="J2476" s="50" t="s">
        <v>5774</v>
      </c>
      <c r="K2476" s="50" t="s">
        <v>4129</v>
      </c>
      <c r="L2476" s="49"/>
      <c r="M2476" s="49"/>
      <c r="N2476" s="49"/>
      <c r="O2476" s="49"/>
      <c r="P2476" s="49" t="str">
        <f t="shared" si="2"/>
        <v>blazing,</v>
      </c>
      <c r="Q2476" s="49"/>
      <c r="R2476" s="50" t="s">
        <v>4794</v>
      </c>
      <c r="S2476" s="55" t="s">
        <v>1488</v>
      </c>
      <c r="T2476" s="49"/>
      <c r="U2476" s="49"/>
      <c r="V2476" s="49"/>
      <c r="W2476" s="49"/>
      <c r="X2476" s="49" t="str">
        <f t="shared" si="3"/>
        <v>round,</v>
      </c>
      <c r="Y2476" s="49"/>
      <c r="Z2476" s="1" t="s">
        <v>4614</v>
      </c>
      <c r="AA2476" s="1" t="s">
        <v>5630</v>
      </c>
      <c r="AB2476" s="49"/>
      <c r="AC2476" s="49"/>
      <c r="AD2476" s="49"/>
      <c r="AE2476" s="49"/>
      <c r="AF2476" s="49" t="str">
        <f t="shared" si="4"/>
        <v>glory,</v>
      </c>
      <c r="AG2476" s="49"/>
      <c r="AH2476" s="1" t="s">
        <v>3747</v>
      </c>
      <c r="AI2476" s="1" t="s">
        <v>5681</v>
      </c>
      <c r="AJ2476" s="6" t="str">
        <f>IFERROR(__xludf.DUMMYFUNCTION("""COMPUTED_VALUE"""),"driven")</f>
        <v>driven</v>
      </c>
      <c r="AK2476" s="49"/>
      <c r="AL2476" s="49"/>
      <c r="AM2476" s="49"/>
      <c r="AN2476" s="52" t="str">
        <f t="shared" si="5"/>
        <v>improved,</v>
      </c>
    </row>
    <row r="2477">
      <c r="A2477" s="51"/>
      <c r="B2477" s="50" t="s">
        <v>6987</v>
      </c>
      <c r="C2477" s="50" t="s">
        <v>1419</v>
      </c>
      <c r="D2477" s="49" t="str">
        <f>IFERROR(__xludf.DUMMYFUNCTION("""COMPUTED_VALUE"""),"appreciate")</f>
        <v>appreciate</v>
      </c>
      <c r="E2477" s="49"/>
      <c r="F2477" s="49"/>
      <c r="G2477" s="49"/>
      <c r="H2477" s="54" t="str">
        <f t="shared" si="1"/>
        <v>enhanced,</v>
      </c>
      <c r="I2477" s="50"/>
      <c r="J2477" s="50" t="s">
        <v>4309</v>
      </c>
      <c r="K2477" s="50" t="s">
        <v>4130</v>
      </c>
      <c r="L2477" s="49"/>
      <c r="M2477" s="49"/>
      <c r="N2477" s="49"/>
      <c r="O2477" s="49"/>
      <c r="P2477" s="49" t="str">
        <f t="shared" si="2"/>
        <v>stalking,</v>
      </c>
      <c r="Q2477" s="49"/>
      <c r="R2477" s="50" t="s">
        <v>2764</v>
      </c>
      <c r="S2477" s="55" t="s">
        <v>5039</v>
      </c>
      <c r="T2477" s="49"/>
      <c r="U2477" s="49"/>
      <c r="V2477" s="49"/>
      <c r="W2477" s="49"/>
      <c r="X2477" s="49" t="str">
        <f t="shared" si="3"/>
        <v>governments,</v>
      </c>
      <c r="Y2477" s="49"/>
      <c r="Z2477" s="1" t="s">
        <v>2753</v>
      </c>
      <c r="AA2477" s="1" t="s">
        <v>5632</v>
      </c>
      <c r="AB2477" s="49"/>
      <c r="AC2477" s="49"/>
      <c r="AD2477" s="49"/>
      <c r="AE2477" s="49"/>
      <c r="AF2477" s="49" t="str">
        <f t="shared" si="4"/>
        <v>rely,</v>
      </c>
      <c r="AG2477" s="49"/>
      <c r="AH2477" s="1" t="s">
        <v>3693</v>
      </c>
      <c r="AI2477" s="1" t="s">
        <v>6751</v>
      </c>
      <c r="AJ2477" s="6" t="str">
        <f>IFERROR(__xludf.DUMMYFUNCTION("""COMPUTED_VALUE"""),"graham")</f>
        <v>graham</v>
      </c>
      <c r="AK2477" s="49"/>
      <c r="AL2477" s="49"/>
      <c r="AM2477" s="49"/>
      <c r="AN2477" s="52" t="str">
        <f t="shared" si="5"/>
        <v>factor,</v>
      </c>
    </row>
    <row r="2478">
      <c r="A2478" s="51"/>
      <c r="B2478" s="50" t="s">
        <v>3956</v>
      </c>
      <c r="C2478" s="50" t="s">
        <v>6679</v>
      </c>
      <c r="D2478" s="49" t="str">
        <f>IFERROR(__xludf.DUMMYFUNCTION("""COMPUTED_VALUE"""),"pink")</f>
        <v>pink</v>
      </c>
      <c r="E2478" s="49"/>
      <c r="F2478" s="49"/>
      <c r="G2478" s="49"/>
      <c r="H2478" s="54" t="str">
        <f t="shared" si="1"/>
        <v>common,</v>
      </c>
      <c r="I2478" s="50"/>
      <c r="J2478" s="50" t="s">
        <v>4810</v>
      </c>
      <c r="K2478" s="50" t="s">
        <v>1552</v>
      </c>
      <c r="L2478" s="49"/>
      <c r="M2478" s="49"/>
      <c r="N2478" s="49"/>
      <c r="O2478" s="49"/>
      <c r="P2478" s="49" t="str">
        <f t="shared" si="2"/>
        <v>treasure,</v>
      </c>
      <c r="Q2478" s="49"/>
      <c r="R2478" s="50" t="s">
        <v>6364</v>
      </c>
      <c r="S2478" s="55" t="s">
        <v>3170</v>
      </c>
      <c r="T2478" s="49"/>
      <c r="U2478" s="49"/>
      <c r="V2478" s="49"/>
      <c r="W2478" s="49"/>
      <c r="X2478" s="49" t="str">
        <f t="shared" si="3"/>
        <v>shared,</v>
      </c>
      <c r="Y2478" s="49"/>
      <c r="Z2478" s="1" t="s">
        <v>3123</v>
      </c>
      <c r="AA2478" s="1" t="s">
        <v>5633</v>
      </c>
      <c r="AB2478" s="49"/>
      <c r="AC2478" s="49"/>
      <c r="AD2478" s="49"/>
      <c r="AE2478" s="49"/>
      <c r="AF2478" s="49" t="str">
        <f t="shared" si="4"/>
        <v>conflict,</v>
      </c>
      <c r="AG2478" s="49"/>
      <c r="AH2478" s="1" t="s">
        <v>3728</v>
      </c>
      <c r="AI2478" s="1" t="s">
        <v>4021</v>
      </c>
      <c r="AJ2478" s="6" t="str">
        <f>IFERROR(__xludf.DUMMYFUNCTION("""COMPUTED_VALUE"""),"italian")</f>
        <v>italian</v>
      </c>
      <c r="AK2478" s="49"/>
      <c r="AL2478" s="49"/>
      <c r="AM2478" s="49"/>
      <c r="AN2478" s="52" t="str">
        <f t="shared" si="5"/>
        <v>anderson,</v>
      </c>
    </row>
    <row r="2479">
      <c r="A2479" s="51"/>
      <c r="B2479" s="50" t="s">
        <v>894</v>
      </c>
      <c r="C2479" s="50" t="s">
        <v>3237</v>
      </c>
      <c r="D2479" s="49" t="str">
        <f>IFERROR(__xludf.DUMMYFUNCTION("""COMPUTED_VALUE"""),"stare")</f>
        <v>stare</v>
      </c>
      <c r="E2479" s="49"/>
      <c r="F2479" s="49"/>
      <c r="G2479" s="49"/>
      <c r="H2479" s="54" t="str">
        <f t="shared" si="1"/>
        <v>champion,</v>
      </c>
      <c r="I2479" s="50"/>
      <c r="J2479" s="50" t="s">
        <v>2636</v>
      </c>
      <c r="K2479" s="50" t="s">
        <v>4131</v>
      </c>
      <c r="L2479" s="49"/>
      <c r="M2479" s="49"/>
      <c r="N2479" s="49"/>
      <c r="O2479" s="49"/>
      <c r="P2479" s="49" t="str">
        <f t="shared" si="2"/>
        <v>finely,</v>
      </c>
      <c r="Q2479" s="49"/>
      <c r="R2479" s="50" t="s">
        <v>4919</v>
      </c>
      <c r="S2479" s="55" t="s">
        <v>1182</v>
      </c>
      <c r="T2479" s="49"/>
      <c r="U2479" s="49"/>
      <c r="V2479" s="49"/>
      <c r="W2479" s="49"/>
      <c r="X2479" s="49" t="str">
        <f t="shared" si="3"/>
        <v>conflicts,</v>
      </c>
      <c r="Y2479" s="49"/>
      <c r="Z2479" s="1" t="s">
        <v>2355</v>
      </c>
      <c r="AA2479" s="1" t="s">
        <v>2886</v>
      </c>
      <c r="AB2479" s="49"/>
      <c r="AC2479" s="49"/>
      <c r="AD2479" s="49"/>
      <c r="AE2479" s="49"/>
      <c r="AF2479" s="49" t="str">
        <f t="shared" si="4"/>
        <v>pat,</v>
      </c>
      <c r="AG2479" s="49"/>
      <c r="AH2479" s="1" t="s">
        <v>969</v>
      </c>
      <c r="AI2479" s="1" t="s">
        <v>5897</v>
      </c>
      <c r="AJ2479" s="6">
        <f>IFERROR(__xludf.DUMMYFUNCTION("""COMPUTED_VALUE"""),1980.0)</f>
        <v>1980</v>
      </c>
      <c r="AK2479" s="49"/>
      <c r="AL2479" s="49"/>
      <c r="AM2479" s="49"/>
      <c r="AN2479" s="52" t="str">
        <f t="shared" si="5"/>
        <v>flesh,</v>
      </c>
    </row>
    <row r="2480">
      <c r="A2480" s="51"/>
      <c r="B2480" s="50" t="s">
        <v>7414</v>
      </c>
      <c r="C2480" s="50">
        <v>1993.0</v>
      </c>
      <c r="D2480" s="49" t="str">
        <f>IFERROR(__xludf.DUMMYFUNCTION("""COMPUTED_VALUE"""),"heritage")</f>
        <v>heritage</v>
      </c>
      <c r="E2480" s="49"/>
      <c r="F2480" s="49"/>
      <c r="G2480" s="49"/>
      <c r="H2480" s="54" t="str">
        <f t="shared" si="1"/>
        <v>hank,</v>
      </c>
      <c r="I2480" s="50"/>
      <c r="J2480" s="50" t="s">
        <v>1807</v>
      </c>
      <c r="K2480" s="50" t="s">
        <v>3518</v>
      </c>
      <c r="L2480" s="49"/>
      <c r="M2480" s="49"/>
      <c r="N2480" s="49"/>
      <c r="O2480" s="49"/>
      <c r="P2480" s="49" t="str">
        <f t="shared" si="2"/>
        <v>shirt,</v>
      </c>
      <c r="Q2480" s="49"/>
      <c r="R2480" s="50" t="s">
        <v>4139</v>
      </c>
      <c r="S2480" s="55" t="s">
        <v>6747</v>
      </c>
      <c r="T2480" s="49"/>
      <c r="U2480" s="49"/>
      <c r="V2480" s="49"/>
      <c r="W2480" s="49"/>
      <c r="X2480" s="49" t="str">
        <f t="shared" si="3"/>
        <v>bags,</v>
      </c>
      <c r="Y2480" s="49"/>
      <c r="Z2480" s="1" t="s">
        <v>2249</v>
      </c>
      <c r="AA2480" s="1" t="s">
        <v>4577</v>
      </c>
      <c r="AB2480" s="49"/>
      <c r="AC2480" s="49"/>
      <c r="AD2480" s="49"/>
      <c r="AE2480" s="49"/>
      <c r="AF2480" s="49" t="str">
        <f t="shared" si="4"/>
        <v>tunes,</v>
      </c>
      <c r="AG2480" s="49"/>
      <c r="AH2480" s="1" t="s">
        <v>5607</v>
      </c>
      <c r="AI2480" s="1" t="s">
        <v>6752</v>
      </c>
      <c r="AJ2480" s="6" t="str">
        <f>IFERROR(__xludf.DUMMYFUNCTION("""COMPUTED_VALUE"""),"enter")</f>
        <v>enter</v>
      </c>
      <c r="AK2480" s="49"/>
      <c r="AL2480" s="49"/>
      <c r="AM2480" s="49"/>
      <c r="AN2480" s="52" t="str">
        <f t="shared" si="5"/>
        <v>burst,</v>
      </c>
    </row>
    <row r="2481">
      <c r="A2481" s="51"/>
      <c r="B2481" s="50" t="s">
        <v>7606</v>
      </c>
      <c r="C2481" s="50" t="s">
        <v>3241</v>
      </c>
      <c r="D2481" s="49" t="str">
        <f>IFERROR(__xludf.DUMMYFUNCTION("""COMPUTED_VALUE"""),"victims")</f>
        <v>victims</v>
      </c>
      <c r="E2481" s="49"/>
      <c r="F2481" s="49"/>
      <c r="G2481" s="49"/>
      <c r="H2481" s="54" t="str">
        <f t="shared" si="1"/>
        <v>furious,</v>
      </c>
      <c r="I2481" s="50"/>
      <c r="J2481" s="50" t="s">
        <v>4700</v>
      </c>
      <c r="K2481" s="50" t="s">
        <v>1210</v>
      </c>
      <c r="L2481" s="49"/>
      <c r="M2481" s="49"/>
      <c r="N2481" s="49"/>
      <c r="O2481" s="49"/>
      <c r="P2481" s="49" t="str">
        <f t="shared" si="2"/>
        <v>balancing,</v>
      </c>
      <c r="Q2481" s="49"/>
      <c r="R2481" s="50" t="s">
        <v>3834</v>
      </c>
      <c r="S2481" s="55" t="s">
        <v>2206</v>
      </c>
      <c r="T2481" s="49"/>
      <c r="U2481" s="49"/>
      <c r="V2481" s="49"/>
      <c r="W2481" s="49"/>
      <c r="X2481" s="49" t="str">
        <f t="shared" si="3"/>
        <v>evenings,</v>
      </c>
      <c r="Y2481" s="49"/>
      <c r="Z2481" s="1" t="s">
        <v>2110</v>
      </c>
      <c r="AA2481" s="1" t="s">
        <v>2892</v>
      </c>
      <c r="AB2481" s="49"/>
      <c r="AC2481" s="49"/>
      <c r="AD2481" s="49"/>
      <c r="AE2481" s="49"/>
      <c r="AF2481" s="49" t="str">
        <f t="shared" si="4"/>
        <v>substances,</v>
      </c>
      <c r="AG2481" s="49"/>
      <c r="AH2481" s="1" t="s">
        <v>5044</v>
      </c>
      <c r="AI2481" s="1" t="s">
        <v>1503</v>
      </c>
      <c r="AJ2481" s="6" t="str">
        <f>IFERROR(__xludf.DUMMYFUNCTION("""COMPUTED_VALUE"""),"shower")</f>
        <v>shower</v>
      </c>
      <c r="AK2481" s="49"/>
      <c r="AL2481" s="49"/>
      <c r="AM2481" s="49"/>
      <c r="AN2481" s="52" t="str">
        <f t="shared" si="5"/>
        <v>sons,</v>
      </c>
    </row>
    <row r="2482">
      <c r="A2482" s="51"/>
      <c r="B2482" s="50" t="s">
        <v>3541</v>
      </c>
      <c r="C2482" s="50" t="s">
        <v>2494</v>
      </c>
      <c r="D2482" s="49" t="str">
        <f>IFERROR(__xludf.DUMMYFUNCTION("""COMPUTED_VALUE"""),"unknown")</f>
        <v>unknown</v>
      </c>
      <c r="E2482" s="49"/>
      <c r="F2482" s="49"/>
      <c r="G2482" s="49"/>
      <c r="H2482" s="54" t="str">
        <f t="shared" si="1"/>
        <v>upper,</v>
      </c>
      <c r="I2482" s="50"/>
      <c r="J2482" s="50" t="s">
        <v>1273</v>
      </c>
      <c r="K2482" s="50" t="s">
        <v>2311</v>
      </c>
      <c r="L2482" s="49"/>
      <c r="M2482" s="49"/>
      <c r="N2482" s="49"/>
      <c r="O2482" s="49"/>
      <c r="P2482" s="49" t="str">
        <f t="shared" si="2"/>
        <v>capture,</v>
      </c>
      <c r="Q2482" s="49"/>
      <c r="R2482" s="50" t="s">
        <v>5640</v>
      </c>
      <c r="S2482" s="55" t="s">
        <v>3999</v>
      </c>
      <c r="T2482" s="49"/>
      <c r="U2482" s="49"/>
      <c r="V2482" s="49"/>
      <c r="W2482" s="49"/>
      <c r="X2482" s="49" t="str">
        <f t="shared" si="3"/>
        <v>mist,</v>
      </c>
      <c r="Y2482" s="49"/>
      <c r="Z2482" s="1" t="s">
        <v>2970</v>
      </c>
      <c r="AA2482" s="1" t="s">
        <v>5634</v>
      </c>
      <c r="AB2482" s="49"/>
      <c r="AC2482" s="49"/>
      <c r="AD2482" s="49"/>
      <c r="AE2482" s="49"/>
      <c r="AF2482" s="49" t="str">
        <f t="shared" si="4"/>
        <v>imaginative,</v>
      </c>
      <c r="AG2482" s="49"/>
      <c r="AH2482" s="1" t="s">
        <v>4814</v>
      </c>
      <c r="AI2482" s="1" t="s">
        <v>6753</v>
      </c>
      <c r="AJ2482" s="6" t="str">
        <f>IFERROR(__xludf.DUMMYFUNCTION("""COMPUTED_VALUE"""),"achievement")</f>
        <v>achievement</v>
      </c>
      <c r="AK2482" s="49"/>
      <c r="AL2482" s="49"/>
      <c r="AM2482" s="49"/>
      <c r="AN2482" s="52" t="str">
        <f t="shared" si="5"/>
        <v>attached,</v>
      </c>
    </row>
    <row r="2483">
      <c r="A2483" s="51"/>
      <c r="B2483" s="50" t="s">
        <v>3958</v>
      </c>
      <c r="C2483" s="50" t="s">
        <v>1310</v>
      </c>
      <c r="D2483" s="49" t="str">
        <f>IFERROR(__xludf.DUMMYFUNCTION("""COMPUTED_VALUE"""),"proceedings")</f>
        <v>proceedings</v>
      </c>
      <c r="E2483" s="49"/>
      <c r="F2483" s="49"/>
      <c r="G2483" s="49"/>
      <c r="H2483" s="54" t="str">
        <f t="shared" si="1"/>
        <v>safe,</v>
      </c>
      <c r="I2483" s="50"/>
      <c r="J2483" s="50" t="s">
        <v>6116</v>
      </c>
      <c r="K2483" s="50" t="s">
        <v>4135</v>
      </c>
      <c r="L2483" s="49"/>
      <c r="M2483" s="49"/>
      <c r="N2483" s="49"/>
      <c r="O2483" s="49"/>
      <c r="P2483" s="49" t="str">
        <f t="shared" si="2"/>
        <v>wherever,</v>
      </c>
      <c r="Q2483" s="49"/>
      <c r="R2483" s="49"/>
      <c r="S2483" s="55" t="s">
        <v>5051</v>
      </c>
      <c r="T2483" s="49"/>
      <c r="U2483" s="49"/>
      <c r="V2483" s="49"/>
      <c r="W2483" s="49"/>
      <c r="X2483" s="49" t="str">
        <f t="shared" si="3"/>
        <v>,</v>
      </c>
      <c r="Y2483" s="49"/>
      <c r="Z2483" s="1" t="s">
        <v>468</v>
      </c>
      <c r="AA2483" s="1" t="s">
        <v>2895</v>
      </c>
      <c r="AB2483" s="49"/>
      <c r="AC2483" s="49"/>
      <c r="AD2483" s="49"/>
      <c r="AE2483" s="49"/>
      <c r="AF2483" s="49" t="str">
        <f t="shared" si="4"/>
        <v>meaningful,</v>
      </c>
      <c r="AG2483" s="49"/>
      <c r="AH2483" s="1" t="s">
        <v>5288</v>
      </c>
      <c r="AI2483" s="1" t="s">
        <v>5530</v>
      </c>
      <c r="AJ2483" s="6" t="str">
        <f>IFERROR(__xludf.DUMMYFUNCTION("""COMPUTED_VALUE"""),"marketing")</f>
        <v>marketing</v>
      </c>
      <c r="AK2483" s="49"/>
      <c r="AL2483" s="49"/>
      <c r="AM2483" s="49"/>
      <c r="AN2483" s="52" t="str">
        <f t="shared" si="5"/>
        <v>wall,</v>
      </c>
    </row>
    <row r="2484">
      <c r="A2484" s="51"/>
      <c r="B2484" s="50" t="s">
        <v>6925</v>
      </c>
      <c r="C2484" s="50" t="s">
        <v>6754</v>
      </c>
      <c r="D2484" s="49" t="str">
        <f>IFERROR(__xludf.DUMMYFUNCTION("""COMPUTED_VALUE"""),"adds")</f>
        <v>adds</v>
      </c>
      <c r="E2484" s="49"/>
      <c r="F2484" s="49"/>
      <c r="G2484" s="49"/>
      <c r="H2484" s="54" t="str">
        <f t="shared" si="1"/>
        <v>walker,</v>
      </c>
      <c r="I2484" s="50"/>
      <c r="J2484" s="50" t="s">
        <v>2941</v>
      </c>
      <c r="K2484" s="50" t="s">
        <v>4659</v>
      </c>
      <c r="L2484" s="49"/>
      <c r="M2484" s="49"/>
      <c r="N2484" s="49"/>
      <c r="O2484" s="49"/>
      <c r="P2484" s="49" t="str">
        <f t="shared" si="2"/>
        <v>sincere,</v>
      </c>
      <c r="Q2484" s="49"/>
      <c r="R2484" s="49"/>
      <c r="S2484" s="55" t="s">
        <v>2208</v>
      </c>
      <c r="T2484" s="49"/>
      <c r="U2484" s="49"/>
      <c r="V2484" s="49"/>
      <c r="W2484" s="49"/>
      <c r="X2484" s="49" t="str">
        <f t="shared" si="3"/>
        <v>,</v>
      </c>
      <c r="Y2484" s="49"/>
      <c r="Z2484" s="1" t="s">
        <v>1897</v>
      </c>
      <c r="AA2484" s="1" t="s">
        <v>5636</v>
      </c>
      <c r="AB2484" s="49"/>
      <c r="AC2484" s="49"/>
      <c r="AD2484" s="49"/>
      <c r="AE2484" s="49"/>
      <c r="AF2484" s="49" t="str">
        <f t="shared" si="4"/>
        <v>thoughtful,</v>
      </c>
      <c r="AG2484" s="49"/>
      <c r="AH2484" s="1" t="s">
        <v>509</v>
      </c>
      <c r="AI2484" s="1" t="s">
        <v>3109</v>
      </c>
      <c r="AJ2484" s="6" t="str">
        <f>IFERROR(__xludf.DUMMYFUNCTION("""COMPUTED_VALUE"""),"holiday")</f>
        <v>holiday</v>
      </c>
      <c r="AK2484" s="49"/>
      <c r="AL2484" s="49"/>
      <c r="AM2484" s="49"/>
      <c r="AN2484" s="52" t="str">
        <f t="shared" si="5"/>
        <v>smile,</v>
      </c>
    </row>
    <row r="2485">
      <c r="A2485" s="51"/>
      <c r="B2485" s="50" t="s">
        <v>6512</v>
      </c>
      <c r="C2485" s="50" t="s">
        <v>1677</v>
      </c>
      <c r="D2485" s="49" t="str">
        <f>IFERROR(__xludf.DUMMYFUNCTION("""COMPUTED_VALUE"""),"regret")</f>
        <v>regret</v>
      </c>
      <c r="E2485" s="49"/>
      <c r="F2485" s="49"/>
      <c r="G2485" s="49"/>
      <c r="H2485" s="54" t="str">
        <f t="shared" si="1"/>
        <v>daily,</v>
      </c>
      <c r="I2485" s="50"/>
      <c r="J2485" s="50" t="s">
        <v>2949</v>
      </c>
      <c r="K2485" s="50" t="s">
        <v>2315</v>
      </c>
      <c r="L2485" s="49"/>
      <c r="M2485" s="49"/>
      <c r="N2485" s="49"/>
      <c r="O2485" s="49"/>
      <c r="P2485" s="49" t="str">
        <f t="shared" si="2"/>
        <v>ceremonies,</v>
      </c>
      <c r="Q2485" s="49"/>
      <c r="R2485" s="49"/>
      <c r="S2485" s="55" t="s">
        <v>4010</v>
      </c>
      <c r="T2485" s="49"/>
      <c r="U2485" s="49"/>
      <c r="V2485" s="49"/>
      <c r="W2485" s="49"/>
      <c r="X2485" s="49" t="str">
        <f t="shared" si="3"/>
        <v>,</v>
      </c>
      <c r="Y2485" s="49"/>
      <c r="Z2485" s="1" t="s">
        <v>5021</v>
      </c>
      <c r="AA2485" s="1" t="s">
        <v>1019</v>
      </c>
      <c r="AB2485" s="49"/>
      <c r="AC2485" s="49"/>
      <c r="AD2485" s="49"/>
      <c r="AE2485" s="49"/>
      <c r="AF2485" s="49" t="str">
        <f t="shared" si="4"/>
        <v>utter,</v>
      </c>
      <c r="AG2485" s="49"/>
      <c r="AH2485" s="1" t="s">
        <v>4533</v>
      </c>
      <c r="AI2485" s="1" t="s">
        <v>6755</v>
      </c>
      <c r="AJ2485" s="6" t="str">
        <f>IFERROR(__xludf.DUMMYFUNCTION("""COMPUTED_VALUE"""),"convention")</f>
        <v>convention</v>
      </c>
      <c r="AK2485" s="49"/>
      <c r="AL2485" s="49"/>
      <c r="AM2485" s="49"/>
      <c r="AN2485" s="52" t="str">
        <f t="shared" si="5"/>
        <v>rushed,</v>
      </c>
    </row>
    <row r="2486">
      <c r="A2486" s="51"/>
      <c r="B2486" s="50" t="s">
        <v>2600</v>
      </c>
      <c r="C2486" s="50" t="s">
        <v>5282</v>
      </c>
      <c r="D2486" s="49">
        <f>IFERROR(__xludf.DUMMYFUNCTION("""COMPUTED_VALUE"""),11.0)</f>
        <v>11</v>
      </c>
      <c r="E2486" s="49"/>
      <c r="F2486" s="49"/>
      <c r="G2486" s="49"/>
      <c r="H2486" s="54" t="str">
        <f t="shared" si="1"/>
        <v>equivalent,</v>
      </c>
      <c r="I2486" s="50"/>
      <c r="J2486" s="50" t="s">
        <v>7607</v>
      </c>
      <c r="K2486" s="50" t="s">
        <v>1217</v>
      </c>
      <c r="L2486" s="49"/>
      <c r="M2486" s="49"/>
      <c r="N2486" s="49"/>
      <c r="O2486" s="49"/>
      <c r="P2486" s="49" t="str">
        <f t="shared" si="2"/>
        <v>bout,</v>
      </c>
      <c r="Q2486" s="49"/>
      <c r="R2486" s="49"/>
      <c r="S2486" s="55" t="s">
        <v>4007</v>
      </c>
      <c r="T2486" s="49"/>
      <c r="U2486" s="49"/>
      <c r="V2486" s="49"/>
      <c r="W2486" s="49"/>
      <c r="X2486" s="49" t="str">
        <f t="shared" si="3"/>
        <v>,</v>
      </c>
      <c r="Y2486" s="49"/>
      <c r="Z2486" s="1" t="s">
        <v>3514</v>
      </c>
      <c r="AA2486" s="1" t="s">
        <v>4268</v>
      </c>
      <c r="AB2486" s="49"/>
      <c r="AC2486" s="49"/>
      <c r="AD2486" s="49"/>
      <c r="AE2486" s="49"/>
      <c r="AF2486" s="49" t="str">
        <f t="shared" si="4"/>
        <v>harris,</v>
      </c>
      <c r="AG2486" s="49"/>
      <c r="AH2486" s="1" t="s">
        <v>1716</v>
      </c>
      <c r="AI2486" s="1" t="s">
        <v>4032</v>
      </c>
      <c r="AJ2486" s="6" t="str">
        <f>IFERROR(__xludf.DUMMYFUNCTION("""COMPUTED_VALUE"""),"worship")</f>
        <v>worship</v>
      </c>
      <c r="AK2486" s="49"/>
      <c r="AL2486" s="49"/>
      <c r="AM2486" s="49"/>
      <c r="AN2486" s="52" t="str">
        <f t="shared" si="5"/>
        <v>held,</v>
      </c>
    </row>
    <row r="2487">
      <c r="A2487" s="51"/>
      <c r="B2487" s="50" t="s">
        <v>4629</v>
      </c>
      <c r="C2487" s="50" t="s">
        <v>6686</v>
      </c>
      <c r="D2487" s="49" t="str">
        <f>IFERROR(__xludf.DUMMYFUNCTION("""COMPUTED_VALUE"""),"weeks")</f>
        <v>weeks</v>
      </c>
      <c r="E2487" s="49"/>
      <c r="F2487" s="49"/>
      <c r="G2487" s="49"/>
      <c r="H2487" s="54" t="str">
        <f t="shared" si="1"/>
        <v>clue,</v>
      </c>
      <c r="I2487" s="50"/>
      <c r="J2487" s="50" t="s">
        <v>4465</v>
      </c>
      <c r="K2487" s="50" t="s">
        <v>5640</v>
      </c>
      <c r="L2487" s="49"/>
      <c r="M2487" s="49"/>
      <c r="N2487" s="49"/>
      <c r="O2487" s="49"/>
      <c r="P2487" s="49" t="str">
        <f t="shared" si="2"/>
        <v>misunderstanding,</v>
      </c>
      <c r="Q2487" s="49"/>
      <c r="R2487" s="49"/>
      <c r="S2487" s="55" t="s">
        <v>1318</v>
      </c>
      <c r="T2487" s="49"/>
      <c r="U2487" s="49"/>
      <c r="V2487" s="49"/>
      <c r="W2487" s="49"/>
      <c r="X2487" s="49" t="str">
        <f t="shared" si="3"/>
        <v>,</v>
      </c>
      <c r="Y2487" s="49"/>
      <c r="Z2487" s="1" t="s">
        <v>3428</v>
      </c>
      <c r="AA2487" s="1">
        <v>18.0</v>
      </c>
      <c r="AB2487" s="49"/>
      <c r="AC2487" s="49"/>
      <c r="AD2487" s="49"/>
      <c r="AE2487" s="49"/>
      <c r="AF2487" s="49" t="str">
        <f t="shared" si="4"/>
        <v>roberto,</v>
      </c>
      <c r="AG2487" s="49"/>
      <c r="AH2487" s="1" t="s">
        <v>5592</v>
      </c>
      <c r="AI2487" s="1" t="s">
        <v>4644</v>
      </c>
      <c r="AJ2487" s="6" t="str">
        <f>IFERROR(__xludf.DUMMYFUNCTION("""COMPUTED_VALUE"""),"soft")</f>
        <v>soft</v>
      </c>
      <c r="AK2487" s="49"/>
      <c r="AL2487" s="49"/>
      <c r="AM2487" s="49"/>
      <c r="AN2487" s="52" t="str">
        <f t="shared" si="5"/>
        <v>influenced,</v>
      </c>
    </row>
    <row r="2488">
      <c r="A2488" s="51"/>
      <c r="B2488" s="50" t="s">
        <v>6160</v>
      </c>
      <c r="C2488" s="50" t="s">
        <v>6017</v>
      </c>
      <c r="D2488" s="49" t="str">
        <f>IFERROR(__xludf.DUMMYFUNCTION("""COMPUTED_VALUE"""),"supporting")</f>
        <v>supporting</v>
      </c>
      <c r="E2488" s="49"/>
      <c r="F2488" s="49"/>
      <c r="G2488" s="49"/>
      <c r="H2488" s="54" t="str">
        <f t="shared" si="1"/>
        <v>bernard,</v>
      </c>
      <c r="I2488" s="50"/>
      <c r="J2488" s="50" t="s">
        <v>2129</v>
      </c>
      <c r="K2488" s="50" t="s">
        <v>5158</v>
      </c>
      <c r="L2488" s="49"/>
      <c r="M2488" s="49"/>
      <c r="N2488" s="49"/>
      <c r="O2488" s="49"/>
      <c r="P2488" s="49" t="str">
        <f t="shared" si="2"/>
        <v>moody,</v>
      </c>
      <c r="Q2488" s="49"/>
      <c r="R2488" s="49"/>
      <c r="S2488" s="55" t="s">
        <v>2797</v>
      </c>
      <c r="T2488" s="49"/>
      <c r="U2488" s="49"/>
      <c r="V2488" s="49"/>
      <c r="W2488" s="49"/>
      <c r="X2488" s="49" t="str">
        <f t="shared" si="3"/>
        <v>,</v>
      </c>
      <c r="Y2488" s="49"/>
      <c r="Z2488" s="1" t="s">
        <v>6575</v>
      </c>
      <c r="AA2488" s="1" t="s">
        <v>5641</v>
      </c>
      <c r="AB2488" s="49"/>
      <c r="AC2488" s="49"/>
      <c r="AD2488" s="49"/>
      <c r="AE2488" s="49"/>
      <c r="AF2488" s="49" t="str">
        <f t="shared" si="4"/>
        <v>starving,</v>
      </c>
      <c r="AG2488" s="49"/>
      <c r="AH2488" s="1" t="s">
        <v>3168</v>
      </c>
      <c r="AI2488" s="1" t="s">
        <v>5866</v>
      </c>
      <c r="AJ2488" s="6" t="str">
        <f>IFERROR(__xludf.DUMMYFUNCTION("""COMPUTED_VALUE"""),"marked")</f>
        <v>marked</v>
      </c>
      <c r="AK2488" s="49"/>
      <c r="AL2488" s="49"/>
      <c r="AM2488" s="49"/>
      <c r="AN2488" s="52" t="str">
        <f t="shared" si="5"/>
        <v>older,</v>
      </c>
    </row>
    <row r="2489">
      <c r="A2489" s="51"/>
      <c r="B2489" s="50" t="s">
        <v>4723</v>
      </c>
      <c r="C2489" s="50" t="s">
        <v>5283</v>
      </c>
      <c r="D2489" s="49" t="str">
        <f>IFERROR(__xludf.DUMMYFUNCTION("""COMPUTED_VALUE"""),"paint")</f>
        <v>paint</v>
      </c>
      <c r="E2489" s="49"/>
      <c r="F2489" s="49"/>
      <c r="G2489" s="49"/>
      <c r="H2489" s="54" t="str">
        <f t="shared" si="1"/>
        <v>variant,</v>
      </c>
      <c r="I2489" s="50"/>
      <c r="J2489" s="50" t="s">
        <v>6476</v>
      </c>
      <c r="K2489" s="50" t="s">
        <v>1224</v>
      </c>
      <c r="L2489" s="49"/>
      <c r="M2489" s="49"/>
      <c r="N2489" s="49"/>
      <c r="O2489" s="49"/>
      <c r="P2489" s="49" t="str">
        <f t="shared" si="2"/>
        <v>edges,</v>
      </c>
      <c r="Q2489" s="49"/>
      <c r="R2489" s="49"/>
      <c r="S2489" s="55" t="s">
        <v>5516</v>
      </c>
      <c r="T2489" s="49"/>
      <c r="U2489" s="49"/>
      <c r="V2489" s="49"/>
      <c r="W2489" s="49"/>
      <c r="X2489" s="49" t="str">
        <f t="shared" si="3"/>
        <v>,</v>
      </c>
      <c r="Y2489" s="49"/>
      <c r="Z2489" s="1" t="s">
        <v>786</v>
      </c>
      <c r="AA2489" s="1" t="s">
        <v>1620</v>
      </c>
      <c r="AB2489" s="49"/>
      <c r="AC2489" s="49"/>
      <c r="AD2489" s="49"/>
      <c r="AE2489" s="49"/>
      <c r="AF2489" s="49" t="str">
        <f t="shared" si="4"/>
        <v>dickens,</v>
      </c>
      <c r="AG2489" s="49"/>
      <c r="AH2489" s="1" t="s">
        <v>6642</v>
      </c>
      <c r="AI2489" s="1" t="s">
        <v>6756</v>
      </c>
      <c r="AJ2489" s="6" t="str">
        <f>IFERROR(__xludf.DUMMYFUNCTION("""COMPUTED_VALUE"""),"von")</f>
        <v>von</v>
      </c>
      <c r="AK2489" s="49"/>
      <c r="AL2489" s="49"/>
      <c r="AM2489" s="49"/>
      <c r="AN2489" s="52" t="str">
        <f t="shared" si="5"/>
        <v>clean,</v>
      </c>
    </row>
    <row r="2490">
      <c r="A2490" s="51"/>
      <c r="B2490" s="50" t="s">
        <v>7379</v>
      </c>
      <c r="C2490" s="50" t="s">
        <v>4449</v>
      </c>
      <c r="D2490" s="49" t="str">
        <f>IFERROR(__xludf.DUMMYFUNCTION("""COMPUTED_VALUE"""),"improvement")</f>
        <v>improvement</v>
      </c>
      <c r="E2490" s="49"/>
      <c r="F2490" s="49"/>
      <c r="G2490" s="49"/>
      <c r="H2490" s="54" t="str">
        <f t="shared" si="1"/>
        <v>pistol,</v>
      </c>
      <c r="I2490" s="50"/>
      <c r="J2490" s="50" t="s">
        <v>4041</v>
      </c>
      <c r="K2490" s="50" t="s">
        <v>4137</v>
      </c>
      <c r="L2490" s="49"/>
      <c r="M2490" s="49"/>
      <c r="N2490" s="49"/>
      <c r="O2490" s="49"/>
      <c r="P2490" s="49" t="str">
        <f t="shared" si="2"/>
        <v>exit,</v>
      </c>
      <c r="Q2490" s="49"/>
      <c r="R2490" s="49"/>
      <c r="S2490" s="55" t="s">
        <v>2210</v>
      </c>
      <c r="T2490" s="49"/>
      <c r="U2490" s="49"/>
      <c r="V2490" s="49"/>
      <c r="W2490" s="49"/>
      <c r="X2490" s="49" t="str">
        <f t="shared" si="3"/>
        <v>,</v>
      </c>
      <c r="Y2490" s="49"/>
      <c r="Z2490" s="1" t="s">
        <v>4072</v>
      </c>
      <c r="AA2490" s="1" t="s">
        <v>2903</v>
      </c>
      <c r="AB2490" s="49"/>
      <c r="AC2490" s="49"/>
      <c r="AD2490" s="49"/>
      <c r="AE2490" s="49"/>
      <c r="AF2490" s="49" t="str">
        <f t="shared" si="4"/>
        <v>anonymous,</v>
      </c>
      <c r="AG2490" s="49"/>
      <c r="AH2490" s="1" t="s">
        <v>2586</v>
      </c>
      <c r="AI2490" s="1" t="s">
        <v>1711</v>
      </c>
      <c r="AJ2490" s="6" t="str">
        <f>IFERROR(__xludf.DUMMYFUNCTION("""COMPUTED_VALUE"""),"era")</f>
        <v>era</v>
      </c>
      <c r="AK2490" s="49"/>
      <c r="AL2490" s="49"/>
      <c r="AM2490" s="49"/>
      <c r="AN2490" s="52" t="str">
        <f t="shared" si="5"/>
        <v>ian,</v>
      </c>
    </row>
    <row r="2491">
      <c r="A2491" s="51"/>
      <c r="B2491" s="50" t="s">
        <v>4978</v>
      </c>
      <c r="C2491" s="50" t="s">
        <v>6687</v>
      </c>
      <c r="D2491" s="49" t="str">
        <f>IFERROR(__xludf.DUMMYFUNCTION("""COMPUTED_VALUE"""),"soldiers")</f>
        <v>soldiers</v>
      </c>
      <c r="E2491" s="49"/>
      <c r="F2491" s="49"/>
      <c r="G2491" s="49"/>
      <c r="H2491" s="54" t="str">
        <f t="shared" si="1"/>
        <v>extent,</v>
      </c>
      <c r="I2491" s="50"/>
      <c r="J2491" s="50" t="s">
        <v>994</v>
      </c>
      <c r="K2491" s="50" t="s">
        <v>5162</v>
      </c>
      <c r="L2491" s="49"/>
      <c r="M2491" s="49"/>
      <c r="N2491" s="49"/>
      <c r="O2491" s="49"/>
      <c r="P2491" s="49" t="str">
        <f t="shared" si="2"/>
        <v>depiction,</v>
      </c>
      <c r="Q2491" s="49"/>
      <c r="R2491" s="49"/>
      <c r="S2491" s="55" t="s">
        <v>4017</v>
      </c>
      <c r="T2491" s="49"/>
      <c r="U2491" s="49"/>
      <c r="V2491" s="49"/>
      <c r="W2491" s="49"/>
      <c r="X2491" s="49" t="str">
        <f t="shared" si="3"/>
        <v>,</v>
      </c>
      <c r="Y2491" s="49"/>
      <c r="Z2491" s="1" t="s">
        <v>476</v>
      </c>
      <c r="AA2491" s="1" t="s">
        <v>1626</v>
      </c>
      <c r="AB2491" s="49"/>
      <c r="AC2491" s="49"/>
      <c r="AD2491" s="49"/>
      <c r="AE2491" s="49"/>
      <c r="AF2491" s="49" t="str">
        <f t="shared" si="4"/>
        <v>magnificent,</v>
      </c>
      <c r="AG2491" s="49"/>
      <c r="AH2491" s="1" t="s">
        <v>2321</v>
      </c>
      <c r="AI2491" s="1" t="s">
        <v>3613</v>
      </c>
      <c r="AJ2491" s="6" t="str">
        <f>IFERROR(__xludf.DUMMYFUNCTION("""COMPUTED_VALUE"""),"perfectly")</f>
        <v>perfectly</v>
      </c>
      <c r="AK2491" s="49"/>
      <c r="AL2491" s="49"/>
      <c r="AM2491" s="49"/>
      <c r="AN2491" s="52" t="str">
        <f t="shared" si="5"/>
        <v>escaped,</v>
      </c>
    </row>
    <row r="2492">
      <c r="A2492" s="51"/>
      <c r="B2492" s="50" t="s">
        <v>1530</v>
      </c>
      <c r="C2492" s="50" t="s">
        <v>3698</v>
      </c>
      <c r="D2492" s="49" t="str">
        <f>IFERROR(__xludf.DUMMYFUNCTION("""COMPUTED_VALUE"""),"listening")</f>
        <v>listening</v>
      </c>
      <c r="E2492" s="49"/>
      <c r="F2492" s="49"/>
      <c r="G2492" s="49"/>
      <c r="H2492" s="54" t="str">
        <f t="shared" si="1"/>
        <v>stretched,</v>
      </c>
      <c r="I2492" s="50"/>
      <c r="J2492" s="50" t="s">
        <v>3446</v>
      </c>
      <c r="K2492" s="50" t="s">
        <v>2324</v>
      </c>
      <c r="L2492" s="49"/>
      <c r="M2492" s="49"/>
      <c r="N2492" s="49"/>
      <c r="O2492" s="49"/>
      <c r="P2492" s="49" t="str">
        <f t="shared" si="2"/>
        <v>tortured,</v>
      </c>
      <c r="Q2492" s="49"/>
      <c r="R2492" s="49"/>
      <c r="S2492" s="55" t="s">
        <v>5681</v>
      </c>
      <c r="T2492" s="49"/>
      <c r="U2492" s="49"/>
      <c r="V2492" s="49"/>
      <c r="W2492" s="49"/>
      <c r="X2492" s="49" t="str">
        <f t="shared" si="3"/>
        <v>,</v>
      </c>
      <c r="Y2492" s="49"/>
      <c r="Z2492" s="1" t="s">
        <v>561</v>
      </c>
      <c r="AA2492" s="1" t="s">
        <v>2910</v>
      </c>
      <c r="AB2492" s="49"/>
      <c r="AC2492" s="49"/>
      <c r="AD2492" s="49"/>
      <c r="AE2492" s="49"/>
      <c r="AF2492" s="49" t="str">
        <f t="shared" si="4"/>
        <v>startling,</v>
      </c>
      <c r="AG2492" s="49"/>
      <c r="AH2492" s="1" t="s">
        <v>581</v>
      </c>
      <c r="AI2492" s="1" t="s">
        <v>2840</v>
      </c>
      <c r="AJ2492" s="6" t="str">
        <f>IFERROR(__xludf.DUMMYFUNCTION("""COMPUTED_VALUE"""),"promotion")</f>
        <v>promotion</v>
      </c>
      <c r="AK2492" s="49"/>
      <c r="AL2492" s="49"/>
      <c r="AM2492" s="49"/>
      <c r="AN2492" s="52" t="str">
        <f t="shared" si="5"/>
        <v>alternative,</v>
      </c>
    </row>
    <row r="2493">
      <c r="A2493" s="51"/>
      <c r="B2493" s="50" t="s">
        <v>1682</v>
      </c>
      <c r="C2493" s="50" t="s">
        <v>5288</v>
      </c>
      <c r="D2493" s="49" t="str">
        <f>IFERROR(__xludf.DUMMYFUNCTION("""COMPUTED_VALUE"""),"lawrence")</f>
        <v>lawrence</v>
      </c>
      <c r="E2493" s="49"/>
      <c r="F2493" s="49"/>
      <c r="G2493" s="49"/>
      <c r="H2493" s="54" t="str">
        <f t="shared" si="1"/>
        <v>lesser,</v>
      </c>
      <c r="I2493" s="50"/>
      <c r="J2493" s="50" t="s">
        <v>4607</v>
      </c>
      <c r="K2493" s="50" t="s">
        <v>3521</v>
      </c>
      <c r="L2493" s="49"/>
      <c r="M2493" s="49"/>
      <c r="N2493" s="49"/>
      <c r="O2493" s="49"/>
      <c r="P2493" s="49" t="str">
        <f t="shared" si="2"/>
        <v>duration,</v>
      </c>
      <c r="Q2493" s="49"/>
      <c r="R2493" s="49"/>
      <c r="S2493" s="55" t="s">
        <v>4021</v>
      </c>
      <c r="T2493" s="49"/>
      <c r="U2493" s="49"/>
      <c r="V2493" s="49"/>
      <c r="W2493" s="49"/>
      <c r="X2493" s="49" t="str">
        <f t="shared" si="3"/>
        <v>,</v>
      </c>
      <c r="Y2493" s="49"/>
      <c r="Z2493" s="1" t="s">
        <v>6339</v>
      </c>
      <c r="AA2493" s="1" t="s">
        <v>5645</v>
      </c>
      <c r="AB2493" s="49"/>
      <c r="AC2493" s="49"/>
      <c r="AD2493" s="49"/>
      <c r="AE2493" s="49"/>
      <c r="AF2493" s="49" t="str">
        <f t="shared" si="4"/>
        <v>smooth,</v>
      </c>
      <c r="AG2493" s="49"/>
      <c r="AH2493" s="1" t="s">
        <v>3289</v>
      </c>
      <c r="AI2493" s="1" t="s">
        <v>1180</v>
      </c>
      <c r="AJ2493" s="6" t="str">
        <f>IFERROR(__xludf.DUMMYFUNCTION("""COMPUTED_VALUE"""),"scores")</f>
        <v>scores</v>
      </c>
      <c r="AK2493" s="49"/>
      <c r="AL2493" s="49"/>
      <c r="AM2493" s="49"/>
      <c r="AN2493" s="52" t="str">
        <f t="shared" si="5"/>
        <v>media,</v>
      </c>
    </row>
    <row r="2494">
      <c r="A2494" s="51"/>
      <c r="B2494" s="50" t="s">
        <v>5544</v>
      </c>
      <c r="C2494" s="50" t="s">
        <v>2350</v>
      </c>
      <c r="D2494" s="49" t="str">
        <f>IFERROR(__xludf.DUMMYFUNCTION("""COMPUTED_VALUE"""),"die")</f>
        <v>die</v>
      </c>
      <c r="E2494" s="49"/>
      <c r="F2494" s="49"/>
      <c r="G2494" s="49"/>
      <c r="H2494" s="54" t="str">
        <f t="shared" si="1"/>
        <v>plus,</v>
      </c>
      <c r="I2494" s="50"/>
      <c r="J2494" s="50" t="s">
        <v>7608</v>
      </c>
      <c r="K2494" s="50" t="s">
        <v>5164</v>
      </c>
      <c r="L2494" s="49"/>
      <c r="M2494" s="49"/>
      <c r="N2494" s="49"/>
      <c r="O2494" s="49"/>
      <c r="P2494" s="49" t="str">
        <f t="shared" si="2"/>
        <v>info,</v>
      </c>
      <c r="Q2494" s="49"/>
      <c r="R2494" s="49"/>
      <c r="S2494" s="55" t="s">
        <v>6751</v>
      </c>
      <c r="T2494" s="49"/>
      <c r="U2494" s="49"/>
      <c r="V2494" s="49"/>
      <c r="W2494" s="49"/>
      <c r="X2494" s="49" t="str">
        <f t="shared" si="3"/>
        <v>,</v>
      </c>
      <c r="Y2494" s="49"/>
      <c r="Z2494" s="1" t="s">
        <v>3215</v>
      </c>
      <c r="AA2494" s="1" t="s">
        <v>5445</v>
      </c>
      <c r="AB2494" s="49"/>
      <c r="AC2494" s="49"/>
      <c r="AD2494" s="49"/>
      <c r="AE2494" s="49"/>
      <c r="AF2494" s="49" t="str">
        <f t="shared" si="4"/>
        <v>sides,</v>
      </c>
      <c r="AG2494" s="49"/>
      <c r="AH2494" s="1" t="s">
        <v>4113</v>
      </c>
      <c r="AI2494" s="1" t="s">
        <v>6757</v>
      </c>
      <c r="AJ2494" s="6" t="str">
        <f>IFERROR(__xludf.DUMMYFUNCTION("""COMPUTED_VALUE"""),"challenge")</f>
        <v>challenge</v>
      </c>
      <c r="AK2494" s="49"/>
      <c r="AL2494" s="49"/>
      <c r="AM2494" s="49"/>
      <c r="AN2494" s="52" t="str">
        <f t="shared" si="5"/>
        <v>weight,</v>
      </c>
    </row>
    <row r="2495">
      <c r="A2495" s="51"/>
      <c r="B2495" s="50" t="s">
        <v>6633</v>
      </c>
      <c r="C2495" s="50" t="s">
        <v>4621</v>
      </c>
      <c r="D2495" s="49" t="str">
        <f>IFERROR(__xludf.DUMMYFUNCTION("""COMPUTED_VALUE"""),"common")</f>
        <v>common</v>
      </c>
      <c r="E2495" s="49"/>
      <c r="F2495" s="49"/>
      <c r="G2495" s="49"/>
      <c r="H2495" s="54" t="str">
        <f t="shared" si="1"/>
        <v>shoulder,</v>
      </c>
      <c r="I2495" s="50"/>
      <c r="J2495" s="50" t="s">
        <v>4441</v>
      </c>
      <c r="K2495" s="50" t="s">
        <v>1228</v>
      </c>
      <c r="L2495" s="49"/>
      <c r="M2495" s="49"/>
      <c r="N2495" s="49"/>
      <c r="O2495" s="49"/>
      <c r="P2495" s="49" t="str">
        <f t="shared" si="2"/>
        <v>proud,</v>
      </c>
      <c r="Q2495" s="49"/>
      <c r="R2495" s="49"/>
      <c r="S2495" s="55" t="s">
        <v>4025</v>
      </c>
      <c r="T2495" s="49"/>
      <c r="U2495" s="49"/>
      <c r="V2495" s="49"/>
      <c r="W2495" s="49"/>
      <c r="X2495" s="49" t="str">
        <f t="shared" si="3"/>
        <v>,</v>
      </c>
      <c r="Y2495" s="49"/>
      <c r="Z2495" s="1" t="s">
        <v>3727</v>
      </c>
      <c r="AA2495" s="1" t="s">
        <v>4690</v>
      </c>
      <c r="AB2495" s="49"/>
      <c r="AC2495" s="49"/>
      <c r="AD2495" s="49"/>
      <c r="AE2495" s="49"/>
      <c r="AF2495" s="49" t="str">
        <f t="shared" si="4"/>
        <v>logical,</v>
      </c>
      <c r="AG2495" s="49"/>
      <c r="AH2495" s="1" t="s">
        <v>4181</v>
      </c>
      <c r="AI2495" s="1" t="s">
        <v>6758</v>
      </c>
      <c r="AJ2495" s="6" t="str">
        <f>IFERROR(__xludf.DUMMYFUNCTION("""COMPUTED_VALUE"""),"shoot")</f>
        <v>shoot</v>
      </c>
      <c r="AK2495" s="49"/>
      <c r="AL2495" s="49"/>
      <c r="AM2495" s="49"/>
      <c r="AN2495" s="52" t="str">
        <f t="shared" si="5"/>
        <v>scale,</v>
      </c>
    </row>
    <row r="2496">
      <c r="A2496" s="51"/>
      <c r="B2496" s="50" t="s">
        <v>6758</v>
      </c>
      <c r="C2496" s="50" t="s">
        <v>5293</v>
      </c>
      <c r="D2496" s="49" t="str">
        <f>IFERROR(__xludf.DUMMYFUNCTION("""COMPUTED_VALUE"""),"prevent")</f>
        <v>prevent</v>
      </c>
      <c r="E2496" s="49"/>
      <c r="F2496" s="49"/>
      <c r="G2496" s="49"/>
      <c r="H2496" s="54" t="str">
        <f t="shared" si="1"/>
        <v>nights,</v>
      </c>
      <c r="I2496" s="50"/>
      <c r="J2496" s="50" t="s">
        <v>5282</v>
      </c>
      <c r="K2496" s="50" t="s">
        <v>5168</v>
      </c>
      <c r="L2496" s="49"/>
      <c r="M2496" s="49"/>
      <c r="N2496" s="49"/>
      <c r="O2496" s="49"/>
      <c r="P2496" s="49" t="str">
        <f t="shared" si="2"/>
        <v>sunshine,</v>
      </c>
      <c r="Q2496" s="49"/>
      <c r="R2496" s="49"/>
      <c r="S2496" s="55" t="s">
        <v>5897</v>
      </c>
      <c r="T2496" s="49"/>
      <c r="U2496" s="49"/>
      <c r="V2496" s="49"/>
      <c r="W2496" s="49"/>
      <c r="X2496" s="49" t="str">
        <f t="shared" si="3"/>
        <v>,</v>
      </c>
      <c r="Y2496" s="49"/>
      <c r="Z2496" s="1" t="s">
        <v>1010</v>
      </c>
      <c r="AA2496" s="1" t="s">
        <v>1720</v>
      </c>
      <c r="AB2496" s="49"/>
      <c r="AC2496" s="49"/>
      <c r="AD2496" s="49"/>
      <c r="AE2496" s="49"/>
      <c r="AF2496" s="49" t="str">
        <f t="shared" si="4"/>
        <v>harmless,</v>
      </c>
      <c r="AG2496" s="49"/>
      <c r="AH2496" s="1" t="s">
        <v>5106</v>
      </c>
      <c r="AI2496" s="1" t="s">
        <v>5198</v>
      </c>
      <c r="AJ2496" s="6" t="str">
        <f>IFERROR(__xludf.DUMMYFUNCTION("""COMPUTED_VALUE"""),"practice")</f>
        <v>practice</v>
      </c>
      <c r="AK2496" s="49"/>
      <c r="AL2496" s="49"/>
      <c r="AM2496" s="49"/>
      <c r="AN2496" s="52" t="str">
        <f t="shared" si="5"/>
        <v>models,</v>
      </c>
    </row>
    <row r="2497">
      <c r="A2497" s="51"/>
      <c r="B2497" s="50" t="s">
        <v>5184</v>
      </c>
      <c r="C2497" s="50" t="s">
        <v>1565</v>
      </c>
      <c r="D2497" s="49" t="str">
        <f>IFERROR(__xludf.DUMMYFUNCTION("""COMPUTED_VALUE"""),"belt")</f>
        <v>belt</v>
      </c>
      <c r="E2497" s="49"/>
      <c r="F2497" s="49"/>
      <c r="G2497" s="49"/>
      <c r="H2497" s="54" t="str">
        <f t="shared" si="1"/>
        <v>sacrifice,</v>
      </c>
      <c r="I2497" s="50"/>
      <c r="J2497" s="50" t="s">
        <v>4081</v>
      </c>
      <c r="K2497" s="50" t="s">
        <v>5607</v>
      </c>
      <c r="L2497" s="49"/>
      <c r="M2497" s="49"/>
      <c r="N2497" s="49"/>
      <c r="O2497" s="49"/>
      <c r="P2497" s="49" t="str">
        <f t="shared" si="2"/>
        <v>confined,</v>
      </c>
      <c r="Q2497" s="49"/>
      <c r="R2497" s="49"/>
      <c r="S2497" s="55" t="s">
        <v>5024</v>
      </c>
      <c r="T2497" s="49"/>
      <c r="U2497" s="49"/>
      <c r="V2497" s="49"/>
      <c r="W2497" s="49"/>
      <c r="X2497" s="49" t="str">
        <f t="shared" si="3"/>
        <v>,</v>
      </c>
      <c r="Y2497" s="49"/>
      <c r="Z2497" s="1" t="s">
        <v>6316</v>
      </c>
      <c r="AA2497" s="1" t="s">
        <v>4695</v>
      </c>
      <c r="AB2497" s="49"/>
      <c r="AC2497" s="49"/>
      <c r="AD2497" s="49"/>
      <c r="AE2497" s="49"/>
      <c r="AF2497" s="49" t="str">
        <f t="shared" si="4"/>
        <v>distraction,</v>
      </c>
      <c r="AG2497" s="49"/>
      <c r="AH2497" s="1" t="s">
        <v>3416</v>
      </c>
      <c r="AI2497" s="1" t="s">
        <v>5543</v>
      </c>
      <c r="AJ2497" s="6" t="str">
        <f>IFERROR(__xludf.DUMMYFUNCTION("""COMPUTED_VALUE"""),"titles")</f>
        <v>titles</v>
      </c>
      <c r="AK2497" s="49"/>
      <c r="AL2497" s="49"/>
      <c r="AM2497" s="49"/>
      <c r="AN2497" s="52" t="str">
        <f t="shared" si="5"/>
        <v>gay,</v>
      </c>
    </row>
    <row r="2498">
      <c r="A2498" s="51"/>
      <c r="B2498" s="50" t="s">
        <v>3620</v>
      </c>
      <c r="C2498" s="50" t="s">
        <v>4786</v>
      </c>
      <c r="D2498" s="49" t="str">
        <f>IFERROR(__xludf.DUMMYFUNCTION("""COMPUTED_VALUE"""),"joe")</f>
        <v>joe</v>
      </c>
      <c r="E2498" s="49"/>
      <c r="F2498" s="49"/>
      <c r="G2498" s="49"/>
      <c r="H2498" s="54" t="str">
        <f t="shared" si="1"/>
        <v>hospital,</v>
      </c>
      <c r="I2498" s="50"/>
      <c r="J2498" s="50" t="s">
        <v>5419</v>
      </c>
      <c r="K2498" s="50" t="s">
        <v>3525</v>
      </c>
      <c r="L2498" s="49"/>
      <c r="M2498" s="49"/>
      <c r="N2498" s="49"/>
      <c r="O2498" s="49"/>
      <c r="P2498" s="49" t="str">
        <f t="shared" si="2"/>
        <v>labeled,</v>
      </c>
      <c r="Q2498" s="49"/>
      <c r="R2498" s="49"/>
      <c r="S2498" s="55" t="s">
        <v>1147</v>
      </c>
      <c r="T2498" s="49"/>
      <c r="U2498" s="49"/>
      <c r="V2498" s="49"/>
      <c r="W2498" s="49"/>
      <c r="X2498" s="49" t="str">
        <f t="shared" si="3"/>
        <v>,</v>
      </c>
      <c r="Y2498" s="49"/>
      <c r="Z2498" s="1" t="s">
        <v>2785</v>
      </c>
      <c r="AA2498" s="1" t="s">
        <v>2916</v>
      </c>
      <c r="AB2498" s="49"/>
      <c r="AC2498" s="49"/>
      <c r="AD2498" s="49"/>
      <c r="AE2498" s="49"/>
      <c r="AF2498" s="49" t="str">
        <f t="shared" si="4"/>
        <v>inspiring,</v>
      </c>
      <c r="AG2498" s="49"/>
      <c r="AH2498" s="1" t="s">
        <v>6613</v>
      </c>
      <c r="AI2498" s="1" t="s">
        <v>4048</v>
      </c>
      <c r="AJ2498" s="6" t="str">
        <f>IFERROR(__xludf.DUMMYFUNCTION("""COMPUTED_VALUE"""),"dozen")</f>
        <v>dozen</v>
      </c>
      <c r="AK2498" s="49"/>
      <c r="AL2498" s="49"/>
      <c r="AM2498" s="49"/>
      <c r="AN2498" s="52" t="str">
        <f t="shared" si="5"/>
        <v>san,</v>
      </c>
    </row>
    <row r="2499">
      <c r="A2499" s="51"/>
      <c r="B2499" s="50" t="s">
        <v>6580</v>
      </c>
      <c r="C2499" s="50" t="s">
        <v>3651</v>
      </c>
      <c r="D2499" s="49" t="str">
        <f>IFERROR(__xludf.DUMMYFUNCTION("""COMPUTED_VALUE"""),"protect")</f>
        <v>protect</v>
      </c>
      <c r="E2499" s="49"/>
      <c r="F2499" s="49"/>
      <c r="G2499" s="49"/>
      <c r="H2499" s="54" t="str">
        <f t="shared" si="1"/>
        <v>choice,</v>
      </c>
      <c r="I2499" s="50"/>
      <c r="J2499" s="50" t="s">
        <v>7548</v>
      </c>
      <c r="K2499" s="50" t="s">
        <v>5169</v>
      </c>
      <c r="L2499" s="49"/>
      <c r="M2499" s="49"/>
      <c r="N2499" s="49"/>
      <c r="O2499" s="49"/>
      <c r="P2499" s="49" t="str">
        <f t="shared" si="2"/>
        <v>cu,</v>
      </c>
      <c r="Q2499" s="49"/>
      <c r="R2499" s="49"/>
      <c r="S2499" s="55" t="s">
        <v>1152</v>
      </c>
      <c r="T2499" s="49"/>
      <c r="U2499" s="49"/>
      <c r="V2499" s="49"/>
      <c r="W2499" s="49"/>
      <c r="X2499" s="49" t="str">
        <f t="shared" si="3"/>
        <v>,</v>
      </c>
      <c r="Y2499" s="49"/>
      <c r="Z2499" s="1" t="s">
        <v>649</v>
      </c>
      <c r="AA2499" s="1" t="s">
        <v>2923</v>
      </c>
      <c r="AB2499" s="49"/>
      <c r="AC2499" s="49"/>
      <c r="AD2499" s="49"/>
      <c r="AE2499" s="49"/>
      <c r="AF2499" s="49" t="str">
        <f t="shared" si="4"/>
        <v>stylistic,</v>
      </c>
      <c r="AG2499" s="49"/>
      <c r="AH2499" s="1" t="s">
        <v>6796</v>
      </c>
      <c r="AI2499" s="1" t="s">
        <v>5708</v>
      </c>
      <c r="AJ2499" s="6" t="str">
        <f>IFERROR(__xludf.DUMMYFUNCTION("""COMPUTED_VALUE"""),"added")</f>
        <v>added</v>
      </c>
      <c r="AK2499" s="49"/>
      <c r="AL2499" s="49"/>
      <c r="AM2499" s="49"/>
      <c r="AN2499" s="52" t="str">
        <f t="shared" si="5"/>
        <v>francisco,</v>
      </c>
    </row>
    <row r="2500">
      <c r="A2500" s="51"/>
      <c r="B2500" s="50" t="s">
        <v>4798</v>
      </c>
      <c r="C2500" s="50" t="s">
        <v>6691</v>
      </c>
      <c r="D2500" s="49" t="str">
        <f>IFERROR(__xludf.DUMMYFUNCTION("""COMPUTED_VALUE"""),"traditions")</f>
        <v>traditions</v>
      </c>
      <c r="E2500" s="49"/>
      <c r="F2500" s="49"/>
      <c r="G2500" s="49"/>
      <c r="H2500" s="54" t="str">
        <f t="shared" si="1"/>
        <v>driver,</v>
      </c>
      <c r="I2500" s="50"/>
      <c r="J2500" s="50" t="s">
        <v>5930</v>
      </c>
      <c r="K2500" s="50" t="s">
        <v>1558</v>
      </c>
      <c r="L2500" s="49"/>
      <c r="M2500" s="49"/>
      <c r="N2500" s="49"/>
      <c r="O2500" s="49"/>
      <c r="P2500" s="49" t="str">
        <f t="shared" si="2"/>
        <v>edition,</v>
      </c>
      <c r="Q2500" s="49"/>
      <c r="R2500" s="49"/>
      <c r="S2500" s="55" t="s">
        <v>1496</v>
      </c>
      <c r="T2500" s="49"/>
      <c r="U2500" s="49"/>
      <c r="V2500" s="49"/>
      <c r="W2500" s="49"/>
      <c r="X2500" s="49" t="str">
        <f t="shared" si="3"/>
        <v>,</v>
      </c>
      <c r="Y2500" s="49"/>
      <c r="Z2500" s="1" t="s">
        <v>5125</v>
      </c>
      <c r="AA2500" s="1" t="s">
        <v>1904</v>
      </c>
      <c r="AB2500" s="49"/>
      <c r="AC2500" s="49"/>
      <c r="AD2500" s="49"/>
      <c r="AE2500" s="49"/>
      <c r="AF2500" s="49" t="str">
        <f t="shared" si="4"/>
        <v>styles,</v>
      </c>
      <c r="AG2500" s="49"/>
      <c r="AH2500" s="1" t="s">
        <v>7609</v>
      </c>
      <c r="AI2500" s="1">
        <v>83.0</v>
      </c>
      <c r="AJ2500" s="6" t="str">
        <f>IFERROR(__xludf.DUMMYFUNCTION("""COMPUTED_VALUE"""),"shut")</f>
        <v>shut</v>
      </c>
      <c r="AK2500" s="49"/>
      <c r="AL2500" s="49"/>
      <c r="AM2500" s="49"/>
      <c r="AN2500" s="52" t="str">
        <f t="shared" si="5"/>
        <v>tons,</v>
      </c>
    </row>
    <row r="2501">
      <c r="A2501" s="51"/>
      <c r="B2501" s="50" t="s">
        <v>5877</v>
      </c>
      <c r="C2501" s="50" t="s">
        <v>6692</v>
      </c>
      <c r="D2501" s="49" t="str">
        <f>IFERROR(__xludf.DUMMYFUNCTION("""COMPUTED_VALUE"""),"efficient")</f>
        <v>efficient</v>
      </c>
      <c r="E2501" s="49"/>
      <c r="F2501" s="49"/>
      <c r="G2501" s="49"/>
      <c r="H2501" s="54" t="str">
        <f t="shared" si="1"/>
        <v>resources,</v>
      </c>
      <c r="I2501" s="50"/>
      <c r="J2501" s="50" t="s">
        <v>7549</v>
      </c>
      <c r="K2501" s="50" t="s">
        <v>4144</v>
      </c>
      <c r="L2501" s="49"/>
      <c r="M2501" s="49"/>
      <c r="N2501" s="49"/>
      <c r="O2501" s="49"/>
      <c r="P2501" s="49" t="str">
        <f t="shared" si="2"/>
        <v>ar,</v>
      </c>
      <c r="Q2501" s="49"/>
      <c r="R2501" s="49"/>
      <c r="S2501" s="55" t="s">
        <v>3109</v>
      </c>
      <c r="T2501" s="49"/>
      <c r="U2501" s="49"/>
      <c r="V2501" s="49"/>
      <c r="W2501" s="49"/>
      <c r="X2501" s="49" t="str">
        <f t="shared" si="3"/>
        <v>,</v>
      </c>
      <c r="Y2501" s="49"/>
      <c r="Z2501" s="1" t="s">
        <v>6447</v>
      </c>
      <c r="AA2501" s="1" t="s">
        <v>5647</v>
      </c>
      <c r="AB2501" s="49"/>
      <c r="AC2501" s="49"/>
      <c r="AD2501" s="49"/>
      <c r="AE2501" s="49"/>
      <c r="AF2501" s="49" t="str">
        <f t="shared" si="4"/>
        <v>com,</v>
      </c>
      <c r="AG2501" s="49"/>
      <c r="AH2501" s="1" t="s">
        <v>988</v>
      </c>
      <c r="AI2501" s="1" t="s">
        <v>4424</v>
      </c>
      <c r="AJ2501" s="6" t="str">
        <f>IFERROR(__xludf.DUMMYFUNCTION("""COMPUTED_VALUE"""),"orange")</f>
        <v>orange</v>
      </c>
      <c r="AK2501" s="49"/>
      <c r="AL2501" s="49"/>
      <c r="AM2501" s="49"/>
      <c r="AN2501" s="52" t="str">
        <f t="shared" si="5"/>
        <v>oliver,</v>
      </c>
    </row>
    <row r="2502">
      <c r="A2502" s="51"/>
      <c r="B2502" s="50" t="s">
        <v>3913</v>
      </c>
      <c r="C2502" s="50" t="s">
        <v>5300</v>
      </c>
      <c r="D2502" s="49" t="str">
        <f>IFERROR(__xludf.DUMMYFUNCTION("""COMPUTED_VALUE"""),"field")</f>
        <v>field</v>
      </c>
      <c r="E2502" s="49"/>
      <c r="F2502" s="49"/>
      <c r="G2502" s="49"/>
      <c r="H2502" s="54" t="str">
        <f t="shared" si="1"/>
        <v>grace,</v>
      </c>
      <c r="I2502" s="50"/>
      <c r="J2502" s="50" t="s">
        <v>1993</v>
      </c>
      <c r="K2502" s="50" t="s">
        <v>1234</v>
      </c>
      <c r="L2502" s="49"/>
      <c r="M2502" s="49"/>
      <c r="N2502" s="49"/>
      <c r="O2502" s="49"/>
      <c r="P2502" s="49" t="str">
        <f t="shared" si="2"/>
        <v>significantly,</v>
      </c>
      <c r="Q2502" s="49"/>
      <c r="R2502" s="49"/>
      <c r="S2502" s="55" t="s">
        <v>5530</v>
      </c>
      <c r="T2502" s="49"/>
      <c r="U2502" s="49"/>
      <c r="V2502" s="49"/>
      <c r="W2502" s="49"/>
      <c r="X2502" s="49" t="str">
        <f t="shared" si="3"/>
        <v>,</v>
      </c>
      <c r="Y2502" s="49"/>
      <c r="Z2502" s="1" t="s">
        <v>6414</v>
      </c>
      <c r="AA2502" s="1" t="s">
        <v>5649</v>
      </c>
      <c r="AB2502" s="49"/>
      <c r="AC2502" s="49"/>
      <c r="AD2502" s="49"/>
      <c r="AE2502" s="49"/>
      <c r="AF2502" s="49" t="str">
        <f t="shared" si="4"/>
        <v>traditional,</v>
      </c>
      <c r="AG2502" s="49"/>
      <c r="AH2502" s="1" t="s">
        <v>6947</v>
      </c>
      <c r="AI2502" s="1" t="s">
        <v>78</v>
      </c>
      <c r="AJ2502" s="6" t="str">
        <f>IFERROR(__xludf.DUMMYFUNCTION("""COMPUTED_VALUE"""),"private")</f>
        <v>private</v>
      </c>
      <c r="AK2502" s="49"/>
      <c r="AL2502" s="49"/>
      <c r="AM2502" s="49"/>
      <c r="AN2502" s="52" t="str">
        <f t="shared" si="5"/>
        <v>June,</v>
      </c>
    </row>
    <row r="2503">
      <c r="A2503" s="51"/>
      <c r="B2503" s="50" t="s">
        <v>6665</v>
      </c>
      <c r="C2503" s="50" t="s">
        <v>5456</v>
      </c>
      <c r="D2503" s="49" t="str">
        <f>IFERROR(__xludf.DUMMYFUNCTION("""COMPUTED_VALUE"""),"medicine")</f>
        <v>medicine</v>
      </c>
      <c r="E2503" s="49"/>
      <c r="F2503" s="49"/>
      <c r="G2503" s="49"/>
      <c r="H2503" s="54" t="str">
        <f t="shared" si="1"/>
        <v>draft,</v>
      </c>
      <c r="I2503" s="50"/>
      <c r="J2503" s="50" t="s">
        <v>945</v>
      </c>
      <c r="K2503" s="50" t="s">
        <v>5171</v>
      </c>
      <c r="L2503" s="49"/>
      <c r="M2503" s="49"/>
      <c r="N2503" s="49"/>
      <c r="O2503" s="49"/>
      <c r="P2503" s="49" t="str">
        <f t="shared" si="2"/>
        <v>structured,</v>
      </c>
      <c r="Q2503" s="49"/>
      <c r="R2503" s="49"/>
      <c r="S2503" s="55" t="s">
        <v>4030</v>
      </c>
      <c r="T2503" s="49"/>
      <c r="U2503" s="49"/>
      <c r="V2503" s="49"/>
      <c r="W2503" s="49"/>
      <c r="X2503" s="49" t="str">
        <f t="shared" si="3"/>
        <v>,</v>
      </c>
      <c r="Y2503" s="49"/>
      <c r="Z2503" s="1" t="s">
        <v>3558</v>
      </c>
      <c r="AA2503" s="1" t="s">
        <v>5651</v>
      </c>
      <c r="AB2503" s="49"/>
      <c r="AC2503" s="49"/>
      <c r="AD2503" s="49"/>
      <c r="AE2503" s="49"/>
      <c r="AF2503" s="49" t="str">
        <f t="shared" si="4"/>
        <v>modest,</v>
      </c>
      <c r="AG2503" s="49"/>
      <c r="AH2503" s="1" t="s">
        <v>7610</v>
      </c>
      <c r="AI2503" s="1" t="s">
        <v>5716</v>
      </c>
      <c r="AJ2503" s="6" t="str">
        <f>IFERROR(__xludf.DUMMYFUNCTION("""COMPUTED_VALUE"""),"alive")</f>
        <v>alive</v>
      </c>
      <c r="AK2503" s="49"/>
      <c r="AL2503" s="49"/>
      <c r="AM2503" s="49"/>
      <c r="AN2503" s="52" t="str">
        <f t="shared" si="5"/>
        <v>arrived,</v>
      </c>
    </row>
    <row r="2504">
      <c r="A2504" s="51"/>
      <c r="B2504" s="50" t="s">
        <v>3105</v>
      </c>
      <c r="C2504" s="50" t="s">
        <v>3694</v>
      </c>
      <c r="D2504" s="49" t="str">
        <f>IFERROR(__xludf.DUMMYFUNCTION("""COMPUTED_VALUE"""),"jeremy")</f>
        <v>jeremy</v>
      </c>
      <c r="E2504" s="49"/>
      <c r="F2504" s="49"/>
      <c r="G2504" s="49"/>
      <c r="H2504" s="54" t="str">
        <f t="shared" si="1"/>
        <v>corner,</v>
      </c>
      <c r="I2504" s="50"/>
      <c r="J2504" s="50" t="s">
        <v>140</v>
      </c>
      <c r="K2504" s="50" t="s">
        <v>1240</v>
      </c>
      <c r="L2504" s="49"/>
      <c r="M2504" s="49"/>
      <c r="N2504" s="49"/>
      <c r="O2504" s="49"/>
      <c r="P2504" s="49" t="str">
        <f t="shared" si="2"/>
        <v>casts,</v>
      </c>
      <c r="Q2504" s="49"/>
      <c r="R2504" s="49"/>
      <c r="S2504" s="55" t="s">
        <v>5070</v>
      </c>
      <c r="T2504" s="49"/>
      <c r="U2504" s="49"/>
      <c r="V2504" s="49"/>
      <c r="W2504" s="49"/>
      <c r="X2504" s="49" t="str">
        <f t="shared" si="3"/>
        <v>,</v>
      </c>
      <c r="Y2504" s="49"/>
      <c r="Z2504" s="1" t="s">
        <v>5678</v>
      </c>
      <c r="AA2504" s="1" t="s">
        <v>5653</v>
      </c>
      <c r="AB2504" s="49"/>
      <c r="AC2504" s="49"/>
      <c r="AD2504" s="49"/>
      <c r="AE2504" s="49"/>
      <c r="AF2504" s="49" t="str">
        <f t="shared" si="4"/>
        <v>instincts,</v>
      </c>
      <c r="AG2504" s="49"/>
      <c r="AH2504" s="1" t="s">
        <v>2006</v>
      </c>
      <c r="AI2504" s="1" t="s">
        <v>4102</v>
      </c>
      <c r="AJ2504" s="6" t="str">
        <f>IFERROR(__xludf.DUMMYFUNCTION("""COMPUTED_VALUE"""),"internal")</f>
        <v>internal</v>
      </c>
      <c r="AK2504" s="49"/>
      <c r="AL2504" s="49"/>
      <c r="AM2504" s="49"/>
      <c r="AN2504" s="52" t="str">
        <f t="shared" si="5"/>
        <v>card,</v>
      </c>
    </row>
    <row r="2505">
      <c r="A2505" s="51"/>
      <c r="B2505" s="50" t="s">
        <v>4488</v>
      </c>
      <c r="C2505" s="50" t="s">
        <v>6694</v>
      </c>
      <c r="D2505" s="49" t="str">
        <f>IFERROR(__xludf.DUMMYFUNCTION("""COMPUTED_VALUE"""),"investigation")</f>
        <v>investigation</v>
      </c>
      <c r="E2505" s="49"/>
      <c r="F2505" s="49"/>
      <c r="G2505" s="49"/>
      <c r="H2505" s="54" t="str">
        <f t="shared" si="1"/>
        <v>fit,</v>
      </c>
      <c r="I2505" s="50"/>
      <c r="J2505" s="50" t="s">
        <v>7611</v>
      </c>
      <c r="K2505" s="50" t="s">
        <v>3528</v>
      </c>
      <c r="L2505" s="49"/>
      <c r="M2505" s="49"/>
      <c r="N2505" s="49"/>
      <c r="O2505" s="49"/>
      <c r="P2505" s="49" t="str">
        <f t="shared" si="2"/>
        <v>fest,</v>
      </c>
      <c r="Q2505" s="49"/>
      <c r="R2505" s="49"/>
      <c r="S2505" s="55" t="s">
        <v>1510</v>
      </c>
      <c r="T2505" s="49"/>
      <c r="U2505" s="49"/>
      <c r="V2505" s="49"/>
      <c r="W2505" s="49"/>
      <c r="X2505" s="49" t="str">
        <f t="shared" si="3"/>
        <v>,</v>
      </c>
      <c r="Y2505" s="49"/>
      <c r="Z2505" s="1" t="s">
        <v>1710</v>
      </c>
      <c r="AA2505" s="1" t="s">
        <v>5655</v>
      </c>
      <c r="AB2505" s="49"/>
      <c r="AC2505" s="49"/>
      <c r="AD2505" s="49"/>
      <c r="AE2505" s="49"/>
      <c r="AF2505" s="49" t="str">
        <f t="shared" si="4"/>
        <v>potent,</v>
      </c>
      <c r="AG2505" s="49"/>
      <c r="AH2505" s="1" t="s">
        <v>1990</v>
      </c>
      <c r="AI2505" s="1" t="s">
        <v>4689</v>
      </c>
      <c r="AJ2505" s="6" t="str">
        <f>IFERROR(__xludf.DUMMYFUNCTION("""COMPUTED_VALUE"""),"random")</f>
        <v>random</v>
      </c>
      <c r="AK2505" s="49"/>
      <c r="AL2505" s="49"/>
      <c r="AM2505" s="49"/>
      <c r="AN2505" s="52" t="str">
        <f t="shared" si="5"/>
        <v>subjects,</v>
      </c>
    </row>
    <row r="2506">
      <c r="A2506" s="51"/>
      <c r="B2506" s="50" t="s">
        <v>5838</v>
      </c>
      <c r="C2506" s="50" t="s">
        <v>2550</v>
      </c>
      <c r="D2506" s="49" t="str">
        <f>IFERROR(__xludf.DUMMYFUNCTION("""COMPUTED_VALUE"""),"turning")</f>
        <v>turning</v>
      </c>
      <c r="E2506" s="49"/>
      <c r="F2506" s="49"/>
      <c r="G2506" s="49"/>
      <c r="H2506" s="54" t="str">
        <f t="shared" si="1"/>
        <v>notably,</v>
      </c>
      <c r="I2506" s="50"/>
      <c r="J2506" s="50" t="s">
        <v>3611</v>
      </c>
      <c r="K2506" s="50" t="s">
        <v>5098</v>
      </c>
      <c r="L2506" s="49"/>
      <c r="M2506" s="49"/>
      <c r="N2506" s="49"/>
      <c r="O2506" s="49"/>
      <c r="P2506" s="49" t="str">
        <f t="shared" si="2"/>
        <v>ache,</v>
      </c>
      <c r="Q2506" s="49"/>
      <c r="R2506" s="49"/>
      <c r="S2506" s="55" t="s">
        <v>4644</v>
      </c>
      <c r="T2506" s="49"/>
      <c r="U2506" s="49"/>
      <c r="V2506" s="49"/>
      <c r="W2506" s="49"/>
      <c r="X2506" s="49" t="str">
        <f t="shared" si="3"/>
        <v>,</v>
      </c>
      <c r="Y2506" s="49"/>
      <c r="Z2506" s="1" t="s">
        <v>361</v>
      </c>
      <c r="AA2506" s="1" t="s">
        <v>4703</v>
      </c>
      <c r="AB2506" s="49"/>
      <c r="AC2506" s="49"/>
      <c r="AD2506" s="49"/>
      <c r="AE2506" s="49"/>
      <c r="AF2506" s="49" t="str">
        <f t="shared" si="4"/>
        <v>pale,</v>
      </c>
      <c r="AG2506" s="49"/>
      <c r="AH2506" s="1" t="s">
        <v>3831</v>
      </c>
      <c r="AI2506" s="1" t="s">
        <v>3443</v>
      </c>
      <c r="AJ2506" s="6" t="str">
        <f>IFERROR(__xludf.DUMMYFUNCTION("""COMPUTED_VALUE"""),"normal")</f>
        <v>normal</v>
      </c>
      <c r="AK2506" s="49"/>
      <c r="AL2506" s="49"/>
      <c r="AM2506" s="49"/>
      <c r="AN2506" s="52" t="str">
        <f t="shared" si="5"/>
        <v>nation,</v>
      </c>
    </row>
    <row r="2507">
      <c r="A2507" s="51"/>
      <c r="B2507" s="50" t="s">
        <v>3700</v>
      </c>
      <c r="C2507" s="50" t="s">
        <v>3173</v>
      </c>
      <c r="D2507" s="49" t="str">
        <f>IFERROR(__xludf.DUMMYFUNCTION("""COMPUTED_VALUE"""),"tongue")</f>
        <v>tongue</v>
      </c>
      <c r="E2507" s="49"/>
      <c r="F2507" s="49"/>
      <c r="G2507" s="49"/>
      <c r="H2507" s="54" t="str">
        <f t="shared" si="1"/>
        <v>awkward,</v>
      </c>
      <c r="I2507" s="50"/>
      <c r="J2507" s="50" t="s">
        <v>1340</v>
      </c>
      <c r="K2507" s="50" t="s">
        <v>2693</v>
      </c>
      <c r="L2507" s="49"/>
      <c r="M2507" s="49"/>
      <c r="N2507" s="49"/>
      <c r="O2507" s="49"/>
      <c r="P2507" s="49" t="str">
        <f t="shared" si="2"/>
        <v>bracing,</v>
      </c>
      <c r="Q2507" s="49"/>
      <c r="R2507" s="49"/>
      <c r="S2507" s="55" t="s">
        <v>1158</v>
      </c>
      <c r="T2507" s="49"/>
      <c r="U2507" s="49"/>
      <c r="V2507" s="49"/>
      <c r="W2507" s="49"/>
      <c r="X2507" s="49" t="str">
        <f t="shared" si="3"/>
        <v>,</v>
      </c>
      <c r="Y2507" s="49"/>
      <c r="Z2507" s="1" t="s">
        <v>949</v>
      </c>
      <c r="AA2507" s="1" t="s">
        <v>2929</v>
      </c>
      <c r="AB2507" s="49"/>
      <c r="AC2507" s="49"/>
      <c r="AD2507" s="49"/>
      <c r="AE2507" s="49"/>
      <c r="AF2507" s="49" t="str">
        <f t="shared" si="4"/>
        <v>symbolism,</v>
      </c>
      <c r="AG2507" s="49"/>
      <c r="AH2507" s="1" t="s">
        <v>7413</v>
      </c>
      <c r="AI2507" s="1" t="s">
        <v>6113</v>
      </c>
      <c r="AJ2507" s="6" t="str">
        <f>IFERROR(__xludf.DUMMYFUNCTION("""COMPUTED_VALUE"""),"details")</f>
        <v>details</v>
      </c>
      <c r="AK2507" s="49"/>
      <c r="AL2507" s="49"/>
      <c r="AM2507" s="49"/>
      <c r="AN2507" s="52" t="str">
        <f t="shared" si="5"/>
        <v>amateur,</v>
      </c>
    </row>
    <row r="2508">
      <c r="A2508" s="51"/>
      <c r="B2508" s="50" t="s">
        <v>2314</v>
      </c>
      <c r="C2508" s="50" t="s">
        <v>6759</v>
      </c>
      <c r="D2508" s="49" t="str">
        <f>IFERROR(__xludf.DUMMYFUNCTION("""COMPUTED_VALUE"""),"rated")</f>
        <v>rated</v>
      </c>
      <c r="E2508" s="49"/>
      <c r="F2508" s="49"/>
      <c r="G2508" s="49"/>
      <c r="H2508" s="54" t="str">
        <f t="shared" si="1"/>
        <v>interior,</v>
      </c>
      <c r="I2508" s="50"/>
      <c r="J2508" s="50" t="s">
        <v>2147</v>
      </c>
      <c r="K2508" s="50" t="s">
        <v>4411</v>
      </c>
      <c r="L2508" s="49"/>
      <c r="M2508" s="49"/>
      <c r="N2508" s="49"/>
      <c r="O2508" s="49"/>
      <c r="P2508" s="49" t="str">
        <f t="shared" si="2"/>
        <v>observations,</v>
      </c>
      <c r="Q2508" s="49"/>
      <c r="R2508" s="49"/>
      <c r="S2508" s="55" t="s">
        <v>4034</v>
      </c>
      <c r="T2508" s="49"/>
      <c r="U2508" s="49"/>
      <c r="V2508" s="49"/>
      <c r="W2508" s="49"/>
      <c r="X2508" s="49" t="str">
        <f t="shared" si="3"/>
        <v>,</v>
      </c>
      <c r="Y2508" s="49"/>
      <c r="Z2508" s="1" t="s">
        <v>1558</v>
      </c>
      <c r="AA2508" s="1" t="s">
        <v>3865</v>
      </c>
      <c r="AB2508" s="49"/>
      <c r="AC2508" s="49"/>
      <c r="AD2508" s="49"/>
      <c r="AE2508" s="49"/>
      <c r="AF2508" s="49" t="str">
        <f t="shared" si="4"/>
        <v>weary,</v>
      </c>
      <c r="AG2508" s="49"/>
      <c r="AH2508" s="1" t="s">
        <v>1582</v>
      </c>
      <c r="AI2508" s="1" t="s">
        <v>5097</v>
      </c>
      <c r="AJ2508" s="6" t="str">
        <f>IFERROR(__xludf.DUMMYFUNCTION("""COMPUTED_VALUE"""),"maintain")</f>
        <v>maintain</v>
      </c>
      <c r="AK2508" s="49"/>
      <c r="AL2508" s="49"/>
      <c r="AM2508" s="49"/>
      <c r="AN2508" s="52" t="str">
        <f t="shared" si="5"/>
        <v>national,</v>
      </c>
    </row>
    <row r="2509">
      <c r="A2509" s="51"/>
      <c r="B2509" s="50" t="s">
        <v>2207</v>
      </c>
      <c r="C2509" s="50" t="s">
        <v>6760</v>
      </c>
      <c r="D2509" s="49" t="str">
        <f>IFERROR(__xludf.DUMMYFUNCTION("""COMPUTED_VALUE"""),"swedish")</f>
        <v>swedish</v>
      </c>
      <c r="E2509" s="49"/>
      <c r="F2509" s="49"/>
      <c r="G2509" s="49"/>
      <c r="H2509" s="54" t="str">
        <f t="shared" si="1"/>
        <v>strike,</v>
      </c>
      <c r="I2509" s="50"/>
      <c r="J2509" s="50" t="s">
        <v>3288</v>
      </c>
      <c r="K2509" s="50" t="s">
        <v>4149</v>
      </c>
      <c r="L2509" s="49"/>
      <c r="M2509" s="49"/>
      <c r="N2509" s="49"/>
      <c r="O2509" s="49"/>
      <c r="P2509" s="49" t="str">
        <f t="shared" si="2"/>
        <v>intimacy,</v>
      </c>
      <c r="Q2509" s="49"/>
      <c r="R2509" s="49"/>
      <c r="S2509" s="55" t="s">
        <v>5866</v>
      </c>
      <c r="T2509" s="49"/>
      <c r="U2509" s="49"/>
      <c r="V2509" s="49"/>
      <c r="W2509" s="49"/>
      <c r="X2509" s="49" t="str">
        <f t="shared" si="3"/>
        <v>,</v>
      </c>
      <c r="Y2509" s="49"/>
      <c r="Z2509" s="1" t="s">
        <v>745</v>
      </c>
      <c r="AA2509" s="1" t="s">
        <v>5658</v>
      </c>
      <c r="AB2509" s="49"/>
      <c r="AC2509" s="49"/>
      <c r="AD2509" s="49"/>
      <c r="AE2509" s="49"/>
      <c r="AF2509" s="49" t="str">
        <f t="shared" si="4"/>
        <v>sentiment,</v>
      </c>
      <c r="AG2509" s="49"/>
      <c r="AH2509" s="1" t="s">
        <v>6499</v>
      </c>
      <c r="AI2509" s="1" t="s">
        <v>4984</v>
      </c>
      <c r="AJ2509" s="6" t="str">
        <f>IFERROR(__xludf.DUMMYFUNCTION("""COMPUTED_VALUE"""),"gender")</f>
        <v>gender</v>
      </c>
      <c r="AK2509" s="49"/>
      <c r="AL2509" s="49"/>
      <c r="AM2509" s="49"/>
      <c r="AN2509" s="52" t="str">
        <f t="shared" si="5"/>
        <v>helped,</v>
      </c>
    </row>
    <row r="2510">
      <c r="A2510" s="51"/>
      <c r="B2510" s="50" t="s">
        <v>5896</v>
      </c>
      <c r="C2510" s="50">
        <v>500.0</v>
      </c>
      <c r="D2510" s="49" t="str">
        <f>IFERROR(__xludf.DUMMYFUNCTION("""COMPUTED_VALUE"""),"approaches")</f>
        <v>approaches</v>
      </c>
      <c r="E2510" s="49"/>
      <c r="F2510" s="49"/>
      <c r="G2510" s="49"/>
      <c r="H2510" s="54" t="str">
        <f t="shared" si="1"/>
        <v>lyrics,</v>
      </c>
      <c r="I2510" s="50"/>
      <c r="J2510" s="50" t="s">
        <v>2208</v>
      </c>
      <c r="K2510" s="50" t="s">
        <v>3359</v>
      </c>
      <c r="L2510" s="49"/>
      <c r="M2510" s="49"/>
      <c r="N2510" s="49"/>
      <c r="O2510" s="49"/>
      <c r="P2510" s="49" t="str">
        <f t="shared" si="2"/>
        <v>garnered,</v>
      </c>
      <c r="Q2510" s="49"/>
      <c r="R2510" s="49"/>
      <c r="S2510" s="55" t="s">
        <v>4037</v>
      </c>
      <c r="T2510" s="49"/>
      <c r="U2510" s="49"/>
      <c r="V2510" s="49"/>
      <c r="W2510" s="49"/>
      <c r="X2510" s="49" t="str">
        <f t="shared" si="3"/>
        <v>,</v>
      </c>
      <c r="Y2510" s="49"/>
      <c r="Z2510" s="1" t="s">
        <v>7612</v>
      </c>
      <c r="AA2510" s="1" t="s">
        <v>5659</v>
      </c>
      <c r="AB2510" s="49"/>
      <c r="AC2510" s="49"/>
      <c r="AD2510" s="49"/>
      <c r="AE2510" s="49"/>
      <c r="AF2510" s="49" t="str">
        <f t="shared" si="4"/>
        <v>exceptional,</v>
      </c>
      <c r="AG2510" s="49"/>
      <c r="AH2510" s="1" t="s">
        <v>4091</v>
      </c>
      <c r="AI2510" s="1" t="s">
        <v>4460</v>
      </c>
      <c r="AJ2510" s="6" t="str">
        <f>IFERROR(__xludf.DUMMYFUNCTION("""COMPUTED_VALUE"""),"stakes")</f>
        <v>stakes</v>
      </c>
      <c r="AK2510" s="49"/>
      <c r="AL2510" s="49"/>
      <c r="AM2510" s="49"/>
      <c r="AN2510" s="52" t="str">
        <f t="shared" si="5"/>
        <v>wind,</v>
      </c>
    </row>
    <row r="2511">
      <c r="A2511" s="51"/>
      <c r="B2511" s="50" t="s">
        <v>2804</v>
      </c>
      <c r="C2511" s="50" t="s">
        <v>3260</v>
      </c>
      <c r="D2511" s="49">
        <f>IFERROR(__xludf.DUMMYFUNCTION("""COMPUTED_VALUE"""),50.0)</f>
        <v>50</v>
      </c>
      <c r="E2511" s="49"/>
      <c r="F2511" s="49"/>
      <c r="G2511" s="49"/>
      <c r="H2511" s="54" t="str">
        <f t="shared" si="1"/>
        <v>bond,</v>
      </c>
      <c r="I2511" s="50"/>
      <c r="J2511" s="50" t="s">
        <v>2792</v>
      </c>
      <c r="K2511" s="50" t="s">
        <v>3924</v>
      </c>
      <c r="L2511" s="49"/>
      <c r="M2511" s="49"/>
      <c r="N2511" s="49"/>
      <c r="O2511" s="49"/>
      <c r="P2511" s="49" t="str">
        <f t="shared" si="2"/>
        <v>consequences,</v>
      </c>
      <c r="Q2511" s="49"/>
      <c r="R2511" s="49"/>
      <c r="S2511" s="55" t="s">
        <v>3433</v>
      </c>
      <c r="T2511" s="49"/>
      <c r="U2511" s="49"/>
      <c r="V2511" s="49"/>
      <c r="W2511" s="49"/>
      <c r="X2511" s="49" t="str">
        <f t="shared" si="3"/>
        <v>,</v>
      </c>
      <c r="Y2511" s="49"/>
      <c r="Z2511" s="1" t="s">
        <v>30</v>
      </c>
      <c r="AA2511" s="1" t="s">
        <v>4706</v>
      </c>
      <c r="AB2511" s="49"/>
      <c r="AC2511" s="49"/>
      <c r="AD2511" s="49"/>
      <c r="AE2511" s="49"/>
      <c r="AF2511" s="49" t="str">
        <f t="shared" si="4"/>
        <v>parental,</v>
      </c>
      <c r="AG2511" s="49"/>
      <c r="AH2511" s="1" t="s">
        <v>4790</v>
      </c>
      <c r="AI2511" s="1" t="s">
        <v>5726</v>
      </c>
      <c r="AJ2511" s="6" t="str">
        <f>IFERROR(__xludf.DUMMYFUNCTION("""COMPUTED_VALUE"""),"study")</f>
        <v>study</v>
      </c>
      <c r="AK2511" s="49"/>
      <c r="AL2511" s="49"/>
      <c r="AM2511" s="49"/>
      <c r="AN2511" s="52" t="str">
        <f t="shared" si="5"/>
        <v>split,</v>
      </c>
    </row>
    <row r="2512">
      <c r="A2512" s="51"/>
      <c r="B2512" s="50" t="s">
        <v>6801</v>
      </c>
      <c r="C2512" s="50" t="s">
        <v>5307</v>
      </c>
      <c r="D2512" s="49" t="str">
        <f>IFERROR(__xludf.DUMMYFUNCTION("""COMPUTED_VALUE"""),"daughter")</f>
        <v>daughter</v>
      </c>
      <c r="E2512" s="49"/>
      <c r="F2512" s="49"/>
      <c r="G2512" s="49"/>
      <c r="H2512" s="54" t="str">
        <f t="shared" si="1"/>
        <v>al,</v>
      </c>
      <c r="I2512" s="50"/>
      <c r="J2512" s="50" t="s">
        <v>934</v>
      </c>
      <c r="K2512" s="50" t="s">
        <v>1347</v>
      </c>
      <c r="L2512" s="49"/>
      <c r="M2512" s="49"/>
      <c r="N2512" s="49"/>
      <c r="O2512" s="49"/>
      <c r="P2512" s="49" t="str">
        <f t="shared" si="2"/>
        <v>inactive,</v>
      </c>
      <c r="Q2512" s="49"/>
      <c r="R2512" s="49"/>
      <c r="S2512" s="55" t="s">
        <v>4042</v>
      </c>
      <c r="T2512" s="49"/>
      <c r="U2512" s="49"/>
      <c r="V2512" s="49"/>
      <c r="W2512" s="49"/>
      <c r="X2512" s="49" t="str">
        <f t="shared" si="3"/>
        <v>,</v>
      </c>
      <c r="Y2512" s="49"/>
      <c r="Z2512" s="1" t="s">
        <v>4180</v>
      </c>
      <c r="AA2512" s="1" t="s">
        <v>1681</v>
      </c>
      <c r="AB2512" s="49"/>
      <c r="AC2512" s="49"/>
      <c r="AD2512" s="49"/>
      <c r="AE2512" s="49"/>
      <c r="AF2512" s="49" t="str">
        <f t="shared" si="4"/>
        <v>dismissed,</v>
      </c>
      <c r="AG2512" s="49"/>
      <c r="AH2512" s="1" t="s">
        <v>3579</v>
      </c>
      <c r="AI2512" s="1" t="s">
        <v>2481</v>
      </c>
      <c r="AJ2512" s="6" t="str">
        <f>IFERROR(__xludf.DUMMYFUNCTION("""COMPUTED_VALUE"""),"smoke")</f>
        <v>smoke</v>
      </c>
      <c r="AK2512" s="49"/>
      <c r="AL2512" s="49"/>
      <c r="AM2512" s="49"/>
      <c r="AN2512" s="52" t="str">
        <f t="shared" si="5"/>
        <v>ill,</v>
      </c>
    </row>
    <row r="2513">
      <c r="A2513" s="51"/>
      <c r="B2513" s="50" t="s">
        <v>7382</v>
      </c>
      <c r="C2513" s="50" t="s">
        <v>3701</v>
      </c>
      <c r="D2513" s="49" t="str">
        <f>IFERROR(__xludf.DUMMYFUNCTION("""COMPUTED_VALUE"""),"follows")</f>
        <v>follows</v>
      </c>
      <c r="E2513" s="49"/>
      <c r="F2513" s="49"/>
      <c r="G2513" s="49"/>
      <c r="H2513" s="54" t="str">
        <f t="shared" si="1"/>
        <v>cape,</v>
      </c>
      <c r="I2513" s="50"/>
      <c r="J2513" s="50" t="s">
        <v>1480</v>
      </c>
      <c r="K2513" s="50" t="s">
        <v>2334</v>
      </c>
      <c r="L2513" s="49"/>
      <c r="M2513" s="49"/>
      <c r="N2513" s="49"/>
      <c r="O2513" s="49"/>
      <c r="P2513" s="49" t="str">
        <f t="shared" si="2"/>
        <v>classical,</v>
      </c>
      <c r="Q2513" s="49"/>
      <c r="R2513" s="49"/>
      <c r="S2513" s="55" t="s">
        <v>1180</v>
      </c>
      <c r="T2513" s="49"/>
      <c r="U2513" s="49"/>
      <c r="V2513" s="49"/>
      <c r="W2513" s="49"/>
      <c r="X2513" s="49" t="str">
        <f t="shared" si="3"/>
        <v>,</v>
      </c>
      <c r="Y2513" s="49"/>
      <c r="Z2513" s="1" t="s">
        <v>4813</v>
      </c>
      <c r="AA2513" s="1" t="s">
        <v>5661</v>
      </c>
      <c r="AB2513" s="49"/>
      <c r="AC2513" s="49"/>
      <c r="AD2513" s="49"/>
      <c r="AE2513" s="49"/>
      <c r="AF2513" s="49" t="str">
        <f t="shared" si="4"/>
        <v>wake,</v>
      </c>
      <c r="AG2513" s="49"/>
      <c r="AH2513" s="1" t="s">
        <v>467</v>
      </c>
      <c r="AI2513" s="1" t="s">
        <v>3450</v>
      </c>
      <c r="AJ2513" s="6" t="str">
        <f>IFERROR(__xludf.DUMMYFUNCTION("""COMPUTED_VALUE"""),"luis")</f>
        <v>luis</v>
      </c>
      <c r="AK2513" s="49"/>
      <c r="AL2513" s="49"/>
      <c r="AM2513" s="49"/>
      <c r="AN2513" s="52" t="str">
        <f t="shared" si="5"/>
        <v>offensive,</v>
      </c>
    </row>
    <row r="2514">
      <c r="A2514" s="51"/>
      <c r="B2514" s="50" t="s">
        <v>2460</v>
      </c>
      <c r="C2514" s="50" t="s">
        <v>2885</v>
      </c>
      <c r="D2514" s="49" t="str">
        <f>IFERROR(__xludf.DUMMYFUNCTION("""COMPUTED_VALUE"""),"dinner")</f>
        <v>dinner</v>
      </c>
      <c r="E2514" s="49"/>
      <c r="F2514" s="49"/>
      <c r="G2514" s="49"/>
      <c r="H2514" s="54" t="str">
        <f t="shared" si="1"/>
        <v>comics,</v>
      </c>
      <c r="I2514" s="50"/>
      <c r="J2514" s="50" t="s">
        <v>3415</v>
      </c>
      <c r="K2514" s="50" t="s">
        <v>3779</v>
      </c>
      <c r="L2514" s="49"/>
      <c r="M2514" s="49"/>
      <c r="N2514" s="49"/>
      <c r="O2514" s="49"/>
      <c r="P2514" s="49" t="str">
        <f t="shared" si="2"/>
        <v>rural,</v>
      </c>
      <c r="Q2514" s="49"/>
      <c r="R2514" s="49"/>
      <c r="S2514" s="55" t="s">
        <v>6761</v>
      </c>
      <c r="T2514" s="49"/>
      <c r="U2514" s="49"/>
      <c r="V2514" s="49"/>
      <c r="W2514" s="49"/>
      <c r="X2514" s="49" t="str">
        <f t="shared" si="3"/>
        <v>,</v>
      </c>
      <c r="Y2514" s="49"/>
      <c r="Z2514" s="1" t="s">
        <v>1195</v>
      </c>
      <c r="AA2514" s="1" t="s">
        <v>5662</v>
      </c>
      <c r="AB2514" s="49"/>
      <c r="AC2514" s="49"/>
      <c r="AD2514" s="49"/>
      <c r="AE2514" s="49"/>
      <c r="AF2514" s="49" t="str">
        <f t="shared" si="4"/>
        <v>crossover,</v>
      </c>
      <c r="AG2514" s="49"/>
      <c r="AH2514" s="1" t="s">
        <v>2383</v>
      </c>
      <c r="AI2514" s="1" t="s">
        <v>5100</v>
      </c>
      <c r="AJ2514" s="6" t="str">
        <f>IFERROR(__xludf.DUMMYFUNCTION("""COMPUTED_VALUE"""),"limits")</f>
        <v>limits</v>
      </c>
      <c r="AK2514" s="49"/>
      <c r="AL2514" s="49"/>
      <c r="AM2514" s="49"/>
      <c r="AN2514" s="52" t="str">
        <f t="shared" si="5"/>
        <v>adult,</v>
      </c>
    </row>
    <row r="2515">
      <c r="A2515" s="51"/>
      <c r="B2515" s="50" t="s">
        <v>4355</v>
      </c>
      <c r="C2515" s="50" t="s">
        <v>6696</v>
      </c>
      <c r="D2515" s="49" t="str">
        <f>IFERROR(__xludf.DUMMYFUNCTION("""COMPUTED_VALUE"""),"strictly")</f>
        <v>strictly</v>
      </c>
      <c r="E2515" s="49"/>
      <c r="F2515" s="49"/>
      <c r="G2515" s="49"/>
      <c r="H2515" s="54" t="str">
        <f t="shared" si="1"/>
        <v>todd,</v>
      </c>
      <c r="I2515" s="50"/>
      <c r="J2515" s="50" t="s">
        <v>2169</v>
      </c>
      <c r="K2515" s="50" t="s">
        <v>1244</v>
      </c>
      <c r="L2515" s="49"/>
      <c r="M2515" s="49"/>
      <c r="N2515" s="49"/>
      <c r="O2515" s="49"/>
      <c r="P2515" s="49" t="str">
        <f t="shared" si="2"/>
        <v>weighted,</v>
      </c>
      <c r="Q2515" s="49"/>
      <c r="R2515" s="49"/>
      <c r="S2515" s="55" t="s">
        <v>6757</v>
      </c>
      <c r="T2515" s="49"/>
      <c r="U2515" s="49"/>
      <c r="V2515" s="49"/>
      <c r="W2515" s="49"/>
      <c r="X2515" s="49" t="str">
        <f t="shared" si="3"/>
        <v>,</v>
      </c>
      <c r="Y2515" s="49"/>
      <c r="Z2515" s="1" t="s">
        <v>873</v>
      </c>
      <c r="AA2515" s="1" t="s">
        <v>4711</v>
      </c>
      <c r="AB2515" s="49"/>
      <c r="AC2515" s="49"/>
      <c r="AD2515" s="49"/>
      <c r="AE2515" s="49"/>
      <c r="AF2515" s="49" t="str">
        <f t="shared" si="4"/>
        <v>touched,</v>
      </c>
      <c r="AG2515" s="49"/>
      <c r="AH2515" s="1" t="s">
        <v>4246</v>
      </c>
      <c r="AI2515" s="1" t="s">
        <v>6762</v>
      </c>
      <c r="AJ2515" s="6" t="str">
        <f>IFERROR(__xludf.DUMMYFUNCTION("""COMPUTED_VALUE"""),"accept")</f>
        <v>accept</v>
      </c>
      <c r="AK2515" s="49"/>
      <c r="AL2515" s="49"/>
      <c r="AM2515" s="49"/>
      <c r="AN2515" s="52" t="str">
        <f t="shared" si="5"/>
        <v>references,</v>
      </c>
    </row>
    <row r="2516">
      <c r="A2516" s="51"/>
      <c r="B2516" s="50" t="s">
        <v>5332</v>
      </c>
      <c r="C2516" s="50" t="s">
        <v>4807</v>
      </c>
      <c r="D2516" s="49" t="str">
        <f>IFERROR(__xludf.DUMMYFUNCTION("""COMPUTED_VALUE"""),"students")</f>
        <v>students</v>
      </c>
      <c r="E2516" s="49"/>
      <c r="F2516" s="49"/>
      <c r="G2516" s="49"/>
      <c r="H2516" s="54" t="str">
        <f t="shared" si="1"/>
        <v>explosion,</v>
      </c>
      <c r="I2516" s="50"/>
      <c r="J2516" s="50" t="s">
        <v>880</v>
      </c>
      <c r="K2516" s="50" t="s">
        <v>1251</v>
      </c>
      <c r="L2516" s="49"/>
      <c r="M2516" s="49"/>
      <c r="N2516" s="49"/>
      <c r="O2516" s="49"/>
      <c r="P2516" s="49" t="str">
        <f t="shared" si="2"/>
        <v>problematic,</v>
      </c>
      <c r="Q2516" s="49"/>
      <c r="R2516" s="49"/>
      <c r="S2516" s="55" t="s">
        <v>4047</v>
      </c>
      <c r="T2516" s="49"/>
      <c r="U2516" s="49"/>
      <c r="V2516" s="49"/>
      <c r="W2516" s="49"/>
      <c r="X2516" s="49" t="str">
        <f t="shared" si="3"/>
        <v>,</v>
      </c>
      <c r="Y2516" s="49"/>
      <c r="Z2516" s="1" t="s">
        <v>1973</v>
      </c>
      <c r="AA2516" s="1" t="s">
        <v>5663</v>
      </c>
      <c r="AB2516" s="49"/>
      <c r="AC2516" s="49"/>
      <c r="AD2516" s="49"/>
      <c r="AE2516" s="49"/>
      <c r="AF2516" s="49" t="str">
        <f t="shared" si="4"/>
        <v>sake,</v>
      </c>
      <c r="AG2516" s="49"/>
      <c r="AH2516" s="1" t="s">
        <v>7613</v>
      </c>
      <c r="AI2516" s="1" t="s">
        <v>6763</v>
      </c>
      <c r="AJ2516" s="6" t="str">
        <f>IFERROR(__xludf.DUMMYFUNCTION("""COMPUTED_VALUE"""),"mood")</f>
        <v>mood</v>
      </c>
      <c r="AK2516" s="49"/>
      <c r="AL2516" s="49"/>
      <c r="AM2516" s="49"/>
      <c r="AN2516" s="52" t="str">
        <f t="shared" si="5"/>
        <v>returned,</v>
      </c>
    </row>
    <row r="2517">
      <c r="A2517" s="51"/>
      <c r="B2517" s="50" t="s">
        <v>2183</v>
      </c>
      <c r="C2517" s="50" t="s">
        <v>4806</v>
      </c>
      <c r="D2517" s="49" t="str">
        <f>IFERROR(__xludf.DUMMYFUNCTION("""COMPUTED_VALUE"""),"closest")</f>
        <v>closest</v>
      </c>
      <c r="E2517" s="49"/>
      <c r="F2517" s="49"/>
      <c r="G2517" s="49"/>
      <c r="H2517" s="54" t="str">
        <f t="shared" si="1"/>
        <v>marvel,</v>
      </c>
      <c r="I2517" s="50"/>
      <c r="J2517" s="50" t="s">
        <v>2487</v>
      </c>
      <c r="K2517" s="50" t="s">
        <v>4262</v>
      </c>
      <c r="L2517" s="49"/>
      <c r="M2517" s="49"/>
      <c r="N2517" s="49"/>
      <c r="O2517" s="49"/>
      <c r="P2517" s="49" t="str">
        <f t="shared" si="2"/>
        <v>wooden,</v>
      </c>
      <c r="Q2517" s="49"/>
      <c r="R2517" s="49"/>
      <c r="S2517" s="55" t="s">
        <v>4048</v>
      </c>
      <c r="T2517" s="49"/>
      <c r="U2517" s="49"/>
      <c r="V2517" s="49"/>
      <c r="W2517" s="49"/>
      <c r="X2517" s="49" t="str">
        <f t="shared" si="3"/>
        <v>,</v>
      </c>
      <c r="Y2517" s="49"/>
      <c r="Z2517" s="1" t="s">
        <v>241</v>
      </c>
      <c r="AA2517" s="1" t="s">
        <v>4683</v>
      </c>
      <c r="AB2517" s="49"/>
      <c r="AC2517" s="49"/>
      <c r="AD2517" s="49"/>
      <c r="AE2517" s="49"/>
      <c r="AF2517" s="49" t="str">
        <f t="shared" si="4"/>
        <v>realistic,</v>
      </c>
      <c r="AG2517" s="49"/>
      <c r="AH2517" s="1" t="s">
        <v>1608</v>
      </c>
      <c r="AI2517" s="1" t="s">
        <v>3899</v>
      </c>
      <c r="AJ2517" s="6" t="str">
        <f>IFERROR(__xludf.DUMMYFUNCTION("""COMPUTED_VALUE"""),"marriage")</f>
        <v>marriage</v>
      </c>
      <c r="AK2517" s="49"/>
      <c r="AL2517" s="49"/>
      <c r="AM2517" s="49"/>
      <c r="AN2517" s="52" t="str">
        <f t="shared" si="5"/>
        <v>opera,</v>
      </c>
    </row>
    <row r="2518">
      <c r="A2518" s="51"/>
      <c r="B2518" s="50" t="s">
        <v>7614</v>
      </c>
      <c r="C2518" s="50" t="s">
        <v>4073</v>
      </c>
      <c r="D2518" s="49" t="str">
        <f>IFERROR(__xludf.DUMMYFUNCTION("""COMPUTED_VALUE"""),"anger")</f>
        <v>anger</v>
      </c>
      <c r="E2518" s="49"/>
      <c r="F2518" s="49"/>
      <c r="G2518" s="49"/>
      <c r="H2518" s="54" t="str">
        <f t="shared" si="1"/>
        <v>chains,</v>
      </c>
      <c r="I2518" s="50"/>
      <c r="J2518" s="50" t="s">
        <v>2744</v>
      </c>
      <c r="K2518" s="50" t="s">
        <v>5665</v>
      </c>
      <c r="L2518" s="49"/>
      <c r="M2518" s="49"/>
      <c r="N2518" s="49"/>
      <c r="O2518" s="49"/>
      <c r="P2518" s="49" t="str">
        <f t="shared" si="2"/>
        <v>square,</v>
      </c>
      <c r="Q2518" s="49"/>
      <c r="R2518" s="49"/>
      <c r="S2518" s="55" t="s">
        <v>5706</v>
      </c>
      <c r="T2518" s="49"/>
      <c r="U2518" s="49"/>
      <c r="V2518" s="49"/>
      <c r="W2518" s="49"/>
      <c r="X2518" s="49" t="str">
        <f t="shared" si="3"/>
        <v>,</v>
      </c>
      <c r="Y2518" s="49"/>
      <c r="Z2518" s="1" t="s">
        <v>430</v>
      </c>
      <c r="AA2518" s="1" t="s">
        <v>2948</v>
      </c>
      <c r="AB2518" s="49"/>
      <c r="AC2518" s="49"/>
      <c r="AD2518" s="49"/>
      <c r="AE2518" s="49"/>
      <c r="AF2518" s="49" t="str">
        <f t="shared" si="4"/>
        <v>plotted,</v>
      </c>
      <c r="AG2518" s="49"/>
      <c r="AH2518" s="1" t="s">
        <v>6495</v>
      </c>
      <c r="AI2518" s="1" t="s">
        <v>5238</v>
      </c>
      <c r="AJ2518" s="6" t="str">
        <f>IFERROR(__xludf.DUMMYFUNCTION("""COMPUTED_VALUE"""),"rose")</f>
        <v>rose</v>
      </c>
      <c r="AK2518" s="49"/>
      <c r="AL2518" s="49"/>
      <c r="AM2518" s="49"/>
      <c r="AN2518" s="52" t="str">
        <f t="shared" si="5"/>
        <v>attitude,</v>
      </c>
    </row>
    <row r="2519">
      <c r="A2519" s="51"/>
      <c r="B2519" s="50" t="s">
        <v>6680</v>
      </c>
      <c r="C2519" s="50" t="s">
        <v>6688</v>
      </c>
      <c r="D2519" s="49" t="str">
        <f>IFERROR(__xludf.DUMMYFUNCTION("""COMPUTED_VALUE"""),"brother")</f>
        <v>brother</v>
      </c>
      <c r="E2519" s="49"/>
      <c r="F2519" s="49"/>
      <c r="G2519" s="49"/>
      <c r="H2519" s="54" t="str">
        <f t="shared" si="1"/>
        <v>costume,</v>
      </c>
      <c r="I2519" s="50"/>
      <c r="J2519" s="50" t="s">
        <v>3910</v>
      </c>
      <c r="K2519" s="50" t="s">
        <v>1563</v>
      </c>
      <c r="L2519" s="49"/>
      <c r="M2519" s="49"/>
      <c r="N2519" s="49"/>
      <c r="O2519" s="49"/>
      <c r="P2519" s="49" t="str">
        <f t="shared" si="2"/>
        <v>supermarket,</v>
      </c>
      <c r="Q2519" s="49"/>
      <c r="R2519" s="49"/>
      <c r="S2519" s="55">
        <v>83.0</v>
      </c>
      <c r="T2519" s="49"/>
      <c r="U2519" s="49"/>
      <c r="V2519" s="49"/>
      <c r="W2519" s="49"/>
      <c r="X2519" s="49" t="str">
        <f t="shared" si="3"/>
        <v>,</v>
      </c>
      <c r="Y2519" s="49"/>
      <c r="Z2519" s="1" t="s">
        <v>268</v>
      </c>
      <c r="AA2519" s="1" t="s">
        <v>5666</v>
      </c>
      <c r="AB2519" s="49"/>
      <c r="AC2519" s="49"/>
      <c r="AD2519" s="49"/>
      <c r="AE2519" s="49"/>
      <c r="AF2519" s="49" t="str">
        <f t="shared" si="4"/>
        <v>explores,</v>
      </c>
      <c r="AG2519" s="49"/>
      <c r="AH2519" s="1" t="s">
        <v>3698</v>
      </c>
      <c r="AI2519" s="1" t="s">
        <v>3668</v>
      </c>
      <c r="AJ2519" s="6" t="str">
        <f>IFERROR(__xludf.DUMMYFUNCTION("""COMPUTED_VALUE"""),"cheeks")</f>
        <v>cheeks</v>
      </c>
      <c r="AK2519" s="49"/>
      <c r="AL2519" s="49"/>
      <c r="AM2519" s="49"/>
      <c r="AN2519" s="52" t="str">
        <f t="shared" si="5"/>
        <v>theory,</v>
      </c>
    </row>
    <row r="2520">
      <c r="A2520" s="51"/>
      <c r="B2520" s="50" t="s">
        <v>3026</v>
      </c>
      <c r="C2520" s="50" t="s">
        <v>6764</v>
      </c>
      <c r="D2520" s="49" t="str">
        <f>IFERROR(__xludf.DUMMYFUNCTION("""COMPUTED_VALUE"""),"dangerous")</f>
        <v>dangerous</v>
      </c>
      <c r="E2520" s="49"/>
      <c r="F2520" s="49"/>
      <c r="G2520" s="49"/>
      <c r="H2520" s="54" t="str">
        <f t="shared" si="1"/>
        <v>fairly,</v>
      </c>
      <c r="I2520" s="50"/>
      <c r="J2520" s="50" t="s">
        <v>5852</v>
      </c>
      <c r="K2520" s="50" t="s">
        <v>2341</v>
      </c>
      <c r="L2520" s="49"/>
      <c r="M2520" s="49"/>
      <c r="N2520" s="49"/>
      <c r="O2520" s="49"/>
      <c r="P2520" s="49" t="str">
        <f t="shared" si="2"/>
        <v>21st,</v>
      </c>
      <c r="Q2520" s="49"/>
      <c r="R2520" s="49"/>
      <c r="S2520" s="55" t="s">
        <v>1163</v>
      </c>
      <c r="T2520" s="49"/>
      <c r="U2520" s="49"/>
      <c r="V2520" s="49"/>
      <c r="W2520" s="49"/>
      <c r="X2520" s="49" t="str">
        <f t="shared" si="3"/>
        <v>,</v>
      </c>
      <c r="Y2520" s="49"/>
      <c r="Z2520" s="1" t="s">
        <v>2579</v>
      </c>
      <c r="AA2520" s="1" t="s">
        <v>1639</v>
      </c>
      <c r="AB2520" s="49"/>
      <c r="AC2520" s="49"/>
      <c r="AD2520" s="49"/>
      <c r="AE2520" s="49"/>
      <c r="AF2520" s="49" t="str">
        <f t="shared" si="4"/>
        <v>pointed,</v>
      </c>
      <c r="AG2520" s="49"/>
      <c r="AH2520" s="1" t="s">
        <v>5327</v>
      </c>
      <c r="AI2520" s="1" t="s">
        <v>3454</v>
      </c>
      <c r="AJ2520" s="6" t="str">
        <f>IFERROR(__xludf.DUMMYFUNCTION("""COMPUTED_VALUE"""),"circumstances")</f>
        <v>circumstances</v>
      </c>
      <c r="AK2520" s="49"/>
      <c r="AL2520" s="49"/>
      <c r="AM2520" s="49"/>
      <c r="AN2520" s="52" t="str">
        <f t="shared" si="5"/>
        <v>numbers,</v>
      </c>
    </row>
    <row r="2521">
      <c r="A2521" s="51"/>
      <c r="B2521" s="50" t="s">
        <v>630</v>
      </c>
      <c r="C2521" s="50" t="s">
        <v>6697</v>
      </c>
      <c r="D2521" s="49" t="str">
        <f>IFERROR(__xludf.DUMMYFUNCTION("""COMPUTED_VALUE"""),"confused")</f>
        <v>confused</v>
      </c>
      <c r="E2521" s="49"/>
      <c r="F2521" s="49"/>
      <c r="G2521" s="49"/>
      <c r="H2521" s="54" t="str">
        <f t="shared" si="1"/>
        <v>storm,</v>
      </c>
      <c r="I2521" s="50"/>
      <c r="J2521" s="50" t="s">
        <v>1301</v>
      </c>
      <c r="K2521" s="50" t="s">
        <v>1259</v>
      </c>
      <c r="L2521" s="49"/>
      <c r="M2521" s="49"/>
      <c r="N2521" s="49"/>
      <c r="O2521" s="49"/>
      <c r="P2521" s="49" t="str">
        <f t="shared" si="2"/>
        <v>performed,</v>
      </c>
      <c r="Q2521" s="49"/>
      <c r="R2521" s="49"/>
      <c r="S2521" s="55" t="s">
        <v>5756</v>
      </c>
      <c r="T2521" s="49"/>
      <c r="U2521" s="49"/>
      <c r="V2521" s="49"/>
      <c r="W2521" s="49"/>
      <c r="X2521" s="49" t="str">
        <f t="shared" si="3"/>
        <v>,</v>
      </c>
      <c r="Y2521" s="49"/>
      <c r="Z2521" s="1" t="b">
        <v>0</v>
      </c>
      <c r="AA2521" s="1" t="s">
        <v>1645</v>
      </c>
      <c r="AB2521" s="49"/>
      <c r="AC2521" s="49"/>
      <c r="AD2521" s="49"/>
      <c r="AE2521" s="49"/>
      <c r="AF2521" s="49" t="str">
        <f t="shared" si="4"/>
        <v>FALSE,</v>
      </c>
      <c r="AG2521" s="49"/>
      <c r="AH2521" s="1" t="s">
        <v>6550</v>
      </c>
      <c r="AI2521" s="1" t="s">
        <v>6765</v>
      </c>
      <c r="AJ2521" s="6" t="str">
        <f>IFERROR(__xludf.DUMMYFUNCTION("""COMPUTED_VALUE"""),"parade")</f>
        <v>parade</v>
      </c>
      <c r="AK2521" s="49"/>
      <c r="AL2521" s="49"/>
      <c r="AM2521" s="49"/>
      <c r="AN2521" s="52" t="str">
        <f t="shared" si="5"/>
        <v>shopping,</v>
      </c>
    </row>
    <row r="2522">
      <c r="A2522" s="51"/>
      <c r="B2522" s="50" t="s">
        <v>4581</v>
      </c>
      <c r="C2522" s="50" t="s">
        <v>4810</v>
      </c>
      <c r="D2522" s="49" t="str">
        <f>IFERROR(__xludf.DUMMYFUNCTION("""COMPUTED_VALUE"""),"necessary")</f>
        <v>necessary</v>
      </c>
      <c r="E2522" s="49"/>
      <c r="F2522" s="49"/>
      <c r="G2522" s="49"/>
      <c r="H2522" s="54" t="str">
        <f t="shared" si="1"/>
        <v>boat,</v>
      </c>
      <c r="I2522" s="50"/>
      <c r="J2522" s="50" t="s">
        <v>2130</v>
      </c>
      <c r="K2522" s="50" t="s">
        <v>1945</v>
      </c>
      <c r="L2522" s="49"/>
      <c r="M2522" s="49"/>
      <c r="N2522" s="49"/>
      <c r="O2522" s="49"/>
      <c r="P2522" s="49" t="str">
        <f t="shared" si="2"/>
        <v>graduated,</v>
      </c>
      <c r="Q2522" s="49"/>
      <c r="R2522" s="49"/>
      <c r="S2522" s="55" t="s">
        <v>4050</v>
      </c>
      <c r="T2522" s="49"/>
      <c r="U2522" s="49"/>
      <c r="V2522" s="49"/>
      <c r="W2522" s="49"/>
      <c r="X2522" s="49" t="str">
        <f t="shared" si="3"/>
        <v>,</v>
      </c>
      <c r="Y2522" s="49"/>
      <c r="Z2522" s="1" t="s">
        <v>693</v>
      </c>
      <c r="AA2522" s="1" t="s">
        <v>4726</v>
      </c>
      <c r="AB2522" s="49"/>
      <c r="AC2522" s="49"/>
      <c r="AD2522" s="49"/>
      <c r="AE2522" s="49"/>
      <c r="AF2522" s="49" t="str">
        <f t="shared" si="4"/>
        <v>jerking,</v>
      </c>
      <c r="AG2522" s="49"/>
      <c r="AH2522" s="1" t="s">
        <v>2257</v>
      </c>
      <c r="AI2522" s="1" t="s">
        <v>3457</v>
      </c>
      <c r="AJ2522" s="6" t="str">
        <f>IFERROR(__xludf.DUMMYFUNCTION("""COMPUTED_VALUE"""),"tool")</f>
        <v>tool</v>
      </c>
      <c r="AK2522" s="49"/>
      <c r="AL2522" s="49"/>
      <c r="AM2522" s="49"/>
      <c r="AN2522" s="52" t="str">
        <f t="shared" si="5"/>
        <v>punishment,</v>
      </c>
    </row>
    <row r="2523">
      <c r="A2523" s="51"/>
      <c r="B2523" s="50" t="s">
        <v>995</v>
      </c>
      <c r="C2523" s="50" t="s">
        <v>6690</v>
      </c>
      <c r="D2523" s="49" t="str">
        <f>IFERROR(__xludf.DUMMYFUNCTION("""COMPUTED_VALUE"""),"headed")</f>
        <v>headed</v>
      </c>
      <c r="E2523" s="49"/>
      <c r="F2523" s="49"/>
      <c r="G2523" s="49"/>
      <c r="H2523" s="54" t="str">
        <f t="shared" si="1"/>
        <v>eat,</v>
      </c>
      <c r="I2523" s="50"/>
      <c r="J2523" s="50" t="s">
        <v>2626</v>
      </c>
      <c r="K2523" s="50" t="s">
        <v>4160</v>
      </c>
      <c r="L2523" s="49"/>
      <c r="M2523" s="49"/>
      <c r="N2523" s="49"/>
      <c r="O2523" s="49"/>
      <c r="P2523" s="49" t="str">
        <f t="shared" si="2"/>
        <v>wednesday,</v>
      </c>
      <c r="Q2523" s="49"/>
      <c r="R2523" s="49"/>
      <c r="S2523" s="55" t="s">
        <v>4424</v>
      </c>
      <c r="T2523" s="49"/>
      <c r="U2523" s="49"/>
      <c r="V2523" s="49"/>
      <c r="W2523" s="49"/>
      <c r="X2523" s="49" t="str">
        <f t="shared" si="3"/>
        <v>,</v>
      </c>
      <c r="Y2523" s="49"/>
      <c r="Z2523" s="1" t="s">
        <v>2793</v>
      </c>
      <c r="AA2523" s="1" t="s">
        <v>5669</v>
      </c>
      <c r="AB2523" s="49"/>
      <c r="AC2523" s="49"/>
      <c r="AD2523" s="49"/>
      <c r="AE2523" s="49"/>
      <c r="AF2523" s="49" t="str">
        <f t="shared" si="4"/>
        <v>signs,</v>
      </c>
      <c r="AG2523" s="49"/>
      <c r="AH2523" s="1" t="s">
        <v>2076</v>
      </c>
      <c r="AI2523" s="1" t="s">
        <v>2472</v>
      </c>
      <c r="AJ2523" s="6" t="str">
        <f>IFERROR(__xludf.DUMMYFUNCTION("""COMPUTED_VALUE"""),"effectively")</f>
        <v>effectively</v>
      </c>
      <c r="AK2523" s="49"/>
      <c r="AL2523" s="49"/>
      <c r="AM2523" s="49"/>
      <c r="AN2523" s="52" t="str">
        <f t="shared" si="5"/>
        <v>missed,</v>
      </c>
    </row>
    <row r="2524">
      <c r="A2524" s="51"/>
      <c r="B2524" s="50" t="s">
        <v>2080</v>
      </c>
      <c r="C2524" s="50" t="s">
        <v>5315</v>
      </c>
      <c r="D2524" s="49" t="str">
        <f>IFERROR(__xludf.DUMMYFUNCTION("""COMPUTED_VALUE"""),"uncle")</f>
        <v>uncle</v>
      </c>
      <c r="E2524" s="49"/>
      <c r="F2524" s="49"/>
      <c r="G2524" s="49"/>
      <c r="H2524" s="54" t="str">
        <f t="shared" si="1"/>
        <v>stuck,</v>
      </c>
      <c r="I2524" s="50"/>
      <c r="J2524" s="50" t="s">
        <v>1831</v>
      </c>
      <c r="K2524" s="50" t="s">
        <v>5405</v>
      </c>
      <c r="L2524" s="49"/>
      <c r="M2524" s="49"/>
      <c r="N2524" s="49"/>
      <c r="O2524" s="49"/>
      <c r="P2524" s="49" t="str">
        <f t="shared" si="2"/>
        <v>album,</v>
      </c>
      <c r="Q2524" s="49"/>
      <c r="R2524" s="49"/>
      <c r="S2524" s="55" t="s">
        <v>78</v>
      </c>
      <c r="T2524" s="49"/>
      <c r="U2524" s="49"/>
      <c r="V2524" s="49"/>
      <c r="W2524" s="49"/>
      <c r="X2524" s="49" t="str">
        <f t="shared" si="3"/>
        <v>,</v>
      </c>
      <c r="Y2524" s="49"/>
      <c r="Z2524" s="1" t="s">
        <v>4013</v>
      </c>
      <c r="AA2524" s="1" t="s">
        <v>757</v>
      </c>
      <c r="AB2524" s="49"/>
      <c r="AC2524" s="49"/>
      <c r="AD2524" s="49"/>
      <c r="AE2524" s="49"/>
      <c r="AF2524" s="49" t="str">
        <f t="shared" si="4"/>
        <v>fool,</v>
      </c>
      <c r="AG2524" s="49"/>
      <c r="AH2524" s="1" t="s">
        <v>6945</v>
      </c>
      <c r="AI2524" s="1" t="s">
        <v>5103</v>
      </c>
      <c r="AJ2524" s="6">
        <f>IFERROR(__xludf.DUMMYFUNCTION("""COMPUTED_VALUE"""),100.0)</f>
        <v>100</v>
      </c>
      <c r="AK2524" s="49"/>
      <c r="AL2524" s="49"/>
      <c r="AM2524" s="49"/>
      <c r="AN2524" s="52" t="str">
        <f t="shared" si="5"/>
        <v>massive,</v>
      </c>
    </row>
    <row r="2525">
      <c r="A2525" s="51"/>
      <c r="B2525" s="50" t="s">
        <v>6941</v>
      </c>
      <c r="C2525" s="50" t="s">
        <v>4812</v>
      </c>
      <c r="D2525" s="49" t="str">
        <f>IFERROR(__xludf.DUMMYFUNCTION("""COMPUTED_VALUE"""),"academy")</f>
        <v>academy</v>
      </c>
      <c r="E2525" s="49"/>
      <c r="F2525" s="49"/>
      <c r="G2525" s="49"/>
      <c r="H2525" s="54" t="str">
        <f t="shared" si="1"/>
        <v>fruit,</v>
      </c>
      <c r="I2525" s="50"/>
      <c r="J2525" s="50" t="s">
        <v>7615</v>
      </c>
      <c r="K2525" s="50" t="s">
        <v>3542</v>
      </c>
      <c r="L2525" s="49"/>
      <c r="M2525" s="49"/>
      <c r="N2525" s="49"/>
      <c r="O2525" s="49"/>
      <c r="P2525" s="49" t="str">
        <f t="shared" si="2"/>
        <v>gig,</v>
      </c>
      <c r="Q2525" s="49"/>
      <c r="R2525" s="49"/>
      <c r="S2525" s="55" t="s">
        <v>6766</v>
      </c>
      <c r="T2525" s="49"/>
      <c r="U2525" s="49"/>
      <c r="V2525" s="49"/>
      <c r="W2525" s="49"/>
      <c r="X2525" s="49" t="str">
        <f t="shared" si="3"/>
        <v>,</v>
      </c>
      <c r="Y2525" s="49"/>
      <c r="Z2525" s="1" t="s">
        <v>5604</v>
      </c>
      <c r="AA2525" s="1" t="s">
        <v>2961</v>
      </c>
      <c r="AB2525" s="49"/>
      <c r="AC2525" s="49"/>
      <c r="AD2525" s="49"/>
      <c r="AE2525" s="49"/>
      <c r="AF2525" s="49" t="str">
        <f t="shared" si="4"/>
        <v>relevant,</v>
      </c>
      <c r="AG2525" s="49"/>
      <c r="AH2525" s="1" t="s">
        <v>2393</v>
      </c>
      <c r="AI2525" s="1" t="s">
        <v>1585</v>
      </c>
      <c r="AJ2525" s="6" t="str">
        <f>IFERROR(__xludf.DUMMYFUNCTION("""COMPUTED_VALUE"""),"higher")</f>
        <v>higher</v>
      </c>
      <c r="AK2525" s="49"/>
      <c r="AL2525" s="49"/>
      <c r="AM2525" s="49"/>
      <c r="AN2525" s="52" t="str">
        <f t="shared" si="5"/>
        <v>childhood,</v>
      </c>
    </row>
    <row r="2526">
      <c r="A2526" s="51"/>
      <c r="B2526" s="50" t="s">
        <v>6207</v>
      </c>
      <c r="C2526" s="50" t="s">
        <v>3272</v>
      </c>
      <c r="D2526" s="49" t="str">
        <f>IFERROR(__xludf.DUMMYFUNCTION("""COMPUTED_VALUE"""),"salt")</f>
        <v>salt</v>
      </c>
      <c r="E2526" s="49"/>
      <c r="F2526" s="49"/>
      <c r="G2526" s="49"/>
      <c r="H2526" s="54" t="str">
        <f t="shared" si="1"/>
        <v>battles,</v>
      </c>
      <c r="I2526" s="50"/>
      <c r="J2526" s="50" t="s">
        <v>7553</v>
      </c>
      <c r="K2526" s="50" t="s">
        <v>4162</v>
      </c>
      <c r="L2526" s="49"/>
      <c r="M2526" s="49"/>
      <c r="N2526" s="49"/>
      <c r="O2526" s="49"/>
      <c r="P2526" s="49" t="str">
        <f t="shared" si="2"/>
        <v>eng,</v>
      </c>
      <c r="Q2526" s="49"/>
      <c r="R2526" s="49"/>
      <c r="S2526" s="55" t="s">
        <v>2232</v>
      </c>
      <c r="T2526" s="49"/>
      <c r="U2526" s="49"/>
      <c r="V2526" s="49"/>
      <c r="W2526" s="49"/>
      <c r="X2526" s="49" t="str">
        <f t="shared" si="3"/>
        <v>,</v>
      </c>
      <c r="Y2526" s="49"/>
      <c r="Z2526" s="1" t="s">
        <v>47</v>
      </c>
      <c r="AA2526" s="1" t="s">
        <v>2965</v>
      </c>
      <c r="AB2526" s="49"/>
      <c r="AC2526" s="49"/>
      <c r="AD2526" s="49"/>
      <c r="AE2526" s="49"/>
      <c r="AF2526" s="49" t="str">
        <f t="shared" si="4"/>
        <v>redundant,</v>
      </c>
      <c r="AG2526" s="49"/>
      <c r="AH2526" s="1" t="s">
        <v>6814</v>
      </c>
      <c r="AI2526" s="1" t="s">
        <v>6767</v>
      </c>
      <c r="AJ2526" s="6" t="str">
        <f>IFERROR(__xludf.DUMMYFUNCTION("""COMPUTED_VALUE"""),"concern")</f>
        <v>concern</v>
      </c>
      <c r="AK2526" s="49"/>
      <c r="AL2526" s="49"/>
      <c r="AM2526" s="49"/>
      <c r="AN2526" s="52" t="str">
        <f t="shared" si="5"/>
        <v>joined,</v>
      </c>
    </row>
    <row r="2527">
      <c r="A2527" s="51"/>
      <c r="B2527" s="50" t="s">
        <v>4599</v>
      </c>
      <c r="C2527" s="50" t="s">
        <v>1334</v>
      </c>
      <c r="D2527" s="49" t="str">
        <f>IFERROR(__xludf.DUMMYFUNCTION("""COMPUTED_VALUE"""),"mexican")</f>
        <v>mexican</v>
      </c>
      <c r="E2527" s="49"/>
      <c r="F2527" s="49"/>
      <c r="G2527" s="49"/>
      <c r="H2527" s="54" t="str">
        <f t="shared" si="1"/>
        <v>court,</v>
      </c>
      <c r="I2527" s="50"/>
      <c r="J2527" s="50" t="s">
        <v>1481</v>
      </c>
      <c r="K2527" s="50" t="s">
        <v>3547</v>
      </c>
      <c r="L2527" s="49"/>
      <c r="M2527" s="49"/>
      <c r="N2527" s="49"/>
      <c r="O2527" s="49"/>
      <c r="P2527" s="49" t="str">
        <f t="shared" si="2"/>
        <v>fires,</v>
      </c>
      <c r="Q2527" s="49"/>
      <c r="R2527" s="49"/>
      <c r="S2527" s="55" t="s">
        <v>5716</v>
      </c>
      <c r="T2527" s="49"/>
      <c r="U2527" s="49"/>
      <c r="V2527" s="49"/>
      <c r="W2527" s="49"/>
      <c r="X2527" s="49" t="str">
        <f t="shared" si="3"/>
        <v>,</v>
      </c>
      <c r="Y2527" s="49"/>
      <c r="Z2527" s="1" t="s">
        <v>3603</v>
      </c>
      <c r="AA2527" s="1" t="s">
        <v>5672</v>
      </c>
      <c r="AB2527" s="49"/>
      <c r="AC2527" s="49"/>
      <c r="AD2527" s="49"/>
      <c r="AE2527" s="49"/>
      <c r="AF2527" s="49" t="str">
        <f t="shared" si="4"/>
        <v>pack,</v>
      </c>
      <c r="AG2527" s="49"/>
      <c r="AH2527" s="1" t="s">
        <v>3638</v>
      </c>
      <c r="AI2527" s="1" t="s">
        <v>6768</v>
      </c>
      <c r="AJ2527" s="6" t="str">
        <f>IFERROR(__xludf.DUMMYFUNCTION("""COMPUTED_VALUE"""),"stare")</f>
        <v>stare</v>
      </c>
      <c r="AK2527" s="49"/>
      <c r="AL2527" s="49"/>
      <c r="AM2527" s="49"/>
      <c r="AN2527" s="52" t="str">
        <f t="shared" si="5"/>
        <v>broadcast,</v>
      </c>
    </row>
    <row r="2528">
      <c r="A2528" s="51"/>
      <c r="B2528" s="50">
        <v>22.0</v>
      </c>
      <c r="C2528" s="50" t="s">
        <v>3710</v>
      </c>
      <c r="D2528" s="49" t="str">
        <f>IFERROR(__xludf.DUMMYFUNCTION("""COMPUTED_VALUE"""),"trumpet")</f>
        <v>trumpet</v>
      </c>
      <c r="E2528" s="49"/>
      <c r="F2528" s="49"/>
      <c r="G2528" s="49"/>
      <c r="H2528" s="54" t="str">
        <f t="shared" si="1"/>
        <v>22,</v>
      </c>
      <c r="I2528" s="50"/>
      <c r="J2528" s="50" t="s">
        <v>1743</v>
      </c>
      <c r="K2528" s="50" t="s">
        <v>4164</v>
      </c>
      <c r="L2528" s="49"/>
      <c r="M2528" s="49"/>
      <c r="N2528" s="49"/>
      <c r="O2528" s="49"/>
      <c r="P2528" s="49" t="str">
        <f t="shared" si="2"/>
        <v>precise,</v>
      </c>
      <c r="Q2528" s="49"/>
      <c r="R2528" s="49"/>
      <c r="S2528" s="55" t="s">
        <v>4102</v>
      </c>
      <c r="T2528" s="49"/>
      <c r="U2528" s="49"/>
      <c r="V2528" s="49"/>
      <c r="W2528" s="49"/>
      <c r="X2528" s="49" t="str">
        <f t="shared" si="3"/>
        <v>,</v>
      </c>
      <c r="Y2528" s="49"/>
      <c r="Z2528" s="1" t="s">
        <v>3488</v>
      </c>
      <c r="AA2528" s="1" t="s">
        <v>441</v>
      </c>
      <c r="AB2528" s="49"/>
      <c r="AC2528" s="49"/>
      <c r="AD2528" s="49"/>
      <c r="AE2528" s="49"/>
      <c r="AF2528" s="49" t="str">
        <f t="shared" si="4"/>
        <v>lessons,</v>
      </c>
      <c r="AG2528" s="49"/>
      <c r="AH2528" s="1" t="s">
        <v>6839</v>
      </c>
      <c r="AI2528" s="1" t="s">
        <v>6769</v>
      </c>
      <c r="AJ2528" s="6" t="str">
        <f>IFERROR(__xludf.DUMMYFUNCTION("""COMPUTED_VALUE"""),"bold")</f>
        <v>bold</v>
      </c>
      <c r="AK2528" s="49"/>
      <c r="AL2528" s="49"/>
      <c r="AM2528" s="49"/>
      <c r="AN2528" s="52" t="str">
        <f t="shared" si="5"/>
        <v>8th,</v>
      </c>
    </row>
    <row r="2529">
      <c r="A2529" s="51"/>
      <c r="B2529" s="50" t="s">
        <v>6442</v>
      </c>
      <c r="C2529" s="50" t="s">
        <v>262</v>
      </c>
      <c r="D2529" s="49" t="str">
        <f>IFERROR(__xludf.DUMMYFUNCTION("""COMPUTED_VALUE"""),"saved")</f>
        <v>saved</v>
      </c>
      <c r="E2529" s="49"/>
      <c r="F2529" s="49"/>
      <c r="G2529" s="49"/>
      <c r="H2529" s="54" t="str">
        <f t="shared" si="1"/>
        <v>junior,</v>
      </c>
      <c r="I2529" s="50"/>
      <c r="J2529" s="50" t="s">
        <v>7555</v>
      </c>
      <c r="K2529" s="50" t="s">
        <v>251</v>
      </c>
      <c r="L2529" s="49"/>
      <c r="M2529" s="49"/>
      <c r="N2529" s="49"/>
      <c r="O2529" s="49"/>
      <c r="P2529" s="49" t="str">
        <f t="shared" si="2"/>
        <v>mo,</v>
      </c>
      <c r="Q2529" s="49"/>
      <c r="R2529" s="49"/>
      <c r="S2529" s="55" t="s">
        <v>4689</v>
      </c>
      <c r="T2529" s="49"/>
      <c r="U2529" s="49"/>
      <c r="V2529" s="49"/>
      <c r="W2529" s="49"/>
      <c r="X2529" s="49" t="str">
        <f t="shared" si="3"/>
        <v>,</v>
      </c>
      <c r="Y2529" s="49"/>
      <c r="Z2529" s="1" t="s">
        <v>2051</v>
      </c>
      <c r="AA2529" s="1" t="s">
        <v>5673</v>
      </c>
      <c r="AB2529" s="49"/>
      <c r="AC2529" s="49"/>
      <c r="AD2529" s="49"/>
      <c r="AE2529" s="49"/>
      <c r="AF2529" s="49" t="str">
        <f t="shared" si="4"/>
        <v>bits,</v>
      </c>
      <c r="AG2529" s="49"/>
      <c r="AH2529" s="1" t="s">
        <v>4282</v>
      </c>
      <c r="AI2529" s="1">
        <v>1980.0</v>
      </c>
      <c r="AJ2529" s="6" t="str">
        <f>IFERROR(__xludf.DUMMYFUNCTION("""COMPUTED_VALUE"""),"releases")</f>
        <v>releases</v>
      </c>
      <c r="AK2529" s="49"/>
      <c r="AL2529" s="49"/>
      <c r="AM2529" s="49"/>
      <c r="AN2529" s="52" t="str">
        <f t="shared" si="5"/>
        <v>social,</v>
      </c>
    </row>
    <row r="2530">
      <c r="A2530" s="51"/>
      <c r="B2530" s="50" t="s">
        <v>100</v>
      </c>
      <c r="C2530" s="50" t="s">
        <v>6699</v>
      </c>
      <c r="D2530" s="49" t="str">
        <f>IFERROR(__xludf.DUMMYFUNCTION("""COMPUTED_VALUE"""),"blame")</f>
        <v>blame</v>
      </c>
      <c r="E2530" s="49"/>
      <c r="F2530" s="49"/>
      <c r="G2530" s="49"/>
      <c r="H2530" s="54" t="str">
        <f t="shared" si="1"/>
        <v>poetry,</v>
      </c>
      <c r="I2530" s="50"/>
      <c r="J2530" s="50" t="s">
        <v>2664</v>
      </c>
      <c r="K2530" s="50" t="s">
        <v>1270</v>
      </c>
      <c r="L2530" s="49"/>
      <c r="M2530" s="49"/>
      <c r="N2530" s="49"/>
      <c r="O2530" s="49"/>
      <c r="P2530" s="49" t="str">
        <f t="shared" si="2"/>
        <v>telescope,</v>
      </c>
      <c r="Q2530" s="49"/>
      <c r="R2530" s="49"/>
      <c r="S2530" s="55" t="s">
        <v>3443</v>
      </c>
      <c r="T2530" s="49"/>
      <c r="U2530" s="49"/>
      <c r="V2530" s="49"/>
      <c r="W2530" s="49"/>
      <c r="X2530" s="49" t="str">
        <f t="shared" si="3"/>
        <v>,</v>
      </c>
      <c r="Y2530" s="49"/>
      <c r="Z2530" s="1" t="s">
        <v>2342</v>
      </c>
      <c r="AA2530" s="1" t="s">
        <v>5675</v>
      </c>
      <c r="AB2530" s="49"/>
      <c r="AC2530" s="49"/>
      <c r="AD2530" s="49"/>
      <c r="AE2530" s="49"/>
      <c r="AF2530" s="49" t="str">
        <f t="shared" si="4"/>
        <v>sadness,</v>
      </c>
      <c r="AG2530" s="49"/>
      <c r="AH2530" s="1" t="s">
        <v>6648</v>
      </c>
      <c r="AI2530" s="1" t="s">
        <v>5111</v>
      </c>
      <c r="AJ2530" s="6" t="str">
        <f>IFERROR(__xludf.DUMMYFUNCTION("""COMPUTED_VALUE"""),"lane")</f>
        <v>lane</v>
      </c>
      <c r="AK2530" s="49"/>
      <c r="AL2530" s="49"/>
      <c r="AM2530" s="49"/>
      <c r="AN2530" s="52" t="str">
        <f t="shared" si="5"/>
        <v>issue,</v>
      </c>
    </row>
    <row r="2531">
      <c r="A2531" s="51"/>
      <c r="B2531" s="50" t="s">
        <v>2535</v>
      </c>
      <c r="C2531" s="50" t="s">
        <v>5314</v>
      </c>
      <c r="D2531" s="49" t="str">
        <f>IFERROR(__xludf.DUMMYFUNCTION("""COMPUTED_VALUE"""),"prevention")</f>
        <v>prevention</v>
      </c>
      <c r="E2531" s="49"/>
      <c r="F2531" s="49"/>
      <c r="G2531" s="49"/>
      <c r="H2531" s="54" t="str">
        <f t="shared" si="1"/>
        <v>jacket,</v>
      </c>
      <c r="I2531" s="50"/>
      <c r="J2531" s="50" t="s">
        <v>3251</v>
      </c>
      <c r="K2531" s="50" t="s">
        <v>1277</v>
      </c>
      <c r="L2531" s="49"/>
      <c r="M2531" s="49"/>
      <c r="N2531" s="49"/>
      <c r="O2531" s="49"/>
      <c r="P2531" s="49" t="str">
        <f t="shared" si="2"/>
        <v>ate,</v>
      </c>
      <c r="Q2531" s="49"/>
      <c r="R2531" s="49"/>
      <c r="S2531" s="55" t="s">
        <v>1656</v>
      </c>
      <c r="T2531" s="49"/>
      <c r="U2531" s="49"/>
      <c r="V2531" s="49"/>
      <c r="W2531" s="49"/>
      <c r="X2531" s="49" t="str">
        <f t="shared" si="3"/>
        <v>,</v>
      </c>
      <c r="Y2531" s="49"/>
      <c r="Z2531" s="1" t="s">
        <v>426</v>
      </c>
      <c r="AA2531" s="1" t="s">
        <v>1651</v>
      </c>
      <c r="AB2531" s="49"/>
      <c r="AC2531" s="49"/>
      <c r="AD2531" s="49"/>
      <c r="AE2531" s="49"/>
      <c r="AF2531" s="49" t="str">
        <f t="shared" si="4"/>
        <v>strongest,</v>
      </c>
      <c r="AG2531" s="49"/>
      <c r="AH2531" s="1" t="s">
        <v>2365</v>
      </c>
      <c r="AI2531" s="1" t="s">
        <v>6770</v>
      </c>
      <c r="AJ2531" s="6" t="str">
        <f>IFERROR(__xludf.DUMMYFUNCTION("""COMPUTED_VALUE"""),"bare")</f>
        <v>bare</v>
      </c>
      <c r="AK2531" s="49"/>
      <c r="AL2531" s="49"/>
      <c r="AM2531" s="49"/>
      <c r="AN2531" s="52" t="str">
        <f t="shared" si="5"/>
        <v>jackson,</v>
      </c>
    </row>
    <row r="2532">
      <c r="A2532" s="51"/>
      <c r="B2532" s="50" t="s">
        <v>6113</v>
      </c>
      <c r="C2532" s="50" t="s">
        <v>2971</v>
      </c>
      <c r="D2532" s="49" t="str">
        <f>IFERROR(__xludf.DUMMYFUNCTION("""COMPUTED_VALUE"""),"adams")</f>
        <v>adams</v>
      </c>
      <c r="E2532" s="49"/>
      <c r="F2532" s="49"/>
      <c r="G2532" s="49"/>
      <c r="H2532" s="54" t="str">
        <f t="shared" si="1"/>
        <v>writes,</v>
      </c>
      <c r="I2532" s="50"/>
      <c r="J2532" s="50" t="s">
        <v>4426</v>
      </c>
      <c r="K2532" s="50" t="s">
        <v>2353</v>
      </c>
      <c r="L2532" s="49"/>
      <c r="M2532" s="49"/>
      <c r="N2532" s="49"/>
      <c r="O2532" s="49"/>
      <c r="P2532" s="49" t="str">
        <f t="shared" si="2"/>
        <v>gravity,</v>
      </c>
      <c r="Q2532" s="49"/>
      <c r="R2532" s="49"/>
      <c r="S2532" s="55" t="s">
        <v>2481</v>
      </c>
      <c r="T2532" s="49"/>
      <c r="U2532" s="49"/>
      <c r="V2532" s="49"/>
      <c r="W2532" s="49"/>
      <c r="X2532" s="49" t="str">
        <f t="shared" si="3"/>
        <v>,</v>
      </c>
      <c r="Y2532" s="49"/>
      <c r="Z2532" s="1" t="s">
        <v>2898</v>
      </c>
      <c r="AA2532" s="1" t="s">
        <v>4739</v>
      </c>
      <c r="AB2532" s="49"/>
      <c r="AC2532" s="49"/>
      <c r="AD2532" s="49"/>
      <c r="AE2532" s="49"/>
      <c r="AF2532" s="49" t="str">
        <f t="shared" si="4"/>
        <v>discovering,</v>
      </c>
      <c r="AG2532" s="49"/>
      <c r="AH2532" s="1" t="s">
        <v>3165</v>
      </c>
      <c r="AI2532" s="1" t="s">
        <v>4074</v>
      </c>
      <c r="AJ2532" s="6" t="str">
        <f>IFERROR(__xludf.DUMMYFUNCTION("""COMPUTED_VALUE"""),"established")</f>
        <v>established</v>
      </c>
      <c r="AK2532" s="49"/>
      <c r="AL2532" s="49"/>
      <c r="AM2532" s="49"/>
      <c r="AN2532" s="52" t="str">
        <f t="shared" si="5"/>
        <v>mountain,</v>
      </c>
    </row>
    <row r="2533">
      <c r="A2533" s="51"/>
      <c r="B2533" s="50" t="s">
        <v>7151</v>
      </c>
      <c r="C2533" s="50" t="s">
        <v>2647</v>
      </c>
      <c r="D2533" s="49" t="str">
        <f>IFERROR(__xludf.DUMMYFUNCTION("""COMPUTED_VALUE"""),"shell")</f>
        <v>shell</v>
      </c>
      <c r="E2533" s="49"/>
      <c r="F2533" s="49"/>
      <c r="G2533" s="49"/>
      <c r="H2533" s="54" t="str">
        <f t="shared" si="1"/>
        <v>advanced,</v>
      </c>
      <c r="I2533" s="50"/>
      <c r="J2533" s="50" t="s">
        <v>301</v>
      </c>
      <c r="K2533" s="50" t="s">
        <v>2356</v>
      </c>
      <c r="L2533" s="49"/>
      <c r="M2533" s="49"/>
      <c r="N2533" s="49"/>
      <c r="O2533" s="49"/>
      <c r="P2533" s="49" t="str">
        <f t="shared" si="2"/>
        <v>enables,</v>
      </c>
      <c r="Q2533" s="49"/>
      <c r="R2533" s="49"/>
      <c r="S2533" s="55" t="s">
        <v>5559</v>
      </c>
      <c r="T2533" s="49"/>
      <c r="U2533" s="49"/>
      <c r="V2533" s="49"/>
      <c r="W2533" s="49"/>
      <c r="X2533" s="49" t="str">
        <f t="shared" si="3"/>
        <v>,</v>
      </c>
      <c r="Y2533" s="49"/>
      <c r="Z2533" s="1" t="s">
        <v>690</v>
      </c>
      <c r="AA2533" s="1" t="s">
        <v>4743</v>
      </c>
      <c r="AB2533" s="49"/>
      <c r="AC2533" s="49"/>
      <c r="AD2533" s="49"/>
      <c r="AE2533" s="49"/>
      <c r="AF2533" s="49" t="str">
        <f t="shared" si="4"/>
        <v>satirical,</v>
      </c>
      <c r="AG2533" s="49"/>
      <c r="AH2533" s="1" t="s">
        <v>6454</v>
      </c>
      <c r="AI2533" s="1" t="s">
        <v>3464</v>
      </c>
      <c r="AJ2533" s="6" t="str">
        <f>IFERROR(__xludf.DUMMYFUNCTION("""COMPUTED_VALUE"""),"4th")</f>
        <v>4th</v>
      </c>
      <c r="AK2533" s="49"/>
      <c r="AL2533" s="49"/>
      <c r="AM2533" s="49"/>
      <c r="AN2533" s="52" t="str">
        <f t="shared" si="5"/>
        <v>literally,</v>
      </c>
    </row>
    <row r="2534">
      <c r="A2534" s="51"/>
      <c r="B2534" s="50" t="s">
        <v>5917</v>
      </c>
      <c r="C2534" s="50">
        <v>1899.0</v>
      </c>
      <c r="D2534" s="49" t="str">
        <f>IFERROR(__xludf.DUMMYFUNCTION("""COMPUTED_VALUE"""),"soul")</f>
        <v>soul</v>
      </c>
      <c r="E2534" s="49"/>
      <c r="F2534" s="49"/>
      <c r="G2534" s="49"/>
      <c r="H2534" s="54" t="str">
        <f t="shared" si="1"/>
        <v>eventually,</v>
      </c>
      <c r="I2534" s="50"/>
      <c r="J2534" s="50" t="s">
        <v>1826</v>
      </c>
      <c r="K2534" s="50" t="s">
        <v>1284</v>
      </c>
      <c r="L2534" s="49"/>
      <c r="M2534" s="49"/>
      <c r="N2534" s="49"/>
      <c r="O2534" s="49"/>
      <c r="P2534" s="49" t="str">
        <f t="shared" si="2"/>
        <v>conventions,</v>
      </c>
      <c r="Q2534" s="49"/>
      <c r="R2534" s="49"/>
      <c r="S2534" s="55" t="s">
        <v>2873</v>
      </c>
      <c r="T2534" s="49"/>
      <c r="U2534" s="49"/>
      <c r="V2534" s="49"/>
      <c r="W2534" s="49"/>
      <c r="X2534" s="49" t="str">
        <f t="shared" si="3"/>
        <v>,</v>
      </c>
      <c r="Y2534" s="49"/>
      <c r="Z2534" s="1" t="s">
        <v>4306</v>
      </c>
      <c r="AA2534" s="1" t="s">
        <v>5676</v>
      </c>
      <c r="AB2534" s="49"/>
      <c r="AC2534" s="49"/>
      <c r="AD2534" s="49"/>
      <c r="AE2534" s="49"/>
      <c r="AF2534" s="49" t="str">
        <f t="shared" si="4"/>
        <v>verve,</v>
      </c>
      <c r="AG2534" s="49"/>
      <c r="AH2534" s="1" t="s">
        <v>2049</v>
      </c>
      <c r="AI2534" s="1" t="s">
        <v>4344</v>
      </c>
      <c r="AJ2534" s="6" t="str">
        <f>IFERROR(__xludf.DUMMYFUNCTION("""COMPUTED_VALUE"""),"net")</f>
        <v>net</v>
      </c>
      <c r="AK2534" s="49"/>
      <c r="AL2534" s="49"/>
      <c r="AM2534" s="49"/>
      <c r="AN2534" s="52" t="str">
        <f t="shared" si="5"/>
        <v>traditionally,</v>
      </c>
    </row>
    <row r="2535">
      <c r="A2535" s="51"/>
      <c r="B2535" s="50" t="s">
        <v>5617</v>
      </c>
      <c r="C2535" s="50" t="s">
        <v>5969</v>
      </c>
      <c r="D2535" s="49" t="str">
        <f>IFERROR(__xludf.DUMMYFUNCTION("""COMPUTED_VALUE"""),"religion")</f>
        <v>religion</v>
      </c>
      <c r="E2535" s="49"/>
      <c r="F2535" s="49"/>
      <c r="G2535" s="49"/>
      <c r="H2535" s="54" t="str">
        <f t="shared" si="1"/>
        <v>rival,</v>
      </c>
      <c r="I2535" s="50"/>
      <c r="J2535" s="50" t="s">
        <v>5331</v>
      </c>
      <c r="K2535" s="50" t="s">
        <v>2234</v>
      </c>
      <c r="L2535" s="49"/>
      <c r="M2535" s="49"/>
      <c r="N2535" s="49"/>
      <c r="O2535" s="49"/>
      <c r="P2535" s="49" t="str">
        <f t="shared" si="2"/>
        <v>tactics,</v>
      </c>
      <c r="Q2535" s="49"/>
      <c r="R2535" s="49"/>
      <c r="S2535" s="55" t="s">
        <v>5562</v>
      </c>
      <c r="T2535" s="49"/>
      <c r="U2535" s="49"/>
      <c r="V2535" s="49"/>
      <c r="W2535" s="49"/>
      <c r="X2535" s="49" t="str">
        <f t="shared" si="3"/>
        <v>,</v>
      </c>
      <c r="Y2535" s="49"/>
      <c r="Z2535" s="1" t="s">
        <v>2028</v>
      </c>
      <c r="AA2535" s="1" t="s">
        <v>2975</v>
      </c>
      <c r="AB2535" s="49"/>
      <c r="AC2535" s="49"/>
      <c r="AD2535" s="49"/>
      <c r="AE2535" s="49"/>
      <c r="AF2535" s="49" t="str">
        <f t="shared" si="4"/>
        <v>radical,</v>
      </c>
      <c r="AG2535" s="49"/>
      <c r="AH2535" s="1" t="s">
        <v>2182</v>
      </c>
      <c r="AI2535" s="1" t="s">
        <v>3471</v>
      </c>
      <c r="AJ2535" s="6" t="str">
        <f>IFERROR(__xludf.DUMMYFUNCTION("""COMPUTED_VALUE"""),"opportunities")</f>
        <v>opportunities</v>
      </c>
      <c r="AK2535" s="49"/>
      <c r="AL2535" s="49"/>
      <c r="AM2535" s="49"/>
      <c r="AN2535" s="52" t="str">
        <f t="shared" si="5"/>
        <v>context,</v>
      </c>
    </row>
    <row r="2536">
      <c r="A2536" s="51"/>
      <c r="B2536" s="50" t="s">
        <v>7388</v>
      </c>
      <c r="C2536" s="50" t="s">
        <v>6695</v>
      </c>
      <c r="D2536" s="49" t="str">
        <f>IFERROR(__xludf.DUMMYFUNCTION("""COMPUTED_VALUE"""),"warriors")</f>
        <v>warriors</v>
      </c>
      <c r="E2536" s="49"/>
      <c r="F2536" s="49"/>
      <c r="G2536" s="49"/>
      <c r="H2536" s="54" t="str">
        <f t="shared" si="1"/>
        <v>brooklyn,</v>
      </c>
      <c r="I2536" s="50"/>
      <c r="J2536" s="50" t="s">
        <v>4664</v>
      </c>
      <c r="K2536" s="50" t="s">
        <v>4179</v>
      </c>
      <c r="L2536" s="49"/>
      <c r="M2536" s="49"/>
      <c r="N2536" s="49"/>
      <c r="O2536" s="49"/>
      <c r="P2536" s="49" t="str">
        <f t="shared" si="2"/>
        <v>amazement,</v>
      </c>
      <c r="Q2536" s="49"/>
      <c r="R2536" s="49"/>
      <c r="S2536" s="55" t="s">
        <v>3668</v>
      </c>
      <c r="T2536" s="49"/>
      <c r="U2536" s="49"/>
      <c r="V2536" s="49"/>
      <c r="W2536" s="49"/>
      <c r="X2536" s="49" t="str">
        <f t="shared" si="3"/>
        <v>,</v>
      </c>
      <c r="Y2536" s="49"/>
      <c r="Z2536" s="1" t="s">
        <v>4119</v>
      </c>
      <c r="AA2536" s="1" t="s">
        <v>5408</v>
      </c>
      <c r="AB2536" s="49"/>
      <c r="AC2536" s="49"/>
      <c r="AD2536" s="49"/>
      <c r="AE2536" s="49"/>
      <c r="AF2536" s="49" t="str">
        <f t="shared" si="4"/>
        <v>devices,</v>
      </c>
      <c r="AG2536" s="49"/>
      <c r="AH2536" s="1" t="s">
        <v>1642</v>
      </c>
      <c r="AI2536" s="1" t="s">
        <v>390</v>
      </c>
      <c r="AJ2536" s="6" t="str">
        <f>IFERROR(__xludf.DUMMYFUNCTION("""COMPUTED_VALUE"""),"fate")</f>
        <v>fate</v>
      </c>
      <c r="AK2536" s="49"/>
      <c r="AL2536" s="49"/>
      <c r="AM2536" s="49"/>
      <c r="AN2536" s="52" t="str">
        <f t="shared" si="5"/>
        <v>ahead,</v>
      </c>
    </row>
    <row r="2537">
      <c r="A2537" s="51"/>
      <c r="B2537" s="50" t="s">
        <v>6843</v>
      </c>
      <c r="C2537" s="50" t="s">
        <v>5477</v>
      </c>
      <c r="D2537" s="49" t="str">
        <f>IFERROR(__xludf.DUMMYFUNCTION("""COMPUTED_VALUE"""),"independent")</f>
        <v>independent</v>
      </c>
      <c r="E2537" s="49"/>
      <c r="F2537" s="49"/>
      <c r="G2537" s="49"/>
      <c r="H2537" s="54" t="str">
        <f t="shared" si="1"/>
        <v>mario,</v>
      </c>
      <c r="I2537" s="50"/>
      <c r="J2537" s="50" t="s">
        <v>7557</v>
      </c>
      <c r="K2537" s="50" t="s">
        <v>5197</v>
      </c>
      <c r="L2537" s="49"/>
      <c r="M2537" s="49"/>
      <c r="N2537" s="49"/>
      <c r="O2537" s="49"/>
      <c r="P2537" s="49" t="str">
        <f t="shared" si="2"/>
        <v>stir,</v>
      </c>
      <c r="Q2537" s="49"/>
      <c r="R2537" s="49"/>
      <c r="S2537" s="55" t="s">
        <v>2235</v>
      </c>
      <c r="T2537" s="49"/>
      <c r="U2537" s="49"/>
      <c r="V2537" s="49"/>
      <c r="W2537" s="49"/>
      <c r="X2537" s="49" t="str">
        <f t="shared" si="3"/>
        <v>,</v>
      </c>
      <c r="Y2537" s="49"/>
      <c r="Z2537" s="1" t="s">
        <v>1165</v>
      </c>
      <c r="AA2537" s="1" t="s">
        <v>4746</v>
      </c>
      <c r="AB2537" s="49"/>
      <c r="AC2537" s="49"/>
      <c r="AD2537" s="49"/>
      <c r="AE2537" s="49"/>
      <c r="AF2537" s="49" t="str">
        <f t="shared" si="4"/>
        <v>quietly,</v>
      </c>
      <c r="AG2537" s="49"/>
      <c r="AH2537" s="1" t="s">
        <v>1708</v>
      </c>
      <c r="AI2537" s="1" t="s">
        <v>5326</v>
      </c>
      <c r="AJ2537" s="6" t="str">
        <f>IFERROR(__xludf.DUMMYFUNCTION("""COMPUTED_VALUE"""),"essential")</f>
        <v>essential</v>
      </c>
      <c r="AK2537" s="49"/>
      <c r="AL2537" s="49"/>
      <c r="AM2537" s="49"/>
      <c r="AN2537" s="52" t="str">
        <f t="shared" si="5"/>
        <v>keeping,</v>
      </c>
    </row>
    <row r="2538">
      <c r="A2538" s="51"/>
      <c r="B2538" s="50" t="s">
        <v>5289</v>
      </c>
      <c r="C2538" s="50" t="s">
        <v>2668</v>
      </c>
      <c r="D2538" s="49" t="str">
        <f>IFERROR(__xludf.DUMMYFUNCTION("""COMPUTED_VALUE"""),"jennifer")</f>
        <v>jennifer</v>
      </c>
      <c r="E2538" s="49"/>
      <c r="F2538" s="49"/>
      <c r="G2538" s="49"/>
      <c r="H2538" s="54" t="str">
        <f t="shared" si="1"/>
        <v>insane,</v>
      </c>
      <c r="I2538" s="50"/>
      <c r="J2538" s="50" t="s">
        <v>3736</v>
      </c>
      <c r="K2538" s="50" t="s">
        <v>675</v>
      </c>
      <c r="L2538" s="49"/>
      <c r="M2538" s="49"/>
      <c r="N2538" s="49"/>
      <c r="O2538" s="49"/>
      <c r="P2538" s="49" t="str">
        <f t="shared" si="2"/>
        <v>loyal,</v>
      </c>
      <c r="Q2538" s="49"/>
      <c r="R2538" s="49"/>
      <c r="S2538" s="55" t="s">
        <v>4198</v>
      </c>
      <c r="T2538" s="49"/>
      <c r="U2538" s="49"/>
      <c r="V2538" s="49"/>
      <c r="W2538" s="49"/>
      <c r="X2538" s="49" t="str">
        <f t="shared" si="3"/>
        <v>,</v>
      </c>
      <c r="Y2538" s="49"/>
      <c r="Z2538" s="1" t="s">
        <v>3101</v>
      </c>
      <c r="AA2538" s="1" t="s">
        <v>1785</v>
      </c>
      <c r="AB2538" s="49"/>
      <c r="AC2538" s="49"/>
      <c r="AD2538" s="49"/>
      <c r="AE2538" s="49"/>
      <c r="AF2538" s="49" t="str">
        <f t="shared" si="4"/>
        <v>complicated,</v>
      </c>
      <c r="AG2538" s="49"/>
      <c r="AH2538" s="1" t="s">
        <v>5004</v>
      </c>
      <c r="AI2538" s="1" t="s">
        <v>5030</v>
      </c>
      <c r="AJ2538" s="6" t="str">
        <f>IFERROR(__xludf.DUMMYFUNCTION("""COMPUTED_VALUE"""),"boundaries")</f>
        <v>boundaries</v>
      </c>
      <c r="AK2538" s="49"/>
      <c r="AL2538" s="49"/>
      <c r="AM2538" s="49"/>
      <c r="AN2538" s="52" t="str">
        <f t="shared" si="5"/>
        <v>shift,</v>
      </c>
    </row>
    <row r="2539">
      <c r="A2539" s="51"/>
      <c r="B2539" s="50" t="s">
        <v>4069</v>
      </c>
      <c r="C2539" s="50" t="s">
        <v>6700</v>
      </c>
      <c r="D2539" s="49" t="str">
        <f>IFERROR(__xludf.DUMMYFUNCTION("""COMPUTED_VALUE"""),"voyage")</f>
        <v>voyage</v>
      </c>
      <c r="E2539" s="49"/>
      <c r="F2539" s="49"/>
      <c r="G2539" s="49"/>
      <c r="H2539" s="54" t="str">
        <f t="shared" si="1"/>
        <v>individual,</v>
      </c>
      <c r="I2539" s="50"/>
      <c r="J2539" s="50" t="s">
        <v>7559</v>
      </c>
      <c r="K2539" s="50" t="s">
        <v>4181</v>
      </c>
      <c r="L2539" s="49"/>
      <c r="M2539" s="49"/>
      <c r="N2539" s="49"/>
      <c r="O2539" s="49"/>
      <c r="P2539" s="49" t="str">
        <f t="shared" si="2"/>
        <v>supreme,</v>
      </c>
      <c r="Q2539" s="49"/>
      <c r="R2539" s="49"/>
      <c r="S2539" s="55" t="s">
        <v>3454</v>
      </c>
      <c r="T2539" s="49"/>
      <c r="U2539" s="49"/>
      <c r="V2539" s="49"/>
      <c r="W2539" s="49"/>
      <c r="X2539" s="49" t="str">
        <f t="shared" si="3"/>
        <v>,</v>
      </c>
      <c r="Y2539" s="49"/>
      <c r="Z2539" s="1" t="s">
        <v>3599</v>
      </c>
      <c r="AA2539" s="1" t="s">
        <v>4747</v>
      </c>
      <c r="AB2539" s="49"/>
      <c r="AC2539" s="49"/>
      <c r="AD2539" s="49"/>
      <c r="AE2539" s="49"/>
      <c r="AF2539" s="49" t="str">
        <f t="shared" si="4"/>
        <v>shake,</v>
      </c>
      <c r="AG2539" s="49"/>
      <c r="AH2539" s="1" t="s">
        <v>4403</v>
      </c>
      <c r="AI2539" s="1" t="s">
        <v>1523</v>
      </c>
      <c r="AJ2539" s="6" t="str">
        <f>IFERROR(__xludf.DUMMYFUNCTION("""COMPUTED_VALUE"""),"fifty")</f>
        <v>fifty</v>
      </c>
      <c r="AK2539" s="49"/>
      <c r="AL2539" s="49"/>
      <c r="AM2539" s="49"/>
      <c r="AN2539" s="52" t="str">
        <f t="shared" si="5"/>
        <v>assume,</v>
      </c>
    </row>
    <row r="2540">
      <c r="A2540" s="51"/>
      <c r="B2540" s="50" t="s">
        <v>5638</v>
      </c>
      <c r="C2540" s="50" t="s">
        <v>5331</v>
      </c>
      <c r="D2540" s="49" t="str">
        <f>IFERROR(__xludf.DUMMYFUNCTION("""COMPUTED_VALUE"""),"lowered")</f>
        <v>lowered</v>
      </c>
      <c r="E2540" s="49"/>
      <c r="F2540" s="49"/>
      <c r="G2540" s="49"/>
      <c r="H2540" s="54" t="str">
        <f t="shared" si="1"/>
        <v>folk,</v>
      </c>
      <c r="I2540" s="50"/>
      <c r="J2540" s="50" t="s">
        <v>3594</v>
      </c>
      <c r="K2540" s="50" t="s">
        <v>983</v>
      </c>
      <c r="L2540" s="49"/>
      <c r="M2540" s="49"/>
      <c r="N2540" s="49"/>
      <c r="O2540" s="49"/>
      <c r="P2540" s="49" t="str">
        <f t="shared" si="2"/>
        <v>liberal,</v>
      </c>
      <c r="Q2540" s="49"/>
      <c r="R2540" s="49"/>
      <c r="S2540" s="55" t="s">
        <v>2239</v>
      </c>
      <c r="T2540" s="49"/>
      <c r="U2540" s="49"/>
      <c r="V2540" s="49"/>
      <c r="W2540" s="49"/>
      <c r="X2540" s="49" t="str">
        <f t="shared" si="3"/>
        <v>,</v>
      </c>
      <c r="Y2540" s="49"/>
      <c r="Z2540" s="1" t="s">
        <v>1855</v>
      </c>
      <c r="AA2540" s="1">
        <v>451.0</v>
      </c>
      <c r="AB2540" s="49"/>
      <c r="AC2540" s="49"/>
      <c r="AD2540" s="49"/>
      <c r="AE2540" s="49"/>
      <c r="AF2540" s="49" t="str">
        <f t="shared" si="4"/>
        <v>pushes,</v>
      </c>
      <c r="AG2540" s="49"/>
      <c r="AH2540" s="1" t="s">
        <v>1221</v>
      </c>
      <c r="AI2540" s="1" t="s">
        <v>4096</v>
      </c>
      <c r="AJ2540" s="6" t="str">
        <f>IFERROR(__xludf.DUMMYFUNCTION("""COMPUTED_VALUE"""),"athletes")</f>
        <v>athletes</v>
      </c>
      <c r="AK2540" s="49"/>
      <c r="AL2540" s="49"/>
      <c r="AM2540" s="49"/>
      <c r="AN2540" s="52" t="str">
        <f t="shared" si="5"/>
        <v>length,</v>
      </c>
    </row>
    <row r="2541">
      <c r="A2541" s="51"/>
      <c r="B2541" s="50" t="s">
        <v>4295</v>
      </c>
      <c r="C2541" s="50" t="s">
        <v>4666</v>
      </c>
      <c r="D2541" s="49" t="str">
        <f>IFERROR(__xludf.DUMMYFUNCTION("""COMPUTED_VALUE"""),"gang")</f>
        <v>gang</v>
      </c>
      <c r="E2541" s="49"/>
      <c r="F2541" s="49"/>
      <c r="G2541" s="49"/>
      <c r="H2541" s="54" t="str">
        <f t="shared" si="1"/>
        <v>gates,</v>
      </c>
      <c r="I2541" s="50"/>
      <c r="J2541" s="50" t="s">
        <v>7616</v>
      </c>
      <c r="K2541" s="50" t="s">
        <v>4290</v>
      </c>
      <c r="L2541" s="49"/>
      <c r="M2541" s="49"/>
      <c r="N2541" s="49"/>
      <c r="O2541" s="49"/>
      <c r="P2541" s="49" t="str">
        <f t="shared" si="2"/>
        <v>paradox,</v>
      </c>
      <c r="Q2541" s="49"/>
      <c r="R2541" s="49"/>
      <c r="S2541" s="55" t="s">
        <v>4058</v>
      </c>
      <c r="T2541" s="49"/>
      <c r="U2541" s="49"/>
      <c r="V2541" s="49"/>
      <c r="W2541" s="49"/>
      <c r="X2541" s="49" t="str">
        <f t="shared" si="3"/>
        <v>,</v>
      </c>
      <c r="Y2541" s="49"/>
      <c r="Z2541" s="1" t="s">
        <v>4120</v>
      </c>
      <c r="AA2541" s="1" t="s">
        <v>1946</v>
      </c>
      <c r="AB2541" s="49"/>
      <c r="AC2541" s="49"/>
      <c r="AD2541" s="49"/>
      <c r="AE2541" s="49"/>
      <c r="AF2541" s="49" t="str">
        <f t="shared" si="4"/>
        <v>manhattan,</v>
      </c>
      <c r="AG2541" s="49"/>
      <c r="AH2541" s="1" t="s">
        <v>2345</v>
      </c>
      <c r="AI2541" s="1" t="s">
        <v>4097</v>
      </c>
      <c r="AJ2541" s="6" t="str">
        <f>IFERROR(__xludf.DUMMYFUNCTION("""COMPUTED_VALUE"""),"allowing")</f>
        <v>allowing</v>
      </c>
      <c r="AK2541" s="49"/>
      <c r="AL2541" s="49"/>
      <c r="AM2541" s="49"/>
      <c r="AN2541" s="52" t="str">
        <f t="shared" si="5"/>
        <v>page,</v>
      </c>
    </row>
    <row r="2542">
      <c r="A2542" s="51"/>
      <c r="B2542" s="50" t="s">
        <v>6397</v>
      </c>
      <c r="C2542" s="50" t="s">
        <v>4413</v>
      </c>
      <c r="D2542" s="49" t="str">
        <f>IFERROR(__xludf.DUMMYFUNCTION("""COMPUTED_VALUE"""),"slip")</f>
        <v>slip</v>
      </c>
      <c r="E2542" s="49"/>
      <c r="F2542" s="49"/>
      <c r="G2542" s="49"/>
      <c r="H2542" s="54" t="str">
        <f t="shared" si="1"/>
        <v>weird,</v>
      </c>
      <c r="I2542" s="50"/>
      <c r="J2542" s="50" t="s">
        <v>240</v>
      </c>
      <c r="K2542" s="50" t="s">
        <v>5499</v>
      </c>
      <c r="L2542" s="49"/>
      <c r="M2542" s="49"/>
      <c r="N2542" s="49"/>
      <c r="O2542" s="49"/>
      <c r="P2542" s="49" t="str">
        <f t="shared" si="2"/>
        <v>grips,</v>
      </c>
      <c r="Q2542" s="49"/>
      <c r="R2542" s="49"/>
      <c r="S2542" s="55" t="s">
        <v>5103</v>
      </c>
      <c r="T2542" s="49"/>
      <c r="U2542" s="49"/>
      <c r="V2542" s="49"/>
      <c r="W2542" s="49"/>
      <c r="X2542" s="49" t="str">
        <f t="shared" si="3"/>
        <v>,</v>
      </c>
      <c r="Y2542" s="49"/>
      <c r="Z2542" s="1" t="s">
        <v>4942</v>
      </c>
      <c r="AA2542" s="1" t="s">
        <v>1873</v>
      </c>
      <c r="AB2542" s="49"/>
      <c r="AC2542" s="49"/>
      <c r="AD2542" s="49"/>
      <c r="AE2542" s="49"/>
      <c r="AF2542" s="49" t="str">
        <f t="shared" si="4"/>
        <v>fashioned,</v>
      </c>
      <c r="AG2542" s="49"/>
      <c r="AH2542" s="1" t="s">
        <v>4048</v>
      </c>
      <c r="AI2542" s="1" t="s">
        <v>5055</v>
      </c>
      <c r="AJ2542" s="6" t="str">
        <f>IFERROR(__xludf.DUMMYFUNCTION("""COMPUTED_VALUE"""),"achieve")</f>
        <v>achieve</v>
      </c>
      <c r="AK2542" s="49"/>
      <c r="AL2542" s="49"/>
      <c r="AM2542" s="49"/>
      <c r="AN2542" s="52" t="str">
        <f t="shared" si="5"/>
        <v>ad,</v>
      </c>
    </row>
    <row r="2543">
      <c r="A2543" s="51"/>
      <c r="B2543" s="50" t="s">
        <v>1424</v>
      </c>
      <c r="C2543" s="50" t="s">
        <v>3217</v>
      </c>
      <c r="D2543" s="49" t="str">
        <f>IFERROR(__xludf.DUMMYFUNCTION("""COMPUTED_VALUE"""),"superior")</f>
        <v>superior</v>
      </c>
      <c r="E2543" s="49"/>
      <c r="F2543" s="49"/>
      <c r="G2543" s="49"/>
      <c r="H2543" s="54" t="str">
        <f t="shared" si="1"/>
        <v>packed,</v>
      </c>
      <c r="I2543" s="50"/>
      <c r="J2543" s="50" t="s">
        <v>7561</v>
      </c>
      <c r="K2543" s="50" t="s">
        <v>3563</v>
      </c>
      <c r="L2543" s="49"/>
      <c r="M2543" s="49"/>
      <c r="N2543" s="49"/>
      <c r="O2543" s="49"/>
      <c r="P2543" s="49" t="str">
        <f t="shared" si="2"/>
        <v>rafael,</v>
      </c>
      <c r="Q2543" s="49"/>
      <c r="R2543" s="49"/>
      <c r="S2543" s="55" t="s">
        <v>2472</v>
      </c>
      <c r="T2543" s="49"/>
      <c r="U2543" s="49"/>
      <c r="V2543" s="49"/>
      <c r="W2543" s="49"/>
      <c r="X2543" s="49" t="str">
        <f t="shared" si="3"/>
        <v>,</v>
      </c>
      <c r="Y2543" s="49"/>
      <c r="Z2543" s="1" t="s">
        <v>6381</v>
      </c>
      <c r="AA2543" s="1">
        <v>1957.0</v>
      </c>
      <c r="AB2543" s="49"/>
      <c r="AC2543" s="49"/>
      <c r="AD2543" s="49"/>
      <c r="AE2543" s="49"/>
      <c r="AF2543" s="49" t="str">
        <f t="shared" si="4"/>
        <v>outstanding,</v>
      </c>
      <c r="AG2543" s="49"/>
      <c r="AH2543" s="1" t="s">
        <v>4772</v>
      </c>
      <c r="AI2543" s="1" t="s">
        <v>4100</v>
      </c>
      <c r="AJ2543" s="6" t="str">
        <f>IFERROR(__xludf.DUMMYFUNCTION("""COMPUTED_VALUE"""),"sink")</f>
        <v>sink</v>
      </c>
      <c r="AK2543" s="49"/>
      <c r="AL2543" s="49"/>
      <c r="AM2543" s="49"/>
      <c r="AN2543" s="52" t="str">
        <f t="shared" si="5"/>
        <v>guide,</v>
      </c>
    </row>
    <row r="2544">
      <c r="A2544" s="51"/>
      <c r="B2544" s="50" t="s">
        <v>1416</v>
      </c>
      <c r="C2544" s="50" t="s">
        <v>6698</v>
      </c>
      <c r="D2544" s="49" t="str">
        <f>IFERROR(__xludf.DUMMYFUNCTION("""COMPUTED_VALUE"""),"regarding")</f>
        <v>regarding</v>
      </c>
      <c r="E2544" s="49"/>
      <c r="F2544" s="49"/>
      <c r="G2544" s="49"/>
      <c r="H2544" s="54" t="str">
        <f t="shared" si="1"/>
        <v>demands,</v>
      </c>
      <c r="I2544" s="50"/>
      <c r="J2544" s="50" t="s">
        <v>6620</v>
      </c>
      <c r="K2544" s="50" t="s">
        <v>3565</v>
      </c>
      <c r="L2544" s="49"/>
      <c r="M2544" s="49"/>
      <c r="N2544" s="49"/>
      <c r="O2544" s="49"/>
      <c r="P2544" s="49" t="str">
        <f t="shared" si="2"/>
        <v>diego,</v>
      </c>
      <c r="Q2544" s="49"/>
      <c r="R2544" s="49"/>
      <c r="S2544" s="55" t="s">
        <v>1516</v>
      </c>
      <c r="T2544" s="49"/>
      <c r="U2544" s="49"/>
      <c r="V2544" s="49"/>
      <c r="W2544" s="49"/>
      <c r="X2544" s="49" t="str">
        <f t="shared" si="3"/>
        <v>,</v>
      </c>
      <c r="Y2544" s="49"/>
      <c r="Z2544" s="1" t="s">
        <v>163</v>
      </c>
      <c r="AA2544" s="1" t="s">
        <v>644</v>
      </c>
      <c r="AB2544" s="49"/>
      <c r="AC2544" s="49"/>
      <c r="AD2544" s="49"/>
      <c r="AE2544" s="49"/>
      <c r="AF2544" s="49" t="str">
        <f t="shared" si="4"/>
        <v>exploration,</v>
      </c>
      <c r="AG2544" s="49"/>
      <c r="AH2544" s="1" t="s">
        <v>7617</v>
      </c>
      <c r="AI2544" s="1" t="s">
        <v>2947</v>
      </c>
      <c r="AJ2544" s="6" t="str">
        <f>IFERROR(__xludf.DUMMYFUNCTION("""COMPUTED_VALUE"""),"staring")</f>
        <v>staring</v>
      </c>
      <c r="AK2544" s="49"/>
      <c r="AL2544" s="49"/>
      <c r="AM2544" s="49"/>
      <c r="AN2544" s="52" t="str">
        <f t="shared" si="5"/>
        <v>fred,</v>
      </c>
    </row>
    <row r="2545">
      <c r="A2545" s="51"/>
      <c r="B2545" s="50" t="s">
        <v>700</v>
      </c>
      <c r="C2545" s="50" t="s">
        <v>4931</v>
      </c>
      <c r="D2545" s="49" t="str">
        <f>IFERROR(__xludf.DUMMYFUNCTION("""COMPUTED_VALUE"""),"terrorist")</f>
        <v>terrorist</v>
      </c>
      <c r="E2545" s="49"/>
      <c r="F2545" s="49"/>
      <c r="G2545" s="49"/>
      <c r="H2545" s="54" t="str">
        <f t="shared" si="1"/>
        <v>issues,</v>
      </c>
      <c r="I2545" s="50"/>
      <c r="J2545" s="50" t="s">
        <v>2292</v>
      </c>
      <c r="K2545" s="50" t="s">
        <v>5683</v>
      </c>
      <c r="L2545" s="49"/>
      <c r="M2545" s="49"/>
      <c r="N2545" s="49"/>
      <c r="O2545" s="49"/>
      <c r="P2545" s="49" t="str">
        <f t="shared" si="2"/>
        <v>layered,</v>
      </c>
      <c r="Q2545" s="49"/>
      <c r="R2545" s="49"/>
      <c r="S2545" s="55" t="s">
        <v>6767</v>
      </c>
      <c r="T2545" s="49"/>
      <c r="U2545" s="49"/>
      <c r="V2545" s="49"/>
      <c r="W2545" s="49"/>
      <c r="X2545" s="49" t="str">
        <f t="shared" si="3"/>
        <v>,</v>
      </c>
      <c r="Y2545" s="49"/>
      <c r="Z2545" s="1" t="s">
        <v>6429</v>
      </c>
      <c r="AA2545" s="1" t="s">
        <v>3878</v>
      </c>
      <c r="AB2545" s="49"/>
      <c r="AC2545" s="49"/>
      <c r="AD2545" s="49"/>
      <c r="AE2545" s="49"/>
      <c r="AF2545" s="49" t="str">
        <f t="shared" si="4"/>
        <v>lifestyle,</v>
      </c>
      <c r="AG2545" s="49"/>
      <c r="AH2545" s="1" t="s">
        <v>6520</v>
      </c>
      <c r="AI2545" s="1" t="s">
        <v>6771</v>
      </c>
      <c r="AJ2545" s="6" t="str">
        <f>IFERROR(__xludf.DUMMYFUNCTION("""COMPUTED_VALUE"""),"term")</f>
        <v>term</v>
      </c>
      <c r="AK2545" s="49"/>
      <c r="AL2545" s="49"/>
      <c r="AM2545" s="49"/>
      <c r="AN2545" s="52" t="str">
        <f t="shared" si="5"/>
        <v>rocket,</v>
      </c>
    </row>
    <row r="2546">
      <c r="A2546" s="51"/>
      <c r="B2546" s="50" t="s">
        <v>3485</v>
      </c>
      <c r="C2546" s="50" t="s">
        <v>4836</v>
      </c>
      <c r="D2546" s="49" t="str">
        <f>IFERROR(__xludf.DUMMYFUNCTION("""COMPUTED_VALUE"""),"larry")</f>
        <v>larry</v>
      </c>
      <c r="E2546" s="49"/>
      <c r="F2546" s="49"/>
      <c r="G2546" s="49"/>
      <c r="H2546" s="54" t="str">
        <f t="shared" si="1"/>
        <v>convinced,</v>
      </c>
      <c r="I2546" s="50"/>
      <c r="J2546" s="50" t="s">
        <v>2018</v>
      </c>
      <c r="K2546" s="50" t="s">
        <v>4185</v>
      </c>
      <c r="L2546" s="49"/>
      <c r="M2546" s="49"/>
      <c r="N2546" s="49"/>
      <c r="O2546" s="49"/>
      <c r="P2546" s="49" t="str">
        <f t="shared" si="2"/>
        <v>endeavors,</v>
      </c>
      <c r="Q2546" s="49"/>
      <c r="R2546" s="49"/>
      <c r="S2546" s="55" t="s">
        <v>2242</v>
      </c>
      <c r="T2546" s="49"/>
      <c r="U2546" s="49"/>
      <c r="V2546" s="49"/>
      <c r="W2546" s="49"/>
      <c r="X2546" s="49" t="str">
        <f t="shared" si="3"/>
        <v>,</v>
      </c>
      <c r="Y2546" s="49"/>
      <c r="Z2546" s="1" t="s">
        <v>2507</v>
      </c>
      <c r="AA2546" s="1" t="s">
        <v>2984</v>
      </c>
      <c r="AB2546" s="49"/>
      <c r="AC2546" s="49"/>
      <c r="AD2546" s="49"/>
      <c r="AE2546" s="49"/>
      <c r="AF2546" s="49" t="str">
        <f t="shared" si="4"/>
        <v>process,</v>
      </c>
      <c r="AG2546" s="49"/>
      <c r="AH2546" s="1" t="s">
        <v>4470</v>
      </c>
      <c r="AI2546" s="1" t="s">
        <v>3659</v>
      </c>
      <c r="AJ2546" s="6" t="str">
        <f>IFERROR(__xludf.DUMMYFUNCTION("""COMPUTED_VALUE"""),"hall")</f>
        <v>hall</v>
      </c>
      <c r="AK2546" s="49"/>
      <c r="AL2546" s="49"/>
      <c r="AM2546" s="49"/>
      <c r="AN2546" s="52" t="str">
        <f t="shared" si="5"/>
        <v>phrase,</v>
      </c>
    </row>
    <row r="2547">
      <c r="A2547" s="51"/>
      <c r="B2547" s="50" t="s">
        <v>1751</v>
      </c>
      <c r="C2547" s="50" t="s">
        <v>3177</v>
      </c>
      <c r="D2547" s="49" t="str">
        <f>IFERROR(__xludf.DUMMYFUNCTION("""COMPUTED_VALUE"""),"variation")</f>
        <v>variation</v>
      </c>
      <c r="E2547" s="49"/>
      <c r="F2547" s="49"/>
      <c r="G2547" s="49"/>
      <c r="H2547" s="54" t="str">
        <f t="shared" si="1"/>
        <v>bolt,</v>
      </c>
      <c r="I2547" s="50"/>
      <c r="J2547" s="50" t="s">
        <v>2564</v>
      </c>
      <c r="K2547" s="50" t="s">
        <v>5207</v>
      </c>
      <c r="L2547" s="49"/>
      <c r="M2547" s="49"/>
      <c r="N2547" s="49"/>
      <c r="O2547" s="49"/>
      <c r="P2547" s="49" t="str">
        <f t="shared" si="2"/>
        <v>subconscious,</v>
      </c>
      <c r="Q2547" s="49"/>
      <c r="R2547" s="49"/>
      <c r="S2547" s="55" t="s">
        <v>4065</v>
      </c>
      <c r="T2547" s="49"/>
      <c r="U2547" s="49"/>
      <c r="V2547" s="49"/>
      <c r="W2547" s="49"/>
      <c r="X2547" s="49" t="str">
        <f t="shared" si="3"/>
        <v>,</v>
      </c>
      <c r="Y2547" s="49"/>
      <c r="Z2547" s="1" t="s">
        <v>2453</v>
      </c>
      <c r="AA2547" s="1" t="s">
        <v>5685</v>
      </c>
      <c r="AB2547" s="49"/>
      <c r="AC2547" s="49"/>
      <c r="AD2547" s="49"/>
      <c r="AE2547" s="49"/>
      <c r="AF2547" s="49" t="str">
        <f t="shared" si="4"/>
        <v>poverty,</v>
      </c>
      <c r="AG2547" s="49"/>
      <c r="AH2547" s="1" t="s">
        <v>6416</v>
      </c>
      <c r="AI2547" s="1" t="s">
        <v>2727</v>
      </c>
      <c r="AJ2547" s="6" t="str">
        <f>IFERROR(__xludf.DUMMYFUNCTION("""COMPUTED_VALUE"""),"recorded")</f>
        <v>recorded</v>
      </c>
      <c r="AK2547" s="49"/>
      <c r="AL2547" s="49"/>
      <c r="AM2547" s="49"/>
      <c r="AN2547" s="52" t="str">
        <f t="shared" si="5"/>
        <v>joseph,</v>
      </c>
    </row>
    <row r="2548">
      <c r="A2548" s="51"/>
      <c r="B2548" s="50" t="s">
        <v>6506</v>
      </c>
      <c r="C2548" s="50" t="s">
        <v>3918</v>
      </c>
      <c r="D2548" s="49" t="str">
        <f>IFERROR(__xludf.DUMMYFUNCTION("""COMPUTED_VALUE"""),"gaze")</f>
        <v>gaze</v>
      </c>
      <c r="E2548" s="49"/>
      <c r="F2548" s="49"/>
      <c r="G2548" s="49"/>
      <c r="H2548" s="54" t="str">
        <f t="shared" si="1"/>
        <v>charlotte,</v>
      </c>
      <c r="I2548" s="50"/>
      <c r="J2548" s="50" t="s">
        <v>7562</v>
      </c>
      <c r="K2548" s="50" t="s">
        <v>5688</v>
      </c>
      <c r="L2548" s="49"/>
      <c r="M2548" s="49"/>
      <c r="N2548" s="49"/>
      <c r="O2548" s="49"/>
      <c r="P2548" s="49" t="str">
        <f t="shared" si="2"/>
        <v>steaming,</v>
      </c>
      <c r="Q2548" s="49"/>
      <c r="R2548" s="49"/>
      <c r="S2548" s="55" t="s">
        <v>2244</v>
      </c>
      <c r="T2548" s="49"/>
      <c r="U2548" s="49"/>
      <c r="V2548" s="49"/>
      <c r="W2548" s="49"/>
      <c r="X2548" s="49" t="str">
        <f t="shared" si="3"/>
        <v>,</v>
      </c>
      <c r="Y2548" s="49"/>
      <c r="Z2548" s="1" t="s">
        <v>3043</v>
      </c>
      <c r="AA2548" s="1" t="s">
        <v>227</v>
      </c>
      <c r="AB2548" s="49"/>
      <c r="AC2548" s="49"/>
      <c r="AD2548" s="49"/>
      <c r="AE2548" s="49"/>
      <c r="AF2548" s="49" t="str">
        <f t="shared" si="4"/>
        <v>cultural,</v>
      </c>
      <c r="AG2548" s="49"/>
      <c r="AH2548" s="1" t="s">
        <v>1104</v>
      </c>
      <c r="AI2548" s="1" t="s">
        <v>6772</v>
      </c>
      <c r="AJ2548" s="6" t="str">
        <f>IFERROR(__xludf.DUMMYFUNCTION("""COMPUTED_VALUE"""),"argue")</f>
        <v>argue</v>
      </c>
      <c r="AK2548" s="49"/>
      <c r="AL2548" s="49"/>
      <c r="AM2548" s="49"/>
      <c r="AN2548" s="52" t="str">
        <f t="shared" si="5"/>
        <v>largely,</v>
      </c>
    </row>
    <row r="2549">
      <c r="A2549" s="51"/>
      <c r="B2549" s="50" t="s">
        <v>4941</v>
      </c>
      <c r="C2549" s="50" t="s">
        <v>6773</v>
      </c>
      <c r="D2549" s="49" t="str">
        <f>IFERROR(__xludf.DUMMYFUNCTION("""COMPUTED_VALUE"""),"album")</f>
        <v>album</v>
      </c>
      <c r="E2549" s="49"/>
      <c r="F2549" s="49"/>
      <c r="G2549" s="49"/>
      <c r="H2549" s="54" t="str">
        <f t="shared" si="1"/>
        <v>candy,</v>
      </c>
      <c r="I2549" s="50"/>
      <c r="J2549" s="50" t="s">
        <v>832</v>
      </c>
      <c r="K2549" s="50" t="s">
        <v>4187</v>
      </c>
      <c r="L2549" s="49"/>
      <c r="M2549" s="49"/>
      <c r="N2549" s="49"/>
      <c r="O2549" s="49"/>
      <c r="P2549" s="49" t="str">
        <f t="shared" si="2"/>
        <v>laboratory,</v>
      </c>
      <c r="Q2549" s="49"/>
      <c r="R2549" s="49"/>
      <c r="S2549" s="55" t="s">
        <v>2245</v>
      </c>
      <c r="T2549" s="49"/>
      <c r="U2549" s="49"/>
      <c r="V2549" s="49"/>
      <c r="W2549" s="49"/>
      <c r="X2549" s="49" t="str">
        <f t="shared" si="3"/>
        <v>,</v>
      </c>
      <c r="Y2549" s="49"/>
      <c r="Z2549" s="1" t="s">
        <v>2263</v>
      </c>
      <c r="AA2549" s="1" t="s">
        <v>4754</v>
      </c>
      <c r="AB2549" s="49"/>
      <c r="AC2549" s="49"/>
      <c r="AD2549" s="49"/>
      <c r="AE2549" s="49"/>
      <c r="AF2549" s="49" t="str">
        <f t="shared" si="4"/>
        <v>delightful,</v>
      </c>
      <c r="AG2549" s="49"/>
      <c r="AH2549" s="1" t="s">
        <v>5091</v>
      </c>
      <c r="AI2549" s="1" t="s">
        <v>6774</v>
      </c>
      <c r="AJ2549" s="6" t="str">
        <f>IFERROR(__xludf.DUMMYFUNCTION("""COMPUTED_VALUE"""),"books")</f>
        <v>books</v>
      </c>
      <c r="AK2549" s="49"/>
      <c r="AL2549" s="49"/>
      <c r="AM2549" s="49"/>
      <c r="AN2549" s="52" t="str">
        <f t="shared" si="5"/>
        <v>seek,</v>
      </c>
    </row>
    <row r="2550">
      <c r="A2550" s="51"/>
      <c r="B2550" s="50" t="s">
        <v>244</v>
      </c>
      <c r="C2550" s="50" t="s">
        <v>3700</v>
      </c>
      <c r="D2550" s="49" t="str">
        <f>IFERROR(__xludf.DUMMYFUNCTION("""COMPUTED_VALUE"""),"square")</f>
        <v>square</v>
      </c>
      <c r="E2550" s="49"/>
      <c r="F2550" s="49"/>
      <c r="G2550" s="49"/>
      <c r="H2550" s="54" t="str">
        <f t="shared" si="1"/>
        <v>finish,</v>
      </c>
      <c r="I2550" s="50"/>
      <c r="J2550" s="50" t="s">
        <v>1563</v>
      </c>
      <c r="K2550" s="50" t="s">
        <v>5212</v>
      </c>
      <c r="L2550" s="49"/>
      <c r="M2550" s="49"/>
      <c r="N2550" s="49"/>
      <c r="O2550" s="49"/>
      <c r="P2550" s="49" t="str">
        <f t="shared" si="2"/>
        <v>whale,</v>
      </c>
      <c r="Q2550" s="49"/>
      <c r="R2550" s="49"/>
      <c r="S2550" s="55" t="s">
        <v>5110</v>
      </c>
      <c r="T2550" s="49"/>
      <c r="U2550" s="49"/>
      <c r="V2550" s="49"/>
      <c r="W2550" s="49"/>
      <c r="X2550" s="49" t="str">
        <f t="shared" si="3"/>
        <v>,</v>
      </c>
      <c r="Y2550" s="49"/>
      <c r="Z2550" s="1" t="s">
        <v>3870</v>
      </c>
      <c r="AA2550" s="1" t="s">
        <v>5689</v>
      </c>
      <c r="AB2550" s="49"/>
      <c r="AC2550" s="49"/>
      <c r="AD2550" s="49"/>
      <c r="AE2550" s="49"/>
      <c r="AF2550" s="49" t="str">
        <f t="shared" si="4"/>
        <v>pink,</v>
      </c>
      <c r="AG2550" s="49"/>
      <c r="AH2550" s="1" t="s">
        <v>7618</v>
      </c>
      <c r="AI2550" s="1">
        <v>13.0</v>
      </c>
      <c r="AJ2550" s="6" t="str">
        <f>IFERROR(__xludf.DUMMYFUNCTION("""COMPUTED_VALUE"""),"section")</f>
        <v>section</v>
      </c>
      <c r="AK2550" s="49"/>
      <c r="AL2550" s="49"/>
      <c r="AM2550" s="49"/>
      <c r="AN2550" s="52" t="str">
        <f t="shared" si="5"/>
        <v>pedro,</v>
      </c>
    </row>
    <row r="2551">
      <c r="A2551" s="51"/>
      <c r="B2551" s="50" t="s">
        <v>6985</v>
      </c>
      <c r="C2551" s="50" t="s">
        <v>4275</v>
      </c>
      <c r="D2551" s="49" t="str">
        <f>IFERROR(__xludf.DUMMYFUNCTION("""COMPUTED_VALUE"""),"rural")</f>
        <v>rural</v>
      </c>
      <c r="E2551" s="49"/>
      <c r="F2551" s="49"/>
      <c r="G2551" s="49"/>
      <c r="H2551" s="54" t="str">
        <f t="shared" si="1"/>
        <v>causes,</v>
      </c>
      <c r="I2551" s="50"/>
      <c r="J2551" s="50" t="s">
        <v>5030</v>
      </c>
      <c r="K2551" s="50" t="s">
        <v>1581</v>
      </c>
      <c r="L2551" s="49"/>
      <c r="M2551" s="49"/>
      <c r="N2551" s="49"/>
      <c r="O2551" s="49"/>
      <c r="P2551" s="49" t="str">
        <f t="shared" si="2"/>
        <v>tomorrow,</v>
      </c>
      <c r="Q2551" s="49"/>
      <c r="R2551" s="49"/>
      <c r="S2551" s="55" t="s">
        <v>5111</v>
      </c>
      <c r="T2551" s="49"/>
      <c r="U2551" s="49"/>
      <c r="V2551" s="49"/>
      <c r="W2551" s="49"/>
      <c r="X2551" s="49" t="str">
        <f t="shared" si="3"/>
        <v>,</v>
      </c>
      <c r="Y2551" s="49"/>
      <c r="Z2551" s="1" t="s">
        <v>1499</v>
      </c>
      <c r="AA2551" s="1" t="s">
        <v>2993</v>
      </c>
      <c r="AB2551" s="49"/>
      <c r="AC2551" s="49"/>
      <c r="AD2551" s="49"/>
      <c r="AE2551" s="49"/>
      <c r="AF2551" s="49" t="str">
        <f t="shared" si="4"/>
        <v>received,</v>
      </c>
      <c r="AG2551" s="49"/>
      <c r="AH2551" s="1" t="s">
        <v>2883</v>
      </c>
      <c r="AI2551" s="1" t="s">
        <v>4410</v>
      </c>
      <c r="AJ2551" s="6" t="str">
        <f>IFERROR(__xludf.DUMMYFUNCTION("""COMPUTED_VALUE"""),"capable")</f>
        <v>capable</v>
      </c>
      <c r="AK2551" s="49"/>
      <c r="AL2551" s="49"/>
      <c r="AM2551" s="49"/>
      <c r="AN2551" s="52" t="str">
        <f t="shared" si="5"/>
        <v>base,</v>
      </c>
    </row>
    <row r="2552">
      <c r="A2552" s="51"/>
      <c r="B2552" s="50" t="s">
        <v>4444</v>
      </c>
      <c r="C2552" s="50" t="s">
        <v>4103</v>
      </c>
      <c r="D2552" s="49" t="str">
        <f>IFERROR(__xludf.DUMMYFUNCTION("""COMPUTED_VALUE"""),"rules")</f>
        <v>rules</v>
      </c>
      <c r="E2552" s="49"/>
      <c r="F2552" s="49"/>
      <c r="G2552" s="49"/>
      <c r="H2552" s="54" t="str">
        <f t="shared" si="1"/>
        <v>laughing,</v>
      </c>
      <c r="I2552" s="50"/>
      <c r="J2552" s="50" t="s">
        <v>6617</v>
      </c>
      <c r="K2552" s="50" t="s">
        <v>994</v>
      </c>
      <c r="L2552" s="49"/>
      <c r="M2552" s="49"/>
      <c r="N2552" s="49"/>
      <c r="O2552" s="49"/>
      <c r="P2552" s="49" t="str">
        <f t="shared" si="2"/>
        <v>convenient,</v>
      </c>
      <c r="Q2552" s="49"/>
      <c r="R2552" s="49"/>
      <c r="S2552" s="55" t="s">
        <v>2248</v>
      </c>
      <c r="T2552" s="49"/>
      <c r="U2552" s="49"/>
      <c r="V2552" s="49"/>
      <c r="W2552" s="49"/>
      <c r="X2552" s="49" t="str">
        <f t="shared" si="3"/>
        <v>,</v>
      </c>
      <c r="Y2552" s="49"/>
      <c r="Z2552" s="1" t="s">
        <v>3631</v>
      </c>
      <c r="AA2552" s="1" t="s">
        <v>2989</v>
      </c>
      <c r="AB2552" s="49"/>
      <c r="AC2552" s="49"/>
      <c r="AD2552" s="49"/>
      <c r="AE2552" s="49"/>
      <c r="AF2552" s="49" t="str">
        <f t="shared" si="4"/>
        <v>clown,</v>
      </c>
      <c r="AG2552" s="49"/>
      <c r="AH2552" s="1" t="s">
        <v>4821</v>
      </c>
      <c r="AI2552" s="1" t="s">
        <v>6775</v>
      </c>
      <c r="AJ2552" s="6" t="str">
        <f>IFERROR(__xludf.DUMMYFUNCTION("""COMPUTED_VALUE"""),"sum")</f>
        <v>sum</v>
      </c>
      <c r="AK2552" s="49"/>
      <c r="AL2552" s="49"/>
      <c r="AM2552" s="49"/>
      <c r="AN2552" s="52" t="str">
        <f t="shared" si="5"/>
        <v>driven,</v>
      </c>
    </row>
    <row r="2553">
      <c r="A2553" s="51"/>
      <c r="B2553" s="50" t="s">
        <v>2016</v>
      </c>
      <c r="C2553" s="50" t="s">
        <v>3731</v>
      </c>
      <c r="D2553" s="49" t="str">
        <f>IFERROR(__xludf.DUMMYFUNCTION("""COMPUTED_VALUE"""),"expecting")</f>
        <v>expecting</v>
      </c>
      <c r="E2553" s="49"/>
      <c r="F2553" s="49"/>
      <c r="G2553" s="49"/>
      <c r="H2553" s="54" t="str">
        <f t="shared" si="1"/>
        <v>laughter,</v>
      </c>
      <c r="I2553" s="50"/>
      <c r="J2553" s="50" t="s">
        <v>251</v>
      </c>
      <c r="K2553" s="50" t="s">
        <v>4367</v>
      </c>
      <c r="L2553" s="49"/>
      <c r="M2553" s="49"/>
      <c r="N2553" s="49"/>
      <c r="O2553" s="49"/>
      <c r="P2553" s="49" t="str">
        <f t="shared" si="2"/>
        <v>prejudice,</v>
      </c>
      <c r="Q2553" s="49"/>
      <c r="R2553" s="49"/>
      <c r="S2553" s="55" t="s">
        <v>4071</v>
      </c>
      <c r="T2553" s="49"/>
      <c r="U2553" s="49"/>
      <c r="V2553" s="49"/>
      <c r="W2553" s="49"/>
      <c r="X2553" s="49" t="str">
        <f t="shared" si="3"/>
        <v>,</v>
      </c>
      <c r="Y2553" s="49"/>
      <c r="Z2553" s="1" t="s">
        <v>898</v>
      </c>
      <c r="AA2553" s="1" t="s">
        <v>4756</v>
      </c>
      <c r="AB2553" s="49"/>
      <c r="AC2553" s="49"/>
      <c r="AD2553" s="49"/>
      <c r="AE2553" s="49"/>
      <c r="AF2553" s="49" t="str">
        <f t="shared" si="4"/>
        <v>monstrous,</v>
      </c>
      <c r="AG2553" s="49"/>
      <c r="AH2553" s="1" t="s">
        <v>7619</v>
      </c>
      <c r="AI2553" s="1" t="s">
        <v>5144</v>
      </c>
      <c r="AJ2553" s="6" t="str">
        <f>IFERROR(__xludf.DUMMYFUNCTION("""COMPUTED_VALUE"""),"wondered")</f>
        <v>wondered</v>
      </c>
      <c r="AK2553" s="49"/>
      <c r="AL2553" s="49"/>
      <c r="AM2553" s="49"/>
      <c r="AN2553" s="52" t="str">
        <f t="shared" si="5"/>
        <v>kim,</v>
      </c>
    </row>
    <row r="2554">
      <c r="A2554" s="51"/>
      <c r="B2554" s="50" t="s">
        <v>7390</v>
      </c>
      <c r="C2554" s="50" t="s">
        <v>1499</v>
      </c>
      <c r="D2554" s="49">
        <f>IFERROR(__xludf.DUMMYFUNCTION("""COMPUTED_VALUE"""),89.0)</f>
        <v>89</v>
      </c>
      <c r="E2554" s="49"/>
      <c r="F2554" s="49"/>
      <c r="G2554" s="49"/>
      <c r="H2554" s="54" t="str">
        <f t="shared" si="1"/>
        <v>ho,</v>
      </c>
      <c r="I2554" s="50"/>
      <c r="J2554" s="50" t="s">
        <v>7566</v>
      </c>
      <c r="K2554" s="50" t="s">
        <v>1295</v>
      </c>
      <c r="L2554" s="49"/>
      <c r="M2554" s="49"/>
      <c r="N2554" s="49"/>
      <c r="O2554" s="49"/>
      <c r="P2554" s="49" t="str">
        <f t="shared" si="2"/>
        <v>privileged,</v>
      </c>
      <c r="Q2554" s="49"/>
      <c r="R2554" s="49"/>
      <c r="S2554" s="55" t="s">
        <v>4072</v>
      </c>
      <c r="T2554" s="49"/>
      <c r="U2554" s="49"/>
      <c r="V2554" s="49"/>
      <c r="W2554" s="49"/>
      <c r="X2554" s="49" t="str">
        <f t="shared" si="3"/>
        <v>,</v>
      </c>
      <c r="Y2554" s="49"/>
      <c r="Z2554" s="1" t="s">
        <v>5116</v>
      </c>
      <c r="AA2554" s="1" t="s">
        <v>4294</v>
      </c>
      <c r="AB2554" s="49"/>
      <c r="AC2554" s="49"/>
      <c r="AD2554" s="49"/>
      <c r="AE2554" s="49"/>
      <c r="AF2554" s="49" t="str">
        <f t="shared" si="4"/>
        <v>pressed,</v>
      </c>
      <c r="AG2554" s="49"/>
      <c r="AH2554" s="1" t="s">
        <v>5948</v>
      </c>
      <c r="AI2554" s="1">
        <v>300.0</v>
      </c>
      <c r="AJ2554" s="6" t="str">
        <f>IFERROR(__xludf.DUMMYFUNCTION("""COMPUTED_VALUE"""),"themes")</f>
        <v>themes</v>
      </c>
      <c r="AK2554" s="49"/>
      <c r="AL2554" s="49"/>
      <c r="AM2554" s="49"/>
      <c r="AN2554" s="52" t="str">
        <f t="shared" si="5"/>
        <v>graham,</v>
      </c>
    </row>
    <row r="2555">
      <c r="A2555" s="51"/>
      <c r="B2555" s="50" t="s">
        <v>5890</v>
      </c>
      <c r="C2555" s="50" t="s">
        <v>3301</v>
      </c>
      <c r="D2555" s="49" t="str">
        <f>IFERROR(__xludf.DUMMYFUNCTION("""COMPUTED_VALUE"""),"average")</f>
        <v>average</v>
      </c>
      <c r="E2555" s="49"/>
      <c r="F2555" s="49"/>
      <c r="G2555" s="49"/>
      <c r="H2555" s="54" t="str">
        <f t="shared" si="1"/>
        <v>evolved,</v>
      </c>
      <c r="I2555" s="50"/>
      <c r="J2555" s="50" t="s">
        <v>1361</v>
      </c>
      <c r="K2555" s="50" t="s">
        <v>2367</v>
      </c>
      <c r="L2555" s="49"/>
      <c r="M2555" s="49"/>
      <c r="N2555" s="49"/>
      <c r="O2555" s="49"/>
      <c r="P2555" s="49" t="str">
        <f t="shared" si="2"/>
        <v>assurance,</v>
      </c>
      <c r="Q2555" s="49"/>
      <c r="R2555" s="49"/>
      <c r="S2555" s="55" t="s">
        <v>4074</v>
      </c>
      <c r="T2555" s="49"/>
      <c r="U2555" s="49"/>
      <c r="V2555" s="49"/>
      <c r="W2555" s="49"/>
      <c r="X2555" s="49" t="str">
        <f t="shared" si="3"/>
        <v>,</v>
      </c>
      <c r="Y2555" s="49"/>
      <c r="Z2555" s="1" t="s">
        <v>4331</v>
      </c>
      <c r="AA2555" s="1" t="s">
        <v>5479</v>
      </c>
      <c r="AB2555" s="49"/>
      <c r="AC2555" s="49"/>
      <c r="AD2555" s="49"/>
      <c r="AE2555" s="49"/>
      <c r="AF2555" s="49" t="str">
        <f t="shared" si="4"/>
        <v>forcing,</v>
      </c>
      <c r="AG2555" s="49"/>
      <c r="AH2555" s="1" t="s">
        <v>6533</v>
      </c>
      <c r="AI2555" s="1" t="s">
        <v>5460</v>
      </c>
      <c r="AJ2555" s="6" t="str">
        <f>IFERROR(__xludf.DUMMYFUNCTION("""COMPUTED_VALUE"""),"w")</f>
        <v>w</v>
      </c>
      <c r="AK2555" s="49"/>
      <c r="AL2555" s="49"/>
      <c r="AM2555" s="49"/>
      <c r="AN2555" s="52" t="str">
        <f t="shared" si="5"/>
        <v>italian,</v>
      </c>
    </row>
    <row r="2556">
      <c r="A2556" s="51"/>
      <c r="B2556" s="50" t="s">
        <v>4983</v>
      </c>
      <c r="C2556" s="50" t="s">
        <v>4840</v>
      </c>
      <c r="D2556" s="49" t="str">
        <f>IFERROR(__xludf.DUMMYFUNCTION("""COMPUTED_VALUE"""),"guy")</f>
        <v>guy</v>
      </c>
      <c r="E2556" s="49"/>
      <c r="F2556" s="49"/>
      <c r="G2556" s="49"/>
      <c r="H2556" s="54" t="str">
        <f t="shared" si="1"/>
        <v>dinner,</v>
      </c>
      <c r="I2556" s="50"/>
      <c r="J2556" s="50" t="s">
        <v>5159</v>
      </c>
      <c r="K2556" s="50" t="s">
        <v>4194</v>
      </c>
      <c r="L2556" s="49"/>
      <c r="M2556" s="49"/>
      <c r="N2556" s="49"/>
      <c r="O2556" s="49"/>
      <c r="P2556" s="49" t="str">
        <f t="shared" si="2"/>
        <v>denying,</v>
      </c>
      <c r="Q2556" s="49"/>
      <c r="R2556" s="49"/>
      <c r="S2556" s="55" t="s">
        <v>3464</v>
      </c>
      <c r="T2556" s="49"/>
      <c r="U2556" s="49"/>
      <c r="V2556" s="49"/>
      <c r="W2556" s="49"/>
      <c r="X2556" s="49" t="str">
        <f t="shared" si="3"/>
        <v>,</v>
      </c>
      <c r="Y2556" s="49"/>
      <c r="Z2556" s="1" t="s">
        <v>2144</v>
      </c>
      <c r="AA2556" s="1" t="s">
        <v>2997</v>
      </c>
      <c r="AB2556" s="49"/>
      <c r="AC2556" s="49"/>
      <c r="AD2556" s="49"/>
      <c r="AE2556" s="49"/>
      <c r="AF2556" s="49" t="str">
        <f t="shared" si="4"/>
        <v>nicely,</v>
      </c>
      <c r="AG2556" s="49"/>
      <c r="AH2556" s="1">
        <v>1980.0</v>
      </c>
      <c r="AI2556" s="1" t="s">
        <v>4844</v>
      </c>
      <c r="AJ2556" s="6" t="str">
        <f>IFERROR(__xludf.DUMMYFUNCTION("""COMPUTED_VALUE"""),"changing")</f>
        <v>changing</v>
      </c>
      <c r="AK2556" s="49"/>
      <c r="AL2556" s="49"/>
      <c r="AM2556" s="49"/>
      <c r="AN2556" s="52" t="str">
        <f t="shared" si="5"/>
        <v>1980,</v>
      </c>
    </row>
    <row r="2557">
      <c r="A2557" s="51"/>
      <c r="B2557" s="50" t="s">
        <v>6480</v>
      </c>
      <c r="C2557" s="50" t="s">
        <v>4843</v>
      </c>
      <c r="D2557" s="49" t="str">
        <f>IFERROR(__xludf.DUMMYFUNCTION("""COMPUTED_VALUE"""),"fires")</f>
        <v>fires</v>
      </c>
      <c r="E2557" s="49"/>
      <c r="F2557" s="49"/>
      <c r="G2557" s="49"/>
      <c r="H2557" s="54" t="str">
        <f t="shared" si="1"/>
        <v>selection,</v>
      </c>
      <c r="I2557" s="50"/>
      <c r="J2557" s="50" t="s">
        <v>5575</v>
      </c>
      <c r="K2557" s="50" t="s">
        <v>2370</v>
      </c>
      <c r="L2557" s="49"/>
      <c r="M2557" s="49"/>
      <c r="N2557" s="49"/>
      <c r="O2557" s="49"/>
      <c r="P2557" s="49" t="str">
        <f t="shared" si="2"/>
        <v>buried,</v>
      </c>
      <c r="Q2557" s="49"/>
      <c r="R2557" s="49"/>
      <c r="S2557" s="55" t="s">
        <v>176</v>
      </c>
      <c r="T2557" s="49"/>
      <c r="U2557" s="49"/>
      <c r="V2557" s="49"/>
      <c r="W2557" s="49"/>
      <c r="X2557" s="49" t="str">
        <f t="shared" si="3"/>
        <v>,</v>
      </c>
      <c r="Y2557" s="49"/>
      <c r="Z2557" s="1" t="s">
        <v>1271</v>
      </c>
      <c r="AA2557" s="1" t="s">
        <v>4759</v>
      </c>
      <c r="AB2557" s="49"/>
      <c r="AC2557" s="49"/>
      <c r="AD2557" s="49"/>
      <c r="AE2557" s="49"/>
      <c r="AF2557" s="49" t="str">
        <f t="shared" si="4"/>
        <v>holm,</v>
      </c>
      <c r="AG2557" s="49"/>
      <c r="AH2557" s="1" t="s">
        <v>3615</v>
      </c>
      <c r="AI2557" s="1" t="s">
        <v>6776</v>
      </c>
      <c r="AJ2557" s="6" t="str">
        <f>IFERROR(__xludf.DUMMYFUNCTION("""COMPUTED_VALUE"""),"normally")</f>
        <v>normally</v>
      </c>
      <c r="AK2557" s="49"/>
      <c r="AL2557" s="49"/>
      <c r="AM2557" s="49"/>
      <c r="AN2557" s="52" t="str">
        <f t="shared" si="5"/>
        <v>enter,</v>
      </c>
    </row>
    <row r="2558">
      <c r="A2558" s="51"/>
      <c r="B2558" s="50" t="s">
        <v>6564</v>
      </c>
      <c r="C2558" s="50" t="s">
        <v>3743</v>
      </c>
      <c r="D2558" s="49" t="str">
        <f>IFERROR(__xludf.DUMMYFUNCTION("""COMPUTED_VALUE"""),"described")</f>
        <v>described</v>
      </c>
      <c r="E2558" s="49"/>
      <c r="F2558" s="49"/>
      <c r="G2558" s="49"/>
      <c r="H2558" s="54" t="str">
        <f t="shared" si="1"/>
        <v>hang,</v>
      </c>
      <c r="I2558" s="50"/>
      <c r="J2558" s="50" t="s">
        <v>121</v>
      </c>
      <c r="K2558" s="50">
        <v>1986.0</v>
      </c>
      <c r="L2558" s="49"/>
      <c r="M2558" s="49"/>
      <c r="N2558" s="49"/>
      <c r="O2558" s="49"/>
      <c r="P2558" s="49" t="str">
        <f t="shared" si="2"/>
        <v>extremes,</v>
      </c>
      <c r="Q2558" s="49"/>
      <c r="R2558" s="49"/>
      <c r="S2558" s="55" t="s">
        <v>2256</v>
      </c>
      <c r="T2558" s="49"/>
      <c r="U2558" s="49"/>
      <c r="V2558" s="49"/>
      <c r="W2558" s="49"/>
      <c r="X2558" s="49" t="str">
        <f t="shared" si="3"/>
        <v>,</v>
      </c>
      <c r="Y2558" s="49"/>
      <c r="Z2558" s="1" t="s">
        <v>2959</v>
      </c>
      <c r="AA2558" s="1" t="s">
        <v>1729</v>
      </c>
      <c r="AB2558" s="49"/>
      <c r="AC2558" s="49"/>
      <c r="AD2558" s="49"/>
      <c r="AE2558" s="49"/>
      <c r="AF2558" s="49" t="str">
        <f t="shared" si="4"/>
        <v>reminds,</v>
      </c>
      <c r="AG2558" s="49"/>
      <c r="AH2558" s="1" t="s">
        <v>7620</v>
      </c>
      <c r="AI2558" s="1" t="s">
        <v>1530</v>
      </c>
      <c r="AJ2558" s="6">
        <f>IFERROR(__xludf.DUMMYFUNCTION("""COMPUTED_VALUE"""),25.0)</f>
        <v>25</v>
      </c>
      <c r="AK2558" s="49"/>
      <c r="AL2558" s="49"/>
      <c r="AM2558" s="49"/>
      <c r="AN2558" s="52" t="str">
        <f t="shared" si="5"/>
        <v>size,</v>
      </c>
    </row>
    <row r="2559">
      <c r="A2559" s="51"/>
      <c r="B2559" s="50" t="s">
        <v>3519</v>
      </c>
      <c r="C2559" s="50" t="s">
        <v>5829</v>
      </c>
      <c r="D2559" s="49" t="str">
        <f>IFERROR(__xludf.DUMMYFUNCTION("""COMPUTED_VALUE"""),"flight")</f>
        <v>flight</v>
      </c>
      <c r="E2559" s="49"/>
      <c r="F2559" s="49"/>
      <c r="G2559" s="49"/>
      <c r="H2559" s="54" t="str">
        <f t="shared" si="1"/>
        <v>brand,</v>
      </c>
      <c r="I2559" s="50"/>
      <c r="J2559" s="50" t="s">
        <v>4827</v>
      </c>
      <c r="K2559" s="50" t="s">
        <v>5693</v>
      </c>
      <c r="L2559" s="49"/>
      <c r="M2559" s="49"/>
      <c r="N2559" s="49"/>
      <c r="O2559" s="49"/>
      <c r="P2559" s="49" t="str">
        <f t="shared" si="2"/>
        <v>sympathy,</v>
      </c>
      <c r="Q2559" s="49"/>
      <c r="R2559" s="49"/>
      <c r="S2559" s="55" t="s">
        <v>1176</v>
      </c>
      <c r="T2559" s="49"/>
      <c r="U2559" s="49"/>
      <c r="V2559" s="49"/>
      <c r="W2559" s="49"/>
      <c r="X2559" s="49" t="str">
        <f t="shared" si="3"/>
        <v>,</v>
      </c>
      <c r="Y2559" s="49"/>
      <c r="Z2559" s="1" t="s">
        <v>1992</v>
      </c>
      <c r="AA2559" s="1" t="s">
        <v>4762</v>
      </c>
      <c r="AB2559" s="49"/>
      <c r="AC2559" s="49"/>
      <c r="AD2559" s="49"/>
      <c r="AE2559" s="49"/>
      <c r="AF2559" s="49" t="str">
        <f t="shared" si="4"/>
        <v>fights,</v>
      </c>
      <c r="AG2559" s="49"/>
      <c r="AH2559" s="1" t="s">
        <v>3590</v>
      </c>
      <c r="AI2559" s="1" t="s">
        <v>3500</v>
      </c>
      <c r="AJ2559" s="6" t="str">
        <f>IFERROR(__xludf.DUMMYFUNCTION("""COMPUTED_VALUE"""),"paid")</f>
        <v>paid</v>
      </c>
      <c r="AK2559" s="49"/>
      <c r="AL2559" s="49"/>
      <c r="AM2559" s="49"/>
      <c r="AN2559" s="52" t="str">
        <f t="shared" si="5"/>
        <v>shower,</v>
      </c>
    </row>
    <row r="2560">
      <c r="A2560" s="51"/>
      <c r="B2560" s="50" t="s">
        <v>1400</v>
      </c>
      <c r="C2560" s="50" t="s">
        <v>4372</v>
      </c>
      <c r="D2560" s="49" t="str">
        <f>IFERROR(__xludf.DUMMYFUNCTION("""COMPUTED_VALUE"""),"deliberately")</f>
        <v>deliberately</v>
      </c>
      <c r="E2560" s="49"/>
      <c r="F2560" s="49"/>
      <c r="G2560" s="49"/>
      <c r="H2560" s="54" t="str">
        <f t="shared" si="1"/>
        <v>proper,</v>
      </c>
      <c r="I2560" s="50"/>
      <c r="J2560" s="50" t="s">
        <v>3045</v>
      </c>
      <c r="K2560" s="50" t="s">
        <v>5222</v>
      </c>
      <c r="L2560" s="49"/>
      <c r="M2560" s="49"/>
      <c r="N2560" s="49"/>
      <c r="O2560" s="49"/>
      <c r="P2560" s="49" t="str">
        <f t="shared" si="2"/>
        <v>indifference,</v>
      </c>
      <c r="Q2560" s="49"/>
      <c r="R2560" s="49"/>
      <c r="S2560" s="55" t="s">
        <v>4079</v>
      </c>
      <c r="T2560" s="49"/>
      <c r="U2560" s="49"/>
      <c r="V2560" s="49"/>
      <c r="W2560" s="49"/>
      <c r="X2560" s="49" t="str">
        <f t="shared" si="3"/>
        <v>,</v>
      </c>
      <c r="Y2560" s="49"/>
      <c r="Z2560" s="1" t="s">
        <v>106</v>
      </c>
      <c r="AA2560" s="1" t="s">
        <v>4766</v>
      </c>
      <c r="AB2560" s="49"/>
      <c r="AC2560" s="49"/>
      <c r="AD2560" s="49"/>
      <c r="AE2560" s="49"/>
      <c r="AF2560" s="49" t="str">
        <f t="shared" si="4"/>
        <v>emotion,</v>
      </c>
      <c r="AG2560" s="49"/>
      <c r="AH2560" s="1" t="s">
        <v>834</v>
      </c>
      <c r="AI2560" s="1" t="s">
        <v>5617</v>
      </c>
      <c r="AJ2560" s="6" t="str">
        <f>IFERROR(__xludf.DUMMYFUNCTION("""COMPUTED_VALUE"""),"atmosphere")</f>
        <v>atmosphere</v>
      </c>
      <c r="AK2560" s="49"/>
      <c r="AL2560" s="49"/>
      <c r="AM2560" s="49"/>
      <c r="AN2560" s="52" t="str">
        <f t="shared" si="5"/>
        <v>achievement,</v>
      </c>
    </row>
    <row r="2561">
      <c r="A2561" s="51"/>
      <c r="B2561" s="50" t="s">
        <v>3408</v>
      </c>
      <c r="C2561" s="50" t="s">
        <v>1609</v>
      </c>
      <c r="D2561" s="49" t="str">
        <f>IFERROR(__xludf.DUMMYFUNCTION("""COMPUTED_VALUE"""),"michel")</f>
        <v>michel</v>
      </c>
      <c r="E2561" s="49"/>
      <c r="F2561" s="49"/>
      <c r="G2561" s="49"/>
      <c r="H2561" s="54" t="str">
        <f t="shared" si="1"/>
        <v>surely,</v>
      </c>
      <c r="I2561" s="50"/>
      <c r="J2561" s="50" t="s">
        <v>5643</v>
      </c>
      <c r="K2561" s="50" t="s">
        <v>1073</v>
      </c>
      <c r="L2561" s="49"/>
      <c r="M2561" s="49"/>
      <c r="N2561" s="49"/>
      <c r="O2561" s="49"/>
      <c r="P2561" s="49" t="str">
        <f t="shared" si="2"/>
        <v>refined,</v>
      </c>
      <c r="Q2561" s="49"/>
      <c r="R2561" s="49"/>
      <c r="S2561" s="55" t="s">
        <v>4344</v>
      </c>
      <c r="T2561" s="49"/>
      <c r="U2561" s="49"/>
      <c r="V2561" s="49"/>
      <c r="W2561" s="49"/>
      <c r="X2561" s="49" t="str">
        <f t="shared" si="3"/>
        <v>,</v>
      </c>
      <c r="Y2561" s="49"/>
      <c r="Z2561" s="1" t="s">
        <v>1452</v>
      </c>
      <c r="AA2561" s="1" t="s">
        <v>5694</v>
      </c>
      <c r="AB2561" s="49"/>
      <c r="AC2561" s="49"/>
      <c r="AD2561" s="49"/>
      <c r="AE2561" s="49"/>
      <c r="AF2561" s="49" t="str">
        <f t="shared" si="4"/>
        <v>characteristic,</v>
      </c>
      <c r="AG2561" s="49"/>
      <c r="AH2561" s="1" t="s">
        <v>6861</v>
      </c>
      <c r="AI2561" s="1" t="s">
        <v>6777</v>
      </c>
      <c r="AJ2561" s="6" t="str">
        <f>IFERROR(__xludf.DUMMYFUNCTION("""COMPUTED_VALUE"""),"seat")</f>
        <v>seat</v>
      </c>
      <c r="AK2561" s="49"/>
      <c r="AL2561" s="49"/>
      <c r="AM2561" s="49"/>
      <c r="AN2561" s="52" t="str">
        <f t="shared" si="5"/>
        <v>marketing,</v>
      </c>
    </row>
    <row r="2562">
      <c r="A2562" s="51"/>
      <c r="B2562" s="50" t="s">
        <v>1813</v>
      </c>
      <c r="C2562" s="50" t="s">
        <v>6701</v>
      </c>
      <c r="D2562" s="49" t="str">
        <f>IFERROR(__xludf.DUMMYFUNCTION("""COMPUTED_VALUE"""),"practical")</f>
        <v>practical</v>
      </c>
      <c r="E2562" s="49"/>
      <c r="F2562" s="49"/>
      <c r="G2562" s="49"/>
      <c r="H2562" s="54" t="str">
        <f t="shared" si="1"/>
        <v>September,</v>
      </c>
      <c r="I2562" s="50"/>
      <c r="J2562" s="50" t="s">
        <v>459</v>
      </c>
      <c r="K2562" s="50" t="s">
        <v>5226</v>
      </c>
      <c r="L2562" s="49"/>
      <c r="M2562" s="49"/>
      <c r="N2562" s="49"/>
      <c r="O2562" s="49"/>
      <c r="P2562" s="49" t="str">
        <f t="shared" si="2"/>
        <v>captures,</v>
      </c>
      <c r="Q2562" s="49"/>
      <c r="R2562" s="49"/>
      <c r="S2562" s="55" t="s">
        <v>4081</v>
      </c>
      <c r="T2562" s="49"/>
      <c r="U2562" s="49"/>
      <c r="V2562" s="49"/>
      <c r="W2562" s="49"/>
      <c r="X2562" s="49" t="str">
        <f t="shared" si="3"/>
        <v>,</v>
      </c>
      <c r="Y2562" s="49"/>
      <c r="Z2562" s="1" t="s">
        <v>3530</v>
      </c>
      <c r="AA2562" s="1" t="s">
        <v>5695</v>
      </c>
      <c r="AB2562" s="49"/>
      <c r="AC2562" s="49"/>
      <c r="AD2562" s="49"/>
      <c r="AE2562" s="49"/>
      <c r="AF2562" s="49" t="str">
        <f t="shared" si="4"/>
        <v>fearless,</v>
      </c>
      <c r="AG2562" s="49"/>
      <c r="AH2562" s="1" t="s">
        <v>3491</v>
      </c>
      <c r="AI2562" s="1" t="s">
        <v>6778</v>
      </c>
      <c r="AJ2562" s="6" t="str">
        <f>IFERROR(__xludf.DUMMYFUNCTION("""COMPUTED_VALUE"""),"properly")</f>
        <v>properly</v>
      </c>
      <c r="AK2562" s="49"/>
      <c r="AL2562" s="49"/>
      <c r="AM2562" s="49"/>
      <c r="AN2562" s="52" t="str">
        <f t="shared" si="5"/>
        <v>holiday,</v>
      </c>
    </row>
    <row r="2563">
      <c r="A2563" s="51"/>
      <c r="B2563" s="50" t="s">
        <v>2029</v>
      </c>
      <c r="C2563" s="50" t="s">
        <v>1368</v>
      </c>
      <c r="D2563" s="49" t="str">
        <f>IFERROR(__xludf.DUMMYFUNCTION("""COMPUTED_VALUE"""),"possibly")</f>
        <v>possibly</v>
      </c>
      <c r="E2563" s="49"/>
      <c r="F2563" s="49"/>
      <c r="G2563" s="49"/>
      <c r="H2563" s="54" t="str">
        <f t="shared" si="1"/>
        <v>drag,</v>
      </c>
      <c r="I2563" s="50"/>
      <c r="J2563" s="50" t="s">
        <v>899</v>
      </c>
      <c r="K2563" s="50" t="s">
        <v>1300</v>
      </c>
      <c r="L2563" s="49"/>
      <c r="M2563" s="49"/>
      <c r="N2563" s="49"/>
      <c r="O2563" s="49"/>
      <c r="P2563" s="49" t="str">
        <f t="shared" si="2"/>
        <v>nickelodeon,</v>
      </c>
      <c r="Q2563" s="49"/>
      <c r="R2563" s="49"/>
      <c r="S2563" s="55" t="s">
        <v>3467</v>
      </c>
      <c r="T2563" s="49"/>
      <c r="U2563" s="49"/>
      <c r="V2563" s="49"/>
      <c r="W2563" s="49"/>
      <c r="X2563" s="49" t="str">
        <f t="shared" si="3"/>
        <v>,</v>
      </c>
      <c r="Y2563" s="49"/>
      <c r="Z2563" s="1" t="s">
        <v>6375</v>
      </c>
      <c r="AA2563" s="1" t="s">
        <v>4769</v>
      </c>
      <c r="AB2563" s="49"/>
      <c r="AC2563" s="49"/>
      <c r="AD2563" s="49"/>
      <c r="AE2563" s="49"/>
      <c r="AF2563" s="49" t="str">
        <f t="shared" si="4"/>
        <v>helps,</v>
      </c>
      <c r="AG2563" s="49"/>
      <c r="AH2563" s="1" t="s">
        <v>4447</v>
      </c>
      <c r="AI2563" s="1" t="s">
        <v>1860</v>
      </c>
      <c r="AJ2563" s="6" t="str">
        <f>IFERROR(__xludf.DUMMYFUNCTION("""COMPUTED_VALUE"""),"join")</f>
        <v>join</v>
      </c>
      <c r="AK2563" s="49"/>
      <c r="AL2563" s="49"/>
      <c r="AM2563" s="49"/>
      <c r="AN2563" s="52" t="str">
        <f t="shared" si="5"/>
        <v>convention,</v>
      </c>
    </row>
    <row r="2564">
      <c r="A2564" s="51"/>
      <c r="B2564" s="50" t="s">
        <v>3238</v>
      </c>
      <c r="C2564" s="50" t="s">
        <v>3309</v>
      </c>
      <c r="D2564" s="49" t="str">
        <f>IFERROR(__xludf.DUMMYFUNCTION("""COMPUTED_VALUE"""),"front")</f>
        <v>front</v>
      </c>
      <c r="E2564" s="49"/>
      <c r="F2564" s="49"/>
      <c r="G2564" s="49"/>
      <c r="H2564" s="54" t="str">
        <f t="shared" si="1"/>
        <v>outside,</v>
      </c>
      <c r="I2564" s="50"/>
      <c r="J2564" s="50" t="s">
        <v>1241</v>
      </c>
      <c r="K2564" s="50" t="s">
        <v>5229</v>
      </c>
      <c r="L2564" s="49"/>
      <c r="M2564" s="49"/>
      <c r="N2564" s="49"/>
      <c r="O2564" s="49"/>
      <c r="P2564" s="49" t="str">
        <f t="shared" si="2"/>
        <v>achievements,</v>
      </c>
      <c r="Q2564" s="49"/>
      <c r="R2564" s="49"/>
      <c r="S2564" s="55" t="s">
        <v>4082</v>
      </c>
      <c r="T2564" s="49"/>
      <c r="U2564" s="49"/>
      <c r="V2564" s="49"/>
      <c r="W2564" s="49"/>
      <c r="X2564" s="49" t="str">
        <f t="shared" si="3"/>
        <v>,</v>
      </c>
      <c r="Y2564" s="49"/>
      <c r="Z2564" s="1" t="s">
        <v>4189</v>
      </c>
      <c r="AA2564" s="1" t="s">
        <v>3004</v>
      </c>
      <c r="AB2564" s="49"/>
      <c r="AC2564" s="49"/>
      <c r="AD2564" s="49"/>
      <c r="AE2564" s="49"/>
      <c r="AF2564" s="49" t="str">
        <f t="shared" si="4"/>
        <v>revolution,</v>
      </c>
      <c r="AG2564" s="49"/>
      <c r="AH2564" s="1" t="s">
        <v>5602</v>
      </c>
      <c r="AI2564" s="1" t="s">
        <v>3506</v>
      </c>
      <c r="AJ2564" s="6" t="str">
        <f>IFERROR(__xludf.DUMMYFUNCTION("""COMPUTED_VALUE"""),"rapidly")</f>
        <v>rapidly</v>
      </c>
      <c r="AK2564" s="49"/>
      <c r="AL2564" s="49"/>
      <c r="AM2564" s="49"/>
      <c r="AN2564" s="52" t="str">
        <f t="shared" si="5"/>
        <v>signing,</v>
      </c>
    </row>
    <row r="2565">
      <c r="A2565" s="51"/>
      <c r="B2565" s="50" t="s">
        <v>1711</v>
      </c>
      <c r="C2565" s="50" t="s">
        <v>4459</v>
      </c>
      <c r="D2565" s="49" t="str">
        <f>IFERROR(__xludf.DUMMYFUNCTION("""COMPUTED_VALUE"""),"thirty")</f>
        <v>thirty</v>
      </c>
      <c r="E2565" s="49"/>
      <c r="F2565" s="49"/>
      <c r="G2565" s="49"/>
      <c r="H2565" s="54" t="str">
        <f t="shared" si="1"/>
        <v>hole,</v>
      </c>
      <c r="I2565" s="50"/>
      <c r="J2565" s="50" t="s">
        <v>2644</v>
      </c>
      <c r="K2565" s="50" t="s">
        <v>2379</v>
      </c>
      <c r="L2565" s="49"/>
      <c r="M2565" s="49"/>
      <c r="N2565" s="49"/>
      <c r="O2565" s="49"/>
      <c r="P2565" s="49" t="str">
        <f t="shared" si="2"/>
        <v>sprawling,</v>
      </c>
      <c r="Q2565" s="49"/>
      <c r="R2565" s="49"/>
      <c r="S2565" s="55" t="s">
        <v>3471</v>
      </c>
      <c r="T2565" s="49"/>
      <c r="U2565" s="49"/>
      <c r="V2565" s="49"/>
      <c r="W2565" s="49"/>
      <c r="X2565" s="49" t="str">
        <f t="shared" si="3"/>
        <v>,</v>
      </c>
      <c r="Y2565" s="49"/>
      <c r="Z2565" s="1" t="s">
        <v>411</v>
      </c>
      <c r="AA2565" s="1" t="s">
        <v>1900</v>
      </c>
      <c r="AB2565" s="49"/>
      <c r="AC2565" s="49"/>
      <c r="AD2565" s="49"/>
      <c r="AE2565" s="49"/>
      <c r="AF2565" s="49" t="str">
        <f t="shared" si="4"/>
        <v>lengths,</v>
      </c>
      <c r="AG2565" s="49"/>
      <c r="AH2565" s="1" t="s">
        <v>5315</v>
      </c>
      <c r="AI2565" s="1" t="s">
        <v>5956</v>
      </c>
      <c r="AJ2565" s="6" t="str">
        <f>IFERROR(__xludf.DUMMYFUNCTION("""COMPUTED_VALUE"""),"relative")</f>
        <v>relative</v>
      </c>
      <c r="AK2565" s="49"/>
      <c r="AL2565" s="49"/>
      <c r="AM2565" s="49"/>
      <c r="AN2565" s="52" t="str">
        <f t="shared" si="5"/>
        <v>worship,</v>
      </c>
    </row>
    <row r="2566">
      <c r="A2566" s="51"/>
      <c r="B2566" s="50" t="s">
        <v>3984</v>
      </c>
      <c r="C2566" s="50" t="s">
        <v>3161</v>
      </c>
      <c r="D2566" s="49" t="str">
        <f>IFERROR(__xludf.DUMMYFUNCTION("""COMPUTED_VALUE"""),"conservative")</f>
        <v>conservative</v>
      </c>
      <c r="E2566" s="49"/>
      <c r="F2566" s="49"/>
      <c r="G2566" s="49"/>
      <c r="H2566" s="54" t="str">
        <f t="shared" si="1"/>
        <v>faster,</v>
      </c>
      <c r="I2566" s="50"/>
      <c r="J2566" s="50" t="s">
        <v>399</v>
      </c>
      <c r="K2566" s="50" t="s">
        <v>4199</v>
      </c>
      <c r="L2566" s="49"/>
      <c r="M2566" s="49"/>
      <c r="N2566" s="49"/>
      <c r="O2566" s="49"/>
      <c r="P2566" s="49" t="str">
        <f t="shared" si="2"/>
        <v>iranian,</v>
      </c>
      <c r="Q2566" s="49"/>
      <c r="R2566" s="49"/>
      <c r="S2566" s="55" t="s">
        <v>390</v>
      </c>
      <c r="T2566" s="49"/>
      <c r="U2566" s="49"/>
      <c r="V2566" s="49"/>
      <c r="W2566" s="49"/>
      <c r="X2566" s="49" t="str">
        <f t="shared" si="3"/>
        <v>,</v>
      </c>
      <c r="Y2566" s="49"/>
      <c r="Z2566" s="1" t="s">
        <v>2502</v>
      </c>
      <c r="AA2566" s="1" t="s">
        <v>4774</v>
      </c>
      <c r="AB2566" s="49"/>
      <c r="AC2566" s="49"/>
      <c r="AD2566" s="49"/>
      <c r="AE2566" s="49"/>
      <c r="AF2566" s="49" t="str">
        <f t="shared" si="4"/>
        <v>devoid,</v>
      </c>
      <c r="AG2566" s="49"/>
      <c r="AH2566" s="1" t="s">
        <v>7040</v>
      </c>
      <c r="AI2566" s="1" t="s">
        <v>2674</v>
      </c>
      <c r="AJ2566" s="6" t="str">
        <f>IFERROR(__xludf.DUMMYFUNCTION("""COMPUTED_VALUE"""),"history")</f>
        <v>history</v>
      </c>
      <c r="AK2566" s="49"/>
      <c r="AL2566" s="49"/>
      <c r="AM2566" s="49"/>
      <c r="AN2566" s="52" t="str">
        <f t="shared" si="5"/>
        <v>soft,</v>
      </c>
    </row>
    <row r="2567">
      <c r="A2567" s="51"/>
      <c r="B2567" s="50" t="s">
        <v>7391</v>
      </c>
      <c r="C2567" s="50" t="s">
        <v>3759</v>
      </c>
      <c r="D2567" s="49" t="str">
        <f>IFERROR(__xludf.DUMMYFUNCTION("""COMPUTED_VALUE"""),"gay")</f>
        <v>gay</v>
      </c>
      <c r="E2567" s="49"/>
      <c r="F2567" s="49"/>
      <c r="G2567" s="49"/>
      <c r="H2567" s="54" t="str">
        <f t="shared" si="1"/>
        <v>boundary,</v>
      </c>
      <c r="I2567" s="50"/>
      <c r="J2567" s="50" t="s">
        <v>6615</v>
      </c>
      <c r="K2567" s="50" t="s">
        <v>4201</v>
      </c>
      <c r="L2567" s="49"/>
      <c r="M2567" s="49"/>
      <c r="N2567" s="49"/>
      <c r="O2567" s="49"/>
      <c r="P2567" s="49" t="str">
        <f t="shared" si="2"/>
        <v>decisions,</v>
      </c>
      <c r="Q2567" s="49"/>
      <c r="R2567" s="49"/>
      <c r="S2567" s="55" t="s">
        <v>3478</v>
      </c>
      <c r="T2567" s="49"/>
      <c r="U2567" s="49"/>
      <c r="V2567" s="49"/>
      <c r="W2567" s="49"/>
      <c r="X2567" s="49" t="str">
        <f t="shared" si="3"/>
        <v>,</v>
      </c>
      <c r="Y2567" s="49"/>
      <c r="Z2567" s="1" t="s">
        <v>4828</v>
      </c>
      <c r="AA2567" s="1" t="s">
        <v>4673</v>
      </c>
      <c r="AB2567" s="49"/>
      <c r="AC2567" s="49"/>
      <c r="AD2567" s="49"/>
      <c r="AE2567" s="49"/>
      <c r="AF2567" s="49" t="str">
        <f t="shared" si="4"/>
        <v>authentic,</v>
      </c>
      <c r="AG2567" s="49"/>
      <c r="AH2567" s="1" t="s">
        <v>3739</v>
      </c>
      <c r="AI2567" s="1" t="s">
        <v>3510</v>
      </c>
      <c r="AJ2567" s="6" t="str">
        <f>IFERROR(__xludf.DUMMYFUNCTION("""COMPUTED_VALUE"""),"picked")</f>
        <v>picked</v>
      </c>
      <c r="AK2567" s="49"/>
      <c r="AL2567" s="49"/>
      <c r="AM2567" s="49"/>
      <c r="AN2567" s="52" t="str">
        <f t="shared" si="5"/>
        <v>marked,</v>
      </c>
    </row>
    <row r="2568">
      <c r="A2568" s="51"/>
      <c r="B2568" s="50" t="s">
        <v>3307</v>
      </c>
      <c r="C2568" s="50" t="s">
        <v>3761</v>
      </c>
      <c r="D2568" s="49" t="str">
        <f>IFERROR(__xludf.DUMMYFUNCTION("""COMPUTED_VALUE"""),"racing")</f>
        <v>racing</v>
      </c>
      <c r="E2568" s="49"/>
      <c r="F2568" s="49"/>
      <c r="G2568" s="49"/>
      <c r="H2568" s="54" t="str">
        <f t="shared" si="1"/>
        <v>naturally,</v>
      </c>
      <c r="I2568" s="50"/>
      <c r="J2568" s="50" t="s">
        <v>2219</v>
      </c>
      <c r="K2568" s="50" t="s">
        <v>5699</v>
      </c>
      <c r="L2568" s="49"/>
      <c r="M2568" s="49"/>
      <c r="N2568" s="49"/>
      <c r="O2568" s="49"/>
      <c r="P2568" s="49" t="str">
        <f t="shared" si="2"/>
        <v>entity,</v>
      </c>
      <c r="Q2568" s="49"/>
      <c r="R2568" s="49"/>
      <c r="S2568" s="55" t="s">
        <v>1183</v>
      </c>
      <c r="T2568" s="49"/>
      <c r="U2568" s="49"/>
      <c r="V2568" s="49"/>
      <c r="W2568" s="49"/>
      <c r="X2568" s="49" t="str">
        <f t="shared" si="3"/>
        <v>,</v>
      </c>
      <c r="Y2568" s="49"/>
      <c r="Z2568" s="1" t="s">
        <v>256</v>
      </c>
      <c r="AA2568" s="1" t="s">
        <v>4781</v>
      </c>
      <c r="AB2568" s="49"/>
      <c r="AC2568" s="49"/>
      <c r="AD2568" s="49"/>
      <c r="AE2568" s="49"/>
      <c r="AF2568" s="49" t="str">
        <f t="shared" si="4"/>
        <v>retains,</v>
      </c>
      <c r="AG2568" s="49"/>
      <c r="AH2568" s="1" t="s">
        <v>2956</v>
      </c>
      <c r="AI2568" s="1" t="s">
        <v>6779</v>
      </c>
      <c r="AJ2568" s="6" t="str">
        <f>IFERROR(__xludf.DUMMYFUNCTION("""COMPUTED_VALUE"""),"sword")</f>
        <v>sword</v>
      </c>
      <c r="AK2568" s="49"/>
      <c r="AL2568" s="49"/>
      <c r="AM2568" s="49"/>
      <c r="AN2568" s="52" t="str">
        <f t="shared" si="5"/>
        <v>von,</v>
      </c>
    </row>
    <row r="2569">
      <c r="A2569" s="51"/>
      <c r="B2569" s="50" t="s">
        <v>7621</v>
      </c>
      <c r="C2569" s="50" t="s">
        <v>1867</v>
      </c>
      <c r="D2569" s="49" t="str">
        <f>IFERROR(__xludf.DUMMYFUNCTION("""COMPUTED_VALUE"""),"suspected")</f>
        <v>suspected</v>
      </c>
      <c r="E2569" s="49"/>
      <c r="F2569" s="49"/>
      <c r="G2569" s="49"/>
      <c r="H2569" s="54" t="str">
        <f t="shared" si="1"/>
        <v>creator,</v>
      </c>
      <c r="I2569" s="50"/>
      <c r="J2569" s="50" t="s">
        <v>1791</v>
      </c>
      <c r="K2569" s="50" t="s">
        <v>5233</v>
      </c>
      <c r="L2569" s="49"/>
      <c r="M2569" s="49"/>
      <c r="N2569" s="49"/>
      <c r="O2569" s="49"/>
      <c r="P2569" s="49" t="str">
        <f t="shared" si="2"/>
        <v>importance,</v>
      </c>
      <c r="Q2569" s="49"/>
      <c r="R2569" s="49"/>
      <c r="S2569" s="55" t="s">
        <v>4087</v>
      </c>
      <c r="T2569" s="49"/>
      <c r="U2569" s="49"/>
      <c r="V2569" s="49"/>
      <c r="W2569" s="49"/>
      <c r="X2569" s="49" t="str">
        <f t="shared" si="3"/>
        <v>,</v>
      </c>
      <c r="Y2569" s="49"/>
      <c r="Z2569" s="1" t="s">
        <v>143</v>
      </c>
      <c r="AA2569" s="1" t="s">
        <v>4783</v>
      </c>
      <c r="AB2569" s="49"/>
      <c r="AC2569" s="49"/>
      <c r="AD2569" s="49"/>
      <c r="AE2569" s="49"/>
      <c r="AF2569" s="49" t="str">
        <f t="shared" si="4"/>
        <v>emptiness,</v>
      </c>
      <c r="AG2569" s="49"/>
      <c r="AH2569" s="1" t="s">
        <v>1768</v>
      </c>
      <c r="AI2569" s="1" t="s">
        <v>6780</v>
      </c>
      <c r="AJ2569" s="6" t="str">
        <f>IFERROR(__xludf.DUMMYFUNCTION("""COMPUTED_VALUE"""),"pre")</f>
        <v>pre</v>
      </c>
      <c r="AK2569" s="49"/>
      <c r="AL2569" s="49"/>
      <c r="AM2569" s="49"/>
      <c r="AN2569" s="52" t="str">
        <f t="shared" si="5"/>
        <v>era,</v>
      </c>
    </row>
    <row r="2570">
      <c r="A2570" s="51"/>
      <c r="B2570" s="50" t="s">
        <v>6656</v>
      </c>
      <c r="C2570" s="50" t="s">
        <v>6703</v>
      </c>
      <c r="D2570" s="49" t="str">
        <f>IFERROR(__xludf.DUMMYFUNCTION("""COMPUTED_VALUE"""),"condition")</f>
        <v>condition</v>
      </c>
      <c r="E2570" s="49"/>
      <c r="F2570" s="49"/>
      <c r="G2570" s="49"/>
      <c r="H2570" s="54" t="str">
        <f t="shared" si="1"/>
        <v>defense,</v>
      </c>
      <c r="I2570" s="50"/>
      <c r="J2570" s="50" t="s">
        <v>7622</v>
      </c>
      <c r="K2570" s="50" t="s">
        <v>2381</v>
      </c>
      <c r="L2570" s="49"/>
      <c r="M2570" s="49"/>
      <c r="N2570" s="49"/>
      <c r="O2570" s="49"/>
      <c r="P2570" s="49" t="str">
        <f t="shared" si="2"/>
        <v>tad,</v>
      </c>
      <c r="Q2570" s="49"/>
      <c r="R2570" s="49"/>
      <c r="S2570" s="55" t="s">
        <v>2677</v>
      </c>
      <c r="T2570" s="49"/>
      <c r="U2570" s="49"/>
      <c r="V2570" s="49"/>
      <c r="W2570" s="49"/>
      <c r="X2570" s="49" t="str">
        <f t="shared" si="3"/>
        <v>,</v>
      </c>
      <c r="Y2570" s="49"/>
      <c r="Z2570" s="1" t="s">
        <v>2608</v>
      </c>
      <c r="AA2570" s="1" t="s">
        <v>5700</v>
      </c>
      <c r="AB2570" s="49"/>
      <c r="AC2570" s="49"/>
      <c r="AD2570" s="49"/>
      <c r="AE2570" s="49"/>
      <c r="AF2570" s="49" t="str">
        <f t="shared" si="4"/>
        <v>inherent,</v>
      </c>
      <c r="AG2570" s="49"/>
      <c r="AH2570" s="1" t="s">
        <v>6481</v>
      </c>
      <c r="AI2570" s="1" t="s">
        <v>4024</v>
      </c>
      <c r="AJ2570" s="6" t="str">
        <f>IFERROR(__xludf.DUMMYFUNCTION("""COMPUTED_VALUE"""),"answers")</f>
        <v>answers</v>
      </c>
      <c r="AK2570" s="49"/>
      <c r="AL2570" s="49"/>
      <c r="AM2570" s="49"/>
      <c r="AN2570" s="52" t="str">
        <f t="shared" si="5"/>
        <v>perfectly,</v>
      </c>
    </row>
    <row r="2571">
      <c r="A2571" s="51"/>
      <c r="B2571" s="50" t="s">
        <v>6885</v>
      </c>
      <c r="C2571" s="50" t="s">
        <v>4864</v>
      </c>
      <c r="D2571" s="49" t="str">
        <f>IFERROR(__xludf.DUMMYFUNCTION("""COMPUTED_VALUE"""),"sooner")</f>
        <v>sooner</v>
      </c>
      <c r="E2571" s="49"/>
      <c r="F2571" s="49"/>
      <c r="G2571" s="49"/>
      <c r="H2571" s="54" t="str">
        <f t="shared" si="1"/>
        <v>judge,</v>
      </c>
      <c r="I2571" s="50"/>
      <c r="J2571" s="50" t="s">
        <v>6096</v>
      </c>
      <c r="K2571" s="50" t="s">
        <v>1589</v>
      </c>
      <c r="L2571" s="49"/>
      <c r="M2571" s="49"/>
      <c r="N2571" s="49"/>
      <c r="O2571" s="49"/>
      <c r="P2571" s="49" t="str">
        <f t="shared" si="2"/>
        <v>pa,</v>
      </c>
      <c r="Q2571" s="49"/>
      <c r="R2571" s="49"/>
      <c r="S2571" s="55" t="s">
        <v>2261</v>
      </c>
      <c r="T2571" s="49"/>
      <c r="U2571" s="49"/>
      <c r="V2571" s="49"/>
      <c r="W2571" s="49"/>
      <c r="X2571" s="49" t="str">
        <f t="shared" si="3"/>
        <v>,</v>
      </c>
      <c r="Y2571" s="49"/>
      <c r="Z2571" s="1" t="s">
        <v>265</v>
      </c>
      <c r="AA2571" s="1" t="s">
        <v>5702</v>
      </c>
      <c r="AB2571" s="49"/>
      <c r="AC2571" s="49"/>
      <c r="AD2571" s="49"/>
      <c r="AE2571" s="49"/>
      <c r="AF2571" s="49" t="str">
        <f t="shared" si="4"/>
        <v>resonance,</v>
      </c>
      <c r="AG2571" s="49"/>
      <c r="AH2571" s="1" t="s">
        <v>5317</v>
      </c>
      <c r="AI2571" s="1" t="s">
        <v>3758</v>
      </c>
      <c r="AJ2571" s="6" t="str">
        <f>IFERROR(__xludf.DUMMYFUNCTION("""COMPUTED_VALUE"""),"skin")</f>
        <v>skin</v>
      </c>
      <c r="AK2571" s="49"/>
      <c r="AL2571" s="49"/>
      <c r="AM2571" s="49"/>
      <c r="AN2571" s="52" t="str">
        <f t="shared" si="5"/>
        <v>promotion,</v>
      </c>
    </row>
    <row r="2572">
      <c r="A2572" s="51"/>
      <c r="B2572" s="50" t="s">
        <v>4080</v>
      </c>
      <c r="C2572" s="50" t="s">
        <v>6702</v>
      </c>
      <c r="D2572" s="49" t="str">
        <f>IFERROR(__xludf.DUMMYFUNCTION("""COMPUTED_VALUE"""),"fool")</f>
        <v>fool</v>
      </c>
      <c r="E2572" s="49"/>
      <c r="F2572" s="49"/>
      <c r="G2572" s="49"/>
      <c r="H2572" s="54" t="str">
        <f t="shared" si="1"/>
        <v>knowing,</v>
      </c>
      <c r="I2572" s="50"/>
      <c r="J2572" s="50" t="s">
        <v>7569</v>
      </c>
      <c r="K2572" s="50" t="s">
        <v>5705</v>
      </c>
      <c r="L2572" s="49"/>
      <c r="M2572" s="49"/>
      <c r="N2572" s="49"/>
      <c r="O2572" s="49"/>
      <c r="P2572" s="49" t="str">
        <f t="shared" si="2"/>
        <v>uncommon,</v>
      </c>
      <c r="Q2572" s="49"/>
      <c r="R2572" s="49"/>
      <c r="S2572" s="55" t="s">
        <v>5123</v>
      </c>
      <c r="T2572" s="49"/>
      <c r="U2572" s="49"/>
      <c r="V2572" s="49"/>
      <c r="W2572" s="49"/>
      <c r="X2572" s="49" t="str">
        <f t="shared" si="3"/>
        <v>,</v>
      </c>
      <c r="Y2572" s="49"/>
      <c r="Z2572" s="1" t="s">
        <v>4395</v>
      </c>
      <c r="AA2572" s="1" t="s">
        <v>1932</v>
      </c>
      <c r="AB2572" s="49"/>
      <c r="AC2572" s="49"/>
      <c r="AD2572" s="49"/>
      <c r="AE2572" s="49"/>
      <c r="AF2572" s="49" t="str">
        <f t="shared" si="4"/>
        <v>complications,</v>
      </c>
      <c r="AG2572" s="49"/>
      <c r="AH2572" s="1" t="s">
        <v>536</v>
      </c>
      <c r="AI2572" s="1" t="s">
        <v>3854</v>
      </c>
      <c r="AJ2572" s="6" t="str">
        <f>IFERROR(__xludf.DUMMYFUNCTION("""COMPUTED_VALUE"""),"share")</f>
        <v>share</v>
      </c>
      <c r="AK2572" s="49"/>
      <c r="AL2572" s="49"/>
      <c r="AM2572" s="49"/>
      <c r="AN2572" s="52" t="str">
        <f t="shared" si="5"/>
        <v>scores,</v>
      </c>
    </row>
    <row r="2573">
      <c r="A2573" s="51"/>
      <c r="B2573" s="50" t="s">
        <v>6715</v>
      </c>
      <c r="C2573" s="50" t="s">
        <v>1757</v>
      </c>
      <c r="D2573" s="49" t="str">
        <f>IFERROR(__xludf.DUMMYFUNCTION("""COMPUTED_VALUE"""),"kenneth")</f>
        <v>kenneth</v>
      </c>
      <c r="E2573" s="49"/>
      <c r="F2573" s="49"/>
      <c r="G2573" s="49"/>
      <c r="H2573" s="54" t="str">
        <f t="shared" si="1"/>
        <v>strings,</v>
      </c>
      <c r="I2573" s="50"/>
      <c r="J2573" s="50" t="s">
        <v>3409</v>
      </c>
      <c r="K2573" s="50" t="s">
        <v>5236</v>
      </c>
      <c r="L2573" s="49"/>
      <c r="M2573" s="49"/>
      <c r="N2573" s="49"/>
      <c r="O2573" s="49"/>
      <c r="P2573" s="49" t="str">
        <f t="shared" si="2"/>
        <v>buttons,</v>
      </c>
      <c r="Q2573" s="49"/>
      <c r="R2573" s="49"/>
      <c r="S2573" s="55" t="s">
        <v>5030</v>
      </c>
      <c r="T2573" s="49"/>
      <c r="U2573" s="49"/>
      <c r="V2573" s="49"/>
      <c r="W2573" s="49"/>
      <c r="X2573" s="49" t="str">
        <f t="shared" si="3"/>
        <v>,</v>
      </c>
      <c r="Y2573" s="49"/>
      <c r="Z2573" s="1" t="s">
        <v>4633</v>
      </c>
      <c r="AA2573" s="1" t="s">
        <v>4792</v>
      </c>
      <c r="AB2573" s="49"/>
      <c r="AC2573" s="49"/>
      <c r="AD2573" s="49"/>
      <c r="AE2573" s="49"/>
      <c r="AF2573" s="49" t="str">
        <f t="shared" si="4"/>
        <v>parent,</v>
      </c>
      <c r="AG2573" s="49"/>
      <c r="AH2573" s="1" t="s">
        <v>3961</v>
      </c>
      <c r="AI2573" s="1" t="s">
        <v>6781</v>
      </c>
      <c r="AJ2573" s="6" t="str">
        <f>IFERROR(__xludf.DUMMYFUNCTION("""COMPUTED_VALUE"""),"rooms")</f>
        <v>rooms</v>
      </c>
      <c r="AK2573" s="49"/>
      <c r="AL2573" s="49"/>
      <c r="AM2573" s="49"/>
      <c r="AN2573" s="52" t="str">
        <f t="shared" si="5"/>
        <v>challenge,</v>
      </c>
    </row>
    <row r="2574">
      <c r="A2574" s="51"/>
      <c r="B2574" s="50" t="s">
        <v>7428</v>
      </c>
      <c r="C2574" s="50" t="s">
        <v>6704</v>
      </c>
      <c r="D2574" s="49" t="str">
        <f>IFERROR(__xludf.DUMMYFUNCTION("""COMPUTED_VALUE"""),"space")</f>
        <v>space</v>
      </c>
      <c r="E2574" s="49"/>
      <c r="F2574" s="49"/>
      <c r="G2574" s="49"/>
      <c r="H2574" s="54" t="str">
        <f t="shared" si="1"/>
        <v>ac,</v>
      </c>
      <c r="I2574" s="50"/>
      <c r="J2574" s="50" t="s">
        <v>989</v>
      </c>
      <c r="K2574" s="50" t="s">
        <v>1173</v>
      </c>
      <c r="L2574" s="49"/>
      <c r="M2574" s="49"/>
      <c r="N2574" s="49"/>
      <c r="O2574" s="49"/>
      <c r="P2574" s="49" t="str">
        <f t="shared" si="2"/>
        <v>penetrating,</v>
      </c>
      <c r="Q2574" s="49"/>
      <c r="R2574" s="49"/>
      <c r="S2574" s="55" t="s">
        <v>1191</v>
      </c>
      <c r="T2574" s="49"/>
      <c r="U2574" s="49"/>
      <c r="V2574" s="49"/>
      <c r="W2574" s="49"/>
      <c r="X2574" s="49" t="str">
        <f t="shared" si="3"/>
        <v>,</v>
      </c>
      <c r="Y2574" s="49"/>
      <c r="Z2574" s="1" t="s">
        <v>1806</v>
      </c>
      <c r="AA2574" s="1" t="s">
        <v>3021</v>
      </c>
      <c r="AB2574" s="49"/>
      <c r="AC2574" s="49"/>
      <c r="AD2574" s="49"/>
      <c r="AE2574" s="49"/>
      <c r="AF2574" s="49" t="str">
        <f t="shared" si="4"/>
        <v>videos,</v>
      </c>
      <c r="AG2574" s="49"/>
      <c r="AH2574" s="1" t="s">
        <v>3556</v>
      </c>
      <c r="AI2574" s="1" t="s">
        <v>1552</v>
      </c>
      <c r="AJ2574" s="6" t="str">
        <f>IFERROR(__xludf.DUMMYFUNCTION("""COMPUTED_VALUE"""),"territory")</f>
        <v>territory</v>
      </c>
      <c r="AK2574" s="49"/>
      <c r="AL2574" s="49"/>
      <c r="AM2574" s="49"/>
      <c r="AN2574" s="52" t="str">
        <f t="shared" si="5"/>
        <v>shoot,</v>
      </c>
    </row>
    <row r="2575">
      <c r="A2575" s="51"/>
      <c r="B2575" s="50" t="s">
        <v>6521</v>
      </c>
      <c r="C2575" s="50" t="s">
        <v>2609</v>
      </c>
      <c r="D2575" s="49" t="str">
        <f>IFERROR(__xludf.DUMMYFUNCTION("""COMPUTED_VALUE"""),"sought")</f>
        <v>sought</v>
      </c>
      <c r="E2575" s="49"/>
      <c r="F2575" s="49"/>
      <c r="G2575" s="49"/>
      <c r="H2575" s="54" t="str">
        <f t="shared" si="1"/>
        <v>reasonable,</v>
      </c>
      <c r="I2575" s="50"/>
      <c r="J2575" s="50" t="s">
        <v>7570</v>
      </c>
      <c r="K2575" s="50" t="s">
        <v>5239</v>
      </c>
      <c r="L2575" s="49"/>
      <c r="M2575" s="49"/>
      <c r="N2575" s="49"/>
      <c r="O2575" s="49"/>
      <c r="P2575" s="49" t="str">
        <f t="shared" si="2"/>
        <v>abc,</v>
      </c>
      <c r="Q2575" s="49"/>
      <c r="R2575" s="49"/>
      <c r="S2575" s="55" t="s">
        <v>4092</v>
      </c>
      <c r="T2575" s="49"/>
      <c r="U2575" s="49"/>
      <c r="V2575" s="49"/>
      <c r="W2575" s="49"/>
      <c r="X2575" s="49" t="str">
        <f t="shared" si="3"/>
        <v>,</v>
      </c>
      <c r="Y2575" s="49"/>
      <c r="Z2575" s="1" t="s">
        <v>667</v>
      </c>
      <c r="AA2575" s="1" t="s">
        <v>5709</v>
      </c>
      <c r="AB2575" s="49"/>
      <c r="AC2575" s="49"/>
      <c r="AD2575" s="49"/>
      <c r="AE2575" s="49"/>
      <c r="AF2575" s="49" t="str">
        <f t="shared" si="4"/>
        <v>stirring,</v>
      </c>
      <c r="AG2575" s="49"/>
      <c r="AH2575" s="1" t="s">
        <v>1533</v>
      </c>
      <c r="AI2575" s="1" t="s">
        <v>4131</v>
      </c>
      <c r="AJ2575" s="6" t="str">
        <f>IFERROR(__xludf.DUMMYFUNCTION("""COMPUTED_VALUE"""),"hotel")</f>
        <v>hotel</v>
      </c>
      <c r="AK2575" s="49"/>
      <c r="AL2575" s="49"/>
      <c r="AM2575" s="49"/>
      <c r="AN2575" s="52" t="str">
        <f t="shared" si="5"/>
        <v>practice,</v>
      </c>
    </row>
    <row r="2576">
      <c r="A2576" s="51"/>
      <c r="B2576" s="50" t="s">
        <v>7393</v>
      </c>
      <c r="C2576" s="50" t="s">
        <v>1782</v>
      </c>
      <c r="D2576" s="49" t="str">
        <f>IFERROR(__xludf.DUMMYFUNCTION("""COMPUTED_VALUE"""),"item")</f>
        <v>item</v>
      </c>
      <c r="E2576" s="49"/>
      <c r="F2576" s="49"/>
      <c r="G2576" s="49"/>
      <c r="H2576" s="54" t="str">
        <f t="shared" si="1"/>
        <v>england,</v>
      </c>
      <c r="I2576" s="50"/>
      <c r="J2576" s="50" t="s">
        <v>4308</v>
      </c>
      <c r="K2576" s="50" t="s">
        <v>2387</v>
      </c>
      <c r="L2576" s="49"/>
      <c r="M2576" s="49"/>
      <c r="N2576" s="49"/>
      <c r="O2576" s="49"/>
      <c r="P2576" s="49" t="str">
        <f t="shared" si="2"/>
        <v>catching,</v>
      </c>
      <c r="Q2576" s="49"/>
      <c r="R2576" s="49"/>
      <c r="S2576" s="55" t="s">
        <v>1523</v>
      </c>
      <c r="T2576" s="49"/>
      <c r="U2576" s="49"/>
      <c r="V2576" s="49"/>
      <c r="W2576" s="49"/>
      <c r="X2576" s="49" t="str">
        <f t="shared" si="3"/>
        <v>,</v>
      </c>
      <c r="Y2576" s="49"/>
      <c r="Z2576" s="1" t="s">
        <v>4228</v>
      </c>
      <c r="AA2576" s="1" t="s">
        <v>4796</v>
      </c>
      <c r="AB2576" s="49"/>
      <c r="AC2576" s="49"/>
      <c r="AD2576" s="49"/>
      <c r="AE2576" s="49"/>
      <c r="AF2576" s="49" t="str">
        <f t="shared" si="4"/>
        <v>calm,</v>
      </c>
      <c r="AG2576" s="49"/>
      <c r="AH2576" s="1" t="s">
        <v>1186</v>
      </c>
      <c r="AI2576" s="1" t="s">
        <v>3517</v>
      </c>
      <c r="AJ2576" s="6" t="str">
        <f>IFERROR(__xludf.DUMMYFUNCTION("""COMPUTED_VALUE"""),"existing")</f>
        <v>existing</v>
      </c>
      <c r="AK2576" s="49"/>
      <c r="AL2576" s="49"/>
      <c r="AM2576" s="49"/>
      <c r="AN2576" s="52" t="str">
        <f t="shared" si="5"/>
        <v>titles,</v>
      </c>
    </row>
    <row r="2577">
      <c r="A2577" s="51"/>
      <c r="B2577" s="50" t="s">
        <v>3759</v>
      </c>
      <c r="C2577" s="50" t="s">
        <v>2076</v>
      </c>
      <c r="D2577" s="49" t="str">
        <f>IFERROR(__xludf.DUMMYFUNCTION("""COMPUTED_VALUE"""),"arrow")</f>
        <v>arrow</v>
      </c>
      <c r="E2577" s="49"/>
      <c r="F2577" s="49"/>
      <c r="G2577" s="49"/>
      <c r="H2577" s="54" t="str">
        <f t="shared" si="1"/>
        <v>tales,</v>
      </c>
      <c r="I2577" s="50"/>
      <c r="J2577" s="50" t="s">
        <v>519</v>
      </c>
      <c r="K2577" s="50" t="s">
        <v>3572</v>
      </c>
      <c r="L2577" s="49"/>
      <c r="M2577" s="49"/>
      <c r="N2577" s="49"/>
      <c r="O2577" s="49"/>
      <c r="P2577" s="49" t="str">
        <f t="shared" si="2"/>
        <v>strains,</v>
      </c>
      <c r="Q2577" s="49"/>
      <c r="R2577" s="49"/>
      <c r="S2577" s="55" t="s">
        <v>4096</v>
      </c>
      <c r="T2577" s="49"/>
      <c r="U2577" s="49"/>
      <c r="V2577" s="49"/>
      <c r="W2577" s="49"/>
      <c r="X2577" s="49" t="str">
        <f t="shared" si="3"/>
        <v>,</v>
      </c>
      <c r="Y2577" s="49"/>
      <c r="Z2577" s="1" t="s">
        <v>2392</v>
      </c>
      <c r="AA2577" s="1" t="s">
        <v>4799</v>
      </c>
      <c r="AB2577" s="49"/>
      <c r="AC2577" s="49"/>
      <c r="AD2577" s="49"/>
      <c r="AE2577" s="49"/>
      <c r="AF2577" s="49" t="str">
        <f t="shared" si="4"/>
        <v>suffering,</v>
      </c>
      <c r="AG2577" s="49"/>
      <c r="AH2577" s="1" t="s">
        <v>1860</v>
      </c>
      <c r="AI2577" s="1" t="s">
        <v>4041</v>
      </c>
      <c r="AJ2577" s="6" t="str">
        <f>IFERROR(__xludf.DUMMYFUNCTION("""COMPUTED_VALUE"""),"map")</f>
        <v>map</v>
      </c>
      <c r="AK2577" s="49"/>
      <c r="AL2577" s="49"/>
      <c r="AM2577" s="49"/>
      <c r="AN2577" s="52" t="str">
        <f t="shared" si="5"/>
        <v>dozen,</v>
      </c>
    </row>
    <row r="2578">
      <c r="A2578" s="51"/>
      <c r="B2578" s="50" t="s">
        <v>1406</v>
      </c>
      <c r="C2578" s="50" t="s">
        <v>5518</v>
      </c>
      <c r="D2578" s="49" t="str">
        <f>IFERROR(__xludf.DUMMYFUNCTION("""COMPUTED_VALUE"""),"sam")</f>
        <v>sam</v>
      </c>
      <c r="E2578" s="49"/>
      <c r="F2578" s="49"/>
      <c r="G2578" s="49"/>
      <c r="H2578" s="54" t="str">
        <f t="shared" si="1"/>
        <v>observation,</v>
      </c>
      <c r="I2578" s="50"/>
      <c r="J2578" s="50" t="s">
        <v>4838</v>
      </c>
      <c r="K2578" s="50" t="s">
        <v>4204</v>
      </c>
      <c r="L2578" s="49"/>
      <c r="M2578" s="49"/>
      <c r="N2578" s="49"/>
      <c r="O2578" s="49"/>
      <c r="P2578" s="49" t="str">
        <f t="shared" si="2"/>
        <v>updated,</v>
      </c>
      <c r="Q2578" s="49"/>
      <c r="R2578" s="49"/>
      <c r="S2578" s="55" t="s">
        <v>5055</v>
      </c>
      <c r="T2578" s="49"/>
      <c r="U2578" s="49"/>
      <c r="V2578" s="49"/>
      <c r="W2578" s="49"/>
      <c r="X2578" s="49" t="str">
        <f t="shared" si="3"/>
        <v>,</v>
      </c>
      <c r="Y2578" s="49"/>
      <c r="Z2578" s="1" t="s">
        <v>2149</v>
      </c>
      <c r="AA2578" s="1" t="s">
        <v>5710</v>
      </c>
      <c r="AB2578" s="49"/>
      <c r="AC2578" s="49"/>
      <c r="AD2578" s="49"/>
      <c r="AE2578" s="49"/>
      <c r="AF2578" s="49" t="str">
        <f t="shared" si="4"/>
        <v>dvd,</v>
      </c>
      <c r="AG2578" s="49"/>
      <c r="AH2578" s="1" t="s">
        <v>2719</v>
      </c>
      <c r="AI2578" s="1" t="s">
        <v>6782</v>
      </c>
      <c r="AJ2578" s="6" t="str">
        <f>IFERROR(__xludf.DUMMYFUNCTION("""COMPUTED_VALUE"""),"agency")</f>
        <v>agency</v>
      </c>
      <c r="AK2578" s="49"/>
      <c r="AL2578" s="49"/>
      <c r="AM2578" s="49"/>
      <c r="AN2578" s="52" t="str">
        <f t="shared" si="5"/>
        <v>added,</v>
      </c>
    </row>
    <row r="2579">
      <c r="A2579" s="51"/>
      <c r="B2579" s="50" t="s">
        <v>1425</v>
      </c>
      <c r="C2579" s="50" t="s">
        <v>1063</v>
      </c>
      <c r="D2579" s="49" t="str">
        <f>IFERROR(__xludf.DUMMYFUNCTION("""COMPUTED_VALUE"""),"seattle")</f>
        <v>seattle</v>
      </c>
      <c r="E2579" s="49"/>
      <c r="F2579" s="49"/>
      <c r="G2579" s="49"/>
      <c r="H2579" s="54" t="str">
        <f t="shared" si="1"/>
        <v>station,</v>
      </c>
      <c r="I2579" s="50"/>
      <c r="J2579" s="50" t="s">
        <v>7623</v>
      </c>
      <c r="K2579" s="50" t="s">
        <v>2390</v>
      </c>
      <c r="L2579" s="49"/>
      <c r="M2579" s="49"/>
      <c r="N2579" s="49"/>
      <c r="O2579" s="49"/>
      <c r="P2579" s="49" t="str">
        <f t="shared" si="2"/>
        <v>du,</v>
      </c>
      <c r="Q2579" s="49"/>
      <c r="R2579" s="49"/>
      <c r="S2579" s="55" t="s">
        <v>5597</v>
      </c>
      <c r="T2579" s="49"/>
      <c r="U2579" s="49"/>
      <c r="V2579" s="49"/>
      <c r="W2579" s="49"/>
      <c r="X2579" s="49" t="str">
        <f t="shared" si="3"/>
        <v>,</v>
      </c>
      <c r="Y2579" s="49"/>
      <c r="Z2579" s="1" t="s">
        <v>4332</v>
      </c>
      <c r="AA2579" s="1" t="s">
        <v>3681</v>
      </c>
      <c r="AB2579" s="49"/>
      <c r="AC2579" s="49"/>
      <c r="AD2579" s="49"/>
      <c r="AE2579" s="49"/>
      <c r="AF2579" s="49" t="str">
        <f t="shared" si="4"/>
        <v>inclination,</v>
      </c>
      <c r="AG2579" s="49"/>
      <c r="AH2579" s="1" t="s">
        <v>6776</v>
      </c>
      <c r="AI2579" s="1" t="s">
        <v>4659</v>
      </c>
      <c r="AJ2579" s="6" t="str">
        <f>IFERROR(__xludf.DUMMYFUNCTION("""COMPUTED_VALUE"""),"freedom")</f>
        <v>freedom</v>
      </c>
      <c r="AK2579" s="49"/>
      <c r="AL2579" s="49"/>
      <c r="AM2579" s="49"/>
      <c r="AN2579" s="52" t="str">
        <f t="shared" si="5"/>
        <v>shut,</v>
      </c>
    </row>
    <row r="2580">
      <c r="A2580" s="51"/>
      <c r="B2580" s="50" t="s">
        <v>3511</v>
      </c>
      <c r="C2580" s="50" t="s">
        <v>1596</v>
      </c>
      <c r="D2580" s="49" t="str">
        <f>IFERROR(__xludf.DUMMYFUNCTION("""COMPUTED_VALUE"""),"kissing")</f>
        <v>kissing</v>
      </c>
      <c r="E2580" s="49"/>
      <c r="F2580" s="49"/>
      <c r="G2580" s="49"/>
      <c r="H2580" s="54" t="str">
        <f t="shared" si="1"/>
        <v>via,</v>
      </c>
      <c r="I2580" s="50"/>
      <c r="J2580" s="50" t="s">
        <v>4116</v>
      </c>
      <c r="K2580" s="50" t="s">
        <v>5714</v>
      </c>
      <c r="L2580" s="49"/>
      <c r="M2580" s="49"/>
      <c r="N2580" s="49"/>
      <c r="O2580" s="49"/>
      <c r="P2580" s="49" t="str">
        <f t="shared" si="2"/>
        <v>plainly,</v>
      </c>
      <c r="Q2580" s="49"/>
      <c r="R2580" s="49"/>
      <c r="S2580" s="55" t="s">
        <v>4100</v>
      </c>
      <c r="T2580" s="49"/>
      <c r="U2580" s="49"/>
      <c r="V2580" s="49"/>
      <c r="W2580" s="49"/>
      <c r="X2580" s="49" t="str">
        <f t="shared" si="3"/>
        <v>,</v>
      </c>
      <c r="Y2580" s="49"/>
      <c r="Z2580" s="1" t="s">
        <v>2120</v>
      </c>
      <c r="AA2580" s="1" t="s">
        <v>4805</v>
      </c>
      <c r="AB2580" s="49"/>
      <c r="AC2580" s="49"/>
      <c r="AD2580" s="49"/>
      <c r="AE2580" s="49"/>
      <c r="AF2580" s="49" t="str">
        <f t="shared" si="4"/>
        <v>humane,</v>
      </c>
      <c r="AG2580" s="49"/>
      <c r="AH2580" s="1" t="s">
        <v>7035</v>
      </c>
      <c r="AI2580" s="1" t="s">
        <v>6783</v>
      </c>
      <c r="AJ2580" s="6" t="str">
        <f>IFERROR(__xludf.DUMMYFUNCTION("""COMPUTED_VALUE"""),"departure")</f>
        <v>departure</v>
      </c>
      <c r="AK2580" s="49"/>
      <c r="AL2580" s="49"/>
      <c r="AM2580" s="49"/>
      <c r="AN2580" s="52" t="str">
        <f t="shared" si="5"/>
        <v>orange,</v>
      </c>
    </row>
    <row r="2581">
      <c r="A2581" s="51"/>
      <c r="B2581" s="50" t="s">
        <v>7624</v>
      </c>
      <c r="C2581" s="50" t="s">
        <v>5523</v>
      </c>
      <c r="D2581" s="49" t="str">
        <f>IFERROR(__xludf.DUMMYFUNCTION("""COMPUTED_VALUE"""),"jessica")</f>
        <v>jessica</v>
      </c>
      <c r="E2581" s="49"/>
      <c r="F2581" s="49"/>
      <c r="G2581" s="49"/>
      <c r="H2581" s="54" t="str">
        <f t="shared" si="1"/>
        <v>refer,</v>
      </c>
      <c r="I2581" s="50"/>
      <c r="J2581" s="50" t="s">
        <v>3142</v>
      </c>
      <c r="K2581" s="50" t="s">
        <v>4523</v>
      </c>
      <c r="L2581" s="49"/>
      <c r="M2581" s="49"/>
      <c r="N2581" s="49"/>
      <c r="O2581" s="49"/>
      <c r="P2581" s="49" t="str">
        <f t="shared" si="2"/>
        <v>vibrant,</v>
      </c>
      <c r="Q2581" s="49"/>
      <c r="R2581" s="49"/>
      <c r="S2581" s="55" t="s">
        <v>4101</v>
      </c>
      <c r="T2581" s="49"/>
      <c r="U2581" s="49"/>
      <c r="V2581" s="49"/>
      <c r="W2581" s="49"/>
      <c r="X2581" s="49" t="str">
        <f t="shared" si="3"/>
        <v>,</v>
      </c>
      <c r="Y2581" s="49"/>
      <c r="Z2581" s="1" t="s">
        <v>1722</v>
      </c>
      <c r="AA2581" s="1" t="s">
        <v>5715</v>
      </c>
      <c r="AB2581" s="49"/>
      <c r="AC2581" s="49"/>
      <c r="AD2581" s="49"/>
      <c r="AE2581" s="49"/>
      <c r="AF2581" s="49" t="str">
        <f t="shared" si="4"/>
        <v>fury,</v>
      </c>
      <c r="AG2581" s="49"/>
      <c r="AH2581" s="1" t="s">
        <v>4903</v>
      </c>
      <c r="AI2581" s="1" t="s">
        <v>5164</v>
      </c>
      <c r="AJ2581" s="6">
        <f>IFERROR(__xludf.DUMMYFUNCTION("""COMPUTED_VALUE"""),99.0)</f>
        <v>99</v>
      </c>
      <c r="AK2581" s="49"/>
      <c r="AL2581" s="49"/>
      <c r="AM2581" s="49"/>
      <c r="AN2581" s="52" t="str">
        <f t="shared" si="5"/>
        <v>teams,</v>
      </c>
    </row>
    <row r="2582">
      <c r="A2582" s="51"/>
      <c r="B2582" s="50" t="s">
        <v>122</v>
      </c>
      <c r="C2582" s="50" t="s">
        <v>3310</v>
      </c>
      <c r="D2582" s="49" t="str">
        <f>IFERROR(__xludf.DUMMYFUNCTION("""COMPUTED_VALUE"""),"bang")</f>
        <v>bang</v>
      </c>
      <c r="E2582" s="49"/>
      <c r="F2582" s="49"/>
      <c r="G2582" s="49"/>
      <c r="H2582" s="54" t="str">
        <f t="shared" si="1"/>
        <v>heroes,</v>
      </c>
      <c r="I2582" s="50"/>
      <c r="J2582" s="50" t="s">
        <v>2375</v>
      </c>
      <c r="K2582" s="50" t="s">
        <v>3577</v>
      </c>
      <c r="L2582" s="49"/>
      <c r="M2582" s="49"/>
      <c r="N2582" s="49"/>
      <c r="O2582" s="49"/>
      <c r="P2582" s="49" t="str">
        <f t="shared" si="2"/>
        <v>aims,</v>
      </c>
      <c r="Q2582" s="49"/>
      <c r="R2582" s="49"/>
      <c r="S2582" s="55" t="s">
        <v>1194</v>
      </c>
      <c r="T2582" s="49"/>
      <c r="U2582" s="49"/>
      <c r="V2582" s="49"/>
      <c r="W2582" s="49"/>
      <c r="X2582" s="49" t="str">
        <f t="shared" si="3"/>
        <v>,</v>
      </c>
      <c r="Y2582" s="49"/>
      <c r="Z2582" s="1" t="s">
        <v>1663</v>
      </c>
      <c r="AA2582" s="1" t="s">
        <v>3028</v>
      </c>
      <c r="AB2582" s="49"/>
      <c r="AC2582" s="49"/>
      <c r="AD2582" s="49"/>
      <c r="AE2582" s="49"/>
      <c r="AF2582" s="49" t="str">
        <f t="shared" si="4"/>
        <v>extraordinary,</v>
      </c>
      <c r="AG2582" s="49"/>
      <c r="AH2582" s="1" t="s">
        <v>6358</v>
      </c>
      <c r="AI2582" s="1" t="s">
        <v>2324</v>
      </c>
      <c r="AJ2582" s="6" t="str">
        <f>IFERROR(__xludf.DUMMYFUNCTION("""COMPUTED_VALUE"""),"comfort")</f>
        <v>comfort</v>
      </c>
      <c r="AK2582" s="49"/>
      <c r="AL2582" s="49"/>
      <c r="AM2582" s="49"/>
      <c r="AN2582" s="52" t="str">
        <f t="shared" si="5"/>
        <v>private,</v>
      </c>
    </row>
    <row r="2583">
      <c r="A2583" s="51"/>
      <c r="B2583" s="50" t="s">
        <v>1164</v>
      </c>
      <c r="C2583" s="50" t="s">
        <v>4364</v>
      </c>
      <c r="D2583" s="49" t="str">
        <f>IFERROR(__xludf.DUMMYFUNCTION("""COMPUTED_VALUE"""),"electric")</f>
        <v>electric</v>
      </c>
      <c r="E2583" s="49"/>
      <c r="F2583" s="49"/>
      <c r="G2583" s="49"/>
      <c r="H2583" s="54" t="str">
        <f t="shared" si="1"/>
        <v>london,</v>
      </c>
      <c r="I2583" s="50"/>
      <c r="J2583" s="50" t="s">
        <v>3680</v>
      </c>
      <c r="K2583" s="50" t="s">
        <v>4208</v>
      </c>
      <c r="L2583" s="49"/>
      <c r="M2583" s="49"/>
      <c r="N2583" s="49"/>
      <c r="O2583" s="49"/>
      <c r="P2583" s="49" t="str">
        <f t="shared" si="2"/>
        <v>exquisite,</v>
      </c>
      <c r="Q2583" s="49"/>
      <c r="R2583" s="49"/>
      <c r="S2583" s="55" t="s">
        <v>2270</v>
      </c>
      <c r="T2583" s="49"/>
      <c r="U2583" s="49"/>
      <c r="V2583" s="49"/>
      <c r="W2583" s="49"/>
      <c r="X2583" s="49" t="str">
        <f t="shared" si="3"/>
        <v>,</v>
      </c>
      <c r="Y2583" s="49"/>
      <c r="Z2583" s="1" t="s">
        <v>2216</v>
      </c>
      <c r="AA2583" s="1" t="s">
        <v>5717</v>
      </c>
      <c r="AB2583" s="49"/>
      <c r="AC2583" s="49"/>
      <c r="AD2583" s="49"/>
      <c r="AE2583" s="49"/>
      <c r="AF2583" s="49" t="str">
        <f t="shared" si="4"/>
        <v>pianist,</v>
      </c>
      <c r="AG2583" s="49"/>
      <c r="AH2583" s="1" t="s">
        <v>3017</v>
      </c>
      <c r="AI2583" s="1" t="s">
        <v>4713</v>
      </c>
      <c r="AJ2583" s="6" t="str">
        <f>IFERROR(__xludf.DUMMYFUNCTION("""COMPUTED_VALUE"""),"bag")</f>
        <v>bag</v>
      </c>
      <c r="AK2583" s="49"/>
      <c r="AL2583" s="49"/>
      <c r="AM2583" s="49"/>
      <c r="AN2583" s="52" t="str">
        <f t="shared" si="5"/>
        <v>alive,</v>
      </c>
    </row>
    <row r="2584">
      <c r="A2584" s="51"/>
      <c r="B2584" s="50" t="s">
        <v>4653</v>
      </c>
      <c r="C2584" s="50" t="s">
        <v>6705</v>
      </c>
      <c r="D2584" s="49" t="str">
        <f>IFERROR(__xludf.DUMMYFUNCTION("""COMPUTED_VALUE"""),"josh")</f>
        <v>josh</v>
      </c>
      <c r="E2584" s="49"/>
      <c r="F2584" s="49"/>
      <c r="G2584" s="49"/>
      <c r="H2584" s="54" t="str">
        <f t="shared" si="1"/>
        <v>depending,</v>
      </c>
      <c r="I2584" s="50"/>
      <c r="J2584" s="50" t="s">
        <v>3341</v>
      </c>
      <c r="K2584" s="50" t="s">
        <v>1593</v>
      </c>
      <c r="L2584" s="49"/>
      <c r="M2584" s="49"/>
      <c r="N2584" s="49"/>
      <c r="O2584" s="49"/>
      <c r="P2584" s="49" t="str">
        <f t="shared" si="2"/>
        <v>werner,</v>
      </c>
      <c r="Q2584" s="49"/>
      <c r="R2584" s="49"/>
      <c r="S2584" s="55" t="s">
        <v>2727</v>
      </c>
      <c r="T2584" s="49"/>
      <c r="U2584" s="49"/>
      <c r="V2584" s="49"/>
      <c r="W2584" s="49"/>
      <c r="X2584" s="49" t="str">
        <f t="shared" si="3"/>
        <v>,</v>
      </c>
      <c r="Y2584" s="49"/>
      <c r="Z2584" s="1" t="s">
        <v>5962</v>
      </c>
      <c r="AA2584" s="1" t="s">
        <v>4809</v>
      </c>
      <c r="AB2584" s="49"/>
      <c r="AC2584" s="49"/>
      <c r="AD2584" s="49"/>
      <c r="AE2584" s="49"/>
      <c r="AF2584" s="49" t="str">
        <f t="shared" si="4"/>
        <v>damaged,</v>
      </c>
      <c r="AG2584" s="49"/>
      <c r="AH2584" s="1" t="s">
        <v>5411</v>
      </c>
      <c r="AI2584" s="1" t="s">
        <v>5690</v>
      </c>
      <c r="AJ2584" s="6" t="str">
        <f>IFERROR(__xludf.DUMMYFUNCTION("""COMPUTED_VALUE"""),"harbor")</f>
        <v>harbor</v>
      </c>
      <c r="AK2584" s="49"/>
      <c r="AL2584" s="49"/>
      <c r="AM2584" s="49"/>
      <c r="AN2584" s="52" t="str">
        <f t="shared" si="5"/>
        <v>internal,</v>
      </c>
    </row>
    <row r="2585">
      <c r="A2585" s="51"/>
      <c r="B2585" s="50" t="s">
        <v>2951</v>
      </c>
      <c r="C2585" s="50" t="s">
        <v>4879</v>
      </c>
      <c r="D2585" s="49" t="str">
        <f>IFERROR(__xludf.DUMMYFUNCTION("""COMPUTED_VALUE"""),"receiving")</f>
        <v>receiving</v>
      </c>
      <c r="E2585" s="49"/>
      <c r="F2585" s="49"/>
      <c r="G2585" s="49"/>
      <c r="H2585" s="54" t="str">
        <f t="shared" si="1"/>
        <v>eating,</v>
      </c>
      <c r="I2585" s="50"/>
      <c r="J2585" s="50" t="s">
        <v>1889</v>
      </c>
      <c r="K2585" s="50" t="s">
        <v>5246</v>
      </c>
      <c r="L2585" s="49"/>
      <c r="M2585" s="49"/>
      <c r="N2585" s="49"/>
      <c r="O2585" s="49"/>
      <c r="P2585" s="49" t="str">
        <f t="shared" si="2"/>
        <v>distinguished,</v>
      </c>
      <c r="Q2585" s="49"/>
      <c r="R2585" s="49"/>
      <c r="S2585" s="55" t="s">
        <v>3489</v>
      </c>
      <c r="T2585" s="49"/>
      <c r="U2585" s="49"/>
      <c r="V2585" s="49"/>
      <c r="W2585" s="49"/>
      <c r="X2585" s="49" t="str">
        <f t="shared" si="3"/>
        <v>,</v>
      </c>
      <c r="Y2585" s="49"/>
      <c r="Z2585" s="1" t="s">
        <v>2749</v>
      </c>
      <c r="AA2585" s="1" t="s">
        <v>5718</v>
      </c>
      <c r="AB2585" s="49"/>
      <c r="AC2585" s="49"/>
      <c r="AD2585" s="49"/>
      <c r="AE2585" s="49"/>
      <c r="AF2585" s="49" t="str">
        <f t="shared" si="4"/>
        <v>freaks,</v>
      </c>
      <c r="AG2585" s="49"/>
      <c r="AH2585" s="1" t="s">
        <v>3041</v>
      </c>
      <c r="AI2585" s="1" t="s">
        <v>5607</v>
      </c>
      <c r="AJ2585" s="6" t="str">
        <f>IFERROR(__xludf.DUMMYFUNCTION("""COMPUTED_VALUE"""),"pearl")</f>
        <v>pearl</v>
      </c>
      <c r="AK2585" s="49"/>
      <c r="AL2585" s="49"/>
      <c r="AM2585" s="49"/>
      <c r="AN2585" s="52" t="str">
        <f t="shared" si="5"/>
        <v>random,</v>
      </c>
    </row>
    <row r="2586">
      <c r="A2586" s="51"/>
      <c r="B2586" s="50" t="s">
        <v>6908</v>
      </c>
      <c r="C2586" s="50" t="s">
        <v>4419</v>
      </c>
      <c r="D2586" s="49" t="str">
        <f>IFERROR(__xludf.DUMMYFUNCTION("""COMPUTED_VALUE"""),"chief")</f>
        <v>chief</v>
      </c>
      <c r="E2586" s="49"/>
      <c r="F2586" s="49"/>
      <c r="G2586" s="49"/>
      <c r="H2586" s="54" t="str">
        <f t="shared" si="1"/>
        <v>apple,</v>
      </c>
      <c r="I2586" s="50"/>
      <c r="J2586" s="50" t="s">
        <v>2809</v>
      </c>
      <c r="K2586" s="50" t="s">
        <v>5720</v>
      </c>
      <c r="L2586" s="49"/>
      <c r="M2586" s="49"/>
      <c r="N2586" s="49"/>
      <c r="O2586" s="49"/>
      <c r="P2586" s="49" t="str">
        <f t="shared" si="2"/>
        <v>scope,</v>
      </c>
      <c r="Q2586" s="49"/>
      <c r="R2586" s="49"/>
      <c r="S2586" s="55" t="s">
        <v>4104</v>
      </c>
      <c r="T2586" s="49"/>
      <c r="U2586" s="49"/>
      <c r="V2586" s="49"/>
      <c r="W2586" s="49"/>
      <c r="X2586" s="49" t="str">
        <f t="shared" si="3"/>
        <v>,</v>
      </c>
      <c r="Y2586" s="49"/>
      <c r="Z2586" s="1" t="s">
        <v>1431</v>
      </c>
      <c r="AA2586" s="1" t="s">
        <v>1858</v>
      </c>
      <c r="AB2586" s="49"/>
      <c r="AC2586" s="49"/>
      <c r="AD2586" s="49"/>
      <c r="AE2586" s="49"/>
      <c r="AF2586" s="49" t="str">
        <f t="shared" si="4"/>
        <v>format,</v>
      </c>
      <c r="AG2586" s="49"/>
      <c r="AH2586" s="1" t="s">
        <v>4489</v>
      </c>
      <c r="AI2586" s="1" t="s">
        <v>6496</v>
      </c>
      <c r="AJ2586" s="6" t="str">
        <f>IFERROR(__xludf.DUMMYFUNCTION("""COMPUTED_VALUE"""),"sorry")</f>
        <v>sorry</v>
      </c>
      <c r="AK2586" s="49"/>
      <c r="AL2586" s="49"/>
      <c r="AM2586" s="49"/>
      <c r="AN2586" s="52" t="str">
        <f t="shared" si="5"/>
        <v>normal,</v>
      </c>
    </row>
    <row r="2587">
      <c r="A2587" s="51"/>
      <c r="B2587" s="50" t="s">
        <v>3748</v>
      </c>
      <c r="C2587" s="50" t="s">
        <v>3316</v>
      </c>
      <c r="D2587" s="49" t="str">
        <f>IFERROR(__xludf.DUMMYFUNCTION("""COMPUTED_VALUE"""),"famous")</f>
        <v>famous</v>
      </c>
      <c r="E2587" s="49"/>
      <c r="F2587" s="49"/>
      <c r="G2587" s="49"/>
      <c r="H2587" s="54" t="str">
        <f t="shared" si="1"/>
        <v>regardless,</v>
      </c>
      <c r="I2587" s="50"/>
      <c r="J2587" s="50" t="s">
        <v>4467</v>
      </c>
      <c r="K2587" s="50" t="s">
        <v>5722</v>
      </c>
      <c r="L2587" s="49"/>
      <c r="M2587" s="49"/>
      <c r="N2587" s="49"/>
      <c r="O2587" s="49"/>
      <c r="P2587" s="49" t="str">
        <f t="shared" si="2"/>
        <v>controversy,</v>
      </c>
      <c r="Q2587" s="49"/>
      <c r="R2587" s="49"/>
      <c r="S2587" s="55" t="s">
        <v>2273</v>
      </c>
      <c r="T2587" s="49"/>
      <c r="U2587" s="49"/>
      <c r="V2587" s="49"/>
      <c r="W2587" s="49"/>
      <c r="X2587" s="49" t="str">
        <f t="shared" si="3"/>
        <v>,</v>
      </c>
      <c r="Y2587" s="49"/>
      <c r="Z2587" s="1" t="s">
        <v>4001</v>
      </c>
      <c r="AA2587" s="1" t="s">
        <v>4811</v>
      </c>
      <c r="AB2587" s="49"/>
      <c r="AC2587" s="49"/>
      <c r="AD2587" s="49"/>
      <c r="AE2587" s="49"/>
      <c r="AF2587" s="49" t="str">
        <f t="shared" si="4"/>
        <v>integrity,</v>
      </c>
      <c r="AG2587" s="49"/>
      <c r="AH2587" s="1" t="s">
        <v>3701</v>
      </c>
      <c r="AI2587" s="1" t="s">
        <v>3338</v>
      </c>
      <c r="AJ2587" s="6" t="str">
        <f>IFERROR(__xludf.DUMMYFUNCTION("""COMPUTED_VALUE"""),"display")</f>
        <v>display</v>
      </c>
      <c r="AK2587" s="49"/>
      <c r="AL2587" s="49"/>
      <c r="AM2587" s="49"/>
      <c r="AN2587" s="52" t="str">
        <f t="shared" si="5"/>
        <v>details,</v>
      </c>
    </row>
    <row r="2588">
      <c r="A2588" s="51"/>
      <c r="B2588" s="50" t="s">
        <v>6738</v>
      </c>
      <c r="C2588" s="50" t="s">
        <v>4314</v>
      </c>
      <c r="D2588" s="49" t="str">
        <f>IFERROR(__xludf.DUMMYFUNCTION("""COMPUTED_VALUE"""),"lover")</f>
        <v>lover</v>
      </c>
      <c r="E2588" s="49"/>
      <c r="F2588" s="49"/>
      <c r="G2588" s="49"/>
      <c r="H2588" s="54" t="str">
        <f t="shared" si="1"/>
        <v>closest,</v>
      </c>
      <c r="I2588" s="50"/>
      <c r="J2588" s="50">
        <v>84.0</v>
      </c>
      <c r="K2588" s="50" t="s">
        <v>2394</v>
      </c>
      <c r="L2588" s="49"/>
      <c r="M2588" s="49"/>
      <c r="N2588" s="49"/>
      <c r="O2588" s="49"/>
      <c r="P2588" s="49" t="str">
        <f t="shared" si="2"/>
        <v>84,</v>
      </c>
      <c r="Q2588" s="49"/>
      <c r="R2588" s="49"/>
      <c r="S2588" s="55" t="s">
        <v>2275</v>
      </c>
      <c r="T2588" s="49"/>
      <c r="U2588" s="49"/>
      <c r="V2588" s="49"/>
      <c r="W2588" s="49"/>
      <c r="X2588" s="49" t="str">
        <f t="shared" si="3"/>
        <v>,</v>
      </c>
      <c r="Y2588" s="49"/>
      <c r="Z2588" s="1" t="s">
        <v>3531</v>
      </c>
      <c r="AA2588" s="1" t="s">
        <v>5723</v>
      </c>
      <c r="AB2588" s="49"/>
      <c r="AC2588" s="49"/>
      <c r="AD2588" s="49"/>
      <c r="AE2588" s="49"/>
      <c r="AF2588" s="49" t="str">
        <f t="shared" si="4"/>
        <v>accessible,</v>
      </c>
      <c r="AG2588" s="49"/>
      <c r="AH2588" s="1" t="s">
        <v>2973</v>
      </c>
      <c r="AI2588" s="1" t="s">
        <v>1265</v>
      </c>
      <c r="AJ2588" s="6" t="str">
        <f>IFERROR(__xludf.DUMMYFUNCTION("""COMPUTED_VALUE"""),"acted")</f>
        <v>acted</v>
      </c>
      <c r="AK2588" s="49"/>
      <c r="AL2588" s="49"/>
      <c r="AM2588" s="49"/>
      <c r="AN2588" s="52" t="str">
        <f t="shared" si="5"/>
        <v>maintain,</v>
      </c>
    </row>
    <row r="2589">
      <c r="A2589" s="51"/>
      <c r="B2589" s="50" t="s">
        <v>599</v>
      </c>
      <c r="C2589" s="50" t="s">
        <v>6706</v>
      </c>
      <c r="D2589" s="49" t="str">
        <f>IFERROR(__xludf.DUMMYFUNCTION("""COMPUTED_VALUE"""),"mario")</f>
        <v>mario</v>
      </c>
      <c r="E2589" s="49"/>
      <c r="F2589" s="49"/>
      <c r="G2589" s="49"/>
      <c r="H2589" s="54" t="str">
        <f t="shared" si="1"/>
        <v>narrative,</v>
      </c>
      <c r="I2589" s="50"/>
      <c r="J2589" s="50" t="s">
        <v>6434</v>
      </c>
      <c r="K2589" s="50" t="s">
        <v>1834</v>
      </c>
      <c r="L2589" s="49"/>
      <c r="M2589" s="49"/>
      <c r="N2589" s="49"/>
      <c r="O2589" s="49"/>
      <c r="P2589" s="49" t="str">
        <f t="shared" si="2"/>
        <v>flawless,</v>
      </c>
      <c r="Q2589" s="49"/>
      <c r="R2589" s="49"/>
      <c r="S2589" s="55" t="s">
        <v>5988</v>
      </c>
      <c r="T2589" s="49"/>
      <c r="U2589" s="49"/>
      <c r="V2589" s="49"/>
      <c r="W2589" s="49"/>
      <c r="X2589" s="49" t="str">
        <f t="shared" si="3"/>
        <v>,</v>
      </c>
      <c r="Y2589" s="49"/>
      <c r="Z2589" s="1" t="s">
        <v>31</v>
      </c>
      <c r="AA2589" s="1" t="s">
        <v>5201</v>
      </c>
      <c r="AB2589" s="49"/>
      <c r="AC2589" s="49"/>
      <c r="AD2589" s="49"/>
      <c r="AE2589" s="49"/>
      <c r="AF2589" s="49" t="str">
        <f t="shared" si="4"/>
        <v>affecting,</v>
      </c>
      <c r="AG2589" s="49"/>
      <c r="AH2589" s="1" t="s">
        <v>3539</v>
      </c>
      <c r="AI2589" s="1" t="s">
        <v>6784</v>
      </c>
      <c r="AJ2589" s="6" t="str">
        <f>IFERROR(__xludf.DUMMYFUNCTION("""COMPUTED_VALUE"""),"tear")</f>
        <v>tear</v>
      </c>
      <c r="AK2589" s="49"/>
      <c r="AL2589" s="49"/>
      <c r="AM2589" s="49"/>
      <c r="AN2589" s="52" t="str">
        <f t="shared" si="5"/>
        <v>gender,</v>
      </c>
    </row>
    <row r="2590">
      <c r="A2590" s="51"/>
      <c r="B2590" s="50" t="s">
        <v>2859</v>
      </c>
      <c r="C2590" s="50" t="s">
        <v>4883</v>
      </c>
      <c r="D2590" s="49" t="str">
        <f>IFERROR(__xludf.DUMMYFUNCTION("""COMPUTED_VALUE"""),"object")</f>
        <v>object</v>
      </c>
      <c r="E2590" s="49"/>
      <c r="F2590" s="49"/>
      <c r="G2590" s="49"/>
      <c r="H2590" s="54" t="str">
        <f t="shared" si="1"/>
        <v>inhabitants,</v>
      </c>
      <c r="I2590" s="50"/>
      <c r="J2590" s="50" t="s">
        <v>2682</v>
      </c>
      <c r="K2590" s="50" t="s">
        <v>2397</v>
      </c>
      <c r="L2590" s="49"/>
      <c r="M2590" s="49"/>
      <c r="N2590" s="49"/>
      <c r="O2590" s="49"/>
      <c r="P2590" s="49" t="str">
        <f t="shared" si="2"/>
        <v>barrels,</v>
      </c>
      <c r="Q2590" s="49"/>
      <c r="R2590" s="49"/>
      <c r="S2590" s="55" t="s">
        <v>409</v>
      </c>
      <c r="T2590" s="49"/>
      <c r="U2590" s="49"/>
      <c r="V2590" s="49"/>
      <c r="W2590" s="49"/>
      <c r="X2590" s="49" t="str">
        <f t="shared" si="3"/>
        <v>,</v>
      </c>
      <c r="Y2590" s="49"/>
      <c r="Z2590" s="1" t="s">
        <v>4284</v>
      </c>
      <c r="AA2590" s="1" t="s">
        <v>5725</v>
      </c>
      <c r="AB2590" s="49"/>
      <c r="AC2590" s="49"/>
      <c r="AD2590" s="49"/>
      <c r="AE2590" s="49"/>
      <c r="AF2590" s="49" t="str">
        <f t="shared" si="4"/>
        <v>tender,</v>
      </c>
      <c r="AG2590" s="49"/>
      <c r="AH2590" s="1" t="s">
        <v>1500</v>
      </c>
      <c r="AI2590" s="1" t="s">
        <v>3531</v>
      </c>
      <c r="AJ2590" s="6" t="str">
        <f>IFERROR(__xludf.DUMMYFUNCTION("""COMPUTED_VALUE"""),"craig")</f>
        <v>craig</v>
      </c>
      <c r="AK2590" s="49"/>
      <c r="AL2590" s="49"/>
      <c r="AM2590" s="49"/>
      <c r="AN2590" s="52" t="str">
        <f t="shared" si="5"/>
        <v>stakes,</v>
      </c>
    </row>
    <row r="2591">
      <c r="A2591" s="51"/>
      <c r="B2591" s="50" t="s">
        <v>3889</v>
      </c>
      <c r="C2591" s="50" t="s">
        <v>5527</v>
      </c>
      <c r="D2591" s="49" t="str">
        <f>IFERROR(__xludf.DUMMYFUNCTION("""COMPUTED_VALUE"""),"believed")</f>
        <v>believed</v>
      </c>
      <c r="E2591" s="49"/>
      <c r="F2591" s="49"/>
      <c r="G2591" s="49"/>
      <c r="H2591" s="54" t="str">
        <f t="shared" si="1"/>
        <v>notice,</v>
      </c>
      <c r="I2591" s="50"/>
      <c r="J2591" s="50" t="s">
        <v>4338</v>
      </c>
      <c r="K2591" s="50" t="s">
        <v>4215</v>
      </c>
      <c r="L2591" s="49"/>
      <c r="M2591" s="49"/>
      <c r="N2591" s="49"/>
      <c r="O2591" s="49"/>
      <c r="P2591" s="49" t="str">
        <f t="shared" si="2"/>
        <v>lock,</v>
      </c>
      <c r="Q2591" s="49"/>
      <c r="R2591" s="49"/>
      <c r="S2591" s="55" t="s">
        <v>2280</v>
      </c>
      <c r="T2591" s="49"/>
      <c r="U2591" s="49"/>
      <c r="V2591" s="49"/>
      <c r="W2591" s="49"/>
      <c r="X2591" s="49" t="str">
        <f t="shared" si="3"/>
        <v>,</v>
      </c>
      <c r="Y2591" s="49"/>
      <c r="Z2591" s="1" t="s">
        <v>920</v>
      </c>
      <c r="AA2591" s="1" t="s">
        <v>4195</v>
      </c>
      <c r="AB2591" s="49"/>
      <c r="AC2591" s="49"/>
      <c r="AD2591" s="49"/>
      <c r="AE2591" s="49"/>
      <c r="AF2591" s="49" t="str">
        <f t="shared" si="4"/>
        <v>embracing,</v>
      </c>
      <c r="AG2591" s="49"/>
      <c r="AH2591" s="1" t="s">
        <v>1861</v>
      </c>
      <c r="AI2591" s="1" t="s">
        <v>4411</v>
      </c>
      <c r="AJ2591" s="6" t="str">
        <f>IFERROR(__xludf.DUMMYFUNCTION("""COMPUTED_VALUE"""),"princess")</f>
        <v>princess</v>
      </c>
      <c r="AK2591" s="49"/>
      <c r="AL2591" s="49"/>
      <c r="AM2591" s="49"/>
      <c r="AN2591" s="52" t="str">
        <f t="shared" si="5"/>
        <v>study,</v>
      </c>
    </row>
    <row r="2592">
      <c r="A2592" s="51"/>
      <c r="B2592" s="50" t="s">
        <v>7142</v>
      </c>
      <c r="C2592" s="50" t="s">
        <v>3788</v>
      </c>
      <c r="D2592" s="49" t="str">
        <f>IFERROR(__xludf.DUMMYFUNCTION("""COMPUTED_VALUE"""),"crew")</f>
        <v>crew</v>
      </c>
      <c r="E2592" s="49"/>
      <c r="F2592" s="49"/>
      <c r="G2592" s="49"/>
      <c r="H2592" s="54" t="str">
        <f t="shared" si="1"/>
        <v>sending,</v>
      </c>
      <c r="I2592" s="50"/>
      <c r="J2592" s="50" t="s">
        <v>7574</v>
      </c>
      <c r="K2592" s="50" t="s">
        <v>5251</v>
      </c>
      <c r="L2592" s="49"/>
      <c r="M2592" s="49"/>
      <c r="N2592" s="49"/>
      <c r="O2592" s="49"/>
      <c r="P2592" s="49" t="str">
        <f t="shared" si="2"/>
        <v>gen,</v>
      </c>
      <c r="Q2592" s="49"/>
      <c r="R2592" s="49"/>
      <c r="S2592" s="55" t="s">
        <v>4110</v>
      </c>
      <c r="T2592" s="49"/>
      <c r="U2592" s="49"/>
      <c r="V2592" s="49"/>
      <c r="W2592" s="49"/>
      <c r="X2592" s="49" t="str">
        <f t="shared" si="3"/>
        <v>,</v>
      </c>
      <c r="Y2592" s="49"/>
      <c r="Z2592" s="1" t="s">
        <v>6625</v>
      </c>
      <c r="AA2592" s="1" t="s">
        <v>3036</v>
      </c>
      <c r="AB2592" s="49"/>
      <c r="AC2592" s="49"/>
      <c r="AD2592" s="49"/>
      <c r="AE2592" s="49"/>
      <c r="AF2592" s="49" t="str">
        <f t="shared" si="4"/>
        <v>laid,</v>
      </c>
      <c r="AG2592" s="49"/>
      <c r="AH2592" s="1" t="s">
        <v>6924</v>
      </c>
      <c r="AI2592" s="1" t="s">
        <v>3359</v>
      </c>
      <c r="AJ2592" s="6" t="str">
        <f>IFERROR(__xludf.DUMMYFUNCTION("""COMPUTED_VALUE"""),"feelings")</f>
        <v>feelings</v>
      </c>
      <c r="AK2592" s="49"/>
      <c r="AL2592" s="49"/>
      <c r="AM2592" s="49"/>
      <c r="AN2592" s="52" t="str">
        <f t="shared" si="5"/>
        <v>smoke,</v>
      </c>
    </row>
    <row r="2593">
      <c r="A2593" s="51"/>
      <c r="B2593" s="50" t="s">
        <v>3810</v>
      </c>
      <c r="C2593" s="50" t="s">
        <v>988</v>
      </c>
      <c r="D2593" s="49" t="str">
        <f>IFERROR(__xludf.DUMMYFUNCTION("""COMPUTED_VALUE"""),"hole")</f>
        <v>hole</v>
      </c>
      <c r="E2593" s="49"/>
      <c r="F2593" s="49"/>
      <c r="G2593" s="49"/>
      <c r="H2593" s="54" t="str">
        <f t="shared" si="1"/>
        <v>globe,</v>
      </c>
      <c r="I2593" s="50"/>
      <c r="J2593" s="50" t="s">
        <v>756</v>
      </c>
      <c r="K2593" s="50" t="s">
        <v>969</v>
      </c>
      <c r="L2593" s="49"/>
      <c r="M2593" s="49"/>
      <c r="N2593" s="49"/>
      <c r="O2593" s="49"/>
      <c r="P2593" s="49" t="str">
        <f t="shared" si="2"/>
        <v>brightly,</v>
      </c>
      <c r="Q2593" s="49"/>
      <c r="R2593" s="49"/>
      <c r="S2593" s="55">
        <v>13.0</v>
      </c>
      <c r="T2593" s="49"/>
      <c r="U2593" s="49"/>
      <c r="V2593" s="49"/>
      <c r="W2593" s="49"/>
      <c r="X2593" s="49" t="str">
        <f t="shared" si="3"/>
        <v>,</v>
      </c>
      <c r="Y2593" s="49"/>
      <c r="Z2593" s="1" t="s">
        <v>4442</v>
      </c>
      <c r="AA2593" s="1" t="s">
        <v>3038</v>
      </c>
      <c r="AB2593" s="49"/>
      <c r="AC2593" s="49"/>
      <c r="AD2593" s="49"/>
      <c r="AE2593" s="49"/>
      <c r="AF2593" s="49" t="str">
        <f t="shared" si="4"/>
        <v>rouge,</v>
      </c>
      <c r="AG2593" s="49"/>
      <c r="AH2593" s="1" t="s">
        <v>5292</v>
      </c>
      <c r="AI2593" s="1">
        <v>1999.0</v>
      </c>
      <c r="AJ2593" s="6" t="str">
        <f>IFERROR(__xludf.DUMMYFUNCTION("""COMPUTED_VALUE"""),"explanation")</f>
        <v>explanation</v>
      </c>
      <c r="AK2593" s="49"/>
      <c r="AL2593" s="49"/>
      <c r="AM2593" s="49"/>
      <c r="AN2593" s="52" t="str">
        <f t="shared" si="5"/>
        <v>luis,</v>
      </c>
    </row>
    <row r="2594">
      <c r="A2594" s="51"/>
      <c r="B2594" s="50" t="s">
        <v>5845</v>
      </c>
      <c r="C2594" s="50" t="s">
        <v>3695</v>
      </c>
      <c r="D2594" s="49" t="str">
        <f>IFERROR(__xludf.DUMMYFUNCTION("""COMPUTED_VALUE"""),"finding")</f>
        <v>finding</v>
      </c>
      <c r="E2594" s="49"/>
      <c r="F2594" s="49"/>
      <c r="G2594" s="49"/>
      <c r="H2594" s="54" t="str">
        <f t="shared" si="1"/>
        <v>generations,</v>
      </c>
      <c r="I2594" s="50"/>
      <c r="J2594" s="50" t="s">
        <v>4401</v>
      </c>
      <c r="K2594" s="50" t="s">
        <v>3585</v>
      </c>
      <c r="L2594" s="49"/>
      <c r="M2594" s="49"/>
      <c r="N2594" s="49"/>
      <c r="O2594" s="49"/>
      <c r="P2594" s="49" t="str">
        <f t="shared" si="2"/>
        <v>throbbing,</v>
      </c>
      <c r="Q2594" s="49"/>
      <c r="R2594" s="49"/>
      <c r="S2594" s="55" t="s">
        <v>3494</v>
      </c>
      <c r="T2594" s="49"/>
      <c r="U2594" s="49"/>
      <c r="V2594" s="49"/>
      <c r="W2594" s="49"/>
      <c r="X2594" s="49" t="str">
        <f t="shared" si="3"/>
        <v>,</v>
      </c>
      <c r="Y2594" s="49"/>
      <c r="Z2594" s="1" t="s">
        <v>1352</v>
      </c>
      <c r="AA2594" s="1" t="s">
        <v>5727</v>
      </c>
      <c r="AB2594" s="49"/>
      <c r="AC2594" s="49"/>
      <c r="AD2594" s="49"/>
      <c r="AE2594" s="49"/>
      <c r="AF2594" s="49" t="str">
        <f t="shared" si="4"/>
        <v>pity,</v>
      </c>
      <c r="AG2594" s="49"/>
      <c r="AH2594" s="1" t="s">
        <v>6975</v>
      </c>
      <c r="AI2594" s="1" t="s">
        <v>6785</v>
      </c>
      <c r="AJ2594" s="6" t="str">
        <f>IFERROR(__xludf.DUMMYFUNCTION("""COMPUTED_VALUE"""),"east")</f>
        <v>east</v>
      </c>
      <c r="AK2594" s="49"/>
      <c r="AL2594" s="49"/>
      <c r="AM2594" s="49"/>
      <c r="AN2594" s="52" t="str">
        <f t="shared" si="5"/>
        <v>limits,</v>
      </c>
    </row>
    <row r="2595">
      <c r="A2595" s="51"/>
      <c r="B2595" s="50" t="s">
        <v>3731</v>
      </c>
      <c r="C2595" s="50" t="s">
        <v>4885</v>
      </c>
      <c r="D2595" s="49" t="str">
        <f>IFERROR(__xludf.DUMMYFUNCTION("""COMPUTED_VALUE"""),"block")</f>
        <v>block</v>
      </c>
      <c r="E2595" s="49"/>
      <c r="F2595" s="49"/>
      <c r="G2595" s="49"/>
      <c r="H2595" s="54" t="str">
        <f t="shared" si="1"/>
        <v>fairy,</v>
      </c>
      <c r="I2595" s="50"/>
      <c r="J2595" s="50" t="s">
        <v>2324</v>
      </c>
      <c r="K2595" s="50" t="s">
        <v>1315</v>
      </c>
      <c r="L2595" s="49"/>
      <c r="M2595" s="49"/>
      <c r="N2595" s="49"/>
      <c r="O2595" s="49"/>
      <c r="P2595" s="49" t="str">
        <f t="shared" si="2"/>
        <v>origins,</v>
      </c>
      <c r="Q2595" s="49"/>
      <c r="R2595" s="49"/>
      <c r="S2595" s="55" t="s">
        <v>4111</v>
      </c>
      <c r="T2595" s="49"/>
      <c r="U2595" s="49"/>
      <c r="V2595" s="49"/>
      <c r="W2595" s="49"/>
      <c r="X2595" s="49" t="str">
        <f t="shared" si="3"/>
        <v>,</v>
      </c>
      <c r="Y2595" s="49"/>
      <c r="Z2595" s="1" t="s">
        <v>6517</v>
      </c>
      <c r="AA2595" s="1" t="s">
        <v>4817</v>
      </c>
      <c r="AB2595" s="49"/>
      <c r="AC2595" s="49"/>
      <c r="AD2595" s="49"/>
      <c r="AE2595" s="49"/>
      <c r="AF2595" s="49" t="str">
        <f t="shared" si="4"/>
        <v>beer,</v>
      </c>
      <c r="AG2595" s="49"/>
      <c r="AH2595" s="1" t="s">
        <v>3742</v>
      </c>
      <c r="AI2595" s="1" t="s">
        <v>6786</v>
      </c>
      <c r="AJ2595" s="6" t="str">
        <f>IFERROR(__xludf.DUMMYFUNCTION("""COMPUTED_VALUE"""),"marine")</f>
        <v>marine</v>
      </c>
      <c r="AK2595" s="49"/>
      <c r="AL2595" s="49"/>
      <c r="AM2595" s="49"/>
      <c r="AN2595" s="52" t="str">
        <f t="shared" si="5"/>
        <v>accept,</v>
      </c>
    </row>
    <row r="2596">
      <c r="A2596" s="51"/>
      <c r="B2596" s="50" t="s">
        <v>4848</v>
      </c>
      <c r="C2596" s="50" t="s">
        <v>3254</v>
      </c>
      <c r="D2596" s="49" t="str">
        <f>IFERROR(__xludf.DUMMYFUNCTION("""COMPUTED_VALUE"""),"titled")</f>
        <v>titled</v>
      </c>
      <c r="E2596" s="49"/>
      <c r="F2596" s="49"/>
      <c r="G2596" s="49"/>
      <c r="H2596" s="54" t="str">
        <f t="shared" si="1"/>
        <v>drawings,</v>
      </c>
      <c r="I2596" s="50"/>
      <c r="J2596" s="50" t="s">
        <v>3218</v>
      </c>
      <c r="K2596" s="50" t="s">
        <v>607</v>
      </c>
      <c r="L2596" s="49"/>
      <c r="M2596" s="49"/>
      <c r="N2596" s="49"/>
      <c r="O2596" s="49"/>
      <c r="P2596" s="49" t="str">
        <f t="shared" si="2"/>
        <v>pulling,</v>
      </c>
      <c r="Q2596" s="49"/>
      <c r="R2596" s="49"/>
      <c r="S2596" s="55" t="s">
        <v>4410</v>
      </c>
      <c r="T2596" s="49"/>
      <c r="U2596" s="49"/>
      <c r="V2596" s="49"/>
      <c r="W2596" s="49"/>
      <c r="X2596" s="49" t="str">
        <f t="shared" si="3"/>
        <v>,</v>
      </c>
      <c r="Y2596" s="49"/>
      <c r="Z2596" s="1" t="s">
        <v>2373</v>
      </c>
      <c r="AA2596" s="1" t="s">
        <v>5729</v>
      </c>
      <c r="AB2596" s="49"/>
      <c r="AC2596" s="49"/>
      <c r="AD2596" s="49"/>
      <c r="AE2596" s="49"/>
      <c r="AF2596" s="49" t="str">
        <f t="shared" si="4"/>
        <v>monty,</v>
      </c>
      <c r="AG2596" s="49"/>
      <c r="AH2596" s="1" t="s">
        <v>2994</v>
      </c>
      <c r="AI2596" s="1" t="s">
        <v>3924</v>
      </c>
      <c r="AJ2596" s="6" t="str">
        <f>IFERROR(__xludf.DUMMYFUNCTION("""COMPUTED_VALUE"""),"vietnam")</f>
        <v>vietnam</v>
      </c>
      <c r="AK2596" s="49"/>
      <c r="AL2596" s="49"/>
      <c r="AM2596" s="49"/>
      <c r="AN2596" s="52" t="str">
        <f t="shared" si="5"/>
        <v>mood,</v>
      </c>
    </row>
    <row r="2597">
      <c r="A2597" s="51"/>
      <c r="B2597" s="50">
        <v>0.0</v>
      </c>
      <c r="C2597" s="50" t="s">
        <v>5381</v>
      </c>
      <c r="D2597" s="49" t="str">
        <f>IFERROR(__xludf.DUMMYFUNCTION("""COMPUTED_VALUE"""),"choices")</f>
        <v>choices</v>
      </c>
      <c r="E2597" s="49"/>
      <c r="F2597" s="49"/>
      <c r="G2597" s="49"/>
      <c r="H2597" s="54" t="str">
        <f t="shared" si="1"/>
        <v>0,</v>
      </c>
      <c r="I2597" s="50"/>
      <c r="J2597" s="50" t="s">
        <v>409</v>
      </c>
      <c r="K2597" s="50" t="s">
        <v>3589</v>
      </c>
      <c r="L2597" s="49"/>
      <c r="M2597" s="49"/>
      <c r="N2597" s="49"/>
      <c r="O2597" s="49"/>
      <c r="P2597" s="49" t="str">
        <f t="shared" si="2"/>
        <v>endurance,</v>
      </c>
      <c r="Q2597" s="49"/>
      <c r="R2597" s="49"/>
      <c r="S2597" s="55" t="s">
        <v>5764</v>
      </c>
      <c r="T2597" s="49"/>
      <c r="U2597" s="49"/>
      <c r="V2597" s="49"/>
      <c r="W2597" s="49"/>
      <c r="X2597" s="49" t="str">
        <f t="shared" si="3"/>
        <v>,</v>
      </c>
      <c r="Y2597" s="49"/>
      <c r="Z2597" s="1" t="s">
        <v>217</v>
      </c>
      <c r="AA2597" s="1" t="s">
        <v>4822</v>
      </c>
      <c r="AB2597" s="49"/>
      <c r="AC2597" s="49"/>
      <c r="AD2597" s="49"/>
      <c r="AE2597" s="49"/>
      <c r="AF2597" s="49" t="str">
        <f t="shared" si="4"/>
        <v>revealing,</v>
      </c>
      <c r="AG2597" s="49"/>
      <c r="AH2597" s="1" t="s">
        <v>5731</v>
      </c>
      <c r="AI2597" s="1" t="s">
        <v>858</v>
      </c>
      <c r="AJ2597" s="6" t="str">
        <f>IFERROR(__xludf.DUMMYFUNCTION("""COMPUTED_VALUE"""),"terry")</f>
        <v>terry</v>
      </c>
      <c r="AK2597" s="49"/>
      <c r="AL2597" s="49"/>
      <c r="AM2597" s="49"/>
      <c r="AN2597" s="52" t="str">
        <f t="shared" si="5"/>
        <v>marriage,</v>
      </c>
    </row>
    <row r="2598">
      <c r="A2598" s="51"/>
      <c r="B2598" s="50" t="s">
        <v>1699</v>
      </c>
      <c r="C2598" s="50" t="s">
        <v>3609</v>
      </c>
      <c r="D2598" s="49" t="str">
        <f>IFERROR(__xludf.DUMMYFUNCTION("""COMPUTED_VALUE"""),"baseball")</f>
        <v>baseball</v>
      </c>
      <c r="E2598" s="49"/>
      <c r="F2598" s="49"/>
      <c r="G2598" s="49"/>
      <c r="H2598" s="54" t="str">
        <f t="shared" si="1"/>
        <v>former,</v>
      </c>
      <c r="I2598" s="50"/>
      <c r="J2598" s="50" t="s">
        <v>149</v>
      </c>
      <c r="K2598" s="50" t="s">
        <v>1326</v>
      </c>
      <c r="L2598" s="49"/>
      <c r="M2598" s="49"/>
      <c r="N2598" s="49"/>
      <c r="O2598" s="49"/>
      <c r="P2598" s="49" t="str">
        <f t="shared" si="2"/>
        <v>conviction,</v>
      </c>
      <c r="Q2598" s="49"/>
      <c r="R2598" s="49"/>
      <c r="S2598" s="55" t="s">
        <v>2284</v>
      </c>
      <c r="T2598" s="49"/>
      <c r="U2598" s="49"/>
      <c r="V2598" s="49"/>
      <c r="W2598" s="49"/>
      <c r="X2598" s="49" t="str">
        <f t="shared" si="3"/>
        <v>,</v>
      </c>
      <c r="Y2598" s="49"/>
      <c r="Z2598" s="1" t="s">
        <v>4697</v>
      </c>
      <c r="AA2598" s="1" t="s">
        <v>1667</v>
      </c>
      <c r="AB2598" s="49"/>
      <c r="AC2598" s="49"/>
      <c r="AD2598" s="49"/>
      <c r="AE2598" s="49"/>
      <c r="AF2598" s="49" t="str">
        <f t="shared" si="4"/>
        <v>inspiration,</v>
      </c>
      <c r="AG2598" s="49"/>
      <c r="AH2598" s="1" t="s">
        <v>6140</v>
      </c>
      <c r="AI2598" s="1" t="s">
        <v>6787</v>
      </c>
      <c r="AJ2598" s="6" t="str">
        <f>IFERROR(__xludf.DUMMYFUNCTION("""COMPUTED_VALUE"""),"harvey")</f>
        <v>harvey</v>
      </c>
      <c r="AK2598" s="49"/>
      <c r="AL2598" s="49"/>
      <c r="AM2598" s="49"/>
      <c r="AN2598" s="52" t="str">
        <f t="shared" si="5"/>
        <v>rose,</v>
      </c>
    </row>
    <row r="2599">
      <c r="A2599" s="51"/>
      <c r="B2599" s="50" t="s">
        <v>7164</v>
      </c>
      <c r="C2599" s="50" t="s">
        <v>5535</v>
      </c>
      <c r="D2599" s="49" t="str">
        <f>IFERROR(__xludf.DUMMYFUNCTION("""COMPUTED_VALUE"""),"nights")</f>
        <v>nights</v>
      </c>
      <c r="E2599" s="49"/>
      <c r="F2599" s="49"/>
      <c r="G2599" s="49"/>
      <c r="H2599" s="54" t="str">
        <f t="shared" si="1"/>
        <v>castle,</v>
      </c>
      <c r="I2599" s="50"/>
      <c r="J2599" s="50" t="s">
        <v>5960</v>
      </c>
      <c r="K2599" s="50" t="s">
        <v>2410</v>
      </c>
      <c r="L2599" s="49"/>
      <c r="M2599" s="49"/>
      <c r="N2599" s="49"/>
      <c r="O2599" s="49"/>
      <c r="P2599" s="49" t="str">
        <f t="shared" si="2"/>
        <v>graphics,</v>
      </c>
      <c r="Q2599" s="49"/>
      <c r="R2599" s="49"/>
      <c r="S2599" s="55" t="s">
        <v>1952</v>
      </c>
      <c r="T2599" s="49"/>
      <c r="U2599" s="49"/>
      <c r="V2599" s="49"/>
      <c r="W2599" s="49"/>
      <c r="X2599" s="49" t="str">
        <f t="shared" si="3"/>
        <v>,</v>
      </c>
      <c r="Y2599" s="49"/>
      <c r="Z2599" s="1" t="s">
        <v>5131</v>
      </c>
      <c r="AA2599" s="1" t="s">
        <v>3042</v>
      </c>
      <c r="AB2599" s="49"/>
      <c r="AC2599" s="49"/>
      <c r="AD2599" s="49"/>
      <c r="AE2599" s="49"/>
      <c r="AF2599" s="49" t="str">
        <f t="shared" si="4"/>
        <v>teeth,</v>
      </c>
      <c r="AG2599" s="49"/>
      <c r="AH2599" s="1" t="s">
        <v>6168</v>
      </c>
      <c r="AI2599" s="1" t="s">
        <v>2156</v>
      </c>
      <c r="AJ2599" s="6" t="str">
        <f>IFERROR(__xludf.DUMMYFUNCTION("""COMPUTED_VALUE"""),"losing")</f>
        <v>losing</v>
      </c>
      <c r="AK2599" s="49"/>
      <c r="AL2599" s="49"/>
      <c r="AM2599" s="49"/>
      <c r="AN2599" s="52" t="str">
        <f t="shared" si="5"/>
        <v>cheeks,</v>
      </c>
    </row>
    <row r="2600">
      <c r="A2600" s="51"/>
      <c r="B2600" s="50">
        <v>1958.0</v>
      </c>
      <c r="C2600" s="50" t="s">
        <v>3322</v>
      </c>
      <c r="D2600" s="49" t="str">
        <f>IFERROR(__xludf.DUMMYFUNCTION("""COMPUTED_VALUE"""),"earn")</f>
        <v>earn</v>
      </c>
      <c r="E2600" s="49"/>
      <c r="F2600" s="49"/>
      <c r="G2600" s="49"/>
      <c r="H2600" s="54" t="str">
        <f t="shared" si="1"/>
        <v>1958,</v>
      </c>
      <c r="I2600" s="50"/>
      <c r="J2600" s="50" t="s">
        <v>854</v>
      </c>
      <c r="K2600" s="50" t="s">
        <v>5732</v>
      </c>
      <c r="L2600" s="49"/>
      <c r="M2600" s="49"/>
      <c r="N2600" s="49"/>
      <c r="O2600" s="49"/>
      <c r="P2600" s="49" t="str">
        <f t="shared" si="2"/>
        <v>loneliness,</v>
      </c>
      <c r="Q2600" s="49"/>
      <c r="R2600" s="49"/>
      <c r="S2600" s="55" t="s">
        <v>6788</v>
      </c>
      <c r="T2600" s="49"/>
      <c r="U2600" s="49"/>
      <c r="V2600" s="49"/>
      <c r="W2600" s="49"/>
      <c r="X2600" s="49" t="str">
        <f t="shared" si="3"/>
        <v>,</v>
      </c>
      <c r="Y2600" s="49"/>
      <c r="Z2600" s="1" t="s">
        <v>1172</v>
      </c>
      <c r="AA2600" s="1" t="s">
        <v>4826</v>
      </c>
      <c r="AB2600" s="49"/>
      <c r="AC2600" s="49"/>
      <c r="AD2600" s="49"/>
      <c r="AE2600" s="49"/>
      <c r="AF2600" s="49" t="str">
        <f t="shared" si="4"/>
        <v>portrays,</v>
      </c>
      <c r="AG2600" s="49"/>
      <c r="AH2600" s="1" t="s">
        <v>4105</v>
      </c>
      <c r="AI2600" s="1" t="s">
        <v>5691</v>
      </c>
      <c r="AJ2600" s="6" t="str">
        <f>IFERROR(__xludf.DUMMYFUNCTION("""COMPUTED_VALUE"""),"stomach")</f>
        <v>stomach</v>
      </c>
      <c r="AK2600" s="49"/>
      <c r="AL2600" s="49"/>
      <c r="AM2600" s="49"/>
      <c r="AN2600" s="52" t="str">
        <f t="shared" si="5"/>
        <v>circumstances,</v>
      </c>
    </row>
    <row r="2601">
      <c r="A2601" s="51"/>
      <c r="B2601" s="50" t="s">
        <v>2513</v>
      </c>
      <c r="C2601" s="50" t="s">
        <v>1069</v>
      </c>
      <c r="D2601" s="49" t="str">
        <f>IFERROR(__xludf.DUMMYFUNCTION("""COMPUTED_VALUE"""),"douglas")</f>
        <v>douglas</v>
      </c>
      <c r="E2601" s="49"/>
      <c r="F2601" s="49"/>
      <c r="G2601" s="49"/>
      <c r="H2601" s="54" t="str">
        <f t="shared" si="1"/>
        <v>vincent,</v>
      </c>
      <c r="I2601" s="50"/>
      <c r="J2601" s="50">
        <v>91.0</v>
      </c>
      <c r="K2601" s="50" t="s">
        <v>3591</v>
      </c>
      <c r="L2601" s="49"/>
      <c r="M2601" s="49"/>
      <c r="N2601" s="49"/>
      <c r="O2601" s="49"/>
      <c r="P2601" s="49" t="str">
        <f t="shared" si="2"/>
        <v>91,</v>
      </c>
      <c r="Q2601" s="49"/>
      <c r="R2601" s="49"/>
      <c r="S2601" s="55" t="s">
        <v>2876</v>
      </c>
      <c r="T2601" s="49"/>
      <c r="U2601" s="49"/>
      <c r="V2601" s="49"/>
      <c r="W2601" s="49"/>
      <c r="X2601" s="49" t="str">
        <f t="shared" si="3"/>
        <v>,</v>
      </c>
      <c r="Y2601" s="49"/>
      <c r="Z2601" s="1" t="s">
        <v>117</v>
      </c>
      <c r="AA2601" s="1" t="s">
        <v>1670</v>
      </c>
      <c r="AB2601" s="49"/>
      <c r="AC2601" s="49"/>
      <c r="AD2601" s="49"/>
      <c r="AE2601" s="49"/>
      <c r="AF2601" s="49" t="str">
        <f t="shared" si="4"/>
        <v>deeply,</v>
      </c>
      <c r="AG2601" s="49"/>
      <c r="AH2601" s="1" t="s">
        <v>1099</v>
      </c>
      <c r="AI2601" s="1" t="s">
        <v>3533</v>
      </c>
      <c r="AJ2601" s="6" t="str">
        <f>IFERROR(__xludf.DUMMYFUNCTION("""COMPUTED_VALUE"""),"wore")</f>
        <v>wore</v>
      </c>
      <c r="AK2601" s="49"/>
      <c r="AL2601" s="49"/>
      <c r="AM2601" s="49"/>
      <c r="AN2601" s="52" t="str">
        <f t="shared" si="5"/>
        <v>parade,</v>
      </c>
    </row>
    <row r="2602">
      <c r="A2602" s="51"/>
      <c r="B2602" s="50" t="s">
        <v>5492</v>
      </c>
      <c r="C2602" s="50" t="s">
        <v>4896</v>
      </c>
      <c r="D2602" s="49" t="str">
        <f>IFERROR(__xludf.DUMMYFUNCTION("""COMPUTED_VALUE"""),"ad")</f>
        <v>ad</v>
      </c>
      <c r="E2602" s="49"/>
      <c r="F2602" s="49"/>
      <c r="G2602" s="49"/>
      <c r="H2602" s="54" t="str">
        <f t="shared" si="1"/>
        <v>gathering,</v>
      </c>
      <c r="I2602" s="50"/>
      <c r="J2602" s="50" t="s">
        <v>2851</v>
      </c>
      <c r="K2602" s="50" t="s">
        <v>4467</v>
      </c>
      <c r="L2602" s="49"/>
      <c r="M2602" s="49"/>
      <c r="N2602" s="49"/>
      <c r="O2602" s="49"/>
      <c r="P2602" s="49" t="str">
        <f t="shared" si="2"/>
        <v>reassuring,</v>
      </c>
      <c r="Q2602" s="49"/>
      <c r="R2602" s="49"/>
      <c r="S2602" s="55" t="s">
        <v>5460</v>
      </c>
      <c r="T2602" s="49"/>
      <c r="U2602" s="49"/>
      <c r="V2602" s="49"/>
      <c r="W2602" s="49"/>
      <c r="X2602" s="49" t="str">
        <f t="shared" si="3"/>
        <v>,</v>
      </c>
      <c r="Y2602" s="49"/>
      <c r="Z2602" s="1" t="s">
        <v>2385</v>
      </c>
      <c r="AA2602" s="1" t="s">
        <v>3909</v>
      </c>
      <c r="AB2602" s="49"/>
      <c r="AC2602" s="49"/>
      <c r="AD2602" s="49"/>
      <c r="AE2602" s="49"/>
      <c r="AF2602" s="49" t="str">
        <f t="shared" si="4"/>
        <v>episodes,</v>
      </c>
      <c r="AG2602" s="49"/>
      <c r="AH2602" s="1" t="s">
        <v>1469</v>
      </c>
      <c r="AI2602" s="1" t="s">
        <v>4262</v>
      </c>
      <c r="AJ2602" s="6" t="str">
        <f>IFERROR(__xludf.DUMMYFUNCTION("""COMPUTED_VALUE"""),"require")</f>
        <v>require</v>
      </c>
      <c r="AK2602" s="49"/>
      <c r="AL2602" s="49"/>
      <c r="AM2602" s="49"/>
      <c r="AN2602" s="52" t="str">
        <f t="shared" si="5"/>
        <v>tool,</v>
      </c>
    </row>
    <row r="2603">
      <c r="A2603" s="51"/>
      <c r="B2603" s="50" t="s">
        <v>2663</v>
      </c>
      <c r="C2603" s="50" t="s">
        <v>2360</v>
      </c>
      <c r="D2603" s="49" t="str">
        <f>IFERROR(__xludf.DUMMYFUNCTION("""COMPUTED_VALUE"""),"succeed")</f>
        <v>succeed</v>
      </c>
      <c r="E2603" s="49"/>
      <c r="F2603" s="49"/>
      <c r="G2603" s="49"/>
      <c r="H2603" s="54" t="str">
        <f t="shared" si="1"/>
        <v>floor,</v>
      </c>
      <c r="I2603" s="50"/>
      <c r="J2603" s="50">
        <v>88.0</v>
      </c>
      <c r="K2603" s="50" t="s">
        <v>5258</v>
      </c>
      <c r="L2603" s="49"/>
      <c r="M2603" s="49"/>
      <c r="N2603" s="49"/>
      <c r="O2603" s="49"/>
      <c r="P2603" s="49" t="str">
        <f t="shared" si="2"/>
        <v>88,</v>
      </c>
      <c r="Q2603" s="49"/>
      <c r="R2603" s="49"/>
      <c r="S2603" s="55" t="s">
        <v>4115</v>
      </c>
      <c r="T2603" s="49"/>
      <c r="U2603" s="49"/>
      <c r="V2603" s="49"/>
      <c r="W2603" s="49"/>
      <c r="X2603" s="49" t="str">
        <f t="shared" si="3"/>
        <v>,</v>
      </c>
      <c r="Y2603" s="49"/>
      <c r="Z2603" s="1" t="s">
        <v>2361</v>
      </c>
      <c r="AA2603" s="1" t="s">
        <v>3044</v>
      </c>
      <c r="AB2603" s="49"/>
      <c r="AC2603" s="49"/>
      <c r="AD2603" s="49"/>
      <c r="AE2603" s="49"/>
      <c r="AF2603" s="49" t="str">
        <f t="shared" si="4"/>
        <v>hugely,</v>
      </c>
      <c r="AG2603" s="49"/>
      <c r="AH2603" s="1" t="s">
        <v>1735</v>
      </c>
      <c r="AI2603" s="1" t="s">
        <v>6789</v>
      </c>
      <c r="AJ2603" s="6" t="str">
        <f>IFERROR(__xludf.DUMMYFUNCTION("""COMPUTED_VALUE"""),"grip")</f>
        <v>grip</v>
      </c>
      <c r="AK2603" s="49"/>
      <c r="AL2603" s="49"/>
      <c r="AM2603" s="49"/>
      <c r="AN2603" s="52" t="str">
        <f t="shared" si="5"/>
        <v>effectively,</v>
      </c>
    </row>
    <row r="2604">
      <c r="A2604" s="51"/>
      <c r="B2604" s="50" t="s">
        <v>3517</v>
      </c>
      <c r="C2604" s="50" t="s">
        <v>954</v>
      </c>
      <c r="D2604" s="49" t="str">
        <f>IFERROR(__xludf.DUMMYFUNCTION("""COMPUTED_VALUE"""),"returns")</f>
        <v>returns</v>
      </c>
      <c r="E2604" s="49"/>
      <c r="F2604" s="49"/>
      <c r="G2604" s="49"/>
      <c r="H2604" s="54" t="str">
        <f t="shared" si="1"/>
        <v>mask,</v>
      </c>
      <c r="I2604" s="50"/>
      <c r="J2604" s="50" t="s">
        <v>3732</v>
      </c>
      <c r="K2604" s="50" t="s">
        <v>4220</v>
      </c>
      <c r="L2604" s="49"/>
      <c r="M2604" s="49"/>
      <c r="N2604" s="49"/>
      <c r="O2604" s="49"/>
      <c r="P2604" s="49" t="str">
        <f t="shared" si="2"/>
        <v>pan,</v>
      </c>
      <c r="Q2604" s="49"/>
      <c r="R2604" s="49"/>
      <c r="S2604" s="55" t="s">
        <v>4844</v>
      </c>
      <c r="T2604" s="49"/>
      <c r="U2604" s="49"/>
      <c r="V2604" s="49"/>
      <c r="W2604" s="49"/>
      <c r="X2604" s="49" t="str">
        <f t="shared" si="3"/>
        <v>,</v>
      </c>
      <c r="Y2604" s="49"/>
      <c r="Z2604" s="1" t="s">
        <v>759</v>
      </c>
      <c r="AA2604" s="1" t="s">
        <v>1673</v>
      </c>
      <c r="AB2604" s="49"/>
      <c r="AC2604" s="49"/>
      <c r="AD2604" s="49"/>
      <c r="AE2604" s="49"/>
      <c r="AF2604" s="49" t="str">
        <f t="shared" si="4"/>
        <v>landscape,</v>
      </c>
      <c r="AG2604" s="49"/>
      <c r="AH2604" s="1">
        <v>100.0</v>
      </c>
      <c r="AI2604" s="1" t="s">
        <v>1945</v>
      </c>
      <c r="AJ2604" s="6" t="str">
        <f>IFERROR(__xludf.DUMMYFUNCTION("""COMPUTED_VALUE"""),"portrait")</f>
        <v>portrait</v>
      </c>
      <c r="AK2604" s="49"/>
      <c r="AL2604" s="49"/>
      <c r="AM2604" s="49"/>
      <c r="AN2604" s="52" t="str">
        <f t="shared" si="5"/>
        <v>100,</v>
      </c>
    </row>
    <row r="2605">
      <c r="A2605" s="51"/>
      <c r="B2605" s="50" t="s">
        <v>6892</v>
      </c>
      <c r="C2605" s="50" t="s">
        <v>6708</v>
      </c>
      <c r="D2605" s="49" t="str">
        <f>IFERROR(__xludf.DUMMYFUNCTION("""COMPUTED_VALUE"""),"significance")</f>
        <v>significance</v>
      </c>
      <c r="E2605" s="49"/>
      <c r="F2605" s="49"/>
      <c r="G2605" s="49"/>
      <c r="H2605" s="54" t="str">
        <f t="shared" si="1"/>
        <v>continue,</v>
      </c>
      <c r="I2605" s="50"/>
      <c r="J2605" s="50" t="s">
        <v>3163</v>
      </c>
      <c r="K2605" s="50" t="s">
        <v>2413</v>
      </c>
      <c r="L2605" s="49"/>
      <c r="M2605" s="49"/>
      <c r="N2605" s="49"/>
      <c r="O2605" s="49"/>
      <c r="P2605" s="49" t="str">
        <f t="shared" si="2"/>
        <v>unchanged,</v>
      </c>
      <c r="Q2605" s="49"/>
      <c r="R2605" s="49"/>
      <c r="S2605" s="55" t="s">
        <v>2287</v>
      </c>
      <c r="T2605" s="49"/>
      <c r="U2605" s="49"/>
      <c r="V2605" s="49"/>
      <c r="W2605" s="49"/>
      <c r="X2605" s="49" t="str">
        <f t="shared" si="3"/>
        <v>,</v>
      </c>
      <c r="Y2605" s="49"/>
      <c r="Z2605" s="1" t="s">
        <v>7598</v>
      </c>
      <c r="AA2605" s="1" t="s">
        <v>3046</v>
      </c>
      <c r="AB2605" s="49"/>
      <c r="AC2605" s="49"/>
      <c r="AD2605" s="49"/>
      <c r="AE2605" s="49"/>
      <c r="AF2605" s="49" t="str">
        <f t="shared" si="4"/>
        <v>perfection,</v>
      </c>
      <c r="AG2605" s="49"/>
      <c r="AH2605" s="1" t="s">
        <v>3684</v>
      </c>
      <c r="AI2605" s="1" t="s">
        <v>6790</v>
      </c>
      <c r="AJ2605" s="6" t="str">
        <f>IFERROR(__xludf.DUMMYFUNCTION("""COMPUTED_VALUE"""),"immediate")</f>
        <v>immediate</v>
      </c>
      <c r="AK2605" s="49"/>
      <c r="AL2605" s="49"/>
      <c r="AM2605" s="49"/>
      <c r="AN2605" s="52" t="str">
        <f t="shared" si="5"/>
        <v>higher,</v>
      </c>
    </row>
    <row r="2606">
      <c r="A2606" s="51"/>
      <c r="B2606" s="50" t="s">
        <v>2708</v>
      </c>
      <c r="C2606" s="50" t="s">
        <v>3845</v>
      </c>
      <c r="D2606" s="49" t="str">
        <f>IFERROR(__xludf.DUMMYFUNCTION("""COMPUTED_VALUE"""),"destroy")</f>
        <v>destroy</v>
      </c>
      <c r="E2606" s="49"/>
      <c r="F2606" s="49"/>
      <c r="G2606" s="49"/>
      <c r="H2606" s="54" t="str">
        <f t="shared" si="1"/>
        <v>commercial,</v>
      </c>
      <c r="I2606" s="50"/>
      <c r="J2606" s="50" t="s">
        <v>4805</v>
      </c>
      <c r="K2606" s="50" t="s">
        <v>2416</v>
      </c>
      <c r="L2606" s="49"/>
      <c r="M2606" s="49"/>
      <c r="N2606" s="49"/>
      <c r="O2606" s="49"/>
      <c r="P2606" s="49" t="str">
        <f t="shared" si="2"/>
        <v>preaching,</v>
      </c>
      <c r="Q2606" s="49"/>
      <c r="R2606" s="49"/>
      <c r="S2606" s="55" t="s">
        <v>1530</v>
      </c>
      <c r="T2606" s="49"/>
      <c r="U2606" s="49"/>
      <c r="V2606" s="49"/>
      <c r="W2606" s="49"/>
      <c r="X2606" s="49" t="str">
        <f t="shared" si="3"/>
        <v>,</v>
      </c>
      <c r="Y2606" s="49"/>
      <c r="Z2606" s="1" t="s">
        <v>6494</v>
      </c>
      <c r="AA2606" s="1" t="s">
        <v>4831</v>
      </c>
      <c r="AB2606" s="49"/>
      <c r="AC2606" s="49"/>
      <c r="AD2606" s="49"/>
      <c r="AE2606" s="49"/>
      <c r="AF2606" s="49" t="str">
        <f t="shared" si="4"/>
        <v>array,</v>
      </c>
      <c r="AG2606" s="49"/>
      <c r="AH2606" s="1" t="s">
        <v>4812</v>
      </c>
      <c r="AI2606" s="1" t="s">
        <v>5405</v>
      </c>
      <c r="AJ2606" s="6">
        <f>IFERROR(__xludf.DUMMYFUNCTION("""COMPUTED_VALUE"""),94.0)</f>
        <v>94</v>
      </c>
      <c r="AK2606" s="49"/>
      <c r="AL2606" s="49"/>
      <c r="AM2606" s="49"/>
      <c r="AN2606" s="52" t="str">
        <f t="shared" si="5"/>
        <v>concern,</v>
      </c>
    </row>
    <row r="2607">
      <c r="A2607" s="51"/>
      <c r="B2607" s="50" t="s">
        <v>1766</v>
      </c>
      <c r="C2607" s="50" t="s">
        <v>3982</v>
      </c>
      <c r="D2607" s="49" t="str">
        <f>IFERROR(__xludf.DUMMYFUNCTION("""COMPUTED_VALUE"""),"urge")</f>
        <v>urge</v>
      </c>
      <c r="E2607" s="49"/>
      <c r="F2607" s="49"/>
      <c r="G2607" s="49"/>
      <c r="H2607" s="54" t="str">
        <f t="shared" si="1"/>
        <v>relatively,</v>
      </c>
      <c r="I2607" s="50"/>
      <c r="J2607" s="50" t="s">
        <v>2277</v>
      </c>
      <c r="K2607" s="50" t="s">
        <v>2420</v>
      </c>
      <c r="L2607" s="49"/>
      <c r="M2607" s="49"/>
      <c r="N2607" s="49"/>
      <c r="O2607" s="49"/>
      <c r="P2607" s="49" t="str">
        <f t="shared" si="2"/>
        <v>trademark,</v>
      </c>
      <c r="Q2607" s="49"/>
      <c r="R2607" s="49"/>
      <c r="S2607" s="55" t="s">
        <v>3500</v>
      </c>
      <c r="T2607" s="49"/>
      <c r="U2607" s="49"/>
      <c r="V2607" s="49"/>
      <c r="W2607" s="49"/>
      <c r="X2607" s="49" t="str">
        <f t="shared" si="3"/>
        <v>,</v>
      </c>
      <c r="Y2607" s="49"/>
      <c r="Z2607" s="1" t="s">
        <v>1395</v>
      </c>
      <c r="AA2607" s="1" t="s">
        <v>4832</v>
      </c>
      <c r="AB2607" s="49"/>
      <c r="AC2607" s="49"/>
      <c r="AD2607" s="49"/>
      <c r="AE2607" s="49"/>
      <c r="AF2607" s="49" t="str">
        <f t="shared" si="4"/>
        <v>warm,</v>
      </c>
      <c r="AG2607" s="49"/>
      <c r="AH2607" s="1" t="s">
        <v>6726</v>
      </c>
      <c r="AI2607" s="1" t="s">
        <v>6791</v>
      </c>
      <c r="AJ2607" s="6" t="str">
        <f>IFERROR(__xludf.DUMMYFUNCTION("""COMPUTED_VALUE"""),"development")</f>
        <v>development</v>
      </c>
      <c r="AK2607" s="49"/>
      <c r="AL2607" s="49"/>
      <c r="AM2607" s="49"/>
      <c r="AN2607" s="52" t="str">
        <f t="shared" si="5"/>
        <v>stare,</v>
      </c>
    </row>
    <row r="2608">
      <c r="A2608" s="51"/>
      <c r="B2608" s="50" t="s">
        <v>5251</v>
      </c>
      <c r="C2608" s="50" t="s">
        <v>6709</v>
      </c>
      <c r="D2608" s="49" t="str">
        <f>IFERROR(__xludf.DUMMYFUNCTION("""COMPUTED_VALUE"""),"learn")</f>
        <v>learn</v>
      </c>
      <c r="E2608" s="49"/>
      <c r="F2608" s="49"/>
      <c r="G2608" s="49"/>
      <c r="H2608" s="54" t="str">
        <f t="shared" si="1"/>
        <v>grown,</v>
      </c>
      <c r="I2608" s="50"/>
      <c r="J2608" s="50" t="s">
        <v>3226</v>
      </c>
      <c r="K2608" s="50" t="s">
        <v>2422</v>
      </c>
      <c r="L2608" s="49"/>
      <c r="M2608" s="49"/>
      <c r="N2608" s="49"/>
      <c r="O2608" s="49"/>
      <c r="P2608" s="49" t="str">
        <f t="shared" si="2"/>
        <v>uncanny,</v>
      </c>
      <c r="Q2608" s="49"/>
      <c r="R2608" s="49"/>
      <c r="S2608" s="55" t="s">
        <v>3503</v>
      </c>
      <c r="T2608" s="49"/>
      <c r="U2608" s="49"/>
      <c r="V2608" s="49"/>
      <c r="W2608" s="49"/>
      <c r="X2608" s="49" t="str">
        <f t="shared" si="3"/>
        <v>,</v>
      </c>
      <c r="Y2608" s="49"/>
      <c r="Z2608" s="1" t="s">
        <v>6469</v>
      </c>
      <c r="AA2608" s="1" t="s">
        <v>5735</v>
      </c>
      <c r="AB2608" s="49"/>
      <c r="AC2608" s="49"/>
      <c r="AD2608" s="49"/>
      <c r="AE2608" s="49"/>
      <c r="AF2608" s="49" t="str">
        <f t="shared" si="4"/>
        <v>strongly,</v>
      </c>
      <c r="AG2608" s="49"/>
      <c r="AH2608" s="1" t="s">
        <v>1908</v>
      </c>
      <c r="AI2608" s="1" t="s">
        <v>3544</v>
      </c>
      <c r="AJ2608" s="6" t="str">
        <f>IFERROR(__xludf.DUMMYFUNCTION("""COMPUTED_VALUE"""),"layer")</f>
        <v>layer</v>
      </c>
      <c r="AK2608" s="49"/>
      <c r="AL2608" s="49"/>
      <c r="AM2608" s="49"/>
      <c r="AN2608" s="52" t="str">
        <f t="shared" si="5"/>
        <v>bold,</v>
      </c>
    </row>
    <row r="2609">
      <c r="A2609" s="51"/>
      <c r="B2609" s="50" t="s">
        <v>2478</v>
      </c>
      <c r="C2609" s="50" t="s">
        <v>6092</v>
      </c>
      <c r="D2609" s="49" t="str">
        <f>IFERROR(__xludf.DUMMYFUNCTION("""COMPUTED_VALUE"""),"arrives")</f>
        <v>arrives</v>
      </c>
      <c r="E2609" s="49"/>
      <c r="F2609" s="49"/>
      <c r="G2609" s="49"/>
      <c r="H2609" s="54" t="str">
        <f t="shared" si="1"/>
        <v>force,</v>
      </c>
      <c r="I2609" s="50"/>
      <c r="J2609" s="50" t="s">
        <v>5404</v>
      </c>
      <c r="K2609" s="50" t="s">
        <v>4229</v>
      </c>
      <c r="L2609" s="49"/>
      <c r="M2609" s="49"/>
      <c r="N2609" s="49"/>
      <c r="O2609" s="49"/>
      <c r="P2609" s="49" t="str">
        <f t="shared" si="2"/>
        <v>humidity,</v>
      </c>
      <c r="Q2609" s="49"/>
      <c r="R2609" s="49"/>
      <c r="S2609" s="55" t="s">
        <v>2291</v>
      </c>
      <c r="T2609" s="49"/>
      <c r="U2609" s="49"/>
      <c r="V2609" s="49"/>
      <c r="W2609" s="49"/>
      <c r="X2609" s="49" t="str">
        <f t="shared" si="3"/>
        <v>,</v>
      </c>
      <c r="Y2609" s="49"/>
      <c r="Z2609" s="1" t="s">
        <v>3692</v>
      </c>
      <c r="AA2609" s="1" t="s">
        <v>1778</v>
      </c>
      <c r="AB2609" s="49"/>
      <c r="AC2609" s="49"/>
      <c r="AD2609" s="49"/>
      <c r="AE2609" s="49"/>
      <c r="AF2609" s="49" t="str">
        <f t="shared" si="4"/>
        <v>shocks,</v>
      </c>
      <c r="AG2609" s="49"/>
      <c r="AH2609" s="1" t="s">
        <v>4991</v>
      </c>
      <c r="AI2609" s="1" t="s">
        <v>3547</v>
      </c>
      <c r="AJ2609" s="6" t="str">
        <f>IFERROR(__xludf.DUMMYFUNCTION("""COMPUTED_VALUE"""),"acres")</f>
        <v>acres</v>
      </c>
      <c r="AK2609" s="49"/>
      <c r="AL2609" s="49"/>
      <c r="AM2609" s="49"/>
      <c r="AN2609" s="52" t="str">
        <f t="shared" si="5"/>
        <v>releases,</v>
      </c>
    </row>
    <row r="2610">
      <c r="A2610" s="51"/>
      <c r="B2610" s="50" t="s">
        <v>3132</v>
      </c>
      <c r="C2610" s="50" t="s">
        <v>5544</v>
      </c>
      <c r="D2610" s="49" t="str">
        <f>IFERROR(__xludf.DUMMYFUNCTION("""COMPUTED_VALUE"""),"productions")</f>
        <v>productions</v>
      </c>
      <c r="E2610" s="49"/>
      <c r="F2610" s="49"/>
      <c r="G2610" s="49"/>
      <c r="H2610" s="54" t="str">
        <f t="shared" si="1"/>
        <v>key,</v>
      </c>
      <c r="I2610" s="50"/>
      <c r="J2610" s="50" t="s">
        <v>1318</v>
      </c>
      <c r="K2610" s="50" t="s">
        <v>4234</v>
      </c>
      <c r="L2610" s="49"/>
      <c r="M2610" s="49"/>
      <c r="N2610" s="49"/>
      <c r="O2610" s="49"/>
      <c r="P2610" s="49" t="str">
        <f t="shared" si="2"/>
        <v>underlying,</v>
      </c>
      <c r="Q2610" s="49"/>
      <c r="R2610" s="49"/>
      <c r="S2610" s="55" t="s">
        <v>2290</v>
      </c>
      <c r="T2610" s="49"/>
      <c r="U2610" s="49"/>
      <c r="V2610" s="49"/>
      <c r="W2610" s="49"/>
      <c r="X2610" s="49" t="str">
        <f t="shared" si="3"/>
        <v>,</v>
      </c>
      <c r="Y2610" s="49"/>
      <c r="Z2610" s="1" t="s">
        <v>2909</v>
      </c>
      <c r="AA2610" s="1" t="s">
        <v>5738</v>
      </c>
      <c r="AB2610" s="49"/>
      <c r="AC2610" s="49"/>
      <c r="AD2610" s="49"/>
      <c r="AE2610" s="49"/>
      <c r="AF2610" s="49" t="str">
        <f t="shared" si="4"/>
        <v>casual,</v>
      </c>
      <c r="AG2610" s="49"/>
      <c r="AH2610" s="1" t="s">
        <v>2441</v>
      </c>
      <c r="AI2610" s="1" t="s">
        <v>6792</v>
      </c>
      <c r="AJ2610" s="6" t="str">
        <f>IFERROR(__xludf.DUMMYFUNCTION("""COMPUTED_VALUE"""),"bound")</f>
        <v>bound</v>
      </c>
      <c r="AK2610" s="49"/>
      <c r="AL2610" s="49"/>
      <c r="AM2610" s="49"/>
      <c r="AN2610" s="52" t="str">
        <f t="shared" si="5"/>
        <v>lane,</v>
      </c>
    </row>
    <row r="2611">
      <c r="A2611" s="51"/>
      <c r="B2611" s="50" t="s">
        <v>2059</v>
      </c>
      <c r="C2611" s="50" t="s">
        <v>904</v>
      </c>
      <c r="D2611" s="49" t="str">
        <f>IFERROR(__xludf.DUMMYFUNCTION("""COMPUTED_VALUE"""),"writes")</f>
        <v>writes</v>
      </c>
      <c r="E2611" s="49"/>
      <c r="F2611" s="49"/>
      <c r="G2611" s="49"/>
      <c r="H2611" s="54" t="str">
        <f t="shared" si="1"/>
        <v>absolutely,</v>
      </c>
      <c r="I2611" s="50"/>
      <c r="J2611" s="50" t="s">
        <v>4480</v>
      </c>
      <c r="K2611" s="50" t="s">
        <v>5739</v>
      </c>
      <c r="L2611" s="49"/>
      <c r="M2611" s="49"/>
      <c r="N2611" s="49"/>
      <c r="O2611" s="49"/>
      <c r="P2611" s="49" t="str">
        <f t="shared" si="2"/>
        <v>tears,</v>
      </c>
      <c r="Q2611" s="49"/>
      <c r="R2611" s="49"/>
      <c r="S2611" s="55" t="s">
        <v>2294</v>
      </c>
      <c r="T2611" s="49"/>
      <c r="U2611" s="49"/>
      <c r="V2611" s="49"/>
      <c r="W2611" s="49"/>
      <c r="X2611" s="49" t="str">
        <f t="shared" si="3"/>
        <v>,</v>
      </c>
      <c r="Y2611" s="49"/>
      <c r="Z2611" s="1" t="s">
        <v>1184</v>
      </c>
      <c r="AA2611" s="1" t="s">
        <v>4837</v>
      </c>
      <c r="AB2611" s="49"/>
      <c r="AC2611" s="49"/>
      <c r="AD2611" s="49"/>
      <c r="AE2611" s="49"/>
      <c r="AF2611" s="49" t="str">
        <f t="shared" si="4"/>
        <v>spare,</v>
      </c>
      <c r="AG2611" s="49"/>
      <c r="AH2611" s="1" t="s">
        <v>6475</v>
      </c>
      <c r="AI2611" s="1" t="s">
        <v>2234</v>
      </c>
      <c r="AJ2611" s="6" t="str">
        <f>IFERROR(__xludf.DUMMYFUNCTION("""COMPUTED_VALUE"""),"underground")</f>
        <v>underground</v>
      </c>
      <c r="AK2611" s="49"/>
      <c r="AL2611" s="49"/>
      <c r="AM2611" s="49"/>
      <c r="AN2611" s="52" t="str">
        <f t="shared" si="5"/>
        <v>bare,</v>
      </c>
    </row>
    <row r="2612">
      <c r="A2612" s="51"/>
      <c r="B2612" s="50" t="s">
        <v>733</v>
      </c>
      <c r="C2612" s="50" t="s">
        <v>5828</v>
      </c>
      <c r="D2612" s="49" t="str">
        <f>IFERROR(__xludf.DUMMYFUNCTION("""COMPUTED_VALUE"""),"responsibility")</f>
        <v>responsibility</v>
      </c>
      <c r="E2612" s="49"/>
      <c r="F2612" s="49"/>
      <c r="G2612" s="49"/>
      <c r="H2612" s="54" t="str">
        <f t="shared" si="1"/>
        <v>moved,</v>
      </c>
      <c r="I2612" s="50"/>
      <c r="J2612" s="50" t="s">
        <v>5601</v>
      </c>
      <c r="K2612" s="50" t="s">
        <v>4235</v>
      </c>
      <c r="L2612" s="49"/>
      <c r="M2612" s="49"/>
      <c r="N2612" s="49"/>
      <c r="O2612" s="49"/>
      <c r="P2612" s="49" t="str">
        <f t="shared" si="2"/>
        <v>franco,</v>
      </c>
      <c r="Q2612" s="49"/>
      <c r="R2612" s="49"/>
      <c r="S2612" s="55" t="s">
        <v>2297</v>
      </c>
      <c r="T2612" s="49"/>
      <c r="U2612" s="49"/>
      <c r="V2612" s="49"/>
      <c r="W2612" s="49"/>
      <c r="X2612" s="49" t="str">
        <f t="shared" si="3"/>
        <v>,</v>
      </c>
      <c r="Y2612" s="49"/>
      <c r="Z2612" s="1" t="s">
        <v>3204</v>
      </c>
      <c r="AA2612" s="1" t="s">
        <v>3051</v>
      </c>
      <c r="AB2612" s="49"/>
      <c r="AC2612" s="49"/>
      <c r="AD2612" s="49"/>
      <c r="AE2612" s="49"/>
      <c r="AF2612" s="49" t="str">
        <f t="shared" si="4"/>
        <v>glass,</v>
      </c>
      <c r="AG2612" s="49"/>
      <c r="AH2612" s="1" t="s">
        <v>2915</v>
      </c>
      <c r="AI2612" s="1" t="s">
        <v>3550</v>
      </c>
      <c r="AJ2612" s="6" t="str">
        <f>IFERROR(__xludf.DUMMYFUNCTION("""COMPUTED_VALUE"""),"terror")</f>
        <v>terror</v>
      </c>
      <c r="AK2612" s="49"/>
      <c r="AL2612" s="49"/>
      <c r="AM2612" s="49"/>
      <c r="AN2612" s="52" t="str">
        <f t="shared" si="5"/>
        <v>established,</v>
      </c>
    </row>
    <row r="2613">
      <c r="A2613" s="51"/>
      <c r="B2613" s="50" t="s">
        <v>4729</v>
      </c>
      <c r="C2613" s="50" t="s">
        <v>3330</v>
      </c>
      <c r="D2613" s="49" t="str">
        <f>IFERROR(__xludf.DUMMYFUNCTION("""COMPUTED_VALUE"""),"sink")</f>
        <v>sink</v>
      </c>
      <c r="E2613" s="49"/>
      <c r="F2613" s="49"/>
      <c r="G2613" s="49"/>
      <c r="H2613" s="54" t="str">
        <f t="shared" si="1"/>
        <v>captured,</v>
      </c>
      <c r="I2613" s="50"/>
      <c r="J2613" s="50" t="s">
        <v>1101</v>
      </c>
      <c r="K2613" s="50" t="s">
        <v>1332</v>
      </c>
      <c r="L2613" s="49"/>
      <c r="M2613" s="49"/>
      <c r="N2613" s="49"/>
      <c r="O2613" s="49"/>
      <c r="P2613" s="49" t="str">
        <f t="shared" si="2"/>
        <v>bergman,</v>
      </c>
      <c r="Q2613" s="49"/>
      <c r="R2613" s="49"/>
      <c r="S2613" s="55" t="s">
        <v>2301</v>
      </c>
      <c r="T2613" s="49"/>
      <c r="U2613" s="49"/>
      <c r="V2613" s="49"/>
      <c r="W2613" s="49"/>
      <c r="X2613" s="49" t="str">
        <f t="shared" si="3"/>
        <v>,</v>
      </c>
      <c r="Y2613" s="49"/>
      <c r="Z2613" s="1" t="s">
        <v>3586</v>
      </c>
      <c r="AA2613" s="1" t="s">
        <v>1800</v>
      </c>
      <c r="AB2613" s="49"/>
      <c r="AC2613" s="49"/>
      <c r="AD2613" s="49"/>
      <c r="AE2613" s="49"/>
      <c r="AF2613" s="49" t="str">
        <f t="shared" si="4"/>
        <v>handled,</v>
      </c>
      <c r="AG2613" s="49"/>
      <c r="AH2613" s="1" t="s">
        <v>6894</v>
      </c>
      <c r="AI2613" s="1" t="s">
        <v>5811</v>
      </c>
      <c r="AJ2613" s="6" t="str">
        <f>IFERROR(__xludf.DUMMYFUNCTION("""COMPUTED_VALUE"""),"hoped")</f>
        <v>hoped</v>
      </c>
      <c r="AK2613" s="49"/>
      <c r="AL2613" s="49"/>
      <c r="AM2613" s="49"/>
      <c r="AN2613" s="52" t="str">
        <f t="shared" si="5"/>
        <v>4th,</v>
      </c>
    </row>
    <row r="2614">
      <c r="A2614" s="51"/>
      <c r="B2614" s="50" t="s">
        <v>7625</v>
      </c>
      <c r="C2614" s="50" t="s">
        <v>4905</v>
      </c>
      <c r="D2614" s="49" t="str">
        <f>IFERROR(__xludf.DUMMYFUNCTION("""COMPUTED_VALUE"""),"shape")</f>
        <v>shape</v>
      </c>
      <c r="E2614" s="49"/>
      <c r="F2614" s="49"/>
      <c r="G2614" s="49"/>
      <c r="H2614" s="54" t="str">
        <f t="shared" si="1"/>
        <v>jean,</v>
      </c>
      <c r="I2614" s="50"/>
      <c r="J2614" s="50" t="s">
        <v>2674</v>
      </c>
      <c r="K2614" s="50" t="s">
        <v>3598</v>
      </c>
      <c r="L2614" s="49"/>
      <c r="M2614" s="49"/>
      <c r="N2614" s="49"/>
      <c r="O2614" s="49"/>
      <c r="P2614" s="49" t="str">
        <f t="shared" si="2"/>
        <v>heights,</v>
      </c>
      <c r="Q2614" s="49"/>
      <c r="R2614" s="49"/>
      <c r="S2614" s="55" t="s">
        <v>4123</v>
      </c>
      <c r="T2614" s="49"/>
      <c r="U2614" s="49"/>
      <c r="V2614" s="49"/>
      <c r="W2614" s="49"/>
      <c r="X2614" s="49" t="str">
        <f t="shared" si="3"/>
        <v>,</v>
      </c>
      <c r="Y2614" s="49"/>
      <c r="Z2614" s="1" t="s">
        <v>3014</v>
      </c>
      <c r="AA2614" s="1" t="s">
        <v>5740</v>
      </c>
      <c r="AB2614" s="49"/>
      <c r="AC2614" s="49"/>
      <c r="AD2614" s="49"/>
      <c r="AE2614" s="49"/>
      <c r="AF2614" s="49" t="str">
        <f t="shared" si="4"/>
        <v>convince,</v>
      </c>
      <c r="AG2614" s="49"/>
      <c r="AH2614" s="1" t="s">
        <v>4501</v>
      </c>
      <c r="AI2614" s="1" t="s">
        <v>5195</v>
      </c>
      <c r="AJ2614" s="6" t="str">
        <f>IFERROR(__xludf.DUMMYFUNCTION("""COMPUTED_VALUE"""),"daughters")</f>
        <v>daughters</v>
      </c>
      <c r="AK2614" s="49"/>
      <c r="AL2614" s="49"/>
      <c r="AM2614" s="49"/>
      <c r="AN2614" s="52" t="str">
        <f t="shared" si="5"/>
        <v>net,</v>
      </c>
    </row>
    <row r="2615">
      <c r="A2615" s="51"/>
      <c r="B2615" s="50" t="s">
        <v>3622</v>
      </c>
      <c r="C2615" s="50" t="s">
        <v>3812</v>
      </c>
      <c r="D2615" s="49" t="str">
        <f>IFERROR(__xludf.DUMMYFUNCTION("""COMPUTED_VALUE"""),"rescue")</f>
        <v>rescue</v>
      </c>
      <c r="E2615" s="49"/>
      <c r="F2615" s="49"/>
      <c r="G2615" s="49"/>
      <c r="H2615" s="54" t="str">
        <f t="shared" si="1"/>
        <v>content,</v>
      </c>
      <c r="I2615" s="50"/>
      <c r="J2615" s="50" t="s">
        <v>4554</v>
      </c>
      <c r="K2615" s="50" t="s">
        <v>5264</v>
      </c>
      <c r="L2615" s="49"/>
      <c r="M2615" s="49"/>
      <c r="N2615" s="49"/>
      <c r="O2615" s="49"/>
      <c r="P2615" s="49" t="str">
        <f t="shared" si="2"/>
        <v>el,</v>
      </c>
      <c r="Q2615" s="49"/>
      <c r="R2615" s="49"/>
      <c r="S2615" s="55" t="s">
        <v>4383</v>
      </c>
      <c r="T2615" s="49"/>
      <c r="U2615" s="49"/>
      <c r="V2615" s="49"/>
      <c r="W2615" s="49"/>
      <c r="X2615" s="49" t="str">
        <f t="shared" si="3"/>
        <v>,</v>
      </c>
      <c r="Y2615" s="49"/>
      <c r="Z2615" s="1" t="s">
        <v>903</v>
      </c>
      <c r="AA2615" s="1" t="s">
        <v>1805</v>
      </c>
      <c r="AB2615" s="49"/>
      <c r="AC2615" s="49"/>
      <c r="AD2615" s="49"/>
      <c r="AE2615" s="49"/>
      <c r="AF2615" s="49" t="str">
        <f t="shared" si="4"/>
        <v>pays,</v>
      </c>
      <c r="AG2615" s="49"/>
      <c r="AH2615" s="1" t="s">
        <v>7626</v>
      </c>
      <c r="AI2615" s="1" t="s">
        <v>3553</v>
      </c>
      <c r="AJ2615" s="6" t="str">
        <f>IFERROR(__xludf.DUMMYFUNCTION("""COMPUTED_VALUE"""),"springs")</f>
        <v>springs</v>
      </c>
      <c r="AK2615" s="49"/>
      <c r="AL2615" s="49"/>
      <c r="AM2615" s="49"/>
      <c r="AN2615" s="52" t="str">
        <f t="shared" si="5"/>
        <v>mini,</v>
      </c>
    </row>
    <row r="2616">
      <c r="A2616" s="51"/>
      <c r="B2616" s="50" t="s">
        <v>3411</v>
      </c>
      <c r="C2616" s="50" t="s">
        <v>3337</v>
      </c>
      <c r="D2616" s="49" t="str">
        <f>IFERROR(__xludf.DUMMYFUNCTION("""COMPUTED_VALUE"""),"curse")</f>
        <v>curse</v>
      </c>
      <c r="E2616" s="49"/>
      <c r="F2616" s="49"/>
      <c r="G2616" s="49"/>
      <c r="H2616" s="54" t="str">
        <f t="shared" si="1"/>
        <v>terrorist,</v>
      </c>
      <c r="I2616" s="50"/>
      <c r="J2616" s="50" t="s">
        <v>1567</v>
      </c>
      <c r="K2616" s="50" t="s">
        <v>2428</v>
      </c>
      <c r="L2616" s="49"/>
      <c r="M2616" s="49"/>
      <c r="N2616" s="49"/>
      <c r="O2616" s="49"/>
      <c r="P2616" s="49" t="str">
        <f t="shared" si="2"/>
        <v>ode,</v>
      </c>
      <c r="Q2616" s="49"/>
      <c r="R2616" s="49"/>
      <c r="S2616" s="55" t="s">
        <v>6793</v>
      </c>
      <c r="T2616" s="49"/>
      <c r="U2616" s="49"/>
      <c r="V2616" s="49"/>
      <c r="W2616" s="49"/>
      <c r="X2616" s="49" t="str">
        <f t="shared" si="3"/>
        <v>,</v>
      </c>
      <c r="Y2616" s="49"/>
      <c r="Z2616" s="1" t="s">
        <v>4720</v>
      </c>
      <c r="AA2616" s="1" t="s">
        <v>4839</v>
      </c>
      <c r="AB2616" s="49"/>
      <c r="AC2616" s="49"/>
      <c r="AD2616" s="49"/>
      <c r="AE2616" s="49"/>
      <c r="AF2616" s="49" t="str">
        <f t="shared" si="4"/>
        <v>sporadic,</v>
      </c>
      <c r="AG2616" s="49"/>
      <c r="AH2616" s="1" t="s">
        <v>6672</v>
      </c>
      <c r="AI2616" s="1" t="s">
        <v>4216</v>
      </c>
      <c r="AJ2616" s="6" t="str">
        <f>IFERROR(__xludf.DUMMYFUNCTION("""COMPUTED_VALUE"""),"indians")</f>
        <v>indians</v>
      </c>
      <c r="AK2616" s="49"/>
      <c r="AL2616" s="49"/>
      <c r="AM2616" s="49"/>
      <c r="AN2616" s="52" t="str">
        <f t="shared" si="5"/>
        <v>opportunities,</v>
      </c>
    </row>
    <row r="2617">
      <c r="A2617" s="51"/>
      <c r="B2617" s="50" t="s">
        <v>2555</v>
      </c>
      <c r="C2617" s="50" t="s">
        <v>5318</v>
      </c>
      <c r="D2617" s="49" t="str">
        <f>IFERROR(__xludf.DUMMYFUNCTION("""COMPUTED_VALUE"""),"bid")</f>
        <v>bid</v>
      </c>
      <c r="E2617" s="49"/>
      <c r="F2617" s="49"/>
      <c r="G2617" s="49"/>
      <c r="H2617" s="54" t="str">
        <f t="shared" si="1"/>
        <v>managed,</v>
      </c>
      <c r="I2617" s="50"/>
      <c r="J2617" s="50" t="s">
        <v>7627</v>
      </c>
      <c r="K2617" s="50" t="s">
        <v>362</v>
      </c>
      <c r="L2617" s="49"/>
      <c r="M2617" s="49"/>
      <c r="N2617" s="49"/>
      <c r="O2617" s="49"/>
      <c r="P2617" s="49" t="str">
        <f t="shared" si="2"/>
        <v>tub,</v>
      </c>
      <c r="Q2617" s="49"/>
      <c r="R2617" s="49"/>
      <c r="S2617" s="55" t="s">
        <v>3506</v>
      </c>
      <c r="T2617" s="49"/>
      <c r="U2617" s="49"/>
      <c r="V2617" s="49"/>
      <c r="W2617" s="49"/>
      <c r="X2617" s="49" t="str">
        <f t="shared" si="3"/>
        <v>,</v>
      </c>
      <c r="Y2617" s="49"/>
      <c r="Z2617" s="1" t="s">
        <v>5978</v>
      </c>
      <c r="AA2617" s="1" t="s">
        <v>3056</v>
      </c>
      <c r="AB2617" s="49"/>
      <c r="AC2617" s="49"/>
      <c r="AD2617" s="49"/>
      <c r="AE2617" s="49"/>
      <c r="AF2617" s="49" t="str">
        <f t="shared" si="4"/>
        <v>filming,</v>
      </c>
      <c r="AG2617" s="49"/>
      <c r="AH2617" s="1" t="s">
        <v>2318</v>
      </c>
      <c r="AI2617" s="1" t="s">
        <v>5197</v>
      </c>
      <c r="AJ2617" s="6" t="str">
        <f>IFERROR(__xludf.DUMMYFUNCTION("""COMPUTED_VALUE"""),"pages")</f>
        <v>pages</v>
      </c>
      <c r="AK2617" s="49"/>
      <c r="AL2617" s="49"/>
      <c r="AM2617" s="49"/>
      <c r="AN2617" s="52" t="str">
        <f t="shared" si="5"/>
        <v>fate,</v>
      </c>
    </row>
    <row r="2618">
      <c r="A2618" s="51"/>
      <c r="B2618" s="50" t="s">
        <v>4138</v>
      </c>
      <c r="C2618" s="50" t="s">
        <v>5398</v>
      </c>
      <c r="D2618" s="49" t="str">
        <f>IFERROR(__xludf.DUMMYFUNCTION("""COMPUTED_VALUE"""),"detailed")</f>
        <v>detailed</v>
      </c>
      <c r="E2618" s="49"/>
      <c r="F2618" s="49"/>
      <c r="G2618" s="49"/>
      <c r="H2618" s="54" t="str">
        <f t="shared" si="1"/>
        <v>contemporary,</v>
      </c>
      <c r="I2618" s="50"/>
      <c r="J2618" s="50" t="s">
        <v>1248</v>
      </c>
      <c r="K2618" s="50" t="s">
        <v>5742</v>
      </c>
      <c r="L2618" s="49"/>
      <c r="M2618" s="49"/>
      <c r="N2618" s="49"/>
      <c r="O2618" s="49"/>
      <c r="P2618" s="49" t="str">
        <f t="shared" si="2"/>
        <v>adventurous,</v>
      </c>
      <c r="Q2618" s="49"/>
      <c r="R2618" s="49"/>
      <c r="S2618" s="55" t="s">
        <v>2674</v>
      </c>
      <c r="T2618" s="49"/>
      <c r="U2618" s="49"/>
      <c r="V2618" s="49"/>
      <c r="W2618" s="49"/>
      <c r="X2618" s="49" t="str">
        <f t="shared" si="3"/>
        <v>,</v>
      </c>
      <c r="Y2618" s="49"/>
      <c r="Z2618" s="1" t="s">
        <v>2346</v>
      </c>
      <c r="AA2618" s="1" t="s">
        <v>5741</v>
      </c>
      <c r="AB2618" s="49"/>
      <c r="AC2618" s="49"/>
      <c r="AD2618" s="49"/>
      <c r="AE2618" s="49"/>
      <c r="AF2618" s="49" t="str">
        <f t="shared" si="4"/>
        <v>lola,</v>
      </c>
      <c r="AG2618" s="49"/>
      <c r="AH2618" s="1" t="s">
        <v>6762</v>
      </c>
      <c r="AI2618" s="1" t="s">
        <v>3559</v>
      </c>
      <c r="AJ2618" s="6" t="str">
        <f>IFERROR(__xludf.DUMMYFUNCTION("""COMPUTED_VALUE"""),"permission")</f>
        <v>permission</v>
      </c>
      <c r="AK2618" s="49"/>
      <c r="AL2618" s="49"/>
      <c r="AM2618" s="49"/>
      <c r="AN2618" s="52" t="str">
        <f t="shared" si="5"/>
        <v>essential,</v>
      </c>
    </row>
    <row r="2619">
      <c r="A2619" s="51"/>
      <c r="B2619" s="50" t="s">
        <v>3883</v>
      </c>
      <c r="C2619" s="50" t="s">
        <v>5401</v>
      </c>
      <c r="D2619" s="49" t="str">
        <f>IFERROR(__xludf.DUMMYFUNCTION("""COMPUTED_VALUE"""),"essential")</f>
        <v>essential</v>
      </c>
      <c r="E2619" s="49"/>
      <c r="F2619" s="49"/>
      <c r="G2619" s="49"/>
      <c r="H2619" s="54" t="str">
        <f t="shared" si="1"/>
        <v>soldiers,</v>
      </c>
      <c r="I2619" s="50"/>
      <c r="J2619" s="50" t="s">
        <v>2301</v>
      </c>
      <c r="K2619" s="50" t="s">
        <v>4439</v>
      </c>
      <c r="L2619" s="49"/>
      <c r="M2619" s="49"/>
      <c r="N2619" s="49"/>
      <c r="O2619" s="49"/>
      <c r="P2619" s="49" t="str">
        <f t="shared" si="2"/>
        <v>improvised,</v>
      </c>
      <c r="Q2619" s="49"/>
      <c r="R2619" s="49"/>
      <c r="S2619" s="55" t="s">
        <v>2305</v>
      </c>
      <c r="T2619" s="49"/>
      <c r="U2619" s="49"/>
      <c r="V2619" s="49"/>
      <c r="W2619" s="49"/>
      <c r="X2619" s="49" t="str">
        <f t="shared" si="3"/>
        <v>,</v>
      </c>
      <c r="Y2619" s="49"/>
      <c r="Z2619" s="1" t="s">
        <v>3223</v>
      </c>
      <c r="AA2619" s="1" t="s">
        <v>1878</v>
      </c>
      <c r="AB2619" s="49"/>
      <c r="AC2619" s="49"/>
      <c r="AD2619" s="49"/>
      <c r="AE2619" s="49"/>
      <c r="AF2619" s="49" t="str">
        <f t="shared" si="4"/>
        <v>delivering,</v>
      </c>
      <c r="AG2619" s="49"/>
      <c r="AH2619" s="1" t="s">
        <v>5144</v>
      </c>
      <c r="AI2619" s="1" t="s">
        <v>4181</v>
      </c>
      <c r="AJ2619" s="6" t="str">
        <f>IFERROR(__xludf.DUMMYFUNCTION("""COMPUTED_VALUE"""),"virgin")</f>
        <v>virgin</v>
      </c>
      <c r="AK2619" s="49"/>
      <c r="AL2619" s="49"/>
      <c r="AM2619" s="49"/>
      <c r="AN2619" s="52" t="str">
        <f t="shared" si="5"/>
        <v>boundaries,</v>
      </c>
    </row>
    <row r="2620">
      <c r="A2620" s="51"/>
      <c r="B2620" s="50" t="s">
        <v>6486</v>
      </c>
      <c r="C2620" s="50" t="s">
        <v>6710</v>
      </c>
      <c r="D2620" s="49" t="str">
        <f>IFERROR(__xludf.DUMMYFUNCTION("""COMPUTED_VALUE"""),"dean")</f>
        <v>dean</v>
      </c>
      <c r="E2620" s="49"/>
      <c r="F2620" s="49"/>
      <c r="G2620" s="49"/>
      <c r="H2620" s="54" t="str">
        <f t="shared" si="1"/>
        <v>exist,</v>
      </c>
      <c r="I2620" s="50"/>
      <c r="J2620" s="50" t="s">
        <v>6946</v>
      </c>
      <c r="K2620" s="50" t="s">
        <v>4241</v>
      </c>
      <c r="L2620" s="49"/>
      <c r="M2620" s="49"/>
      <c r="N2620" s="49"/>
      <c r="O2620" s="49"/>
      <c r="P2620" s="49" t="str">
        <f t="shared" si="2"/>
        <v>pains,</v>
      </c>
      <c r="Q2620" s="49"/>
      <c r="R2620" s="49"/>
      <c r="S2620" s="55" t="s">
        <v>1206</v>
      </c>
      <c r="T2620" s="49"/>
      <c r="U2620" s="49"/>
      <c r="V2620" s="49"/>
      <c r="W2620" s="49"/>
      <c r="X2620" s="49" t="str">
        <f t="shared" si="3"/>
        <v>,</v>
      </c>
      <c r="Y2620" s="49"/>
      <c r="Z2620" s="1" t="s">
        <v>2636</v>
      </c>
      <c r="AA2620" s="1" t="s">
        <v>1869</v>
      </c>
      <c r="AB2620" s="49"/>
      <c r="AC2620" s="49"/>
      <c r="AD2620" s="49"/>
      <c r="AE2620" s="49"/>
      <c r="AF2620" s="49" t="str">
        <f t="shared" si="4"/>
        <v>finely,</v>
      </c>
      <c r="AG2620" s="49"/>
      <c r="AH2620" s="1" t="s">
        <v>6787</v>
      </c>
      <c r="AI2620" s="1" t="s">
        <v>983</v>
      </c>
      <c r="AJ2620" s="6" t="str">
        <f>IFERROR(__xludf.DUMMYFUNCTION("""COMPUTED_VALUE"""),"knowledge")</f>
        <v>knowledge</v>
      </c>
      <c r="AK2620" s="49"/>
      <c r="AL2620" s="49"/>
      <c r="AM2620" s="49"/>
      <c r="AN2620" s="52" t="str">
        <f t="shared" si="5"/>
        <v>fifty,</v>
      </c>
    </row>
    <row r="2621">
      <c r="A2621" s="51"/>
      <c r="B2621" s="50" t="s">
        <v>5935</v>
      </c>
      <c r="C2621" s="50" t="s">
        <v>3820</v>
      </c>
      <c r="D2621" s="49" t="str">
        <f>IFERROR(__xludf.DUMMYFUNCTION("""COMPUTED_VALUE"""),"rebel")</f>
        <v>rebel</v>
      </c>
      <c r="E2621" s="49"/>
      <c r="F2621" s="49"/>
      <c r="G2621" s="49"/>
      <c r="H2621" s="54" t="str">
        <f t="shared" si="1"/>
        <v>aspects,</v>
      </c>
      <c r="I2621" s="50"/>
      <c r="J2621" s="50" t="s">
        <v>666</v>
      </c>
      <c r="K2621" s="50" t="s">
        <v>4266</v>
      </c>
      <c r="L2621" s="49"/>
      <c r="M2621" s="49"/>
      <c r="N2621" s="49"/>
      <c r="O2621" s="49"/>
      <c r="P2621" s="49" t="str">
        <f t="shared" si="2"/>
        <v>dazzling,</v>
      </c>
      <c r="Q2621" s="49"/>
      <c r="R2621" s="49"/>
      <c r="S2621" s="55" t="s">
        <v>1544</v>
      </c>
      <c r="T2621" s="49"/>
      <c r="U2621" s="49"/>
      <c r="V2621" s="49"/>
      <c r="W2621" s="49"/>
      <c r="X2621" s="49" t="str">
        <f t="shared" si="3"/>
        <v>,</v>
      </c>
      <c r="Y2621" s="49"/>
      <c r="Z2621" s="1" t="s">
        <v>4810</v>
      </c>
      <c r="AA2621" s="1" t="s">
        <v>5744</v>
      </c>
      <c r="AB2621" s="49"/>
      <c r="AC2621" s="49"/>
      <c r="AD2621" s="49"/>
      <c r="AE2621" s="49"/>
      <c r="AF2621" s="49" t="str">
        <f t="shared" si="4"/>
        <v>treasure,</v>
      </c>
      <c r="AG2621" s="49"/>
      <c r="AH2621" s="1" t="s">
        <v>5246</v>
      </c>
      <c r="AI2621" s="1" t="s">
        <v>5044</v>
      </c>
      <c r="AJ2621" s="6" t="str">
        <f>IFERROR(__xludf.DUMMYFUNCTION("""COMPUTED_VALUE"""),"electric")</f>
        <v>electric</v>
      </c>
      <c r="AK2621" s="49"/>
      <c r="AL2621" s="49"/>
      <c r="AM2621" s="49"/>
      <c r="AN2621" s="52" t="str">
        <f t="shared" si="5"/>
        <v>athletes,</v>
      </c>
    </row>
    <row r="2622">
      <c r="A2622" s="51"/>
      <c r="B2622" s="50" t="s">
        <v>3954</v>
      </c>
      <c r="C2622" s="50" t="s">
        <v>6711</v>
      </c>
      <c r="D2622" s="49" t="str">
        <f>IFERROR(__xludf.DUMMYFUNCTION("""COMPUTED_VALUE"""),"foster")</f>
        <v>foster</v>
      </c>
      <c r="E2622" s="49"/>
      <c r="F2622" s="49"/>
      <c r="G2622" s="49"/>
      <c r="H2622" s="54" t="str">
        <f t="shared" si="1"/>
        <v>warriors,</v>
      </c>
      <c r="I2622" s="50"/>
      <c r="J2622" s="50" t="s">
        <v>1085</v>
      </c>
      <c r="K2622" s="50" t="s">
        <v>4244</v>
      </c>
      <c r="L2622" s="49"/>
      <c r="M2622" s="49"/>
      <c r="N2622" s="49"/>
      <c r="O2622" s="49"/>
      <c r="P2622" s="49" t="str">
        <f t="shared" si="2"/>
        <v>satisfying,</v>
      </c>
      <c r="Q2622" s="49"/>
      <c r="R2622" s="49"/>
      <c r="S2622" s="55" t="s">
        <v>6794</v>
      </c>
      <c r="T2622" s="49"/>
      <c r="U2622" s="49"/>
      <c r="V2622" s="49"/>
      <c r="W2622" s="49"/>
      <c r="X2622" s="49" t="str">
        <f t="shared" si="3"/>
        <v>,</v>
      </c>
      <c r="Y2622" s="49"/>
      <c r="Z2622" s="1" t="s">
        <v>1807</v>
      </c>
      <c r="AA2622" s="1" t="s">
        <v>5745</v>
      </c>
      <c r="AB2622" s="49"/>
      <c r="AC2622" s="49"/>
      <c r="AD2622" s="49"/>
      <c r="AE2622" s="49"/>
      <c r="AF2622" s="49" t="str">
        <f t="shared" si="4"/>
        <v>shirt,</v>
      </c>
      <c r="AG2622" s="49"/>
      <c r="AH2622" s="1" t="s">
        <v>5230</v>
      </c>
      <c r="AI2622" s="1" t="s">
        <v>2891</v>
      </c>
      <c r="AJ2622" s="6" t="str">
        <f>IFERROR(__xludf.DUMMYFUNCTION("""COMPUTED_VALUE"""),"identity")</f>
        <v>identity</v>
      </c>
      <c r="AK2622" s="49"/>
      <c r="AL2622" s="49"/>
      <c r="AM2622" s="49"/>
      <c r="AN2622" s="52" t="str">
        <f t="shared" si="5"/>
        <v>allowing,</v>
      </c>
    </row>
    <row r="2623">
      <c r="A2623" s="51"/>
      <c r="B2623" s="50" t="s">
        <v>3189</v>
      </c>
      <c r="C2623" s="50" t="s">
        <v>3828</v>
      </c>
      <c r="D2623" s="49" t="str">
        <f>IFERROR(__xludf.DUMMYFUNCTION("""COMPUTED_VALUE"""),"hope")</f>
        <v>hope</v>
      </c>
      <c r="E2623" s="49"/>
      <c r="F2623" s="49"/>
      <c r="G2623" s="49"/>
      <c r="H2623" s="54" t="str">
        <f t="shared" si="1"/>
        <v>recognize,</v>
      </c>
      <c r="I2623" s="50"/>
      <c r="J2623" s="50" t="s">
        <v>4519</v>
      </c>
      <c r="K2623" s="50" t="s">
        <v>4246</v>
      </c>
      <c r="L2623" s="49"/>
      <c r="M2623" s="49"/>
      <c r="N2623" s="49"/>
      <c r="O2623" s="49"/>
      <c r="P2623" s="49" t="str">
        <f t="shared" si="2"/>
        <v>surroundings,</v>
      </c>
      <c r="Q2623" s="49"/>
      <c r="R2623" s="49"/>
      <c r="S2623" s="55" t="s">
        <v>6795</v>
      </c>
      <c r="T2623" s="49"/>
      <c r="U2623" s="49"/>
      <c r="V2623" s="49"/>
      <c r="W2623" s="49"/>
      <c r="X2623" s="49" t="str">
        <f t="shared" si="3"/>
        <v>,</v>
      </c>
      <c r="Y2623" s="49"/>
      <c r="Z2623" s="1" t="s">
        <v>1273</v>
      </c>
      <c r="AA2623" s="1" t="s">
        <v>5747</v>
      </c>
      <c r="AB2623" s="49"/>
      <c r="AC2623" s="49"/>
      <c r="AD2623" s="49"/>
      <c r="AE2623" s="49"/>
      <c r="AF2623" s="49" t="str">
        <f t="shared" si="4"/>
        <v>capture,</v>
      </c>
      <c r="AG2623" s="49"/>
      <c r="AH2623" s="1" t="s">
        <v>2893</v>
      </c>
      <c r="AI2623" s="1" t="s">
        <v>6796</v>
      </c>
      <c r="AJ2623" s="6" t="str">
        <f>IFERROR(__xludf.DUMMYFUNCTION("""COMPUTED_VALUE"""),"philip")</f>
        <v>philip</v>
      </c>
      <c r="AK2623" s="49"/>
      <c r="AL2623" s="49"/>
      <c r="AM2623" s="49"/>
      <c r="AN2623" s="52" t="str">
        <f t="shared" si="5"/>
        <v>achieve,</v>
      </c>
    </row>
    <row r="2624">
      <c r="A2624" s="51"/>
      <c r="B2624" s="50" t="s">
        <v>4750</v>
      </c>
      <c r="C2624" s="50" t="s">
        <v>5327</v>
      </c>
      <c r="D2624" s="49" t="str">
        <f>IFERROR(__xludf.DUMMYFUNCTION("""COMPUTED_VALUE"""),"delhi")</f>
        <v>delhi</v>
      </c>
      <c r="E2624" s="49"/>
      <c r="F2624" s="49"/>
      <c r="G2624" s="49"/>
      <c r="H2624" s="54" t="str">
        <f t="shared" si="1"/>
        <v>encounter,</v>
      </c>
      <c r="I2624" s="50"/>
      <c r="J2624" s="50" t="s">
        <v>6301</v>
      </c>
      <c r="K2624" s="50" t="s">
        <v>4250</v>
      </c>
      <c r="L2624" s="49"/>
      <c r="M2624" s="49"/>
      <c r="N2624" s="49"/>
      <c r="O2624" s="49"/>
      <c r="P2624" s="49" t="str">
        <f t="shared" si="2"/>
        <v>corporate,</v>
      </c>
      <c r="Q2624" s="49"/>
      <c r="R2624" s="49"/>
      <c r="S2624" s="55" t="s">
        <v>3854</v>
      </c>
      <c r="T2624" s="49"/>
      <c r="U2624" s="49"/>
      <c r="V2624" s="49"/>
      <c r="W2624" s="49"/>
      <c r="X2624" s="49" t="str">
        <f t="shared" si="3"/>
        <v>,</v>
      </c>
      <c r="Y2624" s="49"/>
      <c r="Z2624" s="1" t="s">
        <v>2941</v>
      </c>
      <c r="AA2624" s="1" t="s">
        <v>4849</v>
      </c>
      <c r="AB2624" s="49"/>
      <c r="AC2624" s="49"/>
      <c r="AD2624" s="49"/>
      <c r="AE2624" s="49"/>
      <c r="AF2624" s="49" t="str">
        <f t="shared" si="4"/>
        <v>sincere,</v>
      </c>
      <c r="AG2624" s="49"/>
      <c r="AH2624" s="1" t="s">
        <v>4984</v>
      </c>
      <c r="AI2624" s="1" t="s">
        <v>5644</v>
      </c>
      <c r="AJ2624" s="6" t="str">
        <f>IFERROR(__xludf.DUMMYFUNCTION("""COMPUTED_VALUE"""),"struggle")</f>
        <v>struggle</v>
      </c>
      <c r="AK2624" s="49"/>
      <c r="AL2624" s="49"/>
      <c r="AM2624" s="49"/>
      <c r="AN2624" s="52" t="str">
        <f t="shared" si="5"/>
        <v>sink,</v>
      </c>
    </row>
    <row r="2625">
      <c r="A2625" s="51"/>
      <c r="B2625" s="50" t="s">
        <v>5727</v>
      </c>
      <c r="C2625" s="50" t="s">
        <v>3831</v>
      </c>
      <c r="D2625" s="49" t="str">
        <f>IFERROR(__xludf.DUMMYFUNCTION("""COMPUTED_VALUE"""),"sits")</f>
        <v>sits</v>
      </c>
      <c r="E2625" s="49"/>
      <c r="F2625" s="49"/>
      <c r="G2625" s="49"/>
      <c r="H2625" s="54" t="str">
        <f t="shared" si="1"/>
        <v>experiment,</v>
      </c>
      <c r="I2625" s="50"/>
      <c r="J2625" s="50" t="s">
        <v>127</v>
      </c>
      <c r="K2625" s="50" t="s">
        <v>3601</v>
      </c>
      <c r="L2625" s="49"/>
      <c r="M2625" s="49"/>
      <c r="N2625" s="49"/>
      <c r="O2625" s="49"/>
      <c r="P2625" s="49" t="str">
        <f t="shared" si="2"/>
        <v>remain,</v>
      </c>
      <c r="Q2625" s="49"/>
      <c r="R2625" s="49"/>
      <c r="S2625" s="55" t="s">
        <v>4130</v>
      </c>
      <c r="T2625" s="49"/>
      <c r="U2625" s="49"/>
      <c r="V2625" s="49"/>
      <c r="W2625" s="49"/>
      <c r="X2625" s="49" t="str">
        <f t="shared" si="3"/>
        <v>,</v>
      </c>
      <c r="Y2625" s="49"/>
      <c r="Z2625" s="1" t="s">
        <v>3085</v>
      </c>
      <c r="AA2625" s="1" t="s">
        <v>4850</v>
      </c>
      <c r="AB2625" s="49"/>
      <c r="AC2625" s="49"/>
      <c r="AD2625" s="49"/>
      <c r="AE2625" s="49"/>
      <c r="AF2625" s="49" t="str">
        <f t="shared" si="4"/>
        <v>reign,</v>
      </c>
      <c r="AG2625" s="49"/>
      <c r="AH2625" s="1" t="s">
        <v>4321</v>
      </c>
      <c r="AI2625" s="1" t="s">
        <v>6797</v>
      </c>
      <c r="AJ2625" s="6" t="str">
        <f>IFERROR(__xludf.DUMMYFUNCTION("""COMPUTED_VALUE"""),"moral")</f>
        <v>moral</v>
      </c>
      <c r="AK2625" s="49"/>
      <c r="AL2625" s="49"/>
      <c r="AM2625" s="49"/>
      <c r="AN2625" s="52" t="str">
        <f t="shared" si="5"/>
        <v>staring,</v>
      </c>
    </row>
    <row r="2626">
      <c r="A2626" s="51"/>
      <c r="B2626" s="50" t="s">
        <v>6478</v>
      </c>
      <c r="C2626" s="50" t="s">
        <v>3835</v>
      </c>
      <c r="D2626" s="49" t="str">
        <f>IFERROR(__xludf.DUMMYFUNCTION("""COMPUTED_VALUE"""),"queen")</f>
        <v>queen</v>
      </c>
      <c r="E2626" s="49"/>
      <c r="F2626" s="49"/>
      <c r="G2626" s="49"/>
      <c r="H2626" s="54" t="str">
        <f t="shared" si="1"/>
        <v>variety,</v>
      </c>
      <c r="I2626" s="50"/>
      <c r="J2626" s="50" t="s">
        <v>6055</v>
      </c>
      <c r="K2626" s="50" t="s">
        <v>1339</v>
      </c>
      <c r="L2626" s="49"/>
      <c r="M2626" s="49"/>
      <c r="N2626" s="49"/>
      <c r="O2626" s="49"/>
      <c r="P2626" s="49" t="str">
        <f t="shared" si="2"/>
        <v>definite,</v>
      </c>
      <c r="Q2626" s="49"/>
      <c r="R2626" s="49"/>
      <c r="S2626" s="55" t="s">
        <v>6781</v>
      </c>
      <c r="T2626" s="49"/>
      <c r="U2626" s="49"/>
      <c r="V2626" s="49"/>
      <c r="W2626" s="49"/>
      <c r="X2626" s="49" t="str">
        <f t="shared" si="3"/>
        <v>,</v>
      </c>
      <c r="Y2626" s="49"/>
      <c r="Z2626" s="1" t="s">
        <v>432</v>
      </c>
      <c r="AA2626" s="1" t="s">
        <v>4851</v>
      </c>
      <c r="AB2626" s="49"/>
      <c r="AC2626" s="49"/>
      <c r="AD2626" s="49"/>
      <c r="AE2626" s="49"/>
      <c r="AF2626" s="49" t="str">
        <f t="shared" si="4"/>
        <v>irrelevant,</v>
      </c>
      <c r="AG2626" s="49"/>
      <c r="AH2626" s="1" t="s">
        <v>1141</v>
      </c>
      <c r="AI2626" s="1" t="s">
        <v>3565</v>
      </c>
      <c r="AJ2626" s="6">
        <f>IFERROR(__xludf.DUMMYFUNCTION("""COMPUTED_VALUE"""),96.0)</f>
        <v>96</v>
      </c>
      <c r="AK2626" s="49"/>
      <c r="AL2626" s="49"/>
      <c r="AM2626" s="49"/>
      <c r="AN2626" s="52" t="str">
        <f t="shared" si="5"/>
        <v>term,</v>
      </c>
    </row>
    <row r="2627">
      <c r="A2627" s="51"/>
      <c r="B2627" s="50" t="s">
        <v>4863</v>
      </c>
      <c r="C2627" s="50" t="s">
        <v>6712</v>
      </c>
      <c r="D2627" s="49" t="str">
        <f>IFERROR(__xludf.DUMMYFUNCTION("""COMPUTED_VALUE"""),"anne")</f>
        <v>anne</v>
      </c>
      <c r="E2627" s="49"/>
      <c r="F2627" s="49"/>
      <c r="G2627" s="49"/>
      <c r="H2627" s="54" t="str">
        <f t="shared" si="1"/>
        <v>sources,</v>
      </c>
      <c r="I2627" s="50"/>
      <c r="J2627" s="50" t="s">
        <v>7628</v>
      </c>
      <c r="K2627" s="50" t="s">
        <v>1344</v>
      </c>
      <c r="L2627" s="49"/>
      <c r="M2627" s="49"/>
      <c r="N2627" s="49"/>
      <c r="O2627" s="49"/>
      <c r="P2627" s="49" t="str">
        <f t="shared" si="2"/>
        <v>playboy,</v>
      </c>
      <c r="Q2627" s="49"/>
      <c r="R2627" s="49"/>
      <c r="S2627" s="55" t="s">
        <v>2548</v>
      </c>
      <c r="T2627" s="49"/>
      <c r="U2627" s="49"/>
      <c r="V2627" s="49"/>
      <c r="W2627" s="49"/>
      <c r="X2627" s="49" t="str">
        <f t="shared" si="3"/>
        <v>,</v>
      </c>
      <c r="Y2627" s="49"/>
      <c r="Z2627" s="1" t="s">
        <v>2129</v>
      </c>
      <c r="AA2627" s="1" t="s">
        <v>4853</v>
      </c>
      <c r="AB2627" s="49"/>
      <c r="AC2627" s="49"/>
      <c r="AD2627" s="49"/>
      <c r="AE2627" s="49"/>
      <c r="AF2627" s="49" t="str">
        <f t="shared" si="4"/>
        <v>moody,</v>
      </c>
      <c r="AG2627" s="49"/>
      <c r="AH2627" s="1" t="s">
        <v>4063</v>
      </c>
      <c r="AI2627" s="1" t="s">
        <v>6798</v>
      </c>
      <c r="AJ2627" s="6" t="str">
        <f>IFERROR(__xludf.DUMMYFUNCTION("""COMPUTED_VALUE"""),"instantly")</f>
        <v>instantly</v>
      </c>
      <c r="AK2627" s="49"/>
      <c r="AL2627" s="49"/>
      <c r="AM2627" s="49"/>
      <c r="AN2627" s="52" t="str">
        <f t="shared" si="5"/>
        <v>hall,</v>
      </c>
    </row>
    <row r="2628">
      <c r="A2628" s="51"/>
      <c r="B2628" s="50" t="s">
        <v>6637</v>
      </c>
      <c r="C2628" s="50" t="s">
        <v>5407</v>
      </c>
      <c r="D2628" s="49" t="str">
        <f>IFERROR(__xludf.DUMMYFUNCTION("""COMPUTED_VALUE"""),"rice")</f>
        <v>rice</v>
      </c>
      <c r="E2628" s="49"/>
      <c r="F2628" s="49"/>
      <c r="G2628" s="49"/>
      <c r="H2628" s="54" t="str">
        <f t="shared" si="1"/>
        <v>birthday,</v>
      </c>
      <c r="I2628" s="50"/>
      <c r="J2628" s="50" t="s">
        <v>2205</v>
      </c>
      <c r="K2628" s="50" t="s">
        <v>1269</v>
      </c>
      <c r="L2628" s="49"/>
      <c r="M2628" s="49"/>
      <c r="N2628" s="49"/>
      <c r="O2628" s="49"/>
      <c r="P2628" s="49" t="str">
        <f t="shared" si="2"/>
        <v>nerve,</v>
      </c>
      <c r="Q2628" s="49"/>
      <c r="R2628" s="49"/>
      <c r="S2628" s="55" t="s">
        <v>5151</v>
      </c>
      <c r="T2628" s="49"/>
      <c r="U2628" s="49"/>
      <c r="V2628" s="49"/>
      <c r="W2628" s="49"/>
      <c r="X2628" s="49" t="str">
        <f t="shared" si="3"/>
        <v>,</v>
      </c>
      <c r="Y2628" s="49"/>
      <c r="Z2628" s="1" t="s">
        <v>448</v>
      </c>
      <c r="AA2628" s="1" t="s">
        <v>4855</v>
      </c>
      <c r="AB2628" s="49"/>
      <c r="AC2628" s="49"/>
      <c r="AD2628" s="49"/>
      <c r="AE2628" s="49"/>
      <c r="AF2628" s="49" t="str">
        <f t="shared" si="4"/>
        <v>philosophical,</v>
      </c>
      <c r="AG2628" s="49"/>
      <c r="AH2628" s="1" t="s">
        <v>5758</v>
      </c>
      <c r="AI2628" s="1" t="s">
        <v>6799</v>
      </c>
      <c r="AJ2628" s="6" t="str">
        <f>IFERROR(__xludf.DUMMYFUNCTION("""COMPUTED_VALUE"""),"board")</f>
        <v>board</v>
      </c>
      <c r="AK2628" s="49"/>
      <c r="AL2628" s="49"/>
      <c r="AM2628" s="49"/>
      <c r="AN2628" s="52" t="str">
        <f t="shared" si="5"/>
        <v>recorded,</v>
      </c>
    </row>
    <row r="2629">
      <c r="A2629" s="51"/>
      <c r="B2629" s="50" t="s">
        <v>6915</v>
      </c>
      <c r="C2629" s="50" t="s">
        <v>5220</v>
      </c>
      <c r="D2629" s="49" t="str">
        <f>IFERROR(__xludf.DUMMYFUNCTION("""COMPUTED_VALUE"""),"super")</f>
        <v>super</v>
      </c>
      <c r="E2629" s="49"/>
      <c r="F2629" s="49"/>
      <c r="G2629" s="49"/>
      <c r="H2629" s="54" t="str">
        <f t="shared" si="1"/>
        <v>passed,</v>
      </c>
      <c r="I2629" s="50"/>
      <c r="J2629" s="50" t="s">
        <v>5225</v>
      </c>
      <c r="K2629" s="50" t="s">
        <v>5749</v>
      </c>
      <c r="L2629" s="49"/>
      <c r="M2629" s="49"/>
      <c r="N2629" s="49"/>
      <c r="O2629" s="49"/>
      <c r="P2629" s="49" t="str">
        <f t="shared" si="2"/>
        <v>recovery,</v>
      </c>
      <c r="Q2629" s="49"/>
      <c r="R2629" s="49"/>
      <c r="S2629" s="55" t="s">
        <v>6800</v>
      </c>
      <c r="T2629" s="49"/>
      <c r="U2629" s="49"/>
      <c r="V2629" s="49"/>
      <c r="W2629" s="49"/>
      <c r="X2629" s="49" t="str">
        <f t="shared" si="3"/>
        <v>,</v>
      </c>
      <c r="Y2629" s="49"/>
      <c r="Z2629" s="1" t="s">
        <v>994</v>
      </c>
      <c r="AA2629" s="1">
        <v>1975.0</v>
      </c>
      <c r="AB2629" s="49"/>
      <c r="AC2629" s="49"/>
      <c r="AD2629" s="49"/>
      <c r="AE2629" s="49"/>
      <c r="AF2629" s="49" t="str">
        <f t="shared" si="4"/>
        <v>depiction,</v>
      </c>
      <c r="AG2629" s="49"/>
      <c r="AH2629" s="1" t="s">
        <v>7015</v>
      </c>
      <c r="AI2629" s="1" t="s">
        <v>6801</v>
      </c>
      <c r="AJ2629" s="6" t="str">
        <f>IFERROR(__xludf.DUMMYFUNCTION("""COMPUTED_VALUE"""),"unknown")</f>
        <v>unknown</v>
      </c>
      <c r="AK2629" s="49"/>
      <c r="AL2629" s="49"/>
      <c r="AM2629" s="49"/>
      <c r="AN2629" s="52" t="str">
        <f t="shared" si="5"/>
        <v>argue,</v>
      </c>
    </row>
    <row r="2630">
      <c r="A2630" s="51"/>
      <c r="B2630" s="50" t="s">
        <v>857</v>
      </c>
      <c r="C2630" s="50" t="s">
        <v>5078</v>
      </c>
      <c r="D2630" s="49" t="str">
        <f>IFERROR(__xludf.DUMMYFUNCTION("""COMPUTED_VALUE"""),"dominated")</f>
        <v>dominated</v>
      </c>
      <c r="E2630" s="49"/>
      <c r="F2630" s="49"/>
      <c r="G2630" s="49"/>
      <c r="H2630" s="54" t="str">
        <f t="shared" si="1"/>
        <v>effort,</v>
      </c>
      <c r="I2630" s="50"/>
      <c r="J2630" s="50" t="s">
        <v>2253</v>
      </c>
      <c r="K2630" s="50" t="s">
        <v>4254</v>
      </c>
      <c r="L2630" s="49"/>
      <c r="M2630" s="49"/>
      <c r="N2630" s="49"/>
      <c r="O2630" s="49"/>
      <c r="P2630" s="49" t="str">
        <f t="shared" si="2"/>
        <v>yarn,</v>
      </c>
      <c r="Q2630" s="49"/>
      <c r="R2630" s="49"/>
      <c r="S2630" s="55" t="s">
        <v>4131</v>
      </c>
      <c r="T2630" s="49"/>
      <c r="U2630" s="49"/>
      <c r="V2630" s="49"/>
      <c r="W2630" s="49"/>
      <c r="X2630" s="49" t="str">
        <f t="shared" si="3"/>
        <v>,</v>
      </c>
      <c r="Y2630" s="49"/>
      <c r="Z2630" s="1" t="s">
        <v>3446</v>
      </c>
      <c r="AA2630" s="1" t="s">
        <v>5750</v>
      </c>
      <c r="AB2630" s="49"/>
      <c r="AC2630" s="49"/>
      <c r="AD2630" s="49"/>
      <c r="AE2630" s="49"/>
      <c r="AF2630" s="49" t="str">
        <f t="shared" si="4"/>
        <v>tortured,</v>
      </c>
      <c r="AG2630" s="49"/>
      <c r="AH2630" s="1" t="s">
        <v>6631</v>
      </c>
      <c r="AI2630" s="1" t="s">
        <v>5826</v>
      </c>
      <c r="AJ2630" s="6" t="str">
        <f>IFERROR(__xludf.DUMMYFUNCTION("""COMPUTED_VALUE"""),"closer")</f>
        <v>closer</v>
      </c>
      <c r="AK2630" s="49"/>
      <c r="AL2630" s="49"/>
      <c r="AM2630" s="49"/>
      <c r="AN2630" s="52" t="str">
        <f t="shared" si="5"/>
        <v>books,</v>
      </c>
    </row>
    <row r="2631">
      <c r="A2631" s="51"/>
      <c r="B2631" s="50" t="s">
        <v>3095</v>
      </c>
      <c r="C2631" s="50" t="s">
        <v>3587</v>
      </c>
      <c r="D2631" s="49" t="str">
        <f>IFERROR(__xludf.DUMMYFUNCTION("""COMPUTED_VALUE"""),"charged")</f>
        <v>charged</v>
      </c>
      <c r="E2631" s="49"/>
      <c r="F2631" s="49"/>
      <c r="G2631" s="49"/>
      <c r="H2631" s="54" t="str">
        <f t="shared" si="1"/>
        <v>spike,</v>
      </c>
      <c r="I2631" s="50"/>
      <c r="J2631" s="50" t="s">
        <v>7590</v>
      </c>
      <c r="K2631" s="50" t="s">
        <v>3992</v>
      </c>
      <c r="L2631" s="49"/>
      <c r="M2631" s="49"/>
      <c r="N2631" s="49"/>
      <c r="O2631" s="49"/>
      <c r="P2631" s="49" t="str">
        <f t="shared" si="2"/>
        <v>ga,</v>
      </c>
      <c r="Q2631" s="49"/>
      <c r="R2631" s="49"/>
      <c r="S2631" s="55" t="s">
        <v>6802</v>
      </c>
      <c r="T2631" s="49"/>
      <c r="U2631" s="49"/>
      <c r="V2631" s="49"/>
      <c r="W2631" s="49"/>
      <c r="X2631" s="49" t="str">
        <f t="shared" si="3"/>
        <v>,</v>
      </c>
      <c r="Y2631" s="49"/>
      <c r="Z2631" s="1" t="s">
        <v>4441</v>
      </c>
      <c r="AA2631" s="1" t="s">
        <v>5752</v>
      </c>
      <c r="AB2631" s="49"/>
      <c r="AC2631" s="49"/>
      <c r="AD2631" s="49"/>
      <c r="AE2631" s="49"/>
      <c r="AF2631" s="49" t="str">
        <f t="shared" si="4"/>
        <v>proud,</v>
      </c>
      <c r="AG2631" s="49"/>
      <c r="AH2631" s="1" t="s">
        <v>2779</v>
      </c>
      <c r="AI2631" s="1" t="s">
        <v>6803</v>
      </c>
      <c r="AJ2631" s="6" t="str">
        <f>IFERROR(__xludf.DUMMYFUNCTION("""COMPUTED_VALUE"""),"drop")</f>
        <v>drop</v>
      </c>
      <c r="AK2631" s="49"/>
      <c r="AL2631" s="49"/>
      <c r="AM2631" s="49"/>
      <c r="AN2631" s="52" t="str">
        <f t="shared" si="5"/>
        <v>section,</v>
      </c>
    </row>
    <row r="2632">
      <c r="A2632" s="51"/>
      <c r="B2632" s="50" t="s">
        <v>6809</v>
      </c>
      <c r="C2632" s="50" t="s">
        <v>6713</v>
      </c>
      <c r="D2632" s="49">
        <f>IFERROR(__xludf.DUMMYFUNCTION("""COMPUTED_VALUE"""),1980.0)</f>
        <v>1980</v>
      </c>
      <c r="E2632" s="49"/>
      <c r="F2632" s="49"/>
      <c r="G2632" s="49"/>
      <c r="H2632" s="54" t="str">
        <f t="shared" si="1"/>
        <v>awards,</v>
      </c>
      <c r="I2632" s="50"/>
      <c r="J2632" s="50" t="s">
        <v>4475</v>
      </c>
      <c r="K2632" s="50" t="s">
        <v>1187</v>
      </c>
      <c r="L2632" s="49"/>
      <c r="M2632" s="49"/>
      <c r="N2632" s="49"/>
      <c r="O2632" s="49"/>
      <c r="P2632" s="49" t="str">
        <f t="shared" si="2"/>
        <v>confidently,</v>
      </c>
      <c r="Q2632" s="49"/>
      <c r="R2632" s="49"/>
      <c r="S2632" s="55" t="s">
        <v>4041</v>
      </c>
      <c r="T2632" s="49"/>
      <c r="U2632" s="49"/>
      <c r="V2632" s="49"/>
      <c r="W2632" s="49"/>
      <c r="X2632" s="49" t="str">
        <f t="shared" si="3"/>
        <v>,</v>
      </c>
      <c r="Y2632" s="49"/>
      <c r="Z2632" s="1" t="s">
        <v>381</v>
      </c>
      <c r="AA2632" s="1" t="s">
        <v>5754</v>
      </c>
      <c r="AB2632" s="49"/>
      <c r="AC2632" s="49"/>
      <c r="AD2632" s="49"/>
      <c r="AE2632" s="49"/>
      <c r="AF2632" s="49" t="str">
        <f t="shared" si="4"/>
        <v>avoids,</v>
      </c>
      <c r="AG2632" s="49"/>
      <c r="AH2632" s="1" t="s">
        <v>5987</v>
      </c>
      <c r="AI2632" s="1" t="s">
        <v>6804</v>
      </c>
      <c r="AJ2632" s="6" t="str">
        <f>IFERROR(__xludf.DUMMYFUNCTION("""COMPUTED_VALUE"""),"faced")</f>
        <v>faced</v>
      </c>
      <c r="AK2632" s="49"/>
      <c r="AL2632" s="49"/>
      <c r="AM2632" s="49"/>
      <c r="AN2632" s="52" t="str">
        <f t="shared" si="5"/>
        <v>manual,</v>
      </c>
    </row>
    <row r="2633">
      <c r="A2633" s="51"/>
      <c r="B2633" s="50" t="s">
        <v>413</v>
      </c>
      <c r="C2633" s="50" t="s">
        <v>3348</v>
      </c>
      <c r="D2633" s="49" t="str">
        <f>IFERROR(__xludf.DUMMYFUNCTION("""COMPUTED_VALUE"""),"adam")</f>
        <v>adam</v>
      </c>
      <c r="E2633" s="49"/>
      <c r="F2633" s="49"/>
      <c r="G2633" s="49"/>
      <c r="H2633" s="54" t="str">
        <f t="shared" si="1"/>
        <v>decide,</v>
      </c>
      <c r="I2633" s="50"/>
      <c r="J2633" s="50" t="s">
        <v>3827</v>
      </c>
      <c r="K2633" s="50" t="s">
        <v>5275</v>
      </c>
      <c r="L2633" s="49"/>
      <c r="M2633" s="49"/>
      <c r="N2633" s="49"/>
      <c r="O2633" s="49"/>
      <c r="P2633" s="49" t="str">
        <f t="shared" si="2"/>
        <v>access,</v>
      </c>
      <c r="Q2633" s="49"/>
      <c r="R2633" s="49"/>
      <c r="S2633" s="55" t="s">
        <v>1210</v>
      </c>
      <c r="T2633" s="49"/>
      <c r="U2633" s="49"/>
      <c r="V2633" s="49"/>
      <c r="W2633" s="49"/>
      <c r="X2633" s="49" t="str">
        <f t="shared" si="3"/>
        <v>,</v>
      </c>
      <c r="Y2633" s="49"/>
      <c r="Z2633" s="1" t="s">
        <v>3465</v>
      </c>
      <c r="AA2633" s="1" t="s">
        <v>3836</v>
      </c>
      <c r="AB2633" s="49"/>
      <c r="AC2633" s="49"/>
      <c r="AD2633" s="49"/>
      <c r="AE2633" s="49"/>
      <c r="AF2633" s="49" t="str">
        <f t="shared" si="4"/>
        <v>span,</v>
      </c>
      <c r="AG2633" s="49"/>
      <c r="AH2633" s="1" t="s">
        <v>655</v>
      </c>
      <c r="AI2633" s="1" t="s">
        <v>5688</v>
      </c>
      <c r="AJ2633" s="6" t="str">
        <f>IFERROR(__xludf.DUMMYFUNCTION("""COMPUTED_VALUE"""),"jane")</f>
        <v>jane</v>
      </c>
      <c r="AK2633" s="49"/>
      <c r="AL2633" s="49"/>
      <c r="AM2633" s="49"/>
      <c r="AN2633" s="52" t="str">
        <f t="shared" si="5"/>
        <v>capable,</v>
      </c>
    </row>
    <row r="2634">
      <c r="A2634" s="51"/>
      <c r="B2634" s="50" t="s">
        <v>1786</v>
      </c>
      <c r="C2634" s="50" t="s">
        <v>6714</v>
      </c>
      <c r="D2634" s="49" t="str">
        <f>IFERROR(__xludf.DUMMYFUNCTION("""COMPUTED_VALUE"""),"finishing")</f>
        <v>finishing</v>
      </c>
      <c r="E2634" s="49"/>
      <c r="F2634" s="49"/>
      <c r="G2634" s="49"/>
      <c r="H2634" s="54" t="str">
        <f t="shared" si="1"/>
        <v>pleasant,</v>
      </c>
      <c r="I2634" s="50"/>
      <c r="J2634" s="50" t="s">
        <v>4613</v>
      </c>
      <c r="K2634" s="50" t="s">
        <v>1351</v>
      </c>
      <c r="L2634" s="49"/>
      <c r="M2634" s="49"/>
      <c r="N2634" s="49"/>
      <c r="O2634" s="49"/>
      <c r="P2634" s="49" t="str">
        <f t="shared" si="2"/>
        <v>clyde,</v>
      </c>
      <c r="Q2634" s="49"/>
      <c r="R2634" s="49"/>
      <c r="S2634" s="55" t="s">
        <v>5156</v>
      </c>
      <c r="T2634" s="49"/>
      <c r="U2634" s="49"/>
      <c r="V2634" s="49"/>
      <c r="W2634" s="49"/>
      <c r="X2634" s="49" t="str">
        <f t="shared" si="3"/>
        <v>,</v>
      </c>
      <c r="Y2634" s="49"/>
      <c r="Z2634" s="1" t="s">
        <v>945</v>
      </c>
      <c r="AA2634" s="1" t="s">
        <v>4863</v>
      </c>
      <c r="AB2634" s="49"/>
      <c r="AC2634" s="49"/>
      <c r="AD2634" s="49"/>
      <c r="AE2634" s="49"/>
      <c r="AF2634" s="49" t="str">
        <f t="shared" si="4"/>
        <v>structured,</v>
      </c>
      <c r="AG2634" s="49"/>
      <c r="AH2634" s="1" t="s">
        <v>2214</v>
      </c>
      <c r="AI2634" s="1" t="s">
        <v>6805</v>
      </c>
      <c r="AJ2634" s="6" t="str">
        <f>IFERROR(__xludf.DUMMYFUNCTION("""COMPUTED_VALUE"""),"extreme")</f>
        <v>extreme</v>
      </c>
      <c r="AK2634" s="49"/>
      <c r="AL2634" s="49"/>
      <c r="AM2634" s="49"/>
      <c r="AN2634" s="52" t="str">
        <f t="shared" si="5"/>
        <v>sum,</v>
      </c>
    </row>
    <row r="2635">
      <c r="A2635" s="51"/>
      <c r="B2635" s="50" t="s">
        <v>7029</v>
      </c>
      <c r="C2635" s="50" t="s">
        <v>6715</v>
      </c>
      <c r="D2635" s="49" t="str">
        <f>IFERROR(__xludf.DUMMYFUNCTION("""COMPUTED_VALUE"""),"surveillance")</f>
        <v>surveillance</v>
      </c>
      <c r="E2635" s="49"/>
      <c r="F2635" s="49"/>
      <c r="G2635" s="49"/>
      <c r="H2635" s="54" t="str">
        <f t="shared" si="1"/>
        <v>sixth,</v>
      </c>
      <c r="I2635" s="50"/>
      <c r="J2635" s="50" t="s">
        <v>4986</v>
      </c>
      <c r="K2635" s="50" t="s">
        <v>5346</v>
      </c>
      <c r="L2635" s="49"/>
      <c r="M2635" s="49"/>
      <c r="N2635" s="49"/>
      <c r="O2635" s="49"/>
      <c r="P2635" s="49" t="str">
        <f t="shared" si="2"/>
        <v>placement,</v>
      </c>
      <c r="Q2635" s="49"/>
      <c r="R2635" s="49"/>
      <c r="S2635" s="55" t="s">
        <v>2311</v>
      </c>
      <c r="T2635" s="49"/>
      <c r="U2635" s="49"/>
      <c r="V2635" s="49"/>
      <c r="W2635" s="49"/>
      <c r="X2635" s="49" t="str">
        <f t="shared" si="3"/>
        <v>,</v>
      </c>
      <c r="Y2635" s="49"/>
      <c r="Z2635" s="1" t="s">
        <v>1993</v>
      </c>
      <c r="AA2635" s="1" t="s">
        <v>3077</v>
      </c>
      <c r="AB2635" s="49"/>
      <c r="AC2635" s="49"/>
      <c r="AD2635" s="49"/>
      <c r="AE2635" s="49"/>
      <c r="AF2635" s="49" t="str">
        <f t="shared" si="4"/>
        <v>significantly,</v>
      </c>
      <c r="AG2635" s="49"/>
      <c r="AH2635" s="1" t="s">
        <v>4124</v>
      </c>
      <c r="AI2635" s="1" t="s">
        <v>5247</v>
      </c>
      <c r="AJ2635" s="6" t="str">
        <f>IFERROR(__xludf.DUMMYFUNCTION("""COMPUTED_VALUE"""),"bank")</f>
        <v>bank</v>
      </c>
      <c r="AK2635" s="49"/>
      <c r="AL2635" s="49"/>
      <c r="AM2635" s="49"/>
      <c r="AN2635" s="52" t="str">
        <f t="shared" si="5"/>
        <v>wondered,</v>
      </c>
    </row>
    <row r="2636">
      <c r="A2636" s="51"/>
      <c r="B2636" s="50" t="s">
        <v>5433</v>
      </c>
      <c r="C2636" s="50" t="s">
        <v>3846</v>
      </c>
      <c r="D2636" s="49" t="str">
        <f>IFERROR(__xludf.DUMMYFUNCTION("""COMPUTED_VALUE"""),"technique")</f>
        <v>technique</v>
      </c>
      <c r="E2636" s="49"/>
      <c r="F2636" s="49"/>
      <c r="G2636" s="49"/>
      <c r="H2636" s="54" t="str">
        <f t="shared" si="1"/>
        <v>signals,</v>
      </c>
      <c r="I2636" s="50"/>
      <c r="J2636" s="50" t="s">
        <v>1366</v>
      </c>
      <c r="K2636" s="50" t="s">
        <v>1354</v>
      </c>
      <c r="L2636" s="49"/>
      <c r="M2636" s="49"/>
      <c r="N2636" s="49"/>
      <c r="O2636" s="49"/>
      <c r="P2636" s="49" t="str">
        <f t="shared" si="2"/>
        <v>diary,</v>
      </c>
      <c r="Q2636" s="49"/>
      <c r="R2636" s="49"/>
      <c r="S2636" s="55" t="s">
        <v>6782</v>
      </c>
      <c r="T2636" s="49"/>
      <c r="U2636" s="49"/>
      <c r="V2636" s="49"/>
      <c r="W2636" s="49"/>
      <c r="X2636" s="49" t="str">
        <f t="shared" si="3"/>
        <v>,</v>
      </c>
      <c r="Y2636" s="49"/>
      <c r="Z2636" s="1" t="s">
        <v>3288</v>
      </c>
      <c r="AA2636" s="1" t="s">
        <v>4865</v>
      </c>
      <c r="AB2636" s="49"/>
      <c r="AC2636" s="49"/>
      <c r="AD2636" s="49"/>
      <c r="AE2636" s="49"/>
      <c r="AF2636" s="49" t="str">
        <f t="shared" si="4"/>
        <v>intimacy,</v>
      </c>
      <c r="AG2636" s="49"/>
      <c r="AH2636" s="1" t="s">
        <v>2914</v>
      </c>
      <c r="AI2636" s="1" t="s">
        <v>5212</v>
      </c>
      <c r="AJ2636" s="6" t="str">
        <f>IFERROR(__xludf.DUMMYFUNCTION("""COMPUTED_VALUE"""),"listen")</f>
        <v>listen</v>
      </c>
      <c r="AK2636" s="49"/>
      <c r="AL2636" s="49"/>
      <c r="AM2636" s="49"/>
      <c r="AN2636" s="52" t="str">
        <f t="shared" si="5"/>
        <v>themes,</v>
      </c>
    </row>
    <row r="2637">
      <c r="A2637" s="51"/>
      <c r="B2637" s="50" t="s">
        <v>3320</v>
      </c>
      <c r="C2637" s="50" t="s">
        <v>3554</v>
      </c>
      <c r="D2637" s="49" t="str">
        <f>IFERROR(__xludf.DUMMYFUNCTION("""COMPUTED_VALUE"""),"gun")</f>
        <v>gun</v>
      </c>
      <c r="E2637" s="49"/>
      <c r="F2637" s="49"/>
      <c r="G2637" s="49"/>
      <c r="H2637" s="54" t="str">
        <f t="shared" si="1"/>
        <v>spring,</v>
      </c>
      <c r="I2637" s="50"/>
      <c r="J2637" s="50" t="s">
        <v>1705</v>
      </c>
      <c r="K2637" s="50" t="s">
        <v>2439</v>
      </c>
      <c r="L2637" s="49"/>
      <c r="M2637" s="49"/>
      <c r="N2637" s="49"/>
      <c r="O2637" s="49"/>
      <c r="P2637" s="49" t="str">
        <f t="shared" si="2"/>
        <v>hitler,</v>
      </c>
      <c r="Q2637" s="49"/>
      <c r="R2637" s="49"/>
      <c r="S2637" s="55" t="s">
        <v>2315</v>
      </c>
      <c r="T2637" s="49"/>
      <c r="U2637" s="49"/>
      <c r="V2637" s="49"/>
      <c r="W2637" s="49"/>
      <c r="X2637" s="49" t="str">
        <f t="shared" si="3"/>
        <v>,</v>
      </c>
      <c r="Y2637" s="49"/>
      <c r="Z2637" s="1" t="s">
        <v>1340</v>
      </c>
      <c r="AA2637" s="1" t="s">
        <v>4866</v>
      </c>
      <c r="AB2637" s="49"/>
      <c r="AC2637" s="49"/>
      <c r="AD2637" s="49"/>
      <c r="AE2637" s="49"/>
      <c r="AF2637" s="49" t="str">
        <f t="shared" si="4"/>
        <v>bracing,</v>
      </c>
      <c r="AG2637" s="49"/>
      <c r="AH2637" s="1" t="s">
        <v>4109</v>
      </c>
      <c r="AI2637" s="1" t="s">
        <v>6806</v>
      </c>
      <c r="AJ2637" s="6" t="str">
        <f>IFERROR(__xludf.DUMMYFUNCTION("""COMPUTED_VALUE"""),"parker")</f>
        <v>parker</v>
      </c>
      <c r="AK2637" s="49"/>
      <c r="AL2637" s="49"/>
      <c r="AM2637" s="49"/>
      <c r="AN2637" s="52" t="str">
        <f t="shared" si="5"/>
        <v>w,</v>
      </c>
    </row>
    <row r="2638">
      <c r="A2638" s="51"/>
      <c r="B2638" s="50" t="s">
        <v>6817</v>
      </c>
      <c r="C2638" s="50" t="s">
        <v>4678</v>
      </c>
      <c r="D2638" s="49" t="str">
        <f>IFERROR(__xludf.DUMMYFUNCTION("""COMPUTED_VALUE"""),"taylor")</f>
        <v>taylor</v>
      </c>
      <c r="E2638" s="49"/>
      <c r="F2638" s="49"/>
      <c r="G2638" s="49"/>
      <c r="H2638" s="54" t="str">
        <f t="shared" si="1"/>
        <v>eleven,</v>
      </c>
      <c r="I2638" s="50"/>
      <c r="J2638" s="50" t="s">
        <v>5943</v>
      </c>
      <c r="K2638" s="50" t="s">
        <v>4257</v>
      </c>
      <c r="L2638" s="49"/>
      <c r="M2638" s="49"/>
      <c r="N2638" s="49"/>
      <c r="O2638" s="49"/>
      <c r="P2638" s="49" t="str">
        <f t="shared" si="2"/>
        <v>pawn,</v>
      </c>
      <c r="Q2638" s="49"/>
      <c r="R2638" s="49"/>
      <c r="S2638" s="55" t="s">
        <v>6783</v>
      </c>
      <c r="T2638" s="49"/>
      <c r="U2638" s="49"/>
      <c r="V2638" s="49"/>
      <c r="W2638" s="49"/>
      <c r="X2638" s="49" t="str">
        <f t="shared" si="3"/>
        <v>,</v>
      </c>
      <c r="Y2638" s="49"/>
      <c r="Z2638" s="1" t="s">
        <v>3611</v>
      </c>
      <c r="AA2638" s="1" t="s">
        <v>4868</v>
      </c>
      <c r="AB2638" s="49"/>
      <c r="AC2638" s="49"/>
      <c r="AD2638" s="49"/>
      <c r="AE2638" s="49"/>
      <c r="AF2638" s="49" t="str">
        <f t="shared" si="4"/>
        <v>ache,</v>
      </c>
      <c r="AG2638" s="49"/>
      <c r="AH2638" s="1" t="s">
        <v>2493</v>
      </c>
      <c r="AI2638" s="1" t="s">
        <v>4367</v>
      </c>
      <c r="AJ2638" s="6" t="str">
        <f>IFERROR(__xludf.DUMMYFUNCTION("""COMPUTED_VALUE"""),"presented")</f>
        <v>presented</v>
      </c>
      <c r="AK2638" s="49"/>
      <c r="AL2638" s="49"/>
      <c r="AM2638" s="49"/>
      <c r="AN2638" s="52" t="str">
        <f t="shared" si="5"/>
        <v>changing,</v>
      </c>
    </row>
    <row r="2639">
      <c r="A2639" s="51"/>
      <c r="B2639" s="50" t="s">
        <v>5163</v>
      </c>
      <c r="C2639" s="50" t="s">
        <v>1719</v>
      </c>
      <c r="D2639" s="49" t="str">
        <f>IFERROR(__xludf.DUMMYFUNCTION("""COMPUTED_VALUE"""),"harvard")</f>
        <v>harvard</v>
      </c>
      <c r="E2639" s="49"/>
      <c r="F2639" s="49"/>
      <c r="G2639" s="49"/>
      <c r="H2639" s="54" t="str">
        <f t="shared" si="1"/>
        <v>steam,</v>
      </c>
      <c r="I2639" s="50"/>
      <c r="J2639" s="50" t="s">
        <v>1323</v>
      </c>
      <c r="K2639" s="50" t="s">
        <v>4258</v>
      </c>
      <c r="L2639" s="49"/>
      <c r="M2639" s="49"/>
      <c r="N2639" s="49"/>
      <c r="O2639" s="49"/>
      <c r="P2639" s="49" t="str">
        <f t="shared" si="2"/>
        <v>propaganda,</v>
      </c>
      <c r="Q2639" s="49"/>
      <c r="R2639" s="49"/>
      <c r="S2639" s="55" t="s">
        <v>1217</v>
      </c>
      <c r="T2639" s="49"/>
      <c r="U2639" s="49"/>
      <c r="V2639" s="49"/>
      <c r="W2639" s="49"/>
      <c r="X2639" s="49" t="str">
        <f t="shared" si="3"/>
        <v>,</v>
      </c>
      <c r="Y2639" s="49"/>
      <c r="Z2639" s="1" t="s">
        <v>2147</v>
      </c>
      <c r="AA2639" s="1" t="s">
        <v>4870</v>
      </c>
      <c r="AB2639" s="49"/>
      <c r="AC2639" s="49"/>
      <c r="AD2639" s="49"/>
      <c r="AE2639" s="49"/>
      <c r="AF2639" s="49" t="str">
        <f t="shared" si="4"/>
        <v>observations,</v>
      </c>
      <c r="AG2639" s="49"/>
      <c r="AH2639" s="1" t="s">
        <v>3836</v>
      </c>
      <c r="AI2639" s="1" t="s">
        <v>5216</v>
      </c>
      <c r="AJ2639" s="6" t="str">
        <f>IFERROR(__xludf.DUMMYFUNCTION("""COMPUTED_VALUE"""),"duke")</f>
        <v>duke</v>
      </c>
      <c r="AK2639" s="49"/>
      <c r="AL2639" s="49"/>
      <c r="AM2639" s="49"/>
      <c r="AN2639" s="52" t="str">
        <f t="shared" si="5"/>
        <v>normally,</v>
      </c>
    </row>
    <row r="2640">
      <c r="A2640" s="51"/>
      <c r="B2640" s="50" t="s">
        <v>2492</v>
      </c>
      <c r="C2640" s="50" t="s">
        <v>4929</v>
      </c>
      <c r="D2640" s="49" t="str">
        <f>IFERROR(__xludf.DUMMYFUNCTION("""COMPUTED_VALUE"""),"reynolds")</f>
        <v>reynolds</v>
      </c>
      <c r="E2640" s="49"/>
      <c r="F2640" s="49"/>
      <c r="G2640" s="49"/>
      <c r="H2640" s="54" t="str">
        <f t="shared" si="1"/>
        <v>aimed,</v>
      </c>
      <c r="I2640" s="50"/>
      <c r="J2640" s="50" t="s">
        <v>4646</v>
      </c>
      <c r="K2640" s="50" t="s">
        <v>1358</v>
      </c>
      <c r="L2640" s="49"/>
      <c r="M2640" s="49"/>
      <c r="N2640" s="49"/>
      <c r="O2640" s="49"/>
      <c r="P2640" s="49" t="str">
        <f t="shared" si="2"/>
        <v>outcome,</v>
      </c>
      <c r="Q2640" s="49"/>
      <c r="R2640" s="49"/>
      <c r="S2640" s="55" t="s">
        <v>5640</v>
      </c>
      <c r="T2640" s="49"/>
      <c r="U2640" s="49"/>
      <c r="V2640" s="49"/>
      <c r="W2640" s="49"/>
      <c r="X2640" s="49" t="str">
        <f t="shared" si="3"/>
        <v>,</v>
      </c>
      <c r="Y2640" s="49"/>
      <c r="Z2640" s="1" t="s">
        <v>2792</v>
      </c>
      <c r="AA2640" s="1" t="s">
        <v>3083</v>
      </c>
      <c r="AB2640" s="49"/>
      <c r="AC2640" s="49"/>
      <c r="AD2640" s="49"/>
      <c r="AE2640" s="49"/>
      <c r="AF2640" s="49" t="str">
        <f t="shared" si="4"/>
        <v>consequences,</v>
      </c>
      <c r="AG2640" s="49"/>
      <c r="AH2640" s="1">
        <v>25.0</v>
      </c>
      <c r="AI2640" s="1" t="s">
        <v>4415</v>
      </c>
      <c r="AJ2640" s="6" t="str">
        <f>IFERROR(__xludf.DUMMYFUNCTION("""COMPUTED_VALUE"""),"website")</f>
        <v>website</v>
      </c>
      <c r="AK2640" s="49"/>
      <c r="AL2640" s="49"/>
      <c r="AM2640" s="49"/>
      <c r="AN2640" s="52" t="str">
        <f t="shared" si="5"/>
        <v>25,</v>
      </c>
    </row>
    <row r="2641">
      <c r="A2641" s="51"/>
      <c r="B2641" s="50" t="s">
        <v>2878</v>
      </c>
      <c r="C2641" s="50" t="s">
        <v>5417</v>
      </c>
      <c r="D2641" s="49" t="str">
        <f>IFERROR(__xludf.DUMMYFUNCTION("""COMPUTED_VALUE"""),"aspect")</f>
        <v>aspect</v>
      </c>
      <c r="E2641" s="49"/>
      <c r="F2641" s="49"/>
      <c r="G2641" s="49"/>
      <c r="H2641" s="54" t="str">
        <f t="shared" si="1"/>
        <v>pieces,</v>
      </c>
      <c r="I2641" s="50"/>
      <c r="J2641" s="50" t="s">
        <v>2061</v>
      </c>
      <c r="K2641" s="50" t="s">
        <v>2445</v>
      </c>
      <c r="L2641" s="49"/>
      <c r="M2641" s="49"/>
      <c r="N2641" s="49"/>
      <c r="O2641" s="49"/>
      <c r="P2641" s="49" t="str">
        <f t="shared" si="2"/>
        <v>strengths,</v>
      </c>
      <c r="Q2641" s="49"/>
      <c r="R2641" s="49"/>
      <c r="S2641" s="55" t="s">
        <v>5158</v>
      </c>
      <c r="T2641" s="49"/>
      <c r="U2641" s="49"/>
      <c r="V2641" s="49"/>
      <c r="W2641" s="49"/>
      <c r="X2641" s="49" t="str">
        <f t="shared" si="3"/>
        <v>,</v>
      </c>
      <c r="Y2641" s="49"/>
      <c r="Z2641" s="1" t="s">
        <v>5347</v>
      </c>
      <c r="AA2641" s="1" t="s">
        <v>3086</v>
      </c>
      <c r="AB2641" s="49"/>
      <c r="AC2641" s="49"/>
      <c r="AD2641" s="49"/>
      <c r="AE2641" s="49"/>
      <c r="AF2641" s="49" t="str">
        <f t="shared" si="4"/>
        <v>severe,</v>
      </c>
      <c r="AG2641" s="49"/>
      <c r="AH2641" s="1" t="s">
        <v>6581</v>
      </c>
      <c r="AI2641" s="1" t="s">
        <v>3568</v>
      </c>
      <c r="AJ2641" s="6" t="str">
        <f>IFERROR(__xludf.DUMMYFUNCTION("""COMPUTED_VALUE"""),"uncle")</f>
        <v>uncle</v>
      </c>
      <c r="AK2641" s="49"/>
      <c r="AL2641" s="49"/>
      <c r="AM2641" s="49"/>
      <c r="AN2641" s="52" t="str">
        <f t="shared" si="5"/>
        <v>paid,</v>
      </c>
    </row>
    <row r="2642">
      <c r="A2642" s="51"/>
      <c r="B2642" s="50" t="s">
        <v>3930</v>
      </c>
      <c r="C2642" s="50" t="s">
        <v>3365</v>
      </c>
      <c r="D2642" s="49" t="str">
        <f>IFERROR(__xludf.DUMMYFUNCTION("""COMPUTED_VALUE"""),"tomorrow")</f>
        <v>tomorrow</v>
      </c>
      <c r="E2642" s="49"/>
      <c r="F2642" s="49"/>
      <c r="G2642" s="49"/>
      <c r="H2642" s="54" t="str">
        <f t="shared" si="1"/>
        <v>thoughts,</v>
      </c>
      <c r="I2642" s="50"/>
      <c r="J2642" s="50" t="s">
        <v>1445</v>
      </c>
      <c r="K2642" s="50" t="s">
        <v>2448</v>
      </c>
      <c r="L2642" s="49"/>
      <c r="M2642" s="49"/>
      <c r="N2642" s="49"/>
      <c r="O2642" s="49"/>
      <c r="P2642" s="49" t="str">
        <f t="shared" si="2"/>
        <v>heroic,</v>
      </c>
      <c r="Q2642" s="49"/>
      <c r="R2642" s="49"/>
      <c r="S2642" s="55" t="s">
        <v>1224</v>
      </c>
      <c r="T2642" s="49"/>
      <c r="U2642" s="49"/>
      <c r="V2642" s="49"/>
      <c r="W2642" s="49"/>
      <c r="X2642" s="49" t="str">
        <f t="shared" si="3"/>
        <v>,</v>
      </c>
      <c r="Y2642" s="49"/>
      <c r="Z2642" s="1" t="s">
        <v>1480</v>
      </c>
      <c r="AA2642" s="1" t="s">
        <v>5760</v>
      </c>
      <c r="AB2642" s="49"/>
      <c r="AC2642" s="49"/>
      <c r="AD2642" s="49"/>
      <c r="AE2642" s="49"/>
      <c r="AF2642" s="49" t="str">
        <f t="shared" si="4"/>
        <v>classical,</v>
      </c>
      <c r="AG2642" s="49"/>
      <c r="AH2642" s="1" t="s">
        <v>6510</v>
      </c>
      <c r="AI2642" s="1" t="s">
        <v>5837</v>
      </c>
      <c r="AJ2642" s="6" t="str">
        <f>IFERROR(__xludf.DUMMYFUNCTION("""COMPUTED_VALUE"""),"manner")</f>
        <v>manner</v>
      </c>
      <c r="AK2642" s="49"/>
      <c r="AL2642" s="49"/>
      <c r="AM2642" s="49"/>
      <c r="AN2642" s="52" t="str">
        <f t="shared" si="5"/>
        <v>atmosphere,</v>
      </c>
    </row>
    <row r="2643">
      <c r="A2643" s="51"/>
      <c r="B2643" s="50" t="s">
        <v>2494</v>
      </c>
      <c r="C2643" s="50" t="s">
        <v>6716</v>
      </c>
      <c r="D2643" s="49" t="str">
        <f>IFERROR(__xludf.DUMMYFUNCTION("""COMPUTED_VALUE"""),"forth")</f>
        <v>forth</v>
      </c>
      <c r="E2643" s="49"/>
      <c r="F2643" s="49"/>
      <c r="G2643" s="49"/>
      <c r="H2643" s="54" t="str">
        <f t="shared" si="1"/>
        <v>invited,</v>
      </c>
      <c r="I2643" s="50"/>
      <c r="J2643" s="50" t="s">
        <v>2619</v>
      </c>
      <c r="K2643" s="50" t="s">
        <v>1624</v>
      </c>
      <c r="L2643" s="49"/>
      <c r="M2643" s="49"/>
      <c r="N2643" s="49"/>
      <c r="O2643" s="49"/>
      <c r="P2643" s="49" t="str">
        <f t="shared" si="2"/>
        <v>characterized,</v>
      </c>
      <c r="Q2643" s="49"/>
      <c r="R2643" s="49"/>
      <c r="S2643" s="55" t="s">
        <v>4800</v>
      </c>
      <c r="T2643" s="49"/>
      <c r="U2643" s="49"/>
      <c r="V2643" s="49"/>
      <c r="W2643" s="49"/>
      <c r="X2643" s="49" t="str">
        <f t="shared" si="3"/>
        <v>,</v>
      </c>
      <c r="Y2643" s="49"/>
      <c r="Z2643" s="1" t="s">
        <v>1774</v>
      </c>
      <c r="AA2643" s="1" t="s">
        <v>5762</v>
      </c>
      <c r="AB2643" s="49"/>
      <c r="AC2643" s="49"/>
      <c r="AD2643" s="49"/>
      <c r="AE2643" s="49"/>
      <c r="AF2643" s="49" t="str">
        <f t="shared" si="4"/>
        <v>learning,</v>
      </c>
      <c r="AG2643" s="49"/>
      <c r="AH2643" s="1" t="s">
        <v>2550</v>
      </c>
      <c r="AI2643" s="1" t="s">
        <v>3569</v>
      </c>
      <c r="AJ2643" s="6" t="str">
        <f>IFERROR(__xludf.DUMMYFUNCTION("""COMPUTED_VALUE"""),"connect")</f>
        <v>connect</v>
      </c>
      <c r="AK2643" s="49"/>
      <c r="AL2643" s="49"/>
      <c r="AM2643" s="49"/>
      <c r="AN2643" s="52" t="str">
        <f t="shared" si="5"/>
        <v>seat,</v>
      </c>
    </row>
    <row r="2644">
      <c r="A2644" s="51"/>
      <c r="B2644" s="50" t="s">
        <v>2193</v>
      </c>
      <c r="C2644" s="50" t="s">
        <v>5059</v>
      </c>
      <c r="D2644" s="49" t="str">
        <f>IFERROR(__xludf.DUMMYFUNCTION("""COMPUTED_VALUE"""),"collected")</f>
        <v>collected</v>
      </c>
      <c r="E2644" s="49"/>
      <c r="F2644" s="49"/>
      <c r="G2644" s="49"/>
      <c r="H2644" s="54" t="str">
        <f t="shared" si="1"/>
        <v>hip,</v>
      </c>
      <c r="I2644" s="50"/>
      <c r="J2644" s="50" t="s">
        <v>2946</v>
      </c>
      <c r="K2644" s="50" t="s">
        <v>4263</v>
      </c>
      <c r="L2644" s="49"/>
      <c r="M2644" s="49"/>
      <c r="N2644" s="49"/>
      <c r="O2644" s="49"/>
      <c r="P2644" s="49" t="str">
        <f t="shared" si="2"/>
        <v>slim,</v>
      </c>
      <c r="Q2644" s="49"/>
      <c r="R2644" s="49"/>
      <c r="S2644" s="55" t="s">
        <v>4137</v>
      </c>
      <c r="T2644" s="49"/>
      <c r="U2644" s="49"/>
      <c r="V2644" s="49"/>
      <c r="W2644" s="49"/>
      <c r="X2644" s="49" t="str">
        <f t="shared" si="3"/>
        <v>,</v>
      </c>
      <c r="Y2644" s="49"/>
      <c r="Z2644" s="1" t="s">
        <v>2744</v>
      </c>
      <c r="AA2644" s="1" t="s">
        <v>3089</v>
      </c>
      <c r="AB2644" s="49"/>
      <c r="AC2644" s="49"/>
      <c r="AD2644" s="49"/>
      <c r="AE2644" s="49"/>
      <c r="AF2644" s="49" t="str">
        <f t="shared" si="4"/>
        <v>square,</v>
      </c>
      <c r="AG2644" s="49"/>
      <c r="AH2644" s="1" t="s">
        <v>4651</v>
      </c>
      <c r="AI2644" s="1">
        <v>1986.0</v>
      </c>
      <c r="AJ2644" s="6" t="str">
        <f>IFERROR(__xludf.DUMMYFUNCTION("""COMPUTED_VALUE"""),"resolution")</f>
        <v>resolution</v>
      </c>
      <c r="AK2644" s="49"/>
      <c r="AL2644" s="49"/>
      <c r="AM2644" s="49"/>
      <c r="AN2644" s="52" t="str">
        <f t="shared" si="5"/>
        <v>properly,</v>
      </c>
    </row>
    <row r="2645">
      <c r="A2645" s="51"/>
      <c r="B2645" s="50" t="s">
        <v>993</v>
      </c>
      <c r="C2645" s="50" t="s">
        <v>5271</v>
      </c>
      <c r="D2645" s="49" t="str">
        <f>IFERROR(__xludf.DUMMYFUNCTION("""COMPUTED_VALUE"""),"strategic")</f>
        <v>strategic</v>
      </c>
      <c r="E2645" s="49"/>
      <c r="F2645" s="49"/>
      <c r="G2645" s="49"/>
      <c r="H2645" s="54" t="str">
        <f t="shared" si="1"/>
        <v>heat,</v>
      </c>
      <c r="I2645" s="50"/>
      <c r="J2645" s="50" t="s">
        <v>4532</v>
      </c>
      <c r="K2645" s="50" t="s">
        <v>4265</v>
      </c>
      <c r="L2645" s="49"/>
      <c r="M2645" s="49"/>
      <c r="N2645" s="49"/>
      <c r="O2645" s="49"/>
      <c r="P2645" s="49" t="str">
        <f t="shared" si="2"/>
        <v>bias,</v>
      </c>
      <c r="Q2645" s="49"/>
      <c r="R2645" s="49"/>
      <c r="S2645" s="55" t="s">
        <v>2324</v>
      </c>
      <c r="T2645" s="49"/>
      <c r="U2645" s="49"/>
      <c r="V2645" s="49"/>
      <c r="W2645" s="49"/>
      <c r="X2645" s="49" t="str">
        <f t="shared" si="3"/>
        <v>,</v>
      </c>
      <c r="Y2645" s="49"/>
      <c r="Z2645" s="1" t="s">
        <v>880</v>
      </c>
      <c r="AA2645" s="1" t="s">
        <v>5763</v>
      </c>
      <c r="AB2645" s="49"/>
      <c r="AC2645" s="49"/>
      <c r="AD2645" s="49"/>
      <c r="AE2645" s="49"/>
      <c r="AF2645" s="49" t="str">
        <f t="shared" si="4"/>
        <v>problematic,</v>
      </c>
      <c r="AG2645" s="49"/>
      <c r="AH2645" s="1" t="s">
        <v>6903</v>
      </c>
      <c r="AI2645" s="1" t="s">
        <v>5693</v>
      </c>
      <c r="AJ2645" s="6" t="str">
        <f>IFERROR(__xludf.DUMMYFUNCTION("""COMPUTED_VALUE"""),"ready")</f>
        <v>ready</v>
      </c>
      <c r="AK2645" s="49"/>
      <c r="AL2645" s="49"/>
      <c r="AM2645" s="49"/>
      <c r="AN2645" s="52" t="str">
        <f t="shared" si="5"/>
        <v>join,</v>
      </c>
    </row>
    <row r="2646">
      <c r="A2646" s="51"/>
      <c r="B2646" s="50" t="s">
        <v>6507</v>
      </c>
      <c r="C2646" s="50" t="s">
        <v>3592</v>
      </c>
      <c r="D2646" s="49" t="str">
        <f>IFERROR(__xludf.DUMMYFUNCTION("""COMPUTED_VALUE"""),"define")</f>
        <v>define</v>
      </c>
      <c r="E2646" s="49"/>
      <c r="F2646" s="49"/>
      <c r="G2646" s="49"/>
      <c r="H2646" s="54" t="str">
        <f t="shared" si="1"/>
        <v>landmark,</v>
      </c>
      <c r="I2646" s="50"/>
      <c r="J2646" s="50" t="s">
        <v>4623</v>
      </c>
      <c r="K2646" s="50" t="s">
        <v>5766</v>
      </c>
      <c r="L2646" s="49"/>
      <c r="M2646" s="49"/>
      <c r="N2646" s="49"/>
      <c r="O2646" s="49"/>
      <c r="P2646" s="49" t="str">
        <f t="shared" si="2"/>
        <v>beaten,</v>
      </c>
      <c r="Q2646" s="49"/>
      <c r="R2646" s="49"/>
      <c r="S2646" s="55" t="s">
        <v>1228</v>
      </c>
      <c r="T2646" s="49"/>
      <c r="U2646" s="49"/>
      <c r="V2646" s="49"/>
      <c r="W2646" s="49"/>
      <c r="X2646" s="49" t="str">
        <f t="shared" si="3"/>
        <v>,</v>
      </c>
      <c r="Y2646" s="49"/>
      <c r="Z2646" s="1" t="s">
        <v>2487</v>
      </c>
      <c r="AA2646" s="1" t="s">
        <v>3934</v>
      </c>
      <c r="AB2646" s="49"/>
      <c r="AC2646" s="49"/>
      <c r="AD2646" s="49"/>
      <c r="AE2646" s="49"/>
      <c r="AF2646" s="49" t="str">
        <f t="shared" si="4"/>
        <v>wooden,</v>
      </c>
      <c r="AG2646" s="49"/>
      <c r="AH2646" s="1" t="s">
        <v>6850</v>
      </c>
      <c r="AI2646" s="1" t="s">
        <v>1073</v>
      </c>
      <c r="AJ2646" s="6" t="str">
        <f>IFERROR(__xludf.DUMMYFUNCTION("""COMPUTED_VALUE"""),"roughly")</f>
        <v>roughly</v>
      </c>
      <c r="AK2646" s="49"/>
      <c r="AL2646" s="49"/>
      <c r="AM2646" s="49"/>
      <c r="AN2646" s="52" t="str">
        <f t="shared" si="5"/>
        <v>rapidly,</v>
      </c>
    </row>
    <row r="2647">
      <c r="A2647" s="51"/>
      <c r="B2647" s="50" t="s">
        <v>5959</v>
      </c>
      <c r="C2647" s="50" t="s">
        <v>3369</v>
      </c>
      <c r="D2647" s="49" t="str">
        <f>IFERROR(__xludf.DUMMYFUNCTION("""COMPUTED_VALUE"""),"hotel")</f>
        <v>hotel</v>
      </c>
      <c r="E2647" s="49"/>
      <c r="F2647" s="49"/>
      <c r="G2647" s="49"/>
      <c r="H2647" s="54" t="str">
        <f t="shared" si="1"/>
        <v>spain,</v>
      </c>
      <c r="I2647" s="50"/>
      <c r="J2647" s="50" t="s">
        <v>4486</v>
      </c>
      <c r="K2647" s="50">
        <v>1938.0</v>
      </c>
      <c r="L2647" s="49"/>
      <c r="M2647" s="49"/>
      <c r="N2647" s="49"/>
      <c r="O2647" s="49"/>
      <c r="P2647" s="49" t="str">
        <f t="shared" si="2"/>
        <v>packages,</v>
      </c>
      <c r="Q2647" s="49"/>
      <c r="R2647" s="49"/>
      <c r="S2647" s="55" t="s">
        <v>5607</v>
      </c>
      <c r="T2647" s="49"/>
      <c r="U2647" s="49"/>
      <c r="V2647" s="49"/>
      <c r="W2647" s="49"/>
      <c r="X2647" s="49" t="str">
        <f t="shared" si="3"/>
        <v>,</v>
      </c>
      <c r="Y2647" s="49"/>
      <c r="Z2647" s="1" t="s">
        <v>4324</v>
      </c>
      <c r="AA2647" s="1" t="s">
        <v>1678</v>
      </c>
      <c r="AB2647" s="49"/>
      <c r="AC2647" s="49"/>
      <c r="AD2647" s="49"/>
      <c r="AE2647" s="49"/>
      <c r="AF2647" s="49" t="str">
        <f t="shared" si="4"/>
        <v>spirited,</v>
      </c>
      <c r="AG2647" s="49"/>
      <c r="AH2647" s="1" t="s">
        <v>2838</v>
      </c>
      <c r="AI2647" s="1" t="s">
        <v>6807</v>
      </c>
      <c r="AJ2647" s="6" t="str">
        <f>IFERROR(__xludf.DUMMYFUNCTION("""COMPUTED_VALUE"""),"leather")</f>
        <v>leather</v>
      </c>
      <c r="AK2647" s="49"/>
      <c r="AL2647" s="49"/>
      <c r="AM2647" s="49"/>
      <c r="AN2647" s="52" t="str">
        <f t="shared" si="5"/>
        <v>relative,</v>
      </c>
    </row>
    <row r="2648">
      <c r="A2648" s="51"/>
      <c r="B2648" s="50" t="s">
        <v>6045</v>
      </c>
      <c r="C2648" s="50" t="s">
        <v>6718</v>
      </c>
      <c r="D2648" s="49" t="str">
        <f>IFERROR(__xludf.DUMMYFUNCTION("""COMPUTED_VALUE"""),"occasion")</f>
        <v>occasion</v>
      </c>
      <c r="E2648" s="49"/>
      <c r="F2648" s="49"/>
      <c r="G2648" s="49"/>
      <c r="H2648" s="54" t="str">
        <f t="shared" si="1"/>
        <v>send,</v>
      </c>
      <c r="I2648" s="50"/>
      <c r="J2648" s="50" t="s">
        <v>648</v>
      </c>
      <c r="K2648" s="50" t="s">
        <v>135</v>
      </c>
      <c r="L2648" s="49"/>
      <c r="M2648" s="49"/>
      <c r="N2648" s="49"/>
      <c r="O2648" s="49"/>
      <c r="P2648" s="49" t="str">
        <f t="shared" si="2"/>
        <v>exaggerated,</v>
      </c>
      <c r="Q2648" s="49"/>
      <c r="R2648" s="49"/>
      <c r="S2648" s="55" t="s">
        <v>1558</v>
      </c>
      <c r="T2648" s="49"/>
      <c r="U2648" s="49"/>
      <c r="V2648" s="49"/>
      <c r="W2648" s="49"/>
      <c r="X2648" s="49" t="str">
        <f t="shared" si="3"/>
        <v>,</v>
      </c>
      <c r="Y2648" s="49"/>
      <c r="Z2648" s="1" t="s">
        <v>5852</v>
      </c>
      <c r="AA2648" s="1" t="s">
        <v>4790</v>
      </c>
      <c r="AB2648" s="49"/>
      <c r="AC2648" s="49"/>
      <c r="AD2648" s="49"/>
      <c r="AE2648" s="49"/>
      <c r="AF2648" s="49" t="str">
        <f t="shared" si="4"/>
        <v>21st,</v>
      </c>
      <c r="AG2648" s="49"/>
      <c r="AH2648" s="1" t="s">
        <v>1116</v>
      </c>
      <c r="AI2648" s="1">
        <v>8.0</v>
      </c>
      <c r="AJ2648" s="6" t="str">
        <f>IFERROR(__xludf.DUMMYFUNCTION("""COMPUTED_VALUE"""),"versus")</f>
        <v>versus</v>
      </c>
      <c r="AK2648" s="49"/>
      <c r="AL2648" s="49"/>
      <c r="AM2648" s="49"/>
      <c r="AN2648" s="52" t="str">
        <f t="shared" si="5"/>
        <v>history,</v>
      </c>
    </row>
    <row r="2649">
      <c r="A2649" s="51"/>
      <c r="B2649" s="50" t="s">
        <v>1771</v>
      </c>
      <c r="C2649" s="50" t="s">
        <v>6719</v>
      </c>
      <c r="D2649" s="49" t="str">
        <f>IFERROR(__xludf.DUMMYFUNCTION("""COMPUTED_VALUE"""),"extra")</f>
        <v>extra</v>
      </c>
      <c r="E2649" s="49"/>
      <c r="F2649" s="49"/>
      <c r="G2649" s="49"/>
      <c r="H2649" s="54" t="str">
        <f t="shared" si="1"/>
        <v>league,</v>
      </c>
      <c r="I2649" s="50"/>
      <c r="J2649" s="50" t="s">
        <v>4393</v>
      </c>
      <c r="K2649" s="50" t="s">
        <v>2455</v>
      </c>
      <c r="L2649" s="49"/>
      <c r="M2649" s="49"/>
      <c r="N2649" s="49"/>
      <c r="O2649" s="49"/>
      <c r="P2649" s="49" t="str">
        <f t="shared" si="2"/>
        <v>ideology,</v>
      </c>
      <c r="Q2649" s="49"/>
      <c r="R2649" s="49"/>
      <c r="S2649" s="55" t="s">
        <v>6496</v>
      </c>
      <c r="T2649" s="49"/>
      <c r="U2649" s="49"/>
      <c r="V2649" s="49"/>
      <c r="W2649" s="49"/>
      <c r="X2649" s="49" t="str">
        <f t="shared" si="3"/>
        <v>,</v>
      </c>
      <c r="Y2649" s="49"/>
      <c r="Z2649" s="1" t="s">
        <v>1301</v>
      </c>
      <c r="AA2649" s="1" t="s">
        <v>1685</v>
      </c>
      <c r="AB2649" s="49"/>
      <c r="AC2649" s="49"/>
      <c r="AD2649" s="49"/>
      <c r="AE2649" s="49"/>
      <c r="AF2649" s="49" t="str">
        <f t="shared" si="4"/>
        <v>performed,</v>
      </c>
      <c r="AG2649" s="49"/>
      <c r="AH2649" s="1" t="s">
        <v>4421</v>
      </c>
      <c r="AI2649" s="1" t="s">
        <v>6808</v>
      </c>
      <c r="AJ2649" s="6" t="str">
        <f>IFERROR(__xludf.DUMMYFUNCTION("""COMPUTED_VALUE"""),"neck")</f>
        <v>neck</v>
      </c>
      <c r="AK2649" s="49"/>
      <c r="AL2649" s="49"/>
      <c r="AM2649" s="49"/>
      <c r="AN2649" s="52" t="str">
        <f t="shared" si="5"/>
        <v>picked,</v>
      </c>
    </row>
    <row r="2650">
      <c r="A2650" s="51"/>
      <c r="B2650" s="50" t="s">
        <v>2509</v>
      </c>
      <c r="C2650" s="50" t="s">
        <v>6717</v>
      </c>
      <c r="D2650" s="49" t="str">
        <f>IFERROR(__xludf.DUMMYFUNCTION("""COMPUTED_VALUE"""),"hundreds")</f>
        <v>hundreds</v>
      </c>
      <c r="E2650" s="49"/>
      <c r="F2650" s="49"/>
      <c r="G2650" s="49"/>
      <c r="H2650" s="54" t="str">
        <f t="shared" si="1"/>
        <v>players,</v>
      </c>
      <c r="I2650" s="50"/>
      <c r="J2650" s="50" t="s">
        <v>1047</v>
      </c>
      <c r="K2650" s="50" t="s">
        <v>2459</v>
      </c>
      <c r="L2650" s="49"/>
      <c r="M2650" s="49"/>
      <c r="N2650" s="49"/>
      <c r="O2650" s="49"/>
      <c r="P2650" s="49" t="str">
        <f t="shared" si="2"/>
        <v>acclaim,</v>
      </c>
      <c r="Q2650" s="49"/>
      <c r="R2650" s="49"/>
      <c r="S2650" s="55" t="s">
        <v>1234</v>
      </c>
      <c r="T2650" s="49"/>
      <c r="U2650" s="49"/>
      <c r="V2650" s="49"/>
      <c r="W2650" s="49"/>
      <c r="X2650" s="49" t="str">
        <f t="shared" si="3"/>
        <v>,</v>
      </c>
      <c r="Y2650" s="49"/>
      <c r="Z2650" s="1" t="s">
        <v>1237</v>
      </c>
      <c r="AA2650" s="1" t="s">
        <v>3096</v>
      </c>
      <c r="AB2650" s="49"/>
      <c r="AC2650" s="49"/>
      <c r="AD2650" s="49"/>
      <c r="AE2650" s="49"/>
      <c r="AF2650" s="49" t="str">
        <f t="shared" si="4"/>
        <v>authority,</v>
      </c>
      <c r="AG2650" s="49"/>
      <c r="AH2650" s="1" t="s">
        <v>5126</v>
      </c>
      <c r="AI2650" s="1" t="s">
        <v>4899</v>
      </c>
      <c r="AJ2650" s="6" t="str">
        <f>IFERROR(__xludf.DUMMYFUNCTION("""COMPUTED_VALUE"""),"locations")</f>
        <v>locations</v>
      </c>
      <c r="AK2650" s="49"/>
      <c r="AL2650" s="49"/>
      <c r="AM2650" s="49"/>
      <c r="AN2650" s="52" t="str">
        <f t="shared" si="5"/>
        <v>sword,</v>
      </c>
    </row>
    <row r="2651">
      <c r="A2651" s="51"/>
      <c r="B2651" s="50" t="s">
        <v>5269</v>
      </c>
      <c r="C2651" s="50" t="s">
        <v>6720</v>
      </c>
      <c r="D2651" s="49" t="str">
        <f>IFERROR(__xludf.DUMMYFUNCTION("""COMPUTED_VALUE"""),"paying")</f>
        <v>paying</v>
      </c>
      <c r="E2651" s="49"/>
      <c r="F2651" s="49"/>
      <c r="G2651" s="49"/>
      <c r="H2651" s="54" t="str">
        <f t="shared" si="1"/>
        <v>forms,</v>
      </c>
      <c r="I2651" s="50"/>
      <c r="J2651" s="50" t="s">
        <v>3634</v>
      </c>
      <c r="K2651" s="50" t="s">
        <v>5286</v>
      </c>
      <c r="L2651" s="49"/>
      <c r="M2651" s="49"/>
      <c r="N2651" s="49"/>
      <c r="O2651" s="49"/>
      <c r="P2651" s="49" t="str">
        <f t="shared" si="2"/>
        <v>taps,</v>
      </c>
      <c r="Q2651" s="49"/>
      <c r="R2651" s="49"/>
      <c r="S2651" s="55" t="s">
        <v>5171</v>
      </c>
      <c r="T2651" s="49"/>
      <c r="U2651" s="49"/>
      <c r="V2651" s="49"/>
      <c r="W2651" s="49"/>
      <c r="X2651" s="49" t="str">
        <f t="shared" si="3"/>
        <v>,</v>
      </c>
      <c r="Y2651" s="49"/>
      <c r="Z2651" s="1" t="s">
        <v>1831</v>
      </c>
      <c r="AA2651" s="1" t="s">
        <v>3099</v>
      </c>
      <c r="AB2651" s="49"/>
      <c r="AC2651" s="49"/>
      <c r="AD2651" s="49"/>
      <c r="AE2651" s="49"/>
      <c r="AF2651" s="49" t="str">
        <f t="shared" si="4"/>
        <v>album,</v>
      </c>
      <c r="AG2651" s="49"/>
      <c r="AH2651" s="1" t="s">
        <v>5903</v>
      </c>
      <c r="AI2651" s="1" t="s">
        <v>3570</v>
      </c>
      <c r="AJ2651" s="6" t="str">
        <f>IFERROR(__xludf.DUMMYFUNCTION("""COMPUTED_VALUE"""),"remove")</f>
        <v>remove</v>
      </c>
      <c r="AK2651" s="49"/>
      <c r="AL2651" s="49"/>
      <c r="AM2651" s="49"/>
      <c r="AN2651" s="52" t="str">
        <f t="shared" si="5"/>
        <v>pre,</v>
      </c>
    </row>
    <row r="2652">
      <c r="A2652" s="51"/>
      <c r="B2652" s="50" t="s">
        <v>5986</v>
      </c>
      <c r="C2652" s="50" t="s">
        <v>5420</v>
      </c>
      <c r="D2652" s="49" t="str">
        <f>IFERROR(__xludf.DUMMYFUNCTION("""COMPUTED_VALUE"""),"gotten")</f>
        <v>gotten</v>
      </c>
      <c r="E2652" s="49"/>
      <c r="F2652" s="49"/>
      <c r="G2652" s="49"/>
      <c r="H2652" s="54" t="str">
        <f t="shared" si="1"/>
        <v>physician,</v>
      </c>
      <c r="I2652" s="50"/>
      <c r="J2652" s="50" t="s">
        <v>5798</v>
      </c>
      <c r="K2652" s="50" t="s">
        <v>5769</v>
      </c>
      <c r="L2652" s="49"/>
      <c r="M2652" s="49"/>
      <c r="N2652" s="49"/>
      <c r="O2652" s="49"/>
      <c r="P2652" s="49" t="str">
        <f t="shared" si="2"/>
        <v>fusion,</v>
      </c>
      <c r="Q2652" s="49"/>
      <c r="R2652" s="49"/>
      <c r="S2652" s="55" t="s">
        <v>1265</v>
      </c>
      <c r="T2652" s="49"/>
      <c r="U2652" s="49"/>
      <c r="V2652" s="49"/>
      <c r="W2652" s="49"/>
      <c r="X2652" s="49" t="str">
        <f t="shared" si="3"/>
        <v>,</v>
      </c>
      <c r="Y2652" s="49"/>
      <c r="Z2652" s="1" t="s">
        <v>7555</v>
      </c>
      <c r="AA2652" s="1" t="s">
        <v>1723</v>
      </c>
      <c r="AB2652" s="49"/>
      <c r="AC2652" s="49"/>
      <c r="AD2652" s="49"/>
      <c r="AE2652" s="49"/>
      <c r="AF2652" s="49" t="str">
        <f t="shared" si="4"/>
        <v>mo,</v>
      </c>
      <c r="AG2652" s="49"/>
      <c r="AH2652" s="1" t="s">
        <v>6303</v>
      </c>
      <c r="AI2652" s="1" t="s">
        <v>1771</v>
      </c>
      <c r="AJ2652" s="6" t="str">
        <f>IFERROR(__xludf.DUMMYFUNCTION("""COMPUTED_VALUE"""),"facing")</f>
        <v>facing</v>
      </c>
      <c r="AK2652" s="49"/>
      <c r="AL2652" s="49"/>
      <c r="AM2652" s="49"/>
      <c r="AN2652" s="52" t="str">
        <f t="shared" si="5"/>
        <v>answers,</v>
      </c>
    </row>
    <row r="2653">
      <c r="A2653" s="51"/>
      <c r="B2653" s="50" t="s">
        <v>4280</v>
      </c>
      <c r="C2653" s="50" t="s">
        <v>3389</v>
      </c>
      <c r="D2653" s="49">
        <f>IFERROR(__xludf.DUMMYFUNCTION("""COMPUTED_VALUE"""),13.0)</f>
        <v>13</v>
      </c>
      <c r="E2653" s="49"/>
      <c r="F2653" s="49"/>
      <c r="G2653" s="49"/>
      <c r="H2653" s="54" t="str">
        <f t="shared" si="1"/>
        <v>younger,</v>
      </c>
      <c r="I2653" s="50"/>
      <c r="J2653" s="50" t="s">
        <v>3906</v>
      </c>
      <c r="K2653" s="50" t="s">
        <v>529</v>
      </c>
      <c r="L2653" s="49"/>
      <c r="M2653" s="49"/>
      <c r="N2653" s="49"/>
      <c r="O2653" s="49"/>
      <c r="P2653" s="49" t="str">
        <f t="shared" si="2"/>
        <v>traditions,</v>
      </c>
      <c r="Q2653" s="49"/>
      <c r="R2653" s="49"/>
      <c r="S2653" s="55" t="s">
        <v>1240</v>
      </c>
      <c r="T2653" s="49"/>
      <c r="U2653" s="49"/>
      <c r="V2653" s="49"/>
      <c r="W2653" s="49"/>
      <c r="X2653" s="49" t="str">
        <f t="shared" si="3"/>
        <v>,</v>
      </c>
      <c r="Y2653" s="49"/>
      <c r="Z2653" s="1" t="s">
        <v>654</v>
      </c>
      <c r="AA2653" s="1" t="s">
        <v>1747</v>
      </c>
      <c r="AB2653" s="49"/>
      <c r="AC2653" s="49"/>
      <c r="AD2653" s="49"/>
      <c r="AE2653" s="49"/>
      <c r="AF2653" s="49" t="str">
        <f t="shared" si="4"/>
        <v>devastating,</v>
      </c>
      <c r="AG2653" s="49"/>
      <c r="AH2653" s="1" t="s">
        <v>3560</v>
      </c>
      <c r="AI2653" s="1" t="s">
        <v>5233</v>
      </c>
      <c r="AJ2653" s="6" t="str">
        <f>IFERROR(__xludf.DUMMYFUNCTION("""COMPUTED_VALUE"""),"stuart")</f>
        <v>stuart</v>
      </c>
      <c r="AK2653" s="49"/>
      <c r="AL2653" s="49"/>
      <c r="AM2653" s="49"/>
      <c r="AN2653" s="52" t="str">
        <f t="shared" si="5"/>
        <v>skin,</v>
      </c>
    </row>
    <row r="2654">
      <c r="A2654" s="51"/>
      <c r="B2654" s="50" t="s">
        <v>5688</v>
      </c>
      <c r="C2654" s="50" t="s">
        <v>4934</v>
      </c>
      <c r="D2654" s="49" t="str">
        <f>IFERROR(__xludf.DUMMYFUNCTION("""COMPUTED_VALUE"""),"apollo")</f>
        <v>apollo</v>
      </c>
      <c r="E2654" s="49"/>
      <c r="F2654" s="49"/>
      <c r="G2654" s="49"/>
      <c r="H2654" s="54" t="str">
        <f t="shared" si="1"/>
        <v>flag,</v>
      </c>
      <c r="I2654" s="50"/>
      <c r="J2654" s="50" t="s">
        <v>665</v>
      </c>
      <c r="K2654" s="50" t="s">
        <v>2462</v>
      </c>
      <c r="L2654" s="49"/>
      <c r="M2654" s="49"/>
      <c r="N2654" s="49"/>
      <c r="O2654" s="49"/>
      <c r="P2654" s="49" t="str">
        <f t="shared" si="2"/>
        <v>daring,</v>
      </c>
      <c r="Q2654" s="49"/>
      <c r="R2654" s="49"/>
      <c r="S2654" s="55" t="s">
        <v>6784</v>
      </c>
      <c r="T2654" s="49"/>
      <c r="U2654" s="49"/>
      <c r="V2654" s="49"/>
      <c r="W2654" s="49"/>
      <c r="X2654" s="49" t="str">
        <f t="shared" si="3"/>
        <v>,</v>
      </c>
      <c r="Y2654" s="49"/>
      <c r="Z2654" s="1" t="s">
        <v>1826</v>
      </c>
      <c r="AA2654" s="1" t="s">
        <v>4887</v>
      </c>
      <c r="AB2654" s="49"/>
      <c r="AC2654" s="49"/>
      <c r="AD2654" s="49"/>
      <c r="AE2654" s="49"/>
      <c r="AF2654" s="49" t="str">
        <f t="shared" si="4"/>
        <v>conventions,</v>
      </c>
      <c r="AG2654" s="49"/>
      <c r="AH2654" s="1" t="s">
        <v>1734</v>
      </c>
      <c r="AI2654" s="1" t="s">
        <v>5236</v>
      </c>
      <c r="AJ2654" s="6" t="str">
        <f>IFERROR(__xludf.DUMMYFUNCTION("""COMPUTED_VALUE"""),"knight")</f>
        <v>knight</v>
      </c>
      <c r="AK2654" s="49"/>
      <c r="AL2654" s="49"/>
      <c r="AM2654" s="49"/>
      <c r="AN2654" s="52" t="str">
        <f t="shared" si="5"/>
        <v>share,</v>
      </c>
    </row>
    <row r="2655">
      <c r="A2655" s="51"/>
      <c r="B2655" s="50" t="s">
        <v>3098</v>
      </c>
      <c r="C2655" s="50" t="s">
        <v>5422</v>
      </c>
      <c r="D2655" s="49" t="str">
        <f>IFERROR(__xludf.DUMMYFUNCTION("""COMPUTED_VALUE"""),"ai")</f>
        <v>ai</v>
      </c>
      <c r="E2655" s="49"/>
      <c r="F2655" s="49"/>
      <c r="G2655" s="49"/>
      <c r="H2655" s="54" t="str">
        <f t="shared" si="1"/>
        <v>spin,</v>
      </c>
      <c r="I2655" s="50"/>
      <c r="J2655" s="50" t="s">
        <v>7596</v>
      </c>
      <c r="K2655" s="50" t="s">
        <v>5290</v>
      </c>
      <c r="L2655" s="49"/>
      <c r="M2655" s="49"/>
      <c r="N2655" s="49"/>
      <c r="O2655" s="49"/>
      <c r="P2655" s="49" t="str">
        <f t="shared" si="2"/>
        <v>owed,</v>
      </c>
      <c r="Q2655" s="49"/>
      <c r="R2655" s="49"/>
      <c r="S2655" s="55" t="s">
        <v>3528</v>
      </c>
      <c r="T2655" s="49"/>
      <c r="U2655" s="49"/>
      <c r="V2655" s="49"/>
      <c r="W2655" s="49"/>
      <c r="X2655" s="49" t="str">
        <f t="shared" si="3"/>
        <v>,</v>
      </c>
      <c r="Y2655" s="49"/>
      <c r="Z2655" s="1" t="s">
        <v>4394</v>
      </c>
      <c r="AA2655" s="1" t="s">
        <v>5770</v>
      </c>
      <c r="AB2655" s="49"/>
      <c r="AC2655" s="49"/>
      <c r="AD2655" s="49"/>
      <c r="AE2655" s="49"/>
      <c r="AF2655" s="49" t="str">
        <f t="shared" si="4"/>
        <v>sinks,</v>
      </c>
      <c r="AG2655" s="49"/>
      <c r="AH2655" s="1" t="s">
        <v>3217</v>
      </c>
      <c r="AI2655" s="1" t="s">
        <v>6809</v>
      </c>
      <c r="AJ2655" s="6" t="str">
        <f>IFERROR(__xludf.DUMMYFUNCTION("""COMPUTED_VALUE"""),"poem")</f>
        <v>poem</v>
      </c>
      <c r="AK2655" s="49"/>
      <c r="AL2655" s="49"/>
      <c r="AM2655" s="49"/>
      <c r="AN2655" s="52" t="str">
        <f t="shared" si="5"/>
        <v>rooms,</v>
      </c>
    </row>
    <row r="2656">
      <c r="A2656" s="51"/>
      <c r="B2656" s="50" t="s">
        <v>6936</v>
      </c>
      <c r="C2656" s="50" t="s">
        <v>3445</v>
      </c>
      <c r="D2656" s="49" t="str">
        <f>IFERROR(__xludf.DUMMYFUNCTION("""COMPUTED_VALUE"""),"unit")</f>
        <v>unit</v>
      </c>
      <c r="E2656" s="49"/>
      <c r="F2656" s="49"/>
      <c r="G2656" s="49"/>
      <c r="H2656" s="54" t="str">
        <f t="shared" si="1"/>
        <v>colin,</v>
      </c>
      <c r="I2656" s="50"/>
      <c r="J2656" s="50" t="s">
        <v>4201</v>
      </c>
      <c r="K2656" s="50" t="s">
        <v>2466</v>
      </c>
      <c r="L2656" s="49"/>
      <c r="M2656" s="49"/>
      <c r="N2656" s="49"/>
      <c r="O2656" s="49"/>
      <c r="P2656" s="49" t="str">
        <f t="shared" si="2"/>
        <v>proficient,</v>
      </c>
      <c r="Q2656" s="49"/>
      <c r="R2656" s="49"/>
      <c r="S2656" s="55" t="s">
        <v>3531</v>
      </c>
      <c r="T2656" s="49"/>
      <c r="U2656" s="49"/>
      <c r="V2656" s="49"/>
      <c r="W2656" s="49"/>
      <c r="X2656" s="49" t="str">
        <f t="shared" si="3"/>
        <v>,</v>
      </c>
      <c r="Y2656" s="49"/>
      <c r="Z2656" s="1" t="s">
        <v>3736</v>
      </c>
      <c r="AA2656" s="1" t="s">
        <v>3103</v>
      </c>
      <c r="AB2656" s="49"/>
      <c r="AC2656" s="49"/>
      <c r="AD2656" s="49"/>
      <c r="AE2656" s="49"/>
      <c r="AF2656" s="49" t="str">
        <f t="shared" si="4"/>
        <v>loyal,</v>
      </c>
      <c r="AG2656" s="49"/>
      <c r="AH2656" s="1" t="s">
        <v>819</v>
      </c>
      <c r="AI2656" s="1" t="s">
        <v>5239</v>
      </c>
      <c r="AJ2656" s="6" t="str">
        <f>IFERROR(__xludf.DUMMYFUNCTION("""COMPUTED_VALUE"""),"davis")</f>
        <v>davis</v>
      </c>
      <c r="AK2656" s="49"/>
      <c r="AL2656" s="49"/>
      <c r="AM2656" s="49"/>
      <c r="AN2656" s="52" t="str">
        <f t="shared" si="5"/>
        <v>territory,</v>
      </c>
    </row>
    <row r="2657">
      <c r="A2657" s="51"/>
      <c r="B2657" s="50" t="s">
        <v>6511</v>
      </c>
      <c r="C2657" s="50" t="s">
        <v>6722</v>
      </c>
      <c r="D2657" s="49" t="str">
        <f>IFERROR(__xludf.DUMMYFUNCTION("""COMPUTED_VALUE"""),"sent")</f>
        <v>sent</v>
      </c>
      <c r="E2657" s="49"/>
      <c r="F2657" s="49"/>
      <c r="G2657" s="49"/>
      <c r="H2657" s="54" t="str">
        <f t="shared" si="1"/>
        <v>jesse,</v>
      </c>
      <c r="I2657" s="50"/>
      <c r="J2657" s="50" t="s">
        <v>5775</v>
      </c>
      <c r="K2657" s="50" t="s">
        <v>2470</v>
      </c>
      <c r="L2657" s="49"/>
      <c r="M2657" s="49"/>
      <c r="N2657" s="49"/>
      <c r="O2657" s="49"/>
      <c r="P2657" s="49" t="str">
        <f t="shared" si="2"/>
        <v>forgiven,</v>
      </c>
      <c r="Q2657" s="49"/>
      <c r="R2657" s="49"/>
      <c r="S2657" s="55" t="s">
        <v>5098</v>
      </c>
      <c r="T2657" s="49"/>
      <c r="U2657" s="49"/>
      <c r="V2657" s="49"/>
      <c r="W2657" s="49"/>
      <c r="X2657" s="49" t="str">
        <f t="shared" si="3"/>
        <v>,</v>
      </c>
      <c r="Y2657" s="49"/>
      <c r="Z2657" s="1" t="s">
        <v>2292</v>
      </c>
      <c r="AA2657" s="1" t="s">
        <v>4889</v>
      </c>
      <c r="AB2657" s="49"/>
      <c r="AC2657" s="49"/>
      <c r="AD2657" s="49"/>
      <c r="AE2657" s="49"/>
      <c r="AF2657" s="49" t="str">
        <f t="shared" si="4"/>
        <v>layered,</v>
      </c>
      <c r="AG2657" s="49"/>
      <c r="AH2657" s="1" t="s">
        <v>2947</v>
      </c>
      <c r="AI2657" s="1" t="s">
        <v>4780</v>
      </c>
      <c r="AJ2657" s="6" t="str">
        <f>IFERROR(__xludf.DUMMYFUNCTION("""COMPUTED_VALUE"""),"soap")</f>
        <v>soap</v>
      </c>
      <c r="AK2657" s="49"/>
      <c r="AL2657" s="49"/>
      <c r="AM2657" s="49"/>
      <c r="AN2657" s="52" t="str">
        <f t="shared" si="5"/>
        <v>hotel,</v>
      </c>
    </row>
    <row r="2658">
      <c r="A2658" s="51"/>
      <c r="B2658" s="50" t="s">
        <v>7021</v>
      </c>
      <c r="C2658" s="50" t="s">
        <v>6723</v>
      </c>
      <c r="D2658" s="49" t="str">
        <f>IFERROR(__xludf.DUMMYFUNCTION("""COMPUTED_VALUE"""),"boundaries")</f>
        <v>boundaries</v>
      </c>
      <c r="E2658" s="49"/>
      <c r="F2658" s="49"/>
      <c r="G2658" s="49"/>
      <c r="H2658" s="54" t="str">
        <f t="shared" si="1"/>
        <v>inc,</v>
      </c>
      <c r="I2658" s="50"/>
      <c r="J2658" s="50" t="s">
        <v>3413</v>
      </c>
      <c r="K2658" s="50" t="s">
        <v>1629</v>
      </c>
      <c r="L2658" s="49"/>
      <c r="M2658" s="49"/>
      <c r="N2658" s="49"/>
      <c r="O2658" s="49"/>
      <c r="P2658" s="49" t="str">
        <f t="shared" si="2"/>
        <v>smaller,</v>
      </c>
      <c r="Q2658" s="49"/>
      <c r="R2658" s="49"/>
      <c r="S2658" s="55" t="s">
        <v>4411</v>
      </c>
      <c r="T2658" s="49"/>
      <c r="U2658" s="49"/>
      <c r="V2658" s="49"/>
      <c r="W2658" s="49"/>
      <c r="X2658" s="49" t="str">
        <f t="shared" si="3"/>
        <v>,</v>
      </c>
      <c r="Y2658" s="49"/>
      <c r="Z2658" s="1" t="s">
        <v>4056</v>
      </c>
      <c r="AA2658" s="1" t="s">
        <v>5773</v>
      </c>
      <c r="AB2658" s="49"/>
      <c r="AC2658" s="49"/>
      <c r="AD2658" s="49"/>
      <c r="AE2658" s="49"/>
      <c r="AF2658" s="49" t="str">
        <f t="shared" si="4"/>
        <v>psyche,</v>
      </c>
      <c r="AG2658" s="49"/>
      <c r="AH2658" s="1" t="s">
        <v>6545</v>
      </c>
      <c r="AI2658" s="1" t="s">
        <v>6810</v>
      </c>
      <c r="AJ2658" s="6">
        <f>IFERROR(__xludf.DUMMYFUNCTION("""COMPUTED_VALUE"""),6.0)</f>
        <v>6</v>
      </c>
      <c r="AK2658" s="49"/>
      <c r="AL2658" s="49"/>
      <c r="AM2658" s="49"/>
      <c r="AN2658" s="52" t="str">
        <f t="shared" si="5"/>
        <v>existing,</v>
      </c>
    </row>
    <row r="2659">
      <c r="A2659" s="51"/>
      <c r="B2659" s="50" t="s">
        <v>3937</v>
      </c>
      <c r="C2659" s="50" t="s">
        <v>6724</v>
      </c>
      <c r="D2659" s="49">
        <f>IFERROR(__xludf.DUMMYFUNCTION("""COMPUTED_VALUE"""),300.0)</f>
        <v>300</v>
      </c>
      <c r="E2659" s="49"/>
      <c r="F2659" s="49"/>
      <c r="G2659" s="49"/>
      <c r="H2659" s="54" t="str">
        <f t="shared" si="1"/>
        <v>dear,</v>
      </c>
      <c r="I2659" s="50"/>
      <c r="J2659" s="50" t="s">
        <v>5980</v>
      </c>
      <c r="K2659" s="50" t="s">
        <v>1461</v>
      </c>
      <c r="L2659" s="49"/>
      <c r="M2659" s="49"/>
      <c r="N2659" s="49"/>
      <c r="O2659" s="49"/>
      <c r="P2659" s="49" t="str">
        <f t="shared" si="2"/>
        <v>projection,</v>
      </c>
      <c r="Q2659" s="49"/>
      <c r="R2659" s="49"/>
      <c r="S2659" s="55" t="s">
        <v>2693</v>
      </c>
      <c r="T2659" s="49"/>
      <c r="U2659" s="49"/>
      <c r="V2659" s="49"/>
      <c r="W2659" s="49"/>
      <c r="X2659" s="49" t="str">
        <f t="shared" si="3"/>
        <v>,</v>
      </c>
      <c r="Y2659" s="49"/>
      <c r="Z2659" s="1" t="s">
        <v>5469</v>
      </c>
      <c r="AA2659" s="1" t="s">
        <v>5774</v>
      </c>
      <c r="AB2659" s="49"/>
      <c r="AC2659" s="49"/>
      <c r="AD2659" s="49"/>
      <c r="AE2659" s="49"/>
      <c r="AF2659" s="49" t="str">
        <f t="shared" si="4"/>
        <v>sci,</v>
      </c>
      <c r="AG2659" s="49"/>
      <c r="AH2659" s="1" t="s">
        <v>4969</v>
      </c>
      <c r="AI2659" s="1" t="s">
        <v>5242</v>
      </c>
      <c r="AJ2659" s="6" t="str">
        <f>IFERROR(__xludf.DUMMYFUNCTION("""COMPUTED_VALUE"""),"nevertheless")</f>
        <v>nevertheless</v>
      </c>
      <c r="AK2659" s="49"/>
      <c r="AL2659" s="49"/>
      <c r="AM2659" s="49"/>
      <c r="AN2659" s="52" t="str">
        <f t="shared" si="5"/>
        <v>map,</v>
      </c>
    </row>
    <row r="2660">
      <c r="A2660" s="51"/>
      <c r="B2660" s="50" t="s">
        <v>3510</v>
      </c>
      <c r="C2660" s="50" t="s">
        <v>5424</v>
      </c>
      <c r="D2660" s="49" t="str">
        <f>IFERROR(__xludf.DUMMYFUNCTION("""COMPUTED_VALUE"""),"sight")</f>
        <v>sight</v>
      </c>
      <c r="E2660" s="49"/>
      <c r="F2660" s="49"/>
      <c r="G2660" s="49"/>
      <c r="H2660" s="54" t="str">
        <f t="shared" si="1"/>
        <v>suggest,</v>
      </c>
      <c r="I2660" s="50"/>
      <c r="J2660" s="50" t="s">
        <v>2283</v>
      </c>
      <c r="K2660" s="50" t="s">
        <v>1366</v>
      </c>
      <c r="L2660" s="49"/>
      <c r="M2660" s="49"/>
      <c r="N2660" s="49"/>
      <c r="O2660" s="49"/>
      <c r="P2660" s="49" t="str">
        <f t="shared" si="2"/>
        <v>dangerously,</v>
      </c>
      <c r="Q2660" s="49"/>
      <c r="R2660" s="49"/>
      <c r="S2660" s="55" t="s">
        <v>6811</v>
      </c>
      <c r="T2660" s="49"/>
      <c r="U2660" s="49"/>
      <c r="V2660" s="49"/>
      <c r="W2660" s="49"/>
      <c r="X2660" s="49" t="str">
        <f t="shared" si="3"/>
        <v>,</v>
      </c>
      <c r="Y2660" s="49"/>
      <c r="Z2660" s="1" t="s">
        <v>5030</v>
      </c>
      <c r="AA2660" s="1" t="s">
        <v>3952</v>
      </c>
      <c r="AB2660" s="49"/>
      <c r="AC2660" s="49"/>
      <c r="AD2660" s="49"/>
      <c r="AE2660" s="49"/>
      <c r="AF2660" s="49" t="str">
        <f t="shared" si="4"/>
        <v>tomorrow,</v>
      </c>
      <c r="AG2660" s="49"/>
      <c r="AH2660" s="1" t="s">
        <v>6142</v>
      </c>
      <c r="AI2660" s="1" t="s">
        <v>4204</v>
      </c>
      <c r="AJ2660" s="6" t="str">
        <f>IFERROR(__xludf.DUMMYFUNCTION("""COMPUTED_VALUE"""),"turkey")</f>
        <v>turkey</v>
      </c>
      <c r="AK2660" s="49"/>
      <c r="AL2660" s="49"/>
      <c r="AM2660" s="49"/>
      <c r="AN2660" s="52" t="str">
        <f t="shared" si="5"/>
        <v>agency,</v>
      </c>
    </row>
    <row r="2661">
      <c r="A2661" s="51"/>
      <c r="B2661" s="50" t="s">
        <v>7031</v>
      </c>
      <c r="C2661" s="50" t="s">
        <v>6721</v>
      </c>
      <c r="D2661" s="49" t="str">
        <f>IFERROR(__xludf.DUMMYFUNCTION("""COMPUTED_VALUE"""),"shut")</f>
        <v>shut</v>
      </c>
      <c r="E2661" s="49"/>
      <c r="F2661" s="49"/>
      <c r="G2661" s="49"/>
      <c r="H2661" s="54" t="str">
        <f t="shared" si="1"/>
        <v>kept,</v>
      </c>
      <c r="I2661" s="50"/>
      <c r="J2661" s="50" t="s">
        <v>6846</v>
      </c>
      <c r="K2661" s="50" t="s">
        <v>5301</v>
      </c>
      <c r="L2661" s="49"/>
      <c r="M2661" s="49"/>
      <c r="N2661" s="49"/>
      <c r="O2661" s="49"/>
      <c r="P2661" s="49" t="str">
        <f t="shared" si="2"/>
        <v>conditions,</v>
      </c>
      <c r="Q2661" s="49"/>
      <c r="R2661" s="49"/>
      <c r="S2661" s="55" t="s">
        <v>4149</v>
      </c>
      <c r="T2661" s="49"/>
      <c r="U2661" s="49"/>
      <c r="V2661" s="49"/>
      <c r="W2661" s="49"/>
      <c r="X2661" s="49" t="str">
        <f t="shared" si="3"/>
        <v>,</v>
      </c>
      <c r="Y2661" s="49"/>
      <c r="Z2661" s="1" t="s">
        <v>6617</v>
      </c>
      <c r="AA2661" s="1" t="s">
        <v>3110</v>
      </c>
      <c r="AB2661" s="49"/>
      <c r="AC2661" s="49"/>
      <c r="AD2661" s="49"/>
      <c r="AE2661" s="49"/>
      <c r="AF2661" s="49" t="str">
        <f t="shared" si="4"/>
        <v>convenient,</v>
      </c>
      <c r="AG2661" s="49"/>
      <c r="AH2661" s="1" t="s">
        <v>1552</v>
      </c>
      <c r="AI2661" s="1" t="s">
        <v>4999</v>
      </c>
      <c r="AJ2661" s="6" t="str">
        <f>IFERROR(__xludf.DUMMYFUNCTION("""COMPUTED_VALUE"""),"referred")</f>
        <v>referred</v>
      </c>
      <c r="AK2661" s="49"/>
      <c r="AL2661" s="49"/>
      <c r="AM2661" s="49"/>
      <c r="AN2661" s="52" t="str">
        <f t="shared" si="5"/>
        <v>freedom,</v>
      </c>
    </row>
    <row r="2662">
      <c r="A2662" s="51"/>
      <c r="B2662" s="50" t="s">
        <v>7186</v>
      </c>
      <c r="C2662" s="50" t="s">
        <v>4936</v>
      </c>
      <c r="D2662" s="49" t="str">
        <f>IFERROR(__xludf.DUMMYFUNCTION("""COMPUTED_VALUE"""),"stretched")</f>
        <v>stretched</v>
      </c>
      <c r="E2662" s="49"/>
      <c r="F2662" s="49"/>
      <c r="G2662" s="49"/>
      <c r="H2662" s="54" t="str">
        <f t="shared" si="1"/>
        <v>drunk,</v>
      </c>
      <c r="I2662" s="50"/>
      <c r="J2662" s="50" t="s">
        <v>2225</v>
      </c>
      <c r="K2662" s="50" t="s">
        <v>4274</v>
      </c>
      <c r="L2662" s="49"/>
      <c r="M2662" s="49"/>
      <c r="N2662" s="49"/>
      <c r="O2662" s="49"/>
      <c r="P2662" s="49" t="str">
        <f t="shared" si="2"/>
        <v>acts,</v>
      </c>
      <c r="Q2662" s="49"/>
      <c r="R2662" s="49"/>
      <c r="S2662" s="55" t="s">
        <v>3359</v>
      </c>
      <c r="T2662" s="49"/>
      <c r="U2662" s="49"/>
      <c r="V2662" s="49"/>
      <c r="W2662" s="49"/>
      <c r="X2662" s="49" t="str">
        <f t="shared" si="3"/>
        <v>,</v>
      </c>
      <c r="Y2662" s="49"/>
      <c r="Z2662" s="1" t="s">
        <v>1361</v>
      </c>
      <c r="AA2662" s="1" t="s">
        <v>5776</v>
      </c>
      <c r="AB2662" s="49"/>
      <c r="AC2662" s="49"/>
      <c r="AD2662" s="49"/>
      <c r="AE2662" s="49"/>
      <c r="AF2662" s="49" t="str">
        <f t="shared" si="4"/>
        <v>assurance,</v>
      </c>
      <c r="AG2662" s="49"/>
      <c r="AH2662" s="1" t="s">
        <v>3746</v>
      </c>
      <c r="AI2662" s="1" t="s">
        <v>5243</v>
      </c>
      <c r="AJ2662" s="6" t="str">
        <f>IFERROR(__xludf.DUMMYFUNCTION("""COMPUTED_VALUE"""),"ties")</f>
        <v>ties</v>
      </c>
      <c r="AK2662" s="49"/>
      <c r="AL2662" s="49"/>
      <c r="AM2662" s="49"/>
      <c r="AN2662" s="52" t="str">
        <f t="shared" si="5"/>
        <v>departure,</v>
      </c>
    </row>
    <row r="2663">
      <c r="A2663" s="51"/>
      <c r="B2663" s="50" t="s">
        <v>7124</v>
      </c>
      <c r="C2663" s="50" t="s">
        <v>6725</v>
      </c>
      <c r="D2663" s="49" t="str">
        <f>IFERROR(__xludf.DUMMYFUNCTION("""COMPUTED_VALUE"""),"brief")</f>
        <v>brief</v>
      </c>
      <c r="E2663" s="49"/>
      <c r="F2663" s="49"/>
      <c r="G2663" s="49"/>
      <c r="H2663" s="54" t="str">
        <f t="shared" si="1"/>
        <v>communication,</v>
      </c>
      <c r="I2663" s="50"/>
      <c r="J2663" s="50" t="s">
        <v>7629</v>
      </c>
      <c r="K2663" s="50" t="s">
        <v>1374</v>
      </c>
      <c r="L2663" s="49"/>
      <c r="M2663" s="49"/>
      <c r="N2663" s="49"/>
      <c r="O2663" s="49"/>
      <c r="P2663" s="49" t="str">
        <f t="shared" si="2"/>
        <v>doubts,</v>
      </c>
      <c r="Q2663" s="49"/>
      <c r="R2663" s="49"/>
      <c r="S2663" s="55" t="s">
        <v>5476</v>
      </c>
      <c r="T2663" s="49"/>
      <c r="U2663" s="49"/>
      <c r="V2663" s="49"/>
      <c r="W2663" s="49"/>
      <c r="X2663" s="49" t="str">
        <f t="shared" si="3"/>
        <v>,</v>
      </c>
      <c r="Y2663" s="49"/>
      <c r="Z2663" s="1" t="s">
        <v>121</v>
      </c>
      <c r="AA2663" s="1" t="s">
        <v>5778</v>
      </c>
      <c r="AB2663" s="49"/>
      <c r="AC2663" s="49"/>
      <c r="AD2663" s="49"/>
      <c r="AE2663" s="49"/>
      <c r="AF2663" s="49" t="str">
        <f t="shared" si="4"/>
        <v>extremes,</v>
      </c>
      <c r="AG2663" s="49"/>
      <c r="AH2663" s="1">
        <v>99.0</v>
      </c>
      <c r="AI2663" s="1" t="s">
        <v>6812</v>
      </c>
      <c r="AJ2663" s="6" t="str">
        <f>IFERROR(__xludf.DUMMYFUNCTION("""COMPUTED_VALUE"""),"colors")</f>
        <v>colors</v>
      </c>
      <c r="AK2663" s="49"/>
      <c r="AL2663" s="49"/>
      <c r="AM2663" s="49"/>
      <c r="AN2663" s="52" t="str">
        <f t="shared" si="5"/>
        <v>99,</v>
      </c>
    </row>
    <row r="2664">
      <c r="A2664" s="51"/>
      <c r="B2664" s="50" t="s">
        <v>1390</v>
      </c>
      <c r="C2664" s="50" t="s">
        <v>6484</v>
      </c>
      <c r="D2664" s="49" t="str">
        <f>IFERROR(__xludf.DUMMYFUNCTION("""COMPUTED_VALUE"""),"rival")</f>
        <v>rival</v>
      </c>
      <c r="E2664" s="49"/>
      <c r="F2664" s="49"/>
      <c r="G2664" s="49"/>
      <c r="H2664" s="54" t="str">
        <f t="shared" si="1"/>
        <v>successor,</v>
      </c>
      <c r="I2664" s="50"/>
      <c r="J2664" s="50" t="s">
        <v>3957</v>
      </c>
      <c r="K2664" s="50" t="s">
        <v>4276</v>
      </c>
      <c r="L2664" s="49"/>
      <c r="M2664" s="49"/>
      <c r="N2664" s="49"/>
      <c r="O2664" s="49"/>
      <c r="P2664" s="49" t="str">
        <f t="shared" si="2"/>
        <v>transparent,</v>
      </c>
      <c r="Q2664" s="49"/>
      <c r="R2664" s="49"/>
      <c r="S2664" s="55" t="s">
        <v>858</v>
      </c>
      <c r="T2664" s="49"/>
      <c r="U2664" s="49"/>
      <c r="V2664" s="49"/>
      <c r="W2664" s="49"/>
      <c r="X2664" s="49" t="str">
        <f t="shared" si="3"/>
        <v>,</v>
      </c>
      <c r="Y2664" s="49"/>
      <c r="Z2664" s="1" t="s">
        <v>4827</v>
      </c>
      <c r="AA2664" s="1" t="s">
        <v>3114</v>
      </c>
      <c r="AB2664" s="49"/>
      <c r="AC2664" s="49"/>
      <c r="AD2664" s="49"/>
      <c r="AE2664" s="49"/>
      <c r="AF2664" s="49" t="str">
        <f t="shared" si="4"/>
        <v>sympathy,</v>
      </c>
      <c r="AG2664" s="49"/>
      <c r="AH2664" s="1" t="s">
        <v>4996</v>
      </c>
      <c r="AI2664" s="1" t="s">
        <v>5246</v>
      </c>
      <c r="AJ2664" s="6" t="str">
        <f>IFERROR(__xludf.DUMMYFUNCTION("""COMPUTED_VALUE"""),"returning")</f>
        <v>returning</v>
      </c>
      <c r="AK2664" s="49"/>
      <c r="AL2664" s="49"/>
      <c r="AM2664" s="49"/>
      <c r="AN2664" s="52" t="str">
        <f t="shared" si="5"/>
        <v>comfort,</v>
      </c>
    </row>
    <row r="2665">
      <c r="A2665" s="51"/>
      <c r="B2665" s="50" t="s">
        <v>6544</v>
      </c>
      <c r="C2665" s="50" t="s">
        <v>3868</v>
      </c>
      <c r="D2665" s="49" t="str">
        <f>IFERROR(__xludf.DUMMYFUNCTION("""COMPUTED_VALUE"""),"bomb")</f>
        <v>bomb</v>
      </c>
      <c r="E2665" s="49"/>
      <c r="F2665" s="49"/>
      <c r="G2665" s="49"/>
      <c r="H2665" s="54" t="str">
        <f t="shared" si="1"/>
        <v>experiences,</v>
      </c>
      <c r="I2665" s="50"/>
      <c r="J2665" s="50" t="s">
        <v>3404</v>
      </c>
      <c r="K2665" s="50" t="s">
        <v>1160</v>
      </c>
      <c r="L2665" s="49"/>
      <c r="M2665" s="49"/>
      <c r="N2665" s="49"/>
      <c r="O2665" s="49"/>
      <c r="P2665" s="49" t="str">
        <f t="shared" si="2"/>
        <v>chilly,</v>
      </c>
      <c r="Q2665" s="49"/>
      <c r="R2665" s="49"/>
      <c r="S2665" s="55" t="s">
        <v>1251</v>
      </c>
      <c r="T2665" s="49"/>
      <c r="U2665" s="49"/>
      <c r="V2665" s="49"/>
      <c r="W2665" s="49"/>
      <c r="X2665" s="49" t="str">
        <f t="shared" si="3"/>
        <v>,</v>
      </c>
      <c r="Y2665" s="49"/>
      <c r="Z2665" s="1" t="s">
        <v>3045</v>
      </c>
      <c r="AA2665" s="1" t="s">
        <v>4901</v>
      </c>
      <c r="AB2665" s="49"/>
      <c r="AC2665" s="49"/>
      <c r="AD2665" s="49"/>
      <c r="AE2665" s="49"/>
      <c r="AF2665" s="49" t="str">
        <f t="shared" si="4"/>
        <v>indifference,</v>
      </c>
      <c r="AG2665" s="49"/>
      <c r="AH2665" s="1" t="s">
        <v>7630</v>
      </c>
      <c r="AI2665" s="1" t="s">
        <v>5720</v>
      </c>
      <c r="AJ2665" s="6" t="str">
        <f>IFERROR(__xludf.DUMMYFUNCTION("""COMPUTED_VALUE"""),"greatly")</f>
        <v>greatly</v>
      </c>
      <c r="AK2665" s="49"/>
      <c r="AL2665" s="49"/>
      <c r="AM2665" s="49"/>
      <c r="AN2665" s="52" t="str">
        <f t="shared" si="5"/>
        <v>clothing,</v>
      </c>
    </row>
    <row r="2666">
      <c r="A2666" s="51"/>
      <c r="B2666" s="50" t="s">
        <v>1727</v>
      </c>
      <c r="C2666" s="50" t="s">
        <v>4939</v>
      </c>
      <c r="D2666" s="49" t="str">
        <f>IFERROR(__xludf.DUMMYFUNCTION("""COMPUTED_VALUE"""),"ernest")</f>
        <v>ernest</v>
      </c>
      <c r="E2666" s="49"/>
      <c r="F2666" s="49"/>
      <c r="G2666" s="49"/>
      <c r="H2666" s="54" t="str">
        <f t="shared" si="1"/>
        <v>survivors,</v>
      </c>
      <c r="I2666" s="50"/>
      <c r="J2666" s="50" t="s">
        <v>4855</v>
      </c>
      <c r="K2666" s="50" t="s">
        <v>3629</v>
      </c>
      <c r="L2666" s="49"/>
      <c r="M2666" s="49"/>
      <c r="N2666" s="49"/>
      <c r="O2666" s="49"/>
      <c r="P2666" s="49" t="str">
        <f t="shared" si="2"/>
        <v>emergence,</v>
      </c>
      <c r="Q2666" s="49"/>
      <c r="R2666" s="49"/>
      <c r="S2666" s="55" t="s">
        <v>1244</v>
      </c>
      <c r="T2666" s="49"/>
      <c r="U2666" s="49"/>
      <c r="V2666" s="49"/>
      <c r="W2666" s="49"/>
      <c r="X2666" s="49" t="str">
        <f t="shared" si="3"/>
        <v>,</v>
      </c>
      <c r="Y2666" s="49"/>
      <c r="Z2666" s="1" t="s">
        <v>459</v>
      </c>
      <c r="AA2666" s="1" t="s">
        <v>3117</v>
      </c>
      <c r="AB2666" s="49"/>
      <c r="AC2666" s="49"/>
      <c r="AD2666" s="49"/>
      <c r="AE2666" s="49"/>
      <c r="AF2666" s="49" t="str">
        <f t="shared" si="4"/>
        <v>captures,</v>
      </c>
      <c r="AG2666" s="49"/>
      <c r="AH2666" s="1" t="s">
        <v>3088</v>
      </c>
      <c r="AI2666" s="1" t="s">
        <v>6813</v>
      </c>
      <c r="AJ2666" s="6" t="str">
        <f>IFERROR(__xludf.DUMMYFUNCTION("""COMPUTED_VALUE"""),"agreed")</f>
        <v>agreed</v>
      </c>
      <c r="AK2666" s="49"/>
      <c r="AL2666" s="49"/>
      <c r="AM2666" s="49"/>
      <c r="AN2666" s="52" t="str">
        <f t="shared" si="5"/>
        <v>bag,</v>
      </c>
    </row>
    <row r="2667">
      <c r="A2667" s="51"/>
      <c r="B2667" s="50" t="s">
        <v>2040</v>
      </c>
      <c r="C2667" s="50" t="s">
        <v>4080</v>
      </c>
      <c r="D2667" s="49" t="str">
        <f>IFERROR(__xludf.DUMMYFUNCTION("""COMPUTED_VALUE"""),"refused")</f>
        <v>refused</v>
      </c>
      <c r="E2667" s="49"/>
      <c r="F2667" s="49"/>
      <c r="G2667" s="49"/>
      <c r="H2667" s="54" t="str">
        <f t="shared" si="1"/>
        <v>accomplished,</v>
      </c>
      <c r="I2667" s="50"/>
      <c r="J2667" s="50" t="s">
        <v>2652</v>
      </c>
      <c r="K2667" s="50" t="s">
        <v>5780</v>
      </c>
      <c r="L2667" s="49"/>
      <c r="M2667" s="49"/>
      <c r="N2667" s="49"/>
      <c r="O2667" s="49"/>
      <c r="P2667" s="49" t="str">
        <f t="shared" si="2"/>
        <v>linger,</v>
      </c>
      <c r="Q2667" s="49"/>
      <c r="R2667" s="49"/>
      <c r="S2667" s="55" t="s">
        <v>4262</v>
      </c>
      <c r="T2667" s="49"/>
      <c r="U2667" s="49"/>
      <c r="V2667" s="49"/>
      <c r="W2667" s="49"/>
      <c r="X2667" s="49" t="str">
        <f t="shared" si="3"/>
        <v>,</v>
      </c>
      <c r="Y2667" s="49"/>
      <c r="Z2667" s="1" t="s">
        <v>399</v>
      </c>
      <c r="AA2667" s="1" t="s">
        <v>3116</v>
      </c>
      <c r="AB2667" s="49"/>
      <c r="AC2667" s="49"/>
      <c r="AD2667" s="49"/>
      <c r="AE2667" s="49"/>
      <c r="AF2667" s="49" t="str">
        <f t="shared" si="4"/>
        <v>iranian,</v>
      </c>
      <c r="AG2667" s="49"/>
      <c r="AH2667" s="1" t="s">
        <v>6983</v>
      </c>
      <c r="AI2667" s="1" t="s">
        <v>6814</v>
      </c>
      <c r="AJ2667" s="6" t="str">
        <f>IFERROR(__xludf.DUMMYFUNCTION("""COMPUTED_VALUE"""),"medicine")</f>
        <v>medicine</v>
      </c>
      <c r="AK2667" s="49"/>
      <c r="AL2667" s="49"/>
      <c r="AM2667" s="49"/>
      <c r="AN2667" s="52" t="str">
        <f t="shared" si="5"/>
        <v>harbor,</v>
      </c>
    </row>
    <row r="2668">
      <c r="A2668" s="51"/>
      <c r="B2668" s="50" t="s">
        <v>6825</v>
      </c>
      <c r="C2668" s="50" t="s">
        <v>5579</v>
      </c>
      <c r="D2668" s="49" t="str">
        <f>IFERROR(__xludf.DUMMYFUNCTION("""COMPUTED_VALUE"""),"dozen")</f>
        <v>dozen</v>
      </c>
      <c r="E2668" s="49"/>
      <c r="F2668" s="49"/>
      <c r="G2668" s="49"/>
      <c r="H2668" s="54" t="str">
        <f t="shared" si="1"/>
        <v>appeared,</v>
      </c>
      <c r="I2668" s="50"/>
      <c r="J2668" s="50" t="s">
        <v>7599</v>
      </c>
      <c r="K2668" s="50" t="s">
        <v>4277</v>
      </c>
      <c r="L2668" s="49"/>
      <c r="M2668" s="49"/>
      <c r="N2668" s="49"/>
      <c r="O2668" s="49"/>
      <c r="P2668" s="49" t="str">
        <f t="shared" si="2"/>
        <v>chi,</v>
      </c>
      <c r="Q2668" s="49"/>
      <c r="R2668" s="49"/>
      <c r="S2668" s="55" t="s">
        <v>1563</v>
      </c>
      <c r="T2668" s="49"/>
      <c r="U2668" s="49"/>
      <c r="V2668" s="49"/>
      <c r="W2668" s="49"/>
      <c r="X2668" s="49" t="str">
        <f t="shared" si="3"/>
        <v>,</v>
      </c>
      <c r="Y2668" s="49"/>
      <c r="Z2668" s="1" t="s">
        <v>845</v>
      </c>
      <c r="AA2668" s="1" t="s">
        <v>3121</v>
      </c>
      <c r="AB2668" s="49"/>
      <c r="AC2668" s="49"/>
      <c r="AD2668" s="49"/>
      <c r="AE2668" s="49"/>
      <c r="AF2668" s="49" t="str">
        <f t="shared" si="4"/>
        <v>construct,</v>
      </c>
      <c r="AG2668" s="49"/>
      <c r="AH2668" s="1" t="s">
        <v>5738</v>
      </c>
      <c r="AI2668" s="1" t="s">
        <v>5722</v>
      </c>
      <c r="AJ2668" s="6" t="str">
        <f>IFERROR(__xludf.DUMMYFUNCTION("""COMPUTED_VALUE"""),"address")</f>
        <v>address</v>
      </c>
      <c r="AK2668" s="49"/>
      <c r="AL2668" s="49"/>
      <c r="AM2668" s="49"/>
      <c r="AN2668" s="52" t="str">
        <f t="shared" si="5"/>
        <v>pearl,</v>
      </c>
    </row>
    <row r="2669">
      <c r="A2669" s="51"/>
      <c r="B2669" s="50" t="s">
        <v>49</v>
      </c>
      <c r="C2669" s="50" t="s">
        <v>3870</v>
      </c>
      <c r="D2669" s="49" t="str">
        <f>IFERROR(__xludf.DUMMYFUNCTION("""COMPUTED_VALUE"""),"roles")</f>
        <v>roles</v>
      </c>
      <c r="E2669" s="49"/>
      <c r="F2669" s="49"/>
      <c r="G2669" s="49"/>
      <c r="H2669" s="54" t="str">
        <f t="shared" si="1"/>
        <v>hide,</v>
      </c>
      <c r="I2669" s="50"/>
      <c r="J2669" s="50" t="s">
        <v>2265</v>
      </c>
      <c r="K2669" s="50" t="s">
        <v>3132</v>
      </c>
      <c r="L2669" s="49"/>
      <c r="M2669" s="49"/>
      <c r="N2669" s="49"/>
      <c r="O2669" s="49"/>
      <c r="P2669" s="49" t="str">
        <f t="shared" si="2"/>
        <v>pizza,</v>
      </c>
      <c r="Q2669" s="49"/>
      <c r="R2669" s="49"/>
      <c r="S2669" s="55" t="s">
        <v>2341</v>
      </c>
      <c r="T2669" s="49"/>
      <c r="U2669" s="49"/>
      <c r="V2669" s="49"/>
      <c r="W2669" s="49"/>
      <c r="X2669" s="49" t="str">
        <f t="shared" si="3"/>
        <v>,</v>
      </c>
      <c r="Y2669" s="49"/>
      <c r="Z2669" s="1" t="s">
        <v>4433</v>
      </c>
      <c r="AA2669" s="1" t="s">
        <v>399</v>
      </c>
      <c r="AB2669" s="49"/>
      <c r="AC2669" s="49"/>
      <c r="AD2669" s="49"/>
      <c r="AE2669" s="49"/>
      <c r="AF2669" s="49" t="str">
        <f t="shared" si="4"/>
        <v>vastly,</v>
      </c>
      <c r="AG2669" s="49"/>
      <c r="AH2669" s="1" t="s">
        <v>6574</v>
      </c>
      <c r="AI2669" s="1" t="s">
        <v>1834</v>
      </c>
      <c r="AJ2669" s="6" t="str">
        <f>IFERROR(__xludf.DUMMYFUNCTION("""COMPUTED_VALUE"""),"equal")</f>
        <v>equal</v>
      </c>
      <c r="AK2669" s="49"/>
      <c r="AL2669" s="49"/>
      <c r="AM2669" s="49"/>
      <c r="AN2669" s="52" t="str">
        <f t="shared" si="5"/>
        <v>sorry,</v>
      </c>
    </row>
    <row r="2670">
      <c r="A2670" s="51"/>
      <c r="B2670" s="50" t="s">
        <v>4792</v>
      </c>
      <c r="C2670" s="50" t="s">
        <v>6726</v>
      </c>
      <c r="D2670" s="49" t="str">
        <f>IFERROR(__xludf.DUMMYFUNCTION("""COMPUTED_VALUE"""),"reaching")</f>
        <v>reaching</v>
      </c>
      <c r="E2670" s="49"/>
      <c r="F2670" s="49"/>
      <c r="G2670" s="49"/>
      <c r="H2670" s="54" t="str">
        <f t="shared" si="1"/>
        <v>collaboration,</v>
      </c>
      <c r="I2670" s="50"/>
      <c r="J2670" s="50" t="s">
        <v>1980</v>
      </c>
      <c r="K2670" s="50" t="s">
        <v>5308</v>
      </c>
      <c r="L2670" s="49"/>
      <c r="M2670" s="49"/>
      <c r="N2670" s="49"/>
      <c r="O2670" s="49"/>
      <c r="P2670" s="49" t="str">
        <f t="shared" si="2"/>
        <v>transporting,</v>
      </c>
      <c r="Q2670" s="49"/>
      <c r="R2670" s="49"/>
      <c r="S2670" s="55" t="s">
        <v>1259</v>
      </c>
      <c r="T2670" s="49"/>
      <c r="U2670" s="49"/>
      <c r="V2670" s="49"/>
      <c r="W2670" s="49"/>
      <c r="X2670" s="49" t="str">
        <f t="shared" si="3"/>
        <v>,</v>
      </c>
      <c r="Y2670" s="49"/>
      <c r="Z2670" s="1" t="s">
        <v>6769</v>
      </c>
      <c r="AA2670" s="1" t="s">
        <v>3124</v>
      </c>
      <c r="AB2670" s="49"/>
      <c r="AC2670" s="49"/>
      <c r="AD2670" s="49"/>
      <c r="AE2670" s="49"/>
      <c r="AF2670" s="49" t="str">
        <f t="shared" si="4"/>
        <v>charged,</v>
      </c>
      <c r="AG2670" s="49"/>
      <c r="AH2670" s="1" t="s">
        <v>4776</v>
      </c>
      <c r="AI2670" s="1" t="s">
        <v>6815</v>
      </c>
      <c r="AJ2670" s="6" t="str">
        <f>IFERROR(__xludf.DUMMYFUNCTION("""COMPUTED_VALUE"""),"definition")</f>
        <v>definition</v>
      </c>
      <c r="AK2670" s="49"/>
      <c r="AL2670" s="49"/>
      <c r="AM2670" s="49"/>
      <c r="AN2670" s="52" t="str">
        <f t="shared" si="5"/>
        <v>display,</v>
      </c>
    </row>
    <row r="2671">
      <c r="A2671" s="51"/>
      <c r="B2671" s="50" t="s">
        <v>1391</v>
      </c>
      <c r="C2671" s="50" t="s">
        <v>2133</v>
      </c>
      <c r="D2671" s="49" t="str">
        <f>IFERROR(__xludf.DUMMYFUNCTION("""COMPUTED_VALUE"""),"heights")</f>
        <v>heights</v>
      </c>
      <c r="E2671" s="49"/>
      <c r="F2671" s="49"/>
      <c r="G2671" s="49"/>
      <c r="H2671" s="54" t="str">
        <f t="shared" si="1"/>
        <v>mainly,</v>
      </c>
      <c r="I2671" s="50"/>
      <c r="J2671" s="50" t="s">
        <v>2241</v>
      </c>
      <c r="K2671" s="50" t="s">
        <v>2475</v>
      </c>
      <c r="L2671" s="49"/>
      <c r="M2671" s="49"/>
      <c r="N2671" s="49"/>
      <c r="O2671" s="49"/>
      <c r="P2671" s="49" t="str">
        <f t="shared" si="2"/>
        <v>rug,</v>
      </c>
      <c r="Q2671" s="49"/>
      <c r="R2671" s="49"/>
      <c r="S2671" s="55" t="s">
        <v>1945</v>
      </c>
      <c r="T2671" s="49"/>
      <c r="U2671" s="49"/>
      <c r="V2671" s="49"/>
      <c r="W2671" s="49"/>
      <c r="X2671" s="49" t="str">
        <f t="shared" si="3"/>
        <v>,</v>
      </c>
      <c r="Y2671" s="49"/>
      <c r="Z2671" s="1" t="s">
        <v>1791</v>
      </c>
      <c r="AA2671" s="1" t="s">
        <v>3129</v>
      </c>
      <c r="AB2671" s="49"/>
      <c r="AC2671" s="49"/>
      <c r="AD2671" s="49"/>
      <c r="AE2671" s="49"/>
      <c r="AF2671" s="49" t="str">
        <f t="shared" si="4"/>
        <v>importance,</v>
      </c>
      <c r="AG2671" s="49"/>
      <c r="AH2671" s="1" t="s">
        <v>6288</v>
      </c>
      <c r="AI2671" s="1" t="s">
        <v>5251</v>
      </c>
      <c r="AJ2671" s="6" t="str">
        <f>IFERROR(__xludf.DUMMYFUNCTION("""COMPUTED_VALUE"""),"discovery")</f>
        <v>discovery</v>
      </c>
      <c r="AK2671" s="49"/>
      <c r="AL2671" s="49"/>
      <c r="AM2671" s="49"/>
      <c r="AN2671" s="52" t="str">
        <f t="shared" si="5"/>
        <v>acted,</v>
      </c>
    </row>
    <row r="2672">
      <c r="A2672" s="51"/>
      <c r="B2672" s="50" t="s">
        <v>5148</v>
      </c>
      <c r="C2672" s="50" t="s">
        <v>4944</v>
      </c>
      <c r="D2672" s="49" t="str">
        <f>IFERROR(__xludf.DUMMYFUNCTION("""COMPUTED_VALUE"""),"heels")</f>
        <v>heels</v>
      </c>
      <c r="E2672" s="49"/>
      <c r="F2672" s="49"/>
      <c r="G2672" s="49"/>
      <c r="H2672" s="54" t="str">
        <f t="shared" si="1"/>
        <v>gas,</v>
      </c>
      <c r="I2672" s="50"/>
      <c r="J2672" s="50" t="s">
        <v>3052</v>
      </c>
      <c r="K2672" s="50" t="s">
        <v>1379</v>
      </c>
      <c r="L2672" s="49"/>
      <c r="M2672" s="49"/>
      <c r="N2672" s="49"/>
      <c r="O2672" s="49"/>
      <c r="P2672" s="49" t="str">
        <f t="shared" si="2"/>
        <v>maintains,</v>
      </c>
      <c r="Q2672" s="49"/>
      <c r="R2672" s="49"/>
      <c r="S2672" s="55" t="s">
        <v>6789</v>
      </c>
      <c r="T2672" s="49"/>
      <c r="U2672" s="49"/>
      <c r="V2672" s="49"/>
      <c r="W2672" s="49"/>
      <c r="X2672" s="49" t="str">
        <f t="shared" si="3"/>
        <v>,</v>
      </c>
      <c r="Y2672" s="49"/>
      <c r="Z2672" s="1" t="s">
        <v>6761</v>
      </c>
      <c r="AA2672" s="1" t="s">
        <v>5572</v>
      </c>
      <c r="AB2672" s="49"/>
      <c r="AC2672" s="49"/>
      <c r="AD2672" s="49"/>
      <c r="AE2672" s="49"/>
      <c r="AF2672" s="49" t="str">
        <f t="shared" si="4"/>
        <v>choices,</v>
      </c>
      <c r="AG2672" s="49"/>
      <c r="AH2672" s="1" t="s">
        <v>681</v>
      </c>
      <c r="AI2672" s="1" t="s">
        <v>969</v>
      </c>
      <c r="AJ2672" s="6" t="str">
        <f>IFERROR(__xludf.DUMMYFUNCTION("""COMPUTED_VALUE"""),"q")</f>
        <v>q</v>
      </c>
      <c r="AK2672" s="49"/>
      <c r="AL2672" s="49"/>
      <c r="AM2672" s="49"/>
      <c r="AN2672" s="52" t="str">
        <f t="shared" si="5"/>
        <v>tear,</v>
      </c>
    </row>
    <row r="2673">
      <c r="A2673" s="51"/>
      <c r="B2673" s="50">
        <v>90.0</v>
      </c>
      <c r="C2673" s="50" t="s">
        <v>3875</v>
      </c>
      <c r="D2673" s="49" t="str">
        <f>IFERROR(__xludf.DUMMYFUNCTION("""COMPUTED_VALUE"""),"suggest")</f>
        <v>suggest</v>
      </c>
      <c r="E2673" s="49"/>
      <c r="F2673" s="49"/>
      <c r="G2673" s="49"/>
      <c r="H2673" s="54" t="str">
        <f t="shared" si="1"/>
        <v>90,</v>
      </c>
      <c r="I2673" s="50"/>
      <c r="J2673" s="50" t="s">
        <v>497</v>
      </c>
      <c r="K2673" s="50" t="s">
        <v>2480</v>
      </c>
      <c r="L2673" s="49"/>
      <c r="M2673" s="49"/>
      <c r="N2673" s="49"/>
      <c r="O2673" s="49"/>
      <c r="P2673" s="49" t="str">
        <f t="shared" si="2"/>
        <v>establishes,</v>
      </c>
      <c r="Q2673" s="49"/>
      <c r="R2673" s="49"/>
      <c r="S2673" s="55" t="s">
        <v>5186</v>
      </c>
      <c r="T2673" s="49"/>
      <c r="U2673" s="49"/>
      <c r="V2673" s="49"/>
      <c r="W2673" s="49"/>
      <c r="X2673" s="49" t="str">
        <f t="shared" si="3"/>
        <v>,</v>
      </c>
      <c r="Y2673" s="49"/>
      <c r="Z2673" s="1" t="s">
        <v>5474</v>
      </c>
      <c r="AA2673" s="1" t="s">
        <v>2535</v>
      </c>
      <c r="AB2673" s="49"/>
      <c r="AC2673" s="49"/>
      <c r="AD2673" s="49"/>
      <c r="AE2673" s="49"/>
      <c r="AF2673" s="49" t="str">
        <f t="shared" si="4"/>
        <v>salt,</v>
      </c>
      <c r="AG2673" s="49"/>
      <c r="AH2673" s="1" t="s">
        <v>6598</v>
      </c>
      <c r="AI2673" s="1" t="s">
        <v>3589</v>
      </c>
      <c r="AJ2673" s="6" t="str">
        <f>IFERROR(__xludf.DUMMYFUNCTION("""COMPUTED_VALUE"""),"understanding")</f>
        <v>understanding</v>
      </c>
      <c r="AK2673" s="49"/>
      <c r="AL2673" s="49"/>
      <c r="AM2673" s="49"/>
      <c r="AN2673" s="52" t="str">
        <f t="shared" si="5"/>
        <v>craig,</v>
      </c>
    </row>
    <row r="2674">
      <c r="A2674" s="51"/>
      <c r="B2674" s="50">
        <v>89.0</v>
      </c>
      <c r="C2674" s="50" t="s">
        <v>5588</v>
      </c>
      <c r="D2674" s="49" t="str">
        <f>IFERROR(__xludf.DUMMYFUNCTION("""COMPUTED_VALUE"""),"stronger")</f>
        <v>stronger</v>
      </c>
      <c r="E2674" s="49"/>
      <c r="F2674" s="49"/>
      <c r="G2674" s="49"/>
      <c r="H2674" s="54" t="str">
        <f t="shared" si="1"/>
        <v>89,</v>
      </c>
      <c r="I2674" s="50"/>
      <c r="J2674" s="50" t="s">
        <v>6276</v>
      </c>
      <c r="K2674" s="50" t="s">
        <v>4283</v>
      </c>
      <c r="L2674" s="49"/>
      <c r="M2674" s="49"/>
      <c r="N2674" s="49"/>
      <c r="O2674" s="49"/>
      <c r="P2674" s="49" t="str">
        <f t="shared" si="2"/>
        <v>satisfied,</v>
      </c>
      <c r="Q2674" s="49"/>
      <c r="R2674" s="49"/>
      <c r="S2674" s="55" t="s">
        <v>4160</v>
      </c>
      <c r="T2674" s="49"/>
      <c r="U2674" s="49"/>
      <c r="V2674" s="49"/>
      <c r="W2674" s="49"/>
      <c r="X2674" s="49" t="str">
        <f t="shared" si="3"/>
        <v>,</v>
      </c>
      <c r="Y2674" s="49"/>
      <c r="Z2674" s="1" t="s">
        <v>2686</v>
      </c>
      <c r="AA2674" s="1" t="s">
        <v>5782</v>
      </c>
      <c r="AB2674" s="49"/>
      <c r="AC2674" s="49"/>
      <c r="AD2674" s="49"/>
      <c r="AE2674" s="49"/>
      <c r="AF2674" s="49" t="str">
        <f t="shared" si="4"/>
        <v>wilde,</v>
      </c>
      <c r="AG2674" s="49"/>
      <c r="AH2674" s="1" t="s">
        <v>6822</v>
      </c>
      <c r="AI2674" s="1" t="s">
        <v>402</v>
      </c>
      <c r="AJ2674" s="6" t="str">
        <f>IFERROR(__xludf.DUMMYFUNCTION("""COMPUTED_VALUE"""),"vast")</f>
        <v>vast</v>
      </c>
      <c r="AK2674" s="49"/>
      <c r="AL2674" s="49"/>
      <c r="AM2674" s="49"/>
      <c r="AN2674" s="52" t="str">
        <f t="shared" si="5"/>
        <v>princess,</v>
      </c>
    </row>
    <row r="2675">
      <c r="A2675" s="51"/>
      <c r="B2675" s="50" t="s">
        <v>5234</v>
      </c>
      <c r="C2675" s="50" t="s">
        <v>1087</v>
      </c>
      <c r="D2675" s="49" t="str">
        <f>IFERROR(__xludf.DUMMYFUNCTION("""COMPUTED_VALUE"""),"focuses")</f>
        <v>focuses</v>
      </c>
      <c r="E2675" s="49"/>
      <c r="F2675" s="49"/>
      <c r="G2675" s="49"/>
      <c r="H2675" s="54" t="str">
        <f t="shared" si="1"/>
        <v>grows,</v>
      </c>
      <c r="I2675" s="50"/>
      <c r="J2675" s="50" t="s">
        <v>4337</v>
      </c>
      <c r="K2675" s="50" t="s">
        <v>3635</v>
      </c>
      <c r="L2675" s="49"/>
      <c r="M2675" s="49"/>
      <c r="N2675" s="49"/>
      <c r="O2675" s="49"/>
      <c r="P2675" s="49" t="str">
        <f t="shared" si="2"/>
        <v>arrangements,</v>
      </c>
      <c r="Q2675" s="49"/>
      <c r="R2675" s="49"/>
      <c r="S2675" s="55" t="s">
        <v>3542</v>
      </c>
      <c r="T2675" s="49"/>
      <c r="U2675" s="49"/>
      <c r="V2675" s="49"/>
      <c r="W2675" s="49"/>
      <c r="X2675" s="49" t="str">
        <f t="shared" si="3"/>
        <v>,</v>
      </c>
      <c r="Y2675" s="49"/>
      <c r="Z2675" s="1" t="s">
        <v>4008</v>
      </c>
      <c r="AA2675" s="1" t="s">
        <v>3131</v>
      </c>
      <c r="AB2675" s="49"/>
      <c r="AC2675" s="49"/>
      <c r="AD2675" s="49"/>
      <c r="AE2675" s="49"/>
      <c r="AF2675" s="49" t="str">
        <f t="shared" si="4"/>
        <v>gangs,</v>
      </c>
      <c r="AG2675" s="49"/>
      <c r="AH2675" s="1" t="s">
        <v>6878</v>
      </c>
      <c r="AI2675" s="1" t="s">
        <v>5732</v>
      </c>
      <c r="AJ2675" s="6" t="str">
        <f>IFERROR(__xludf.DUMMYFUNCTION("""COMPUTED_VALUE"""),"corruption")</f>
        <v>corruption</v>
      </c>
      <c r="AK2675" s="49"/>
      <c r="AL2675" s="49"/>
      <c r="AM2675" s="49"/>
      <c r="AN2675" s="52" t="str">
        <f t="shared" si="5"/>
        <v>feelings,</v>
      </c>
    </row>
    <row r="2676">
      <c r="A2676" s="51"/>
      <c r="B2676" s="50" t="s">
        <v>6021</v>
      </c>
      <c r="C2676" s="50" t="s">
        <v>4946</v>
      </c>
      <c r="D2676" s="49" t="str">
        <f>IFERROR(__xludf.DUMMYFUNCTION("""COMPUTED_VALUE"""),"particular")</f>
        <v>particular</v>
      </c>
      <c r="E2676" s="49"/>
      <c r="F2676" s="49"/>
      <c r="G2676" s="49"/>
      <c r="H2676" s="54" t="str">
        <f t="shared" si="1"/>
        <v>bed,</v>
      </c>
      <c r="I2676" s="50"/>
      <c r="J2676" s="50" t="s">
        <v>6157</v>
      </c>
      <c r="K2676" s="50" t="s">
        <v>5475</v>
      </c>
      <c r="L2676" s="49"/>
      <c r="M2676" s="49"/>
      <c r="N2676" s="49"/>
      <c r="O2676" s="49"/>
      <c r="P2676" s="49" t="str">
        <f t="shared" si="2"/>
        <v>dusty,</v>
      </c>
      <c r="Q2676" s="49"/>
      <c r="R2676" s="49"/>
      <c r="S2676" s="55" t="s">
        <v>4162</v>
      </c>
      <c r="T2676" s="49"/>
      <c r="U2676" s="49"/>
      <c r="V2676" s="49"/>
      <c r="W2676" s="49"/>
      <c r="X2676" s="49" t="str">
        <f t="shared" si="3"/>
        <v>,</v>
      </c>
      <c r="Y2676" s="49"/>
      <c r="Z2676" s="1" t="s">
        <v>4838</v>
      </c>
      <c r="AA2676" s="1" t="s">
        <v>4319</v>
      </c>
      <c r="AB2676" s="49"/>
      <c r="AC2676" s="49"/>
      <c r="AD2676" s="49"/>
      <c r="AE2676" s="49"/>
      <c r="AF2676" s="49" t="str">
        <f t="shared" si="4"/>
        <v>updated,</v>
      </c>
      <c r="AG2676" s="49"/>
      <c r="AH2676" s="1" t="s">
        <v>6426</v>
      </c>
      <c r="AI2676" s="1" t="s">
        <v>4467</v>
      </c>
      <c r="AJ2676" s="6" t="str">
        <f>IFERROR(__xludf.DUMMYFUNCTION("""COMPUTED_VALUE"""),"legs")</f>
        <v>legs</v>
      </c>
      <c r="AK2676" s="49"/>
      <c r="AL2676" s="49"/>
      <c r="AM2676" s="49"/>
      <c r="AN2676" s="52" t="str">
        <f t="shared" si="5"/>
        <v>explanation,</v>
      </c>
    </row>
    <row r="2677">
      <c r="A2677" s="51"/>
      <c r="B2677" s="50" t="s">
        <v>6388</v>
      </c>
      <c r="C2677" s="50" t="s">
        <v>6728</v>
      </c>
      <c r="D2677" s="49" t="str">
        <f>IFERROR(__xludf.DUMMYFUNCTION("""COMPUTED_VALUE"""),"putting")</f>
        <v>putting</v>
      </c>
      <c r="E2677" s="49"/>
      <c r="F2677" s="49"/>
      <c r="G2677" s="49"/>
      <c r="H2677" s="54" t="str">
        <f t="shared" si="1"/>
        <v>valley,</v>
      </c>
      <c r="I2677" s="50"/>
      <c r="J2677" s="50" t="s">
        <v>7603</v>
      </c>
      <c r="K2677" s="50" t="s">
        <v>2482</v>
      </c>
      <c r="L2677" s="49"/>
      <c r="M2677" s="49"/>
      <c r="N2677" s="49"/>
      <c r="O2677" s="49"/>
      <c r="P2677" s="49" t="str">
        <f t="shared" si="2"/>
        <v>poke,</v>
      </c>
      <c r="Q2677" s="49"/>
      <c r="R2677" s="49"/>
      <c r="S2677" s="55" t="s">
        <v>3547</v>
      </c>
      <c r="T2677" s="49"/>
      <c r="U2677" s="49"/>
      <c r="V2677" s="49"/>
      <c r="W2677" s="49"/>
      <c r="X2677" s="49" t="str">
        <f t="shared" si="3"/>
        <v>,</v>
      </c>
      <c r="Y2677" s="49"/>
      <c r="Z2677" s="1" t="s">
        <v>7631</v>
      </c>
      <c r="AA2677" s="1" t="s">
        <v>1925</v>
      </c>
      <c r="AB2677" s="49"/>
      <c r="AC2677" s="49"/>
      <c r="AD2677" s="49"/>
      <c r="AE2677" s="49"/>
      <c r="AF2677" s="49" t="str">
        <f t="shared" si="4"/>
        <v>disgusting,</v>
      </c>
      <c r="AG2677" s="49"/>
      <c r="AH2677" s="1" t="s">
        <v>1644</v>
      </c>
      <c r="AI2677" s="1" t="s">
        <v>5256</v>
      </c>
      <c r="AJ2677" s="6" t="str">
        <f>IFERROR(__xludf.DUMMYFUNCTION("""COMPUTED_VALUE"""),"knees")</f>
        <v>knees</v>
      </c>
      <c r="AK2677" s="49"/>
      <c r="AL2677" s="49"/>
      <c r="AM2677" s="49"/>
      <c r="AN2677" s="52" t="str">
        <f t="shared" si="5"/>
        <v>east,</v>
      </c>
    </row>
    <row r="2678">
      <c r="A2678" s="51"/>
      <c r="B2678" s="50" t="s">
        <v>6608</v>
      </c>
      <c r="C2678" s="50" t="s">
        <v>5435</v>
      </c>
      <c r="D2678" s="49" t="str">
        <f>IFERROR(__xludf.DUMMYFUNCTION("""COMPUTED_VALUE"""),"executed")</f>
        <v>executed</v>
      </c>
      <c r="E2678" s="49"/>
      <c r="F2678" s="49"/>
      <c r="G2678" s="49"/>
      <c r="H2678" s="54" t="str">
        <f t="shared" si="1"/>
        <v>boom,</v>
      </c>
      <c r="I2678" s="50"/>
      <c r="J2678" s="50" t="s">
        <v>5162</v>
      </c>
      <c r="K2678" s="50" t="s">
        <v>4287</v>
      </c>
      <c r="L2678" s="49"/>
      <c r="M2678" s="49"/>
      <c r="N2678" s="49"/>
      <c r="O2678" s="49"/>
      <c r="P2678" s="49" t="str">
        <f t="shared" si="2"/>
        <v>hardened,</v>
      </c>
      <c r="Q2678" s="49"/>
      <c r="R2678" s="49"/>
      <c r="S2678" s="55" t="s">
        <v>4164</v>
      </c>
      <c r="T2678" s="49"/>
      <c r="U2678" s="49"/>
      <c r="V2678" s="49"/>
      <c r="W2678" s="49"/>
      <c r="X2678" s="49" t="str">
        <f t="shared" si="3"/>
        <v>,</v>
      </c>
      <c r="Y2678" s="49"/>
      <c r="Z2678" s="1" t="s">
        <v>1106</v>
      </c>
      <c r="AA2678" s="1" t="s">
        <v>4913</v>
      </c>
      <c r="AB2678" s="49"/>
      <c r="AC2678" s="49"/>
      <c r="AD2678" s="49"/>
      <c r="AE2678" s="49"/>
      <c r="AF2678" s="49" t="str">
        <f t="shared" si="4"/>
        <v>visionary,</v>
      </c>
      <c r="AG2678" s="49"/>
      <c r="AH2678" s="1" t="s">
        <v>3694</v>
      </c>
      <c r="AI2678" s="1" t="s">
        <v>5872</v>
      </c>
      <c r="AJ2678" s="6" t="str">
        <f>IFERROR(__xludf.DUMMYFUNCTION("""COMPUTED_VALUE"""),"scattered")</f>
        <v>scattered</v>
      </c>
      <c r="AK2678" s="49"/>
      <c r="AL2678" s="49"/>
      <c r="AM2678" s="49"/>
      <c r="AN2678" s="52" t="str">
        <f t="shared" si="5"/>
        <v>marine,</v>
      </c>
    </row>
    <row r="2679">
      <c r="A2679" s="51"/>
      <c r="B2679" s="50" t="s">
        <v>782</v>
      </c>
      <c r="C2679" s="50" t="s">
        <v>6816</v>
      </c>
      <c r="D2679" s="49" t="str">
        <f>IFERROR(__xludf.DUMMYFUNCTION("""COMPUTED_VALUE"""),"presentation")</f>
        <v>presentation</v>
      </c>
      <c r="E2679" s="49"/>
      <c r="F2679" s="49"/>
      <c r="G2679" s="49"/>
      <c r="H2679" s="54" t="str">
        <f t="shared" si="1"/>
        <v>joy,</v>
      </c>
      <c r="I2679" s="50"/>
      <c r="J2679" s="50" t="s">
        <v>551</v>
      </c>
      <c r="K2679" s="50" t="s">
        <v>2485</v>
      </c>
      <c r="L2679" s="49"/>
      <c r="M2679" s="49"/>
      <c r="N2679" s="49"/>
      <c r="O2679" s="49"/>
      <c r="P2679" s="49" t="str">
        <f t="shared" si="2"/>
        <v>compassion,</v>
      </c>
      <c r="Q2679" s="49"/>
      <c r="R2679" s="49"/>
      <c r="S2679" s="55" t="s">
        <v>251</v>
      </c>
      <c r="T2679" s="49"/>
      <c r="U2679" s="49"/>
      <c r="V2679" s="49"/>
      <c r="W2679" s="49"/>
      <c r="X2679" s="49" t="str">
        <f t="shared" si="3"/>
        <v>,</v>
      </c>
      <c r="Y2679" s="49"/>
      <c r="Z2679" s="1" t="s">
        <v>3142</v>
      </c>
      <c r="AA2679" s="1" t="s">
        <v>5785</v>
      </c>
      <c r="AB2679" s="49"/>
      <c r="AC2679" s="49"/>
      <c r="AD2679" s="49"/>
      <c r="AE2679" s="49"/>
      <c r="AF2679" s="49" t="str">
        <f t="shared" si="4"/>
        <v>vibrant,</v>
      </c>
      <c r="AG2679" s="49"/>
      <c r="AH2679" s="1" t="s">
        <v>3524</v>
      </c>
      <c r="AI2679" s="1" t="s">
        <v>5876</v>
      </c>
      <c r="AJ2679" s="6" t="str">
        <f>IFERROR(__xludf.DUMMYFUNCTION("""COMPUTED_VALUE"""),"zone")</f>
        <v>zone</v>
      </c>
      <c r="AK2679" s="49"/>
      <c r="AL2679" s="49"/>
      <c r="AM2679" s="49"/>
      <c r="AN2679" s="52" t="str">
        <f t="shared" si="5"/>
        <v>vietnam,</v>
      </c>
    </row>
    <row r="2680">
      <c r="A2680" s="51"/>
      <c r="B2680" s="50" t="s">
        <v>6954</v>
      </c>
      <c r="C2680" s="50">
        <v>11.0</v>
      </c>
      <c r="D2680" s="49" t="str">
        <f>IFERROR(__xludf.DUMMYFUNCTION("""COMPUTED_VALUE"""),"tough")</f>
        <v>tough</v>
      </c>
      <c r="E2680" s="49"/>
      <c r="F2680" s="49"/>
      <c r="G2680" s="49"/>
      <c r="H2680" s="54" t="str">
        <f t="shared" si="1"/>
        <v>meet,</v>
      </c>
      <c r="I2680" s="50"/>
      <c r="J2680" s="50" t="s">
        <v>6989</v>
      </c>
      <c r="K2680" s="50" t="s">
        <v>4291</v>
      </c>
      <c r="L2680" s="49"/>
      <c r="M2680" s="49"/>
      <c r="N2680" s="49"/>
      <c r="O2680" s="49"/>
      <c r="P2680" s="49" t="str">
        <f t="shared" si="2"/>
        <v>bread,</v>
      </c>
      <c r="Q2680" s="49"/>
      <c r="R2680" s="49"/>
      <c r="S2680" s="55" t="s">
        <v>1277</v>
      </c>
      <c r="T2680" s="49"/>
      <c r="U2680" s="49"/>
      <c r="V2680" s="49"/>
      <c r="W2680" s="49"/>
      <c r="X2680" s="49" t="str">
        <f t="shared" si="3"/>
        <v>,</v>
      </c>
      <c r="Y2680" s="49"/>
      <c r="Z2680" s="1" t="s">
        <v>2375</v>
      </c>
      <c r="AA2680" s="1" t="s">
        <v>4917</v>
      </c>
      <c r="AB2680" s="49"/>
      <c r="AC2680" s="49"/>
      <c r="AD2680" s="49"/>
      <c r="AE2680" s="49"/>
      <c r="AF2680" s="49" t="str">
        <f t="shared" si="4"/>
        <v>aims,</v>
      </c>
      <c r="AG2680" s="49"/>
      <c r="AH2680" s="1" t="s">
        <v>6394</v>
      </c>
      <c r="AI2680" s="1" t="s">
        <v>4784</v>
      </c>
      <c r="AJ2680" s="6" t="str">
        <f>IFERROR(__xludf.DUMMYFUNCTION("""COMPUTED_VALUE"""),"push")</f>
        <v>push</v>
      </c>
      <c r="AK2680" s="49"/>
      <c r="AL2680" s="49"/>
      <c r="AM2680" s="49"/>
      <c r="AN2680" s="52" t="str">
        <f t="shared" si="5"/>
        <v>terry,</v>
      </c>
    </row>
    <row r="2681">
      <c r="A2681" s="51"/>
      <c r="B2681" s="50" t="s">
        <v>7595</v>
      </c>
      <c r="C2681" s="50" t="s">
        <v>3763</v>
      </c>
      <c r="D2681" s="49" t="str">
        <f>IFERROR(__xludf.DUMMYFUNCTION("""COMPUTED_VALUE"""),"lean")</f>
        <v>lean</v>
      </c>
      <c r="E2681" s="49"/>
      <c r="F2681" s="49"/>
      <c r="G2681" s="49"/>
      <c r="H2681" s="54" t="str">
        <f t="shared" si="1"/>
        <v>broke,</v>
      </c>
      <c r="I2681" s="50"/>
      <c r="J2681" s="50" t="s">
        <v>3867</v>
      </c>
      <c r="K2681" s="50" t="s">
        <v>3289</v>
      </c>
      <c r="L2681" s="49"/>
      <c r="M2681" s="49"/>
      <c r="N2681" s="49"/>
      <c r="O2681" s="49"/>
      <c r="P2681" s="49" t="str">
        <f t="shared" si="2"/>
        <v>swinging,</v>
      </c>
      <c r="Q2681" s="49"/>
      <c r="R2681" s="49"/>
      <c r="S2681" s="55" t="s">
        <v>1270</v>
      </c>
      <c r="T2681" s="49"/>
      <c r="U2681" s="49"/>
      <c r="V2681" s="49"/>
      <c r="W2681" s="49"/>
      <c r="X2681" s="49" t="str">
        <f t="shared" si="3"/>
        <v>,</v>
      </c>
      <c r="Y2681" s="49"/>
      <c r="Z2681" s="1" t="s">
        <v>4953</v>
      </c>
      <c r="AA2681" s="1" t="s">
        <v>5786</v>
      </c>
      <c r="AB2681" s="49"/>
      <c r="AC2681" s="49"/>
      <c r="AD2681" s="49"/>
      <c r="AE2681" s="49"/>
      <c r="AF2681" s="49" t="str">
        <f t="shared" si="4"/>
        <v>paint,</v>
      </c>
      <c r="AG2681" s="49"/>
      <c r="AH2681" s="1" t="s">
        <v>7632</v>
      </c>
      <c r="AI2681" s="1" t="s">
        <v>5853</v>
      </c>
      <c r="AJ2681" s="6" t="str">
        <f>IFERROR(__xludf.DUMMYFUNCTION("""COMPUTED_VALUE"""),"places")</f>
        <v>places</v>
      </c>
      <c r="AK2681" s="49"/>
      <c r="AL2681" s="49"/>
      <c r="AM2681" s="49"/>
      <c r="AN2681" s="52" t="str">
        <f t="shared" si="5"/>
        <v>carlos,</v>
      </c>
    </row>
    <row r="2682">
      <c r="A2682" s="51"/>
      <c r="B2682" s="50" t="s">
        <v>3363</v>
      </c>
      <c r="C2682" s="50" t="s">
        <v>3799</v>
      </c>
      <c r="D2682" s="49" t="str">
        <f>IFERROR(__xludf.DUMMYFUNCTION("""COMPUTED_VALUE"""),"freedom")</f>
        <v>freedom</v>
      </c>
      <c r="E2682" s="49"/>
      <c r="F2682" s="49"/>
      <c r="G2682" s="49"/>
      <c r="H2682" s="54" t="str">
        <f t="shared" si="1"/>
        <v>ear,</v>
      </c>
      <c r="I2682" s="50"/>
      <c r="J2682" s="50" t="s">
        <v>1061</v>
      </c>
      <c r="K2682" s="50" t="s">
        <v>5787</v>
      </c>
      <c r="L2682" s="49"/>
      <c r="M2682" s="49"/>
      <c r="N2682" s="49"/>
      <c r="O2682" s="49"/>
      <c r="P2682" s="49" t="str">
        <f t="shared" si="2"/>
        <v>wanting,</v>
      </c>
      <c r="Q2682" s="49"/>
      <c r="R2682" s="49"/>
      <c r="S2682" s="55" t="s">
        <v>2356</v>
      </c>
      <c r="T2682" s="49"/>
      <c r="U2682" s="49"/>
      <c r="V2682" s="49"/>
      <c r="W2682" s="49"/>
      <c r="X2682" s="49" t="str">
        <f t="shared" si="3"/>
        <v>,</v>
      </c>
      <c r="Y2682" s="49"/>
      <c r="Z2682" s="1" t="s">
        <v>3680</v>
      </c>
      <c r="AA2682" s="1" t="s">
        <v>4919</v>
      </c>
      <c r="AB2682" s="49"/>
      <c r="AC2682" s="49"/>
      <c r="AD2682" s="49"/>
      <c r="AE2682" s="49"/>
      <c r="AF2682" s="49" t="str">
        <f t="shared" si="4"/>
        <v>exquisite,</v>
      </c>
      <c r="AG2682" s="49"/>
      <c r="AH2682" s="1" t="s">
        <v>5735</v>
      </c>
      <c r="AI2682" s="1">
        <v>93.0</v>
      </c>
      <c r="AJ2682" s="6" t="str">
        <f>IFERROR(__xludf.DUMMYFUNCTION("""COMPUTED_VALUE"""),"excited")</f>
        <v>excited</v>
      </c>
      <c r="AK2682" s="49"/>
      <c r="AL2682" s="49"/>
      <c r="AM2682" s="49"/>
      <c r="AN2682" s="52" t="str">
        <f t="shared" si="5"/>
        <v>harvey,</v>
      </c>
    </row>
    <row r="2683">
      <c r="A2683" s="51"/>
      <c r="B2683" s="50" t="s">
        <v>909</v>
      </c>
      <c r="C2683" s="50" t="s">
        <v>4953</v>
      </c>
      <c r="D2683" s="49" t="str">
        <f>IFERROR(__xludf.DUMMYFUNCTION("""COMPUTED_VALUE"""),"grateful")</f>
        <v>grateful</v>
      </c>
      <c r="E2683" s="49"/>
      <c r="F2683" s="49"/>
      <c r="G2683" s="49"/>
      <c r="H2683" s="54" t="str">
        <f t="shared" si="1"/>
        <v>grab,</v>
      </c>
      <c r="I2683" s="50"/>
      <c r="J2683" s="50" t="s">
        <v>7633</v>
      </c>
      <c r="K2683" s="50" t="s">
        <v>2486</v>
      </c>
      <c r="L2683" s="49"/>
      <c r="M2683" s="49"/>
      <c r="N2683" s="49"/>
      <c r="O2683" s="49"/>
      <c r="P2683" s="49" t="str">
        <f t="shared" si="2"/>
        <v>counter,</v>
      </c>
      <c r="Q2683" s="49"/>
      <c r="R2683" s="49"/>
      <c r="S2683" s="55" t="s">
        <v>2353</v>
      </c>
      <c r="T2683" s="49"/>
      <c r="U2683" s="49"/>
      <c r="V2683" s="49"/>
      <c r="W2683" s="49"/>
      <c r="X2683" s="49" t="str">
        <f t="shared" si="3"/>
        <v>,</v>
      </c>
      <c r="Y2683" s="49"/>
      <c r="Z2683" s="1" t="s">
        <v>4809</v>
      </c>
      <c r="AA2683" s="1" t="s">
        <v>453</v>
      </c>
      <c r="AB2683" s="49"/>
      <c r="AC2683" s="49"/>
      <c r="AD2683" s="49"/>
      <c r="AE2683" s="49"/>
      <c r="AF2683" s="49" t="str">
        <f t="shared" si="4"/>
        <v>dimensional,</v>
      </c>
      <c r="AG2683" s="49"/>
      <c r="AH2683" s="1" t="s">
        <v>4896</v>
      </c>
      <c r="AI2683" s="1" t="s">
        <v>6817</v>
      </c>
      <c r="AJ2683" s="6">
        <f>IFERROR(__xludf.DUMMYFUNCTION("""COMPUTED_VALUE"""),11.0)</f>
        <v>11</v>
      </c>
      <c r="AK2683" s="49"/>
      <c r="AL2683" s="49"/>
      <c r="AM2683" s="49"/>
      <c r="AN2683" s="52" t="str">
        <f t="shared" si="5"/>
        <v>losing,</v>
      </c>
    </row>
    <row r="2684">
      <c r="A2684" s="51"/>
      <c r="B2684" s="50" t="s">
        <v>7131</v>
      </c>
      <c r="C2684" s="50" t="s">
        <v>4958</v>
      </c>
      <c r="D2684" s="49" t="str">
        <f>IFERROR(__xludf.DUMMYFUNCTION("""COMPUTED_VALUE"""),"russell")</f>
        <v>russell</v>
      </c>
      <c r="E2684" s="49"/>
      <c r="F2684" s="49"/>
      <c r="G2684" s="49"/>
      <c r="H2684" s="54" t="str">
        <f t="shared" si="1"/>
        <v>fix,</v>
      </c>
      <c r="I2684" s="50"/>
      <c r="J2684" s="50" t="s">
        <v>6713</v>
      </c>
      <c r="K2684" s="50" t="s">
        <v>5325</v>
      </c>
      <c r="L2684" s="49"/>
      <c r="M2684" s="49"/>
      <c r="N2684" s="49"/>
      <c r="O2684" s="49"/>
      <c r="P2684" s="49" t="str">
        <f t="shared" si="2"/>
        <v>garden,</v>
      </c>
      <c r="Q2684" s="49"/>
      <c r="R2684" s="49"/>
      <c r="S2684" s="55" t="s">
        <v>1284</v>
      </c>
      <c r="T2684" s="49"/>
      <c r="U2684" s="49"/>
      <c r="V2684" s="49"/>
      <c r="W2684" s="49"/>
      <c r="X2684" s="49" t="str">
        <f t="shared" si="3"/>
        <v>,</v>
      </c>
      <c r="Y2684" s="49"/>
      <c r="Z2684" s="1" t="s">
        <v>1889</v>
      </c>
      <c r="AA2684" s="1" t="s">
        <v>5788</v>
      </c>
      <c r="AB2684" s="49"/>
      <c r="AC2684" s="49"/>
      <c r="AD2684" s="49"/>
      <c r="AE2684" s="49"/>
      <c r="AF2684" s="49" t="str">
        <f t="shared" si="4"/>
        <v>distinguished,</v>
      </c>
      <c r="AG2684" s="49"/>
      <c r="AH2684" s="1" t="s">
        <v>4292</v>
      </c>
      <c r="AI2684" s="1" t="s">
        <v>5264</v>
      </c>
      <c r="AJ2684" s="6" t="str">
        <f>IFERROR(__xludf.DUMMYFUNCTION("""COMPUTED_VALUE"""),"austrian")</f>
        <v>austrian</v>
      </c>
      <c r="AK2684" s="49"/>
      <c r="AL2684" s="49"/>
      <c r="AM2684" s="49"/>
      <c r="AN2684" s="52" t="str">
        <f t="shared" si="5"/>
        <v>stomach,</v>
      </c>
    </row>
    <row r="2685">
      <c r="A2685" s="51"/>
      <c r="B2685" s="50" t="s">
        <v>6778</v>
      </c>
      <c r="C2685" s="50" t="s">
        <v>3883</v>
      </c>
      <c r="D2685" s="49" t="str">
        <f>IFERROR(__xludf.DUMMYFUNCTION("""COMPUTED_VALUE"""),"mask")</f>
        <v>mask</v>
      </c>
      <c r="E2685" s="49"/>
      <c r="F2685" s="49"/>
      <c r="G2685" s="49"/>
      <c r="H2685" s="54" t="str">
        <f t="shared" si="1"/>
        <v>refused,</v>
      </c>
      <c r="I2685" s="50"/>
      <c r="J2685" s="50" t="s">
        <v>6474</v>
      </c>
      <c r="K2685" s="50" t="s">
        <v>1641</v>
      </c>
      <c r="L2685" s="49"/>
      <c r="M2685" s="49"/>
      <c r="N2685" s="49"/>
      <c r="O2685" s="49"/>
      <c r="P2685" s="49" t="str">
        <f t="shared" si="2"/>
        <v>grandmother,</v>
      </c>
      <c r="Q2685" s="49"/>
      <c r="R2685" s="49"/>
      <c r="S2685" s="55" t="s">
        <v>5811</v>
      </c>
      <c r="T2685" s="49"/>
      <c r="U2685" s="49"/>
      <c r="V2685" s="49"/>
      <c r="W2685" s="49"/>
      <c r="X2685" s="49" t="str">
        <f t="shared" si="3"/>
        <v>,</v>
      </c>
      <c r="Y2685" s="49"/>
      <c r="Z2685" s="1" t="s">
        <v>2560</v>
      </c>
      <c r="AA2685" s="1" t="s">
        <v>1954</v>
      </c>
      <c r="AB2685" s="49"/>
      <c r="AC2685" s="49"/>
      <c r="AD2685" s="49"/>
      <c r="AE2685" s="49"/>
      <c r="AF2685" s="49" t="str">
        <f t="shared" si="4"/>
        <v>poetic,</v>
      </c>
      <c r="AG2685" s="49"/>
      <c r="AH2685" s="1" t="s">
        <v>3011</v>
      </c>
      <c r="AI2685" s="1" t="s">
        <v>2428</v>
      </c>
      <c r="AJ2685" s="6" t="str">
        <f>IFERROR(__xludf.DUMMYFUNCTION("""COMPUTED_VALUE"""),"diamond")</f>
        <v>diamond</v>
      </c>
      <c r="AK2685" s="49"/>
      <c r="AL2685" s="49"/>
      <c r="AM2685" s="49"/>
      <c r="AN2685" s="52" t="str">
        <f t="shared" si="5"/>
        <v>wore,</v>
      </c>
    </row>
    <row r="2686">
      <c r="A2686" s="51"/>
      <c r="B2686" s="50" t="s">
        <v>7634</v>
      </c>
      <c r="C2686" s="50" t="s">
        <v>4369</v>
      </c>
      <c r="D2686" s="49" t="str">
        <f>IFERROR(__xludf.DUMMYFUNCTION("""COMPUTED_VALUE"""),"exit")</f>
        <v>exit</v>
      </c>
      <c r="E2686" s="49"/>
      <c r="F2686" s="49"/>
      <c r="G2686" s="49"/>
      <c r="H2686" s="54" t="str">
        <f t="shared" si="1"/>
        <v>fundamental,</v>
      </c>
      <c r="I2686" s="50"/>
      <c r="J2686" s="50" t="s">
        <v>3722</v>
      </c>
      <c r="K2686" s="50" t="s">
        <v>1647</v>
      </c>
      <c r="L2686" s="49"/>
      <c r="M2686" s="49"/>
      <c r="N2686" s="49"/>
      <c r="O2686" s="49"/>
      <c r="P2686" s="49" t="str">
        <f t="shared" si="2"/>
        <v>sermon,</v>
      </c>
      <c r="Q2686" s="49"/>
      <c r="R2686" s="49"/>
      <c r="S2686" s="55" t="s">
        <v>4179</v>
      </c>
      <c r="T2686" s="49"/>
      <c r="U2686" s="49"/>
      <c r="V2686" s="49"/>
      <c r="W2686" s="49"/>
      <c r="X2686" s="49" t="str">
        <f t="shared" si="3"/>
        <v>,</v>
      </c>
      <c r="Y2686" s="49"/>
      <c r="Z2686" s="1" t="s">
        <v>2809</v>
      </c>
      <c r="AA2686" s="1" t="s">
        <v>5790</v>
      </c>
      <c r="AB2686" s="49"/>
      <c r="AC2686" s="49"/>
      <c r="AD2686" s="49"/>
      <c r="AE2686" s="49"/>
      <c r="AF2686" s="49" t="str">
        <f t="shared" si="4"/>
        <v>scope,</v>
      </c>
      <c r="AG2686" s="49"/>
      <c r="AH2686" s="1" t="s">
        <v>5033</v>
      </c>
      <c r="AI2686" s="1" t="s">
        <v>4086</v>
      </c>
      <c r="AJ2686" s="6" t="str">
        <f>IFERROR(__xludf.DUMMYFUNCTION("""COMPUTED_VALUE"""),"fell")</f>
        <v>fell</v>
      </c>
      <c r="AK2686" s="49"/>
      <c r="AL2686" s="49"/>
      <c r="AM2686" s="49"/>
      <c r="AN2686" s="52" t="str">
        <f t="shared" si="5"/>
        <v>require,</v>
      </c>
    </row>
    <row r="2687">
      <c r="A2687" s="51"/>
      <c r="B2687" s="50" t="s">
        <v>5842</v>
      </c>
      <c r="C2687" s="50" t="s">
        <v>277</v>
      </c>
      <c r="D2687" s="49" t="str">
        <f>IFERROR(__xludf.DUMMYFUNCTION("""COMPUTED_VALUE"""),"strip")</f>
        <v>strip</v>
      </c>
      <c r="E2687" s="49"/>
      <c r="F2687" s="49"/>
      <c r="G2687" s="49"/>
      <c r="H2687" s="54" t="str">
        <f t="shared" si="1"/>
        <v>gifts,</v>
      </c>
      <c r="I2687" s="50"/>
      <c r="J2687" s="50" t="s">
        <v>4323</v>
      </c>
      <c r="K2687" s="50" t="s">
        <v>2491</v>
      </c>
      <c r="L2687" s="49"/>
      <c r="M2687" s="49"/>
      <c r="N2687" s="49"/>
      <c r="O2687" s="49"/>
      <c r="P2687" s="49" t="str">
        <f t="shared" si="2"/>
        <v>rap,</v>
      </c>
      <c r="Q2687" s="49"/>
      <c r="R2687" s="49"/>
      <c r="S2687" s="55" t="s">
        <v>5195</v>
      </c>
      <c r="T2687" s="49"/>
      <c r="U2687" s="49"/>
      <c r="V2687" s="49"/>
      <c r="W2687" s="49"/>
      <c r="X2687" s="49" t="str">
        <f t="shared" si="3"/>
        <v>,</v>
      </c>
      <c r="Y2687" s="49"/>
      <c r="Z2687" s="1" t="s">
        <v>1643</v>
      </c>
      <c r="AA2687" s="1" t="s">
        <v>4923</v>
      </c>
      <c r="AB2687" s="49"/>
      <c r="AC2687" s="49"/>
      <c r="AD2687" s="49"/>
      <c r="AE2687" s="49"/>
      <c r="AF2687" s="49" t="str">
        <f t="shared" si="4"/>
        <v>precious,</v>
      </c>
      <c r="AG2687" s="49"/>
      <c r="AH2687" s="1" t="s">
        <v>3940</v>
      </c>
      <c r="AI2687" s="1" t="s">
        <v>362</v>
      </c>
      <c r="AJ2687" s="6" t="str">
        <f>IFERROR(__xludf.DUMMYFUNCTION("""COMPUTED_VALUE"""),"lighting")</f>
        <v>lighting</v>
      </c>
      <c r="AK2687" s="49"/>
      <c r="AL2687" s="49"/>
      <c r="AM2687" s="49"/>
      <c r="AN2687" s="52" t="str">
        <f t="shared" si="5"/>
        <v>grip,</v>
      </c>
    </row>
    <row r="2688">
      <c r="A2688" s="51"/>
      <c r="B2688" s="50" t="s">
        <v>3797</v>
      </c>
      <c r="C2688" s="50" t="s">
        <v>1898</v>
      </c>
      <c r="D2688" s="49" t="str">
        <f>IFERROR(__xludf.DUMMYFUNCTION("""COMPUTED_VALUE"""),"excess")</f>
        <v>excess</v>
      </c>
      <c r="E2688" s="49"/>
      <c r="F2688" s="49"/>
      <c r="G2688" s="49"/>
      <c r="H2688" s="54" t="str">
        <f t="shared" si="1"/>
        <v>california,</v>
      </c>
      <c r="I2688" s="50"/>
      <c r="J2688" s="50" t="s">
        <v>2764</v>
      </c>
      <c r="K2688" s="50" t="s">
        <v>5793</v>
      </c>
      <c r="L2688" s="49"/>
      <c r="M2688" s="49"/>
      <c r="N2688" s="49"/>
      <c r="O2688" s="49"/>
      <c r="P2688" s="49" t="str">
        <f t="shared" si="2"/>
        <v>governments,</v>
      </c>
      <c r="Q2688" s="49"/>
      <c r="R2688" s="49"/>
      <c r="S2688" s="55" t="s">
        <v>3559</v>
      </c>
      <c r="T2688" s="49"/>
      <c r="U2688" s="49"/>
      <c r="V2688" s="49"/>
      <c r="W2688" s="49"/>
      <c r="X2688" s="49" t="str">
        <f t="shared" si="3"/>
        <v>,</v>
      </c>
      <c r="Y2688" s="49"/>
      <c r="Z2688" s="1" t="s">
        <v>2682</v>
      </c>
      <c r="AA2688" s="1" t="s">
        <v>5791</v>
      </c>
      <c r="AB2688" s="49"/>
      <c r="AC2688" s="49"/>
      <c r="AD2688" s="49"/>
      <c r="AE2688" s="49"/>
      <c r="AF2688" s="49" t="str">
        <f t="shared" si="4"/>
        <v>barrels,</v>
      </c>
      <c r="AG2688" s="49"/>
      <c r="AH2688" s="1" t="s">
        <v>543</v>
      </c>
      <c r="AI2688" s="1" t="s">
        <v>5742</v>
      </c>
      <c r="AJ2688" s="6" t="str">
        <f>IFERROR(__xludf.DUMMYFUNCTION("""COMPUTED_VALUE"""),"forth")</f>
        <v>forth</v>
      </c>
      <c r="AK2688" s="49"/>
      <c r="AL2688" s="49"/>
      <c r="AM2688" s="49"/>
      <c r="AN2688" s="52" t="str">
        <f t="shared" si="5"/>
        <v>portrait,</v>
      </c>
    </row>
    <row r="2689">
      <c r="A2689" s="51"/>
      <c r="B2689" s="50" t="s">
        <v>4132</v>
      </c>
      <c r="C2689" s="50" t="s">
        <v>4968</v>
      </c>
      <c r="D2689" s="49" t="str">
        <f>IFERROR(__xludf.DUMMYFUNCTION("""COMPUTED_VALUE"""),"train")</f>
        <v>train</v>
      </c>
      <c r="E2689" s="49"/>
      <c r="F2689" s="49"/>
      <c r="G2689" s="49"/>
      <c r="H2689" s="54" t="str">
        <f t="shared" si="1"/>
        <v>travel,</v>
      </c>
      <c r="I2689" s="50"/>
      <c r="J2689" s="50" t="s">
        <v>4139</v>
      </c>
      <c r="K2689" s="50" t="s">
        <v>2495</v>
      </c>
      <c r="L2689" s="49"/>
      <c r="M2689" s="49"/>
      <c r="N2689" s="49"/>
      <c r="O2689" s="49"/>
      <c r="P2689" s="49" t="str">
        <f t="shared" si="2"/>
        <v>bags,</v>
      </c>
      <c r="Q2689" s="49"/>
      <c r="R2689" s="49"/>
      <c r="S2689" s="55" t="s">
        <v>983</v>
      </c>
      <c r="T2689" s="49"/>
      <c r="U2689" s="49"/>
      <c r="V2689" s="49"/>
      <c r="W2689" s="49"/>
      <c r="X2689" s="49" t="str">
        <f t="shared" si="3"/>
        <v>,</v>
      </c>
      <c r="Y2689" s="49"/>
      <c r="Z2689" s="1" t="s">
        <v>4338</v>
      </c>
      <c r="AA2689" s="1" t="s">
        <v>5794</v>
      </c>
      <c r="AB2689" s="49"/>
      <c r="AC2689" s="49"/>
      <c r="AD2689" s="49"/>
      <c r="AE2689" s="49"/>
      <c r="AF2689" s="49" t="str">
        <f t="shared" si="4"/>
        <v>lock,</v>
      </c>
      <c r="AG2689" s="49"/>
      <c r="AH2689" s="1" t="s">
        <v>2999</v>
      </c>
      <c r="AI2689" s="1" t="s">
        <v>4348</v>
      </c>
      <c r="AJ2689" s="6" t="str">
        <f>IFERROR(__xludf.DUMMYFUNCTION("""COMPUTED_VALUE"""),"areas")</f>
        <v>areas</v>
      </c>
      <c r="AK2689" s="49"/>
      <c r="AL2689" s="49"/>
      <c r="AM2689" s="49"/>
      <c r="AN2689" s="52" t="str">
        <f t="shared" si="5"/>
        <v>immediate,</v>
      </c>
    </row>
    <row r="2690">
      <c r="A2690" s="51"/>
      <c r="B2690" s="50" t="s">
        <v>7059</v>
      </c>
      <c r="C2690" s="50" t="s">
        <v>3956</v>
      </c>
      <c r="D2690" s="49" t="str">
        <f>IFERROR(__xludf.DUMMYFUNCTION("""COMPUTED_VALUE"""),"steve")</f>
        <v>steve</v>
      </c>
      <c r="E2690" s="49"/>
      <c r="F2690" s="49"/>
      <c r="G2690" s="49"/>
      <c r="H2690" s="54" t="str">
        <f t="shared" si="1"/>
        <v>routes,</v>
      </c>
      <c r="I2690" s="50"/>
      <c r="J2690" s="50" t="s">
        <v>3834</v>
      </c>
      <c r="K2690" s="50" t="s">
        <v>4296</v>
      </c>
      <c r="L2690" s="49"/>
      <c r="M2690" s="49"/>
      <c r="N2690" s="49"/>
      <c r="O2690" s="49"/>
      <c r="P2690" s="49" t="str">
        <f t="shared" si="2"/>
        <v>evenings,</v>
      </c>
      <c r="Q2690" s="49"/>
      <c r="R2690" s="49"/>
      <c r="S2690" s="55" t="s">
        <v>4290</v>
      </c>
      <c r="T2690" s="49"/>
      <c r="U2690" s="49"/>
      <c r="V2690" s="49"/>
      <c r="W2690" s="49"/>
      <c r="X2690" s="49" t="str">
        <f t="shared" si="3"/>
        <v>,</v>
      </c>
      <c r="Y2690" s="49"/>
      <c r="Z2690" s="1" t="s">
        <v>6434</v>
      </c>
      <c r="AA2690" s="1" t="s">
        <v>5795</v>
      </c>
      <c r="AB2690" s="49"/>
      <c r="AC2690" s="49"/>
      <c r="AD2690" s="49"/>
      <c r="AE2690" s="49"/>
      <c r="AF2690" s="49" t="str">
        <f t="shared" si="4"/>
        <v>flawless,</v>
      </c>
      <c r="AG2690" s="49"/>
      <c r="AH2690" s="1">
        <v>94.0</v>
      </c>
      <c r="AI2690" s="1" t="s">
        <v>2880</v>
      </c>
      <c r="AJ2690" s="6">
        <f>IFERROR(__xludf.DUMMYFUNCTION("""COMPUTED_VALUE"""),48.0)</f>
        <v>48</v>
      </c>
      <c r="AK2690" s="49"/>
      <c r="AL2690" s="49"/>
      <c r="AM2690" s="49"/>
      <c r="AN2690" s="52" t="str">
        <f t="shared" si="5"/>
        <v>94,</v>
      </c>
    </row>
    <row r="2691">
      <c r="A2691" s="51"/>
      <c r="B2691" s="50" t="s">
        <v>3546</v>
      </c>
      <c r="C2691" s="50">
        <v>51.0</v>
      </c>
      <c r="D2691" s="49" t="str">
        <f>IFERROR(__xludf.DUMMYFUNCTION("""COMPUTED_VALUE"""),"celebrate")</f>
        <v>celebrate</v>
      </c>
      <c r="E2691" s="49"/>
      <c r="F2691" s="49"/>
      <c r="G2691" s="49"/>
      <c r="H2691" s="54" t="str">
        <f t="shared" si="1"/>
        <v>provides,</v>
      </c>
      <c r="I2691" s="50"/>
      <c r="J2691" s="50"/>
      <c r="K2691" s="50" t="s">
        <v>5767</v>
      </c>
      <c r="L2691" s="49"/>
      <c r="M2691" s="49"/>
      <c r="N2691" s="49"/>
      <c r="O2691" s="49"/>
      <c r="P2691" s="49" t="str">
        <f t="shared" si="2"/>
        <v>,</v>
      </c>
      <c r="Q2691" s="49"/>
      <c r="R2691" s="49"/>
      <c r="S2691" s="55" t="s">
        <v>5499</v>
      </c>
      <c r="T2691" s="49"/>
      <c r="U2691" s="49"/>
      <c r="V2691" s="49"/>
      <c r="W2691" s="49"/>
      <c r="X2691" s="49" t="str">
        <f t="shared" si="3"/>
        <v>,</v>
      </c>
      <c r="Y2691" s="49"/>
      <c r="Z2691" s="1" t="s">
        <v>3218</v>
      </c>
      <c r="AA2691" s="1" t="s">
        <v>3148</v>
      </c>
      <c r="AB2691" s="49"/>
      <c r="AC2691" s="49"/>
      <c r="AD2691" s="49"/>
      <c r="AE2691" s="49"/>
      <c r="AF2691" s="49" t="str">
        <f t="shared" si="4"/>
        <v>pulling,</v>
      </c>
      <c r="AG2691" s="49"/>
      <c r="AH2691" s="1" t="s">
        <v>2907</v>
      </c>
      <c r="AI2691" s="1" t="s">
        <v>6818</v>
      </c>
      <c r="AJ2691" s="6" t="str">
        <f>IFERROR(__xludf.DUMMYFUNCTION("""COMPUTED_VALUE"""),"ash")</f>
        <v>ash</v>
      </c>
      <c r="AK2691" s="49"/>
      <c r="AL2691" s="49"/>
      <c r="AM2691" s="49"/>
      <c r="AN2691" s="52" t="str">
        <f t="shared" si="5"/>
        <v>development,</v>
      </c>
    </row>
    <row r="2692">
      <c r="A2692" s="51"/>
      <c r="B2692" s="50" t="s">
        <v>1606</v>
      </c>
      <c r="C2692" s="50" t="s">
        <v>6730</v>
      </c>
      <c r="D2692" s="49" t="str">
        <f>IFERROR(__xludf.DUMMYFUNCTION("""COMPUTED_VALUE"""),"nazi")</f>
        <v>nazi</v>
      </c>
      <c r="E2692" s="49"/>
      <c r="F2692" s="49"/>
      <c r="G2692" s="49"/>
      <c r="H2692" s="54" t="str">
        <f t="shared" si="1"/>
        <v>relief,</v>
      </c>
      <c r="I2692" s="50"/>
      <c r="J2692" s="50"/>
      <c r="K2692" s="50" t="s">
        <v>1384</v>
      </c>
      <c r="L2692" s="49"/>
      <c r="M2692" s="49"/>
      <c r="N2692" s="49"/>
      <c r="O2692" s="49"/>
      <c r="P2692" s="49" t="str">
        <f t="shared" si="2"/>
        <v>,</v>
      </c>
      <c r="Q2692" s="49"/>
      <c r="R2692" s="49"/>
      <c r="S2692" s="55" t="s">
        <v>3563</v>
      </c>
      <c r="T2692" s="49"/>
      <c r="U2692" s="49"/>
      <c r="V2692" s="49"/>
      <c r="W2692" s="49"/>
      <c r="X2692" s="49" t="str">
        <f t="shared" si="3"/>
        <v>,</v>
      </c>
      <c r="Y2692" s="49"/>
      <c r="Z2692" s="1" t="s">
        <v>409</v>
      </c>
      <c r="AA2692" s="1" t="s">
        <v>1824</v>
      </c>
      <c r="AB2692" s="49"/>
      <c r="AC2692" s="49"/>
      <c r="AD2692" s="49"/>
      <c r="AE2692" s="49"/>
      <c r="AF2692" s="49" t="str">
        <f t="shared" si="4"/>
        <v>endurance,</v>
      </c>
      <c r="AG2692" s="49"/>
      <c r="AH2692" s="1" t="s">
        <v>5139</v>
      </c>
      <c r="AI2692" s="1" t="s">
        <v>4246</v>
      </c>
      <c r="AJ2692" s="6" t="str">
        <f>IFERROR(__xludf.DUMMYFUNCTION("""COMPUTED_VALUE"""),"wear")</f>
        <v>wear</v>
      </c>
      <c r="AK2692" s="49"/>
      <c r="AL2692" s="49"/>
      <c r="AM2692" s="49"/>
      <c r="AN2692" s="52" t="str">
        <f t="shared" si="5"/>
        <v>layer,</v>
      </c>
    </row>
    <row r="2693">
      <c r="A2693" s="51"/>
      <c r="B2693" s="50" t="s">
        <v>5883</v>
      </c>
      <c r="C2693" s="50" t="s">
        <v>4940</v>
      </c>
      <c r="D2693" s="49" t="str">
        <f>IFERROR(__xludf.DUMMYFUNCTION("""COMPUTED_VALUE"""),"origins")</f>
        <v>origins</v>
      </c>
      <c r="E2693" s="49"/>
      <c r="F2693" s="49"/>
      <c r="G2693" s="49"/>
      <c r="H2693" s="54" t="str">
        <f t="shared" si="1"/>
        <v>begun,</v>
      </c>
      <c r="I2693" s="50"/>
      <c r="J2693" s="50"/>
      <c r="K2693" s="50" t="s">
        <v>2499</v>
      </c>
      <c r="L2693" s="49"/>
      <c r="M2693" s="49"/>
      <c r="N2693" s="49"/>
      <c r="O2693" s="49"/>
      <c r="P2693" s="49" t="str">
        <f t="shared" si="2"/>
        <v>,</v>
      </c>
      <c r="Q2693" s="49"/>
      <c r="R2693" s="49"/>
      <c r="S2693" s="55" t="s">
        <v>6819</v>
      </c>
      <c r="T2693" s="49"/>
      <c r="U2693" s="49"/>
      <c r="V2693" s="49"/>
      <c r="W2693" s="49"/>
      <c r="X2693" s="49" t="str">
        <f t="shared" si="3"/>
        <v>,</v>
      </c>
      <c r="Y2693" s="49"/>
      <c r="Z2693" s="1" t="s">
        <v>149</v>
      </c>
      <c r="AA2693" s="1" t="s">
        <v>3151</v>
      </c>
      <c r="AB2693" s="49"/>
      <c r="AC2693" s="49"/>
      <c r="AD2693" s="49"/>
      <c r="AE2693" s="49"/>
      <c r="AF2693" s="49" t="str">
        <f t="shared" si="4"/>
        <v>conviction,</v>
      </c>
      <c r="AG2693" s="49"/>
      <c r="AH2693" s="1" t="s">
        <v>7017</v>
      </c>
      <c r="AI2693" s="1" t="s">
        <v>5267</v>
      </c>
      <c r="AJ2693" s="6" t="str">
        <f>IFERROR(__xludf.DUMMYFUNCTION("""COMPUTED_VALUE"""),"served")</f>
        <v>served</v>
      </c>
      <c r="AK2693" s="49"/>
      <c r="AL2693" s="49"/>
      <c r="AM2693" s="49"/>
      <c r="AN2693" s="52" t="str">
        <f t="shared" si="5"/>
        <v>acres,</v>
      </c>
    </row>
    <row r="2694">
      <c r="A2694" s="51"/>
      <c r="B2694" s="50" t="s">
        <v>5925</v>
      </c>
      <c r="C2694" s="50" t="s">
        <v>6731</v>
      </c>
      <c r="D2694" s="49" t="str">
        <f>IFERROR(__xludf.DUMMYFUNCTION("""COMPUTED_VALUE"""),"decade")</f>
        <v>decade</v>
      </c>
      <c r="E2694" s="49"/>
      <c r="F2694" s="49"/>
      <c r="G2694" s="49"/>
      <c r="H2694" s="54" t="str">
        <f t="shared" si="1"/>
        <v>mid,</v>
      </c>
      <c r="I2694" s="50"/>
      <c r="J2694" s="50"/>
      <c r="K2694" s="50" t="s">
        <v>4091</v>
      </c>
      <c r="L2694" s="49"/>
      <c r="M2694" s="49"/>
      <c r="N2694" s="49"/>
      <c r="O2694" s="49"/>
      <c r="P2694" s="49" t="str">
        <f t="shared" si="2"/>
        <v>,</v>
      </c>
      <c r="Q2694" s="49"/>
      <c r="R2694" s="49"/>
      <c r="S2694" s="55" t="s">
        <v>5683</v>
      </c>
      <c r="T2694" s="49"/>
      <c r="U2694" s="49"/>
      <c r="V2694" s="49"/>
      <c r="W2694" s="49"/>
      <c r="X2694" s="49" t="str">
        <f t="shared" si="3"/>
        <v>,</v>
      </c>
      <c r="Y2694" s="49"/>
      <c r="Z2694" s="1" t="s">
        <v>854</v>
      </c>
      <c r="AA2694" s="1" t="s">
        <v>3155</v>
      </c>
      <c r="AB2694" s="49"/>
      <c r="AC2694" s="49"/>
      <c r="AD2694" s="49"/>
      <c r="AE2694" s="49"/>
      <c r="AF2694" s="49" t="str">
        <f t="shared" si="4"/>
        <v>loneliness,</v>
      </c>
      <c r="AG2694" s="49"/>
      <c r="AH2694" s="1" t="s">
        <v>1509</v>
      </c>
      <c r="AI2694" s="1" t="s">
        <v>5157</v>
      </c>
      <c r="AJ2694" s="6" t="str">
        <f>IFERROR(__xludf.DUMMYFUNCTION("""COMPUTED_VALUE"""),"latin")</f>
        <v>latin</v>
      </c>
      <c r="AK2694" s="49"/>
      <c r="AL2694" s="49"/>
      <c r="AM2694" s="49"/>
      <c r="AN2694" s="52" t="str">
        <f t="shared" si="5"/>
        <v>bound,</v>
      </c>
    </row>
    <row r="2695">
      <c r="A2695" s="51"/>
      <c r="B2695" s="50" t="s">
        <v>7157</v>
      </c>
      <c r="C2695" s="50" t="s">
        <v>3388</v>
      </c>
      <c r="D2695" s="49" t="str">
        <f>IFERROR(__xludf.DUMMYFUNCTION("""COMPUTED_VALUE"""),"burst")</f>
        <v>burst</v>
      </c>
      <c r="E2695" s="49"/>
      <c r="F2695" s="49"/>
      <c r="G2695" s="49"/>
      <c r="H2695" s="54" t="str">
        <f t="shared" si="1"/>
        <v>religious,</v>
      </c>
      <c r="I2695" s="50"/>
      <c r="J2695" s="50"/>
      <c r="K2695" s="50" t="s">
        <v>5798</v>
      </c>
      <c r="L2695" s="49"/>
      <c r="M2695" s="49"/>
      <c r="N2695" s="49"/>
      <c r="O2695" s="49"/>
      <c r="P2695" s="49" t="str">
        <f t="shared" si="2"/>
        <v>,</v>
      </c>
      <c r="Q2695" s="49"/>
      <c r="R2695" s="49"/>
      <c r="S2695" s="55" t="s">
        <v>4185</v>
      </c>
      <c r="T2695" s="49"/>
      <c r="U2695" s="49"/>
      <c r="V2695" s="49"/>
      <c r="W2695" s="49"/>
      <c r="X2695" s="49" t="str">
        <f t="shared" si="3"/>
        <v>,</v>
      </c>
      <c r="Y2695" s="49"/>
      <c r="Z2695" s="1" t="s">
        <v>1796</v>
      </c>
      <c r="AA2695" s="1" t="s">
        <v>3157</v>
      </c>
      <c r="AB2695" s="49"/>
      <c r="AC2695" s="49"/>
      <c r="AD2695" s="49"/>
      <c r="AE2695" s="49"/>
      <c r="AF2695" s="49" t="str">
        <f t="shared" si="4"/>
        <v>emotionally,</v>
      </c>
      <c r="AG2695" s="49"/>
      <c r="AH2695" s="1" t="s">
        <v>7070</v>
      </c>
      <c r="AI2695" s="1" t="s">
        <v>6820</v>
      </c>
      <c r="AJ2695" s="6" t="str">
        <f>IFERROR(__xludf.DUMMYFUNCTION("""COMPUTED_VALUE"""),"pace")</f>
        <v>pace</v>
      </c>
      <c r="AK2695" s="49"/>
      <c r="AL2695" s="49"/>
      <c r="AM2695" s="49"/>
      <c r="AN2695" s="52" t="str">
        <f t="shared" si="5"/>
        <v>underground,</v>
      </c>
    </row>
    <row r="2696">
      <c r="A2696" s="51"/>
      <c r="B2696" s="50" t="s">
        <v>3302</v>
      </c>
      <c r="C2696" s="50" t="s">
        <v>5529</v>
      </c>
      <c r="D2696" s="49" t="str">
        <f>IFERROR(__xludf.DUMMYFUNCTION("""COMPUTED_VALUE"""),"crack")</f>
        <v>crack</v>
      </c>
      <c r="E2696" s="49"/>
      <c r="F2696" s="49"/>
      <c r="G2696" s="49"/>
      <c r="H2696" s="54" t="str">
        <f t="shared" si="1"/>
        <v>setting,</v>
      </c>
      <c r="I2696" s="50"/>
      <c r="J2696" s="50"/>
      <c r="K2696" s="50" t="s">
        <v>2501</v>
      </c>
      <c r="L2696" s="49"/>
      <c r="M2696" s="49"/>
      <c r="N2696" s="49"/>
      <c r="O2696" s="49"/>
      <c r="P2696" s="49" t="str">
        <f t="shared" si="2"/>
        <v>,</v>
      </c>
      <c r="Q2696" s="49"/>
      <c r="R2696" s="49"/>
      <c r="S2696" s="55" t="s">
        <v>5207</v>
      </c>
      <c r="T2696" s="49"/>
      <c r="U2696" s="49"/>
      <c r="V2696" s="49"/>
      <c r="W2696" s="49"/>
      <c r="X2696" s="49" t="str">
        <f t="shared" si="3"/>
        <v>,</v>
      </c>
      <c r="Y2696" s="49"/>
      <c r="Z2696" s="1" t="s">
        <v>416</v>
      </c>
      <c r="AA2696" s="1" t="s">
        <v>5799</v>
      </c>
      <c r="AB2696" s="49"/>
      <c r="AC2696" s="49"/>
      <c r="AD2696" s="49"/>
      <c r="AE2696" s="49"/>
      <c r="AF2696" s="49" t="str">
        <f t="shared" si="4"/>
        <v>wry,</v>
      </c>
      <c r="AG2696" s="49"/>
      <c r="AH2696" s="1" t="s">
        <v>7635</v>
      </c>
      <c r="AI2696" s="1" t="s">
        <v>6821</v>
      </c>
      <c r="AJ2696" s="6" t="str">
        <f>IFERROR(__xludf.DUMMYFUNCTION("""COMPUTED_VALUE"""),"improvement")</f>
        <v>improvement</v>
      </c>
      <c r="AK2696" s="49"/>
      <c r="AL2696" s="49"/>
      <c r="AM2696" s="49"/>
      <c r="AN2696" s="52" t="str">
        <f t="shared" si="5"/>
        <v>worker,</v>
      </c>
    </row>
    <row r="2697">
      <c r="A2697" s="51"/>
      <c r="B2697" s="50" t="s">
        <v>6829</v>
      </c>
      <c r="C2697" s="50" t="s">
        <v>3906</v>
      </c>
      <c r="D2697" s="49" t="str">
        <f>IFERROR(__xludf.DUMMYFUNCTION("""COMPUTED_VALUE"""),"practiced")</f>
        <v>practiced</v>
      </c>
      <c r="E2697" s="49"/>
      <c r="F2697" s="49"/>
      <c r="G2697" s="49"/>
      <c r="H2697" s="54" t="str">
        <f t="shared" si="1"/>
        <v>hearing,</v>
      </c>
      <c r="I2697" s="50"/>
      <c r="J2697" s="50"/>
      <c r="K2697" s="50" t="s">
        <v>5534</v>
      </c>
      <c r="L2697" s="49"/>
      <c r="M2697" s="49"/>
      <c r="N2697" s="49"/>
      <c r="O2697" s="49"/>
      <c r="P2697" s="49" t="str">
        <f t="shared" si="2"/>
        <v>,</v>
      </c>
      <c r="Q2697" s="49"/>
      <c r="R2697" s="49"/>
      <c r="S2697" s="55" t="s">
        <v>6799</v>
      </c>
      <c r="T2697" s="49"/>
      <c r="U2697" s="49"/>
      <c r="V2697" s="49"/>
      <c r="W2697" s="49"/>
      <c r="X2697" s="49" t="str">
        <f t="shared" si="3"/>
        <v>,</v>
      </c>
      <c r="Y2697" s="49"/>
      <c r="Z2697" s="1">
        <v>88.0</v>
      </c>
      <c r="AA2697" s="1" t="s">
        <v>3160</v>
      </c>
      <c r="AB2697" s="49"/>
      <c r="AC2697" s="49"/>
      <c r="AD2697" s="49"/>
      <c r="AE2697" s="49"/>
      <c r="AF2697" s="49" t="str">
        <f t="shared" si="4"/>
        <v>88,</v>
      </c>
      <c r="AG2697" s="49"/>
      <c r="AH2697" s="1" t="s">
        <v>3391</v>
      </c>
      <c r="AI2697" s="1" t="s">
        <v>1269</v>
      </c>
      <c r="AJ2697" s="6" t="str">
        <f>IFERROR(__xludf.DUMMYFUNCTION("""COMPUTED_VALUE"""),"hitting")</f>
        <v>hitting</v>
      </c>
      <c r="AK2697" s="49"/>
      <c r="AL2697" s="49"/>
      <c r="AM2697" s="49"/>
      <c r="AN2697" s="52" t="str">
        <f t="shared" si="5"/>
        <v>terror,</v>
      </c>
    </row>
    <row r="2698">
      <c r="A2698" s="51"/>
      <c r="B2698" s="50" t="s">
        <v>5554</v>
      </c>
      <c r="C2698" s="50" t="s">
        <v>6732</v>
      </c>
      <c r="D2698" s="49" t="str">
        <f>IFERROR(__xludf.DUMMYFUNCTION("""COMPUTED_VALUE"""),"cup")</f>
        <v>cup</v>
      </c>
      <c r="E2698" s="49"/>
      <c r="F2698" s="49"/>
      <c r="G2698" s="49"/>
      <c r="H2698" s="54" t="str">
        <f t="shared" si="1"/>
        <v>voices,</v>
      </c>
      <c r="I2698" s="50"/>
      <c r="J2698" s="50"/>
      <c r="K2698" s="50" t="s">
        <v>4304</v>
      </c>
      <c r="L2698" s="49"/>
      <c r="M2698" s="49"/>
      <c r="N2698" s="49"/>
      <c r="O2698" s="49"/>
      <c r="P2698" s="49" t="str">
        <f t="shared" si="2"/>
        <v>,</v>
      </c>
      <c r="Q2698" s="49"/>
      <c r="R2698" s="49"/>
      <c r="S2698" s="55" t="s">
        <v>5688</v>
      </c>
      <c r="T2698" s="49"/>
      <c r="U2698" s="49"/>
      <c r="V2698" s="49"/>
      <c r="W2698" s="49"/>
      <c r="X2698" s="49" t="str">
        <f t="shared" si="3"/>
        <v>,</v>
      </c>
      <c r="Y2698" s="49"/>
      <c r="Z2698" s="1" t="s">
        <v>232</v>
      </c>
      <c r="AA2698" s="1" t="s">
        <v>3162</v>
      </c>
      <c r="AB2698" s="49"/>
      <c r="AC2698" s="49"/>
      <c r="AD2698" s="49"/>
      <c r="AE2698" s="49"/>
      <c r="AF2698" s="49" t="str">
        <f t="shared" si="4"/>
        <v>nomination,</v>
      </c>
      <c r="AG2698" s="49"/>
      <c r="AH2698" s="1" t="s">
        <v>3359</v>
      </c>
      <c r="AI2698" s="1" t="s">
        <v>4202</v>
      </c>
      <c r="AJ2698" s="6" t="str">
        <f>IFERROR(__xludf.DUMMYFUNCTION("""COMPUTED_VALUE"""),"conversion")</f>
        <v>conversion</v>
      </c>
      <c r="AK2698" s="49"/>
      <c r="AL2698" s="49"/>
      <c r="AM2698" s="49"/>
      <c r="AN2698" s="52" t="str">
        <f t="shared" si="5"/>
        <v>hoped,</v>
      </c>
    </row>
    <row r="2699">
      <c r="A2699" s="51"/>
      <c r="B2699" s="50" t="s">
        <v>2990</v>
      </c>
      <c r="C2699" s="50" t="s">
        <v>3261</v>
      </c>
      <c r="D2699" s="49" t="str">
        <f>IFERROR(__xludf.DUMMYFUNCTION("""COMPUTED_VALUE"""),"town")</f>
        <v>town</v>
      </c>
      <c r="E2699" s="49"/>
      <c r="F2699" s="49"/>
      <c r="G2699" s="49"/>
      <c r="H2699" s="54" t="str">
        <f t="shared" si="1"/>
        <v>spiritual,</v>
      </c>
      <c r="I2699" s="50"/>
      <c r="J2699" s="50"/>
      <c r="K2699" s="50" t="s">
        <v>4309</v>
      </c>
      <c r="L2699" s="49"/>
      <c r="M2699" s="49"/>
      <c r="N2699" s="49"/>
      <c r="O2699" s="49"/>
      <c r="P2699" s="49" t="str">
        <f t="shared" si="2"/>
        <v>,</v>
      </c>
      <c r="Q2699" s="49"/>
      <c r="R2699" s="49"/>
      <c r="S2699" s="55" t="s">
        <v>6801</v>
      </c>
      <c r="T2699" s="49"/>
      <c r="U2699" s="49"/>
      <c r="V2699" s="49"/>
      <c r="W2699" s="49"/>
      <c r="X2699" s="49" t="str">
        <f t="shared" si="3"/>
        <v>,</v>
      </c>
      <c r="Y2699" s="49"/>
      <c r="Z2699" s="1" t="s">
        <v>2277</v>
      </c>
      <c r="AA2699" s="1" t="s">
        <v>5801</v>
      </c>
      <c r="AB2699" s="49"/>
      <c r="AC2699" s="49"/>
      <c r="AD2699" s="49"/>
      <c r="AE2699" s="49"/>
      <c r="AF2699" s="49" t="str">
        <f t="shared" si="4"/>
        <v>trademark,</v>
      </c>
      <c r="AG2699" s="49"/>
      <c r="AH2699" s="1" t="s">
        <v>7636</v>
      </c>
      <c r="AI2699" s="1" t="s">
        <v>3273</v>
      </c>
      <c r="AJ2699" s="6">
        <f>IFERROR(__xludf.DUMMYFUNCTION("""COMPUTED_VALUE"""),1960.0)</f>
        <v>1960</v>
      </c>
      <c r="AK2699" s="49"/>
      <c r="AL2699" s="49"/>
      <c r="AM2699" s="49"/>
      <c r="AN2699" s="52" t="str">
        <f t="shared" si="5"/>
        <v>helping,</v>
      </c>
    </row>
    <row r="2700">
      <c r="A2700" s="51"/>
      <c r="B2700" s="50" t="s">
        <v>1019</v>
      </c>
      <c r="C2700" s="50" t="s">
        <v>6733</v>
      </c>
      <c r="D2700" s="49" t="str">
        <f>IFERROR(__xludf.DUMMYFUNCTION("""COMPUTED_VALUE"""),"accessible")</f>
        <v>accessible</v>
      </c>
      <c r="E2700" s="49"/>
      <c r="F2700" s="49"/>
      <c r="G2700" s="49"/>
      <c r="H2700" s="54" t="str">
        <f t="shared" si="1"/>
        <v>arc,</v>
      </c>
      <c r="I2700" s="50"/>
      <c r="J2700" s="50"/>
      <c r="K2700" s="50" t="s">
        <v>4481</v>
      </c>
      <c r="L2700" s="49"/>
      <c r="M2700" s="49"/>
      <c r="N2700" s="49"/>
      <c r="O2700" s="49"/>
      <c r="P2700" s="49" t="str">
        <f t="shared" si="2"/>
        <v>,</v>
      </c>
      <c r="Q2700" s="49"/>
      <c r="R2700" s="49"/>
      <c r="S2700" s="55" t="s">
        <v>5247</v>
      </c>
      <c r="T2700" s="49"/>
      <c r="U2700" s="49"/>
      <c r="V2700" s="49"/>
      <c r="W2700" s="49"/>
      <c r="X2700" s="49" t="str">
        <f t="shared" si="3"/>
        <v>,</v>
      </c>
      <c r="Y2700" s="49"/>
      <c r="Z2700" s="1" t="s">
        <v>3226</v>
      </c>
      <c r="AA2700" s="1" t="s">
        <v>5802</v>
      </c>
      <c r="AB2700" s="49"/>
      <c r="AC2700" s="49"/>
      <c r="AD2700" s="49"/>
      <c r="AE2700" s="49"/>
      <c r="AF2700" s="49" t="str">
        <f t="shared" si="4"/>
        <v>uncanny,</v>
      </c>
      <c r="AG2700" s="49"/>
      <c r="AH2700" s="1" t="s">
        <v>7637</v>
      </c>
      <c r="AI2700" s="1" t="s">
        <v>6822</v>
      </c>
      <c r="AJ2700" s="6" t="str">
        <f>IFERROR(__xludf.DUMMYFUNCTION("""COMPUTED_VALUE"""),"controversial")</f>
        <v>controversial</v>
      </c>
      <c r="AK2700" s="49"/>
      <c r="AL2700" s="49"/>
      <c r="AM2700" s="49"/>
      <c r="AN2700" s="52" t="str">
        <f t="shared" si="5"/>
        <v>marcus,</v>
      </c>
    </row>
    <row r="2701">
      <c r="A2701" s="51"/>
      <c r="B2701" s="50" t="s">
        <v>3846</v>
      </c>
      <c r="C2701" s="50" t="s">
        <v>6734</v>
      </c>
      <c r="D2701" s="49" t="str">
        <f>IFERROR(__xludf.DUMMYFUNCTION("""COMPUTED_VALUE"""),"replaced")</f>
        <v>replaced</v>
      </c>
      <c r="E2701" s="49"/>
      <c r="F2701" s="49"/>
      <c r="G2701" s="49"/>
      <c r="H2701" s="54" t="str">
        <f t="shared" si="1"/>
        <v>shining,</v>
      </c>
      <c r="I2701" s="50"/>
      <c r="J2701" s="50"/>
      <c r="K2701" s="50" t="s">
        <v>1390</v>
      </c>
      <c r="L2701" s="49"/>
      <c r="M2701" s="49"/>
      <c r="N2701" s="49"/>
      <c r="O2701" s="49"/>
      <c r="P2701" s="49" t="str">
        <f t="shared" si="2"/>
        <v>,</v>
      </c>
      <c r="Q2701" s="49"/>
      <c r="R2701" s="49"/>
      <c r="S2701" s="55" t="s">
        <v>5212</v>
      </c>
      <c r="T2701" s="49"/>
      <c r="U2701" s="49"/>
      <c r="V2701" s="49"/>
      <c r="W2701" s="49"/>
      <c r="X2701" s="49" t="str">
        <f t="shared" si="3"/>
        <v>,</v>
      </c>
      <c r="Y2701" s="49"/>
      <c r="Z2701" s="1" t="s">
        <v>4480</v>
      </c>
      <c r="AA2701" s="1" t="s">
        <v>1863</v>
      </c>
      <c r="AB2701" s="49"/>
      <c r="AC2701" s="49"/>
      <c r="AD2701" s="49"/>
      <c r="AE2701" s="49"/>
      <c r="AF2701" s="49" t="str">
        <f t="shared" si="4"/>
        <v>tears,</v>
      </c>
      <c r="AG2701" s="49"/>
      <c r="AH2701" s="1" t="s">
        <v>6170</v>
      </c>
      <c r="AI2701" s="1" t="s">
        <v>4254</v>
      </c>
      <c r="AJ2701" s="6" t="str">
        <f>IFERROR(__xludf.DUMMYFUNCTION("""COMPUTED_VALUE"""),"specifically")</f>
        <v>specifically</v>
      </c>
      <c r="AK2701" s="49"/>
      <c r="AL2701" s="49"/>
      <c r="AM2701" s="49"/>
      <c r="AN2701" s="52" t="str">
        <f t="shared" si="5"/>
        <v>scientific,</v>
      </c>
    </row>
    <row r="2702">
      <c r="A2702" s="51"/>
      <c r="B2702" s="50" t="s">
        <v>5228</v>
      </c>
      <c r="C2702" s="50" t="s">
        <v>5609</v>
      </c>
      <c r="D2702" s="49" t="str">
        <f>IFERROR(__xludf.DUMMYFUNCTION("""COMPUTED_VALUE"""),"sucked")</f>
        <v>sucked</v>
      </c>
      <c r="E2702" s="49"/>
      <c r="F2702" s="49"/>
      <c r="G2702" s="49"/>
      <c r="H2702" s="54" t="str">
        <f t="shared" si="1"/>
        <v>records,</v>
      </c>
      <c r="I2702" s="50"/>
      <c r="J2702" s="50"/>
      <c r="K2702" s="50" t="s">
        <v>4618</v>
      </c>
      <c r="L2702" s="49"/>
      <c r="M2702" s="49"/>
      <c r="N2702" s="49"/>
      <c r="O2702" s="49"/>
      <c r="P2702" s="49" t="str">
        <f t="shared" si="2"/>
        <v>,</v>
      </c>
      <c r="Q2702" s="49"/>
      <c r="R2702" s="49"/>
      <c r="S2702" s="55" t="s">
        <v>1581</v>
      </c>
      <c r="T2702" s="49"/>
      <c r="U2702" s="49"/>
      <c r="V2702" s="49"/>
      <c r="W2702" s="49"/>
      <c r="X2702" s="49" t="str">
        <f t="shared" si="3"/>
        <v>,</v>
      </c>
      <c r="Y2702" s="49"/>
      <c r="Z2702" s="1" t="s">
        <v>1318</v>
      </c>
      <c r="AA2702" s="1" t="s">
        <v>3169</v>
      </c>
      <c r="AB2702" s="49"/>
      <c r="AC2702" s="49"/>
      <c r="AD2702" s="49"/>
      <c r="AE2702" s="49"/>
      <c r="AF2702" s="49" t="str">
        <f t="shared" si="4"/>
        <v>underlying,</v>
      </c>
      <c r="AG2702" s="49"/>
      <c r="AH2702" s="1" t="s">
        <v>3037</v>
      </c>
      <c r="AI2702" s="1" t="s">
        <v>1187</v>
      </c>
      <c r="AJ2702" s="6" t="str">
        <f>IFERROR(__xludf.DUMMYFUNCTION("""COMPUTED_VALUE"""),"mill")</f>
        <v>mill</v>
      </c>
      <c r="AK2702" s="49"/>
      <c r="AL2702" s="49"/>
      <c r="AM2702" s="49"/>
      <c r="AN2702" s="52" t="str">
        <f t="shared" si="5"/>
        <v>daughters,</v>
      </c>
    </row>
    <row r="2703">
      <c r="A2703" s="51"/>
      <c r="B2703" s="50" t="s">
        <v>5834</v>
      </c>
      <c r="C2703" s="50" t="s">
        <v>5262</v>
      </c>
      <c r="D2703" s="49" t="str">
        <f>IFERROR(__xludf.DUMMYFUNCTION("""COMPUTED_VALUE"""),"hoped")</f>
        <v>hoped</v>
      </c>
      <c r="E2703" s="49"/>
      <c r="F2703" s="49"/>
      <c r="G2703" s="49"/>
      <c r="H2703" s="54" t="str">
        <f t="shared" si="1"/>
        <v>uk,</v>
      </c>
      <c r="I2703" s="50"/>
      <c r="J2703" s="50"/>
      <c r="K2703" s="50" t="s">
        <v>1654</v>
      </c>
      <c r="L2703" s="49"/>
      <c r="M2703" s="49"/>
      <c r="N2703" s="49"/>
      <c r="O2703" s="49"/>
      <c r="P2703" s="49" t="str">
        <f t="shared" si="2"/>
        <v>,</v>
      </c>
      <c r="Q2703" s="49"/>
      <c r="R2703" s="49"/>
      <c r="S2703" s="55" t="s">
        <v>994</v>
      </c>
      <c r="T2703" s="49"/>
      <c r="U2703" s="49"/>
      <c r="V2703" s="49"/>
      <c r="W2703" s="49"/>
      <c r="X2703" s="49" t="str">
        <f t="shared" si="3"/>
        <v>,</v>
      </c>
      <c r="Y2703" s="49"/>
      <c r="Z2703" s="1" t="s">
        <v>271</v>
      </c>
      <c r="AA2703" s="1" t="s">
        <v>1913</v>
      </c>
      <c r="AB2703" s="49"/>
      <c r="AC2703" s="49"/>
      <c r="AD2703" s="49"/>
      <c r="AE2703" s="49"/>
      <c r="AF2703" s="49" t="str">
        <f t="shared" si="4"/>
        <v>account,</v>
      </c>
      <c r="AG2703" s="49"/>
      <c r="AH2703" s="1" t="s">
        <v>6604</v>
      </c>
      <c r="AI2703" s="1" t="s">
        <v>3949</v>
      </c>
      <c r="AJ2703" s="6" t="str">
        <f>IFERROR(__xludf.DUMMYFUNCTION("""COMPUTED_VALUE"""),"quiet")</f>
        <v>quiet</v>
      </c>
      <c r="AK2703" s="49"/>
      <c r="AL2703" s="49"/>
      <c r="AM2703" s="49"/>
      <c r="AN2703" s="52" t="str">
        <f t="shared" si="5"/>
        <v>springs,</v>
      </c>
    </row>
    <row r="2704">
      <c r="A2704" s="51"/>
      <c r="B2704" s="50" t="s">
        <v>2553</v>
      </c>
      <c r="C2704" s="50" t="s">
        <v>3076</v>
      </c>
      <c r="D2704" s="49">
        <f>IFERROR(__xludf.DUMMYFUNCTION("""COMPUTED_VALUE"""),1999.0)</f>
        <v>1999</v>
      </c>
      <c r="E2704" s="49"/>
      <c r="F2704" s="49"/>
      <c r="G2704" s="49"/>
      <c r="H2704" s="54" t="str">
        <f t="shared" si="1"/>
        <v>lived,</v>
      </c>
      <c r="I2704" s="50"/>
      <c r="J2704" s="50"/>
      <c r="K2704" s="50">
        <v>60.0</v>
      </c>
      <c r="L2704" s="49"/>
      <c r="M2704" s="49"/>
      <c r="N2704" s="49"/>
      <c r="O2704" s="49"/>
      <c r="P2704" s="49" t="str">
        <f t="shared" si="2"/>
        <v>,</v>
      </c>
      <c r="Q2704" s="49"/>
      <c r="R2704" s="49"/>
      <c r="S2704" s="55" t="s">
        <v>4367</v>
      </c>
      <c r="T2704" s="49"/>
      <c r="U2704" s="49"/>
      <c r="V2704" s="49"/>
      <c r="W2704" s="49"/>
      <c r="X2704" s="49" t="str">
        <f t="shared" si="3"/>
        <v>,</v>
      </c>
      <c r="Y2704" s="49"/>
      <c r="Z2704" s="1" t="s">
        <v>2674</v>
      </c>
      <c r="AA2704" s="1" t="s">
        <v>5803</v>
      </c>
      <c r="AB2704" s="49"/>
      <c r="AC2704" s="49"/>
      <c r="AD2704" s="49"/>
      <c r="AE2704" s="49"/>
      <c r="AF2704" s="49" t="str">
        <f t="shared" si="4"/>
        <v>heights,</v>
      </c>
      <c r="AG2704" s="49"/>
      <c r="AH2704" s="1" t="s">
        <v>3502</v>
      </c>
      <c r="AI2704" s="1" t="s">
        <v>5275</v>
      </c>
      <c r="AJ2704" s="6" t="str">
        <f>IFERROR(__xludf.DUMMYFUNCTION("""COMPUTED_VALUE"""),"illustrated")</f>
        <v>illustrated</v>
      </c>
      <c r="AK2704" s="49"/>
      <c r="AL2704" s="49"/>
      <c r="AM2704" s="49"/>
      <c r="AN2704" s="52" t="str">
        <f t="shared" si="5"/>
        <v>indians,</v>
      </c>
    </row>
    <row r="2705">
      <c r="A2705" s="51"/>
      <c r="B2705" s="50" t="s">
        <v>4887</v>
      </c>
      <c r="C2705" s="50" t="s">
        <v>6735</v>
      </c>
      <c r="D2705" s="49" t="str">
        <f>IFERROR(__xludf.DUMMYFUNCTION("""COMPUTED_VALUE"""),"pride")</f>
        <v>pride</v>
      </c>
      <c r="E2705" s="49"/>
      <c r="F2705" s="49"/>
      <c r="G2705" s="49"/>
      <c r="H2705" s="54" t="str">
        <f t="shared" si="1"/>
        <v>losses,</v>
      </c>
      <c r="I2705" s="50"/>
      <c r="J2705" s="50"/>
      <c r="K2705" s="50" t="s">
        <v>5338</v>
      </c>
      <c r="L2705" s="49"/>
      <c r="M2705" s="49"/>
      <c r="N2705" s="49"/>
      <c r="O2705" s="49"/>
      <c r="P2705" s="49" t="str">
        <f t="shared" si="2"/>
        <v>,</v>
      </c>
      <c r="Q2705" s="49"/>
      <c r="R2705" s="49"/>
      <c r="S2705" s="55" t="s">
        <v>1295</v>
      </c>
      <c r="T2705" s="49"/>
      <c r="U2705" s="49"/>
      <c r="V2705" s="49"/>
      <c r="W2705" s="49"/>
      <c r="X2705" s="49" t="str">
        <f t="shared" si="3"/>
        <v>,</v>
      </c>
      <c r="Y2705" s="49"/>
      <c r="Z2705" s="1" t="s">
        <v>114</v>
      </c>
      <c r="AA2705" s="1" t="s">
        <v>3171</v>
      </c>
      <c r="AB2705" s="49"/>
      <c r="AC2705" s="49"/>
      <c r="AD2705" s="49"/>
      <c r="AE2705" s="49"/>
      <c r="AF2705" s="49" t="str">
        <f t="shared" si="4"/>
        <v>fascination,</v>
      </c>
      <c r="AG2705" s="49"/>
      <c r="AH2705" s="1" t="s">
        <v>5434</v>
      </c>
      <c r="AI2705" s="1" t="s">
        <v>5278</v>
      </c>
      <c r="AJ2705" s="6" t="str">
        <f>IFERROR(__xludf.DUMMYFUNCTION("""COMPUTED_VALUE"""),"metropolitan")</f>
        <v>metropolitan</v>
      </c>
      <c r="AK2705" s="49"/>
      <c r="AL2705" s="49"/>
      <c r="AM2705" s="49"/>
      <c r="AN2705" s="52" t="str">
        <f t="shared" si="5"/>
        <v>pages,</v>
      </c>
    </row>
    <row r="2706">
      <c r="A2706" s="51"/>
      <c r="B2706" s="50" t="s">
        <v>6671</v>
      </c>
      <c r="C2706" s="50" t="s">
        <v>5612</v>
      </c>
      <c r="D2706" s="49" t="str">
        <f>IFERROR(__xludf.DUMMYFUNCTION("""COMPUTED_VALUE"""),"distinction")</f>
        <v>distinction</v>
      </c>
      <c r="E2706" s="49"/>
      <c r="F2706" s="49"/>
      <c r="G2706" s="49"/>
      <c r="H2706" s="54" t="str">
        <f t="shared" si="1"/>
        <v>letter,</v>
      </c>
      <c r="I2706" s="50"/>
      <c r="J2706" s="50"/>
      <c r="K2706" s="50" t="s">
        <v>5339</v>
      </c>
      <c r="L2706" s="49"/>
      <c r="M2706" s="49"/>
      <c r="N2706" s="49"/>
      <c r="O2706" s="49"/>
      <c r="P2706" s="49" t="str">
        <f t="shared" si="2"/>
        <v>,</v>
      </c>
      <c r="Q2706" s="49"/>
      <c r="R2706" s="49"/>
      <c r="S2706" s="55" t="s">
        <v>2367</v>
      </c>
      <c r="T2706" s="49"/>
      <c r="U2706" s="49"/>
      <c r="V2706" s="49"/>
      <c r="W2706" s="49"/>
      <c r="X2706" s="49" t="str">
        <f t="shared" si="3"/>
        <v>,</v>
      </c>
      <c r="Y2706" s="49"/>
      <c r="Z2706" s="1" t="s">
        <v>1248</v>
      </c>
      <c r="AA2706" s="1" t="s">
        <v>5804</v>
      </c>
      <c r="AB2706" s="49"/>
      <c r="AC2706" s="49"/>
      <c r="AD2706" s="49"/>
      <c r="AE2706" s="49"/>
      <c r="AF2706" s="49" t="str">
        <f t="shared" si="4"/>
        <v>adventurous,</v>
      </c>
      <c r="AG2706" s="49"/>
      <c r="AH2706" s="1" t="s">
        <v>5535</v>
      </c>
      <c r="AI2706" s="1" t="s">
        <v>5346</v>
      </c>
      <c r="AJ2706" s="6" t="str">
        <f>IFERROR(__xludf.DUMMYFUNCTION("""COMPUTED_VALUE"""),"panic")</f>
        <v>panic</v>
      </c>
      <c r="AK2706" s="49"/>
      <c r="AL2706" s="49"/>
      <c r="AM2706" s="49"/>
      <c r="AN2706" s="52" t="str">
        <f t="shared" si="5"/>
        <v>permission,</v>
      </c>
    </row>
    <row r="2707">
      <c r="A2707" s="51"/>
      <c r="B2707" s="50" t="s">
        <v>6628</v>
      </c>
      <c r="C2707" s="50" t="s">
        <v>1435</v>
      </c>
      <c r="D2707" s="49" t="str">
        <f>IFERROR(__xludf.DUMMYFUNCTION("""COMPUTED_VALUE"""),"connected")</f>
        <v>connected</v>
      </c>
      <c r="E2707" s="49"/>
      <c r="F2707" s="49"/>
      <c r="G2707" s="49"/>
      <c r="H2707" s="54" t="str">
        <f t="shared" si="1"/>
        <v>surrounded,</v>
      </c>
      <c r="I2707" s="50"/>
      <c r="J2707" s="50"/>
      <c r="K2707" s="50" t="s">
        <v>3658</v>
      </c>
      <c r="L2707" s="49"/>
      <c r="M2707" s="49"/>
      <c r="N2707" s="49"/>
      <c r="O2707" s="49"/>
      <c r="P2707" s="49" t="str">
        <f t="shared" si="2"/>
        <v>,</v>
      </c>
      <c r="Q2707" s="49"/>
      <c r="R2707" s="49"/>
      <c r="S2707" s="55" t="s">
        <v>4194</v>
      </c>
      <c r="T2707" s="49"/>
      <c r="U2707" s="49"/>
      <c r="V2707" s="49"/>
      <c r="W2707" s="49"/>
      <c r="X2707" s="49" t="str">
        <f t="shared" si="3"/>
        <v>,</v>
      </c>
      <c r="Y2707" s="49"/>
      <c r="Z2707" s="1" t="s">
        <v>3528</v>
      </c>
      <c r="AA2707" s="1" t="s">
        <v>5805</v>
      </c>
      <c r="AB2707" s="49"/>
      <c r="AC2707" s="49"/>
      <c r="AD2707" s="49"/>
      <c r="AE2707" s="49"/>
      <c r="AF2707" s="49" t="str">
        <f t="shared" si="4"/>
        <v>despair,</v>
      </c>
      <c r="AG2707" s="49"/>
      <c r="AH2707" s="1" t="s">
        <v>7051</v>
      </c>
      <c r="AI2707" s="1" t="s">
        <v>4742</v>
      </c>
      <c r="AJ2707" s="6" t="str">
        <f>IFERROR(__xludf.DUMMYFUNCTION("""COMPUTED_VALUE"""),"views")</f>
        <v>views</v>
      </c>
      <c r="AK2707" s="49"/>
      <c r="AL2707" s="49"/>
      <c r="AM2707" s="49"/>
      <c r="AN2707" s="52" t="str">
        <f t="shared" si="5"/>
        <v>virgin,</v>
      </c>
    </row>
    <row r="2708">
      <c r="A2708" s="51"/>
      <c r="B2708" s="50" t="s">
        <v>6432</v>
      </c>
      <c r="C2708" s="50">
        <v>50.0</v>
      </c>
      <c r="D2708" s="49" t="str">
        <f>IFERROR(__xludf.DUMMYFUNCTION("""COMPUTED_VALUE"""),"trip")</f>
        <v>trip</v>
      </c>
      <c r="E2708" s="49"/>
      <c r="F2708" s="49"/>
      <c r="G2708" s="49"/>
      <c r="H2708" s="54" t="str">
        <f t="shared" si="1"/>
        <v>devoted,</v>
      </c>
      <c r="I2708" s="50"/>
      <c r="J2708" s="50"/>
      <c r="K2708" s="50" t="s">
        <v>695</v>
      </c>
      <c r="L2708" s="49"/>
      <c r="M2708" s="49"/>
      <c r="N2708" s="49"/>
      <c r="O2708" s="49"/>
      <c r="P2708" s="49" t="str">
        <f t="shared" si="2"/>
        <v>,</v>
      </c>
      <c r="Q2708" s="49"/>
      <c r="R2708" s="49"/>
      <c r="S2708" s="55" t="s">
        <v>2370</v>
      </c>
      <c r="T2708" s="49"/>
      <c r="U2708" s="49"/>
      <c r="V2708" s="49"/>
      <c r="W2708" s="49"/>
      <c r="X2708" s="49" t="str">
        <f t="shared" si="3"/>
        <v>,</v>
      </c>
      <c r="Y2708" s="49"/>
      <c r="Z2708" s="1" t="s">
        <v>6946</v>
      </c>
      <c r="AA2708" s="1" t="s">
        <v>4951</v>
      </c>
      <c r="AB2708" s="49"/>
      <c r="AC2708" s="49"/>
      <c r="AD2708" s="49"/>
      <c r="AE2708" s="49"/>
      <c r="AF2708" s="49" t="str">
        <f t="shared" si="4"/>
        <v>pains,</v>
      </c>
      <c r="AG2708" s="49"/>
      <c r="AH2708" s="1" t="s">
        <v>4899</v>
      </c>
      <c r="AI2708" s="1" t="s">
        <v>4257</v>
      </c>
      <c r="AJ2708" s="6" t="str">
        <f>IFERROR(__xludf.DUMMYFUNCTION("""COMPUTED_VALUE"""),"resident")</f>
        <v>resident</v>
      </c>
      <c r="AK2708" s="49"/>
      <c r="AL2708" s="49"/>
      <c r="AM2708" s="49"/>
      <c r="AN2708" s="52" t="str">
        <f t="shared" si="5"/>
        <v>knowledge,</v>
      </c>
    </row>
    <row r="2709">
      <c r="A2709" s="51"/>
      <c r="B2709" s="50" t="s">
        <v>5541</v>
      </c>
      <c r="C2709" s="50" t="s">
        <v>3378</v>
      </c>
      <c r="D2709" s="49" t="str">
        <f>IFERROR(__xludf.DUMMYFUNCTION("""COMPUTED_VALUE"""),"fifty")</f>
        <v>fifty</v>
      </c>
      <c r="E2709" s="49"/>
      <c r="F2709" s="49"/>
      <c r="G2709" s="49"/>
      <c r="H2709" s="54" t="str">
        <f t="shared" si="1"/>
        <v>spine,</v>
      </c>
      <c r="I2709" s="50"/>
      <c r="J2709" s="50"/>
      <c r="K2709" s="50" t="s">
        <v>51</v>
      </c>
      <c r="L2709" s="49"/>
      <c r="M2709" s="49"/>
      <c r="N2709" s="49"/>
      <c r="O2709" s="49"/>
      <c r="P2709" s="49" t="str">
        <f t="shared" si="2"/>
        <v>,</v>
      </c>
      <c r="Q2709" s="49"/>
      <c r="R2709" s="49"/>
      <c r="S2709" s="55" t="s">
        <v>5223</v>
      </c>
      <c r="T2709" s="49"/>
      <c r="U2709" s="49"/>
      <c r="V2709" s="49"/>
      <c r="W2709" s="49"/>
      <c r="X2709" s="49" t="str">
        <f t="shared" si="3"/>
        <v>,</v>
      </c>
      <c r="Y2709" s="49"/>
      <c r="Z2709" s="1" t="s">
        <v>666</v>
      </c>
      <c r="AA2709" s="1" t="s">
        <v>4956</v>
      </c>
      <c r="AB2709" s="49"/>
      <c r="AC2709" s="49"/>
      <c r="AD2709" s="49"/>
      <c r="AE2709" s="49"/>
      <c r="AF2709" s="49" t="str">
        <f t="shared" si="4"/>
        <v>dazzling,</v>
      </c>
      <c r="AG2709" s="49"/>
      <c r="AH2709" s="1" t="s">
        <v>5897</v>
      </c>
      <c r="AI2709" s="1" t="s">
        <v>6823</v>
      </c>
      <c r="AJ2709" s="6" t="str">
        <f>IFERROR(__xludf.DUMMYFUNCTION("""COMPUTED_VALUE"""),"primary")</f>
        <v>primary</v>
      </c>
      <c r="AK2709" s="49"/>
      <c r="AL2709" s="49"/>
      <c r="AM2709" s="49"/>
      <c r="AN2709" s="52" t="str">
        <f t="shared" si="5"/>
        <v>electric,</v>
      </c>
    </row>
    <row r="2710">
      <c r="A2710" s="51"/>
      <c r="B2710" s="50" t="s">
        <v>6094</v>
      </c>
      <c r="C2710" s="50" t="s">
        <v>6736</v>
      </c>
      <c r="D2710" s="49" t="str">
        <f>IFERROR(__xludf.DUMMYFUNCTION("""COMPUTED_VALUE"""),"procedure")</f>
        <v>procedure</v>
      </c>
      <c r="E2710" s="49"/>
      <c r="F2710" s="49"/>
      <c r="G2710" s="49"/>
      <c r="H2710" s="54" t="str">
        <f t="shared" si="1"/>
        <v>walls,</v>
      </c>
      <c r="I2710" s="50"/>
      <c r="J2710" s="50"/>
      <c r="K2710" s="50" t="s">
        <v>4316</v>
      </c>
      <c r="L2710" s="49"/>
      <c r="M2710" s="49"/>
      <c r="N2710" s="49"/>
      <c r="O2710" s="49"/>
      <c r="P2710" s="49" t="str">
        <f t="shared" si="2"/>
        <v>,</v>
      </c>
      <c r="Q2710" s="49"/>
      <c r="R2710" s="49"/>
      <c r="S2710" s="55" t="s">
        <v>1300</v>
      </c>
      <c r="T2710" s="49"/>
      <c r="U2710" s="49"/>
      <c r="V2710" s="49"/>
      <c r="W2710" s="49"/>
      <c r="X2710" s="49" t="str">
        <f t="shared" si="3"/>
        <v>,</v>
      </c>
      <c r="Y2710" s="49"/>
      <c r="Z2710" s="1" t="s">
        <v>1085</v>
      </c>
      <c r="AA2710" s="1" t="s">
        <v>5808</v>
      </c>
      <c r="AB2710" s="49"/>
      <c r="AC2710" s="49"/>
      <c r="AD2710" s="49"/>
      <c r="AE2710" s="49"/>
      <c r="AF2710" s="49" t="str">
        <f t="shared" si="4"/>
        <v>satisfying,</v>
      </c>
      <c r="AG2710" s="49"/>
      <c r="AH2710" s="1" t="s">
        <v>2829</v>
      </c>
      <c r="AI2710" s="1" t="s">
        <v>6824</v>
      </c>
      <c r="AJ2710" s="6" t="str">
        <f>IFERROR(__xludf.DUMMYFUNCTION("""COMPUTED_VALUE"""),"santa")</f>
        <v>santa</v>
      </c>
      <c r="AK2710" s="49"/>
      <c r="AL2710" s="49"/>
      <c r="AM2710" s="49"/>
      <c r="AN2710" s="52" t="str">
        <f t="shared" si="5"/>
        <v>identity,</v>
      </c>
    </row>
    <row r="2711">
      <c r="A2711" s="51"/>
      <c r="B2711" s="50" t="s">
        <v>1007</v>
      </c>
      <c r="C2711" s="50" t="s">
        <v>4983</v>
      </c>
      <c r="D2711" s="49" t="str">
        <f>IFERROR(__xludf.DUMMYFUNCTION("""COMPUTED_VALUE"""),"definition")</f>
        <v>definition</v>
      </c>
      <c r="E2711" s="49"/>
      <c r="F2711" s="49"/>
      <c r="G2711" s="49"/>
      <c r="H2711" s="54" t="str">
        <f t="shared" si="1"/>
        <v>stanley,</v>
      </c>
      <c r="I2711" s="50"/>
      <c r="J2711" s="50"/>
      <c r="K2711" s="50" t="s">
        <v>5539</v>
      </c>
      <c r="L2711" s="49"/>
      <c r="M2711" s="49"/>
      <c r="N2711" s="49"/>
      <c r="O2711" s="49"/>
      <c r="P2711" s="49" t="str">
        <f t="shared" si="2"/>
        <v>,</v>
      </c>
      <c r="Q2711" s="49"/>
      <c r="R2711" s="49"/>
      <c r="S2711" s="55">
        <v>8.0</v>
      </c>
      <c r="T2711" s="49"/>
      <c r="U2711" s="49"/>
      <c r="V2711" s="49"/>
      <c r="W2711" s="49"/>
      <c r="X2711" s="49" t="str">
        <f t="shared" si="3"/>
        <v>,</v>
      </c>
      <c r="Y2711" s="49"/>
      <c r="Z2711" s="1" t="s">
        <v>4519</v>
      </c>
      <c r="AA2711" s="1" t="s">
        <v>3191</v>
      </c>
      <c r="AB2711" s="49"/>
      <c r="AC2711" s="49"/>
      <c r="AD2711" s="49"/>
      <c r="AE2711" s="49"/>
      <c r="AF2711" s="49" t="str">
        <f t="shared" si="4"/>
        <v>surroundings,</v>
      </c>
      <c r="AG2711" s="49"/>
      <c r="AH2711" s="1" t="s">
        <v>5673</v>
      </c>
      <c r="AI2711" s="1" t="s">
        <v>6825</v>
      </c>
      <c r="AJ2711" s="6" t="str">
        <f>IFERROR(__xludf.DUMMYFUNCTION("""COMPUTED_VALUE"""),"environment")</f>
        <v>environment</v>
      </c>
      <c r="AK2711" s="49"/>
      <c r="AL2711" s="49"/>
      <c r="AM2711" s="49"/>
      <c r="AN2711" s="52" t="str">
        <f t="shared" si="5"/>
        <v>philip,</v>
      </c>
    </row>
    <row r="2712">
      <c r="A2712" s="51"/>
      <c r="B2712" s="50" t="s">
        <v>4125</v>
      </c>
      <c r="C2712" s="50" t="s">
        <v>3396</v>
      </c>
      <c r="D2712" s="49" t="str">
        <f>IFERROR(__xludf.DUMMYFUNCTION("""COMPUTED_VALUE"""),"knees")</f>
        <v>knees</v>
      </c>
      <c r="E2712" s="49"/>
      <c r="F2712" s="49"/>
      <c r="G2712" s="49"/>
      <c r="H2712" s="54" t="str">
        <f t="shared" si="1"/>
        <v>blind,</v>
      </c>
      <c r="I2712" s="50"/>
      <c r="J2712" s="50"/>
      <c r="K2712" s="50" t="s">
        <v>4320</v>
      </c>
      <c r="L2712" s="49"/>
      <c r="M2712" s="49"/>
      <c r="N2712" s="49"/>
      <c r="O2712" s="49"/>
      <c r="P2712" s="49" t="str">
        <f t="shared" si="2"/>
        <v>,</v>
      </c>
      <c r="Q2712" s="49"/>
      <c r="R2712" s="49"/>
      <c r="S2712" s="55" t="s">
        <v>4899</v>
      </c>
      <c r="T2712" s="49"/>
      <c r="U2712" s="49"/>
      <c r="V2712" s="49"/>
      <c r="W2712" s="49"/>
      <c r="X2712" s="49" t="str">
        <f t="shared" si="3"/>
        <v>,</v>
      </c>
      <c r="Y2712" s="49"/>
      <c r="Z2712" s="1" t="s">
        <v>127</v>
      </c>
      <c r="AA2712" s="1" t="s">
        <v>1519</v>
      </c>
      <c r="AB2712" s="49"/>
      <c r="AC2712" s="49"/>
      <c r="AD2712" s="49"/>
      <c r="AE2712" s="49"/>
      <c r="AF2712" s="49" t="str">
        <f t="shared" si="4"/>
        <v>remain,</v>
      </c>
      <c r="AG2712" s="49"/>
      <c r="AH2712" s="1" t="s">
        <v>4915</v>
      </c>
      <c r="AI2712" s="1">
        <v>1938.0</v>
      </c>
      <c r="AJ2712" s="6" t="str">
        <f>IFERROR(__xludf.DUMMYFUNCTION("""COMPUTED_VALUE"""),"seeking")</f>
        <v>seeking</v>
      </c>
      <c r="AK2712" s="49"/>
      <c r="AL2712" s="49"/>
      <c r="AM2712" s="49"/>
      <c r="AN2712" s="52" t="str">
        <f t="shared" si="5"/>
        <v>struggle,</v>
      </c>
    </row>
    <row r="2713">
      <c r="A2713" s="51"/>
      <c r="B2713" s="50" t="s">
        <v>2330</v>
      </c>
      <c r="C2713" s="50" t="s">
        <v>6737</v>
      </c>
      <c r="D2713" s="49" t="str">
        <f>IFERROR(__xludf.DUMMYFUNCTION("""COMPUTED_VALUE"""),"matters")</f>
        <v>matters</v>
      </c>
      <c r="E2713" s="49"/>
      <c r="F2713" s="49"/>
      <c r="G2713" s="49"/>
      <c r="H2713" s="54" t="str">
        <f t="shared" si="1"/>
        <v>concepts,</v>
      </c>
      <c r="I2713" s="50"/>
      <c r="J2713" s="50"/>
      <c r="K2713" s="50" t="s">
        <v>5809</v>
      </c>
      <c r="L2713" s="49"/>
      <c r="M2713" s="49"/>
      <c r="N2713" s="49"/>
      <c r="O2713" s="49"/>
      <c r="P2713" s="49" t="str">
        <f t="shared" si="2"/>
        <v>,</v>
      </c>
      <c r="Q2713" s="49"/>
      <c r="R2713" s="49"/>
      <c r="S2713" s="55" t="s">
        <v>2379</v>
      </c>
      <c r="T2713" s="49"/>
      <c r="U2713" s="49"/>
      <c r="V2713" s="49"/>
      <c r="W2713" s="49"/>
      <c r="X2713" s="49" t="str">
        <f t="shared" si="3"/>
        <v>,</v>
      </c>
      <c r="Y2713" s="49"/>
      <c r="Z2713" s="1" t="s">
        <v>2205</v>
      </c>
      <c r="AA2713" s="1" t="s">
        <v>1764</v>
      </c>
      <c r="AB2713" s="49"/>
      <c r="AC2713" s="49"/>
      <c r="AD2713" s="49"/>
      <c r="AE2713" s="49"/>
      <c r="AF2713" s="49" t="str">
        <f t="shared" si="4"/>
        <v>nerve,</v>
      </c>
      <c r="AG2713" s="49"/>
      <c r="AH2713" s="1" t="s">
        <v>2377</v>
      </c>
      <c r="AI2713" s="1" t="s">
        <v>6826</v>
      </c>
      <c r="AJ2713" s="6" t="str">
        <f>IFERROR(__xludf.DUMMYFUNCTION("""COMPUTED_VALUE"""),"assembly")</f>
        <v>assembly</v>
      </c>
      <c r="AK2713" s="49"/>
      <c r="AL2713" s="49"/>
      <c r="AM2713" s="49"/>
      <c r="AN2713" s="52" t="str">
        <f t="shared" si="5"/>
        <v>moral,</v>
      </c>
    </row>
    <row r="2714">
      <c r="A2714" s="51"/>
      <c r="B2714" s="50" t="s">
        <v>3092</v>
      </c>
      <c r="C2714" s="50" t="s">
        <v>6738</v>
      </c>
      <c r="D2714" s="49" t="str">
        <f>IFERROR(__xludf.DUMMYFUNCTION("""COMPUTED_VALUE"""),"cop")</f>
        <v>cop</v>
      </c>
      <c r="E2714" s="49"/>
      <c r="F2714" s="49"/>
      <c r="G2714" s="49"/>
      <c r="H2714" s="54" t="str">
        <f t="shared" si="1"/>
        <v>truck,</v>
      </c>
      <c r="I2714" s="50"/>
      <c r="J2714" s="50"/>
      <c r="K2714" s="50" t="s">
        <v>4323</v>
      </c>
      <c r="L2714" s="49"/>
      <c r="M2714" s="49"/>
      <c r="N2714" s="49"/>
      <c r="O2714" s="49"/>
      <c r="P2714" s="49" t="str">
        <f t="shared" si="2"/>
        <v>,</v>
      </c>
      <c r="Q2714" s="49"/>
      <c r="R2714" s="49"/>
      <c r="S2714" s="55" t="s">
        <v>1771</v>
      </c>
      <c r="T2714" s="49"/>
      <c r="U2714" s="49"/>
      <c r="V2714" s="49"/>
      <c r="W2714" s="49"/>
      <c r="X2714" s="49" t="str">
        <f t="shared" si="3"/>
        <v>,</v>
      </c>
      <c r="Y2714" s="49"/>
      <c r="Z2714" s="1" t="s">
        <v>2253</v>
      </c>
      <c r="AA2714" s="1" t="s">
        <v>3197</v>
      </c>
      <c r="AB2714" s="49"/>
      <c r="AC2714" s="49"/>
      <c r="AD2714" s="49"/>
      <c r="AE2714" s="49"/>
      <c r="AF2714" s="49" t="str">
        <f t="shared" si="4"/>
        <v>yarn,</v>
      </c>
      <c r="AG2714" s="49"/>
      <c r="AH2714" s="1">
        <v>96.0</v>
      </c>
      <c r="AI2714" s="1" t="s">
        <v>6827</v>
      </c>
      <c r="AJ2714" s="6" t="str">
        <f>IFERROR(__xludf.DUMMYFUNCTION("""COMPUTED_VALUE"""),"raised")</f>
        <v>raised</v>
      </c>
      <c r="AK2714" s="49"/>
      <c r="AL2714" s="49"/>
      <c r="AM2714" s="49"/>
      <c r="AN2714" s="52" t="str">
        <f t="shared" si="5"/>
        <v>96,</v>
      </c>
    </row>
    <row r="2715">
      <c r="A2715" s="51"/>
      <c r="B2715" s="50" t="s">
        <v>6623</v>
      </c>
      <c r="C2715" s="50" t="s">
        <v>5130</v>
      </c>
      <c r="D2715" s="49" t="str">
        <f>IFERROR(__xludf.DUMMYFUNCTION("""COMPUTED_VALUE"""),"lower")</f>
        <v>lower</v>
      </c>
      <c r="E2715" s="49"/>
      <c r="F2715" s="49"/>
      <c r="G2715" s="49"/>
      <c r="H2715" s="54" t="str">
        <f t="shared" si="1"/>
        <v>friendly,</v>
      </c>
      <c r="I2715" s="50"/>
      <c r="J2715" s="50"/>
      <c r="K2715" s="50" t="s">
        <v>5317</v>
      </c>
      <c r="L2715" s="49"/>
      <c r="M2715" s="49"/>
      <c r="N2715" s="49"/>
      <c r="O2715" s="49"/>
      <c r="P2715" s="49" t="str">
        <f t="shared" si="2"/>
        <v>,</v>
      </c>
      <c r="Q2715" s="49"/>
      <c r="R2715" s="49"/>
      <c r="S2715" s="55" t="s">
        <v>4199</v>
      </c>
      <c r="T2715" s="49"/>
      <c r="U2715" s="49"/>
      <c r="V2715" s="49"/>
      <c r="W2715" s="49"/>
      <c r="X2715" s="49" t="str">
        <f t="shared" si="3"/>
        <v>,</v>
      </c>
      <c r="Y2715" s="49"/>
      <c r="Z2715" s="1" t="s">
        <v>5225</v>
      </c>
      <c r="AA2715" s="1" t="s">
        <v>3194</v>
      </c>
      <c r="AB2715" s="49"/>
      <c r="AC2715" s="49"/>
      <c r="AD2715" s="49"/>
      <c r="AE2715" s="49"/>
      <c r="AF2715" s="49" t="str">
        <f t="shared" si="4"/>
        <v>recovery,</v>
      </c>
      <c r="AG2715" s="49"/>
      <c r="AH2715" s="1" t="s">
        <v>6371</v>
      </c>
      <c r="AI2715" s="1" t="s">
        <v>5292</v>
      </c>
      <c r="AJ2715" s="6" t="str">
        <f>IFERROR(__xludf.DUMMYFUNCTION("""COMPUTED_VALUE"""),"lowered")</f>
        <v>lowered</v>
      </c>
      <c r="AK2715" s="49"/>
      <c r="AL2715" s="49"/>
      <c r="AM2715" s="49"/>
      <c r="AN2715" s="52" t="str">
        <f t="shared" si="5"/>
        <v>instantly,</v>
      </c>
    </row>
    <row r="2716">
      <c r="A2716" s="51"/>
      <c r="B2716" s="50" t="s">
        <v>6459</v>
      </c>
      <c r="C2716" s="50" t="s">
        <v>3953</v>
      </c>
      <c r="D2716" s="49" t="str">
        <f>IFERROR(__xludf.DUMMYFUNCTION("""COMPUTED_VALUE"""),"entered")</f>
        <v>entered</v>
      </c>
      <c r="E2716" s="49"/>
      <c r="F2716" s="49"/>
      <c r="G2716" s="49"/>
      <c r="H2716" s="54" t="str">
        <f t="shared" si="1"/>
        <v>amy,</v>
      </c>
      <c r="I2716" s="50"/>
      <c r="J2716" s="50"/>
      <c r="K2716" s="50" t="s">
        <v>5484</v>
      </c>
      <c r="L2716" s="49"/>
      <c r="M2716" s="49"/>
      <c r="N2716" s="49"/>
      <c r="O2716" s="49"/>
      <c r="P2716" s="49" t="str">
        <f t="shared" si="2"/>
        <v>,</v>
      </c>
      <c r="Q2716" s="49"/>
      <c r="R2716" s="49"/>
      <c r="S2716" s="55" t="s">
        <v>4201</v>
      </c>
      <c r="T2716" s="49"/>
      <c r="U2716" s="49"/>
      <c r="V2716" s="49"/>
      <c r="W2716" s="49"/>
      <c r="X2716" s="49" t="str">
        <f t="shared" si="3"/>
        <v>,</v>
      </c>
      <c r="Y2716" s="49"/>
      <c r="Z2716" s="1" t="s">
        <v>4220</v>
      </c>
      <c r="AA2716" s="1" t="s">
        <v>3201</v>
      </c>
      <c r="AB2716" s="49"/>
      <c r="AC2716" s="49"/>
      <c r="AD2716" s="49"/>
      <c r="AE2716" s="49"/>
      <c r="AF2716" s="49" t="str">
        <f t="shared" si="4"/>
        <v>rally,</v>
      </c>
      <c r="AG2716" s="49"/>
      <c r="AH2716" s="1" t="s">
        <v>2024</v>
      </c>
      <c r="AI2716" s="1" t="s">
        <v>5917</v>
      </c>
      <c r="AJ2716" s="6" t="str">
        <f>IFERROR(__xludf.DUMMYFUNCTION("""COMPUTED_VALUE"""),"stores")</f>
        <v>stores</v>
      </c>
      <c r="AK2716" s="49"/>
      <c r="AL2716" s="49"/>
      <c r="AM2716" s="49"/>
      <c r="AN2716" s="52" t="str">
        <f t="shared" si="5"/>
        <v>board,</v>
      </c>
    </row>
    <row r="2717">
      <c r="A2717" s="51"/>
      <c r="B2717" s="50">
        <v>50.0</v>
      </c>
      <c r="C2717" s="50" t="s">
        <v>5465</v>
      </c>
      <c r="D2717" s="49" t="str">
        <f>IFERROR(__xludf.DUMMYFUNCTION("""COMPUTED_VALUE"""),"image")</f>
        <v>image</v>
      </c>
      <c r="E2717" s="49"/>
      <c r="F2717" s="49"/>
      <c r="G2717" s="49"/>
      <c r="H2717" s="54" t="str">
        <f t="shared" si="1"/>
        <v>50,</v>
      </c>
      <c r="I2717" s="50"/>
      <c r="J2717" s="50"/>
      <c r="K2717" s="50" t="s">
        <v>2508</v>
      </c>
      <c r="L2717" s="49"/>
      <c r="M2717" s="49"/>
      <c r="N2717" s="49"/>
      <c r="O2717" s="49"/>
      <c r="P2717" s="49" t="str">
        <f t="shared" si="2"/>
        <v>,</v>
      </c>
      <c r="Q2717" s="49"/>
      <c r="R2717" s="49"/>
      <c r="S2717" s="55" t="s">
        <v>5699</v>
      </c>
      <c r="T2717" s="49"/>
      <c r="U2717" s="49"/>
      <c r="V2717" s="49"/>
      <c r="W2717" s="49"/>
      <c r="X2717" s="49" t="str">
        <f t="shared" si="3"/>
        <v>,</v>
      </c>
      <c r="Y2717" s="49"/>
      <c r="Z2717" s="1" t="s">
        <v>1351</v>
      </c>
      <c r="AA2717" s="1" t="s">
        <v>5810</v>
      </c>
      <c r="AB2717" s="49"/>
      <c r="AC2717" s="49"/>
      <c r="AD2717" s="49"/>
      <c r="AE2717" s="49"/>
      <c r="AF2717" s="49" t="str">
        <f t="shared" si="4"/>
        <v>richly,</v>
      </c>
      <c r="AG2717" s="49"/>
      <c r="AH2717" s="1" t="s">
        <v>5588</v>
      </c>
      <c r="AI2717" s="1" t="s">
        <v>3622</v>
      </c>
      <c r="AJ2717" s="6" t="str">
        <f>IFERROR(__xludf.DUMMYFUNCTION("""COMPUTED_VALUE"""),"shock")</f>
        <v>shock</v>
      </c>
      <c r="AK2717" s="49"/>
      <c r="AL2717" s="49"/>
      <c r="AM2717" s="49"/>
      <c r="AN2717" s="52" t="str">
        <f t="shared" si="5"/>
        <v>unknown,</v>
      </c>
    </row>
    <row r="2718">
      <c r="A2718" s="51"/>
      <c r="B2718" s="50" t="s">
        <v>4699</v>
      </c>
      <c r="C2718" s="50" t="s">
        <v>5629</v>
      </c>
      <c r="D2718" s="49" t="str">
        <f>IFERROR(__xludf.DUMMYFUNCTION("""COMPUTED_VALUE"""),"van")</f>
        <v>van</v>
      </c>
      <c r="E2718" s="49"/>
      <c r="F2718" s="49"/>
      <c r="G2718" s="49"/>
      <c r="H2718" s="54" t="str">
        <f t="shared" si="1"/>
        <v>degree,</v>
      </c>
      <c r="I2718" s="50"/>
      <c r="J2718" s="50"/>
      <c r="K2718" s="50" t="s">
        <v>2511</v>
      </c>
      <c r="L2718" s="49"/>
      <c r="M2718" s="49"/>
      <c r="N2718" s="49"/>
      <c r="O2718" s="49"/>
      <c r="P2718" s="49" t="str">
        <f t="shared" si="2"/>
        <v>,</v>
      </c>
      <c r="Q2718" s="49"/>
      <c r="R2718" s="49"/>
      <c r="S2718" s="55" t="s">
        <v>2381</v>
      </c>
      <c r="T2718" s="49"/>
      <c r="U2718" s="49"/>
      <c r="V2718" s="49"/>
      <c r="W2718" s="49"/>
      <c r="X2718" s="49" t="str">
        <f t="shared" si="3"/>
        <v>,</v>
      </c>
      <c r="Y2718" s="49"/>
      <c r="Z2718" s="1" t="s">
        <v>7638</v>
      </c>
      <c r="AA2718" s="1" t="s">
        <v>4970</v>
      </c>
      <c r="AB2718" s="49"/>
      <c r="AC2718" s="49"/>
      <c r="AD2718" s="49"/>
      <c r="AE2718" s="49"/>
      <c r="AF2718" s="49" t="str">
        <f t="shared" si="4"/>
        <v>destroying,</v>
      </c>
      <c r="AG2718" s="49"/>
      <c r="AH2718" s="1" t="s">
        <v>4086</v>
      </c>
      <c r="AI2718" s="1" t="s">
        <v>3623</v>
      </c>
      <c r="AJ2718" s="6" t="str">
        <f>IFERROR(__xludf.DUMMYFUNCTION("""COMPUTED_VALUE"""),"code")</f>
        <v>code</v>
      </c>
      <c r="AK2718" s="49"/>
      <c r="AL2718" s="49"/>
      <c r="AM2718" s="49"/>
      <c r="AN2718" s="52" t="str">
        <f t="shared" si="5"/>
        <v>closer,</v>
      </c>
    </row>
    <row r="2719">
      <c r="A2719" s="51"/>
      <c r="B2719" s="50" t="s">
        <v>6848</v>
      </c>
      <c r="C2719" s="50" t="s">
        <v>3398</v>
      </c>
      <c r="D2719" s="49" t="str">
        <f>IFERROR(__xludf.DUMMYFUNCTION("""COMPUTED_VALUE"""),"arnold")</f>
        <v>arnold</v>
      </c>
      <c r="E2719" s="49"/>
      <c r="F2719" s="49"/>
      <c r="G2719" s="49"/>
      <c r="H2719" s="54" t="str">
        <f t="shared" si="1"/>
        <v>maintained,</v>
      </c>
      <c r="I2719" s="50"/>
      <c r="J2719" s="50"/>
      <c r="K2719" s="50" t="s">
        <v>5532</v>
      </c>
      <c r="L2719" s="49"/>
      <c r="M2719" s="49"/>
      <c r="N2719" s="49"/>
      <c r="O2719" s="49"/>
      <c r="P2719" s="49" t="str">
        <f t="shared" si="2"/>
        <v>,</v>
      </c>
      <c r="Q2719" s="49"/>
      <c r="R2719" s="49"/>
      <c r="S2719" s="55" t="s">
        <v>1589</v>
      </c>
      <c r="T2719" s="49"/>
      <c r="U2719" s="49"/>
      <c r="V2719" s="49"/>
      <c r="W2719" s="49"/>
      <c r="X2719" s="49" t="str">
        <f t="shared" si="3"/>
        <v>,</v>
      </c>
      <c r="Y2719" s="49"/>
      <c r="Z2719" s="1" t="s">
        <v>3211</v>
      </c>
      <c r="AA2719" s="1" t="s">
        <v>4126</v>
      </c>
      <c r="AB2719" s="49"/>
      <c r="AC2719" s="49"/>
      <c r="AD2719" s="49"/>
      <c r="AE2719" s="49"/>
      <c r="AF2719" s="49" t="str">
        <f t="shared" si="4"/>
        <v>awakening,</v>
      </c>
      <c r="AG2719" s="49"/>
      <c r="AH2719" s="1" t="s">
        <v>3998</v>
      </c>
      <c r="AI2719" s="1" t="s">
        <v>3960</v>
      </c>
      <c r="AJ2719" s="6" t="str">
        <f>IFERROR(__xludf.DUMMYFUNCTION("""COMPUTED_VALUE"""),"contrast")</f>
        <v>contrast</v>
      </c>
      <c r="AK2719" s="49"/>
      <c r="AL2719" s="49"/>
      <c r="AM2719" s="49"/>
      <c r="AN2719" s="52" t="str">
        <f t="shared" si="5"/>
        <v>drop,</v>
      </c>
    </row>
    <row r="2720">
      <c r="A2720" s="51"/>
      <c r="B2720" s="50" t="s">
        <v>2432</v>
      </c>
      <c r="C2720" s="50" t="s">
        <v>5154</v>
      </c>
      <c r="D2720" s="49" t="str">
        <f>IFERROR(__xludf.DUMMYFUNCTION("""COMPUTED_VALUE"""),"combat")</f>
        <v>combat</v>
      </c>
      <c r="E2720" s="49"/>
      <c r="F2720" s="49"/>
      <c r="G2720" s="49"/>
      <c r="H2720" s="54" t="str">
        <f t="shared" si="1"/>
        <v>spite,</v>
      </c>
      <c r="I2720" s="50"/>
      <c r="J2720" s="50"/>
      <c r="K2720" s="50" t="s">
        <v>2515</v>
      </c>
      <c r="L2720" s="49"/>
      <c r="M2720" s="49"/>
      <c r="N2720" s="49"/>
      <c r="O2720" s="49"/>
      <c r="P2720" s="49" t="str">
        <f t="shared" si="2"/>
        <v>,</v>
      </c>
      <c r="Q2720" s="49"/>
      <c r="R2720" s="49"/>
      <c r="S2720" s="55" t="s">
        <v>5705</v>
      </c>
      <c r="T2720" s="49"/>
      <c r="U2720" s="49"/>
      <c r="V2720" s="49"/>
      <c r="W2720" s="49"/>
      <c r="X2720" s="49" t="str">
        <f t="shared" si="3"/>
        <v>,</v>
      </c>
      <c r="Y2720" s="49"/>
      <c r="Z2720" s="1" t="s">
        <v>1445</v>
      </c>
      <c r="AA2720" s="1" t="s">
        <v>4971</v>
      </c>
      <c r="AB2720" s="49"/>
      <c r="AC2720" s="49"/>
      <c r="AD2720" s="49"/>
      <c r="AE2720" s="49"/>
      <c r="AF2720" s="49" t="str">
        <f t="shared" si="4"/>
        <v>heroic,</v>
      </c>
      <c r="AG2720" s="49"/>
      <c r="AH2720" s="1" t="s">
        <v>7033</v>
      </c>
      <c r="AI2720" s="1" t="s">
        <v>5918</v>
      </c>
      <c r="AJ2720" s="6" t="str">
        <f>IFERROR(__xludf.DUMMYFUNCTION("""COMPUTED_VALUE"""),"journalist")</f>
        <v>journalist</v>
      </c>
      <c r="AK2720" s="49"/>
      <c r="AL2720" s="49"/>
      <c r="AM2720" s="49"/>
      <c r="AN2720" s="52" t="str">
        <f t="shared" si="5"/>
        <v>faced,</v>
      </c>
    </row>
    <row r="2721">
      <c r="A2721" s="51"/>
      <c r="B2721" s="50" t="s">
        <v>6977</v>
      </c>
      <c r="C2721" s="50" t="s">
        <v>6739</v>
      </c>
      <c r="D2721" s="49" t="str">
        <f>IFERROR(__xludf.DUMMYFUNCTION("""COMPUTED_VALUE"""),"fortune")</f>
        <v>fortune</v>
      </c>
      <c r="E2721" s="49"/>
      <c r="F2721" s="49"/>
      <c r="G2721" s="49"/>
      <c r="H2721" s="54" t="str">
        <f t="shared" si="1"/>
        <v>mass,</v>
      </c>
      <c r="I2721" s="50"/>
      <c r="J2721" s="50"/>
      <c r="K2721" s="50" t="s">
        <v>1675</v>
      </c>
      <c r="L2721" s="49"/>
      <c r="M2721" s="49"/>
      <c r="N2721" s="49"/>
      <c r="O2721" s="49"/>
      <c r="P2721" s="49" t="str">
        <f t="shared" si="2"/>
        <v>,</v>
      </c>
      <c r="Q2721" s="49"/>
      <c r="R2721" s="49"/>
      <c r="S2721" s="55" t="s">
        <v>5236</v>
      </c>
      <c r="T2721" s="49"/>
      <c r="U2721" s="49"/>
      <c r="V2721" s="49"/>
      <c r="W2721" s="49"/>
      <c r="X2721" s="49" t="str">
        <f t="shared" si="3"/>
        <v>,</v>
      </c>
      <c r="Y2721" s="49"/>
      <c r="Z2721" s="1" t="s">
        <v>420</v>
      </c>
      <c r="AA2721" s="1" t="s">
        <v>3208</v>
      </c>
      <c r="AB2721" s="49"/>
      <c r="AC2721" s="49"/>
      <c r="AD2721" s="49"/>
      <c r="AE2721" s="49"/>
      <c r="AF2721" s="49" t="str">
        <f t="shared" si="4"/>
        <v>courage,</v>
      </c>
      <c r="AG2721" s="49"/>
      <c r="AH2721" s="1" t="s">
        <v>7639</v>
      </c>
      <c r="AI2721" s="1" t="s">
        <v>6828</v>
      </c>
      <c r="AJ2721" s="6" t="str">
        <f>IFERROR(__xludf.DUMMYFUNCTION("""COMPUTED_VALUE"""),"reduce")</f>
        <v>reduce</v>
      </c>
      <c r="AK2721" s="49"/>
      <c r="AL2721" s="49"/>
      <c r="AM2721" s="49"/>
      <c r="AN2721" s="52" t="str">
        <f t="shared" si="5"/>
        <v>March,</v>
      </c>
    </row>
    <row r="2722">
      <c r="A2722" s="51"/>
      <c r="B2722" s="50" t="s">
        <v>2360</v>
      </c>
      <c r="C2722" s="50" t="s">
        <v>3641</v>
      </c>
      <c r="D2722" s="49" t="str">
        <f>IFERROR(__xludf.DUMMYFUNCTION("""COMPUTED_VALUE"""),"drive")</f>
        <v>drive</v>
      </c>
      <c r="E2722" s="49"/>
      <c r="F2722" s="49"/>
      <c r="G2722" s="49"/>
      <c r="H2722" s="54" t="str">
        <f t="shared" si="1"/>
        <v>lunch,</v>
      </c>
      <c r="I2722" s="50"/>
      <c r="J2722" s="50"/>
      <c r="K2722" s="50" t="s">
        <v>5815</v>
      </c>
      <c r="L2722" s="49"/>
      <c r="M2722" s="49"/>
      <c r="N2722" s="49"/>
      <c r="O2722" s="49"/>
      <c r="P2722" s="49" t="str">
        <f t="shared" si="2"/>
        <v>,</v>
      </c>
      <c r="Q2722" s="49"/>
      <c r="R2722" s="49"/>
      <c r="S2722" s="55" t="s">
        <v>1173</v>
      </c>
      <c r="T2722" s="49"/>
      <c r="U2722" s="49"/>
      <c r="V2722" s="49"/>
      <c r="W2722" s="49"/>
      <c r="X2722" s="49" t="str">
        <f t="shared" si="3"/>
        <v>,</v>
      </c>
      <c r="Y2722" s="49"/>
      <c r="Z2722" s="1" t="s">
        <v>4592</v>
      </c>
      <c r="AA2722" s="1" t="s">
        <v>5813</v>
      </c>
      <c r="AB2722" s="49"/>
      <c r="AC2722" s="49"/>
      <c r="AD2722" s="49"/>
      <c r="AE2722" s="49"/>
      <c r="AF2722" s="49" t="str">
        <f t="shared" si="4"/>
        <v>wallace,</v>
      </c>
      <c r="AG2722" s="49"/>
      <c r="AH2722" s="1" t="s">
        <v>5843</v>
      </c>
      <c r="AI2722" s="1" t="s">
        <v>806</v>
      </c>
      <c r="AJ2722" s="6" t="str">
        <f>IFERROR(__xludf.DUMMYFUNCTION("""COMPUTED_VALUE"""),"scientists")</f>
        <v>scientists</v>
      </c>
      <c r="AK2722" s="49"/>
      <c r="AL2722" s="49"/>
      <c r="AM2722" s="49"/>
      <c r="AN2722" s="52" t="str">
        <f t="shared" si="5"/>
        <v>jane,</v>
      </c>
    </row>
    <row r="2723">
      <c r="A2723" s="51"/>
      <c r="B2723" s="50" t="s">
        <v>2329</v>
      </c>
      <c r="C2723" s="50" t="s">
        <v>4998</v>
      </c>
      <c r="D2723" s="49" t="str">
        <f>IFERROR(__xludf.DUMMYFUNCTION("""COMPUTED_VALUE"""),"lion")</f>
        <v>lion</v>
      </c>
      <c r="E2723" s="49"/>
      <c r="F2723" s="49"/>
      <c r="G2723" s="49"/>
      <c r="H2723" s="54" t="str">
        <f t="shared" si="1"/>
        <v>nba,</v>
      </c>
      <c r="I2723" s="50"/>
      <c r="J2723" s="50"/>
      <c r="K2723" s="50" t="s">
        <v>5816</v>
      </c>
      <c r="L2723" s="49"/>
      <c r="M2723" s="49"/>
      <c r="N2723" s="49"/>
      <c r="O2723" s="49"/>
      <c r="P2723" s="49" t="str">
        <f t="shared" si="2"/>
        <v>,</v>
      </c>
      <c r="Q2723" s="49"/>
      <c r="R2723" s="49"/>
      <c r="S2723" s="55" t="s">
        <v>4780</v>
      </c>
      <c r="T2723" s="49"/>
      <c r="U2723" s="49"/>
      <c r="V2723" s="49"/>
      <c r="W2723" s="49"/>
      <c r="X2723" s="49" t="str">
        <f t="shared" si="3"/>
        <v>,</v>
      </c>
      <c r="Y2723" s="49"/>
      <c r="Z2723" s="1" t="s">
        <v>648</v>
      </c>
      <c r="AA2723" s="1" t="s">
        <v>3213</v>
      </c>
      <c r="AB2723" s="49"/>
      <c r="AC2723" s="49"/>
      <c r="AD2723" s="49"/>
      <c r="AE2723" s="49"/>
      <c r="AF2723" s="49" t="str">
        <f t="shared" si="4"/>
        <v>exaggerated,</v>
      </c>
      <c r="AG2723" s="49"/>
      <c r="AH2723" s="1" t="s">
        <v>4709</v>
      </c>
      <c r="AI2723" s="1" t="s">
        <v>3132</v>
      </c>
      <c r="AJ2723" s="6" t="str">
        <f>IFERROR(__xludf.DUMMYFUNCTION("""COMPUTED_VALUE"""),"balance")</f>
        <v>balance</v>
      </c>
      <c r="AK2723" s="49"/>
      <c r="AL2723" s="49"/>
      <c r="AM2723" s="49"/>
      <c r="AN2723" s="52" t="str">
        <f t="shared" si="5"/>
        <v>extreme,</v>
      </c>
    </row>
    <row r="2724">
      <c r="A2724" s="51"/>
      <c r="B2724" s="50" t="s">
        <v>7069</v>
      </c>
      <c r="C2724" s="50" t="s">
        <v>3935</v>
      </c>
      <c r="D2724" s="49" t="str">
        <f>IFERROR(__xludf.DUMMYFUNCTION("""COMPUTED_VALUE"""),"winner")</f>
        <v>winner</v>
      </c>
      <c r="E2724" s="49"/>
      <c r="F2724" s="49"/>
      <c r="G2724" s="49"/>
      <c r="H2724" s="54" t="str">
        <f t="shared" si="1"/>
        <v>aim,</v>
      </c>
      <c r="I2724" s="50"/>
      <c r="J2724" s="50"/>
      <c r="K2724" s="50" t="s">
        <v>2520</v>
      </c>
      <c r="L2724" s="49"/>
      <c r="M2724" s="49"/>
      <c r="N2724" s="49"/>
      <c r="O2724" s="49"/>
      <c r="P2724" s="49" t="str">
        <f t="shared" si="2"/>
        <v>,</v>
      </c>
      <c r="Q2724" s="49"/>
      <c r="R2724" s="49"/>
      <c r="S2724" s="55" t="s">
        <v>5239</v>
      </c>
      <c r="T2724" s="49"/>
      <c r="U2724" s="49"/>
      <c r="V2724" s="49"/>
      <c r="W2724" s="49"/>
      <c r="X2724" s="49" t="str">
        <f t="shared" si="3"/>
        <v>,</v>
      </c>
      <c r="Y2724" s="49"/>
      <c r="Z2724" s="1" t="s">
        <v>1047</v>
      </c>
      <c r="AA2724" s="1" t="s">
        <v>444</v>
      </c>
      <c r="AB2724" s="49"/>
      <c r="AC2724" s="49"/>
      <c r="AD2724" s="49"/>
      <c r="AE2724" s="49"/>
      <c r="AF2724" s="49" t="str">
        <f t="shared" si="4"/>
        <v>acclaim,</v>
      </c>
      <c r="AG2724" s="49"/>
      <c r="AH2724" s="1" t="s">
        <v>6415</v>
      </c>
      <c r="AI2724" s="1" t="s">
        <v>5311</v>
      </c>
      <c r="AJ2724" s="6" t="str">
        <f>IFERROR(__xludf.DUMMYFUNCTION("""COMPUTED_VALUE"""),"confidence")</f>
        <v>confidence</v>
      </c>
      <c r="AK2724" s="49"/>
      <c r="AL2724" s="49"/>
      <c r="AM2724" s="49"/>
      <c r="AN2724" s="52" t="str">
        <f t="shared" si="5"/>
        <v>bank,</v>
      </c>
    </row>
    <row r="2725">
      <c r="A2725" s="51"/>
      <c r="B2725" s="50" t="s">
        <v>6930</v>
      </c>
      <c r="C2725" s="50" t="s">
        <v>5474</v>
      </c>
      <c r="D2725" s="49" t="str">
        <f>IFERROR(__xludf.DUMMYFUNCTION("""COMPUTED_VALUE"""),"captain")</f>
        <v>captain</v>
      </c>
      <c r="E2725" s="49"/>
      <c r="F2725" s="49"/>
      <c r="G2725" s="49"/>
      <c r="H2725" s="54" t="str">
        <f t="shared" si="1"/>
        <v>namely,</v>
      </c>
      <c r="I2725" s="50"/>
      <c r="J2725" s="50"/>
      <c r="K2725" s="50" t="s">
        <v>4332</v>
      </c>
      <c r="L2725" s="49"/>
      <c r="M2725" s="49"/>
      <c r="N2725" s="49"/>
      <c r="O2725" s="49"/>
      <c r="P2725" s="49" t="str">
        <f t="shared" si="2"/>
        <v>,</v>
      </c>
      <c r="Q2725" s="49"/>
      <c r="R2725" s="49"/>
      <c r="S2725" s="55" t="s">
        <v>2387</v>
      </c>
      <c r="T2725" s="49"/>
      <c r="U2725" s="49"/>
      <c r="V2725" s="49"/>
      <c r="W2725" s="49"/>
      <c r="X2725" s="49" t="str">
        <f t="shared" si="3"/>
        <v>,</v>
      </c>
      <c r="Y2725" s="49"/>
      <c r="Z2725" s="1" t="s">
        <v>5034</v>
      </c>
      <c r="AA2725" s="1" t="s">
        <v>1692</v>
      </c>
      <c r="AB2725" s="49"/>
      <c r="AC2725" s="49"/>
      <c r="AD2725" s="49"/>
      <c r="AE2725" s="49"/>
      <c r="AF2725" s="49" t="str">
        <f t="shared" si="4"/>
        <v>muddy,</v>
      </c>
      <c r="AG2725" s="49"/>
      <c r="AH2725" s="1" t="s">
        <v>1012</v>
      </c>
      <c r="AI2725" s="1" t="s">
        <v>4283</v>
      </c>
      <c r="AJ2725" s="6" t="str">
        <f>IFERROR(__xludf.DUMMYFUNCTION("""COMPUTED_VALUE"""),"charge")</f>
        <v>charge</v>
      </c>
      <c r="AK2725" s="49"/>
      <c r="AL2725" s="49"/>
      <c r="AM2725" s="49"/>
      <c r="AN2725" s="52" t="str">
        <f t="shared" si="5"/>
        <v>listen,</v>
      </c>
    </row>
    <row r="2726">
      <c r="A2726" s="51"/>
      <c r="B2726" s="50" t="s">
        <v>2821</v>
      </c>
      <c r="C2726" s="50" t="s">
        <v>5000</v>
      </c>
      <c r="D2726" s="49" t="str">
        <f>IFERROR(__xludf.DUMMYFUNCTION("""COMPUTED_VALUE"""),"jump")</f>
        <v>jump</v>
      </c>
      <c r="E2726" s="49"/>
      <c r="F2726" s="49"/>
      <c r="G2726" s="49"/>
      <c r="H2726" s="54" t="str">
        <f t="shared" si="1"/>
        <v>technology,</v>
      </c>
      <c r="I2726" s="50"/>
      <c r="J2726" s="50"/>
      <c r="K2726" s="50" t="s">
        <v>5348</v>
      </c>
      <c r="L2726" s="49"/>
      <c r="M2726" s="49"/>
      <c r="N2726" s="49"/>
      <c r="O2726" s="49"/>
      <c r="P2726" s="49" t="str">
        <f t="shared" si="2"/>
        <v>,</v>
      </c>
      <c r="Q2726" s="49"/>
      <c r="R2726" s="49"/>
      <c r="S2726" s="55" t="s">
        <v>3572</v>
      </c>
      <c r="T2726" s="49"/>
      <c r="U2726" s="49"/>
      <c r="V2726" s="49"/>
      <c r="W2726" s="49"/>
      <c r="X2726" s="49" t="str">
        <f t="shared" si="3"/>
        <v>,</v>
      </c>
      <c r="Y2726" s="49"/>
      <c r="Z2726" s="1" t="s">
        <v>705</v>
      </c>
      <c r="AA2726" s="1" t="s">
        <v>790</v>
      </c>
      <c r="AB2726" s="49"/>
      <c r="AC2726" s="49"/>
      <c r="AD2726" s="49"/>
      <c r="AE2726" s="49"/>
      <c r="AF2726" s="49" t="str">
        <f t="shared" si="4"/>
        <v>thematic,</v>
      </c>
      <c r="AG2726" s="49"/>
      <c r="AH2726" s="1" t="s">
        <v>2588</v>
      </c>
      <c r="AI2726" s="1" t="s">
        <v>3638</v>
      </c>
      <c r="AJ2726" s="6" t="str">
        <f>IFERROR(__xludf.DUMMYFUNCTION("""COMPUTED_VALUE"""),"dust")</f>
        <v>dust</v>
      </c>
      <c r="AK2726" s="49"/>
      <c r="AL2726" s="49"/>
      <c r="AM2726" s="49"/>
      <c r="AN2726" s="52" t="str">
        <f t="shared" si="5"/>
        <v>parker,</v>
      </c>
    </row>
    <row r="2727">
      <c r="A2727" s="51"/>
      <c r="B2727" s="50" t="s">
        <v>4410</v>
      </c>
      <c r="C2727" s="50" t="s">
        <v>5287</v>
      </c>
      <c r="D2727" s="49" t="str">
        <f>IFERROR(__xludf.DUMMYFUNCTION("""COMPUTED_VALUE"""),"celebrity")</f>
        <v>celebrity</v>
      </c>
      <c r="E2727" s="49"/>
      <c r="F2727" s="49"/>
      <c r="G2727" s="49"/>
      <c r="H2727" s="54" t="str">
        <f t="shared" si="1"/>
        <v>unit,</v>
      </c>
      <c r="I2727" s="50"/>
      <c r="J2727" s="50"/>
      <c r="K2727" s="50" t="s">
        <v>1397</v>
      </c>
      <c r="L2727" s="49"/>
      <c r="M2727" s="49"/>
      <c r="N2727" s="49"/>
      <c r="O2727" s="49"/>
      <c r="P2727" s="49" t="str">
        <f t="shared" si="2"/>
        <v>,</v>
      </c>
      <c r="Q2727" s="49"/>
      <c r="R2727" s="49"/>
      <c r="S2727" s="55" t="s">
        <v>4204</v>
      </c>
      <c r="T2727" s="49"/>
      <c r="U2727" s="49"/>
      <c r="V2727" s="49"/>
      <c r="W2727" s="49"/>
      <c r="X2727" s="49" t="str">
        <f t="shared" si="3"/>
        <v>,</v>
      </c>
      <c r="Y2727" s="49"/>
      <c r="Z2727" s="1" t="s">
        <v>6352</v>
      </c>
      <c r="AA2727" s="1" t="s">
        <v>5076</v>
      </c>
      <c r="AB2727" s="49"/>
      <c r="AC2727" s="49"/>
      <c r="AD2727" s="49"/>
      <c r="AE2727" s="49"/>
      <c r="AF2727" s="49" t="str">
        <f t="shared" si="4"/>
        <v>messages,</v>
      </c>
      <c r="AG2727" s="49"/>
      <c r="AH2727" s="1" t="s">
        <v>3310</v>
      </c>
      <c r="AI2727" s="1" t="s">
        <v>5475</v>
      </c>
      <c r="AJ2727" s="6" t="str">
        <f>IFERROR(__xludf.DUMMYFUNCTION("""COMPUTED_VALUE"""),"exposure")</f>
        <v>exposure</v>
      </c>
      <c r="AK2727" s="49"/>
      <c r="AL2727" s="49"/>
      <c r="AM2727" s="49"/>
      <c r="AN2727" s="52" t="str">
        <f t="shared" si="5"/>
        <v>presented,</v>
      </c>
    </row>
    <row r="2728">
      <c r="A2728" s="51"/>
      <c r="B2728" s="50" t="s">
        <v>1769</v>
      </c>
      <c r="C2728" s="50" t="s">
        <v>6740</v>
      </c>
      <c r="D2728" s="49" t="str">
        <f>IFERROR(__xludf.DUMMYFUNCTION("""COMPUTED_VALUE"""),"advice")</f>
        <v>advice</v>
      </c>
      <c r="E2728" s="49"/>
      <c r="F2728" s="49"/>
      <c r="G2728" s="49"/>
      <c r="H2728" s="54" t="str">
        <f t="shared" si="1"/>
        <v>serves,</v>
      </c>
      <c r="I2728" s="50"/>
      <c r="J2728" s="50"/>
      <c r="K2728" s="50" t="s">
        <v>5349</v>
      </c>
      <c r="L2728" s="49"/>
      <c r="M2728" s="49"/>
      <c r="N2728" s="49"/>
      <c r="O2728" s="49"/>
      <c r="P2728" s="49" t="str">
        <f t="shared" si="2"/>
        <v>,</v>
      </c>
      <c r="Q2728" s="49"/>
      <c r="R2728" s="49"/>
      <c r="S2728" s="55" t="s">
        <v>2390</v>
      </c>
      <c r="T2728" s="49"/>
      <c r="U2728" s="49"/>
      <c r="V2728" s="49"/>
      <c r="W2728" s="49"/>
      <c r="X2728" s="49" t="str">
        <f t="shared" si="3"/>
        <v>,</v>
      </c>
      <c r="Y2728" s="49"/>
      <c r="Z2728" s="1" t="s">
        <v>3906</v>
      </c>
      <c r="AA2728" s="1" t="s">
        <v>5818</v>
      </c>
      <c r="AB2728" s="49"/>
      <c r="AC2728" s="49"/>
      <c r="AD2728" s="49"/>
      <c r="AE2728" s="49"/>
      <c r="AF2728" s="49" t="str">
        <f t="shared" si="4"/>
        <v>traditions,</v>
      </c>
      <c r="AG2728" s="49"/>
      <c r="AH2728" s="1" t="s">
        <v>4043</v>
      </c>
      <c r="AI2728" s="1" t="s">
        <v>1425</v>
      </c>
      <c r="AJ2728" s="6" t="str">
        <f>IFERROR(__xludf.DUMMYFUNCTION("""COMPUTED_VALUE"""),"individuals")</f>
        <v>individuals</v>
      </c>
      <c r="AK2728" s="49"/>
      <c r="AL2728" s="49"/>
      <c r="AM2728" s="49"/>
      <c r="AN2728" s="52" t="str">
        <f t="shared" si="5"/>
        <v>duke,</v>
      </c>
    </row>
    <row r="2729">
      <c r="A2729" s="51"/>
      <c r="B2729" s="50" t="s">
        <v>6898</v>
      </c>
      <c r="C2729" s="50" t="s">
        <v>6741</v>
      </c>
      <c r="D2729" s="49" t="str">
        <f>IFERROR(__xludf.DUMMYFUNCTION("""COMPUTED_VALUE"""),"singing")</f>
        <v>singing</v>
      </c>
      <c r="E2729" s="49"/>
      <c r="F2729" s="49"/>
      <c r="G2729" s="49"/>
      <c r="H2729" s="54" t="str">
        <f t="shared" si="1"/>
        <v>relating,</v>
      </c>
      <c r="I2729" s="50"/>
      <c r="J2729" s="50"/>
      <c r="K2729" s="50" t="s">
        <v>4334</v>
      </c>
      <c r="L2729" s="49"/>
      <c r="M2729" s="49"/>
      <c r="N2729" s="49"/>
      <c r="O2729" s="49"/>
      <c r="P2729" s="49" t="str">
        <f t="shared" si="2"/>
        <v>,</v>
      </c>
      <c r="Q2729" s="49"/>
      <c r="R2729" s="49"/>
      <c r="S2729" s="55" t="s">
        <v>5714</v>
      </c>
      <c r="T2729" s="49"/>
      <c r="U2729" s="49"/>
      <c r="V2729" s="49"/>
      <c r="W2729" s="49"/>
      <c r="X2729" s="49" t="str">
        <f t="shared" si="3"/>
        <v>,</v>
      </c>
      <c r="Y2729" s="49"/>
      <c r="Z2729" s="1" t="s">
        <v>665</v>
      </c>
      <c r="AA2729" s="1" t="s">
        <v>1700</v>
      </c>
      <c r="AB2729" s="49"/>
      <c r="AC2729" s="49"/>
      <c r="AD2729" s="49"/>
      <c r="AE2729" s="49"/>
      <c r="AF2729" s="49" t="str">
        <f t="shared" si="4"/>
        <v>daring,</v>
      </c>
      <c r="AG2729" s="49"/>
      <c r="AH2729" s="1" t="s">
        <v>6312</v>
      </c>
      <c r="AI2729" s="1" t="s">
        <v>6829</v>
      </c>
      <c r="AJ2729" s="6" t="str">
        <f>IFERROR(__xludf.DUMMYFUNCTION("""COMPUTED_VALUE"""),"interpretation")</f>
        <v>interpretation</v>
      </c>
      <c r="AK2729" s="49"/>
      <c r="AL2729" s="49"/>
      <c r="AM2729" s="49"/>
      <c r="AN2729" s="52" t="str">
        <f t="shared" si="5"/>
        <v>website,</v>
      </c>
    </row>
    <row r="2730">
      <c r="A2730" s="51"/>
      <c r="B2730" s="50" t="s">
        <v>3199</v>
      </c>
      <c r="C2730" s="50" t="s">
        <v>5003</v>
      </c>
      <c r="D2730" s="49" t="str">
        <f>IFERROR(__xludf.DUMMYFUNCTION("""COMPUTED_VALUE"""),"raise")</f>
        <v>raise</v>
      </c>
      <c r="E2730" s="49"/>
      <c r="F2730" s="49"/>
      <c r="G2730" s="49"/>
      <c r="H2730" s="54" t="str">
        <f t="shared" si="1"/>
        <v>campbell,</v>
      </c>
      <c r="I2730" s="50"/>
      <c r="J2730" s="50"/>
      <c r="K2730" s="50" t="s">
        <v>4336</v>
      </c>
      <c r="L2730" s="49"/>
      <c r="M2730" s="49"/>
      <c r="N2730" s="49"/>
      <c r="O2730" s="49"/>
      <c r="P2730" s="49" t="str">
        <f t="shared" si="2"/>
        <v>,</v>
      </c>
      <c r="Q2730" s="49"/>
      <c r="R2730" s="49"/>
      <c r="S2730" s="55" t="s">
        <v>4523</v>
      </c>
      <c r="T2730" s="49"/>
      <c r="U2730" s="49"/>
      <c r="V2730" s="49"/>
      <c r="W2730" s="49"/>
      <c r="X2730" s="49" t="str">
        <f t="shared" si="3"/>
        <v>,</v>
      </c>
      <c r="Y2730" s="49"/>
      <c r="Z2730" s="1" t="s">
        <v>1042</v>
      </c>
      <c r="AA2730" s="1" t="s">
        <v>5819</v>
      </c>
      <c r="AB2730" s="49"/>
      <c r="AC2730" s="49"/>
      <c r="AD2730" s="49"/>
      <c r="AE2730" s="49"/>
      <c r="AF2730" s="49" t="str">
        <f t="shared" si="4"/>
        <v>confident,</v>
      </c>
      <c r="AG2730" s="49"/>
      <c r="AH2730" s="1" t="s">
        <v>3641</v>
      </c>
      <c r="AI2730" s="1" t="s">
        <v>3289</v>
      </c>
      <c r="AJ2730" s="6" t="str">
        <f>IFERROR(__xludf.DUMMYFUNCTION("""COMPUTED_VALUE"""),"object")</f>
        <v>object</v>
      </c>
      <c r="AK2730" s="49"/>
      <c r="AL2730" s="49"/>
      <c r="AM2730" s="49"/>
      <c r="AN2730" s="52" t="str">
        <f t="shared" si="5"/>
        <v>uncle,</v>
      </c>
    </row>
    <row r="2731">
      <c r="A2731" s="51"/>
      <c r="B2731" s="50" t="s">
        <v>1857</v>
      </c>
      <c r="C2731" s="50" t="s">
        <v>5558</v>
      </c>
      <c r="D2731" s="49" t="str">
        <f>IFERROR(__xludf.DUMMYFUNCTION("""COMPUTED_VALUE"""),"scale")</f>
        <v>scale</v>
      </c>
      <c r="E2731" s="49"/>
      <c r="F2731" s="49"/>
      <c r="G2731" s="49"/>
      <c r="H2731" s="54" t="str">
        <f t="shared" si="1"/>
        <v>chinese,</v>
      </c>
      <c r="I2731" s="50"/>
      <c r="J2731" s="50"/>
      <c r="K2731" s="50" t="s">
        <v>3670</v>
      </c>
      <c r="L2731" s="49"/>
      <c r="M2731" s="49"/>
      <c r="N2731" s="49"/>
      <c r="O2731" s="49"/>
      <c r="P2731" s="49" t="str">
        <f t="shared" si="2"/>
        <v>,</v>
      </c>
      <c r="Q2731" s="49"/>
      <c r="R2731" s="49"/>
      <c r="S2731" s="55" t="s">
        <v>1593</v>
      </c>
      <c r="T2731" s="49"/>
      <c r="U2731" s="49"/>
      <c r="V2731" s="49"/>
      <c r="W2731" s="49"/>
      <c r="X2731" s="49" t="str">
        <f t="shared" si="3"/>
        <v>,</v>
      </c>
      <c r="Y2731" s="49"/>
      <c r="Z2731" s="1" t="s">
        <v>4708</v>
      </c>
      <c r="AA2731" s="1" t="s">
        <v>5820</v>
      </c>
      <c r="AB2731" s="49"/>
      <c r="AC2731" s="49"/>
      <c r="AD2731" s="49"/>
      <c r="AE2731" s="49"/>
      <c r="AF2731" s="49" t="str">
        <f t="shared" si="4"/>
        <v>goals,</v>
      </c>
      <c r="AG2731" s="49"/>
      <c r="AH2731" s="1" t="s">
        <v>1697</v>
      </c>
      <c r="AI2731" s="1" t="s">
        <v>5787</v>
      </c>
      <c r="AJ2731" s="6" t="str">
        <f>IFERROR(__xludf.DUMMYFUNCTION("""COMPUTED_VALUE"""),"substitute")</f>
        <v>substitute</v>
      </c>
      <c r="AK2731" s="49"/>
      <c r="AL2731" s="49"/>
      <c r="AM2731" s="49"/>
      <c r="AN2731" s="52" t="str">
        <f t="shared" si="5"/>
        <v>manner,</v>
      </c>
    </row>
    <row r="2732">
      <c r="A2732" s="51"/>
      <c r="B2732" s="50" t="s">
        <v>3331</v>
      </c>
      <c r="C2732" s="50" t="s">
        <v>6743</v>
      </c>
      <c r="D2732" s="49" t="str">
        <f>IFERROR(__xludf.DUMMYFUNCTION("""COMPUTED_VALUE"""),"near")</f>
        <v>near</v>
      </c>
      <c r="E2732" s="49"/>
      <c r="F2732" s="49"/>
      <c r="G2732" s="49"/>
      <c r="H2732" s="54" t="str">
        <f t="shared" si="1"/>
        <v>china,</v>
      </c>
      <c r="I2732" s="50"/>
      <c r="J2732" s="50"/>
      <c r="K2732" s="50" t="s">
        <v>3234</v>
      </c>
      <c r="L2732" s="49"/>
      <c r="M2732" s="49"/>
      <c r="N2732" s="49"/>
      <c r="O2732" s="49"/>
      <c r="P2732" s="49" t="str">
        <f t="shared" si="2"/>
        <v>,</v>
      </c>
      <c r="Q2732" s="49"/>
      <c r="R2732" s="49"/>
      <c r="S2732" s="55" t="s">
        <v>4208</v>
      </c>
      <c r="T2732" s="49"/>
      <c r="U2732" s="49"/>
      <c r="V2732" s="49"/>
      <c r="W2732" s="49"/>
      <c r="X2732" s="49" t="str">
        <f t="shared" si="3"/>
        <v>,</v>
      </c>
      <c r="Y2732" s="49"/>
      <c r="Z2732" s="1" t="s">
        <v>5039</v>
      </c>
      <c r="AA2732" s="1" t="s">
        <v>5821</v>
      </c>
      <c r="AB2732" s="49"/>
      <c r="AC2732" s="49"/>
      <c r="AD2732" s="49"/>
      <c r="AE2732" s="49"/>
      <c r="AF2732" s="49" t="str">
        <f t="shared" si="4"/>
        <v>precision,</v>
      </c>
      <c r="AG2732" s="49"/>
      <c r="AH2732" s="1" t="s">
        <v>3143</v>
      </c>
      <c r="AI2732" s="1" t="s">
        <v>5321</v>
      </c>
      <c r="AJ2732" s="6" t="str">
        <f>IFERROR(__xludf.DUMMYFUNCTION("""COMPUTED_VALUE"""),"reaction")</f>
        <v>reaction</v>
      </c>
      <c r="AK2732" s="49"/>
      <c r="AL2732" s="49"/>
      <c r="AM2732" s="49"/>
      <c r="AN2732" s="52" t="str">
        <f t="shared" si="5"/>
        <v>connect,</v>
      </c>
    </row>
    <row r="2733">
      <c r="A2733" s="51"/>
      <c r="B2733" s="50" t="s">
        <v>3376</v>
      </c>
      <c r="C2733" s="50" t="s">
        <v>3950</v>
      </c>
      <c r="D2733" s="49" t="str">
        <f>IFERROR(__xludf.DUMMYFUNCTION("""COMPUTED_VALUE"""),"sons")</f>
        <v>sons</v>
      </c>
      <c r="E2733" s="49"/>
      <c r="F2733" s="49"/>
      <c r="G2733" s="49"/>
      <c r="H2733" s="54" t="str">
        <f t="shared" si="1"/>
        <v>laws,</v>
      </c>
      <c r="I2733" s="50"/>
      <c r="J2733" s="50"/>
      <c r="K2733" s="50">
        <v>66.0</v>
      </c>
      <c r="L2733" s="49"/>
      <c r="M2733" s="49"/>
      <c r="N2733" s="49"/>
      <c r="O2733" s="49"/>
      <c r="P2733" s="49" t="str">
        <f t="shared" si="2"/>
        <v>,</v>
      </c>
      <c r="Q2733" s="49"/>
      <c r="R2733" s="49"/>
      <c r="S2733" s="55" t="s">
        <v>5722</v>
      </c>
      <c r="T2733" s="49"/>
      <c r="U2733" s="49"/>
      <c r="V2733" s="49"/>
      <c r="W2733" s="49"/>
      <c r="X2733" s="49" t="str">
        <f t="shared" si="3"/>
        <v>,</v>
      </c>
      <c r="Y2733" s="49"/>
      <c r="Z2733" s="1" t="s">
        <v>3602</v>
      </c>
      <c r="AA2733" s="1" t="s">
        <v>4867</v>
      </c>
      <c r="AB2733" s="49"/>
      <c r="AC2733" s="49"/>
      <c r="AD2733" s="49"/>
      <c r="AE2733" s="49"/>
      <c r="AF2733" s="49" t="str">
        <f t="shared" si="4"/>
        <v>wholly,</v>
      </c>
      <c r="AG2733" s="49"/>
      <c r="AH2733" s="1" t="s">
        <v>5216</v>
      </c>
      <c r="AI2733" s="1" t="s">
        <v>3642</v>
      </c>
      <c r="AJ2733" s="6" t="str">
        <f>IFERROR(__xludf.DUMMYFUNCTION("""COMPUTED_VALUE"""),"afterwards")</f>
        <v>afterwards</v>
      </c>
      <c r="AK2733" s="49"/>
      <c r="AL2733" s="49"/>
      <c r="AM2733" s="49"/>
      <c r="AN2733" s="52" t="str">
        <f t="shared" si="5"/>
        <v>resolution,</v>
      </c>
    </row>
    <row r="2734">
      <c r="A2734" s="51"/>
      <c r="B2734" s="50" t="s">
        <v>3747</v>
      </c>
      <c r="C2734" s="50" t="s">
        <v>4184</v>
      </c>
      <c r="D2734" s="49" t="str">
        <f>IFERROR(__xludf.DUMMYFUNCTION("""COMPUTED_VALUE"""),"francisco")</f>
        <v>francisco</v>
      </c>
      <c r="E2734" s="49"/>
      <c r="F2734" s="49"/>
      <c r="G2734" s="49"/>
      <c r="H2734" s="54" t="str">
        <f t="shared" si="1"/>
        <v>improved,</v>
      </c>
      <c r="I2734" s="50"/>
      <c r="J2734" s="50"/>
      <c r="K2734" s="50" t="s">
        <v>4341</v>
      </c>
      <c r="L2734" s="49"/>
      <c r="M2734" s="49"/>
      <c r="N2734" s="49"/>
      <c r="O2734" s="49"/>
      <c r="P2734" s="49" t="str">
        <f t="shared" si="2"/>
        <v>,</v>
      </c>
      <c r="Q2734" s="49"/>
      <c r="R2734" s="49"/>
      <c r="S2734" s="55" t="s">
        <v>2394</v>
      </c>
      <c r="T2734" s="49"/>
      <c r="U2734" s="49"/>
      <c r="V2734" s="49"/>
      <c r="W2734" s="49"/>
      <c r="X2734" s="49" t="str">
        <f t="shared" si="3"/>
        <v>,</v>
      </c>
      <c r="Y2734" s="49"/>
      <c r="Z2734" s="1" t="s">
        <v>2452</v>
      </c>
      <c r="AA2734" s="1" t="s">
        <v>3230</v>
      </c>
      <c r="AB2734" s="49"/>
      <c r="AC2734" s="49"/>
      <c r="AD2734" s="49"/>
      <c r="AE2734" s="49"/>
      <c r="AF2734" s="49" t="str">
        <f t="shared" si="4"/>
        <v>plight,</v>
      </c>
      <c r="AG2734" s="49"/>
      <c r="AH2734" s="1" t="s">
        <v>3609</v>
      </c>
      <c r="AI2734" s="1" t="s">
        <v>4733</v>
      </c>
      <c r="AJ2734" s="6" t="str">
        <f>IFERROR(__xludf.DUMMYFUNCTION("""COMPUTED_VALUE"""),"mouth")</f>
        <v>mouth</v>
      </c>
      <c r="AK2734" s="49"/>
      <c r="AL2734" s="49"/>
      <c r="AM2734" s="49"/>
      <c r="AN2734" s="52" t="str">
        <f t="shared" si="5"/>
        <v>ready,</v>
      </c>
    </row>
    <row r="2735">
      <c r="A2735" s="51"/>
      <c r="B2735" s="50" t="s">
        <v>3693</v>
      </c>
      <c r="C2735" s="50" t="s">
        <v>6012</v>
      </c>
      <c r="D2735" s="49" t="str">
        <f>IFERROR(__xludf.DUMMYFUNCTION("""COMPUTED_VALUE"""),"angels")</f>
        <v>angels</v>
      </c>
      <c r="E2735" s="49"/>
      <c r="F2735" s="49"/>
      <c r="G2735" s="49"/>
      <c r="H2735" s="54" t="str">
        <f t="shared" si="1"/>
        <v>factor,</v>
      </c>
      <c r="I2735" s="50"/>
      <c r="J2735" s="50"/>
      <c r="K2735" s="50" t="s">
        <v>5823</v>
      </c>
      <c r="L2735" s="49"/>
      <c r="M2735" s="49"/>
      <c r="N2735" s="49"/>
      <c r="O2735" s="49"/>
      <c r="P2735" s="49" t="str">
        <f t="shared" si="2"/>
        <v>,</v>
      </c>
      <c r="Q2735" s="49"/>
      <c r="R2735" s="49"/>
      <c r="S2735" s="55" t="s">
        <v>1834</v>
      </c>
      <c r="T2735" s="49"/>
      <c r="U2735" s="49"/>
      <c r="V2735" s="49"/>
      <c r="W2735" s="49"/>
      <c r="X2735" s="49" t="str">
        <f t="shared" si="3"/>
        <v>,</v>
      </c>
      <c r="Y2735" s="49"/>
      <c r="Z2735" s="1" t="s">
        <v>2225</v>
      </c>
      <c r="AA2735" s="1" t="s">
        <v>5724</v>
      </c>
      <c r="AB2735" s="49"/>
      <c r="AC2735" s="49"/>
      <c r="AD2735" s="49"/>
      <c r="AE2735" s="49"/>
      <c r="AF2735" s="49" t="str">
        <f t="shared" si="4"/>
        <v>acts,</v>
      </c>
      <c r="AG2735" s="49"/>
      <c r="AH2735" s="1" t="s">
        <v>6683</v>
      </c>
      <c r="AI2735" s="1" t="s">
        <v>3645</v>
      </c>
      <c r="AJ2735" s="6" t="str">
        <f>IFERROR(__xludf.DUMMYFUNCTION("""COMPUTED_VALUE"""),"solo")</f>
        <v>solo</v>
      </c>
      <c r="AK2735" s="49"/>
      <c r="AL2735" s="49"/>
      <c r="AM2735" s="49"/>
      <c r="AN2735" s="52" t="str">
        <f t="shared" si="5"/>
        <v>roughly,</v>
      </c>
    </row>
    <row r="2736">
      <c r="A2736" s="51"/>
      <c r="B2736" s="50" t="s">
        <v>3728</v>
      </c>
      <c r="C2736" s="50" t="s">
        <v>3954</v>
      </c>
      <c r="D2736" s="49" t="str">
        <f>IFERROR(__xludf.DUMMYFUNCTION("""COMPUTED_VALUE"""),"emerged")</f>
        <v>emerged</v>
      </c>
      <c r="E2736" s="49"/>
      <c r="F2736" s="49"/>
      <c r="G2736" s="49"/>
      <c r="H2736" s="54" t="str">
        <f t="shared" si="1"/>
        <v>anderson,</v>
      </c>
      <c r="I2736" s="50"/>
      <c r="J2736" s="50"/>
      <c r="K2736" s="50" t="s">
        <v>5728</v>
      </c>
      <c r="L2736" s="49"/>
      <c r="M2736" s="49"/>
      <c r="N2736" s="49"/>
      <c r="O2736" s="49"/>
      <c r="P2736" s="49" t="str">
        <f t="shared" si="2"/>
        <v>,</v>
      </c>
      <c r="Q2736" s="49"/>
      <c r="R2736" s="49"/>
      <c r="S2736" s="55" t="s">
        <v>2397</v>
      </c>
      <c r="T2736" s="49"/>
      <c r="U2736" s="49"/>
      <c r="V2736" s="49"/>
      <c r="W2736" s="49"/>
      <c r="X2736" s="49" t="str">
        <f t="shared" si="3"/>
        <v>,</v>
      </c>
      <c r="Y2736" s="49"/>
      <c r="Z2736" s="1" t="s">
        <v>2299</v>
      </c>
      <c r="AA2736" s="1" t="s">
        <v>4988</v>
      </c>
      <c r="AB2736" s="49"/>
      <c r="AC2736" s="49"/>
      <c r="AD2736" s="49"/>
      <c r="AE2736" s="49"/>
      <c r="AF2736" s="49" t="str">
        <f t="shared" si="4"/>
        <v>reflects,</v>
      </c>
      <c r="AG2736" s="49"/>
      <c r="AH2736" s="1" t="s">
        <v>4479</v>
      </c>
      <c r="AI2736" s="1" t="s">
        <v>6830</v>
      </c>
      <c r="AJ2736" s="6" t="str">
        <f>IFERROR(__xludf.DUMMYFUNCTION("""COMPUTED_VALUE"""),"foster")</f>
        <v>foster</v>
      </c>
      <c r="AK2736" s="49"/>
      <c r="AL2736" s="49"/>
      <c r="AM2736" s="49"/>
      <c r="AN2736" s="52" t="str">
        <f t="shared" si="5"/>
        <v>leather,</v>
      </c>
    </row>
    <row r="2737">
      <c r="A2737" s="51"/>
      <c r="B2737" s="50" t="s">
        <v>969</v>
      </c>
      <c r="C2737" s="50" t="s">
        <v>4694</v>
      </c>
      <c r="D2737" s="49" t="str">
        <f>IFERROR(__xludf.DUMMYFUNCTION("""COMPUTED_VALUE"""),"brooks")</f>
        <v>brooks</v>
      </c>
      <c r="E2737" s="49"/>
      <c r="F2737" s="49"/>
      <c r="G2737" s="49"/>
      <c r="H2737" s="54" t="str">
        <f t="shared" si="1"/>
        <v>flesh,</v>
      </c>
      <c r="I2737" s="50"/>
      <c r="J2737" s="50"/>
      <c r="K2737" s="50" t="s">
        <v>1405</v>
      </c>
      <c r="L2737" s="49"/>
      <c r="M2737" s="49"/>
      <c r="N2737" s="49"/>
      <c r="O2737" s="49"/>
      <c r="P2737" s="49" t="str">
        <f t="shared" si="2"/>
        <v>,</v>
      </c>
      <c r="Q2737" s="49"/>
      <c r="R2737" s="49"/>
      <c r="S2737" s="55" t="s">
        <v>6831</v>
      </c>
      <c r="T2737" s="49"/>
      <c r="U2737" s="49"/>
      <c r="V2737" s="49"/>
      <c r="W2737" s="49"/>
      <c r="X2737" s="49" t="str">
        <f t="shared" si="3"/>
        <v>,</v>
      </c>
      <c r="Y2737" s="49"/>
      <c r="Z2737" s="1" t="s">
        <v>3957</v>
      </c>
      <c r="AA2737" s="1" t="s">
        <v>4990</v>
      </c>
      <c r="AB2737" s="49"/>
      <c r="AC2737" s="49"/>
      <c r="AD2737" s="49"/>
      <c r="AE2737" s="49"/>
      <c r="AF2737" s="49" t="str">
        <f t="shared" si="4"/>
        <v>transparent,</v>
      </c>
      <c r="AG2737" s="49"/>
      <c r="AH2737" s="1" t="s">
        <v>7039</v>
      </c>
      <c r="AI2737" s="1" t="s">
        <v>3766</v>
      </c>
      <c r="AJ2737" s="6" t="str">
        <f>IFERROR(__xludf.DUMMYFUNCTION("""COMPUTED_VALUE"""),"determine")</f>
        <v>determine</v>
      </c>
      <c r="AK2737" s="49"/>
      <c r="AL2737" s="49"/>
      <c r="AM2737" s="49"/>
      <c r="AN2737" s="52" t="str">
        <f t="shared" si="5"/>
        <v>versus,</v>
      </c>
    </row>
    <row r="2738">
      <c r="A2738" s="51"/>
      <c r="B2738" s="50" t="s">
        <v>5607</v>
      </c>
      <c r="C2738" s="50" t="s">
        <v>5646</v>
      </c>
      <c r="D2738" s="49" t="str">
        <f>IFERROR(__xludf.DUMMYFUNCTION("""COMPUTED_VALUE"""),"element")</f>
        <v>element</v>
      </c>
      <c r="E2738" s="49"/>
      <c r="F2738" s="49"/>
      <c r="G2738" s="49"/>
      <c r="H2738" s="54" t="str">
        <f t="shared" si="1"/>
        <v>burst,</v>
      </c>
      <c r="I2738" s="50"/>
      <c r="J2738" s="50"/>
      <c r="K2738" s="50" t="s">
        <v>5347</v>
      </c>
      <c r="L2738" s="49"/>
      <c r="M2738" s="49"/>
      <c r="N2738" s="49"/>
      <c r="O2738" s="49"/>
      <c r="P2738" s="49" t="str">
        <f t="shared" si="2"/>
        <v>,</v>
      </c>
      <c r="Q2738" s="49"/>
      <c r="R2738" s="49"/>
      <c r="S2738" s="55" t="s">
        <v>6832</v>
      </c>
      <c r="T2738" s="49"/>
      <c r="U2738" s="49"/>
      <c r="V2738" s="49"/>
      <c r="W2738" s="49"/>
      <c r="X2738" s="49" t="str">
        <f t="shared" si="3"/>
        <v>,</v>
      </c>
      <c r="Y2738" s="49"/>
      <c r="Z2738" s="1" t="s">
        <v>3404</v>
      </c>
      <c r="AA2738" s="1" t="s">
        <v>5824</v>
      </c>
      <c r="AB2738" s="49"/>
      <c r="AC2738" s="49"/>
      <c r="AD2738" s="49"/>
      <c r="AE2738" s="49"/>
      <c r="AF2738" s="49" t="str">
        <f t="shared" si="4"/>
        <v>chilly,</v>
      </c>
      <c r="AG2738" s="49"/>
      <c r="AH2738" s="1" t="s">
        <v>5278</v>
      </c>
      <c r="AI2738" s="1" t="s">
        <v>4128</v>
      </c>
      <c r="AJ2738" s="6" t="str">
        <f>IFERROR(__xludf.DUMMYFUNCTION("""COMPUTED_VALUE"""),"household")</f>
        <v>household</v>
      </c>
      <c r="AK2738" s="49"/>
      <c r="AL2738" s="49"/>
      <c r="AM2738" s="49"/>
      <c r="AN2738" s="52" t="str">
        <f t="shared" si="5"/>
        <v>neck,</v>
      </c>
    </row>
    <row r="2739">
      <c r="A2739" s="51"/>
      <c r="B2739" s="50" t="s">
        <v>7458</v>
      </c>
      <c r="C2739" s="50" t="s">
        <v>6833</v>
      </c>
      <c r="D2739" s="49" t="str">
        <f>IFERROR(__xludf.DUMMYFUNCTION("""COMPUTED_VALUE"""),"opposite")</f>
        <v>opposite</v>
      </c>
      <c r="E2739" s="49"/>
      <c r="F2739" s="49"/>
      <c r="G2739" s="49"/>
      <c r="H2739" s="54" t="str">
        <f t="shared" si="1"/>
        <v>founder,</v>
      </c>
      <c r="I2739" s="50"/>
      <c r="J2739" s="50"/>
      <c r="K2739" s="50" t="s">
        <v>4345</v>
      </c>
      <c r="L2739" s="49"/>
      <c r="M2739" s="49"/>
      <c r="N2739" s="49"/>
      <c r="O2739" s="49"/>
      <c r="P2739" s="49" t="str">
        <f t="shared" si="2"/>
        <v>,</v>
      </c>
      <c r="Q2739" s="49"/>
      <c r="R2739" s="49"/>
      <c r="S2739" s="55" t="s">
        <v>4215</v>
      </c>
      <c r="T2739" s="49"/>
      <c r="U2739" s="49"/>
      <c r="V2739" s="49"/>
      <c r="W2739" s="49"/>
      <c r="X2739" s="49" t="str">
        <f t="shared" si="3"/>
        <v>,</v>
      </c>
      <c r="Y2739" s="49"/>
      <c r="Z2739" s="1" t="s">
        <v>6366</v>
      </c>
      <c r="AA2739" s="1" t="s">
        <v>5825</v>
      </c>
      <c r="AB2739" s="49"/>
      <c r="AC2739" s="49"/>
      <c r="AD2739" s="49"/>
      <c r="AE2739" s="49"/>
      <c r="AF2739" s="49" t="str">
        <f t="shared" si="4"/>
        <v>frozen,</v>
      </c>
      <c r="AG2739" s="49"/>
      <c r="AH2739" s="1" t="s">
        <v>3663</v>
      </c>
      <c r="AI2739" s="1" t="s">
        <v>5269</v>
      </c>
      <c r="AJ2739" s="6" t="str">
        <f>IFERROR(__xludf.DUMMYFUNCTION("""COMPUTED_VALUE"""),"dominated")</f>
        <v>dominated</v>
      </c>
      <c r="AK2739" s="49"/>
      <c r="AL2739" s="49"/>
      <c r="AM2739" s="49"/>
      <c r="AN2739" s="52" t="str">
        <f t="shared" si="5"/>
        <v>locations,</v>
      </c>
    </row>
    <row r="2740">
      <c r="A2740" s="51"/>
      <c r="B2740" s="50" t="s">
        <v>5044</v>
      </c>
      <c r="C2740" s="50" t="s">
        <v>1454</v>
      </c>
      <c r="D2740" s="49" t="str">
        <f>IFERROR(__xludf.DUMMYFUNCTION("""COMPUTED_VALUE"""),"magical")</f>
        <v>magical</v>
      </c>
      <c r="E2740" s="49"/>
      <c r="F2740" s="49"/>
      <c r="G2740" s="49"/>
      <c r="H2740" s="54" t="str">
        <f t="shared" si="1"/>
        <v>sons,</v>
      </c>
      <c r="I2740" s="50"/>
      <c r="J2740" s="50"/>
      <c r="K2740" s="50" t="s">
        <v>1755</v>
      </c>
      <c r="L2740" s="49"/>
      <c r="M2740" s="49"/>
      <c r="N2740" s="49"/>
      <c r="O2740" s="49"/>
      <c r="P2740" s="49" t="str">
        <f t="shared" si="2"/>
        <v>,</v>
      </c>
      <c r="Q2740" s="49"/>
      <c r="R2740" s="49"/>
      <c r="S2740" s="55" t="s">
        <v>5251</v>
      </c>
      <c r="T2740" s="49"/>
      <c r="U2740" s="49"/>
      <c r="V2740" s="49"/>
      <c r="W2740" s="49"/>
      <c r="X2740" s="49" t="str">
        <f t="shared" si="3"/>
        <v>,</v>
      </c>
      <c r="Y2740" s="49"/>
      <c r="Z2740" s="1" t="s">
        <v>5367</v>
      </c>
      <c r="AA2740" s="1" t="s">
        <v>5827</v>
      </c>
      <c r="AB2740" s="49"/>
      <c r="AC2740" s="49"/>
      <c r="AD2740" s="49"/>
      <c r="AE2740" s="49"/>
      <c r="AF2740" s="49" t="str">
        <f t="shared" si="4"/>
        <v>noticing,</v>
      </c>
      <c r="AG2740" s="49"/>
      <c r="AH2740" s="1" t="s">
        <v>6547</v>
      </c>
      <c r="AI2740" s="1" t="s">
        <v>5793</v>
      </c>
      <c r="AJ2740" s="6" t="str">
        <f>IFERROR(__xludf.DUMMYFUNCTION("""COMPUTED_VALUE"""),"developed")</f>
        <v>developed</v>
      </c>
      <c r="AK2740" s="49"/>
      <c r="AL2740" s="49"/>
      <c r="AM2740" s="49"/>
      <c r="AN2740" s="52" t="str">
        <f t="shared" si="5"/>
        <v>remove,</v>
      </c>
    </row>
    <row r="2741">
      <c r="A2741" s="51"/>
      <c r="B2741" s="50" t="s">
        <v>4084</v>
      </c>
      <c r="C2741" s="50" t="s">
        <v>3407</v>
      </c>
      <c r="D2741" s="49" t="str">
        <f>IFERROR(__xludf.DUMMYFUNCTION("""COMPUTED_VALUE"""),"enjoying")</f>
        <v>enjoying</v>
      </c>
      <c r="E2741" s="49"/>
      <c r="F2741" s="49"/>
      <c r="G2741" s="49"/>
      <c r="H2741" s="54" t="str">
        <f t="shared" si="1"/>
        <v>buddy,</v>
      </c>
      <c r="I2741" s="50"/>
      <c r="J2741" s="50"/>
      <c r="K2741" s="50" t="s">
        <v>2530</v>
      </c>
      <c r="L2741" s="49"/>
      <c r="M2741" s="49"/>
      <c r="N2741" s="49"/>
      <c r="O2741" s="49"/>
      <c r="P2741" s="49" t="str">
        <f t="shared" si="2"/>
        <v>,</v>
      </c>
      <c r="Q2741" s="49"/>
      <c r="R2741" s="49"/>
      <c r="S2741" s="55" t="s">
        <v>969</v>
      </c>
      <c r="T2741" s="49"/>
      <c r="U2741" s="49"/>
      <c r="V2741" s="49"/>
      <c r="W2741" s="49"/>
      <c r="X2741" s="49" t="str">
        <f t="shared" si="3"/>
        <v>,</v>
      </c>
      <c r="Y2741" s="49"/>
      <c r="Z2741" s="1" t="s">
        <v>826</v>
      </c>
      <c r="AA2741" s="1" t="s">
        <v>4994</v>
      </c>
      <c r="AB2741" s="49"/>
      <c r="AC2741" s="49"/>
      <c r="AD2741" s="49"/>
      <c r="AE2741" s="49"/>
      <c r="AF2741" s="49" t="str">
        <f t="shared" si="4"/>
        <v>rises,</v>
      </c>
      <c r="AG2741" s="49"/>
      <c r="AH2741" s="1" t="s">
        <v>5027</v>
      </c>
      <c r="AI2741" s="1" t="s">
        <v>5332</v>
      </c>
      <c r="AJ2741" s="6" t="str">
        <f>IFERROR(__xludf.DUMMYFUNCTION("""COMPUTED_VALUE"""),"borders")</f>
        <v>borders</v>
      </c>
      <c r="AK2741" s="49"/>
      <c r="AL2741" s="49"/>
      <c r="AM2741" s="49"/>
      <c r="AN2741" s="52" t="str">
        <f t="shared" si="5"/>
        <v>facing,</v>
      </c>
    </row>
    <row r="2742">
      <c r="A2742" s="51"/>
      <c r="B2742" s="50" t="s">
        <v>4078</v>
      </c>
      <c r="C2742" s="50" t="s">
        <v>1468</v>
      </c>
      <c r="D2742" s="49" t="str">
        <f>IFERROR(__xludf.DUMMYFUNCTION("""COMPUTED_VALUE"""),"flowers")</f>
        <v>flowers</v>
      </c>
      <c r="E2742" s="49"/>
      <c r="F2742" s="49"/>
      <c r="G2742" s="49"/>
      <c r="H2742" s="54" t="str">
        <f t="shared" si="1"/>
        <v>strict,</v>
      </c>
      <c r="I2742" s="50"/>
      <c r="J2742" s="50"/>
      <c r="K2742" s="50" t="s">
        <v>2533</v>
      </c>
      <c r="L2742" s="49"/>
      <c r="M2742" s="49"/>
      <c r="N2742" s="49"/>
      <c r="O2742" s="49"/>
      <c r="P2742" s="49" t="str">
        <f t="shared" si="2"/>
        <v>,</v>
      </c>
      <c r="Q2742" s="49"/>
      <c r="R2742" s="49"/>
      <c r="S2742" s="55" t="s">
        <v>1315</v>
      </c>
      <c r="T2742" s="49"/>
      <c r="U2742" s="49"/>
      <c r="V2742" s="49"/>
      <c r="W2742" s="49"/>
      <c r="X2742" s="49" t="str">
        <f t="shared" si="3"/>
        <v>,</v>
      </c>
      <c r="Y2742" s="49"/>
      <c r="Z2742" s="1" t="s">
        <v>150</v>
      </c>
      <c r="AA2742" s="1" t="s">
        <v>3242</v>
      </c>
      <c r="AB2742" s="49"/>
      <c r="AC2742" s="49"/>
      <c r="AD2742" s="49"/>
      <c r="AE2742" s="49"/>
      <c r="AF2742" s="49" t="str">
        <f t="shared" si="4"/>
        <v>horrors,</v>
      </c>
      <c r="AG2742" s="49"/>
      <c r="AH2742" s="1" t="s">
        <v>757</v>
      </c>
      <c r="AI2742" s="1" t="s">
        <v>548</v>
      </c>
      <c r="AJ2742" s="6" t="str">
        <f>IFERROR(__xludf.DUMMYFUNCTION("""COMPUTED_VALUE"""),"indian")</f>
        <v>indian</v>
      </c>
      <c r="AK2742" s="49"/>
      <c r="AL2742" s="49"/>
      <c r="AM2742" s="49"/>
      <c r="AN2742" s="52" t="str">
        <f t="shared" si="5"/>
        <v>stuart,</v>
      </c>
    </row>
    <row r="2743">
      <c r="A2743" s="51"/>
      <c r="B2743" s="50" t="s">
        <v>2597</v>
      </c>
      <c r="C2743" s="50" t="s">
        <v>4748</v>
      </c>
      <c r="D2743" s="49" t="str">
        <f>IFERROR(__xludf.DUMMYFUNCTION("""COMPUTED_VALUE"""),"al")</f>
        <v>al</v>
      </c>
      <c r="E2743" s="49"/>
      <c r="F2743" s="49"/>
      <c r="G2743" s="49"/>
      <c r="H2743" s="54" t="str">
        <f t="shared" si="1"/>
        <v>boot,</v>
      </c>
      <c r="I2743" s="50"/>
      <c r="J2743" s="50"/>
      <c r="K2743" s="50" t="s">
        <v>5830</v>
      </c>
      <c r="L2743" s="49"/>
      <c r="M2743" s="49"/>
      <c r="N2743" s="49"/>
      <c r="O2743" s="49"/>
      <c r="P2743" s="49" t="str">
        <f t="shared" si="2"/>
        <v>,</v>
      </c>
      <c r="Q2743" s="49"/>
      <c r="R2743" s="49"/>
      <c r="S2743" s="55" t="s">
        <v>607</v>
      </c>
      <c r="T2743" s="49"/>
      <c r="U2743" s="49"/>
      <c r="V2743" s="49"/>
      <c r="W2743" s="49"/>
      <c r="X2743" s="49" t="str">
        <f t="shared" si="3"/>
        <v>,</v>
      </c>
      <c r="Y2743" s="49"/>
      <c r="Z2743" s="1" t="s">
        <v>6276</v>
      </c>
      <c r="AA2743" s="1" t="s">
        <v>1837</v>
      </c>
      <c r="AB2743" s="49"/>
      <c r="AC2743" s="49"/>
      <c r="AD2743" s="49"/>
      <c r="AE2743" s="49"/>
      <c r="AF2743" s="49" t="str">
        <f t="shared" si="4"/>
        <v>satisfied,</v>
      </c>
      <c r="AG2743" s="49"/>
      <c r="AH2743" s="1" t="s">
        <v>7027</v>
      </c>
      <c r="AI2743" s="1" t="s">
        <v>6834</v>
      </c>
      <c r="AJ2743" s="6" t="str">
        <f>IFERROR(__xludf.DUMMYFUNCTION("""COMPUTED_VALUE"""),"politics")</f>
        <v>politics</v>
      </c>
      <c r="AK2743" s="49"/>
      <c r="AL2743" s="49"/>
      <c r="AM2743" s="49"/>
      <c r="AN2743" s="52" t="str">
        <f t="shared" si="5"/>
        <v>knight,</v>
      </c>
    </row>
    <row r="2744">
      <c r="A2744" s="51"/>
      <c r="B2744" s="50" t="s">
        <v>4814</v>
      </c>
      <c r="C2744" s="50" t="s">
        <v>3975</v>
      </c>
      <c r="D2744" s="49" t="str">
        <f>IFERROR(__xludf.DUMMYFUNCTION("""COMPUTED_VALUE"""),"henry")</f>
        <v>henry</v>
      </c>
      <c r="E2744" s="49"/>
      <c r="F2744" s="49"/>
      <c r="G2744" s="49"/>
      <c r="H2744" s="54" t="str">
        <f t="shared" si="1"/>
        <v>attached,</v>
      </c>
      <c r="I2744" s="50"/>
      <c r="J2744" s="50"/>
      <c r="K2744" s="50" t="s">
        <v>3673</v>
      </c>
      <c r="L2744" s="49"/>
      <c r="M2744" s="49"/>
      <c r="N2744" s="49"/>
      <c r="O2744" s="49"/>
      <c r="P2744" s="49" t="str">
        <f t="shared" si="2"/>
        <v>,</v>
      </c>
      <c r="Q2744" s="49"/>
      <c r="R2744" s="49"/>
      <c r="S2744" s="55" t="s">
        <v>3589</v>
      </c>
      <c r="T2744" s="49"/>
      <c r="U2744" s="49"/>
      <c r="V2744" s="49"/>
      <c r="W2744" s="49"/>
      <c r="X2744" s="49" t="str">
        <f t="shared" si="3"/>
        <v>,</v>
      </c>
      <c r="Y2744" s="49"/>
      <c r="Z2744" s="1" t="s">
        <v>497</v>
      </c>
      <c r="AA2744" s="1" t="s">
        <v>3983</v>
      </c>
      <c r="AB2744" s="49"/>
      <c r="AC2744" s="49"/>
      <c r="AD2744" s="49"/>
      <c r="AE2744" s="49"/>
      <c r="AF2744" s="49" t="str">
        <f t="shared" si="4"/>
        <v>establishes,</v>
      </c>
      <c r="AG2744" s="49"/>
      <c r="AH2744" s="1" t="s">
        <v>472</v>
      </c>
      <c r="AI2744" s="1" t="s">
        <v>5767</v>
      </c>
      <c r="AJ2744" s="6" t="str">
        <f>IFERROR(__xludf.DUMMYFUNCTION("""COMPUTED_VALUE"""),"ignored")</f>
        <v>ignored</v>
      </c>
      <c r="AK2744" s="49"/>
      <c r="AL2744" s="49"/>
      <c r="AM2744" s="49"/>
      <c r="AN2744" s="52" t="str">
        <f t="shared" si="5"/>
        <v>poem,</v>
      </c>
    </row>
    <row r="2745">
      <c r="A2745" s="51"/>
      <c r="B2745" s="50" t="s">
        <v>5288</v>
      </c>
      <c r="C2745" s="50" t="s">
        <v>4196</v>
      </c>
      <c r="D2745" s="49" t="str">
        <f>IFERROR(__xludf.DUMMYFUNCTION("""COMPUTED_VALUE"""),"fly")</f>
        <v>fly</v>
      </c>
      <c r="E2745" s="49"/>
      <c r="F2745" s="49"/>
      <c r="G2745" s="49"/>
      <c r="H2745" s="54" t="str">
        <f t="shared" si="1"/>
        <v>wall,</v>
      </c>
      <c r="I2745" s="50"/>
      <c r="J2745" s="50"/>
      <c r="K2745" s="50" t="s">
        <v>2536</v>
      </c>
      <c r="L2745" s="49"/>
      <c r="M2745" s="49"/>
      <c r="N2745" s="49"/>
      <c r="O2745" s="49"/>
      <c r="P2745" s="49" t="str">
        <f t="shared" si="2"/>
        <v>,</v>
      </c>
      <c r="Q2745" s="49"/>
      <c r="R2745" s="49"/>
      <c r="S2745" s="55" t="s">
        <v>1326</v>
      </c>
      <c r="T2745" s="49"/>
      <c r="U2745" s="49"/>
      <c r="V2745" s="49"/>
      <c r="W2745" s="49"/>
      <c r="X2745" s="49" t="str">
        <f t="shared" si="3"/>
        <v>,</v>
      </c>
      <c r="Y2745" s="49"/>
      <c r="Z2745" s="1" t="s">
        <v>4157</v>
      </c>
      <c r="AA2745" s="1" t="s">
        <v>4877</v>
      </c>
      <c r="AB2745" s="49"/>
      <c r="AC2745" s="49"/>
      <c r="AD2745" s="49"/>
      <c r="AE2745" s="49"/>
      <c r="AF2745" s="49" t="str">
        <f t="shared" si="4"/>
        <v>deliberate,</v>
      </c>
      <c r="AG2745" s="49"/>
      <c r="AH2745" s="1" t="s">
        <v>4461</v>
      </c>
      <c r="AI2745" s="1" t="s">
        <v>4091</v>
      </c>
      <c r="AJ2745" s="6" t="str">
        <f>IFERROR(__xludf.DUMMYFUNCTION("""COMPUTED_VALUE"""),"loss")</f>
        <v>loss</v>
      </c>
      <c r="AK2745" s="49"/>
      <c r="AL2745" s="49"/>
      <c r="AM2745" s="49"/>
      <c r="AN2745" s="52" t="str">
        <f t="shared" si="5"/>
        <v>davis,</v>
      </c>
    </row>
    <row r="2746">
      <c r="A2746" s="51"/>
      <c r="B2746" s="50" t="s">
        <v>509</v>
      </c>
      <c r="C2746" s="50" t="s">
        <v>3411</v>
      </c>
      <c r="D2746" s="49" t="str">
        <f>IFERROR(__xludf.DUMMYFUNCTION("""COMPUTED_VALUE"""),"flag")</f>
        <v>flag</v>
      </c>
      <c r="E2746" s="49"/>
      <c r="F2746" s="49"/>
      <c r="G2746" s="49"/>
      <c r="H2746" s="54" t="str">
        <f t="shared" si="1"/>
        <v>smile,</v>
      </c>
      <c r="I2746" s="50"/>
      <c r="J2746" s="50"/>
      <c r="K2746" s="50" t="s">
        <v>1410</v>
      </c>
      <c r="L2746" s="49"/>
      <c r="M2746" s="49"/>
      <c r="N2746" s="49"/>
      <c r="O2746" s="49"/>
      <c r="P2746" s="49" t="str">
        <f t="shared" si="2"/>
        <v>,</v>
      </c>
      <c r="Q2746" s="49"/>
      <c r="R2746" s="49"/>
      <c r="S2746" s="55" t="s">
        <v>1605</v>
      </c>
      <c r="T2746" s="49"/>
      <c r="U2746" s="49"/>
      <c r="V2746" s="49"/>
      <c r="W2746" s="49"/>
      <c r="X2746" s="49" t="str">
        <f t="shared" si="3"/>
        <v>,</v>
      </c>
      <c r="Y2746" s="49"/>
      <c r="Z2746" s="1" t="s">
        <v>3052</v>
      </c>
      <c r="AA2746" s="1" t="s">
        <v>3245</v>
      </c>
      <c r="AB2746" s="49"/>
      <c r="AC2746" s="49"/>
      <c r="AD2746" s="49"/>
      <c r="AE2746" s="49"/>
      <c r="AF2746" s="49" t="str">
        <f t="shared" si="4"/>
        <v>maintains,</v>
      </c>
      <c r="AG2746" s="49"/>
      <c r="AH2746" s="1" t="s">
        <v>1613</v>
      </c>
      <c r="AI2746" s="1" t="s">
        <v>3653</v>
      </c>
      <c r="AJ2746" s="6" t="str">
        <f>IFERROR(__xludf.DUMMYFUNCTION("""COMPUTED_VALUE"""),"grandfather")</f>
        <v>grandfather</v>
      </c>
      <c r="AK2746" s="49"/>
      <c r="AL2746" s="49"/>
      <c r="AM2746" s="49"/>
      <c r="AN2746" s="52" t="str">
        <f t="shared" si="5"/>
        <v>soap,</v>
      </c>
    </row>
    <row r="2747">
      <c r="A2747" s="51"/>
      <c r="B2747" s="50" t="s">
        <v>7103</v>
      </c>
      <c r="C2747" s="50" t="s">
        <v>5007</v>
      </c>
      <c r="D2747" s="49" t="str">
        <f>IFERROR(__xludf.DUMMYFUNCTION("""COMPUTED_VALUE"""),"12th")</f>
        <v>12th</v>
      </c>
      <c r="E2747" s="49"/>
      <c r="F2747" s="49"/>
      <c r="G2747" s="49"/>
      <c r="H2747" s="54" t="str">
        <f t="shared" si="1"/>
        <v>waited,</v>
      </c>
      <c r="I2747" s="50"/>
      <c r="J2747" s="50"/>
      <c r="K2747" s="50" t="s">
        <v>4271</v>
      </c>
      <c r="L2747" s="49"/>
      <c r="M2747" s="49"/>
      <c r="N2747" s="49"/>
      <c r="O2747" s="49"/>
      <c r="P2747" s="49" t="str">
        <f t="shared" si="2"/>
        <v>,</v>
      </c>
      <c r="Q2747" s="49"/>
      <c r="R2747" s="49"/>
      <c r="S2747" s="55" t="s">
        <v>2410</v>
      </c>
      <c r="T2747" s="49"/>
      <c r="U2747" s="49"/>
      <c r="V2747" s="49"/>
      <c r="W2747" s="49"/>
      <c r="X2747" s="49" t="str">
        <f t="shared" si="3"/>
        <v>,</v>
      </c>
      <c r="Y2747" s="49"/>
      <c r="Z2747" s="1" t="s">
        <v>551</v>
      </c>
      <c r="AA2747" s="1" t="s">
        <v>5832</v>
      </c>
      <c r="AB2747" s="49"/>
      <c r="AC2747" s="49"/>
      <c r="AD2747" s="49"/>
      <c r="AE2747" s="49"/>
      <c r="AF2747" s="49" t="str">
        <f t="shared" si="4"/>
        <v>compassion,</v>
      </c>
      <c r="AG2747" s="49"/>
      <c r="AH2747" s="9">
        <v>6.0</v>
      </c>
      <c r="AI2747" s="1" t="s">
        <v>5638</v>
      </c>
      <c r="AJ2747" s="6" t="str">
        <f>IFERROR(__xludf.DUMMYFUNCTION("""COMPUTED_VALUE"""),"tribute")</f>
        <v>tribute</v>
      </c>
      <c r="AK2747" s="49"/>
      <c r="AL2747" s="49"/>
      <c r="AM2747" s="49"/>
      <c r="AN2747" s="52" t="str">
        <f t="shared" si="5"/>
        <v>6,</v>
      </c>
    </row>
    <row r="2748">
      <c r="A2748" s="51"/>
      <c r="B2748" s="50" t="s">
        <v>4533</v>
      </c>
      <c r="C2748" s="50" t="s">
        <v>3738</v>
      </c>
      <c r="D2748" s="49" t="str">
        <f>IFERROR(__xludf.DUMMYFUNCTION("""COMPUTED_VALUE"""),"dropped")</f>
        <v>dropped</v>
      </c>
      <c r="E2748" s="49"/>
      <c r="F2748" s="49"/>
      <c r="G2748" s="49"/>
      <c r="H2748" s="54" t="str">
        <f t="shared" si="1"/>
        <v>rushed,</v>
      </c>
      <c r="I2748" s="50"/>
      <c r="J2748" s="50"/>
      <c r="K2748" s="50" t="s">
        <v>1415</v>
      </c>
      <c r="L2748" s="49"/>
      <c r="M2748" s="49"/>
      <c r="N2748" s="49"/>
      <c r="O2748" s="49"/>
      <c r="P2748" s="49" t="str">
        <f t="shared" si="2"/>
        <v>,</v>
      </c>
      <c r="Q2748" s="49"/>
      <c r="R2748" s="49"/>
      <c r="S2748" s="55" t="s">
        <v>3591</v>
      </c>
      <c r="T2748" s="49"/>
      <c r="U2748" s="49"/>
      <c r="V2748" s="49"/>
      <c r="W2748" s="49"/>
      <c r="X2748" s="49" t="str">
        <f t="shared" si="3"/>
        <v>,</v>
      </c>
      <c r="Y2748" s="49"/>
      <c r="Z2748" s="1" t="s">
        <v>3867</v>
      </c>
      <c r="AA2748" s="1" t="s">
        <v>1895</v>
      </c>
      <c r="AB2748" s="49"/>
      <c r="AC2748" s="49"/>
      <c r="AD2748" s="49"/>
      <c r="AE2748" s="49"/>
      <c r="AF2748" s="49" t="str">
        <f t="shared" si="4"/>
        <v>swinging,</v>
      </c>
      <c r="AG2748" s="49"/>
      <c r="AH2748" s="1" t="s">
        <v>6492</v>
      </c>
      <c r="AI2748" s="1" t="s">
        <v>1390</v>
      </c>
      <c r="AJ2748" s="6" t="str">
        <f>IFERROR(__xludf.DUMMYFUNCTION("""COMPUTED_VALUE"""),"repeated")</f>
        <v>repeated</v>
      </c>
      <c r="AK2748" s="49"/>
      <c r="AL2748" s="49"/>
      <c r="AM2748" s="49"/>
      <c r="AN2748" s="52" t="str">
        <f t="shared" si="5"/>
        <v>nevertheless,</v>
      </c>
    </row>
    <row r="2749">
      <c r="A2749" s="51"/>
      <c r="B2749" s="50" t="s">
        <v>1716</v>
      </c>
      <c r="C2749" s="50" t="s">
        <v>5026</v>
      </c>
      <c r="D2749" s="49" t="str">
        <f>IFERROR(__xludf.DUMMYFUNCTION("""COMPUTED_VALUE"""),"japan")</f>
        <v>japan</v>
      </c>
      <c r="E2749" s="49"/>
      <c r="F2749" s="49"/>
      <c r="G2749" s="49"/>
      <c r="H2749" s="54" t="str">
        <f t="shared" si="1"/>
        <v>held,</v>
      </c>
      <c r="I2749" s="50"/>
      <c r="J2749" s="50"/>
      <c r="K2749" s="50" t="s">
        <v>5206</v>
      </c>
      <c r="L2749" s="49"/>
      <c r="M2749" s="49"/>
      <c r="N2749" s="49"/>
      <c r="O2749" s="49"/>
      <c r="P2749" s="49" t="str">
        <f t="shared" si="2"/>
        <v>,</v>
      </c>
      <c r="Q2749" s="49"/>
      <c r="R2749" s="49"/>
      <c r="S2749" s="55" t="s">
        <v>4467</v>
      </c>
      <c r="T2749" s="49"/>
      <c r="U2749" s="49"/>
      <c r="V2749" s="49"/>
      <c r="W2749" s="49"/>
      <c r="X2749" s="49" t="str">
        <f t="shared" si="3"/>
        <v>,</v>
      </c>
      <c r="Y2749" s="49"/>
      <c r="Z2749" s="1" t="s">
        <v>1061</v>
      </c>
      <c r="AA2749" s="1" t="s">
        <v>5833</v>
      </c>
      <c r="AB2749" s="49"/>
      <c r="AC2749" s="49"/>
      <c r="AD2749" s="49"/>
      <c r="AE2749" s="49"/>
      <c r="AF2749" s="49" t="str">
        <f t="shared" si="4"/>
        <v>wanting,</v>
      </c>
      <c r="AG2749" s="49"/>
      <c r="AH2749" s="1" t="s">
        <v>2836</v>
      </c>
      <c r="AI2749" s="1" t="s">
        <v>1654</v>
      </c>
      <c r="AJ2749" s="6" t="str">
        <f>IFERROR(__xludf.DUMMYFUNCTION("""COMPUTED_VALUE"""),"ratio")</f>
        <v>ratio</v>
      </c>
      <c r="AK2749" s="49"/>
      <c r="AL2749" s="49"/>
      <c r="AM2749" s="49"/>
      <c r="AN2749" s="52" t="str">
        <f t="shared" si="5"/>
        <v>turkey,</v>
      </c>
    </row>
    <row r="2750">
      <c r="A2750" s="51"/>
      <c r="B2750" s="50" t="s">
        <v>7165</v>
      </c>
      <c r="C2750" s="50" t="s">
        <v>1831</v>
      </c>
      <c r="D2750" s="49" t="str">
        <f>IFERROR(__xludf.DUMMYFUNCTION("""COMPUTED_VALUE"""),"artwork")</f>
        <v>artwork</v>
      </c>
      <c r="E2750" s="49"/>
      <c r="F2750" s="49"/>
      <c r="G2750" s="49"/>
      <c r="H2750" s="54" t="str">
        <f t="shared" si="1"/>
        <v>wing,</v>
      </c>
      <c r="I2750" s="50"/>
      <c r="J2750" s="50"/>
      <c r="K2750" s="50" t="s">
        <v>1680</v>
      </c>
      <c r="L2750" s="49"/>
      <c r="M2750" s="49"/>
      <c r="N2750" s="49"/>
      <c r="O2750" s="49"/>
      <c r="P2750" s="49" t="str">
        <f t="shared" si="2"/>
        <v>,</v>
      </c>
      <c r="Q2750" s="49"/>
      <c r="R2750" s="49"/>
      <c r="S2750" s="55" t="s">
        <v>3593</v>
      </c>
      <c r="T2750" s="49"/>
      <c r="U2750" s="49"/>
      <c r="V2750" s="49"/>
      <c r="W2750" s="49"/>
      <c r="X2750" s="49" t="str">
        <f t="shared" si="3"/>
        <v>,</v>
      </c>
      <c r="Y2750" s="49"/>
      <c r="Z2750" s="1" t="s">
        <v>6364</v>
      </c>
      <c r="AA2750" s="1" t="s">
        <v>5835</v>
      </c>
      <c r="AB2750" s="49"/>
      <c r="AC2750" s="49"/>
      <c r="AD2750" s="49"/>
      <c r="AE2750" s="49"/>
      <c r="AF2750" s="49" t="str">
        <f t="shared" si="4"/>
        <v>shared,</v>
      </c>
      <c r="AG2750" s="49"/>
      <c r="AH2750" s="1" t="s">
        <v>6041</v>
      </c>
      <c r="AI2750" s="1">
        <v>60.0</v>
      </c>
      <c r="AJ2750" s="6" t="str">
        <f>IFERROR(__xludf.DUMMYFUNCTION("""COMPUTED_VALUE"""),"reveals")</f>
        <v>reveals</v>
      </c>
      <c r="AK2750" s="49"/>
      <c r="AL2750" s="49"/>
      <c r="AM2750" s="49"/>
      <c r="AN2750" s="52" t="str">
        <f t="shared" si="5"/>
        <v>referred,</v>
      </c>
    </row>
    <row r="2751">
      <c r="A2751" s="51"/>
      <c r="B2751" s="50" t="s">
        <v>5592</v>
      </c>
      <c r="C2751" s="50" t="s">
        <v>2744</v>
      </c>
      <c r="D2751" s="49" t="str">
        <f>IFERROR(__xludf.DUMMYFUNCTION("""COMPUTED_VALUE"""),"resolution")</f>
        <v>resolution</v>
      </c>
      <c r="E2751" s="49"/>
      <c r="F2751" s="49"/>
      <c r="G2751" s="49"/>
      <c r="H2751" s="54" t="str">
        <f t="shared" si="1"/>
        <v>influenced,</v>
      </c>
      <c r="I2751" s="50"/>
      <c r="J2751" s="50"/>
      <c r="K2751" s="50" t="s">
        <v>4356</v>
      </c>
      <c r="L2751" s="49"/>
      <c r="M2751" s="49"/>
      <c r="N2751" s="49"/>
      <c r="O2751" s="49"/>
      <c r="P2751" s="49" t="str">
        <f t="shared" si="2"/>
        <v>,</v>
      </c>
      <c r="Q2751" s="49"/>
      <c r="R2751" s="49"/>
      <c r="S2751" s="55" t="s">
        <v>4220</v>
      </c>
      <c r="T2751" s="49"/>
      <c r="U2751" s="49"/>
      <c r="V2751" s="49"/>
      <c r="W2751" s="49"/>
      <c r="X2751" s="49" t="str">
        <f t="shared" si="3"/>
        <v>,</v>
      </c>
      <c r="Y2751" s="49"/>
      <c r="Z2751" s="1" t="s">
        <v>2816</v>
      </c>
      <c r="AA2751" s="1" t="s">
        <v>3258</v>
      </c>
      <c r="AB2751" s="49"/>
      <c r="AC2751" s="49"/>
      <c r="AD2751" s="49"/>
      <c r="AE2751" s="49"/>
      <c r="AF2751" s="49" t="str">
        <f t="shared" si="4"/>
        <v>menacing,</v>
      </c>
      <c r="AG2751" s="49"/>
      <c r="AH2751" s="1" t="s">
        <v>3832</v>
      </c>
      <c r="AI2751" s="1" t="s">
        <v>3658</v>
      </c>
      <c r="AJ2751" s="6" t="str">
        <f>IFERROR(__xludf.DUMMYFUNCTION("""COMPUTED_VALUE"""),"universe")</f>
        <v>universe</v>
      </c>
      <c r="AK2751" s="49"/>
      <c r="AL2751" s="49"/>
      <c r="AM2751" s="49"/>
      <c r="AN2751" s="52" t="str">
        <f t="shared" si="5"/>
        <v>ties,</v>
      </c>
    </row>
    <row r="2752">
      <c r="A2752" s="51"/>
      <c r="B2752" s="50" t="s">
        <v>3168</v>
      </c>
      <c r="C2752" s="50" t="s">
        <v>3415</v>
      </c>
      <c r="D2752" s="49" t="str">
        <f>IFERROR(__xludf.DUMMYFUNCTION("""COMPUTED_VALUE"""),"aids")</f>
        <v>aids</v>
      </c>
      <c r="E2752" s="49"/>
      <c r="F2752" s="49"/>
      <c r="G2752" s="49"/>
      <c r="H2752" s="54" t="str">
        <f t="shared" si="1"/>
        <v>older,</v>
      </c>
      <c r="I2752" s="50"/>
      <c r="J2752" s="50"/>
      <c r="K2752" s="50" t="s">
        <v>346</v>
      </c>
      <c r="L2752" s="49"/>
      <c r="M2752" s="49"/>
      <c r="N2752" s="49"/>
      <c r="O2752" s="49"/>
      <c r="P2752" s="49" t="str">
        <f t="shared" si="2"/>
        <v>,</v>
      </c>
      <c r="Q2752" s="49"/>
      <c r="R2752" s="49"/>
      <c r="S2752" s="55" t="s">
        <v>2413</v>
      </c>
      <c r="T2752" s="49"/>
      <c r="U2752" s="49"/>
      <c r="V2752" s="49"/>
      <c r="W2752" s="49"/>
      <c r="X2752" s="49" t="str">
        <f t="shared" si="3"/>
        <v>,</v>
      </c>
      <c r="Y2752" s="49"/>
      <c r="Z2752" s="49"/>
      <c r="AA2752" s="1" t="s">
        <v>5836</v>
      </c>
      <c r="AB2752" s="49"/>
      <c r="AC2752" s="49"/>
      <c r="AD2752" s="49"/>
      <c r="AE2752" s="49"/>
      <c r="AF2752" s="49" t="str">
        <f t="shared" si="4"/>
        <v>,</v>
      </c>
      <c r="AG2752" s="49"/>
      <c r="AH2752" s="1" t="s">
        <v>3212</v>
      </c>
      <c r="AI2752" s="1" t="s">
        <v>6000</v>
      </c>
      <c r="AJ2752" s="6" t="str">
        <f>IFERROR(__xludf.DUMMYFUNCTION("""COMPUTED_VALUE"""),"breath")</f>
        <v>breath</v>
      </c>
      <c r="AK2752" s="49"/>
      <c r="AL2752" s="49"/>
      <c r="AM2752" s="49"/>
      <c r="AN2752" s="52" t="str">
        <f t="shared" si="5"/>
        <v>colors,</v>
      </c>
    </row>
    <row r="2753">
      <c r="A2753" s="51"/>
      <c r="B2753" s="50" t="s">
        <v>6642</v>
      </c>
      <c r="C2753" s="50" t="s">
        <v>1140</v>
      </c>
      <c r="D2753" s="49" t="str">
        <f>IFERROR(__xludf.DUMMYFUNCTION("""COMPUTED_VALUE"""),"attack")</f>
        <v>attack</v>
      </c>
      <c r="E2753" s="49"/>
      <c r="F2753" s="49"/>
      <c r="G2753" s="49"/>
      <c r="H2753" s="54" t="str">
        <f t="shared" si="1"/>
        <v>clean,</v>
      </c>
      <c r="I2753" s="50"/>
      <c r="J2753" s="50"/>
      <c r="K2753" s="50" t="s">
        <v>2543</v>
      </c>
      <c r="L2753" s="49"/>
      <c r="M2753" s="49"/>
      <c r="N2753" s="49"/>
      <c r="O2753" s="49"/>
      <c r="P2753" s="49" t="str">
        <f t="shared" si="2"/>
        <v>,</v>
      </c>
      <c r="Q2753" s="49"/>
      <c r="R2753" s="49"/>
      <c r="S2753" s="55" t="s">
        <v>2420</v>
      </c>
      <c r="T2753" s="49"/>
      <c r="U2753" s="49"/>
      <c r="V2753" s="49"/>
      <c r="W2753" s="49"/>
      <c r="X2753" s="49" t="str">
        <f t="shared" si="3"/>
        <v>,</v>
      </c>
      <c r="Y2753" s="49"/>
      <c r="Z2753" s="49"/>
      <c r="AA2753" s="1" t="s">
        <v>5008</v>
      </c>
      <c r="AB2753" s="49"/>
      <c r="AC2753" s="49"/>
      <c r="AD2753" s="49"/>
      <c r="AE2753" s="49"/>
      <c r="AF2753" s="49" t="str">
        <f t="shared" si="4"/>
        <v>,</v>
      </c>
      <c r="AG2753" s="49"/>
      <c r="AH2753" s="1" t="s">
        <v>2880</v>
      </c>
      <c r="AI2753" s="1" t="s">
        <v>682</v>
      </c>
      <c r="AJ2753" s="6">
        <f>IFERROR(__xludf.DUMMYFUNCTION("""COMPUTED_VALUE"""),1984.0)</f>
        <v>1984</v>
      </c>
      <c r="AK2753" s="49"/>
      <c r="AL2753" s="49"/>
      <c r="AM2753" s="49"/>
      <c r="AN2753" s="52" t="str">
        <f t="shared" si="5"/>
        <v>returning,</v>
      </c>
    </row>
    <row r="2754">
      <c r="A2754" s="51"/>
      <c r="B2754" s="50" t="s">
        <v>2586</v>
      </c>
      <c r="C2754" s="50" t="s">
        <v>4077</v>
      </c>
      <c r="D2754" s="49" t="str">
        <f>IFERROR(__xludf.DUMMYFUNCTION("""COMPUTED_VALUE"""),"collective")</f>
        <v>collective</v>
      </c>
      <c r="E2754" s="49"/>
      <c r="F2754" s="49"/>
      <c r="G2754" s="49"/>
      <c r="H2754" s="54" t="str">
        <f t="shared" si="1"/>
        <v>ian,</v>
      </c>
      <c r="I2754" s="50"/>
      <c r="J2754" s="50"/>
      <c r="K2754" s="50" t="s">
        <v>5839</v>
      </c>
      <c r="L2754" s="49"/>
      <c r="M2754" s="49"/>
      <c r="N2754" s="49"/>
      <c r="O2754" s="49"/>
      <c r="P2754" s="49" t="str">
        <f t="shared" si="2"/>
        <v>,</v>
      </c>
      <c r="Q2754" s="49"/>
      <c r="R2754" s="49"/>
      <c r="S2754" s="55" t="s">
        <v>2422</v>
      </c>
      <c r="T2754" s="49"/>
      <c r="U2754" s="49"/>
      <c r="V2754" s="49"/>
      <c r="W2754" s="49"/>
      <c r="X2754" s="49" t="str">
        <f t="shared" si="3"/>
        <v>,</v>
      </c>
      <c r="Y2754" s="49"/>
      <c r="Z2754" s="49"/>
      <c r="AA2754" s="1" t="s">
        <v>3266</v>
      </c>
      <c r="AB2754" s="49"/>
      <c r="AC2754" s="49"/>
      <c r="AD2754" s="49"/>
      <c r="AE2754" s="49"/>
      <c r="AF2754" s="49" t="str">
        <f t="shared" si="4"/>
        <v>,</v>
      </c>
      <c r="AG2754" s="49"/>
      <c r="AH2754" s="1" t="s">
        <v>6367</v>
      </c>
      <c r="AI2754" s="1" t="s">
        <v>6835</v>
      </c>
      <c r="AJ2754" s="6" t="str">
        <f>IFERROR(__xludf.DUMMYFUNCTION("""COMPUTED_VALUE"""),"versions")</f>
        <v>versions</v>
      </c>
      <c r="AK2754" s="49"/>
      <c r="AL2754" s="49"/>
      <c r="AM2754" s="49"/>
      <c r="AN2754" s="52" t="str">
        <f t="shared" si="5"/>
        <v>greatly,</v>
      </c>
    </row>
    <row r="2755">
      <c r="A2755" s="51"/>
      <c r="B2755" s="50" t="s">
        <v>2321</v>
      </c>
      <c r="C2755" s="50" t="s">
        <v>3610</v>
      </c>
      <c r="D2755" s="49" t="str">
        <f>IFERROR(__xludf.DUMMYFUNCTION("""COMPUTED_VALUE"""),"reached")</f>
        <v>reached</v>
      </c>
      <c r="E2755" s="49"/>
      <c r="F2755" s="49"/>
      <c r="G2755" s="49"/>
      <c r="H2755" s="54" t="str">
        <f t="shared" si="1"/>
        <v>escaped,</v>
      </c>
      <c r="I2755" s="50"/>
      <c r="J2755" s="50"/>
      <c r="K2755" s="50" t="s">
        <v>5840</v>
      </c>
      <c r="L2755" s="49"/>
      <c r="M2755" s="49"/>
      <c r="N2755" s="49"/>
      <c r="O2755" s="49"/>
      <c r="P2755" s="49" t="str">
        <f t="shared" si="2"/>
        <v>,</v>
      </c>
      <c r="Q2755" s="49"/>
      <c r="R2755" s="49"/>
      <c r="S2755" s="55" t="s">
        <v>4229</v>
      </c>
      <c r="T2755" s="49"/>
      <c r="U2755" s="49"/>
      <c r="V2755" s="49"/>
      <c r="W2755" s="49"/>
      <c r="X2755" s="49" t="str">
        <f t="shared" si="3"/>
        <v>,</v>
      </c>
      <c r="Y2755" s="49"/>
      <c r="Z2755" s="49"/>
      <c r="AA2755" s="1" t="s">
        <v>5012</v>
      </c>
      <c r="AB2755" s="49"/>
      <c r="AC2755" s="49"/>
      <c r="AD2755" s="49"/>
      <c r="AE2755" s="49"/>
      <c r="AF2755" s="49" t="str">
        <f t="shared" si="4"/>
        <v>,</v>
      </c>
      <c r="AG2755" s="49"/>
      <c r="AH2755" s="1" t="s">
        <v>7640</v>
      </c>
      <c r="AI2755" s="1" t="s">
        <v>3664</v>
      </c>
      <c r="AJ2755" s="6" t="str">
        <f>IFERROR(__xludf.DUMMYFUNCTION("""COMPUTED_VALUE"""),"europe")</f>
        <v>europe</v>
      </c>
      <c r="AK2755" s="49"/>
      <c r="AL2755" s="49"/>
      <c r="AM2755" s="49"/>
      <c r="AN2755" s="52" t="str">
        <f t="shared" si="5"/>
        <v>lucy,</v>
      </c>
    </row>
    <row r="2756">
      <c r="A2756" s="51"/>
      <c r="B2756" s="50" t="s">
        <v>581</v>
      </c>
      <c r="C2756" s="50">
        <v>89.0</v>
      </c>
      <c r="D2756" s="49" t="str">
        <f>IFERROR(__xludf.DUMMYFUNCTION("""COMPUTED_VALUE"""),"contributed")</f>
        <v>contributed</v>
      </c>
      <c r="E2756" s="49"/>
      <c r="F2756" s="49"/>
      <c r="G2756" s="49"/>
      <c r="H2756" s="54" t="str">
        <f t="shared" si="1"/>
        <v>alternative,</v>
      </c>
      <c r="I2756" s="50"/>
      <c r="J2756" s="50"/>
      <c r="K2756" s="50" t="s">
        <v>2013</v>
      </c>
      <c r="L2756" s="49"/>
      <c r="M2756" s="49"/>
      <c r="N2756" s="49"/>
      <c r="O2756" s="49"/>
      <c r="P2756" s="49" t="str">
        <f t="shared" si="2"/>
        <v>,</v>
      </c>
      <c r="Q2756" s="49"/>
      <c r="R2756" s="49"/>
      <c r="S2756" s="55" t="s">
        <v>1332</v>
      </c>
      <c r="T2756" s="49"/>
      <c r="U2756" s="49"/>
      <c r="V2756" s="49"/>
      <c r="W2756" s="49"/>
      <c r="X2756" s="49" t="str">
        <f t="shared" si="3"/>
        <v>,</v>
      </c>
      <c r="Y2756" s="49"/>
      <c r="Z2756" s="49"/>
      <c r="AA2756" s="1" t="s">
        <v>5841</v>
      </c>
      <c r="AB2756" s="49"/>
      <c r="AC2756" s="49"/>
      <c r="AD2756" s="49"/>
      <c r="AE2756" s="49"/>
      <c r="AF2756" s="49" t="str">
        <f t="shared" si="4"/>
        <v>,</v>
      </c>
      <c r="AG2756" s="49"/>
      <c r="AH2756" s="1" t="s">
        <v>6694</v>
      </c>
      <c r="AI2756" s="1" t="s">
        <v>1813</v>
      </c>
      <c r="AJ2756" s="6" t="str">
        <f>IFERROR(__xludf.DUMMYFUNCTION("""COMPUTED_VALUE"""),"economic")</f>
        <v>economic</v>
      </c>
      <c r="AK2756" s="49"/>
      <c r="AL2756" s="49"/>
      <c r="AM2756" s="49"/>
      <c r="AN2756" s="52" t="str">
        <f t="shared" si="5"/>
        <v>agreed,</v>
      </c>
    </row>
    <row r="2757">
      <c r="A2757" s="51"/>
      <c r="B2757" s="50" t="s">
        <v>3289</v>
      </c>
      <c r="C2757" s="50" t="s">
        <v>6745</v>
      </c>
      <c r="D2757" s="49">
        <f>IFERROR(__xludf.DUMMYFUNCTION("""COMPUTED_VALUE"""),1986.0)</f>
        <v>1986</v>
      </c>
      <c r="E2757" s="49"/>
      <c r="F2757" s="49"/>
      <c r="G2757" s="49"/>
      <c r="H2757" s="54" t="str">
        <f t="shared" si="1"/>
        <v>media,</v>
      </c>
      <c r="I2757" s="50"/>
      <c r="J2757" s="50"/>
      <c r="K2757" s="50" t="s">
        <v>5365</v>
      </c>
      <c r="L2757" s="49"/>
      <c r="M2757" s="49"/>
      <c r="N2757" s="49"/>
      <c r="O2757" s="49"/>
      <c r="P2757" s="49" t="str">
        <f t="shared" si="2"/>
        <v>,</v>
      </c>
      <c r="Q2757" s="49"/>
      <c r="R2757" s="49"/>
      <c r="S2757" s="55" t="s">
        <v>3598</v>
      </c>
      <c r="T2757" s="49"/>
      <c r="U2757" s="49"/>
      <c r="V2757" s="49"/>
      <c r="W2757" s="49"/>
      <c r="X2757" s="49" t="str">
        <f t="shared" si="3"/>
        <v>,</v>
      </c>
      <c r="Y2757" s="49"/>
      <c r="Z2757" s="49"/>
      <c r="AA2757" s="1" t="s">
        <v>2822</v>
      </c>
      <c r="AB2757" s="49"/>
      <c r="AC2757" s="49"/>
      <c r="AD2757" s="49"/>
      <c r="AE2757" s="49"/>
      <c r="AF2757" s="49" t="str">
        <f t="shared" si="4"/>
        <v>,</v>
      </c>
      <c r="AG2757" s="49"/>
      <c r="AH2757" s="1" t="s">
        <v>6733</v>
      </c>
      <c r="AI2757" s="1" t="s">
        <v>6836</v>
      </c>
      <c r="AJ2757" s="6" t="str">
        <f>IFERROR(__xludf.DUMMYFUNCTION("""COMPUTED_VALUE"""),"associated")</f>
        <v>associated</v>
      </c>
      <c r="AK2757" s="49"/>
      <c r="AL2757" s="49"/>
      <c r="AM2757" s="49"/>
      <c r="AN2757" s="52" t="str">
        <f t="shared" si="5"/>
        <v>medicine,</v>
      </c>
    </row>
    <row r="2758">
      <c r="A2758" s="51"/>
      <c r="B2758" s="50" t="s">
        <v>4113</v>
      </c>
      <c r="C2758" s="50" t="s">
        <v>5670</v>
      </c>
      <c r="D2758" s="49" t="str">
        <f>IFERROR(__xludf.DUMMYFUNCTION("""COMPUTED_VALUE"""),"anywhere")</f>
        <v>anywhere</v>
      </c>
      <c r="E2758" s="49"/>
      <c r="F2758" s="49"/>
      <c r="G2758" s="49"/>
      <c r="H2758" s="54" t="str">
        <f t="shared" si="1"/>
        <v>weight,</v>
      </c>
      <c r="I2758" s="50"/>
      <c r="J2758" s="50"/>
      <c r="K2758" s="50" t="s">
        <v>4360</v>
      </c>
      <c r="L2758" s="49"/>
      <c r="M2758" s="49"/>
      <c r="N2758" s="49"/>
      <c r="O2758" s="49"/>
      <c r="P2758" s="49" t="str">
        <f t="shared" si="2"/>
        <v>,</v>
      </c>
      <c r="Q2758" s="49"/>
      <c r="R2758" s="49"/>
      <c r="S2758" s="55" t="s">
        <v>2428</v>
      </c>
      <c r="T2758" s="49"/>
      <c r="U2758" s="49"/>
      <c r="V2758" s="49"/>
      <c r="W2758" s="49"/>
      <c r="X2758" s="49" t="str">
        <f t="shared" si="3"/>
        <v>,</v>
      </c>
      <c r="Y2758" s="49"/>
      <c r="Z2758" s="49"/>
      <c r="AA2758" s="1" t="s">
        <v>1915</v>
      </c>
      <c r="AB2758" s="49"/>
      <c r="AC2758" s="49"/>
      <c r="AD2758" s="49"/>
      <c r="AE2758" s="49"/>
      <c r="AF2758" s="49" t="str">
        <f t="shared" si="4"/>
        <v>,</v>
      </c>
      <c r="AG2758" s="49"/>
      <c r="AH2758" s="1" t="s">
        <v>2150</v>
      </c>
      <c r="AI2758" s="1" t="s">
        <v>4824</v>
      </c>
      <c r="AJ2758" s="6" t="str">
        <f>IFERROR(__xludf.DUMMYFUNCTION("""COMPUTED_VALUE"""),"nazi")</f>
        <v>nazi</v>
      </c>
      <c r="AK2758" s="49"/>
      <c r="AL2758" s="49"/>
      <c r="AM2758" s="49"/>
      <c r="AN2758" s="52" t="str">
        <f t="shared" si="5"/>
        <v>address,</v>
      </c>
    </row>
    <row r="2759">
      <c r="A2759" s="51"/>
      <c r="B2759" s="50" t="s">
        <v>4181</v>
      </c>
      <c r="C2759" s="50" t="s">
        <v>1481</v>
      </c>
      <c r="D2759" s="49" t="str">
        <f>IFERROR(__xludf.DUMMYFUNCTION("""COMPUTED_VALUE"""),"pitched")</f>
        <v>pitched</v>
      </c>
      <c r="E2759" s="49"/>
      <c r="F2759" s="49"/>
      <c r="G2759" s="49"/>
      <c r="H2759" s="54" t="str">
        <f t="shared" si="1"/>
        <v>scale,</v>
      </c>
      <c r="I2759" s="50"/>
      <c r="J2759" s="50"/>
      <c r="K2759" s="50" t="s">
        <v>5140</v>
      </c>
      <c r="L2759" s="49"/>
      <c r="M2759" s="49"/>
      <c r="N2759" s="49"/>
      <c r="O2759" s="49"/>
      <c r="P2759" s="49" t="str">
        <f t="shared" si="2"/>
        <v>,</v>
      </c>
      <c r="Q2759" s="49"/>
      <c r="R2759" s="49"/>
      <c r="S2759" s="55" t="s">
        <v>362</v>
      </c>
      <c r="T2759" s="49"/>
      <c r="U2759" s="49"/>
      <c r="V2759" s="49"/>
      <c r="W2759" s="49"/>
      <c r="X2759" s="49" t="str">
        <f t="shared" si="3"/>
        <v>,</v>
      </c>
      <c r="Y2759" s="49"/>
      <c r="Z2759" s="49"/>
      <c r="AA2759" s="1" t="s">
        <v>5015</v>
      </c>
      <c r="AB2759" s="49"/>
      <c r="AC2759" s="49"/>
      <c r="AD2759" s="49"/>
      <c r="AE2759" s="49"/>
      <c r="AF2759" s="49" t="str">
        <f t="shared" si="4"/>
        <v>,</v>
      </c>
      <c r="AG2759" s="49"/>
      <c r="AH2759" s="1" t="s">
        <v>7641</v>
      </c>
      <c r="AI2759" s="1" t="s">
        <v>6837</v>
      </c>
      <c r="AJ2759" s="6" t="str">
        <f>IFERROR(__xludf.DUMMYFUNCTION("""COMPUTED_VALUE"""),"noble")</f>
        <v>noble</v>
      </c>
      <c r="AK2759" s="49"/>
      <c r="AL2759" s="49"/>
      <c r="AM2759" s="49"/>
      <c r="AN2759" s="52" t="str">
        <f t="shared" si="5"/>
        <v>informed,</v>
      </c>
    </row>
    <row r="2760">
      <c r="A2760" s="51"/>
      <c r="B2760" s="50" t="s">
        <v>5106</v>
      </c>
      <c r="C2760" s="50" t="s">
        <v>5698</v>
      </c>
      <c r="D2760" s="49" t="str">
        <f>IFERROR(__xludf.DUMMYFUNCTION("""COMPUTED_VALUE"""),"born")</f>
        <v>born</v>
      </c>
      <c r="E2760" s="49"/>
      <c r="F2760" s="49"/>
      <c r="G2760" s="49"/>
      <c r="H2760" s="54" t="str">
        <f t="shared" si="1"/>
        <v>models,</v>
      </c>
      <c r="I2760" s="50"/>
      <c r="J2760" s="50"/>
      <c r="K2760" s="50" t="s">
        <v>5369</v>
      </c>
      <c r="L2760" s="49"/>
      <c r="M2760" s="49"/>
      <c r="N2760" s="49"/>
      <c r="O2760" s="49"/>
      <c r="P2760" s="49" t="str">
        <f t="shared" si="2"/>
        <v>,</v>
      </c>
      <c r="Q2760" s="49"/>
      <c r="R2760" s="49"/>
      <c r="S2760" s="55" t="s">
        <v>4439</v>
      </c>
      <c r="T2760" s="49"/>
      <c r="U2760" s="49"/>
      <c r="V2760" s="49"/>
      <c r="W2760" s="49"/>
      <c r="X2760" s="49" t="str">
        <f t="shared" si="3"/>
        <v>,</v>
      </c>
      <c r="Y2760" s="49"/>
      <c r="Z2760" s="49"/>
      <c r="AA2760" s="1" t="s">
        <v>3276</v>
      </c>
      <c r="AB2760" s="49"/>
      <c r="AC2760" s="49"/>
      <c r="AD2760" s="49"/>
      <c r="AE2760" s="49"/>
      <c r="AF2760" s="49" t="str">
        <f t="shared" si="4"/>
        <v>,</v>
      </c>
      <c r="AG2760" s="49"/>
      <c r="AH2760" s="1" t="s">
        <v>2689</v>
      </c>
      <c r="AI2760" s="1" t="s">
        <v>5317</v>
      </c>
      <c r="AJ2760" s="6" t="str">
        <f>IFERROR(__xludf.DUMMYFUNCTION("""COMPUTED_VALUE"""),"surrounding")</f>
        <v>surrounding</v>
      </c>
      <c r="AK2760" s="49"/>
      <c r="AL2760" s="49"/>
      <c r="AM2760" s="49"/>
      <c r="AN2760" s="52" t="str">
        <f t="shared" si="5"/>
        <v>equal,</v>
      </c>
    </row>
    <row r="2761">
      <c r="A2761" s="51"/>
      <c r="B2761" s="50" t="s">
        <v>7642</v>
      </c>
      <c r="C2761" s="50" t="s">
        <v>4297</v>
      </c>
      <c r="D2761" s="49" t="str">
        <f>IFERROR(__xludf.DUMMYFUNCTION("""COMPUTED_VALUE"""),"gifts")</f>
        <v>gifts</v>
      </c>
      <c r="E2761" s="49"/>
      <c r="F2761" s="49"/>
      <c r="G2761" s="49"/>
      <c r="H2761" s="54" t="str">
        <f t="shared" si="1"/>
        <v>crossing,</v>
      </c>
      <c r="I2761" s="50"/>
      <c r="J2761" s="50"/>
      <c r="K2761" s="50" t="s">
        <v>2545</v>
      </c>
      <c r="L2761" s="49"/>
      <c r="M2761" s="49"/>
      <c r="N2761" s="49"/>
      <c r="O2761" s="49"/>
      <c r="P2761" s="49" t="str">
        <f t="shared" si="2"/>
        <v>,</v>
      </c>
      <c r="Q2761" s="49"/>
      <c r="R2761" s="49"/>
      <c r="S2761" s="55" t="s">
        <v>5742</v>
      </c>
      <c r="T2761" s="49"/>
      <c r="U2761" s="49"/>
      <c r="V2761" s="49"/>
      <c r="W2761" s="49"/>
      <c r="X2761" s="49" t="str">
        <f t="shared" si="3"/>
        <v>,</v>
      </c>
      <c r="Y2761" s="49"/>
      <c r="Z2761" s="49"/>
      <c r="AA2761" s="1" t="s">
        <v>3274</v>
      </c>
      <c r="AB2761" s="49"/>
      <c r="AC2761" s="49"/>
      <c r="AD2761" s="49"/>
      <c r="AE2761" s="49"/>
      <c r="AF2761" s="49" t="str">
        <f t="shared" si="4"/>
        <v>,</v>
      </c>
      <c r="AG2761" s="49"/>
      <c r="AH2761" s="1" t="s">
        <v>5691</v>
      </c>
      <c r="AI2761" s="1" t="s">
        <v>5484</v>
      </c>
      <c r="AJ2761" s="6" t="str">
        <f>IFERROR(__xludf.DUMMYFUNCTION("""COMPUTED_VALUE"""),"draw")</f>
        <v>draw</v>
      </c>
      <c r="AK2761" s="49"/>
      <c r="AL2761" s="49"/>
      <c r="AM2761" s="49"/>
      <c r="AN2761" s="52" t="str">
        <f t="shared" si="5"/>
        <v>definition,</v>
      </c>
    </row>
    <row r="2762">
      <c r="A2762" s="51"/>
      <c r="B2762" s="50" t="s">
        <v>3416</v>
      </c>
      <c r="C2762" s="50" t="s">
        <v>6749</v>
      </c>
      <c r="D2762" s="49" t="str">
        <f>IFERROR(__xludf.DUMMYFUNCTION("""COMPUTED_VALUE"""),"hug")</f>
        <v>hug</v>
      </c>
      <c r="E2762" s="49"/>
      <c r="F2762" s="49"/>
      <c r="G2762" s="49"/>
      <c r="H2762" s="54" t="str">
        <f t="shared" si="1"/>
        <v>gay,</v>
      </c>
      <c r="I2762" s="50"/>
      <c r="J2762" s="50"/>
      <c r="K2762" s="50" t="s">
        <v>338</v>
      </c>
      <c r="L2762" s="49"/>
      <c r="M2762" s="49"/>
      <c r="N2762" s="49"/>
      <c r="O2762" s="49"/>
      <c r="P2762" s="49" t="str">
        <f t="shared" si="2"/>
        <v>,</v>
      </c>
      <c r="Q2762" s="49"/>
      <c r="R2762" s="49"/>
      <c r="S2762" s="55" t="s">
        <v>4241</v>
      </c>
      <c r="T2762" s="49"/>
      <c r="U2762" s="49"/>
      <c r="V2762" s="49"/>
      <c r="W2762" s="49"/>
      <c r="X2762" s="49" t="str">
        <f t="shared" si="3"/>
        <v>,</v>
      </c>
      <c r="Y2762" s="49"/>
      <c r="Z2762" s="49"/>
      <c r="AA2762" s="1" t="s">
        <v>5020</v>
      </c>
      <c r="AB2762" s="49"/>
      <c r="AC2762" s="49"/>
      <c r="AD2762" s="49"/>
      <c r="AE2762" s="49"/>
      <c r="AF2762" s="49" t="str">
        <f t="shared" si="4"/>
        <v>,</v>
      </c>
      <c r="AG2762" s="49"/>
      <c r="AH2762" s="1" t="s">
        <v>5451</v>
      </c>
      <c r="AI2762" s="1" t="s">
        <v>5532</v>
      </c>
      <c r="AJ2762" s="6" t="str">
        <f>IFERROR(__xludf.DUMMYFUNCTION("""COMPUTED_VALUE"""),"shadow")</f>
        <v>shadow</v>
      </c>
      <c r="AK2762" s="49"/>
      <c r="AL2762" s="49"/>
      <c r="AM2762" s="49"/>
      <c r="AN2762" s="52" t="str">
        <f t="shared" si="5"/>
        <v>discovery,</v>
      </c>
    </row>
    <row r="2763">
      <c r="A2763" s="51"/>
      <c r="B2763" s="50" t="s">
        <v>2286</v>
      </c>
      <c r="C2763" s="50" t="s">
        <v>5036</v>
      </c>
      <c r="D2763" s="49" t="str">
        <f>IFERROR(__xludf.DUMMYFUNCTION("""COMPUTED_VALUE"""),"opinion")</f>
        <v>opinion</v>
      </c>
      <c r="E2763" s="49"/>
      <c r="F2763" s="49"/>
      <c r="G2763" s="49"/>
      <c r="H2763" s="54" t="str">
        <f t="shared" si="1"/>
        <v>cake,</v>
      </c>
      <c r="I2763" s="50"/>
      <c r="J2763" s="50"/>
      <c r="K2763" s="50" t="s">
        <v>4365</v>
      </c>
      <c r="L2763" s="49"/>
      <c r="M2763" s="49"/>
      <c r="N2763" s="49"/>
      <c r="O2763" s="49"/>
      <c r="P2763" s="49" t="str">
        <f t="shared" si="2"/>
        <v>,</v>
      </c>
      <c r="Q2763" s="49"/>
      <c r="R2763" s="49"/>
      <c r="S2763" s="55" t="s">
        <v>4244</v>
      </c>
      <c r="T2763" s="49"/>
      <c r="U2763" s="49"/>
      <c r="V2763" s="49"/>
      <c r="W2763" s="49"/>
      <c r="X2763" s="49" t="str">
        <f t="shared" si="3"/>
        <v>,</v>
      </c>
      <c r="Y2763" s="49"/>
      <c r="Z2763" s="49"/>
      <c r="AA2763" s="1" t="s">
        <v>5844</v>
      </c>
      <c r="AB2763" s="49"/>
      <c r="AC2763" s="49"/>
      <c r="AD2763" s="49"/>
      <c r="AE2763" s="49"/>
      <c r="AF2763" s="49" t="str">
        <f t="shared" si="4"/>
        <v>,</v>
      </c>
      <c r="AG2763" s="49"/>
      <c r="AH2763" s="1" t="s">
        <v>3811</v>
      </c>
      <c r="AI2763" s="1" t="s">
        <v>4798</v>
      </c>
      <c r="AJ2763" s="6" t="str">
        <f>IFERROR(__xludf.DUMMYFUNCTION("""COMPUTED_VALUE"""),"distance")</f>
        <v>distance</v>
      </c>
      <c r="AK2763" s="49"/>
      <c r="AL2763" s="49"/>
      <c r="AM2763" s="49"/>
      <c r="AN2763" s="52" t="str">
        <f t="shared" si="5"/>
        <v>waves,</v>
      </c>
    </row>
    <row r="2764">
      <c r="A2764" s="51"/>
      <c r="B2764" s="50" t="s">
        <v>6613</v>
      </c>
      <c r="C2764" s="50" t="s">
        <v>5043</v>
      </c>
      <c r="D2764" s="49" t="str">
        <f>IFERROR(__xludf.DUMMYFUNCTION("""COMPUTED_VALUE"""),"knowledge")</f>
        <v>knowledge</v>
      </c>
      <c r="E2764" s="49"/>
      <c r="F2764" s="49"/>
      <c r="G2764" s="49"/>
      <c r="H2764" s="54" t="str">
        <f t="shared" si="1"/>
        <v>san,</v>
      </c>
      <c r="I2764" s="50"/>
      <c r="J2764" s="50"/>
      <c r="K2764" s="50" t="s">
        <v>1421</v>
      </c>
      <c r="L2764" s="49"/>
      <c r="M2764" s="49"/>
      <c r="N2764" s="49"/>
      <c r="O2764" s="49"/>
      <c r="P2764" s="49" t="str">
        <f t="shared" si="2"/>
        <v>,</v>
      </c>
      <c r="Q2764" s="49"/>
      <c r="R2764" s="49"/>
      <c r="S2764" s="55" t="s">
        <v>4246</v>
      </c>
      <c r="T2764" s="49"/>
      <c r="U2764" s="49"/>
      <c r="V2764" s="49"/>
      <c r="W2764" s="49"/>
      <c r="X2764" s="49" t="str">
        <f t="shared" si="3"/>
        <v>,</v>
      </c>
      <c r="Y2764" s="49"/>
      <c r="Z2764" s="49"/>
      <c r="AA2764" s="1" t="s">
        <v>5845</v>
      </c>
      <c r="AB2764" s="49"/>
      <c r="AC2764" s="49"/>
      <c r="AD2764" s="49"/>
      <c r="AE2764" s="49"/>
      <c r="AF2764" s="49" t="str">
        <f t="shared" si="4"/>
        <v>,</v>
      </c>
      <c r="AG2764" s="49"/>
      <c r="AH2764" s="1" t="s">
        <v>6789</v>
      </c>
      <c r="AI2764" s="1" t="s">
        <v>5947</v>
      </c>
      <c r="AJ2764" s="6" t="str">
        <f>IFERROR(__xludf.DUMMYFUNCTION("""COMPUTED_VALUE"""),"racing")</f>
        <v>racing</v>
      </c>
      <c r="AK2764" s="49"/>
      <c r="AL2764" s="49"/>
      <c r="AM2764" s="49"/>
      <c r="AN2764" s="52" t="str">
        <f t="shared" si="5"/>
        <v>q,</v>
      </c>
    </row>
    <row r="2765">
      <c r="A2765" s="51"/>
      <c r="B2765" s="50" t="s">
        <v>6796</v>
      </c>
      <c r="C2765" s="50" t="s">
        <v>6746</v>
      </c>
      <c r="D2765" s="49" t="str">
        <f>IFERROR(__xludf.DUMMYFUNCTION("""COMPUTED_VALUE"""),"singles")</f>
        <v>singles</v>
      </c>
      <c r="E2765" s="49"/>
      <c r="F2765" s="49"/>
      <c r="G2765" s="49"/>
      <c r="H2765" s="54" t="str">
        <f t="shared" si="1"/>
        <v>francisco,</v>
      </c>
      <c r="I2765" s="50"/>
      <c r="J2765" s="50"/>
      <c r="K2765" s="50" t="s">
        <v>4368</v>
      </c>
      <c r="L2765" s="49"/>
      <c r="M2765" s="49"/>
      <c r="N2765" s="49"/>
      <c r="O2765" s="49"/>
      <c r="P2765" s="49" t="str">
        <f t="shared" si="2"/>
        <v>,</v>
      </c>
      <c r="Q2765" s="49"/>
      <c r="R2765" s="49"/>
      <c r="S2765" s="55" t="s">
        <v>4250</v>
      </c>
      <c r="T2765" s="49"/>
      <c r="U2765" s="49"/>
      <c r="V2765" s="49"/>
      <c r="W2765" s="49"/>
      <c r="X2765" s="49" t="str">
        <f t="shared" si="3"/>
        <v>,</v>
      </c>
      <c r="Y2765" s="49"/>
      <c r="Z2765" s="49"/>
      <c r="AA2765" s="1" t="s">
        <v>3278</v>
      </c>
      <c r="AB2765" s="49"/>
      <c r="AC2765" s="49"/>
      <c r="AD2765" s="49"/>
      <c r="AE2765" s="49"/>
      <c r="AF2765" s="49" t="str">
        <f t="shared" si="4"/>
        <v>,</v>
      </c>
      <c r="AG2765" s="49"/>
      <c r="AH2765" s="1" t="s">
        <v>4364</v>
      </c>
      <c r="AI2765" s="1" t="s">
        <v>5599</v>
      </c>
      <c r="AJ2765" s="6" t="str">
        <f>IFERROR(__xludf.DUMMYFUNCTION("""COMPUTED_VALUE"""),"mexican")</f>
        <v>mexican</v>
      </c>
      <c r="AK2765" s="49"/>
      <c r="AL2765" s="49"/>
      <c r="AM2765" s="49"/>
      <c r="AN2765" s="52" t="str">
        <f t="shared" si="5"/>
        <v>understanding,</v>
      </c>
    </row>
    <row r="2766">
      <c r="A2766" s="51"/>
      <c r="B2766" s="50" t="s">
        <v>680</v>
      </c>
      <c r="C2766" s="50" t="s">
        <v>3170</v>
      </c>
      <c r="D2766" s="49" t="str">
        <f>IFERROR(__xludf.DUMMYFUNCTION("""COMPUTED_VALUE"""),"league")</f>
        <v>league</v>
      </c>
      <c r="E2766" s="49"/>
      <c r="F2766" s="49"/>
      <c r="G2766" s="49"/>
      <c r="H2766" s="54" t="str">
        <f t="shared" si="1"/>
        <v>psychological,</v>
      </c>
      <c r="I2766" s="50"/>
      <c r="J2766" s="50"/>
      <c r="K2766" s="50" t="s">
        <v>5847</v>
      </c>
      <c r="L2766" s="49"/>
      <c r="M2766" s="49"/>
      <c r="N2766" s="49"/>
      <c r="O2766" s="49"/>
      <c r="P2766" s="49" t="str">
        <f t="shared" si="2"/>
        <v>,</v>
      </c>
      <c r="Q2766" s="49"/>
      <c r="R2766" s="49"/>
      <c r="S2766" s="55" t="s">
        <v>5157</v>
      </c>
      <c r="T2766" s="49"/>
      <c r="U2766" s="49"/>
      <c r="V2766" s="49"/>
      <c r="W2766" s="49"/>
      <c r="X2766" s="49" t="str">
        <f t="shared" si="3"/>
        <v>,</v>
      </c>
      <c r="Y2766" s="49"/>
      <c r="Z2766" s="49"/>
      <c r="AA2766" s="1" t="s">
        <v>5846</v>
      </c>
      <c r="AB2766" s="49"/>
      <c r="AC2766" s="49"/>
      <c r="AD2766" s="49"/>
      <c r="AE2766" s="49"/>
      <c r="AF2766" s="49" t="str">
        <f t="shared" si="4"/>
        <v>,</v>
      </c>
      <c r="AG2766" s="49"/>
      <c r="AH2766" s="1" t="s">
        <v>6002</v>
      </c>
      <c r="AI2766" s="1" t="s">
        <v>1703</v>
      </c>
      <c r="AJ2766" s="6" t="str">
        <f>IFERROR(__xludf.DUMMYFUNCTION("""COMPUTED_VALUE"""),"alleged")</f>
        <v>alleged</v>
      </c>
      <c r="AK2766" s="49"/>
      <c r="AL2766" s="49"/>
      <c r="AM2766" s="49"/>
      <c r="AN2766" s="52" t="str">
        <f t="shared" si="5"/>
        <v>vast,</v>
      </c>
    </row>
    <row r="2767">
      <c r="A2767" s="51"/>
      <c r="B2767" s="50" t="s">
        <v>6584</v>
      </c>
      <c r="C2767" s="50" t="s">
        <v>1182</v>
      </c>
      <c r="D2767" s="49" t="str">
        <f>IFERROR(__xludf.DUMMYFUNCTION("""COMPUTED_VALUE"""),"victim")</f>
        <v>victim</v>
      </c>
      <c r="E2767" s="49"/>
      <c r="F2767" s="49"/>
      <c r="G2767" s="49"/>
      <c r="H2767" s="54" t="str">
        <f t="shared" si="1"/>
        <v>corn,</v>
      </c>
      <c r="I2767" s="50"/>
      <c r="J2767" s="50"/>
      <c r="K2767" s="50" t="s">
        <v>5375</v>
      </c>
      <c r="L2767" s="49"/>
      <c r="M2767" s="49"/>
      <c r="N2767" s="49"/>
      <c r="O2767" s="49"/>
      <c r="P2767" s="49" t="str">
        <f t="shared" si="2"/>
        <v>,</v>
      </c>
      <c r="Q2767" s="49"/>
      <c r="R2767" s="49"/>
      <c r="S2767" s="55" t="s">
        <v>6838</v>
      </c>
      <c r="T2767" s="49"/>
      <c r="U2767" s="49"/>
      <c r="V2767" s="49"/>
      <c r="W2767" s="49"/>
      <c r="X2767" s="49" t="str">
        <f t="shared" si="3"/>
        <v>,</v>
      </c>
      <c r="Y2767" s="49"/>
      <c r="Z2767" s="49"/>
      <c r="AA2767" s="1" t="s">
        <v>5848</v>
      </c>
      <c r="AB2767" s="49"/>
      <c r="AC2767" s="49"/>
      <c r="AD2767" s="49"/>
      <c r="AE2767" s="49"/>
      <c r="AF2767" s="49" t="str">
        <f t="shared" si="4"/>
        <v>,</v>
      </c>
      <c r="AG2767" s="49"/>
      <c r="AH2767" s="1" t="s">
        <v>2587</v>
      </c>
      <c r="AI2767" s="1" t="s">
        <v>6839</v>
      </c>
      <c r="AJ2767" s="6" t="str">
        <f>IFERROR(__xludf.DUMMYFUNCTION("""COMPUTED_VALUE"""),"afternoon")</f>
        <v>afternoon</v>
      </c>
      <c r="AK2767" s="49"/>
      <c r="AL2767" s="49"/>
      <c r="AM2767" s="49"/>
      <c r="AN2767" s="52" t="str">
        <f t="shared" si="5"/>
        <v>corruption,</v>
      </c>
    </row>
    <row r="2768">
      <c r="A2768" s="51"/>
      <c r="B2768" s="50" t="s">
        <v>6115</v>
      </c>
      <c r="C2768" s="50" t="s">
        <v>6747</v>
      </c>
      <c r="D2768" s="49" t="str">
        <f>IFERROR(__xludf.DUMMYFUNCTION("""COMPUTED_VALUE"""),"symbols")</f>
        <v>symbols</v>
      </c>
      <c r="E2768" s="49"/>
      <c r="F2768" s="49"/>
      <c r="G2768" s="49"/>
      <c r="H2768" s="54" t="str">
        <f t="shared" si="1"/>
        <v>brow,</v>
      </c>
      <c r="I2768" s="50"/>
      <c r="J2768" s="50"/>
      <c r="K2768" s="50" t="s">
        <v>4370</v>
      </c>
      <c r="L2768" s="49"/>
      <c r="M2768" s="49"/>
      <c r="N2768" s="49"/>
      <c r="O2768" s="49"/>
      <c r="P2768" s="49" t="str">
        <f t="shared" si="2"/>
        <v>,</v>
      </c>
      <c r="Q2768" s="49"/>
      <c r="R2768" s="49"/>
      <c r="S2768" s="55" t="s">
        <v>3601</v>
      </c>
      <c r="T2768" s="49"/>
      <c r="U2768" s="49"/>
      <c r="V2768" s="49"/>
      <c r="W2768" s="49"/>
      <c r="X2768" s="49" t="str">
        <f t="shared" si="3"/>
        <v>,</v>
      </c>
      <c r="Y2768" s="49"/>
      <c r="Z2768" s="49"/>
      <c r="AA2768" s="1" t="s">
        <v>3383</v>
      </c>
      <c r="AB2768" s="49"/>
      <c r="AC2768" s="49"/>
      <c r="AD2768" s="49"/>
      <c r="AE2768" s="49"/>
      <c r="AF2768" s="49" t="str">
        <f t="shared" si="4"/>
        <v>,</v>
      </c>
      <c r="AG2768" s="49"/>
      <c r="AH2768" s="1" t="s">
        <v>2716</v>
      </c>
      <c r="AI2768" s="1" t="s">
        <v>5954</v>
      </c>
      <c r="AJ2768" s="6" t="str">
        <f>IFERROR(__xludf.DUMMYFUNCTION("""COMPUTED_VALUE"""),"combat")</f>
        <v>combat</v>
      </c>
      <c r="AK2768" s="49"/>
      <c r="AL2768" s="49"/>
      <c r="AM2768" s="49"/>
      <c r="AN2768" s="52" t="str">
        <f t="shared" si="5"/>
        <v>legs,</v>
      </c>
    </row>
    <row r="2769">
      <c r="A2769" s="51"/>
      <c r="B2769" s="50" t="s">
        <v>7643</v>
      </c>
      <c r="C2769" s="50" t="s">
        <v>5051</v>
      </c>
      <c r="D2769" s="49" t="str">
        <f>IFERROR(__xludf.DUMMYFUNCTION("""COMPUTED_VALUE"""),"awards")</f>
        <v>awards</v>
      </c>
      <c r="E2769" s="49"/>
      <c r="F2769" s="49"/>
      <c r="G2769" s="49"/>
      <c r="H2769" s="54" t="str">
        <f t="shared" si="1"/>
        <v>jimmy,</v>
      </c>
      <c r="I2769" s="50"/>
      <c r="J2769" s="50"/>
      <c r="K2769" s="50" t="s">
        <v>3683</v>
      </c>
      <c r="L2769" s="49"/>
      <c r="M2769" s="49"/>
      <c r="N2769" s="49"/>
      <c r="O2769" s="49"/>
      <c r="P2769" s="49" t="str">
        <f t="shared" si="2"/>
        <v>,</v>
      </c>
      <c r="Q2769" s="49"/>
      <c r="R2769" s="49"/>
      <c r="S2769" s="55" t="s">
        <v>1339</v>
      </c>
      <c r="T2769" s="49"/>
      <c r="U2769" s="49"/>
      <c r="V2769" s="49"/>
      <c r="W2769" s="49"/>
      <c r="X2769" s="49" t="str">
        <f t="shared" si="3"/>
        <v>,</v>
      </c>
      <c r="Y2769" s="49"/>
      <c r="Z2769" s="49"/>
      <c r="AA2769" s="1" t="s">
        <v>5023</v>
      </c>
      <c r="AB2769" s="49"/>
      <c r="AC2769" s="49"/>
      <c r="AD2769" s="49"/>
      <c r="AE2769" s="49"/>
      <c r="AF2769" s="49" t="str">
        <f t="shared" si="4"/>
        <v>,</v>
      </c>
      <c r="AG2769" s="49"/>
      <c r="AH2769" s="1" t="s">
        <v>3533</v>
      </c>
      <c r="AI2769" s="1" t="s">
        <v>3234</v>
      </c>
      <c r="AJ2769" s="6" t="str">
        <f>IFERROR(__xludf.DUMMYFUNCTION("""COMPUTED_VALUE"""),"carefully")</f>
        <v>carefully</v>
      </c>
      <c r="AK2769" s="49"/>
      <c r="AL2769" s="49"/>
      <c r="AM2769" s="49"/>
      <c r="AN2769" s="52" t="str">
        <f t="shared" si="5"/>
        <v>knees,</v>
      </c>
    </row>
    <row r="2770">
      <c r="A2770" s="51"/>
      <c r="B2770" s="50" t="s">
        <v>988</v>
      </c>
      <c r="C2770" s="50" t="s">
        <v>3416</v>
      </c>
      <c r="D2770" s="49" t="str">
        <f>IFERROR(__xludf.DUMMYFUNCTION("""COMPUTED_VALUE"""),"resistance")</f>
        <v>resistance</v>
      </c>
      <c r="E2770" s="49"/>
      <c r="F2770" s="49"/>
      <c r="G2770" s="49"/>
      <c r="H2770" s="54" t="str">
        <f t="shared" si="1"/>
        <v>oliver,</v>
      </c>
      <c r="I2770" s="50"/>
      <c r="J2770" s="50"/>
      <c r="K2770" s="50" t="s">
        <v>4374</v>
      </c>
      <c r="L2770" s="49"/>
      <c r="M2770" s="49"/>
      <c r="N2770" s="49"/>
      <c r="O2770" s="49"/>
      <c r="P2770" s="49" t="str">
        <f t="shared" si="2"/>
        <v>,</v>
      </c>
      <c r="Q2770" s="49"/>
      <c r="R2770" s="49"/>
      <c r="S2770" s="55" t="s">
        <v>1344</v>
      </c>
      <c r="T2770" s="49"/>
      <c r="U2770" s="49"/>
      <c r="V2770" s="49"/>
      <c r="W2770" s="49"/>
      <c r="X2770" s="49" t="str">
        <f t="shared" si="3"/>
        <v>,</v>
      </c>
      <c r="Y2770" s="49"/>
      <c r="Z2770" s="49"/>
      <c r="AA2770" s="1" t="s">
        <v>5025</v>
      </c>
      <c r="AB2770" s="49"/>
      <c r="AC2770" s="49"/>
      <c r="AD2770" s="49"/>
      <c r="AE2770" s="49"/>
      <c r="AF2770" s="49" t="str">
        <f t="shared" si="4"/>
        <v>,</v>
      </c>
      <c r="AG2770" s="49"/>
      <c r="AH2770" s="1" t="s">
        <v>2119</v>
      </c>
      <c r="AI2770" s="1">
        <v>66.0</v>
      </c>
      <c r="AJ2770" s="6" t="str">
        <f>IFERROR(__xludf.DUMMYFUNCTION("""COMPUTED_VALUE"""),"topics")</f>
        <v>topics</v>
      </c>
      <c r="AK2770" s="49"/>
      <c r="AL2770" s="49"/>
      <c r="AM2770" s="49"/>
      <c r="AN2770" s="52" t="str">
        <f t="shared" si="5"/>
        <v>scattered,</v>
      </c>
    </row>
    <row r="2771">
      <c r="A2771" s="51"/>
      <c r="B2771" s="50" t="s">
        <v>6947</v>
      </c>
      <c r="C2771" s="50" t="s">
        <v>6748</v>
      </c>
      <c r="D2771" s="49" t="str">
        <f>IFERROR(__xludf.DUMMYFUNCTION("""COMPUTED_VALUE"""),"artistic")</f>
        <v>artistic</v>
      </c>
      <c r="E2771" s="49"/>
      <c r="F2771" s="49"/>
      <c r="G2771" s="49"/>
      <c r="H2771" s="54" t="str">
        <f t="shared" si="1"/>
        <v>June,</v>
      </c>
      <c r="I2771" s="50"/>
      <c r="J2771" s="50"/>
      <c r="K2771" s="50" t="s">
        <v>5849</v>
      </c>
      <c r="L2771" s="49"/>
      <c r="M2771" s="49"/>
      <c r="N2771" s="49"/>
      <c r="O2771" s="49"/>
      <c r="P2771" s="49" t="str">
        <f t="shared" si="2"/>
        <v>,</v>
      </c>
      <c r="Q2771" s="49"/>
      <c r="R2771" s="49"/>
      <c r="S2771" s="55" t="s">
        <v>4202</v>
      </c>
      <c r="T2771" s="49"/>
      <c r="U2771" s="49"/>
      <c r="V2771" s="49"/>
      <c r="W2771" s="49"/>
      <c r="X2771" s="49" t="str">
        <f t="shared" si="3"/>
        <v>,</v>
      </c>
      <c r="Y2771" s="49"/>
      <c r="Z2771" s="49"/>
      <c r="AA2771" s="1" t="s">
        <v>3285</v>
      </c>
      <c r="AB2771" s="49"/>
      <c r="AC2771" s="49"/>
      <c r="AD2771" s="49"/>
      <c r="AE2771" s="49"/>
      <c r="AF2771" s="49" t="str">
        <f t="shared" si="4"/>
        <v>,</v>
      </c>
      <c r="AG2771" s="49"/>
      <c r="AH2771" s="1" t="s">
        <v>6117</v>
      </c>
      <c r="AI2771" s="1" t="s">
        <v>5494</v>
      </c>
      <c r="AJ2771" s="6" t="str">
        <f>IFERROR(__xludf.DUMMYFUNCTION("""COMPUTED_VALUE"""),"qualify")</f>
        <v>qualify</v>
      </c>
      <c r="AK2771" s="49"/>
      <c r="AL2771" s="49"/>
      <c r="AM2771" s="49"/>
      <c r="AN2771" s="52" t="str">
        <f t="shared" si="5"/>
        <v>charlie,</v>
      </c>
    </row>
    <row r="2772">
      <c r="A2772" s="51"/>
      <c r="B2772" s="50" t="s">
        <v>2006</v>
      </c>
      <c r="C2772" s="50" t="s">
        <v>4003</v>
      </c>
      <c r="D2772" s="49" t="str">
        <f>IFERROR(__xludf.DUMMYFUNCTION("""COMPUTED_VALUE"""),"pleased")</f>
        <v>pleased</v>
      </c>
      <c r="E2772" s="49"/>
      <c r="F2772" s="49"/>
      <c r="G2772" s="49"/>
      <c r="H2772" s="54" t="str">
        <f t="shared" si="1"/>
        <v>card,</v>
      </c>
      <c r="I2772" s="50"/>
      <c r="J2772" s="50"/>
      <c r="K2772" s="50" t="s">
        <v>5851</v>
      </c>
      <c r="L2772" s="49"/>
      <c r="M2772" s="49"/>
      <c r="N2772" s="49"/>
      <c r="O2772" s="49"/>
      <c r="P2772" s="49" t="str">
        <f t="shared" si="2"/>
        <v>,</v>
      </c>
      <c r="Q2772" s="49"/>
      <c r="R2772" s="49"/>
      <c r="S2772" s="55" t="s">
        <v>3607</v>
      </c>
      <c r="T2772" s="49"/>
      <c r="U2772" s="49"/>
      <c r="V2772" s="49"/>
      <c r="W2772" s="49"/>
      <c r="X2772" s="49" t="str">
        <f t="shared" si="3"/>
        <v>,</v>
      </c>
      <c r="Y2772" s="49"/>
      <c r="Z2772" s="49"/>
      <c r="AA2772" s="1" t="s">
        <v>5850</v>
      </c>
      <c r="AB2772" s="49"/>
      <c r="AC2772" s="49"/>
      <c r="AD2772" s="49"/>
      <c r="AE2772" s="49"/>
      <c r="AF2772" s="49" t="str">
        <f t="shared" si="4"/>
        <v>,</v>
      </c>
      <c r="AG2772" s="49"/>
      <c r="AH2772" s="1" t="s">
        <v>3768</v>
      </c>
      <c r="AI2772" s="1" t="s">
        <v>4772</v>
      </c>
      <c r="AJ2772" s="6" t="str">
        <f>IFERROR(__xludf.DUMMYFUNCTION("""COMPUTED_VALUE"""),"cry")</f>
        <v>cry</v>
      </c>
      <c r="AK2772" s="49"/>
      <c r="AL2772" s="49"/>
      <c r="AM2772" s="49"/>
      <c r="AN2772" s="52" t="str">
        <f t="shared" si="5"/>
        <v>zone,</v>
      </c>
    </row>
    <row r="2773">
      <c r="A2773" s="51"/>
      <c r="B2773" s="50" t="s">
        <v>1990</v>
      </c>
      <c r="C2773" s="50" t="s">
        <v>4007</v>
      </c>
      <c r="D2773" s="49" t="str">
        <f>IFERROR(__xludf.DUMMYFUNCTION("""COMPUTED_VALUE"""),"armed")</f>
        <v>armed</v>
      </c>
      <c r="E2773" s="49"/>
      <c r="F2773" s="49"/>
      <c r="G2773" s="49"/>
      <c r="H2773" s="54" t="str">
        <f t="shared" si="1"/>
        <v>subjects,</v>
      </c>
      <c r="I2773" s="50"/>
      <c r="J2773" s="50"/>
      <c r="K2773" s="50" t="s">
        <v>4377</v>
      </c>
      <c r="L2773" s="49"/>
      <c r="M2773" s="49"/>
      <c r="N2773" s="49"/>
      <c r="O2773" s="49"/>
      <c r="P2773" s="49" t="str">
        <f t="shared" si="2"/>
        <v>,</v>
      </c>
      <c r="Q2773" s="49"/>
      <c r="R2773" s="49"/>
      <c r="S2773" s="55" t="s">
        <v>5361</v>
      </c>
      <c r="T2773" s="49"/>
      <c r="U2773" s="49"/>
      <c r="V2773" s="49"/>
      <c r="W2773" s="49"/>
      <c r="X2773" s="49" t="str">
        <f t="shared" si="3"/>
        <v>,</v>
      </c>
      <c r="Y2773" s="49"/>
      <c r="Z2773" s="49"/>
      <c r="AA2773" s="1" t="s">
        <v>5807</v>
      </c>
      <c r="AB2773" s="49"/>
      <c r="AC2773" s="49"/>
      <c r="AD2773" s="49"/>
      <c r="AE2773" s="49"/>
      <c r="AF2773" s="49" t="str">
        <f t="shared" si="4"/>
        <v>,</v>
      </c>
      <c r="AG2773" s="49"/>
      <c r="AH2773" s="1" t="s">
        <v>6409</v>
      </c>
      <c r="AI2773" s="1" t="s">
        <v>5347</v>
      </c>
      <c r="AJ2773" s="6">
        <f>IFERROR(__xludf.DUMMYFUNCTION("""COMPUTED_VALUE"""),30.0)</f>
        <v>30</v>
      </c>
      <c r="AK2773" s="49"/>
      <c r="AL2773" s="49"/>
      <c r="AM2773" s="49"/>
      <c r="AN2773" s="52" t="str">
        <f t="shared" si="5"/>
        <v>push,</v>
      </c>
    </row>
    <row r="2774">
      <c r="A2774" s="51"/>
      <c r="B2774" s="50" t="s">
        <v>3831</v>
      </c>
      <c r="C2774" s="50" t="s">
        <v>6840</v>
      </c>
      <c r="D2774" s="49" t="str">
        <f>IFERROR(__xludf.DUMMYFUNCTION("""COMPUTED_VALUE"""),"championship")</f>
        <v>championship</v>
      </c>
      <c r="E2774" s="49"/>
      <c r="F2774" s="49"/>
      <c r="G2774" s="49"/>
      <c r="H2774" s="54" t="str">
        <f t="shared" si="1"/>
        <v>nation,</v>
      </c>
      <c r="I2774" s="50"/>
      <c r="J2774" s="50"/>
      <c r="K2774" s="50" t="s">
        <v>1695</v>
      </c>
      <c r="L2774" s="49"/>
      <c r="M2774" s="49"/>
      <c r="N2774" s="49"/>
      <c r="O2774" s="49"/>
      <c r="P2774" s="49" t="str">
        <f t="shared" si="2"/>
        <v>,</v>
      </c>
      <c r="Q2774" s="49"/>
      <c r="R2774" s="49"/>
      <c r="S2774" s="55" t="s">
        <v>4254</v>
      </c>
      <c r="T2774" s="49"/>
      <c r="U2774" s="49"/>
      <c r="V2774" s="49"/>
      <c r="W2774" s="49"/>
      <c r="X2774" s="49" t="str">
        <f t="shared" si="3"/>
        <v>,</v>
      </c>
      <c r="Y2774" s="49"/>
      <c r="Z2774" s="49"/>
      <c r="AA2774" s="1" t="s">
        <v>1705</v>
      </c>
      <c r="AB2774" s="49"/>
      <c r="AC2774" s="49"/>
      <c r="AD2774" s="49"/>
      <c r="AE2774" s="49"/>
      <c r="AF2774" s="49" t="str">
        <f t="shared" si="4"/>
        <v>,</v>
      </c>
      <c r="AG2774" s="49"/>
      <c r="AH2774" s="1" t="s">
        <v>2896</v>
      </c>
      <c r="AI2774" s="1" t="s">
        <v>6841</v>
      </c>
      <c r="AJ2774" s="6" t="str">
        <f>IFERROR(__xludf.DUMMYFUNCTION("""COMPUTED_VALUE"""),"claim")</f>
        <v>claim</v>
      </c>
      <c r="AK2774" s="49"/>
      <c r="AL2774" s="49"/>
      <c r="AM2774" s="49"/>
      <c r="AN2774" s="52" t="str">
        <f t="shared" si="5"/>
        <v>places,</v>
      </c>
    </row>
    <row r="2775">
      <c r="A2775" s="51"/>
      <c r="B2775" s="50" t="s">
        <v>7413</v>
      </c>
      <c r="C2775" s="50" t="s">
        <v>4013</v>
      </c>
      <c r="D2775" s="49" t="str">
        <f>IFERROR(__xludf.DUMMYFUNCTION("""COMPUTED_VALUE"""),"batting")</f>
        <v>batting</v>
      </c>
      <c r="E2775" s="49"/>
      <c r="F2775" s="49"/>
      <c r="G2775" s="49"/>
      <c r="H2775" s="54" t="str">
        <f t="shared" si="1"/>
        <v>amateur,</v>
      </c>
      <c r="I2775" s="50"/>
      <c r="J2775" s="50"/>
      <c r="K2775" s="50" t="s">
        <v>1726</v>
      </c>
      <c r="L2775" s="49"/>
      <c r="M2775" s="49"/>
      <c r="N2775" s="49"/>
      <c r="O2775" s="49"/>
      <c r="P2775" s="49" t="str">
        <f t="shared" si="2"/>
        <v>,</v>
      </c>
      <c r="Q2775" s="49"/>
      <c r="R2775" s="49"/>
      <c r="S2775" s="55" t="s">
        <v>1187</v>
      </c>
      <c r="T2775" s="49"/>
      <c r="U2775" s="49"/>
      <c r="V2775" s="49"/>
      <c r="W2775" s="49"/>
      <c r="X2775" s="49" t="str">
        <f t="shared" si="3"/>
        <v>,</v>
      </c>
      <c r="Y2775" s="49"/>
      <c r="Z2775" s="49"/>
      <c r="AA2775" s="1" t="s">
        <v>3297</v>
      </c>
      <c r="AB2775" s="49"/>
      <c r="AC2775" s="49"/>
      <c r="AD2775" s="49"/>
      <c r="AE2775" s="49"/>
      <c r="AF2775" s="49" t="str">
        <f t="shared" si="4"/>
        <v>,</v>
      </c>
      <c r="AG2775" s="49"/>
      <c r="AH2775" s="1" t="s">
        <v>2435</v>
      </c>
      <c r="AI2775" s="1" t="s">
        <v>4397</v>
      </c>
      <c r="AJ2775" s="6" t="str">
        <f>IFERROR(__xludf.DUMMYFUNCTION("""COMPUTED_VALUE"""),"breathe")</f>
        <v>breathe</v>
      </c>
      <c r="AK2775" s="49"/>
      <c r="AL2775" s="49"/>
      <c r="AM2775" s="49"/>
      <c r="AN2775" s="52" t="str">
        <f t="shared" si="5"/>
        <v>excited,</v>
      </c>
    </row>
    <row r="2776">
      <c r="A2776" s="51"/>
      <c r="B2776" s="50" t="s">
        <v>6040</v>
      </c>
      <c r="C2776" s="50" t="s">
        <v>5057</v>
      </c>
      <c r="D2776" s="49" t="str">
        <f>IFERROR(__xludf.DUMMYFUNCTION("""COMPUTED_VALUE"""),"explain")</f>
        <v>explain</v>
      </c>
      <c r="E2776" s="49"/>
      <c r="F2776" s="49"/>
      <c r="G2776" s="49"/>
      <c r="H2776" s="54" t="str">
        <f t="shared" si="1"/>
        <v>spreading,</v>
      </c>
      <c r="I2776" s="50"/>
      <c r="J2776" s="50"/>
      <c r="K2776" s="50" t="s">
        <v>5852</v>
      </c>
      <c r="L2776" s="49"/>
      <c r="M2776" s="49"/>
      <c r="N2776" s="49"/>
      <c r="O2776" s="49"/>
      <c r="P2776" s="49" t="str">
        <f t="shared" si="2"/>
        <v>,</v>
      </c>
      <c r="Q2776" s="49"/>
      <c r="R2776" s="49"/>
      <c r="S2776" s="55" t="s">
        <v>1351</v>
      </c>
      <c r="T2776" s="49"/>
      <c r="U2776" s="49"/>
      <c r="V2776" s="49"/>
      <c r="W2776" s="49"/>
      <c r="X2776" s="49" t="str">
        <f t="shared" si="3"/>
        <v>,</v>
      </c>
      <c r="Y2776" s="49"/>
      <c r="Z2776" s="49"/>
      <c r="AA2776" s="1" t="s">
        <v>3303</v>
      </c>
      <c r="AB2776" s="49"/>
      <c r="AC2776" s="49"/>
      <c r="AD2776" s="49"/>
      <c r="AE2776" s="49"/>
      <c r="AF2776" s="49" t="str">
        <f t="shared" si="4"/>
        <v>,</v>
      </c>
      <c r="AG2776" s="49"/>
      <c r="AH2776" s="1">
        <v>11.0</v>
      </c>
      <c r="AI2776" s="1" t="s">
        <v>5027</v>
      </c>
      <c r="AJ2776" s="6" t="str">
        <f>IFERROR(__xludf.DUMMYFUNCTION("""COMPUTED_VALUE"""),"contained")</f>
        <v>contained</v>
      </c>
      <c r="AK2776" s="49"/>
      <c r="AL2776" s="49"/>
      <c r="AM2776" s="49"/>
      <c r="AN2776" s="52" t="str">
        <f t="shared" si="5"/>
        <v>11,</v>
      </c>
    </row>
    <row r="2777">
      <c r="A2777" s="51"/>
      <c r="B2777" s="50" t="s">
        <v>1582</v>
      </c>
      <c r="C2777" s="50" t="s">
        <v>2797</v>
      </c>
      <c r="D2777" s="49" t="str">
        <f>IFERROR(__xludf.DUMMYFUNCTION("""COMPUTED_VALUE"""),"athletes")</f>
        <v>athletes</v>
      </c>
      <c r="E2777" s="49"/>
      <c r="F2777" s="49"/>
      <c r="G2777" s="49"/>
      <c r="H2777" s="54" t="str">
        <f t="shared" si="1"/>
        <v>national,</v>
      </c>
      <c r="I2777" s="50"/>
      <c r="J2777" s="50"/>
      <c r="K2777" s="50" t="s">
        <v>5383</v>
      </c>
      <c r="L2777" s="49"/>
      <c r="M2777" s="49"/>
      <c r="N2777" s="49"/>
      <c r="O2777" s="49"/>
      <c r="P2777" s="49" t="str">
        <f t="shared" si="2"/>
        <v>,</v>
      </c>
      <c r="Q2777" s="49"/>
      <c r="R2777" s="49"/>
      <c r="S2777" s="55" t="s">
        <v>5346</v>
      </c>
      <c r="T2777" s="49"/>
      <c r="U2777" s="49"/>
      <c r="V2777" s="49"/>
      <c r="W2777" s="49"/>
      <c r="X2777" s="49" t="str">
        <f t="shared" si="3"/>
        <v>,</v>
      </c>
      <c r="Y2777" s="49"/>
      <c r="Z2777" s="49"/>
      <c r="AA2777" s="1" t="s">
        <v>3306</v>
      </c>
      <c r="AB2777" s="49"/>
      <c r="AC2777" s="49"/>
      <c r="AD2777" s="49"/>
      <c r="AE2777" s="49"/>
      <c r="AF2777" s="49" t="str">
        <f t="shared" si="4"/>
        <v>,</v>
      </c>
      <c r="AG2777" s="49"/>
      <c r="AH2777" s="1" t="s">
        <v>4921</v>
      </c>
      <c r="AI2777" s="1">
        <v>1998.0</v>
      </c>
      <c r="AJ2777" s="6" t="str">
        <f>IFERROR(__xludf.DUMMYFUNCTION("""COMPUTED_VALUE"""),"celebrated")</f>
        <v>celebrated</v>
      </c>
      <c r="AK2777" s="49"/>
      <c r="AL2777" s="49"/>
      <c r="AM2777" s="49"/>
      <c r="AN2777" s="52" t="str">
        <f t="shared" si="5"/>
        <v>austrian,</v>
      </c>
    </row>
    <row r="2778">
      <c r="A2778" s="51"/>
      <c r="B2778" s="50" t="s">
        <v>6499</v>
      </c>
      <c r="C2778" s="50" t="s">
        <v>5516</v>
      </c>
      <c r="D2778" s="49" t="str">
        <f>IFERROR(__xludf.DUMMYFUNCTION("""COMPUTED_VALUE"""),"roots")</f>
        <v>roots</v>
      </c>
      <c r="E2778" s="49"/>
      <c r="F2778" s="49"/>
      <c r="G2778" s="49"/>
      <c r="H2778" s="54" t="str">
        <f t="shared" si="1"/>
        <v>helped,</v>
      </c>
      <c r="I2778" s="50"/>
      <c r="J2778" s="50"/>
      <c r="K2778" s="50" t="s">
        <v>5387</v>
      </c>
      <c r="L2778" s="49"/>
      <c r="M2778" s="49"/>
      <c r="N2778" s="49"/>
      <c r="O2778" s="49"/>
      <c r="P2778" s="49" t="str">
        <f t="shared" si="2"/>
        <v>,</v>
      </c>
      <c r="Q2778" s="49"/>
      <c r="R2778" s="49"/>
      <c r="S2778" s="55" t="s">
        <v>1354</v>
      </c>
      <c r="T2778" s="49"/>
      <c r="U2778" s="49"/>
      <c r="V2778" s="49"/>
      <c r="W2778" s="49"/>
      <c r="X2778" s="49" t="str">
        <f t="shared" si="3"/>
        <v>,</v>
      </c>
      <c r="Y2778" s="49"/>
      <c r="Z2778" s="49"/>
      <c r="AA2778" s="1" t="s">
        <v>3312</v>
      </c>
      <c r="AB2778" s="49"/>
      <c r="AC2778" s="49"/>
      <c r="AD2778" s="49"/>
      <c r="AE2778" s="49"/>
      <c r="AF2778" s="49" t="str">
        <f t="shared" si="4"/>
        <v>,</v>
      </c>
      <c r="AG2778" s="49"/>
      <c r="AH2778" s="1" t="s">
        <v>5413</v>
      </c>
      <c r="AI2778" s="1" t="s">
        <v>5830</v>
      </c>
      <c r="AJ2778" s="6" t="str">
        <f>IFERROR(__xludf.DUMMYFUNCTION("""COMPUTED_VALUE"""),"fault")</f>
        <v>fault</v>
      </c>
      <c r="AK2778" s="49"/>
      <c r="AL2778" s="49"/>
      <c r="AM2778" s="49"/>
      <c r="AN2778" s="52" t="str">
        <f t="shared" si="5"/>
        <v>diamond,</v>
      </c>
    </row>
    <row r="2779">
      <c r="A2779" s="51"/>
      <c r="B2779" s="50" t="s">
        <v>4091</v>
      </c>
      <c r="C2779" s="50" t="s">
        <v>2279</v>
      </c>
      <c r="D2779" s="49" t="str">
        <f>IFERROR(__xludf.DUMMYFUNCTION("""COMPUTED_VALUE"""),"joined")</f>
        <v>joined</v>
      </c>
      <c r="E2779" s="49"/>
      <c r="F2779" s="49"/>
      <c r="G2779" s="49"/>
      <c r="H2779" s="54" t="str">
        <f t="shared" si="1"/>
        <v>wind,</v>
      </c>
      <c r="I2779" s="50"/>
      <c r="J2779" s="50"/>
      <c r="K2779" s="50" t="s">
        <v>268</v>
      </c>
      <c r="L2779" s="49"/>
      <c r="M2779" s="49"/>
      <c r="N2779" s="49"/>
      <c r="O2779" s="49"/>
      <c r="P2779" s="49" t="str">
        <f t="shared" si="2"/>
        <v>,</v>
      </c>
      <c r="Q2779" s="49"/>
      <c r="R2779" s="49"/>
      <c r="S2779" s="55" t="s">
        <v>2439</v>
      </c>
      <c r="T2779" s="49"/>
      <c r="U2779" s="49"/>
      <c r="V2779" s="49"/>
      <c r="W2779" s="49"/>
      <c r="X2779" s="49" t="str">
        <f t="shared" si="3"/>
        <v>,</v>
      </c>
      <c r="Y2779" s="49"/>
      <c r="Z2779" s="49"/>
      <c r="AA2779" s="1" t="s">
        <v>5854</v>
      </c>
      <c r="AB2779" s="49"/>
      <c r="AC2779" s="49"/>
      <c r="AD2779" s="49"/>
      <c r="AE2779" s="49"/>
      <c r="AF2779" s="49" t="str">
        <f t="shared" si="4"/>
        <v>,</v>
      </c>
      <c r="AG2779" s="49"/>
      <c r="AH2779" s="1" t="s">
        <v>6491</v>
      </c>
      <c r="AI2779" s="1" t="s">
        <v>2533</v>
      </c>
      <c r="AJ2779" s="6" t="str">
        <f>IFERROR(__xludf.DUMMYFUNCTION("""COMPUTED_VALUE"""),"justice")</f>
        <v>justice</v>
      </c>
      <c r="AK2779" s="49"/>
      <c r="AL2779" s="49"/>
      <c r="AM2779" s="49"/>
      <c r="AN2779" s="52" t="str">
        <f t="shared" si="5"/>
        <v>fell,</v>
      </c>
    </row>
    <row r="2780">
      <c r="A2780" s="51"/>
      <c r="B2780" s="50" t="s">
        <v>4790</v>
      </c>
      <c r="C2780" s="50" t="s">
        <v>4852</v>
      </c>
      <c r="D2780" s="49" t="str">
        <f>IFERROR(__xludf.DUMMYFUNCTION("""COMPUTED_VALUE"""),"labor")</f>
        <v>labor</v>
      </c>
      <c r="E2780" s="49"/>
      <c r="F2780" s="49"/>
      <c r="G2780" s="49"/>
      <c r="H2780" s="54" t="str">
        <f t="shared" si="1"/>
        <v>split,</v>
      </c>
      <c r="I2780" s="50"/>
      <c r="J2780" s="50"/>
      <c r="K2780" s="50" t="s">
        <v>3690</v>
      </c>
      <c r="L2780" s="49"/>
      <c r="M2780" s="49"/>
      <c r="N2780" s="49"/>
      <c r="O2780" s="49"/>
      <c r="P2780" s="49" t="str">
        <f t="shared" si="2"/>
        <v>,</v>
      </c>
      <c r="Q2780" s="49"/>
      <c r="R2780" s="49"/>
      <c r="S2780" s="55" t="s">
        <v>4257</v>
      </c>
      <c r="T2780" s="49"/>
      <c r="U2780" s="49"/>
      <c r="V2780" s="49"/>
      <c r="W2780" s="49"/>
      <c r="X2780" s="49" t="str">
        <f t="shared" si="3"/>
        <v>,</v>
      </c>
      <c r="Y2780" s="49"/>
      <c r="Z2780" s="49"/>
      <c r="AA2780" s="1" t="s">
        <v>5855</v>
      </c>
      <c r="AB2780" s="49"/>
      <c r="AC2780" s="49"/>
      <c r="AD2780" s="49"/>
      <c r="AE2780" s="49"/>
      <c r="AF2780" s="49" t="str">
        <f t="shared" si="4"/>
        <v>,</v>
      </c>
      <c r="AG2780" s="49"/>
      <c r="AH2780" s="1" t="s">
        <v>5623</v>
      </c>
      <c r="AI2780" s="1" t="s">
        <v>5358</v>
      </c>
      <c r="AJ2780" s="6" t="str">
        <f>IFERROR(__xludf.DUMMYFUNCTION("""COMPUTED_VALUE"""),"alice")</f>
        <v>alice</v>
      </c>
      <c r="AK2780" s="49"/>
      <c r="AL2780" s="49"/>
      <c r="AM2780" s="49"/>
      <c r="AN2780" s="52" t="str">
        <f t="shared" si="5"/>
        <v>funeral,</v>
      </c>
    </row>
    <row r="2781">
      <c r="A2781" s="51"/>
      <c r="B2781" s="50" t="s">
        <v>3579</v>
      </c>
      <c r="C2781" s="50" t="s">
        <v>5060</v>
      </c>
      <c r="D2781" s="49" t="str">
        <f>IFERROR(__xludf.DUMMYFUNCTION("""COMPUTED_VALUE"""),"escort")</f>
        <v>escort</v>
      </c>
      <c r="E2781" s="49"/>
      <c r="F2781" s="49"/>
      <c r="G2781" s="49"/>
      <c r="H2781" s="54" t="str">
        <f t="shared" si="1"/>
        <v>ill,</v>
      </c>
      <c r="I2781" s="50"/>
      <c r="J2781" s="50"/>
      <c r="K2781" s="50" t="s">
        <v>5345</v>
      </c>
      <c r="L2781" s="49"/>
      <c r="M2781" s="49"/>
      <c r="N2781" s="49"/>
      <c r="O2781" s="49"/>
      <c r="P2781" s="49" t="str">
        <f t="shared" si="2"/>
        <v>,</v>
      </c>
      <c r="Q2781" s="49"/>
      <c r="R2781" s="49"/>
      <c r="S2781" s="55" t="s">
        <v>4258</v>
      </c>
      <c r="T2781" s="49"/>
      <c r="U2781" s="49"/>
      <c r="V2781" s="49"/>
      <c r="W2781" s="49"/>
      <c r="X2781" s="49" t="str">
        <f t="shared" si="3"/>
        <v>,</v>
      </c>
      <c r="Y2781" s="49"/>
      <c r="Z2781" s="49"/>
      <c r="AA2781" s="1" t="s">
        <v>5045</v>
      </c>
      <c r="AB2781" s="49"/>
      <c r="AC2781" s="49"/>
      <c r="AD2781" s="49"/>
      <c r="AE2781" s="49"/>
      <c r="AF2781" s="49" t="str">
        <f t="shared" si="4"/>
        <v>,</v>
      </c>
      <c r="AG2781" s="49"/>
      <c r="AH2781" s="1" t="s">
        <v>4884</v>
      </c>
      <c r="AI2781" s="1" t="s">
        <v>5389</v>
      </c>
      <c r="AJ2781" s="6" t="str">
        <f>IFERROR(__xludf.DUMMYFUNCTION("""COMPUTED_VALUE"""),"background")</f>
        <v>background</v>
      </c>
      <c r="AK2781" s="49"/>
      <c r="AL2781" s="49"/>
      <c r="AM2781" s="49"/>
      <c r="AN2781" s="52" t="str">
        <f t="shared" si="5"/>
        <v>lighting,</v>
      </c>
    </row>
    <row r="2782">
      <c r="A2782" s="51"/>
      <c r="B2782" s="50" t="s">
        <v>467</v>
      </c>
      <c r="C2782" s="50" t="s">
        <v>6750</v>
      </c>
      <c r="D2782" s="49" t="str">
        <f>IFERROR(__xludf.DUMMYFUNCTION("""COMPUTED_VALUE"""),"grown")</f>
        <v>grown</v>
      </c>
      <c r="E2782" s="49"/>
      <c r="F2782" s="49"/>
      <c r="G2782" s="49"/>
      <c r="H2782" s="54" t="str">
        <f t="shared" si="1"/>
        <v>offensive,</v>
      </c>
      <c r="I2782" s="50"/>
      <c r="J2782" s="50"/>
      <c r="K2782" s="50" t="s">
        <v>2116</v>
      </c>
      <c r="L2782" s="49"/>
      <c r="M2782" s="49"/>
      <c r="N2782" s="49"/>
      <c r="O2782" s="49"/>
      <c r="P2782" s="49" t="str">
        <f t="shared" si="2"/>
        <v>,</v>
      </c>
      <c r="Q2782" s="49"/>
      <c r="R2782" s="49"/>
      <c r="S2782" s="55" t="s">
        <v>1358</v>
      </c>
      <c r="T2782" s="49"/>
      <c r="U2782" s="49"/>
      <c r="V2782" s="49"/>
      <c r="W2782" s="49"/>
      <c r="X2782" s="49" t="str">
        <f t="shared" si="3"/>
        <v>,</v>
      </c>
      <c r="Y2782" s="49"/>
      <c r="Z2782" s="49"/>
      <c r="AA2782" s="1" t="s">
        <v>5857</v>
      </c>
      <c r="AB2782" s="49"/>
      <c r="AC2782" s="49"/>
      <c r="AD2782" s="49"/>
      <c r="AE2782" s="49"/>
      <c r="AF2782" s="49" t="str">
        <f t="shared" si="4"/>
        <v>,</v>
      </c>
      <c r="AG2782" s="49"/>
      <c r="AH2782" s="1" t="s">
        <v>4096</v>
      </c>
      <c r="AI2782" s="1" t="s">
        <v>3673</v>
      </c>
      <c r="AJ2782" s="6" t="str">
        <f>IFERROR(__xludf.DUMMYFUNCTION("""COMPUTED_VALUE"""),"runner")</f>
        <v>runner</v>
      </c>
      <c r="AK2782" s="49"/>
      <c r="AL2782" s="49"/>
      <c r="AM2782" s="49"/>
      <c r="AN2782" s="52" t="str">
        <f t="shared" si="5"/>
        <v>forth,</v>
      </c>
    </row>
    <row r="2783">
      <c r="A2783" s="51"/>
      <c r="B2783" s="50" t="s">
        <v>2383</v>
      </c>
      <c r="C2783" s="50" t="s">
        <v>5681</v>
      </c>
      <c r="D2783" s="49" t="str">
        <f>IFERROR(__xludf.DUMMYFUNCTION("""COMPUTED_VALUE"""),"flesh")</f>
        <v>flesh</v>
      </c>
      <c r="E2783" s="49"/>
      <c r="F2783" s="49"/>
      <c r="G2783" s="49"/>
      <c r="H2783" s="54" t="str">
        <f t="shared" si="1"/>
        <v>adult,</v>
      </c>
      <c r="I2783" s="50"/>
      <c r="J2783" s="50"/>
      <c r="K2783" s="50" t="s">
        <v>5859</v>
      </c>
      <c r="L2783" s="49"/>
      <c r="M2783" s="49"/>
      <c r="N2783" s="49"/>
      <c r="O2783" s="49"/>
      <c r="P2783" s="49" t="str">
        <f t="shared" si="2"/>
        <v>,</v>
      </c>
      <c r="Q2783" s="49"/>
      <c r="R2783" s="49"/>
      <c r="S2783" s="55" t="s">
        <v>2445</v>
      </c>
      <c r="T2783" s="49"/>
      <c r="U2783" s="49"/>
      <c r="V2783" s="49"/>
      <c r="W2783" s="49"/>
      <c r="X2783" s="49" t="str">
        <f t="shared" si="3"/>
        <v>,</v>
      </c>
      <c r="Y2783" s="49"/>
      <c r="Z2783" s="49"/>
      <c r="AA2783" s="1" t="s">
        <v>5858</v>
      </c>
      <c r="AB2783" s="49"/>
      <c r="AC2783" s="49"/>
      <c r="AD2783" s="49"/>
      <c r="AE2783" s="49"/>
      <c r="AF2783" s="49" t="str">
        <f t="shared" si="4"/>
        <v>,</v>
      </c>
      <c r="AG2783" s="49"/>
      <c r="AH2783" s="1" t="s">
        <v>2668</v>
      </c>
      <c r="AI2783" s="1" t="s">
        <v>1549</v>
      </c>
      <c r="AJ2783" s="6" t="str">
        <f>IFERROR(__xludf.DUMMYFUNCTION("""COMPUTED_VALUE"""),"sport")</f>
        <v>sport</v>
      </c>
      <c r="AK2783" s="49"/>
      <c r="AL2783" s="49"/>
      <c r="AM2783" s="49"/>
      <c r="AN2783" s="52" t="str">
        <f t="shared" si="5"/>
        <v>areas,</v>
      </c>
    </row>
    <row r="2784">
      <c r="A2784" s="51"/>
      <c r="B2784" s="50" t="s">
        <v>4246</v>
      </c>
      <c r="C2784" s="50" t="s">
        <v>6751</v>
      </c>
      <c r="D2784" s="49" t="str">
        <f>IFERROR(__xludf.DUMMYFUNCTION("""COMPUTED_VALUE"""),"dozens")</f>
        <v>dozens</v>
      </c>
      <c r="E2784" s="49"/>
      <c r="F2784" s="49"/>
      <c r="G2784" s="49"/>
      <c r="H2784" s="54" t="str">
        <f t="shared" si="1"/>
        <v>references,</v>
      </c>
      <c r="I2784" s="50"/>
      <c r="J2784" s="50"/>
      <c r="K2784" s="50" t="s">
        <v>4387</v>
      </c>
      <c r="L2784" s="49"/>
      <c r="M2784" s="49"/>
      <c r="N2784" s="49"/>
      <c r="O2784" s="49"/>
      <c r="P2784" s="49" t="str">
        <f t="shared" si="2"/>
        <v>,</v>
      </c>
      <c r="Q2784" s="49"/>
      <c r="R2784" s="49"/>
      <c r="S2784" s="55" t="s">
        <v>2448</v>
      </c>
      <c r="T2784" s="49"/>
      <c r="U2784" s="49"/>
      <c r="V2784" s="49"/>
      <c r="W2784" s="49"/>
      <c r="X2784" s="49" t="str">
        <f t="shared" si="3"/>
        <v>,</v>
      </c>
      <c r="Y2784" s="49"/>
      <c r="Z2784" s="49"/>
      <c r="AA2784" s="1" t="s">
        <v>5860</v>
      </c>
      <c r="AB2784" s="49"/>
      <c r="AC2784" s="49"/>
      <c r="AD2784" s="49"/>
      <c r="AE2784" s="49"/>
      <c r="AF2784" s="49" t="str">
        <f t="shared" si="4"/>
        <v>,</v>
      </c>
      <c r="AG2784" s="49"/>
      <c r="AH2784" s="1">
        <v>48.0</v>
      </c>
      <c r="AI2784" s="1" t="s">
        <v>3998</v>
      </c>
      <c r="AJ2784" s="6" t="str">
        <f>IFERROR(__xludf.DUMMYFUNCTION("""COMPUTED_VALUE"""),"treatment")</f>
        <v>treatment</v>
      </c>
      <c r="AK2784" s="49"/>
      <c r="AL2784" s="49"/>
      <c r="AM2784" s="49"/>
      <c r="AN2784" s="52" t="str">
        <f t="shared" si="5"/>
        <v>48,</v>
      </c>
    </row>
    <row r="2785">
      <c r="A2785" s="51"/>
      <c r="B2785" s="50" t="s">
        <v>1608</v>
      </c>
      <c r="C2785" s="50" t="s">
        <v>4021</v>
      </c>
      <c r="D2785" s="49" t="str">
        <f>IFERROR(__xludf.DUMMYFUNCTION("""COMPUTED_VALUE"""),"illness")</f>
        <v>illness</v>
      </c>
      <c r="E2785" s="49"/>
      <c r="F2785" s="49"/>
      <c r="G2785" s="49"/>
      <c r="H2785" s="54" t="str">
        <f t="shared" si="1"/>
        <v>opera,</v>
      </c>
      <c r="I2785" s="50"/>
      <c r="J2785" s="50"/>
      <c r="K2785" s="50" t="s">
        <v>4389</v>
      </c>
      <c r="L2785" s="49"/>
      <c r="M2785" s="49"/>
      <c r="N2785" s="49"/>
      <c r="O2785" s="49"/>
      <c r="P2785" s="49" t="str">
        <f t="shared" si="2"/>
        <v>,</v>
      </c>
      <c r="Q2785" s="49"/>
      <c r="R2785" s="49"/>
      <c r="S2785" s="55" t="s">
        <v>1624</v>
      </c>
      <c r="T2785" s="49"/>
      <c r="U2785" s="49"/>
      <c r="V2785" s="49"/>
      <c r="W2785" s="49"/>
      <c r="X2785" s="49" t="str">
        <f t="shared" si="3"/>
        <v>,</v>
      </c>
      <c r="Y2785" s="49"/>
      <c r="Z2785" s="49"/>
      <c r="AA2785" s="1" t="s">
        <v>5861</v>
      </c>
      <c r="AB2785" s="49"/>
      <c r="AC2785" s="49"/>
      <c r="AD2785" s="49"/>
      <c r="AE2785" s="49"/>
      <c r="AF2785" s="49" t="str">
        <f t="shared" si="4"/>
        <v>,</v>
      </c>
      <c r="AG2785" s="49"/>
      <c r="AH2785" s="1" t="s">
        <v>6607</v>
      </c>
      <c r="AI2785" s="1" t="s">
        <v>4271</v>
      </c>
      <c r="AJ2785" s="6" t="str">
        <f>IFERROR(__xludf.DUMMYFUNCTION("""COMPUTED_VALUE"""),"pushing")</f>
        <v>pushing</v>
      </c>
      <c r="AK2785" s="49"/>
      <c r="AL2785" s="49"/>
      <c r="AM2785" s="49"/>
      <c r="AN2785" s="52" t="str">
        <f t="shared" si="5"/>
        <v>ash,</v>
      </c>
    </row>
    <row r="2786">
      <c r="A2786" s="51"/>
      <c r="B2786" s="50" t="s">
        <v>3108</v>
      </c>
      <c r="C2786" s="50" t="s">
        <v>5686</v>
      </c>
      <c r="D2786" s="49" t="str">
        <f>IFERROR(__xludf.DUMMYFUNCTION("""COMPUTED_VALUE"""),"reviews")</f>
        <v>reviews</v>
      </c>
      <c r="E2786" s="49"/>
      <c r="F2786" s="49"/>
      <c r="G2786" s="49"/>
      <c r="H2786" s="54" t="str">
        <f t="shared" si="1"/>
        <v>rat,</v>
      </c>
      <c r="I2786" s="50"/>
      <c r="J2786" s="50"/>
      <c r="K2786" s="50" t="s">
        <v>574</v>
      </c>
      <c r="L2786" s="49"/>
      <c r="M2786" s="49"/>
      <c r="N2786" s="49"/>
      <c r="O2786" s="49"/>
      <c r="P2786" s="49" t="str">
        <f t="shared" si="2"/>
        <v>,</v>
      </c>
      <c r="Q2786" s="49"/>
      <c r="R2786" s="49"/>
      <c r="S2786" s="55" t="s">
        <v>4263</v>
      </c>
      <c r="T2786" s="49"/>
      <c r="U2786" s="49"/>
      <c r="V2786" s="49"/>
      <c r="W2786" s="49"/>
      <c r="X2786" s="49" t="str">
        <f t="shared" si="3"/>
        <v>,</v>
      </c>
      <c r="Y2786" s="49"/>
      <c r="Z2786" s="49"/>
      <c r="AA2786" s="1" t="s">
        <v>5862</v>
      </c>
      <c r="AB2786" s="49"/>
      <c r="AC2786" s="49"/>
      <c r="AD2786" s="49"/>
      <c r="AE2786" s="49"/>
      <c r="AF2786" s="49" t="str">
        <f t="shared" si="4"/>
        <v>,</v>
      </c>
      <c r="AG2786" s="49"/>
      <c r="AH2786" s="1" t="s">
        <v>3972</v>
      </c>
      <c r="AI2786" s="1" t="s">
        <v>1415</v>
      </c>
      <c r="AJ2786" s="6" t="str">
        <f>IFERROR(__xludf.DUMMYFUNCTION("""COMPUTED_VALUE"""),"chapter")</f>
        <v>chapter</v>
      </c>
      <c r="AK2786" s="49"/>
      <c r="AL2786" s="49"/>
      <c r="AM2786" s="49"/>
      <c r="AN2786" s="52" t="str">
        <f t="shared" si="5"/>
        <v>wear,</v>
      </c>
    </row>
    <row r="2787">
      <c r="A2787" s="51"/>
      <c r="B2787" s="50" t="s">
        <v>6495</v>
      </c>
      <c r="C2787" s="50" t="s">
        <v>4603</v>
      </c>
      <c r="D2787" s="49" t="str">
        <f>IFERROR(__xludf.DUMMYFUNCTION("""COMPUTED_VALUE"""),"jordan")</f>
        <v>jordan</v>
      </c>
      <c r="E2787" s="49"/>
      <c r="F2787" s="49"/>
      <c r="G2787" s="49"/>
      <c r="H2787" s="54" t="str">
        <f t="shared" si="1"/>
        <v>attitude,</v>
      </c>
      <c r="I2787" s="50"/>
      <c r="J2787" s="50"/>
      <c r="K2787" s="50" t="s">
        <v>5678</v>
      </c>
      <c r="L2787" s="49"/>
      <c r="M2787" s="49"/>
      <c r="N2787" s="49"/>
      <c r="O2787" s="49"/>
      <c r="P2787" s="49" t="str">
        <f t="shared" si="2"/>
        <v>,</v>
      </c>
      <c r="Q2787" s="49"/>
      <c r="R2787" s="49"/>
      <c r="S2787" s="55" t="s">
        <v>5907</v>
      </c>
      <c r="T2787" s="49"/>
      <c r="U2787" s="49"/>
      <c r="V2787" s="49"/>
      <c r="W2787" s="49"/>
      <c r="X2787" s="49" t="str">
        <f t="shared" si="3"/>
        <v>,</v>
      </c>
      <c r="Y2787" s="49"/>
      <c r="Z2787" s="49"/>
      <c r="AA2787" s="1" t="s">
        <v>5618</v>
      </c>
      <c r="AB2787" s="49"/>
      <c r="AC2787" s="49"/>
      <c r="AD2787" s="49"/>
      <c r="AE2787" s="49"/>
      <c r="AF2787" s="49" t="str">
        <f t="shared" si="4"/>
        <v>,</v>
      </c>
      <c r="AG2787" s="49"/>
      <c r="AH2787" s="1" t="s">
        <v>1039</v>
      </c>
      <c r="AI2787" s="1" t="s">
        <v>3646</v>
      </c>
      <c r="AJ2787" s="6" t="str">
        <f>IFERROR(__xludf.DUMMYFUNCTION("""COMPUTED_VALUE"""),"represented")</f>
        <v>represented</v>
      </c>
      <c r="AK2787" s="49"/>
      <c r="AL2787" s="49"/>
      <c r="AM2787" s="49"/>
      <c r="AN2787" s="52" t="str">
        <f t="shared" si="5"/>
        <v>served,</v>
      </c>
    </row>
    <row r="2788">
      <c r="A2788" s="51"/>
      <c r="B2788" s="50" t="s">
        <v>1736</v>
      </c>
      <c r="C2788" s="50" t="s">
        <v>5897</v>
      </c>
      <c r="D2788" s="49" t="str">
        <f>IFERROR(__xludf.DUMMYFUNCTION("""COMPUTED_VALUE"""),"controversy")</f>
        <v>controversy</v>
      </c>
      <c r="E2788" s="49"/>
      <c r="F2788" s="49"/>
      <c r="G2788" s="49"/>
      <c r="H2788" s="54" t="str">
        <f t="shared" si="1"/>
        <v>argues,</v>
      </c>
      <c r="I2788" s="50"/>
      <c r="J2788" s="50"/>
      <c r="K2788" s="50" t="s">
        <v>2552</v>
      </c>
      <c r="L2788" s="49"/>
      <c r="M2788" s="49"/>
      <c r="N2788" s="49"/>
      <c r="O2788" s="49"/>
      <c r="P2788" s="49" t="str">
        <f t="shared" si="2"/>
        <v>,</v>
      </c>
      <c r="Q2788" s="49"/>
      <c r="R2788" s="49"/>
      <c r="S2788" s="55" t="s">
        <v>4265</v>
      </c>
      <c r="T2788" s="49"/>
      <c r="U2788" s="49"/>
      <c r="V2788" s="49"/>
      <c r="W2788" s="49"/>
      <c r="X2788" s="49" t="str">
        <f t="shared" si="3"/>
        <v>,</v>
      </c>
      <c r="Y2788" s="49"/>
      <c r="Z2788" s="49"/>
      <c r="AA2788" s="1" t="s">
        <v>3327</v>
      </c>
      <c r="AB2788" s="49"/>
      <c r="AC2788" s="49"/>
      <c r="AD2788" s="49"/>
      <c r="AE2788" s="49"/>
      <c r="AF2788" s="49" t="str">
        <f t="shared" si="4"/>
        <v>,</v>
      </c>
      <c r="AG2788" s="49"/>
      <c r="AH2788" s="1" t="s">
        <v>3063</v>
      </c>
      <c r="AI2788" s="1" t="s">
        <v>2013</v>
      </c>
      <c r="AJ2788" s="6" t="str">
        <f>IFERROR(__xludf.DUMMYFUNCTION("""COMPUTED_VALUE"""),"interests")</f>
        <v>interests</v>
      </c>
      <c r="AK2788" s="49"/>
      <c r="AL2788" s="49"/>
      <c r="AM2788" s="49"/>
      <c r="AN2788" s="52" t="str">
        <f t="shared" si="5"/>
        <v>latin,</v>
      </c>
    </row>
    <row r="2789">
      <c r="A2789" s="51"/>
      <c r="B2789" s="50" t="s">
        <v>3698</v>
      </c>
      <c r="C2789" s="50" t="s">
        <v>6752</v>
      </c>
      <c r="D2789" s="49" t="str">
        <f>IFERROR(__xludf.DUMMYFUNCTION("""COMPUTED_VALUE"""),"intervention")</f>
        <v>intervention</v>
      </c>
      <c r="E2789" s="49"/>
      <c r="F2789" s="49"/>
      <c r="G2789" s="49"/>
      <c r="H2789" s="54" t="str">
        <f t="shared" si="1"/>
        <v>theory,</v>
      </c>
      <c r="I2789" s="50"/>
      <c r="J2789" s="50"/>
      <c r="K2789" s="50" t="s">
        <v>2556</v>
      </c>
      <c r="L2789" s="49"/>
      <c r="M2789" s="49"/>
      <c r="N2789" s="49"/>
      <c r="O2789" s="49"/>
      <c r="P2789" s="49" t="str">
        <f t="shared" si="2"/>
        <v>,</v>
      </c>
      <c r="Q2789" s="49"/>
      <c r="R2789" s="49"/>
      <c r="S2789" s="55">
        <v>1938.0</v>
      </c>
      <c r="T2789" s="49"/>
      <c r="U2789" s="49"/>
      <c r="V2789" s="49"/>
      <c r="W2789" s="49"/>
      <c r="X2789" s="49" t="str">
        <f t="shared" si="3"/>
        <v>,</v>
      </c>
      <c r="Y2789" s="49"/>
      <c r="Z2789" s="49"/>
      <c r="AA2789" s="1" t="s">
        <v>5865</v>
      </c>
      <c r="AB2789" s="49"/>
      <c r="AC2789" s="49"/>
      <c r="AD2789" s="49"/>
      <c r="AE2789" s="49"/>
      <c r="AF2789" s="49" t="str">
        <f t="shared" si="4"/>
        <v>,</v>
      </c>
      <c r="AG2789" s="49"/>
      <c r="AH2789" s="1" t="s">
        <v>7644</v>
      </c>
      <c r="AI2789" s="1" t="s">
        <v>5140</v>
      </c>
      <c r="AJ2789" s="6" t="str">
        <f>IFERROR(__xludf.DUMMYFUNCTION("""COMPUTED_VALUE"""),"kingdom")</f>
        <v>kingdom</v>
      </c>
      <c r="AK2789" s="49"/>
      <c r="AL2789" s="49"/>
      <c r="AM2789" s="49"/>
      <c r="AN2789" s="52" t="str">
        <f t="shared" si="5"/>
        <v>slide,</v>
      </c>
    </row>
    <row r="2790">
      <c r="A2790" s="51"/>
      <c r="B2790" s="50" t="s">
        <v>5327</v>
      </c>
      <c r="C2790" s="50" t="s">
        <v>1503</v>
      </c>
      <c r="D2790" s="49" t="str">
        <f>IFERROR(__xludf.DUMMYFUNCTION("""COMPUTED_VALUE"""),"europe")</f>
        <v>europe</v>
      </c>
      <c r="E2790" s="49"/>
      <c r="F2790" s="49"/>
      <c r="G2790" s="49"/>
      <c r="H2790" s="54" t="str">
        <f t="shared" si="1"/>
        <v>numbers,</v>
      </c>
      <c r="I2790" s="50"/>
      <c r="J2790" s="50"/>
      <c r="K2790" s="50" t="s">
        <v>5336</v>
      </c>
      <c r="L2790" s="49"/>
      <c r="M2790" s="49"/>
      <c r="N2790" s="49"/>
      <c r="O2790" s="49"/>
      <c r="P2790" s="49" t="str">
        <f t="shared" si="2"/>
        <v>,</v>
      </c>
      <c r="Q2790" s="49"/>
      <c r="R2790" s="49"/>
      <c r="S2790" s="55" t="s">
        <v>135</v>
      </c>
      <c r="T2790" s="49"/>
      <c r="U2790" s="49"/>
      <c r="V2790" s="49"/>
      <c r="W2790" s="49"/>
      <c r="X2790" s="49" t="str">
        <f t="shared" si="3"/>
        <v>,</v>
      </c>
      <c r="Y2790" s="49"/>
      <c r="Z2790" s="49"/>
      <c r="AA2790" s="1" t="s">
        <v>3339</v>
      </c>
      <c r="AB2790" s="49"/>
      <c r="AC2790" s="49"/>
      <c r="AD2790" s="49"/>
      <c r="AE2790" s="49"/>
      <c r="AF2790" s="49" t="str">
        <f t="shared" si="4"/>
        <v>,</v>
      </c>
      <c r="AG2790" s="49"/>
      <c r="AH2790" s="1" t="s">
        <v>2590</v>
      </c>
      <c r="AI2790" s="1" t="s">
        <v>6842</v>
      </c>
      <c r="AJ2790" s="6" t="str">
        <f>IFERROR(__xludf.DUMMYFUNCTION("""COMPUTED_VALUE"""),"poet")</f>
        <v>poet</v>
      </c>
      <c r="AK2790" s="49"/>
      <c r="AL2790" s="49"/>
      <c r="AM2790" s="49"/>
      <c r="AN2790" s="52" t="str">
        <f t="shared" si="5"/>
        <v>pace,</v>
      </c>
    </row>
    <row r="2791">
      <c r="A2791" s="51"/>
      <c r="B2791" s="50" t="s">
        <v>6550</v>
      </c>
      <c r="C2791" s="50" t="s">
        <v>6753</v>
      </c>
      <c r="D2791" s="49" t="str">
        <f>IFERROR(__xludf.DUMMYFUNCTION("""COMPUTED_VALUE"""),"monsters")</f>
        <v>monsters</v>
      </c>
      <c r="E2791" s="49"/>
      <c r="F2791" s="49"/>
      <c r="G2791" s="49"/>
      <c r="H2791" s="54" t="str">
        <f t="shared" si="1"/>
        <v>shopping,</v>
      </c>
      <c r="I2791" s="50"/>
      <c r="J2791" s="50"/>
      <c r="K2791" s="50" t="s">
        <v>4393</v>
      </c>
      <c r="L2791" s="49"/>
      <c r="M2791" s="49"/>
      <c r="N2791" s="49"/>
      <c r="O2791" s="49"/>
      <c r="P2791" s="49" t="str">
        <f t="shared" si="2"/>
        <v>,</v>
      </c>
      <c r="Q2791" s="49"/>
      <c r="R2791" s="49"/>
      <c r="S2791" s="55" t="s">
        <v>2455</v>
      </c>
      <c r="T2791" s="49"/>
      <c r="U2791" s="49"/>
      <c r="V2791" s="49"/>
      <c r="W2791" s="49"/>
      <c r="X2791" s="49" t="str">
        <f t="shared" si="3"/>
        <v>,</v>
      </c>
      <c r="Y2791" s="49"/>
      <c r="Z2791" s="49"/>
      <c r="AA2791" s="1" t="s">
        <v>3341</v>
      </c>
      <c r="AB2791" s="49"/>
      <c r="AC2791" s="49"/>
      <c r="AD2791" s="49"/>
      <c r="AE2791" s="49"/>
      <c r="AF2791" s="49" t="str">
        <f t="shared" si="4"/>
        <v>,</v>
      </c>
      <c r="AG2791" s="49"/>
      <c r="AH2791" s="1" t="s">
        <v>4958</v>
      </c>
      <c r="AI2791" s="1" t="s">
        <v>5369</v>
      </c>
      <c r="AJ2791" s="6" t="str">
        <f>IFERROR(__xludf.DUMMYFUNCTION("""COMPUTED_VALUE"""),"thirteen")</f>
        <v>thirteen</v>
      </c>
      <c r="AK2791" s="49"/>
      <c r="AL2791" s="49"/>
      <c r="AM2791" s="49"/>
      <c r="AN2791" s="52" t="str">
        <f t="shared" si="5"/>
        <v>improvement,</v>
      </c>
    </row>
    <row r="2792">
      <c r="A2792" s="51"/>
      <c r="B2792" s="50" t="s">
        <v>2257</v>
      </c>
      <c r="C2792" s="50" t="s">
        <v>5530</v>
      </c>
      <c r="D2792" s="49" t="str">
        <f>IFERROR(__xludf.DUMMYFUNCTION("""COMPUTED_VALUE"""),"landing")</f>
        <v>landing</v>
      </c>
      <c r="E2792" s="49"/>
      <c r="F2792" s="49"/>
      <c r="G2792" s="49"/>
      <c r="H2792" s="54" t="str">
        <f t="shared" si="1"/>
        <v>punishment,</v>
      </c>
      <c r="I2792" s="50"/>
      <c r="J2792" s="50"/>
      <c r="K2792" s="50" t="s">
        <v>1433</v>
      </c>
      <c r="L2792" s="49"/>
      <c r="M2792" s="49"/>
      <c r="N2792" s="49"/>
      <c r="O2792" s="49"/>
      <c r="P2792" s="49" t="str">
        <f t="shared" si="2"/>
        <v>,</v>
      </c>
      <c r="Q2792" s="49"/>
      <c r="R2792" s="49"/>
      <c r="S2792" s="55" t="s">
        <v>2459</v>
      </c>
      <c r="T2792" s="49"/>
      <c r="U2792" s="49"/>
      <c r="V2792" s="49"/>
      <c r="W2792" s="49"/>
      <c r="X2792" s="49" t="str">
        <f t="shared" si="3"/>
        <v>,</v>
      </c>
      <c r="Y2792" s="49"/>
      <c r="Z2792" s="49"/>
      <c r="AA2792" s="1" t="s">
        <v>5867</v>
      </c>
      <c r="AB2792" s="49"/>
      <c r="AC2792" s="49"/>
      <c r="AD2792" s="49"/>
      <c r="AE2792" s="49"/>
      <c r="AF2792" s="49" t="str">
        <f t="shared" si="4"/>
        <v>,</v>
      </c>
      <c r="AG2792" s="49"/>
      <c r="AH2792" s="1" t="s">
        <v>3555</v>
      </c>
      <c r="AI2792" s="1" t="s">
        <v>5748</v>
      </c>
      <c r="AJ2792" s="6" t="str">
        <f>IFERROR(__xludf.DUMMYFUNCTION("""COMPUTED_VALUE"""),"rough")</f>
        <v>rough</v>
      </c>
      <c r="AK2792" s="49"/>
      <c r="AL2792" s="49"/>
      <c r="AM2792" s="49"/>
      <c r="AN2792" s="52" t="str">
        <f t="shared" si="5"/>
        <v>hitting,</v>
      </c>
    </row>
    <row r="2793">
      <c r="A2793" s="51"/>
      <c r="B2793" s="50" t="s">
        <v>2076</v>
      </c>
      <c r="C2793" s="50" t="s">
        <v>3109</v>
      </c>
      <c r="D2793" s="49" t="str">
        <f>IFERROR(__xludf.DUMMYFUNCTION("""COMPUTED_VALUE"""),"rally")</f>
        <v>rally</v>
      </c>
      <c r="E2793" s="49"/>
      <c r="F2793" s="49"/>
      <c r="G2793" s="49"/>
      <c r="H2793" s="54" t="str">
        <f t="shared" si="1"/>
        <v>missed,</v>
      </c>
      <c r="I2793" s="50"/>
      <c r="J2793" s="50"/>
      <c r="K2793" s="50" t="s">
        <v>1630</v>
      </c>
      <c r="L2793" s="49"/>
      <c r="M2793" s="49"/>
      <c r="N2793" s="49"/>
      <c r="O2793" s="49"/>
      <c r="P2793" s="49" t="str">
        <f t="shared" si="2"/>
        <v>,</v>
      </c>
      <c r="Q2793" s="49"/>
      <c r="R2793" s="49"/>
      <c r="S2793" s="55" t="s">
        <v>6826</v>
      </c>
      <c r="T2793" s="49"/>
      <c r="U2793" s="49"/>
      <c r="V2793" s="49"/>
      <c r="W2793" s="49"/>
      <c r="X2793" s="49" t="str">
        <f t="shared" si="3"/>
        <v>,</v>
      </c>
      <c r="Y2793" s="49"/>
      <c r="Z2793" s="49"/>
      <c r="AA2793" s="1" t="s">
        <v>3344</v>
      </c>
      <c r="AB2793" s="49"/>
      <c r="AC2793" s="49"/>
      <c r="AD2793" s="49"/>
      <c r="AE2793" s="49"/>
      <c r="AF2793" s="49" t="str">
        <f t="shared" si="4"/>
        <v>,</v>
      </c>
      <c r="AG2793" s="49"/>
      <c r="AH2793" s="1" t="s">
        <v>5802</v>
      </c>
      <c r="AI2793" s="1" t="s">
        <v>4264</v>
      </c>
      <c r="AJ2793" s="6" t="str">
        <f>IFERROR(__xludf.DUMMYFUNCTION("""COMPUTED_VALUE"""),"bath")</f>
        <v>bath</v>
      </c>
      <c r="AK2793" s="49"/>
      <c r="AL2793" s="49"/>
      <c r="AM2793" s="49"/>
      <c r="AN2793" s="52" t="str">
        <f t="shared" si="5"/>
        <v>conversion,</v>
      </c>
    </row>
    <row r="2794">
      <c r="A2794" s="51"/>
      <c r="B2794" s="50" t="s">
        <v>6945</v>
      </c>
      <c r="C2794" s="50" t="s">
        <v>6755</v>
      </c>
      <c r="D2794" s="49" t="str">
        <f>IFERROR(__xludf.DUMMYFUNCTION("""COMPUTED_VALUE"""),"suffer")</f>
        <v>suffer</v>
      </c>
      <c r="E2794" s="49"/>
      <c r="F2794" s="49"/>
      <c r="G2794" s="49"/>
      <c r="H2794" s="54" t="str">
        <f t="shared" si="1"/>
        <v>massive,</v>
      </c>
      <c r="I2794" s="50"/>
      <c r="J2794" s="50"/>
      <c r="K2794" s="50" t="s">
        <v>2562</v>
      </c>
      <c r="L2794" s="49"/>
      <c r="M2794" s="49"/>
      <c r="N2794" s="49"/>
      <c r="O2794" s="49"/>
      <c r="P2794" s="49" t="str">
        <f t="shared" si="2"/>
        <v>,</v>
      </c>
      <c r="Q2794" s="49"/>
      <c r="R2794" s="49"/>
      <c r="S2794" s="55" t="s">
        <v>5769</v>
      </c>
      <c r="T2794" s="49"/>
      <c r="U2794" s="49"/>
      <c r="V2794" s="49"/>
      <c r="W2794" s="49"/>
      <c r="X2794" s="49" t="str">
        <f t="shared" si="3"/>
        <v>,</v>
      </c>
      <c r="Y2794" s="49"/>
      <c r="Z2794" s="49"/>
      <c r="AA2794" s="1" t="s">
        <v>5868</v>
      </c>
      <c r="AB2794" s="49"/>
      <c r="AC2794" s="49"/>
      <c r="AD2794" s="49"/>
      <c r="AE2794" s="49"/>
      <c r="AF2794" s="49" t="str">
        <f t="shared" si="4"/>
        <v>,</v>
      </c>
      <c r="AG2794" s="49"/>
      <c r="AH2794" s="1">
        <v>1960.0</v>
      </c>
      <c r="AI2794" s="1" t="s">
        <v>5923</v>
      </c>
      <c r="AJ2794" s="6" t="str">
        <f>IFERROR(__xludf.DUMMYFUNCTION("""COMPUTED_VALUE"""),"passing")</f>
        <v>passing</v>
      </c>
      <c r="AK2794" s="49"/>
      <c r="AL2794" s="49"/>
      <c r="AM2794" s="49"/>
      <c r="AN2794" s="52" t="str">
        <f t="shared" si="5"/>
        <v>1960,</v>
      </c>
    </row>
    <row r="2795">
      <c r="A2795" s="51"/>
      <c r="B2795" s="50" t="s">
        <v>2393</v>
      </c>
      <c r="C2795" s="50" t="s">
        <v>6843</v>
      </c>
      <c r="D2795" s="49" t="str">
        <f>IFERROR(__xludf.DUMMYFUNCTION("""COMPUTED_VALUE"""),"silver")</f>
        <v>silver</v>
      </c>
      <c r="E2795" s="49"/>
      <c r="F2795" s="49"/>
      <c r="G2795" s="49"/>
      <c r="H2795" s="54" t="str">
        <f t="shared" si="1"/>
        <v>childhood,</v>
      </c>
      <c r="I2795" s="50"/>
      <c r="J2795" s="50"/>
      <c r="K2795" s="50" t="s">
        <v>2566</v>
      </c>
      <c r="L2795" s="49"/>
      <c r="M2795" s="49"/>
      <c r="N2795" s="49"/>
      <c r="O2795" s="49"/>
      <c r="P2795" s="49" t="str">
        <f t="shared" si="2"/>
        <v>,</v>
      </c>
      <c r="Q2795" s="49"/>
      <c r="R2795" s="49"/>
      <c r="S2795" s="55" t="s">
        <v>2462</v>
      </c>
      <c r="T2795" s="49"/>
      <c r="U2795" s="49"/>
      <c r="V2795" s="49"/>
      <c r="W2795" s="49"/>
      <c r="X2795" s="49" t="str">
        <f t="shared" si="3"/>
        <v>,</v>
      </c>
      <c r="Y2795" s="49"/>
      <c r="Z2795" s="49"/>
      <c r="AA2795" s="1" t="s">
        <v>5869</v>
      </c>
      <c r="AB2795" s="49"/>
      <c r="AC2795" s="49"/>
      <c r="AD2795" s="49"/>
      <c r="AE2795" s="49"/>
      <c r="AF2795" s="49" t="str">
        <f t="shared" si="4"/>
        <v>,</v>
      </c>
      <c r="AG2795" s="49"/>
      <c r="AH2795" s="1" t="s">
        <v>3907</v>
      </c>
      <c r="AI2795" s="1" t="s">
        <v>4719</v>
      </c>
      <c r="AJ2795" s="6" t="str">
        <f>IFERROR(__xludf.DUMMYFUNCTION("""COMPUTED_VALUE"""),"considerable")</f>
        <v>considerable</v>
      </c>
      <c r="AK2795" s="49"/>
      <c r="AL2795" s="49"/>
      <c r="AM2795" s="49"/>
      <c r="AN2795" s="52" t="str">
        <f t="shared" si="5"/>
        <v>controversial,</v>
      </c>
    </row>
    <row r="2796">
      <c r="A2796" s="51"/>
      <c r="B2796" s="50" t="s">
        <v>6814</v>
      </c>
      <c r="C2796" s="50" t="s">
        <v>4032</v>
      </c>
      <c r="D2796" s="49" t="str">
        <f>IFERROR(__xludf.DUMMYFUNCTION("""COMPUTED_VALUE"""),"eleven")</f>
        <v>eleven</v>
      </c>
      <c r="E2796" s="49"/>
      <c r="F2796" s="49"/>
      <c r="G2796" s="49"/>
      <c r="H2796" s="54" t="str">
        <f t="shared" si="1"/>
        <v>joined,</v>
      </c>
      <c r="I2796" s="50"/>
      <c r="J2796" s="50"/>
      <c r="K2796" s="50" t="s">
        <v>2568</v>
      </c>
      <c r="L2796" s="49"/>
      <c r="M2796" s="49"/>
      <c r="N2796" s="49"/>
      <c r="O2796" s="49"/>
      <c r="P2796" s="49" t="str">
        <f t="shared" si="2"/>
        <v>,</v>
      </c>
      <c r="Q2796" s="49"/>
      <c r="R2796" s="49"/>
      <c r="S2796" s="55" t="s">
        <v>6844</v>
      </c>
      <c r="T2796" s="49"/>
      <c r="U2796" s="49"/>
      <c r="V2796" s="49"/>
      <c r="W2796" s="49"/>
      <c r="X2796" s="49" t="str">
        <f t="shared" si="3"/>
        <v>,</v>
      </c>
      <c r="Y2796" s="49"/>
      <c r="Z2796" s="49"/>
      <c r="AA2796" s="1" t="s">
        <v>3353</v>
      </c>
      <c r="AB2796" s="49"/>
      <c r="AC2796" s="49"/>
      <c r="AD2796" s="49"/>
      <c r="AE2796" s="49"/>
      <c r="AF2796" s="49" t="str">
        <f t="shared" si="4"/>
        <v>,</v>
      </c>
      <c r="AG2796" s="49"/>
      <c r="AH2796" s="1" t="s">
        <v>4348</v>
      </c>
      <c r="AI2796" s="1" t="s">
        <v>6845</v>
      </c>
      <c r="AJ2796" s="6" t="str">
        <f>IFERROR(__xludf.DUMMYFUNCTION("""COMPUTED_VALUE"""),"delivery")</f>
        <v>delivery</v>
      </c>
      <c r="AK2796" s="49"/>
      <c r="AL2796" s="49"/>
      <c r="AM2796" s="49"/>
      <c r="AN2796" s="52" t="str">
        <f t="shared" si="5"/>
        <v>specifically,</v>
      </c>
    </row>
    <row r="2797">
      <c r="A2797" s="51"/>
      <c r="B2797" s="50" t="s">
        <v>3638</v>
      </c>
      <c r="C2797" s="50" t="s">
        <v>4644</v>
      </c>
      <c r="D2797" s="49" t="str">
        <f>IFERROR(__xludf.DUMMYFUNCTION("""COMPUTED_VALUE"""),"disease")</f>
        <v>disease</v>
      </c>
      <c r="E2797" s="49"/>
      <c r="F2797" s="49"/>
      <c r="G2797" s="49"/>
      <c r="H2797" s="54" t="str">
        <f t="shared" si="1"/>
        <v>broadcast,</v>
      </c>
      <c r="I2797" s="50"/>
      <c r="J2797" s="50"/>
      <c r="K2797" s="50" t="s">
        <v>5047</v>
      </c>
      <c r="L2797" s="49"/>
      <c r="M2797" s="49"/>
      <c r="N2797" s="49"/>
      <c r="O2797" s="49"/>
      <c r="P2797" s="49" t="str">
        <f t="shared" si="2"/>
        <v>,</v>
      </c>
      <c r="Q2797" s="49"/>
      <c r="R2797" s="49"/>
      <c r="S2797" s="55" t="s">
        <v>2466</v>
      </c>
      <c r="T2797" s="49"/>
      <c r="U2797" s="49"/>
      <c r="V2797" s="49"/>
      <c r="W2797" s="49"/>
      <c r="X2797" s="49" t="str">
        <f t="shared" si="3"/>
        <v>,</v>
      </c>
      <c r="Y2797" s="49"/>
      <c r="Z2797" s="49"/>
      <c r="AA2797" s="1" t="s">
        <v>5870</v>
      </c>
      <c r="AB2797" s="49"/>
      <c r="AC2797" s="49"/>
      <c r="AD2797" s="49"/>
      <c r="AE2797" s="49"/>
      <c r="AF2797" s="49" t="str">
        <f t="shared" si="4"/>
        <v>,</v>
      </c>
      <c r="AG2797" s="49"/>
      <c r="AH2797" s="1" t="s">
        <v>4384</v>
      </c>
      <c r="AI2797" s="1" t="s">
        <v>5375</v>
      </c>
      <c r="AJ2797" s="6" t="str">
        <f>IFERROR(__xludf.DUMMYFUNCTION("""COMPUTED_VALUE"""),"treated")</f>
        <v>treated</v>
      </c>
      <c r="AK2797" s="49"/>
      <c r="AL2797" s="49"/>
      <c r="AM2797" s="49"/>
      <c r="AN2797" s="52" t="str">
        <f t="shared" si="5"/>
        <v>mill,</v>
      </c>
    </row>
    <row r="2798">
      <c r="A2798" s="51"/>
      <c r="B2798" s="50" t="s">
        <v>6839</v>
      </c>
      <c r="C2798" s="50" t="s">
        <v>5866</v>
      </c>
      <c r="D2798" s="49" t="str">
        <f>IFERROR(__xludf.DUMMYFUNCTION("""COMPUTED_VALUE"""),"classification")</f>
        <v>classification</v>
      </c>
      <c r="E2798" s="49"/>
      <c r="F2798" s="49"/>
      <c r="G2798" s="49"/>
      <c r="H2798" s="54" t="str">
        <f t="shared" si="1"/>
        <v>8th,</v>
      </c>
      <c r="I2798" s="50"/>
      <c r="J2798" s="50"/>
      <c r="K2798" s="50" t="s">
        <v>4396</v>
      </c>
      <c r="L2798" s="49"/>
      <c r="M2798" s="49"/>
      <c r="N2798" s="49"/>
      <c r="O2798" s="49"/>
      <c r="P2798" s="49" t="str">
        <f t="shared" si="2"/>
        <v>,</v>
      </c>
      <c r="Q2798" s="49"/>
      <c r="R2798" s="49"/>
      <c r="S2798" s="55" t="s">
        <v>2470</v>
      </c>
      <c r="T2798" s="49"/>
      <c r="U2798" s="49"/>
      <c r="V2798" s="49"/>
      <c r="W2798" s="49"/>
      <c r="X2798" s="49" t="str">
        <f t="shared" si="3"/>
        <v>,</v>
      </c>
      <c r="Y2798" s="49"/>
      <c r="Z2798" s="49"/>
      <c r="AA2798" s="1" t="s">
        <v>5822</v>
      </c>
      <c r="AB2798" s="49"/>
      <c r="AC2798" s="49"/>
      <c r="AD2798" s="49"/>
      <c r="AE2798" s="49"/>
      <c r="AF2798" s="49" t="str">
        <f t="shared" si="4"/>
        <v>,</v>
      </c>
      <c r="AG2798" s="49"/>
      <c r="AH2798" s="1" t="s">
        <v>6485</v>
      </c>
      <c r="AI2798" s="1" t="s">
        <v>6846</v>
      </c>
      <c r="AJ2798" s="6" t="str">
        <f>IFERROR(__xludf.DUMMYFUNCTION("""COMPUTED_VALUE"""),"movements")</f>
        <v>movements</v>
      </c>
      <c r="AK2798" s="49"/>
      <c r="AL2798" s="49"/>
      <c r="AM2798" s="49"/>
      <c r="AN2798" s="52" t="str">
        <f t="shared" si="5"/>
        <v>quiet,</v>
      </c>
    </row>
    <row r="2799">
      <c r="A2799" s="51"/>
      <c r="B2799" s="50" t="s">
        <v>6764</v>
      </c>
      <c r="C2799" s="50" t="s">
        <v>6756</v>
      </c>
      <c r="D2799" s="49" t="str">
        <f>IFERROR(__xludf.DUMMYFUNCTION("""COMPUTED_VALUE"""),"closer")</f>
        <v>closer</v>
      </c>
      <c r="E2799" s="49"/>
      <c r="F2799" s="49"/>
      <c r="G2799" s="49"/>
      <c r="H2799" s="54" t="str">
        <f t="shared" si="1"/>
        <v>lighter,</v>
      </c>
      <c r="I2799" s="50"/>
      <c r="J2799" s="50"/>
      <c r="K2799" s="50" t="s">
        <v>3703</v>
      </c>
      <c r="L2799" s="49"/>
      <c r="M2799" s="49"/>
      <c r="N2799" s="49"/>
      <c r="O2799" s="49"/>
      <c r="P2799" s="49" t="str">
        <f t="shared" si="2"/>
        <v>,</v>
      </c>
      <c r="Q2799" s="49"/>
      <c r="R2799" s="49"/>
      <c r="S2799" s="55" t="s">
        <v>1629</v>
      </c>
      <c r="T2799" s="49"/>
      <c r="U2799" s="49"/>
      <c r="V2799" s="49"/>
      <c r="W2799" s="49"/>
      <c r="X2799" s="49" t="str">
        <f t="shared" si="3"/>
        <v>,</v>
      </c>
      <c r="Y2799" s="49"/>
      <c r="Z2799" s="49"/>
      <c r="AA2799" s="1" t="s">
        <v>3354</v>
      </c>
      <c r="AB2799" s="49"/>
      <c r="AC2799" s="49"/>
      <c r="AD2799" s="49"/>
      <c r="AE2799" s="49"/>
      <c r="AF2799" s="49" t="str">
        <f t="shared" si="4"/>
        <v>,</v>
      </c>
      <c r="AG2799" s="49"/>
      <c r="AH2799" s="1" t="s">
        <v>5888</v>
      </c>
      <c r="AI2799" s="1" t="s">
        <v>6847</v>
      </c>
      <c r="AJ2799" s="6" t="str">
        <f>IFERROR(__xludf.DUMMYFUNCTION("""COMPUTED_VALUE"""),"debate")</f>
        <v>debate</v>
      </c>
      <c r="AK2799" s="49"/>
      <c r="AL2799" s="49"/>
      <c r="AM2799" s="49"/>
      <c r="AN2799" s="52" t="str">
        <f t="shared" si="5"/>
        <v>illustrated,</v>
      </c>
    </row>
    <row r="2800">
      <c r="A2800" s="51"/>
      <c r="B2800" s="50" t="s">
        <v>4282</v>
      </c>
      <c r="C2800" s="50" t="s">
        <v>1711</v>
      </c>
      <c r="D2800" s="49" t="str">
        <f>IFERROR(__xludf.DUMMYFUNCTION("""COMPUTED_VALUE"""),"revenge")</f>
        <v>revenge</v>
      </c>
      <c r="E2800" s="49"/>
      <c r="F2800" s="49"/>
      <c r="G2800" s="49"/>
      <c r="H2800" s="54" t="str">
        <f t="shared" si="1"/>
        <v>social,</v>
      </c>
      <c r="I2800" s="50"/>
      <c r="J2800" s="50"/>
      <c r="K2800" s="50" t="s">
        <v>4398</v>
      </c>
      <c r="L2800" s="49"/>
      <c r="M2800" s="49"/>
      <c r="N2800" s="49"/>
      <c r="O2800" s="49"/>
      <c r="P2800" s="49" t="str">
        <f t="shared" si="2"/>
        <v>,</v>
      </c>
      <c r="Q2800" s="49"/>
      <c r="R2800" s="49"/>
      <c r="S2800" s="55" t="s">
        <v>5917</v>
      </c>
      <c r="T2800" s="49"/>
      <c r="U2800" s="49"/>
      <c r="V2800" s="49"/>
      <c r="W2800" s="49"/>
      <c r="X2800" s="49" t="str">
        <f t="shared" si="3"/>
        <v>,</v>
      </c>
      <c r="Y2800" s="49"/>
      <c r="Z2800" s="49"/>
      <c r="AA2800" s="1" t="s">
        <v>5873</v>
      </c>
      <c r="AB2800" s="49"/>
      <c r="AC2800" s="49"/>
      <c r="AD2800" s="49"/>
      <c r="AE2800" s="49"/>
      <c r="AF2800" s="49" t="str">
        <f t="shared" si="4"/>
        <v>,</v>
      </c>
      <c r="AG2800" s="49"/>
      <c r="AH2800" s="1" t="s">
        <v>4693</v>
      </c>
      <c r="AI2800" s="1" t="s">
        <v>3684</v>
      </c>
      <c r="AJ2800" s="6" t="str">
        <f>IFERROR(__xludf.DUMMYFUNCTION("""COMPUTED_VALUE"""),"viewed")</f>
        <v>viewed</v>
      </c>
      <c r="AK2800" s="49"/>
      <c r="AL2800" s="49"/>
      <c r="AM2800" s="49"/>
      <c r="AN2800" s="52" t="str">
        <f t="shared" si="5"/>
        <v>metropolitan,</v>
      </c>
    </row>
    <row r="2801">
      <c r="A2801" s="51"/>
      <c r="B2801" s="50" t="s">
        <v>6648</v>
      </c>
      <c r="C2801" s="50" t="s">
        <v>3613</v>
      </c>
      <c r="D2801" s="49" t="str">
        <f>IFERROR(__xludf.DUMMYFUNCTION("""COMPUTED_VALUE"""),"cheek")</f>
        <v>cheek</v>
      </c>
      <c r="E2801" s="49"/>
      <c r="F2801" s="49"/>
      <c r="G2801" s="49"/>
      <c r="H2801" s="54" t="str">
        <f t="shared" si="1"/>
        <v>issue,</v>
      </c>
      <c r="I2801" s="50"/>
      <c r="J2801" s="50"/>
      <c r="K2801" s="50" t="s">
        <v>2573</v>
      </c>
      <c r="L2801" s="49"/>
      <c r="M2801" s="49"/>
      <c r="N2801" s="49"/>
      <c r="O2801" s="49"/>
      <c r="P2801" s="49" t="str">
        <f t="shared" si="2"/>
        <v>,</v>
      </c>
      <c r="Q2801" s="49"/>
      <c r="R2801" s="49"/>
      <c r="S2801" s="55" t="s">
        <v>1461</v>
      </c>
      <c r="T2801" s="49"/>
      <c r="U2801" s="49"/>
      <c r="V2801" s="49"/>
      <c r="W2801" s="49"/>
      <c r="X2801" s="49" t="str">
        <f t="shared" si="3"/>
        <v>,</v>
      </c>
      <c r="Y2801" s="49"/>
      <c r="Z2801" s="49"/>
      <c r="AA2801" s="1" t="s">
        <v>5585</v>
      </c>
      <c r="AB2801" s="49"/>
      <c r="AC2801" s="49"/>
      <c r="AD2801" s="49"/>
      <c r="AE2801" s="49"/>
      <c r="AF2801" s="49" t="str">
        <f t="shared" si="4"/>
        <v>,</v>
      </c>
      <c r="AG2801" s="49"/>
      <c r="AH2801" s="1" t="s">
        <v>3192</v>
      </c>
      <c r="AI2801" s="1" t="s">
        <v>6848</v>
      </c>
      <c r="AJ2801" s="6" t="str">
        <f>IFERROR(__xludf.DUMMYFUNCTION("""COMPUTED_VALUE"""),"painting")</f>
        <v>painting</v>
      </c>
      <c r="AK2801" s="49"/>
      <c r="AL2801" s="49"/>
      <c r="AM2801" s="49"/>
      <c r="AN2801" s="52" t="str">
        <f t="shared" si="5"/>
        <v>panic,</v>
      </c>
    </row>
    <row r="2802">
      <c r="A2802" s="51"/>
      <c r="B2802" s="50" t="s">
        <v>2365</v>
      </c>
      <c r="C2802" s="50" t="s">
        <v>2840</v>
      </c>
      <c r="D2802" s="49" t="str">
        <f>IFERROR(__xludf.DUMMYFUNCTION("""COMPUTED_VALUE"""),"specifically")</f>
        <v>specifically</v>
      </c>
      <c r="E2802" s="49"/>
      <c r="F2802" s="49"/>
      <c r="G2802" s="49"/>
      <c r="H2802" s="54" t="str">
        <f t="shared" si="1"/>
        <v>jackson,</v>
      </c>
      <c r="I2802" s="50"/>
      <c r="J2802" s="50"/>
      <c r="K2802" s="50" t="s">
        <v>4401</v>
      </c>
      <c r="L2802" s="49"/>
      <c r="M2802" s="49"/>
      <c r="N2802" s="49"/>
      <c r="O2802" s="49"/>
      <c r="P2802" s="49" t="str">
        <f t="shared" si="2"/>
        <v>,</v>
      </c>
      <c r="Q2802" s="49"/>
      <c r="R2802" s="49"/>
      <c r="S2802" s="55" t="s">
        <v>3622</v>
      </c>
      <c r="T2802" s="49"/>
      <c r="U2802" s="49"/>
      <c r="V2802" s="49"/>
      <c r="W2802" s="49"/>
      <c r="X2802" s="49" t="str">
        <f t="shared" si="3"/>
        <v>,</v>
      </c>
      <c r="Y2802" s="49"/>
      <c r="Z2802" s="49"/>
      <c r="AA2802" s="1" t="s">
        <v>5874</v>
      </c>
      <c r="AB2802" s="49"/>
      <c r="AC2802" s="49"/>
      <c r="AD2802" s="49"/>
      <c r="AE2802" s="49"/>
      <c r="AF2802" s="49" t="str">
        <f t="shared" si="4"/>
        <v>,</v>
      </c>
      <c r="AG2802" s="49"/>
      <c r="AH2802" s="1" t="s">
        <v>6966</v>
      </c>
      <c r="AI2802" s="1" t="s">
        <v>6849</v>
      </c>
      <c r="AJ2802" s="6" t="str">
        <f>IFERROR(__xludf.DUMMYFUNCTION("""COMPUTED_VALUE"""),"singles")</f>
        <v>singles</v>
      </c>
      <c r="AK2802" s="49"/>
      <c r="AL2802" s="49"/>
      <c r="AM2802" s="49"/>
      <c r="AN2802" s="52" t="str">
        <f t="shared" si="5"/>
        <v>views,</v>
      </c>
    </row>
    <row r="2803">
      <c r="A2803" s="51"/>
      <c r="B2803" s="50" t="s">
        <v>3165</v>
      </c>
      <c r="C2803" s="50" t="s">
        <v>1180</v>
      </c>
      <c r="D2803" s="49" t="str">
        <f>IFERROR(__xludf.DUMMYFUNCTION("""COMPUTED_VALUE"""),"returning")</f>
        <v>returning</v>
      </c>
      <c r="E2803" s="49"/>
      <c r="F2803" s="49"/>
      <c r="G2803" s="49"/>
      <c r="H2803" s="54" t="str">
        <f t="shared" si="1"/>
        <v>mountain,</v>
      </c>
      <c r="I2803" s="50"/>
      <c r="J2803" s="50"/>
      <c r="K2803" s="50" t="s">
        <v>4404</v>
      </c>
      <c r="L2803" s="49"/>
      <c r="M2803" s="49"/>
      <c r="N2803" s="49"/>
      <c r="O2803" s="49"/>
      <c r="P2803" s="49" t="str">
        <f t="shared" si="2"/>
        <v>,</v>
      </c>
      <c r="Q2803" s="49"/>
      <c r="R2803" s="49"/>
      <c r="S2803" s="55" t="s">
        <v>1366</v>
      </c>
      <c r="T2803" s="49"/>
      <c r="U2803" s="49"/>
      <c r="V2803" s="49"/>
      <c r="W2803" s="49"/>
      <c r="X2803" s="49" t="str">
        <f t="shared" si="3"/>
        <v>,</v>
      </c>
      <c r="Y2803" s="49"/>
      <c r="Z2803" s="49"/>
      <c r="AA2803" s="1" t="s">
        <v>5814</v>
      </c>
      <c r="AB2803" s="49"/>
      <c r="AC2803" s="49"/>
      <c r="AD2803" s="49"/>
      <c r="AE2803" s="49"/>
      <c r="AF2803" s="49" t="str">
        <f t="shared" si="4"/>
        <v>,</v>
      </c>
      <c r="AG2803" s="49"/>
      <c r="AH2803" s="1" t="s">
        <v>4073</v>
      </c>
      <c r="AI2803" s="1" t="s">
        <v>1726</v>
      </c>
      <c r="AJ2803" s="6" t="str">
        <f>IFERROR(__xludf.DUMMYFUNCTION("""COMPUTED_VALUE"""),"howard")</f>
        <v>howard</v>
      </c>
      <c r="AK2803" s="49"/>
      <c r="AL2803" s="49"/>
      <c r="AM2803" s="49"/>
      <c r="AN2803" s="52" t="str">
        <f t="shared" si="5"/>
        <v>resident,</v>
      </c>
    </row>
    <row r="2804">
      <c r="A2804" s="51"/>
      <c r="B2804" s="50" t="s">
        <v>6454</v>
      </c>
      <c r="C2804" s="50" t="s">
        <v>6761</v>
      </c>
      <c r="D2804" s="49" t="str">
        <f>IFERROR(__xludf.DUMMYFUNCTION("""COMPUTED_VALUE"""),"rob")</f>
        <v>rob</v>
      </c>
      <c r="E2804" s="49"/>
      <c r="F2804" s="49"/>
      <c r="G2804" s="49"/>
      <c r="H2804" s="54" t="str">
        <f t="shared" si="1"/>
        <v>literally,</v>
      </c>
      <c r="I2804" s="50"/>
      <c r="J2804" s="50"/>
      <c r="K2804" s="50" t="s">
        <v>1439</v>
      </c>
      <c r="L2804" s="49"/>
      <c r="M2804" s="49"/>
      <c r="N2804" s="49"/>
      <c r="O2804" s="49"/>
      <c r="P2804" s="49" t="str">
        <f t="shared" si="2"/>
        <v>,</v>
      </c>
      <c r="Q2804" s="49"/>
      <c r="R2804" s="49"/>
      <c r="S2804" s="55" t="s">
        <v>5299</v>
      </c>
      <c r="T2804" s="49"/>
      <c r="U2804" s="49"/>
      <c r="V2804" s="49"/>
      <c r="W2804" s="49"/>
      <c r="X2804" s="49" t="str">
        <f t="shared" si="3"/>
        <v>,</v>
      </c>
      <c r="Y2804" s="49"/>
      <c r="Z2804" s="49"/>
      <c r="AA2804" s="1" t="s">
        <v>3357</v>
      </c>
      <c r="AB2804" s="49"/>
      <c r="AC2804" s="49"/>
      <c r="AD2804" s="49"/>
      <c r="AE2804" s="49"/>
      <c r="AF2804" s="49" t="str">
        <f t="shared" si="4"/>
        <v>,</v>
      </c>
      <c r="AG2804" s="49"/>
      <c r="AH2804" s="1" t="s">
        <v>7645</v>
      </c>
      <c r="AI2804" s="1" t="s">
        <v>5852</v>
      </c>
      <c r="AJ2804" s="6" t="str">
        <f>IFERROR(__xludf.DUMMYFUNCTION("""COMPUTED_VALUE"""),"existed")</f>
        <v>existed</v>
      </c>
      <c r="AK2804" s="49"/>
      <c r="AL2804" s="49"/>
      <c r="AM2804" s="49"/>
      <c r="AN2804" s="52" t="str">
        <f t="shared" si="5"/>
        <v>health,</v>
      </c>
    </row>
    <row r="2805">
      <c r="A2805" s="51"/>
      <c r="B2805" s="50" t="s">
        <v>7465</v>
      </c>
      <c r="C2805" s="50" t="s">
        <v>6757</v>
      </c>
      <c r="D2805" s="49" t="str">
        <f>IFERROR(__xludf.DUMMYFUNCTION("""COMPUTED_VALUE"""),"references")</f>
        <v>references</v>
      </c>
      <c r="E2805" s="49"/>
      <c r="F2805" s="49"/>
      <c r="G2805" s="49"/>
      <c r="H2805" s="54" t="str">
        <f t="shared" si="1"/>
        <v>mason,</v>
      </c>
      <c r="I2805" s="50"/>
      <c r="J2805" s="50"/>
      <c r="K2805" s="50" t="s">
        <v>1445</v>
      </c>
      <c r="L2805" s="49"/>
      <c r="M2805" s="49"/>
      <c r="N2805" s="49"/>
      <c r="O2805" s="49"/>
      <c r="P2805" s="49" t="str">
        <f t="shared" si="2"/>
        <v>,</v>
      </c>
      <c r="Q2805" s="49"/>
      <c r="R2805" s="49"/>
      <c r="S2805" s="55" t="s">
        <v>3624</v>
      </c>
      <c r="T2805" s="49"/>
      <c r="U2805" s="49"/>
      <c r="V2805" s="49"/>
      <c r="W2805" s="49"/>
      <c r="X2805" s="49" t="str">
        <f t="shared" si="3"/>
        <v>,</v>
      </c>
      <c r="Y2805" s="49"/>
      <c r="Z2805" s="49"/>
      <c r="AA2805" s="1" t="s">
        <v>5877</v>
      </c>
      <c r="AB2805" s="49"/>
      <c r="AC2805" s="49"/>
      <c r="AD2805" s="49"/>
      <c r="AE2805" s="49"/>
      <c r="AF2805" s="49" t="str">
        <f t="shared" si="4"/>
        <v>,</v>
      </c>
      <c r="AG2805" s="49"/>
      <c r="AH2805" s="1" t="s">
        <v>4264</v>
      </c>
      <c r="AI2805" s="1" t="s">
        <v>3686</v>
      </c>
      <c r="AJ2805" s="6" t="str">
        <f>IFERROR(__xludf.DUMMYFUNCTION("""COMPUTED_VALUE"""),"shop")</f>
        <v>shop</v>
      </c>
      <c r="AK2805" s="49"/>
      <c r="AL2805" s="49"/>
      <c r="AM2805" s="49"/>
      <c r="AN2805" s="52" t="str">
        <f t="shared" si="5"/>
        <v>primary,</v>
      </c>
    </row>
    <row r="2806">
      <c r="A2806" s="51"/>
      <c r="B2806" s="50" t="s">
        <v>2049</v>
      </c>
      <c r="C2806" s="50" t="s">
        <v>6758</v>
      </c>
      <c r="D2806" s="49" t="str">
        <f>IFERROR(__xludf.DUMMYFUNCTION("""COMPUTED_VALUE"""),"succeeded")</f>
        <v>succeeded</v>
      </c>
      <c r="E2806" s="49"/>
      <c r="F2806" s="49"/>
      <c r="G2806" s="49"/>
      <c r="H2806" s="54" t="str">
        <f t="shared" si="1"/>
        <v>traditionally,</v>
      </c>
      <c r="I2806" s="50"/>
      <c r="J2806" s="50"/>
      <c r="K2806" s="50" t="s">
        <v>2577</v>
      </c>
      <c r="L2806" s="49"/>
      <c r="M2806" s="49"/>
      <c r="N2806" s="49"/>
      <c r="O2806" s="49"/>
      <c r="P2806" s="49" t="str">
        <f t="shared" si="2"/>
        <v>,</v>
      </c>
      <c r="Q2806" s="49"/>
      <c r="R2806" s="49"/>
      <c r="S2806" s="55" t="s">
        <v>4274</v>
      </c>
      <c r="T2806" s="49"/>
      <c r="U2806" s="49"/>
      <c r="V2806" s="49"/>
      <c r="W2806" s="49"/>
      <c r="X2806" s="49" t="str">
        <f t="shared" si="3"/>
        <v>,</v>
      </c>
      <c r="Y2806" s="49"/>
      <c r="Z2806" s="49"/>
      <c r="AA2806" s="1" t="s">
        <v>4635</v>
      </c>
      <c r="AB2806" s="49"/>
      <c r="AC2806" s="49"/>
      <c r="AD2806" s="49"/>
      <c r="AE2806" s="49"/>
      <c r="AF2806" s="49" t="str">
        <f t="shared" si="4"/>
        <v>,</v>
      </c>
      <c r="AG2806" s="49"/>
      <c r="AH2806" s="1" t="s">
        <v>4973</v>
      </c>
      <c r="AI2806" s="1" t="s">
        <v>5488</v>
      </c>
      <c r="AJ2806" s="6" t="str">
        <f>IFERROR(__xludf.DUMMYFUNCTION("""COMPUTED_VALUE"""),"distant")</f>
        <v>distant</v>
      </c>
      <c r="AK2806" s="49"/>
      <c r="AL2806" s="49"/>
      <c r="AM2806" s="49"/>
      <c r="AN2806" s="52" t="str">
        <f t="shared" si="5"/>
        <v>santa,</v>
      </c>
    </row>
    <row r="2807">
      <c r="A2807" s="51"/>
      <c r="B2807" s="50" t="s">
        <v>5633</v>
      </c>
      <c r="C2807" s="50" t="s">
        <v>5198</v>
      </c>
      <c r="D2807" s="49" t="str">
        <f>IFERROR(__xludf.DUMMYFUNCTION("""COMPUTED_VALUE"""),"jersey")</f>
        <v>jersey</v>
      </c>
      <c r="E2807" s="49"/>
      <c r="F2807" s="49"/>
      <c r="G2807" s="49"/>
      <c r="H2807" s="54" t="str">
        <f t="shared" si="1"/>
        <v>appeals,</v>
      </c>
      <c r="I2807" s="50"/>
      <c r="J2807" s="50"/>
      <c r="K2807" s="50" t="s">
        <v>5878</v>
      </c>
      <c r="L2807" s="49"/>
      <c r="M2807" s="49"/>
      <c r="N2807" s="49"/>
      <c r="O2807" s="49"/>
      <c r="P2807" s="49" t="str">
        <f t="shared" si="2"/>
        <v>,</v>
      </c>
      <c r="Q2807" s="49"/>
      <c r="R2807" s="49"/>
      <c r="S2807" s="55" t="s">
        <v>1374</v>
      </c>
      <c r="T2807" s="49"/>
      <c r="U2807" s="49"/>
      <c r="V2807" s="49"/>
      <c r="W2807" s="49"/>
      <c r="X2807" s="49" t="str">
        <f t="shared" si="3"/>
        <v>,</v>
      </c>
      <c r="Y2807" s="49"/>
      <c r="Z2807" s="49"/>
      <c r="AA2807" s="1" t="s">
        <v>3434</v>
      </c>
      <c r="AB2807" s="49"/>
      <c r="AC2807" s="49"/>
      <c r="AD2807" s="49"/>
      <c r="AE2807" s="49"/>
      <c r="AF2807" s="49" t="str">
        <f t="shared" si="4"/>
        <v>,</v>
      </c>
      <c r="AG2807" s="49"/>
      <c r="AH2807" s="1" t="s">
        <v>6462</v>
      </c>
      <c r="AI2807" s="1" t="s">
        <v>6850</v>
      </c>
      <c r="AJ2807" s="6" t="str">
        <f>IFERROR(__xludf.DUMMYFUNCTION("""COMPUTED_VALUE"""),"bars")</f>
        <v>bars</v>
      </c>
      <c r="AK2807" s="49"/>
      <c r="AL2807" s="49"/>
      <c r="AM2807" s="49"/>
      <c r="AN2807" s="52" t="str">
        <f t="shared" si="5"/>
        <v>environment,</v>
      </c>
    </row>
    <row r="2808">
      <c r="A2808" s="51"/>
      <c r="B2808" s="50" t="s">
        <v>5772</v>
      </c>
      <c r="C2808" s="50" t="s">
        <v>5543</v>
      </c>
      <c r="D2808" s="49" t="str">
        <f>IFERROR(__xludf.DUMMYFUNCTION("""COMPUTED_VALUE"""),"guess")</f>
        <v>guess</v>
      </c>
      <c r="E2808" s="49"/>
      <c r="F2808" s="49"/>
      <c r="G2808" s="49"/>
      <c r="H2808" s="54" t="str">
        <f t="shared" si="1"/>
        <v>spoken,</v>
      </c>
      <c r="I2808" s="50"/>
      <c r="J2808" s="50"/>
      <c r="K2808" s="50" t="s">
        <v>4412</v>
      </c>
      <c r="L2808" s="49"/>
      <c r="M2808" s="49"/>
      <c r="N2808" s="49"/>
      <c r="O2808" s="49"/>
      <c r="P2808" s="49" t="str">
        <f t="shared" si="2"/>
        <v>,</v>
      </c>
      <c r="Q2808" s="49"/>
      <c r="R2808" s="49"/>
      <c r="S2808" s="55" t="s">
        <v>4276</v>
      </c>
      <c r="T2808" s="49"/>
      <c r="U2808" s="49"/>
      <c r="V2808" s="49"/>
      <c r="W2808" s="49"/>
      <c r="X2808" s="49" t="str">
        <f t="shared" si="3"/>
        <v>,</v>
      </c>
      <c r="Y2808" s="49"/>
      <c r="Z2808" s="49"/>
      <c r="AA2808" s="1" t="s">
        <v>3360</v>
      </c>
      <c r="AB2808" s="49"/>
      <c r="AC2808" s="49"/>
      <c r="AD2808" s="49"/>
      <c r="AE2808" s="49"/>
      <c r="AF2808" s="49" t="str">
        <f t="shared" si="4"/>
        <v>,</v>
      </c>
      <c r="AG2808" s="49"/>
      <c r="AH2808" s="1" t="s">
        <v>2610</v>
      </c>
      <c r="AI2808" s="1" t="s">
        <v>6851</v>
      </c>
      <c r="AJ2808" s="6" t="str">
        <f>IFERROR(__xludf.DUMMYFUNCTION("""COMPUTED_VALUE"""),"defensive")</f>
        <v>defensive</v>
      </c>
      <c r="AK2808" s="49"/>
      <c r="AL2808" s="49"/>
      <c r="AM2808" s="49"/>
      <c r="AN2808" s="52" t="str">
        <f t="shared" si="5"/>
        <v>seeking,</v>
      </c>
    </row>
    <row r="2809">
      <c r="A2809" s="51"/>
      <c r="B2809" s="50" t="s">
        <v>2182</v>
      </c>
      <c r="C2809" s="50" t="s">
        <v>4048</v>
      </c>
      <c r="D2809" s="49" t="str">
        <f>IFERROR(__xludf.DUMMYFUNCTION("""COMPUTED_VALUE"""),"clouds")</f>
        <v>clouds</v>
      </c>
      <c r="E2809" s="49"/>
      <c r="F2809" s="49"/>
      <c r="G2809" s="49"/>
      <c r="H2809" s="54" t="str">
        <f t="shared" si="1"/>
        <v>context,</v>
      </c>
      <c r="I2809" s="50"/>
      <c r="J2809" s="50"/>
      <c r="K2809" s="50" t="s">
        <v>3797</v>
      </c>
      <c r="L2809" s="49"/>
      <c r="M2809" s="49"/>
      <c r="N2809" s="49"/>
      <c r="O2809" s="49"/>
      <c r="P2809" s="49" t="str">
        <f t="shared" si="2"/>
        <v>,</v>
      </c>
      <c r="Q2809" s="49"/>
      <c r="R2809" s="49"/>
      <c r="S2809" s="55" t="s">
        <v>1160</v>
      </c>
      <c r="T2809" s="49"/>
      <c r="U2809" s="49"/>
      <c r="V2809" s="49"/>
      <c r="W2809" s="49"/>
      <c r="X2809" s="49" t="str">
        <f t="shared" si="3"/>
        <v>,</v>
      </c>
      <c r="Y2809" s="49"/>
      <c r="Z2809" s="49"/>
      <c r="AA2809" s="1" t="s">
        <v>4023</v>
      </c>
      <c r="AB2809" s="49"/>
      <c r="AC2809" s="49"/>
      <c r="AD2809" s="49"/>
      <c r="AE2809" s="49"/>
      <c r="AF2809" s="49" t="str">
        <f t="shared" si="4"/>
        <v>,</v>
      </c>
      <c r="AG2809" s="49"/>
      <c r="AH2809" s="1" t="s">
        <v>6552</v>
      </c>
      <c r="AI2809" s="1" t="s">
        <v>3690</v>
      </c>
      <c r="AJ2809" s="6" t="str">
        <f>IFERROR(__xludf.DUMMYFUNCTION("""COMPUTED_VALUE"""),"x")</f>
        <v>x</v>
      </c>
      <c r="AK2809" s="49"/>
      <c r="AL2809" s="49"/>
      <c r="AM2809" s="49"/>
      <c r="AN2809" s="52" t="str">
        <f t="shared" si="5"/>
        <v>assembly,</v>
      </c>
    </row>
    <row r="2810">
      <c r="A2810" s="51"/>
      <c r="B2810" s="50" t="s">
        <v>1642</v>
      </c>
      <c r="C2810" s="50" t="s">
        <v>5706</v>
      </c>
      <c r="D2810" s="49" t="str">
        <f>IFERROR(__xludf.DUMMYFUNCTION("""COMPUTED_VALUE"""),"namely")</f>
        <v>namely</v>
      </c>
      <c r="E2810" s="49"/>
      <c r="F2810" s="49"/>
      <c r="G2810" s="49"/>
      <c r="H2810" s="54" t="str">
        <f t="shared" si="1"/>
        <v>ahead,</v>
      </c>
      <c r="I2810" s="50"/>
      <c r="J2810" s="50"/>
      <c r="K2810" s="50" t="s">
        <v>5404</v>
      </c>
      <c r="L2810" s="49"/>
      <c r="M2810" s="49"/>
      <c r="N2810" s="49"/>
      <c r="O2810" s="49"/>
      <c r="P2810" s="49" t="str">
        <f t="shared" si="2"/>
        <v>,</v>
      </c>
      <c r="Q2810" s="49"/>
      <c r="R2810" s="49"/>
      <c r="S2810" s="55" t="s">
        <v>5780</v>
      </c>
      <c r="T2810" s="49"/>
      <c r="U2810" s="49"/>
      <c r="V2810" s="49"/>
      <c r="W2810" s="49"/>
      <c r="X2810" s="49" t="str">
        <f t="shared" si="3"/>
        <v>,</v>
      </c>
      <c r="Y2810" s="49"/>
      <c r="Z2810" s="49"/>
      <c r="AA2810" s="1" t="s">
        <v>1712</v>
      </c>
      <c r="AB2810" s="49"/>
      <c r="AC2810" s="49"/>
      <c r="AD2810" s="49"/>
      <c r="AE2810" s="49"/>
      <c r="AF2810" s="49" t="str">
        <f t="shared" si="4"/>
        <v>,</v>
      </c>
      <c r="AG2810" s="49"/>
      <c r="AH2810" s="1" t="s">
        <v>4897</v>
      </c>
      <c r="AI2810" s="1" t="s">
        <v>5345</v>
      </c>
      <c r="AJ2810" s="6" t="str">
        <f>IFERROR(__xludf.DUMMYFUNCTION("""COMPUTED_VALUE"""),"focused")</f>
        <v>focused</v>
      </c>
      <c r="AK2810" s="49"/>
      <c r="AL2810" s="49"/>
      <c r="AM2810" s="49"/>
      <c r="AN2810" s="52" t="str">
        <f t="shared" si="5"/>
        <v>raised,</v>
      </c>
    </row>
    <row r="2811">
      <c r="A2811" s="51"/>
      <c r="B2811" s="50" t="s">
        <v>7646</v>
      </c>
      <c r="C2811" s="50">
        <v>83.0</v>
      </c>
      <c r="D2811" s="49" t="str">
        <f>IFERROR(__xludf.DUMMYFUNCTION("""COMPUTED_VALUE"""),"promised")</f>
        <v>promised</v>
      </c>
      <c r="E2811" s="49"/>
      <c r="F2811" s="49"/>
      <c r="G2811" s="49"/>
      <c r="H2811" s="54" t="str">
        <f t="shared" si="1"/>
        <v>chester,</v>
      </c>
      <c r="I2811" s="50"/>
      <c r="J2811" s="50"/>
      <c r="K2811" s="50" t="s">
        <v>4414</v>
      </c>
      <c r="L2811" s="49"/>
      <c r="M2811" s="49"/>
      <c r="N2811" s="49"/>
      <c r="O2811" s="49"/>
      <c r="P2811" s="49" t="str">
        <f t="shared" si="2"/>
        <v>,</v>
      </c>
      <c r="Q2811" s="49"/>
      <c r="R2811" s="49"/>
      <c r="S2811" s="55" t="s">
        <v>3631</v>
      </c>
      <c r="T2811" s="49"/>
      <c r="U2811" s="49"/>
      <c r="V2811" s="49"/>
      <c r="W2811" s="49"/>
      <c r="X2811" s="49" t="str">
        <f t="shared" si="3"/>
        <v>,</v>
      </c>
      <c r="Y2811" s="49"/>
      <c r="Z2811" s="49"/>
      <c r="AA2811" s="1" t="s">
        <v>5879</v>
      </c>
      <c r="AB2811" s="49"/>
      <c r="AC2811" s="49"/>
      <c r="AD2811" s="49"/>
      <c r="AE2811" s="49"/>
      <c r="AF2811" s="49" t="str">
        <f t="shared" si="4"/>
        <v>,</v>
      </c>
      <c r="AG2811" s="49"/>
      <c r="AH2811" s="1" t="s">
        <v>1454</v>
      </c>
      <c r="AI2811" s="1" t="s">
        <v>2116</v>
      </c>
      <c r="AJ2811" s="6" t="str">
        <f>IFERROR(__xludf.DUMMYFUNCTION("""COMPUTED_VALUE"""),"happening")</f>
        <v>happening</v>
      </c>
      <c r="AK2811" s="49"/>
      <c r="AL2811" s="49"/>
      <c r="AM2811" s="49"/>
      <c r="AN2811" s="52" t="str">
        <f t="shared" si="5"/>
        <v>lowered,</v>
      </c>
    </row>
    <row r="2812">
      <c r="A2812" s="51"/>
      <c r="B2812" s="50" t="s">
        <v>1708</v>
      </c>
      <c r="C2812" s="50" t="s">
        <v>4424</v>
      </c>
      <c r="D2812" s="49" t="str">
        <f>IFERROR(__xludf.DUMMYFUNCTION("""COMPUTED_VALUE"""),"opened")</f>
        <v>opened</v>
      </c>
      <c r="E2812" s="49"/>
      <c r="F2812" s="49"/>
      <c r="G2812" s="49"/>
      <c r="H2812" s="54" t="str">
        <f t="shared" si="1"/>
        <v>keeping,</v>
      </c>
      <c r="I2812" s="50"/>
      <c r="J2812" s="50"/>
      <c r="K2812" s="50" t="s">
        <v>1491</v>
      </c>
      <c r="L2812" s="49"/>
      <c r="M2812" s="49"/>
      <c r="N2812" s="49"/>
      <c r="O2812" s="49"/>
      <c r="P2812" s="49" t="str">
        <f t="shared" si="2"/>
        <v>,</v>
      </c>
      <c r="Q2812" s="49"/>
      <c r="R2812" s="49"/>
      <c r="S2812" s="55" t="s">
        <v>3132</v>
      </c>
      <c r="T2812" s="49"/>
      <c r="U2812" s="49"/>
      <c r="V2812" s="49"/>
      <c r="W2812" s="49"/>
      <c r="X2812" s="49" t="str">
        <f t="shared" si="3"/>
        <v>,</v>
      </c>
      <c r="Y2812" s="49"/>
      <c r="Z2812" s="49"/>
      <c r="AA2812" s="1" t="s">
        <v>5880</v>
      </c>
      <c r="AB2812" s="49"/>
      <c r="AC2812" s="49"/>
      <c r="AD2812" s="49"/>
      <c r="AE2812" s="49"/>
      <c r="AF2812" s="49" t="str">
        <f t="shared" si="4"/>
        <v>,</v>
      </c>
      <c r="AG2812" s="49"/>
      <c r="AH2812" s="1" t="s">
        <v>830</v>
      </c>
      <c r="AI2812" s="1" t="s">
        <v>3063</v>
      </c>
      <c r="AJ2812" s="6" t="str">
        <f>IFERROR(__xludf.DUMMYFUNCTION("""COMPUTED_VALUE"""),"replaced")</f>
        <v>replaced</v>
      </c>
      <c r="AK2812" s="49"/>
      <c r="AL2812" s="49"/>
      <c r="AM2812" s="49"/>
      <c r="AN2812" s="52" t="str">
        <f t="shared" si="5"/>
        <v>stores,</v>
      </c>
    </row>
    <row r="2813">
      <c r="A2813" s="51"/>
      <c r="B2813" s="50" t="s">
        <v>7418</v>
      </c>
      <c r="C2813" s="50" t="s">
        <v>78</v>
      </c>
      <c r="D2813" s="49" t="str">
        <f>IFERROR(__xludf.DUMMYFUNCTION("""COMPUTED_VALUE"""),"record")</f>
        <v>record</v>
      </c>
      <c r="E2813" s="49"/>
      <c r="F2813" s="49"/>
      <c r="G2813" s="49"/>
      <c r="H2813" s="54" t="str">
        <f t="shared" si="1"/>
        <v>ha,</v>
      </c>
      <c r="I2813" s="50"/>
      <c r="J2813" s="50"/>
      <c r="K2813" s="50" t="s">
        <v>3708</v>
      </c>
      <c r="L2813" s="49"/>
      <c r="M2813" s="49"/>
      <c r="N2813" s="49"/>
      <c r="O2813" s="49"/>
      <c r="P2813" s="49" t="str">
        <f t="shared" si="2"/>
        <v>,</v>
      </c>
      <c r="Q2813" s="49"/>
      <c r="R2813" s="49"/>
      <c r="S2813" s="55" t="s">
        <v>5308</v>
      </c>
      <c r="T2813" s="49"/>
      <c r="U2813" s="49"/>
      <c r="V2813" s="49"/>
      <c r="W2813" s="49"/>
      <c r="X2813" s="49" t="str">
        <f t="shared" si="3"/>
        <v>,</v>
      </c>
      <c r="Y2813" s="49"/>
      <c r="Z2813" s="49"/>
      <c r="AA2813" s="1" t="s">
        <v>5077</v>
      </c>
      <c r="AB2813" s="49"/>
      <c r="AC2813" s="49"/>
      <c r="AD2813" s="49"/>
      <c r="AE2813" s="49"/>
      <c r="AF2813" s="49" t="str">
        <f t="shared" si="4"/>
        <v>,</v>
      </c>
      <c r="AG2813" s="49"/>
      <c r="AH2813" s="1" t="s">
        <v>4333</v>
      </c>
      <c r="AI2813" s="1" t="s">
        <v>6852</v>
      </c>
      <c r="AJ2813" s="6" t="str">
        <f>IFERROR(__xludf.DUMMYFUNCTION("""COMPUTED_VALUE"""),"grin")</f>
        <v>grin</v>
      </c>
      <c r="AK2813" s="49"/>
      <c r="AL2813" s="49"/>
      <c r="AM2813" s="49"/>
      <c r="AN2813" s="52" t="str">
        <f t="shared" si="5"/>
        <v>shock,</v>
      </c>
    </row>
    <row r="2814">
      <c r="A2814" s="51"/>
      <c r="B2814" s="50" t="s">
        <v>5004</v>
      </c>
      <c r="C2814" s="50" t="s">
        <v>5716</v>
      </c>
      <c r="D2814" s="49" t="str">
        <f>IFERROR(__xludf.DUMMYFUNCTION("""COMPUTED_VALUE"""),"rolling")</f>
        <v>rolling</v>
      </c>
      <c r="E2814" s="49"/>
      <c r="F2814" s="49"/>
      <c r="G2814" s="49"/>
      <c r="H2814" s="54" t="str">
        <f t="shared" si="1"/>
        <v>shift,</v>
      </c>
      <c r="I2814" s="50"/>
      <c r="J2814" s="50"/>
      <c r="K2814" s="50" t="s">
        <v>4416</v>
      </c>
      <c r="L2814" s="49"/>
      <c r="M2814" s="49"/>
      <c r="N2814" s="49"/>
      <c r="O2814" s="49"/>
      <c r="P2814" s="49" t="str">
        <f t="shared" si="2"/>
        <v>,</v>
      </c>
      <c r="Q2814" s="49"/>
      <c r="R2814" s="49"/>
      <c r="S2814" s="55" t="s">
        <v>806</v>
      </c>
      <c r="T2814" s="49"/>
      <c r="U2814" s="49"/>
      <c r="V2814" s="49"/>
      <c r="W2814" s="49"/>
      <c r="X2814" s="49" t="str">
        <f t="shared" si="3"/>
        <v>,</v>
      </c>
      <c r="Y2814" s="49"/>
      <c r="Z2814" s="49"/>
      <c r="AA2814" s="1" t="s">
        <v>3371</v>
      </c>
      <c r="AB2814" s="49"/>
      <c r="AC2814" s="49"/>
      <c r="AD2814" s="49"/>
      <c r="AE2814" s="49"/>
      <c r="AF2814" s="49" t="str">
        <f t="shared" si="4"/>
        <v>,</v>
      </c>
      <c r="AG2814" s="49"/>
      <c r="AH2814" s="1" t="s">
        <v>7647</v>
      </c>
      <c r="AI2814" s="1" t="s">
        <v>5394</v>
      </c>
      <c r="AJ2814" s="6" t="str">
        <f>IFERROR(__xludf.DUMMYFUNCTION("""COMPUTED_VALUE"""),"spanish")</f>
        <v>spanish</v>
      </c>
      <c r="AK2814" s="49"/>
      <c r="AL2814" s="49"/>
      <c r="AM2814" s="49"/>
      <c r="AN2814" s="52" t="str">
        <f t="shared" si="5"/>
        <v>holland,</v>
      </c>
    </row>
    <row r="2815">
      <c r="A2815" s="51"/>
      <c r="B2815" s="50" t="s">
        <v>7083</v>
      </c>
      <c r="C2815" s="50" t="s">
        <v>5552</v>
      </c>
      <c r="D2815" s="49" t="str">
        <f>IFERROR(__xludf.DUMMYFUNCTION("""COMPUTED_VALUE"""),"princess")</f>
        <v>princess</v>
      </c>
      <c r="E2815" s="49"/>
      <c r="F2815" s="49"/>
      <c r="G2815" s="49"/>
      <c r="H2815" s="54" t="str">
        <f t="shared" si="1"/>
        <v>roy,</v>
      </c>
      <c r="I2815" s="50"/>
      <c r="J2815" s="50"/>
      <c r="K2815" s="50" t="s">
        <v>1450</v>
      </c>
      <c r="L2815" s="49"/>
      <c r="M2815" s="49"/>
      <c r="N2815" s="49"/>
      <c r="O2815" s="49"/>
      <c r="P2815" s="49" t="str">
        <f t="shared" si="2"/>
        <v>,</v>
      </c>
      <c r="Q2815" s="49"/>
      <c r="R2815" s="49"/>
      <c r="S2815" s="55" t="s">
        <v>4277</v>
      </c>
      <c r="T2815" s="49"/>
      <c r="U2815" s="49"/>
      <c r="V2815" s="49"/>
      <c r="W2815" s="49"/>
      <c r="X2815" s="49" t="str">
        <f t="shared" si="3"/>
        <v>,</v>
      </c>
      <c r="Y2815" s="49"/>
      <c r="Z2815" s="49"/>
      <c r="AA2815" s="1" t="s">
        <v>5881</v>
      </c>
      <c r="AB2815" s="49"/>
      <c r="AC2815" s="49"/>
      <c r="AD2815" s="49"/>
      <c r="AE2815" s="49"/>
      <c r="AF2815" s="49" t="str">
        <f t="shared" si="4"/>
        <v>,</v>
      </c>
      <c r="AG2815" s="49"/>
      <c r="AH2815" s="1" t="s">
        <v>6601</v>
      </c>
      <c r="AI2815" s="1" t="s">
        <v>5336</v>
      </c>
      <c r="AJ2815" s="6" t="str">
        <f>IFERROR(__xludf.DUMMYFUNCTION("""COMPUTED_VALUE"""),"zero")</f>
        <v>zero</v>
      </c>
      <c r="AK2815" s="49"/>
      <c r="AL2815" s="49"/>
      <c r="AM2815" s="49"/>
      <c r="AN2815" s="52" t="str">
        <f t="shared" si="5"/>
        <v>code,</v>
      </c>
    </row>
    <row r="2816">
      <c r="A2816" s="51"/>
      <c r="B2816" s="50" t="s">
        <v>4403</v>
      </c>
      <c r="C2816" s="50" t="s">
        <v>4102</v>
      </c>
      <c r="D2816" s="49" t="str">
        <f>IFERROR(__xludf.DUMMYFUNCTION("""COMPUTED_VALUE"""),"composed")</f>
        <v>composed</v>
      </c>
      <c r="E2816" s="49"/>
      <c r="F2816" s="49"/>
      <c r="G2816" s="49"/>
      <c r="H2816" s="54" t="str">
        <f t="shared" si="1"/>
        <v>assume,</v>
      </c>
      <c r="I2816" s="50"/>
      <c r="J2816" s="50"/>
      <c r="K2816" s="50" t="s">
        <v>5322</v>
      </c>
      <c r="L2816" s="49"/>
      <c r="M2816" s="49"/>
      <c r="N2816" s="49"/>
      <c r="O2816" s="49"/>
      <c r="P2816" s="49" t="str">
        <f t="shared" si="2"/>
        <v>,</v>
      </c>
      <c r="Q2816" s="49"/>
      <c r="R2816" s="49"/>
      <c r="S2816" s="55" t="s">
        <v>2475</v>
      </c>
      <c r="T2816" s="49"/>
      <c r="U2816" s="49"/>
      <c r="V2816" s="49"/>
      <c r="W2816" s="49"/>
      <c r="X2816" s="49" t="str">
        <f t="shared" si="3"/>
        <v>,</v>
      </c>
      <c r="Y2816" s="49"/>
      <c r="Z2816" s="49"/>
      <c r="AA2816" s="1" t="s">
        <v>3375</v>
      </c>
      <c r="AB2816" s="49"/>
      <c r="AC2816" s="49"/>
      <c r="AD2816" s="49"/>
      <c r="AE2816" s="49"/>
      <c r="AF2816" s="49" t="str">
        <f t="shared" si="4"/>
        <v>,</v>
      </c>
      <c r="AG2816" s="49"/>
      <c r="AH2816" s="1" t="s">
        <v>5734</v>
      </c>
      <c r="AI2816" s="1" t="s">
        <v>2562</v>
      </c>
      <c r="AJ2816" s="6" t="str">
        <f>IFERROR(__xludf.DUMMYFUNCTION("""COMPUTED_VALUE"""),"cutting")</f>
        <v>cutting</v>
      </c>
      <c r="AK2816" s="49"/>
      <c r="AL2816" s="49"/>
      <c r="AM2816" s="49"/>
      <c r="AN2816" s="52" t="str">
        <f t="shared" si="5"/>
        <v>contrast,</v>
      </c>
    </row>
    <row r="2817">
      <c r="A2817" s="51"/>
      <c r="B2817" s="50" t="s">
        <v>1221</v>
      </c>
      <c r="C2817" s="50" t="s">
        <v>4689</v>
      </c>
      <c r="D2817" s="49" t="str">
        <f>IFERROR(__xludf.DUMMYFUNCTION("""COMPUTED_VALUE"""),"rejected")</f>
        <v>rejected</v>
      </c>
      <c r="E2817" s="49"/>
      <c r="F2817" s="49"/>
      <c r="G2817" s="49"/>
      <c r="H2817" s="54" t="str">
        <f t="shared" si="1"/>
        <v>length,</v>
      </c>
      <c r="I2817" s="50"/>
      <c r="J2817" s="50"/>
      <c r="K2817" s="50" t="s">
        <v>5360</v>
      </c>
      <c r="L2817" s="49"/>
      <c r="M2817" s="49"/>
      <c r="N2817" s="49"/>
      <c r="O2817" s="49"/>
      <c r="P2817" s="49" t="str">
        <f t="shared" si="2"/>
        <v>,</v>
      </c>
      <c r="Q2817" s="49"/>
      <c r="R2817" s="49"/>
      <c r="S2817" s="55" t="s">
        <v>5924</v>
      </c>
      <c r="T2817" s="49"/>
      <c r="U2817" s="49"/>
      <c r="V2817" s="49"/>
      <c r="W2817" s="49"/>
      <c r="X2817" s="49" t="str">
        <f t="shared" si="3"/>
        <v>,</v>
      </c>
      <c r="Y2817" s="49"/>
      <c r="Z2817" s="49"/>
      <c r="AA2817" s="1" t="s">
        <v>5884</v>
      </c>
      <c r="AB2817" s="49"/>
      <c r="AC2817" s="49"/>
      <c r="AD2817" s="49"/>
      <c r="AE2817" s="49"/>
      <c r="AF2817" s="49" t="str">
        <f t="shared" si="4"/>
        <v>,</v>
      </c>
      <c r="AG2817" s="49"/>
      <c r="AH2817" s="1" t="s">
        <v>5649</v>
      </c>
      <c r="AI2817" s="1" t="s">
        <v>6853</v>
      </c>
      <c r="AJ2817" s="6" t="str">
        <f>IFERROR(__xludf.DUMMYFUNCTION("""COMPUTED_VALUE"""),"instance")</f>
        <v>instance</v>
      </c>
      <c r="AK2817" s="49"/>
      <c r="AL2817" s="49"/>
      <c r="AM2817" s="49"/>
      <c r="AN2817" s="52" t="str">
        <f t="shared" si="5"/>
        <v>journalist,</v>
      </c>
    </row>
    <row r="2818">
      <c r="A2818" s="51"/>
      <c r="B2818" s="50" t="s">
        <v>2345</v>
      </c>
      <c r="C2818" s="50" t="s">
        <v>5040</v>
      </c>
      <c r="D2818" s="49" t="str">
        <f>IFERROR(__xludf.DUMMYFUNCTION("""COMPUTED_VALUE"""),"settled")</f>
        <v>settled</v>
      </c>
      <c r="E2818" s="49"/>
      <c r="F2818" s="49"/>
      <c r="G2818" s="49"/>
      <c r="H2818" s="54" t="str">
        <f t="shared" si="1"/>
        <v>page,</v>
      </c>
      <c r="I2818" s="50"/>
      <c r="J2818" s="50"/>
      <c r="K2818" s="50" t="s">
        <v>2582</v>
      </c>
      <c r="L2818" s="49"/>
      <c r="M2818" s="49"/>
      <c r="N2818" s="49"/>
      <c r="O2818" s="49"/>
      <c r="P2818" s="49" t="str">
        <f t="shared" si="2"/>
        <v>,</v>
      </c>
      <c r="Q2818" s="49"/>
      <c r="R2818" s="49"/>
      <c r="S2818" s="55" t="s">
        <v>1379</v>
      </c>
      <c r="T2818" s="49"/>
      <c r="U2818" s="49"/>
      <c r="V2818" s="49"/>
      <c r="W2818" s="49"/>
      <c r="X2818" s="49" t="str">
        <f t="shared" si="3"/>
        <v>,</v>
      </c>
      <c r="Y2818" s="49"/>
      <c r="Z2818" s="49"/>
      <c r="AA2818" s="1" t="s">
        <v>1960</v>
      </c>
      <c r="AB2818" s="49"/>
      <c r="AC2818" s="49"/>
      <c r="AD2818" s="49"/>
      <c r="AE2818" s="49"/>
      <c r="AF2818" s="49" t="str">
        <f t="shared" si="4"/>
        <v>,</v>
      </c>
      <c r="AG2818" s="49"/>
      <c r="AH2818" s="1" t="s">
        <v>5973</v>
      </c>
      <c r="AI2818" s="1" t="s">
        <v>6854</v>
      </c>
      <c r="AJ2818" s="6" t="str">
        <f>IFERROR(__xludf.DUMMYFUNCTION("""COMPUTED_VALUE"""),"gaze")</f>
        <v>gaze</v>
      </c>
      <c r="AK2818" s="49"/>
      <c r="AL2818" s="49"/>
      <c r="AM2818" s="49"/>
      <c r="AN2818" s="52" t="str">
        <f t="shared" si="5"/>
        <v>reduce,</v>
      </c>
    </row>
    <row r="2819">
      <c r="A2819" s="51"/>
      <c r="B2819" s="50" t="s">
        <v>4048</v>
      </c>
      <c r="C2819" s="50" t="s">
        <v>3443</v>
      </c>
      <c r="D2819" s="49" t="str">
        <f>IFERROR(__xludf.DUMMYFUNCTION("""COMPUTED_VALUE"""),"suggests")</f>
        <v>suggests</v>
      </c>
      <c r="E2819" s="49"/>
      <c r="F2819" s="49"/>
      <c r="G2819" s="49"/>
      <c r="H2819" s="54" t="str">
        <f t="shared" si="1"/>
        <v>ad,</v>
      </c>
      <c r="I2819" s="50"/>
      <c r="J2819" s="50"/>
      <c r="K2819" s="50" t="s">
        <v>2585</v>
      </c>
      <c r="L2819" s="49"/>
      <c r="M2819" s="49"/>
      <c r="N2819" s="49"/>
      <c r="O2819" s="49"/>
      <c r="P2819" s="49" t="str">
        <f t="shared" si="2"/>
        <v>,</v>
      </c>
      <c r="Q2819" s="49"/>
      <c r="R2819" s="49"/>
      <c r="S2819" s="55" t="s">
        <v>5311</v>
      </c>
      <c r="T2819" s="49"/>
      <c r="U2819" s="49"/>
      <c r="V2819" s="49"/>
      <c r="W2819" s="49"/>
      <c r="X2819" s="49" t="str">
        <f t="shared" si="3"/>
        <v>,</v>
      </c>
      <c r="Y2819" s="49"/>
      <c r="Z2819" s="49"/>
      <c r="AA2819" s="1" t="s">
        <v>5885</v>
      </c>
      <c r="AB2819" s="49"/>
      <c r="AC2819" s="49"/>
      <c r="AD2819" s="49"/>
      <c r="AE2819" s="49"/>
      <c r="AF2819" s="49" t="str">
        <f t="shared" si="4"/>
        <v>,</v>
      </c>
      <c r="AG2819" s="49"/>
      <c r="AH2819" s="1" t="s">
        <v>1566</v>
      </c>
      <c r="AI2819" s="1" t="s">
        <v>3705</v>
      </c>
      <c r="AJ2819" s="6" t="str">
        <f>IFERROR(__xludf.DUMMYFUNCTION("""COMPUTED_VALUE"""),"ears")</f>
        <v>ears</v>
      </c>
      <c r="AK2819" s="49"/>
      <c r="AL2819" s="49"/>
      <c r="AM2819" s="49"/>
      <c r="AN2819" s="52" t="str">
        <f t="shared" si="5"/>
        <v>scientists,</v>
      </c>
    </row>
    <row r="2820">
      <c r="A2820" s="51"/>
      <c r="B2820" s="50">
        <v>87.0</v>
      </c>
      <c r="C2820" s="50" t="s">
        <v>6113</v>
      </c>
      <c r="D2820" s="49" t="str">
        <f>IFERROR(__xludf.DUMMYFUNCTION("""COMPUTED_VALUE"""),"neck")</f>
        <v>neck</v>
      </c>
      <c r="E2820" s="49"/>
      <c r="F2820" s="49"/>
      <c r="G2820" s="49"/>
      <c r="H2820" s="54" t="str">
        <f t="shared" si="1"/>
        <v>87,</v>
      </c>
      <c r="I2820" s="50"/>
      <c r="J2820" s="50"/>
      <c r="K2820" s="50" t="s">
        <v>2588</v>
      </c>
      <c r="L2820" s="49"/>
      <c r="M2820" s="49"/>
      <c r="N2820" s="49"/>
      <c r="O2820" s="49"/>
      <c r="P2820" s="49" t="str">
        <f t="shared" si="2"/>
        <v>,</v>
      </c>
      <c r="Q2820" s="49"/>
      <c r="R2820" s="49"/>
      <c r="S2820" s="55" t="s">
        <v>2480</v>
      </c>
      <c r="T2820" s="49"/>
      <c r="U2820" s="49"/>
      <c r="V2820" s="49"/>
      <c r="W2820" s="49"/>
      <c r="X2820" s="49" t="str">
        <f t="shared" si="3"/>
        <v>,</v>
      </c>
      <c r="Y2820" s="49"/>
      <c r="Z2820" s="49"/>
      <c r="AA2820" s="1" t="s">
        <v>5886</v>
      </c>
      <c r="AB2820" s="49"/>
      <c r="AC2820" s="49"/>
      <c r="AD2820" s="49"/>
      <c r="AE2820" s="49"/>
      <c r="AF2820" s="49" t="str">
        <f t="shared" si="4"/>
        <v>,</v>
      </c>
      <c r="AG2820" s="49"/>
      <c r="AH2820" s="1" t="s">
        <v>2349</v>
      </c>
      <c r="AI2820" s="1" t="s">
        <v>6855</v>
      </c>
      <c r="AJ2820" s="6" t="str">
        <f>IFERROR(__xludf.DUMMYFUNCTION("""COMPUTED_VALUE"""),"recommended")</f>
        <v>recommended</v>
      </c>
      <c r="AK2820" s="49"/>
      <c r="AL2820" s="49"/>
      <c r="AM2820" s="49"/>
      <c r="AN2820" s="52" t="str">
        <f t="shared" si="5"/>
        <v>balance,</v>
      </c>
    </row>
    <row r="2821">
      <c r="A2821" s="51"/>
      <c r="B2821" s="50" t="s">
        <v>4772</v>
      </c>
      <c r="C2821" s="50" t="s">
        <v>5097</v>
      </c>
      <c r="D2821" s="49" t="str">
        <f>IFERROR(__xludf.DUMMYFUNCTION("""COMPUTED_VALUE"""),"perform")</f>
        <v>perform</v>
      </c>
      <c r="E2821" s="49"/>
      <c r="F2821" s="49"/>
      <c r="G2821" s="49"/>
      <c r="H2821" s="54" t="str">
        <f t="shared" si="1"/>
        <v>guide,</v>
      </c>
      <c r="I2821" s="50"/>
      <c r="J2821" s="50"/>
      <c r="K2821" s="50" t="s">
        <v>1457</v>
      </c>
      <c r="L2821" s="49"/>
      <c r="M2821" s="49"/>
      <c r="N2821" s="49"/>
      <c r="O2821" s="49"/>
      <c r="P2821" s="49" t="str">
        <f t="shared" si="2"/>
        <v>,</v>
      </c>
      <c r="Q2821" s="49"/>
      <c r="R2821" s="49"/>
      <c r="S2821" s="55" t="s">
        <v>4283</v>
      </c>
      <c r="T2821" s="49"/>
      <c r="U2821" s="49"/>
      <c r="V2821" s="49"/>
      <c r="W2821" s="49"/>
      <c r="X2821" s="49" t="str">
        <f t="shared" si="3"/>
        <v>,</v>
      </c>
      <c r="Y2821" s="49"/>
      <c r="Z2821" s="49"/>
      <c r="AA2821" s="1" t="s">
        <v>5887</v>
      </c>
      <c r="AB2821" s="49"/>
      <c r="AC2821" s="49"/>
      <c r="AD2821" s="49"/>
      <c r="AE2821" s="49"/>
      <c r="AF2821" s="49" t="str">
        <f t="shared" si="4"/>
        <v>,</v>
      </c>
      <c r="AG2821" s="49"/>
      <c r="AH2821" s="1" t="s">
        <v>5394</v>
      </c>
      <c r="AI2821" s="1" t="s">
        <v>5403</v>
      </c>
      <c r="AJ2821" s="6" t="str">
        <f>IFERROR(__xludf.DUMMYFUNCTION("""COMPUTED_VALUE"""),"concert")</f>
        <v>concert</v>
      </c>
      <c r="AK2821" s="49"/>
      <c r="AL2821" s="49"/>
      <c r="AM2821" s="49"/>
      <c r="AN2821" s="52" t="str">
        <f t="shared" si="5"/>
        <v>confidence,</v>
      </c>
    </row>
    <row r="2822">
      <c r="A2822" s="51"/>
      <c r="B2822" s="50" t="s">
        <v>6520</v>
      </c>
      <c r="C2822" s="50" t="s">
        <v>4984</v>
      </c>
      <c r="D2822" s="49" t="str">
        <f>IFERROR(__xludf.DUMMYFUNCTION("""COMPUTED_VALUE"""),"foreign")</f>
        <v>foreign</v>
      </c>
      <c r="E2822" s="49"/>
      <c r="F2822" s="49"/>
      <c r="G2822" s="49"/>
      <c r="H2822" s="54" t="str">
        <f t="shared" si="1"/>
        <v>rocket,</v>
      </c>
      <c r="I2822" s="50"/>
      <c r="J2822" s="50"/>
      <c r="K2822" s="50" t="s">
        <v>4425</v>
      </c>
      <c r="L2822" s="49"/>
      <c r="M2822" s="49"/>
      <c r="N2822" s="49"/>
      <c r="O2822" s="49"/>
      <c r="P2822" s="49" t="str">
        <f t="shared" si="2"/>
        <v>,</v>
      </c>
      <c r="Q2822" s="49"/>
      <c r="R2822" s="49"/>
      <c r="S2822" s="55" t="s">
        <v>3635</v>
      </c>
      <c r="T2822" s="49"/>
      <c r="U2822" s="49"/>
      <c r="V2822" s="49"/>
      <c r="W2822" s="49"/>
      <c r="X2822" s="49" t="str">
        <f t="shared" si="3"/>
        <v>,</v>
      </c>
      <c r="Y2822" s="49"/>
      <c r="Z2822" s="49"/>
      <c r="AA2822" s="1" t="s">
        <v>5888</v>
      </c>
      <c r="AB2822" s="49"/>
      <c r="AC2822" s="49"/>
      <c r="AD2822" s="49"/>
      <c r="AE2822" s="49"/>
      <c r="AF2822" s="49" t="str">
        <f t="shared" si="4"/>
        <v>,</v>
      </c>
      <c r="AG2822" s="49"/>
      <c r="AH2822" s="1" t="s">
        <v>6527</v>
      </c>
      <c r="AI2822" s="1" t="s">
        <v>3797</v>
      </c>
      <c r="AJ2822" s="6" t="str">
        <f>IFERROR(__xludf.DUMMYFUNCTION("""COMPUTED_VALUE"""),"ancient")</f>
        <v>ancient</v>
      </c>
      <c r="AK2822" s="49"/>
      <c r="AL2822" s="49"/>
      <c r="AM2822" s="49"/>
      <c r="AN2822" s="52" t="str">
        <f t="shared" si="5"/>
        <v>charge,</v>
      </c>
    </row>
    <row r="2823">
      <c r="A2823" s="51"/>
      <c r="B2823" s="50" t="s">
        <v>4470</v>
      </c>
      <c r="C2823" s="50" t="s">
        <v>4460</v>
      </c>
      <c r="D2823" s="49" t="str">
        <f>IFERROR(__xludf.DUMMYFUNCTION("""COMPUTED_VALUE"""),"fifth")</f>
        <v>fifth</v>
      </c>
      <c r="E2823" s="49"/>
      <c r="F2823" s="49"/>
      <c r="G2823" s="49"/>
      <c r="H2823" s="54" t="str">
        <f t="shared" si="1"/>
        <v>phrase,</v>
      </c>
      <c r="I2823" s="50"/>
      <c r="J2823" s="50"/>
      <c r="K2823" s="50" t="s">
        <v>5890</v>
      </c>
      <c r="L2823" s="49"/>
      <c r="M2823" s="49"/>
      <c r="N2823" s="49"/>
      <c r="O2823" s="49"/>
      <c r="P2823" s="49" t="str">
        <f t="shared" si="2"/>
        <v>,</v>
      </c>
      <c r="Q2823" s="49"/>
      <c r="R2823" s="49"/>
      <c r="S2823" s="55" t="s">
        <v>1731</v>
      </c>
      <c r="T2823" s="49"/>
      <c r="U2823" s="49"/>
      <c r="V2823" s="49"/>
      <c r="W2823" s="49"/>
      <c r="X2823" s="49" t="str">
        <f t="shared" si="3"/>
        <v>,</v>
      </c>
      <c r="Y2823" s="49"/>
      <c r="Z2823" s="49"/>
      <c r="AA2823" s="1" t="s">
        <v>5556</v>
      </c>
      <c r="AB2823" s="49"/>
      <c r="AC2823" s="49"/>
      <c r="AD2823" s="49"/>
      <c r="AE2823" s="49"/>
      <c r="AF2823" s="49" t="str">
        <f t="shared" si="4"/>
        <v>,</v>
      </c>
      <c r="AG2823" s="49"/>
      <c r="AH2823" s="1" t="s">
        <v>6891</v>
      </c>
      <c r="AI2823" s="1" t="s">
        <v>6856</v>
      </c>
      <c r="AJ2823" s="6" t="str">
        <f>IFERROR(__xludf.DUMMYFUNCTION("""COMPUTED_VALUE"""),"institution")</f>
        <v>institution</v>
      </c>
      <c r="AK2823" s="49"/>
      <c r="AL2823" s="49"/>
      <c r="AM2823" s="49"/>
      <c r="AN2823" s="52" t="str">
        <f t="shared" si="5"/>
        <v>dust,</v>
      </c>
    </row>
    <row r="2824">
      <c r="A2824" s="51"/>
      <c r="B2824" s="50" t="s">
        <v>7648</v>
      </c>
      <c r="C2824" s="50" t="s">
        <v>5726</v>
      </c>
      <c r="D2824" s="49" t="str">
        <f>IFERROR(__xludf.DUMMYFUNCTION("""COMPUTED_VALUE"""),"therefore")</f>
        <v>therefore</v>
      </c>
      <c r="E2824" s="49"/>
      <c r="F2824" s="49"/>
      <c r="G2824" s="49"/>
      <c r="H2824" s="54" t="str">
        <f t="shared" si="1"/>
        <v>idiot,</v>
      </c>
      <c r="I2824" s="50"/>
      <c r="J2824" s="50"/>
      <c r="K2824" s="50" t="s">
        <v>2595</v>
      </c>
      <c r="L2824" s="49"/>
      <c r="M2824" s="49"/>
      <c r="N2824" s="49"/>
      <c r="O2824" s="49"/>
      <c r="P2824" s="49" t="str">
        <f t="shared" si="2"/>
        <v>,</v>
      </c>
      <c r="Q2824" s="49"/>
      <c r="R2824" s="49"/>
      <c r="S2824" s="55" t="s">
        <v>2482</v>
      </c>
      <c r="T2824" s="49"/>
      <c r="U2824" s="49"/>
      <c r="V2824" s="49"/>
      <c r="W2824" s="49"/>
      <c r="X2824" s="49" t="str">
        <f t="shared" si="3"/>
        <v>,</v>
      </c>
      <c r="Y2824" s="49"/>
      <c r="Z2824" s="49"/>
      <c r="AA2824" s="1" t="s">
        <v>5891</v>
      </c>
      <c r="AB2824" s="49"/>
      <c r="AC2824" s="49"/>
      <c r="AD2824" s="49"/>
      <c r="AE2824" s="49"/>
      <c r="AF2824" s="49" t="str">
        <f t="shared" si="4"/>
        <v>,</v>
      </c>
      <c r="AG2824" s="49"/>
      <c r="AH2824" s="1" t="s">
        <v>2191</v>
      </c>
      <c r="AI2824" s="1" t="s">
        <v>1319</v>
      </c>
      <c r="AJ2824" s="6" t="str">
        <f>IFERROR(__xludf.DUMMYFUNCTION("""COMPUTED_VALUE"""),"managing")</f>
        <v>managing</v>
      </c>
      <c r="AK2824" s="49"/>
      <c r="AL2824" s="49"/>
      <c r="AM2824" s="49"/>
      <c r="AN2824" s="52" t="str">
        <f t="shared" si="5"/>
        <v>exposure,</v>
      </c>
    </row>
    <row r="2825">
      <c r="A2825" s="51"/>
      <c r="B2825" s="50" t="s">
        <v>7466</v>
      </c>
      <c r="C2825" s="50" t="s">
        <v>2481</v>
      </c>
      <c r="D2825" s="49" t="str">
        <f>IFERROR(__xludf.DUMMYFUNCTION("""COMPUTED_VALUE"""),"gross")</f>
        <v>gross</v>
      </c>
      <c r="E2825" s="49"/>
      <c r="F2825" s="49"/>
      <c r="G2825" s="49"/>
      <c r="H2825" s="54" t="str">
        <f t="shared" si="1"/>
        <v>mr,</v>
      </c>
      <c r="I2825" s="50"/>
      <c r="J2825" s="50"/>
      <c r="K2825" s="50" t="s">
        <v>2598</v>
      </c>
      <c r="L2825" s="49"/>
      <c r="M2825" s="49"/>
      <c r="N2825" s="49"/>
      <c r="O2825" s="49"/>
      <c r="P2825" s="49" t="str">
        <f t="shared" si="2"/>
        <v>,</v>
      </c>
      <c r="Q2825" s="49"/>
      <c r="R2825" s="49"/>
      <c r="S2825" s="55" t="s">
        <v>4287</v>
      </c>
      <c r="T2825" s="49"/>
      <c r="U2825" s="49"/>
      <c r="V2825" s="49"/>
      <c r="W2825" s="49"/>
      <c r="X2825" s="49" t="str">
        <f t="shared" si="3"/>
        <v>,</v>
      </c>
      <c r="Y2825" s="49"/>
      <c r="Z2825" s="49"/>
      <c r="AA2825" s="1" t="s">
        <v>5893</v>
      </c>
      <c r="AB2825" s="49"/>
      <c r="AC2825" s="49"/>
      <c r="AD2825" s="49"/>
      <c r="AE2825" s="49"/>
      <c r="AF2825" s="49" t="str">
        <f t="shared" si="4"/>
        <v>,</v>
      </c>
      <c r="AG2825" s="49"/>
      <c r="AH2825" s="1" t="s">
        <v>7052</v>
      </c>
      <c r="AI2825" s="1" t="s">
        <v>1491</v>
      </c>
      <c r="AJ2825" s="6" t="str">
        <f>IFERROR(__xludf.DUMMYFUNCTION("""COMPUTED_VALUE"""),"committed")</f>
        <v>committed</v>
      </c>
      <c r="AK2825" s="49"/>
      <c r="AL2825" s="49"/>
      <c r="AM2825" s="49"/>
      <c r="AN2825" s="52" t="str">
        <f t="shared" si="5"/>
        <v>individuals,</v>
      </c>
    </row>
    <row r="2826">
      <c r="A2826" s="51"/>
      <c r="B2826" s="50" t="s">
        <v>6416</v>
      </c>
      <c r="C2826" s="50" t="s">
        <v>3447</v>
      </c>
      <c r="D2826" s="49" t="str">
        <f>IFERROR(__xludf.DUMMYFUNCTION("""COMPUTED_VALUE"""),"appeared")</f>
        <v>appeared</v>
      </c>
      <c r="E2826" s="49"/>
      <c r="F2826" s="49"/>
      <c r="G2826" s="49"/>
      <c r="H2826" s="54" t="str">
        <f t="shared" si="1"/>
        <v>joseph,</v>
      </c>
      <c r="I2826" s="50"/>
      <c r="J2826" s="50"/>
      <c r="K2826" s="50" t="s">
        <v>4431</v>
      </c>
      <c r="L2826" s="49"/>
      <c r="M2826" s="49"/>
      <c r="N2826" s="49"/>
      <c r="O2826" s="49"/>
      <c r="P2826" s="49" t="str">
        <f t="shared" si="2"/>
        <v>,</v>
      </c>
      <c r="Q2826" s="49"/>
      <c r="R2826" s="49"/>
      <c r="S2826" s="55" t="s">
        <v>2485</v>
      </c>
      <c r="T2826" s="49"/>
      <c r="U2826" s="49"/>
      <c r="V2826" s="49"/>
      <c r="W2826" s="49"/>
      <c r="X2826" s="49" t="str">
        <f t="shared" si="3"/>
        <v>,</v>
      </c>
      <c r="Y2826" s="49"/>
      <c r="Z2826" s="49"/>
      <c r="AA2826" s="1" t="s">
        <v>3379</v>
      </c>
      <c r="AB2826" s="49"/>
      <c r="AC2826" s="49"/>
      <c r="AD2826" s="49"/>
      <c r="AE2826" s="49"/>
      <c r="AF2826" s="49" t="str">
        <f t="shared" si="4"/>
        <v>,</v>
      </c>
      <c r="AG2826" s="49"/>
      <c r="AH2826" s="1" t="s">
        <v>3153</v>
      </c>
      <c r="AI2826" s="1" t="s">
        <v>3708</v>
      </c>
      <c r="AJ2826" s="6" t="str">
        <f>IFERROR(__xludf.DUMMYFUNCTION("""COMPUTED_VALUE"""),"radar")</f>
        <v>radar</v>
      </c>
      <c r="AK2826" s="49"/>
      <c r="AL2826" s="49"/>
      <c r="AM2826" s="49"/>
      <c r="AN2826" s="52" t="str">
        <f t="shared" si="5"/>
        <v>interpretation,</v>
      </c>
    </row>
    <row r="2827">
      <c r="A2827" s="51"/>
      <c r="B2827" s="50" t="s">
        <v>1104</v>
      </c>
      <c r="C2827" s="50" t="s">
        <v>3450</v>
      </c>
      <c r="D2827" s="49" t="str">
        <f>IFERROR(__xludf.DUMMYFUNCTION("""COMPUTED_VALUE"""),"lying")</f>
        <v>lying</v>
      </c>
      <c r="E2827" s="49"/>
      <c r="F2827" s="49"/>
      <c r="G2827" s="49"/>
      <c r="H2827" s="54" t="str">
        <f t="shared" si="1"/>
        <v>largely,</v>
      </c>
      <c r="I2827" s="50"/>
      <c r="J2827" s="50"/>
      <c r="K2827" s="50" t="s">
        <v>5895</v>
      </c>
      <c r="L2827" s="49"/>
      <c r="M2827" s="49"/>
      <c r="N2827" s="49"/>
      <c r="O2827" s="49"/>
      <c r="P2827" s="49" t="str">
        <f t="shared" si="2"/>
        <v>,</v>
      </c>
      <c r="Q2827" s="49"/>
      <c r="R2827" s="49"/>
      <c r="S2827" s="55" t="s">
        <v>1425</v>
      </c>
      <c r="T2827" s="49"/>
      <c r="U2827" s="49"/>
      <c r="V2827" s="49"/>
      <c r="W2827" s="49"/>
      <c r="X2827" s="49" t="str">
        <f t="shared" si="3"/>
        <v>,</v>
      </c>
      <c r="Y2827" s="49"/>
      <c r="Z2827" s="49"/>
      <c r="AA2827" s="1" t="s">
        <v>5894</v>
      </c>
      <c r="AB2827" s="49"/>
      <c r="AC2827" s="49"/>
      <c r="AD2827" s="49"/>
      <c r="AE2827" s="49"/>
      <c r="AF2827" s="49" t="str">
        <f t="shared" si="4"/>
        <v>,</v>
      </c>
      <c r="AG2827" s="49"/>
      <c r="AH2827" s="1" t="s">
        <v>4644</v>
      </c>
      <c r="AI2827" s="1" t="s">
        <v>1821</v>
      </c>
      <c r="AJ2827" s="6" t="str">
        <f>IFERROR(__xludf.DUMMYFUNCTION("""COMPUTED_VALUE"""),"jake")</f>
        <v>jake</v>
      </c>
      <c r="AK2827" s="49"/>
      <c r="AL2827" s="49"/>
      <c r="AM2827" s="49"/>
      <c r="AN2827" s="52" t="str">
        <f t="shared" si="5"/>
        <v>object,</v>
      </c>
    </row>
    <row r="2828">
      <c r="A2828" s="51"/>
      <c r="B2828" s="50" t="s">
        <v>5091</v>
      </c>
      <c r="C2828" s="50" t="s">
        <v>5100</v>
      </c>
      <c r="D2828" s="49" t="str">
        <f>IFERROR(__xludf.DUMMYFUNCTION("""COMPUTED_VALUE"""),"lily")</f>
        <v>lily</v>
      </c>
      <c r="E2828" s="49"/>
      <c r="F2828" s="49"/>
      <c r="G2828" s="49"/>
      <c r="H2828" s="54" t="str">
        <f t="shared" si="1"/>
        <v>seek,</v>
      </c>
      <c r="I2828" s="50"/>
      <c r="J2828" s="50"/>
      <c r="K2828" s="50" t="s">
        <v>2601</v>
      </c>
      <c r="L2828" s="49"/>
      <c r="M2828" s="49"/>
      <c r="N2828" s="49"/>
      <c r="O2828" s="49"/>
      <c r="P2828" s="49" t="str">
        <f t="shared" si="2"/>
        <v>,</v>
      </c>
      <c r="Q2828" s="49"/>
      <c r="R2828" s="49"/>
      <c r="S2828" s="55" t="s">
        <v>4291</v>
      </c>
      <c r="T2828" s="49"/>
      <c r="U2828" s="49"/>
      <c r="V2828" s="49"/>
      <c r="W2828" s="49"/>
      <c r="X2828" s="49" t="str">
        <f t="shared" si="3"/>
        <v>,</v>
      </c>
      <c r="Y2828" s="49"/>
      <c r="Z2828" s="49"/>
      <c r="AA2828" s="1" t="s">
        <v>5896</v>
      </c>
      <c r="AB2828" s="49"/>
      <c r="AC2828" s="49"/>
      <c r="AD2828" s="49"/>
      <c r="AE2828" s="49"/>
      <c r="AF2828" s="49" t="str">
        <f t="shared" si="4"/>
        <v>,</v>
      </c>
      <c r="AG2828" s="49"/>
      <c r="AH2828" s="1" t="s">
        <v>5481</v>
      </c>
      <c r="AI2828" s="1" t="s">
        <v>5322</v>
      </c>
      <c r="AJ2828" s="6" t="str">
        <f>IFERROR(__xludf.DUMMYFUNCTION("""COMPUTED_VALUE"""),"aged")</f>
        <v>aged</v>
      </c>
      <c r="AK2828" s="49"/>
      <c r="AL2828" s="49"/>
      <c r="AM2828" s="49"/>
      <c r="AN2828" s="52" t="str">
        <f t="shared" si="5"/>
        <v>substitute,</v>
      </c>
    </row>
    <row r="2829">
      <c r="A2829" s="51"/>
      <c r="B2829" s="50" t="s">
        <v>7649</v>
      </c>
      <c r="C2829" s="50" t="s">
        <v>6762</v>
      </c>
      <c r="D2829" s="49" t="str">
        <f>IFERROR(__xludf.DUMMYFUNCTION("""COMPUTED_VALUE"""),"cage")</f>
        <v>cage</v>
      </c>
      <c r="E2829" s="49"/>
      <c r="F2829" s="49"/>
      <c r="G2829" s="49"/>
      <c r="H2829" s="54" t="str">
        <f t="shared" si="1"/>
        <v>jacob,</v>
      </c>
      <c r="I2829" s="50"/>
      <c r="J2829" s="50"/>
      <c r="K2829" s="50" t="s">
        <v>1465</v>
      </c>
      <c r="L2829" s="49"/>
      <c r="M2829" s="49"/>
      <c r="N2829" s="49"/>
      <c r="O2829" s="49"/>
      <c r="P2829" s="49" t="str">
        <f t="shared" si="2"/>
        <v>,</v>
      </c>
      <c r="Q2829" s="49"/>
      <c r="R2829" s="49"/>
      <c r="S2829" s="55" t="s">
        <v>6829</v>
      </c>
      <c r="T2829" s="49"/>
      <c r="U2829" s="49"/>
      <c r="V2829" s="49"/>
      <c r="W2829" s="49"/>
      <c r="X2829" s="49" t="str">
        <f t="shared" si="3"/>
        <v>,</v>
      </c>
      <c r="Y2829" s="49"/>
      <c r="Z2829" s="49"/>
      <c r="AA2829" s="1" t="s">
        <v>3381</v>
      </c>
      <c r="AB2829" s="49"/>
      <c r="AC2829" s="49"/>
      <c r="AD2829" s="49"/>
      <c r="AE2829" s="49"/>
      <c r="AF2829" s="49" t="str">
        <f t="shared" si="4"/>
        <v>,</v>
      </c>
      <c r="AG2829" s="49"/>
      <c r="AH2829" s="1" t="s">
        <v>563</v>
      </c>
      <c r="AI2829" s="1" t="s">
        <v>5281</v>
      </c>
      <c r="AJ2829" s="6" t="str">
        <f>IFERROR(__xludf.DUMMYFUNCTION("""COMPUTED_VALUE"""),"underneath")</f>
        <v>underneath</v>
      </c>
      <c r="AK2829" s="49"/>
      <c r="AL2829" s="49"/>
      <c r="AM2829" s="49"/>
      <c r="AN2829" s="52" t="str">
        <f t="shared" si="5"/>
        <v>reaction,</v>
      </c>
    </row>
    <row r="2830">
      <c r="A2830" s="51"/>
      <c r="B2830" s="50" t="s">
        <v>2883</v>
      </c>
      <c r="C2830" s="50" t="s">
        <v>6763</v>
      </c>
      <c r="D2830" s="49" t="str">
        <f>IFERROR(__xludf.DUMMYFUNCTION("""COMPUTED_VALUE"""),"nicolas")</f>
        <v>nicolas</v>
      </c>
      <c r="E2830" s="49"/>
      <c r="F2830" s="49"/>
      <c r="G2830" s="49"/>
      <c r="H2830" s="54" t="str">
        <f t="shared" si="1"/>
        <v>base,</v>
      </c>
      <c r="I2830" s="50"/>
      <c r="J2830" s="50"/>
      <c r="K2830" s="50" t="s">
        <v>2607</v>
      </c>
      <c r="L2830" s="49"/>
      <c r="M2830" s="49"/>
      <c r="N2830" s="49"/>
      <c r="O2830" s="49"/>
      <c r="P2830" s="49" t="str">
        <f t="shared" si="2"/>
        <v>,</v>
      </c>
      <c r="Q2830" s="49"/>
      <c r="R2830" s="49"/>
      <c r="S2830" s="55" t="s">
        <v>5787</v>
      </c>
      <c r="T2830" s="49"/>
      <c r="U2830" s="49"/>
      <c r="V2830" s="49"/>
      <c r="W2830" s="49"/>
      <c r="X2830" s="49" t="str">
        <f t="shared" si="3"/>
        <v>,</v>
      </c>
      <c r="Y2830" s="49"/>
      <c r="Z2830" s="49"/>
      <c r="AA2830" s="1" t="s">
        <v>5898</v>
      </c>
      <c r="AB2830" s="49"/>
      <c r="AC2830" s="49"/>
      <c r="AD2830" s="49"/>
      <c r="AE2830" s="49"/>
      <c r="AF2830" s="49" t="str">
        <f t="shared" si="4"/>
        <v>,</v>
      </c>
      <c r="AG2830" s="49"/>
      <c r="AH2830" s="1" t="s">
        <v>5084</v>
      </c>
      <c r="AI2830" s="1" t="s">
        <v>2588</v>
      </c>
      <c r="AJ2830" s="6" t="str">
        <f>IFERROR(__xludf.DUMMYFUNCTION("""COMPUTED_VALUE"""),"labor")</f>
        <v>labor</v>
      </c>
      <c r="AK2830" s="49"/>
      <c r="AL2830" s="49"/>
      <c r="AM2830" s="49"/>
      <c r="AN2830" s="52" t="str">
        <f t="shared" si="5"/>
        <v>afterwards,</v>
      </c>
    </row>
    <row r="2831">
      <c r="A2831" s="51"/>
      <c r="B2831" s="50" t="s">
        <v>7650</v>
      </c>
      <c r="C2831" s="50" t="s">
        <v>3899</v>
      </c>
      <c r="D2831" s="49" t="str">
        <f>IFERROR(__xludf.DUMMYFUNCTION("""COMPUTED_VALUE"""),"luis")</f>
        <v>luis</v>
      </c>
      <c r="E2831" s="49"/>
      <c r="F2831" s="49"/>
      <c r="G2831" s="49"/>
      <c r="H2831" s="54" t="str">
        <f t="shared" si="1"/>
        <v>fort,</v>
      </c>
      <c r="I2831" s="50"/>
      <c r="J2831" s="50"/>
      <c r="K2831" s="50" t="s">
        <v>1472</v>
      </c>
      <c r="L2831" s="49"/>
      <c r="M2831" s="49"/>
      <c r="N2831" s="49"/>
      <c r="O2831" s="49"/>
      <c r="P2831" s="49" t="str">
        <f t="shared" si="2"/>
        <v>,</v>
      </c>
      <c r="Q2831" s="49"/>
      <c r="R2831" s="49"/>
      <c r="S2831" s="55" t="s">
        <v>2486</v>
      </c>
      <c r="T2831" s="49"/>
      <c r="U2831" s="49"/>
      <c r="V2831" s="49"/>
      <c r="W2831" s="49"/>
      <c r="X2831" s="49" t="str">
        <f t="shared" si="3"/>
        <v>,</v>
      </c>
      <c r="Y2831" s="49"/>
      <c r="Z2831" s="49"/>
      <c r="AA2831" s="1" t="s">
        <v>5899</v>
      </c>
      <c r="AB2831" s="49"/>
      <c r="AC2831" s="49"/>
      <c r="AD2831" s="49"/>
      <c r="AE2831" s="49"/>
      <c r="AF2831" s="49" t="str">
        <f t="shared" si="4"/>
        <v>,</v>
      </c>
      <c r="AG2831" s="49"/>
      <c r="AH2831" s="1" t="s">
        <v>3243</v>
      </c>
      <c r="AI2831" s="1" t="s">
        <v>6857</v>
      </c>
      <c r="AJ2831" s="6" t="str">
        <f>IFERROR(__xludf.DUMMYFUNCTION("""COMPUTED_VALUE"""),"aware")</f>
        <v>aware</v>
      </c>
      <c r="AK2831" s="49"/>
      <c r="AL2831" s="49"/>
      <c r="AM2831" s="49"/>
      <c r="AN2831" s="52" t="str">
        <f t="shared" si="5"/>
        <v>mouth,</v>
      </c>
    </row>
    <row r="2832">
      <c r="A2832" s="51"/>
      <c r="B2832" s="50" t="s">
        <v>7651</v>
      </c>
      <c r="C2832" s="50" t="s">
        <v>6858</v>
      </c>
      <c r="D2832" s="49" t="str">
        <f>IFERROR(__xludf.DUMMYFUNCTION("""COMPUTED_VALUE"""),"phenomenon")</f>
        <v>phenomenon</v>
      </c>
      <c r="E2832" s="49"/>
      <c r="F2832" s="49"/>
      <c r="G2832" s="49"/>
      <c r="H2832" s="54" t="str">
        <f t="shared" si="1"/>
        <v>transport,</v>
      </c>
      <c r="I2832" s="50"/>
      <c r="J2832" s="50"/>
      <c r="K2832" s="50" t="s">
        <v>3712</v>
      </c>
      <c r="L2832" s="49"/>
      <c r="M2832" s="49"/>
      <c r="N2832" s="49"/>
      <c r="O2832" s="49"/>
      <c r="P2832" s="49" t="str">
        <f t="shared" si="2"/>
        <v>,</v>
      </c>
      <c r="Q2832" s="49"/>
      <c r="R2832" s="49"/>
      <c r="S2832" s="55" t="s">
        <v>3642</v>
      </c>
      <c r="T2832" s="49"/>
      <c r="U2832" s="49"/>
      <c r="V2832" s="49"/>
      <c r="W2832" s="49"/>
      <c r="X2832" s="49" t="str">
        <f t="shared" si="3"/>
        <v>,</v>
      </c>
      <c r="Y2832" s="49"/>
      <c r="Z2832" s="49"/>
      <c r="AA2832" s="1" t="s">
        <v>5900</v>
      </c>
      <c r="AB2832" s="49"/>
      <c r="AC2832" s="49"/>
      <c r="AD2832" s="49"/>
      <c r="AE2832" s="49"/>
      <c r="AF2832" s="49" t="str">
        <f t="shared" si="4"/>
        <v>,</v>
      </c>
      <c r="AG2832" s="49"/>
      <c r="AH2832" s="1" t="s">
        <v>5801</v>
      </c>
      <c r="AI2832" s="1" t="s">
        <v>6859</v>
      </c>
      <c r="AJ2832" s="6" t="str">
        <f>IFERROR(__xludf.DUMMYFUNCTION("""COMPUTED_VALUE"""),"sits")</f>
        <v>sits</v>
      </c>
      <c r="AK2832" s="49"/>
      <c r="AL2832" s="49"/>
      <c r="AM2832" s="49"/>
      <c r="AN2832" s="52" t="str">
        <f t="shared" si="5"/>
        <v>solo,</v>
      </c>
    </row>
    <row r="2833">
      <c r="A2833" s="51"/>
      <c r="B2833" s="50" t="s">
        <v>7421</v>
      </c>
      <c r="C2833" s="50" t="s">
        <v>5238</v>
      </c>
      <c r="D2833" s="49" t="str">
        <f>IFERROR(__xludf.DUMMYFUNCTION("""COMPUTED_VALUE"""),"eventually")</f>
        <v>eventually</v>
      </c>
      <c r="E2833" s="49"/>
      <c r="F2833" s="49"/>
      <c r="G2833" s="49"/>
      <c r="H2833" s="54" t="str">
        <f t="shared" si="1"/>
        <v>chemical,</v>
      </c>
      <c r="I2833" s="50"/>
      <c r="J2833" s="50"/>
      <c r="K2833" s="50" t="s">
        <v>4440</v>
      </c>
      <c r="L2833" s="49"/>
      <c r="M2833" s="49"/>
      <c r="N2833" s="49"/>
      <c r="O2833" s="49"/>
      <c r="P2833" s="49" t="str">
        <f t="shared" si="2"/>
        <v>,</v>
      </c>
      <c r="Q2833" s="49"/>
      <c r="R2833" s="49"/>
      <c r="S2833" s="55" t="s">
        <v>1641</v>
      </c>
      <c r="T2833" s="49"/>
      <c r="U2833" s="49"/>
      <c r="V2833" s="49"/>
      <c r="W2833" s="49"/>
      <c r="X2833" s="49" t="str">
        <f t="shared" si="3"/>
        <v>,</v>
      </c>
      <c r="Y2833" s="49"/>
      <c r="Z2833" s="49"/>
      <c r="AA2833" s="1" t="s">
        <v>3386</v>
      </c>
      <c r="AB2833" s="49"/>
      <c r="AC2833" s="49"/>
      <c r="AD2833" s="49"/>
      <c r="AE2833" s="49"/>
      <c r="AF2833" s="49" t="str">
        <f t="shared" si="4"/>
        <v>,</v>
      </c>
      <c r="AG2833" s="49"/>
      <c r="AH2833" s="1" t="s">
        <v>5238</v>
      </c>
      <c r="AI2833" s="1" t="s">
        <v>6860</v>
      </c>
      <c r="AJ2833" s="6" t="str">
        <f>IFERROR(__xludf.DUMMYFUNCTION("""COMPUTED_VALUE"""),"ordinary")</f>
        <v>ordinary</v>
      </c>
      <c r="AK2833" s="49"/>
      <c r="AL2833" s="49"/>
      <c r="AM2833" s="49"/>
      <c r="AN2833" s="52" t="str">
        <f t="shared" si="5"/>
        <v>foster,</v>
      </c>
    </row>
    <row r="2834">
      <c r="A2834" s="51"/>
      <c r="B2834" s="50" t="s">
        <v>4821</v>
      </c>
      <c r="C2834" s="50" t="s">
        <v>3668</v>
      </c>
      <c r="D2834" s="49" t="str">
        <f>IFERROR(__xludf.DUMMYFUNCTION("""COMPUTED_VALUE"""),"content")</f>
        <v>content</v>
      </c>
      <c r="E2834" s="49"/>
      <c r="F2834" s="49"/>
      <c r="G2834" s="49"/>
      <c r="H2834" s="54" t="str">
        <f t="shared" si="1"/>
        <v>driven,</v>
      </c>
      <c r="I2834" s="50"/>
      <c r="J2834" s="50"/>
      <c r="K2834" s="50" t="s">
        <v>4442</v>
      </c>
      <c r="L2834" s="49"/>
      <c r="M2834" s="49"/>
      <c r="N2834" s="49"/>
      <c r="O2834" s="49"/>
      <c r="P2834" s="49" t="str">
        <f t="shared" si="2"/>
        <v>,</v>
      </c>
      <c r="Q2834" s="49"/>
      <c r="R2834" s="49"/>
      <c r="S2834" s="55" t="s">
        <v>3650</v>
      </c>
      <c r="T2834" s="49"/>
      <c r="U2834" s="49"/>
      <c r="V2834" s="49"/>
      <c r="W2834" s="49"/>
      <c r="X2834" s="49" t="str">
        <f t="shared" si="3"/>
        <v>,</v>
      </c>
      <c r="Y2834" s="49"/>
      <c r="Z2834" s="49"/>
      <c r="AA2834" s="1" t="s">
        <v>5085</v>
      </c>
      <c r="AB2834" s="49"/>
      <c r="AC2834" s="49"/>
      <c r="AD2834" s="49"/>
      <c r="AE2834" s="49"/>
      <c r="AF2834" s="49" t="str">
        <f t="shared" si="4"/>
        <v>,</v>
      </c>
      <c r="AG2834" s="49"/>
      <c r="AH2834" s="1" t="s">
        <v>5916</v>
      </c>
      <c r="AI2834" s="1" t="s">
        <v>4431</v>
      </c>
      <c r="AJ2834" s="6" t="str">
        <f>IFERROR(__xludf.DUMMYFUNCTION("""COMPUTED_VALUE"""),"thrust")</f>
        <v>thrust</v>
      </c>
      <c r="AK2834" s="49"/>
      <c r="AL2834" s="49"/>
      <c r="AM2834" s="49"/>
      <c r="AN2834" s="52" t="str">
        <f t="shared" si="5"/>
        <v>determine,</v>
      </c>
    </row>
    <row r="2835">
      <c r="A2835" s="51"/>
      <c r="B2835" s="50" t="s">
        <v>5948</v>
      </c>
      <c r="C2835" s="50" t="s">
        <v>3454</v>
      </c>
      <c r="D2835" s="49" t="str">
        <f>IFERROR(__xludf.DUMMYFUNCTION("""COMPUTED_VALUE"""),"pool")</f>
        <v>pool</v>
      </c>
      <c r="E2835" s="49"/>
      <c r="F2835" s="49"/>
      <c r="G2835" s="49"/>
      <c r="H2835" s="54" t="str">
        <f t="shared" si="1"/>
        <v>graham,</v>
      </c>
      <c r="I2835" s="50"/>
      <c r="J2835" s="50"/>
      <c r="K2835" s="50" t="s">
        <v>3714</v>
      </c>
      <c r="L2835" s="49"/>
      <c r="M2835" s="49"/>
      <c r="N2835" s="49"/>
      <c r="O2835" s="49"/>
      <c r="P2835" s="49" t="str">
        <f t="shared" si="2"/>
        <v>,</v>
      </c>
      <c r="Q2835" s="49"/>
      <c r="R2835" s="49"/>
      <c r="S2835" s="55" t="s">
        <v>5937</v>
      </c>
      <c r="T2835" s="49"/>
      <c r="U2835" s="49"/>
      <c r="V2835" s="49"/>
      <c r="W2835" s="49"/>
      <c r="X2835" s="49" t="str">
        <f t="shared" si="3"/>
        <v>,</v>
      </c>
      <c r="Y2835" s="49"/>
      <c r="Z2835" s="49"/>
      <c r="AA2835" s="1" t="s">
        <v>5901</v>
      </c>
      <c r="AB2835" s="49"/>
      <c r="AC2835" s="49"/>
      <c r="AD2835" s="49"/>
      <c r="AE2835" s="49"/>
      <c r="AF2835" s="49" t="str">
        <f t="shared" si="4"/>
        <v>,</v>
      </c>
      <c r="AG2835" s="49"/>
      <c r="AH2835" s="1" t="s">
        <v>4733</v>
      </c>
      <c r="AI2835" s="1" t="s">
        <v>5895</v>
      </c>
      <c r="AJ2835" s="6" t="str">
        <f>IFERROR(__xludf.DUMMYFUNCTION("""COMPUTED_VALUE"""),"lord")</f>
        <v>lord</v>
      </c>
      <c r="AK2835" s="49"/>
      <c r="AL2835" s="49"/>
      <c r="AM2835" s="49"/>
      <c r="AN2835" s="52" t="str">
        <f t="shared" si="5"/>
        <v>household,</v>
      </c>
    </row>
    <row r="2836">
      <c r="A2836" s="51"/>
      <c r="B2836" s="50" t="s">
        <v>6533</v>
      </c>
      <c r="C2836" s="50" t="s">
        <v>6765</v>
      </c>
      <c r="D2836" s="49" t="str">
        <f>IFERROR(__xludf.DUMMYFUNCTION("""COMPUTED_VALUE"""),"streets")</f>
        <v>streets</v>
      </c>
      <c r="E2836" s="49"/>
      <c r="F2836" s="49"/>
      <c r="G2836" s="49"/>
      <c r="H2836" s="54" t="str">
        <f t="shared" si="1"/>
        <v>italian,</v>
      </c>
      <c r="I2836" s="50"/>
      <c r="J2836" s="50"/>
      <c r="K2836" s="50" t="s">
        <v>4443</v>
      </c>
      <c r="L2836" s="49"/>
      <c r="M2836" s="49"/>
      <c r="N2836" s="49"/>
      <c r="O2836" s="49"/>
      <c r="P2836" s="49" t="str">
        <f t="shared" si="2"/>
        <v>,</v>
      </c>
      <c r="Q2836" s="49"/>
      <c r="R2836" s="49"/>
      <c r="S2836" s="55" t="s">
        <v>1647</v>
      </c>
      <c r="T2836" s="49"/>
      <c r="U2836" s="49"/>
      <c r="V2836" s="49"/>
      <c r="W2836" s="49"/>
      <c r="X2836" s="49" t="str">
        <f t="shared" si="3"/>
        <v>,</v>
      </c>
      <c r="Y2836" s="49"/>
      <c r="Z2836" s="49"/>
      <c r="AB2836" s="49"/>
      <c r="AC2836" s="49"/>
      <c r="AD2836" s="49"/>
      <c r="AE2836" s="49"/>
      <c r="AF2836" s="49"/>
      <c r="AG2836" s="49"/>
      <c r="AH2836" s="1" t="s">
        <v>6768</v>
      </c>
      <c r="AI2836" s="1" t="s">
        <v>725</v>
      </c>
      <c r="AJ2836" s="6" t="str">
        <f>IFERROR(__xludf.DUMMYFUNCTION("""COMPUTED_VALUE"""),"traveled")</f>
        <v>traveled</v>
      </c>
      <c r="AK2836" s="49"/>
      <c r="AL2836" s="49"/>
      <c r="AM2836" s="49"/>
      <c r="AN2836" s="52" t="str">
        <f t="shared" si="5"/>
        <v>dominated,</v>
      </c>
    </row>
    <row r="2837">
      <c r="A2837" s="51"/>
      <c r="B2837" s="50">
        <v>1980.0</v>
      </c>
      <c r="C2837" s="50" t="s">
        <v>2239</v>
      </c>
      <c r="D2837" s="49" t="str">
        <f>IFERROR(__xludf.DUMMYFUNCTION("""COMPUTED_VALUE"""),"diary")</f>
        <v>diary</v>
      </c>
      <c r="E2837" s="49"/>
      <c r="F2837" s="49"/>
      <c r="G2837" s="49"/>
      <c r="H2837" s="54" t="str">
        <f t="shared" si="1"/>
        <v>1980,</v>
      </c>
      <c r="I2837" s="50"/>
      <c r="J2837" s="50"/>
      <c r="K2837" s="50" t="s">
        <v>4446</v>
      </c>
      <c r="L2837" s="49"/>
      <c r="M2837" s="49"/>
      <c r="N2837" s="49"/>
      <c r="O2837" s="49"/>
      <c r="P2837" s="49" t="str">
        <f t="shared" si="2"/>
        <v>,</v>
      </c>
      <c r="Q2837" s="49"/>
      <c r="R2837" s="49"/>
      <c r="S2837" s="55" t="s">
        <v>2491</v>
      </c>
      <c r="T2837" s="49"/>
      <c r="U2837" s="49"/>
      <c r="V2837" s="49"/>
      <c r="W2837" s="49"/>
      <c r="X2837" s="49" t="str">
        <f t="shared" si="3"/>
        <v>,</v>
      </c>
      <c r="Y2837" s="49"/>
      <c r="Z2837" s="49"/>
      <c r="AB2837" s="49"/>
      <c r="AC2837" s="49"/>
      <c r="AD2837" s="49"/>
      <c r="AE2837" s="49"/>
      <c r="AF2837" s="49"/>
      <c r="AG2837" s="49"/>
      <c r="AH2837" s="1" t="s">
        <v>2506</v>
      </c>
      <c r="AI2837" s="1" t="s">
        <v>5413</v>
      </c>
      <c r="AJ2837" s="6" t="str">
        <f>IFERROR(__xludf.DUMMYFUNCTION("""COMPUTED_VALUE"""),"ball")</f>
        <v>ball</v>
      </c>
      <c r="AK2837" s="49"/>
      <c r="AL2837" s="49"/>
      <c r="AM2837" s="49"/>
      <c r="AN2837" s="52" t="str">
        <f t="shared" si="5"/>
        <v>developed,</v>
      </c>
    </row>
    <row r="2838">
      <c r="A2838" s="51"/>
      <c r="B2838" s="50" t="s">
        <v>3615</v>
      </c>
      <c r="C2838" s="50" t="s">
        <v>3457</v>
      </c>
      <c r="D2838" s="49" t="str">
        <f>IFERROR(__xludf.DUMMYFUNCTION("""COMPUTED_VALUE"""),"kingdom")</f>
        <v>kingdom</v>
      </c>
      <c r="E2838" s="49"/>
      <c r="F2838" s="49"/>
      <c r="G2838" s="49"/>
      <c r="H2838" s="54" t="str">
        <f t="shared" si="1"/>
        <v>enter,</v>
      </c>
      <c r="I2838" s="50"/>
      <c r="J2838" s="50"/>
      <c r="K2838" s="50" t="s">
        <v>5235</v>
      </c>
      <c r="L2838" s="49"/>
      <c r="M2838" s="49"/>
      <c r="N2838" s="49"/>
      <c r="O2838" s="49"/>
      <c r="P2838" s="49" t="str">
        <f t="shared" si="2"/>
        <v>,</v>
      </c>
      <c r="Q2838" s="49"/>
      <c r="R2838" s="49"/>
      <c r="S2838" s="55" t="s">
        <v>2495</v>
      </c>
      <c r="T2838" s="49"/>
      <c r="U2838" s="49"/>
      <c r="V2838" s="49"/>
      <c r="W2838" s="49"/>
      <c r="X2838" s="49" t="str">
        <f t="shared" si="3"/>
        <v>,</v>
      </c>
      <c r="Y2838" s="49"/>
      <c r="Z2838" s="49"/>
      <c r="AB2838" s="49"/>
      <c r="AC2838" s="49"/>
      <c r="AD2838" s="49"/>
      <c r="AE2838" s="49"/>
      <c r="AF2838" s="49"/>
      <c r="AG2838" s="49"/>
      <c r="AH2838" s="1" t="s">
        <v>1298</v>
      </c>
      <c r="AI2838" s="1" t="s">
        <v>6861</v>
      </c>
      <c r="AJ2838" s="6" t="str">
        <f>IFERROR(__xludf.DUMMYFUNCTION("""COMPUTED_VALUE"""),"cooper")</f>
        <v>cooper</v>
      </c>
      <c r="AK2838" s="49"/>
      <c r="AL2838" s="49"/>
      <c r="AM2838" s="49"/>
      <c r="AN2838" s="52" t="str">
        <f t="shared" si="5"/>
        <v>borders,</v>
      </c>
    </row>
    <row r="2839">
      <c r="A2839" s="51"/>
      <c r="B2839" s="50" t="s">
        <v>7652</v>
      </c>
      <c r="C2839" s="50" t="s">
        <v>2472</v>
      </c>
      <c r="D2839" s="49" t="str">
        <f>IFERROR(__xludf.DUMMYFUNCTION("""COMPUTED_VALUE"""),"fist")</f>
        <v>fist</v>
      </c>
      <c r="E2839" s="49"/>
      <c r="F2839" s="49"/>
      <c r="G2839" s="49"/>
      <c r="H2839" s="54" t="str">
        <f t="shared" si="1"/>
        <v>oil,</v>
      </c>
      <c r="I2839" s="50"/>
      <c r="J2839" s="50"/>
      <c r="K2839" s="50" t="s">
        <v>2613</v>
      </c>
      <c r="L2839" s="49"/>
      <c r="M2839" s="49"/>
      <c r="N2839" s="49"/>
      <c r="O2839" s="49"/>
      <c r="P2839" s="49" t="str">
        <f t="shared" si="2"/>
        <v>,</v>
      </c>
      <c r="Q2839" s="49"/>
      <c r="R2839" s="49"/>
      <c r="S2839" s="55" t="s">
        <v>4296</v>
      </c>
      <c r="T2839" s="49"/>
      <c r="U2839" s="49"/>
      <c r="V2839" s="49"/>
      <c r="W2839" s="49"/>
      <c r="X2839" s="49" t="str">
        <f t="shared" si="3"/>
        <v>,</v>
      </c>
      <c r="Y2839" s="49"/>
      <c r="Z2839" s="49"/>
      <c r="AB2839" s="49"/>
      <c r="AC2839" s="49"/>
      <c r="AD2839" s="49"/>
      <c r="AE2839" s="49"/>
      <c r="AF2839" s="49"/>
      <c r="AG2839" s="49"/>
      <c r="AH2839" s="1" t="s">
        <v>2285</v>
      </c>
      <c r="AI2839" s="1" t="s">
        <v>4961</v>
      </c>
      <c r="AJ2839" s="6" t="str">
        <f>IFERROR(__xludf.DUMMYFUNCTION("""COMPUTED_VALUE"""),"movement")</f>
        <v>movement</v>
      </c>
      <c r="AK2839" s="49"/>
      <c r="AL2839" s="49"/>
      <c r="AM2839" s="49"/>
      <c r="AN2839" s="52" t="str">
        <f t="shared" si="5"/>
        <v>indian,</v>
      </c>
    </row>
    <row r="2840">
      <c r="A2840" s="51"/>
      <c r="B2840" s="50" t="s">
        <v>3590</v>
      </c>
      <c r="C2840" s="50" t="s">
        <v>5103</v>
      </c>
      <c r="D2840" s="49" t="str">
        <f>IFERROR(__xludf.DUMMYFUNCTION("""COMPUTED_VALUE"""),"six")</f>
        <v>six</v>
      </c>
      <c r="E2840" s="49"/>
      <c r="F2840" s="49"/>
      <c r="G2840" s="49"/>
      <c r="H2840" s="54" t="str">
        <f t="shared" si="1"/>
        <v>shower,</v>
      </c>
      <c r="I2840" s="50"/>
      <c r="J2840" s="50"/>
      <c r="K2840" s="50" t="s">
        <v>2293</v>
      </c>
      <c r="L2840" s="49"/>
      <c r="M2840" s="49"/>
      <c r="N2840" s="49"/>
      <c r="O2840" s="49"/>
      <c r="P2840" s="49" t="str">
        <f t="shared" si="2"/>
        <v>,</v>
      </c>
      <c r="Q2840" s="49"/>
      <c r="R2840" s="49"/>
      <c r="S2840" s="55" t="s">
        <v>1384</v>
      </c>
      <c r="T2840" s="49"/>
      <c r="U2840" s="49"/>
      <c r="V2840" s="49"/>
      <c r="W2840" s="49"/>
      <c r="X2840" s="49" t="str">
        <f t="shared" si="3"/>
        <v>,</v>
      </c>
      <c r="Y2840" s="49"/>
      <c r="Z2840" s="49"/>
      <c r="AB2840" s="49"/>
      <c r="AC2840" s="49"/>
      <c r="AD2840" s="49"/>
      <c r="AE2840" s="49"/>
      <c r="AF2840" s="49"/>
      <c r="AG2840" s="49"/>
      <c r="AH2840" s="1" t="s">
        <v>1761</v>
      </c>
      <c r="AI2840" s="1" t="s">
        <v>6862</v>
      </c>
      <c r="AJ2840" s="6" t="str">
        <f>IFERROR(__xludf.DUMMYFUNCTION("""COMPUTED_VALUE"""),"significant")</f>
        <v>significant</v>
      </c>
      <c r="AK2840" s="49"/>
      <c r="AL2840" s="49"/>
      <c r="AM2840" s="49"/>
      <c r="AN2840" s="52" t="str">
        <f t="shared" si="5"/>
        <v>politics,</v>
      </c>
    </row>
    <row r="2841">
      <c r="A2841" s="51"/>
      <c r="B2841" s="50" t="s">
        <v>7422</v>
      </c>
      <c r="C2841" s="50" t="s">
        <v>1585</v>
      </c>
      <c r="D2841" s="49" t="str">
        <f>IFERROR(__xludf.DUMMYFUNCTION("""COMPUTED_VALUE"""),"key")</f>
        <v>key</v>
      </c>
      <c r="E2841" s="49"/>
      <c r="F2841" s="49"/>
      <c r="G2841" s="49"/>
      <c r="H2841" s="54" t="str">
        <f t="shared" si="1"/>
        <v>brazil,</v>
      </c>
      <c r="I2841" s="50"/>
      <c r="J2841" s="50"/>
      <c r="K2841" s="50" t="s">
        <v>2617</v>
      </c>
      <c r="L2841" s="49"/>
      <c r="M2841" s="49"/>
      <c r="N2841" s="49"/>
      <c r="O2841" s="49"/>
      <c r="P2841" s="49" t="str">
        <f t="shared" si="2"/>
        <v>,</v>
      </c>
      <c r="Q2841" s="49"/>
      <c r="R2841" s="49"/>
      <c r="S2841" s="55" t="s">
        <v>2499</v>
      </c>
      <c r="T2841" s="49"/>
      <c r="U2841" s="49"/>
      <c r="V2841" s="49"/>
      <c r="W2841" s="49"/>
      <c r="X2841" s="49" t="str">
        <f t="shared" si="3"/>
        <v>,</v>
      </c>
      <c r="Y2841" s="49"/>
      <c r="Z2841" s="49"/>
      <c r="AB2841" s="49"/>
      <c r="AC2841" s="49"/>
      <c r="AD2841" s="49"/>
      <c r="AE2841" s="49"/>
      <c r="AF2841" s="49"/>
      <c r="AG2841" s="49"/>
      <c r="AH2841" s="1" t="s">
        <v>6558</v>
      </c>
      <c r="AI2841" s="1" t="s">
        <v>6863</v>
      </c>
      <c r="AJ2841" s="6" t="str">
        <f>IFERROR(__xludf.DUMMYFUNCTION("""COMPUTED_VALUE"""),"fingers")</f>
        <v>fingers</v>
      </c>
      <c r="AK2841" s="49"/>
      <c r="AL2841" s="49"/>
      <c r="AM2841" s="49"/>
      <c r="AN2841" s="52" t="str">
        <f t="shared" si="5"/>
        <v>ignored,</v>
      </c>
    </row>
    <row r="2842">
      <c r="A2842" s="51"/>
      <c r="B2842" s="50" t="s">
        <v>834</v>
      </c>
      <c r="C2842" s="50" t="s">
        <v>6767</v>
      </c>
      <c r="D2842" s="49" t="str">
        <f>IFERROR(__xludf.DUMMYFUNCTION("""COMPUTED_VALUE"""),"sessions")</f>
        <v>sessions</v>
      </c>
      <c r="E2842" s="49"/>
      <c r="F2842" s="49"/>
      <c r="G2842" s="49"/>
      <c r="H2842" s="54" t="str">
        <f t="shared" si="1"/>
        <v>achievement,</v>
      </c>
      <c r="I2842" s="50"/>
      <c r="J2842" s="50"/>
      <c r="K2842" s="50" t="s">
        <v>2619</v>
      </c>
      <c r="L2842" s="49"/>
      <c r="M2842" s="49"/>
      <c r="N2842" s="49"/>
      <c r="O2842" s="49"/>
      <c r="P2842" s="49" t="str">
        <f t="shared" si="2"/>
        <v>,</v>
      </c>
      <c r="Q2842" s="49"/>
      <c r="R2842" s="49"/>
      <c r="S2842" s="55" t="s">
        <v>2501</v>
      </c>
      <c r="T2842" s="49"/>
      <c r="U2842" s="49"/>
      <c r="V2842" s="49"/>
      <c r="W2842" s="49"/>
      <c r="X2842" s="49" t="str">
        <f t="shared" si="3"/>
        <v>,</v>
      </c>
      <c r="Y2842" s="49"/>
      <c r="Z2842" s="49"/>
      <c r="AB2842" s="49"/>
      <c r="AC2842" s="49"/>
      <c r="AD2842" s="49"/>
      <c r="AE2842" s="49"/>
      <c r="AF2842" s="49"/>
      <c r="AG2842" s="49"/>
      <c r="AH2842" s="1" t="s">
        <v>2002</v>
      </c>
      <c r="AI2842" s="1" t="s">
        <v>6864</v>
      </c>
      <c r="AJ2842" s="6" t="str">
        <f>IFERROR(__xludf.DUMMYFUNCTION("""COMPUTED_VALUE"""),"height")</f>
        <v>height</v>
      </c>
      <c r="AK2842" s="49"/>
      <c r="AL2842" s="49"/>
      <c r="AM2842" s="49"/>
      <c r="AN2842" s="52" t="str">
        <f t="shared" si="5"/>
        <v>loss,</v>
      </c>
    </row>
    <row r="2843">
      <c r="A2843" s="51"/>
      <c r="B2843" s="50" t="s">
        <v>6861</v>
      </c>
      <c r="C2843" s="50" t="s">
        <v>6768</v>
      </c>
      <c r="D2843" s="49" t="str">
        <f>IFERROR(__xludf.DUMMYFUNCTION("""COMPUTED_VALUE"""),"serial")</f>
        <v>serial</v>
      </c>
      <c r="E2843" s="49"/>
      <c r="F2843" s="49"/>
      <c r="G2843" s="49"/>
      <c r="H2843" s="54" t="str">
        <f t="shared" si="1"/>
        <v>marketing,</v>
      </c>
      <c r="I2843" s="50"/>
      <c r="J2843" s="50"/>
      <c r="K2843" s="50" t="s">
        <v>5903</v>
      </c>
      <c r="L2843" s="49"/>
      <c r="M2843" s="49"/>
      <c r="N2843" s="49"/>
      <c r="O2843" s="49"/>
      <c r="P2843" s="49" t="str">
        <f t="shared" si="2"/>
        <v>,</v>
      </c>
      <c r="Q2843" s="49"/>
      <c r="R2843" s="49"/>
      <c r="S2843" s="55" t="s">
        <v>5534</v>
      </c>
      <c r="T2843" s="49"/>
      <c r="U2843" s="49"/>
      <c r="V2843" s="49"/>
      <c r="W2843" s="49"/>
      <c r="X2843" s="49" t="str">
        <f t="shared" si="3"/>
        <v>,</v>
      </c>
      <c r="Y2843" s="49"/>
      <c r="Z2843" s="49"/>
      <c r="AB2843" s="49"/>
      <c r="AC2843" s="49"/>
      <c r="AD2843" s="49"/>
      <c r="AE2843" s="49"/>
      <c r="AF2843" s="49"/>
      <c r="AG2843" s="49"/>
      <c r="AH2843" s="1" t="s">
        <v>4385</v>
      </c>
      <c r="AI2843" s="9">
        <v>2.0</v>
      </c>
      <c r="AJ2843" s="6" t="str">
        <f>IFERROR(__xludf.DUMMYFUNCTION("""COMPUTED_VALUE"""),"fictional")</f>
        <v>fictional</v>
      </c>
      <c r="AK2843" s="49"/>
      <c r="AL2843" s="49"/>
      <c r="AM2843" s="49"/>
      <c r="AN2843" s="52" t="str">
        <f t="shared" si="5"/>
        <v>grandfather,</v>
      </c>
    </row>
    <row r="2844">
      <c r="A2844" s="51"/>
      <c r="B2844" s="50" t="s">
        <v>3491</v>
      </c>
      <c r="C2844" s="50" t="s">
        <v>6769</v>
      </c>
      <c r="D2844" s="49" t="str">
        <f>IFERROR(__xludf.DUMMYFUNCTION("""COMPUTED_VALUE"""),"murders")</f>
        <v>murders</v>
      </c>
      <c r="E2844" s="49"/>
      <c r="F2844" s="49"/>
      <c r="G2844" s="49"/>
      <c r="H2844" s="54" t="str">
        <f t="shared" si="1"/>
        <v>holiday,</v>
      </c>
      <c r="I2844" s="50"/>
      <c r="J2844" s="50"/>
      <c r="K2844" s="50" t="s">
        <v>5425</v>
      </c>
      <c r="L2844" s="49"/>
      <c r="M2844" s="49"/>
      <c r="N2844" s="49"/>
      <c r="O2844" s="49"/>
      <c r="P2844" s="49" t="str">
        <f t="shared" si="2"/>
        <v>,</v>
      </c>
      <c r="Q2844" s="49"/>
      <c r="R2844" s="49"/>
      <c r="S2844" s="55" t="s">
        <v>6865</v>
      </c>
      <c r="T2844" s="49"/>
      <c r="U2844" s="49"/>
      <c r="V2844" s="49"/>
      <c r="W2844" s="49"/>
      <c r="X2844" s="49" t="str">
        <f t="shared" si="3"/>
        <v>,</v>
      </c>
      <c r="Y2844" s="49"/>
      <c r="Z2844" s="49"/>
      <c r="AB2844" s="49"/>
      <c r="AC2844" s="49"/>
      <c r="AD2844" s="49"/>
      <c r="AE2844" s="49"/>
      <c r="AF2844" s="49"/>
      <c r="AG2844" s="49"/>
      <c r="AH2844" s="1" t="s">
        <v>558</v>
      </c>
      <c r="AI2844" s="1" t="s">
        <v>6866</v>
      </c>
      <c r="AJ2844" s="6" t="str">
        <f>IFERROR(__xludf.DUMMYFUNCTION("""COMPUTED_VALUE"""),"insurance")</f>
        <v>insurance</v>
      </c>
      <c r="AK2844" s="49"/>
      <c r="AL2844" s="49"/>
      <c r="AM2844" s="49"/>
      <c r="AN2844" s="52" t="str">
        <f t="shared" si="5"/>
        <v>tribute,</v>
      </c>
    </row>
    <row r="2845">
      <c r="A2845" s="51"/>
      <c r="B2845" s="50" t="s">
        <v>4447</v>
      </c>
      <c r="C2845" s="50">
        <v>1980.0</v>
      </c>
      <c r="D2845" s="49" t="str">
        <f>IFERROR(__xludf.DUMMYFUNCTION("""COMPUTED_VALUE"""),"broadcast")</f>
        <v>broadcast</v>
      </c>
      <c r="E2845" s="49"/>
      <c r="F2845" s="49"/>
      <c r="G2845" s="49"/>
      <c r="H2845" s="54" t="str">
        <f t="shared" si="1"/>
        <v>convention,</v>
      </c>
      <c r="I2845" s="50"/>
      <c r="J2845" s="50"/>
      <c r="K2845" s="50" t="s">
        <v>4452</v>
      </c>
      <c r="L2845" s="49"/>
      <c r="M2845" s="49"/>
      <c r="N2845" s="49"/>
      <c r="O2845" s="49"/>
      <c r="P2845" s="49" t="str">
        <f t="shared" si="2"/>
        <v>,</v>
      </c>
      <c r="Q2845" s="49"/>
      <c r="R2845" s="49"/>
      <c r="S2845" s="55" t="s">
        <v>1390</v>
      </c>
      <c r="T2845" s="49"/>
      <c r="U2845" s="49"/>
      <c r="V2845" s="49"/>
      <c r="W2845" s="49"/>
      <c r="X2845" s="49" t="str">
        <f t="shared" si="3"/>
        <v>,</v>
      </c>
      <c r="Y2845" s="49"/>
      <c r="Z2845" s="49"/>
      <c r="AB2845" s="49"/>
      <c r="AC2845" s="49"/>
      <c r="AD2845" s="49"/>
      <c r="AE2845" s="49"/>
      <c r="AF2845" s="49"/>
      <c r="AG2845" s="49"/>
      <c r="AH2845" s="1" t="s">
        <v>1334</v>
      </c>
      <c r="AI2845" s="1" t="s">
        <v>4443</v>
      </c>
      <c r="AJ2845" s="6" t="str">
        <f>IFERROR(__xludf.DUMMYFUNCTION("""COMPUTED_VALUE"""),"conflict")</f>
        <v>conflict</v>
      </c>
      <c r="AK2845" s="49"/>
      <c r="AL2845" s="49"/>
      <c r="AM2845" s="49"/>
      <c r="AN2845" s="52" t="str">
        <f t="shared" si="5"/>
        <v>repeated,</v>
      </c>
    </row>
    <row r="2846">
      <c r="A2846" s="51"/>
      <c r="B2846" s="50" t="s">
        <v>5315</v>
      </c>
      <c r="C2846" s="50" t="s">
        <v>5111</v>
      </c>
      <c r="D2846" s="49" t="str">
        <f>IFERROR(__xludf.DUMMYFUNCTION("""COMPUTED_VALUE"""),"breathing")</f>
        <v>breathing</v>
      </c>
      <c r="E2846" s="49"/>
      <c r="F2846" s="49"/>
      <c r="G2846" s="49"/>
      <c r="H2846" s="54" t="str">
        <f t="shared" si="1"/>
        <v>worship,</v>
      </c>
      <c r="I2846" s="50"/>
      <c r="J2846" s="50"/>
      <c r="K2846" s="50" t="s">
        <v>5905</v>
      </c>
      <c r="L2846" s="49"/>
      <c r="M2846" s="49"/>
      <c r="N2846" s="49"/>
      <c r="O2846" s="49"/>
      <c r="P2846" s="49" t="str">
        <f t="shared" si="2"/>
        <v>,</v>
      </c>
      <c r="Q2846" s="49"/>
      <c r="R2846" s="49"/>
      <c r="S2846" s="55" t="s">
        <v>5338</v>
      </c>
      <c r="T2846" s="49"/>
      <c r="U2846" s="49"/>
      <c r="V2846" s="49"/>
      <c r="W2846" s="49"/>
      <c r="X2846" s="49" t="str">
        <f t="shared" si="3"/>
        <v>,</v>
      </c>
      <c r="Y2846" s="49"/>
      <c r="Z2846" s="49"/>
      <c r="AB2846" s="49"/>
      <c r="AC2846" s="49"/>
      <c r="AD2846" s="49"/>
      <c r="AE2846" s="49"/>
      <c r="AF2846" s="49"/>
      <c r="AG2846" s="49"/>
      <c r="AH2846" s="1" t="s">
        <v>7006</v>
      </c>
      <c r="AI2846" s="1" t="s">
        <v>6166</v>
      </c>
      <c r="AJ2846" s="6" t="str">
        <f>IFERROR(__xludf.DUMMYFUNCTION("""COMPUTED_VALUE"""),"pat")</f>
        <v>pat</v>
      </c>
      <c r="AK2846" s="49"/>
      <c r="AL2846" s="49"/>
      <c r="AM2846" s="49"/>
      <c r="AN2846" s="52" t="str">
        <f t="shared" si="5"/>
        <v>ratio,</v>
      </c>
    </row>
    <row r="2847">
      <c r="A2847" s="51"/>
      <c r="B2847" s="50" t="s">
        <v>4287</v>
      </c>
      <c r="C2847" s="50" t="s">
        <v>6770</v>
      </c>
      <c r="D2847" s="49" t="str">
        <f>IFERROR(__xludf.DUMMYFUNCTION("""COMPUTED_VALUE"""),"embrace")</f>
        <v>embrace</v>
      </c>
      <c r="E2847" s="49"/>
      <c r="F2847" s="49"/>
      <c r="G2847" s="49"/>
      <c r="H2847" s="54" t="str">
        <f t="shared" si="1"/>
        <v>embrace,</v>
      </c>
      <c r="I2847" s="50"/>
      <c r="J2847" s="50"/>
      <c r="K2847" s="50" t="s">
        <v>1479</v>
      </c>
      <c r="L2847" s="49"/>
      <c r="M2847" s="49"/>
      <c r="N2847" s="49"/>
      <c r="O2847" s="49"/>
      <c r="P2847" s="49" t="str">
        <f t="shared" si="2"/>
        <v>,</v>
      </c>
      <c r="Q2847" s="49"/>
      <c r="R2847" s="49"/>
      <c r="S2847" s="55" t="s">
        <v>5339</v>
      </c>
      <c r="T2847" s="49"/>
      <c r="U2847" s="49"/>
      <c r="V2847" s="49"/>
      <c r="W2847" s="49"/>
      <c r="X2847" s="49" t="str">
        <f t="shared" si="3"/>
        <v>,</v>
      </c>
      <c r="Y2847" s="49"/>
      <c r="Z2847" s="49"/>
      <c r="AB2847" s="49"/>
      <c r="AC2847" s="49"/>
      <c r="AD2847" s="49"/>
      <c r="AE2847" s="49"/>
      <c r="AF2847" s="49"/>
      <c r="AG2847" s="49"/>
      <c r="AH2847" s="1" t="s">
        <v>157</v>
      </c>
      <c r="AI2847" s="1" t="s">
        <v>2293</v>
      </c>
      <c r="AJ2847" s="6" t="str">
        <f>IFERROR(__xludf.DUMMYFUNCTION("""COMPUTED_VALUE"""),"functions")</f>
        <v>functions</v>
      </c>
      <c r="AK2847" s="49"/>
      <c r="AL2847" s="49"/>
      <c r="AM2847" s="49"/>
      <c r="AN2847" s="52" t="str">
        <f t="shared" si="5"/>
        <v>reveals,</v>
      </c>
    </row>
    <row r="2848">
      <c r="A2848" s="51"/>
      <c r="B2848" s="50" t="s">
        <v>5214</v>
      </c>
      <c r="C2848" s="50" t="s">
        <v>4074</v>
      </c>
      <c r="D2848" s="49" t="str">
        <f>IFERROR(__xludf.DUMMYFUNCTION("""COMPUTED_VALUE"""),"station")</f>
        <v>station</v>
      </c>
      <c r="E2848" s="49"/>
      <c r="F2848" s="49"/>
      <c r="G2848" s="49"/>
      <c r="H2848" s="54" t="str">
        <f t="shared" si="1"/>
        <v>artwork,</v>
      </c>
      <c r="I2848" s="50"/>
      <c r="J2848" s="50"/>
      <c r="K2848" s="50" t="s">
        <v>3717</v>
      </c>
      <c r="L2848" s="49"/>
      <c r="M2848" s="49"/>
      <c r="N2848" s="49"/>
      <c r="O2848" s="49"/>
      <c r="P2848" s="49" t="str">
        <f t="shared" si="2"/>
        <v>,</v>
      </c>
      <c r="Q2848" s="49"/>
      <c r="R2848" s="49"/>
      <c r="S2848" s="55" t="s">
        <v>3658</v>
      </c>
      <c r="T2848" s="49"/>
      <c r="U2848" s="49"/>
      <c r="V2848" s="49"/>
      <c r="W2848" s="49"/>
      <c r="X2848" s="49" t="str">
        <f t="shared" si="3"/>
        <v>,</v>
      </c>
      <c r="Y2848" s="49"/>
      <c r="Z2848" s="49"/>
      <c r="AB2848" s="49"/>
      <c r="AC2848" s="49"/>
      <c r="AD2848" s="49"/>
      <c r="AE2848" s="49"/>
      <c r="AF2848" s="49"/>
      <c r="AG2848" s="49"/>
      <c r="AH2848" s="1" t="s">
        <v>6514</v>
      </c>
      <c r="AI2848" s="1" t="s">
        <v>5425</v>
      </c>
      <c r="AJ2848" s="6" t="str">
        <f>IFERROR(__xludf.DUMMYFUNCTION("""COMPUTED_VALUE"""),"bowl")</f>
        <v>bowl</v>
      </c>
      <c r="AK2848" s="49"/>
      <c r="AL2848" s="49"/>
      <c r="AM2848" s="49"/>
      <c r="AN2848" s="52" t="str">
        <f t="shared" si="5"/>
        <v>universe,</v>
      </c>
    </row>
    <row r="2849">
      <c r="A2849" s="51"/>
      <c r="B2849" s="50" t="s">
        <v>5953</v>
      </c>
      <c r="C2849" s="50" t="s">
        <v>6867</v>
      </c>
      <c r="D2849" s="49" t="str">
        <f>IFERROR(__xludf.DUMMYFUNCTION("""COMPUTED_VALUE"""),"hearing")</f>
        <v>hearing</v>
      </c>
      <c r="E2849" s="49"/>
      <c r="F2849" s="49"/>
      <c r="G2849" s="49"/>
      <c r="H2849" s="54" t="str">
        <f t="shared" si="1"/>
        <v>graphic,</v>
      </c>
      <c r="I2849" s="50"/>
      <c r="J2849" s="50"/>
      <c r="K2849" s="50" t="s">
        <v>2627</v>
      </c>
      <c r="L2849" s="49"/>
      <c r="M2849" s="49"/>
      <c r="N2849" s="49"/>
      <c r="O2849" s="49"/>
      <c r="P2849" s="49" t="str">
        <f t="shared" si="2"/>
        <v>,</v>
      </c>
      <c r="Q2849" s="49"/>
      <c r="R2849" s="49"/>
      <c r="S2849" s="55" t="s">
        <v>1662</v>
      </c>
      <c r="T2849" s="49"/>
      <c r="U2849" s="49"/>
      <c r="V2849" s="49"/>
      <c r="W2849" s="49"/>
      <c r="X2849" s="49" t="str">
        <f t="shared" si="3"/>
        <v>,</v>
      </c>
      <c r="Y2849" s="49"/>
      <c r="Z2849" s="49"/>
      <c r="AB2849" s="49"/>
      <c r="AC2849" s="49"/>
      <c r="AD2849" s="49"/>
      <c r="AE2849" s="49"/>
      <c r="AF2849" s="49"/>
      <c r="AG2849" s="49"/>
      <c r="AH2849" s="1" t="s">
        <v>4567</v>
      </c>
      <c r="AI2849" s="1" t="s">
        <v>5903</v>
      </c>
      <c r="AJ2849" s="6" t="str">
        <f>IFERROR(__xludf.DUMMYFUNCTION("""COMPUTED_VALUE"""),"suggests")</f>
        <v>suggests</v>
      </c>
      <c r="AK2849" s="49"/>
      <c r="AL2849" s="49"/>
      <c r="AM2849" s="49"/>
      <c r="AN2849" s="52" t="str">
        <f t="shared" si="5"/>
        <v>breath,</v>
      </c>
    </row>
    <row r="2850">
      <c r="A2850" s="51"/>
      <c r="B2850" s="50" t="s">
        <v>7040</v>
      </c>
      <c r="C2850" s="50" t="s">
        <v>3464</v>
      </c>
      <c r="D2850" s="49" t="str">
        <f>IFERROR(__xludf.DUMMYFUNCTION("""COMPUTED_VALUE"""),"media")</f>
        <v>media</v>
      </c>
      <c r="E2850" s="49"/>
      <c r="F2850" s="49"/>
      <c r="G2850" s="49"/>
      <c r="H2850" s="54" t="str">
        <f t="shared" si="1"/>
        <v>soft,</v>
      </c>
      <c r="I2850" s="50"/>
      <c r="J2850" s="50"/>
      <c r="K2850" s="50" t="s">
        <v>5908</v>
      </c>
      <c r="L2850" s="49"/>
      <c r="M2850" s="49"/>
      <c r="N2850" s="49"/>
      <c r="O2850" s="49"/>
      <c r="P2850" s="49" t="str">
        <f t="shared" si="2"/>
        <v>,</v>
      </c>
      <c r="Q2850" s="49"/>
      <c r="R2850" s="49"/>
      <c r="S2850" s="55" t="s">
        <v>695</v>
      </c>
      <c r="T2850" s="49"/>
      <c r="U2850" s="49"/>
      <c r="V2850" s="49"/>
      <c r="W2850" s="49"/>
      <c r="X2850" s="49" t="str">
        <f t="shared" si="3"/>
        <v>,</v>
      </c>
      <c r="Y2850" s="49"/>
      <c r="Z2850" s="49"/>
      <c r="AB2850" s="49"/>
      <c r="AC2850" s="49"/>
      <c r="AD2850" s="49"/>
      <c r="AE2850" s="49"/>
      <c r="AF2850" s="49"/>
      <c r="AG2850" s="49"/>
      <c r="AH2850" s="1" t="s">
        <v>7653</v>
      </c>
      <c r="AI2850" s="1" t="s">
        <v>2619</v>
      </c>
      <c r="AJ2850" s="6" t="str">
        <f>IFERROR(__xludf.DUMMYFUNCTION("""COMPUTED_VALUE"""),"roman")</f>
        <v>roman</v>
      </c>
      <c r="AK2850" s="49"/>
      <c r="AL2850" s="49"/>
      <c r="AM2850" s="49"/>
      <c r="AN2850" s="52" t="str">
        <f t="shared" si="5"/>
        <v>beating,</v>
      </c>
    </row>
    <row r="2851">
      <c r="A2851" s="51"/>
      <c r="B2851" s="50" t="s">
        <v>3739</v>
      </c>
      <c r="C2851" s="50" t="s">
        <v>4344</v>
      </c>
      <c r="D2851" s="49" t="str">
        <f>IFERROR(__xludf.DUMMYFUNCTION("""COMPUTED_VALUE"""),"forum")</f>
        <v>forum</v>
      </c>
      <c r="E2851" s="49"/>
      <c r="F2851" s="49"/>
      <c r="G2851" s="49"/>
      <c r="H2851" s="54" t="str">
        <f t="shared" si="1"/>
        <v>marked,</v>
      </c>
      <c r="I2851" s="50"/>
      <c r="J2851" s="50"/>
      <c r="K2851" s="50" t="s">
        <v>5429</v>
      </c>
      <c r="L2851" s="49"/>
      <c r="M2851" s="49"/>
      <c r="N2851" s="49"/>
      <c r="O2851" s="49"/>
      <c r="P2851" s="49" t="str">
        <f t="shared" si="2"/>
        <v>,</v>
      </c>
      <c r="Q2851" s="49"/>
      <c r="R2851" s="49"/>
      <c r="S2851" s="55" t="s">
        <v>6868</v>
      </c>
      <c r="T2851" s="49"/>
      <c r="U2851" s="49"/>
      <c r="V2851" s="49"/>
      <c r="W2851" s="49"/>
      <c r="X2851" s="49" t="str">
        <f t="shared" si="3"/>
        <v>,</v>
      </c>
      <c r="Y2851" s="49"/>
      <c r="Z2851" s="49"/>
      <c r="AB2851" s="49"/>
      <c r="AC2851" s="49"/>
      <c r="AD2851" s="49"/>
      <c r="AE2851" s="49"/>
      <c r="AF2851" s="49"/>
      <c r="AG2851" s="49"/>
      <c r="AH2851" s="1">
        <v>1984.0</v>
      </c>
      <c r="AI2851" s="1" t="s">
        <v>6869</v>
      </c>
      <c r="AJ2851" s="6" t="str">
        <f>IFERROR(__xludf.DUMMYFUNCTION("""COMPUTED_VALUE"""),"harris")</f>
        <v>harris</v>
      </c>
      <c r="AK2851" s="49"/>
      <c r="AL2851" s="49"/>
      <c r="AM2851" s="49"/>
      <c r="AN2851" s="52" t="str">
        <f t="shared" si="5"/>
        <v>1984,</v>
      </c>
    </row>
    <row r="2852">
      <c r="A2852" s="51"/>
      <c r="B2852" s="50" t="s">
        <v>7117</v>
      </c>
      <c r="C2852" s="50" t="s">
        <v>3471</v>
      </c>
      <c r="D2852" s="49" t="str">
        <f>IFERROR(__xludf.DUMMYFUNCTION("""COMPUTED_VALUE"""),"producers")</f>
        <v>producers</v>
      </c>
      <c r="E2852" s="49"/>
      <c r="F2852" s="49"/>
      <c r="G2852" s="49"/>
      <c r="H2852" s="54" t="str">
        <f t="shared" si="1"/>
        <v>kinds,</v>
      </c>
      <c r="I2852" s="50"/>
      <c r="J2852" s="50"/>
      <c r="K2852" s="50" t="s">
        <v>5642</v>
      </c>
      <c r="L2852" s="49"/>
      <c r="M2852" s="49"/>
      <c r="N2852" s="49"/>
      <c r="O2852" s="49"/>
      <c r="P2852" s="49" t="str">
        <f t="shared" si="2"/>
        <v>,</v>
      </c>
      <c r="Q2852" s="49"/>
      <c r="R2852" s="49"/>
      <c r="S2852" s="55" t="s">
        <v>4320</v>
      </c>
      <c r="T2852" s="49"/>
      <c r="U2852" s="49"/>
      <c r="V2852" s="49"/>
      <c r="W2852" s="49"/>
      <c r="X2852" s="49" t="str">
        <f t="shared" si="3"/>
        <v>,</v>
      </c>
      <c r="Y2852" s="49"/>
      <c r="Z2852" s="49"/>
      <c r="AB2852" s="49"/>
      <c r="AC2852" s="49"/>
      <c r="AD2852" s="49"/>
      <c r="AE2852" s="49"/>
      <c r="AF2852" s="49"/>
      <c r="AG2852" s="49"/>
      <c r="AH2852" s="1" t="s">
        <v>4450</v>
      </c>
      <c r="AI2852" s="1" t="s">
        <v>4452</v>
      </c>
      <c r="AJ2852" s="6" t="str">
        <f>IFERROR(__xludf.DUMMYFUNCTION("""COMPUTED_VALUE"""),"earn")</f>
        <v>earn</v>
      </c>
      <c r="AK2852" s="49"/>
      <c r="AL2852" s="49"/>
      <c r="AM2852" s="49"/>
      <c r="AN2852" s="52" t="str">
        <f t="shared" si="5"/>
        <v>versions,</v>
      </c>
    </row>
    <row r="2853">
      <c r="A2853" s="51"/>
      <c r="B2853" s="50">
        <v>1973.0</v>
      </c>
      <c r="C2853" s="50" t="s">
        <v>390</v>
      </c>
      <c r="D2853" s="49" t="str">
        <f>IFERROR(__xludf.DUMMYFUNCTION("""COMPUTED_VALUE"""),"basis")</f>
        <v>basis</v>
      </c>
      <c r="E2853" s="49"/>
      <c r="F2853" s="49"/>
      <c r="G2853" s="49"/>
      <c r="H2853" s="54" t="str">
        <f t="shared" si="1"/>
        <v>1973,</v>
      </c>
      <c r="I2853" s="50"/>
      <c r="J2853" s="50"/>
      <c r="K2853" s="50" t="s">
        <v>5430</v>
      </c>
      <c r="L2853" s="49"/>
      <c r="M2853" s="49"/>
      <c r="N2853" s="49"/>
      <c r="O2853" s="49"/>
      <c r="P2853" s="49" t="str">
        <f t="shared" si="2"/>
        <v>,</v>
      </c>
      <c r="Q2853" s="49"/>
      <c r="R2853" s="49"/>
      <c r="S2853" s="55" t="s">
        <v>682</v>
      </c>
      <c r="T2853" s="49"/>
      <c r="U2853" s="49"/>
      <c r="V2853" s="49"/>
      <c r="W2853" s="49"/>
      <c r="X2853" s="49" t="str">
        <f t="shared" si="3"/>
        <v>,</v>
      </c>
      <c r="Y2853" s="49"/>
      <c r="Z2853" s="49"/>
      <c r="AB2853" s="49"/>
      <c r="AC2853" s="49"/>
      <c r="AD2853" s="49"/>
      <c r="AE2853" s="49"/>
      <c r="AF2853" s="49"/>
      <c r="AG2853" s="49"/>
      <c r="AH2853" s="1" t="s">
        <v>5872</v>
      </c>
      <c r="AI2853" s="1" t="s">
        <v>5883</v>
      </c>
      <c r="AJ2853" s="6" t="str">
        <f>IFERROR(__xludf.DUMMYFUNCTION("""COMPUTED_VALUE"""),"walks")</f>
        <v>walks</v>
      </c>
      <c r="AK2853" s="49"/>
      <c r="AL2853" s="49"/>
      <c r="AM2853" s="49"/>
      <c r="AN2853" s="52" t="str">
        <f t="shared" si="5"/>
        <v>europe,</v>
      </c>
    </row>
    <row r="2854">
      <c r="A2854" s="51"/>
      <c r="B2854" s="50" t="s">
        <v>2956</v>
      </c>
      <c r="C2854" s="50" t="s">
        <v>4087</v>
      </c>
      <c r="D2854" s="49" t="str">
        <f>IFERROR(__xludf.DUMMYFUNCTION("""COMPUTED_VALUE"""),"household")</f>
        <v>household</v>
      </c>
      <c r="E2854" s="49"/>
      <c r="F2854" s="49"/>
      <c r="G2854" s="49"/>
      <c r="H2854" s="54" t="str">
        <f t="shared" si="1"/>
        <v>von,</v>
      </c>
      <c r="I2854" s="50"/>
      <c r="J2854" s="50"/>
      <c r="K2854" s="50" t="s">
        <v>5911</v>
      </c>
      <c r="L2854" s="49"/>
      <c r="M2854" s="49"/>
      <c r="N2854" s="49"/>
      <c r="O2854" s="49"/>
      <c r="P2854" s="49" t="str">
        <f t="shared" si="2"/>
        <v>,</v>
      </c>
      <c r="Q2854" s="49"/>
      <c r="R2854" s="49"/>
      <c r="S2854" s="55" t="s">
        <v>5484</v>
      </c>
      <c r="T2854" s="49"/>
      <c r="U2854" s="49"/>
      <c r="V2854" s="49"/>
      <c r="W2854" s="49"/>
      <c r="X2854" s="49" t="str">
        <f t="shared" si="3"/>
        <v>,</v>
      </c>
      <c r="Y2854" s="49"/>
      <c r="Z2854" s="49"/>
      <c r="AB2854" s="49"/>
      <c r="AC2854" s="49"/>
      <c r="AD2854" s="49"/>
      <c r="AE2854" s="49"/>
      <c r="AF2854" s="49"/>
      <c r="AG2854" s="49"/>
      <c r="AH2854" s="1" t="s">
        <v>5281</v>
      </c>
      <c r="AI2854" s="1" t="s">
        <v>1713</v>
      </c>
      <c r="AJ2854" s="6" t="str">
        <f>IFERROR(__xludf.DUMMYFUNCTION("""COMPUTED_VALUE"""),"per")</f>
        <v>per</v>
      </c>
      <c r="AK2854" s="49"/>
      <c r="AL2854" s="49"/>
      <c r="AM2854" s="49"/>
      <c r="AN2854" s="52" t="str">
        <f t="shared" si="5"/>
        <v>economic,</v>
      </c>
    </row>
    <row r="2855">
      <c r="A2855" s="51"/>
      <c r="B2855" s="50" t="s">
        <v>7074</v>
      </c>
      <c r="C2855" s="50" t="s">
        <v>6870</v>
      </c>
      <c r="D2855" s="49" t="str">
        <f>IFERROR(__xludf.DUMMYFUNCTION("""COMPUTED_VALUE"""),"evidence")</f>
        <v>evidence</v>
      </c>
      <c r="E2855" s="49"/>
      <c r="F2855" s="49"/>
      <c r="G2855" s="49"/>
      <c r="H2855" s="54" t="str">
        <f t="shared" si="1"/>
        <v>gained,</v>
      </c>
      <c r="I2855" s="50"/>
      <c r="J2855" s="50"/>
      <c r="K2855" s="50" t="s">
        <v>5913</v>
      </c>
      <c r="L2855" s="49"/>
      <c r="M2855" s="49"/>
      <c r="N2855" s="49"/>
      <c r="O2855" s="49"/>
      <c r="P2855" s="49" t="str">
        <f t="shared" si="2"/>
        <v>,</v>
      </c>
      <c r="Q2855" s="49"/>
      <c r="R2855" s="49"/>
      <c r="S2855" s="55" t="s">
        <v>4323</v>
      </c>
      <c r="T2855" s="49"/>
      <c r="U2855" s="49"/>
      <c r="V2855" s="49"/>
      <c r="W2855" s="49"/>
      <c r="X2855" s="49" t="str">
        <f t="shared" si="3"/>
        <v>,</v>
      </c>
      <c r="Y2855" s="49"/>
      <c r="Z2855" s="49"/>
      <c r="AB2855" s="49"/>
      <c r="AC2855" s="49"/>
      <c r="AD2855" s="49"/>
      <c r="AE2855" s="49"/>
      <c r="AF2855" s="49"/>
      <c r="AG2855" s="49"/>
      <c r="AH2855" s="1" t="s">
        <v>4914</v>
      </c>
      <c r="AI2855" s="1" t="s">
        <v>5986</v>
      </c>
      <c r="AJ2855" s="6" t="str">
        <f>IFERROR(__xludf.DUMMYFUNCTION("""COMPUTED_VALUE"""),"smooth")</f>
        <v>smooth</v>
      </c>
      <c r="AK2855" s="49"/>
      <c r="AL2855" s="49"/>
      <c r="AM2855" s="49"/>
      <c r="AN2855" s="52" t="str">
        <f t="shared" si="5"/>
        <v>associated,</v>
      </c>
    </row>
    <row r="2856">
      <c r="A2856" s="51"/>
      <c r="B2856" s="50" t="s">
        <v>7468</v>
      </c>
      <c r="C2856" s="50" t="s">
        <v>5326</v>
      </c>
      <c r="D2856" s="49" t="str">
        <f>IFERROR(__xludf.DUMMYFUNCTION("""COMPUTED_VALUE"""),"discussed")</f>
        <v>discussed</v>
      </c>
      <c r="E2856" s="49"/>
      <c r="F2856" s="49"/>
      <c r="G2856" s="49"/>
      <c r="H2856" s="54" t="str">
        <f t="shared" si="1"/>
        <v>agree,</v>
      </c>
      <c r="I2856" s="50"/>
      <c r="J2856" s="50"/>
      <c r="K2856" s="50" t="s">
        <v>5431</v>
      </c>
      <c r="L2856" s="49"/>
      <c r="M2856" s="49"/>
      <c r="N2856" s="49"/>
      <c r="O2856" s="49"/>
      <c r="P2856" s="49" t="str">
        <f t="shared" si="2"/>
        <v>,</v>
      </c>
      <c r="Q2856" s="49"/>
      <c r="R2856" s="49"/>
      <c r="S2856" s="55" t="s">
        <v>2508</v>
      </c>
      <c r="T2856" s="49"/>
      <c r="U2856" s="49"/>
      <c r="V2856" s="49"/>
      <c r="W2856" s="49"/>
      <c r="X2856" s="49" t="str">
        <f t="shared" si="3"/>
        <v>,</v>
      </c>
      <c r="Y2856" s="49"/>
      <c r="Z2856" s="49"/>
      <c r="AB2856" s="49"/>
      <c r="AC2856" s="49"/>
      <c r="AD2856" s="49"/>
      <c r="AE2856" s="49"/>
      <c r="AF2856" s="49"/>
      <c r="AG2856" s="49"/>
      <c r="AH2856" s="1" t="s">
        <v>5164</v>
      </c>
      <c r="AI2856" s="1" t="s">
        <v>5911</v>
      </c>
      <c r="AJ2856" s="6" t="str">
        <f>IFERROR(__xludf.DUMMYFUNCTION("""COMPUTED_VALUE"""),"assets")</f>
        <v>assets</v>
      </c>
      <c r="AK2856" s="49"/>
      <c r="AL2856" s="49"/>
      <c r="AM2856" s="49"/>
      <c r="AN2856" s="52" t="str">
        <f t="shared" si="5"/>
        <v>nazi,</v>
      </c>
    </row>
    <row r="2857">
      <c r="A2857" s="51"/>
      <c r="B2857" s="50" t="s">
        <v>1768</v>
      </c>
      <c r="C2857" s="50" t="s">
        <v>2261</v>
      </c>
      <c r="D2857" s="49" t="str">
        <f>IFERROR(__xludf.DUMMYFUNCTION("""COMPUTED_VALUE"""),"glasses")</f>
        <v>glasses</v>
      </c>
      <c r="E2857" s="49"/>
      <c r="F2857" s="49"/>
      <c r="G2857" s="49"/>
      <c r="H2857" s="54" t="str">
        <f t="shared" si="1"/>
        <v>era,</v>
      </c>
      <c r="I2857" s="50"/>
      <c r="J2857" s="50"/>
      <c r="K2857" s="50" t="s">
        <v>5433</v>
      </c>
      <c r="L2857" s="49"/>
      <c r="M2857" s="49"/>
      <c r="N2857" s="49"/>
      <c r="O2857" s="49"/>
      <c r="P2857" s="49" t="str">
        <f t="shared" si="2"/>
        <v>,</v>
      </c>
      <c r="Q2857" s="49"/>
      <c r="R2857" s="49"/>
      <c r="S2857" s="55" t="s">
        <v>2511</v>
      </c>
      <c r="T2857" s="49"/>
      <c r="U2857" s="49"/>
      <c r="V2857" s="49"/>
      <c r="W2857" s="49"/>
      <c r="X2857" s="49" t="str">
        <f t="shared" si="3"/>
        <v>,</v>
      </c>
      <c r="Y2857" s="49"/>
      <c r="Z2857" s="49"/>
      <c r="AB2857" s="49"/>
      <c r="AC2857" s="49"/>
      <c r="AD2857" s="49"/>
      <c r="AE2857" s="49"/>
      <c r="AF2857" s="49"/>
      <c r="AG2857" s="49"/>
      <c r="AH2857" s="1" t="s">
        <v>1383</v>
      </c>
      <c r="AI2857" s="1" t="s">
        <v>6871</v>
      </c>
      <c r="AJ2857" s="6" t="str">
        <f>IFERROR(__xludf.DUMMYFUNCTION("""COMPUTED_VALUE"""),"johnny")</f>
        <v>johnny</v>
      </c>
      <c r="AK2857" s="49"/>
      <c r="AL2857" s="49"/>
      <c r="AM2857" s="49"/>
      <c r="AN2857" s="52" t="str">
        <f t="shared" si="5"/>
        <v>noble,</v>
      </c>
    </row>
    <row r="2858">
      <c r="A2858" s="51"/>
      <c r="B2858" s="50" t="s">
        <v>6481</v>
      </c>
      <c r="C2858" s="50" t="s">
        <v>5030</v>
      </c>
      <c r="D2858" s="49" t="str">
        <f>IFERROR(__xludf.DUMMYFUNCTION("""COMPUTED_VALUE"""),"sun")</f>
        <v>sun</v>
      </c>
      <c r="E2858" s="49"/>
      <c r="F2858" s="49"/>
      <c r="G2858" s="49"/>
      <c r="H2858" s="54" t="str">
        <f t="shared" si="1"/>
        <v>perfectly,</v>
      </c>
      <c r="I2858" s="50"/>
      <c r="J2858" s="50"/>
      <c r="K2858" s="50" t="s">
        <v>4457</v>
      </c>
      <c r="L2858" s="49"/>
      <c r="M2858" s="49"/>
      <c r="N2858" s="49"/>
      <c r="O2858" s="49"/>
      <c r="P2858" s="49" t="str">
        <f t="shared" si="2"/>
        <v>,</v>
      </c>
      <c r="Q2858" s="49"/>
      <c r="R2858" s="49"/>
      <c r="S2858" s="55" t="s">
        <v>3667</v>
      </c>
      <c r="T2858" s="49"/>
      <c r="U2858" s="49"/>
      <c r="V2858" s="49"/>
      <c r="W2858" s="49"/>
      <c r="X2858" s="49" t="str">
        <f t="shared" si="3"/>
        <v>,</v>
      </c>
      <c r="Y2858" s="49"/>
      <c r="Z2858" s="49"/>
      <c r="AB2858" s="49"/>
      <c r="AC2858" s="49"/>
      <c r="AD2858" s="49"/>
      <c r="AE2858" s="49"/>
      <c r="AF2858" s="49"/>
      <c r="AG2858" s="49"/>
      <c r="AH2858" s="1" t="s">
        <v>4804</v>
      </c>
      <c r="AI2858" s="1" t="s">
        <v>5933</v>
      </c>
      <c r="AJ2858" s="6" t="str">
        <f>IFERROR(__xludf.DUMMYFUNCTION("""COMPUTED_VALUE"""),"properties")</f>
        <v>properties</v>
      </c>
      <c r="AK2858" s="49"/>
      <c r="AL2858" s="49"/>
      <c r="AM2858" s="49"/>
      <c r="AN2858" s="52" t="str">
        <f t="shared" si="5"/>
        <v>surrounding,</v>
      </c>
    </row>
    <row r="2859">
      <c r="A2859" s="51"/>
      <c r="B2859" s="50" t="s">
        <v>5317</v>
      </c>
      <c r="C2859" s="50" t="s">
        <v>1523</v>
      </c>
      <c r="D2859" s="49" t="str">
        <f>IFERROR(__xludf.DUMMYFUNCTION("""COMPUTED_VALUE"""),"forms")</f>
        <v>forms</v>
      </c>
      <c r="E2859" s="49"/>
      <c r="F2859" s="49"/>
      <c r="G2859" s="49"/>
      <c r="H2859" s="54" t="str">
        <f t="shared" si="1"/>
        <v>promotion,</v>
      </c>
      <c r="I2859" s="50"/>
      <c r="J2859" s="50"/>
      <c r="K2859" s="50" t="s">
        <v>2629</v>
      </c>
      <c r="L2859" s="49"/>
      <c r="M2859" s="49"/>
      <c r="N2859" s="49"/>
      <c r="O2859" s="49"/>
      <c r="P2859" s="49" t="str">
        <f t="shared" si="2"/>
        <v>,</v>
      </c>
      <c r="Q2859" s="49"/>
      <c r="R2859" s="49"/>
      <c r="S2859" s="55" t="s">
        <v>2515</v>
      </c>
      <c r="T2859" s="49"/>
      <c r="U2859" s="49"/>
      <c r="V2859" s="49"/>
      <c r="W2859" s="49"/>
      <c r="X2859" s="49" t="str">
        <f t="shared" si="3"/>
        <v>,</v>
      </c>
      <c r="Y2859" s="49"/>
      <c r="Z2859" s="49"/>
      <c r="AB2859" s="49"/>
      <c r="AC2859" s="49"/>
      <c r="AD2859" s="49"/>
      <c r="AE2859" s="49"/>
      <c r="AF2859" s="49"/>
      <c r="AG2859" s="49"/>
      <c r="AH2859" s="1" t="s">
        <v>4152</v>
      </c>
      <c r="AI2859" s="1" t="s">
        <v>5433</v>
      </c>
      <c r="AJ2859" s="6" t="str">
        <f>IFERROR(__xludf.DUMMYFUNCTION("""COMPUTED_VALUE"""),"distinction")</f>
        <v>distinction</v>
      </c>
      <c r="AK2859" s="49"/>
      <c r="AL2859" s="49"/>
      <c r="AM2859" s="49"/>
      <c r="AN2859" s="52" t="str">
        <f t="shared" si="5"/>
        <v>draw,</v>
      </c>
    </row>
    <row r="2860">
      <c r="A2860" s="51"/>
      <c r="B2860" s="50" t="s">
        <v>536</v>
      </c>
      <c r="C2860" s="50" t="s">
        <v>4096</v>
      </c>
      <c r="D2860" s="49" t="str">
        <f>IFERROR(__xludf.DUMMYFUNCTION("""COMPUTED_VALUE"""),"cure")</f>
        <v>cure</v>
      </c>
      <c r="E2860" s="49"/>
      <c r="F2860" s="49"/>
      <c r="G2860" s="49"/>
      <c r="H2860" s="54" t="str">
        <f t="shared" si="1"/>
        <v>scores,</v>
      </c>
      <c r="I2860" s="50"/>
      <c r="J2860" s="50"/>
      <c r="K2860" s="50" t="s">
        <v>2632</v>
      </c>
      <c r="L2860" s="49"/>
      <c r="M2860" s="49"/>
      <c r="N2860" s="49"/>
      <c r="O2860" s="49"/>
      <c r="P2860" s="49" t="str">
        <f t="shared" si="2"/>
        <v>,</v>
      </c>
      <c r="Q2860" s="49"/>
      <c r="R2860" s="49"/>
      <c r="S2860" s="55" t="s">
        <v>5815</v>
      </c>
      <c r="T2860" s="49"/>
      <c r="U2860" s="49"/>
      <c r="V2860" s="49"/>
      <c r="W2860" s="49"/>
      <c r="X2860" s="49" t="str">
        <f t="shared" si="3"/>
        <v>,</v>
      </c>
      <c r="Y2860" s="49"/>
      <c r="Z2860" s="49"/>
      <c r="AB2860" s="49"/>
      <c r="AC2860" s="49"/>
      <c r="AD2860" s="49"/>
      <c r="AE2860" s="49"/>
      <c r="AF2860" s="49"/>
      <c r="AG2860" s="49"/>
      <c r="AH2860" s="1" t="s">
        <v>3369</v>
      </c>
      <c r="AI2860" s="1" t="s">
        <v>4462</v>
      </c>
      <c r="AJ2860" s="6" t="str">
        <f>IFERROR(__xludf.DUMMYFUNCTION("""COMPUTED_VALUE"""),"sides")</f>
        <v>sides</v>
      </c>
      <c r="AK2860" s="49"/>
      <c r="AL2860" s="49"/>
      <c r="AM2860" s="49"/>
      <c r="AN2860" s="52" t="str">
        <f t="shared" si="5"/>
        <v>shadow,</v>
      </c>
    </row>
    <row r="2861">
      <c r="A2861" s="51"/>
      <c r="B2861" s="50" t="s">
        <v>3961</v>
      </c>
      <c r="C2861" s="50" t="s">
        <v>4097</v>
      </c>
      <c r="D2861" s="49" t="str">
        <f>IFERROR(__xludf.DUMMYFUNCTION("""COMPUTED_VALUE"""),"breaking")</f>
        <v>breaking</v>
      </c>
      <c r="E2861" s="49"/>
      <c r="F2861" s="49"/>
      <c r="G2861" s="49"/>
      <c r="H2861" s="54" t="str">
        <f t="shared" si="1"/>
        <v>challenge,</v>
      </c>
      <c r="I2861" s="50"/>
      <c r="J2861" s="50"/>
      <c r="K2861" s="50" t="s">
        <v>4462</v>
      </c>
      <c r="L2861" s="49"/>
      <c r="M2861" s="49"/>
      <c r="N2861" s="49"/>
      <c r="O2861" s="49"/>
      <c r="P2861" s="49" t="str">
        <f t="shared" si="2"/>
        <v>,</v>
      </c>
      <c r="Q2861" s="49"/>
      <c r="R2861" s="49"/>
      <c r="S2861" s="55" t="s">
        <v>1675</v>
      </c>
      <c r="T2861" s="49"/>
      <c r="U2861" s="49"/>
      <c r="V2861" s="49"/>
      <c r="W2861" s="49"/>
      <c r="X2861" s="49" t="str">
        <f t="shared" si="3"/>
        <v>,</v>
      </c>
      <c r="Y2861" s="49"/>
      <c r="Z2861" s="49"/>
      <c r="AB2861" s="49"/>
      <c r="AC2861" s="49"/>
      <c r="AD2861" s="49"/>
      <c r="AE2861" s="49"/>
      <c r="AF2861" s="49"/>
      <c r="AG2861" s="49"/>
      <c r="AH2861" s="1" t="s">
        <v>1649</v>
      </c>
      <c r="AI2861" s="1" t="s">
        <v>852</v>
      </c>
      <c r="AJ2861" s="6" t="str">
        <f>IFERROR(__xludf.DUMMYFUNCTION("""COMPUTED_VALUE"""),"carrying")</f>
        <v>carrying</v>
      </c>
      <c r="AK2861" s="49"/>
      <c r="AL2861" s="49"/>
      <c r="AM2861" s="49"/>
      <c r="AN2861" s="52" t="str">
        <f t="shared" si="5"/>
        <v>distance,</v>
      </c>
    </row>
    <row r="2862">
      <c r="A2862" s="51"/>
      <c r="B2862" s="50" t="s">
        <v>5591</v>
      </c>
      <c r="C2862" s="50" t="s">
        <v>5055</v>
      </c>
      <c r="D2862" s="49" t="str">
        <f>IFERROR(__xludf.DUMMYFUNCTION("""COMPUTED_VALUE"""),"explosion")</f>
        <v>explosion</v>
      </c>
      <c r="E2862" s="49"/>
      <c r="F2862" s="49"/>
      <c r="G2862" s="49"/>
      <c r="H2862" s="54" t="str">
        <f t="shared" si="1"/>
        <v>heavyweight,</v>
      </c>
      <c r="I2862" s="50"/>
      <c r="J2862" s="50"/>
      <c r="K2862" s="50" t="s">
        <v>5436</v>
      </c>
      <c r="L2862" s="49"/>
      <c r="M2862" s="49"/>
      <c r="N2862" s="49"/>
      <c r="O2862" s="49"/>
      <c r="P2862" s="49" t="str">
        <f t="shared" si="2"/>
        <v>,</v>
      </c>
      <c r="Q2862" s="49"/>
      <c r="R2862" s="49"/>
      <c r="S2862" s="55" t="s">
        <v>5816</v>
      </c>
      <c r="T2862" s="49"/>
      <c r="U2862" s="49"/>
      <c r="V2862" s="49"/>
      <c r="W2862" s="49"/>
      <c r="X2862" s="49" t="str">
        <f t="shared" si="3"/>
        <v>,</v>
      </c>
      <c r="Y2862" s="49"/>
      <c r="Z2862" s="49"/>
      <c r="AB2862" s="49"/>
      <c r="AC2862" s="49"/>
      <c r="AD2862" s="49"/>
      <c r="AE2862" s="49"/>
      <c r="AF2862" s="49"/>
      <c r="AG2862" s="49"/>
      <c r="AH2862" s="1" t="s">
        <v>7654</v>
      </c>
      <c r="AI2862" s="1" t="s">
        <v>6872</v>
      </c>
      <c r="AJ2862" s="6" t="str">
        <f>IFERROR(__xludf.DUMMYFUNCTION("""COMPUTED_VALUE"""),"possibility")</f>
        <v>possibility</v>
      </c>
      <c r="AK2862" s="49"/>
      <c r="AL2862" s="49"/>
      <c r="AM2862" s="49"/>
      <c r="AN2862" s="52" t="str">
        <f t="shared" si="5"/>
        <v>affect,</v>
      </c>
    </row>
    <row r="2863">
      <c r="A2863" s="51"/>
      <c r="B2863" s="50" t="s">
        <v>3556</v>
      </c>
      <c r="C2863" s="50" t="s">
        <v>4100</v>
      </c>
      <c r="D2863" s="49" t="str">
        <f>IFERROR(__xludf.DUMMYFUNCTION("""COMPUTED_VALUE"""),"south")</f>
        <v>south</v>
      </c>
      <c r="E2863" s="49"/>
      <c r="F2863" s="49"/>
      <c r="G2863" s="49"/>
      <c r="H2863" s="54" t="str">
        <f t="shared" si="1"/>
        <v>shoot,</v>
      </c>
      <c r="I2863" s="50"/>
      <c r="J2863" s="50"/>
      <c r="K2863" s="50" t="s">
        <v>5437</v>
      </c>
      <c r="L2863" s="49"/>
      <c r="M2863" s="49"/>
      <c r="N2863" s="49"/>
      <c r="O2863" s="49"/>
      <c r="P2863" s="49" t="str">
        <f t="shared" si="2"/>
        <v>,</v>
      </c>
      <c r="Q2863" s="49"/>
      <c r="R2863" s="49"/>
      <c r="S2863" s="55" t="s">
        <v>2520</v>
      </c>
      <c r="T2863" s="49"/>
      <c r="U2863" s="49"/>
      <c r="V2863" s="49"/>
      <c r="W2863" s="49"/>
      <c r="X2863" s="49" t="str">
        <f t="shared" si="3"/>
        <v>,</v>
      </c>
      <c r="Y2863" s="49"/>
      <c r="Z2863" s="49"/>
      <c r="AB2863" s="49"/>
      <c r="AC2863" s="49"/>
      <c r="AD2863" s="49"/>
      <c r="AE2863" s="49"/>
      <c r="AF2863" s="49"/>
      <c r="AG2863" s="49"/>
      <c r="AH2863" s="1" t="s">
        <v>6748</v>
      </c>
      <c r="AI2863" s="1" t="s">
        <v>6873</v>
      </c>
      <c r="AJ2863" s="6" t="str">
        <f>IFERROR(__xludf.DUMMYFUNCTION("""COMPUTED_VALUE"""),"opposed")</f>
        <v>opposed</v>
      </c>
      <c r="AK2863" s="49"/>
      <c r="AL2863" s="49"/>
      <c r="AM2863" s="49"/>
      <c r="AN2863" s="52" t="str">
        <f t="shared" si="5"/>
        <v>racing,</v>
      </c>
    </row>
    <row r="2864">
      <c r="A2864" s="51"/>
      <c r="B2864" s="50" t="s">
        <v>3287</v>
      </c>
      <c r="C2864" s="50" t="s">
        <v>5128</v>
      </c>
      <c r="D2864" s="49" t="str">
        <f>IFERROR(__xludf.DUMMYFUNCTION("""COMPUTED_VALUE"""),"jr")</f>
        <v>jr</v>
      </c>
      <c r="E2864" s="49"/>
      <c r="F2864" s="49"/>
      <c r="G2864" s="49"/>
      <c r="H2864" s="54" t="str">
        <f t="shared" si="1"/>
        <v>enemies,</v>
      </c>
      <c r="I2864" s="50"/>
      <c r="J2864" s="50"/>
      <c r="K2864" s="50" t="s">
        <v>4303</v>
      </c>
      <c r="L2864" s="49"/>
      <c r="M2864" s="49"/>
      <c r="N2864" s="49"/>
      <c r="O2864" s="49"/>
      <c r="P2864" s="49" t="str">
        <f t="shared" si="2"/>
        <v>,</v>
      </c>
      <c r="Q2864" s="49"/>
      <c r="R2864" s="49"/>
      <c r="S2864" s="55" t="s">
        <v>4332</v>
      </c>
      <c r="T2864" s="49"/>
      <c r="U2864" s="49"/>
      <c r="V2864" s="49"/>
      <c r="W2864" s="49"/>
      <c r="X2864" s="49" t="str">
        <f t="shared" si="3"/>
        <v>,</v>
      </c>
      <c r="Y2864" s="49"/>
      <c r="Z2864" s="49"/>
      <c r="AB2864" s="49"/>
      <c r="AC2864" s="49"/>
      <c r="AD2864" s="49"/>
      <c r="AE2864" s="49"/>
      <c r="AF2864" s="49"/>
      <c r="AG2864" s="49"/>
      <c r="AH2864" s="1" t="s">
        <v>5000</v>
      </c>
      <c r="AI2864" s="1" t="s">
        <v>6874</v>
      </c>
      <c r="AJ2864" s="6" t="str">
        <f>IFERROR(__xludf.DUMMYFUNCTION("""COMPUTED_VALUE"""),"styles")</f>
        <v>styles</v>
      </c>
      <c r="AK2864" s="49"/>
      <c r="AL2864" s="49"/>
      <c r="AM2864" s="49"/>
      <c r="AN2864" s="52" t="str">
        <f t="shared" si="5"/>
        <v>mexican,</v>
      </c>
    </row>
    <row r="2865">
      <c r="A2865" s="51"/>
      <c r="B2865" s="50" t="s">
        <v>1533</v>
      </c>
      <c r="C2865" s="50" t="s">
        <v>2947</v>
      </c>
      <c r="D2865" s="49" t="str">
        <f>IFERROR(__xludf.DUMMYFUNCTION("""COMPUTED_VALUE"""),"debate")</f>
        <v>debate</v>
      </c>
      <c r="E2865" s="49"/>
      <c r="F2865" s="49"/>
      <c r="G2865" s="49"/>
      <c r="H2865" s="54" t="str">
        <f t="shared" si="1"/>
        <v>practice,</v>
      </c>
      <c r="I2865" s="50"/>
      <c r="J2865" s="50"/>
      <c r="K2865" s="50" t="s">
        <v>2635</v>
      </c>
      <c r="L2865" s="49"/>
      <c r="M2865" s="49"/>
      <c r="N2865" s="49"/>
      <c r="O2865" s="49"/>
      <c r="P2865" s="49" t="str">
        <f t="shared" si="2"/>
        <v>,</v>
      </c>
      <c r="Q2865" s="49"/>
      <c r="R2865" s="49"/>
      <c r="S2865" s="55" t="s">
        <v>1397</v>
      </c>
      <c r="T2865" s="49"/>
      <c r="U2865" s="49"/>
      <c r="V2865" s="49"/>
      <c r="W2865" s="49"/>
      <c r="X2865" s="49" t="str">
        <f t="shared" si="3"/>
        <v>,</v>
      </c>
      <c r="Y2865" s="49"/>
      <c r="Z2865" s="49"/>
      <c r="AB2865" s="49"/>
      <c r="AC2865" s="49"/>
      <c r="AD2865" s="49"/>
      <c r="AE2865" s="49"/>
      <c r="AF2865" s="49"/>
      <c r="AG2865" s="49"/>
      <c r="AH2865" s="1" t="s">
        <v>5819</v>
      </c>
      <c r="AI2865" s="1" t="s">
        <v>4303</v>
      </c>
      <c r="AJ2865" s="6" t="str">
        <f>IFERROR(__xludf.DUMMYFUNCTION("""COMPUTED_VALUE"""),"com")</f>
        <v>com</v>
      </c>
      <c r="AK2865" s="49"/>
      <c r="AL2865" s="49"/>
      <c r="AM2865" s="49"/>
      <c r="AN2865" s="52" t="str">
        <f t="shared" si="5"/>
        <v>alleged,</v>
      </c>
    </row>
    <row r="2866">
      <c r="A2866" s="51"/>
      <c r="B2866" s="50" t="s">
        <v>1186</v>
      </c>
      <c r="C2866" s="50" t="s">
        <v>3480</v>
      </c>
      <c r="D2866" s="49" t="str">
        <f>IFERROR(__xludf.DUMMYFUNCTION("""COMPUTED_VALUE"""),"queens")</f>
        <v>queens</v>
      </c>
      <c r="E2866" s="49"/>
      <c r="F2866" s="49"/>
      <c r="G2866" s="49"/>
      <c r="H2866" s="54" t="str">
        <f t="shared" si="1"/>
        <v>titles,</v>
      </c>
      <c r="I2866" s="50"/>
      <c r="J2866" s="50"/>
      <c r="K2866" s="50" t="s">
        <v>2637</v>
      </c>
      <c r="L2866" s="49"/>
      <c r="M2866" s="49"/>
      <c r="N2866" s="49"/>
      <c r="O2866" s="49"/>
      <c r="P2866" s="49" t="str">
        <f t="shared" si="2"/>
        <v>,</v>
      </c>
      <c r="Q2866" s="49"/>
      <c r="R2866" s="49"/>
      <c r="S2866" s="55" t="s">
        <v>4336</v>
      </c>
      <c r="T2866" s="49"/>
      <c r="U2866" s="49"/>
      <c r="V2866" s="49"/>
      <c r="W2866" s="49"/>
      <c r="X2866" s="49" t="str">
        <f t="shared" si="3"/>
        <v>,</v>
      </c>
      <c r="Y2866" s="49"/>
      <c r="Z2866" s="49"/>
      <c r="AB2866" s="49"/>
      <c r="AC2866" s="49"/>
      <c r="AD2866" s="49"/>
      <c r="AE2866" s="49"/>
      <c r="AF2866" s="49"/>
      <c r="AG2866" s="49"/>
      <c r="AH2866" s="1" t="s">
        <v>3154</v>
      </c>
      <c r="AI2866" s="1" t="s">
        <v>6875</v>
      </c>
      <c r="AJ2866" s="6" t="str">
        <f>IFERROR(__xludf.DUMMYFUNCTION("""COMPUTED_VALUE"""),"traditional")</f>
        <v>traditional</v>
      </c>
      <c r="AK2866" s="49"/>
      <c r="AL2866" s="49"/>
      <c r="AM2866" s="49"/>
      <c r="AN2866" s="52" t="str">
        <f t="shared" si="5"/>
        <v>afternoon,</v>
      </c>
    </row>
    <row r="2867">
      <c r="A2867" s="51"/>
      <c r="B2867" s="50" t="s">
        <v>1860</v>
      </c>
      <c r="C2867" s="50" t="s">
        <v>6771</v>
      </c>
      <c r="D2867" s="49" t="str">
        <f>IFERROR(__xludf.DUMMYFUNCTION("""COMPUTED_VALUE"""),"wind")</f>
        <v>wind</v>
      </c>
      <c r="E2867" s="49"/>
      <c r="F2867" s="49"/>
      <c r="G2867" s="49"/>
      <c r="H2867" s="54" t="str">
        <f t="shared" si="1"/>
        <v>dozen,</v>
      </c>
      <c r="I2867" s="50"/>
      <c r="J2867" s="50"/>
      <c r="K2867" s="50" t="s">
        <v>4894</v>
      </c>
      <c r="L2867" s="49"/>
      <c r="M2867" s="49"/>
      <c r="N2867" s="49"/>
      <c r="O2867" s="49"/>
      <c r="P2867" s="49" t="str">
        <f t="shared" si="2"/>
        <v>,</v>
      </c>
      <c r="Q2867" s="49"/>
      <c r="R2867" s="49"/>
      <c r="S2867" s="55" t="s">
        <v>4334</v>
      </c>
      <c r="T2867" s="49"/>
      <c r="U2867" s="49"/>
      <c r="V2867" s="49"/>
      <c r="W2867" s="49"/>
      <c r="X2867" s="49" t="str">
        <f t="shared" si="3"/>
        <v>,</v>
      </c>
      <c r="Y2867" s="49"/>
      <c r="Z2867" s="49"/>
      <c r="AB2867" s="49"/>
      <c r="AC2867" s="49"/>
      <c r="AD2867" s="49"/>
      <c r="AE2867" s="49"/>
      <c r="AF2867" s="49"/>
      <c r="AG2867" s="49"/>
      <c r="AH2867" s="1" t="s">
        <v>3547</v>
      </c>
      <c r="AI2867" s="1" t="s">
        <v>6876</v>
      </c>
      <c r="AJ2867" s="6" t="str">
        <f>IFERROR(__xludf.DUMMYFUNCTION("""COMPUTED_VALUE"""),"partnership")</f>
        <v>partnership</v>
      </c>
      <c r="AK2867" s="49"/>
      <c r="AL2867" s="49"/>
      <c r="AM2867" s="49"/>
      <c r="AN2867" s="52" t="str">
        <f t="shared" si="5"/>
        <v>combat,</v>
      </c>
    </row>
    <row r="2868">
      <c r="A2868" s="51"/>
      <c r="B2868" s="50" t="s">
        <v>4549</v>
      </c>
      <c r="C2868" s="50" t="s">
        <v>3659</v>
      </c>
      <c r="D2868" s="49" t="str">
        <f>IFERROR(__xludf.DUMMYFUNCTION("""COMPUTED_VALUE"""),"majority")</f>
        <v>majority</v>
      </c>
      <c r="E2868" s="49"/>
      <c r="F2868" s="49"/>
      <c r="G2868" s="49"/>
      <c r="H2868" s="54" t="str">
        <f t="shared" si="1"/>
        <v>anime,</v>
      </c>
      <c r="I2868" s="50"/>
      <c r="J2868" s="50"/>
      <c r="K2868" s="50" t="s">
        <v>1485</v>
      </c>
      <c r="L2868" s="49"/>
      <c r="M2868" s="49"/>
      <c r="N2868" s="49"/>
      <c r="O2868" s="49"/>
      <c r="P2868" s="49" t="str">
        <f t="shared" si="2"/>
        <v>,</v>
      </c>
      <c r="Q2868" s="49"/>
      <c r="R2868" s="49"/>
      <c r="S2868" s="55" t="s">
        <v>5351</v>
      </c>
      <c r="T2868" s="49"/>
      <c r="U2868" s="49"/>
      <c r="V2868" s="49"/>
      <c r="W2868" s="49"/>
      <c r="X2868" s="49" t="str">
        <f t="shared" si="3"/>
        <v>,</v>
      </c>
      <c r="Y2868" s="49"/>
      <c r="Z2868" s="49"/>
      <c r="AB2868" s="49"/>
      <c r="AC2868" s="49"/>
      <c r="AD2868" s="49"/>
      <c r="AE2868" s="49"/>
      <c r="AF2868" s="49"/>
      <c r="AG2868" s="49"/>
      <c r="AH2868" s="1" t="s">
        <v>6952</v>
      </c>
      <c r="AI2868" s="1" t="s">
        <v>5441</v>
      </c>
      <c r="AJ2868" s="6" t="str">
        <f>IFERROR(__xludf.DUMMYFUNCTION("""COMPUTED_VALUE"""),"matches")</f>
        <v>matches</v>
      </c>
      <c r="AK2868" s="49"/>
      <c r="AL2868" s="49"/>
      <c r="AM2868" s="49"/>
      <c r="AN2868" s="52" t="str">
        <f t="shared" si="5"/>
        <v>carefully,</v>
      </c>
    </row>
    <row r="2869">
      <c r="A2869" s="51"/>
      <c r="B2869" s="50" t="s">
        <v>2719</v>
      </c>
      <c r="C2869" s="50" t="s">
        <v>2527</v>
      </c>
      <c r="D2869" s="49" t="str">
        <f>IFERROR(__xludf.DUMMYFUNCTION("""COMPUTED_VALUE"""),"molly")</f>
        <v>molly</v>
      </c>
      <c r="E2869" s="49"/>
      <c r="F2869" s="49"/>
      <c r="G2869" s="49"/>
      <c r="H2869" s="54" t="str">
        <f t="shared" si="1"/>
        <v>added,</v>
      </c>
      <c r="I2869" s="50"/>
      <c r="J2869" s="50"/>
      <c r="K2869" s="50" t="s">
        <v>4468</v>
      </c>
      <c r="L2869" s="49"/>
      <c r="M2869" s="49"/>
      <c r="N2869" s="49"/>
      <c r="O2869" s="49"/>
      <c r="P2869" s="49" t="str">
        <f t="shared" si="2"/>
        <v>,</v>
      </c>
      <c r="Q2869" s="49"/>
      <c r="R2869" s="49"/>
      <c r="S2869" s="55" t="s">
        <v>3234</v>
      </c>
      <c r="T2869" s="49"/>
      <c r="U2869" s="49"/>
      <c r="V2869" s="49"/>
      <c r="W2869" s="49"/>
      <c r="X2869" s="49" t="str">
        <f t="shared" si="3"/>
        <v>,</v>
      </c>
      <c r="Y2869" s="49"/>
      <c r="Z2869" s="49"/>
      <c r="AB2869" s="49"/>
      <c r="AC2869" s="49"/>
      <c r="AD2869" s="49"/>
      <c r="AE2869" s="49"/>
      <c r="AF2869" s="49"/>
      <c r="AG2869" s="49"/>
      <c r="AH2869" s="1" t="s">
        <v>5546</v>
      </c>
      <c r="AI2869" s="1" t="s">
        <v>4894</v>
      </c>
      <c r="AJ2869" s="6" t="str">
        <f>IFERROR(__xludf.DUMMYFUNCTION("""COMPUTED_VALUE"""),"pale")</f>
        <v>pale</v>
      </c>
      <c r="AK2869" s="49"/>
      <c r="AL2869" s="49"/>
      <c r="AM2869" s="49"/>
      <c r="AN2869" s="52" t="str">
        <f t="shared" si="5"/>
        <v>topics,</v>
      </c>
    </row>
    <row r="2870">
      <c r="A2870" s="51"/>
      <c r="B2870" s="50" t="s">
        <v>6776</v>
      </c>
      <c r="C2870" s="50" t="s">
        <v>2727</v>
      </c>
      <c r="D2870" s="49" t="str">
        <f>IFERROR(__xludf.DUMMYFUNCTION("""COMPUTED_VALUE"""),"folk")</f>
        <v>folk</v>
      </c>
      <c r="E2870" s="49"/>
      <c r="F2870" s="49"/>
      <c r="G2870" s="49"/>
      <c r="H2870" s="54" t="str">
        <f t="shared" si="1"/>
        <v>shut,</v>
      </c>
      <c r="I2870" s="50"/>
      <c r="J2870" s="50"/>
      <c r="K2870" s="50">
        <v>295.0</v>
      </c>
      <c r="L2870" s="49"/>
      <c r="M2870" s="49"/>
      <c r="N2870" s="49"/>
      <c r="O2870" s="49"/>
      <c r="P2870" s="49" t="str">
        <f t="shared" si="2"/>
        <v>,</v>
      </c>
      <c r="Q2870" s="49"/>
      <c r="R2870" s="49"/>
      <c r="S2870" s="55" t="s">
        <v>4341</v>
      </c>
      <c r="T2870" s="49"/>
      <c r="U2870" s="49"/>
      <c r="V2870" s="49"/>
      <c r="W2870" s="49"/>
      <c r="X2870" s="49" t="str">
        <f t="shared" si="3"/>
        <v>,</v>
      </c>
      <c r="Y2870" s="49"/>
      <c r="Z2870" s="49"/>
      <c r="AB2870" s="49"/>
      <c r="AC2870" s="49"/>
      <c r="AD2870" s="49"/>
      <c r="AE2870" s="49"/>
      <c r="AF2870" s="49"/>
      <c r="AG2870" s="49"/>
      <c r="AH2870" s="1" t="s">
        <v>3687</v>
      </c>
      <c r="AI2870" s="1" t="s">
        <v>5997</v>
      </c>
      <c r="AJ2870" s="6" t="str">
        <f>IFERROR(__xludf.DUMMYFUNCTION("""COMPUTED_VALUE"""),"operates")</f>
        <v>operates</v>
      </c>
      <c r="AK2870" s="49"/>
      <c r="AL2870" s="49"/>
      <c r="AM2870" s="49"/>
      <c r="AN2870" s="52" t="str">
        <f t="shared" si="5"/>
        <v>qualify,</v>
      </c>
    </row>
    <row r="2871">
      <c r="A2871" s="51"/>
      <c r="B2871" s="50" t="s">
        <v>7035</v>
      </c>
      <c r="C2871" s="50" t="s">
        <v>6772</v>
      </c>
      <c r="D2871" s="49" t="str">
        <f>IFERROR(__xludf.DUMMYFUNCTION("""COMPUTED_VALUE"""),"successor")</f>
        <v>successor</v>
      </c>
      <c r="E2871" s="49"/>
      <c r="F2871" s="49"/>
      <c r="G2871" s="49"/>
      <c r="H2871" s="54" t="str">
        <f t="shared" si="1"/>
        <v>orange,</v>
      </c>
      <c r="I2871" s="50"/>
      <c r="J2871" s="50"/>
      <c r="K2871" s="50">
        <v>1958.0</v>
      </c>
      <c r="L2871" s="49"/>
      <c r="M2871" s="49"/>
      <c r="N2871" s="49"/>
      <c r="O2871" s="49"/>
      <c r="P2871" s="49" t="str">
        <f t="shared" si="2"/>
        <v>,</v>
      </c>
      <c r="Q2871" s="49"/>
      <c r="R2871" s="49"/>
      <c r="S2871" s="55" t="s">
        <v>5823</v>
      </c>
      <c r="T2871" s="49"/>
      <c r="U2871" s="49"/>
      <c r="V2871" s="49"/>
      <c r="W2871" s="49"/>
      <c r="X2871" s="49" t="str">
        <f t="shared" si="3"/>
        <v>,</v>
      </c>
      <c r="Y2871" s="49"/>
      <c r="Z2871" s="49"/>
      <c r="AB2871" s="49"/>
      <c r="AC2871" s="49"/>
      <c r="AD2871" s="49"/>
      <c r="AE2871" s="49"/>
      <c r="AF2871" s="49"/>
      <c r="AG2871" s="49"/>
      <c r="AH2871" s="1" t="s">
        <v>3492</v>
      </c>
      <c r="AI2871" s="1" t="s">
        <v>1012</v>
      </c>
      <c r="AJ2871" s="6" t="str">
        <f>IFERROR(__xludf.DUMMYFUNCTION("""COMPUTED_VALUE"""),"tiger")</f>
        <v>tiger</v>
      </c>
      <c r="AK2871" s="49"/>
      <c r="AL2871" s="49"/>
      <c r="AM2871" s="49"/>
      <c r="AN2871" s="52" t="str">
        <f t="shared" si="5"/>
        <v>cry,</v>
      </c>
    </row>
    <row r="2872">
      <c r="A2872" s="51"/>
      <c r="B2872" s="50" t="s">
        <v>4135</v>
      </c>
      <c r="C2872" s="50" t="s">
        <v>6774</v>
      </c>
      <c r="D2872" s="49" t="str">
        <f>IFERROR(__xludf.DUMMYFUNCTION("""COMPUTED_VALUE"""),"successfully")</f>
        <v>successfully</v>
      </c>
      <c r="E2872" s="49"/>
      <c r="F2872" s="49"/>
      <c r="G2872" s="49"/>
      <c r="H2872" s="54" t="str">
        <f t="shared" si="1"/>
        <v>excess,</v>
      </c>
      <c r="I2872" s="50"/>
      <c r="J2872" s="50"/>
      <c r="K2872" s="50" t="s">
        <v>5921</v>
      </c>
      <c r="L2872" s="49"/>
      <c r="M2872" s="49"/>
      <c r="N2872" s="49"/>
      <c r="O2872" s="49"/>
      <c r="P2872" s="49" t="str">
        <f t="shared" si="2"/>
        <v>,</v>
      </c>
      <c r="Q2872" s="49"/>
      <c r="R2872" s="49"/>
      <c r="S2872" s="55" t="s">
        <v>1405</v>
      </c>
      <c r="T2872" s="49"/>
      <c r="U2872" s="49"/>
      <c r="V2872" s="49"/>
      <c r="W2872" s="49"/>
      <c r="X2872" s="49" t="str">
        <f t="shared" si="3"/>
        <v>,</v>
      </c>
      <c r="Y2872" s="49"/>
      <c r="Z2872" s="49"/>
      <c r="AB2872" s="49"/>
      <c r="AC2872" s="49"/>
      <c r="AD2872" s="49"/>
      <c r="AE2872" s="49"/>
      <c r="AF2872" s="49"/>
      <c r="AG2872" s="49"/>
      <c r="AH2872" s="1">
        <v>30.0</v>
      </c>
      <c r="AI2872" s="1" t="s">
        <v>4890</v>
      </c>
      <c r="AJ2872" s="6" t="str">
        <f>IFERROR(__xludf.DUMMYFUNCTION("""COMPUTED_VALUE"""),"wake")</f>
        <v>wake</v>
      </c>
      <c r="AK2872" s="49"/>
      <c r="AL2872" s="49"/>
      <c r="AM2872" s="49"/>
      <c r="AN2872" s="52" t="str">
        <f t="shared" si="5"/>
        <v>30,</v>
      </c>
    </row>
    <row r="2873">
      <c r="A2873" s="51"/>
      <c r="B2873" s="50" t="s">
        <v>6358</v>
      </c>
      <c r="C2873" s="50" t="s">
        <v>2280</v>
      </c>
      <c r="D2873" s="49">
        <f>IFERROR(__xludf.DUMMYFUNCTION("""COMPUTED_VALUE"""),60.0)</f>
        <v>60</v>
      </c>
      <c r="E2873" s="49"/>
      <c r="F2873" s="49"/>
      <c r="G2873" s="49"/>
      <c r="H2873" s="54" t="str">
        <f t="shared" si="1"/>
        <v>private,</v>
      </c>
      <c r="I2873" s="50"/>
      <c r="J2873" s="50"/>
      <c r="K2873" s="50" t="s">
        <v>504</v>
      </c>
      <c r="L2873" s="49"/>
      <c r="M2873" s="49"/>
      <c r="N2873" s="49"/>
      <c r="O2873" s="49"/>
      <c r="P2873" s="49" t="str">
        <f t="shared" si="2"/>
        <v>,</v>
      </c>
      <c r="Q2873" s="49"/>
      <c r="R2873" s="49"/>
      <c r="S2873" s="55" t="s">
        <v>4345</v>
      </c>
      <c r="T2873" s="49"/>
      <c r="U2873" s="49"/>
      <c r="V2873" s="49"/>
      <c r="W2873" s="49"/>
      <c r="X2873" s="49" t="str">
        <f t="shared" si="3"/>
        <v>,</v>
      </c>
      <c r="Y2873" s="49"/>
      <c r="Z2873" s="49"/>
      <c r="AB2873" s="49"/>
      <c r="AC2873" s="49"/>
      <c r="AD2873" s="49"/>
      <c r="AE2873" s="49"/>
      <c r="AF2873" s="49"/>
      <c r="AG2873" s="49"/>
      <c r="AH2873" s="1" t="s">
        <v>7488</v>
      </c>
      <c r="AI2873" s="1" t="s">
        <v>6877</v>
      </c>
      <c r="AJ2873" s="6" t="str">
        <f>IFERROR(__xludf.DUMMYFUNCTION("""COMPUTED_VALUE"""),"dismissed")</f>
        <v>dismissed</v>
      </c>
      <c r="AK2873" s="49"/>
      <c r="AL2873" s="49"/>
      <c r="AM2873" s="49"/>
      <c r="AN2873" s="52" t="str">
        <f t="shared" si="5"/>
        <v>co,</v>
      </c>
    </row>
    <row r="2874">
      <c r="A2874" s="51"/>
      <c r="B2874" s="50" t="s">
        <v>2488</v>
      </c>
      <c r="C2874" s="50">
        <v>13.0</v>
      </c>
      <c r="D2874" s="49" t="str">
        <f>IFERROR(__xludf.DUMMYFUNCTION("""COMPUTED_VALUE"""),"chest")</f>
        <v>chest</v>
      </c>
      <c r="E2874" s="49"/>
      <c r="F2874" s="49"/>
      <c r="G2874" s="49"/>
      <c r="H2874" s="54" t="str">
        <f t="shared" si="1"/>
        <v>dynamic,</v>
      </c>
      <c r="I2874" s="50"/>
      <c r="J2874" s="50"/>
      <c r="K2874" s="50" t="s">
        <v>4471</v>
      </c>
      <c r="L2874" s="49"/>
      <c r="M2874" s="49"/>
      <c r="N2874" s="49"/>
      <c r="O2874" s="49"/>
      <c r="P2874" s="49" t="str">
        <f t="shared" si="2"/>
        <v>,</v>
      </c>
      <c r="Q2874" s="49"/>
      <c r="R2874" s="49"/>
      <c r="S2874" s="55" t="s">
        <v>1755</v>
      </c>
      <c r="T2874" s="49"/>
      <c r="U2874" s="49"/>
      <c r="V2874" s="49"/>
      <c r="W2874" s="49"/>
      <c r="X2874" s="49" t="str">
        <f t="shared" si="3"/>
        <v>,</v>
      </c>
      <c r="Y2874" s="49"/>
      <c r="Z2874" s="49"/>
      <c r="AB2874" s="49"/>
      <c r="AC2874" s="49"/>
      <c r="AD2874" s="49"/>
      <c r="AE2874" s="49"/>
      <c r="AF2874" s="49"/>
      <c r="AG2874" s="49"/>
      <c r="AH2874" s="1" t="s">
        <v>2622</v>
      </c>
      <c r="AI2874" s="1">
        <v>1958.0</v>
      </c>
      <c r="AJ2874" s="6" t="str">
        <f>IFERROR(__xludf.DUMMYFUNCTION("""COMPUTED_VALUE"""),"finishing")</f>
        <v>finishing</v>
      </c>
      <c r="AK2874" s="49"/>
      <c r="AL2874" s="49"/>
      <c r="AM2874" s="49"/>
      <c r="AN2874" s="52" t="str">
        <f t="shared" si="5"/>
        <v>claim,</v>
      </c>
    </row>
    <row r="2875">
      <c r="A2875" s="51"/>
      <c r="B2875" s="50" t="s">
        <v>3017</v>
      </c>
      <c r="C2875" s="50" t="s">
        <v>5141</v>
      </c>
      <c r="D2875" s="49" t="str">
        <f>IFERROR(__xludf.DUMMYFUNCTION("""COMPUTED_VALUE"""),"extension")</f>
        <v>extension</v>
      </c>
      <c r="E2875" s="49"/>
      <c r="F2875" s="49"/>
      <c r="G2875" s="49"/>
      <c r="H2875" s="54" t="str">
        <f t="shared" si="1"/>
        <v>alive,</v>
      </c>
      <c r="I2875" s="50"/>
      <c r="J2875" s="50"/>
      <c r="K2875" s="50" t="s">
        <v>2649</v>
      </c>
      <c r="L2875" s="49"/>
      <c r="M2875" s="49"/>
      <c r="N2875" s="49"/>
      <c r="O2875" s="49"/>
      <c r="P2875" s="49" t="str">
        <f t="shared" si="2"/>
        <v>,</v>
      </c>
      <c r="Q2875" s="49"/>
      <c r="R2875" s="49"/>
      <c r="S2875" s="55" t="s">
        <v>2530</v>
      </c>
      <c r="T2875" s="49"/>
      <c r="U2875" s="49"/>
      <c r="V2875" s="49"/>
      <c r="W2875" s="49"/>
      <c r="X2875" s="49" t="str">
        <f t="shared" si="3"/>
        <v>,</v>
      </c>
      <c r="Y2875" s="49"/>
      <c r="Z2875" s="49"/>
      <c r="AB2875" s="49"/>
      <c r="AC2875" s="49"/>
      <c r="AD2875" s="49"/>
      <c r="AE2875" s="49"/>
      <c r="AF2875" s="49"/>
      <c r="AG2875" s="49"/>
      <c r="AH2875" s="1" t="s">
        <v>902</v>
      </c>
      <c r="AI2875" s="1" t="s">
        <v>4471</v>
      </c>
      <c r="AJ2875" s="6" t="str">
        <f>IFERROR(__xludf.DUMMYFUNCTION("""COMPUTED_VALUE"""),"touched")</f>
        <v>touched</v>
      </c>
      <c r="AK2875" s="49"/>
      <c r="AL2875" s="49"/>
      <c r="AM2875" s="49"/>
      <c r="AN2875" s="52" t="str">
        <f t="shared" si="5"/>
        <v>breathe,</v>
      </c>
    </row>
    <row r="2876">
      <c r="A2876" s="51"/>
      <c r="B2876" s="50" t="s">
        <v>5411</v>
      </c>
      <c r="C2876" s="50" t="s">
        <v>3494</v>
      </c>
      <c r="D2876" s="49" t="str">
        <f>IFERROR(__xludf.DUMMYFUNCTION("""COMPUTED_VALUE"""),"ritual")</f>
        <v>ritual</v>
      </c>
      <c r="E2876" s="49"/>
      <c r="F2876" s="49"/>
      <c r="G2876" s="49"/>
      <c r="H2876" s="54" t="str">
        <f t="shared" si="1"/>
        <v>internal,</v>
      </c>
      <c r="I2876" s="50"/>
      <c r="J2876" s="50"/>
      <c r="K2876" s="50" t="s">
        <v>2651</v>
      </c>
      <c r="L2876" s="49"/>
      <c r="M2876" s="49"/>
      <c r="N2876" s="49"/>
      <c r="O2876" s="49"/>
      <c r="P2876" s="49" t="str">
        <f t="shared" si="2"/>
        <v>,</v>
      </c>
      <c r="Q2876" s="49"/>
      <c r="R2876" s="49"/>
      <c r="S2876" s="55" t="s">
        <v>2533</v>
      </c>
      <c r="T2876" s="49"/>
      <c r="U2876" s="49"/>
      <c r="V2876" s="49"/>
      <c r="W2876" s="49"/>
      <c r="X2876" s="49" t="str">
        <f t="shared" si="3"/>
        <v>,</v>
      </c>
      <c r="Y2876" s="49"/>
      <c r="Z2876" s="49"/>
      <c r="AB2876" s="49"/>
      <c r="AC2876" s="49"/>
      <c r="AD2876" s="49"/>
      <c r="AE2876" s="49"/>
      <c r="AF2876" s="49"/>
      <c r="AG2876" s="49"/>
      <c r="AH2876" s="1" t="s">
        <v>6651</v>
      </c>
      <c r="AI2876" s="1" t="s">
        <v>6120</v>
      </c>
      <c r="AJ2876" s="6" t="str">
        <f>IFERROR(__xludf.DUMMYFUNCTION("""COMPUTED_VALUE"""),"circle")</f>
        <v>circle</v>
      </c>
      <c r="AK2876" s="49"/>
      <c r="AL2876" s="49"/>
      <c r="AM2876" s="49"/>
      <c r="AN2876" s="52" t="str">
        <f t="shared" si="5"/>
        <v>contained,</v>
      </c>
    </row>
    <row r="2877">
      <c r="A2877" s="51"/>
      <c r="B2877" s="50" t="s">
        <v>3041</v>
      </c>
      <c r="C2877" s="50" t="s">
        <v>4410</v>
      </c>
      <c r="D2877" s="49" t="str">
        <f>IFERROR(__xludf.DUMMYFUNCTION("""COMPUTED_VALUE"""),"kitchen")</f>
        <v>kitchen</v>
      </c>
      <c r="E2877" s="49"/>
      <c r="F2877" s="49"/>
      <c r="G2877" s="49"/>
      <c r="H2877" s="54" t="str">
        <f t="shared" si="1"/>
        <v>random,</v>
      </c>
      <c r="I2877" s="50"/>
      <c r="J2877" s="50"/>
      <c r="K2877" s="50" t="s">
        <v>2653</v>
      </c>
      <c r="L2877" s="49"/>
      <c r="M2877" s="49"/>
      <c r="N2877" s="49"/>
      <c r="O2877" s="49"/>
      <c r="P2877" s="49" t="str">
        <f t="shared" si="2"/>
        <v>,</v>
      </c>
      <c r="Q2877" s="49"/>
      <c r="R2877" s="49"/>
      <c r="S2877" s="55" t="s">
        <v>5358</v>
      </c>
      <c r="T2877" s="49"/>
      <c r="U2877" s="49"/>
      <c r="V2877" s="49"/>
      <c r="W2877" s="49"/>
      <c r="X2877" s="49" t="str">
        <f t="shared" si="3"/>
        <v>,</v>
      </c>
      <c r="Y2877" s="49"/>
      <c r="Z2877" s="49"/>
      <c r="AB2877" s="49"/>
      <c r="AC2877" s="49"/>
      <c r="AD2877" s="49"/>
      <c r="AE2877" s="49"/>
      <c r="AF2877" s="49"/>
      <c r="AG2877" s="49"/>
      <c r="AH2877" s="1" t="s">
        <v>2593</v>
      </c>
      <c r="AI2877" s="1" t="s">
        <v>6002</v>
      </c>
      <c r="AJ2877" s="6" t="str">
        <f>IFERROR(__xludf.DUMMYFUNCTION("""COMPUTED_VALUE"""),"rachel")</f>
        <v>rachel</v>
      </c>
      <c r="AK2877" s="49"/>
      <c r="AL2877" s="49"/>
      <c r="AM2877" s="49"/>
      <c r="AN2877" s="52" t="str">
        <f t="shared" si="5"/>
        <v>celebrated,</v>
      </c>
    </row>
    <row r="2878">
      <c r="A2878" s="51"/>
      <c r="B2878" s="50" t="s">
        <v>7655</v>
      </c>
      <c r="C2878" s="50" t="s">
        <v>6775</v>
      </c>
      <c r="D2878" s="49" t="str">
        <f>IFERROR(__xludf.DUMMYFUNCTION("""COMPUTED_VALUE"""),"ballet")</f>
        <v>ballet</v>
      </c>
      <c r="E2878" s="49"/>
      <c r="F2878" s="49"/>
      <c r="G2878" s="49"/>
      <c r="H2878" s="54" t="str">
        <f t="shared" si="1"/>
        <v>den,</v>
      </c>
      <c r="I2878" s="50"/>
      <c r="J2878" s="50"/>
      <c r="K2878" s="50" t="s">
        <v>2655</v>
      </c>
      <c r="L2878" s="49"/>
      <c r="M2878" s="49"/>
      <c r="N2878" s="49"/>
      <c r="O2878" s="49"/>
      <c r="P2878" s="49" t="str">
        <f t="shared" si="2"/>
        <v>,</v>
      </c>
      <c r="Q2878" s="49"/>
      <c r="R2878" s="49"/>
      <c r="S2878" s="55" t="s">
        <v>5389</v>
      </c>
      <c r="T2878" s="49"/>
      <c r="U2878" s="49"/>
      <c r="V2878" s="49"/>
      <c r="W2878" s="49"/>
      <c r="X2878" s="49" t="str">
        <f t="shared" si="3"/>
        <v>,</v>
      </c>
      <c r="Y2878" s="49"/>
      <c r="Z2878" s="49"/>
      <c r="AB2878" s="49"/>
      <c r="AC2878" s="49"/>
      <c r="AD2878" s="49"/>
      <c r="AE2878" s="49"/>
      <c r="AF2878" s="49"/>
      <c r="AG2878" s="49"/>
      <c r="AH2878" s="1" t="s">
        <v>6938</v>
      </c>
      <c r="AI2878" s="1" t="s">
        <v>5004</v>
      </c>
      <c r="AJ2878" s="6" t="str">
        <f>IFERROR(__xludf.DUMMYFUNCTION("""COMPUTED_VALUE"""),"pointed")</f>
        <v>pointed</v>
      </c>
      <c r="AK2878" s="49"/>
      <c r="AL2878" s="49"/>
      <c r="AM2878" s="49"/>
      <c r="AN2878" s="52" t="str">
        <f t="shared" si="5"/>
        <v>fault,</v>
      </c>
    </row>
    <row r="2879">
      <c r="A2879" s="51"/>
      <c r="B2879" s="50" t="s">
        <v>4489</v>
      </c>
      <c r="C2879" s="50" t="s">
        <v>5144</v>
      </c>
      <c r="D2879" s="49" t="str">
        <f>IFERROR(__xludf.DUMMYFUNCTION("""COMPUTED_VALUE"""),"jay")</f>
        <v>jay</v>
      </c>
      <c r="E2879" s="49"/>
      <c r="F2879" s="49"/>
      <c r="G2879" s="49"/>
      <c r="H2879" s="54" t="str">
        <f t="shared" si="1"/>
        <v>normal,</v>
      </c>
      <c r="I2879" s="50"/>
      <c r="J2879" s="50"/>
      <c r="K2879" s="50" t="s">
        <v>4475</v>
      </c>
      <c r="L2879" s="49"/>
      <c r="M2879" s="49"/>
      <c r="N2879" s="49"/>
      <c r="O2879" s="49"/>
      <c r="P2879" s="49" t="str">
        <f t="shared" si="2"/>
        <v>,</v>
      </c>
      <c r="Q2879" s="49"/>
      <c r="R2879" s="49"/>
      <c r="S2879" s="55" t="s">
        <v>2536</v>
      </c>
      <c r="T2879" s="49"/>
      <c r="U2879" s="49"/>
      <c r="V2879" s="49"/>
      <c r="W2879" s="49"/>
      <c r="X2879" s="49" t="str">
        <f t="shared" si="3"/>
        <v>,</v>
      </c>
      <c r="Y2879" s="49"/>
      <c r="Z2879" s="49"/>
      <c r="AB2879" s="49"/>
      <c r="AC2879" s="49"/>
      <c r="AD2879" s="49"/>
      <c r="AE2879" s="49"/>
      <c r="AF2879" s="49"/>
      <c r="AG2879" s="49"/>
      <c r="AH2879" s="1" t="s">
        <v>5319</v>
      </c>
      <c r="AI2879" s="1" t="s">
        <v>6003</v>
      </c>
      <c r="AJ2879" s="6" t="str">
        <f>IFERROR(__xludf.DUMMYFUNCTION("""COMPUTED_VALUE"""),"answered")</f>
        <v>answered</v>
      </c>
      <c r="AK2879" s="49"/>
      <c r="AL2879" s="49"/>
      <c r="AM2879" s="49"/>
      <c r="AN2879" s="52" t="str">
        <f t="shared" si="5"/>
        <v>metal,</v>
      </c>
    </row>
    <row r="2880">
      <c r="A2880" s="51"/>
      <c r="B2880" s="50" t="s">
        <v>3701</v>
      </c>
      <c r="C2880" s="50">
        <v>300.0</v>
      </c>
      <c r="D2880" s="49" t="str">
        <f>IFERROR(__xludf.DUMMYFUNCTION("""COMPUTED_VALUE"""),"September")</f>
        <v>September</v>
      </c>
      <c r="E2880" s="49"/>
      <c r="F2880" s="49"/>
      <c r="G2880" s="49"/>
      <c r="H2880" s="54" t="str">
        <f t="shared" si="1"/>
        <v>details,</v>
      </c>
      <c r="I2880" s="50"/>
      <c r="J2880" s="50"/>
      <c r="K2880" s="50" t="s">
        <v>4476</v>
      </c>
      <c r="L2880" s="49"/>
      <c r="M2880" s="49"/>
      <c r="N2880" s="49"/>
      <c r="O2880" s="49"/>
      <c r="P2880" s="49" t="str">
        <f t="shared" si="2"/>
        <v>,</v>
      </c>
      <c r="Q2880" s="49"/>
      <c r="R2880" s="49"/>
      <c r="S2880" s="55" t="s">
        <v>1410</v>
      </c>
      <c r="T2880" s="49"/>
      <c r="U2880" s="49"/>
      <c r="V2880" s="49"/>
      <c r="W2880" s="49"/>
      <c r="X2880" s="49" t="str">
        <f t="shared" si="3"/>
        <v>,</v>
      </c>
      <c r="Y2880" s="49"/>
      <c r="Z2880" s="49"/>
      <c r="AB2880" s="49"/>
      <c r="AC2880" s="49"/>
      <c r="AD2880" s="49"/>
      <c r="AE2880" s="49"/>
      <c r="AF2880" s="49"/>
      <c r="AG2880" s="49"/>
      <c r="AH2880" s="1" t="s">
        <v>2592</v>
      </c>
      <c r="AI2880" s="1" t="s">
        <v>5925</v>
      </c>
      <c r="AJ2880" s="6" t="str">
        <f>IFERROR(__xludf.DUMMYFUNCTION("""COMPUTED_VALUE"""),"gear")</f>
        <v>gear</v>
      </c>
      <c r="AK2880" s="49"/>
      <c r="AL2880" s="49"/>
      <c r="AM2880" s="49"/>
      <c r="AN2880" s="52" t="str">
        <f t="shared" si="5"/>
        <v>justice,</v>
      </c>
    </row>
    <row r="2881">
      <c r="A2881" s="51"/>
      <c r="B2881" s="50" t="s">
        <v>2973</v>
      </c>
      <c r="C2881" s="50" t="s">
        <v>4844</v>
      </c>
      <c r="D2881" s="49" t="str">
        <f>IFERROR(__xludf.DUMMYFUNCTION("""COMPUTED_VALUE"""),"association")</f>
        <v>association</v>
      </c>
      <c r="E2881" s="49"/>
      <c r="F2881" s="49"/>
      <c r="G2881" s="49"/>
      <c r="H2881" s="54" t="str">
        <f t="shared" si="1"/>
        <v>maintain,</v>
      </c>
      <c r="I2881" s="50"/>
      <c r="J2881" s="50"/>
      <c r="K2881" s="50" t="s">
        <v>2659</v>
      </c>
      <c r="L2881" s="49"/>
      <c r="M2881" s="49"/>
      <c r="N2881" s="49"/>
      <c r="O2881" s="49"/>
      <c r="P2881" s="49" t="str">
        <f t="shared" si="2"/>
        <v>,</v>
      </c>
      <c r="Q2881" s="49"/>
      <c r="R2881" s="49"/>
      <c r="S2881" s="55" t="s">
        <v>4271</v>
      </c>
      <c r="T2881" s="49"/>
      <c r="U2881" s="49"/>
      <c r="V2881" s="49"/>
      <c r="W2881" s="49"/>
      <c r="X2881" s="49" t="str">
        <f t="shared" si="3"/>
        <v>,</v>
      </c>
      <c r="Y2881" s="49"/>
      <c r="Z2881" s="49"/>
      <c r="AB2881" s="49"/>
      <c r="AC2881" s="49"/>
      <c r="AD2881" s="49"/>
      <c r="AE2881" s="49"/>
      <c r="AF2881" s="49"/>
      <c r="AG2881" s="49"/>
      <c r="AH2881" s="1" t="s">
        <v>4002</v>
      </c>
      <c r="AI2881" s="1" t="s">
        <v>2221</v>
      </c>
      <c r="AJ2881" s="6" t="b">
        <f>IFERROR(__xludf.DUMMYFUNCTION("""COMPUTED_VALUE"""),FALSE)</f>
        <v>0</v>
      </c>
      <c r="AK2881" s="49"/>
      <c r="AL2881" s="49"/>
      <c r="AM2881" s="49"/>
      <c r="AN2881" s="52" t="str">
        <f t="shared" si="5"/>
        <v>alice,</v>
      </c>
    </row>
    <row r="2882">
      <c r="A2882" s="51"/>
      <c r="B2882" s="50" t="s">
        <v>3539</v>
      </c>
      <c r="C2882" s="50" t="s">
        <v>6776</v>
      </c>
      <c r="D2882" s="49" t="str">
        <f>IFERROR(__xludf.DUMMYFUNCTION("""COMPUTED_VALUE"""),"basketball")</f>
        <v>basketball</v>
      </c>
      <c r="E2882" s="49"/>
      <c r="F2882" s="49"/>
      <c r="G2882" s="49"/>
      <c r="H2882" s="54" t="str">
        <f t="shared" si="1"/>
        <v>gender,</v>
      </c>
      <c r="I2882" s="50"/>
      <c r="J2882" s="50"/>
      <c r="K2882" s="50" t="s">
        <v>2664</v>
      </c>
      <c r="L2882" s="49"/>
      <c r="M2882" s="49"/>
      <c r="N2882" s="49"/>
      <c r="O2882" s="49"/>
      <c r="P2882" s="49" t="str">
        <f t="shared" si="2"/>
        <v>,</v>
      </c>
      <c r="Q2882" s="49"/>
      <c r="R2882" s="49"/>
      <c r="S2882" s="55" t="s">
        <v>1415</v>
      </c>
      <c r="T2882" s="49"/>
      <c r="U2882" s="49"/>
      <c r="V2882" s="49"/>
      <c r="W2882" s="49"/>
      <c r="X2882" s="49" t="str">
        <f t="shared" si="3"/>
        <v>,</v>
      </c>
      <c r="Y2882" s="49"/>
      <c r="Z2882" s="49"/>
      <c r="AB2882" s="49"/>
      <c r="AC2882" s="49"/>
      <c r="AD2882" s="49"/>
      <c r="AE2882" s="49"/>
      <c r="AF2882" s="49"/>
      <c r="AG2882" s="49"/>
      <c r="AH2882" s="1" t="s">
        <v>4462</v>
      </c>
      <c r="AI2882" s="1" t="s">
        <v>2869</v>
      </c>
      <c r="AJ2882" s="6" t="str">
        <f>IFERROR(__xludf.DUMMYFUNCTION("""COMPUTED_VALUE"""),"foundation")</f>
        <v>foundation</v>
      </c>
      <c r="AK2882" s="49"/>
      <c r="AL2882" s="49"/>
      <c r="AM2882" s="49"/>
      <c r="AN2882" s="52" t="str">
        <f t="shared" si="5"/>
        <v>background,</v>
      </c>
    </row>
    <row r="2883">
      <c r="A2883" s="51"/>
      <c r="B2883" s="50" t="s">
        <v>1500</v>
      </c>
      <c r="C2883" s="50" t="s">
        <v>1530</v>
      </c>
      <c r="D2883" s="49" t="str">
        <f>IFERROR(__xludf.DUMMYFUNCTION("""COMPUTED_VALUE"""),"joint")</f>
        <v>joint</v>
      </c>
      <c r="E2883" s="49"/>
      <c r="F2883" s="49"/>
      <c r="G2883" s="49"/>
      <c r="H2883" s="54" t="str">
        <f t="shared" si="1"/>
        <v>stakes,</v>
      </c>
      <c r="I2883" s="50"/>
      <c r="J2883" s="50"/>
      <c r="K2883" s="50" t="s">
        <v>5925</v>
      </c>
      <c r="L2883" s="49"/>
      <c r="M2883" s="49"/>
      <c r="N2883" s="49"/>
      <c r="O2883" s="49"/>
      <c r="P2883" s="49" t="str">
        <f t="shared" si="2"/>
        <v>,</v>
      </c>
      <c r="Q2883" s="49"/>
      <c r="R2883" s="49"/>
      <c r="S2883" s="55" t="s">
        <v>5206</v>
      </c>
      <c r="T2883" s="49"/>
      <c r="U2883" s="49"/>
      <c r="V2883" s="49"/>
      <c r="W2883" s="49"/>
      <c r="X2883" s="49" t="str">
        <f t="shared" si="3"/>
        <v>,</v>
      </c>
      <c r="Y2883" s="49"/>
      <c r="Z2883" s="49"/>
      <c r="AB2883" s="49"/>
      <c r="AC2883" s="49"/>
      <c r="AD2883" s="49"/>
      <c r="AE2883" s="49"/>
      <c r="AF2883" s="49"/>
      <c r="AG2883" s="49"/>
      <c r="AH2883" s="1" t="s">
        <v>4431</v>
      </c>
      <c r="AI2883" s="1" t="s">
        <v>2713</v>
      </c>
      <c r="AJ2883" s="6" t="str">
        <f>IFERROR(__xludf.DUMMYFUNCTION("""COMPUTED_VALUE"""),"stepped")</f>
        <v>stepped</v>
      </c>
      <c r="AK2883" s="49"/>
      <c r="AL2883" s="49"/>
      <c r="AM2883" s="49"/>
      <c r="AN2883" s="52" t="str">
        <f t="shared" si="5"/>
        <v>runner,</v>
      </c>
    </row>
    <row r="2884">
      <c r="A2884" s="51"/>
      <c r="B2884" s="50" t="s">
        <v>1861</v>
      </c>
      <c r="C2884" s="50" t="s">
        <v>3500</v>
      </c>
      <c r="D2884" s="49" t="str">
        <f>IFERROR(__xludf.DUMMYFUNCTION("""COMPUTED_VALUE"""),"promotion")</f>
        <v>promotion</v>
      </c>
      <c r="E2884" s="49"/>
      <c r="F2884" s="49"/>
      <c r="G2884" s="49"/>
      <c r="H2884" s="54" t="str">
        <f t="shared" si="1"/>
        <v>study,</v>
      </c>
      <c r="I2884" s="50"/>
      <c r="J2884" s="50"/>
      <c r="K2884" s="50" t="s">
        <v>2669</v>
      </c>
      <c r="L2884" s="49"/>
      <c r="M2884" s="49"/>
      <c r="N2884" s="49"/>
      <c r="O2884" s="49"/>
      <c r="P2884" s="49" t="str">
        <f t="shared" si="2"/>
        <v>,</v>
      </c>
      <c r="Q2884" s="49"/>
      <c r="R2884" s="49"/>
      <c r="S2884" s="55" t="s">
        <v>1680</v>
      </c>
      <c r="T2884" s="49"/>
      <c r="U2884" s="49"/>
      <c r="V2884" s="49"/>
      <c r="W2884" s="49"/>
      <c r="X2884" s="49" t="str">
        <f t="shared" si="3"/>
        <v>,</v>
      </c>
      <c r="Y2884" s="49"/>
      <c r="Z2884" s="49"/>
      <c r="AB2884" s="49"/>
      <c r="AC2884" s="49"/>
      <c r="AD2884" s="49"/>
      <c r="AE2884" s="49"/>
      <c r="AF2884" s="49"/>
      <c r="AG2884" s="49"/>
      <c r="AH2884" s="1" t="s">
        <v>6654</v>
      </c>
      <c r="AI2884" s="1" t="s">
        <v>6007</v>
      </c>
      <c r="AJ2884" s="6" t="str">
        <f>IFERROR(__xludf.DUMMYFUNCTION("""COMPUTED_VALUE"""),"organized")</f>
        <v>organized</v>
      </c>
      <c r="AK2884" s="49"/>
      <c r="AL2884" s="49"/>
      <c r="AM2884" s="49"/>
      <c r="AN2884" s="52" t="str">
        <f t="shared" si="5"/>
        <v>sport,</v>
      </c>
    </row>
    <row r="2885">
      <c r="A2885" s="51"/>
      <c r="B2885" s="50" t="s">
        <v>5961</v>
      </c>
      <c r="C2885" s="50" t="s">
        <v>5617</v>
      </c>
      <c r="D2885" s="49" t="str">
        <f>IFERROR(__xludf.DUMMYFUNCTION("""COMPUTED_VALUE"""),"bow")</f>
        <v>bow</v>
      </c>
      <c r="E2885" s="49"/>
      <c r="F2885" s="49"/>
      <c r="G2885" s="49"/>
      <c r="H2885" s="54" t="str">
        <f t="shared" si="1"/>
        <v>library,</v>
      </c>
      <c r="I2885" s="50"/>
      <c r="J2885" s="50"/>
      <c r="K2885" s="50" t="s">
        <v>1854</v>
      </c>
      <c r="L2885" s="49"/>
      <c r="M2885" s="49"/>
      <c r="N2885" s="49"/>
      <c r="O2885" s="49"/>
      <c r="P2885" s="49" t="str">
        <f t="shared" si="2"/>
        <v>,</v>
      </c>
      <c r="Q2885" s="49"/>
      <c r="R2885" s="49"/>
      <c r="S2885" s="55" t="s">
        <v>4356</v>
      </c>
      <c r="T2885" s="49"/>
      <c r="U2885" s="49"/>
      <c r="V2885" s="49"/>
      <c r="W2885" s="49"/>
      <c r="X2885" s="49" t="str">
        <f t="shared" si="3"/>
        <v>,</v>
      </c>
      <c r="Y2885" s="49"/>
      <c r="Z2885" s="49"/>
      <c r="AB2885" s="49"/>
      <c r="AC2885" s="49"/>
      <c r="AD2885" s="49"/>
      <c r="AE2885" s="49"/>
      <c r="AF2885" s="49"/>
      <c r="AG2885" s="49"/>
      <c r="AH2885" s="1" t="s">
        <v>236</v>
      </c>
      <c r="AI2885" s="1" t="s">
        <v>6878</v>
      </c>
      <c r="AJ2885" s="6" t="str">
        <f>IFERROR(__xludf.DUMMYFUNCTION("""COMPUTED_VALUE"""),"lose")</f>
        <v>lose</v>
      </c>
      <c r="AK2885" s="49"/>
      <c r="AL2885" s="49"/>
      <c r="AM2885" s="49"/>
      <c r="AN2885" s="52" t="str">
        <f t="shared" si="5"/>
        <v>treatment,</v>
      </c>
    </row>
    <row r="2886">
      <c r="A2886" s="51"/>
      <c r="B2886" s="50" t="s">
        <v>6924</v>
      </c>
      <c r="C2886" s="50" t="s">
        <v>6777</v>
      </c>
      <c r="D2886" s="49" t="str">
        <f>IFERROR(__xludf.DUMMYFUNCTION("""COMPUTED_VALUE"""),"rap")</f>
        <v>rap</v>
      </c>
      <c r="E2886" s="49"/>
      <c r="F2886" s="49"/>
      <c r="G2886" s="49"/>
      <c r="H2886" s="54" t="str">
        <f t="shared" si="1"/>
        <v>smoke,</v>
      </c>
      <c r="I2886" s="50"/>
      <c r="J2886" s="50"/>
      <c r="K2886" s="50" t="s">
        <v>2675</v>
      </c>
      <c r="L2886" s="49"/>
      <c r="M2886" s="49"/>
      <c r="N2886" s="49"/>
      <c r="O2886" s="49"/>
      <c r="P2886" s="49" t="str">
        <f t="shared" si="2"/>
        <v>,</v>
      </c>
      <c r="Q2886" s="49"/>
      <c r="R2886" s="49"/>
      <c r="S2886" s="55" t="s">
        <v>346</v>
      </c>
      <c r="T2886" s="49"/>
      <c r="U2886" s="49"/>
      <c r="V2886" s="49"/>
      <c r="W2886" s="49"/>
      <c r="X2886" s="49" t="str">
        <f t="shared" si="3"/>
        <v>,</v>
      </c>
      <c r="Y2886" s="49"/>
      <c r="Z2886" s="49"/>
      <c r="AB2886" s="49"/>
      <c r="AC2886" s="49"/>
      <c r="AD2886" s="49"/>
      <c r="AE2886" s="49"/>
      <c r="AF2886" s="49"/>
      <c r="AG2886" s="49"/>
      <c r="AH2886" s="1" t="s">
        <v>6644</v>
      </c>
      <c r="AI2886" s="1" t="s">
        <v>3729</v>
      </c>
      <c r="AJ2886" s="6" t="str">
        <f>IFERROR(__xludf.DUMMYFUNCTION("""COMPUTED_VALUE"""),"introduction")</f>
        <v>introduction</v>
      </c>
      <c r="AK2886" s="49"/>
      <c r="AL2886" s="49"/>
      <c r="AM2886" s="49"/>
      <c r="AN2886" s="52" t="str">
        <f t="shared" si="5"/>
        <v>pushing,</v>
      </c>
    </row>
    <row r="2887">
      <c r="A2887" s="51"/>
      <c r="B2887" s="50" t="s">
        <v>5292</v>
      </c>
      <c r="C2887" s="50" t="s">
        <v>2294</v>
      </c>
      <c r="D2887" s="49" t="str">
        <f>IFERROR(__xludf.DUMMYFUNCTION("""COMPUTED_VALUE"""),"transformed")</f>
        <v>transformed</v>
      </c>
      <c r="E2887" s="49"/>
      <c r="F2887" s="49"/>
      <c r="G2887" s="49"/>
      <c r="H2887" s="54" t="str">
        <f t="shared" si="1"/>
        <v>luis,</v>
      </c>
      <c r="I2887" s="50"/>
      <c r="J2887" s="50"/>
      <c r="K2887" s="50" t="s">
        <v>5289</v>
      </c>
      <c r="L2887" s="49"/>
      <c r="M2887" s="49"/>
      <c r="N2887" s="49"/>
      <c r="O2887" s="49"/>
      <c r="P2887" s="49" t="str">
        <f t="shared" si="2"/>
        <v>,</v>
      </c>
      <c r="Q2887" s="49"/>
      <c r="R2887" s="49"/>
      <c r="S2887" s="55" t="s">
        <v>2543</v>
      </c>
      <c r="T2887" s="49"/>
      <c r="U2887" s="49"/>
      <c r="V2887" s="49"/>
      <c r="W2887" s="49"/>
      <c r="X2887" s="49" t="str">
        <f t="shared" si="3"/>
        <v>,</v>
      </c>
      <c r="Y2887" s="49"/>
      <c r="Z2887" s="49"/>
      <c r="AB2887" s="49"/>
      <c r="AC2887" s="49"/>
      <c r="AD2887" s="49"/>
      <c r="AE2887" s="49"/>
      <c r="AF2887" s="49"/>
      <c r="AG2887" s="49"/>
      <c r="AH2887" s="1" t="s">
        <v>6369</v>
      </c>
      <c r="AI2887" s="1" t="s">
        <v>6879</v>
      </c>
      <c r="AJ2887" s="6" t="str">
        <f>IFERROR(__xludf.DUMMYFUNCTION("""COMPUTED_VALUE"""),"connected")</f>
        <v>connected</v>
      </c>
      <c r="AK2887" s="49"/>
      <c r="AL2887" s="49"/>
      <c r="AM2887" s="49"/>
      <c r="AN2887" s="52" t="str">
        <f t="shared" si="5"/>
        <v>chapter,</v>
      </c>
    </row>
    <row r="2888">
      <c r="A2888" s="51"/>
      <c r="B2888" s="50" t="s">
        <v>6975</v>
      </c>
      <c r="C2888" s="50" t="s">
        <v>6778</v>
      </c>
      <c r="D2888" s="49" t="str">
        <f>IFERROR(__xludf.DUMMYFUNCTION("""COMPUTED_VALUE"""),"notable")</f>
        <v>notable</v>
      </c>
      <c r="E2888" s="49"/>
      <c r="F2888" s="49"/>
      <c r="G2888" s="49"/>
      <c r="H2888" s="54" t="str">
        <f t="shared" si="1"/>
        <v>limits,</v>
      </c>
      <c r="I2888" s="50"/>
      <c r="J2888" s="50"/>
      <c r="K2888" s="50" t="s">
        <v>5224</v>
      </c>
      <c r="L2888" s="49"/>
      <c r="M2888" s="49"/>
      <c r="N2888" s="49"/>
      <c r="O2888" s="49"/>
      <c r="P2888" s="49" t="str">
        <f t="shared" si="2"/>
        <v>,</v>
      </c>
      <c r="Q2888" s="49"/>
      <c r="R2888" s="49"/>
      <c r="S2888" s="55" t="s">
        <v>5840</v>
      </c>
      <c r="T2888" s="49"/>
      <c r="U2888" s="49"/>
      <c r="V2888" s="49"/>
      <c r="W2888" s="49"/>
      <c r="X2888" s="49" t="str">
        <f t="shared" si="3"/>
        <v>,</v>
      </c>
      <c r="Y2888" s="49"/>
      <c r="Z2888" s="49"/>
      <c r="AB2888" s="49"/>
      <c r="AC2888" s="49"/>
      <c r="AD2888" s="49"/>
      <c r="AE2888" s="49"/>
      <c r="AF2888" s="49"/>
      <c r="AG2888" s="49"/>
      <c r="AH2888" s="1" t="s">
        <v>2228</v>
      </c>
      <c r="AI2888" s="1" t="s">
        <v>5224</v>
      </c>
      <c r="AJ2888" s="6" t="str">
        <f>IFERROR(__xludf.DUMMYFUNCTION("""COMPUTED_VALUE"""),"signs")</f>
        <v>signs</v>
      </c>
      <c r="AK2888" s="49"/>
      <c r="AL2888" s="49"/>
      <c r="AM2888" s="49"/>
      <c r="AN2888" s="52" t="str">
        <f t="shared" si="5"/>
        <v>represented,</v>
      </c>
    </row>
    <row r="2889">
      <c r="A2889" s="51"/>
      <c r="B2889" s="50" t="s">
        <v>3742</v>
      </c>
      <c r="C2889" s="50" t="s">
        <v>1860</v>
      </c>
      <c r="D2889" s="49" t="str">
        <f>IFERROR(__xludf.DUMMYFUNCTION("""COMPUTED_VALUE"""),"driver")</f>
        <v>driver</v>
      </c>
      <c r="E2889" s="49"/>
      <c r="F2889" s="49"/>
      <c r="G2889" s="49"/>
      <c r="H2889" s="54" t="str">
        <f t="shared" si="1"/>
        <v>accept,</v>
      </c>
      <c r="I2889" s="50"/>
      <c r="J2889" s="50"/>
      <c r="K2889" s="50" t="s">
        <v>5451</v>
      </c>
      <c r="L2889" s="49"/>
      <c r="M2889" s="49"/>
      <c r="N2889" s="49"/>
      <c r="O2889" s="49"/>
      <c r="P2889" s="49" t="str">
        <f t="shared" si="2"/>
        <v>,</v>
      </c>
      <c r="Q2889" s="49"/>
      <c r="R2889" s="49"/>
      <c r="S2889" s="55" t="s">
        <v>4360</v>
      </c>
      <c r="T2889" s="49"/>
      <c r="U2889" s="49"/>
      <c r="V2889" s="49"/>
      <c r="W2889" s="49"/>
      <c r="X2889" s="49" t="str">
        <f t="shared" si="3"/>
        <v>,</v>
      </c>
      <c r="Y2889" s="49"/>
      <c r="Z2889" s="49"/>
      <c r="AB2889" s="49"/>
      <c r="AC2889" s="49"/>
      <c r="AD2889" s="49"/>
      <c r="AE2889" s="49"/>
      <c r="AF2889" s="49"/>
      <c r="AG2889" s="49"/>
      <c r="AH2889" s="1" t="s">
        <v>7656</v>
      </c>
      <c r="AI2889" s="1" t="s">
        <v>5451</v>
      </c>
      <c r="AJ2889" s="6" t="str">
        <f>IFERROR(__xludf.DUMMYFUNCTION("""COMPUTED_VALUE"""),"relevant")</f>
        <v>relevant</v>
      </c>
      <c r="AK2889" s="49"/>
      <c r="AL2889" s="49"/>
      <c r="AM2889" s="49"/>
      <c r="AN2889" s="52" t="str">
        <f t="shared" si="5"/>
        <v>representing,</v>
      </c>
    </row>
    <row r="2890">
      <c r="A2890" s="51"/>
      <c r="B2890" s="50" t="s">
        <v>2994</v>
      </c>
      <c r="C2890" s="50" t="s">
        <v>3506</v>
      </c>
      <c r="D2890" s="49" t="str">
        <f>IFERROR(__xludf.DUMMYFUNCTION("""COMPUTED_VALUE"""),"instance")</f>
        <v>instance</v>
      </c>
      <c r="E2890" s="49"/>
      <c r="F2890" s="49"/>
      <c r="G2890" s="49"/>
      <c r="H2890" s="54" t="str">
        <f t="shared" si="1"/>
        <v>mood,</v>
      </c>
      <c r="I2890" s="50"/>
      <c r="J2890" s="50"/>
      <c r="K2890" s="50" t="s">
        <v>5929</v>
      </c>
      <c r="L2890" s="49"/>
      <c r="M2890" s="49"/>
      <c r="N2890" s="49"/>
      <c r="O2890" s="49"/>
      <c r="P2890" s="49" t="str">
        <f t="shared" si="2"/>
        <v>,</v>
      </c>
      <c r="Q2890" s="49"/>
      <c r="R2890" s="49"/>
      <c r="S2890" s="55" t="s">
        <v>2545</v>
      </c>
      <c r="T2890" s="49"/>
      <c r="U2890" s="49"/>
      <c r="V2890" s="49"/>
      <c r="W2890" s="49"/>
      <c r="X2890" s="49" t="str">
        <f t="shared" si="3"/>
        <v>,</v>
      </c>
      <c r="Y2890" s="49"/>
      <c r="Z2890" s="49"/>
      <c r="AB2890" s="49"/>
      <c r="AC2890" s="49"/>
      <c r="AD2890" s="49"/>
      <c r="AE2890" s="49"/>
      <c r="AF2890" s="49"/>
      <c r="AG2890" s="49"/>
      <c r="AH2890" s="1" t="s">
        <v>5778</v>
      </c>
      <c r="AI2890" s="1">
        <v>25.0</v>
      </c>
      <c r="AJ2890" s="6" t="str">
        <f>IFERROR(__xludf.DUMMYFUNCTION("""COMPUTED_VALUE"""),"pack")</f>
        <v>pack</v>
      </c>
      <c r="AK2890" s="49"/>
      <c r="AL2890" s="49"/>
      <c r="AM2890" s="49"/>
      <c r="AN2890" s="52" t="str">
        <f t="shared" si="5"/>
        <v>interests,</v>
      </c>
    </row>
    <row r="2891">
      <c r="A2891" s="51"/>
      <c r="B2891" s="50" t="s">
        <v>6027</v>
      </c>
      <c r="C2891" s="50" t="s">
        <v>5956</v>
      </c>
      <c r="D2891" s="49" t="str">
        <f>IFERROR(__xludf.DUMMYFUNCTION("""COMPUTED_VALUE"""),"exists")</f>
        <v>exists</v>
      </c>
      <c r="E2891" s="49"/>
      <c r="F2891" s="49"/>
      <c r="G2891" s="49"/>
      <c r="H2891" s="54" t="str">
        <f t="shared" si="1"/>
        <v>conscious,</v>
      </c>
      <c r="I2891" s="50"/>
      <c r="J2891" s="50"/>
      <c r="K2891" s="50" t="s">
        <v>1735</v>
      </c>
      <c r="L2891" s="49"/>
      <c r="M2891" s="49"/>
      <c r="N2891" s="49"/>
      <c r="O2891" s="49"/>
      <c r="P2891" s="49" t="str">
        <f t="shared" si="2"/>
        <v>,</v>
      </c>
      <c r="Q2891" s="49"/>
      <c r="R2891" s="49"/>
      <c r="S2891" s="55" t="s">
        <v>338</v>
      </c>
      <c r="T2891" s="49"/>
      <c r="U2891" s="49"/>
      <c r="V2891" s="49"/>
      <c r="W2891" s="49"/>
      <c r="X2891" s="49" t="str">
        <f t="shared" si="3"/>
        <v>,</v>
      </c>
      <c r="Y2891" s="49"/>
      <c r="Z2891" s="49"/>
      <c r="AB2891" s="49"/>
      <c r="AC2891" s="49"/>
      <c r="AD2891" s="49"/>
      <c r="AE2891" s="49"/>
      <c r="AF2891" s="49"/>
      <c r="AG2891" s="49"/>
      <c r="AH2891" s="1" t="s">
        <v>5918</v>
      </c>
      <c r="AI2891" s="1" t="s">
        <v>1404</v>
      </c>
      <c r="AJ2891" s="6" t="str">
        <f>IFERROR(__xludf.DUMMYFUNCTION("""COMPUTED_VALUE"""),"forum")</f>
        <v>forum</v>
      </c>
      <c r="AK2891" s="49"/>
      <c r="AL2891" s="49"/>
      <c r="AM2891" s="49"/>
      <c r="AN2891" s="52" t="str">
        <f t="shared" si="5"/>
        <v>kingdom,</v>
      </c>
    </row>
    <row r="2892">
      <c r="A2892" s="51"/>
      <c r="B2892" s="50" t="s">
        <v>5731</v>
      </c>
      <c r="C2892" s="50" t="s">
        <v>2674</v>
      </c>
      <c r="D2892" s="49" t="str">
        <f>IFERROR(__xludf.DUMMYFUNCTION("""COMPUTED_VALUE"""),"tea")</f>
        <v>tea</v>
      </c>
      <c r="E2892" s="49"/>
      <c r="F2892" s="49"/>
      <c r="G2892" s="49"/>
      <c r="H2892" s="54" t="str">
        <f t="shared" si="1"/>
        <v>marriage,</v>
      </c>
      <c r="I2892" s="50"/>
      <c r="J2892" s="50"/>
      <c r="K2892" s="50" t="s">
        <v>5930</v>
      </c>
      <c r="L2892" s="49"/>
      <c r="M2892" s="49"/>
      <c r="N2892" s="49"/>
      <c r="O2892" s="49"/>
      <c r="P2892" s="49" t="str">
        <f t="shared" si="2"/>
        <v>,</v>
      </c>
      <c r="Q2892" s="49"/>
      <c r="R2892" s="49"/>
      <c r="S2892" s="55" t="s">
        <v>4719</v>
      </c>
      <c r="T2892" s="49"/>
      <c r="U2892" s="49"/>
      <c r="V2892" s="49"/>
      <c r="W2892" s="49"/>
      <c r="X2892" s="49" t="str">
        <f t="shared" si="3"/>
        <v>,</v>
      </c>
      <c r="Y2892" s="49"/>
      <c r="Z2892" s="49"/>
      <c r="AB2892" s="49"/>
      <c r="AC2892" s="49"/>
      <c r="AD2892" s="49"/>
      <c r="AE2892" s="49"/>
      <c r="AF2892" s="49"/>
      <c r="AG2892" s="49"/>
      <c r="AH2892" s="1" t="s">
        <v>1502</v>
      </c>
      <c r="AI2892" s="1" t="s">
        <v>5929</v>
      </c>
      <c r="AJ2892" s="6" t="str">
        <f>IFERROR(__xludf.DUMMYFUNCTION("""COMPUTED_VALUE"""),"chest")</f>
        <v>chest</v>
      </c>
      <c r="AK2892" s="49"/>
      <c r="AL2892" s="49"/>
      <c r="AM2892" s="49"/>
      <c r="AN2892" s="52" t="str">
        <f t="shared" si="5"/>
        <v>poet,</v>
      </c>
    </row>
    <row r="2893">
      <c r="A2893" s="51"/>
      <c r="B2893" s="50" t="s">
        <v>2950</v>
      </c>
      <c r="C2893" s="50" t="s">
        <v>6880</v>
      </c>
      <c r="D2893" s="49" t="str">
        <f>IFERROR(__xludf.DUMMYFUNCTION("""COMPUTED_VALUE"""),"8th")</f>
        <v>8th</v>
      </c>
      <c r="E2893" s="49"/>
      <c r="F2893" s="49"/>
      <c r="G2893" s="49"/>
      <c r="H2893" s="54" t="str">
        <f t="shared" si="1"/>
        <v>assured,</v>
      </c>
      <c r="I2893" s="50"/>
      <c r="J2893" s="50"/>
      <c r="K2893" s="50" t="s">
        <v>5931</v>
      </c>
      <c r="L2893" s="49"/>
      <c r="M2893" s="49"/>
      <c r="N2893" s="49"/>
      <c r="O2893" s="49"/>
      <c r="P2893" s="49" t="str">
        <f t="shared" si="2"/>
        <v>,</v>
      </c>
      <c r="Q2893" s="49"/>
      <c r="R2893" s="49"/>
      <c r="S2893" s="55" t="s">
        <v>1421</v>
      </c>
      <c r="T2893" s="49"/>
      <c r="U2893" s="49"/>
      <c r="V2893" s="49"/>
      <c r="W2893" s="49"/>
      <c r="X2893" s="49" t="str">
        <f t="shared" si="3"/>
        <v>,</v>
      </c>
      <c r="Y2893" s="49"/>
      <c r="Z2893" s="49"/>
      <c r="AB2893" s="49"/>
      <c r="AC2893" s="49"/>
      <c r="AD2893" s="49"/>
      <c r="AE2893" s="49"/>
      <c r="AF2893" s="49"/>
      <c r="AG2893" s="49"/>
      <c r="AH2893" s="1" t="s">
        <v>5854</v>
      </c>
      <c r="AI2893" s="1" t="s">
        <v>1735</v>
      </c>
      <c r="AJ2893" s="6" t="str">
        <f>IFERROR(__xludf.DUMMYFUNCTION("""COMPUTED_VALUE"""),"delhi")</f>
        <v>delhi</v>
      </c>
      <c r="AK2893" s="49"/>
      <c r="AL2893" s="49"/>
      <c r="AM2893" s="49"/>
      <c r="AN2893" s="52" t="str">
        <f t="shared" si="5"/>
        <v>thirteen,</v>
      </c>
    </row>
    <row r="2894">
      <c r="A2894" s="51"/>
      <c r="B2894" s="50" t="s">
        <v>6140</v>
      </c>
      <c r="C2894" s="50" t="s">
        <v>3510</v>
      </c>
      <c r="D2894" s="49" t="str">
        <f>IFERROR(__xludf.DUMMYFUNCTION("""COMPUTED_VALUE"""),"placing")</f>
        <v>placing</v>
      </c>
      <c r="E2894" s="49"/>
      <c r="F2894" s="49"/>
      <c r="G2894" s="49"/>
      <c r="H2894" s="54" t="str">
        <f t="shared" si="1"/>
        <v>rose,</v>
      </c>
      <c r="I2894" s="50"/>
      <c r="J2894" s="50"/>
      <c r="K2894" s="50" t="s">
        <v>4487</v>
      </c>
      <c r="L2894" s="49"/>
      <c r="M2894" s="49"/>
      <c r="N2894" s="49"/>
      <c r="O2894" s="49"/>
      <c r="P2894" s="49" t="str">
        <f t="shared" si="2"/>
        <v>,</v>
      </c>
      <c r="Q2894" s="49"/>
      <c r="R2894" s="49"/>
      <c r="S2894" s="55" t="s">
        <v>5375</v>
      </c>
      <c r="T2894" s="49"/>
      <c r="U2894" s="49"/>
      <c r="V2894" s="49"/>
      <c r="W2894" s="49"/>
      <c r="X2894" s="49" t="str">
        <f t="shared" si="3"/>
        <v>,</v>
      </c>
      <c r="Y2894" s="49"/>
      <c r="Z2894" s="49"/>
      <c r="AB2894" s="49"/>
      <c r="AC2894" s="49"/>
      <c r="AD2894" s="49"/>
      <c r="AE2894" s="49"/>
      <c r="AF2894" s="49"/>
      <c r="AG2894" s="49"/>
      <c r="AH2894" s="1" t="s">
        <v>6187</v>
      </c>
      <c r="AI2894" s="1" t="s">
        <v>5930</v>
      </c>
      <c r="AJ2894" s="6" t="str">
        <f>IFERROR(__xludf.DUMMYFUNCTION("""COMPUTED_VALUE"""),"naval")</f>
        <v>naval</v>
      </c>
      <c r="AK2894" s="49"/>
      <c r="AL2894" s="49"/>
      <c r="AM2894" s="49"/>
      <c r="AN2894" s="52" t="str">
        <f t="shared" si="5"/>
        <v>rough,</v>
      </c>
    </row>
    <row r="2895">
      <c r="A2895" s="51"/>
      <c r="B2895" s="50" t="s">
        <v>6168</v>
      </c>
      <c r="C2895" s="50" t="s">
        <v>6779</v>
      </c>
      <c r="D2895" s="49" t="str">
        <f>IFERROR(__xludf.DUMMYFUNCTION("""COMPUTED_VALUE"""),"repeatedly")</f>
        <v>repeatedly</v>
      </c>
      <c r="E2895" s="49"/>
      <c r="F2895" s="49"/>
      <c r="G2895" s="49"/>
      <c r="H2895" s="54" t="str">
        <f t="shared" si="1"/>
        <v>cheeks,</v>
      </c>
      <c r="I2895" s="50"/>
      <c r="J2895" s="50"/>
      <c r="K2895" s="50" t="s">
        <v>5932</v>
      </c>
      <c r="L2895" s="49"/>
      <c r="M2895" s="49"/>
      <c r="N2895" s="49"/>
      <c r="O2895" s="49"/>
      <c r="P2895" s="49" t="str">
        <f t="shared" si="2"/>
        <v>,</v>
      </c>
      <c r="Q2895" s="49"/>
      <c r="R2895" s="49"/>
      <c r="S2895" s="55" t="s">
        <v>5730</v>
      </c>
      <c r="T2895" s="49"/>
      <c r="U2895" s="49"/>
      <c r="V2895" s="49"/>
      <c r="W2895" s="49"/>
      <c r="X2895" s="49" t="str">
        <f t="shared" si="3"/>
        <v>,</v>
      </c>
      <c r="Y2895" s="49"/>
      <c r="Z2895" s="49"/>
      <c r="AB2895" s="49"/>
      <c r="AC2895" s="49"/>
      <c r="AD2895" s="49"/>
      <c r="AE2895" s="49"/>
      <c r="AF2895" s="49"/>
      <c r="AG2895" s="49"/>
      <c r="AH2895" s="1" t="s">
        <v>7045</v>
      </c>
      <c r="AI2895" s="1" t="s">
        <v>6881</v>
      </c>
      <c r="AJ2895" s="6" t="str">
        <f>IFERROR(__xludf.DUMMYFUNCTION("""COMPUTED_VALUE"""),"radical")</f>
        <v>radical</v>
      </c>
      <c r="AK2895" s="49"/>
      <c r="AL2895" s="49"/>
      <c r="AM2895" s="49"/>
      <c r="AN2895" s="52" t="str">
        <f t="shared" si="5"/>
        <v>bath,</v>
      </c>
    </row>
    <row r="2896">
      <c r="A2896" s="51"/>
      <c r="B2896" s="50" t="s">
        <v>4105</v>
      </c>
      <c r="C2896" s="50" t="s">
        <v>6780</v>
      </c>
      <c r="D2896" s="49" t="str">
        <f>IFERROR(__xludf.DUMMYFUNCTION("""COMPUTED_VALUE"""),"cartoon")</f>
        <v>cartoon</v>
      </c>
      <c r="E2896" s="49"/>
      <c r="F2896" s="49"/>
      <c r="G2896" s="49"/>
      <c r="H2896" s="54" t="str">
        <f t="shared" si="1"/>
        <v>circumstances,</v>
      </c>
      <c r="I2896" s="50"/>
      <c r="J2896" s="50"/>
      <c r="K2896" s="50" t="s">
        <v>5104</v>
      </c>
      <c r="L2896" s="49"/>
      <c r="M2896" s="49"/>
      <c r="N2896" s="49"/>
      <c r="O2896" s="49"/>
      <c r="P2896" s="49" t="str">
        <f t="shared" si="2"/>
        <v>,</v>
      </c>
      <c r="Q2896" s="49"/>
      <c r="R2896" s="49"/>
      <c r="S2896" s="55" t="s">
        <v>4370</v>
      </c>
      <c r="T2896" s="49"/>
      <c r="U2896" s="49"/>
      <c r="V2896" s="49"/>
      <c r="W2896" s="49"/>
      <c r="X2896" s="49" t="str">
        <f t="shared" si="3"/>
        <v>,</v>
      </c>
      <c r="Y2896" s="49"/>
      <c r="Z2896" s="49"/>
      <c r="AB2896" s="49"/>
      <c r="AC2896" s="49"/>
      <c r="AD2896" s="49"/>
      <c r="AE2896" s="49"/>
      <c r="AF2896" s="49"/>
      <c r="AG2896" s="49"/>
      <c r="AH2896" s="1" t="s">
        <v>6395</v>
      </c>
      <c r="AI2896" s="1" t="s">
        <v>5931</v>
      </c>
      <c r="AJ2896" s="6" t="str">
        <f>IFERROR(__xludf.DUMMYFUNCTION("""COMPUTED_VALUE"""),"homes")</f>
        <v>homes</v>
      </c>
      <c r="AK2896" s="49"/>
      <c r="AL2896" s="49"/>
      <c r="AM2896" s="49"/>
      <c r="AN2896" s="52" t="str">
        <f t="shared" si="5"/>
        <v>passing,</v>
      </c>
    </row>
    <row r="2897">
      <c r="A2897" s="51"/>
      <c r="B2897" s="50" t="s">
        <v>1099</v>
      </c>
      <c r="C2897" s="50" t="s">
        <v>4024</v>
      </c>
      <c r="D2897" s="49" t="str">
        <f>IFERROR(__xludf.DUMMYFUNCTION("""COMPUTED_VALUE"""),"stopped")</f>
        <v>stopped</v>
      </c>
      <c r="E2897" s="49"/>
      <c r="F2897" s="49"/>
      <c r="G2897" s="49"/>
      <c r="H2897" s="54" t="str">
        <f t="shared" si="1"/>
        <v>parade,</v>
      </c>
      <c r="I2897" s="50"/>
      <c r="J2897" s="50"/>
      <c r="K2897" s="50" t="s">
        <v>5461</v>
      </c>
      <c r="L2897" s="49"/>
      <c r="M2897" s="49"/>
      <c r="N2897" s="49"/>
      <c r="O2897" s="49"/>
      <c r="P2897" s="49" t="str">
        <f t="shared" si="2"/>
        <v>,</v>
      </c>
      <c r="Q2897" s="49"/>
      <c r="R2897" s="49"/>
      <c r="S2897" s="55" t="s">
        <v>3683</v>
      </c>
      <c r="T2897" s="49"/>
      <c r="U2897" s="49"/>
      <c r="V2897" s="49"/>
      <c r="W2897" s="49"/>
      <c r="X2897" s="49" t="str">
        <f t="shared" si="3"/>
        <v>,</v>
      </c>
      <c r="Y2897" s="49"/>
      <c r="Z2897" s="49"/>
      <c r="AB2897" s="49"/>
      <c r="AC2897" s="49"/>
      <c r="AD2897" s="49"/>
      <c r="AE2897" s="49"/>
      <c r="AF2897" s="49"/>
      <c r="AG2897" s="49"/>
      <c r="AH2897" s="1" t="s">
        <v>293</v>
      </c>
      <c r="AI2897" s="1" t="s">
        <v>5932</v>
      </c>
      <c r="AJ2897" s="6" t="str">
        <f>IFERROR(__xludf.DUMMYFUNCTION("""COMPUTED_VALUE"""),"devices")</f>
        <v>devices</v>
      </c>
      <c r="AK2897" s="49"/>
      <c r="AL2897" s="49"/>
      <c r="AM2897" s="49"/>
      <c r="AN2897" s="52" t="str">
        <f t="shared" si="5"/>
        <v>considerable,</v>
      </c>
    </row>
    <row r="2898">
      <c r="A2898" s="51"/>
      <c r="B2898" s="50" t="s">
        <v>6960</v>
      </c>
      <c r="C2898" s="50" t="s">
        <v>3758</v>
      </c>
      <c r="D2898" s="49" t="str">
        <f>IFERROR(__xludf.DUMMYFUNCTION("""COMPUTED_VALUE"""),"belgium")</f>
        <v>belgium</v>
      </c>
      <c r="E2898" s="49"/>
      <c r="F2898" s="49"/>
      <c r="G2898" s="49"/>
      <c r="H2898" s="54" t="str">
        <f t="shared" si="1"/>
        <v>ritual,</v>
      </c>
      <c r="I2898" s="50"/>
      <c r="J2898" s="50"/>
      <c r="K2898" s="50" t="s">
        <v>1500</v>
      </c>
      <c r="L2898" s="49"/>
      <c r="M2898" s="49"/>
      <c r="N2898" s="49"/>
      <c r="O2898" s="49"/>
      <c r="P2898" s="49" t="str">
        <f t="shared" si="2"/>
        <v>,</v>
      </c>
      <c r="Q2898" s="49"/>
      <c r="R2898" s="49"/>
      <c r="S2898" s="55" t="s">
        <v>4374</v>
      </c>
      <c r="T2898" s="49"/>
      <c r="U2898" s="49"/>
      <c r="V2898" s="49"/>
      <c r="W2898" s="49"/>
      <c r="X2898" s="49" t="str">
        <f t="shared" si="3"/>
        <v>,</v>
      </c>
      <c r="Y2898" s="49"/>
      <c r="Z2898" s="49"/>
      <c r="AB2898" s="49"/>
      <c r="AC2898" s="49"/>
      <c r="AD2898" s="49"/>
      <c r="AE2898" s="49"/>
      <c r="AF2898" s="49"/>
      <c r="AG2898" s="49"/>
      <c r="AH2898" s="1" t="s">
        <v>3328</v>
      </c>
      <c r="AI2898" s="1" t="s">
        <v>5455</v>
      </c>
      <c r="AJ2898" s="6" t="str">
        <f>IFERROR(__xludf.DUMMYFUNCTION("""COMPUTED_VALUE"""),"rejected")</f>
        <v>rejected</v>
      </c>
      <c r="AK2898" s="49"/>
      <c r="AL2898" s="49"/>
      <c r="AM2898" s="49"/>
      <c r="AN2898" s="52" t="str">
        <f t="shared" si="5"/>
        <v>delivery,</v>
      </c>
    </row>
    <row r="2899">
      <c r="A2899" s="51"/>
      <c r="B2899" s="50" t="s">
        <v>1469</v>
      </c>
      <c r="C2899" s="50" t="s">
        <v>3854</v>
      </c>
      <c r="D2899" s="49" t="str">
        <f>IFERROR(__xludf.DUMMYFUNCTION("""COMPUTED_VALUE"""),"guide")</f>
        <v>guide</v>
      </c>
      <c r="E2899" s="49"/>
      <c r="F2899" s="49"/>
      <c r="G2899" s="49"/>
      <c r="H2899" s="54" t="str">
        <f t="shared" si="1"/>
        <v>tool,</v>
      </c>
      <c r="I2899" s="50"/>
      <c r="J2899" s="50"/>
      <c r="K2899" s="50" t="s">
        <v>5934</v>
      </c>
      <c r="L2899" s="49"/>
      <c r="M2899" s="49"/>
      <c r="N2899" s="49"/>
      <c r="O2899" s="49"/>
      <c r="P2899" s="49" t="str">
        <f t="shared" si="2"/>
        <v>,</v>
      </c>
      <c r="Q2899" s="49"/>
      <c r="R2899" s="49"/>
      <c r="S2899" s="55" t="s">
        <v>5851</v>
      </c>
      <c r="T2899" s="49"/>
      <c r="U2899" s="49"/>
      <c r="V2899" s="49"/>
      <c r="W2899" s="49"/>
      <c r="X2899" s="49" t="str">
        <f t="shared" si="3"/>
        <v>,</v>
      </c>
      <c r="Y2899" s="49"/>
      <c r="Z2899" s="49"/>
      <c r="AB2899" s="49"/>
      <c r="AC2899" s="49"/>
      <c r="AD2899" s="49"/>
      <c r="AE2899" s="49"/>
      <c r="AF2899" s="49"/>
      <c r="AG2899" s="49"/>
      <c r="AH2899" s="1" t="s">
        <v>6919</v>
      </c>
      <c r="AI2899" s="1" t="s">
        <v>6882</v>
      </c>
      <c r="AJ2899" s="6" t="str">
        <f>IFERROR(__xludf.DUMMYFUNCTION("""COMPUTED_VALUE"""),"quietly")</f>
        <v>quietly</v>
      </c>
      <c r="AK2899" s="49"/>
      <c r="AL2899" s="49"/>
      <c r="AM2899" s="49"/>
      <c r="AN2899" s="52" t="str">
        <f t="shared" si="5"/>
        <v>treated,</v>
      </c>
    </row>
    <row r="2900">
      <c r="A2900" s="51"/>
      <c r="B2900" s="50" t="s">
        <v>7475</v>
      </c>
      <c r="C2900" s="50" t="s">
        <v>3512</v>
      </c>
      <c r="D2900" s="49" t="str">
        <f>IFERROR(__xludf.DUMMYFUNCTION("""COMPUTED_VALUE"""),"severe")</f>
        <v>severe</v>
      </c>
      <c r="E2900" s="49"/>
      <c r="F2900" s="49"/>
      <c r="G2900" s="49"/>
      <c r="H2900" s="54" t="str">
        <f t="shared" si="1"/>
        <v>iron,</v>
      </c>
      <c r="I2900" s="50"/>
      <c r="J2900" s="50"/>
      <c r="K2900" s="50" t="s">
        <v>4492</v>
      </c>
      <c r="L2900" s="49"/>
      <c r="M2900" s="49"/>
      <c r="N2900" s="49"/>
      <c r="O2900" s="49"/>
      <c r="P2900" s="49" t="str">
        <f t="shared" si="2"/>
        <v>,</v>
      </c>
      <c r="Q2900" s="49"/>
      <c r="R2900" s="49"/>
      <c r="S2900" s="55" t="s">
        <v>4377</v>
      </c>
      <c r="T2900" s="49"/>
      <c r="U2900" s="49"/>
      <c r="V2900" s="49"/>
      <c r="W2900" s="49"/>
      <c r="X2900" s="49" t="str">
        <f t="shared" si="3"/>
        <v>,</v>
      </c>
      <c r="Y2900" s="49"/>
      <c r="Z2900" s="49"/>
      <c r="AB2900" s="49"/>
      <c r="AC2900" s="49"/>
      <c r="AD2900" s="49"/>
      <c r="AE2900" s="49"/>
      <c r="AF2900" s="49"/>
      <c r="AG2900" s="49"/>
      <c r="AH2900" s="1" t="s">
        <v>3315</v>
      </c>
      <c r="AI2900" s="1" t="s">
        <v>5461</v>
      </c>
      <c r="AJ2900" s="6" t="str">
        <f>IFERROR(__xludf.DUMMYFUNCTION("""COMPUTED_VALUE"""),"analysis")</f>
        <v>analysis</v>
      </c>
      <c r="AK2900" s="49"/>
      <c r="AL2900" s="49"/>
      <c r="AM2900" s="49"/>
      <c r="AN2900" s="52" t="str">
        <f t="shared" si="5"/>
        <v>movements,</v>
      </c>
    </row>
    <row r="2901">
      <c r="A2901" s="51"/>
      <c r="B2901" s="50" t="s">
        <v>1735</v>
      </c>
      <c r="C2901" s="50" t="s">
        <v>6781</v>
      </c>
      <c r="D2901" s="49" t="str">
        <f>IFERROR(__xludf.DUMMYFUNCTION("""COMPUTED_VALUE"""),"policy")</f>
        <v>policy</v>
      </c>
      <c r="E2901" s="49"/>
      <c r="F2901" s="49"/>
      <c r="G2901" s="49"/>
      <c r="H2901" s="54" t="str">
        <f t="shared" si="1"/>
        <v>effectively,</v>
      </c>
      <c r="I2901" s="50"/>
      <c r="J2901" s="50"/>
      <c r="K2901" s="50" t="s">
        <v>5936</v>
      </c>
      <c r="L2901" s="49"/>
      <c r="M2901" s="49"/>
      <c r="N2901" s="49"/>
      <c r="O2901" s="49"/>
      <c r="P2901" s="49" t="str">
        <f t="shared" si="2"/>
        <v>,</v>
      </c>
      <c r="Q2901" s="49"/>
      <c r="R2901" s="49"/>
      <c r="S2901" s="55" t="s">
        <v>5967</v>
      </c>
      <c r="T2901" s="49"/>
      <c r="U2901" s="49"/>
      <c r="V2901" s="49"/>
      <c r="W2901" s="49"/>
      <c r="X2901" s="49" t="str">
        <f t="shared" si="3"/>
        <v>,</v>
      </c>
      <c r="Y2901" s="49"/>
      <c r="Z2901" s="49"/>
      <c r="AB2901" s="49"/>
      <c r="AC2901" s="49"/>
      <c r="AD2901" s="49"/>
      <c r="AE2901" s="49"/>
      <c r="AF2901" s="49"/>
      <c r="AG2901" s="49"/>
      <c r="AH2901" s="1" t="s">
        <v>5767</v>
      </c>
      <c r="AI2901" s="1" t="s">
        <v>5462</v>
      </c>
      <c r="AJ2901" s="6" t="str">
        <f>IFERROR(__xludf.DUMMYFUNCTION("""COMPUTED_VALUE"""),"longest")</f>
        <v>longest</v>
      </c>
      <c r="AK2901" s="49"/>
      <c r="AL2901" s="49"/>
      <c r="AM2901" s="49"/>
      <c r="AN2901" s="52" t="str">
        <f t="shared" si="5"/>
        <v>debate,</v>
      </c>
    </row>
    <row r="2902">
      <c r="A2902" s="51"/>
      <c r="B2902" s="50">
        <v>100.0</v>
      </c>
      <c r="C2902" s="50" t="s">
        <v>2548</v>
      </c>
      <c r="D2902" s="49" t="str">
        <f>IFERROR(__xludf.DUMMYFUNCTION("""COMPUTED_VALUE"""),"decision")</f>
        <v>decision</v>
      </c>
      <c r="E2902" s="49"/>
      <c r="F2902" s="49"/>
      <c r="G2902" s="49"/>
      <c r="H2902" s="54" t="str">
        <f t="shared" si="1"/>
        <v>100,</v>
      </c>
      <c r="I2902" s="50"/>
      <c r="J2902" s="50"/>
      <c r="K2902" s="50" t="s">
        <v>1876</v>
      </c>
      <c r="L2902" s="49"/>
      <c r="M2902" s="49"/>
      <c r="N2902" s="49"/>
      <c r="O2902" s="49"/>
      <c r="P2902" s="49" t="str">
        <f t="shared" si="2"/>
        <v>,</v>
      </c>
      <c r="Q2902" s="49"/>
      <c r="R2902" s="49"/>
      <c r="S2902" s="55" t="s">
        <v>1695</v>
      </c>
      <c r="T2902" s="49"/>
      <c r="U2902" s="49"/>
      <c r="V2902" s="49"/>
      <c r="W2902" s="49"/>
      <c r="X2902" s="49" t="str">
        <f t="shared" si="3"/>
        <v>,</v>
      </c>
      <c r="Y2902" s="49"/>
      <c r="Z2902" s="49"/>
      <c r="AB2902" s="49"/>
      <c r="AC2902" s="49"/>
      <c r="AD2902" s="49"/>
      <c r="AE2902" s="49"/>
      <c r="AF2902" s="49"/>
      <c r="AG2902" s="49"/>
      <c r="AH2902" s="1" t="s">
        <v>1098</v>
      </c>
      <c r="AI2902" s="1" t="s">
        <v>1500</v>
      </c>
      <c r="AJ2902" s="6" t="str">
        <f>IFERROR(__xludf.DUMMYFUNCTION("""COMPUTED_VALUE"""),"strategy")</f>
        <v>strategy</v>
      </c>
      <c r="AK2902" s="49"/>
      <c r="AL2902" s="49"/>
      <c r="AM2902" s="49"/>
      <c r="AN2902" s="52" t="str">
        <f t="shared" si="5"/>
        <v>viewed,</v>
      </c>
    </row>
    <row r="2903">
      <c r="A2903" s="51"/>
      <c r="B2903" s="50" t="s">
        <v>3684</v>
      </c>
      <c r="C2903" s="50" t="s">
        <v>1552</v>
      </c>
      <c r="D2903" s="49" t="str">
        <f>IFERROR(__xludf.DUMMYFUNCTION("""COMPUTED_VALUE"""),"facing")</f>
        <v>facing</v>
      </c>
      <c r="E2903" s="49"/>
      <c r="F2903" s="49"/>
      <c r="G2903" s="49"/>
      <c r="H2903" s="54" t="str">
        <f t="shared" si="1"/>
        <v>higher,</v>
      </c>
      <c r="I2903" s="50"/>
      <c r="J2903" s="50"/>
      <c r="K2903" s="50" t="s">
        <v>1387</v>
      </c>
      <c r="L2903" s="49"/>
      <c r="M2903" s="49"/>
      <c r="N2903" s="49"/>
      <c r="O2903" s="49"/>
      <c r="P2903" s="49" t="str">
        <f t="shared" si="2"/>
        <v>,</v>
      </c>
      <c r="Q2903" s="49"/>
      <c r="R2903" s="49"/>
      <c r="S2903" s="55" t="s">
        <v>1726</v>
      </c>
      <c r="T2903" s="49"/>
      <c r="U2903" s="49"/>
      <c r="V2903" s="49"/>
      <c r="W2903" s="49"/>
      <c r="X2903" s="49" t="str">
        <f t="shared" si="3"/>
        <v>,</v>
      </c>
      <c r="Y2903" s="49"/>
      <c r="Z2903" s="49"/>
      <c r="AB2903" s="49"/>
      <c r="AC2903" s="49"/>
      <c r="AD2903" s="49"/>
      <c r="AE2903" s="49"/>
      <c r="AF2903" s="49"/>
      <c r="AG2903" s="49"/>
      <c r="AH2903" s="1" t="s">
        <v>4786</v>
      </c>
      <c r="AI2903" s="1" t="s">
        <v>5934</v>
      </c>
      <c r="AJ2903" s="6" t="str">
        <f>IFERROR(__xludf.DUMMYFUNCTION("""COMPUTED_VALUE"""),"shake")</f>
        <v>shake</v>
      </c>
      <c r="AK2903" s="49"/>
      <c r="AL2903" s="49"/>
      <c r="AM2903" s="49"/>
      <c r="AN2903" s="52" t="str">
        <f t="shared" si="5"/>
        <v>painting,</v>
      </c>
    </row>
    <row r="2904">
      <c r="A2904" s="51"/>
      <c r="B2904" s="50" t="s">
        <v>6101</v>
      </c>
      <c r="C2904" s="50" t="s">
        <v>6883</v>
      </c>
      <c r="D2904" s="49">
        <f>IFERROR(__xludf.DUMMYFUNCTION("""COMPUTED_VALUE"""),1998.0)</f>
        <v>1998</v>
      </c>
      <c r="E2904" s="49"/>
      <c r="F2904" s="49"/>
      <c r="G2904" s="49"/>
      <c r="H2904" s="54" t="str">
        <f t="shared" si="1"/>
        <v>joins,</v>
      </c>
      <c r="I2904" s="50"/>
      <c r="J2904" s="50"/>
      <c r="K2904" s="50" t="s">
        <v>1507</v>
      </c>
      <c r="L2904" s="49"/>
      <c r="M2904" s="49"/>
      <c r="N2904" s="49"/>
      <c r="O2904" s="49"/>
      <c r="P2904" s="49" t="str">
        <f t="shared" si="2"/>
        <v>,</v>
      </c>
      <c r="Q2904" s="49"/>
      <c r="R2904" s="49"/>
      <c r="S2904" s="55" t="s">
        <v>268</v>
      </c>
      <c r="T2904" s="49"/>
      <c r="U2904" s="49"/>
      <c r="V2904" s="49"/>
      <c r="W2904" s="49"/>
      <c r="X2904" s="49" t="str">
        <f t="shared" si="3"/>
        <v>,</v>
      </c>
      <c r="Y2904" s="49"/>
      <c r="Z2904" s="49"/>
      <c r="AB2904" s="49"/>
      <c r="AC2904" s="49"/>
      <c r="AD2904" s="49"/>
      <c r="AE2904" s="49"/>
      <c r="AF2904" s="49"/>
      <c r="AG2904" s="49"/>
      <c r="AH2904" s="1" t="s">
        <v>7657</v>
      </c>
      <c r="AI2904" s="1" t="s">
        <v>4512</v>
      </c>
      <c r="AJ2904" s="6" t="str">
        <f>IFERROR(__xludf.DUMMYFUNCTION("""COMPUTED_VALUE"""),"manhattan")</f>
        <v>manhattan</v>
      </c>
      <c r="AK2904" s="49"/>
      <c r="AL2904" s="49"/>
      <c r="AM2904" s="49"/>
      <c r="AN2904" s="52" t="str">
        <f t="shared" si="5"/>
        <v>boston,</v>
      </c>
    </row>
    <row r="2905">
      <c r="A2905" s="51"/>
      <c r="B2905" s="50" t="s">
        <v>4812</v>
      </c>
      <c r="C2905" s="50" t="s">
        <v>4131</v>
      </c>
      <c r="D2905" s="49" t="str">
        <f>IFERROR(__xludf.DUMMYFUNCTION("""COMPUTED_VALUE"""),"prince")</f>
        <v>prince</v>
      </c>
      <c r="E2905" s="49"/>
      <c r="F2905" s="49"/>
      <c r="G2905" s="49"/>
      <c r="H2905" s="54" t="str">
        <f t="shared" si="1"/>
        <v>concern,</v>
      </c>
      <c r="I2905" s="50"/>
      <c r="J2905" s="50"/>
      <c r="K2905" s="50">
        <v>94.0</v>
      </c>
      <c r="L2905" s="49"/>
      <c r="M2905" s="49"/>
      <c r="N2905" s="49"/>
      <c r="O2905" s="49"/>
      <c r="P2905" s="49" t="str">
        <f t="shared" si="2"/>
        <v>,</v>
      </c>
      <c r="Q2905" s="49"/>
      <c r="R2905" s="49"/>
      <c r="S2905" s="55" t="s">
        <v>5345</v>
      </c>
      <c r="T2905" s="49"/>
      <c r="U2905" s="49"/>
      <c r="V2905" s="49"/>
      <c r="W2905" s="49"/>
      <c r="X2905" s="49" t="str">
        <f t="shared" si="3"/>
        <v>,</v>
      </c>
      <c r="Y2905" s="49"/>
      <c r="Z2905" s="49"/>
      <c r="AB2905" s="49"/>
      <c r="AC2905" s="49"/>
      <c r="AD2905" s="49"/>
      <c r="AE2905" s="49"/>
      <c r="AF2905" s="49"/>
      <c r="AG2905" s="49"/>
      <c r="AH2905" s="1" t="s">
        <v>3570</v>
      </c>
      <c r="AI2905" s="1" t="s">
        <v>6884</v>
      </c>
      <c r="AJ2905" s="6" t="str">
        <f>IFERROR(__xludf.DUMMYFUNCTION("""COMPUTED_VALUE"""),"outstanding")</f>
        <v>outstanding</v>
      </c>
      <c r="AK2905" s="49"/>
      <c r="AL2905" s="49"/>
      <c r="AM2905" s="49"/>
      <c r="AN2905" s="52" t="str">
        <f t="shared" si="5"/>
        <v>singles,</v>
      </c>
    </row>
    <row r="2906">
      <c r="A2906" s="51"/>
      <c r="B2906" s="50" t="s">
        <v>6726</v>
      </c>
      <c r="C2906" s="50" t="s">
        <v>3517</v>
      </c>
      <c r="D2906" s="49" t="str">
        <f>IFERROR(__xludf.DUMMYFUNCTION("""COMPUTED_VALUE"""),"egypt")</f>
        <v>egypt</v>
      </c>
      <c r="E2906" s="49"/>
      <c r="F2906" s="49"/>
      <c r="G2906" s="49"/>
      <c r="H2906" s="54" t="str">
        <f t="shared" si="1"/>
        <v>stare,</v>
      </c>
      <c r="I2906" s="50"/>
      <c r="J2906" s="50"/>
      <c r="K2906" s="50" t="s">
        <v>5469</v>
      </c>
      <c r="L2906" s="49"/>
      <c r="M2906" s="49"/>
      <c r="N2906" s="49"/>
      <c r="O2906" s="49"/>
      <c r="P2906" s="49" t="str">
        <f t="shared" si="2"/>
        <v>,</v>
      </c>
      <c r="Q2906" s="49"/>
      <c r="R2906" s="49"/>
      <c r="S2906" s="55" t="s">
        <v>5390</v>
      </c>
      <c r="T2906" s="49"/>
      <c r="U2906" s="49"/>
      <c r="V2906" s="49"/>
      <c r="W2906" s="49"/>
      <c r="X2906" s="49" t="str">
        <f t="shared" si="3"/>
        <v>,</v>
      </c>
      <c r="Y2906" s="49"/>
      <c r="Z2906" s="49"/>
      <c r="AB2906" s="49"/>
      <c r="AC2906" s="49"/>
      <c r="AD2906" s="49"/>
      <c r="AE2906" s="49"/>
      <c r="AF2906" s="49"/>
      <c r="AG2906" s="49"/>
      <c r="AH2906" s="1" t="s">
        <v>3996</v>
      </c>
      <c r="AI2906" s="1" t="s">
        <v>4286</v>
      </c>
      <c r="AJ2906" s="6" t="str">
        <f>IFERROR(__xludf.DUMMYFUNCTION("""COMPUTED_VALUE"""),"resulted")</f>
        <v>resulted</v>
      </c>
      <c r="AK2906" s="49"/>
      <c r="AL2906" s="49"/>
      <c r="AM2906" s="49"/>
      <c r="AN2906" s="52" t="str">
        <f t="shared" si="5"/>
        <v>howard,</v>
      </c>
    </row>
    <row r="2907">
      <c r="A2907" s="51"/>
      <c r="B2907" s="50" t="s">
        <v>1908</v>
      </c>
      <c r="C2907" s="50" t="s">
        <v>4041</v>
      </c>
      <c r="D2907" s="49" t="str">
        <f>IFERROR(__xludf.DUMMYFUNCTION("""COMPUTED_VALUE"""),"twenty")</f>
        <v>twenty</v>
      </c>
      <c r="E2907" s="49"/>
      <c r="F2907" s="49"/>
      <c r="G2907" s="49"/>
      <c r="H2907" s="54" t="str">
        <f t="shared" si="1"/>
        <v>bold,</v>
      </c>
      <c r="I2907" s="50"/>
      <c r="J2907" s="50"/>
      <c r="K2907" s="50" t="s">
        <v>1514</v>
      </c>
      <c r="L2907" s="49"/>
      <c r="M2907" s="49"/>
      <c r="N2907" s="49"/>
      <c r="O2907" s="49"/>
      <c r="P2907" s="49" t="str">
        <f t="shared" si="2"/>
        <v>,</v>
      </c>
      <c r="Q2907" s="49"/>
      <c r="R2907" s="49"/>
      <c r="S2907" s="55" t="s">
        <v>574</v>
      </c>
      <c r="T2907" s="49"/>
      <c r="U2907" s="49"/>
      <c r="V2907" s="49"/>
      <c r="W2907" s="49"/>
      <c r="X2907" s="49" t="str">
        <f t="shared" si="3"/>
        <v>,</v>
      </c>
      <c r="Y2907" s="49"/>
      <c r="Z2907" s="49"/>
      <c r="AB2907" s="49"/>
      <c r="AC2907" s="49"/>
      <c r="AD2907" s="49"/>
      <c r="AE2907" s="49"/>
      <c r="AF2907" s="49"/>
      <c r="AG2907" s="49"/>
      <c r="AH2907" s="1" t="s">
        <v>3421</v>
      </c>
      <c r="AI2907" s="1" t="s">
        <v>6885</v>
      </c>
      <c r="AJ2907" s="6" t="str">
        <f>IFERROR(__xludf.DUMMYFUNCTION("""COMPUTED_VALUE"""),"closely")</f>
        <v>closely</v>
      </c>
      <c r="AK2907" s="49"/>
      <c r="AL2907" s="49"/>
      <c r="AM2907" s="49"/>
      <c r="AN2907" s="52" t="str">
        <f t="shared" si="5"/>
        <v>existed,</v>
      </c>
    </row>
    <row r="2908">
      <c r="A2908" s="51"/>
      <c r="B2908" s="50" t="s">
        <v>5248</v>
      </c>
      <c r="C2908" s="50" t="s">
        <v>6782</v>
      </c>
      <c r="D2908" s="49" t="str">
        <f>IFERROR(__xludf.DUMMYFUNCTION("""COMPUTED_VALUE"""),"entry")</f>
        <v>entry</v>
      </c>
      <c r="E2908" s="49"/>
      <c r="F2908" s="49"/>
      <c r="G2908" s="49"/>
      <c r="H2908" s="54" t="str">
        <f t="shared" si="1"/>
        <v>occasional,</v>
      </c>
      <c r="I2908" s="50"/>
      <c r="J2908" s="50"/>
      <c r="K2908" s="50" t="s">
        <v>3737</v>
      </c>
      <c r="L2908" s="49"/>
      <c r="M2908" s="49"/>
      <c r="N2908" s="49"/>
      <c r="O2908" s="49"/>
      <c r="P2908" s="49" t="str">
        <f t="shared" si="2"/>
        <v>,</v>
      </c>
      <c r="Q2908" s="49"/>
      <c r="R2908" s="49"/>
      <c r="S2908" s="55" t="s">
        <v>5394</v>
      </c>
      <c r="T2908" s="49"/>
      <c r="U2908" s="49"/>
      <c r="V2908" s="49"/>
      <c r="W2908" s="49"/>
      <c r="X2908" s="49" t="str">
        <f t="shared" si="3"/>
        <v>,</v>
      </c>
      <c r="Y2908" s="49"/>
      <c r="Z2908" s="49"/>
      <c r="AB2908" s="49"/>
      <c r="AC2908" s="49"/>
      <c r="AD2908" s="49"/>
      <c r="AE2908" s="49"/>
      <c r="AF2908" s="49"/>
      <c r="AG2908" s="49"/>
      <c r="AH2908" s="1" t="s">
        <v>6616</v>
      </c>
      <c r="AI2908" s="1">
        <v>94.0</v>
      </c>
      <c r="AJ2908" s="6" t="str">
        <f>IFERROR(__xludf.DUMMYFUNCTION("""COMPUTED_VALUE"""),"process")</f>
        <v>process</v>
      </c>
      <c r="AK2908" s="49"/>
      <c r="AL2908" s="49"/>
      <c r="AM2908" s="49"/>
      <c r="AN2908" s="52" t="str">
        <f t="shared" si="5"/>
        <v>shop,</v>
      </c>
    </row>
    <row r="2909">
      <c r="A2909" s="51"/>
      <c r="B2909" s="50" t="s">
        <v>3955</v>
      </c>
      <c r="C2909" s="50" t="s">
        <v>4135</v>
      </c>
      <c r="D2909" s="49" t="str">
        <f>IFERROR(__xludf.DUMMYFUNCTION("""COMPUTED_VALUE"""),"due")</f>
        <v>due</v>
      </c>
      <c r="E2909" s="49"/>
      <c r="F2909" s="49"/>
      <c r="G2909" s="49"/>
      <c r="H2909" s="54" t="str">
        <f t="shared" si="1"/>
        <v>blank,</v>
      </c>
      <c r="I2909" s="50"/>
      <c r="J2909" s="50"/>
      <c r="K2909" s="50" t="s">
        <v>4496</v>
      </c>
      <c r="L2909" s="49"/>
      <c r="M2909" s="49"/>
      <c r="N2909" s="49"/>
      <c r="O2909" s="49"/>
      <c r="P2909" s="49" t="str">
        <f t="shared" si="2"/>
        <v>,</v>
      </c>
      <c r="Q2909" s="49"/>
      <c r="R2909" s="49"/>
      <c r="S2909" s="55" t="s">
        <v>5678</v>
      </c>
      <c r="T2909" s="49"/>
      <c r="U2909" s="49"/>
      <c r="V2909" s="49"/>
      <c r="W2909" s="49"/>
      <c r="X2909" s="49" t="str">
        <f t="shared" si="3"/>
        <v>,</v>
      </c>
      <c r="Y2909" s="49"/>
      <c r="Z2909" s="49"/>
      <c r="AB2909" s="49"/>
      <c r="AC2909" s="49"/>
      <c r="AD2909" s="49"/>
      <c r="AE2909" s="49"/>
      <c r="AF2909" s="49"/>
      <c r="AG2909" s="49"/>
      <c r="AH2909" s="1" t="s">
        <v>7658</v>
      </c>
      <c r="AI2909" s="1" t="s">
        <v>6886</v>
      </c>
      <c r="AJ2909" s="6" t="str">
        <f>IFERROR(__xludf.DUMMYFUNCTION("""COMPUTED_VALUE"""),"poverty")</f>
        <v>poverty</v>
      </c>
      <c r="AK2909" s="49"/>
      <c r="AL2909" s="49"/>
      <c r="AM2909" s="49"/>
      <c r="AN2909" s="52" t="str">
        <f t="shared" si="5"/>
        <v>composer,</v>
      </c>
    </row>
    <row r="2910">
      <c r="A2910" s="51"/>
      <c r="B2910" s="50" t="s">
        <v>4991</v>
      </c>
      <c r="C2910" s="50" t="s">
        <v>4659</v>
      </c>
      <c r="D2910" s="49" t="str">
        <f>IFERROR(__xludf.DUMMYFUNCTION("""COMPUTED_VALUE"""),"drop")</f>
        <v>drop</v>
      </c>
      <c r="E2910" s="49"/>
      <c r="F2910" s="49"/>
      <c r="G2910" s="49"/>
      <c r="H2910" s="54" t="str">
        <f t="shared" si="1"/>
        <v>releases,</v>
      </c>
      <c r="I2910" s="50"/>
      <c r="J2910" s="50"/>
      <c r="K2910" s="50" t="s">
        <v>2686</v>
      </c>
      <c r="L2910" s="49"/>
      <c r="M2910" s="49"/>
      <c r="N2910" s="49"/>
      <c r="O2910" s="49"/>
      <c r="P2910" s="49" t="str">
        <f t="shared" si="2"/>
        <v>,</v>
      </c>
      <c r="Q2910" s="49"/>
      <c r="R2910" s="49"/>
      <c r="S2910" s="55" t="s">
        <v>2556</v>
      </c>
      <c r="T2910" s="49"/>
      <c r="U2910" s="49"/>
      <c r="V2910" s="49"/>
      <c r="W2910" s="49"/>
      <c r="X2910" s="49" t="str">
        <f t="shared" si="3"/>
        <v>,</v>
      </c>
      <c r="Y2910" s="49"/>
      <c r="Z2910" s="49"/>
      <c r="AB2910" s="49"/>
      <c r="AC2910" s="49"/>
      <c r="AD2910" s="49"/>
      <c r="AE2910" s="49"/>
      <c r="AF2910" s="49"/>
      <c r="AG2910" s="49"/>
      <c r="AH2910" s="1" t="s">
        <v>2846</v>
      </c>
      <c r="AI2910" s="1" t="s">
        <v>6887</v>
      </c>
      <c r="AJ2910" s="6" t="str">
        <f>IFERROR(__xludf.DUMMYFUNCTION("""COMPUTED_VALUE"""),"cultural")</f>
        <v>cultural</v>
      </c>
      <c r="AK2910" s="49"/>
      <c r="AL2910" s="49"/>
      <c r="AM2910" s="49"/>
      <c r="AN2910" s="52" t="str">
        <f t="shared" si="5"/>
        <v>distant,</v>
      </c>
    </row>
    <row r="2911">
      <c r="A2911" s="51"/>
      <c r="B2911" s="50" t="s">
        <v>2441</v>
      </c>
      <c r="C2911" s="50" t="s">
        <v>6783</v>
      </c>
      <c r="D2911" s="49" t="str">
        <f>IFERROR(__xludf.DUMMYFUNCTION("""COMPUTED_VALUE"""),"harrison")</f>
        <v>harrison</v>
      </c>
      <c r="E2911" s="49"/>
      <c r="F2911" s="49"/>
      <c r="G2911" s="49"/>
      <c r="H2911" s="54" t="str">
        <f t="shared" si="1"/>
        <v>lane,</v>
      </c>
      <c r="I2911" s="50"/>
      <c r="J2911" s="50"/>
      <c r="K2911" s="50" t="s">
        <v>2690</v>
      </c>
      <c r="L2911" s="49"/>
      <c r="M2911" s="49"/>
      <c r="N2911" s="49"/>
      <c r="O2911" s="49"/>
      <c r="P2911" s="49" t="str">
        <f t="shared" si="2"/>
        <v>,</v>
      </c>
      <c r="Q2911" s="49"/>
      <c r="R2911" s="49"/>
      <c r="S2911" s="55" t="s">
        <v>2552</v>
      </c>
      <c r="T2911" s="49"/>
      <c r="U2911" s="49"/>
      <c r="V2911" s="49"/>
      <c r="W2911" s="49"/>
      <c r="X2911" s="49" t="str">
        <f t="shared" si="3"/>
        <v>,</v>
      </c>
      <c r="Y2911" s="49"/>
      <c r="Z2911" s="49"/>
      <c r="AB2911" s="49"/>
      <c r="AC2911" s="49"/>
      <c r="AD2911" s="49"/>
      <c r="AE2911" s="49"/>
      <c r="AF2911" s="49"/>
      <c r="AG2911" s="49"/>
      <c r="AH2911" s="1" t="s">
        <v>6953</v>
      </c>
      <c r="AI2911" s="1" t="s">
        <v>3632</v>
      </c>
      <c r="AJ2911" s="6" t="str">
        <f>IFERROR(__xludf.DUMMYFUNCTION("""COMPUTED_VALUE"""),"beijing")</f>
        <v>beijing</v>
      </c>
      <c r="AK2911" s="49"/>
      <c r="AL2911" s="49"/>
      <c r="AM2911" s="49"/>
      <c r="AN2911" s="52" t="str">
        <f t="shared" si="5"/>
        <v>bars,</v>
      </c>
    </row>
    <row r="2912">
      <c r="A2912" s="51"/>
      <c r="B2912" s="50" t="s">
        <v>6475</v>
      </c>
      <c r="C2912" s="50" t="s">
        <v>4800</v>
      </c>
      <c r="D2912" s="49" t="str">
        <f>IFERROR(__xludf.DUMMYFUNCTION("""COMPUTED_VALUE"""),"willie")</f>
        <v>willie</v>
      </c>
      <c r="E2912" s="49"/>
      <c r="F2912" s="49"/>
      <c r="G2912" s="49"/>
      <c r="H2912" s="54" t="str">
        <f t="shared" si="1"/>
        <v>bare,</v>
      </c>
      <c r="I2912" s="50"/>
      <c r="J2912" s="50"/>
      <c r="K2912" s="50" t="s">
        <v>5473</v>
      </c>
      <c r="L2912" s="49"/>
      <c r="M2912" s="49"/>
      <c r="N2912" s="49"/>
      <c r="O2912" s="49"/>
      <c r="P2912" s="49" t="str">
        <f t="shared" si="2"/>
        <v>,</v>
      </c>
      <c r="Q2912" s="49"/>
      <c r="R2912" s="49"/>
      <c r="S2912" s="55" t="s">
        <v>5336</v>
      </c>
      <c r="T2912" s="49"/>
      <c r="U2912" s="49"/>
      <c r="V2912" s="49"/>
      <c r="W2912" s="49"/>
      <c r="X2912" s="49" t="str">
        <f t="shared" si="3"/>
        <v>,</v>
      </c>
      <c r="Y2912" s="49"/>
      <c r="Z2912" s="49"/>
      <c r="AB2912" s="49"/>
      <c r="AC2912" s="49"/>
      <c r="AD2912" s="49"/>
      <c r="AE2912" s="49"/>
      <c r="AF2912" s="49"/>
      <c r="AG2912" s="49"/>
      <c r="AH2912" s="1" t="s">
        <v>6185</v>
      </c>
      <c r="AI2912" s="1" t="s">
        <v>2915</v>
      </c>
      <c r="AJ2912" s="6" t="str">
        <f>IFERROR(__xludf.DUMMYFUNCTION("""COMPUTED_VALUE"""),"wang")</f>
        <v>wang</v>
      </c>
      <c r="AK2912" s="49"/>
      <c r="AL2912" s="49"/>
      <c r="AM2912" s="49"/>
      <c r="AN2912" s="52" t="str">
        <f t="shared" si="5"/>
        <v>defensive,</v>
      </c>
    </row>
    <row r="2913">
      <c r="A2913" s="51"/>
      <c r="B2913" s="50" t="s">
        <v>2915</v>
      </c>
      <c r="C2913" s="50" t="s">
        <v>5164</v>
      </c>
      <c r="D2913" s="49" t="str">
        <f>IFERROR(__xludf.DUMMYFUNCTION("""COMPUTED_VALUE"""),"gift")</f>
        <v>gift</v>
      </c>
      <c r="E2913" s="49"/>
      <c r="F2913" s="49"/>
      <c r="G2913" s="49"/>
      <c r="H2913" s="54" t="str">
        <f t="shared" si="1"/>
        <v>established,</v>
      </c>
      <c r="I2913" s="50"/>
      <c r="J2913" s="50"/>
      <c r="K2913" s="50" t="s">
        <v>2694</v>
      </c>
      <c r="L2913" s="49"/>
      <c r="M2913" s="49"/>
      <c r="N2913" s="49"/>
      <c r="O2913" s="49"/>
      <c r="P2913" s="49" t="str">
        <f t="shared" si="2"/>
        <v>,</v>
      </c>
      <c r="Q2913" s="49"/>
      <c r="R2913" s="49"/>
      <c r="S2913" s="55" t="s">
        <v>4393</v>
      </c>
      <c r="T2913" s="49"/>
      <c r="U2913" s="49"/>
      <c r="V2913" s="49"/>
      <c r="W2913" s="49"/>
      <c r="X2913" s="49" t="str">
        <f t="shared" si="3"/>
        <v>,</v>
      </c>
      <c r="Y2913" s="49"/>
      <c r="Z2913" s="49"/>
      <c r="AB2913" s="49"/>
      <c r="AC2913" s="49"/>
      <c r="AD2913" s="49"/>
      <c r="AE2913" s="49"/>
      <c r="AF2913" s="49"/>
      <c r="AG2913" s="49"/>
      <c r="AH2913" s="1" t="s">
        <v>4842</v>
      </c>
      <c r="AI2913" s="1" t="s">
        <v>4006</v>
      </c>
      <c r="AJ2913" s="6">
        <f>IFERROR(__xludf.DUMMYFUNCTION("""COMPUTED_VALUE"""),300.0)</f>
        <v>300</v>
      </c>
      <c r="AK2913" s="49"/>
      <c r="AL2913" s="49"/>
      <c r="AM2913" s="49"/>
      <c r="AN2913" s="52" t="str">
        <f t="shared" si="5"/>
        <v>x,</v>
      </c>
    </row>
    <row r="2914">
      <c r="A2914" s="51"/>
      <c r="B2914" s="50" t="s">
        <v>6894</v>
      </c>
      <c r="C2914" s="50" t="s">
        <v>2324</v>
      </c>
      <c r="D2914" s="49" t="str">
        <f>IFERROR(__xludf.DUMMYFUNCTION("""COMPUTED_VALUE"""),"dies")</f>
        <v>dies</v>
      </c>
      <c r="E2914" s="49"/>
      <c r="F2914" s="49"/>
      <c r="G2914" s="49"/>
      <c r="H2914" s="54" t="str">
        <f t="shared" si="1"/>
        <v>4th,</v>
      </c>
      <c r="I2914" s="50"/>
      <c r="J2914" s="50"/>
      <c r="K2914" s="50" t="s">
        <v>2697</v>
      </c>
      <c r="L2914" s="49"/>
      <c r="M2914" s="49"/>
      <c r="N2914" s="49"/>
      <c r="O2914" s="49"/>
      <c r="P2914" s="49" t="str">
        <f t="shared" si="2"/>
        <v>,</v>
      </c>
      <c r="Q2914" s="49"/>
      <c r="R2914" s="49"/>
      <c r="S2914" s="55" t="s">
        <v>1433</v>
      </c>
      <c r="T2914" s="49"/>
      <c r="U2914" s="49"/>
      <c r="V2914" s="49"/>
      <c r="W2914" s="49"/>
      <c r="X2914" s="49" t="str">
        <f t="shared" si="3"/>
        <v>,</v>
      </c>
      <c r="Y2914" s="49"/>
      <c r="Z2914" s="49"/>
      <c r="AB2914" s="49"/>
      <c r="AC2914" s="49"/>
      <c r="AD2914" s="49"/>
      <c r="AE2914" s="49"/>
      <c r="AF2914" s="49"/>
      <c r="AG2914" s="49"/>
      <c r="AH2914" s="1" t="s">
        <v>2540</v>
      </c>
      <c r="AI2914" s="1" t="s">
        <v>5506</v>
      </c>
      <c r="AJ2914" s="6" t="str">
        <f>IFERROR(__xludf.DUMMYFUNCTION("""COMPUTED_VALUE"""),"teachers")</f>
        <v>teachers</v>
      </c>
      <c r="AK2914" s="49"/>
      <c r="AL2914" s="49"/>
      <c r="AM2914" s="49"/>
      <c r="AN2914" s="52" t="str">
        <f t="shared" si="5"/>
        <v>focused,</v>
      </c>
    </row>
    <row r="2915">
      <c r="A2915" s="51"/>
      <c r="B2915" s="50" t="s">
        <v>4501</v>
      </c>
      <c r="C2915" s="50" t="s">
        <v>4713</v>
      </c>
      <c r="D2915" s="49" t="str">
        <f>IFERROR(__xludf.DUMMYFUNCTION("""COMPUTED_VALUE"""),"advised")</f>
        <v>advised</v>
      </c>
      <c r="E2915" s="49"/>
      <c r="F2915" s="49"/>
      <c r="G2915" s="49"/>
      <c r="H2915" s="54" t="str">
        <f t="shared" si="1"/>
        <v>net,</v>
      </c>
      <c r="I2915" s="50"/>
      <c r="J2915" s="50"/>
      <c r="K2915" s="50" t="s">
        <v>5506</v>
      </c>
      <c r="L2915" s="49"/>
      <c r="M2915" s="49"/>
      <c r="N2915" s="49"/>
      <c r="O2915" s="49"/>
      <c r="P2915" s="49" t="str">
        <f t="shared" si="2"/>
        <v>,</v>
      </c>
      <c r="Q2915" s="49"/>
      <c r="R2915" s="49"/>
      <c r="S2915" s="55" t="s">
        <v>2562</v>
      </c>
      <c r="T2915" s="49"/>
      <c r="U2915" s="49"/>
      <c r="V2915" s="49"/>
      <c r="W2915" s="49"/>
      <c r="X2915" s="49" t="str">
        <f t="shared" si="3"/>
        <v>,</v>
      </c>
      <c r="Y2915" s="49"/>
      <c r="Z2915" s="49"/>
      <c r="AB2915" s="49"/>
      <c r="AC2915" s="49"/>
      <c r="AD2915" s="49"/>
      <c r="AE2915" s="49"/>
      <c r="AF2915" s="49"/>
      <c r="AG2915" s="49"/>
      <c r="AH2915" s="1" t="s">
        <v>334</v>
      </c>
      <c r="AI2915" s="1" t="s">
        <v>4450</v>
      </c>
      <c r="AJ2915" s="6" t="str">
        <f>IFERROR(__xludf.DUMMYFUNCTION("""COMPUTED_VALUE"""),"received")</f>
        <v>received</v>
      </c>
      <c r="AK2915" s="49"/>
      <c r="AL2915" s="49"/>
      <c r="AM2915" s="49"/>
      <c r="AN2915" s="52" t="str">
        <f t="shared" si="5"/>
        <v>happening,</v>
      </c>
    </row>
    <row r="2916">
      <c r="A2916" s="51"/>
      <c r="B2916" s="50" t="s">
        <v>6672</v>
      </c>
      <c r="C2916" s="50" t="s">
        <v>5690</v>
      </c>
      <c r="D2916" s="49" t="str">
        <f>IFERROR(__xludf.DUMMYFUNCTION("""COMPUTED_VALUE"""),"physical")</f>
        <v>physical</v>
      </c>
      <c r="E2916" s="49"/>
      <c r="F2916" s="49"/>
      <c r="G2916" s="49"/>
      <c r="H2916" s="54" t="str">
        <f t="shared" si="1"/>
        <v>opportunities,</v>
      </c>
      <c r="I2916" s="50"/>
      <c r="J2916" s="50"/>
      <c r="K2916" s="50" t="s">
        <v>4450</v>
      </c>
      <c r="L2916" s="49"/>
      <c r="M2916" s="49"/>
      <c r="N2916" s="49"/>
      <c r="O2916" s="49"/>
      <c r="P2916" s="49" t="str">
        <f t="shared" si="2"/>
        <v>,</v>
      </c>
      <c r="Q2916" s="49"/>
      <c r="R2916" s="49"/>
      <c r="S2916" s="55" t="s">
        <v>1630</v>
      </c>
      <c r="T2916" s="49"/>
      <c r="U2916" s="49"/>
      <c r="V2916" s="49"/>
      <c r="W2916" s="49"/>
      <c r="X2916" s="49" t="str">
        <f t="shared" si="3"/>
        <v>,</v>
      </c>
      <c r="Y2916" s="49"/>
      <c r="Z2916" s="49"/>
      <c r="AB2916" s="49"/>
      <c r="AC2916" s="49"/>
      <c r="AD2916" s="49"/>
      <c r="AE2916" s="49"/>
      <c r="AF2916" s="49"/>
      <c r="AG2916" s="49"/>
      <c r="AH2916" s="1" t="s">
        <v>6164</v>
      </c>
      <c r="AI2916" s="1" t="s">
        <v>835</v>
      </c>
      <c r="AJ2916" s="6" t="str">
        <f>IFERROR(__xludf.DUMMYFUNCTION("""COMPUTED_VALUE"""),"pink")</f>
        <v>pink</v>
      </c>
      <c r="AK2916" s="49"/>
      <c r="AL2916" s="49"/>
      <c r="AM2916" s="49"/>
      <c r="AN2916" s="52" t="str">
        <f t="shared" si="5"/>
        <v>province,</v>
      </c>
    </row>
    <row r="2917">
      <c r="A2917" s="51"/>
      <c r="B2917" s="50" t="s">
        <v>1922</v>
      </c>
      <c r="C2917" s="50" t="s">
        <v>5607</v>
      </c>
      <c r="D2917" s="49" t="str">
        <f>IFERROR(__xludf.DUMMYFUNCTION("""COMPUTED_VALUE"""),"earned")</f>
        <v>earned</v>
      </c>
      <c r="E2917" s="49"/>
      <c r="F2917" s="49"/>
      <c r="G2917" s="49"/>
      <c r="H2917" s="54" t="str">
        <f t="shared" si="1"/>
        <v>corners,</v>
      </c>
      <c r="I2917" s="50"/>
      <c r="J2917" s="50"/>
      <c r="K2917" s="50" t="s">
        <v>835</v>
      </c>
      <c r="L2917" s="49"/>
      <c r="M2917" s="49"/>
      <c r="N2917" s="49"/>
      <c r="O2917" s="49"/>
      <c r="P2917" s="49" t="str">
        <f t="shared" si="2"/>
        <v>,</v>
      </c>
      <c r="Q2917" s="49"/>
      <c r="R2917" s="49"/>
      <c r="S2917" s="55" t="s">
        <v>2566</v>
      </c>
      <c r="T2917" s="49"/>
      <c r="U2917" s="49"/>
      <c r="V2917" s="49"/>
      <c r="W2917" s="49"/>
      <c r="X2917" s="49" t="str">
        <f t="shared" si="3"/>
        <v>,</v>
      </c>
      <c r="Y2917" s="49"/>
      <c r="Z2917" s="49"/>
      <c r="AB2917" s="49"/>
      <c r="AC2917" s="49"/>
      <c r="AD2917" s="49"/>
      <c r="AE2917" s="49"/>
      <c r="AF2917" s="49"/>
      <c r="AG2917" s="49"/>
      <c r="AH2917" s="1" t="s">
        <v>4411</v>
      </c>
      <c r="AI2917" s="1" t="s">
        <v>4930</v>
      </c>
      <c r="AJ2917" s="6" t="str">
        <f>IFERROR(__xludf.DUMMYFUNCTION("""COMPUTED_VALUE"""),"temple")</f>
        <v>temple</v>
      </c>
      <c r="AK2917" s="49"/>
      <c r="AL2917" s="49"/>
      <c r="AM2917" s="49"/>
      <c r="AN2917" s="52" t="str">
        <f t="shared" si="5"/>
        <v>replaced,</v>
      </c>
    </row>
    <row r="2918">
      <c r="A2918" s="51"/>
      <c r="B2918" s="50" t="s">
        <v>2318</v>
      </c>
      <c r="C2918" s="50" t="s">
        <v>3525</v>
      </c>
      <c r="D2918" s="49" t="str">
        <f>IFERROR(__xludf.DUMMYFUNCTION("""COMPUTED_VALUE"""),"benefits")</f>
        <v>benefits</v>
      </c>
      <c r="E2918" s="49"/>
      <c r="F2918" s="49"/>
      <c r="G2918" s="49"/>
      <c r="H2918" s="54" t="str">
        <f t="shared" si="1"/>
        <v>fate,</v>
      </c>
      <c r="I2918" s="50"/>
      <c r="J2918" s="50"/>
      <c r="K2918" s="50" t="s">
        <v>5940</v>
      </c>
      <c r="L2918" s="49"/>
      <c r="M2918" s="49"/>
      <c r="N2918" s="49"/>
      <c r="O2918" s="49"/>
      <c r="P2918" s="49" t="str">
        <f t="shared" si="2"/>
        <v>,</v>
      </c>
      <c r="Q2918" s="49"/>
      <c r="R2918" s="49"/>
      <c r="S2918" s="55" t="s">
        <v>2568</v>
      </c>
      <c r="T2918" s="49"/>
      <c r="U2918" s="49"/>
      <c r="V2918" s="49"/>
      <c r="W2918" s="49"/>
      <c r="X2918" s="49" t="str">
        <f t="shared" si="3"/>
        <v>,</v>
      </c>
      <c r="Y2918" s="49"/>
      <c r="Z2918" s="49"/>
      <c r="AB2918" s="49"/>
      <c r="AC2918" s="49"/>
      <c r="AD2918" s="49"/>
      <c r="AE2918" s="49"/>
      <c r="AF2918" s="49"/>
      <c r="AG2918" s="49"/>
      <c r="AH2918" s="1" t="s">
        <v>4562</v>
      </c>
      <c r="AI2918" s="1" t="s">
        <v>5940</v>
      </c>
      <c r="AJ2918" s="6" t="str">
        <f>IFERROR(__xludf.DUMMYFUNCTION("""COMPUTED_VALUE"""),"pressed")</f>
        <v>pressed</v>
      </c>
      <c r="AK2918" s="49"/>
      <c r="AL2918" s="49"/>
      <c r="AM2918" s="49"/>
      <c r="AN2918" s="52" t="str">
        <f t="shared" si="5"/>
        <v>grin,</v>
      </c>
    </row>
    <row r="2919">
      <c r="A2919" s="51"/>
      <c r="B2919" s="50" t="s">
        <v>6762</v>
      </c>
      <c r="C2919" s="50" t="s">
        <v>5169</v>
      </c>
      <c r="D2919" s="49" t="str">
        <f>IFERROR(__xludf.DUMMYFUNCTION("""COMPUTED_VALUE"""),"primary")</f>
        <v>primary</v>
      </c>
      <c r="E2919" s="49"/>
      <c r="F2919" s="49"/>
      <c r="G2919" s="49"/>
      <c r="H2919" s="54" t="str">
        <f t="shared" si="1"/>
        <v>essential,</v>
      </c>
      <c r="I2919" s="50"/>
      <c r="J2919" s="50"/>
      <c r="K2919" s="50" t="s">
        <v>2702</v>
      </c>
      <c r="L2919" s="49"/>
      <c r="M2919" s="49"/>
      <c r="N2919" s="49"/>
      <c r="O2919" s="49"/>
      <c r="P2919" s="49" t="str">
        <f t="shared" si="2"/>
        <v>,</v>
      </c>
      <c r="Q2919" s="49"/>
      <c r="R2919" s="49"/>
      <c r="S2919" s="55" t="s">
        <v>5047</v>
      </c>
      <c r="T2919" s="49"/>
      <c r="U2919" s="49"/>
      <c r="V2919" s="49"/>
      <c r="W2919" s="49"/>
      <c r="X2919" s="49" t="str">
        <f t="shared" si="3"/>
        <v>,</v>
      </c>
      <c r="Y2919" s="49"/>
      <c r="Z2919" s="49"/>
      <c r="AB2919" s="49"/>
      <c r="AC2919" s="49"/>
      <c r="AD2919" s="49"/>
      <c r="AE2919" s="49"/>
      <c r="AF2919" s="49"/>
      <c r="AG2919" s="49"/>
      <c r="AH2919" s="1" t="s">
        <v>2818</v>
      </c>
      <c r="AI2919" s="1" t="s">
        <v>3741</v>
      </c>
      <c r="AJ2919" s="6" t="str">
        <f>IFERROR(__xludf.DUMMYFUNCTION("""COMPUTED_VALUE"""),"forcing")</f>
        <v>forcing</v>
      </c>
      <c r="AK2919" s="49"/>
      <c r="AL2919" s="49"/>
      <c r="AM2919" s="49"/>
      <c r="AN2919" s="52" t="str">
        <f t="shared" si="5"/>
        <v>spanish,</v>
      </c>
    </row>
    <row r="2920">
      <c r="A2920" s="51"/>
      <c r="B2920" s="50" t="s">
        <v>5144</v>
      </c>
      <c r="C2920" s="50" t="s">
        <v>6496</v>
      </c>
      <c r="D2920" s="49" t="str">
        <f>IFERROR(__xludf.DUMMYFUNCTION("""COMPUTED_VALUE"""),"targets")</f>
        <v>targets</v>
      </c>
      <c r="E2920" s="49"/>
      <c r="F2920" s="49"/>
      <c r="G2920" s="49"/>
      <c r="H2920" s="54" t="str">
        <f t="shared" si="1"/>
        <v>boundaries,</v>
      </c>
      <c r="I2920" s="50"/>
      <c r="J2920" s="50"/>
      <c r="K2920" s="50" t="s">
        <v>1521</v>
      </c>
      <c r="L2920" s="49"/>
      <c r="M2920" s="49"/>
      <c r="N2920" s="49"/>
      <c r="O2920" s="49"/>
      <c r="P2920" s="49" t="str">
        <f t="shared" si="2"/>
        <v>,</v>
      </c>
      <c r="Q2920" s="49"/>
      <c r="R2920" s="49"/>
      <c r="S2920" s="55" t="s">
        <v>4396</v>
      </c>
      <c r="T2920" s="49"/>
      <c r="U2920" s="49"/>
      <c r="V2920" s="49"/>
      <c r="W2920" s="49"/>
      <c r="X2920" s="49" t="str">
        <f t="shared" si="3"/>
        <v>,</v>
      </c>
      <c r="Y2920" s="49"/>
      <c r="Z2920" s="49"/>
      <c r="AB2920" s="49"/>
      <c r="AC2920" s="49"/>
      <c r="AD2920" s="49"/>
      <c r="AE2920" s="49"/>
      <c r="AF2920" s="49"/>
      <c r="AG2920" s="49"/>
      <c r="AH2920" s="1" t="s">
        <v>7659</v>
      </c>
      <c r="AI2920" s="1" t="s">
        <v>4513</v>
      </c>
      <c r="AJ2920" s="6" t="str">
        <f>IFERROR(__xludf.DUMMYFUNCTION("""COMPUTED_VALUE"""),"emotion")</f>
        <v>emotion</v>
      </c>
      <c r="AK2920" s="49"/>
      <c r="AL2920" s="49"/>
      <c r="AM2920" s="49"/>
      <c r="AN2920" s="52" t="str">
        <f t="shared" si="5"/>
        <v>slave,</v>
      </c>
    </row>
    <row r="2921">
      <c r="A2921" s="51"/>
      <c r="B2921" s="50" t="s">
        <v>6787</v>
      </c>
      <c r="C2921" s="50" t="s">
        <v>3338</v>
      </c>
      <c r="D2921" s="49" t="str">
        <f>IFERROR(__xludf.DUMMYFUNCTION("""COMPUTED_VALUE"""),"wondering")</f>
        <v>wondering</v>
      </c>
      <c r="E2921" s="49"/>
      <c r="F2921" s="49"/>
      <c r="G2921" s="49"/>
      <c r="H2921" s="54" t="str">
        <f t="shared" si="1"/>
        <v>fifty,</v>
      </c>
      <c r="I2921" s="50"/>
      <c r="J2921" s="50"/>
      <c r="K2921" s="50" t="s">
        <v>5941</v>
      </c>
      <c r="L2921" s="49"/>
      <c r="M2921" s="49"/>
      <c r="N2921" s="49"/>
      <c r="O2921" s="49"/>
      <c r="P2921" s="49" t="str">
        <f t="shared" si="2"/>
        <v>,</v>
      </c>
      <c r="Q2921" s="49"/>
      <c r="R2921" s="49"/>
      <c r="S2921" s="55" t="s">
        <v>2573</v>
      </c>
      <c r="T2921" s="49"/>
      <c r="U2921" s="49"/>
      <c r="V2921" s="49"/>
      <c r="W2921" s="49"/>
      <c r="X2921" s="49" t="str">
        <f t="shared" si="3"/>
        <v>,</v>
      </c>
      <c r="Y2921" s="49"/>
      <c r="Z2921" s="49"/>
      <c r="AB2921" s="49"/>
      <c r="AC2921" s="49"/>
      <c r="AD2921" s="49"/>
      <c r="AE2921" s="49"/>
      <c r="AF2921" s="49"/>
      <c r="AG2921" s="49"/>
      <c r="AH2921" s="1" t="s">
        <v>6646</v>
      </c>
      <c r="AI2921" s="1" t="s">
        <v>5946</v>
      </c>
      <c r="AJ2921" s="6" t="str">
        <f>IFERROR(__xludf.DUMMYFUNCTION("""COMPUTED_VALUE"""),"helps")</f>
        <v>helps</v>
      </c>
      <c r="AK2921" s="49"/>
      <c r="AL2921" s="49"/>
      <c r="AM2921" s="49"/>
      <c r="AN2921" s="52" t="str">
        <f t="shared" si="5"/>
        <v>zero,</v>
      </c>
    </row>
    <row r="2922">
      <c r="A2922" s="51"/>
      <c r="B2922" s="50" t="s">
        <v>5246</v>
      </c>
      <c r="C2922" s="50" t="s">
        <v>1265</v>
      </c>
      <c r="D2922" s="49" t="str">
        <f>IFERROR(__xludf.DUMMYFUNCTION("""COMPUTED_VALUE"""),"accompanied")</f>
        <v>accompanied</v>
      </c>
      <c r="E2922" s="49"/>
      <c r="F2922" s="49"/>
      <c r="G2922" s="49"/>
      <c r="H2922" s="54" t="str">
        <f t="shared" si="1"/>
        <v>athletes,</v>
      </c>
      <c r="I2922" s="50"/>
      <c r="J2922" s="50"/>
      <c r="K2922" s="50" t="s">
        <v>4511</v>
      </c>
      <c r="L2922" s="49"/>
      <c r="M2922" s="49"/>
      <c r="N2922" s="49"/>
      <c r="O2922" s="49"/>
      <c r="P2922" s="49" t="str">
        <f t="shared" si="2"/>
        <v>,</v>
      </c>
      <c r="Q2922" s="49"/>
      <c r="R2922" s="49"/>
      <c r="S2922" s="55" t="s">
        <v>4401</v>
      </c>
      <c r="T2922" s="49"/>
      <c r="U2922" s="49"/>
      <c r="V2922" s="49"/>
      <c r="W2922" s="49"/>
      <c r="X2922" s="49" t="str">
        <f t="shared" si="3"/>
        <v>,</v>
      </c>
      <c r="Y2922" s="49"/>
      <c r="Z2922" s="49"/>
      <c r="AB2922" s="49"/>
      <c r="AC2922" s="49"/>
      <c r="AD2922" s="49"/>
      <c r="AE2922" s="49"/>
      <c r="AF2922" s="49"/>
      <c r="AG2922" s="49"/>
      <c r="AH2922" s="1" t="s">
        <v>1940</v>
      </c>
      <c r="AI2922" s="1" t="s">
        <v>750</v>
      </c>
      <c r="AJ2922" s="6" t="str">
        <f>IFERROR(__xludf.DUMMYFUNCTION("""COMPUTED_VALUE"""),"revolution")</f>
        <v>revolution</v>
      </c>
      <c r="AK2922" s="49"/>
      <c r="AL2922" s="49"/>
      <c r="AM2922" s="49"/>
      <c r="AN2922" s="52" t="str">
        <f t="shared" si="5"/>
        <v>cutting,</v>
      </c>
    </row>
    <row r="2923">
      <c r="A2923" s="51"/>
      <c r="B2923" s="50" t="s">
        <v>5230</v>
      </c>
      <c r="C2923" s="50" t="s">
        <v>6784</v>
      </c>
      <c r="D2923" s="49" t="str">
        <f>IFERROR(__xludf.DUMMYFUNCTION("""COMPUTED_VALUE"""),"archive")</f>
        <v>archive</v>
      </c>
      <c r="E2923" s="49"/>
      <c r="F2923" s="49"/>
      <c r="G2923" s="49"/>
      <c r="H2923" s="54" t="str">
        <f t="shared" si="1"/>
        <v>allowing,</v>
      </c>
      <c r="I2923" s="50"/>
      <c r="J2923" s="50"/>
      <c r="K2923" s="50" t="s">
        <v>3744</v>
      </c>
      <c r="L2923" s="49"/>
      <c r="M2923" s="49"/>
      <c r="N2923" s="49"/>
      <c r="O2923" s="49"/>
      <c r="P2923" s="49" t="str">
        <f t="shared" si="2"/>
        <v>,</v>
      </c>
      <c r="Q2923" s="49"/>
      <c r="R2923" s="49"/>
      <c r="S2923" s="55" t="s">
        <v>1439</v>
      </c>
      <c r="T2923" s="49"/>
      <c r="U2923" s="49"/>
      <c r="V2923" s="49"/>
      <c r="W2923" s="49"/>
      <c r="X2923" s="49" t="str">
        <f t="shared" si="3"/>
        <v>,</v>
      </c>
      <c r="Y2923" s="49"/>
      <c r="Z2923" s="49"/>
      <c r="AB2923" s="49"/>
      <c r="AC2923" s="49"/>
      <c r="AD2923" s="49"/>
      <c r="AE2923" s="49"/>
      <c r="AF2923" s="49"/>
      <c r="AG2923" s="49"/>
      <c r="AH2923" s="1" t="s">
        <v>5947</v>
      </c>
      <c r="AI2923" s="1" t="s">
        <v>4526</v>
      </c>
      <c r="AJ2923" s="6" t="str">
        <f>IFERROR(__xludf.DUMMYFUNCTION("""COMPUTED_VALUE"""),"rings")</f>
        <v>rings</v>
      </c>
      <c r="AK2923" s="49"/>
      <c r="AL2923" s="49"/>
      <c r="AM2923" s="49"/>
      <c r="AN2923" s="52" t="str">
        <f t="shared" si="5"/>
        <v>instance,</v>
      </c>
    </row>
    <row r="2924">
      <c r="A2924" s="51"/>
      <c r="B2924" s="50" t="s">
        <v>2893</v>
      </c>
      <c r="C2924" s="50" t="s">
        <v>3531</v>
      </c>
      <c r="D2924" s="49" t="str">
        <f>IFERROR(__xludf.DUMMYFUNCTION("""COMPUTED_VALUE"""),"enhanced")</f>
        <v>enhanced</v>
      </c>
      <c r="E2924" s="49"/>
      <c r="F2924" s="49"/>
      <c r="G2924" s="49"/>
      <c r="H2924" s="54" t="str">
        <f t="shared" si="1"/>
        <v>achieve,</v>
      </c>
      <c r="I2924" s="50"/>
      <c r="J2924" s="50"/>
      <c r="K2924" s="50" t="s">
        <v>1527</v>
      </c>
      <c r="L2924" s="49"/>
      <c r="M2924" s="49"/>
      <c r="N2924" s="49"/>
      <c r="O2924" s="49"/>
      <c r="P2924" s="49" t="str">
        <f t="shared" si="2"/>
        <v>,</v>
      </c>
      <c r="Q2924" s="49"/>
      <c r="R2924" s="49"/>
      <c r="S2924" s="55" t="s">
        <v>3705</v>
      </c>
      <c r="T2924" s="49"/>
      <c r="U2924" s="49"/>
      <c r="V2924" s="49"/>
      <c r="W2924" s="49"/>
      <c r="X2924" s="49" t="str">
        <f t="shared" si="3"/>
        <v>,</v>
      </c>
      <c r="Y2924" s="49"/>
      <c r="Z2924" s="49"/>
      <c r="AB2924" s="49"/>
      <c r="AC2924" s="49"/>
      <c r="AD2924" s="49"/>
      <c r="AE2924" s="49"/>
      <c r="AF2924" s="49"/>
      <c r="AG2924" s="49"/>
      <c r="AH2924" s="1" t="s">
        <v>5026</v>
      </c>
      <c r="AI2924" s="1" t="s">
        <v>6888</v>
      </c>
      <c r="AJ2924" s="6" t="str">
        <f>IFERROR(__xludf.DUMMYFUNCTION("""COMPUTED_VALUE"""),"jeremy")</f>
        <v>jeremy</v>
      </c>
      <c r="AK2924" s="49"/>
      <c r="AL2924" s="49"/>
      <c r="AM2924" s="49"/>
      <c r="AN2924" s="52" t="str">
        <f t="shared" si="5"/>
        <v>gaze,</v>
      </c>
    </row>
    <row r="2925">
      <c r="A2925" s="51"/>
      <c r="B2925" s="50" t="s">
        <v>4984</v>
      </c>
      <c r="C2925" s="50" t="s">
        <v>4411</v>
      </c>
      <c r="D2925" s="49" t="str">
        <f>IFERROR(__xludf.DUMMYFUNCTION("""COMPUTED_VALUE"""),"specific")</f>
        <v>specific</v>
      </c>
      <c r="E2925" s="49"/>
      <c r="F2925" s="49"/>
      <c r="G2925" s="49"/>
      <c r="H2925" s="54" t="str">
        <f t="shared" si="1"/>
        <v>sink,</v>
      </c>
      <c r="I2925" s="50"/>
      <c r="J2925" s="50"/>
      <c r="K2925" s="50" t="s">
        <v>4513</v>
      </c>
      <c r="L2925" s="49"/>
      <c r="M2925" s="49"/>
      <c r="N2925" s="49"/>
      <c r="O2925" s="49"/>
      <c r="P2925" s="49" t="str">
        <f t="shared" si="2"/>
        <v>,</v>
      </c>
      <c r="Q2925" s="49"/>
      <c r="R2925" s="49"/>
      <c r="S2925" s="55" t="s">
        <v>1445</v>
      </c>
      <c r="T2925" s="49"/>
      <c r="U2925" s="49"/>
      <c r="V2925" s="49"/>
      <c r="W2925" s="49"/>
      <c r="X2925" s="49" t="str">
        <f t="shared" si="3"/>
        <v>,</v>
      </c>
      <c r="Y2925" s="49"/>
      <c r="Z2925" s="49"/>
      <c r="AB2925" s="49"/>
      <c r="AC2925" s="49"/>
      <c r="AD2925" s="49"/>
      <c r="AE2925" s="49"/>
      <c r="AF2925" s="49"/>
      <c r="AG2925" s="49"/>
      <c r="AH2925" s="1" t="s">
        <v>5335</v>
      </c>
      <c r="AI2925" s="1" t="s">
        <v>6889</v>
      </c>
      <c r="AJ2925" s="6" t="str">
        <f>IFERROR(__xludf.DUMMYFUNCTION("""COMPUTED_VALUE"""),"holding")</f>
        <v>holding</v>
      </c>
      <c r="AK2925" s="49"/>
      <c r="AL2925" s="49"/>
      <c r="AM2925" s="49"/>
      <c r="AN2925" s="52" t="str">
        <f t="shared" si="5"/>
        <v>ears,</v>
      </c>
    </row>
    <row r="2926">
      <c r="A2926" s="51"/>
      <c r="B2926" s="50" t="s">
        <v>2548</v>
      </c>
      <c r="C2926" s="50" t="s">
        <v>6811</v>
      </c>
      <c r="D2926" s="49" t="str">
        <f>IFERROR(__xludf.DUMMYFUNCTION("""COMPUTED_VALUE"""),"conditions")</f>
        <v>conditions</v>
      </c>
      <c r="E2926" s="49"/>
      <c r="F2926" s="49"/>
      <c r="G2926" s="49"/>
      <c r="H2926" s="54" t="str">
        <f t="shared" si="1"/>
        <v>lean,</v>
      </c>
      <c r="I2926" s="50"/>
      <c r="J2926" s="50"/>
      <c r="K2926" s="50" t="s">
        <v>1534</v>
      </c>
      <c r="L2926" s="49"/>
      <c r="M2926" s="49"/>
      <c r="N2926" s="49"/>
      <c r="O2926" s="49"/>
      <c r="P2926" s="49" t="str">
        <f t="shared" si="2"/>
        <v>,</v>
      </c>
      <c r="Q2926" s="49"/>
      <c r="R2926" s="49"/>
      <c r="S2926" s="55" t="s">
        <v>2577</v>
      </c>
      <c r="T2926" s="49"/>
      <c r="U2926" s="49"/>
      <c r="V2926" s="49"/>
      <c r="W2926" s="49"/>
      <c r="X2926" s="49" t="str">
        <f t="shared" si="3"/>
        <v>,</v>
      </c>
      <c r="Y2926" s="49"/>
      <c r="Z2926" s="49"/>
      <c r="AB2926" s="49"/>
      <c r="AC2926" s="49"/>
      <c r="AD2926" s="49"/>
      <c r="AE2926" s="49"/>
      <c r="AF2926" s="49"/>
      <c r="AG2926" s="49"/>
      <c r="AH2926" s="1" t="s">
        <v>6928</v>
      </c>
      <c r="AI2926" s="1" t="s">
        <v>3003</v>
      </c>
      <c r="AJ2926" s="6" t="str">
        <f>IFERROR(__xludf.DUMMYFUNCTION("""COMPUTED_VALUE"""),"exists")</f>
        <v>exists</v>
      </c>
      <c r="AK2926" s="49"/>
      <c r="AL2926" s="49"/>
      <c r="AM2926" s="49"/>
      <c r="AN2926" s="52" t="str">
        <f t="shared" si="5"/>
        <v>recommended,</v>
      </c>
    </row>
    <row r="2927">
      <c r="A2927" s="51"/>
      <c r="B2927" s="50" t="s">
        <v>4321</v>
      </c>
      <c r="C2927" s="50" t="s">
        <v>3359</v>
      </c>
      <c r="D2927" s="49" t="str">
        <f>IFERROR(__xludf.DUMMYFUNCTION("""COMPUTED_VALUE"""),"suggested")</f>
        <v>suggested</v>
      </c>
      <c r="E2927" s="49"/>
      <c r="F2927" s="49"/>
      <c r="G2927" s="49"/>
      <c r="H2927" s="54" t="str">
        <f t="shared" si="1"/>
        <v>staring,</v>
      </c>
      <c r="I2927" s="50"/>
      <c r="J2927" s="50"/>
      <c r="K2927" s="50" t="s">
        <v>5480</v>
      </c>
      <c r="L2927" s="49"/>
      <c r="M2927" s="49"/>
      <c r="N2927" s="49"/>
      <c r="O2927" s="49"/>
      <c r="P2927" s="49" t="str">
        <f t="shared" si="2"/>
        <v>,</v>
      </c>
      <c r="Q2927" s="49"/>
      <c r="R2927" s="49"/>
      <c r="S2927" s="55" t="s">
        <v>4412</v>
      </c>
      <c r="T2927" s="49"/>
      <c r="U2927" s="49"/>
      <c r="V2927" s="49"/>
      <c r="W2927" s="49"/>
      <c r="X2927" s="49" t="str">
        <f t="shared" si="3"/>
        <v>,</v>
      </c>
      <c r="Y2927" s="49"/>
      <c r="Z2927" s="49"/>
      <c r="AB2927" s="49"/>
      <c r="AC2927" s="49"/>
      <c r="AD2927" s="49"/>
      <c r="AE2927" s="49"/>
      <c r="AF2927" s="49"/>
      <c r="AG2927" s="49"/>
      <c r="AH2927" s="1" t="s">
        <v>1232</v>
      </c>
      <c r="AI2927" s="1" t="s">
        <v>4105</v>
      </c>
      <c r="AJ2927" s="6" t="str">
        <f>IFERROR(__xludf.DUMMYFUNCTION("""COMPUTED_VALUE"""),"legal")</f>
        <v>legal</v>
      </c>
      <c r="AK2927" s="49"/>
      <c r="AL2927" s="49"/>
      <c r="AM2927" s="49"/>
      <c r="AN2927" s="52" t="str">
        <f t="shared" si="5"/>
        <v>concert,</v>
      </c>
    </row>
    <row r="2928">
      <c r="A2928" s="51"/>
      <c r="B2928" s="50" t="s">
        <v>7432</v>
      </c>
      <c r="C2928" s="50">
        <v>1999.0</v>
      </c>
      <c r="D2928" s="49" t="str">
        <f>IFERROR(__xludf.DUMMYFUNCTION("""COMPUTED_VALUE"""),"maker")</f>
        <v>maker</v>
      </c>
      <c r="E2928" s="49"/>
      <c r="F2928" s="49"/>
      <c r="G2928" s="49"/>
      <c r="H2928" s="54" t="str">
        <f t="shared" si="1"/>
        <v>tin,</v>
      </c>
      <c r="I2928" s="50"/>
      <c r="J2928" s="50"/>
      <c r="K2928" s="50" t="s">
        <v>1542</v>
      </c>
      <c r="L2928" s="49"/>
      <c r="M2928" s="49"/>
      <c r="N2928" s="49"/>
      <c r="O2928" s="49"/>
      <c r="P2928" s="49" t="str">
        <f t="shared" si="2"/>
        <v>,</v>
      </c>
      <c r="Q2928" s="49"/>
      <c r="R2928" s="49"/>
      <c r="S2928" s="55" t="s">
        <v>5403</v>
      </c>
      <c r="T2928" s="49"/>
      <c r="U2928" s="49"/>
      <c r="V2928" s="49"/>
      <c r="W2928" s="49"/>
      <c r="X2928" s="49" t="str">
        <f t="shared" si="3"/>
        <v>,</v>
      </c>
      <c r="Y2928" s="49"/>
      <c r="Z2928" s="49"/>
      <c r="AB2928" s="49"/>
      <c r="AC2928" s="49"/>
      <c r="AD2928" s="49"/>
      <c r="AE2928" s="49"/>
      <c r="AF2928" s="49"/>
      <c r="AG2928" s="49"/>
      <c r="AH2928" s="1" t="s">
        <v>6546</v>
      </c>
      <c r="AI2928" s="1" t="s">
        <v>5481</v>
      </c>
      <c r="AJ2928" s="6" t="str">
        <f>IFERROR(__xludf.DUMMYFUNCTION("""COMPUTED_VALUE"""),"atlantic")</f>
        <v>atlantic</v>
      </c>
      <c r="AK2928" s="49"/>
      <c r="AL2928" s="49"/>
      <c r="AM2928" s="49"/>
      <c r="AN2928" s="52" t="str">
        <f t="shared" si="5"/>
        <v>ancient,</v>
      </c>
    </row>
    <row r="2929">
      <c r="A2929" s="51"/>
      <c r="B2929" s="50" t="s">
        <v>1141</v>
      </c>
      <c r="C2929" s="50" t="s">
        <v>6785</v>
      </c>
      <c r="D2929" s="49" t="str">
        <f>IFERROR(__xludf.DUMMYFUNCTION("""COMPUTED_VALUE"""),"portions")</f>
        <v>portions</v>
      </c>
      <c r="E2929" s="49"/>
      <c r="F2929" s="49"/>
      <c r="G2929" s="49"/>
      <c r="H2929" s="54" t="str">
        <f t="shared" si="1"/>
        <v>term,</v>
      </c>
      <c r="I2929" s="50"/>
      <c r="J2929" s="50"/>
      <c r="K2929" s="50" t="s">
        <v>4516</v>
      </c>
      <c r="L2929" s="49"/>
      <c r="M2929" s="49"/>
      <c r="N2929" s="49"/>
      <c r="O2929" s="49"/>
      <c r="P2929" s="49" t="str">
        <f t="shared" si="2"/>
        <v>,</v>
      </c>
      <c r="Q2929" s="49"/>
      <c r="R2929" s="49"/>
      <c r="S2929" s="55" t="s">
        <v>3797</v>
      </c>
      <c r="T2929" s="49"/>
      <c r="U2929" s="49"/>
      <c r="V2929" s="49"/>
      <c r="W2929" s="49"/>
      <c r="X2929" s="49" t="str">
        <f t="shared" si="3"/>
        <v>,</v>
      </c>
      <c r="Y2929" s="49"/>
      <c r="Z2929" s="49"/>
      <c r="AB2929" s="49"/>
      <c r="AC2929" s="49"/>
      <c r="AD2929" s="49"/>
      <c r="AE2929" s="49"/>
      <c r="AF2929" s="49"/>
      <c r="AG2929" s="49"/>
      <c r="AH2929" s="1" t="s">
        <v>5215</v>
      </c>
      <c r="AI2929" s="1" t="s">
        <v>4243</v>
      </c>
      <c r="AJ2929" s="6" t="str">
        <f>IFERROR(__xludf.DUMMYFUNCTION("""COMPUTED_VALUE"""),"parent")</f>
        <v>parent</v>
      </c>
      <c r="AK2929" s="49"/>
      <c r="AL2929" s="49"/>
      <c r="AM2929" s="49"/>
      <c r="AN2929" s="52" t="str">
        <f t="shared" si="5"/>
        <v>institution,</v>
      </c>
    </row>
    <row r="2930">
      <c r="A2930" s="51"/>
      <c r="B2930" s="50" t="s">
        <v>4063</v>
      </c>
      <c r="C2930" s="50" t="s">
        <v>6786</v>
      </c>
      <c r="D2930" s="49" t="str">
        <f>IFERROR(__xludf.DUMMYFUNCTION("""COMPUTED_VALUE"""),"higher")</f>
        <v>higher</v>
      </c>
      <c r="E2930" s="49"/>
      <c r="F2930" s="49"/>
      <c r="G2930" s="49"/>
      <c r="H2930" s="54" t="str">
        <f t="shared" si="1"/>
        <v>hall,</v>
      </c>
      <c r="I2930" s="50"/>
      <c r="J2930" s="50"/>
      <c r="K2930" s="50" t="s">
        <v>5944</v>
      </c>
      <c r="L2930" s="49"/>
      <c r="M2930" s="49"/>
      <c r="N2930" s="49"/>
      <c r="O2930" s="49"/>
      <c r="P2930" s="49" t="str">
        <f t="shared" si="2"/>
        <v>,</v>
      </c>
      <c r="Q2930" s="49"/>
      <c r="R2930" s="49"/>
      <c r="S2930" s="55" t="s">
        <v>4414</v>
      </c>
      <c r="T2930" s="49"/>
      <c r="U2930" s="49"/>
      <c r="V2930" s="49"/>
      <c r="W2930" s="49"/>
      <c r="X2930" s="49" t="str">
        <f t="shared" si="3"/>
        <v>,</v>
      </c>
      <c r="Y2930" s="49"/>
      <c r="Z2930" s="49"/>
      <c r="AB2930" s="49"/>
      <c r="AC2930" s="49"/>
      <c r="AD2930" s="49"/>
      <c r="AE2930" s="49"/>
      <c r="AF2930" s="49"/>
      <c r="AG2930" s="49"/>
      <c r="AH2930" s="1" t="s">
        <v>7660</v>
      </c>
      <c r="AI2930" s="1" t="s">
        <v>6890</v>
      </c>
      <c r="AJ2930" s="6" t="str">
        <f>IFERROR(__xludf.DUMMYFUNCTION("""COMPUTED_VALUE"""),"telephone")</f>
        <v>telephone</v>
      </c>
      <c r="AK2930" s="49"/>
      <c r="AL2930" s="49"/>
      <c r="AM2930" s="49"/>
      <c r="AN2930" s="52" t="str">
        <f t="shared" si="5"/>
        <v>stones,</v>
      </c>
    </row>
    <row r="2931">
      <c r="A2931" s="51"/>
      <c r="B2931" s="50" t="s">
        <v>5758</v>
      </c>
      <c r="C2931" s="50" t="s">
        <v>3924</v>
      </c>
      <c r="D2931" s="49" t="str">
        <f>IFERROR(__xludf.DUMMYFUNCTION("""COMPUTED_VALUE"""),"maintained")</f>
        <v>maintained</v>
      </c>
      <c r="E2931" s="49"/>
      <c r="F2931" s="49"/>
      <c r="G2931" s="49"/>
      <c r="H2931" s="54" t="str">
        <f t="shared" si="1"/>
        <v>recorded,</v>
      </c>
      <c r="I2931" s="50"/>
      <c r="J2931" s="50"/>
      <c r="K2931" s="50" t="s">
        <v>4517</v>
      </c>
      <c r="L2931" s="49"/>
      <c r="M2931" s="49"/>
      <c r="N2931" s="49"/>
      <c r="O2931" s="49"/>
      <c r="P2931" s="49" t="str">
        <f t="shared" si="2"/>
        <v>,</v>
      </c>
      <c r="Q2931" s="49"/>
      <c r="R2931" s="49"/>
      <c r="S2931" s="55" t="s">
        <v>1450</v>
      </c>
      <c r="T2931" s="49"/>
      <c r="U2931" s="49"/>
      <c r="V2931" s="49"/>
      <c r="W2931" s="49"/>
      <c r="X2931" s="49" t="str">
        <f t="shared" si="3"/>
        <v>,</v>
      </c>
      <c r="Y2931" s="49"/>
      <c r="Z2931" s="49"/>
      <c r="AB2931" s="49"/>
      <c r="AC2931" s="49"/>
      <c r="AD2931" s="49"/>
      <c r="AE2931" s="49"/>
      <c r="AF2931" s="49"/>
      <c r="AG2931" s="49"/>
      <c r="AH2931" s="1" t="s">
        <v>3988</v>
      </c>
      <c r="AI2931" s="1" t="s">
        <v>5178</v>
      </c>
      <c r="AJ2931" s="6" t="str">
        <f>IFERROR(__xludf.DUMMYFUNCTION("""COMPUTED_VALUE"""),"ballet")</f>
        <v>ballet</v>
      </c>
      <c r="AK2931" s="49"/>
      <c r="AL2931" s="49"/>
      <c r="AM2931" s="49"/>
      <c r="AN2931" s="52" t="str">
        <f t="shared" si="5"/>
        <v>managing,</v>
      </c>
    </row>
    <row r="2932">
      <c r="A2932" s="51"/>
      <c r="B2932" s="50" t="s">
        <v>7129</v>
      </c>
      <c r="C2932" s="50" t="s">
        <v>858</v>
      </c>
      <c r="D2932" s="49" t="str">
        <f>IFERROR(__xludf.DUMMYFUNCTION("""COMPUTED_VALUE"""),"decline")</f>
        <v>decline</v>
      </c>
      <c r="E2932" s="49"/>
      <c r="F2932" s="49"/>
      <c r="G2932" s="49"/>
      <c r="H2932" s="54" t="str">
        <f t="shared" si="1"/>
        <v>arriving,</v>
      </c>
      <c r="I2932" s="50"/>
      <c r="J2932" s="50"/>
      <c r="K2932" s="50" t="s">
        <v>5946</v>
      </c>
      <c r="L2932" s="49"/>
      <c r="M2932" s="49"/>
      <c r="N2932" s="49"/>
      <c r="O2932" s="49"/>
      <c r="P2932" s="49" t="str">
        <f t="shared" si="2"/>
        <v>,</v>
      </c>
      <c r="Q2932" s="49"/>
      <c r="R2932" s="49"/>
      <c r="S2932" s="55" t="s">
        <v>2582</v>
      </c>
      <c r="T2932" s="49"/>
      <c r="U2932" s="49"/>
      <c r="V2932" s="49"/>
      <c r="W2932" s="49"/>
      <c r="X2932" s="49" t="str">
        <f t="shared" si="3"/>
        <v>,</v>
      </c>
      <c r="Y2932" s="49"/>
      <c r="Z2932" s="49"/>
      <c r="AB2932" s="49"/>
      <c r="AC2932" s="49"/>
      <c r="AD2932" s="49"/>
      <c r="AE2932" s="49"/>
      <c r="AF2932" s="49"/>
      <c r="AG2932" s="49"/>
      <c r="AH2932" s="1" t="s">
        <v>4166</v>
      </c>
      <c r="AI2932" s="1" t="s">
        <v>6891</v>
      </c>
      <c r="AJ2932" s="6" t="str">
        <f>IFERROR(__xludf.DUMMYFUNCTION("""COMPUTED_VALUE"""),"harm")</f>
        <v>harm</v>
      </c>
      <c r="AK2932" s="49"/>
      <c r="AL2932" s="49"/>
      <c r="AM2932" s="49"/>
      <c r="AN2932" s="52" t="str">
        <f t="shared" si="5"/>
        <v>committed,</v>
      </c>
    </row>
    <row r="2933">
      <c r="A2933" s="51"/>
      <c r="B2933" s="50" t="s">
        <v>7015</v>
      </c>
      <c r="C2933" s="50" t="s">
        <v>6787</v>
      </c>
      <c r="D2933" s="49" t="str">
        <f>IFERROR(__xludf.DUMMYFUNCTION("""COMPUTED_VALUE"""),"gut")</f>
        <v>gut</v>
      </c>
      <c r="E2933" s="49"/>
      <c r="F2933" s="49"/>
      <c r="G2933" s="49"/>
      <c r="H2933" s="54" t="str">
        <f t="shared" si="1"/>
        <v>argue,</v>
      </c>
      <c r="I2933" s="50"/>
      <c r="J2933" s="50"/>
      <c r="K2933" s="50" t="s">
        <v>750</v>
      </c>
      <c r="L2933" s="49"/>
      <c r="M2933" s="49"/>
      <c r="N2933" s="49"/>
      <c r="O2933" s="49"/>
      <c r="P2933" s="49" t="str">
        <f t="shared" si="2"/>
        <v>,</v>
      </c>
      <c r="Q2933" s="49"/>
      <c r="R2933" s="49"/>
      <c r="S2933" s="55" t="s">
        <v>2585</v>
      </c>
      <c r="T2933" s="49"/>
      <c r="U2933" s="49"/>
      <c r="V2933" s="49"/>
      <c r="W2933" s="49"/>
      <c r="X2933" s="49" t="str">
        <f t="shared" si="3"/>
        <v>,</v>
      </c>
      <c r="Y2933" s="49"/>
      <c r="Z2933" s="49"/>
      <c r="AB2933" s="49"/>
      <c r="AC2933" s="49"/>
      <c r="AD2933" s="49"/>
      <c r="AE2933" s="49"/>
      <c r="AF2933" s="49"/>
      <c r="AG2933" s="49"/>
      <c r="AH2933" s="1" t="s">
        <v>4608</v>
      </c>
      <c r="AI2933" s="1" t="s">
        <v>4751</v>
      </c>
      <c r="AJ2933" s="6" t="str">
        <f>IFERROR(__xludf.DUMMYFUNCTION("""COMPUTED_VALUE"""),"videos")</f>
        <v>videos</v>
      </c>
      <c r="AK2933" s="49"/>
      <c r="AL2933" s="49"/>
      <c r="AM2933" s="49"/>
      <c r="AN2933" s="52" t="str">
        <f t="shared" si="5"/>
        <v>radar,</v>
      </c>
    </row>
    <row r="2934">
      <c r="A2934" s="51"/>
      <c r="B2934" s="50" t="s">
        <v>2091</v>
      </c>
      <c r="C2934" s="50" t="s">
        <v>2156</v>
      </c>
      <c r="D2934" s="49" t="str">
        <f>IFERROR(__xludf.DUMMYFUNCTION("""COMPUTED_VALUE"""),"band")</f>
        <v>band</v>
      </c>
      <c r="E2934" s="49"/>
      <c r="F2934" s="49"/>
      <c r="G2934" s="49"/>
      <c r="H2934" s="54" t="str">
        <f t="shared" si="1"/>
        <v>footage,</v>
      </c>
      <c r="I2934" s="50"/>
      <c r="J2934" s="50"/>
      <c r="K2934" s="50" t="s">
        <v>2718</v>
      </c>
      <c r="L2934" s="49"/>
      <c r="M2934" s="49"/>
      <c r="N2934" s="49"/>
      <c r="O2934" s="49"/>
      <c r="P2934" s="49" t="str">
        <f t="shared" si="2"/>
        <v>,</v>
      </c>
      <c r="Q2934" s="49"/>
      <c r="R2934" s="49"/>
      <c r="S2934" s="55" t="s">
        <v>6859</v>
      </c>
      <c r="T2934" s="49"/>
      <c r="U2934" s="49"/>
      <c r="V2934" s="49"/>
      <c r="W2934" s="49"/>
      <c r="X2934" s="49" t="str">
        <f t="shared" si="3"/>
        <v>,</v>
      </c>
      <c r="Y2934" s="49"/>
      <c r="Z2934" s="49"/>
      <c r="AB2934" s="49"/>
      <c r="AC2934" s="49"/>
      <c r="AD2934" s="49"/>
      <c r="AE2934" s="49"/>
      <c r="AF2934" s="49"/>
      <c r="AG2934" s="49"/>
      <c r="AH2934" s="1" t="s">
        <v>4237</v>
      </c>
      <c r="AI2934" s="1" t="s">
        <v>6892</v>
      </c>
      <c r="AJ2934" s="6" t="str">
        <f>IFERROR(__xludf.DUMMYFUNCTION("""COMPUTED_VALUE"""),"composed")</f>
        <v>composed</v>
      </c>
      <c r="AK2934" s="49"/>
      <c r="AL2934" s="49"/>
      <c r="AM2934" s="49"/>
      <c r="AN2934" s="52" t="str">
        <f t="shared" si="5"/>
        <v>jake,</v>
      </c>
    </row>
    <row r="2935">
      <c r="A2935" s="51"/>
      <c r="B2935" s="50" t="s">
        <v>6631</v>
      </c>
      <c r="C2935" s="50" t="s">
        <v>5691</v>
      </c>
      <c r="D2935" s="49" t="str">
        <f>IFERROR(__xludf.DUMMYFUNCTION("""COMPUTED_VALUE"""),"21st")</f>
        <v>21st</v>
      </c>
      <c r="E2935" s="49"/>
      <c r="F2935" s="49"/>
      <c r="G2935" s="49"/>
      <c r="H2935" s="54" t="str">
        <f t="shared" si="1"/>
        <v>books,</v>
      </c>
      <c r="I2935" s="50"/>
      <c r="J2935" s="50"/>
      <c r="K2935" s="50" t="s">
        <v>2721</v>
      </c>
      <c r="L2935" s="49"/>
      <c r="M2935" s="49"/>
      <c r="N2935" s="49"/>
      <c r="O2935" s="49"/>
      <c r="P2935" s="49" t="str">
        <f t="shared" si="2"/>
        <v>,</v>
      </c>
      <c r="Q2935" s="49"/>
      <c r="R2935" s="49"/>
      <c r="S2935" s="55" t="s">
        <v>1457</v>
      </c>
      <c r="T2935" s="49"/>
      <c r="U2935" s="49"/>
      <c r="V2935" s="49"/>
      <c r="W2935" s="49"/>
      <c r="X2935" s="49" t="str">
        <f t="shared" si="3"/>
        <v>,</v>
      </c>
      <c r="Y2935" s="49"/>
      <c r="Z2935" s="49"/>
      <c r="AB2935" s="49"/>
      <c r="AC2935" s="49"/>
      <c r="AD2935" s="49"/>
      <c r="AE2935" s="49"/>
      <c r="AF2935" s="49"/>
      <c r="AG2935" s="49"/>
      <c r="AH2935" s="1" t="s">
        <v>3392</v>
      </c>
      <c r="AI2935" s="1" t="s">
        <v>6514</v>
      </c>
      <c r="AJ2935" s="6" t="str">
        <f>IFERROR(__xludf.DUMMYFUNCTION("""COMPUTED_VALUE"""),"calm")</f>
        <v>calm</v>
      </c>
      <c r="AK2935" s="49"/>
      <c r="AL2935" s="49"/>
      <c r="AM2935" s="49"/>
      <c r="AN2935" s="52" t="str">
        <f t="shared" si="5"/>
        <v>aged,</v>
      </c>
    </row>
    <row r="2936">
      <c r="A2936" s="51"/>
      <c r="B2936" s="50" t="s">
        <v>2779</v>
      </c>
      <c r="C2936" s="50" t="s">
        <v>3533</v>
      </c>
      <c r="D2936" s="49" t="str">
        <f>IFERROR(__xludf.DUMMYFUNCTION("""COMPUTED_VALUE"""),"trapped")</f>
        <v>trapped</v>
      </c>
      <c r="E2936" s="49"/>
      <c r="F2936" s="49"/>
      <c r="G2936" s="49"/>
      <c r="H2936" s="54" t="str">
        <f t="shared" si="1"/>
        <v>section,</v>
      </c>
      <c r="I2936" s="50"/>
      <c r="J2936" s="50"/>
      <c r="K2936" s="50" t="s">
        <v>2124</v>
      </c>
      <c r="L2936" s="49"/>
      <c r="M2936" s="49"/>
      <c r="N2936" s="49"/>
      <c r="O2936" s="49"/>
      <c r="P2936" s="49" t="str">
        <f t="shared" si="2"/>
        <v>,</v>
      </c>
      <c r="Q2936" s="49"/>
      <c r="R2936" s="49"/>
      <c r="S2936" s="55" t="s">
        <v>4425</v>
      </c>
      <c r="T2936" s="49"/>
      <c r="U2936" s="49"/>
      <c r="V2936" s="49"/>
      <c r="W2936" s="49"/>
      <c r="X2936" s="49" t="str">
        <f t="shared" si="3"/>
        <v>,</v>
      </c>
      <c r="Y2936" s="49"/>
      <c r="Z2936" s="49"/>
      <c r="AB2936" s="49"/>
      <c r="AC2936" s="49"/>
      <c r="AD2936" s="49"/>
      <c r="AE2936" s="49"/>
      <c r="AF2936" s="49"/>
      <c r="AG2936" s="49"/>
      <c r="AH2936" s="1" t="s">
        <v>3733</v>
      </c>
      <c r="AI2936" s="1" t="s">
        <v>5962</v>
      </c>
      <c r="AJ2936" s="6" t="str">
        <f>IFERROR(__xludf.DUMMYFUNCTION("""COMPUTED_VALUE"""),"suffering")</f>
        <v>suffering</v>
      </c>
      <c r="AK2936" s="49"/>
      <c r="AL2936" s="49"/>
      <c r="AM2936" s="49"/>
      <c r="AN2936" s="52" t="str">
        <f t="shared" si="5"/>
        <v>underneath,</v>
      </c>
    </row>
    <row r="2937">
      <c r="A2937" s="51"/>
      <c r="B2937" s="50" t="s">
        <v>655</v>
      </c>
      <c r="C2937" s="50" t="s">
        <v>4262</v>
      </c>
      <c r="D2937" s="49" t="str">
        <f>IFERROR(__xludf.DUMMYFUNCTION("""COMPUTED_VALUE"""),"tense")</f>
        <v>tense</v>
      </c>
      <c r="E2937" s="49"/>
      <c r="F2937" s="49"/>
      <c r="G2937" s="49"/>
      <c r="H2937" s="54" t="str">
        <f t="shared" si="1"/>
        <v>capable,</v>
      </c>
      <c r="I2937" s="50"/>
      <c r="J2937" s="50"/>
      <c r="K2937" s="50" t="s">
        <v>5949</v>
      </c>
      <c r="L2937" s="49"/>
      <c r="M2937" s="49"/>
      <c r="N2937" s="49"/>
      <c r="O2937" s="49"/>
      <c r="P2937" s="49" t="str">
        <f t="shared" si="2"/>
        <v>,</v>
      </c>
      <c r="Q2937" s="49"/>
      <c r="R2937" s="49"/>
      <c r="S2937" s="55" t="s">
        <v>2595</v>
      </c>
      <c r="T2937" s="49"/>
      <c r="U2937" s="49"/>
      <c r="V2937" s="49"/>
      <c r="W2937" s="49"/>
      <c r="X2937" s="49" t="str">
        <f t="shared" si="3"/>
        <v>,</v>
      </c>
      <c r="Y2937" s="49"/>
      <c r="Z2937" s="49"/>
      <c r="AB2937" s="49"/>
      <c r="AC2937" s="49"/>
      <c r="AD2937" s="49"/>
      <c r="AE2937" s="49"/>
      <c r="AF2937" s="49"/>
      <c r="AG2937" s="49"/>
      <c r="AH2937" s="1" t="s">
        <v>5722</v>
      </c>
      <c r="AI2937" s="1" t="s">
        <v>4553</v>
      </c>
      <c r="AJ2937" s="6" t="str">
        <f>IFERROR(__xludf.DUMMYFUNCTION("""COMPUTED_VALUE"""),"engine")</f>
        <v>engine</v>
      </c>
      <c r="AK2937" s="49"/>
      <c r="AL2937" s="49"/>
      <c r="AM2937" s="49"/>
      <c r="AN2937" s="52" t="str">
        <f t="shared" si="5"/>
        <v>labor,</v>
      </c>
    </row>
    <row r="2938">
      <c r="A2938" s="51"/>
      <c r="B2938" s="50" t="s">
        <v>2214</v>
      </c>
      <c r="C2938" s="50" t="s">
        <v>5665</v>
      </c>
      <c r="D2938" s="49" t="str">
        <f>IFERROR(__xludf.DUMMYFUNCTION("""COMPUTED_VALUE"""),"ate")</f>
        <v>ate</v>
      </c>
      <c r="E2938" s="49"/>
      <c r="F2938" s="49"/>
      <c r="G2938" s="49"/>
      <c r="H2938" s="54" t="str">
        <f t="shared" si="1"/>
        <v>sum,</v>
      </c>
      <c r="I2938" s="50"/>
      <c r="J2938" s="50"/>
      <c r="K2938" s="50" t="s">
        <v>5950</v>
      </c>
      <c r="L2938" s="49"/>
      <c r="M2938" s="49"/>
      <c r="N2938" s="49"/>
      <c r="O2938" s="49"/>
      <c r="P2938" s="49" t="str">
        <f t="shared" si="2"/>
        <v>,</v>
      </c>
      <c r="Q2938" s="49"/>
      <c r="R2938" s="49"/>
      <c r="S2938" s="55" t="s">
        <v>2598</v>
      </c>
      <c r="T2938" s="49"/>
      <c r="U2938" s="49"/>
      <c r="V2938" s="49"/>
      <c r="W2938" s="49"/>
      <c r="X2938" s="49" t="str">
        <f t="shared" si="3"/>
        <v>,</v>
      </c>
      <c r="Y2938" s="49"/>
      <c r="Z2938" s="49"/>
      <c r="AB2938" s="49"/>
      <c r="AC2938" s="49"/>
      <c r="AD2938" s="49"/>
      <c r="AE2938" s="49"/>
      <c r="AF2938" s="49"/>
      <c r="AG2938" s="49"/>
      <c r="AH2938" s="1" t="s">
        <v>3625</v>
      </c>
      <c r="AI2938" s="1" t="s">
        <v>2260</v>
      </c>
      <c r="AJ2938" s="6" t="str">
        <f>IFERROR(__xludf.DUMMYFUNCTION("""COMPUTED_VALUE"""),"dave")</f>
        <v>dave</v>
      </c>
      <c r="AK2938" s="49"/>
      <c r="AL2938" s="49"/>
      <c r="AM2938" s="49"/>
      <c r="AN2938" s="52" t="str">
        <f t="shared" si="5"/>
        <v>aware,</v>
      </c>
    </row>
    <row r="2939">
      <c r="A2939" s="51"/>
      <c r="B2939" s="50" t="s">
        <v>4124</v>
      </c>
      <c r="C2939" s="50" t="s">
        <v>1945</v>
      </c>
      <c r="D2939" s="49" t="str">
        <f>IFERROR(__xludf.DUMMYFUNCTION("""COMPUTED_VALUE"""),"rapidly")</f>
        <v>rapidly</v>
      </c>
      <c r="E2939" s="49"/>
      <c r="F2939" s="49"/>
      <c r="G2939" s="49"/>
      <c r="H2939" s="54" t="str">
        <f t="shared" si="1"/>
        <v>wondered,</v>
      </c>
      <c r="I2939" s="50"/>
      <c r="J2939" s="50"/>
      <c r="K2939" s="50" t="s">
        <v>2724</v>
      </c>
      <c r="L2939" s="49"/>
      <c r="M2939" s="49"/>
      <c r="N2939" s="49"/>
      <c r="O2939" s="49"/>
      <c r="P2939" s="49" t="str">
        <f t="shared" si="2"/>
        <v>,</v>
      </c>
      <c r="Q2939" s="49"/>
      <c r="R2939" s="49"/>
      <c r="S2939" s="55" t="s">
        <v>5895</v>
      </c>
      <c r="T2939" s="49"/>
      <c r="U2939" s="49"/>
      <c r="V2939" s="49"/>
      <c r="W2939" s="49"/>
      <c r="X2939" s="49" t="str">
        <f t="shared" si="3"/>
        <v>,</v>
      </c>
      <c r="Y2939" s="49"/>
      <c r="Z2939" s="49"/>
      <c r="AB2939" s="49"/>
      <c r="AC2939" s="49"/>
      <c r="AD2939" s="49"/>
      <c r="AE2939" s="49"/>
      <c r="AF2939" s="49"/>
      <c r="AG2939" s="49"/>
      <c r="AH2939" s="1" t="s">
        <v>3457</v>
      </c>
      <c r="AI2939" s="1" t="s">
        <v>5131</v>
      </c>
      <c r="AJ2939" s="6" t="str">
        <f>IFERROR(__xludf.DUMMYFUNCTION("""COMPUTED_VALUE"""),"dvd")</f>
        <v>dvd</v>
      </c>
      <c r="AK2939" s="49"/>
      <c r="AL2939" s="49"/>
      <c r="AM2939" s="49"/>
      <c r="AN2939" s="52" t="str">
        <f t="shared" si="5"/>
        <v>sits,</v>
      </c>
    </row>
    <row r="2940">
      <c r="A2940" s="51"/>
      <c r="B2940" s="50" t="s">
        <v>2914</v>
      </c>
      <c r="C2940" s="50" t="s">
        <v>6790</v>
      </c>
      <c r="D2940" s="49" t="str">
        <f>IFERROR(__xludf.DUMMYFUNCTION("""COMPUTED_VALUE"""),"beijing")</f>
        <v>beijing</v>
      </c>
      <c r="E2940" s="49"/>
      <c r="F2940" s="49"/>
      <c r="G2940" s="49"/>
      <c r="H2940" s="54" t="str">
        <f t="shared" si="1"/>
        <v>themes,</v>
      </c>
      <c r="I2940" s="50"/>
      <c r="J2940" s="50"/>
      <c r="K2940" s="50" t="s">
        <v>4524</v>
      </c>
      <c r="L2940" s="49"/>
      <c r="M2940" s="49"/>
      <c r="N2940" s="49"/>
      <c r="O2940" s="49"/>
      <c r="P2940" s="49" t="str">
        <f t="shared" si="2"/>
        <v>,</v>
      </c>
      <c r="Q2940" s="49"/>
      <c r="R2940" s="49"/>
      <c r="S2940" s="55" t="s">
        <v>2601</v>
      </c>
      <c r="T2940" s="49"/>
      <c r="U2940" s="49"/>
      <c r="V2940" s="49"/>
      <c r="W2940" s="49"/>
      <c r="X2940" s="49" t="str">
        <f t="shared" si="3"/>
        <v>,</v>
      </c>
      <c r="Y2940" s="49"/>
      <c r="Z2940" s="49"/>
      <c r="AB2940" s="49"/>
      <c r="AC2940" s="49"/>
      <c r="AD2940" s="49"/>
      <c r="AE2940" s="49"/>
      <c r="AF2940" s="49"/>
      <c r="AG2940" s="49"/>
      <c r="AH2940" s="1" t="s">
        <v>4555</v>
      </c>
      <c r="AI2940" s="1" t="s">
        <v>5581</v>
      </c>
      <c r="AJ2940" s="6" t="str">
        <f>IFERROR(__xludf.DUMMYFUNCTION("""COMPUTED_VALUE"""),"techniques")</f>
        <v>techniques</v>
      </c>
      <c r="AK2940" s="49"/>
      <c r="AL2940" s="49"/>
      <c r="AM2940" s="49"/>
      <c r="AN2940" s="52" t="str">
        <f t="shared" si="5"/>
        <v>ordinary,</v>
      </c>
    </row>
    <row r="2941">
      <c r="A2941" s="51"/>
      <c r="B2941" s="50" t="s">
        <v>5099</v>
      </c>
      <c r="C2941" s="50" t="s">
        <v>5405</v>
      </c>
      <c r="D2941" s="49" t="str">
        <f>IFERROR(__xludf.DUMMYFUNCTION("""COMPUTED_VALUE"""),"string")</f>
        <v>string</v>
      </c>
      <c r="E2941" s="49"/>
      <c r="F2941" s="49"/>
      <c r="G2941" s="49"/>
      <c r="H2941" s="54" t="str">
        <f t="shared" si="1"/>
        <v>finale,</v>
      </c>
      <c r="I2941" s="50"/>
      <c r="J2941" s="50"/>
      <c r="K2941" s="50" t="s">
        <v>4526</v>
      </c>
      <c r="L2941" s="49"/>
      <c r="M2941" s="49"/>
      <c r="N2941" s="49"/>
      <c r="O2941" s="49"/>
      <c r="P2941" s="49" t="str">
        <f t="shared" si="2"/>
        <v>,</v>
      </c>
      <c r="Q2941" s="49"/>
      <c r="R2941" s="49"/>
      <c r="S2941" s="55" t="s">
        <v>1465</v>
      </c>
      <c r="T2941" s="49"/>
      <c r="U2941" s="49"/>
      <c r="V2941" s="49"/>
      <c r="W2941" s="49"/>
      <c r="X2941" s="49" t="str">
        <f t="shared" si="3"/>
        <v>,</v>
      </c>
      <c r="Y2941" s="49"/>
      <c r="Z2941" s="49"/>
      <c r="AB2941" s="49"/>
      <c r="AC2941" s="49"/>
      <c r="AD2941" s="49"/>
      <c r="AE2941" s="49"/>
      <c r="AF2941" s="49"/>
      <c r="AG2941" s="49"/>
      <c r="AH2941" s="1" t="s">
        <v>4553</v>
      </c>
      <c r="AI2941" s="1" t="s">
        <v>6893</v>
      </c>
      <c r="AJ2941" s="6" t="str">
        <f>IFERROR(__xludf.DUMMYFUNCTION("""COMPUTED_VALUE"""),"regard")</f>
        <v>regard</v>
      </c>
      <c r="AK2941" s="49"/>
      <c r="AL2941" s="49"/>
      <c r="AM2941" s="49"/>
      <c r="AN2941" s="52" t="str">
        <f t="shared" si="5"/>
        <v>thrust,</v>
      </c>
    </row>
    <row r="2942">
      <c r="A2942" s="51"/>
      <c r="B2942" s="50" t="s">
        <v>1435</v>
      </c>
      <c r="C2942" s="50" t="s">
        <v>4160</v>
      </c>
      <c r="D2942" s="49" t="str">
        <f>IFERROR(__xludf.DUMMYFUNCTION("""COMPUTED_VALUE"""),"horse")</f>
        <v>horse</v>
      </c>
      <c r="E2942" s="49"/>
      <c r="F2942" s="49"/>
      <c r="G2942" s="49"/>
      <c r="H2942" s="54" t="str">
        <f t="shared" si="1"/>
        <v>approaches,</v>
      </c>
      <c r="I2942" s="50"/>
      <c r="J2942" s="50"/>
      <c r="K2942" s="50" t="s">
        <v>2728</v>
      </c>
      <c r="L2942" s="49"/>
      <c r="M2942" s="49"/>
      <c r="N2942" s="49"/>
      <c r="O2942" s="49"/>
      <c r="P2942" s="49" t="str">
        <f t="shared" si="2"/>
        <v>,</v>
      </c>
      <c r="Q2942" s="49"/>
      <c r="R2942" s="49"/>
      <c r="S2942" s="55" t="s">
        <v>4961</v>
      </c>
      <c r="T2942" s="49"/>
      <c r="U2942" s="49"/>
      <c r="V2942" s="49"/>
      <c r="W2942" s="49"/>
      <c r="X2942" s="49" t="str">
        <f t="shared" si="3"/>
        <v>,</v>
      </c>
      <c r="Y2942" s="49"/>
      <c r="Z2942" s="49"/>
      <c r="AB2942" s="49"/>
      <c r="AC2942" s="49"/>
      <c r="AD2942" s="49"/>
      <c r="AE2942" s="49"/>
      <c r="AF2942" s="49"/>
      <c r="AG2942" s="49"/>
      <c r="AH2942" s="1" t="s">
        <v>5192</v>
      </c>
      <c r="AI2942" s="1" t="s">
        <v>5964</v>
      </c>
      <c r="AJ2942" s="6" t="str">
        <f>IFERROR(__xludf.DUMMYFUNCTION("""COMPUTED_VALUE"""),"damaged")</f>
        <v>damaged</v>
      </c>
      <c r="AK2942" s="49"/>
      <c r="AL2942" s="49"/>
      <c r="AM2942" s="49"/>
      <c r="AN2942" s="52" t="str">
        <f t="shared" si="5"/>
        <v>lord,</v>
      </c>
    </row>
    <row r="2943">
      <c r="A2943" s="51"/>
      <c r="B2943" s="50" t="s">
        <v>2493</v>
      </c>
      <c r="C2943" s="50" t="s">
        <v>6791</v>
      </c>
      <c r="D2943" s="49" t="str">
        <f>IFERROR(__xludf.DUMMYFUNCTION("""COMPUTED_VALUE"""),"sleep")</f>
        <v>sleep</v>
      </c>
      <c r="E2943" s="49"/>
      <c r="F2943" s="49"/>
      <c r="G2943" s="49"/>
      <c r="H2943" s="54" t="str">
        <f t="shared" si="1"/>
        <v>changing,</v>
      </c>
      <c r="I2943" s="50"/>
      <c r="J2943" s="50"/>
      <c r="K2943" s="50" t="s">
        <v>4529</v>
      </c>
      <c r="L2943" s="49"/>
      <c r="M2943" s="49"/>
      <c r="N2943" s="49"/>
      <c r="O2943" s="49"/>
      <c r="P2943" s="49" t="str">
        <f t="shared" si="2"/>
        <v>,</v>
      </c>
      <c r="Q2943" s="49"/>
      <c r="R2943" s="49"/>
      <c r="S2943" s="55" t="s">
        <v>2607</v>
      </c>
      <c r="T2943" s="49"/>
      <c r="U2943" s="49"/>
      <c r="V2943" s="49"/>
      <c r="W2943" s="49"/>
      <c r="X2943" s="49" t="str">
        <f t="shared" si="3"/>
        <v>,</v>
      </c>
      <c r="Y2943" s="49"/>
      <c r="Z2943" s="49"/>
      <c r="AB2943" s="49"/>
      <c r="AC2943" s="49"/>
      <c r="AD2943" s="49"/>
      <c r="AE2943" s="49"/>
      <c r="AF2943" s="49"/>
      <c r="AG2943" s="49"/>
      <c r="AH2943" s="1" t="s">
        <v>6701</v>
      </c>
      <c r="AI2943" s="1" t="s">
        <v>1803</v>
      </c>
      <c r="AJ2943" s="6" t="str">
        <f>IFERROR(__xludf.DUMMYFUNCTION("""COMPUTED_VALUE"""),"miller")</f>
        <v>miller</v>
      </c>
      <c r="AK2943" s="49"/>
      <c r="AL2943" s="49"/>
      <c r="AM2943" s="49"/>
      <c r="AN2943" s="52" t="str">
        <f t="shared" si="5"/>
        <v>traveled,</v>
      </c>
    </row>
    <row r="2944">
      <c r="A2944" s="51"/>
      <c r="B2944" s="50" t="s">
        <v>3836</v>
      </c>
      <c r="C2944" s="50" t="s">
        <v>3544</v>
      </c>
      <c r="D2944" s="49" t="str">
        <f>IFERROR(__xludf.DUMMYFUNCTION("""COMPUTED_VALUE"""),"latin")</f>
        <v>latin</v>
      </c>
      <c r="E2944" s="49"/>
      <c r="F2944" s="49"/>
      <c r="G2944" s="49"/>
      <c r="H2944" s="54" t="str">
        <f t="shared" si="1"/>
        <v>normally,</v>
      </c>
      <c r="I2944" s="50"/>
      <c r="J2944" s="50"/>
      <c r="K2944" s="50" t="s">
        <v>4532</v>
      </c>
      <c r="L2944" s="49"/>
      <c r="M2944" s="49"/>
      <c r="N2944" s="49"/>
      <c r="O2944" s="49"/>
      <c r="P2944" s="49" t="str">
        <f t="shared" si="2"/>
        <v>,</v>
      </c>
      <c r="Q2944" s="49"/>
      <c r="R2944" s="49"/>
      <c r="S2944" s="55" t="s">
        <v>5416</v>
      </c>
      <c r="T2944" s="49"/>
      <c r="U2944" s="49"/>
      <c r="V2944" s="49"/>
      <c r="W2944" s="49"/>
      <c r="X2944" s="49" t="str">
        <f t="shared" si="3"/>
        <v>,</v>
      </c>
      <c r="Y2944" s="49"/>
      <c r="Z2944" s="49"/>
      <c r="AB2944" s="49"/>
      <c r="AC2944" s="49"/>
      <c r="AD2944" s="49"/>
      <c r="AE2944" s="49"/>
      <c r="AF2944" s="49"/>
      <c r="AG2944" s="49"/>
      <c r="AH2944" s="1" t="s">
        <v>4886</v>
      </c>
      <c r="AI2944" s="1" t="s">
        <v>1027</v>
      </c>
      <c r="AJ2944" s="6" t="str">
        <f>IFERROR(__xludf.DUMMYFUNCTION("""COMPUTED_VALUE"""),"circuit")</f>
        <v>circuit</v>
      </c>
      <c r="AK2944" s="49"/>
      <c r="AL2944" s="49"/>
      <c r="AM2944" s="49"/>
      <c r="AN2944" s="52" t="str">
        <f t="shared" si="5"/>
        <v>ball,</v>
      </c>
    </row>
    <row r="2945">
      <c r="A2945" s="51"/>
      <c r="B2945" s="50">
        <v>25.0</v>
      </c>
      <c r="C2945" s="50" t="s">
        <v>3547</v>
      </c>
      <c r="D2945" s="49" t="str">
        <f>IFERROR(__xludf.DUMMYFUNCTION("""COMPUTED_VALUE"""),"ruins")</f>
        <v>ruins</v>
      </c>
      <c r="E2945" s="49"/>
      <c r="F2945" s="49"/>
      <c r="G2945" s="49"/>
      <c r="H2945" s="54" t="str">
        <f t="shared" si="1"/>
        <v>25,</v>
      </c>
      <c r="I2945" s="50"/>
      <c r="J2945" s="50"/>
      <c r="K2945" s="50" t="s">
        <v>2730</v>
      </c>
      <c r="L2945" s="49"/>
      <c r="M2945" s="49"/>
      <c r="N2945" s="49"/>
      <c r="O2945" s="49"/>
      <c r="P2945" s="49" t="str">
        <f t="shared" si="2"/>
        <v>,</v>
      </c>
      <c r="Q2945" s="49"/>
      <c r="R2945" s="49"/>
      <c r="S2945" s="55" t="s">
        <v>1472</v>
      </c>
      <c r="T2945" s="49"/>
      <c r="U2945" s="49"/>
      <c r="V2945" s="49"/>
      <c r="W2945" s="49"/>
      <c r="X2945" s="49" t="str">
        <f t="shared" si="3"/>
        <v>,</v>
      </c>
      <c r="Y2945" s="49"/>
      <c r="Z2945" s="49"/>
      <c r="AB2945" s="49"/>
      <c r="AC2945" s="49"/>
      <c r="AD2945" s="49"/>
      <c r="AE2945" s="49"/>
      <c r="AF2945" s="49"/>
      <c r="AG2945" s="49"/>
      <c r="AH2945" s="1" t="s">
        <v>4536</v>
      </c>
      <c r="AI2945" s="1">
        <v>2001.0</v>
      </c>
      <c r="AJ2945" s="6" t="str">
        <f>IFERROR(__xludf.DUMMYFUNCTION("""COMPUTED_VALUE"""),"January")</f>
        <v>January</v>
      </c>
      <c r="AK2945" s="49"/>
      <c r="AL2945" s="49"/>
      <c r="AM2945" s="49"/>
      <c r="AN2945" s="52" t="str">
        <f t="shared" si="5"/>
        <v>cooper,</v>
      </c>
    </row>
    <row r="2946">
      <c r="A2946" s="51"/>
      <c r="B2946" s="50" t="s">
        <v>6581</v>
      </c>
      <c r="C2946" s="50" t="s">
        <v>6792</v>
      </c>
      <c r="D2946" s="49" t="str">
        <f>IFERROR(__xludf.DUMMYFUNCTION("""COMPUTED_VALUE"""),"confidence")</f>
        <v>confidence</v>
      </c>
      <c r="E2946" s="49"/>
      <c r="F2946" s="49"/>
      <c r="G2946" s="49"/>
      <c r="H2946" s="54" t="str">
        <f t="shared" si="1"/>
        <v>paid,</v>
      </c>
      <c r="I2946" s="50"/>
      <c r="J2946" s="50"/>
      <c r="K2946" s="50" t="s">
        <v>5489</v>
      </c>
      <c r="L2946" s="49"/>
      <c r="M2946" s="49"/>
      <c r="N2946" s="49"/>
      <c r="O2946" s="49"/>
      <c r="P2946" s="49" t="str">
        <f t="shared" si="2"/>
        <v>,</v>
      </c>
      <c r="Q2946" s="49"/>
      <c r="R2946" s="49"/>
      <c r="S2946" s="55" t="s">
        <v>6863</v>
      </c>
      <c r="T2946" s="49"/>
      <c r="U2946" s="49"/>
      <c r="V2946" s="49"/>
      <c r="W2946" s="49"/>
      <c r="X2946" s="49" t="str">
        <f t="shared" si="3"/>
        <v>,</v>
      </c>
      <c r="Y2946" s="49"/>
      <c r="Z2946" s="49"/>
      <c r="AB2946" s="49"/>
      <c r="AC2946" s="49"/>
      <c r="AD2946" s="49"/>
      <c r="AE2946" s="49"/>
      <c r="AF2946" s="49"/>
      <c r="AG2946" s="49"/>
      <c r="AH2946" s="1" t="s">
        <v>3545</v>
      </c>
      <c r="AI2946" s="1" t="s">
        <v>6894</v>
      </c>
      <c r="AJ2946" s="6" t="str">
        <f>IFERROR(__xludf.DUMMYFUNCTION("""COMPUTED_VALUE"""),"format")</f>
        <v>format</v>
      </c>
      <c r="AK2946" s="49"/>
      <c r="AL2946" s="49"/>
      <c r="AM2946" s="49"/>
      <c r="AN2946" s="52" t="str">
        <f t="shared" si="5"/>
        <v>movement,</v>
      </c>
    </row>
    <row r="2947">
      <c r="A2947" s="51"/>
      <c r="B2947" s="50" t="s">
        <v>6510</v>
      </c>
      <c r="C2947" s="50" t="s">
        <v>2234</v>
      </c>
      <c r="D2947" s="49" t="str">
        <f>IFERROR(__xludf.DUMMYFUNCTION("""COMPUTED_VALUE"""),"malcolm")</f>
        <v>malcolm</v>
      </c>
      <c r="E2947" s="49"/>
      <c r="F2947" s="49"/>
      <c r="G2947" s="49"/>
      <c r="H2947" s="54" t="str">
        <f t="shared" si="1"/>
        <v>atmosphere,</v>
      </c>
      <c r="I2947" s="50"/>
      <c r="J2947" s="50"/>
      <c r="K2947" s="50" t="s">
        <v>1550</v>
      </c>
      <c r="L2947" s="49"/>
      <c r="M2947" s="49"/>
      <c r="N2947" s="49"/>
      <c r="O2947" s="49"/>
      <c r="P2947" s="49" t="str">
        <f t="shared" si="2"/>
        <v>,</v>
      </c>
      <c r="Q2947" s="49"/>
      <c r="R2947" s="49"/>
      <c r="S2947" s="55" t="s">
        <v>3712</v>
      </c>
      <c r="T2947" s="49"/>
      <c r="U2947" s="49"/>
      <c r="V2947" s="49"/>
      <c r="W2947" s="49"/>
      <c r="X2947" s="49" t="str">
        <f t="shared" si="3"/>
        <v>,</v>
      </c>
      <c r="Y2947" s="49"/>
      <c r="Z2947" s="49"/>
      <c r="AB2947" s="49"/>
      <c r="AC2947" s="49"/>
      <c r="AD2947" s="49"/>
      <c r="AE2947" s="49"/>
      <c r="AF2947" s="49"/>
      <c r="AG2947" s="49"/>
      <c r="AH2947" s="1" t="s">
        <v>545</v>
      </c>
      <c r="AI2947" s="1" t="s">
        <v>4560</v>
      </c>
      <c r="AJ2947" s="6" t="str">
        <f>IFERROR(__xludf.DUMMYFUNCTION("""COMPUTED_VALUE"""),"extension")</f>
        <v>extension</v>
      </c>
      <c r="AK2947" s="49"/>
      <c r="AL2947" s="49"/>
      <c r="AM2947" s="49"/>
      <c r="AN2947" s="52" t="str">
        <f t="shared" si="5"/>
        <v>significant,</v>
      </c>
    </row>
    <row r="2948">
      <c r="A2948" s="51"/>
      <c r="B2948" s="50" t="s">
        <v>2550</v>
      </c>
      <c r="C2948" s="50" t="s">
        <v>3550</v>
      </c>
      <c r="D2948" s="49" t="str">
        <f>IFERROR(__xludf.DUMMYFUNCTION("""COMPUTED_VALUE"""),"roman")</f>
        <v>roman</v>
      </c>
      <c r="E2948" s="49"/>
      <c r="F2948" s="49"/>
      <c r="G2948" s="49"/>
      <c r="H2948" s="54" t="str">
        <f t="shared" si="1"/>
        <v>seat,</v>
      </c>
      <c r="I2948" s="50"/>
      <c r="J2948" s="50"/>
      <c r="K2948" s="50" t="s">
        <v>2736</v>
      </c>
      <c r="L2948" s="49"/>
      <c r="M2948" s="49"/>
      <c r="N2948" s="49"/>
      <c r="O2948" s="49"/>
      <c r="P2948" s="49" t="str">
        <f t="shared" si="2"/>
        <v>,</v>
      </c>
      <c r="Q2948" s="49"/>
      <c r="R2948" s="49"/>
      <c r="S2948" s="49">
        <v>2.0</v>
      </c>
      <c r="T2948" s="49"/>
      <c r="U2948" s="49"/>
      <c r="V2948" s="49"/>
      <c r="W2948" s="49"/>
      <c r="X2948" s="49" t="str">
        <f t="shared" si="3"/>
        <v>,</v>
      </c>
      <c r="Y2948" s="49"/>
      <c r="Z2948" s="49"/>
      <c r="AB2948" s="49"/>
      <c r="AC2948" s="49"/>
      <c r="AD2948" s="49"/>
      <c r="AE2948" s="49"/>
      <c r="AF2948" s="49"/>
      <c r="AG2948" s="49"/>
      <c r="AH2948" s="1" t="s">
        <v>2932</v>
      </c>
      <c r="AI2948" s="1" t="s">
        <v>4451</v>
      </c>
      <c r="AJ2948" s="6" t="str">
        <f>IFERROR(__xludf.DUMMYFUNCTION("""COMPUTED_VALUE"""),"accessible")</f>
        <v>accessible</v>
      </c>
      <c r="AK2948" s="49"/>
      <c r="AL2948" s="49"/>
      <c r="AM2948" s="49"/>
      <c r="AN2948" s="52" t="str">
        <f t="shared" si="5"/>
        <v>fingers,</v>
      </c>
    </row>
    <row r="2949">
      <c r="A2949" s="51"/>
      <c r="B2949" s="50" t="s">
        <v>1286</v>
      </c>
      <c r="C2949" s="50" t="s">
        <v>5811</v>
      </c>
      <c r="D2949" s="49" t="str">
        <f>IFERROR(__xludf.DUMMYFUNCTION("""COMPUTED_VALUE"""),"yellow")</f>
        <v>yellow</v>
      </c>
      <c r="E2949" s="49"/>
      <c r="F2949" s="49"/>
      <c r="G2949" s="49"/>
      <c r="H2949" s="54" t="str">
        <f t="shared" si="1"/>
        <v>zhang,</v>
      </c>
      <c r="I2949" s="50"/>
      <c r="J2949" s="50"/>
      <c r="K2949" s="50" t="s">
        <v>4537</v>
      </c>
      <c r="L2949" s="49"/>
      <c r="M2949" s="49"/>
      <c r="N2949" s="49"/>
      <c r="O2949" s="49"/>
      <c r="P2949" s="49" t="str">
        <f t="shared" si="2"/>
        <v>,</v>
      </c>
      <c r="Q2949" s="49"/>
      <c r="R2949" s="49"/>
      <c r="S2949" s="55" t="s">
        <v>5380</v>
      </c>
      <c r="T2949" s="49"/>
      <c r="U2949" s="49"/>
      <c r="V2949" s="49"/>
      <c r="W2949" s="49"/>
      <c r="X2949" s="49" t="str">
        <f t="shared" si="3"/>
        <v>,</v>
      </c>
      <c r="Y2949" s="49"/>
      <c r="Z2949" s="49"/>
      <c r="AB2949" s="49"/>
      <c r="AC2949" s="49"/>
      <c r="AD2949" s="49"/>
      <c r="AE2949" s="49"/>
      <c r="AF2949" s="49"/>
      <c r="AG2949" s="49"/>
      <c r="AH2949" s="1" t="s">
        <v>7661</v>
      </c>
      <c r="AI2949" s="1" t="s">
        <v>5038</v>
      </c>
      <c r="AJ2949" s="6" t="str">
        <f>IFERROR(__xludf.DUMMYFUNCTION("""COMPUTED_VALUE"""),"medical")</f>
        <v>medical</v>
      </c>
      <c r="AK2949" s="49"/>
      <c r="AL2949" s="49"/>
      <c r="AM2949" s="49"/>
      <c r="AN2949" s="52" t="str">
        <f t="shared" si="5"/>
        <v>spending,</v>
      </c>
      <c r="AP2949" s="49"/>
      <c r="AQ2949" s="49"/>
      <c r="AR2949" s="49"/>
      <c r="AS2949" s="49"/>
      <c r="AT2949" s="49"/>
    </row>
    <row r="2950">
      <c r="A2950" s="51"/>
      <c r="B2950" s="50" t="s">
        <v>4459</v>
      </c>
      <c r="C2950" s="50" t="s">
        <v>5195</v>
      </c>
      <c r="D2950" s="49" t="str">
        <f>IFERROR(__xludf.DUMMYFUNCTION("""COMPUTED_VALUE"""),"talks")</f>
        <v>talks</v>
      </c>
      <c r="E2950" s="49"/>
      <c r="F2950" s="49"/>
      <c r="G2950" s="49"/>
      <c r="H2950" s="54" t="str">
        <f t="shared" si="1"/>
        <v>eager,</v>
      </c>
      <c r="I2950" s="50"/>
      <c r="J2950" s="50"/>
      <c r="K2950" s="50" t="s">
        <v>4539</v>
      </c>
      <c r="L2950" s="49"/>
      <c r="M2950" s="49"/>
      <c r="N2950" s="49"/>
      <c r="O2950" s="49"/>
      <c r="P2950" s="49" t="str">
        <f t="shared" si="2"/>
        <v>,</v>
      </c>
      <c r="Q2950" s="49"/>
      <c r="R2950" s="49"/>
      <c r="S2950" s="55" t="s">
        <v>4440</v>
      </c>
      <c r="T2950" s="49"/>
      <c r="U2950" s="49"/>
      <c r="V2950" s="49"/>
      <c r="W2950" s="49"/>
      <c r="X2950" s="49" t="str">
        <f t="shared" si="3"/>
        <v>,</v>
      </c>
      <c r="Y2950" s="49"/>
      <c r="Z2950" s="49"/>
      <c r="AB2950" s="49"/>
      <c r="AC2950" s="49"/>
      <c r="AD2950" s="49"/>
      <c r="AE2950" s="49"/>
      <c r="AF2950" s="49"/>
      <c r="AG2950" s="49"/>
      <c r="AH2950" s="1" t="s">
        <v>7042</v>
      </c>
      <c r="AI2950" s="1" t="s">
        <v>1556</v>
      </c>
      <c r="AJ2950" s="6" t="str">
        <f>IFERROR(__xludf.DUMMYFUNCTION("""COMPUTED_VALUE"""),"laid")</f>
        <v>laid</v>
      </c>
      <c r="AK2950" s="49"/>
      <c r="AL2950" s="49"/>
      <c r="AM2950" s="49"/>
      <c r="AN2950" s="52" t="str">
        <f t="shared" si="5"/>
        <v>height,</v>
      </c>
      <c r="AP2950" s="49"/>
      <c r="AQ2950" s="49"/>
      <c r="AR2950" s="49"/>
      <c r="AS2950" s="49"/>
      <c r="AT2950" s="49"/>
    </row>
    <row r="2951">
      <c r="A2951" s="51"/>
      <c r="B2951" s="50" t="s">
        <v>4651</v>
      </c>
      <c r="C2951" s="50" t="s">
        <v>3553</v>
      </c>
      <c r="D2951" s="49" t="str">
        <f>IFERROR(__xludf.DUMMYFUNCTION("""COMPUTED_VALUE"""),"elderly")</f>
        <v>elderly</v>
      </c>
      <c r="E2951" s="49"/>
      <c r="F2951" s="49"/>
      <c r="G2951" s="49"/>
      <c r="H2951" s="54" t="str">
        <f t="shared" si="1"/>
        <v>properly,</v>
      </c>
      <c r="I2951" s="50"/>
      <c r="J2951" s="50"/>
      <c r="K2951" s="50" t="s">
        <v>4540</v>
      </c>
      <c r="L2951" s="49"/>
      <c r="M2951" s="49"/>
      <c r="N2951" s="49"/>
      <c r="O2951" s="49"/>
      <c r="P2951" s="49" t="str">
        <f t="shared" si="2"/>
        <v>,</v>
      </c>
      <c r="Q2951" s="49"/>
      <c r="R2951" s="49"/>
      <c r="S2951" s="55" t="s">
        <v>4442</v>
      </c>
      <c r="T2951" s="49"/>
      <c r="U2951" s="49"/>
      <c r="V2951" s="49"/>
      <c r="W2951" s="49"/>
      <c r="X2951" s="49" t="str">
        <f t="shared" si="3"/>
        <v>,</v>
      </c>
      <c r="Y2951" s="49"/>
      <c r="Z2951" s="49"/>
      <c r="AB2951" s="49"/>
      <c r="AC2951" s="49"/>
      <c r="AD2951" s="49"/>
      <c r="AE2951" s="49"/>
      <c r="AF2951" s="49"/>
      <c r="AG2951" s="49"/>
      <c r="AH2951" s="1" t="s">
        <v>750</v>
      </c>
      <c r="AI2951" s="1" t="s">
        <v>3704</v>
      </c>
      <c r="AJ2951" s="6" t="str">
        <f>IFERROR(__xludf.DUMMYFUNCTION("""COMPUTED_VALUE"""),"siege")</f>
        <v>siege</v>
      </c>
      <c r="AK2951" s="49"/>
      <c r="AL2951" s="49"/>
      <c r="AM2951" s="49"/>
      <c r="AN2951" s="52" t="str">
        <f t="shared" si="5"/>
        <v>fictional,</v>
      </c>
      <c r="AP2951" s="49"/>
      <c r="AQ2951" s="49"/>
      <c r="AR2951" s="49"/>
      <c r="AS2951" s="49"/>
      <c r="AT2951" s="49"/>
    </row>
    <row r="2952">
      <c r="A2952" s="51"/>
      <c r="B2952" s="50" t="s">
        <v>6996</v>
      </c>
      <c r="C2952" s="50" t="s">
        <v>3557</v>
      </c>
      <c r="D2952" s="49" t="str">
        <f>IFERROR(__xludf.DUMMYFUNCTION("""COMPUTED_VALUE"""),"stone")</f>
        <v>stone</v>
      </c>
      <c r="E2952" s="49"/>
      <c r="F2952" s="49"/>
      <c r="G2952" s="49"/>
      <c r="H2952" s="54" t="str">
        <f t="shared" si="1"/>
        <v>ruins,</v>
      </c>
      <c r="I2952" s="50"/>
      <c r="J2952" s="50"/>
      <c r="K2952" s="50" t="s">
        <v>4542</v>
      </c>
      <c r="L2952" s="49"/>
      <c r="M2952" s="49"/>
      <c r="N2952" s="49"/>
      <c r="O2952" s="49"/>
      <c r="P2952" s="49" t="str">
        <f t="shared" si="2"/>
        <v>,</v>
      </c>
      <c r="Q2952" s="49"/>
      <c r="R2952" s="49"/>
      <c r="S2952" s="55" t="s">
        <v>3714</v>
      </c>
      <c r="T2952" s="49"/>
      <c r="U2952" s="49"/>
      <c r="V2952" s="49"/>
      <c r="W2952" s="49"/>
      <c r="X2952" s="49" t="str">
        <f t="shared" si="3"/>
        <v>,</v>
      </c>
      <c r="Y2952" s="49"/>
      <c r="Z2952" s="49"/>
      <c r="AB2952" s="49"/>
      <c r="AC2952" s="49"/>
      <c r="AD2952" s="49"/>
      <c r="AE2952" s="49"/>
      <c r="AF2952" s="49"/>
      <c r="AG2952" s="49"/>
      <c r="AH2952" s="1" t="s">
        <v>4243</v>
      </c>
      <c r="AI2952" s="1" t="s">
        <v>4580</v>
      </c>
      <c r="AJ2952" s="6">
        <f>IFERROR(__xludf.DUMMYFUNCTION("""COMPUTED_VALUE"""),1957.0)</f>
        <v>1957</v>
      </c>
      <c r="AK2952" s="49"/>
      <c r="AL2952" s="49"/>
      <c r="AM2952" s="49"/>
      <c r="AN2952" s="52" t="str">
        <f t="shared" si="5"/>
        <v>insurance,</v>
      </c>
      <c r="AP2952" s="49"/>
      <c r="AQ2952" s="49"/>
      <c r="AR2952" s="49"/>
      <c r="AS2952" s="49"/>
      <c r="AT2952" s="49"/>
    </row>
    <row r="2953">
      <c r="A2953" s="51"/>
      <c r="B2953" s="50" t="s">
        <v>7487</v>
      </c>
      <c r="C2953" s="50" t="s">
        <v>4216</v>
      </c>
      <c r="D2953" s="49" t="str">
        <f>IFERROR(__xludf.DUMMYFUNCTION("""COMPUTED_VALUE"""),"couples")</f>
        <v>couples</v>
      </c>
      <c r="E2953" s="49"/>
      <c r="F2953" s="49"/>
      <c r="G2953" s="49"/>
      <c r="H2953" s="54" t="str">
        <f t="shared" si="1"/>
        <v>button,</v>
      </c>
      <c r="I2953" s="50"/>
      <c r="J2953" s="50"/>
      <c r="K2953" s="50" t="s">
        <v>2739</v>
      </c>
      <c r="L2953" s="49"/>
      <c r="M2953" s="49"/>
      <c r="N2953" s="49"/>
      <c r="O2953" s="49"/>
      <c r="P2953" s="49" t="str">
        <f t="shared" si="2"/>
        <v>,</v>
      </c>
      <c r="Q2953" s="49"/>
      <c r="R2953" s="49"/>
      <c r="S2953" s="55" t="s">
        <v>6895</v>
      </c>
      <c r="T2953" s="49"/>
      <c r="U2953" s="49"/>
      <c r="V2953" s="49"/>
      <c r="W2953" s="49"/>
      <c r="X2953" s="49" t="str">
        <f t="shared" si="3"/>
        <v>,</v>
      </c>
      <c r="Y2953" s="49"/>
      <c r="Z2953" s="49"/>
      <c r="AB2953" s="49"/>
      <c r="AC2953" s="49"/>
      <c r="AD2953" s="49"/>
      <c r="AE2953" s="49"/>
      <c r="AF2953" s="49"/>
      <c r="AG2953" s="49"/>
      <c r="AH2953" s="1" t="s">
        <v>5022</v>
      </c>
      <c r="AI2953" s="1" t="s">
        <v>3756</v>
      </c>
      <c r="AJ2953" s="6" t="str">
        <f>IFERROR(__xludf.DUMMYFUNCTION("""COMPUTED_VALUE"""),"guitar")</f>
        <v>guitar</v>
      </c>
      <c r="AK2953" s="49"/>
      <c r="AL2953" s="49"/>
      <c r="AM2953" s="49"/>
      <c r="AN2953" s="52" t="str">
        <f t="shared" si="5"/>
        <v>divided,</v>
      </c>
      <c r="AP2953" s="49"/>
      <c r="AQ2953" s="49"/>
      <c r="AR2953" s="49"/>
      <c r="AS2953" s="49"/>
      <c r="AT2953" s="49"/>
    </row>
    <row r="2954">
      <c r="A2954" s="51"/>
      <c r="B2954" s="50" t="s">
        <v>7440</v>
      </c>
      <c r="C2954" s="50" t="s">
        <v>5197</v>
      </c>
      <c r="D2954" s="49" t="str">
        <f>IFERROR(__xludf.DUMMYFUNCTION("""COMPUTED_VALUE"""),"golden")</f>
        <v>golden</v>
      </c>
      <c r="E2954" s="49"/>
      <c r="F2954" s="49"/>
      <c r="G2954" s="49"/>
      <c r="H2954" s="54" t="str">
        <f t="shared" si="1"/>
        <v>non,</v>
      </c>
      <c r="I2954" s="50"/>
      <c r="J2954" s="50"/>
      <c r="K2954" s="50" t="s">
        <v>4105</v>
      </c>
      <c r="L2954" s="49"/>
      <c r="M2954" s="49"/>
      <c r="N2954" s="49"/>
      <c r="O2954" s="49"/>
      <c r="P2954" s="49" t="str">
        <f t="shared" si="2"/>
        <v>,</v>
      </c>
      <c r="Q2954" s="49"/>
      <c r="R2954" s="49"/>
      <c r="S2954" s="55" t="s">
        <v>4443</v>
      </c>
      <c r="T2954" s="49"/>
      <c r="U2954" s="49"/>
      <c r="V2954" s="49"/>
      <c r="W2954" s="49"/>
      <c r="X2954" s="49" t="str">
        <f t="shared" si="3"/>
        <v>,</v>
      </c>
      <c r="Y2954" s="49"/>
      <c r="Z2954" s="49"/>
      <c r="AB2954" s="49"/>
      <c r="AC2954" s="49"/>
      <c r="AD2954" s="49"/>
      <c r="AE2954" s="49"/>
      <c r="AF2954" s="49"/>
      <c r="AG2954" s="49"/>
      <c r="AH2954" s="1" t="s">
        <v>3123</v>
      </c>
      <c r="AI2954" s="1" t="s">
        <v>5517</v>
      </c>
      <c r="AJ2954" s="6" t="str">
        <f>IFERROR(__xludf.DUMMYFUNCTION("""COMPUTED_VALUE"""),"beer")</f>
        <v>beer</v>
      </c>
      <c r="AK2954" s="49"/>
      <c r="AL2954" s="49"/>
      <c r="AM2954" s="49"/>
      <c r="AN2954" s="52" t="str">
        <f t="shared" si="5"/>
        <v>conflict,</v>
      </c>
      <c r="AP2954" s="49"/>
      <c r="AQ2954" s="49"/>
      <c r="AR2954" s="49"/>
      <c r="AS2954" s="49"/>
      <c r="AT2954" s="49"/>
    </row>
    <row r="2955">
      <c r="A2955" s="51"/>
      <c r="B2955" s="50" t="s">
        <v>6903</v>
      </c>
      <c r="C2955" s="50" t="s">
        <v>3559</v>
      </c>
      <c r="D2955" s="49" t="str">
        <f>IFERROR(__xludf.DUMMYFUNCTION("""COMPUTED_VALUE"""),"california")</f>
        <v>california</v>
      </c>
      <c r="E2955" s="49"/>
      <c r="F2955" s="49"/>
      <c r="G2955" s="49"/>
      <c r="H2955" s="54" t="str">
        <f t="shared" si="1"/>
        <v>join,</v>
      </c>
      <c r="I2955" s="50"/>
      <c r="J2955" s="50"/>
      <c r="K2955" s="50" t="s">
        <v>5495</v>
      </c>
      <c r="L2955" s="49"/>
      <c r="M2955" s="49"/>
      <c r="N2955" s="49"/>
      <c r="O2955" s="49"/>
      <c r="P2955" s="49" t="str">
        <f t="shared" si="2"/>
        <v>,</v>
      </c>
      <c r="Q2955" s="49"/>
      <c r="R2955" s="49"/>
      <c r="S2955" s="55" t="s">
        <v>4446</v>
      </c>
      <c r="T2955" s="49"/>
      <c r="U2955" s="49"/>
      <c r="V2955" s="49"/>
      <c r="W2955" s="49"/>
      <c r="X2955" s="49" t="str">
        <f t="shared" si="3"/>
        <v>,</v>
      </c>
      <c r="Y2955" s="49"/>
      <c r="Z2955" s="49"/>
      <c r="AB2955" s="49"/>
      <c r="AC2955" s="49"/>
      <c r="AD2955" s="49"/>
      <c r="AE2955" s="49"/>
      <c r="AF2955" s="49"/>
      <c r="AG2955" s="49"/>
      <c r="AH2955" s="1" t="s">
        <v>7662</v>
      </c>
      <c r="AI2955" s="1" t="s">
        <v>6896</v>
      </c>
      <c r="AJ2955" s="6" t="str">
        <f>IFERROR(__xludf.DUMMYFUNCTION("""COMPUTED_VALUE"""),"represent")</f>
        <v>represent</v>
      </c>
      <c r="AK2955" s="49"/>
      <c r="AL2955" s="49"/>
      <c r="AM2955" s="49"/>
      <c r="AN2955" s="52" t="str">
        <f t="shared" si="5"/>
        <v>annual,</v>
      </c>
      <c r="AP2955" s="49"/>
      <c r="AQ2955" s="49"/>
      <c r="AR2955" s="49"/>
      <c r="AS2955" s="49"/>
      <c r="AT2955" s="49"/>
    </row>
    <row r="2956">
      <c r="A2956" s="51"/>
      <c r="B2956" s="50" t="s">
        <v>6850</v>
      </c>
      <c r="C2956" s="50" t="s">
        <v>4181</v>
      </c>
      <c r="D2956" s="49" t="str">
        <f>IFERROR(__xludf.DUMMYFUNCTION("""COMPUTED_VALUE"""),"tail")</f>
        <v>tail</v>
      </c>
      <c r="E2956" s="49"/>
      <c r="F2956" s="49"/>
      <c r="G2956" s="49"/>
      <c r="H2956" s="54" t="str">
        <f t="shared" si="1"/>
        <v>rapidly,</v>
      </c>
      <c r="I2956" s="50"/>
      <c r="J2956" s="50"/>
      <c r="K2956" s="50" t="s">
        <v>2742</v>
      </c>
      <c r="L2956" s="49"/>
      <c r="M2956" s="49"/>
      <c r="N2956" s="49"/>
      <c r="O2956" s="49"/>
      <c r="P2956" s="49" t="str">
        <f t="shared" si="2"/>
        <v>,</v>
      </c>
      <c r="Q2956" s="49"/>
      <c r="R2956" s="49"/>
      <c r="S2956" s="55" t="s">
        <v>2613</v>
      </c>
      <c r="T2956" s="49"/>
      <c r="U2956" s="49"/>
      <c r="V2956" s="49"/>
      <c r="W2956" s="49"/>
      <c r="X2956" s="49" t="str">
        <f t="shared" si="3"/>
        <v>,</v>
      </c>
      <c r="Y2956" s="49"/>
      <c r="Z2956" s="49"/>
      <c r="AB2956" s="49"/>
      <c r="AC2956" s="49"/>
      <c r="AD2956" s="49"/>
      <c r="AE2956" s="49"/>
      <c r="AF2956" s="49"/>
      <c r="AG2956" s="49"/>
      <c r="AH2956" s="1" t="s">
        <v>2355</v>
      </c>
      <c r="AI2956" s="1" t="s">
        <v>5522</v>
      </c>
      <c r="AJ2956" s="6" t="str">
        <f>IFERROR(__xludf.DUMMYFUNCTION("""COMPUTED_VALUE"""),"belgium")</f>
        <v>belgium</v>
      </c>
      <c r="AK2956" s="49"/>
      <c r="AL2956" s="49"/>
      <c r="AM2956" s="49"/>
      <c r="AN2956" s="52" t="str">
        <f t="shared" si="5"/>
        <v>pat,</v>
      </c>
      <c r="AP2956" s="49"/>
      <c r="AQ2956" s="49"/>
      <c r="AR2956" s="49"/>
      <c r="AS2956" s="49"/>
      <c r="AT2956" s="49"/>
    </row>
    <row r="2957">
      <c r="A2957" s="51"/>
      <c r="B2957" s="50" t="s">
        <v>5223</v>
      </c>
      <c r="C2957" s="50" t="s">
        <v>983</v>
      </c>
      <c r="D2957" s="49" t="str">
        <f>IFERROR(__xludf.DUMMYFUNCTION("""COMPUTED_VALUE"""),"3d")</f>
        <v>3d</v>
      </c>
      <c r="E2957" s="49"/>
      <c r="F2957" s="49"/>
      <c r="G2957" s="49"/>
      <c r="H2957" s="54" t="str">
        <f t="shared" si="1"/>
        <v>pitched,</v>
      </c>
      <c r="I2957" s="50"/>
      <c r="J2957" s="50"/>
      <c r="K2957" s="50" t="s">
        <v>5496</v>
      </c>
      <c r="L2957" s="49"/>
      <c r="M2957" s="49"/>
      <c r="N2957" s="49"/>
      <c r="O2957" s="49"/>
      <c r="P2957" s="49" t="str">
        <f t="shared" si="2"/>
        <v>,</v>
      </c>
      <c r="Q2957" s="49"/>
      <c r="R2957" s="49"/>
      <c r="S2957" s="55" t="s">
        <v>2293</v>
      </c>
      <c r="T2957" s="49"/>
      <c r="U2957" s="49"/>
      <c r="V2957" s="49"/>
      <c r="W2957" s="49"/>
      <c r="X2957" s="49" t="str">
        <f t="shared" si="3"/>
        <v>,</v>
      </c>
      <c r="Y2957" s="49"/>
      <c r="Z2957" s="49"/>
      <c r="AB2957" s="49"/>
      <c r="AC2957" s="49"/>
      <c r="AD2957" s="49"/>
      <c r="AE2957" s="49"/>
      <c r="AF2957" s="49"/>
      <c r="AG2957" s="49"/>
      <c r="AH2957" s="1" t="s">
        <v>5205</v>
      </c>
      <c r="AI2957" s="1" t="s">
        <v>3945</v>
      </c>
      <c r="AJ2957" s="6" t="str">
        <f>IFERROR(__xludf.DUMMYFUNCTION("""COMPUTED_VALUE"""),"increase")</f>
        <v>increase</v>
      </c>
      <c r="AK2957" s="49"/>
      <c r="AL2957" s="49"/>
      <c r="AM2957" s="49"/>
      <c r="AN2957" s="52" t="str">
        <f t="shared" si="5"/>
        <v>functions,</v>
      </c>
      <c r="AP2957" s="49"/>
      <c r="AQ2957" s="49"/>
      <c r="AR2957" s="49"/>
      <c r="AS2957" s="49"/>
      <c r="AT2957" s="49"/>
    </row>
    <row r="2958">
      <c r="A2958" s="51"/>
      <c r="B2958" s="50" t="s">
        <v>2838</v>
      </c>
      <c r="C2958" s="50" t="s">
        <v>5044</v>
      </c>
      <c r="D2958" s="49" t="str">
        <f>IFERROR(__xludf.DUMMYFUNCTION("""COMPUTED_VALUE"""),"award")</f>
        <v>award</v>
      </c>
      <c r="E2958" s="49"/>
      <c r="F2958" s="49"/>
      <c r="G2958" s="49"/>
      <c r="H2958" s="54" t="str">
        <f t="shared" si="1"/>
        <v>relative,</v>
      </c>
      <c r="I2958" s="50"/>
      <c r="J2958" s="50"/>
      <c r="K2958" s="50" t="s">
        <v>4545</v>
      </c>
      <c r="L2958" s="49"/>
      <c r="M2958" s="49"/>
      <c r="N2958" s="49"/>
      <c r="O2958" s="49"/>
      <c r="P2958" s="49" t="str">
        <f t="shared" si="2"/>
        <v>,</v>
      </c>
      <c r="Q2958" s="49"/>
      <c r="R2958" s="49"/>
      <c r="S2958" s="55" t="s">
        <v>2617</v>
      </c>
      <c r="T2958" s="49"/>
      <c r="U2958" s="49"/>
      <c r="V2958" s="49"/>
      <c r="W2958" s="49"/>
      <c r="X2958" s="49" t="str">
        <f t="shared" si="3"/>
        <v>,</v>
      </c>
      <c r="Y2958" s="49"/>
      <c r="Z2958" s="49"/>
      <c r="AB2958" s="49"/>
      <c r="AC2958" s="49"/>
      <c r="AD2958" s="49"/>
      <c r="AE2958" s="49"/>
      <c r="AF2958" s="49"/>
      <c r="AG2958" s="49"/>
      <c r="AH2958" s="1" t="s">
        <v>6697</v>
      </c>
      <c r="AI2958" s="1" t="s">
        <v>5482</v>
      </c>
      <c r="AJ2958" s="6" t="str">
        <f>IFERROR(__xludf.DUMMYFUNCTION("""COMPUTED_VALUE"""),"visible")</f>
        <v>visible</v>
      </c>
      <c r="AK2958" s="49"/>
      <c r="AL2958" s="49"/>
      <c r="AM2958" s="49"/>
      <c r="AN2958" s="52" t="str">
        <f t="shared" si="5"/>
        <v>bowl,</v>
      </c>
      <c r="AP2958" s="49"/>
      <c r="AQ2958" s="49"/>
      <c r="AR2958" s="49"/>
      <c r="AS2958" s="49"/>
      <c r="AT2958" s="49"/>
    </row>
    <row r="2959">
      <c r="A2959" s="51"/>
      <c r="B2959" s="50" t="s">
        <v>1116</v>
      </c>
      <c r="C2959" s="50" t="s">
        <v>6796</v>
      </c>
      <c r="D2959" s="49" t="str">
        <f>IFERROR(__xludf.DUMMYFUNCTION("""COMPUTED_VALUE"""),"appearing")</f>
        <v>appearing</v>
      </c>
      <c r="E2959" s="49"/>
      <c r="F2959" s="49"/>
      <c r="G2959" s="49"/>
      <c r="H2959" s="54" t="str">
        <f t="shared" si="1"/>
        <v>history,</v>
      </c>
      <c r="I2959" s="50"/>
      <c r="J2959" s="50"/>
      <c r="K2959" s="50" t="s">
        <v>5002</v>
      </c>
      <c r="L2959" s="49"/>
      <c r="M2959" s="49"/>
      <c r="N2959" s="49"/>
      <c r="O2959" s="49"/>
      <c r="P2959" s="49" t="str">
        <f t="shared" si="2"/>
        <v>,</v>
      </c>
      <c r="Q2959" s="49"/>
      <c r="R2959" s="49"/>
      <c r="S2959" s="55" t="s">
        <v>5903</v>
      </c>
      <c r="T2959" s="49"/>
      <c r="U2959" s="49"/>
      <c r="V2959" s="49"/>
      <c r="W2959" s="49"/>
      <c r="X2959" s="49" t="str">
        <f t="shared" si="3"/>
        <v>,</v>
      </c>
      <c r="Y2959" s="49"/>
      <c r="Z2959" s="49"/>
      <c r="AB2959" s="49"/>
      <c r="AC2959" s="49"/>
      <c r="AD2959" s="49"/>
      <c r="AE2959" s="49"/>
      <c r="AF2959" s="49"/>
      <c r="AG2959" s="49"/>
      <c r="AH2959" s="1" t="s">
        <v>5275</v>
      </c>
      <c r="AI2959" s="1" t="s">
        <v>1365</v>
      </c>
      <c r="AJ2959" s="6" t="str">
        <f>IFERROR(__xludf.DUMMYFUNCTION("""COMPUTED_VALUE"""),"shore")</f>
        <v>shore</v>
      </c>
      <c r="AK2959" s="49"/>
      <c r="AL2959" s="49"/>
      <c r="AM2959" s="49"/>
      <c r="AN2959" s="52" t="str">
        <f t="shared" si="5"/>
        <v>suggests,</v>
      </c>
      <c r="AP2959" s="49"/>
      <c r="AQ2959" s="49"/>
      <c r="AR2959" s="49"/>
      <c r="AS2959" s="49"/>
      <c r="AT2959" s="49"/>
    </row>
    <row r="2960">
      <c r="A2960" s="51"/>
      <c r="B2960" s="50" t="s">
        <v>4421</v>
      </c>
      <c r="C2960" s="50" t="s">
        <v>5202</v>
      </c>
      <c r="D2960" s="49" t="str">
        <f>IFERROR(__xludf.DUMMYFUNCTION("""COMPUTED_VALUE"""),"president")</f>
        <v>president</v>
      </c>
      <c r="E2960" s="49"/>
      <c r="F2960" s="49"/>
      <c r="G2960" s="49"/>
      <c r="H2960" s="54" t="str">
        <f t="shared" si="1"/>
        <v>picked,</v>
      </c>
      <c r="I2960" s="50"/>
      <c r="J2960" s="50"/>
      <c r="K2960" s="50" t="s">
        <v>5960</v>
      </c>
      <c r="L2960" s="49"/>
      <c r="M2960" s="49"/>
      <c r="N2960" s="49"/>
      <c r="O2960" s="49"/>
      <c r="P2960" s="49" t="str">
        <f t="shared" si="2"/>
        <v>,</v>
      </c>
      <c r="Q2960" s="49"/>
      <c r="R2960" s="49"/>
      <c r="S2960" s="55" t="s">
        <v>2619</v>
      </c>
      <c r="T2960" s="49"/>
      <c r="U2960" s="49"/>
      <c r="V2960" s="49"/>
      <c r="W2960" s="49"/>
      <c r="X2960" s="49" t="str">
        <f t="shared" si="3"/>
        <v>,</v>
      </c>
      <c r="Y2960" s="49"/>
      <c r="Z2960" s="49"/>
      <c r="AB2960" s="49"/>
      <c r="AC2960" s="49"/>
      <c r="AD2960" s="49"/>
      <c r="AE2960" s="49"/>
      <c r="AF2960" s="49"/>
      <c r="AG2960" s="49"/>
      <c r="AH2960" s="1" t="s">
        <v>5336</v>
      </c>
      <c r="AI2960" s="1" t="s">
        <v>3872</v>
      </c>
      <c r="AJ2960" s="6" t="str">
        <f>IFERROR(__xludf.DUMMYFUNCTION("""COMPUTED_VALUE"""),"inspiration")</f>
        <v>inspiration</v>
      </c>
      <c r="AK2960" s="49"/>
      <c r="AL2960" s="49"/>
      <c r="AM2960" s="49"/>
      <c r="AN2960" s="52" t="str">
        <f t="shared" si="5"/>
        <v>roman,</v>
      </c>
      <c r="AP2960" s="49"/>
      <c r="AQ2960" s="49"/>
      <c r="AR2960" s="49"/>
      <c r="AS2960" s="49"/>
      <c r="AT2960" s="49"/>
    </row>
    <row r="2961">
      <c r="A2961" s="51"/>
      <c r="B2961" s="50" t="s">
        <v>5126</v>
      </c>
      <c r="C2961" s="50" t="s">
        <v>5644</v>
      </c>
      <c r="D2961" s="49" t="str">
        <f>IFERROR(__xludf.DUMMYFUNCTION("""COMPUTED_VALUE"""),"struck")</f>
        <v>struck</v>
      </c>
      <c r="E2961" s="49"/>
      <c r="F2961" s="49"/>
      <c r="G2961" s="49"/>
      <c r="H2961" s="54" t="str">
        <f t="shared" si="1"/>
        <v>sword,</v>
      </c>
      <c r="I2961" s="50"/>
      <c r="J2961" s="50"/>
      <c r="K2961" s="50" t="s">
        <v>5961</v>
      </c>
      <c r="L2961" s="49"/>
      <c r="M2961" s="49"/>
      <c r="N2961" s="49"/>
      <c r="O2961" s="49"/>
      <c r="P2961" s="49" t="str">
        <f t="shared" si="2"/>
        <v>,</v>
      </c>
      <c r="Q2961" s="49"/>
      <c r="R2961" s="49"/>
      <c r="S2961" s="55" t="s">
        <v>4452</v>
      </c>
      <c r="T2961" s="49"/>
      <c r="U2961" s="49"/>
      <c r="V2961" s="49"/>
      <c r="W2961" s="49"/>
      <c r="X2961" s="49" t="str">
        <f t="shared" si="3"/>
        <v>,</v>
      </c>
      <c r="Y2961" s="49"/>
      <c r="Z2961" s="49"/>
      <c r="AB2961" s="49"/>
      <c r="AC2961" s="49"/>
      <c r="AD2961" s="49"/>
      <c r="AE2961" s="49"/>
      <c r="AF2961" s="49"/>
      <c r="AG2961" s="49"/>
      <c r="AH2961" s="1" t="s">
        <v>3514</v>
      </c>
      <c r="AI2961" s="1" t="s">
        <v>3286</v>
      </c>
      <c r="AJ2961" s="6" t="str">
        <f>IFERROR(__xludf.DUMMYFUNCTION("""COMPUTED_VALUE"""),"teeth")</f>
        <v>teeth</v>
      </c>
      <c r="AK2961" s="49"/>
      <c r="AL2961" s="49"/>
      <c r="AM2961" s="49"/>
      <c r="AN2961" s="52" t="str">
        <f t="shared" si="5"/>
        <v>harris,</v>
      </c>
      <c r="AP2961" s="49"/>
      <c r="AQ2961" s="49"/>
      <c r="AR2961" s="49"/>
      <c r="AS2961" s="49"/>
      <c r="AT2961" s="49"/>
    </row>
    <row r="2962">
      <c r="A2962" s="51"/>
      <c r="B2962" s="50" t="s">
        <v>5903</v>
      </c>
      <c r="C2962" s="50" t="s">
        <v>6797</v>
      </c>
      <c r="D2962" s="49" t="str">
        <f>IFERROR(__xludf.DUMMYFUNCTION("""COMPUTED_VALUE"""),"economic")</f>
        <v>economic</v>
      </c>
      <c r="E2962" s="49"/>
      <c r="F2962" s="49"/>
      <c r="G2962" s="49"/>
      <c r="H2962" s="54" t="str">
        <f t="shared" si="1"/>
        <v>pre,</v>
      </c>
      <c r="I2962" s="50"/>
      <c r="J2962" s="50"/>
      <c r="K2962" s="50" t="s">
        <v>5500</v>
      </c>
      <c r="L2962" s="49"/>
      <c r="M2962" s="49"/>
      <c r="N2962" s="49"/>
      <c r="O2962" s="49"/>
      <c r="P2962" s="49" t="str">
        <f t="shared" si="2"/>
        <v>,</v>
      </c>
      <c r="Q2962" s="49"/>
      <c r="R2962" s="49"/>
      <c r="S2962" s="55" t="s">
        <v>1479</v>
      </c>
      <c r="T2962" s="49"/>
      <c r="U2962" s="49"/>
      <c r="V2962" s="49"/>
      <c r="W2962" s="49"/>
      <c r="X2962" s="49" t="str">
        <f t="shared" si="3"/>
        <v>,</v>
      </c>
      <c r="Y2962" s="49"/>
      <c r="Z2962" s="49"/>
      <c r="AB2962" s="49"/>
      <c r="AC2962" s="49"/>
      <c r="AD2962" s="49"/>
      <c r="AE2962" s="49"/>
      <c r="AF2962" s="49"/>
      <c r="AG2962" s="49"/>
      <c r="AH2962" s="1" t="s">
        <v>5198</v>
      </c>
      <c r="AI2962" s="1" t="s">
        <v>5291</v>
      </c>
      <c r="AJ2962" s="6" t="str">
        <f>IFERROR(__xludf.DUMMYFUNCTION("""COMPUTED_VALUE"""),"portuguese")</f>
        <v>portuguese</v>
      </c>
      <c r="AK2962" s="49"/>
      <c r="AL2962" s="49"/>
      <c r="AM2962" s="49"/>
      <c r="AN2962" s="52" t="str">
        <f t="shared" si="5"/>
        <v>earn,</v>
      </c>
      <c r="AP2962" s="49"/>
      <c r="AQ2962" s="49"/>
      <c r="AR2962" s="49"/>
      <c r="AS2962" s="49"/>
      <c r="AT2962" s="49"/>
    </row>
    <row r="2963">
      <c r="A2963" s="51"/>
      <c r="B2963" s="50" t="s">
        <v>6303</v>
      </c>
      <c r="C2963" s="50" t="s">
        <v>6819</v>
      </c>
      <c r="D2963" s="49" t="str">
        <f>IFERROR(__xludf.DUMMYFUNCTION("""COMPUTED_VALUE"""),"cared")</f>
        <v>cared</v>
      </c>
      <c r="E2963" s="49"/>
      <c r="F2963" s="49"/>
      <c r="G2963" s="49"/>
      <c r="H2963" s="54" t="str">
        <f t="shared" si="1"/>
        <v>answers,</v>
      </c>
      <c r="I2963" s="50"/>
      <c r="J2963" s="50"/>
      <c r="K2963" s="50" t="s">
        <v>4547</v>
      </c>
      <c r="L2963" s="49"/>
      <c r="M2963" s="49"/>
      <c r="N2963" s="49"/>
      <c r="O2963" s="49"/>
      <c r="P2963" s="49" t="str">
        <f t="shared" si="2"/>
        <v>,</v>
      </c>
      <c r="Q2963" s="49"/>
      <c r="R2963" s="49"/>
      <c r="S2963" s="55" t="s">
        <v>3717</v>
      </c>
      <c r="T2963" s="49"/>
      <c r="U2963" s="49"/>
      <c r="V2963" s="49"/>
      <c r="W2963" s="49"/>
      <c r="X2963" s="49" t="str">
        <f t="shared" si="3"/>
        <v>,</v>
      </c>
      <c r="Y2963" s="49"/>
      <c r="Z2963" s="49"/>
      <c r="AB2963" s="49"/>
      <c r="AC2963" s="49"/>
      <c r="AD2963" s="49"/>
      <c r="AE2963" s="49"/>
      <c r="AF2963" s="49"/>
      <c r="AG2963" s="49"/>
      <c r="AH2963" s="1" t="s">
        <v>7072</v>
      </c>
      <c r="AI2963" s="1" t="s">
        <v>3771</v>
      </c>
      <c r="AJ2963" s="6" t="str">
        <f>IFERROR(__xludf.DUMMYFUNCTION("""COMPUTED_VALUE"""),"hundreds")</f>
        <v>hundreds</v>
      </c>
      <c r="AK2963" s="49"/>
      <c r="AL2963" s="49"/>
      <c r="AM2963" s="49"/>
      <c r="AN2963" s="52" t="str">
        <f t="shared" si="5"/>
        <v>walks,</v>
      </c>
      <c r="AP2963" s="49"/>
      <c r="AQ2963" s="49"/>
      <c r="AR2963" s="49"/>
      <c r="AS2963" s="49"/>
      <c r="AT2963" s="49"/>
    </row>
    <row r="2964">
      <c r="A2964" s="51"/>
      <c r="B2964" s="50" t="s">
        <v>3560</v>
      </c>
      <c r="C2964" s="50" t="s">
        <v>3565</v>
      </c>
      <c r="D2964" s="49" t="str">
        <f>IFERROR(__xludf.DUMMYFUNCTION("""COMPUTED_VALUE"""),"parker")</f>
        <v>parker</v>
      </c>
      <c r="E2964" s="49"/>
      <c r="F2964" s="49"/>
      <c r="G2964" s="49"/>
      <c r="H2964" s="54" t="str">
        <f t="shared" si="1"/>
        <v>skin,</v>
      </c>
      <c r="I2964" s="50"/>
      <c r="J2964" s="50"/>
      <c r="K2964" s="50" t="s">
        <v>4548</v>
      </c>
      <c r="L2964" s="49"/>
      <c r="M2964" s="49"/>
      <c r="N2964" s="49"/>
      <c r="O2964" s="49"/>
      <c r="P2964" s="49" t="str">
        <f t="shared" si="2"/>
        <v>,</v>
      </c>
      <c r="Q2964" s="49"/>
      <c r="R2964" s="49"/>
      <c r="S2964" s="55" t="s">
        <v>2627</v>
      </c>
      <c r="T2964" s="49"/>
      <c r="U2964" s="49"/>
      <c r="V2964" s="49"/>
      <c r="W2964" s="49"/>
      <c r="X2964" s="49" t="str">
        <f t="shared" si="3"/>
        <v>,</v>
      </c>
      <c r="Y2964" s="49"/>
      <c r="Z2964" s="49"/>
      <c r="AB2964" s="49"/>
      <c r="AC2964" s="49"/>
      <c r="AD2964" s="49"/>
      <c r="AE2964" s="49"/>
      <c r="AF2964" s="49"/>
      <c r="AG2964" s="49"/>
      <c r="AH2964" s="1" t="s">
        <v>6324</v>
      </c>
      <c r="AI2964" s="1" t="s">
        <v>6897</v>
      </c>
      <c r="AJ2964" s="6" t="str">
        <f>IFERROR(__xludf.DUMMYFUNCTION("""COMPUTED_VALUE"""),"lips")</f>
        <v>lips</v>
      </c>
      <c r="AK2964" s="49"/>
      <c r="AL2964" s="49"/>
      <c r="AM2964" s="49"/>
      <c r="AN2964" s="52" t="str">
        <f t="shared" si="5"/>
        <v>per,</v>
      </c>
      <c r="AP2964" s="49"/>
      <c r="AQ2964" s="49"/>
      <c r="AR2964" s="49"/>
      <c r="AS2964" s="49"/>
      <c r="AT2964" s="49"/>
    </row>
    <row r="2965">
      <c r="A2965" s="51"/>
      <c r="B2965" s="50" t="s">
        <v>1734</v>
      </c>
      <c r="C2965" s="50" t="s">
        <v>6798</v>
      </c>
      <c r="D2965" s="49" t="str">
        <f>IFERROR(__xludf.DUMMYFUNCTION("""COMPUTED_VALUE"""),"dr")</f>
        <v>dr</v>
      </c>
      <c r="E2965" s="49"/>
      <c r="F2965" s="49"/>
      <c r="G2965" s="49"/>
      <c r="H2965" s="54" t="str">
        <f t="shared" si="1"/>
        <v>share,</v>
      </c>
      <c r="I2965" s="50"/>
      <c r="J2965" s="50"/>
      <c r="K2965" s="50" t="s">
        <v>5962</v>
      </c>
      <c r="L2965" s="49"/>
      <c r="M2965" s="49"/>
      <c r="N2965" s="49"/>
      <c r="O2965" s="49"/>
      <c r="P2965" s="49" t="str">
        <f t="shared" si="2"/>
        <v>,</v>
      </c>
      <c r="Q2965" s="49"/>
      <c r="R2965" s="49"/>
      <c r="S2965" s="55" t="s">
        <v>5908</v>
      </c>
      <c r="T2965" s="49"/>
      <c r="U2965" s="49"/>
      <c r="V2965" s="49"/>
      <c r="W2965" s="49"/>
      <c r="X2965" s="49" t="str">
        <f t="shared" si="3"/>
        <v>,</v>
      </c>
      <c r="Y2965" s="49"/>
      <c r="Z2965" s="49"/>
      <c r="AB2965" s="49"/>
      <c r="AC2965" s="49"/>
      <c r="AD2965" s="49"/>
      <c r="AE2965" s="49"/>
      <c r="AF2965" s="49"/>
      <c r="AG2965" s="49"/>
      <c r="AH2965" s="1" t="s">
        <v>6339</v>
      </c>
      <c r="AI2965" s="1" t="s">
        <v>1373</v>
      </c>
      <c r="AJ2965" s="6" t="str">
        <f>IFERROR(__xludf.DUMMYFUNCTION("""COMPUTED_VALUE"""),"settled")</f>
        <v>settled</v>
      </c>
      <c r="AK2965" s="49"/>
      <c r="AL2965" s="49"/>
      <c r="AM2965" s="49"/>
      <c r="AN2965" s="52" t="str">
        <f t="shared" si="5"/>
        <v>smooth,</v>
      </c>
      <c r="AP2965" s="49"/>
      <c r="AQ2965" s="49"/>
      <c r="AR2965" s="49"/>
      <c r="AS2965" s="49"/>
      <c r="AT2965" s="49"/>
    </row>
    <row r="2966">
      <c r="A2966" s="51"/>
      <c r="B2966" s="50" t="s">
        <v>3217</v>
      </c>
      <c r="C2966" s="50" t="s">
        <v>5683</v>
      </c>
      <c r="D2966" s="49" t="str">
        <f>IFERROR(__xludf.DUMMYFUNCTION("""COMPUTED_VALUE"""),"couch")</f>
        <v>couch</v>
      </c>
      <c r="E2966" s="49"/>
      <c r="F2966" s="49"/>
      <c r="G2966" s="49"/>
      <c r="H2966" s="54" t="str">
        <f t="shared" si="1"/>
        <v>rooms,</v>
      </c>
      <c r="I2966" s="50"/>
      <c r="J2966" s="50"/>
      <c r="K2966" s="50" t="s">
        <v>4550</v>
      </c>
      <c r="L2966" s="49"/>
      <c r="M2966" s="49"/>
      <c r="N2966" s="49"/>
      <c r="O2966" s="49"/>
      <c r="P2966" s="49" t="str">
        <f t="shared" si="2"/>
        <v>,</v>
      </c>
      <c r="Q2966" s="49"/>
      <c r="R2966" s="49"/>
      <c r="S2966" s="55" t="s">
        <v>5642</v>
      </c>
      <c r="T2966" s="49"/>
      <c r="U2966" s="49"/>
      <c r="V2966" s="49"/>
      <c r="W2966" s="49"/>
      <c r="X2966" s="49" t="str">
        <f t="shared" si="3"/>
        <v>,</v>
      </c>
      <c r="Y2966" s="49"/>
      <c r="Z2966" s="49"/>
      <c r="AB2966" s="49"/>
      <c r="AC2966" s="49"/>
      <c r="AD2966" s="49"/>
      <c r="AE2966" s="49"/>
      <c r="AF2966" s="49"/>
      <c r="AG2966" s="49"/>
      <c r="AH2966" s="1" t="s">
        <v>5970</v>
      </c>
      <c r="AI2966" s="1" t="s">
        <v>1449</v>
      </c>
      <c r="AJ2966" s="6" t="str">
        <f>IFERROR(__xludf.DUMMYFUNCTION("""COMPUTED_VALUE"""),"online")</f>
        <v>online</v>
      </c>
      <c r="AK2966" s="49"/>
      <c r="AL2966" s="49"/>
      <c r="AM2966" s="49"/>
      <c r="AN2966" s="52" t="str">
        <f t="shared" si="5"/>
        <v>drum,</v>
      </c>
      <c r="AP2966" s="49"/>
      <c r="AQ2966" s="49"/>
      <c r="AR2966" s="49"/>
      <c r="AS2966" s="49"/>
      <c r="AT2966" s="49"/>
    </row>
    <row r="2967">
      <c r="A2967" s="51"/>
      <c r="B2967" s="50" t="s">
        <v>819</v>
      </c>
      <c r="C2967" s="50" t="s">
        <v>5204</v>
      </c>
      <c r="D2967" s="49" t="str">
        <f>IFERROR(__xludf.DUMMYFUNCTION("""COMPUTED_VALUE"""),"strategy")</f>
        <v>strategy</v>
      </c>
      <c r="E2967" s="49"/>
      <c r="F2967" s="49"/>
      <c r="G2967" s="49"/>
      <c r="H2967" s="54" t="str">
        <f t="shared" si="1"/>
        <v>territory,</v>
      </c>
      <c r="I2967" s="50"/>
      <c r="J2967" s="50"/>
      <c r="K2967" s="50" t="s">
        <v>4553</v>
      </c>
      <c r="L2967" s="49"/>
      <c r="M2967" s="49"/>
      <c r="N2967" s="49"/>
      <c r="O2967" s="49"/>
      <c r="P2967" s="49" t="str">
        <f t="shared" si="2"/>
        <v>,</v>
      </c>
      <c r="Q2967" s="49"/>
      <c r="R2967" s="49"/>
      <c r="S2967" s="55" t="s">
        <v>5430</v>
      </c>
      <c r="T2967" s="49"/>
      <c r="U2967" s="49"/>
      <c r="V2967" s="49"/>
      <c r="W2967" s="49"/>
      <c r="X2967" s="49" t="str">
        <f t="shared" si="3"/>
        <v>,</v>
      </c>
      <c r="Y2967" s="49"/>
      <c r="Z2967" s="49"/>
      <c r="AB2967" s="49"/>
      <c r="AC2967" s="49"/>
      <c r="AD2967" s="49"/>
      <c r="AE2967" s="49"/>
      <c r="AF2967" s="49"/>
      <c r="AG2967" s="49"/>
      <c r="AH2967" s="1" t="s">
        <v>5901</v>
      </c>
      <c r="AI2967" s="1" t="s">
        <v>4804</v>
      </c>
      <c r="AJ2967" s="6" t="str">
        <f>IFERROR(__xludf.DUMMYFUNCTION("""COMPUTED_VALUE"""),"deeply")</f>
        <v>deeply</v>
      </c>
      <c r="AK2967" s="49"/>
      <c r="AL2967" s="49"/>
      <c r="AM2967" s="49"/>
      <c r="AN2967" s="52" t="str">
        <f t="shared" si="5"/>
        <v>assets,</v>
      </c>
      <c r="AP2967" s="49"/>
      <c r="AQ2967" s="49"/>
      <c r="AR2967" s="49"/>
      <c r="AS2967" s="49"/>
      <c r="AT2967" s="49"/>
    </row>
    <row r="2968">
      <c r="A2968" s="51"/>
      <c r="B2968" s="50" t="s">
        <v>3081</v>
      </c>
      <c r="C2968" s="50" t="s">
        <v>6799</v>
      </c>
      <c r="D2968" s="49" t="str">
        <f>IFERROR(__xludf.DUMMYFUNCTION("""COMPUTED_VALUE"""),"evolved")</f>
        <v>evolved</v>
      </c>
      <c r="E2968" s="49"/>
      <c r="F2968" s="49"/>
      <c r="G2968" s="49"/>
      <c r="H2968" s="54" t="str">
        <f t="shared" si="1"/>
        <v>dragons,</v>
      </c>
      <c r="I2968" s="50"/>
      <c r="J2968" s="50"/>
      <c r="K2968" s="50" t="s">
        <v>2745</v>
      </c>
      <c r="L2968" s="49"/>
      <c r="M2968" s="49"/>
      <c r="N2968" s="49"/>
      <c r="O2968" s="49"/>
      <c r="P2968" s="49" t="str">
        <f t="shared" si="2"/>
        <v>,</v>
      </c>
      <c r="Q2968" s="49"/>
      <c r="R2968" s="49"/>
      <c r="S2968" s="55" t="s">
        <v>4457</v>
      </c>
      <c r="T2968" s="49"/>
      <c r="U2968" s="49"/>
      <c r="V2968" s="49"/>
      <c r="W2968" s="49"/>
      <c r="X2968" s="49" t="str">
        <f t="shared" si="3"/>
        <v>,</v>
      </c>
      <c r="Y2968" s="49"/>
      <c r="Z2968" s="49"/>
      <c r="AB2968" s="49"/>
      <c r="AC2968" s="49"/>
      <c r="AD2968" s="49"/>
      <c r="AE2968" s="49"/>
      <c r="AF2968" s="49"/>
      <c r="AG2968" s="49"/>
      <c r="AH2968" s="1" t="s">
        <v>3070</v>
      </c>
      <c r="AI2968" s="1" t="s">
        <v>5892</v>
      </c>
      <c r="AJ2968" s="6" t="str">
        <f>IFERROR(__xludf.DUMMYFUNCTION("""COMPUTED_VALUE"""),"episodes")</f>
        <v>episodes</v>
      </c>
      <c r="AK2968" s="49"/>
      <c r="AL2968" s="49"/>
      <c r="AM2968" s="49"/>
      <c r="AN2968" s="52" t="str">
        <f t="shared" si="5"/>
        <v>johnny,</v>
      </c>
      <c r="AP2968" s="49"/>
      <c r="AQ2968" s="49"/>
      <c r="AR2968" s="49"/>
      <c r="AS2968" s="49"/>
      <c r="AT2968" s="49"/>
    </row>
    <row r="2969">
      <c r="A2969" s="51"/>
      <c r="B2969" s="50" t="s">
        <v>2498</v>
      </c>
      <c r="C2969" s="50" t="s">
        <v>6801</v>
      </c>
      <c r="D2969" s="49" t="str">
        <f>IFERROR(__xludf.DUMMYFUNCTION("""COMPUTED_VALUE"""),"runner")</f>
        <v>runner</v>
      </c>
      <c r="E2969" s="49"/>
      <c r="F2969" s="49"/>
      <c r="G2969" s="49"/>
      <c r="H2969" s="54" t="str">
        <f t="shared" si="1"/>
        <v>interaction,</v>
      </c>
      <c r="I2969" s="50"/>
      <c r="J2969" s="50"/>
      <c r="K2969" s="50" t="s">
        <v>5131</v>
      </c>
      <c r="L2969" s="49"/>
      <c r="M2969" s="49"/>
      <c r="N2969" s="49"/>
      <c r="O2969" s="49"/>
      <c r="P2969" s="49" t="str">
        <f t="shared" si="2"/>
        <v>,</v>
      </c>
      <c r="Q2969" s="49"/>
      <c r="R2969" s="49"/>
      <c r="S2969" s="55" t="s">
        <v>3720</v>
      </c>
      <c r="T2969" s="49"/>
      <c r="U2969" s="49"/>
      <c r="V2969" s="49"/>
      <c r="W2969" s="49"/>
      <c r="X2969" s="49" t="str">
        <f t="shared" si="3"/>
        <v>,</v>
      </c>
      <c r="Y2969" s="49"/>
      <c r="Z2969" s="49"/>
      <c r="AB2969" s="49"/>
      <c r="AC2969" s="49"/>
      <c r="AD2969" s="49"/>
      <c r="AE2969" s="49"/>
      <c r="AF2969" s="49"/>
      <c r="AG2969" s="49"/>
      <c r="AH2969" s="1" t="s">
        <v>5454</v>
      </c>
      <c r="AI2969" s="1" t="s">
        <v>1566</v>
      </c>
      <c r="AJ2969" s="6" t="str">
        <f>IFERROR(__xludf.DUMMYFUNCTION("""COMPUTED_VALUE"""),"yours")</f>
        <v>yours</v>
      </c>
      <c r="AK2969" s="49"/>
      <c r="AL2969" s="49"/>
      <c r="AM2969" s="49"/>
      <c r="AN2969" s="52" t="str">
        <f t="shared" si="5"/>
        <v>properties,</v>
      </c>
      <c r="AP2969" s="49"/>
      <c r="AQ2969" s="49"/>
      <c r="AR2969" s="49"/>
      <c r="AS2969" s="49"/>
      <c r="AT2969" s="49"/>
    </row>
    <row r="2970">
      <c r="A2970" s="51"/>
      <c r="B2970" s="50" t="s">
        <v>4911</v>
      </c>
      <c r="C2970" s="50" t="s">
        <v>5826</v>
      </c>
      <c r="D2970" s="49" t="str">
        <f>IFERROR(__xludf.DUMMYFUNCTION("""COMPUTED_VALUE"""),"cousin")</f>
        <v>cousin</v>
      </c>
      <c r="E2970" s="49"/>
      <c r="F2970" s="49"/>
      <c r="G2970" s="49"/>
      <c r="H2970" s="54" t="str">
        <f t="shared" si="1"/>
        <v>1930s,</v>
      </c>
      <c r="I2970" s="50"/>
      <c r="J2970" s="50"/>
      <c r="K2970" s="50" t="s">
        <v>2746</v>
      </c>
      <c r="L2970" s="49"/>
      <c r="M2970" s="49"/>
      <c r="N2970" s="49"/>
      <c r="O2970" s="49"/>
      <c r="P2970" s="49" t="str">
        <f t="shared" si="2"/>
        <v>,</v>
      </c>
      <c r="Q2970" s="49"/>
      <c r="R2970" s="49"/>
      <c r="S2970" s="55" t="s">
        <v>2629</v>
      </c>
      <c r="T2970" s="49"/>
      <c r="U2970" s="49"/>
      <c r="V2970" s="49"/>
      <c r="W2970" s="49"/>
      <c r="X2970" s="49" t="str">
        <f t="shared" si="3"/>
        <v>,</v>
      </c>
      <c r="Y2970" s="49"/>
      <c r="Z2970" s="49"/>
      <c r="AB2970" s="49"/>
      <c r="AC2970" s="49"/>
      <c r="AD2970" s="49"/>
      <c r="AE2970" s="49"/>
      <c r="AF2970" s="49"/>
      <c r="AG2970" s="49"/>
      <c r="AH2970" s="1" t="s">
        <v>6786</v>
      </c>
      <c r="AI2970" s="1">
        <v>1952.0</v>
      </c>
      <c r="AJ2970" s="6" t="str">
        <f>IFERROR(__xludf.DUMMYFUNCTION("""COMPUTED_VALUE"""),"hence")</f>
        <v>hence</v>
      </c>
      <c r="AK2970" s="49"/>
      <c r="AL2970" s="49"/>
      <c r="AM2970" s="49"/>
      <c r="AN2970" s="52" t="str">
        <f t="shared" si="5"/>
        <v>distinction,</v>
      </c>
      <c r="AP2970" s="49"/>
      <c r="AQ2970" s="49"/>
      <c r="AR2970" s="49"/>
      <c r="AS2970" s="49"/>
      <c r="AT2970" s="49"/>
    </row>
    <row r="2971">
      <c r="A2971" s="51"/>
      <c r="B2971" s="50" t="s">
        <v>2947</v>
      </c>
      <c r="C2971" s="50" t="s">
        <v>6803</v>
      </c>
      <c r="D2971" s="49" t="str">
        <f>IFERROR(__xludf.DUMMYFUNCTION("""COMPUTED_VALUE"""),"tables")</f>
        <v>tables</v>
      </c>
      <c r="E2971" s="49"/>
      <c r="F2971" s="49"/>
      <c r="G2971" s="49"/>
      <c r="H2971" s="54" t="str">
        <f t="shared" si="1"/>
        <v>hotel,</v>
      </c>
      <c r="I2971" s="50"/>
      <c r="J2971" s="50"/>
      <c r="K2971" s="50" t="s">
        <v>3753</v>
      </c>
      <c r="L2971" s="49"/>
      <c r="M2971" s="49"/>
      <c r="N2971" s="49"/>
      <c r="O2971" s="49"/>
      <c r="P2971" s="49" t="str">
        <f t="shared" si="2"/>
        <v>,</v>
      </c>
      <c r="Q2971" s="49"/>
      <c r="R2971" s="49"/>
      <c r="S2971" s="55" t="s">
        <v>2632</v>
      </c>
      <c r="T2971" s="49"/>
      <c r="U2971" s="49"/>
      <c r="V2971" s="49"/>
      <c r="W2971" s="49"/>
      <c r="X2971" s="49" t="str">
        <f t="shared" si="3"/>
        <v>,</v>
      </c>
      <c r="Y2971" s="49"/>
      <c r="Z2971" s="49"/>
      <c r="AB2971" s="49"/>
      <c r="AC2971" s="49"/>
      <c r="AD2971" s="49"/>
      <c r="AE2971" s="49"/>
      <c r="AF2971" s="49"/>
      <c r="AG2971" s="49"/>
      <c r="AH2971" s="1" t="s">
        <v>3215</v>
      </c>
      <c r="AI2971" s="1" t="s">
        <v>6038</v>
      </c>
      <c r="AJ2971" s="6" t="str">
        <f>IFERROR(__xludf.DUMMYFUNCTION("""COMPUTED_VALUE"""),"landscape")</f>
        <v>landscape</v>
      </c>
      <c r="AK2971" s="49"/>
      <c r="AL2971" s="49"/>
      <c r="AM2971" s="49"/>
      <c r="AN2971" s="52" t="str">
        <f t="shared" si="5"/>
        <v>sides,</v>
      </c>
      <c r="AP2971" s="49"/>
      <c r="AQ2971" s="49"/>
      <c r="AR2971" s="49"/>
      <c r="AS2971" s="49"/>
      <c r="AT2971" s="49"/>
    </row>
    <row r="2972">
      <c r="A2972" s="51"/>
      <c r="B2972" s="50" t="s">
        <v>6545</v>
      </c>
      <c r="C2972" s="50" t="s">
        <v>6804</v>
      </c>
      <c r="D2972" s="49" t="str">
        <f>IFERROR(__xludf.DUMMYFUNCTION("""COMPUTED_VALUE"""),"diamond")</f>
        <v>diamond</v>
      </c>
      <c r="E2972" s="49"/>
      <c r="F2972" s="49"/>
      <c r="G2972" s="49"/>
      <c r="H2972" s="54" t="str">
        <f t="shared" si="1"/>
        <v>existing,</v>
      </c>
      <c r="I2972" s="50"/>
      <c r="J2972" s="50"/>
      <c r="K2972" s="50" t="s">
        <v>4556</v>
      </c>
      <c r="L2972" s="49"/>
      <c r="M2972" s="49"/>
      <c r="N2972" s="49"/>
      <c r="O2972" s="49"/>
      <c r="P2972" s="49" t="str">
        <f t="shared" si="2"/>
        <v>,</v>
      </c>
      <c r="Q2972" s="49"/>
      <c r="R2972" s="49"/>
      <c r="S2972" s="55" t="s">
        <v>6898</v>
      </c>
      <c r="T2972" s="49"/>
      <c r="U2972" s="49"/>
      <c r="V2972" s="49"/>
      <c r="W2972" s="49"/>
      <c r="X2972" s="49" t="str">
        <f t="shared" si="3"/>
        <v>,</v>
      </c>
      <c r="Y2972" s="49"/>
      <c r="Z2972" s="49"/>
      <c r="AB2972" s="49"/>
      <c r="AC2972" s="49"/>
      <c r="AD2972" s="49"/>
      <c r="AE2972" s="49"/>
      <c r="AF2972" s="49"/>
      <c r="AG2972" s="49"/>
      <c r="AH2972" s="1" t="s">
        <v>6635</v>
      </c>
      <c r="AI2972" s="1" t="s">
        <v>6899</v>
      </c>
      <c r="AJ2972" s="6" t="str">
        <f>IFERROR(__xludf.DUMMYFUNCTION("""COMPUTED_VALUE"""),"louis")</f>
        <v>louis</v>
      </c>
      <c r="AK2972" s="49"/>
      <c r="AL2972" s="49"/>
      <c r="AM2972" s="49"/>
      <c r="AN2972" s="52" t="str">
        <f t="shared" si="5"/>
        <v>carrying,</v>
      </c>
      <c r="AP2972" s="49"/>
      <c r="AQ2972" s="49"/>
      <c r="AR2972" s="49"/>
      <c r="AS2972" s="49"/>
      <c r="AT2972" s="49"/>
    </row>
    <row r="2973">
      <c r="A2973" s="51"/>
      <c r="B2973" s="50" t="s">
        <v>4969</v>
      </c>
      <c r="C2973" s="50" t="s">
        <v>5688</v>
      </c>
      <c r="D2973" s="49" t="str">
        <f>IFERROR(__xludf.DUMMYFUNCTION("""COMPUTED_VALUE"""),"marketing")</f>
        <v>marketing</v>
      </c>
      <c r="E2973" s="49"/>
      <c r="F2973" s="49"/>
      <c r="G2973" s="49"/>
      <c r="H2973" s="54" t="str">
        <f t="shared" si="1"/>
        <v>map,</v>
      </c>
      <c r="I2973" s="50"/>
      <c r="J2973" s="50"/>
      <c r="K2973" s="50" t="s">
        <v>5964</v>
      </c>
      <c r="L2973" s="49"/>
      <c r="M2973" s="49"/>
      <c r="N2973" s="49"/>
      <c r="O2973" s="49"/>
      <c r="P2973" s="49" t="str">
        <f t="shared" si="2"/>
        <v>,</v>
      </c>
      <c r="Q2973" s="49"/>
      <c r="R2973" s="49"/>
      <c r="S2973" s="55" t="s">
        <v>5437</v>
      </c>
      <c r="T2973" s="49"/>
      <c r="U2973" s="49"/>
      <c r="V2973" s="49"/>
      <c r="W2973" s="49"/>
      <c r="X2973" s="49" t="str">
        <f t="shared" si="3"/>
        <v>,</v>
      </c>
      <c r="Y2973" s="49"/>
      <c r="Z2973" s="49"/>
      <c r="AB2973" s="49"/>
      <c r="AC2973" s="49"/>
      <c r="AD2973" s="49"/>
      <c r="AE2973" s="49"/>
      <c r="AF2973" s="49"/>
      <c r="AG2973" s="49"/>
      <c r="AH2973" s="1" t="s">
        <v>3702</v>
      </c>
      <c r="AI2973" s="1" t="s">
        <v>5975</v>
      </c>
      <c r="AJ2973" s="6" t="str">
        <f>IFERROR(__xludf.DUMMYFUNCTION("""COMPUTED_VALUE"""),"parking")</f>
        <v>parking</v>
      </c>
      <c r="AK2973" s="49"/>
      <c r="AL2973" s="49"/>
      <c r="AM2973" s="49"/>
      <c r="AN2973" s="52" t="str">
        <f t="shared" si="5"/>
        <v>possibility,</v>
      </c>
      <c r="AP2973" s="49"/>
      <c r="AQ2973" s="49"/>
      <c r="AR2973" s="49"/>
      <c r="AS2973" s="49"/>
      <c r="AT2973" s="49"/>
    </row>
    <row r="2974">
      <c r="A2974" s="51"/>
      <c r="B2974" s="50" t="s">
        <v>6142</v>
      </c>
      <c r="C2974" s="50" t="s">
        <v>6805</v>
      </c>
      <c r="D2974" s="49" t="str">
        <f>IFERROR(__xludf.DUMMYFUNCTION("""COMPUTED_VALUE"""),"fellow")</f>
        <v>fellow</v>
      </c>
      <c r="E2974" s="49"/>
      <c r="F2974" s="49"/>
      <c r="G2974" s="49"/>
      <c r="H2974" s="54" t="str">
        <f t="shared" si="1"/>
        <v>agency,</v>
      </c>
      <c r="I2974" s="50"/>
      <c r="J2974" s="50"/>
      <c r="K2974" s="50" t="s">
        <v>2748</v>
      </c>
      <c r="L2974" s="49"/>
      <c r="M2974" s="49"/>
      <c r="N2974" s="49"/>
      <c r="O2974" s="49"/>
      <c r="P2974" s="49" t="str">
        <f t="shared" si="2"/>
        <v>,</v>
      </c>
      <c r="Q2974" s="49"/>
      <c r="R2974" s="49"/>
      <c r="S2974" s="55" t="s">
        <v>6875</v>
      </c>
      <c r="T2974" s="49"/>
      <c r="U2974" s="49"/>
      <c r="V2974" s="49"/>
      <c r="W2974" s="49"/>
      <c r="X2974" s="49" t="str">
        <f t="shared" si="3"/>
        <v>,</v>
      </c>
      <c r="Y2974" s="49"/>
      <c r="Z2974" s="49"/>
      <c r="AB2974" s="49"/>
      <c r="AC2974" s="49"/>
      <c r="AD2974" s="49"/>
      <c r="AE2974" s="49"/>
      <c r="AF2974" s="49"/>
      <c r="AG2974" s="49"/>
      <c r="AH2974" s="1" t="s">
        <v>6589</v>
      </c>
      <c r="AI2974" s="1" t="s">
        <v>6044</v>
      </c>
      <c r="AJ2974" s="6" t="str">
        <f>IFERROR(__xludf.DUMMYFUNCTION("""COMPUTED_VALUE"""),"boots")</f>
        <v>boots</v>
      </c>
      <c r="AK2974" s="49"/>
      <c r="AL2974" s="49"/>
      <c r="AM2974" s="49"/>
      <c r="AN2974" s="52" t="str">
        <f t="shared" si="5"/>
        <v>opposed,</v>
      </c>
      <c r="AP2974" s="49"/>
      <c r="AQ2974" s="49"/>
      <c r="AR2974" s="49"/>
      <c r="AS2974" s="49"/>
      <c r="AT2974" s="49"/>
    </row>
    <row r="2975">
      <c r="A2975" s="51"/>
      <c r="B2975" s="50" t="s">
        <v>1552</v>
      </c>
      <c r="C2975" s="50" t="s">
        <v>5247</v>
      </c>
      <c r="D2975" s="49" t="str">
        <f>IFERROR(__xludf.DUMMYFUNCTION("""COMPUTED_VALUE"""),"education")</f>
        <v>education</v>
      </c>
      <c r="E2975" s="49"/>
      <c r="F2975" s="49"/>
      <c r="G2975" s="49"/>
      <c r="H2975" s="54" t="str">
        <f t="shared" si="1"/>
        <v>freedom,</v>
      </c>
      <c r="I2975" s="50"/>
      <c r="J2975" s="50"/>
      <c r="K2975" s="50" t="s">
        <v>2750</v>
      </c>
      <c r="L2975" s="49"/>
      <c r="M2975" s="49"/>
      <c r="N2975" s="49"/>
      <c r="O2975" s="49"/>
      <c r="P2975" s="49" t="str">
        <f t="shared" si="2"/>
        <v>,</v>
      </c>
      <c r="Q2975" s="49"/>
      <c r="R2975" s="49"/>
      <c r="S2975" s="55" t="s">
        <v>2635</v>
      </c>
      <c r="T2975" s="49"/>
      <c r="U2975" s="49"/>
      <c r="V2975" s="49"/>
      <c r="W2975" s="49"/>
      <c r="X2975" s="49" t="str">
        <f t="shared" si="3"/>
        <v>,</v>
      </c>
      <c r="Y2975" s="49"/>
      <c r="Z2975" s="49"/>
      <c r="AB2975" s="49"/>
      <c r="AC2975" s="49"/>
      <c r="AD2975" s="49"/>
      <c r="AE2975" s="49"/>
      <c r="AF2975" s="49"/>
      <c r="AG2975" s="49"/>
      <c r="AH2975" s="1" t="s">
        <v>5125</v>
      </c>
      <c r="AI2975" s="1" t="s">
        <v>5538</v>
      </c>
      <c r="AJ2975" s="6" t="str">
        <f>IFERROR(__xludf.DUMMYFUNCTION("""COMPUTED_VALUE"""),"garage")</f>
        <v>garage</v>
      </c>
      <c r="AK2975" s="49"/>
      <c r="AL2975" s="49"/>
      <c r="AM2975" s="49"/>
      <c r="AN2975" s="52" t="str">
        <f t="shared" si="5"/>
        <v>styles,</v>
      </c>
      <c r="AP2975" s="49"/>
      <c r="AQ2975" s="49"/>
      <c r="AR2975" s="49"/>
      <c r="AS2975" s="49"/>
      <c r="AT2975" s="49"/>
    </row>
    <row r="2976">
      <c r="A2976" s="51"/>
      <c r="B2976" s="50" t="s">
        <v>7663</v>
      </c>
      <c r="C2976" s="50" t="s">
        <v>5212</v>
      </c>
      <c r="D2976" s="49" t="str">
        <f>IFERROR(__xludf.DUMMYFUNCTION("""COMPUTED_VALUE"""),"rick")</f>
        <v>rick</v>
      </c>
      <c r="E2976" s="49"/>
      <c r="F2976" s="49"/>
      <c r="G2976" s="49"/>
      <c r="H2976" s="54" t="str">
        <f t="shared" si="1"/>
        <v>advertising,</v>
      </c>
      <c r="I2976" s="50"/>
      <c r="J2976" s="50"/>
      <c r="K2976" s="50">
        <v>2001.0</v>
      </c>
      <c r="L2976" s="49"/>
      <c r="M2976" s="49"/>
      <c r="N2976" s="49"/>
      <c r="O2976" s="49"/>
      <c r="P2976" s="49" t="str">
        <f t="shared" si="2"/>
        <v>,</v>
      </c>
      <c r="Q2976" s="49"/>
      <c r="R2976" s="49"/>
      <c r="S2976" s="55" t="s">
        <v>2637</v>
      </c>
      <c r="T2976" s="49"/>
      <c r="U2976" s="49"/>
      <c r="V2976" s="49"/>
      <c r="W2976" s="49"/>
      <c r="X2976" s="49" t="str">
        <f t="shared" si="3"/>
        <v>,</v>
      </c>
      <c r="Y2976" s="49"/>
      <c r="Z2976" s="49"/>
      <c r="AB2976" s="49"/>
      <c r="AC2976" s="49"/>
      <c r="AD2976" s="49"/>
      <c r="AE2976" s="49"/>
      <c r="AF2976" s="49"/>
      <c r="AG2976" s="49"/>
      <c r="AH2976" s="1" t="s">
        <v>6447</v>
      </c>
      <c r="AI2976" s="1" t="s">
        <v>4585</v>
      </c>
      <c r="AJ2976" s="6" t="str">
        <f>IFERROR(__xludf.DUMMYFUNCTION("""COMPUTED_VALUE"""),"warm")</f>
        <v>warm</v>
      </c>
      <c r="AK2976" s="49"/>
      <c r="AL2976" s="49"/>
      <c r="AM2976" s="49"/>
      <c r="AN2976" s="52" t="str">
        <f t="shared" si="5"/>
        <v>com,</v>
      </c>
      <c r="AP2976" s="49"/>
      <c r="AQ2976" s="49"/>
      <c r="AR2976" s="49"/>
      <c r="AS2976" s="49"/>
      <c r="AT2976" s="49"/>
    </row>
    <row r="2977">
      <c r="A2977" s="51"/>
      <c r="B2977" s="50" t="s">
        <v>4335</v>
      </c>
      <c r="C2977" s="50" t="s">
        <v>6806</v>
      </c>
      <c r="D2977" s="49" t="str">
        <f>IFERROR(__xludf.DUMMYFUNCTION("""COMPUTED_VALUE"""),"trail")</f>
        <v>trail</v>
      </c>
      <c r="E2977" s="49"/>
      <c r="F2977" s="49"/>
      <c r="G2977" s="49"/>
      <c r="H2977" s="54" t="str">
        <f t="shared" si="1"/>
        <v>desired,</v>
      </c>
      <c r="I2977" s="50"/>
      <c r="J2977" s="50"/>
      <c r="K2977" s="50" t="s">
        <v>4560</v>
      </c>
      <c r="L2977" s="49"/>
      <c r="M2977" s="49"/>
      <c r="N2977" s="49"/>
      <c r="O2977" s="49"/>
      <c r="P2977" s="49" t="str">
        <f t="shared" si="2"/>
        <v>,</v>
      </c>
      <c r="Q2977" s="49"/>
      <c r="R2977" s="49"/>
      <c r="S2977" s="55" t="s">
        <v>1485</v>
      </c>
      <c r="T2977" s="49"/>
      <c r="U2977" s="49"/>
      <c r="V2977" s="49"/>
      <c r="W2977" s="49"/>
      <c r="X2977" s="49" t="str">
        <f t="shared" si="3"/>
        <v>,</v>
      </c>
      <c r="Y2977" s="49"/>
      <c r="Z2977" s="49"/>
      <c r="AB2977" s="49"/>
      <c r="AC2977" s="49"/>
      <c r="AD2977" s="49"/>
      <c r="AE2977" s="49"/>
      <c r="AF2977" s="49"/>
      <c r="AG2977" s="49"/>
      <c r="AH2977" s="1" t="s">
        <v>6414</v>
      </c>
      <c r="AI2977" s="1" t="s">
        <v>5652</v>
      </c>
      <c r="AJ2977" s="6" t="str">
        <f>IFERROR(__xludf.DUMMYFUNCTION("""COMPUTED_VALUE"""),"strongly")</f>
        <v>strongly</v>
      </c>
      <c r="AK2977" s="49"/>
      <c r="AL2977" s="49"/>
      <c r="AM2977" s="49"/>
      <c r="AN2977" s="52" t="str">
        <f t="shared" si="5"/>
        <v>traditional,</v>
      </c>
      <c r="AP2977" s="49"/>
      <c r="AQ2977" s="49"/>
      <c r="AR2977" s="49"/>
      <c r="AS2977" s="49"/>
      <c r="AT2977" s="49"/>
    </row>
    <row r="2978">
      <c r="A2978" s="51"/>
      <c r="B2978" s="50" t="s">
        <v>3746</v>
      </c>
      <c r="C2978" s="50" t="s">
        <v>4367</v>
      </c>
      <c r="D2978" s="49" t="str">
        <f>IFERROR(__xludf.DUMMYFUNCTION("""COMPUTED_VALUE"""),"editor")</f>
        <v>editor</v>
      </c>
      <c r="E2978" s="49"/>
      <c r="F2978" s="49"/>
      <c r="G2978" s="49"/>
      <c r="H2978" s="54" t="str">
        <f t="shared" si="1"/>
        <v>departure,</v>
      </c>
      <c r="I2978" s="50"/>
      <c r="J2978" s="50"/>
      <c r="K2978" s="50" t="s">
        <v>4561</v>
      </c>
      <c r="L2978" s="49"/>
      <c r="M2978" s="49"/>
      <c r="N2978" s="49"/>
      <c r="O2978" s="49"/>
      <c r="P2978" s="49" t="str">
        <f t="shared" si="2"/>
        <v>,</v>
      </c>
      <c r="Q2978" s="49"/>
      <c r="R2978" s="49"/>
      <c r="S2978" s="55">
        <v>295.0</v>
      </c>
      <c r="T2978" s="49"/>
      <c r="U2978" s="49"/>
      <c r="V2978" s="49"/>
      <c r="W2978" s="49"/>
      <c r="X2978" s="49" t="str">
        <f t="shared" si="3"/>
        <v>,</v>
      </c>
      <c r="Y2978" s="49"/>
      <c r="Z2978" s="49"/>
      <c r="AB2978" s="49"/>
      <c r="AC2978" s="49"/>
      <c r="AD2978" s="49"/>
      <c r="AE2978" s="49"/>
      <c r="AF2978" s="49"/>
      <c r="AG2978" s="49"/>
      <c r="AH2978" s="1" t="s">
        <v>1604</v>
      </c>
      <c r="AI2978" s="1" t="s">
        <v>6045</v>
      </c>
      <c r="AJ2978" s="6" t="str">
        <f>IFERROR(__xludf.DUMMYFUNCTION("""COMPUTED_VALUE"""),"challenges")</f>
        <v>challenges</v>
      </c>
      <c r="AK2978" s="49"/>
      <c r="AL2978" s="49"/>
      <c r="AM2978" s="49"/>
      <c r="AN2978" s="52" t="str">
        <f t="shared" si="5"/>
        <v>partnership,</v>
      </c>
      <c r="AP2978" s="49"/>
      <c r="AQ2978" s="49"/>
      <c r="AR2978" s="49"/>
      <c r="AS2978" s="49"/>
      <c r="AT2978" s="49"/>
    </row>
    <row r="2979">
      <c r="A2979" s="51"/>
      <c r="B2979" s="50" t="s">
        <v>7664</v>
      </c>
      <c r="C2979" s="50" t="s">
        <v>5214</v>
      </c>
      <c r="D2979" s="49" t="str">
        <f>IFERROR(__xludf.DUMMYFUNCTION("""COMPUTED_VALUE"""),"store")</f>
        <v>store</v>
      </c>
      <c r="E2979" s="49"/>
      <c r="F2979" s="49"/>
      <c r="G2979" s="49"/>
      <c r="H2979" s="54" t="str">
        <f t="shared" si="1"/>
        <v>sc,</v>
      </c>
      <c r="I2979" s="50"/>
      <c r="J2979" s="50"/>
      <c r="K2979" s="50" t="s">
        <v>1556</v>
      </c>
      <c r="L2979" s="49"/>
      <c r="M2979" s="49"/>
      <c r="N2979" s="49"/>
      <c r="O2979" s="49"/>
      <c r="P2979" s="49" t="str">
        <f t="shared" si="2"/>
        <v>,</v>
      </c>
      <c r="Q2979" s="49"/>
      <c r="R2979" s="49"/>
      <c r="S2979" s="55">
        <v>1958.0</v>
      </c>
      <c r="T2979" s="49"/>
      <c r="U2979" s="49"/>
      <c r="V2979" s="49"/>
      <c r="W2979" s="49"/>
      <c r="X2979" s="49" t="str">
        <f t="shared" si="3"/>
        <v>,</v>
      </c>
      <c r="Y2979" s="49"/>
      <c r="Z2979" s="49"/>
      <c r="AB2979" s="49"/>
      <c r="AC2979" s="49"/>
      <c r="AD2979" s="49"/>
      <c r="AE2979" s="49"/>
      <c r="AF2979" s="49"/>
      <c r="AG2979" s="49"/>
      <c r="AH2979" s="1" t="s">
        <v>7007</v>
      </c>
      <c r="AI2979" s="1" t="s">
        <v>5542</v>
      </c>
      <c r="AJ2979" s="6" t="str">
        <f>IFERROR(__xludf.DUMMYFUNCTION("""COMPUTED_VALUE"""),"schedule")</f>
        <v>schedule</v>
      </c>
      <c r="AK2979" s="49"/>
      <c r="AL2979" s="49"/>
      <c r="AM2979" s="49"/>
      <c r="AN2979" s="52" t="str">
        <f t="shared" si="5"/>
        <v>matches,</v>
      </c>
      <c r="AP2979" s="49"/>
      <c r="AQ2979" s="49"/>
      <c r="AR2979" s="49"/>
      <c r="AS2979" s="49"/>
      <c r="AT2979" s="49"/>
    </row>
    <row r="2980">
      <c r="A2980" s="51"/>
      <c r="B2980" s="50" t="s">
        <v>7665</v>
      </c>
      <c r="C2980" s="50" t="s">
        <v>5216</v>
      </c>
      <c r="D2980" s="49" t="str">
        <f>IFERROR(__xludf.DUMMYFUNCTION("""COMPUTED_VALUE"""),"post")</f>
        <v>post</v>
      </c>
      <c r="E2980" s="49"/>
      <c r="F2980" s="49"/>
      <c r="G2980" s="49"/>
      <c r="H2980" s="54" t="str">
        <f t="shared" si="1"/>
        <v>morrison,</v>
      </c>
      <c r="I2980" s="50"/>
      <c r="J2980" s="50"/>
      <c r="K2980" s="50" t="s">
        <v>5513</v>
      </c>
      <c r="L2980" s="49"/>
      <c r="M2980" s="49"/>
      <c r="N2980" s="49"/>
      <c r="O2980" s="49"/>
      <c r="P2980" s="49" t="str">
        <f t="shared" si="2"/>
        <v>,</v>
      </c>
      <c r="Q2980" s="49"/>
      <c r="R2980" s="49"/>
      <c r="S2980" s="55" t="s">
        <v>5921</v>
      </c>
      <c r="T2980" s="49"/>
      <c r="U2980" s="49"/>
      <c r="V2980" s="49"/>
      <c r="W2980" s="49"/>
      <c r="X2980" s="49" t="str">
        <f t="shared" si="3"/>
        <v>,</v>
      </c>
      <c r="Y2980" s="49"/>
      <c r="Z2980" s="49"/>
      <c r="AB2980" s="49"/>
      <c r="AC2980" s="49"/>
      <c r="AD2980" s="49"/>
      <c r="AE2980" s="49"/>
      <c r="AF2980" s="49"/>
      <c r="AG2980" s="49"/>
      <c r="AH2980" s="1" t="s">
        <v>361</v>
      </c>
      <c r="AI2980" s="1" t="s">
        <v>5546</v>
      </c>
      <c r="AJ2980" s="6" t="str">
        <f>IFERROR(__xludf.DUMMYFUNCTION("""COMPUTED_VALUE"""),"companion")</f>
        <v>companion</v>
      </c>
      <c r="AK2980" s="49"/>
      <c r="AL2980" s="49"/>
      <c r="AM2980" s="49"/>
      <c r="AN2980" s="52" t="str">
        <f t="shared" si="5"/>
        <v>pale,</v>
      </c>
      <c r="AP2980" s="49"/>
      <c r="AQ2980" s="49"/>
      <c r="AR2980" s="49"/>
      <c r="AS2980" s="49"/>
      <c r="AT2980" s="49"/>
    </row>
    <row r="2981">
      <c r="A2981" s="51"/>
      <c r="B2981" s="50">
        <v>12.0</v>
      </c>
      <c r="C2981" s="50" t="s">
        <v>4194</v>
      </c>
      <c r="D2981" s="49" t="str">
        <f>IFERROR(__xludf.DUMMYFUNCTION("""COMPUTED_VALUE"""),"pre")</f>
        <v>pre</v>
      </c>
      <c r="E2981" s="49"/>
      <c r="F2981" s="49"/>
      <c r="G2981" s="49"/>
      <c r="H2981" s="54" t="str">
        <f t="shared" si="1"/>
        <v>12,</v>
      </c>
      <c r="I2981" s="50"/>
      <c r="J2981" s="50"/>
      <c r="K2981" s="50" t="s">
        <v>2758</v>
      </c>
      <c r="L2981" s="49"/>
      <c r="M2981" s="49"/>
      <c r="N2981" s="49"/>
      <c r="O2981" s="49"/>
      <c r="P2981" s="49" t="str">
        <f t="shared" si="2"/>
        <v>,</v>
      </c>
      <c r="Q2981" s="49"/>
      <c r="R2981" s="49"/>
      <c r="S2981" s="55" t="s">
        <v>504</v>
      </c>
      <c r="T2981" s="49"/>
      <c r="U2981" s="49"/>
      <c r="V2981" s="49"/>
      <c r="W2981" s="49"/>
      <c r="X2981" s="49" t="str">
        <f t="shared" si="3"/>
        <v>,</v>
      </c>
      <c r="Y2981" s="49"/>
      <c r="Z2981" s="49"/>
      <c r="AB2981" s="49"/>
      <c r="AC2981" s="49"/>
      <c r="AD2981" s="49"/>
      <c r="AE2981" s="49"/>
      <c r="AF2981" s="49"/>
      <c r="AG2981" s="49"/>
      <c r="AH2981" s="1" t="s">
        <v>4803</v>
      </c>
      <c r="AI2981" s="1" t="s">
        <v>3630</v>
      </c>
      <c r="AJ2981" s="6" t="str">
        <f>IFERROR(__xludf.DUMMYFUNCTION("""COMPUTED_VALUE"""),"educational")</f>
        <v>educational</v>
      </c>
      <c r="AK2981" s="49"/>
      <c r="AL2981" s="49"/>
      <c r="AM2981" s="49"/>
      <c r="AN2981" s="52" t="str">
        <f t="shared" si="5"/>
        <v>operates,</v>
      </c>
      <c r="AP2981" s="49"/>
      <c r="AQ2981" s="49"/>
      <c r="AR2981" s="49"/>
      <c r="AS2981" s="49"/>
      <c r="AT2981" s="49"/>
    </row>
    <row r="2982">
      <c r="A2982" s="51"/>
      <c r="B2982" s="50">
        <v>99.0</v>
      </c>
      <c r="C2982" s="50" t="s">
        <v>4415</v>
      </c>
      <c r="D2982" s="49" t="str">
        <f>IFERROR(__xludf.DUMMYFUNCTION("""COMPUTED_VALUE"""),"characterized")</f>
        <v>characterized</v>
      </c>
      <c r="E2982" s="49"/>
      <c r="F2982" s="49"/>
      <c r="G2982" s="49"/>
      <c r="H2982" s="54" t="str">
        <f t="shared" si="1"/>
        <v>99,</v>
      </c>
      <c r="I2982" s="50"/>
      <c r="J2982" s="50"/>
      <c r="K2982" s="50" t="s">
        <v>2763</v>
      </c>
      <c r="L2982" s="49"/>
      <c r="M2982" s="49"/>
      <c r="N2982" s="49"/>
      <c r="O2982" s="49"/>
      <c r="P2982" s="49" t="str">
        <f t="shared" si="2"/>
        <v>,</v>
      </c>
      <c r="Q2982" s="49"/>
      <c r="R2982" s="49"/>
      <c r="S2982" s="55" t="s">
        <v>4471</v>
      </c>
      <c r="T2982" s="49"/>
      <c r="U2982" s="49"/>
      <c r="V2982" s="49"/>
      <c r="W2982" s="49"/>
      <c r="X2982" s="49" t="str">
        <f t="shared" si="3"/>
        <v>,</v>
      </c>
      <c r="Y2982" s="49"/>
      <c r="Z2982" s="49"/>
      <c r="AB2982" s="49"/>
      <c r="AC2982" s="49"/>
      <c r="AD2982" s="49"/>
      <c r="AE2982" s="49"/>
      <c r="AF2982" s="49"/>
      <c r="AG2982" s="49"/>
      <c r="AH2982" s="1" t="s">
        <v>6488</v>
      </c>
      <c r="AI2982" s="1" t="s">
        <v>5492</v>
      </c>
      <c r="AJ2982" s="6">
        <f>IFERROR(__xludf.DUMMYFUNCTION("""COMPUTED_VALUE"""),1975.0)</f>
        <v>1975</v>
      </c>
      <c r="AK2982" s="49"/>
      <c r="AL2982" s="49"/>
      <c r="AM2982" s="49"/>
      <c r="AN2982" s="52" t="str">
        <f t="shared" si="5"/>
        <v>tiger,</v>
      </c>
      <c r="AP2982" s="49"/>
      <c r="AQ2982" s="49"/>
      <c r="AR2982" s="49"/>
      <c r="AS2982" s="49"/>
      <c r="AT2982" s="49"/>
    </row>
    <row r="2983">
      <c r="A2983" s="51"/>
      <c r="B2983" s="50" t="s">
        <v>4996</v>
      </c>
      <c r="C2983" s="50" t="s">
        <v>3568</v>
      </c>
      <c r="D2983" s="49" t="str">
        <f>IFERROR(__xludf.DUMMYFUNCTION("""COMPUTED_VALUE"""),"stayed")</f>
        <v>stayed</v>
      </c>
      <c r="E2983" s="49"/>
      <c r="F2983" s="49"/>
      <c r="G2983" s="49"/>
      <c r="H2983" s="54" t="str">
        <f t="shared" si="1"/>
        <v>comfort,</v>
      </c>
      <c r="I2983" s="50"/>
      <c r="J2983" s="50"/>
      <c r="K2983" s="50" t="s">
        <v>4566</v>
      </c>
      <c r="L2983" s="49"/>
      <c r="M2983" s="49"/>
      <c r="N2983" s="49"/>
      <c r="O2983" s="49"/>
      <c r="P2983" s="49" t="str">
        <f t="shared" si="2"/>
        <v>,</v>
      </c>
      <c r="Q2983" s="49"/>
      <c r="R2983" s="49"/>
      <c r="S2983" s="55" t="s">
        <v>6001</v>
      </c>
      <c r="T2983" s="49"/>
      <c r="U2983" s="49"/>
      <c r="V2983" s="49"/>
      <c r="W2983" s="49"/>
      <c r="X2983" s="49" t="str">
        <f t="shared" si="3"/>
        <v>,</v>
      </c>
      <c r="Y2983" s="49"/>
      <c r="Z2983" s="49"/>
      <c r="AB2983" s="49"/>
      <c r="AC2983" s="49"/>
      <c r="AD2983" s="49"/>
      <c r="AE2983" s="49"/>
      <c r="AF2983" s="49"/>
      <c r="AG2983" s="49"/>
      <c r="AH2983" s="1" t="s">
        <v>4813</v>
      </c>
      <c r="AI2983" s="1" t="s">
        <v>6051</v>
      </c>
      <c r="AJ2983" s="6" t="str">
        <f>IFERROR(__xludf.DUMMYFUNCTION("""COMPUTED_VALUE"""),"discussion")</f>
        <v>discussion</v>
      </c>
      <c r="AK2983" s="49"/>
      <c r="AL2983" s="49"/>
      <c r="AM2983" s="49"/>
      <c r="AN2983" s="52" t="str">
        <f t="shared" si="5"/>
        <v>wake,</v>
      </c>
      <c r="AP2983" s="49"/>
      <c r="AQ2983" s="49"/>
      <c r="AR2983" s="49"/>
      <c r="AS2983" s="49"/>
      <c r="AT2983" s="49"/>
    </row>
    <row r="2984">
      <c r="A2984" s="51"/>
      <c r="B2984" s="50" t="s">
        <v>6883</v>
      </c>
      <c r="C2984" s="50" t="s">
        <v>5837</v>
      </c>
      <c r="D2984" s="49" t="str">
        <f>IFERROR(__xludf.DUMMYFUNCTION("""COMPUTED_VALUE"""),"begun")</f>
        <v>begun</v>
      </c>
      <c r="E2984" s="49"/>
      <c r="F2984" s="49"/>
      <c r="G2984" s="49"/>
      <c r="H2984" s="54" t="str">
        <f t="shared" si="1"/>
        <v>grateful,</v>
      </c>
      <c r="I2984" s="50"/>
      <c r="J2984" s="50"/>
      <c r="K2984" s="50" t="s">
        <v>4580</v>
      </c>
      <c r="L2984" s="49"/>
      <c r="M2984" s="49"/>
      <c r="N2984" s="49"/>
      <c r="O2984" s="49"/>
      <c r="P2984" s="49" t="str">
        <f t="shared" si="2"/>
        <v>,</v>
      </c>
      <c r="Q2984" s="49"/>
      <c r="R2984" s="49"/>
      <c r="S2984" s="55" t="s">
        <v>2649</v>
      </c>
      <c r="T2984" s="49"/>
      <c r="U2984" s="49"/>
      <c r="V2984" s="49"/>
      <c r="W2984" s="49"/>
      <c r="X2984" s="49" t="str">
        <f t="shared" si="3"/>
        <v>,</v>
      </c>
      <c r="Y2984" s="49"/>
      <c r="Z2984" s="49"/>
      <c r="AB2984" s="49"/>
      <c r="AC2984" s="49"/>
      <c r="AD2984" s="49"/>
      <c r="AE2984" s="49"/>
      <c r="AF2984" s="49"/>
      <c r="AG2984" s="49"/>
      <c r="AH2984" s="1" t="s">
        <v>4180</v>
      </c>
      <c r="AI2984" s="1" t="s">
        <v>6900</v>
      </c>
      <c r="AJ2984" s="6" t="str">
        <f>IFERROR(__xludf.DUMMYFUNCTION("""COMPUTED_VALUE"""),"3d")</f>
        <v>3d</v>
      </c>
      <c r="AK2984" s="49"/>
      <c r="AL2984" s="49"/>
      <c r="AM2984" s="49"/>
      <c r="AN2984" s="52" t="str">
        <f t="shared" si="5"/>
        <v>dismissed,</v>
      </c>
      <c r="AP2984" s="49"/>
      <c r="AQ2984" s="49"/>
      <c r="AR2984" s="49"/>
      <c r="AS2984" s="49"/>
      <c r="AT2984" s="49"/>
    </row>
    <row r="2985">
      <c r="A2985" s="51"/>
      <c r="B2985" s="50" t="s">
        <v>3377</v>
      </c>
      <c r="C2985" s="50" t="s">
        <v>3569</v>
      </c>
      <c r="D2985" s="49" t="str">
        <f>IFERROR(__xludf.DUMMYFUNCTION("""COMPUTED_VALUE"""),"formed")</f>
        <v>formed</v>
      </c>
      <c r="E2985" s="49"/>
      <c r="F2985" s="49"/>
      <c r="G2985" s="49"/>
      <c r="H2985" s="54" t="str">
        <f t="shared" si="1"/>
        <v>layers,</v>
      </c>
      <c r="I2985" s="50"/>
      <c r="J2985" s="50"/>
      <c r="K2985" s="50" t="s">
        <v>5517</v>
      </c>
      <c r="L2985" s="49"/>
      <c r="M2985" s="49"/>
      <c r="N2985" s="49"/>
      <c r="O2985" s="49"/>
      <c r="P2985" s="49" t="str">
        <f t="shared" si="2"/>
        <v>,</v>
      </c>
      <c r="Q2985" s="49"/>
      <c r="R2985" s="49"/>
      <c r="S2985" s="55" t="s">
        <v>2651</v>
      </c>
      <c r="T2985" s="49"/>
      <c r="U2985" s="49"/>
      <c r="V2985" s="49"/>
      <c r="W2985" s="49"/>
      <c r="X2985" s="49" t="str">
        <f t="shared" si="3"/>
        <v>,</v>
      </c>
      <c r="Y2985" s="49"/>
      <c r="Z2985" s="49"/>
      <c r="AB2985" s="49"/>
      <c r="AC2985" s="49"/>
      <c r="AD2985" s="49"/>
      <c r="AE2985" s="49"/>
      <c r="AF2985" s="49"/>
      <c r="AG2985" s="49"/>
      <c r="AH2985" s="1" t="s">
        <v>6770</v>
      </c>
      <c r="AI2985" s="1" t="s">
        <v>2810</v>
      </c>
      <c r="AJ2985" s="6" t="str">
        <f>IFERROR(__xludf.DUMMYFUNCTION("""COMPUTED_VALUE"""),"wildlife")</f>
        <v>wildlife</v>
      </c>
      <c r="AK2985" s="49"/>
      <c r="AL2985" s="49"/>
      <c r="AM2985" s="49"/>
      <c r="AN2985" s="52" t="str">
        <f t="shared" si="5"/>
        <v>finishing,</v>
      </c>
      <c r="AP2985" s="49"/>
      <c r="AQ2985" s="49"/>
      <c r="AR2985" s="49"/>
      <c r="AS2985" s="49"/>
      <c r="AT2985" s="49"/>
    </row>
    <row r="2986">
      <c r="A2986" s="51"/>
      <c r="B2986" s="50" t="s">
        <v>7185</v>
      </c>
      <c r="C2986" s="50">
        <v>1986.0</v>
      </c>
      <c r="D2986" s="49" t="str">
        <f>IFERROR(__xludf.DUMMYFUNCTION("""COMPUTED_VALUE"""),"physician")</f>
        <v>physician</v>
      </c>
      <c r="E2986" s="49"/>
      <c r="F2986" s="49"/>
      <c r="G2986" s="49"/>
      <c r="H2986" s="54" t="str">
        <f t="shared" si="1"/>
        <v>chocolate,</v>
      </c>
      <c r="I2986" s="50"/>
      <c r="J2986" s="50"/>
      <c r="K2986" s="50" t="s">
        <v>5703</v>
      </c>
      <c r="L2986" s="49"/>
      <c r="M2986" s="49"/>
      <c r="N2986" s="49"/>
      <c r="O2986" s="49"/>
      <c r="P2986" s="49" t="str">
        <f t="shared" si="2"/>
        <v>,</v>
      </c>
      <c r="Q2986" s="49"/>
      <c r="R2986" s="49"/>
      <c r="S2986" s="55" t="s">
        <v>2653</v>
      </c>
      <c r="T2986" s="49"/>
      <c r="U2986" s="49"/>
      <c r="V2986" s="49"/>
      <c r="W2986" s="49"/>
      <c r="X2986" s="49" t="str">
        <f t="shared" si="3"/>
        <v>,</v>
      </c>
      <c r="Y2986" s="49"/>
      <c r="Z2986" s="49"/>
      <c r="AB2986" s="49"/>
      <c r="AC2986" s="49"/>
      <c r="AD2986" s="49"/>
      <c r="AE2986" s="49"/>
      <c r="AF2986" s="49"/>
      <c r="AG2986" s="49"/>
      <c r="AH2986" s="1" t="s">
        <v>873</v>
      </c>
      <c r="AI2986" s="1" t="s">
        <v>5032</v>
      </c>
      <c r="AJ2986" s="6" t="str">
        <f>IFERROR(__xludf.DUMMYFUNCTION("""COMPUTED_VALUE"""),"error")</f>
        <v>error</v>
      </c>
      <c r="AK2986" s="49"/>
      <c r="AL2986" s="49"/>
      <c r="AM2986" s="49"/>
      <c r="AN2986" s="52" t="str">
        <f t="shared" si="5"/>
        <v>touched,</v>
      </c>
      <c r="AP2986" s="49"/>
      <c r="AQ2986" s="49"/>
      <c r="AR2986" s="49"/>
      <c r="AS2986" s="49"/>
      <c r="AT2986" s="49"/>
    </row>
    <row r="2987">
      <c r="A2987" s="51"/>
      <c r="B2987" s="50" t="s">
        <v>3088</v>
      </c>
      <c r="C2987" s="50" t="s">
        <v>5693</v>
      </c>
      <c r="D2987" s="49" t="str">
        <f>IFERROR(__xludf.DUMMYFUNCTION("""COMPUTED_VALUE"""),"nick")</f>
        <v>nick</v>
      </c>
      <c r="E2987" s="49"/>
      <c r="F2987" s="49"/>
      <c r="G2987" s="49"/>
      <c r="H2987" s="54" t="str">
        <f t="shared" si="1"/>
        <v>bag,</v>
      </c>
      <c r="I2987" s="50"/>
      <c r="J2987" s="50"/>
      <c r="K2987" s="50" t="s">
        <v>1884</v>
      </c>
      <c r="L2987" s="49"/>
      <c r="M2987" s="49"/>
      <c r="N2987" s="49"/>
      <c r="O2987" s="49"/>
      <c r="P2987" s="49" t="str">
        <f t="shared" si="2"/>
        <v>,</v>
      </c>
      <c r="Q2987" s="49"/>
      <c r="R2987" s="49"/>
      <c r="S2987" s="55" t="s">
        <v>6901</v>
      </c>
      <c r="T2987" s="49"/>
      <c r="U2987" s="49"/>
      <c r="V2987" s="49"/>
      <c r="W2987" s="49"/>
      <c r="X2987" s="49" t="str">
        <f t="shared" si="3"/>
        <v>,</v>
      </c>
      <c r="Y2987" s="49"/>
      <c r="Z2987" s="49"/>
      <c r="AB2987" s="49"/>
      <c r="AC2987" s="49"/>
      <c r="AD2987" s="49"/>
      <c r="AE2987" s="49"/>
      <c r="AF2987" s="49"/>
      <c r="AG2987" s="49"/>
      <c r="AH2987" s="1" t="s">
        <v>3505</v>
      </c>
      <c r="AI2987" s="1" t="s">
        <v>4610</v>
      </c>
      <c r="AJ2987" s="6" t="str">
        <f>IFERROR(__xludf.DUMMYFUNCTION("""COMPUTED_VALUE"""),"trials")</f>
        <v>trials</v>
      </c>
      <c r="AK2987" s="49"/>
      <c r="AL2987" s="49"/>
      <c r="AM2987" s="49"/>
      <c r="AN2987" s="52" t="str">
        <f t="shared" si="5"/>
        <v>circle,</v>
      </c>
      <c r="AP2987" s="49"/>
      <c r="AQ2987" s="49"/>
      <c r="AR2987" s="49"/>
      <c r="AS2987" s="49"/>
      <c r="AT2987" s="49"/>
    </row>
    <row r="2988">
      <c r="A2988" s="51"/>
      <c r="B2988" s="50" t="s">
        <v>6983</v>
      </c>
      <c r="C2988" s="50" t="s">
        <v>5223</v>
      </c>
      <c r="D2988" s="49" t="str">
        <f>IFERROR(__xludf.DUMMYFUNCTION("""COMPUTED_VALUE"""),"whenever")</f>
        <v>whenever</v>
      </c>
      <c r="E2988" s="49"/>
      <c r="F2988" s="49"/>
      <c r="G2988" s="49"/>
      <c r="H2988" s="54" t="str">
        <f t="shared" si="1"/>
        <v>harbor,</v>
      </c>
      <c r="I2988" s="50"/>
      <c r="J2988" s="50"/>
      <c r="K2988" s="50" t="s">
        <v>1286</v>
      </c>
      <c r="L2988" s="49"/>
      <c r="M2988" s="49"/>
      <c r="N2988" s="49"/>
      <c r="O2988" s="49"/>
      <c r="P2988" s="49" t="str">
        <f t="shared" si="2"/>
        <v>,</v>
      </c>
      <c r="Q2988" s="49"/>
      <c r="R2988" s="49"/>
      <c r="S2988" s="55" t="s">
        <v>2655</v>
      </c>
      <c r="T2988" s="49"/>
      <c r="U2988" s="49"/>
      <c r="V2988" s="49"/>
      <c r="W2988" s="49"/>
      <c r="X2988" s="49" t="str">
        <f t="shared" si="3"/>
        <v>,</v>
      </c>
      <c r="Y2988" s="49"/>
      <c r="Z2988" s="49"/>
      <c r="AB2988" s="49"/>
      <c r="AC2988" s="49"/>
      <c r="AD2988" s="49"/>
      <c r="AE2988" s="49"/>
      <c r="AF2988" s="49"/>
      <c r="AG2988" s="49"/>
      <c r="AH2988" s="1" t="s">
        <v>6386</v>
      </c>
      <c r="AI2988" s="1" t="s">
        <v>1049</v>
      </c>
      <c r="AJ2988" s="6" t="str">
        <f>IFERROR(__xludf.DUMMYFUNCTION("""COMPUTED_VALUE"""),"glass")</f>
        <v>glass</v>
      </c>
      <c r="AK2988" s="49"/>
      <c r="AL2988" s="49"/>
      <c r="AM2988" s="49"/>
      <c r="AN2988" s="52" t="str">
        <f t="shared" si="5"/>
        <v>rachel,</v>
      </c>
      <c r="AP2988" s="49"/>
      <c r="AQ2988" s="49"/>
      <c r="AR2988" s="49"/>
      <c r="AS2988" s="49"/>
      <c r="AT2988" s="49"/>
    </row>
    <row r="2989">
      <c r="A2989" s="51"/>
      <c r="B2989" s="50" t="s">
        <v>5738</v>
      </c>
      <c r="C2989" s="50" t="s">
        <v>1073</v>
      </c>
      <c r="D2989" s="49" t="str">
        <f>IFERROR(__xludf.DUMMYFUNCTION("""COMPUTED_VALUE"""),"concerning")</f>
        <v>concerning</v>
      </c>
      <c r="E2989" s="49"/>
      <c r="F2989" s="49"/>
      <c r="G2989" s="49"/>
      <c r="H2989" s="54" t="str">
        <f t="shared" si="1"/>
        <v>pearl,</v>
      </c>
      <c r="I2989" s="50"/>
      <c r="J2989" s="50"/>
      <c r="K2989" s="50" t="s">
        <v>1760</v>
      </c>
      <c r="L2989" s="49"/>
      <c r="M2989" s="49"/>
      <c r="N2989" s="49"/>
      <c r="O2989" s="49"/>
      <c r="P2989" s="49" t="str">
        <f t="shared" si="2"/>
        <v>,</v>
      </c>
      <c r="Q2989" s="49"/>
      <c r="R2989" s="49"/>
      <c r="S2989" s="55" t="s">
        <v>6003</v>
      </c>
      <c r="T2989" s="49"/>
      <c r="U2989" s="49"/>
      <c r="V2989" s="49"/>
      <c r="W2989" s="49"/>
      <c r="X2989" s="49" t="str">
        <f t="shared" si="3"/>
        <v>,</v>
      </c>
      <c r="Y2989" s="49"/>
      <c r="Z2989" s="49"/>
      <c r="AB2989" s="49"/>
      <c r="AC2989" s="49"/>
      <c r="AD2989" s="49"/>
      <c r="AE2989" s="49"/>
      <c r="AF2989" s="49"/>
      <c r="AG2989" s="49"/>
      <c r="AH2989" s="1" t="s">
        <v>2579</v>
      </c>
      <c r="AI2989" s="1" t="s">
        <v>5563</v>
      </c>
      <c r="AJ2989" s="6" t="str">
        <f>IFERROR(__xludf.DUMMYFUNCTION("""COMPUTED_VALUE"""),"gap")</f>
        <v>gap</v>
      </c>
      <c r="AK2989" s="49"/>
      <c r="AL2989" s="49"/>
      <c r="AM2989" s="49"/>
      <c r="AN2989" s="52" t="str">
        <f t="shared" si="5"/>
        <v>pointed,</v>
      </c>
      <c r="AP2989" s="49"/>
      <c r="AQ2989" s="49"/>
      <c r="AR2989" s="49"/>
      <c r="AS2989" s="49"/>
      <c r="AT2989" s="49"/>
    </row>
    <row r="2990">
      <c r="A2990" s="51"/>
      <c r="B2990" s="50" t="s">
        <v>1638</v>
      </c>
      <c r="C2990" s="50" t="s">
        <v>6807</v>
      </c>
      <c r="D2990" s="49" t="str">
        <f>IFERROR(__xludf.DUMMYFUNCTION("""COMPUTED_VALUE"""),"signals")</f>
        <v>signals</v>
      </c>
      <c r="E2990" s="49"/>
      <c r="F2990" s="49"/>
      <c r="G2990" s="49"/>
      <c r="H2990" s="54" t="str">
        <f t="shared" si="1"/>
        <v>st,</v>
      </c>
      <c r="I2990" s="50"/>
      <c r="J2990" s="50"/>
      <c r="K2990" s="50" t="s">
        <v>2768</v>
      </c>
      <c r="L2990" s="49"/>
      <c r="M2990" s="49"/>
      <c r="N2990" s="49"/>
      <c r="O2990" s="49"/>
      <c r="P2990" s="49" t="str">
        <f t="shared" si="2"/>
        <v>,</v>
      </c>
      <c r="Q2990" s="49"/>
      <c r="R2990" s="49"/>
      <c r="S2990" s="55" t="s">
        <v>4475</v>
      </c>
      <c r="T2990" s="49"/>
      <c r="U2990" s="49"/>
      <c r="V2990" s="49"/>
      <c r="W2990" s="49"/>
      <c r="X2990" s="49" t="str">
        <f t="shared" si="3"/>
        <v>,</v>
      </c>
      <c r="Y2990" s="49"/>
      <c r="Z2990" s="49"/>
      <c r="AB2990" s="49"/>
      <c r="AC2990" s="49"/>
      <c r="AD2990" s="49"/>
      <c r="AE2990" s="49"/>
      <c r="AF2990" s="49"/>
      <c r="AG2990" s="49"/>
      <c r="AH2990" s="1" t="s">
        <v>7064</v>
      </c>
      <c r="AI2990" s="1" t="s">
        <v>4499</v>
      </c>
      <c r="AJ2990" s="6" t="str">
        <f>IFERROR(__xludf.DUMMYFUNCTION("""COMPUTED_VALUE"""),"josh")</f>
        <v>josh</v>
      </c>
      <c r="AK2990" s="49"/>
      <c r="AL2990" s="49"/>
      <c r="AM2990" s="49"/>
      <c r="AN2990" s="52" t="str">
        <f t="shared" si="5"/>
        <v>answered,</v>
      </c>
      <c r="AP2990" s="49"/>
      <c r="AQ2990" s="49"/>
      <c r="AR2990" s="49"/>
      <c r="AS2990" s="49"/>
      <c r="AT2990" s="49"/>
    </row>
    <row r="2991">
      <c r="A2991" s="51"/>
      <c r="B2991" s="50" t="s">
        <v>6574</v>
      </c>
      <c r="C2991" s="50" t="s">
        <v>5842</v>
      </c>
      <c r="D2991" s="49" t="str">
        <f>IFERROR(__xludf.DUMMYFUNCTION("""COMPUTED_VALUE"""),"background")</f>
        <v>background</v>
      </c>
      <c r="E2991" s="49"/>
      <c r="F2991" s="49"/>
      <c r="G2991" s="49"/>
      <c r="H2991" s="54" t="str">
        <f t="shared" si="1"/>
        <v>sorry,</v>
      </c>
      <c r="I2991" s="50"/>
      <c r="J2991" s="50"/>
      <c r="K2991" s="50" t="s">
        <v>5291</v>
      </c>
      <c r="L2991" s="49"/>
      <c r="M2991" s="49"/>
      <c r="N2991" s="49"/>
      <c r="O2991" s="49"/>
      <c r="P2991" s="49" t="str">
        <f t="shared" si="2"/>
        <v>,</v>
      </c>
      <c r="Q2991" s="49"/>
      <c r="R2991" s="49"/>
      <c r="S2991" s="55" t="s">
        <v>2659</v>
      </c>
      <c r="T2991" s="49"/>
      <c r="U2991" s="49"/>
      <c r="V2991" s="49"/>
      <c r="W2991" s="49"/>
      <c r="X2991" s="49" t="str">
        <f t="shared" si="3"/>
        <v>,</v>
      </c>
      <c r="Y2991" s="49"/>
      <c r="Z2991" s="49"/>
      <c r="AB2991" s="49"/>
      <c r="AC2991" s="49"/>
      <c r="AD2991" s="49"/>
      <c r="AE2991" s="49"/>
      <c r="AF2991" s="49"/>
      <c r="AG2991" s="49"/>
      <c r="AH2991" s="1" t="s">
        <v>2542</v>
      </c>
      <c r="AI2991" s="1">
        <v>6.0</v>
      </c>
      <c r="AJ2991" s="6" t="str">
        <f>IFERROR(__xludf.DUMMYFUNCTION("""COMPUTED_VALUE"""),"sought")</f>
        <v>sought</v>
      </c>
      <c r="AK2991" s="49"/>
      <c r="AL2991" s="49"/>
      <c r="AM2991" s="49"/>
      <c r="AN2991" s="52" t="str">
        <f t="shared" si="5"/>
        <v>gear,</v>
      </c>
      <c r="AP2991" s="49"/>
      <c r="AQ2991" s="49"/>
      <c r="AR2991" s="49"/>
      <c r="AS2991" s="49"/>
      <c r="AT2991" s="49"/>
    </row>
    <row r="2992">
      <c r="A2992" s="51"/>
      <c r="B2992" s="50" t="s">
        <v>4776</v>
      </c>
      <c r="C2992" s="50" t="s">
        <v>5226</v>
      </c>
      <c r="D2992" s="49" t="str">
        <f>IFERROR(__xludf.DUMMYFUNCTION("""COMPUTED_VALUE"""),"relating")</f>
        <v>relating</v>
      </c>
      <c r="E2992" s="49"/>
      <c r="F2992" s="49"/>
      <c r="G2992" s="49"/>
      <c r="H2992" s="54" t="str">
        <f t="shared" si="1"/>
        <v>display,</v>
      </c>
      <c r="I2992" s="50"/>
      <c r="J2992" s="50"/>
      <c r="K2992" s="50" t="s">
        <v>2771</v>
      </c>
      <c r="L2992" s="49"/>
      <c r="M2992" s="49"/>
      <c r="N2992" s="49"/>
      <c r="O2992" s="49"/>
      <c r="P2992" s="49" t="str">
        <f t="shared" si="2"/>
        <v>,</v>
      </c>
      <c r="Q2992" s="49"/>
      <c r="R2992" s="49"/>
      <c r="S2992" s="55" t="s">
        <v>2664</v>
      </c>
      <c r="T2992" s="49"/>
      <c r="U2992" s="49"/>
      <c r="V2992" s="49"/>
      <c r="W2992" s="49"/>
      <c r="X2992" s="49" t="str">
        <f t="shared" si="3"/>
        <v>,</v>
      </c>
      <c r="Y2992" s="49"/>
      <c r="Z2992" s="49"/>
      <c r="AB2992" s="49"/>
      <c r="AC2992" s="49"/>
      <c r="AD2992" s="49"/>
      <c r="AE2992" s="49"/>
      <c r="AF2992" s="49"/>
      <c r="AG2992" s="49"/>
      <c r="AH2992" s="1" t="b">
        <v>0</v>
      </c>
      <c r="AI2992" s="1" t="s">
        <v>4359</v>
      </c>
      <c r="AJ2992" s="6" t="str">
        <f>IFERROR(__xludf.DUMMYFUNCTION("""COMPUTED_VALUE"""),"welsh")</f>
        <v>welsh</v>
      </c>
      <c r="AK2992" s="49"/>
      <c r="AL2992" s="49"/>
      <c r="AM2992" s="49"/>
      <c r="AN2992" s="52" t="str">
        <f t="shared" si="5"/>
        <v>FALSE,</v>
      </c>
      <c r="AP2992" s="49"/>
      <c r="AQ2992" s="49"/>
      <c r="AR2992" s="49"/>
      <c r="AS2992" s="49"/>
      <c r="AT2992" s="49"/>
    </row>
    <row r="2993">
      <c r="A2993" s="51"/>
      <c r="B2993" s="50" t="s">
        <v>6288</v>
      </c>
      <c r="C2993" s="50" t="s">
        <v>6808</v>
      </c>
      <c r="D2993" s="49" t="str">
        <f>IFERROR(__xludf.DUMMYFUNCTION("""COMPUTED_VALUE"""),"clothes")</f>
        <v>clothes</v>
      </c>
      <c r="E2993" s="49"/>
      <c r="F2993" s="49"/>
      <c r="G2993" s="49"/>
      <c r="H2993" s="54" t="str">
        <f t="shared" si="1"/>
        <v>acted,</v>
      </c>
      <c r="I2993" s="50"/>
      <c r="J2993" s="50"/>
      <c r="K2993" s="50" t="s">
        <v>1401</v>
      </c>
      <c r="L2993" s="49"/>
      <c r="M2993" s="49"/>
      <c r="N2993" s="49"/>
      <c r="O2993" s="49"/>
      <c r="P2993" s="49" t="str">
        <f t="shared" si="2"/>
        <v>,</v>
      </c>
      <c r="Q2993" s="49"/>
      <c r="R2993" s="49"/>
      <c r="S2993" s="55" t="s">
        <v>5925</v>
      </c>
      <c r="T2993" s="49"/>
      <c r="U2993" s="49"/>
      <c r="V2993" s="49"/>
      <c r="W2993" s="49"/>
      <c r="X2993" s="49" t="str">
        <f t="shared" si="3"/>
        <v>,</v>
      </c>
      <c r="Y2993" s="49"/>
      <c r="Z2993" s="49"/>
      <c r="AB2993" s="49"/>
      <c r="AC2993" s="49"/>
      <c r="AD2993" s="49"/>
      <c r="AE2993" s="49"/>
      <c r="AF2993" s="49"/>
      <c r="AG2993" s="49"/>
      <c r="AH2993" s="1" t="s">
        <v>2696</v>
      </c>
      <c r="AI2993" s="1" t="s">
        <v>5565</v>
      </c>
      <c r="AJ2993" s="6" t="str">
        <f>IFERROR(__xludf.DUMMYFUNCTION("""COMPUTED_VALUE"""),"filming")</f>
        <v>filming</v>
      </c>
      <c r="AK2993" s="49"/>
      <c r="AL2993" s="49"/>
      <c r="AM2993" s="49"/>
      <c r="AN2993" s="52" t="str">
        <f t="shared" si="5"/>
        <v>foundation,</v>
      </c>
      <c r="AP2993" s="49"/>
      <c r="AQ2993" s="49"/>
      <c r="AR2993" s="49"/>
      <c r="AS2993" s="49"/>
      <c r="AT2993" s="49"/>
    </row>
    <row r="2994">
      <c r="A2994" s="51"/>
      <c r="B2994" s="50" t="s">
        <v>681</v>
      </c>
      <c r="C2994" s="50" t="s">
        <v>4899</v>
      </c>
      <c r="D2994" s="49" t="str">
        <f>IFERROR(__xludf.DUMMYFUNCTION("""COMPUTED_VALUE"""),"plastic")</f>
        <v>plastic</v>
      </c>
      <c r="E2994" s="49"/>
      <c r="F2994" s="49"/>
      <c r="G2994" s="49"/>
      <c r="H2994" s="54" t="str">
        <f t="shared" si="1"/>
        <v>tear,</v>
      </c>
      <c r="I2994" s="50"/>
      <c r="J2994" s="50"/>
      <c r="K2994" s="50" t="s">
        <v>2780</v>
      </c>
      <c r="L2994" s="49"/>
      <c r="M2994" s="49"/>
      <c r="N2994" s="49"/>
      <c r="O2994" s="49"/>
      <c r="P2994" s="49" t="str">
        <f t="shared" si="2"/>
        <v>,</v>
      </c>
      <c r="Q2994" s="49"/>
      <c r="R2994" s="49"/>
      <c r="S2994" s="55" t="s">
        <v>2669</v>
      </c>
      <c r="T2994" s="49"/>
      <c r="U2994" s="49"/>
      <c r="V2994" s="49"/>
      <c r="W2994" s="49"/>
      <c r="X2994" s="49" t="str">
        <f t="shared" si="3"/>
        <v>,</v>
      </c>
      <c r="Y2994" s="49"/>
      <c r="Z2994" s="49"/>
      <c r="AB2994" s="49"/>
      <c r="AC2994" s="49"/>
      <c r="AD2994" s="49"/>
      <c r="AE2994" s="49"/>
      <c r="AF2994" s="49"/>
      <c r="AG2994" s="49"/>
      <c r="AH2994" s="1" t="s">
        <v>5078</v>
      </c>
      <c r="AI2994" s="1" t="s">
        <v>5205</v>
      </c>
      <c r="AJ2994" s="6" t="str">
        <f>IFERROR(__xludf.DUMMYFUNCTION("""COMPUTED_VALUE"""),"shirt")</f>
        <v>shirt</v>
      </c>
      <c r="AK2994" s="49"/>
      <c r="AL2994" s="49"/>
      <c r="AM2994" s="49"/>
      <c r="AN2994" s="52" t="str">
        <f t="shared" si="5"/>
        <v>stepped,</v>
      </c>
      <c r="AP2994" s="49"/>
      <c r="AQ2994" s="49"/>
      <c r="AR2994" s="49"/>
      <c r="AS2994" s="49"/>
      <c r="AT2994" s="49"/>
    </row>
    <row r="2995">
      <c r="A2995" s="51"/>
      <c r="B2995" s="50" t="s">
        <v>706</v>
      </c>
      <c r="C2995" s="50" t="s">
        <v>3570</v>
      </c>
      <c r="D2995" s="49" t="str">
        <f>IFERROR(__xludf.DUMMYFUNCTION("""COMPUTED_VALUE"""),"garage")</f>
        <v>garage</v>
      </c>
      <c r="E2995" s="49"/>
      <c r="F2995" s="49"/>
      <c r="G2995" s="49"/>
      <c r="H2995" s="54" t="str">
        <f t="shared" si="1"/>
        <v>skill,</v>
      </c>
      <c r="I2995" s="50"/>
      <c r="J2995" s="50"/>
      <c r="K2995" s="50" t="s">
        <v>3769</v>
      </c>
      <c r="L2995" s="49"/>
      <c r="M2995" s="49"/>
      <c r="N2995" s="49"/>
      <c r="O2995" s="49"/>
      <c r="P2995" s="49" t="str">
        <f t="shared" si="2"/>
        <v>,</v>
      </c>
      <c r="Q2995" s="49"/>
      <c r="R2995" s="49"/>
      <c r="S2995" s="55" t="s">
        <v>1854</v>
      </c>
      <c r="T2995" s="49"/>
      <c r="U2995" s="49"/>
      <c r="V2995" s="49"/>
      <c r="W2995" s="49"/>
      <c r="X2995" s="49" t="str">
        <f t="shared" si="3"/>
        <v>,</v>
      </c>
      <c r="Y2995" s="49"/>
      <c r="Z2995" s="49"/>
      <c r="AB2995" s="49"/>
      <c r="AC2995" s="49"/>
      <c r="AD2995" s="49"/>
      <c r="AE2995" s="49"/>
      <c r="AF2995" s="49"/>
      <c r="AG2995" s="49"/>
      <c r="AH2995" s="1" t="s">
        <v>6354</v>
      </c>
      <c r="AI2995" s="1" t="s">
        <v>6902</v>
      </c>
      <c r="AJ2995" s="6" t="str">
        <f>IFERROR(__xludf.DUMMYFUNCTION("""COMPUTED_VALUE"""),"revolutionary")</f>
        <v>revolutionary</v>
      </c>
      <c r="AK2995" s="49"/>
      <c r="AL2995" s="49"/>
      <c r="AM2995" s="49"/>
      <c r="AN2995" s="52" t="str">
        <f t="shared" si="5"/>
        <v>organized,</v>
      </c>
      <c r="AP2995" s="49"/>
      <c r="AQ2995" s="49"/>
      <c r="AR2995" s="49"/>
      <c r="AS2995" s="49"/>
      <c r="AT2995" s="49"/>
    </row>
    <row r="2996">
      <c r="A2996" s="51"/>
      <c r="B2996" s="50" t="s">
        <v>7162</v>
      </c>
      <c r="C2996" s="50" t="s">
        <v>1771</v>
      </c>
      <c r="D2996" s="49" t="str">
        <f>IFERROR(__xludf.DUMMYFUNCTION("""COMPUTED_VALUE"""),"traffic")</f>
        <v>traffic</v>
      </c>
      <c r="E2996" s="49"/>
      <c r="F2996" s="49"/>
      <c r="G2996" s="49"/>
      <c r="H2996" s="54" t="str">
        <f t="shared" si="1"/>
        <v>hurried,</v>
      </c>
      <c r="I2996" s="50"/>
      <c r="J2996" s="50"/>
      <c r="K2996" s="50" t="s">
        <v>1566</v>
      </c>
      <c r="L2996" s="49"/>
      <c r="M2996" s="49"/>
      <c r="N2996" s="49"/>
      <c r="O2996" s="49"/>
      <c r="P2996" s="49" t="str">
        <f t="shared" si="2"/>
        <v>,</v>
      </c>
      <c r="Q2996" s="49"/>
      <c r="R2996" s="49"/>
      <c r="S2996" s="55" t="s">
        <v>2675</v>
      </c>
      <c r="T2996" s="49"/>
      <c r="U2996" s="49"/>
      <c r="V2996" s="49"/>
      <c r="W2996" s="49"/>
      <c r="X2996" s="49" t="str">
        <f t="shared" si="3"/>
        <v>,</v>
      </c>
      <c r="Y2996" s="49"/>
      <c r="Z2996" s="49"/>
      <c r="AB2996" s="49"/>
      <c r="AC2996" s="49"/>
      <c r="AD2996" s="49"/>
      <c r="AE2996" s="49"/>
      <c r="AF2996" s="49"/>
      <c r="AG2996" s="49"/>
      <c r="AH2996" s="1" t="s">
        <v>5782</v>
      </c>
      <c r="AI2996" s="1" t="s">
        <v>5411</v>
      </c>
      <c r="AJ2996" s="6" t="str">
        <f>IFERROR(__xludf.DUMMYFUNCTION("""COMPUTED_VALUE"""),"capture")</f>
        <v>capture</v>
      </c>
      <c r="AK2996" s="49"/>
      <c r="AL2996" s="49"/>
      <c r="AM2996" s="49"/>
      <c r="AN2996" s="52" t="str">
        <f t="shared" si="5"/>
        <v>lose,</v>
      </c>
      <c r="AP2996" s="49"/>
      <c r="AQ2996" s="49"/>
      <c r="AR2996" s="49"/>
      <c r="AS2996" s="49"/>
      <c r="AT2996" s="49"/>
    </row>
    <row r="2997">
      <c r="A2997" s="51"/>
      <c r="B2997" s="50" t="s">
        <v>6599</v>
      </c>
      <c r="C2997" s="50" t="s">
        <v>5233</v>
      </c>
      <c r="D2997" s="49" t="str">
        <f>IFERROR(__xludf.DUMMYFUNCTION("""COMPUTED_VALUE"""),"buddy")</f>
        <v>buddy</v>
      </c>
      <c r="E2997" s="49"/>
      <c r="F2997" s="49"/>
      <c r="G2997" s="49"/>
      <c r="H2997" s="54" t="str">
        <f t="shared" si="1"/>
        <v>trap,</v>
      </c>
      <c r="I2997" s="50"/>
      <c r="J2997" s="50"/>
      <c r="K2997" s="50" t="s">
        <v>4574</v>
      </c>
      <c r="L2997" s="49"/>
      <c r="M2997" s="49"/>
      <c r="N2997" s="49"/>
      <c r="O2997" s="49"/>
      <c r="P2997" s="49" t="str">
        <f t="shared" si="2"/>
        <v>,</v>
      </c>
      <c r="Q2997" s="49"/>
      <c r="R2997" s="49"/>
      <c r="S2997" s="55" t="s">
        <v>5289</v>
      </c>
      <c r="T2997" s="49"/>
      <c r="U2997" s="49"/>
      <c r="V2997" s="49"/>
      <c r="W2997" s="49"/>
      <c r="X2997" s="49" t="str">
        <f t="shared" si="3"/>
        <v>,</v>
      </c>
      <c r="Y2997" s="49"/>
      <c r="Z2997" s="49"/>
      <c r="AB2997" s="49"/>
      <c r="AC2997" s="49"/>
      <c r="AD2997" s="49"/>
      <c r="AE2997" s="49"/>
      <c r="AF2997" s="49"/>
      <c r="AG2997" s="49"/>
      <c r="AH2997" s="1" t="s">
        <v>3894</v>
      </c>
      <c r="AI2997" s="1" t="s">
        <v>6903</v>
      </c>
      <c r="AJ2997" s="6" t="str">
        <f>IFERROR(__xludf.DUMMYFUNCTION("""COMPUTED_VALUE"""),"reign")</f>
        <v>reign</v>
      </c>
      <c r="AK2997" s="49"/>
      <c r="AL2997" s="49"/>
      <c r="AM2997" s="49"/>
      <c r="AN2997" s="52" t="str">
        <f t="shared" si="5"/>
        <v>introduction,</v>
      </c>
      <c r="AP2997" s="49"/>
      <c r="AQ2997" s="49"/>
      <c r="AR2997" s="49"/>
      <c r="AS2997" s="49"/>
      <c r="AT2997" s="49"/>
    </row>
    <row r="2998">
      <c r="A2998" s="51"/>
      <c r="B2998" s="50" t="s">
        <v>6598</v>
      </c>
      <c r="C2998" s="50" t="s">
        <v>2381</v>
      </c>
      <c r="D2998" s="49" t="str">
        <f>IFERROR(__xludf.DUMMYFUNCTION("""COMPUTED_VALUE"""),"shown")</f>
        <v>shown</v>
      </c>
      <c r="E2998" s="49"/>
      <c r="F2998" s="49"/>
      <c r="G2998" s="49"/>
      <c r="H2998" s="54" t="str">
        <f t="shared" si="1"/>
        <v>craig,</v>
      </c>
      <c r="I2998" s="50"/>
      <c r="J2998" s="50"/>
      <c r="K2998" s="50" t="s">
        <v>1572</v>
      </c>
      <c r="L2998" s="49"/>
      <c r="M2998" s="49"/>
      <c r="N2998" s="49"/>
      <c r="O2998" s="49"/>
      <c r="P2998" s="49" t="str">
        <f t="shared" si="2"/>
        <v>,</v>
      </c>
      <c r="Q2998" s="49"/>
      <c r="R2998" s="49"/>
      <c r="S2998" s="55" t="s">
        <v>6904</v>
      </c>
      <c r="T2998" s="49"/>
      <c r="U2998" s="49"/>
      <c r="V2998" s="49"/>
      <c r="W2998" s="49"/>
      <c r="X2998" s="49" t="str">
        <f t="shared" si="3"/>
        <v>,</v>
      </c>
      <c r="Y2998" s="49"/>
      <c r="Z2998" s="49"/>
      <c r="AB2998" s="49"/>
      <c r="AC2998" s="49"/>
      <c r="AD2998" s="49"/>
      <c r="AE2998" s="49"/>
      <c r="AF2998" s="49"/>
      <c r="AG2998" s="49"/>
      <c r="AH2998" s="1" t="s">
        <v>3924</v>
      </c>
      <c r="AI2998" s="1" t="s">
        <v>6905</v>
      </c>
      <c r="AJ2998" s="6" t="str">
        <f>IFERROR(__xludf.DUMMYFUNCTION("""COMPUTED_VALUE"""),"lily")</f>
        <v>lily</v>
      </c>
      <c r="AK2998" s="49"/>
      <c r="AL2998" s="49"/>
      <c r="AM2998" s="49"/>
      <c r="AN2998" s="52" t="str">
        <f t="shared" si="5"/>
        <v>connected,</v>
      </c>
      <c r="AP2998" s="49"/>
      <c r="AQ2998" s="49"/>
      <c r="AR2998" s="49"/>
      <c r="AS2998" s="49"/>
      <c r="AT2998" s="49"/>
    </row>
    <row r="2999">
      <c r="A2999" s="51"/>
      <c r="B2999" s="50" t="s">
        <v>6822</v>
      </c>
      <c r="C2999" s="50" t="s">
        <v>5236</v>
      </c>
      <c r="D2999" s="49" t="str">
        <f>IFERROR(__xludf.DUMMYFUNCTION("""COMPUTED_VALUE"""),"worlds")</f>
        <v>worlds</v>
      </c>
      <c r="E2999" s="49"/>
      <c r="F2999" s="49"/>
      <c r="G2999" s="49"/>
      <c r="H2999" s="54" t="str">
        <f t="shared" si="1"/>
        <v>princess,</v>
      </c>
      <c r="I2999" s="50"/>
      <c r="J2999" s="50"/>
      <c r="K2999" s="50">
        <v>1952.0</v>
      </c>
      <c r="L2999" s="49"/>
      <c r="M2999" s="49"/>
      <c r="N2999" s="49"/>
      <c r="O2999" s="49"/>
      <c r="P2999" s="49" t="str">
        <f t="shared" si="2"/>
        <v>,</v>
      </c>
      <c r="Q2999" s="49"/>
      <c r="R2999" s="49"/>
      <c r="S2999" s="55" t="s">
        <v>5224</v>
      </c>
      <c r="T2999" s="49"/>
      <c r="U2999" s="49"/>
      <c r="V2999" s="49"/>
      <c r="W2999" s="49"/>
      <c r="X2999" s="49" t="str">
        <f t="shared" si="3"/>
        <v>,</v>
      </c>
      <c r="Y2999" s="49"/>
      <c r="Z2999" s="49"/>
      <c r="AB2999" s="49"/>
      <c r="AC2999" s="49"/>
      <c r="AD2999" s="49"/>
      <c r="AE2999" s="49"/>
      <c r="AF2999" s="49"/>
      <c r="AG2999" s="49"/>
      <c r="AH2999" s="1" t="s">
        <v>2793</v>
      </c>
      <c r="AI2999" s="1" t="s">
        <v>5575</v>
      </c>
      <c r="AJ2999" s="6" t="str">
        <f>IFERROR(__xludf.DUMMYFUNCTION("""COMPUTED_VALUE"""),"catholic")</f>
        <v>catholic</v>
      </c>
      <c r="AK2999" s="49"/>
      <c r="AL2999" s="49"/>
      <c r="AM2999" s="49"/>
      <c r="AN2999" s="52" t="str">
        <f t="shared" si="5"/>
        <v>signs,</v>
      </c>
      <c r="AP2999" s="49"/>
      <c r="AQ2999" s="49"/>
      <c r="AR2999" s="49"/>
      <c r="AS2999" s="49"/>
      <c r="AT2999" s="49"/>
    </row>
    <row r="3000">
      <c r="A3000" s="51"/>
      <c r="B3000" s="50" t="s">
        <v>2351</v>
      </c>
      <c r="C3000" s="50" t="s">
        <v>6809</v>
      </c>
      <c r="D3000" s="49" t="str">
        <f>IFERROR(__xludf.DUMMYFUNCTION("""COMPUTED_VALUE"""),"hiding")</f>
        <v>hiding</v>
      </c>
      <c r="E3000" s="49"/>
      <c r="F3000" s="49"/>
      <c r="G3000" s="49"/>
      <c r="H3000" s="54" t="str">
        <f t="shared" si="1"/>
        <v>distinctive,</v>
      </c>
      <c r="I3000" s="50"/>
      <c r="J3000" s="50"/>
      <c r="K3000" s="50" t="s">
        <v>3688</v>
      </c>
      <c r="L3000" s="49"/>
      <c r="M3000" s="49"/>
      <c r="N3000" s="49"/>
      <c r="O3000" s="49"/>
      <c r="P3000" s="49" t="str">
        <f t="shared" si="2"/>
        <v>,</v>
      </c>
      <c r="Q3000" s="49"/>
      <c r="R3000" s="49"/>
      <c r="S3000" s="55">
        <v>25.0</v>
      </c>
      <c r="T3000" s="49"/>
      <c r="U3000" s="49"/>
      <c r="V3000" s="49"/>
      <c r="W3000" s="49"/>
      <c r="X3000" s="49" t="str">
        <f t="shared" si="3"/>
        <v>,</v>
      </c>
      <c r="Y3000" s="49"/>
      <c r="Z3000" s="49"/>
      <c r="AB3000" s="49"/>
      <c r="AC3000" s="49"/>
      <c r="AD3000" s="49"/>
      <c r="AE3000" s="49"/>
      <c r="AF3000" s="49"/>
      <c r="AG3000" s="49"/>
      <c r="AH3000" s="1" t="s">
        <v>5604</v>
      </c>
      <c r="AI3000" s="1" t="s">
        <v>6906</v>
      </c>
      <c r="AJ3000" s="6" t="str">
        <f>IFERROR(__xludf.DUMMYFUNCTION("""COMPUTED_VALUE"""),"scotland")</f>
        <v>scotland</v>
      </c>
      <c r="AK3000" s="49"/>
      <c r="AL3000" s="49"/>
      <c r="AM3000" s="49"/>
      <c r="AN3000" s="52" t="str">
        <f t="shared" si="5"/>
        <v>relevant,</v>
      </c>
      <c r="AP3000" s="49"/>
      <c r="AQ3000" s="49"/>
      <c r="AR3000" s="49"/>
      <c r="AS3000" s="49"/>
      <c r="AT3000" s="49"/>
    </row>
    <row r="3001">
      <c r="A3001" s="51"/>
      <c r="B3001" s="50" t="s">
        <v>6878</v>
      </c>
      <c r="C3001" s="50" t="s">
        <v>5239</v>
      </c>
      <c r="D3001" s="49" t="str">
        <f>IFERROR(__xludf.DUMMYFUNCTION("""COMPUTED_VALUE"""),"engaged")</f>
        <v>engaged</v>
      </c>
      <c r="E3001" s="49"/>
      <c r="F3001" s="49"/>
      <c r="G3001" s="49"/>
      <c r="H3001" s="54" t="str">
        <f t="shared" si="1"/>
        <v>feelings,</v>
      </c>
      <c r="I3001" s="50"/>
      <c r="J3001" s="50"/>
      <c r="K3001" s="50" t="s">
        <v>5531</v>
      </c>
      <c r="L3001" s="49"/>
      <c r="M3001" s="49"/>
      <c r="N3001" s="49"/>
      <c r="O3001" s="49"/>
      <c r="P3001" s="49" t="str">
        <f t="shared" si="2"/>
        <v>,</v>
      </c>
      <c r="Q3001" s="49"/>
      <c r="R3001" s="49"/>
      <c r="S3001" s="55" t="s">
        <v>6907</v>
      </c>
      <c r="T3001" s="49"/>
      <c r="U3001" s="49"/>
      <c r="V3001" s="49"/>
      <c r="W3001" s="49"/>
      <c r="X3001" s="49" t="str">
        <f t="shared" si="3"/>
        <v>,</v>
      </c>
      <c r="Y3001" s="49"/>
      <c r="Z3001" s="49"/>
      <c r="AB3001" s="49"/>
      <c r="AC3001" s="49"/>
      <c r="AD3001" s="49"/>
      <c r="AE3001" s="49"/>
      <c r="AF3001" s="49"/>
      <c r="AG3001" s="49"/>
      <c r="AH3001" s="1" t="s">
        <v>3603</v>
      </c>
      <c r="AI3001" s="1" t="s">
        <v>5577</v>
      </c>
      <c r="AJ3001" s="6" t="str">
        <f>IFERROR(__xludf.DUMMYFUNCTION("""COMPUTED_VALUE"""),"assigned")</f>
        <v>assigned</v>
      </c>
      <c r="AK3001" s="49"/>
      <c r="AL3001" s="49"/>
      <c r="AM3001" s="49"/>
      <c r="AN3001" s="52" t="str">
        <f t="shared" si="5"/>
        <v>pack,</v>
      </c>
      <c r="AP3001" s="49"/>
      <c r="AQ3001" s="49"/>
      <c r="AR3001" s="49"/>
      <c r="AS3001" s="49"/>
      <c r="AT3001" s="49"/>
    </row>
    <row r="3002">
      <c r="A3002" s="51"/>
      <c r="B3002" s="50" t="s">
        <v>6426</v>
      </c>
      <c r="C3002" s="50" t="s">
        <v>4780</v>
      </c>
      <c r="D3002" s="49" t="str">
        <f>IFERROR(__xludf.DUMMYFUNCTION("""COMPUTED_VALUE"""),"threatened")</f>
        <v>threatened</v>
      </c>
      <c r="E3002" s="49"/>
      <c r="F3002" s="49"/>
      <c r="G3002" s="49"/>
      <c r="H3002" s="54" t="str">
        <f t="shared" si="1"/>
        <v>explanation,</v>
      </c>
      <c r="I3002" s="50"/>
      <c r="J3002" s="50"/>
      <c r="K3002" s="50" t="s">
        <v>4579</v>
      </c>
      <c r="L3002" s="49"/>
      <c r="M3002" s="49"/>
      <c r="N3002" s="49"/>
      <c r="O3002" s="49"/>
      <c r="P3002" s="49" t="str">
        <f t="shared" si="2"/>
        <v>,</v>
      </c>
      <c r="Q3002" s="49"/>
      <c r="R3002" s="49"/>
      <c r="S3002" s="55" t="s">
        <v>1735</v>
      </c>
      <c r="T3002" s="49"/>
      <c r="U3002" s="49"/>
      <c r="V3002" s="49"/>
      <c r="W3002" s="49"/>
      <c r="X3002" s="49" t="str">
        <f t="shared" si="3"/>
        <v>,</v>
      </c>
      <c r="Y3002" s="49"/>
      <c r="Z3002" s="49"/>
      <c r="AB3002" s="49"/>
      <c r="AC3002" s="49"/>
      <c r="AD3002" s="49"/>
      <c r="AE3002" s="49"/>
      <c r="AF3002" s="49"/>
      <c r="AG3002" s="49"/>
      <c r="AH3002" s="1" t="s">
        <v>5787</v>
      </c>
      <c r="AI3002" s="1" t="s">
        <v>6908</v>
      </c>
      <c r="AJ3002" s="6" t="str">
        <f>IFERROR(__xludf.DUMMYFUNCTION("""COMPUTED_VALUE"""),"shell")</f>
        <v>shell</v>
      </c>
      <c r="AK3002" s="49"/>
      <c r="AL3002" s="49"/>
      <c r="AM3002" s="49"/>
      <c r="AN3002" s="52" t="str">
        <f t="shared" si="5"/>
        <v>forum,</v>
      </c>
      <c r="AP3002" s="49"/>
      <c r="AQ3002" s="49"/>
      <c r="AR3002" s="49"/>
      <c r="AS3002" s="49"/>
      <c r="AT3002" s="49"/>
    </row>
    <row r="3003">
      <c r="A3003" s="51"/>
      <c r="B3003" s="50" t="s">
        <v>1644</v>
      </c>
      <c r="C3003" s="50" t="s">
        <v>6810</v>
      </c>
      <c r="D3003" s="49" t="str">
        <f>IFERROR(__xludf.DUMMYFUNCTION("""COMPUTED_VALUE"""),"listen")</f>
        <v>listen</v>
      </c>
      <c r="E3003" s="49"/>
      <c r="F3003" s="49"/>
      <c r="G3003" s="49"/>
      <c r="H3003" s="54" t="str">
        <f t="shared" si="1"/>
        <v>east,</v>
      </c>
      <c r="I3003" s="50"/>
      <c r="J3003" s="50"/>
      <c r="K3003" s="50" t="s">
        <v>5533</v>
      </c>
      <c r="L3003" s="49"/>
      <c r="M3003" s="49"/>
      <c r="N3003" s="49"/>
      <c r="O3003" s="49"/>
      <c r="P3003" s="49" t="str">
        <f t="shared" si="2"/>
        <v>,</v>
      </c>
      <c r="Q3003" s="49"/>
      <c r="R3003" s="49"/>
      <c r="S3003" s="55" t="s">
        <v>5931</v>
      </c>
      <c r="T3003" s="49"/>
      <c r="U3003" s="49"/>
      <c r="V3003" s="49"/>
      <c r="W3003" s="49"/>
      <c r="X3003" s="49" t="str">
        <f t="shared" si="3"/>
        <v>,</v>
      </c>
      <c r="Y3003" s="49"/>
      <c r="Z3003" s="49"/>
      <c r="AB3003" s="49"/>
      <c r="AC3003" s="49"/>
      <c r="AD3003" s="49"/>
      <c r="AE3003" s="49"/>
      <c r="AF3003" s="49"/>
      <c r="AG3003" s="49"/>
      <c r="AH3003" s="1" t="s">
        <v>3658</v>
      </c>
      <c r="AI3003" s="1" t="s">
        <v>6909</v>
      </c>
      <c r="AJ3003" s="6" t="str">
        <f>IFERROR(__xludf.DUMMYFUNCTION("""COMPUTED_VALUE"""),"edges")</f>
        <v>edges</v>
      </c>
      <c r="AK3003" s="49"/>
      <c r="AL3003" s="49"/>
      <c r="AM3003" s="49"/>
      <c r="AN3003" s="52" t="str">
        <f t="shared" si="5"/>
        <v>chest,</v>
      </c>
      <c r="AP3003" s="49"/>
      <c r="AQ3003" s="49"/>
      <c r="AR3003" s="49"/>
      <c r="AS3003" s="49"/>
      <c r="AT3003" s="49"/>
    </row>
    <row r="3004">
      <c r="A3004" s="51"/>
      <c r="B3004" s="50" t="s">
        <v>3694</v>
      </c>
      <c r="C3004" s="50" t="s">
        <v>5242</v>
      </c>
      <c r="D3004" s="49" t="str">
        <f>IFERROR(__xludf.DUMMYFUNCTION("""COMPUTED_VALUE"""),"months")</f>
        <v>months</v>
      </c>
      <c r="E3004" s="49"/>
      <c r="F3004" s="49"/>
      <c r="G3004" s="49"/>
      <c r="H3004" s="54" t="str">
        <f t="shared" si="1"/>
        <v>marine,</v>
      </c>
      <c r="I3004" s="50"/>
      <c r="J3004" s="50"/>
      <c r="K3004" s="50" t="s">
        <v>2786</v>
      </c>
      <c r="L3004" s="49"/>
      <c r="M3004" s="49"/>
      <c r="N3004" s="49"/>
      <c r="O3004" s="49"/>
      <c r="P3004" s="49" t="str">
        <f t="shared" si="2"/>
        <v>,</v>
      </c>
      <c r="Q3004" s="49"/>
      <c r="R3004" s="49"/>
      <c r="S3004" s="55" t="s">
        <v>4487</v>
      </c>
      <c r="T3004" s="49"/>
      <c r="U3004" s="49"/>
      <c r="V3004" s="49"/>
      <c r="W3004" s="49"/>
      <c r="X3004" s="49" t="str">
        <f t="shared" si="3"/>
        <v>,</v>
      </c>
      <c r="Y3004" s="49"/>
      <c r="Z3004" s="49"/>
      <c r="AB3004" s="49"/>
      <c r="AC3004" s="49"/>
      <c r="AD3004" s="49"/>
      <c r="AE3004" s="49"/>
      <c r="AF3004" s="49"/>
      <c r="AG3004" s="49"/>
      <c r="AH3004" s="1" t="s">
        <v>3454</v>
      </c>
      <c r="AI3004" s="1" t="s">
        <v>6057</v>
      </c>
      <c r="AJ3004" s="6" t="str">
        <f>IFERROR(__xludf.DUMMYFUNCTION("""COMPUTED_VALUE"""),"collected")</f>
        <v>collected</v>
      </c>
      <c r="AK3004" s="49"/>
      <c r="AL3004" s="49"/>
      <c r="AM3004" s="49"/>
      <c r="AN3004" s="52" t="str">
        <f t="shared" si="5"/>
        <v>delhi,</v>
      </c>
      <c r="AP3004" s="49"/>
      <c r="AQ3004" s="49"/>
      <c r="AR3004" s="49"/>
      <c r="AS3004" s="49"/>
      <c r="AT3004" s="49"/>
    </row>
    <row r="3005">
      <c r="A3005" s="51"/>
      <c r="B3005" s="50" t="s">
        <v>3524</v>
      </c>
      <c r="C3005" s="50" t="s">
        <v>4204</v>
      </c>
      <c r="D3005" s="49">
        <f>IFERROR(__xludf.DUMMYFUNCTION("""COMPUTED_VALUE"""),1958.0)</f>
        <v>1958</v>
      </c>
      <c r="E3005" s="49"/>
      <c r="F3005" s="49"/>
      <c r="G3005" s="49"/>
      <c r="H3005" s="54" t="str">
        <f t="shared" si="1"/>
        <v>vietnam,</v>
      </c>
      <c r="I3005" s="50"/>
      <c r="J3005" s="50"/>
      <c r="K3005" s="50" t="s">
        <v>5536</v>
      </c>
      <c r="L3005" s="49"/>
      <c r="M3005" s="49"/>
      <c r="N3005" s="49"/>
      <c r="O3005" s="49"/>
      <c r="P3005" s="49" t="str">
        <f t="shared" si="2"/>
        <v>,</v>
      </c>
      <c r="Q3005" s="49"/>
      <c r="R3005" s="49"/>
      <c r="S3005" s="55" t="s">
        <v>6910</v>
      </c>
      <c r="T3005" s="49"/>
      <c r="U3005" s="49"/>
      <c r="V3005" s="49"/>
      <c r="W3005" s="49"/>
      <c r="X3005" s="49" t="str">
        <f t="shared" si="3"/>
        <v>,</v>
      </c>
      <c r="Y3005" s="49"/>
      <c r="Z3005" s="49"/>
      <c r="AB3005" s="49"/>
      <c r="AC3005" s="49"/>
      <c r="AD3005" s="49"/>
      <c r="AE3005" s="49"/>
      <c r="AF3005" s="49"/>
      <c r="AG3005" s="49"/>
      <c r="AH3005" s="1" t="s">
        <v>7666</v>
      </c>
      <c r="AI3005" s="1" t="s">
        <v>4886</v>
      </c>
      <c r="AJ3005" s="6" t="str">
        <f>IFERROR(__xludf.DUMMYFUNCTION("""COMPUTED_VALUE"""),"exit")</f>
        <v>exit</v>
      </c>
      <c r="AK3005" s="49"/>
      <c r="AL3005" s="49"/>
      <c r="AM3005" s="49"/>
      <c r="AN3005" s="52" t="str">
        <f t="shared" si="5"/>
        <v>luke,</v>
      </c>
      <c r="AP3005" s="49"/>
      <c r="AQ3005" s="49"/>
      <c r="AR3005" s="49"/>
      <c r="AS3005" s="49"/>
      <c r="AT3005" s="49"/>
    </row>
    <row r="3006">
      <c r="A3006" s="51"/>
      <c r="B3006" s="50" t="s">
        <v>6394</v>
      </c>
      <c r="C3006" s="50" t="s">
        <v>4999</v>
      </c>
      <c r="D3006" s="49" t="str">
        <f>IFERROR(__xludf.DUMMYFUNCTION("""COMPUTED_VALUE"""),"races")</f>
        <v>races</v>
      </c>
      <c r="E3006" s="49"/>
      <c r="F3006" s="49"/>
      <c r="G3006" s="49"/>
      <c r="H3006" s="54" t="str">
        <f t="shared" si="1"/>
        <v>terry,</v>
      </c>
      <c r="I3006" s="50"/>
      <c r="J3006" s="50"/>
      <c r="K3006" s="50" t="s">
        <v>2790</v>
      </c>
      <c r="L3006" s="49"/>
      <c r="M3006" s="49"/>
      <c r="N3006" s="49"/>
      <c r="O3006" s="49"/>
      <c r="P3006" s="49" t="str">
        <f t="shared" si="2"/>
        <v>,</v>
      </c>
      <c r="Q3006" s="49"/>
      <c r="R3006" s="49"/>
      <c r="S3006" s="55" t="s">
        <v>4924</v>
      </c>
      <c r="T3006" s="49"/>
      <c r="U3006" s="49"/>
      <c r="V3006" s="49"/>
      <c r="W3006" s="49"/>
      <c r="X3006" s="49" t="str">
        <f t="shared" si="3"/>
        <v>,</v>
      </c>
      <c r="Y3006" s="49"/>
      <c r="Z3006" s="49"/>
      <c r="AB3006" s="49"/>
      <c r="AC3006" s="49"/>
      <c r="AD3006" s="49"/>
      <c r="AE3006" s="49"/>
      <c r="AF3006" s="49"/>
      <c r="AG3006" s="49"/>
      <c r="AH3006" s="1" t="s">
        <v>3403</v>
      </c>
      <c r="AI3006" s="1" t="s">
        <v>6911</v>
      </c>
      <c r="AJ3006" s="6" t="str">
        <f>IFERROR(__xludf.DUMMYFUNCTION("""COMPUTED_VALUE"""),"wound")</f>
        <v>wound</v>
      </c>
      <c r="AK3006" s="49"/>
      <c r="AL3006" s="49"/>
      <c r="AM3006" s="49"/>
      <c r="AN3006" s="52" t="str">
        <f t="shared" si="5"/>
        <v>naval,</v>
      </c>
      <c r="AP3006" s="49"/>
      <c r="AQ3006" s="49"/>
      <c r="AR3006" s="49"/>
      <c r="AS3006" s="49"/>
      <c r="AT3006" s="49"/>
    </row>
    <row r="3007">
      <c r="A3007" s="51"/>
      <c r="B3007" s="50" t="s">
        <v>5735</v>
      </c>
      <c r="C3007" s="50" t="s">
        <v>5243</v>
      </c>
      <c r="D3007" s="49" t="str">
        <f>IFERROR(__xludf.DUMMYFUNCTION("""COMPUTED_VALUE"""),"loving")</f>
        <v>loving</v>
      </c>
      <c r="E3007" s="49"/>
      <c r="F3007" s="49"/>
      <c r="G3007" s="49"/>
      <c r="H3007" s="54" t="str">
        <f t="shared" si="1"/>
        <v>harvey,</v>
      </c>
      <c r="I3007" s="50"/>
      <c r="J3007" s="50"/>
      <c r="K3007" s="50" t="s">
        <v>5975</v>
      </c>
      <c r="L3007" s="49"/>
      <c r="M3007" s="49"/>
      <c r="N3007" s="49"/>
      <c r="O3007" s="49"/>
      <c r="P3007" s="49" t="str">
        <f t="shared" si="2"/>
        <v>,</v>
      </c>
      <c r="Q3007" s="49"/>
      <c r="R3007" s="49"/>
      <c r="S3007" s="55" t="s">
        <v>5459</v>
      </c>
      <c r="T3007" s="49"/>
      <c r="U3007" s="49"/>
      <c r="V3007" s="49"/>
      <c r="W3007" s="49"/>
      <c r="X3007" s="49" t="str">
        <f t="shared" si="3"/>
        <v>,</v>
      </c>
      <c r="Y3007" s="49"/>
      <c r="Z3007" s="49"/>
      <c r="AB3007" s="49"/>
      <c r="AC3007" s="49"/>
      <c r="AD3007" s="49"/>
      <c r="AE3007" s="49"/>
      <c r="AF3007" s="49"/>
      <c r="AG3007" s="49"/>
      <c r="AH3007" s="1" t="s">
        <v>2028</v>
      </c>
      <c r="AI3007" s="1" t="s">
        <v>5589</v>
      </c>
      <c r="AJ3007" s="6" t="str">
        <f>IFERROR(__xludf.DUMMYFUNCTION("""COMPUTED_VALUE"""),"proud")</f>
        <v>proud</v>
      </c>
      <c r="AK3007" s="49"/>
      <c r="AL3007" s="49"/>
      <c r="AM3007" s="49"/>
      <c r="AN3007" s="52" t="str">
        <f t="shared" si="5"/>
        <v>radical,</v>
      </c>
      <c r="AP3007" s="49"/>
      <c r="AQ3007" s="49"/>
      <c r="AR3007" s="49"/>
      <c r="AS3007" s="49"/>
      <c r="AT3007" s="49"/>
    </row>
    <row r="3008">
      <c r="A3008" s="51"/>
      <c r="B3008" s="50" t="s">
        <v>5657</v>
      </c>
      <c r="C3008" s="50" t="s">
        <v>5304</v>
      </c>
      <c r="D3008" s="49" t="str">
        <f>IFERROR(__xludf.DUMMYFUNCTION("""COMPUTED_VALUE"""),"literature")</f>
        <v>literature</v>
      </c>
      <c r="E3008" s="49"/>
      <c r="F3008" s="49"/>
      <c r="G3008" s="49"/>
      <c r="H3008" s="54" t="str">
        <f t="shared" si="1"/>
        <v>divorce,</v>
      </c>
      <c r="I3008" s="50"/>
      <c r="J3008" s="50"/>
      <c r="K3008" s="50" t="s">
        <v>1890</v>
      </c>
      <c r="L3008" s="49"/>
      <c r="M3008" s="49"/>
      <c r="N3008" s="49"/>
      <c r="O3008" s="49"/>
      <c r="P3008" s="49" t="str">
        <f t="shared" si="2"/>
        <v>,</v>
      </c>
      <c r="Q3008" s="49"/>
      <c r="R3008" s="49"/>
      <c r="S3008" s="55" t="s">
        <v>4767</v>
      </c>
      <c r="T3008" s="49"/>
      <c r="U3008" s="49"/>
      <c r="V3008" s="49"/>
      <c r="W3008" s="49"/>
      <c r="X3008" s="49" t="str">
        <f t="shared" si="3"/>
        <v>,</v>
      </c>
      <c r="Y3008" s="49"/>
      <c r="Z3008" s="49"/>
      <c r="AB3008" s="49"/>
      <c r="AC3008" s="49"/>
      <c r="AD3008" s="49"/>
      <c r="AE3008" s="49"/>
      <c r="AF3008" s="49"/>
      <c r="AG3008" s="49"/>
      <c r="AH3008" s="1" t="s">
        <v>5969</v>
      </c>
      <c r="AI3008" s="1" t="s">
        <v>5587</v>
      </c>
      <c r="AJ3008" s="6" t="str">
        <f>IFERROR(__xludf.DUMMYFUNCTION("""COMPUTED_VALUE"""),"stayed")</f>
        <v>stayed</v>
      </c>
      <c r="AK3008" s="49"/>
      <c r="AL3008" s="49"/>
      <c r="AM3008" s="49"/>
      <c r="AN3008" s="52" t="str">
        <f t="shared" si="5"/>
        <v>homes,</v>
      </c>
      <c r="AP3008" s="49"/>
      <c r="AQ3008" s="49"/>
      <c r="AR3008" s="49"/>
      <c r="AS3008" s="49"/>
      <c r="AT3008" s="49"/>
    </row>
    <row r="3009">
      <c r="A3009" s="51"/>
      <c r="B3009" s="50" t="s">
        <v>4896</v>
      </c>
      <c r="C3009" s="50" t="s">
        <v>6812</v>
      </c>
      <c r="D3009" s="49" t="str">
        <f>IFERROR(__xludf.DUMMYFUNCTION("""COMPUTED_VALUE"""),"vast")</f>
        <v>vast</v>
      </c>
      <c r="E3009" s="49"/>
      <c r="F3009" s="49"/>
      <c r="G3009" s="49"/>
      <c r="H3009" s="54" t="str">
        <f t="shared" si="1"/>
        <v>losing,</v>
      </c>
      <c r="I3009" s="50"/>
      <c r="J3009" s="50"/>
      <c r="K3009" s="50" t="s">
        <v>4585</v>
      </c>
      <c r="L3009" s="49"/>
      <c r="M3009" s="49"/>
      <c r="N3009" s="49"/>
      <c r="O3009" s="49"/>
      <c r="P3009" s="49" t="str">
        <f t="shared" si="2"/>
        <v>,</v>
      </c>
      <c r="Q3009" s="49"/>
      <c r="R3009" s="49"/>
      <c r="S3009" s="55" t="s">
        <v>1500</v>
      </c>
      <c r="T3009" s="49"/>
      <c r="U3009" s="49"/>
      <c r="V3009" s="49"/>
      <c r="W3009" s="49"/>
      <c r="X3009" s="49" t="str">
        <f t="shared" si="3"/>
        <v>,</v>
      </c>
      <c r="Y3009" s="49"/>
      <c r="Z3009" s="49"/>
      <c r="AB3009" s="49"/>
      <c r="AC3009" s="49"/>
      <c r="AD3009" s="49"/>
      <c r="AE3009" s="49"/>
      <c r="AF3009" s="49"/>
      <c r="AG3009" s="49"/>
      <c r="AH3009" s="1" t="s">
        <v>4119</v>
      </c>
      <c r="AI3009" s="1" t="s">
        <v>5261</v>
      </c>
      <c r="AJ3009" s="6" t="str">
        <f>IFERROR(__xludf.DUMMYFUNCTION("""COMPUTED_VALUE"""),"resistance")</f>
        <v>resistance</v>
      </c>
      <c r="AK3009" s="49"/>
      <c r="AL3009" s="49"/>
      <c r="AM3009" s="49"/>
      <c r="AN3009" s="52" t="str">
        <f t="shared" si="5"/>
        <v>devices,</v>
      </c>
      <c r="AP3009" s="49"/>
      <c r="AQ3009" s="49"/>
      <c r="AR3009" s="49"/>
      <c r="AS3009" s="49"/>
      <c r="AT3009" s="49"/>
    </row>
    <row r="3010">
      <c r="A3010" s="51"/>
      <c r="B3010" s="50" t="s">
        <v>4292</v>
      </c>
      <c r="C3010" s="50" t="s">
        <v>5246</v>
      </c>
      <c r="D3010" s="49" t="str">
        <f>IFERROR(__xludf.DUMMYFUNCTION("""COMPUTED_VALUE"""),"shift")</f>
        <v>shift</v>
      </c>
      <c r="E3010" s="49"/>
      <c r="F3010" s="49"/>
      <c r="G3010" s="49"/>
      <c r="H3010" s="54" t="str">
        <f t="shared" si="1"/>
        <v>stomach,</v>
      </c>
      <c r="I3010" s="50"/>
      <c r="J3010" s="50"/>
      <c r="K3010" s="50" t="s">
        <v>974</v>
      </c>
      <c r="L3010" s="49"/>
      <c r="M3010" s="49"/>
      <c r="N3010" s="49"/>
      <c r="O3010" s="49"/>
      <c r="P3010" s="49" t="str">
        <f t="shared" si="2"/>
        <v>,</v>
      </c>
      <c r="Q3010" s="49"/>
      <c r="R3010" s="49"/>
      <c r="S3010" s="55" t="s">
        <v>5934</v>
      </c>
      <c r="T3010" s="49"/>
      <c r="U3010" s="49"/>
      <c r="V3010" s="49"/>
      <c r="W3010" s="49"/>
      <c r="X3010" s="49" t="str">
        <f t="shared" si="3"/>
        <v>,</v>
      </c>
      <c r="Y3010" s="49"/>
      <c r="Z3010" s="49"/>
      <c r="AB3010" s="49"/>
      <c r="AC3010" s="49"/>
      <c r="AD3010" s="49"/>
      <c r="AE3010" s="49"/>
      <c r="AF3010" s="49"/>
      <c r="AG3010" s="49"/>
      <c r="AH3010" s="1" t="s">
        <v>1187</v>
      </c>
      <c r="AI3010" s="1" t="s">
        <v>4914</v>
      </c>
      <c r="AJ3010" s="6" t="str">
        <f>IFERROR(__xludf.DUMMYFUNCTION("""COMPUTED_VALUE"""),"edition")</f>
        <v>edition</v>
      </c>
      <c r="AK3010" s="49"/>
      <c r="AL3010" s="49"/>
      <c r="AM3010" s="49"/>
      <c r="AN3010" s="52" t="str">
        <f t="shared" si="5"/>
        <v>rejected,</v>
      </c>
      <c r="AP3010" s="49"/>
      <c r="AQ3010" s="49"/>
      <c r="AR3010" s="49"/>
      <c r="AS3010" s="49"/>
      <c r="AT3010" s="49"/>
    </row>
    <row r="3011">
      <c r="A3011" s="51"/>
      <c r="B3011" s="50" t="s">
        <v>3011</v>
      </c>
      <c r="C3011" s="50" t="s">
        <v>5720</v>
      </c>
      <c r="D3011" s="49" t="str">
        <f>IFERROR(__xludf.DUMMYFUNCTION("""COMPUTED_VALUE"""),"frequent")</f>
        <v>frequent</v>
      </c>
      <c r="E3011" s="49"/>
      <c r="F3011" s="49"/>
      <c r="G3011" s="49"/>
      <c r="H3011" s="54" t="str">
        <f t="shared" si="1"/>
        <v>wore,</v>
      </c>
      <c r="I3011" s="50"/>
      <c r="J3011" s="50"/>
      <c r="K3011" s="50" t="s">
        <v>2794</v>
      </c>
      <c r="L3011" s="49"/>
      <c r="M3011" s="49"/>
      <c r="N3011" s="49"/>
      <c r="O3011" s="49"/>
      <c r="P3011" s="49" t="str">
        <f t="shared" si="2"/>
        <v>,</v>
      </c>
      <c r="Q3011" s="49"/>
      <c r="R3011" s="49"/>
      <c r="S3011" s="55" t="s">
        <v>4512</v>
      </c>
      <c r="T3011" s="49"/>
      <c r="U3011" s="49"/>
      <c r="V3011" s="49"/>
      <c r="W3011" s="49"/>
      <c r="X3011" s="49" t="str">
        <f t="shared" si="3"/>
        <v>,</v>
      </c>
      <c r="Y3011" s="49"/>
      <c r="Z3011" s="49"/>
      <c r="AB3011" s="49"/>
      <c r="AC3011" s="49"/>
      <c r="AD3011" s="49"/>
      <c r="AE3011" s="49"/>
      <c r="AF3011" s="49"/>
      <c r="AG3011" s="49"/>
      <c r="AH3011" s="1" t="s">
        <v>1165</v>
      </c>
      <c r="AI3011" s="1" t="s">
        <v>5019</v>
      </c>
      <c r="AJ3011" s="6" t="str">
        <f>IFERROR(__xludf.DUMMYFUNCTION("""COMPUTED_VALUE"""),"significantly")</f>
        <v>significantly</v>
      </c>
      <c r="AK3011" s="49"/>
      <c r="AL3011" s="49"/>
      <c r="AM3011" s="49"/>
      <c r="AN3011" s="52" t="str">
        <f t="shared" si="5"/>
        <v>quietly,</v>
      </c>
      <c r="AP3011" s="49"/>
      <c r="AQ3011" s="49"/>
      <c r="AR3011" s="49"/>
      <c r="AS3011" s="49"/>
      <c r="AT3011" s="49"/>
    </row>
    <row r="3012">
      <c r="A3012" s="51"/>
      <c r="B3012" s="50" t="s">
        <v>5033</v>
      </c>
      <c r="C3012" s="50" t="s">
        <v>6813</v>
      </c>
      <c r="D3012" s="49" t="str">
        <f>IFERROR(__xludf.DUMMYFUNCTION("""COMPUTED_VALUE"""),"mid")</f>
        <v>mid</v>
      </c>
      <c r="E3012" s="49"/>
      <c r="F3012" s="49"/>
      <c r="G3012" s="49"/>
      <c r="H3012" s="54" t="str">
        <f t="shared" si="1"/>
        <v>require,</v>
      </c>
      <c r="I3012" s="50"/>
      <c r="J3012" s="50"/>
      <c r="K3012" s="50" t="s">
        <v>5541</v>
      </c>
      <c r="L3012" s="49"/>
      <c r="M3012" s="49"/>
      <c r="N3012" s="49"/>
      <c r="O3012" s="49"/>
      <c r="P3012" s="49" t="str">
        <f t="shared" si="2"/>
        <v>,</v>
      </c>
      <c r="Q3012" s="49"/>
      <c r="R3012" s="49"/>
      <c r="S3012" s="55" t="s">
        <v>6912</v>
      </c>
      <c r="T3012" s="49"/>
      <c r="U3012" s="49"/>
      <c r="V3012" s="49"/>
      <c r="W3012" s="49"/>
      <c r="X3012" s="49" t="str">
        <f t="shared" si="3"/>
        <v>,</v>
      </c>
      <c r="Y3012" s="49"/>
      <c r="Z3012" s="49"/>
      <c r="AB3012" s="49"/>
      <c r="AC3012" s="49"/>
      <c r="AD3012" s="49"/>
      <c r="AE3012" s="49"/>
      <c r="AF3012" s="49"/>
      <c r="AG3012" s="49"/>
      <c r="AH3012" s="1" t="s">
        <v>5763</v>
      </c>
      <c r="AI3012" s="1" t="s">
        <v>4992</v>
      </c>
      <c r="AJ3012" s="6" t="str">
        <f>IFERROR(__xludf.DUMMYFUNCTION("""COMPUTED_VALUE"""),"pleased")</f>
        <v>pleased</v>
      </c>
      <c r="AK3012" s="49"/>
      <c r="AL3012" s="49"/>
      <c r="AM3012" s="49"/>
      <c r="AN3012" s="52" t="str">
        <f t="shared" si="5"/>
        <v>analysis,</v>
      </c>
      <c r="AP3012" s="49"/>
      <c r="AQ3012" s="49"/>
      <c r="AR3012" s="49"/>
      <c r="AS3012" s="49"/>
      <c r="AT3012" s="49"/>
    </row>
    <row r="3013">
      <c r="A3013" s="51"/>
      <c r="B3013" s="50" t="s">
        <v>3940</v>
      </c>
      <c r="C3013" s="50" t="s">
        <v>6814</v>
      </c>
      <c r="D3013" s="49" t="str">
        <f>IFERROR(__xludf.DUMMYFUNCTION("""COMPUTED_VALUE"""),"drink")</f>
        <v>drink</v>
      </c>
      <c r="E3013" s="49"/>
      <c r="F3013" s="49"/>
      <c r="G3013" s="49"/>
      <c r="H3013" s="54" t="str">
        <f t="shared" si="1"/>
        <v>grip,</v>
      </c>
      <c r="I3013" s="50"/>
      <c r="J3013" s="50"/>
      <c r="K3013" s="50" t="s">
        <v>5542</v>
      </c>
      <c r="L3013" s="49"/>
      <c r="M3013" s="49"/>
      <c r="N3013" s="49"/>
      <c r="O3013" s="49"/>
      <c r="P3013" s="49" t="str">
        <f t="shared" si="2"/>
        <v>,</v>
      </c>
      <c r="Q3013" s="49"/>
      <c r="R3013" s="49"/>
      <c r="S3013" s="55" t="s">
        <v>6913</v>
      </c>
      <c r="T3013" s="49"/>
      <c r="U3013" s="49"/>
      <c r="V3013" s="49"/>
      <c r="W3013" s="49"/>
      <c r="X3013" s="49" t="str">
        <f t="shared" si="3"/>
        <v>,</v>
      </c>
      <c r="Y3013" s="49"/>
      <c r="Z3013" s="49"/>
      <c r="AB3013" s="49"/>
      <c r="AC3013" s="49"/>
      <c r="AD3013" s="49"/>
      <c r="AE3013" s="49"/>
      <c r="AF3013" s="49"/>
      <c r="AG3013" s="49"/>
      <c r="AH3013" s="1" t="s">
        <v>701</v>
      </c>
      <c r="AI3013" s="1" t="s">
        <v>5592</v>
      </c>
      <c r="AJ3013" s="6" t="str">
        <f>IFERROR(__xludf.DUMMYFUNCTION("""COMPUTED_VALUE"""),"conducted")</f>
        <v>conducted</v>
      </c>
      <c r="AK3013" s="49"/>
      <c r="AL3013" s="49"/>
      <c r="AM3013" s="49"/>
      <c r="AN3013" s="52" t="str">
        <f t="shared" si="5"/>
        <v>longest,</v>
      </c>
      <c r="AP3013" s="49"/>
      <c r="AQ3013" s="49"/>
      <c r="AR3013" s="49"/>
      <c r="AS3013" s="49"/>
      <c r="AT3013" s="49"/>
    </row>
    <row r="3014">
      <c r="A3014" s="51"/>
      <c r="B3014" s="50" t="s">
        <v>543</v>
      </c>
      <c r="C3014" s="50" t="s">
        <v>5722</v>
      </c>
      <c r="D3014" s="49" t="str">
        <f>IFERROR(__xludf.DUMMYFUNCTION("""COMPUTED_VALUE"""),"feet")</f>
        <v>feet</v>
      </c>
      <c r="E3014" s="49"/>
      <c r="F3014" s="49"/>
      <c r="G3014" s="49"/>
      <c r="H3014" s="54" t="str">
        <f t="shared" si="1"/>
        <v>portrait,</v>
      </c>
      <c r="I3014" s="50"/>
      <c r="J3014" s="50"/>
      <c r="K3014" s="50" t="s">
        <v>1578</v>
      </c>
      <c r="L3014" s="49"/>
      <c r="M3014" s="49"/>
      <c r="N3014" s="49"/>
      <c r="O3014" s="49"/>
      <c r="P3014" s="49" t="str">
        <f t="shared" si="2"/>
        <v>,</v>
      </c>
      <c r="Q3014" s="49"/>
      <c r="R3014" s="49"/>
      <c r="S3014" s="55" t="s">
        <v>5463</v>
      </c>
      <c r="T3014" s="49"/>
      <c r="U3014" s="49"/>
      <c r="V3014" s="49"/>
      <c r="W3014" s="49"/>
      <c r="X3014" s="49" t="str">
        <f t="shared" si="3"/>
        <v>,</v>
      </c>
      <c r="Y3014" s="49"/>
      <c r="Z3014" s="49"/>
      <c r="AB3014" s="49"/>
      <c r="AC3014" s="49"/>
      <c r="AD3014" s="49"/>
      <c r="AE3014" s="49"/>
      <c r="AF3014" s="49"/>
      <c r="AG3014" s="49"/>
      <c r="AH3014" s="1" t="s">
        <v>6860</v>
      </c>
      <c r="AI3014" s="1" t="s">
        <v>1644</v>
      </c>
      <c r="AJ3014" s="6" t="str">
        <f>IFERROR(__xludf.DUMMYFUNCTION("""COMPUTED_VALUE"""),"personnel")</f>
        <v>personnel</v>
      </c>
      <c r="AK3014" s="49"/>
      <c r="AL3014" s="49"/>
      <c r="AM3014" s="49"/>
      <c r="AN3014" s="52" t="str">
        <f t="shared" si="5"/>
        <v>strategy,</v>
      </c>
      <c r="AP3014" s="49"/>
      <c r="AQ3014" s="49"/>
      <c r="AR3014" s="49"/>
      <c r="AS3014" s="49"/>
      <c r="AT3014" s="49"/>
    </row>
    <row r="3015">
      <c r="A3015" s="51"/>
      <c r="B3015" s="50" t="s">
        <v>2999</v>
      </c>
      <c r="C3015" s="50" t="s">
        <v>1834</v>
      </c>
      <c r="D3015" s="49" t="str">
        <f>IFERROR(__xludf.DUMMYFUNCTION("""COMPUTED_VALUE"""),"arms")</f>
        <v>arms</v>
      </c>
      <c r="E3015" s="49"/>
      <c r="F3015" s="49"/>
      <c r="G3015" s="49"/>
      <c r="H3015" s="54" t="str">
        <f t="shared" si="1"/>
        <v>immediate,</v>
      </c>
      <c r="I3015" s="50"/>
      <c r="J3015" s="50"/>
      <c r="K3015" s="50" t="s">
        <v>2798</v>
      </c>
      <c r="L3015" s="49"/>
      <c r="M3015" s="49"/>
      <c r="N3015" s="49"/>
      <c r="O3015" s="49"/>
      <c r="P3015" s="49" t="str">
        <f t="shared" si="2"/>
        <v>,</v>
      </c>
      <c r="Q3015" s="49"/>
      <c r="R3015" s="49"/>
      <c r="S3015" s="55" t="s">
        <v>1387</v>
      </c>
      <c r="T3015" s="49"/>
      <c r="U3015" s="49"/>
      <c r="V3015" s="49"/>
      <c r="W3015" s="49"/>
      <c r="X3015" s="49" t="str">
        <f t="shared" si="3"/>
        <v>,</v>
      </c>
      <c r="Y3015" s="49"/>
      <c r="Z3015" s="49"/>
      <c r="AB3015" s="49"/>
      <c r="AC3015" s="49"/>
      <c r="AD3015" s="49"/>
      <c r="AE3015" s="49"/>
      <c r="AF3015" s="49"/>
      <c r="AG3015" s="49"/>
      <c r="AH3015" s="1" t="s">
        <v>3599</v>
      </c>
      <c r="AI3015" s="1" t="s">
        <v>3455</v>
      </c>
      <c r="AJ3015" s="6" t="str">
        <f>IFERROR(__xludf.DUMMYFUNCTION("""COMPUTED_VALUE"""),"religion")</f>
        <v>religion</v>
      </c>
      <c r="AK3015" s="49"/>
      <c r="AL3015" s="49"/>
      <c r="AM3015" s="49"/>
      <c r="AN3015" s="52" t="str">
        <f t="shared" si="5"/>
        <v>shake,</v>
      </c>
      <c r="AP3015" s="49"/>
      <c r="AQ3015" s="49"/>
      <c r="AR3015" s="49"/>
      <c r="AS3015" s="49"/>
      <c r="AT3015" s="49"/>
    </row>
    <row r="3016">
      <c r="A3016" s="51"/>
      <c r="B3016" s="50">
        <v>94.0</v>
      </c>
      <c r="C3016" s="50" t="s">
        <v>6815</v>
      </c>
      <c r="D3016" s="49" t="str">
        <f>IFERROR(__xludf.DUMMYFUNCTION("""COMPUTED_VALUE"""),"squad")</f>
        <v>squad</v>
      </c>
      <c r="E3016" s="49"/>
      <c r="F3016" s="49"/>
      <c r="G3016" s="49"/>
      <c r="H3016" s="54" t="str">
        <f t="shared" si="1"/>
        <v>94,</v>
      </c>
      <c r="I3016" s="50"/>
      <c r="J3016" s="50"/>
      <c r="K3016" s="50" t="s">
        <v>3776</v>
      </c>
      <c r="L3016" s="49"/>
      <c r="M3016" s="49"/>
      <c r="N3016" s="49"/>
      <c r="O3016" s="49"/>
      <c r="P3016" s="49" t="str">
        <f t="shared" si="2"/>
        <v>,</v>
      </c>
      <c r="Q3016" s="49"/>
      <c r="R3016" s="49"/>
      <c r="S3016" s="55" t="s">
        <v>1507</v>
      </c>
      <c r="T3016" s="49"/>
      <c r="U3016" s="49"/>
      <c r="V3016" s="49"/>
      <c r="W3016" s="49"/>
      <c r="X3016" s="49" t="str">
        <f t="shared" si="3"/>
        <v>,</v>
      </c>
      <c r="Y3016" s="49"/>
      <c r="Z3016" s="49"/>
      <c r="AB3016" s="49"/>
      <c r="AC3016" s="49"/>
      <c r="AD3016" s="49"/>
      <c r="AE3016" s="49"/>
      <c r="AF3016" s="49"/>
      <c r="AG3016" s="49"/>
      <c r="AH3016" s="1" t="s">
        <v>4120</v>
      </c>
      <c r="AI3016" s="1" t="s">
        <v>732</v>
      </c>
      <c r="AJ3016" s="6">
        <f>IFERROR(__xludf.DUMMYFUNCTION("""COMPUTED_VALUE"""),21.0)</f>
        <v>21</v>
      </c>
      <c r="AK3016" s="49"/>
      <c r="AL3016" s="49"/>
      <c r="AM3016" s="49"/>
      <c r="AN3016" s="52" t="str">
        <f t="shared" si="5"/>
        <v>manhattan,</v>
      </c>
      <c r="AP3016" s="49"/>
      <c r="AQ3016" s="49"/>
      <c r="AR3016" s="49"/>
      <c r="AS3016" s="49"/>
      <c r="AT3016" s="49"/>
    </row>
    <row r="3017">
      <c r="A3017" s="51"/>
      <c r="B3017" s="50" t="s">
        <v>2907</v>
      </c>
      <c r="C3017" s="50" t="s">
        <v>6831</v>
      </c>
      <c r="D3017" s="49" t="str">
        <f>IFERROR(__xludf.DUMMYFUNCTION("""COMPUTED_VALUE"""),"feelings")</f>
        <v>feelings</v>
      </c>
      <c r="E3017" s="49"/>
      <c r="F3017" s="49"/>
      <c r="G3017" s="49"/>
      <c r="H3017" s="54" t="str">
        <f t="shared" si="1"/>
        <v>development,</v>
      </c>
      <c r="I3017" s="50"/>
      <c r="J3017" s="50"/>
      <c r="K3017" s="50" t="s">
        <v>5415</v>
      </c>
      <c r="L3017" s="49"/>
      <c r="M3017" s="49"/>
      <c r="N3017" s="49"/>
      <c r="O3017" s="49"/>
      <c r="P3017" s="49" t="str">
        <f t="shared" si="2"/>
        <v>,</v>
      </c>
      <c r="Q3017" s="49"/>
      <c r="R3017" s="49"/>
      <c r="S3017" s="55">
        <v>94.0</v>
      </c>
      <c r="T3017" s="49"/>
      <c r="U3017" s="49"/>
      <c r="V3017" s="49"/>
      <c r="W3017" s="49"/>
      <c r="X3017" s="49" t="str">
        <f t="shared" si="3"/>
        <v>,</v>
      </c>
      <c r="Y3017" s="49"/>
      <c r="Z3017" s="49"/>
      <c r="AB3017" s="49"/>
      <c r="AC3017" s="49"/>
      <c r="AD3017" s="49"/>
      <c r="AE3017" s="49"/>
      <c r="AF3017" s="49"/>
      <c r="AG3017" s="49"/>
      <c r="AH3017" s="1" t="s">
        <v>6381</v>
      </c>
      <c r="AI3017" s="1" t="s">
        <v>6914</v>
      </c>
      <c r="AJ3017" s="6" t="str">
        <f>IFERROR(__xludf.DUMMYFUNCTION("""COMPUTED_VALUE"""),"severe")</f>
        <v>severe</v>
      </c>
      <c r="AK3017" s="49"/>
      <c r="AL3017" s="49"/>
      <c r="AM3017" s="49"/>
      <c r="AN3017" s="52" t="str">
        <f t="shared" si="5"/>
        <v>outstanding,</v>
      </c>
      <c r="AP3017" s="49"/>
      <c r="AQ3017" s="49"/>
      <c r="AR3017" s="49"/>
      <c r="AS3017" s="49"/>
      <c r="AT3017" s="49"/>
    </row>
    <row r="3018">
      <c r="A3018" s="51"/>
      <c r="B3018" s="50" t="s">
        <v>5139</v>
      </c>
      <c r="C3018" s="50" t="s">
        <v>4215</v>
      </c>
      <c r="D3018" s="49" t="str">
        <f>IFERROR(__xludf.DUMMYFUNCTION("""COMPUTED_VALUE"""),"insane")</f>
        <v>insane</v>
      </c>
      <c r="E3018" s="49"/>
      <c r="F3018" s="49"/>
      <c r="G3018" s="49"/>
      <c r="H3018" s="54" t="str">
        <f t="shared" si="1"/>
        <v>layer,</v>
      </c>
      <c r="I3018" s="50"/>
      <c r="J3018" s="50"/>
      <c r="K3018" s="50" t="s">
        <v>2800</v>
      </c>
      <c r="L3018" s="49"/>
      <c r="M3018" s="49"/>
      <c r="N3018" s="49"/>
      <c r="O3018" s="49"/>
      <c r="P3018" s="49" t="str">
        <f t="shared" si="2"/>
        <v>,</v>
      </c>
      <c r="Q3018" s="49"/>
      <c r="R3018" s="49"/>
      <c r="S3018" s="55" t="s">
        <v>6886</v>
      </c>
      <c r="T3018" s="49"/>
      <c r="U3018" s="49"/>
      <c r="V3018" s="49"/>
      <c r="W3018" s="49"/>
      <c r="X3018" s="49" t="str">
        <f t="shared" si="3"/>
        <v>,</v>
      </c>
      <c r="Y3018" s="49"/>
      <c r="Z3018" s="49"/>
      <c r="AB3018" s="49"/>
      <c r="AC3018" s="49"/>
      <c r="AD3018" s="49"/>
      <c r="AE3018" s="49"/>
      <c r="AF3018" s="49"/>
      <c r="AG3018" s="49"/>
      <c r="AH3018" s="1" t="s">
        <v>6621</v>
      </c>
      <c r="AI3018" s="1" t="s">
        <v>6915</v>
      </c>
      <c r="AJ3018" s="6" t="str">
        <f>IFERROR(__xludf.DUMMYFUNCTION("""COMPUTED_VALUE"""),"function")</f>
        <v>function</v>
      </c>
      <c r="AK3018" s="49"/>
      <c r="AL3018" s="49"/>
      <c r="AM3018" s="49"/>
      <c r="AN3018" s="52" t="str">
        <f t="shared" si="5"/>
        <v>resulted,</v>
      </c>
      <c r="AP3018" s="49"/>
      <c r="AQ3018" s="49"/>
      <c r="AR3018" s="49"/>
      <c r="AS3018" s="49"/>
      <c r="AT3018" s="49"/>
    </row>
    <row r="3019">
      <c r="A3019" s="51"/>
      <c r="B3019" s="50" t="s">
        <v>7017</v>
      </c>
      <c r="C3019" s="50" t="s">
        <v>5251</v>
      </c>
      <c r="D3019" s="49" t="str">
        <f>IFERROR(__xludf.DUMMYFUNCTION("""COMPUTED_VALUE"""),"involve")</f>
        <v>involve</v>
      </c>
      <c r="E3019" s="49"/>
      <c r="F3019" s="49"/>
      <c r="G3019" s="49"/>
      <c r="H3019" s="54" t="str">
        <f t="shared" si="1"/>
        <v>acres,</v>
      </c>
      <c r="I3019" s="50"/>
      <c r="J3019" s="50"/>
      <c r="K3019" s="50" t="s">
        <v>3630</v>
      </c>
      <c r="L3019" s="49"/>
      <c r="M3019" s="49"/>
      <c r="N3019" s="49"/>
      <c r="O3019" s="49"/>
      <c r="P3019" s="49" t="str">
        <f t="shared" si="2"/>
        <v>,</v>
      </c>
      <c r="Q3019" s="49"/>
      <c r="R3019" s="49"/>
      <c r="S3019" s="55" t="s">
        <v>1514</v>
      </c>
      <c r="T3019" s="49"/>
      <c r="U3019" s="49"/>
      <c r="V3019" s="49"/>
      <c r="W3019" s="49"/>
      <c r="X3019" s="49" t="str">
        <f t="shared" si="3"/>
        <v>,</v>
      </c>
      <c r="Y3019" s="49"/>
      <c r="Z3019" s="49"/>
      <c r="AB3019" s="49"/>
      <c r="AC3019" s="49"/>
      <c r="AD3019" s="49"/>
      <c r="AE3019" s="49"/>
      <c r="AF3019" s="49"/>
      <c r="AG3019" s="49"/>
      <c r="AH3019" s="1" t="s">
        <v>2019</v>
      </c>
      <c r="AI3019" s="1" t="s">
        <v>6916</v>
      </c>
      <c r="AJ3019" s="6" t="str">
        <f>IFERROR(__xludf.DUMMYFUNCTION("""COMPUTED_VALUE"""),"classical")</f>
        <v>classical</v>
      </c>
      <c r="AK3019" s="49"/>
      <c r="AL3019" s="49"/>
      <c r="AM3019" s="49"/>
      <c r="AN3019" s="52" t="str">
        <f t="shared" si="5"/>
        <v>closely,</v>
      </c>
      <c r="AP3019" s="49"/>
      <c r="AQ3019" s="49"/>
      <c r="AR3019" s="49"/>
      <c r="AS3019" s="49"/>
      <c r="AT3019" s="49"/>
    </row>
    <row r="3020">
      <c r="A3020" s="51"/>
      <c r="B3020" s="50" t="s">
        <v>1509</v>
      </c>
      <c r="C3020" s="50" t="s">
        <v>969</v>
      </c>
      <c r="D3020" s="49" t="str">
        <f>IFERROR(__xludf.DUMMYFUNCTION("""COMPUTED_VALUE"""),"player")</f>
        <v>player</v>
      </c>
      <c r="E3020" s="49"/>
      <c r="F3020" s="49"/>
      <c r="G3020" s="49"/>
      <c r="H3020" s="54" t="str">
        <f t="shared" si="1"/>
        <v>bound,</v>
      </c>
      <c r="I3020" s="50"/>
      <c r="J3020" s="50"/>
      <c r="K3020" s="50" t="s">
        <v>3784</v>
      </c>
      <c r="L3020" s="49"/>
      <c r="M3020" s="49"/>
      <c r="N3020" s="49"/>
      <c r="O3020" s="49"/>
      <c r="P3020" s="49" t="str">
        <f t="shared" si="2"/>
        <v>,</v>
      </c>
      <c r="Q3020" s="49"/>
      <c r="R3020" s="49"/>
      <c r="S3020" s="55" t="s">
        <v>6917</v>
      </c>
      <c r="T3020" s="49"/>
      <c r="U3020" s="49"/>
      <c r="V3020" s="49"/>
      <c r="W3020" s="49"/>
      <c r="X3020" s="49" t="str">
        <f t="shared" si="3"/>
        <v>,</v>
      </c>
      <c r="Y3020" s="49"/>
      <c r="Z3020" s="49"/>
      <c r="AB3020" s="49"/>
      <c r="AC3020" s="49"/>
      <c r="AD3020" s="49"/>
      <c r="AE3020" s="49"/>
      <c r="AF3020" s="49"/>
      <c r="AG3020" s="49"/>
      <c r="AH3020" s="1" t="s">
        <v>2507</v>
      </c>
      <c r="AI3020" s="1" t="s">
        <v>3806</v>
      </c>
      <c r="AJ3020" s="6" t="str">
        <f>IFERROR(__xludf.DUMMYFUNCTION("""COMPUTED_VALUE"""),"native")</f>
        <v>native</v>
      </c>
      <c r="AK3020" s="49"/>
      <c r="AL3020" s="49"/>
      <c r="AM3020" s="49"/>
      <c r="AN3020" s="52" t="str">
        <f t="shared" si="5"/>
        <v>process,</v>
      </c>
      <c r="AP3020" s="49"/>
      <c r="AQ3020" s="49"/>
      <c r="AR3020" s="49"/>
      <c r="AS3020" s="49"/>
      <c r="AT3020" s="49"/>
    </row>
    <row r="3021">
      <c r="A3021" s="51"/>
      <c r="B3021" s="50" t="s">
        <v>6840</v>
      </c>
      <c r="C3021" s="50" t="s">
        <v>2837</v>
      </c>
      <c r="D3021" s="49" t="str">
        <f>IFERROR(__xludf.DUMMYFUNCTION("""COMPUTED_VALUE"""),"downtown")</f>
        <v>downtown</v>
      </c>
      <c r="E3021" s="49"/>
      <c r="F3021" s="49"/>
      <c r="G3021" s="49"/>
      <c r="H3021" s="54" t="str">
        <f t="shared" si="1"/>
        <v>sooner,</v>
      </c>
      <c r="I3021" s="50"/>
      <c r="J3021" s="50"/>
      <c r="K3021" s="50" t="s">
        <v>1583</v>
      </c>
      <c r="L3021" s="49"/>
      <c r="M3021" s="49"/>
      <c r="N3021" s="49"/>
      <c r="O3021" s="49"/>
      <c r="P3021" s="49" t="str">
        <f t="shared" si="2"/>
        <v>,</v>
      </c>
      <c r="Q3021" s="49"/>
      <c r="R3021" s="49"/>
      <c r="S3021" s="55" t="s">
        <v>3632</v>
      </c>
      <c r="T3021" s="49"/>
      <c r="U3021" s="49"/>
      <c r="V3021" s="49"/>
      <c r="W3021" s="49"/>
      <c r="X3021" s="49" t="str">
        <f t="shared" si="3"/>
        <v>,</v>
      </c>
      <c r="Y3021" s="49"/>
      <c r="Z3021" s="49"/>
      <c r="AB3021" s="49"/>
      <c r="AC3021" s="49"/>
      <c r="AD3021" s="49"/>
      <c r="AE3021" s="49"/>
      <c r="AF3021" s="49"/>
      <c r="AG3021" s="49"/>
      <c r="AH3021" s="1" t="s">
        <v>2453</v>
      </c>
      <c r="AI3021" s="1" t="s">
        <v>6918</v>
      </c>
      <c r="AJ3021" s="6" t="str">
        <f>IFERROR(__xludf.DUMMYFUNCTION("""COMPUTED_VALUE"""),"rural")</f>
        <v>rural</v>
      </c>
      <c r="AK3021" s="49"/>
      <c r="AL3021" s="49"/>
      <c r="AM3021" s="49"/>
      <c r="AN3021" s="52" t="str">
        <f t="shared" si="5"/>
        <v>poverty,</v>
      </c>
      <c r="AP3021" s="49"/>
      <c r="AQ3021" s="49"/>
      <c r="AR3021" s="49"/>
      <c r="AS3021" s="49"/>
      <c r="AT3021" s="49"/>
    </row>
    <row r="3022">
      <c r="A3022" s="51"/>
      <c r="B3022" s="50" t="s">
        <v>7070</v>
      </c>
      <c r="C3022" s="50" t="s">
        <v>3589</v>
      </c>
      <c r="D3022" s="49" t="str">
        <f>IFERROR(__xludf.DUMMYFUNCTION("""COMPUTED_VALUE"""),"aggressive")</f>
        <v>aggressive</v>
      </c>
      <c r="E3022" s="49"/>
      <c r="F3022" s="49"/>
      <c r="G3022" s="49"/>
      <c r="H3022" s="54" t="str">
        <f t="shared" si="1"/>
        <v>underground,</v>
      </c>
      <c r="I3022" s="50"/>
      <c r="J3022" s="50"/>
      <c r="K3022" s="50" t="s">
        <v>4591</v>
      </c>
      <c r="L3022" s="49"/>
      <c r="M3022" s="49"/>
      <c r="N3022" s="49"/>
      <c r="O3022" s="49"/>
      <c r="P3022" s="49" t="str">
        <f t="shared" si="2"/>
        <v>,</v>
      </c>
      <c r="Q3022" s="49"/>
      <c r="R3022" s="49"/>
      <c r="S3022" s="55" t="s">
        <v>3737</v>
      </c>
      <c r="T3022" s="49"/>
      <c r="U3022" s="49"/>
      <c r="V3022" s="49"/>
      <c r="W3022" s="49"/>
      <c r="X3022" s="49" t="str">
        <f t="shared" si="3"/>
        <v>,</v>
      </c>
      <c r="Y3022" s="49"/>
      <c r="Z3022" s="49"/>
      <c r="AB3022" s="49"/>
      <c r="AC3022" s="49"/>
      <c r="AD3022" s="49"/>
      <c r="AE3022" s="49"/>
      <c r="AF3022" s="49"/>
      <c r="AG3022" s="49"/>
      <c r="AH3022" s="1" t="s">
        <v>3043</v>
      </c>
      <c r="AI3022" s="1" t="s">
        <v>3810</v>
      </c>
      <c r="AJ3022" s="6" t="str">
        <f>IFERROR(__xludf.DUMMYFUNCTION("""COMPUTED_VALUE"""),"learning")</f>
        <v>learning</v>
      </c>
      <c r="AK3022" s="49"/>
      <c r="AL3022" s="49"/>
      <c r="AM3022" s="49"/>
      <c r="AN3022" s="52" t="str">
        <f t="shared" si="5"/>
        <v>cultural,</v>
      </c>
      <c r="AP3022" s="49"/>
      <c r="AQ3022" s="49"/>
      <c r="AR3022" s="49"/>
      <c r="AS3022" s="49"/>
      <c r="AT3022" s="49"/>
    </row>
    <row r="3023">
      <c r="A3023" s="51"/>
      <c r="B3023" s="50" t="s">
        <v>7110</v>
      </c>
      <c r="C3023" s="50" t="s">
        <v>402</v>
      </c>
      <c r="D3023" s="49" t="str">
        <f>IFERROR(__xludf.DUMMYFUNCTION("""COMPUTED_VALUE"""),"prison")</f>
        <v>prison</v>
      </c>
      <c r="E3023" s="49"/>
      <c r="F3023" s="49"/>
      <c r="G3023" s="49"/>
      <c r="H3023" s="54" t="str">
        <f t="shared" si="1"/>
        <v>toy,</v>
      </c>
      <c r="I3023" s="50"/>
      <c r="J3023" s="50"/>
      <c r="K3023" s="50" t="s">
        <v>2803</v>
      </c>
      <c r="L3023" s="49"/>
      <c r="M3023" s="49"/>
      <c r="N3023" s="49"/>
      <c r="O3023" s="49"/>
      <c r="P3023" s="49" t="str">
        <f t="shared" si="2"/>
        <v>,</v>
      </c>
      <c r="Q3023" s="49"/>
      <c r="R3023" s="49"/>
      <c r="S3023" s="55" t="s">
        <v>4496</v>
      </c>
      <c r="T3023" s="49"/>
      <c r="U3023" s="49"/>
      <c r="V3023" s="49"/>
      <c r="W3023" s="49"/>
      <c r="X3023" s="49" t="str">
        <f t="shared" si="3"/>
        <v>,</v>
      </c>
      <c r="Y3023" s="49"/>
      <c r="Z3023" s="49"/>
      <c r="AB3023" s="49"/>
      <c r="AC3023" s="49"/>
      <c r="AD3023" s="49"/>
      <c r="AE3023" s="49"/>
      <c r="AF3023" s="49"/>
      <c r="AG3023" s="49"/>
      <c r="AH3023" s="1" t="s">
        <v>6851</v>
      </c>
      <c r="AI3023" s="1" t="s">
        <v>6065</v>
      </c>
      <c r="AJ3023" s="6" t="str">
        <f>IFERROR(__xludf.DUMMYFUNCTION("""COMPUTED_VALUE"""),"heritage")</f>
        <v>heritage</v>
      </c>
      <c r="AK3023" s="49"/>
      <c r="AL3023" s="49"/>
      <c r="AM3023" s="49"/>
      <c r="AN3023" s="52" t="str">
        <f t="shared" si="5"/>
        <v>beijing,</v>
      </c>
      <c r="AP3023" s="49"/>
      <c r="AQ3023" s="49"/>
      <c r="AR3023" s="49"/>
      <c r="AS3023" s="49"/>
      <c r="AT3023" s="49"/>
    </row>
    <row r="3024">
      <c r="A3024" s="51"/>
      <c r="B3024" s="50" t="s">
        <v>3391</v>
      </c>
      <c r="C3024" s="50" t="s">
        <v>5732</v>
      </c>
      <c r="D3024" s="49" t="str">
        <f>IFERROR(__xludf.DUMMYFUNCTION("""COMPUTED_VALUE"""),"discovery")</f>
        <v>discovery</v>
      </c>
      <c r="E3024" s="49"/>
      <c r="F3024" s="49"/>
      <c r="G3024" s="49"/>
      <c r="H3024" s="54" t="str">
        <f t="shared" si="1"/>
        <v>terror,</v>
      </c>
      <c r="I3024" s="50"/>
      <c r="J3024" s="50"/>
      <c r="K3024" s="50" t="s">
        <v>5550</v>
      </c>
      <c r="L3024" s="49"/>
      <c r="M3024" s="49"/>
      <c r="N3024" s="49"/>
      <c r="O3024" s="49"/>
      <c r="P3024" s="49" t="str">
        <f t="shared" si="2"/>
        <v>,</v>
      </c>
      <c r="Q3024" s="49"/>
      <c r="R3024" s="49"/>
      <c r="S3024" s="55" t="s">
        <v>2686</v>
      </c>
      <c r="T3024" s="49"/>
      <c r="U3024" s="49"/>
      <c r="V3024" s="49"/>
      <c r="W3024" s="49"/>
      <c r="X3024" s="49" t="str">
        <f t="shared" si="3"/>
        <v>,</v>
      </c>
      <c r="Y3024" s="49"/>
      <c r="Z3024" s="49"/>
      <c r="AB3024" s="49"/>
      <c r="AC3024" s="49"/>
      <c r="AD3024" s="49"/>
      <c r="AE3024" s="49"/>
      <c r="AF3024" s="49"/>
      <c r="AG3024" s="49"/>
      <c r="AH3024" s="1" t="s">
        <v>4565</v>
      </c>
      <c r="AI3024" s="1" t="s">
        <v>6919</v>
      </c>
      <c r="AJ3024" s="6" t="str">
        <f>IFERROR(__xludf.DUMMYFUNCTION("""COMPUTED_VALUE"""),"square")</f>
        <v>square</v>
      </c>
      <c r="AK3024" s="49"/>
      <c r="AL3024" s="49"/>
      <c r="AM3024" s="49"/>
      <c r="AN3024" s="52" t="str">
        <f t="shared" si="5"/>
        <v>wang,</v>
      </c>
      <c r="AP3024" s="49"/>
      <c r="AQ3024" s="49"/>
      <c r="AR3024" s="49"/>
      <c r="AS3024" s="49"/>
      <c r="AT3024" s="49"/>
    </row>
    <row r="3025">
      <c r="A3025" s="51"/>
      <c r="B3025" s="50" t="s">
        <v>3359</v>
      </c>
      <c r="C3025" s="50" t="s">
        <v>4467</v>
      </c>
      <c r="D3025" s="49">
        <f>IFERROR(__xludf.DUMMYFUNCTION("""COMPUTED_VALUE"""),25.0)</f>
        <v>25</v>
      </c>
      <c r="E3025" s="49"/>
      <c r="F3025" s="49"/>
      <c r="G3025" s="49"/>
      <c r="H3025" s="54" t="str">
        <f t="shared" si="1"/>
        <v>hoped,</v>
      </c>
      <c r="I3025" s="50"/>
      <c r="J3025" s="50"/>
      <c r="K3025" s="50" t="s">
        <v>5553</v>
      </c>
      <c r="L3025" s="49"/>
      <c r="M3025" s="49"/>
      <c r="N3025" s="49"/>
      <c r="O3025" s="49"/>
      <c r="P3025" s="49" t="str">
        <f t="shared" si="2"/>
        <v>,</v>
      </c>
      <c r="Q3025" s="49"/>
      <c r="R3025" s="49"/>
      <c r="S3025" s="55" t="s">
        <v>2690</v>
      </c>
      <c r="T3025" s="49"/>
      <c r="U3025" s="49"/>
      <c r="V3025" s="49"/>
      <c r="W3025" s="49"/>
      <c r="X3025" s="49" t="str">
        <f t="shared" si="3"/>
        <v>,</v>
      </c>
      <c r="Y3025" s="49"/>
      <c r="Z3025" s="49"/>
      <c r="AB3025" s="49"/>
      <c r="AC3025" s="49"/>
      <c r="AD3025" s="49"/>
      <c r="AE3025" s="49"/>
      <c r="AF3025" s="49"/>
      <c r="AG3025" s="49"/>
      <c r="AH3025" s="1">
        <v>300.0</v>
      </c>
      <c r="AI3025" s="1" t="s">
        <v>5594</v>
      </c>
      <c r="AJ3025" s="6" t="str">
        <f>IFERROR(__xludf.DUMMYFUNCTION("""COMPUTED_VALUE"""),"wooden")</f>
        <v>wooden</v>
      </c>
      <c r="AK3025" s="49"/>
      <c r="AL3025" s="49"/>
      <c r="AM3025" s="49"/>
      <c r="AN3025" s="52" t="str">
        <f t="shared" si="5"/>
        <v>300,</v>
      </c>
      <c r="AP3025" s="49"/>
      <c r="AQ3025" s="49"/>
      <c r="AR3025" s="49"/>
      <c r="AS3025" s="49"/>
      <c r="AT3025" s="49"/>
    </row>
    <row r="3026">
      <c r="A3026" s="51"/>
      <c r="B3026" s="50" t="s">
        <v>7636</v>
      </c>
      <c r="C3026" s="50" t="s">
        <v>6920</v>
      </c>
      <c r="D3026" s="49" t="str">
        <f>IFERROR(__xludf.DUMMYFUNCTION("""COMPUTED_VALUE"""),"member")</f>
        <v>member</v>
      </c>
      <c r="E3026" s="49"/>
      <c r="F3026" s="49"/>
      <c r="G3026" s="49"/>
      <c r="H3026" s="54" t="str">
        <f t="shared" si="1"/>
        <v>helping,</v>
      </c>
      <c r="I3026" s="50"/>
      <c r="J3026" s="50"/>
      <c r="K3026" s="50" t="s">
        <v>2806</v>
      </c>
      <c r="L3026" s="49"/>
      <c r="M3026" s="49"/>
      <c r="N3026" s="49"/>
      <c r="O3026" s="49"/>
      <c r="P3026" s="49" t="str">
        <f t="shared" si="2"/>
        <v>,</v>
      </c>
      <c r="Q3026" s="49"/>
      <c r="R3026" s="49"/>
      <c r="S3026" s="55" t="s">
        <v>2915</v>
      </c>
      <c r="T3026" s="49"/>
      <c r="U3026" s="49"/>
      <c r="V3026" s="49"/>
      <c r="W3026" s="49"/>
      <c r="X3026" s="49" t="str">
        <f t="shared" si="3"/>
        <v>,</v>
      </c>
      <c r="Y3026" s="49"/>
      <c r="Z3026" s="49"/>
      <c r="AB3026" s="49"/>
      <c r="AC3026" s="49"/>
      <c r="AD3026" s="49"/>
      <c r="AE3026" s="49"/>
      <c r="AF3026" s="49"/>
      <c r="AG3026" s="49"/>
      <c r="AH3026" s="1" t="s">
        <v>7019</v>
      </c>
      <c r="AI3026" s="1" t="s">
        <v>4143</v>
      </c>
      <c r="AJ3026" s="6" t="str">
        <f>IFERROR(__xludf.DUMMYFUNCTION("""COMPUTED_VALUE"""),"21st")</f>
        <v>21st</v>
      </c>
      <c r="AK3026" s="49"/>
      <c r="AL3026" s="49"/>
      <c r="AM3026" s="49"/>
      <c r="AN3026" s="52" t="str">
        <f t="shared" si="5"/>
        <v>teachers,</v>
      </c>
      <c r="AP3026" s="49"/>
      <c r="AQ3026" s="49"/>
      <c r="AR3026" s="49"/>
      <c r="AS3026" s="49"/>
      <c r="AT3026" s="49"/>
    </row>
    <row r="3027">
      <c r="A3027" s="51"/>
      <c r="B3027" s="50" t="s">
        <v>2230</v>
      </c>
      <c r="C3027" s="50" t="s">
        <v>5256</v>
      </c>
      <c r="D3027" s="49" t="str">
        <f>IFERROR(__xludf.DUMMYFUNCTION("""COMPUTED_VALUE"""),"reveal")</f>
        <v>reveal</v>
      </c>
      <c r="E3027" s="49"/>
      <c r="F3027" s="49"/>
      <c r="G3027" s="49"/>
      <c r="H3027" s="54" t="str">
        <f t="shared" si="1"/>
        <v>virtually,</v>
      </c>
      <c r="I3027" s="50"/>
      <c r="J3027" s="50"/>
      <c r="K3027" s="50" t="s">
        <v>4465</v>
      </c>
      <c r="L3027" s="49"/>
      <c r="M3027" s="49"/>
      <c r="N3027" s="49"/>
      <c r="O3027" s="49"/>
      <c r="P3027" s="49" t="str">
        <f t="shared" si="2"/>
        <v>,</v>
      </c>
      <c r="Q3027" s="49"/>
      <c r="R3027" s="49"/>
      <c r="S3027" s="55" t="s">
        <v>2694</v>
      </c>
      <c r="T3027" s="49"/>
      <c r="U3027" s="49"/>
      <c r="V3027" s="49"/>
      <c r="W3027" s="49"/>
      <c r="X3027" s="49" t="str">
        <f t="shared" si="3"/>
        <v>,</v>
      </c>
      <c r="Y3027" s="49"/>
      <c r="Z3027" s="49"/>
      <c r="AB3027" s="49"/>
      <c r="AC3027" s="49"/>
      <c r="AD3027" s="49"/>
      <c r="AE3027" s="49"/>
      <c r="AF3027" s="49"/>
      <c r="AG3027" s="49"/>
      <c r="AH3027" s="1" t="s">
        <v>1499</v>
      </c>
      <c r="AI3027" s="1" t="s">
        <v>4650</v>
      </c>
      <c r="AJ3027" s="6" t="str">
        <f>IFERROR(__xludf.DUMMYFUNCTION("""COMPUTED_VALUE"""),"performed")</f>
        <v>performed</v>
      </c>
      <c r="AK3027" s="49"/>
      <c r="AL3027" s="49"/>
      <c r="AM3027" s="49"/>
      <c r="AN3027" s="52" t="str">
        <f t="shared" si="5"/>
        <v>received,</v>
      </c>
      <c r="AP3027" s="49"/>
      <c r="AQ3027" s="49"/>
      <c r="AR3027" s="49"/>
      <c r="AS3027" s="49"/>
      <c r="AT3027" s="49"/>
    </row>
    <row r="3028">
      <c r="A3028" s="51"/>
      <c r="B3028" s="50" t="s">
        <v>5616</v>
      </c>
      <c r="C3028" s="50" t="s">
        <v>5872</v>
      </c>
      <c r="D3028" s="49" t="str">
        <f>IFERROR(__xludf.DUMMYFUNCTION("""COMPUTED_VALUE"""),"effectively")</f>
        <v>effectively</v>
      </c>
      <c r="E3028" s="49"/>
      <c r="F3028" s="49"/>
      <c r="G3028" s="49"/>
      <c r="H3028" s="54" t="str">
        <f t="shared" si="1"/>
        <v>morris,</v>
      </c>
      <c r="I3028" s="50"/>
      <c r="J3028" s="50"/>
      <c r="K3028" s="50">
        <v>146.0</v>
      </c>
      <c r="L3028" s="49"/>
      <c r="M3028" s="49"/>
      <c r="N3028" s="49"/>
      <c r="O3028" s="49"/>
      <c r="P3028" s="49" t="str">
        <f t="shared" si="2"/>
        <v>,</v>
      </c>
      <c r="Q3028" s="49"/>
      <c r="R3028" s="49"/>
      <c r="S3028" s="55" t="s">
        <v>835</v>
      </c>
      <c r="T3028" s="49"/>
      <c r="U3028" s="49"/>
      <c r="V3028" s="49"/>
      <c r="W3028" s="49"/>
      <c r="X3028" s="49" t="str">
        <f t="shared" si="3"/>
        <v>,</v>
      </c>
      <c r="Y3028" s="49"/>
      <c r="Z3028" s="49"/>
      <c r="AB3028" s="49"/>
      <c r="AC3028" s="49"/>
      <c r="AD3028" s="49"/>
      <c r="AE3028" s="49"/>
      <c r="AF3028" s="49"/>
      <c r="AG3028" s="49"/>
      <c r="AH3028" s="1" t="s">
        <v>3870</v>
      </c>
      <c r="AI3028" s="1" t="s">
        <v>3822</v>
      </c>
      <c r="AJ3028" s="6" t="str">
        <f>IFERROR(__xludf.DUMMYFUNCTION("""COMPUTED_VALUE"""),"awarded")</f>
        <v>awarded</v>
      </c>
      <c r="AK3028" s="49"/>
      <c r="AL3028" s="49"/>
      <c r="AM3028" s="49"/>
      <c r="AN3028" s="52" t="str">
        <f t="shared" si="5"/>
        <v>pink,</v>
      </c>
      <c r="AP3028" s="49"/>
      <c r="AQ3028" s="49"/>
      <c r="AR3028" s="49"/>
      <c r="AS3028" s="49"/>
      <c r="AT3028" s="49"/>
    </row>
    <row r="3029">
      <c r="A3029" s="51"/>
      <c r="B3029" s="50" t="s">
        <v>3136</v>
      </c>
      <c r="C3029" s="50" t="s">
        <v>5258</v>
      </c>
      <c r="D3029" s="49" t="str">
        <f>IFERROR(__xludf.DUMMYFUNCTION("""COMPUTED_VALUE"""),"edition")</f>
        <v>edition</v>
      </c>
      <c r="E3029" s="49"/>
      <c r="F3029" s="49"/>
      <c r="G3029" s="49"/>
      <c r="H3029" s="54" t="str">
        <f t="shared" si="1"/>
        <v>professionals,</v>
      </c>
      <c r="I3029" s="50"/>
      <c r="J3029" s="50"/>
      <c r="K3029" s="50" t="s">
        <v>3787</v>
      </c>
      <c r="L3029" s="49"/>
      <c r="M3029" s="49"/>
      <c r="N3029" s="49"/>
      <c r="O3029" s="49"/>
      <c r="P3029" s="49" t="str">
        <f t="shared" si="2"/>
        <v>,</v>
      </c>
      <c r="Q3029" s="49"/>
      <c r="R3029" s="49"/>
      <c r="S3029" s="55" t="s">
        <v>2702</v>
      </c>
      <c r="T3029" s="49"/>
      <c r="U3029" s="49"/>
      <c r="V3029" s="49"/>
      <c r="W3029" s="49"/>
      <c r="X3029" s="49" t="str">
        <f t="shared" si="3"/>
        <v>,</v>
      </c>
      <c r="Y3029" s="49"/>
      <c r="Z3029" s="49"/>
      <c r="AB3029" s="49"/>
      <c r="AC3029" s="49"/>
      <c r="AD3029" s="49"/>
      <c r="AE3029" s="49"/>
      <c r="AF3029" s="49"/>
      <c r="AG3029" s="49"/>
      <c r="AH3029" s="1" t="s">
        <v>5832</v>
      </c>
      <c r="AI3029" s="1" t="s">
        <v>5600</v>
      </c>
      <c r="AJ3029" s="6" t="str">
        <f>IFERROR(__xludf.DUMMYFUNCTION("""COMPUTED_VALUE"""),"authority")</f>
        <v>authority</v>
      </c>
      <c r="AK3029" s="49"/>
      <c r="AL3029" s="49"/>
      <c r="AM3029" s="49"/>
      <c r="AN3029" s="52" t="str">
        <f t="shared" si="5"/>
        <v>temple,</v>
      </c>
      <c r="AP3029" s="49"/>
      <c r="AQ3029" s="49"/>
      <c r="AR3029" s="49"/>
      <c r="AS3029" s="49"/>
      <c r="AT3029" s="49"/>
    </row>
    <row r="3030">
      <c r="A3030" s="51"/>
      <c r="B3030" s="50" t="s">
        <v>4628</v>
      </c>
      <c r="C3030" s="50" t="s">
        <v>5876</v>
      </c>
      <c r="D3030" s="49" t="str">
        <f>IFERROR(__xludf.DUMMYFUNCTION("""COMPUTED_VALUE"""),"anniversary")</f>
        <v>anniversary</v>
      </c>
      <c r="E3030" s="49"/>
      <c r="F3030" s="49"/>
      <c r="G3030" s="49"/>
      <c r="H3030" s="54" t="str">
        <f t="shared" si="1"/>
        <v>shanghai,</v>
      </c>
      <c r="I3030" s="50"/>
      <c r="J3030" s="50"/>
      <c r="K3030" s="50" t="s">
        <v>5687</v>
      </c>
      <c r="L3030" s="49"/>
      <c r="M3030" s="49"/>
      <c r="N3030" s="49"/>
      <c r="O3030" s="49"/>
      <c r="P3030" s="49" t="str">
        <f t="shared" si="2"/>
        <v>,</v>
      </c>
      <c r="Q3030" s="49"/>
      <c r="R3030" s="49"/>
      <c r="S3030" s="55" t="s">
        <v>1521</v>
      </c>
      <c r="T3030" s="49"/>
      <c r="U3030" s="49"/>
      <c r="V3030" s="49"/>
      <c r="W3030" s="49"/>
      <c r="X3030" s="49" t="str">
        <f t="shared" si="3"/>
        <v>,</v>
      </c>
      <c r="Y3030" s="49"/>
      <c r="Z3030" s="49"/>
      <c r="AB3030" s="49"/>
      <c r="AC3030" s="49"/>
      <c r="AD3030" s="49"/>
      <c r="AE3030" s="49"/>
      <c r="AF3030" s="49"/>
      <c r="AG3030" s="49"/>
      <c r="AH3030" s="1" t="s">
        <v>5116</v>
      </c>
      <c r="AI3030" s="1" t="s">
        <v>2859</v>
      </c>
      <c r="AJ3030" s="6" t="str">
        <f>IFERROR(__xludf.DUMMYFUNCTION("""COMPUTED_VALUE"""),"graduated")</f>
        <v>graduated</v>
      </c>
      <c r="AK3030" s="49"/>
      <c r="AL3030" s="49"/>
      <c r="AM3030" s="49"/>
      <c r="AN3030" s="52" t="str">
        <f t="shared" si="5"/>
        <v>pressed,</v>
      </c>
      <c r="AP3030" s="49"/>
      <c r="AQ3030" s="49"/>
      <c r="AR3030" s="49"/>
      <c r="AS3030" s="49"/>
      <c r="AT3030" s="49"/>
    </row>
    <row r="3031">
      <c r="A3031" s="51"/>
      <c r="B3031" s="50" t="s">
        <v>3037</v>
      </c>
      <c r="C3031" s="50" t="s">
        <v>4220</v>
      </c>
      <c r="D3031" s="49" t="str">
        <f>IFERROR(__xludf.DUMMYFUNCTION("""COMPUTED_VALUE"""),"proof")</f>
        <v>proof</v>
      </c>
      <c r="E3031" s="49"/>
      <c r="F3031" s="49"/>
      <c r="G3031" s="49"/>
      <c r="H3031" s="54" t="str">
        <f t="shared" si="1"/>
        <v>daughters,</v>
      </c>
      <c r="I3031" s="50"/>
      <c r="J3031" s="50"/>
      <c r="K3031" s="50" t="s">
        <v>5555</v>
      </c>
      <c r="L3031" s="49"/>
      <c r="M3031" s="49"/>
      <c r="N3031" s="49"/>
      <c r="O3031" s="49"/>
      <c r="P3031" s="49" t="str">
        <f t="shared" si="2"/>
        <v>,</v>
      </c>
      <c r="Q3031" s="49"/>
      <c r="R3031" s="49"/>
      <c r="S3031" s="55" t="s">
        <v>4511</v>
      </c>
      <c r="T3031" s="49"/>
      <c r="U3031" s="49"/>
      <c r="V3031" s="49"/>
      <c r="W3031" s="49"/>
      <c r="X3031" s="49" t="str">
        <f t="shared" si="3"/>
        <v>,</v>
      </c>
      <c r="Y3031" s="49"/>
      <c r="Z3031" s="49"/>
      <c r="AB3031" s="49"/>
      <c r="AC3031" s="49"/>
      <c r="AD3031" s="49"/>
      <c r="AE3031" s="49"/>
      <c r="AF3031" s="49"/>
      <c r="AG3031" s="49"/>
      <c r="AH3031" s="1" t="s">
        <v>4331</v>
      </c>
      <c r="AI3031" s="1" t="s">
        <v>6067</v>
      </c>
      <c r="AJ3031" s="6" t="str">
        <f>IFERROR(__xludf.DUMMYFUNCTION("""COMPUTED_VALUE"""),"12th")</f>
        <v>12th</v>
      </c>
      <c r="AK3031" s="49"/>
      <c r="AL3031" s="49"/>
      <c r="AM3031" s="49"/>
      <c r="AN3031" s="52" t="str">
        <f t="shared" si="5"/>
        <v>forcing,</v>
      </c>
      <c r="AP3031" s="49"/>
      <c r="AQ3031" s="49"/>
      <c r="AR3031" s="49"/>
      <c r="AS3031" s="49"/>
      <c r="AT3031" s="49"/>
    </row>
    <row r="3032">
      <c r="A3032" s="51"/>
      <c r="B3032" s="50" t="s">
        <v>6604</v>
      </c>
      <c r="C3032" s="50" t="s">
        <v>6921</v>
      </c>
      <c r="D3032" s="49" t="str">
        <f>IFERROR(__xludf.DUMMYFUNCTION("""COMPUTED_VALUE"""),"concentration")</f>
        <v>concentration</v>
      </c>
      <c r="E3032" s="49"/>
      <c r="F3032" s="49"/>
      <c r="G3032" s="49"/>
      <c r="H3032" s="54" t="str">
        <f t="shared" si="1"/>
        <v>springs,</v>
      </c>
      <c r="I3032" s="50"/>
      <c r="J3032" s="50"/>
      <c r="K3032" s="50" t="s">
        <v>1965</v>
      </c>
      <c r="L3032" s="49"/>
      <c r="M3032" s="49"/>
      <c r="N3032" s="49"/>
      <c r="O3032" s="49"/>
      <c r="P3032" s="49" t="str">
        <f t="shared" si="2"/>
        <v>,</v>
      </c>
      <c r="Q3032" s="49"/>
      <c r="R3032" s="49"/>
      <c r="S3032" s="55" t="s">
        <v>3744</v>
      </c>
      <c r="T3032" s="49"/>
      <c r="U3032" s="49"/>
      <c r="V3032" s="49"/>
      <c r="W3032" s="49"/>
      <c r="X3032" s="49" t="str">
        <f t="shared" si="3"/>
        <v>,</v>
      </c>
      <c r="Y3032" s="49"/>
      <c r="Z3032" s="49"/>
      <c r="AB3032" s="49"/>
      <c r="AC3032" s="49"/>
      <c r="AD3032" s="49"/>
      <c r="AE3032" s="49"/>
      <c r="AF3032" s="49"/>
      <c r="AG3032" s="49"/>
      <c r="AH3032" s="1" t="s">
        <v>106</v>
      </c>
      <c r="AI3032" s="1" t="s">
        <v>3832</v>
      </c>
      <c r="AJ3032" s="6" t="str">
        <f>IFERROR(__xludf.DUMMYFUNCTION("""COMPUTED_VALUE"""),"album")</f>
        <v>album</v>
      </c>
      <c r="AK3032" s="49"/>
      <c r="AL3032" s="49"/>
      <c r="AM3032" s="49"/>
      <c r="AN3032" s="52" t="str">
        <f t="shared" si="5"/>
        <v>emotion,</v>
      </c>
      <c r="AP3032" s="49"/>
      <c r="AQ3032" s="49"/>
      <c r="AR3032" s="49"/>
      <c r="AS3032" s="49"/>
      <c r="AT3032" s="49"/>
    </row>
    <row r="3033">
      <c r="A3033" s="51"/>
      <c r="B3033" s="50" t="s">
        <v>3502</v>
      </c>
      <c r="C3033" s="50" t="s">
        <v>3595</v>
      </c>
      <c r="D3033" s="49" t="str">
        <f>IFERROR(__xludf.DUMMYFUNCTION("""COMPUTED_VALUE"""),"lawyers")</f>
        <v>lawyers</v>
      </c>
      <c r="E3033" s="49"/>
      <c r="F3033" s="49"/>
      <c r="G3033" s="49"/>
      <c r="H3033" s="54" t="str">
        <f t="shared" si="1"/>
        <v>indians,</v>
      </c>
      <c r="I3033" s="50"/>
      <c r="J3033" s="50"/>
      <c r="K3033" s="50" t="s">
        <v>2810</v>
      </c>
      <c r="L3033" s="49"/>
      <c r="M3033" s="49"/>
      <c r="N3033" s="49"/>
      <c r="O3033" s="49"/>
      <c r="P3033" s="49" t="str">
        <f t="shared" si="2"/>
        <v>,</v>
      </c>
      <c r="Q3033" s="49"/>
      <c r="R3033" s="49"/>
      <c r="S3033" s="55" t="s">
        <v>1527</v>
      </c>
      <c r="T3033" s="49"/>
      <c r="U3033" s="49"/>
      <c r="V3033" s="49"/>
      <c r="W3033" s="49"/>
      <c r="X3033" s="49" t="str">
        <f t="shared" si="3"/>
        <v>,</v>
      </c>
      <c r="Y3033" s="49"/>
      <c r="Z3033" s="49"/>
      <c r="AB3033" s="49"/>
      <c r="AC3033" s="49"/>
      <c r="AD3033" s="49"/>
      <c r="AE3033" s="49"/>
      <c r="AF3033" s="49"/>
      <c r="AG3033" s="49"/>
      <c r="AH3033" s="1" t="s">
        <v>7667</v>
      </c>
      <c r="AI3033" s="1" t="s">
        <v>6922</v>
      </c>
      <c r="AJ3033" s="6" t="str">
        <f>IFERROR(__xludf.DUMMYFUNCTION("""COMPUTED_VALUE"""),"receiving")</f>
        <v>receiving</v>
      </c>
      <c r="AK3033" s="49"/>
      <c r="AL3033" s="49"/>
      <c r="AM3033" s="49"/>
      <c r="AN3033" s="52" t="str">
        <f t="shared" si="5"/>
        <v>stress,</v>
      </c>
      <c r="AP3033" s="49"/>
      <c r="AQ3033" s="49"/>
      <c r="AR3033" s="49"/>
      <c r="AS3033" s="49"/>
      <c r="AT3033" s="49"/>
    </row>
    <row r="3034">
      <c r="A3034" s="51"/>
      <c r="B3034" s="50" t="s">
        <v>5434</v>
      </c>
      <c r="C3034" s="50" t="s">
        <v>4784</v>
      </c>
      <c r="D3034" s="49" t="str">
        <f>IFERROR(__xludf.DUMMYFUNCTION("""COMPUTED_VALUE"""),"architect")</f>
        <v>architect</v>
      </c>
      <c r="E3034" s="49"/>
      <c r="F3034" s="49"/>
      <c r="G3034" s="49"/>
      <c r="H3034" s="54" t="str">
        <f t="shared" si="1"/>
        <v>pages,</v>
      </c>
      <c r="I3034" s="50"/>
      <c r="J3034" s="50"/>
      <c r="K3034" s="50" t="s">
        <v>2815</v>
      </c>
      <c r="L3034" s="49"/>
      <c r="M3034" s="49"/>
      <c r="N3034" s="49"/>
      <c r="O3034" s="49"/>
      <c r="P3034" s="49" t="str">
        <f t="shared" si="2"/>
        <v>,</v>
      </c>
      <c r="Q3034" s="49"/>
      <c r="R3034" s="49"/>
      <c r="S3034" s="55" t="s">
        <v>4513</v>
      </c>
      <c r="T3034" s="49"/>
      <c r="U3034" s="49"/>
      <c r="V3034" s="49"/>
      <c r="W3034" s="49"/>
      <c r="X3034" s="49" t="str">
        <f t="shared" si="3"/>
        <v>,</v>
      </c>
      <c r="Y3034" s="49"/>
      <c r="Z3034" s="49"/>
      <c r="AB3034" s="49"/>
      <c r="AC3034" s="49"/>
      <c r="AD3034" s="49"/>
      <c r="AE3034" s="49"/>
      <c r="AF3034" s="49"/>
      <c r="AG3034" s="49"/>
      <c r="AH3034" s="1" t="s">
        <v>6375</v>
      </c>
      <c r="AI3034" s="1" t="s">
        <v>6923</v>
      </c>
      <c r="AJ3034" s="6" t="str">
        <f>IFERROR(__xludf.DUMMYFUNCTION("""COMPUTED_VALUE"""),"hiding")</f>
        <v>hiding</v>
      </c>
      <c r="AK3034" s="49"/>
      <c r="AL3034" s="49"/>
      <c r="AM3034" s="49"/>
      <c r="AN3034" s="52" t="str">
        <f t="shared" si="5"/>
        <v>helps,</v>
      </c>
      <c r="AP3034" s="49"/>
      <c r="AQ3034" s="49"/>
      <c r="AR3034" s="49"/>
      <c r="AS3034" s="49"/>
      <c r="AT3034" s="49"/>
    </row>
    <row r="3035">
      <c r="A3035" s="51"/>
      <c r="B3035" s="50" t="s">
        <v>5535</v>
      </c>
      <c r="C3035" s="50" t="s">
        <v>4229</v>
      </c>
      <c r="D3035" s="49" t="str">
        <f>IFERROR(__xludf.DUMMYFUNCTION("""COMPUTED_VALUE"""),"wayne")</f>
        <v>wayne</v>
      </c>
      <c r="E3035" s="49"/>
      <c r="F3035" s="49"/>
      <c r="G3035" s="49"/>
      <c r="H3035" s="54" t="str">
        <f t="shared" si="1"/>
        <v>permission,</v>
      </c>
      <c r="I3035" s="50"/>
      <c r="J3035" s="50"/>
      <c r="K3035" s="50" t="s">
        <v>5982</v>
      </c>
      <c r="L3035" s="49"/>
      <c r="M3035" s="49"/>
      <c r="N3035" s="49"/>
      <c r="O3035" s="49"/>
      <c r="P3035" s="49" t="str">
        <f t="shared" si="2"/>
        <v>,</v>
      </c>
      <c r="Q3035" s="49"/>
      <c r="R3035" s="49"/>
      <c r="S3035" s="55" t="s">
        <v>6024</v>
      </c>
      <c r="T3035" s="49"/>
      <c r="U3035" s="49"/>
      <c r="V3035" s="49"/>
      <c r="W3035" s="49"/>
      <c r="X3035" s="49" t="str">
        <f t="shared" si="3"/>
        <v>,</v>
      </c>
      <c r="Y3035" s="49"/>
      <c r="Z3035" s="49"/>
      <c r="AB3035" s="49"/>
      <c r="AC3035" s="49"/>
      <c r="AD3035" s="49"/>
      <c r="AE3035" s="49"/>
      <c r="AF3035" s="49"/>
      <c r="AG3035" s="49"/>
      <c r="AH3035" s="1" t="s">
        <v>4189</v>
      </c>
      <c r="AI3035" s="1" t="s">
        <v>5442</v>
      </c>
      <c r="AJ3035" s="6" t="str">
        <f>IFERROR(__xludf.DUMMYFUNCTION("""COMPUTED_VALUE"""),"crosses")</f>
        <v>crosses</v>
      </c>
      <c r="AK3035" s="49"/>
      <c r="AL3035" s="49"/>
      <c r="AM3035" s="49"/>
      <c r="AN3035" s="52" t="str">
        <f t="shared" si="5"/>
        <v>revolution,</v>
      </c>
      <c r="AP3035" s="49"/>
      <c r="AQ3035" s="49"/>
      <c r="AR3035" s="49"/>
      <c r="AS3035" s="49"/>
      <c r="AT3035" s="49"/>
    </row>
    <row r="3036">
      <c r="A3036" s="51"/>
      <c r="B3036" s="50" t="s">
        <v>5552</v>
      </c>
      <c r="C3036" s="50" t="s">
        <v>5853</v>
      </c>
      <c r="D3036" s="49" t="str">
        <f>IFERROR(__xludf.DUMMYFUNCTION("""COMPUTED_VALUE"""),"pot")</f>
        <v>pot</v>
      </c>
      <c r="E3036" s="49"/>
      <c r="F3036" s="49"/>
      <c r="G3036" s="49"/>
      <c r="H3036" s="54" t="str">
        <f t="shared" si="1"/>
        <v>urge,</v>
      </c>
      <c r="I3036" s="50"/>
      <c r="J3036" s="50"/>
      <c r="K3036" s="50" t="s">
        <v>5983</v>
      </c>
      <c r="L3036" s="49"/>
      <c r="M3036" s="49"/>
      <c r="N3036" s="49"/>
      <c r="O3036" s="49"/>
      <c r="P3036" s="49" t="str">
        <f t="shared" si="2"/>
        <v>,</v>
      </c>
      <c r="Q3036" s="49"/>
      <c r="R3036" s="49"/>
      <c r="S3036" s="55" t="s">
        <v>1534</v>
      </c>
      <c r="T3036" s="49"/>
      <c r="U3036" s="49"/>
      <c r="V3036" s="49"/>
      <c r="W3036" s="49"/>
      <c r="X3036" s="49" t="str">
        <f t="shared" si="3"/>
        <v>,</v>
      </c>
      <c r="Y3036" s="49"/>
      <c r="Z3036" s="49"/>
      <c r="AB3036" s="49"/>
      <c r="AC3036" s="49"/>
      <c r="AD3036" s="49"/>
      <c r="AE3036" s="49"/>
      <c r="AF3036" s="49"/>
      <c r="AG3036" s="49"/>
      <c r="AH3036" s="1" t="s">
        <v>2640</v>
      </c>
      <c r="AI3036" s="1" t="s">
        <v>4559</v>
      </c>
      <c r="AJ3036" s="6" t="str">
        <f>IFERROR(__xludf.DUMMYFUNCTION("""COMPUTED_VALUE"""),"prevent")</f>
        <v>prevent</v>
      </c>
      <c r="AK3036" s="49"/>
      <c r="AL3036" s="49"/>
      <c r="AM3036" s="49"/>
      <c r="AN3036" s="52" t="str">
        <f t="shared" si="5"/>
        <v>rings,</v>
      </c>
      <c r="AP3036" s="49"/>
      <c r="AQ3036" s="49"/>
      <c r="AR3036" s="49"/>
      <c r="AS3036" s="49"/>
      <c r="AT3036" s="49"/>
    </row>
    <row r="3037">
      <c r="A3037" s="51"/>
      <c r="B3037" s="50" t="s">
        <v>7051</v>
      </c>
      <c r="C3037" s="50">
        <v>93.0</v>
      </c>
      <c r="D3037" s="49" t="str">
        <f>IFERROR(__xludf.DUMMYFUNCTION("""COMPUTED_VALUE"""),"function")</f>
        <v>function</v>
      </c>
      <c r="E3037" s="49"/>
      <c r="F3037" s="49"/>
      <c r="G3037" s="49"/>
      <c r="H3037" s="54" t="str">
        <f t="shared" si="1"/>
        <v>virgin,</v>
      </c>
      <c r="I3037" s="50"/>
      <c r="J3037" s="50"/>
      <c r="K3037" s="50" t="s">
        <v>4600</v>
      </c>
      <c r="L3037" s="49"/>
      <c r="M3037" s="49"/>
      <c r="N3037" s="49"/>
      <c r="O3037" s="49"/>
      <c r="P3037" s="49" t="str">
        <f t="shared" si="2"/>
        <v>,</v>
      </c>
      <c r="Q3037" s="49"/>
      <c r="R3037" s="49"/>
      <c r="S3037" s="55" t="s">
        <v>1542</v>
      </c>
      <c r="T3037" s="49"/>
      <c r="U3037" s="49"/>
      <c r="V3037" s="49"/>
      <c r="W3037" s="49"/>
      <c r="X3037" s="49" t="str">
        <f t="shared" si="3"/>
        <v>,</v>
      </c>
      <c r="Y3037" s="49"/>
      <c r="Z3037" s="49"/>
      <c r="AB3037" s="49"/>
      <c r="AC3037" s="49"/>
      <c r="AD3037" s="49"/>
      <c r="AE3037" s="49"/>
      <c r="AF3037" s="49"/>
      <c r="AG3037" s="49"/>
      <c r="AH3037" s="1" t="s">
        <v>6734</v>
      </c>
      <c r="AI3037" s="1" t="s">
        <v>6924</v>
      </c>
      <c r="AJ3037" s="6" t="str">
        <f>IFERROR(__xludf.DUMMYFUNCTION("""COMPUTED_VALUE"""),"ordered")</f>
        <v>ordered</v>
      </c>
      <c r="AK3037" s="49"/>
      <c r="AL3037" s="49"/>
      <c r="AM3037" s="49"/>
      <c r="AN3037" s="52" t="str">
        <f t="shared" si="5"/>
        <v>jeremy,</v>
      </c>
      <c r="AP3037" s="49"/>
      <c r="AQ3037" s="49"/>
      <c r="AR3037" s="49"/>
      <c r="AS3037" s="49"/>
      <c r="AT3037" s="49"/>
    </row>
    <row r="3038">
      <c r="A3038" s="51"/>
      <c r="B3038" s="50" t="s">
        <v>4899</v>
      </c>
      <c r="C3038" s="50" t="s">
        <v>6817</v>
      </c>
      <c r="D3038" s="49" t="str">
        <f>IFERROR(__xludf.DUMMYFUNCTION("""COMPUTED_VALUE"""),"stakes")</f>
        <v>stakes</v>
      </c>
      <c r="E3038" s="49"/>
      <c r="F3038" s="49"/>
      <c r="G3038" s="49"/>
      <c r="H3038" s="54" t="str">
        <f t="shared" si="1"/>
        <v>knowledge,</v>
      </c>
      <c r="I3038" s="50"/>
      <c r="J3038" s="50"/>
      <c r="K3038" s="50" t="s">
        <v>4601</v>
      </c>
      <c r="L3038" s="49"/>
      <c r="M3038" s="49"/>
      <c r="N3038" s="49"/>
      <c r="O3038" s="49"/>
      <c r="P3038" s="49" t="str">
        <f t="shared" si="2"/>
        <v>,</v>
      </c>
      <c r="Q3038" s="49"/>
      <c r="R3038" s="49"/>
      <c r="S3038" s="55" t="s">
        <v>4516</v>
      </c>
      <c r="T3038" s="49"/>
      <c r="U3038" s="49"/>
      <c r="V3038" s="49"/>
      <c r="W3038" s="49"/>
      <c r="X3038" s="49" t="str">
        <f t="shared" si="3"/>
        <v>,</v>
      </c>
      <c r="Y3038" s="49"/>
      <c r="Z3038" s="49"/>
      <c r="AB3038" s="49"/>
      <c r="AC3038" s="49"/>
      <c r="AD3038" s="49"/>
      <c r="AE3038" s="49"/>
      <c r="AF3038" s="49"/>
      <c r="AG3038" s="49"/>
      <c r="AH3038" s="1" t="s">
        <v>6534</v>
      </c>
      <c r="AI3038" s="1" t="s">
        <v>6925</v>
      </c>
      <c r="AJ3038" s="6" t="str">
        <f>IFERROR(__xludf.DUMMYFUNCTION("""COMPUTED_VALUE"""),"waters")</f>
        <v>waters</v>
      </c>
      <c r="AK3038" s="49"/>
      <c r="AL3038" s="49"/>
      <c r="AM3038" s="49"/>
      <c r="AN3038" s="52" t="str">
        <f t="shared" si="5"/>
        <v>holding,</v>
      </c>
      <c r="AP3038" s="49"/>
      <c r="AQ3038" s="49"/>
      <c r="AR3038" s="49"/>
      <c r="AS3038" s="49"/>
      <c r="AT3038" s="49"/>
    </row>
    <row r="3039">
      <c r="A3039" s="51"/>
      <c r="B3039" s="50" t="s">
        <v>5897</v>
      </c>
      <c r="C3039" s="50" t="s">
        <v>5264</v>
      </c>
      <c r="D3039" s="49" t="str">
        <f>IFERROR(__xludf.DUMMYFUNCTION("""COMPUTED_VALUE"""),"ran")</f>
        <v>ran</v>
      </c>
      <c r="E3039" s="49"/>
      <c r="F3039" s="49"/>
      <c r="G3039" s="49"/>
      <c r="H3039" s="54" t="str">
        <f t="shared" si="1"/>
        <v>electric,</v>
      </c>
      <c r="I3039" s="50"/>
      <c r="J3039" s="50"/>
      <c r="K3039" s="50" t="s">
        <v>4604</v>
      </c>
      <c r="L3039" s="49"/>
      <c r="M3039" s="49"/>
      <c r="N3039" s="49"/>
      <c r="O3039" s="49"/>
      <c r="P3039" s="49" t="str">
        <f t="shared" si="2"/>
        <v>,</v>
      </c>
      <c r="Q3039" s="49"/>
      <c r="R3039" s="49"/>
      <c r="S3039" s="55" t="s">
        <v>5944</v>
      </c>
      <c r="T3039" s="49"/>
      <c r="U3039" s="49"/>
      <c r="V3039" s="49"/>
      <c r="W3039" s="49"/>
      <c r="X3039" s="49" t="str">
        <f t="shared" si="3"/>
        <v>,</v>
      </c>
      <c r="Y3039" s="49"/>
      <c r="Z3039" s="49"/>
      <c r="AB3039" s="49"/>
      <c r="AC3039" s="49"/>
      <c r="AD3039" s="49"/>
      <c r="AE3039" s="49"/>
      <c r="AF3039" s="49"/>
      <c r="AG3039" s="49"/>
      <c r="AH3039" s="1" t="s">
        <v>7668</v>
      </c>
      <c r="AI3039" s="1" t="s">
        <v>6011</v>
      </c>
      <c r="AJ3039" s="6" t="str">
        <f>IFERROR(__xludf.DUMMYFUNCTION("""COMPUTED_VALUE"""),"liberal")</f>
        <v>liberal</v>
      </c>
      <c r="AK3039" s="49"/>
      <c r="AL3039" s="49"/>
      <c r="AM3039" s="49"/>
      <c r="AN3039" s="52" t="str">
        <f t="shared" si="5"/>
        <v>differences,</v>
      </c>
      <c r="AP3039" s="49"/>
      <c r="AQ3039" s="49"/>
      <c r="AR3039" s="49"/>
      <c r="AS3039" s="49"/>
      <c r="AT3039" s="49"/>
    </row>
    <row r="3040">
      <c r="A3040" s="51"/>
      <c r="B3040" s="50" t="s">
        <v>2829</v>
      </c>
      <c r="C3040" s="50" t="s">
        <v>2428</v>
      </c>
      <c r="D3040" s="49" t="str">
        <f>IFERROR(__xludf.DUMMYFUNCTION("""COMPUTED_VALUE"""),"answer")</f>
        <v>answer</v>
      </c>
      <c r="E3040" s="49"/>
      <c r="F3040" s="49"/>
      <c r="G3040" s="49"/>
      <c r="H3040" s="54" t="str">
        <f t="shared" si="1"/>
        <v>identity,</v>
      </c>
      <c r="I3040" s="50"/>
      <c r="J3040" s="50"/>
      <c r="K3040" s="50" t="s">
        <v>1587</v>
      </c>
      <c r="L3040" s="49"/>
      <c r="M3040" s="49"/>
      <c r="N3040" s="49"/>
      <c r="O3040" s="49"/>
      <c r="P3040" s="49" t="str">
        <f t="shared" si="2"/>
        <v>,</v>
      </c>
      <c r="Q3040" s="49"/>
      <c r="R3040" s="49"/>
      <c r="S3040" s="55" t="s">
        <v>750</v>
      </c>
      <c r="T3040" s="49"/>
      <c r="U3040" s="49"/>
      <c r="V3040" s="49"/>
      <c r="W3040" s="49"/>
      <c r="X3040" s="49" t="str">
        <f t="shared" si="3"/>
        <v>,</v>
      </c>
      <c r="Y3040" s="49"/>
      <c r="Z3040" s="49"/>
      <c r="AB3040" s="49"/>
      <c r="AC3040" s="49"/>
      <c r="AD3040" s="49"/>
      <c r="AE3040" s="49"/>
      <c r="AF3040" s="49"/>
      <c r="AG3040" s="49"/>
      <c r="AH3040" s="1" t="s">
        <v>5599</v>
      </c>
      <c r="AI3040" s="1">
        <v>120.0</v>
      </c>
      <c r="AJ3040" s="6" t="str">
        <f>IFERROR(__xludf.DUMMYFUNCTION("""COMPUTED_VALUE"""),"democracy")</f>
        <v>democracy</v>
      </c>
      <c r="AK3040" s="49"/>
      <c r="AL3040" s="49"/>
      <c r="AM3040" s="49"/>
      <c r="AN3040" s="52" t="str">
        <f t="shared" si="5"/>
        <v>exists,</v>
      </c>
      <c r="AP3040" s="49"/>
      <c r="AQ3040" s="49"/>
      <c r="AR3040" s="49"/>
      <c r="AS3040" s="49"/>
      <c r="AT3040" s="49"/>
    </row>
    <row r="3041">
      <c r="A3041" s="51"/>
      <c r="B3041" s="50" t="s">
        <v>5673</v>
      </c>
      <c r="C3041" s="50" t="s">
        <v>4086</v>
      </c>
      <c r="D3041" s="49" t="str">
        <f>IFERROR(__xludf.DUMMYFUNCTION("""COMPUTED_VALUE"""),"discover")</f>
        <v>discover</v>
      </c>
      <c r="E3041" s="49"/>
      <c r="F3041" s="49"/>
      <c r="G3041" s="49"/>
      <c r="H3041" s="54" t="str">
        <f t="shared" si="1"/>
        <v>philip,</v>
      </c>
      <c r="I3041" s="50"/>
      <c r="J3041" s="50"/>
      <c r="K3041" s="50" t="s">
        <v>1592</v>
      </c>
      <c r="L3041" s="49"/>
      <c r="M3041" s="49"/>
      <c r="N3041" s="49"/>
      <c r="O3041" s="49"/>
      <c r="P3041" s="49" t="str">
        <f t="shared" si="2"/>
        <v>,</v>
      </c>
      <c r="Q3041" s="49"/>
      <c r="R3041" s="49"/>
      <c r="S3041" s="55" t="s">
        <v>2718</v>
      </c>
      <c r="T3041" s="49"/>
      <c r="U3041" s="49"/>
      <c r="V3041" s="49"/>
      <c r="W3041" s="49"/>
      <c r="X3041" s="49" t="str">
        <f t="shared" si="3"/>
        <v>,</v>
      </c>
      <c r="Y3041" s="49"/>
      <c r="Z3041" s="49"/>
      <c r="AB3041" s="49"/>
      <c r="AC3041" s="49"/>
      <c r="AD3041" s="49"/>
      <c r="AE3041" s="49"/>
      <c r="AF3041" s="49"/>
      <c r="AG3041" s="49"/>
      <c r="AH3041" s="1" t="s">
        <v>3493</v>
      </c>
      <c r="AI3041" s="1" t="s">
        <v>6013</v>
      </c>
      <c r="AJ3041" s="6" t="str">
        <f>IFERROR(__xludf.DUMMYFUNCTION("""COMPUTED_VALUE"""),"collective")</f>
        <v>collective</v>
      </c>
      <c r="AK3041" s="49"/>
      <c r="AL3041" s="49"/>
      <c r="AM3041" s="49"/>
      <c r="AN3041" s="52" t="str">
        <f t="shared" si="5"/>
        <v>chair,</v>
      </c>
      <c r="AP3041" s="49"/>
      <c r="AQ3041" s="49"/>
      <c r="AR3041" s="49"/>
      <c r="AS3041" s="49"/>
      <c r="AT3041" s="49"/>
    </row>
    <row r="3042">
      <c r="A3042" s="51"/>
      <c r="B3042" s="50" t="s">
        <v>4915</v>
      </c>
      <c r="C3042" s="50" t="s">
        <v>362</v>
      </c>
      <c r="D3042" s="49" t="str">
        <f>IFERROR(__xludf.DUMMYFUNCTION("""COMPUTED_VALUE"""),"er")</f>
        <v>er</v>
      </c>
      <c r="E3042" s="49"/>
      <c r="F3042" s="49"/>
      <c r="G3042" s="49"/>
      <c r="H3042" s="54" t="str">
        <f t="shared" si="1"/>
        <v>struggle,</v>
      </c>
      <c r="I3042" s="50"/>
      <c r="J3042" s="50"/>
      <c r="K3042" s="50" t="s">
        <v>4610</v>
      </c>
      <c r="L3042" s="49"/>
      <c r="M3042" s="49"/>
      <c r="N3042" s="49"/>
      <c r="O3042" s="49"/>
      <c r="P3042" s="49" t="str">
        <f t="shared" si="2"/>
        <v>,</v>
      </c>
      <c r="Q3042" s="49"/>
      <c r="R3042" s="49"/>
      <c r="S3042" s="55" t="s">
        <v>2721</v>
      </c>
      <c r="T3042" s="49"/>
      <c r="U3042" s="49"/>
      <c r="V3042" s="49"/>
      <c r="W3042" s="49"/>
      <c r="X3042" s="49" t="str">
        <f t="shared" si="3"/>
        <v>,</v>
      </c>
      <c r="Y3042" s="49"/>
      <c r="Z3042" s="49"/>
      <c r="AB3042" s="49"/>
      <c r="AC3042" s="49"/>
      <c r="AD3042" s="49"/>
      <c r="AE3042" s="49"/>
      <c r="AF3042" s="49"/>
      <c r="AG3042" s="49"/>
      <c r="AH3042" s="1" t="s">
        <v>4640</v>
      </c>
      <c r="AI3042" s="1" t="s">
        <v>1604</v>
      </c>
      <c r="AJ3042" s="6" t="str">
        <f>IFERROR(__xludf.DUMMYFUNCTION("""COMPUTED_VALUE"""),"diego")</f>
        <v>diego</v>
      </c>
      <c r="AK3042" s="49"/>
      <c r="AL3042" s="49"/>
      <c r="AM3042" s="49"/>
      <c r="AN3042" s="52" t="str">
        <f t="shared" si="5"/>
        <v>legal,</v>
      </c>
      <c r="AP3042" s="49"/>
      <c r="AQ3042" s="49"/>
      <c r="AR3042" s="49"/>
      <c r="AS3042" s="49"/>
      <c r="AT3042" s="49"/>
    </row>
    <row r="3043">
      <c r="A3043" s="51"/>
      <c r="B3043" s="50" t="s">
        <v>2377</v>
      </c>
      <c r="C3043" s="50" t="s">
        <v>5742</v>
      </c>
      <c r="D3043" s="49" t="str">
        <f>IFERROR(__xludf.DUMMYFUNCTION("""COMPUTED_VALUE"""),"businesses")</f>
        <v>businesses</v>
      </c>
      <c r="E3043" s="49"/>
      <c r="F3043" s="49"/>
      <c r="G3043" s="49"/>
      <c r="H3043" s="54" t="str">
        <f t="shared" si="1"/>
        <v>moral,</v>
      </c>
      <c r="I3043" s="50"/>
      <c r="J3043" s="50"/>
      <c r="K3043" s="50" t="s">
        <v>4613</v>
      </c>
      <c r="L3043" s="49"/>
      <c r="M3043" s="49"/>
      <c r="N3043" s="49"/>
      <c r="O3043" s="49"/>
      <c r="P3043" s="49" t="str">
        <f t="shared" si="2"/>
        <v>,</v>
      </c>
      <c r="Q3043" s="49"/>
      <c r="R3043" s="49"/>
      <c r="S3043" s="55" t="s">
        <v>5949</v>
      </c>
      <c r="T3043" s="49"/>
      <c r="U3043" s="49"/>
      <c r="V3043" s="49"/>
      <c r="W3043" s="49"/>
      <c r="X3043" s="49" t="str">
        <f t="shared" si="3"/>
        <v>,</v>
      </c>
      <c r="Y3043" s="49"/>
      <c r="Z3043" s="49"/>
      <c r="AB3043" s="49"/>
      <c r="AC3043" s="49"/>
      <c r="AD3043" s="49"/>
      <c r="AE3043" s="49"/>
      <c r="AF3043" s="49"/>
      <c r="AG3043" s="49"/>
      <c r="AH3043" s="1" t="s">
        <v>7669</v>
      </c>
      <c r="AI3043" s="1" t="s">
        <v>3204</v>
      </c>
      <c r="AJ3043" s="6" t="str">
        <f>IFERROR(__xludf.DUMMYFUNCTION("""COMPUTED_VALUE"""),"participate")</f>
        <v>participate</v>
      </c>
      <c r="AK3043" s="49"/>
      <c r="AL3043" s="49"/>
      <c r="AM3043" s="49"/>
      <c r="AN3043" s="52" t="str">
        <f t="shared" si="5"/>
        <v>vertical,</v>
      </c>
      <c r="AP3043" s="49"/>
      <c r="AQ3043" s="49"/>
      <c r="AR3043" s="49"/>
      <c r="AS3043" s="49"/>
      <c r="AT3043" s="49"/>
    </row>
    <row r="3044">
      <c r="A3044" s="51"/>
      <c r="B3044" s="50" t="s">
        <v>7452</v>
      </c>
      <c r="C3044" s="50" t="s">
        <v>4348</v>
      </c>
      <c r="D3044" s="49" t="str">
        <f>IFERROR(__xludf.DUMMYFUNCTION("""COMPUTED_VALUE"""),"lights")</f>
        <v>lights</v>
      </c>
      <c r="E3044" s="49"/>
      <c r="F3044" s="49"/>
      <c r="G3044" s="49"/>
      <c r="H3044" s="54" t="str">
        <f t="shared" si="1"/>
        <v>clarke,</v>
      </c>
      <c r="I3044" s="50"/>
      <c r="J3044" s="50"/>
      <c r="K3044" s="50" t="s">
        <v>2823</v>
      </c>
      <c r="L3044" s="49"/>
      <c r="M3044" s="49"/>
      <c r="N3044" s="49"/>
      <c r="O3044" s="49"/>
      <c r="P3044" s="49" t="str">
        <f t="shared" si="2"/>
        <v>,</v>
      </c>
      <c r="Q3044" s="49"/>
      <c r="R3044" s="49"/>
      <c r="S3044" s="55" t="s">
        <v>5950</v>
      </c>
      <c r="T3044" s="49"/>
      <c r="U3044" s="49"/>
      <c r="V3044" s="49"/>
      <c r="W3044" s="49"/>
      <c r="X3044" s="49" t="str">
        <f t="shared" si="3"/>
        <v>,</v>
      </c>
      <c r="Y3044" s="49"/>
      <c r="Z3044" s="49"/>
      <c r="AB3044" s="49"/>
      <c r="AC3044" s="49"/>
      <c r="AD3044" s="49"/>
      <c r="AE3044" s="49"/>
      <c r="AF3044" s="49"/>
      <c r="AG3044" s="49"/>
      <c r="AH3044" s="1" t="s">
        <v>4503</v>
      </c>
      <c r="AI3044" s="1" t="s">
        <v>6926</v>
      </c>
      <c r="AJ3044" s="6" t="str">
        <f>IFERROR(__xludf.DUMMYFUNCTION("""COMPUTED_VALUE"""),"laboratory")</f>
        <v>laboratory</v>
      </c>
      <c r="AK3044" s="49"/>
      <c r="AL3044" s="49"/>
      <c r="AM3044" s="49"/>
      <c r="AN3044" s="52" t="str">
        <f t="shared" si="5"/>
        <v>atlantic,</v>
      </c>
      <c r="AP3044" s="49"/>
      <c r="AQ3044" s="49"/>
      <c r="AR3044" s="49"/>
      <c r="AS3044" s="49"/>
      <c r="AT3044" s="49"/>
    </row>
    <row r="3045">
      <c r="A3045" s="51"/>
      <c r="B3045" s="50" t="s">
        <v>5422</v>
      </c>
      <c r="C3045" s="50" t="s">
        <v>2880</v>
      </c>
      <c r="D3045" s="49" t="str">
        <f>IFERROR(__xludf.DUMMYFUNCTION("""COMPUTED_VALUE"""),"election")</f>
        <v>election</v>
      </c>
      <c r="E3045" s="49"/>
      <c r="F3045" s="49"/>
      <c r="G3045" s="49"/>
      <c r="H3045" s="54" t="str">
        <f t="shared" si="1"/>
        <v>realm,</v>
      </c>
      <c r="I3045" s="50"/>
      <c r="J3045" s="50"/>
      <c r="K3045" s="50" t="s">
        <v>722</v>
      </c>
      <c r="L3045" s="49"/>
      <c r="M3045" s="49"/>
      <c r="N3045" s="49"/>
      <c r="O3045" s="49"/>
      <c r="P3045" s="49" t="str">
        <f t="shared" si="2"/>
        <v>,</v>
      </c>
      <c r="Q3045" s="49"/>
      <c r="R3045" s="49"/>
      <c r="S3045" s="55" t="s">
        <v>2724</v>
      </c>
      <c r="T3045" s="49"/>
      <c r="U3045" s="49"/>
      <c r="V3045" s="49"/>
      <c r="W3045" s="49"/>
      <c r="X3045" s="49" t="str">
        <f t="shared" si="3"/>
        <v>,</v>
      </c>
      <c r="Y3045" s="49"/>
      <c r="Z3045" s="49"/>
      <c r="AB3045" s="49"/>
      <c r="AC3045" s="49"/>
      <c r="AD3045" s="49"/>
      <c r="AE3045" s="49"/>
      <c r="AF3045" s="49"/>
      <c r="AG3045" s="49"/>
      <c r="AH3045" s="1" t="s">
        <v>4633</v>
      </c>
      <c r="AI3045" s="1" t="s">
        <v>3843</v>
      </c>
      <c r="AJ3045" s="6" t="str">
        <f>IFERROR(__xludf.DUMMYFUNCTION("""COMPUTED_VALUE"""),"mall")</f>
        <v>mall</v>
      </c>
      <c r="AK3045" s="49"/>
      <c r="AL3045" s="49"/>
      <c r="AM3045" s="49"/>
      <c r="AN3045" s="52" t="str">
        <f t="shared" si="5"/>
        <v>parent,</v>
      </c>
      <c r="AP3045" s="49"/>
      <c r="AQ3045" s="49"/>
      <c r="AR3045" s="49"/>
      <c r="AS3045" s="49"/>
      <c r="AT3045" s="49"/>
    </row>
    <row r="3046">
      <c r="A3046" s="51"/>
      <c r="B3046" s="50" t="s">
        <v>7670</v>
      </c>
      <c r="C3046" s="50" t="s">
        <v>6818</v>
      </c>
      <c r="D3046" s="49" t="str">
        <f>IFERROR(__xludf.DUMMYFUNCTION("""COMPUTED_VALUE"""),"judge")</f>
        <v>judge</v>
      </c>
      <c r="E3046" s="49"/>
      <c r="F3046" s="49"/>
      <c r="G3046" s="49"/>
      <c r="H3046" s="54" t="str">
        <f t="shared" si="1"/>
        <v>rogers,</v>
      </c>
      <c r="I3046" s="50"/>
      <c r="J3046" s="50"/>
      <c r="K3046" s="50" t="s">
        <v>4942</v>
      </c>
      <c r="L3046" s="49"/>
      <c r="M3046" s="49"/>
      <c r="N3046" s="49"/>
      <c r="O3046" s="49"/>
      <c r="P3046" s="49" t="str">
        <f t="shared" si="2"/>
        <v>,</v>
      </c>
      <c r="Q3046" s="49"/>
      <c r="R3046" s="49"/>
      <c r="S3046" s="55" t="s">
        <v>4526</v>
      </c>
      <c r="T3046" s="49"/>
      <c r="U3046" s="49"/>
      <c r="V3046" s="49"/>
      <c r="W3046" s="49"/>
      <c r="X3046" s="49" t="str">
        <f t="shared" si="3"/>
        <v>,</v>
      </c>
      <c r="Y3046" s="49"/>
      <c r="Z3046" s="49"/>
      <c r="AB3046" s="49"/>
      <c r="AC3046" s="49"/>
      <c r="AD3046" s="49"/>
      <c r="AE3046" s="49"/>
      <c r="AF3046" s="49"/>
      <c r="AG3046" s="49"/>
      <c r="AH3046" s="1" t="s">
        <v>7025</v>
      </c>
      <c r="AI3046" s="1" t="s">
        <v>6020</v>
      </c>
      <c r="AJ3046" s="6" t="str">
        <f>IFERROR(__xludf.DUMMYFUNCTION("""COMPUTED_VALUE"""),"tomorrow")</f>
        <v>tomorrow</v>
      </c>
      <c r="AK3046" s="49"/>
      <c r="AL3046" s="49"/>
      <c r="AM3046" s="49"/>
      <c r="AN3046" s="52" t="str">
        <f t="shared" si="5"/>
        <v>telephone,</v>
      </c>
      <c r="AP3046" s="49"/>
      <c r="AQ3046" s="49"/>
      <c r="AR3046" s="49"/>
      <c r="AS3046" s="49"/>
      <c r="AT3046" s="49"/>
    </row>
    <row r="3047">
      <c r="A3047" s="51"/>
      <c r="B3047" s="50" t="s">
        <v>3512</v>
      </c>
      <c r="C3047" s="50" t="s">
        <v>4246</v>
      </c>
      <c r="D3047" s="49" t="str">
        <f>IFERROR(__xludf.DUMMYFUNCTION("""COMPUTED_VALUE"""),"tucker")</f>
        <v>tucker</v>
      </c>
      <c r="E3047" s="49"/>
      <c r="F3047" s="49"/>
      <c r="G3047" s="49"/>
      <c r="H3047" s="54" t="str">
        <f t="shared" si="1"/>
        <v>presentation,</v>
      </c>
      <c r="I3047" s="50"/>
      <c r="J3047" s="50"/>
      <c r="K3047" s="50" t="s">
        <v>519</v>
      </c>
      <c r="L3047" s="49"/>
      <c r="M3047" s="49"/>
      <c r="N3047" s="49"/>
      <c r="O3047" s="49"/>
      <c r="P3047" s="49" t="str">
        <f t="shared" si="2"/>
        <v>,</v>
      </c>
      <c r="Q3047" s="49"/>
      <c r="R3047" s="49"/>
      <c r="S3047" s="55" t="s">
        <v>3190</v>
      </c>
      <c r="T3047" s="49"/>
      <c r="U3047" s="49"/>
      <c r="V3047" s="49"/>
      <c r="W3047" s="49"/>
      <c r="X3047" s="49" t="str">
        <f t="shared" si="3"/>
        <v>,</v>
      </c>
      <c r="Y3047" s="49"/>
      <c r="Z3047" s="49"/>
      <c r="AB3047" s="49"/>
      <c r="AC3047" s="49"/>
      <c r="AD3047" s="49"/>
      <c r="AE3047" s="49"/>
      <c r="AF3047" s="49"/>
      <c r="AG3047" s="49"/>
      <c r="AH3047" s="1" t="s">
        <v>6835</v>
      </c>
      <c r="AI3047" s="1" t="s">
        <v>6927</v>
      </c>
      <c r="AJ3047" s="6" t="str">
        <f>IFERROR(__xludf.DUMMYFUNCTION("""COMPUTED_VALUE"""),"apply")</f>
        <v>apply</v>
      </c>
      <c r="AK3047" s="49"/>
      <c r="AL3047" s="49"/>
      <c r="AM3047" s="49"/>
      <c r="AN3047" s="52" t="str">
        <f t="shared" si="5"/>
        <v>ballet,</v>
      </c>
      <c r="AP3047" s="49"/>
      <c r="AQ3047" s="49"/>
      <c r="AR3047" s="49"/>
      <c r="AS3047" s="49"/>
      <c r="AT3047" s="49"/>
    </row>
    <row r="3048">
      <c r="A3048" s="51"/>
      <c r="B3048" s="50">
        <v>96.0</v>
      </c>
      <c r="C3048" s="50" t="s">
        <v>5267</v>
      </c>
      <c r="D3048" s="49">
        <f>IFERROR(__xludf.DUMMYFUNCTION("""COMPUTED_VALUE"""),94.0)</f>
        <v>94</v>
      </c>
      <c r="E3048" s="49"/>
      <c r="F3048" s="49"/>
      <c r="G3048" s="49"/>
      <c r="H3048" s="54" t="str">
        <f t="shared" si="1"/>
        <v>96,</v>
      </c>
      <c r="I3048" s="50"/>
      <c r="J3048" s="50"/>
      <c r="K3048" s="50" t="s">
        <v>5563</v>
      </c>
      <c r="L3048" s="49"/>
      <c r="M3048" s="49"/>
      <c r="N3048" s="49"/>
      <c r="O3048" s="49"/>
      <c r="P3048" s="49" t="str">
        <f t="shared" si="2"/>
        <v>,</v>
      </c>
      <c r="Q3048" s="49"/>
      <c r="R3048" s="49"/>
      <c r="S3048" s="55" t="s">
        <v>2728</v>
      </c>
      <c r="T3048" s="49"/>
      <c r="U3048" s="49"/>
      <c r="V3048" s="49"/>
      <c r="W3048" s="49"/>
      <c r="X3048" s="49" t="str">
        <f t="shared" si="3"/>
        <v>,</v>
      </c>
      <c r="Y3048" s="49"/>
      <c r="Z3048" s="49"/>
      <c r="AB3048" s="49"/>
      <c r="AC3048" s="49"/>
      <c r="AD3048" s="49"/>
      <c r="AE3048" s="49"/>
      <c r="AF3048" s="49"/>
      <c r="AG3048" s="49"/>
      <c r="AH3048" s="1" t="s">
        <v>5006</v>
      </c>
      <c r="AI3048" s="1" t="s">
        <v>6928</v>
      </c>
      <c r="AJ3048" s="6" t="str">
        <f>IFERROR(__xludf.DUMMYFUNCTION("""COMPUTED_VALUE"""),"pride")</f>
        <v>pride</v>
      </c>
      <c r="AK3048" s="49"/>
      <c r="AL3048" s="49"/>
      <c r="AM3048" s="49"/>
      <c r="AN3048" s="52" t="str">
        <f t="shared" si="5"/>
        <v>harm,</v>
      </c>
      <c r="AP3048" s="49"/>
      <c r="AQ3048" s="49"/>
      <c r="AR3048" s="49"/>
      <c r="AS3048" s="49"/>
      <c r="AT3048" s="49"/>
    </row>
    <row r="3049">
      <c r="A3049" s="51"/>
      <c r="B3049" s="50" t="s">
        <v>6371</v>
      </c>
      <c r="C3049" s="50" t="s">
        <v>5157</v>
      </c>
      <c r="D3049" s="49" t="str">
        <f>IFERROR(__xludf.DUMMYFUNCTION("""COMPUTED_VALUE"""),"attempted")</f>
        <v>attempted</v>
      </c>
      <c r="E3049" s="49"/>
      <c r="F3049" s="49"/>
      <c r="G3049" s="49"/>
      <c r="H3049" s="54" t="str">
        <f t="shared" si="1"/>
        <v>instantly,</v>
      </c>
      <c r="I3049" s="50"/>
      <c r="J3049" s="50"/>
      <c r="K3049" s="50" t="s">
        <v>2827</v>
      </c>
      <c r="L3049" s="49"/>
      <c r="M3049" s="49"/>
      <c r="N3049" s="49"/>
      <c r="O3049" s="49"/>
      <c r="P3049" s="49" t="str">
        <f t="shared" si="2"/>
        <v>,</v>
      </c>
      <c r="Q3049" s="49"/>
      <c r="R3049" s="49"/>
      <c r="S3049" s="55" t="s">
        <v>4532</v>
      </c>
      <c r="T3049" s="49"/>
      <c r="U3049" s="49"/>
      <c r="V3049" s="49"/>
      <c r="W3049" s="49"/>
      <c r="X3049" s="49" t="str">
        <f t="shared" si="3"/>
        <v>,</v>
      </c>
      <c r="Y3049" s="49"/>
      <c r="Z3049" s="49"/>
      <c r="AB3049" s="49"/>
      <c r="AC3049" s="49"/>
      <c r="AD3049" s="49"/>
      <c r="AE3049" s="49"/>
      <c r="AF3049" s="49"/>
      <c r="AG3049" s="49"/>
      <c r="AH3049" s="1" t="s">
        <v>1806</v>
      </c>
      <c r="AI3049" s="1" t="s">
        <v>4795</v>
      </c>
      <c r="AJ3049" s="6" t="str">
        <f>IFERROR(__xludf.DUMMYFUNCTION("""COMPUTED_VALUE"""),"transition")</f>
        <v>transition</v>
      </c>
      <c r="AK3049" s="49"/>
      <c r="AL3049" s="49"/>
      <c r="AM3049" s="49"/>
      <c r="AN3049" s="52" t="str">
        <f t="shared" si="5"/>
        <v>videos,</v>
      </c>
      <c r="AP3049" s="49"/>
      <c r="AQ3049" s="49"/>
      <c r="AR3049" s="49"/>
      <c r="AS3049" s="49"/>
      <c r="AT3049" s="49"/>
    </row>
    <row r="3050">
      <c r="A3050" s="51"/>
      <c r="B3050" s="50" t="s">
        <v>2024</v>
      </c>
      <c r="C3050" s="50" t="s">
        <v>6820</v>
      </c>
      <c r="D3050" s="49" t="str">
        <f>IFERROR(__xludf.DUMMYFUNCTION("""COMPUTED_VALUE"""),"cafe")</f>
        <v>cafe</v>
      </c>
      <c r="E3050" s="49"/>
      <c r="F3050" s="49"/>
      <c r="G3050" s="49"/>
      <c r="H3050" s="54" t="str">
        <f t="shared" si="1"/>
        <v>board,</v>
      </c>
      <c r="I3050" s="50"/>
      <c r="J3050" s="50"/>
      <c r="K3050" s="50" t="s">
        <v>4486</v>
      </c>
      <c r="L3050" s="49"/>
      <c r="M3050" s="49"/>
      <c r="N3050" s="49"/>
      <c r="O3050" s="49"/>
      <c r="P3050" s="49" t="str">
        <f t="shared" si="2"/>
        <v>,</v>
      </c>
      <c r="Q3050" s="49"/>
      <c r="R3050" s="49"/>
      <c r="S3050" s="55" t="s">
        <v>2730</v>
      </c>
      <c r="T3050" s="49"/>
      <c r="U3050" s="49"/>
      <c r="V3050" s="49"/>
      <c r="W3050" s="49"/>
      <c r="X3050" s="49" t="str">
        <f t="shared" si="3"/>
        <v>,</v>
      </c>
      <c r="Y3050" s="49"/>
      <c r="Z3050" s="49"/>
      <c r="AB3050" s="49"/>
      <c r="AC3050" s="49"/>
      <c r="AD3050" s="49"/>
      <c r="AE3050" s="49"/>
      <c r="AF3050" s="49"/>
      <c r="AG3050" s="49"/>
      <c r="AH3050" s="1" t="s">
        <v>4254</v>
      </c>
      <c r="AI3050" s="1" t="s">
        <v>5630</v>
      </c>
      <c r="AJ3050" s="6" t="str">
        <f>IFERROR(__xludf.DUMMYFUNCTION("""COMPUTED_VALUE"""),"buried")</f>
        <v>buried</v>
      </c>
      <c r="AK3050" s="49"/>
      <c r="AL3050" s="49"/>
      <c r="AM3050" s="49"/>
      <c r="AN3050" s="52" t="str">
        <f t="shared" si="5"/>
        <v>composed,</v>
      </c>
      <c r="AP3050" s="49"/>
      <c r="AQ3050" s="49"/>
      <c r="AR3050" s="49"/>
      <c r="AS3050" s="49"/>
      <c r="AT3050" s="49"/>
    </row>
    <row r="3051">
      <c r="A3051" s="51"/>
      <c r="B3051" s="50" t="s">
        <v>5588</v>
      </c>
      <c r="C3051" s="50" t="s">
        <v>3601</v>
      </c>
      <c r="D3051" s="49" t="str">
        <f>IFERROR(__xludf.DUMMYFUNCTION("""COMPUTED_VALUE"""),"variable")</f>
        <v>variable</v>
      </c>
      <c r="E3051" s="49"/>
      <c r="F3051" s="49"/>
      <c r="G3051" s="49"/>
      <c r="H3051" s="54" t="str">
        <f t="shared" si="1"/>
        <v>unknown,</v>
      </c>
      <c r="I3051" s="50"/>
      <c r="J3051" s="50"/>
      <c r="K3051" s="50" t="s">
        <v>4619</v>
      </c>
      <c r="L3051" s="49"/>
      <c r="M3051" s="49"/>
      <c r="N3051" s="49"/>
      <c r="O3051" s="49"/>
      <c r="P3051" s="49" t="str">
        <f t="shared" si="2"/>
        <v>,</v>
      </c>
      <c r="Q3051" s="49"/>
      <c r="R3051" s="49"/>
      <c r="S3051" s="55" t="s">
        <v>5489</v>
      </c>
      <c r="T3051" s="49"/>
      <c r="U3051" s="49"/>
      <c r="V3051" s="49"/>
      <c r="W3051" s="49"/>
      <c r="X3051" s="49" t="str">
        <f t="shared" si="3"/>
        <v>,</v>
      </c>
      <c r="Y3051" s="49"/>
      <c r="Z3051" s="49"/>
      <c r="AB3051" s="49"/>
      <c r="AC3051" s="49"/>
      <c r="AD3051" s="49"/>
      <c r="AE3051" s="49"/>
      <c r="AF3051" s="49"/>
      <c r="AG3051" s="49"/>
      <c r="AH3051" s="1" t="s">
        <v>7671</v>
      </c>
      <c r="AI3051" s="1" t="s">
        <v>6929</v>
      </c>
      <c r="AJ3051" s="6" t="str">
        <f>IFERROR(__xludf.DUMMYFUNCTION("""COMPUTED_VALUE"""),"iranian")</f>
        <v>iranian</v>
      </c>
      <c r="AK3051" s="49"/>
      <c r="AL3051" s="49"/>
      <c r="AM3051" s="49"/>
      <c r="AN3051" s="52" t="str">
        <f t="shared" si="5"/>
        <v>victor,</v>
      </c>
      <c r="AP3051" s="49"/>
      <c r="AQ3051" s="49"/>
      <c r="AR3051" s="49"/>
      <c r="AS3051" s="49"/>
      <c r="AT3051" s="49"/>
    </row>
    <row r="3052">
      <c r="A3052" s="51"/>
      <c r="B3052" s="50" t="s">
        <v>4086</v>
      </c>
      <c r="C3052" s="50" t="s">
        <v>6930</v>
      </c>
      <c r="D3052" s="49" t="str">
        <f>IFERROR(__xludf.DUMMYFUNCTION("""COMPUTED_VALUE"""),"established")</f>
        <v>established</v>
      </c>
      <c r="E3052" s="49"/>
      <c r="F3052" s="49"/>
      <c r="G3052" s="49"/>
      <c r="H3052" s="54" t="str">
        <f t="shared" si="1"/>
        <v>closer,</v>
      </c>
      <c r="I3052" s="50"/>
      <c r="J3052" s="50"/>
      <c r="K3052" s="50" t="s">
        <v>5565</v>
      </c>
      <c r="L3052" s="49"/>
      <c r="M3052" s="49"/>
      <c r="N3052" s="49"/>
      <c r="O3052" s="49"/>
      <c r="P3052" s="49" t="str">
        <f t="shared" si="2"/>
        <v>,</v>
      </c>
      <c r="Q3052" s="49"/>
      <c r="R3052" s="49"/>
      <c r="S3052" s="55" t="s">
        <v>5491</v>
      </c>
      <c r="T3052" s="49"/>
      <c r="U3052" s="49"/>
      <c r="V3052" s="49"/>
      <c r="W3052" s="49"/>
      <c r="X3052" s="49" t="str">
        <f t="shared" si="3"/>
        <v>,</v>
      </c>
      <c r="Y3052" s="49"/>
      <c r="Z3052" s="49"/>
      <c r="AB3052" s="49"/>
      <c r="AC3052" s="49"/>
      <c r="AD3052" s="49"/>
      <c r="AE3052" s="49"/>
      <c r="AF3052" s="49"/>
      <c r="AG3052" s="49"/>
      <c r="AH3052" s="1" t="s">
        <v>4228</v>
      </c>
      <c r="AI3052" s="1" t="s">
        <v>4916</v>
      </c>
      <c r="AJ3052" s="6" t="str">
        <f>IFERROR(__xludf.DUMMYFUNCTION("""COMPUTED_VALUE"""),"decisions")</f>
        <v>decisions</v>
      </c>
      <c r="AK3052" s="49"/>
      <c r="AL3052" s="49"/>
      <c r="AM3052" s="49"/>
      <c r="AN3052" s="52" t="str">
        <f t="shared" si="5"/>
        <v>calm,</v>
      </c>
      <c r="AP3052" s="49"/>
      <c r="AQ3052" s="49"/>
      <c r="AR3052" s="49"/>
      <c r="AS3052" s="49"/>
      <c r="AT3052" s="49"/>
    </row>
    <row r="3053">
      <c r="A3053" s="51"/>
      <c r="B3053" s="50" t="s">
        <v>3998</v>
      </c>
      <c r="C3053" s="50" t="s">
        <v>6821</v>
      </c>
      <c r="D3053" s="49" t="str">
        <f>IFERROR(__xludf.DUMMYFUNCTION("""COMPUTED_VALUE"""),"criticism")</f>
        <v>criticism</v>
      </c>
      <c r="E3053" s="49"/>
      <c r="F3053" s="49"/>
      <c r="G3053" s="49"/>
      <c r="H3053" s="54" t="str">
        <f t="shared" si="1"/>
        <v>drop,</v>
      </c>
      <c r="I3053" s="50"/>
      <c r="J3053" s="50"/>
      <c r="K3053" s="50" t="s">
        <v>5566</v>
      </c>
      <c r="L3053" s="49"/>
      <c r="M3053" s="49"/>
      <c r="N3053" s="49"/>
      <c r="O3053" s="49"/>
      <c r="P3053" s="49" t="str">
        <f t="shared" si="2"/>
        <v>,</v>
      </c>
      <c r="Q3053" s="49"/>
      <c r="R3053" s="49"/>
      <c r="S3053" s="55" t="s">
        <v>1550</v>
      </c>
      <c r="T3053" s="49"/>
      <c r="U3053" s="49"/>
      <c r="V3053" s="49"/>
      <c r="W3053" s="49"/>
      <c r="X3053" s="49" t="str">
        <f t="shared" si="3"/>
        <v>,</v>
      </c>
      <c r="Y3053" s="49"/>
      <c r="Z3053" s="49"/>
      <c r="AB3053" s="49"/>
      <c r="AC3053" s="49"/>
      <c r="AD3053" s="49"/>
      <c r="AE3053" s="49"/>
      <c r="AF3053" s="49"/>
      <c r="AG3053" s="49"/>
      <c r="AH3053" s="1" t="s">
        <v>2392</v>
      </c>
      <c r="AI3053" s="1" t="s">
        <v>6931</v>
      </c>
      <c r="AJ3053" s="6" t="str">
        <f>IFERROR(__xludf.DUMMYFUNCTION("""COMPUTED_VALUE"""),"charged")</f>
        <v>charged</v>
      </c>
      <c r="AK3053" s="49"/>
      <c r="AL3053" s="49"/>
      <c r="AM3053" s="49"/>
      <c r="AN3053" s="52" t="str">
        <f t="shared" si="5"/>
        <v>suffering,</v>
      </c>
      <c r="AP3053" s="49"/>
      <c r="AQ3053" s="49"/>
      <c r="AR3053" s="49"/>
      <c r="AS3053" s="49"/>
      <c r="AT3053" s="49"/>
    </row>
    <row r="3054">
      <c r="A3054" s="51"/>
      <c r="B3054" s="50" t="s">
        <v>7033</v>
      </c>
      <c r="C3054" s="50" t="s">
        <v>1269</v>
      </c>
      <c r="D3054" s="49" t="str">
        <f>IFERROR(__xludf.DUMMYFUNCTION("""COMPUTED_VALUE"""),"versions")</f>
        <v>versions</v>
      </c>
      <c r="E3054" s="49"/>
      <c r="F3054" s="49"/>
      <c r="G3054" s="49"/>
      <c r="H3054" s="54" t="str">
        <f t="shared" si="1"/>
        <v>faced,</v>
      </c>
      <c r="I3054" s="50"/>
      <c r="J3054" s="50"/>
      <c r="K3054" s="50" t="s">
        <v>5567</v>
      </c>
      <c r="L3054" s="49"/>
      <c r="M3054" s="49"/>
      <c r="N3054" s="49"/>
      <c r="O3054" s="49"/>
      <c r="P3054" s="49" t="str">
        <f t="shared" si="2"/>
        <v>,</v>
      </c>
      <c r="Q3054" s="49"/>
      <c r="R3054" s="49"/>
      <c r="S3054" s="55" t="s">
        <v>2736</v>
      </c>
      <c r="T3054" s="49"/>
      <c r="U3054" s="49"/>
      <c r="V3054" s="49"/>
      <c r="W3054" s="49"/>
      <c r="X3054" s="49" t="str">
        <f t="shared" si="3"/>
        <v>,</v>
      </c>
      <c r="Y3054" s="49"/>
      <c r="Z3054" s="49"/>
      <c r="AB3054" s="49"/>
      <c r="AC3054" s="49"/>
      <c r="AD3054" s="49"/>
      <c r="AE3054" s="49"/>
      <c r="AF3054" s="49"/>
      <c r="AG3054" s="49"/>
      <c r="AH3054" s="1" t="s">
        <v>6902</v>
      </c>
      <c r="AI3054" s="1" t="s">
        <v>413</v>
      </c>
      <c r="AJ3054" s="6" t="str">
        <f>IFERROR(__xludf.DUMMYFUNCTION("""COMPUTED_VALUE"""),"importance")</f>
        <v>importance</v>
      </c>
      <c r="AK3054" s="49"/>
      <c r="AL3054" s="49"/>
      <c r="AM3054" s="49"/>
      <c r="AN3054" s="52" t="str">
        <f t="shared" si="5"/>
        <v>engine,</v>
      </c>
      <c r="AP3054" s="49"/>
      <c r="AQ3054" s="49"/>
      <c r="AR3054" s="49"/>
      <c r="AS3054" s="49"/>
      <c r="AT3054" s="49"/>
    </row>
    <row r="3055">
      <c r="A3055" s="51"/>
      <c r="B3055" s="50" t="s">
        <v>5843</v>
      </c>
      <c r="C3055" s="50" t="s">
        <v>4202</v>
      </c>
      <c r="D3055" s="49" t="str">
        <f>IFERROR(__xludf.DUMMYFUNCTION("""COMPUTED_VALUE"""),"log")</f>
        <v>log</v>
      </c>
      <c r="E3055" s="49"/>
      <c r="F3055" s="49"/>
      <c r="G3055" s="49"/>
      <c r="H3055" s="54" t="str">
        <f t="shared" si="1"/>
        <v>jane,</v>
      </c>
      <c r="I3055" s="50"/>
      <c r="J3055" s="50"/>
      <c r="K3055" s="50" t="s">
        <v>4622</v>
      </c>
      <c r="L3055" s="49"/>
      <c r="M3055" s="49"/>
      <c r="N3055" s="49"/>
      <c r="O3055" s="49"/>
      <c r="P3055" s="49" t="str">
        <f t="shared" si="2"/>
        <v>,</v>
      </c>
      <c r="Q3055" s="49"/>
      <c r="R3055" s="49"/>
      <c r="S3055" s="55" t="s">
        <v>4537</v>
      </c>
      <c r="T3055" s="49"/>
      <c r="U3055" s="49"/>
      <c r="V3055" s="49"/>
      <c r="W3055" s="49"/>
      <c r="X3055" s="49" t="str">
        <f t="shared" si="3"/>
        <v>,</v>
      </c>
      <c r="Y3055" s="49"/>
      <c r="Z3055" s="49"/>
      <c r="AB3055" s="49"/>
      <c r="AC3055" s="49"/>
      <c r="AD3055" s="49"/>
      <c r="AE3055" s="49"/>
      <c r="AF3055" s="49"/>
      <c r="AG3055" s="49"/>
      <c r="AH3055" s="1" t="s">
        <v>5884</v>
      </c>
      <c r="AI3055" s="1" t="s">
        <v>6932</v>
      </c>
      <c r="AJ3055" s="6" t="str">
        <f>IFERROR(__xludf.DUMMYFUNCTION("""COMPUTED_VALUE"""),"pa")</f>
        <v>pa</v>
      </c>
      <c r="AK3055" s="49"/>
      <c r="AL3055" s="49"/>
      <c r="AM3055" s="49"/>
      <c r="AN3055" s="52" t="str">
        <f t="shared" si="5"/>
        <v>dave,</v>
      </c>
      <c r="AP3055" s="49"/>
      <c r="AQ3055" s="49"/>
      <c r="AR3055" s="49"/>
      <c r="AS3055" s="49"/>
      <c r="AT3055" s="49"/>
    </row>
    <row r="3056">
      <c r="A3056" s="51"/>
      <c r="B3056" s="50" t="s">
        <v>4709</v>
      </c>
      <c r="C3056" s="50" t="s">
        <v>3273</v>
      </c>
      <c r="D3056" s="49">
        <f>IFERROR(__xludf.DUMMYFUNCTION("""COMPUTED_VALUE"""),95.0)</f>
        <v>95</v>
      </c>
      <c r="E3056" s="49"/>
      <c r="F3056" s="49"/>
      <c r="G3056" s="49"/>
      <c r="H3056" s="54" t="str">
        <f t="shared" si="1"/>
        <v>extreme,</v>
      </c>
      <c r="I3056" s="50"/>
      <c r="J3056" s="50"/>
      <c r="K3056" s="50" t="s">
        <v>5570</v>
      </c>
      <c r="L3056" s="49"/>
      <c r="M3056" s="49"/>
      <c r="N3056" s="49"/>
      <c r="O3056" s="49"/>
      <c r="P3056" s="49" t="str">
        <f t="shared" si="2"/>
        <v>,</v>
      </c>
      <c r="Q3056" s="49"/>
      <c r="R3056" s="49"/>
      <c r="S3056" s="55" t="s">
        <v>4539</v>
      </c>
      <c r="T3056" s="49"/>
      <c r="U3056" s="49"/>
      <c r="V3056" s="49"/>
      <c r="W3056" s="49"/>
      <c r="X3056" s="49" t="str">
        <f t="shared" si="3"/>
        <v>,</v>
      </c>
      <c r="Y3056" s="49"/>
      <c r="Z3056" s="49"/>
      <c r="AB3056" s="49"/>
      <c r="AC3056" s="49"/>
      <c r="AD3056" s="49"/>
      <c r="AE3056" s="49"/>
      <c r="AF3056" s="49"/>
      <c r="AG3056" s="49"/>
      <c r="AH3056" s="1" t="s">
        <v>2149</v>
      </c>
      <c r="AI3056" s="1" t="s">
        <v>6078</v>
      </c>
      <c r="AJ3056" s="6" t="str">
        <f>IFERROR(__xludf.DUMMYFUNCTION("""COMPUTED_VALUE"""),"salt")</f>
        <v>salt</v>
      </c>
      <c r="AK3056" s="49"/>
      <c r="AL3056" s="49"/>
      <c r="AM3056" s="49"/>
      <c r="AN3056" s="52" t="str">
        <f t="shared" si="5"/>
        <v>dvd,</v>
      </c>
      <c r="AP3056" s="49"/>
      <c r="AQ3056" s="49"/>
      <c r="AR3056" s="49"/>
      <c r="AS3056" s="49"/>
      <c r="AT3056" s="49"/>
    </row>
    <row r="3057">
      <c r="A3057" s="51"/>
      <c r="B3057" s="50" t="s">
        <v>6415</v>
      </c>
      <c r="C3057" s="50" t="s">
        <v>6822</v>
      </c>
      <c r="D3057" s="49" t="str">
        <f>IFERROR(__xludf.DUMMYFUNCTION("""COMPUTED_VALUE"""),"powers")</f>
        <v>powers</v>
      </c>
      <c r="E3057" s="49"/>
      <c r="F3057" s="49"/>
      <c r="G3057" s="49"/>
      <c r="H3057" s="54" t="str">
        <f t="shared" si="1"/>
        <v>bank,</v>
      </c>
      <c r="I3057" s="50"/>
      <c r="J3057" s="50"/>
      <c r="K3057" s="50" t="s">
        <v>4624</v>
      </c>
      <c r="L3057" s="49"/>
      <c r="M3057" s="49"/>
      <c r="N3057" s="49"/>
      <c r="O3057" s="49"/>
      <c r="P3057" s="49" t="str">
        <f t="shared" si="2"/>
        <v>,</v>
      </c>
      <c r="Q3057" s="49"/>
      <c r="R3057" s="49"/>
      <c r="S3057" s="55" t="s">
        <v>4540</v>
      </c>
      <c r="T3057" s="49"/>
      <c r="U3057" s="49"/>
      <c r="V3057" s="49"/>
      <c r="W3057" s="49"/>
      <c r="X3057" s="49" t="str">
        <f t="shared" si="3"/>
        <v>,</v>
      </c>
      <c r="Y3057" s="49"/>
      <c r="Z3057" s="49"/>
      <c r="AB3057" s="49"/>
      <c r="AC3057" s="49"/>
      <c r="AD3057" s="49"/>
      <c r="AE3057" s="49"/>
      <c r="AF3057" s="49"/>
      <c r="AG3057" s="49"/>
      <c r="AH3057" s="1" t="s">
        <v>6466</v>
      </c>
      <c r="AI3057" s="1" t="s">
        <v>4577</v>
      </c>
      <c r="AJ3057" s="6" t="str">
        <f>IFERROR(__xludf.DUMMYFUNCTION("""COMPUTED_VALUE"""),"discussed")</f>
        <v>discussed</v>
      </c>
      <c r="AK3057" s="49"/>
      <c r="AL3057" s="49"/>
      <c r="AM3057" s="49"/>
      <c r="AN3057" s="52" t="str">
        <f t="shared" si="5"/>
        <v>techniques,</v>
      </c>
      <c r="AP3057" s="49"/>
      <c r="AQ3057" s="49"/>
      <c r="AR3057" s="49"/>
      <c r="AS3057" s="49"/>
      <c r="AT3057" s="49"/>
    </row>
    <row r="3058">
      <c r="A3058" s="51"/>
      <c r="B3058" s="50" t="s">
        <v>7456</v>
      </c>
      <c r="C3058" s="50" t="s">
        <v>4254</v>
      </c>
      <c r="D3058" s="49" t="str">
        <f>IFERROR(__xludf.DUMMYFUNCTION("""COMPUTED_VALUE"""),"austin")</f>
        <v>austin</v>
      </c>
      <c r="E3058" s="49"/>
      <c r="F3058" s="49"/>
      <c r="G3058" s="49"/>
      <c r="H3058" s="54" t="str">
        <f t="shared" si="1"/>
        <v>Mar,</v>
      </c>
      <c r="I3058" s="50"/>
      <c r="J3058" s="50"/>
      <c r="K3058" s="50" t="s">
        <v>4625</v>
      </c>
      <c r="L3058" s="49"/>
      <c r="M3058" s="49"/>
      <c r="N3058" s="49"/>
      <c r="O3058" s="49"/>
      <c r="P3058" s="49" t="str">
        <f t="shared" si="2"/>
        <v>,</v>
      </c>
      <c r="Q3058" s="49"/>
      <c r="R3058" s="49"/>
      <c r="S3058" s="55" t="s">
        <v>2739</v>
      </c>
      <c r="T3058" s="49"/>
      <c r="U3058" s="49"/>
      <c r="V3058" s="49"/>
      <c r="W3058" s="49"/>
      <c r="X3058" s="49" t="str">
        <f t="shared" si="3"/>
        <v>,</v>
      </c>
      <c r="Y3058" s="49"/>
      <c r="Z3058" s="49"/>
      <c r="AB3058" s="49"/>
      <c r="AC3058" s="49"/>
      <c r="AD3058" s="49"/>
      <c r="AE3058" s="49"/>
      <c r="AF3058" s="49"/>
      <c r="AG3058" s="49"/>
      <c r="AH3058" s="1" t="s">
        <v>4751</v>
      </c>
      <c r="AI3058" s="1" t="s">
        <v>1691</v>
      </c>
      <c r="AJ3058" s="6" t="str">
        <f>IFERROR(__xludf.DUMMYFUNCTION("""COMPUTED_VALUE"""),"admitted")</f>
        <v>admitted</v>
      </c>
      <c r="AK3058" s="49"/>
      <c r="AL3058" s="49"/>
      <c r="AM3058" s="49"/>
      <c r="AN3058" s="52" t="str">
        <f t="shared" si="5"/>
        <v>regard,</v>
      </c>
      <c r="AP3058" s="49"/>
      <c r="AQ3058" s="49"/>
      <c r="AR3058" s="49"/>
      <c r="AS3058" s="49"/>
      <c r="AT3058" s="49"/>
    </row>
    <row r="3059">
      <c r="A3059" s="51"/>
      <c r="B3059" s="50" t="s">
        <v>1012</v>
      </c>
      <c r="C3059" s="50" t="s">
        <v>1187</v>
      </c>
      <c r="D3059" s="49" t="str">
        <f>IFERROR(__xludf.DUMMYFUNCTION("""COMPUTED_VALUE"""),"multiple")</f>
        <v>multiple</v>
      </c>
      <c r="E3059" s="49"/>
      <c r="F3059" s="49"/>
      <c r="G3059" s="49"/>
      <c r="H3059" s="54" t="str">
        <f t="shared" si="1"/>
        <v>listen,</v>
      </c>
      <c r="I3059" s="50"/>
      <c r="J3059" s="50"/>
      <c r="K3059" s="50" t="s">
        <v>5775</v>
      </c>
      <c r="L3059" s="49"/>
      <c r="M3059" s="49"/>
      <c r="N3059" s="49"/>
      <c r="O3059" s="49"/>
      <c r="P3059" s="49" t="str">
        <f t="shared" si="2"/>
        <v>,</v>
      </c>
      <c r="Q3059" s="49"/>
      <c r="R3059" s="49"/>
      <c r="S3059" s="55" t="s">
        <v>4888</v>
      </c>
      <c r="T3059" s="49"/>
      <c r="U3059" s="49"/>
      <c r="V3059" s="49"/>
      <c r="W3059" s="49"/>
      <c r="X3059" s="49" t="str">
        <f t="shared" si="3"/>
        <v>,</v>
      </c>
      <c r="Y3059" s="49"/>
      <c r="Z3059" s="49"/>
      <c r="AB3059" s="49"/>
      <c r="AC3059" s="49"/>
      <c r="AD3059" s="49"/>
      <c r="AE3059" s="49"/>
      <c r="AF3059" s="49"/>
      <c r="AG3059" s="49"/>
      <c r="AH3059" s="1" t="s">
        <v>5962</v>
      </c>
      <c r="AI3059" s="1" t="s">
        <v>6933</v>
      </c>
      <c r="AJ3059" s="6" t="str">
        <f>IFERROR(__xludf.DUMMYFUNCTION("""COMPUTED_VALUE"""),"placing")</f>
        <v>placing</v>
      </c>
      <c r="AK3059" s="49"/>
      <c r="AL3059" s="49"/>
      <c r="AM3059" s="49"/>
      <c r="AN3059" s="52" t="str">
        <f t="shared" si="5"/>
        <v>damaged,</v>
      </c>
      <c r="AP3059" s="49"/>
      <c r="AQ3059" s="49"/>
      <c r="AR3059" s="49"/>
      <c r="AS3059" s="49"/>
      <c r="AT3059" s="49"/>
    </row>
    <row r="3060">
      <c r="A3060" s="51"/>
      <c r="B3060" s="50" t="s">
        <v>2588</v>
      </c>
      <c r="C3060" s="50" t="s">
        <v>3949</v>
      </c>
      <c r="D3060" s="49" t="str">
        <f>IFERROR(__xludf.DUMMYFUNCTION("""COMPUTED_VALUE"""),"besides")</f>
        <v>besides</v>
      </c>
      <c r="E3060" s="49"/>
      <c r="F3060" s="49"/>
      <c r="G3060" s="49"/>
      <c r="H3060" s="54" t="str">
        <f t="shared" si="1"/>
        <v>parker,</v>
      </c>
      <c r="I3060" s="50"/>
      <c r="J3060" s="50"/>
      <c r="K3060" s="50" t="s">
        <v>2830</v>
      </c>
      <c r="L3060" s="49"/>
      <c r="M3060" s="49"/>
      <c r="N3060" s="49"/>
      <c r="O3060" s="49"/>
      <c r="P3060" s="49" t="str">
        <f t="shared" si="2"/>
        <v>,</v>
      </c>
      <c r="Q3060" s="49"/>
      <c r="R3060" s="49"/>
      <c r="S3060" s="55" t="s">
        <v>2742</v>
      </c>
      <c r="T3060" s="49"/>
      <c r="U3060" s="49"/>
      <c r="V3060" s="49"/>
      <c r="W3060" s="49"/>
      <c r="X3060" s="49" t="str">
        <f t="shared" si="3"/>
        <v>,</v>
      </c>
      <c r="Y3060" s="49"/>
      <c r="Z3060" s="49"/>
      <c r="AB3060" s="49"/>
      <c r="AC3060" s="49"/>
      <c r="AD3060" s="49"/>
      <c r="AE3060" s="49"/>
      <c r="AF3060" s="49"/>
      <c r="AG3060" s="49"/>
      <c r="AH3060" s="1" t="s">
        <v>3756</v>
      </c>
      <c r="AI3060" s="1">
        <v>18.0</v>
      </c>
      <c r="AJ3060" s="6" t="str">
        <f>IFERROR(__xludf.DUMMYFUNCTION("""COMPUTED_VALUE"""),"updated")</f>
        <v>updated</v>
      </c>
      <c r="AK3060" s="49"/>
      <c r="AL3060" s="49"/>
      <c r="AM3060" s="49"/>
      <c r="AN3060" s="52" t="str">
        <f t="shared" si="5"/>
        <v>miller,</v>
      </c>
      <c r="AP3060" s="49"/>
      <c r="AQ3060" s="49"/>
      <c r="AR3060" s="49"/>
      <c r="AS3060" s="49"/>
      <c r="AT3060" s="49"/>
    </row>
    <row r="3061">
      <c r="A3061" s="51"/>
      <c r="B3061" s="50" t="s">
        <v>7457</v>
      </c>
      <c r="C3061" s="50" t="s">
        <v>5275</v>
      </c>
      <c r="D3061" s="49" t="str">
        <f>IFERROR(__xludf.DUMMYFUNCTION("""COMPUTED_VALUE"""),"segment")</f>
        <v>segment</v>
      </c>
      <c r="E3061" s="49"/>
      <c r="F3061" s="49"/>
      <c r="G3061" s="49"/>
      <c r="H3061" s="54" t="str">
        <f t="shared" si="1"/>
        <v>eva,</v>
      </c>
      <c r="I3061" s="50"/>
      <c r="J3061" s="50"/>
      <c r="K3061" s="50" t="s">
        <v>5575</v>
      </c>
      <c r="L3061" s="49"/>
      <c r="M3061" s="49"/>
      <c r="N3061" s="49"/>
      <c r="O3061" s="49"/>
      <c r="P3061" s="49" t="str">
        <f t="shared" si="2"/>
        <v>,</v>
      </c>
      <c r="Q3061" s="49"/>
      <c r="R3061" s="49"/>
      <c r="S3061" s="55" t="s">
        <v>5496</v>
      </c>
      <c r="T3061" s="49"/>
      <c r="U3061" s="49"/>
      <c r="V3061" s="49"/>
      <c r="W3061" s="49"/>
      <c r="X3061" s="49" t="str">
        <f t="shared" si="3"/>
        <v>,</v>
      </c>
      <c r="Y3061" s="49"/>
      <c r="Z3061" s="49"/>
      <c r="AB3061" s="49"/>
      <c r="AC3061" s="49"/>
      <c r="AD3061" s="49"/>
      <c r="AE3061" s="49"/>
      <c r="AF3061" s="49"/>
      <c r="AG3061" s="49"/>
      <c r="AH3061" s="1" t="s">
        <v>3050</v>
      </c>
      <c r="AI3061" s="1" t="s">
        <v>4249</v>
      </c>
      <c r="AJ3061" s="6" t="str">
        <f>IFERROR(__xludf.DUMMYFUNCTION("""COMPUTED_VALUE"""),"musicians")</f>
        <v>musicians</v>
      </c>
      <c r="AK3061" s="49"/>
      <c r="AL3061" s="49"/>
      <c r="AM3061" s="49"/>
      <c r="AN3061" s="52" t="str">
        <f t="shared" si="5"/>
        <v>circuit,</v>
      </c>
      <c r="AP3061" s="49"/>
      <c r="AQ3061" s="49"/>
      <c r="AR3061" s="49"/>
      <c r="AS3061" s="49"/>
      <c r="AT3061" s="49"/>
    </row>
    <row r="3062">
      <c r="A3062" s="51"/>
      <c r="B3062" s="50" t="s">
        <v>3310</v>
      </c>
      <c r="C3062" s="50" t="s">
        <v>5278</v>
      </c>
      <c r="D3062" s="49" t="str">
        <f>IFERROR(__xludf.DUMMYFUNCTION("""COMPUTED_VALUE"""),"conscious")</f>
        <v>conscious</v>
      </c>
      <c r="E3062" s="49"/>
      <c r="F3062" s="49"/>
      <c r="G3062" s="49"/>
      <c r="H3062" s="54" t="str">
        <f t="shared" si="1"/>
        <v>presented,</v>
      </c>
      <c r="I3062" s="50"/>
      <c r="J3062" s="50"/>
      <c r="K3062" s="50" t="s">
        <v>4627</v>
      </c>
      <c r="L3062" s="49"/>
      <c r="M3062" s="49"/>
      <c r="N3062" s="49"/>
      <c r="O3062" s="49"/>
      <c r="P3062" s="49" t="str">
        <f t="shared" si="2"/>
        <v>,</v>
      </c>
      <c r="Q3062" s="49"/>
      <c r="R3062" s="49"/>
      <c r="S3062" s="55" t="s">
        <v>5498</v>
      </c>
      <c r="T3062" s="49"/>
      <c r="U3062" s="49"/>
      <c r="V3062" s="49"/>
      <c r="W3062" s="49"/>
      <c r="X3062" s="49" t="str">
        <f t="shared" si="3"/>
        <v>,</v>
      </c>
      <c r="Y3062" s="49"/>
      <c r="Z3062" s="49"/>
      <c r="AB3062" s="49"/>
      <c r="AC3062" s="49"/>
      <c r="AD3062" s="49"/>
      <c r="AE3062" s="49"/>
      <c r="AF3062" s="49"/>
      <c r="AG3062" s="49"/>
      <c r="AH3062" s="1" t="s">
        <v>1691</v>
      </c>
      <c r="AI3062" s="1" t="s">
        <v>6934</v>
      </c>
      <c r="AJ3062" s="6" t="str">
        <f>IFERROR(__xludf.DUMMYFUNCTION("""COMPUTED_VALUE"""),"paint")</f>
        <v>paint</v>
      </c>
      <c r="AK3062" s="49"/>
      <c r="AL3062" s="49"/>
      <c r="AM3062" s="49"/>
      <c r="AN3062" s="52" t="str">
        <f t="shared" si="5"/>
        <v>January,</v>
      </c>
      <c r="AP3062" s="49"/>
      <c r="AQ3062" s="49"/>
      <c r="AR3062" s="49"/>
      <c r="AS3062" s="49"/>
      <c r="AT3062" s="49"/>
    </row>
    <row r="3063">
      <c r="A3063" s="51"/>
      <c r="B3063" s="50" t="s">
        <v>4043</v>
      </c>
      <c r="C3063" s="50" t="s">
        <v>5346</v>
      </c>
      <c r="D3063" s="49" t="str">
        <f>IFERROR(__xludf.DUMMYFUNCTION("""COMPUTED_VALUE"""),"jet")</f>
        <v>jet</v>
      </c>
      <c r="E3063" s="49"/>
      <c r="F3063" s="49"/>
      <c r="G3063" s="49"/>
      <c r="H3063" s="54" t="str">
        <f t="shared" si="1"/>
        <v>duke,</v>
      </c>
      <c r="I3063" s="50"/>
      <c r="J3063" s="50"/>
      <c r="K3063" s="50" t="s">
        <v>5576</v>
      </c>
      <c r="L3063" s="49"/>
      <c r="M3063" s="49"/>
      <c r="N3063" s="49"/>
      <c r="O3063" s="49"/>
      <c r="P3063" s="49" t="str">
        <f t="shared" si="2"/>
        <v>,</v>
      </c>
      <c r="Q3063" s="49"/>
      <c r="R3063" s="49"/>
      <c r="S3063" s="55" t="s">
        <v>4243</v>
      </c>
      <c r="T3063" s="49"/>
      <c r="U3063" s="49"/>
      <c r="V3063" s="49"/>
      <c r="W3063" s="49"/>
      <c r="X3063" s="49" t="str">
        <f t="shared" si="3"/>
        <v>,</v>
      </c>
      <c r="Y3063" s="49"/>
      <c r="Z3063" s="49"/>
      <c r="AB3063" s="49"/>
      <c r="AC3063" s="49"/>
      <c r="AD3063" s="49"/>
      <c r="AE3063" s="49"/>
      <c r="AF3063" s="49"/>
      <c r="AG3063" s="49"/>
      <c r="AH3063" s="1" t="s">
        <v>1431</v>
      </c>
      <c r="AI3063" s="1" t="s">
        <v>3981</v>
      </c>
      <c r="AJ3063" s="6" t="str">
        <f>IFERROR(__xludf.DUMMYFUNCTION("""COMPUTED_VALUE"""),"anger")</f>
        <v>anger</v>
      </c>
      <c r="AK3063" s="49"/>
      <c r="AL3063" s="49"/>
      <c r="AM3063" s="49"/>
      <c r="AN3063" s="52" t="str">
        <f t="shared" si="5"/>
        <v>format,</v>
      </c>
      <c r="AP3063" s="49"/>
      <c r="AQ3063" s="49"/>
      <c r="AR3063" s="49"/>
      <c r="AS3063" s="49"/>
      <c r="AT3063" s="49"/>
    </row>
    <row r="3064">
      <c r="A3064" s="51"/>
      <c r="B3064" s="50" t="s">
        <v>6312</v>
      </c>
      <c r="C3064" s="50" t="s">
        <v>4742</v>
      </c>
      <c r="D3064" s="49" t="str">
        <f>IFERROR(__xludf.DUMMYFUNCTION("""COMPUTED_VALUE"""),"fictional")</f>
        <v>fictional</v>
      </c>
      <c r="E3064" s="49"/>
      <c r="F3064" s="49"/>
      <c r="G3064" s="49"/>
      <c r="H3064" s="54" t="str">
        <f t="shared" si="1"/>
        <v>website,</v>
      </c>
      <c r="I3064" s="50"/>
      <c r="J3064" s="50"/>
      <c r="K3064" s="50" t="s">
        <v>2832</v>
      </c>
      <c r="L3064" s="49"/>
      <c r="M3064" s="49"/>
      <c r="N3064" s="49"/>
      <c r="O3064" s="49"/>
      <c r="P3064" s="49" t="str">
        <f t="shared" si="2"/>
        <v>,</v>
      </c>
      <c r="Q3064" s="49"/>
      <c r="R3064" s="49"/>
      <c r="S3064" s="55" t="s">
        <v>4545</v>
      </c>
      <c r="T3064" s="49"/>
      <c r="U3064" s="49"/>
      <c r="V3064" s="49"/>
      <c r="W3064" s="49"/>
      <c r="X3064" s="49" t="str">
        <f t="shared" si="3"/>
        <v>,</v>
      </c>
      <c r="Y3064" s="49"/>
      <c r="Z3064" s="49"/>
      <c r="AB3064" s="49"/>
      <c r="AC3064" s="49"/>
      <c r="AD3064" s="49"/>
      <c r="AE3064" s="49"/>
      <c r="AF3064" s="49"/>
      <c r="AG3064" s="49"/>
      <c r="AH3064" s="1" t="s">
        <v>6000</v>
      </c>
      <c r="AI3064" s="1" t="s">
        <v>3857</v>
      </c>
      <c r="AJ3064" s="6" t="str">
        <f>IFERROR(__xludf.DUMMYFUNCTION("""COMPUTED_VALUE"""),"distinguished")</f>
        <v>distinguished</v>
      </c>
      <c r="AK3064" s="49"/>
      <c r="AL3064" s="49"/>
      <c r="AM3064" s="49"/>
      <c r="AN3064" s="52" t="str">
        <f t="shared" si="5"/>
        <v>extension,</v>
      </c>
      <c r="AP3064" s="49"/>
      <c r="AQ3064" s="49"/>
      <c r="AR3064" s="49"/>
      <c r="AS3064" s="49"/>
      <c r="AT3064" s="49"/>
    </row>
    <row r="3065">
      <c r="A3065" s="51"/>
      <c r="B3065" s="50" t="s">
        <v>3641</v>
      </c>
      <c r="C3065" s="50" t="s">
        <v>4257</v>
      </c>
      <c r="D3065" s="49" t="str">
        <f>IFERROR(__xludf.DUMMYFUNCTION("""COMPUTED_VALUE"""),"recall")</f>
        <v>recall</v>
      </c>
      <c r="E3065" s="49"/>
      <c r="F3065" s="49"/>
      <c r="G3065" s="49"/>
      <c r="H3065" s="54" t="str">
        <f t="shared" si="1"/>
        <v>uncle,</v>
      </c>
      <c r="I3065" s="50"/>
      <c r="J3065" s="50"/>
      <c r="K3065" s="50" t="s">
        <v>5992</v>
      </c>
      <c r="L3065" s="49"/>
      <c r="M3065" s="49"/>
      <c r="N3065" s="49"/>
      <c r="O3065" s="49"/>
      <c r="P3065" s="49" t="str">
        <f t="shared" si="2"/>
        <v>,</v>
      </c>
      <c r="Q3065" s="49"/>
      <c r="R3065" s="49"/>
      <c r="S3065" s="55" t="s">
        <v>6935</v>
      </c>
      <c r="T3065" s="49"/>
      <c r="U3065" s="49"/>
      <c r="V3065" s="49"/>
      <c r="W3065" s="49"/>
      <c r="X3065" s="49" t="str">
        <f t="shared" si="3"/>
        <v>,</v>
      </c>
      <c r="Y3065" s="49"/>
      <c r="Z3065" s="49"/>
      <c r="AB3065" s="49"/>
      <c r="AC3065" s="49"/>
      <c r="AD3065" s="49"/>
      <c r="AE3065" s="49"/>
      <c r="AF3065" s="49"/>
      <c r="AG3065" s="49"/>
      <c r="AH3065" s="1" t="s">
        <v>3531</v>
      </c>
      <c r="AI3065" s="1" t="s">
        <v>6936</v>
      </c>
      <c r="AJ3065" s="6" t="str">
        <f>IFERROR(__xludf.DUMMYFUNCTION("""COMPUTED_VALUE"""),"principal")</f>
        <v>principal</v>
      </c>
      <c r="AK3065" s="49"/>
      <c r="AL3065" s="49"/>
      <c r="AM3065" s="49"/>
      <c r="AN3065" s="52" t="str">
        <f t="shared" si="5"/>
        <v>accessible,</v>
      </c>
      <c r="AP3065" s="49"/>
      <c r="AQ3065" s="49"/>
      <c r="AR3065" s="49"/>
      <c r="AS3065" s="49"/>
      <c r="AT3065" s="49"/>
    </row>
    <row r="3066">
      <c r="A3066" s="51"/>
      <c r="B3066" s="50" t="s">
        <v>3233</v>
      </c>
      <c r="C3066" s="50" t="s">
        <v>6823</v>
      </c>
      <c r="D3066" s="49" t="str">
        <f>IFERROR(__xludf.DUMMYFUNCTION("""COMPUTED_VALUE"""),"berkeley")</f>
        <v>berkeley</v>
      </c>
      <c r="E3066" s="49"/>
      <c r="F3066" s="49"/>
      <c r="G3066" s="49"/>
      <c r="H3066" s="54" t="str">
        <f t="shared" si="1"/>
        <v>journalism,</v>
      </c>
      <c r="I3066" s="50"/>
      <c r="J3066" s="50"/>
      <c r="K3066" s="50" t="s">
        <v>4630</v>
      </c>
      <c r="L3066" s="49"/>
      <c r="M3066" s="49"/>
      <c r="N3066" s="49"/>
      <c r="O3066" s="49"/>
      <c r="P3066" s="49" t="str">
        <f t="shared" si="2"/>
        <v>,</v>
      </c>
      <c r="Q3066" s="49"/>
      <c r="R3066" s="49"/>
      <c r="S3066" s="55" t="s">
        <v>6937</v>
      </c>
      <c r="T3066" s="49"/>
      <c r="U3066" s="49"/>
      <c r="V3066" s="49"/>
      <c r="W3066" s="49"/>
      <c r="X3066" s="49" t="str">
        <f t="shared" si="3"/>
        <v>,</v>
      </c>
      <c r="Y3066" s="49"/>
      <c r="Z3066" s="49"/>
      <c r="AB3066" s="49"/>
      <c r="AC3066" s="49"/>
      <c r="AD3066" s="49"/>
      <c r="AE3066" s="49"/>
      <c r="AF3066" s="49"/>
      <c r="AG3066" s="49"/>
      <c r="AH3066" s="1" t="s">
        <v>4721</v>
      </c>
      <c r="AI3066" s="1" t="s">
        <v>5613</v>
      </c>
      <c r="AJ3066" s="6" t="str">
        <f>IFERROR(__xludf.DUMMYFUNCTION("""COMPUTED_VALUE"""),"controversy")</f>
        <v>controversy</v>
      </c>
      <c r="AK3066" s="49"/>
      <c r="AL3066" s="49"/>
      <c r="AM3066" s="49"/>
      <c r="AN3066" s="52" t="str">
        <f t="shared" si="5"/>
        <v>medical,</v>
      </c>
      <c r="AP3066" s="49"/>
      <c r="AQ3066" s="49"/>
      <c r="AR3066" s="49"/>
      <c r="AS3066" s="49"/>
      <c r="AT3066" s="49"/>
    </row>
    <row r="3067">
      <c r="A3067" s="51"/>
      <c r="B3067" s="50" t="s">
        <v>1697</v>
      </c>
      <c r="C3067" s="50" t="s">
        <v>6824</v>
      </c>
      <c r="D3067" s="49" t="str">
        <f>IFERROR(__xludf.DUMMYFUNCTION("""COMPUTED_VALUE"""),"gregory")</f>
        <v>gregory</v>
      </c>
      <c r="E3067" s="49"/>
      <c r="F3067" s="49"/>
      <c r="G3067" s="49"/>
      <c r="H3067" s="54" t="str">
        <f t="shared" si="1"/>
        <v>manner,</v>
      </c>
      <c r="I3067" s="50"/>
      <c r="J3067" s="50"/>
      <c r="K3067" s="50" t="s">
        <v>5582</v>
      </c>
      <c r="L3067" s="49"/>
      <c r="M3067" s="49"/>
      <c r="N3067" s="49"/>
      <c r="O3067" s="49"/>
      <c r="P3067" s="49" t="str">
        <f t="shared" si="2"/>
        <v>,</v>
      </c>
      <c r="Q3067" s="49"/>
      <c r="R3067" s="49"/>
      <c r="S3067" s="55" t="s">
        <v>5002</v>
      </c>
      <c r="T3067" s="49"/>
      <c r="U3067" s="49"/>
      <c r="V3067" s="49"/>
      <c r="W3067" s="49"/>
      <c r="X3067" s="49" t="str">
        <f t="shared" si="3"/>
        <v>,</v>
      </c>
      <c r="Y3067" s="49"/>
      <c r="Z3067" s="49"/>
      <c r="AB3067" s="49"/>
      <c r="AC3067" s="49"/>
      <c r="AD3067" s="49"/>
      <c r="AE3067" s="49"/>
      <c r="AF3067" s="49"/>
      <c r="AG3067" s="49"/>
      <c r="AH3067" s="1" t="s">
        <v>6625</v>
      </c>
      <c r="AI3067" s="1" t="s">
        <v>6938</v>
      </c>
      <c r="AJ3067" s="6" t="str">
        <f>IFERROR(__xludf.DUMMYFUNCTION("""COMPUTED_VALUE"""),"lock")</f>
        <v>lock</v>
      </c>
      <c r="AK3067" s="49"/>
      <c r="AL3067" s="49"/>
      <c r="AM3067" s="49"/>
      <c r="AN3067" s="52" t="str">
        <f t="shared" si="5"/>
        <v>laid,</v>
      </c>
      <c r="AP3067" s="49"/>
      <c r="AQ3067" s="49"/>
      <c r="AR3067" s="49"/>
      <c r="AS3067" s="49"/>
      <c r="AT3067" s="49"/>
    </row>
    <row r="3068">
      <c r="A3068" s="51"/>
      <c r="B3068" s="50" t="s">
        <v>3143</v>
      </c>
      <c r="C3068" s="50" t="s">
        <v>6939</v>
      </c>
      <c r="D3068" s="49" t="str">
        <f>IFERROR(__xludf.DUMMYFUNCTION("""COMPUTED_VALUE"""),"bolt")</f>
        <v>bolt</v>
      </c>
      <c r="E3068" s="49"/>
      <c r="F3068" s="49"/>
      <c r="G3068" s="49"/>
      <c r="H3068" s="54" t="str">
        <f t="shared" si="1"/>
        <v>connect,</v>
      </c>
      <c r="I3068" s="50"/>
      <c r="J3068" s="50"/>
      <c r="K3068" s="50" t="s">
        <v>4632</v>
      </c>
      <c r="L3068" s="49"/>
      <c r="M3068" s="49"/>
      <c r="N3068" s="49"/>
      <c r="O3068" s="49"/>
      <c r="P3068" s="49" t="str">
        <f t="shared" si="2"/>
        <v>,</v>
      </c>
      <c r="Q3068" s="49"/>
      <c r="R3068" s="49"/>
      <c r="S3068" s="55" t="s">
        <v>5178</v>
      </c>
      <c r="T3068" s="49"/>
      <c r="U3068" s="49"/>
      <c r="V3068" s="49"/>
      <c r="W3068" s="49"/>
      <c r="X3068" s="49" t="str">
        <f t="shared" si="3"/>
        <v>,</v>
      </c>
      <c r="Y3068" s="49"/>
      <c r="Z3068" s="49"/>
      <c r="AB3068" s="49"/>
      <c r="AC3068" s="49"/>
      <c r="AD3068" s="49"/>
      <c r="AE3068" s="49"/>
      <c r="AF3068" s="49"/>
      <c r="AG3068" s="49"/>
      <c r="AH3068" s="1" t="s">
        <v>1784</v>
      </c>
      <c r="AI3068" s="1" t="s">
        <v>5423</v>
      </c>
      <c r="AJ3068" s="6">
        <f>IFERROR(__xludf.DUMMYFUNCTION("""COMPUTED_VALUE"""),84.0)</f>
        <v>84</v>
      </c>
      <c r="AK3068" s="49"/>
      <c r="AL3068" s="49"/>
      <c r="AM3068" s="49"/>
      <c r="AN3068" s="52" t="str">
        <f t="shared" si="5"/>
        <v>siege,</v>
      </c>
      <c r="AP3068" s="49"/>
      <c r="AQ3068" s="49"/>
      <c r="AR3068" s="49"/>
      <c r="AS3068" s="49"/>
      <c r="AT3068" s="49"/>
    </row>
    <row r="3069">
      <c r="A3069" s="51"/>
      <c r="B3069" s="50" t="s">
        <v>7102</v>
      </c>
      <c r="C3069" s="50" t="s">
        <v>6825</v>
      </c>
      <c r="D3069" s="49" t="str">
        <f>IFERROR(__xludf.DUMMYFUNCTION("""COMPUTED_VALUE"""),"engineering")</f>
        <v>engineering</v>
      </c>
      <c r="E3069" s="49"/>
      <c r="F3069" s="49"/>
      <c r="G3069" s="49"/>
      <c r="H3069" s="54" t="str">
        <f t="shared" si="1"/>
        <v>severely,</v>
      </c>
      <c r="I3069" s="50"/>
      <c r="J3069" s="50"/>
      <c r="K3069" s="50" t="s">
        <v>4634</v>
      </c>
      <c r="L3069" s="49"/>
      <c r="M3069" s="49"/>
      <c r="N3069" s="49"/>
      <c r="O3069" s="49"/>
      <c r="P3069" s="49" t="str">
        <f t="shared" si="2"/>
        <v>,</v>
      </c>
      <c r="Q3069" s="49"/>
      <c r="R3069" s="49"/>
      <c r="S3069" s="55" t="s">
        <v>6891</v>
      </c>
      <c r="T3069" s="49"/>
      <c r="U3069" s="49"/>
      <c r="V3069" s="49"/>
      <c r="W3069" s="49"/>
      <c r="X3069" s="49" t="str">
        <f t="shared" si="3"/>
        <v>,</v>
      </c>
      <c r="Y3069" s="49"/>
      <c r="Z3069" s="49"/>
      <c r="AB3069" s="49"/>
      <c r="AC3069" s="49"/>
      <c r="AD3069" s="49"/>
      <c r="AE3069" s="49"/>
      <c r="AF3069" s="49"/>
      <c r="AG3069" s="49"/>
      <c r="AH3069" s="1">
        <v>1957.0</v>
      </c>
      <c r="AI3069" s="1">
        <v>2000.0</v>
      </c>
      <c r="AJ3069" s="6" t="str">
        <f>IFERROR(__xludf.DUMMYFUNCTION("""COMPUTED_VALUE"""),"earned")</f>
        <v>earned</v>
      </c>
      <c r="AK3069" s="49"/>
      <c r="AL3069" s="49"/>
      <c r="AM3069" s="49"/>
      <c r="AN3069" s="52" t="str">
        <f t="shared" si="5"/>
        <v>1957,</v>
      </c>
      <c r="AP3069" s="49"/>
      <c r="AQ3069" s="49"/>
      <c r="AR3069" s="49"/>
      <c r="AS3069" s="49"/>
      <c r="AT3069" s="49"/>
    </row>
    <row r="3070">
      <c r="A3070" s="51"/>
      <c r="B3070" s="50" t="s">
        <v>5915</v>
      </c>
      <c r="C3070" s="50">
        <v>1938.0</v>
      </c>
      <c r="D3070" s="49" t="str">
        <f>IFERROR(__xludf.DUMMYFUNCTION("""COMPUTED_VALUE"""),"di")</f>
        <v>di</v>
      </c>
      <c r="E3070" s="49"/>
      <c r="F3070" s="49"/>
      <c r="G3070" s="49"/>
      <c r="H3070" s="54" t="str">
        <f t="shared" si="1"/>
        <v>amusement,</v>
      </c>
      <c r="I3070" s="50"/>
      <c r="J3070" s="50"/>
      <c r="K3070" s="50" t="s">
        <v>2834</v>
      </c>
      <c r="L3070" s="49"/>
      <c r="M3070" s="49"/>
      <c r="N3070" s="49"/>
      <c r="O3070" s="49"/>
      <c r="P3070" s="49" t="str">
        <f t="shared" si="2"/>
        <v>,</v>
      </c>
      <c r="Q3070" s="49"/>
      <c r="R3070" s="49"/>
      <c r="S3070" s="55" t="s">
        <v>5961</v>
      </c>
      <c r="T3070" s="49"/>
      <c r="U3070" s="49"/>
      <c r="V3070" s="49"/>
      <c r="W3070" s="49"/>
      <c r="X3070" s="49" t="str">
        <f t="shared" si="3"/>
        <v>,</v>
      </c>
      <c r="Y3070" s="49"/>
      <c r="Z3070" s="49"/>
      <c r="AB3070" s="49"/>
      <c r="AC3070" s="49"/>
      <c r="AD3070" s="49"/>
      <c r="AE3070" s="49"/>
      <c r="AF3070" s="49"/>
      <c r="AG3070" s="49"/>
      <c r="AH3070" s="1" t="s">
        <v>5073</v>
      </c>
      <c r="AI3070" s="1" t="s">
        <v>3968</v>
      </c>
      <c r="AJ3070" s="6" t="str">
        <f>IFERROR(__xludf.DUMMYFUNCTION("""COMPUTED_VALUE"""),"lit")</f>
        <v>lit</v>
      </c>
      <c r="AK3070" s="49"/>
      <c r="AL3070" s="49"/>
      <c r="AM3070" s="49"/>
      <c r="AN3070" s="52" t="str">
        <f t="shared" si="5"/>
        <v>guitar,</v>
      </c>
      <c r="AP3070" s="49"/>
      <c r="AQ3070" s="49"/>
      <c r="AR3070" s="49"/>
      <c r="AS3070" s="49"/>
      <c r="AT3070" s="49"/>
    </row>
    <row r="3071">
      <c r="A3071" s="51"/>
      <c r="B3071" s="50" t="s">
        <v>5216</v>
      </c>
      <c r="C3071" s="50" t="s">
        <v>6826</v>
      </c>
      <c r="D3071" s="49" t="str">
        <f>IFERROR(__xludf.DUMMYFUNCTION("""COMPUTED_VALUE"""),"catherine")</f>
        <v>catherine</v>
      </c>
      <c r="E3071" s="49"/>
      <c r="F3071" s="49"/>
      <c r="G3071" s="49"/>
      <c r="H3071" s="54" t="str">
        <f t="shared" si="1"/>
        <v>resolution,</v>
      </c>
      <c r="I3071" s="50"/>
      <c r="J3071" s="50"/>
      <c r="K3071" s="50">
        <v>163.0</v>
      </c>
      <c r="L3071" s="49"/>
      <c r="M3071" s="49"/>
      <c r="N3071" s="49"/>
      <c r="O3071" s="49"/>
      <c r="P3071" s="49" t="str">
        <f t="shared" si="2"/>
        <v>,</v>
      </c>
      <c r="Q3071" s="49"/>
      <c r="R3071" s="49"/>
      <c r="S3071" s="55" t="s">
        <v>5500</v>
      </c>
      <c r="T3071" s="49"/>
      <c r="U3071" s="49"/>
      <c r="V3071" s="49"/>
      <c r="W3071" s="49"/>
      <c r="X3071" s="49" t="str">
        <f t="shared" si="3"/>
        <v>,</v>
      </c>
      <c r="Y3071" s="49"/>
      <c r="Z3071" s="49"/>
      <c r="AB3071" s="49"/>
      <c r="AC3071" s="49"/>
      <c r="AD3071" s="49"/>
      <c r="AE3071" s="49"/>
      <c r="AF3071" s="49"/>
      <c r="AG3071" s="49"/>
      <c r="AH3071" s="1" t="s">
        <v>6517</v>
      </c>
      <c r="AI3071" s="1" t="s">
        <v>6940</v>
      </c>
      <c r="AJ3071" s="6" t="str">
        <f>IFERROR(__xludf.DUMMYFUNCTION("""COMPUTED_VALUE"""),"venice")</f>
        <v>venice</v>
      </c>
      <c r="AK3071" s="49"/>
      <c r="AL3071" s="49"/>
      <c r="AM3071" s="49"/>
      <c r="AN3071" s="52" t="str">
        <f t="shared" si="5"/>
        <v>beer,</v>
      </c>
      <c r="AP3071" s="49"/>
      <c r="AQ3071" s="49"/>
      <c r="AR3071" s="49"/>
      <c r="AS3071" s="49"/>
      <c r="AT3071" s="49"/>
    </row>
    <row r="3072">
      <c r="A3072" s="51"/>
      <c r="B3072" s="50" t="s">
        <v>3951</v>
      </c>
      <c r="C3072" s="50" t="s">
        <v>6827</v>
      </c>
      <c r="D3072" s="49" t="str">
        <f>IFERROR(__xludf.DUMMYFUNCTION("""COMPUTED_VALUE"""),"nominated")</f>
        <v>nominated</v>
      </c>
      <c r="E3072" s="49"/>
      <c r="F3072" s="49"/>
      <c r="G3072" s="49"/>
      <c r="H3072" s="54" t="str">
        <f t="shared" si="1"/>
        <v>demons,</v>
      </c>
      <c r="I3072" s="50"/>
      <c r="J3072" s="50"/>
      <c r="K3072" s="50" t="s">
        <v>4914</v>
      </c>
      <c r="L3072" s="49"/>
      <c r="M3072" s="49"/>
      <c r="N3072" s="49"/>
      <c r="O3072" s="49"/>
      <c r="P3072" s="49" t="str">
        <f t="shared" si="2"/>
        <v>,</v>
      </c>
      <c r="Q3072" s="49"/>
      <c r="R3072" s="49"/>
      <c r="S3072" s="55" t="s">
        <v>4547</v>
      </c>
      <c r="T3072" s="49"/>
      <c r="U3072" s="49"/>
      <c r="V3072" s="49"/>
      <c r="W3072" s="49"/>
      <c r="X3072" s="49" t="str">
        <f t="shared" si="3"/>
        <v>,</v>
      </c>
      <c r="Y3072" s="49"/>
      <c r="Z3072" s="49"/>
      <c r="AB3072" s="49"/>
      <c r="AC3072" s="49"/>
      <c r="AD3072" s="49"/>
      <c r="AE3072" s="49"/>
      <c r="AF3072" s="49"/>
      <c r="AG3072" s="49"/>
      <c r="AH3072" s="1" t="s">
        <v>6661</v>
      </c>
      <c r="AI3072" s="1" t="s">
        <v>6941</v>
      </c>
      <c r="AJ3072" s="6" t="str">
        <f>IFERROR(__xludf.DUMMYFUNCTION("""COMPUTED_VALUE"""),"origins")</f>
        <v>origins</v>
      </c>
      <c r="AK3072" s="49"/>
      <c r="AL3072" s="49"/>
      <c r="AM3072" s="49"/>
      <c r="AN3072" s="52" t="str">
        <f t="shared" si="5"/>
        <v>represent,</v>
      </c>
      <c r="AP3072" s="49"/>
      <c r="AQ3072" s="49"/>
      <c r="AR3072" s="49"/>
      <c r="AS3072" s="49"/>
      <c r="AT3072" s="49"/>
    </row>
    <row r="3073">
      <c r="A3073" s="51"/>
      <c r="B3073" s="50" t="s">
        <v>5069</v>
      </c>
      <c r="C3073" s="50" t="s">
        <v>5290</v>
      </c>
      <c r="D3073" s="49" t="str">
        <f>IFERROR(__xludf.DUMMYFUNCTION("""COMPUTED_VALUE"""),"chen")</f>
        <v>chen</v>
      </c>
      <c r="E3073" s="49"/>
      <c r="F3073" s="49"/>
      <c r="G3073" s="49"/>
      <c r="H3073" s="54" t="str">
        <f t="shared" si="1"/>
        <v>dimension,</v>
      </c>
      <c r="I3073" s="50"/>
      <c r="J3073" s="50"/>
      <c r="K3073" s="50" t="s">
        <v>5019</v>
      </c>
      <c r="L3073" s="49"/>
      <c r="M3073" s="49"/>
      <c r="N3073" s="49"/>
      <c r="O3073" s="49"/>
      <c r="P3073" s="49" t="str">
        <f t="shared" si="2"/>
        <v>,</v>
      </c>
      <c r="Q3073" s="49"/>
      <c r="R3073" s="49"/>
      <c r="S3073" s="55" t="s">
        <v>4751</v>
      </c>
      <c r="T3073" s="49"/>
      <c r="U3073" s="49"/>
      <c r="V3073" s="49"/>
      <c r="W3073" s="49"/>
      <c r="X3073" s="49" t="str">
        <f t="shared" si="3"/>
        <v>,</v>
      </c>
      <c r="Y3073" s="49"/>
      <c r="Z3073" s="49"/>
      <c r="AB3073" s="49"/>
      <c r="AC3073" s="49"/>
      <c r="AD3073" s="49"/>
      <c r="AE3073" s="49"/>
      <c r="AF3073" s="49"/>
      <c r="AG3073" s="49"/>
      <c r="AH3073" s="1" t="s">
        <v>1086</v>
      </c>
      <c r="AI3073" s="1" t="s">
        <v>4693</v>
      </c>
      <c r="AJ3073" s="6" t="str">
        <f>IFERROR(__xludf.DUMMYFUNCTION("""COMPUTED_VALUE"""),"yard")</f>
        <v>yard</v>
      </c>
      <c r="AK3073" s="49"/>
      <c r="AL3073" s="49"/>
      <c r="AM3073" s="49"/>
      <c r="AN3073" s="52" t="str">
        <f t="shared" si="5"/>
        <v>maximum,</v>
      </c>
      <c r="AP3073" s="49"/>
      <c r="AQ3073" s="49"/>
      <c r="AR3073" s="49"/>
      <c r="AS3073" s="49"/>
      <c r="AT3073" s="49"/>
    </row>
    <row r="3074">
      <c r="A3074" s="51"/>
      <c r="B3074" s="50" t="s">
        <v>3609</v>
      </c>
      <c r="C3074" s="50" t="s">
        <v>2462</v>
      </c>
      <c r="D3074" s="49" t="str">
        <f>IFERROR(__xludf.DUMMYFUNCTION("""COMPUTED_VALUE"""),"economics")</f>
        <v>economics</v>
      </c>
      <c r="E3074" s="49"/>
      <c r="F3074" s="49"/>
      <c r="G3074" s="49"/>
      <c r="H3074" s="54" t="str">
        <f t="shared" si="1"/>
        <v>ready,</v>
      </c>
      <c r="I3074" s="50"/>
      <c r="J3074" s="50"/>
      <c r="K3074" s="50" t="s">
        <v>5831</v>
      </c>
      <c r="L3074" s="49"/>
      <c r="M3074" s="49"/>
      <c r="N3074" s="49"/>
      <c r="O3074" s="49"/>
      <c r="P3074" s="49" t="str">
        <f t="shared" si="2"/>
        <v>,</v>
      </c>
      <c r="Q3074" s="49"/>
      <c r="R3074" s="49"/>
      <c r="S3074" s="55" t="s">
        <v>4548</v>
      </c>
      <c r="T3074" s="49"/>
      <c r="U3074" s="49"/>
      <c r="V3074" s="49"/>
      <c r="W3074" s="49"/>
      <c r="X3074" s="49" t="str">
        <f t="shared" si="3"/>
        <v>,</v>
      </c>
      <c r="Y3074" s="49"/>
      <c r="Z3074" s="49"/>
      <c r="AB3074" s="49"/>
      <c r="AC3074" s="49"/>
      <c r="AD3074" s="49"/>
      <c r="AE3074" s="49"/>
      <c r="AF3074" s="49"/>
      <c r="AG3074" s="49"/>
      <c r="AH3074" s="1" t="s">
        <v>5494</v>
      </c>
      <c r="AI3074" s="1" t="s">
        <v>5520</v>
      </c>
      <c r="AJ3074" s="6" t="str">
        <f>IFERROR(__xludf.DUMMYFUNCTION("""COMPUTED_VALUE"""),"bones")</f>
        <v>bones</v>
      </c>
      <c r="AK3074" s="49"/>
      <c r="AL3074" s="49"/>
      <c r="AM3074" s="49"/>
      <c r="AN3074" s="52" t="str">
        <f t="shared" si="5"/>
        <v>belgium,</v>
      </c>
      <c r="AP3074" s="49"/>
      <c r="AQ3074" s="49"/>
      <c r="AR3074" s="49"/>
      <c r="AS3074" s="49"/>
      <c r="AT3074" s="49"/>
    </row>
    <row r="3075">
      <c r="A3075" s="51"/>
      <c r="B3075" s="50" t="s">
        <v>1968</v>
      </c>
      <c r="C3075" s="50" t="s">
        <v>5292</v>
      </c>
      <c r="D3075" s="49" t="str">
        <f>IFERROR(__xludf.DUMMYFUNCTION("""COMPUTED_VALUE"""),"clue")</f>
        <v>clue</v>
      </c>
      <c r="E3075" s="49"/>
      <c r="F3075" s="49"/>
      <c r="G3075" s="49"/>
      <c r="H3075" s="54" t="str">
        <f t="shared" si="1"/>
        <v>shaking,</v>
      </c>
      <c r="I3075" s="50"/>
      <c r="J3075" s="50"/>
      <c r="K3075" s="50" t="s">
        <v>4639</v>
      </c>
      <c r="L3075" s="49"/>
      <c r="M3075" s="49"/>
      <c r="N3075" s="49"/>
      <c r="O3075" s="49"/>
      <c r="P3075" s="49" t="str">
        <f t="shared" si="2"/>
        <v>,</v>
      </c>
      <c r="Q3075" s="49"/>
      <c r="R3075" s="49"/>
      <c r="S3075" s="55" t="s">
        <v>5962</v>
      </c>
      <c r="T3075" s="49"/>
      <c r="U3075" s="49"/>
      <c r="V3075" s="49"/>
      <c r="W3075" s="49"/>
      <c r="X3075" s="49" t="str">
        <f t="shared" si="3"/>
        <v>,</v>
      </c>
      <c r="Y3075" s="49"/>
      <c r="Z3075" s="49"/>
      <c r="AB3075" s="49"/>
      <c r="AC3075" s="49"/>
      <c r="AD3075" s="49"/>
      <c r="AE3075" s="49"/>
      <c r="AF3075" s="49"/>
      <c r="AG3075" s="49"/>
      <c r="AH3075" s="1" t="s">
        <v>7018</v>
      </c>
      <c r="AI3075" s="1" t="s">
        <v>1720</v>
      </c>
      <c r="AJ3075" s="6" t="str">
        <f>IFERROR(__xludf.DUMMYFUNCTION("""COMPUTED_VALUE"""),"pulling")</f>
        <v>pulling</v>
      </c>
      <c r="AK3075" s="49"/>
      <c r="AL3075" s="49"/>
      <c r="AM3075" s="49"/>
      <c r="AN3075" s="52" t="str">
        <f t="shared" si="5"/>
        <v>increase,</v>
      </c>
      <c r="AP3075" s="49"/>
      <c r="AQ3075" s="49"/>
      <c r="AR3075" s="49"/>
      <c r="AS3075" s="49"/>
      <c r="AT3075" s="49"/>
    </row>
    <row r="3076">
      <c r="A3076" s="51"/>
      <c r="B3076" s="50" t="s">
        <v>6683</v>
      </c>
      <c r="C3076" s="50" t="s">
        <v>1629</v>
      </c>
      <c r="D3076" s="49" t="str">
        <f>IFERROR(__xludf.DUMMYFUNCTION("""COMPUTED_VALUE"""),"secondary")</f>
        <v>secondary</v>
      </c>
      <c r="E3076" s="49"/>
      <c r="F3076" s="49"/>
      <c r="G3076" s="49"/>
      <c r="H3076" s="54" t="str">
        <f t="shared" si="1"/>
        <v>roughly,</v>
      </c>
      <c r="I3076" s="50"/>
      <c r="J3076" s="50"/>
      <c r="K3076" s="50" t="s">
        <v>732</v>
      </c>
      <c r="L3076" s="49"/>
      <c r="M3076" s="49"/>
      <c r="N3076" s="49"/>
      <c r="O3076" s="49"/>
      <c r="P3076" s="49" t="str">
        <f t="shared" si="2"/>
        <v>,</v>
      </c>
      <c r="Q3076" s="49"/>
      <c r="R3076" s="49"/>
      <c r="S3076" s="55" t="s">
        <v>4550</v>
      </c>
      <c r="T3076" s="49"/>
      <c r="U3076" s="49"/>
      <c r="V3076" s="49"/>
      <c r="W3076" s="49"/>
      <c r="X3076" s="49" t="str">
        <f t="shared" si="3"/>
        <v>,</v>
      </c>
      <c r="Y3076" s="49"/>
      <c r="Z3076" s="49"/>
      <c r="AB3076" s="49"/>
      <c r="AC3076" s="49"/>
      <c r="AD3076" s="49"/>
      <c r="AE3076" s="49"/>
      <c r="AF3076" s="49"/>
      <c r="AG3076" s="49"/>
      <c r="AH3076" s="1" t="s">
        <v>6562</v>
      </c>
      <c r="AI3076" s="1" t="s">
        <v>6942</v>
      </c>
      <c r="AJ3076" s="6" t="str">
        <f>IFERROR(__xludf.DUMMYFUNCTION("""COMPUTED_VALUE"""),"slip")</f>
        <v>slip</v>
      </c>
      <c r="AK3076" s="49"/>
      <c r="AL3076" s="49"/>
      <c r="AM3076" s="49"/>
      <c r="AN3076" s="52" t="str">
        <f t="shared" si="5"/>
        <v>visible,</v>
      </c>
      <c r="AP3076" s="49"/>
      <c r="AQ3076" s="49"/>
      <c r="AR3076" s="49"/>
      <c r="AS3076" s="49"/>
      <c r="AT3076" s="49"/>
    </row>
    <row r="3077">
      <c r="A3077" s="51"/>
      <c r="B3077" s="50" t="s">
        <v>4479</v>
      </c>
      <c r="C3077" s="50" t="s">
        <v>5917</v>
      </c>
      <c r="D3077" s="49" t="str">
        <f>IFERROR(__xludf.DUMMYFUNCTION("""COMPUTED_VALUE"""),"native")</f>
        <v>native</v>
      </c>
      <c r="E3077" s="49"/>
      <c r="F3077" s="49"/>
      <c r="G3077" s="49"/>
      <c r="H3077" s="54" t="str">
        <f t="shared" si="1"/>
        <v>leather,</v>
      </c>
      <c r="I3077" s="50"/>
      <c r="J3077" s="50"/>
      <c r="K3077" s="50" t="s">
        <v>1702</v>
      </c>
      <c r="L3077" s="49"/>
      <c r="M3077" s="49"/>
      <c r="N3077" s="49"/>
      <c r="O3077" s="49"/>
      <c r="P3077" s="49" t="str">
        <f t="shared" si="2"/>
        <v>,</v>
      </c>
      <c r="Q3077" s="49"/>
      <c r="R3077" s="49"/>
      <c r="S3077" s="55" t="s">
        <v>4553</v>
      </c>
      <c r="T3077" s="49"/>
      <c r="U3077" s="49"/>
      <c r="V3077" s="49"/>
      <c r="W3077" s="49"/>
      <c r="X3077" s="49" t="str">
        <f t="shared" si="3"/>
        <v>,</v>
      </c>
      <c r="Y3077" s="49"/>
      <c r="Z3077" s="49"/>
      <c r="AB3077" s="49"/>
      <c r="AC3077" s="49"/>
      <c r="AD3077" s="49"/>
      <c r="AE3077" s="49"/>
      <c r="AF3077" s="49"/>
      <c r="AG3077" s="49"/>
      <c r="AH3077" s="1" t="s">
        <v>3596</v>
      </c>
      <c r="AI3077" s="1" t="s">
        <v>5758</v>
      </c>
      <c r="AJ3077" s="6" t="str">
        <f>IFERROR(__xludf.DUMMYFUNCTION("""COMPUTED_VALUE"""),"historic")</f>
        <v>historic</v>
      </c>
      <c r="AK3077" s="49"/>
      <c r="AL3077" s="49"/>
      <c r="AM3077" s="49"/>
      <c r="AN3077" s="52" t="str">
        <f t="shared" si="5"/>
        <v>shore,</v>
      </c>
      <c r="AP3077" s="49"/>
      <c r="AQ3077" s="49"/>
      <c r="AR3077" s="49"/>
      <c r="AS3077" s="49"/>
      <c r="AT3077" s="49"/>
    </row>
    <row r="3078">
      <c r="A3078" s="51"/>
      <c r="B3078" s="50" t="s">
        <v>7039</v>
      </c>
      <c r="C3078" s="50" t="s">
        <v>3622</v>
      </c>
      <c r="D3078" s="49" t="str">
        <f>IFERROR(__xludf.DUMMYFUNCTION("""COMPUTED_VALUE"""),"stark")</f>
        <v>stark</v>
      </c>
      <c r="E3078" s="49"/>
      <c r="F3078" s="49"/>
      <c r="G3078" s="49"/>
      <c r="H3078" s="54" t="str">
        <f t="shared" si="1"/>
        <v>versus,</v>
      </c>
      <c r="I3078" s="50"/>
      <c r="J3078" s="50"/>
      <c r="K3078" s="50" t="s">
        <v>5999</v>
      </c>
      <c r="L3078" s="49"/>
      <c r="M3078" s="49"/>
      <c r="N3078" s="49"/>
      <c r="O3078" s="49"/>
      <c r="P3078" s="49" t="str">
        <f t="shared" si="2"/>
        <v>,</v>
      </c>
      <c r="Q3078" s="49"/>
      <c r="R3078" s="49"/>
      <c r="S3078" s="55" t="s">
        <v>2745</v>
      </c>
      <c r="T3078" s="49"/>
      <c r="U3078" s="49"/>
      <c r="V3078" s="49"/>
      <c r="W3078" s="49"/>
      <c r="X3078" s="49" t="str">
        <f t="shared" si="3"/>
        <v>,</v>
      </c>
      <c r="Y3078" s="49"/>
      <c r="Z3078" s="49"/>
      <c r="AB3078" s="49"/>
      <c r="AC3078" s="49"/>
      <c r="AD3078" s="49"/>
      <c r="AE3078" s="49"/>
      <c r="AF3078" s="49"/>
      <c r="AG3078" s="49"/>
      <c r="AH3078" s="1" t="s">
        <v>4697</v>
      </c>
      <c r="AI3078" s="1" t="s">
        <v>4721</v>
      </c>
      <c r="AJ3078" s="6">
        <f>IFERROR(__xludf.DUMMYFUNCTION("""COMPUTED_VALUE"""),88.0)</f>
        <v>88</v>
      </c>
      <c r="AK3078" s="49"/>
      <c r="AL3078" s="49"/>
      <c r="AM3078" s="49"/>
      <c r="AN3078" s="52" t="str">
        <f t="shared" si="5"/>
        <v>inspiration,</v>
      </c>
      <c r="AP3078" s="49"/>
      <c r="AQ3078" s="49"/>
      <c r="AR3078" s="49"/>
      <c r="AS3078" s="49"/>
      <c r="AT3078" s="49"/>
    </row>
    <row r="3079">
      <c r="A3079" s="51"/>
      <c r="B3079" s="50" t="s">
        <v>7672</v>
      </c>
      <c r="C3079" s="50" t="s">
        <v>3623</v>
      </c>
      <c r="D3079" s="49" t="str">
        <f>IFERROR(__xludf.DUMMYFUNCTION("""COMPUTED_VALUE"""),"circumstances")</f>
        <v>circumstances</v>
      </c>
      <c r="E3079" s="49"/>
      <c r="F3079" s="49"/>
      <c r="G3079" s="49"/>
      <c r="H3079" s="54" t="str">
        <f t="shared" si="1"/>
        <v>perry,</v>
      </c>
      <c r="I3079" s="50"/>
      <c r="J3079" s="50"/>
      <c r="K3079" s="50" t="s">
        <v>2841</v>
      </c>
      <c r="L3079" s="49"/>
      <c r="M3079" s="49"/>
      <c r="N3079" s="49"/>
      <c r="O3079" s="49"/>
      <c r="P3079" s="49" t="str">
        <f t="shared" si="2"/>
        <v>,</v>
      </c>
      <c r="Q3079" s="49"/>
      <c r="R3079" s="49"/>
      <c r="S3079" s="55" t="s">
        <v>5131</v>
      </c>
      <c r="T3079" s="49"/>
      <c r="U3079" s="49"/>
      <c r="V3079" s="49"/>
      <c r="W3079" s="49"/>
      <c r="X3079" s="49" t="str">
        <f t="shared" si="3"/>
        <v>,</v>
      </c>
      <c r="Y3079" s="49"/>
      <c r="Z3079" s="49"/>
      <c r="AB3079" s="49"/>
      <c r="AC3079" s="49"/>
      <c r="AD3079" s="49"/>
      <c r="AE3079" s="49"/>
      <c r="AF3079" s="49"/>
      <c r="AG3079" s="49"/>
      <c r="AH3079" s="1" t="s">
        <v>5131</v>
      </c>
      <c r="AI3079" s="1" t="s">
        <v>6943</v>
      </c>
      <c r="AJ3079" s="6" t="str">
        <f>IFERROR(__xludf.DUMMYFUNCTION("""COMPUTED_VALUE"""),"pan")</f>
        <v>pan</v>
      </c>
      <c r="AK3079" s="49"/>
      <c r="AL3079" s="49"/>
      <c r="AM3079" s="49"/>
      <c r="AN3079" s="52" t="str">
        <f t="shared" si="5"/>
        <v>teeth,</v>
      </c>
      <c r="AP3079" s="49"/>
      <c r="AQ3079" s="49"/>
      <c r="AR3079" s="49"/>
      <c r="AS3079" s="49"/>
      <c r="AT3079" s="49"/>
    </row>
    <row r="3080">
      <c r="A3080" s="51"/>
      <c r="B3080" s="50" t="s">
        <v>5278</v>
      </c>
      <c r="C3080" s="50" t="s">
        <v>3960</v>
      </c>
      <c r="D3080" s="49" t="str">
        <f>IFERROR(__xludf.DUMMYFUNCTION("""COMPUTED_VALUE"""),"substitute")</f>
        <v>substitute</v>
      </c>
      <c r="E3080" s="49"/>
      <c r="F3080" s="49"/>
      <c r="G3080" s="49"/>
      <c r="H3080" s="54" t="str">
        <f t="shared" si="1"/>
        <v>neck,</v>
      </c>
      <c r="I3080" s="50"/>
      <c r="J3080" s="50"/>
      <c r="K3080" s="50" t="s">
        <v>5591</v>
      </c>
      <c r="L3080" s="49"/>
      <c r="M3080" s="49"/>
      <c r="N3080" s="49"/>
      <c r="O3080" s="49"/>
      <c r="P3080" s="49" t="str">
        <f t="shared" si="2"/>
        <v>,</v>
      </c>
      <c r="Q3080" s="49"/>
      <c r="R3080" s="49"/>
      <c r="S3080" s="55" t="s">
        <v>2746</v>
      </c>
      <c r="T3080" s="49"/>
      <c r="U3080" s="49"/>
      <c r="V3080" s="49"/>
      <c r="W3080" s="49"/>
      <c r="X3080" s="49" t="str">
        <f t="shared" si="3"/>
        <v>,</v>
      </c>
      <c r="Y3080" s="49"/>
      <c r="Z3080" s="49"/>
      <c r="AB3080" s="49"/>
      <c r="AC3080" s="49"/>
      <c r="AD3080" s="49"/>
      <c r="AE3080" s="49"/>
      <c r="AF3080" s="49"/>
      <c r="AG3080" s="49"/>
      <c r="AH3080" s="1" t="s">
        <v>2433</v>
      </c>
      <c r="AI3080" s="1" t="s">
        <v>6944</v>
      </c>
      <c r="AJ3080" s="6" t="str">
        <f>IFERROR(__xludf.DUMMYFUNCTION("""COMPUTED_VALUE"""),"nomination")</f>
        <v>nomination</v>
      </c>
      <c r="AK3080" s="49"/>
      <c r="AL3080" s="49"/>
      <c r="AM3080" s="49"/>
      <c r="AN3080" s="52" t="str">
        <f t="shared" si="5"/>
        <v>portuguese,</v>
      </c>
      <c r="AP3080" s="49"/>
      <c r="AQ3080" s="49"/>
      <c r="AR3080" s="49"/>
      <c r="AS3080" s="49"/>
      <c r="AT3080" s="49"/>
    </row>
    <row r="3081">
      <c r="A3081" s="51"/>
      <c r="B3081" s="50" t="s">
        <v>3663</v>
      </c>
      <c r="C3081" s="50" t="s">
        <v>1366</v>
      </c>
      <c r="D3081" s="49" t="str">
        <f>IFERROR(__xludf.DUMMYFUNCTION("""COMPUTED_VALUE"""),"insurance")</f>
        <v>insurance</v>
      </c>
      <c r="E3081" s="49"/>
      <c r="F3081" s="49"/>
      <c r="G3081" s="49"/>
      <c r="H3081" s="54" t="str">
        <f t="shared" si="1"/>
        <v>locations,</v>
      </c>
      <c r="I3081" s="50"/>
      <c r="J3081" s="50"/>
      <c r="K3081" s="50" t="s">
        <v>4643</v>
      </c>
      <c r="L3081" s="49"/>
      <c r="M3081" s="49"/>
      <c r="N3081" s="49"/>
      <c r="O3081" s="49"/>
      <c r="P3081" s="49" t="str">
        <f t="shared" si="2"/>
        <v>,</v>
      </c>
      <c r="Q3081" s="49"/>
      <c r="R3081" s="49"/>
      <c r="S3081" s="55" t="s">
        <v>5581</v>
      </c>
      <c r="T3081" s="49"/>
      <c r="U3081" s="49"/>
      <c r="V3081" s="49"/>
      <c r="W3081" s="49"/>
      <c r="X3081" s="49" t="str">
        <f t="shared" si="3"/>
        <v>,</v>
      </c>
      <c r="Y3081" s="49"/>
      <c r="Z3081" s="49"/>
      <c r="AB3081" s="49"/>
      <c r="AC3081" s="49"/>
      <c r="AD3081" s="49"/>
      <c r="AE3081" s="49"/>
      <c r="AF3081" s="49"/>
      <c r="AG3081" s="49"/>
      <c r="AH3081" s="1" t="s">
        <v>2727</v>
      </c>
      <c r="AI3081" s="1" t="s">
        <v>6945</v>
      </c>
      <c r="AJ3081" s="6" t="str">
        <f>IFERROR(__xludf.DUMMYFUNCTION("""COMPUTED_VALUE"""),"fist")</f>
        <v>fist</v>
      </c>
      <c r="AK3081" s="49"/>
      <c r="AL3081" s="49"/>
      <c r="AM3081" s="49"/>
      <c r="AN3081" s="52" t="str">
        <f t="shared" si="5"/>
        <v>hundreds,</v>
      </c>
      <c r="AP3081" s="49"/>
      <c r="AQ3081" s="49"/>
      <c r="AR3081" s="49"/>
      <c r="AS3081" s="49"/>
      <c r="AT3081" s="49"/>
    </row>
    <row r="3082">
      <c r="A3082" s="51"/>
      <c r="B3082" s="50" t="s">
        <v>6547</v>
      </c>
      <c r="C3082" s="50" t="s">
        <v>5918</v>
      </c>
      <c r="D3082" s="49" t="str">
        <f>IFERROR(__xludf.DUMMYFUNCTION("""COMPUTED_VALUE"""),"graphics")</f>
        <v>graphics</v>
      </c>
      <c r="E3082" s="49"/>
      <c r="F3082" s="49"/>
      <c r="G3082" s="49"/>
      <c r="H3082" s="54" t="str">
        <f t="shared" si="1"/>
        <v>remove,</v>
      </c>
      <c r="I3082" s="50"/>
      <c r="J3082" s="50"/>
      <c r="K3082" s="50" t="s">
        <v>3806</v>
      </c>
      <c r="L3082" s="49"/>
      <c r="M3082" s="49"/>
      <c r="N3082" s="49"/>
      <c r="O3082" s="49"/>
      <c r="P3082" s="49" t="str">
        <f t="shared" si="2"/>
        <v>,</v>
      </c>
      <c r="Q3082" s="49"/>
      <c r="R3082" s="49"/>
      <c r="S3082" s="55" t="s">
        <v>6946</v>
      </c>
      <c r="T3082" s="49"/>
      <c r="U3082" s="49"/>
      <c r="V3082" s="49"/>
      <c r="W3082" s="49"/>
      <c r="X3082" s="49" t="str">
        <f t="shared" si="3"/>
        <v>,</v>
      </c>
      <c r="Y3082" s="49"/>
      <c r="Z3082" s="49"/>
      <c r="AB3082" s="49"/>
      <c r="AC3082" s="49"/>
      <c r="AD3082" s="49"/>
      <c r="AE3082" s="49"/>
      <c r="AF3082" s="49"/>
      <c r="AG3082" s="49"/>
      <c r="AH3082" s="1" t="s">
        <v>4019</v>
      </c>
      <c r="AI3082" s="1" t="s">
        <v>3504</v>
      </c>
      <c r="AJ3082" s="6" t="str">
        <f>IFERROR(__xludf.DUMMYFUNCTION("""COMPUTED_VALUE"""),"restored")</f>
        <v>restored</v>
      </c>
      <c r="AK3082" s="49"/>
      <c r="AL3082" s="49"/>
      <c r="AM3082" s="49"/>
      <c r="AN3082" s="52" t="str">
        <f t="shared" si="5"/>
        <v>lips,</v>
      </c>
      <c r="AP3082" s="49"/>
      <c r="AQ3082" s="49"/>
      <c r="AR3082" s="49"/>
      <c r="AS3082" s="49"/>
      <c r="AT3082" s="49"/>
    </row>
    <row r="3083">
      <c r="A3083" s="51"/>
      <c r="B3083" s="50" t="s">
        <v>5466</v>
      </c>
      <c r="C3083" s="50" t="s">
        <v>6828</v>
      </c>
      <c r="D3083" s="49" t="str">
        <f>IFERROR(__xludf.DUMMYFUNCTION("""COMPUTED_VALUE"""),"doors")</f>
        <v>doors</v>
      </c>
      <c r="E3083" s="49"/>
      <c r="F3083" s="49"/>
      <c r="G3083" s="49"/>
      <c r="H3083" s="54" t="str">
        <f t="shared" si="1"/>
        <v>election,</v>
      </c>
      <c r="I3083" s="50"/>
      <c r="J3083" s="50"/>
      <c r="K3083" s="50" t="s">
        <v>4645</v>
      </c>
      <c r="L3083" s="49"/>
      <c r="M3083" s="49"/>
      <c r="N3083" s="49"/>
      <c r="O3083" s="49"/>
      <c r="P3083" s="49" t="str">
        <f t="shared" si="2"/>
        <v>,</v>
      </c>
      <c r="Q3083" s="49"/>
      <c r="R3083" s="49"/>
      <c r="S3083" s="55" t="s">
        <v>6893</v>
      </c>
      <c r="T3083" s="49"/>
      <c r="U3083" s="49"/>
      <c r="V3083" s="49"/>
      <c r="W3083" s="49"/>
      <c r="X3083" s="49" t="str">
        <f t="shared" si="3"/>
        <v>,</v>
      </c>
      <c r="Y3083" s="49"/>
      <c r="Z3083" s="49"/>
      <c r="AB3083" s="49"/>
      <c r="AC3083" s="49"/>
      <c r="AD3083" s="49"/>
      <c r="AE3083" s="49"/>
      <c r="AF3083" s="49"/>
      <c r="AG3083" s="49"/>
      <c r="AH3083" s="1" t="s">
        <v>3949</v>
      </c>
      <c r="AI3083" s="1" t="s">
        <v>6947</v>
      </c>
      <c r="AJ3083" s="6" t="str">
        <f>IFERROR(__xludf.DUMMYFUNCTION("""COMPUTED_VALUE"""),"tears")</f>
        <v>tears</v>
      </c>
      <c r="AK3083" s="49"/>
      <c r="AL3083" s="49"/>
      <c r="AM3083" s="49"/>
      <c r="AN3083" s="52" t="str">
        <f t="shared" si="5"/>
        <v>settled,</v>
      </c>
      <c r="AP3083" s="49"/>
      <c r="AQ3083" s="49"/>
      <c r="AR3083" s="49"/>
      <c r="AS3083" s="49"/>
      <c r="AT3083" s="49"/>
    </row>
    <row r="3084">
      <c r="A3084" s="51"/>
      <c r="B3084" s="50" t="s">
        <v>5027</v>
      </c>
      <c r="C3084" s="50" t="s">
        <v>806</v>
      </c>
      <c r="D3084" s="49" t="str">
        <f>IFERROR(__xludf.DUMMYFUNCTION("""COMPUTED_VALUE"""),"del")</f>
        <v>del</v>
      </c>
      <c r="E3084" s="49"/>
      <c r="F3084" s="49"/>
      <c r="G3084" s="49"/>
      <c r="H3084" s="54" t="str">
        <f t="shared" si="1"/>
        <v>facing,</v>
      </c>
      <c r="I3084" s="50"/>
      <c r="J3084" s="50"/>
      <c r="K3084" s="50" t="s">
        <v>3810</v>
      </c>
      <c r="L3084" s="49"/>
      <c r="M3084" s="49"/>
      <c r="N3084" s="49"/>
      <c r="O3084" s="49"/>
      <c r="P3084" s="49" t="str">
        <f t="shared" si="2"/>
        <v>,</v>
      </c>
      <c r="Q3084" s="49"/>
      <c r="R3084" s="49"/>
      <c r="S3084" s="55" t="s">
        <v>2748</v>
      </c>
      <c r="T3084" s="49"/>
      <c r="U3084" s="49"/>
      <c r="V3084" s="49"/>
      <c r="W3084" s="49"/>
      <c r="X3084" s="49" t="str">
        <f t="shared" si="3"/>
        <v>,</v>
      </c>
      <c r="Y3084" s="49"/>
      <c r="Z3084" s="49"/>
      <c r="AB3084" s="49"/>
      <c r="AC3084" s="49"/>
      <c r="AD3084" s="49"/>
      <c r="AE3084" s="49"/>
      <c r="AF3084" s="49"/>
      <c r="AG3084" s="49"/>
      <c r="AH3084" s="1" t="s">
        <v>6317</v>
      </c>
      <c r="AI3084" s="1" t="s">
        <v>5843</v>
      </c>
      <c r="AJ3084" s="6" t="str">
        <f>IFERROR(__xludf.DUMMYFUNCTION("""COMPUTED_VALUE"""),"tourism")</f>
        <v>tourism</v>
      </c>
      <c r="AK3084" s="49"/>
      <c r="AL3084" s="49"/>
      <c r="AM3084" s="49"/>
      <c r="AN3084" s="52" t="str">
        <f t="shared" si="5"/>
        <v>online,</v>
      </c>
      <c r="AP3084" s="49"/>
      <c r="AQ3084" s="49"/>
      <c r="AR3084" s="49"/>
      <c r="AS3084" s="49"/>
      <c r="AT3084" s="49"/>
    </row>
    <row r="3085">
      <c r="A3085" s="51"/>
      <c r="B3085" s="50" t="s">
        <v>757</v>
      </c>
      <c r="C3085" s="50" t="s">
        <v>3132</v>
      </c>
      <c r="D3085" s="49" t="str">
        <f>IFERROR(__xludf.DUMMYFUNCTION("""COMPUTED_VALUE"""),"library")</f>
        <v>library</v>
      </c>
      <c r="E3085" s="49"/>
      <c r="F3085" s="49"/>
      <c r="G3085" s="49"/>
      <c r="H3085" s="54" t="str">
        <f t="shared" si="1"/>
        <v>stuart,</v>
      </c>
      <c r="I3085" s="50"/>
      <c r="J3085" s="50"/>
      <c r="K3085" s="50" t="s">
        <v>5515</v>
      </c>
      <c r="L3085" s="49"/>
      <c r="M3085" s="49"/>
      <c r="N3085" s="49"/>
      <c r="O3085" s="49"/>
      <c r="P3085" s="49" t="str">
        <f t="shared" si="2"/>
        <v>,</v>
      </c>
      <c r="Q3085" s="49"/>
      <c r="R3085" s="49"/>
      <c r="S3085" s="55" t="s">
        <v>2750</v>
      </c>
      <c r="T3085" s="49"/>
      <c r="U3085" s="49"/>
      <c r="V3085" s="49"/>
      <c r="W3085" s="49"/>
      <c r="X3085" s="49" t="str">
        <f t="shared" si="3"/>
        <v>,</v>
      </c>
      <c r="Y3085" s="49"/>
      <c r="Z3085" s="49"/>
      <c r="AB3085" s="49"/>
      <c r="AC3085" s="49"/>
      <c r="AD3085" s="49"/>
      <c r="AE3085" s="49"/>
      <c r="AF3085" s="49"/>
      <c r="AG3085" s="49"/>
      <c r="AH3085" s="1" t="s">
        <v>117</v>
      </c>
      <c r="AI3085" s="1" t="s">
        <v>4955</v>
      </c>
      <c r="AJ3085" s="6" t="str">
        <f>IFERROR(__xludf.DUMMYFUNCTION("""COMPUTED_VALUE"""),"account")</f>
        <v>account</v>
      </c>
      <c r="AK3085" s="49"/>
      <c r="AL3085" s="49"/>
      <c r="AM3085" s="49"/>
      <c r="AN3085" s="52" t="str">
        <f t="shared" si="5"/>
        <v>deeply,</v>
      </c>
      <c r="AP3085" s="49"/>
      <c r="AQ3085" s="49"/>
      <c r="AR3085" s="49"/>
      <c r="AS3085" s="49"/>
      <c r="AT3085" s="49"/>
    </row>
    <row r="3086">
      <c r="A3086" s="51"/>
      <c r="B3086" s="50" t="s">
        <v>7504</v>
      </c>
      <c r="C3086" s="50" t="s">
        <v>5311</v>
      </c>
      <c r="D3086" s="49" t="str">
        <f>IFERROR(__xludf.DUMMYFUNCTION("""COMPUTED_VALUE"""),"dust")</f>
        <v>dust</v>
      </c>
      <c r="E3086" s="49"/>
      <c r="F3086" s="49"/>
      <c r="G3086" s="49"/>
      <c r="H3086" s="54" t="str">
        <f t="shared" si="1"/>
        <v>ex,</v>
      </c>
      <c r="I3086" s="50"/>
      <c r="J3086" s="50"/>
      <c r="K3086" s="50" t="s">
        <v>4647</v>
      </c>
      <c r="L3086" s="49"/>
      <c r="M3086" s="49"/>
      <c r="N3086" s="49"/>
      <c r="O3086" s="49"/>
      <c r="P3086" s="49" t="str">
        <f t="shared" si="2"/>
        <v>,</v>
      </c>
      <c r="Q3086" s="49"/>
      <c r="R3086" s="49"/>
      <c r="S3086" s="55" t="s">
        <v>4560</v>
      </c>
      <c r="T3086" s="49"/>
      <c r="U3086" s="49"/>
      <c r="V3086" s="49"/>
      <c r="W3086" s="49"/>
      <c r="X3086" s="49" t="str">
        <f t="shared" si="3"/>
        <v>,</v>
      </c>
      <c r="Y3086" s="49"/>
      <c r="Z3086" s="49"/>
      <c r="AB3086" s="49"/>
      <c r="AC3086" s="49"/>
      <c r="AD3086" s="49"/>
      <c r="AE3086" s="49"/>
      <c r="AF3086" s="49"/>
      <c r="AG3086" s="49"/>
      <c r="AH3086" s="1" t="s">
        <v>2385</v>
      </c>
      <c r="AI3086" s="1" t="s">
        <v>3265</v>
      </c>
      <c r="AJ3086" s="6" t="str">
        <f>IFERROR(__xludf.DUMMYFUNCTION("""COMPUTED_VALUE"""),"equipment")</f>
        <v>equipment</v>
      </c>
      <c r="AK3086" s="49"/>
      <c r="AL3086" s="49"/>
      <c r="AM3086" s="49"/>
      <c r="AN3086" s="52" t="str">
        <f t="shared" si="5"/>
        <v>episodes,</v>
      </c>
      <c r="AP3086" s="49"/>
      <c r="AQ3086" s="49"/>
      <c r="AR3086" s="49"/>
      <c r="AS3086" s="49"/>
      <c r="AT3086" s="49"/>
    </row>
    <row r="3087">
      <c r="A3087" s="51"/>
      <c r="B3087" s="50" t="s">
        <v>7027</v>
      </c>
      <c r="C3087" s="50" t="s">
        <v>4283</v>
      </c>
      <c r="D3087" s="49" t="str">
        <f>IFERROR(__xludf.DUMMYFUNCTION("""COMPUTED_VALUE"""),"regard")</f>
        <v>regard</v>
      </c>
      <c r="E3087" s="49"/>
      <c r="F3087" s="49"/>
      <c r="G3087" s="49"/>
      <c r="H3087" s="54" t="str">
        <f t="shared" si="1"/>
        <v>knight,</v>
      </c>
      <c r="I3087" s="50"/>
      <c r="J3087" s="50"/>
      <c r="K3087" s="50" t="s">
        <v>2845</v>
      </c>
      <c r="L3087" s="49"/>
      <c r="M3087" s="49"/>
      <c r="N3087" s="49"/>
      <c r="O3087" s="49"/>
      <c r="P3087" s="49" t="str">
        <f t="shared" si="2"/>
        <v>,</v>
      </c>
      <c r="Q3087" s="49"/>
      <c r="R3087" s="49"/>
      <c r="S3087" s="55" t="s">
        <v>5038</v>
      </c>
      <c r="T3087" s="49"/>
      <c r="U3087" s="49"/>
      <c r="V3087" s="49"/>
      <c r="W3087" s="49"/>
      <c r="X3087" s="49" t="str">
        <f t="shared" si="3"/>
        <v>,</v>
      </c>
      <c r="Y3087" s="49"/>
      <c r="Z3087" s="49"/>
      <c r="AB3087" s="49"/>
      <c r="AC3087" s="49"/>
      <c r="AD3087" s="49"/>
      <c r="AE3087" s="49"/>
      <c r="AF3087" s="49"/>
      <c r="AG3087" s="49"/>
      <c r="AH3087" s="1" t="s">
        <v>5708</v>
      </c>
      <c r="AI3087" s="1" t="s">
        <v>5649</v>
      </c>
      <c r="AJ3087" s="6" t="str">
        <f>IFERROR(__xludf.DUMMYFUNCTION("""COMPUTED_VALUE"""),"heights")</f>
        <v>heights</v>
      </c>
      <c r="AK3087" s="49"/>
      <c r="AL3087" s="49"/>
      <c r="AM3087" s="49"/>
      <c r="AN3087" s="52" t="str">
        <f t="shared" si="5"/>
        <v>yours,</v>
      </c>
      <c r="AP3087" s="49"/>
      <c r="AQ3087" s="49"/>
      <c r="AR3087" s="49"/>
      <c r="AS3087" s="49"/>
      <c r="AT3087" s="49"/>
    </row>
    <row r="3088">
      <c r="A3088" s="51"/>
      <c r="B3088" s="50" t="s">
        <v>5305</v>
      </c>
      <c r="C3088" s="50" t="s">
        <v>2480</v>
      </c>
      <c r="D3088" s="49" t="str">
        <f>IFERROR(__xludf.DUMMYFUNCTION("""COMPUTED_VALUE"""),"continue")</f>
        <v>continue</v>
      </c>
      <c r="E3088" s="49"/>
      <c r="F3088" s="49"/>
      <c r="G3088" s="49"/>
      <c r="H3088" s="54" t="str">
        <f t="shared" si="1"/>
        <v>washed,</v>
      </c>
      <c r="I3088" s="50"/>
      <c r="J3088" s="50"/>
      <c r="K3088" s="50" t="s">
        <v>2848</v>
      </c>
      <c r="L3088" s="49"/>
      <c r="M3088" s="49"/>
      <c r="N3088" s="49"/>
      <c r="O3088" s="49"/>
      <c r="P3088" s="49" t="str">
        <f t="shared" si="2"/>
        <v>,</v>
      </c>
      <c r="Q3088" s="49"/>
      <c r="R3088" s="49"/>
      <c r="S3088" s="55" t="s">
        <v>4561</v>
      </c>
      <c r="T3088" s="49"/>
      <c r="U3088" s="49"/>
      <c r="V3088" s="49"/>
      <c r="W3088" s="49"/>
      <c r="X3088" s="49" t="str">
        <f t="shared" si="3"/>
        <v>,</v>
      </c>
      <c r="Y3088" s="49"/>
      <c r="Z3088" s="49"/>
      <c r="AB3088" s="49"/>
      <c r="AC3088" s="49"/>
      <c r="AD3088" s="49"/>
      <c r="AE3088" s="49"/>
      <c r="AF3088" s="49"/>
      <c r="AG3088" s="49"/>
      <c r="AH3088" s="1" t="s">
        <v>4825</v>
      </c>
      <c r="AI3088" s="1" t="s">
        <v>5655</v>
      </c>
      <c r="AJ3088" s="6" t="str">
        <f>IFERROR(__xludf.DUMMYFUNCTION("""COMPUTED_VALUE"""),"sharing")</f>
        <v>sharing</v>
      </c>
      <c r="AK3088" s="49"/>
      <c r="AL3088" s="49"/>
      <c r="AM3088" s="49"/>
      <c r="AN3088" s="52" t="str">
        <f t="shared" si="5"/>
        <v>hence,</v>
      </c>
      <c r="AP3088" s="49"/>
      <c r="AQ3088" s="49"/>
      <c r="AR3088" s="49"/>
      <c r="AS3088" s="49"/>
      <c r="AT3088" s="49"/>
    </row>
    <row r="3089">
      <c r="A3089" s="51"/>
      <c r="B3089" s="50" t="s">
        <v>472</v>
      </c>
      <c r="C3089" s="50" t="s">
        <v>3638</v>
      </c>
      <c r="D3089" s="49" t="str">
        <f>IFERROR(__xludf.DUMMYFUNCTION("""COMPUTED_VALUE"""),"gained")</f>
        <v>gained</v>
      </c>
      <c r="E3089" s="49"/>
      <c r="F3089" s="49"/>
      <c r="G3089" s="49"/>
      <c r="H3089" s="54" t="str">
        <f t="shared" si="1"/>
        <v>poem,</v>
      </c>
      <c r="I3089" s="50"/>
      <c r="J3089" s="50"/>
      <c r="K3089" s="50" t="s">
        <v>329</v>
      </c>
      <c r="L3089" s="49"/>
      <c r="M3089" s="49"/>
      <c r="N3089" s="49"/>
      <c r="O3089" s="49"/>
      <c r="P3089" s="49" t="str">
        <f t="shared" si="2"/>
        <v>,</v>
      </c>
      <c r="Q3089" s="49"/>
      <c r="R3089" s="49"/>
      <c r="S3089" s="55" t="s">
        <v>1556</v>
      </c>
      <c r="T3089" s="49"/>
      <c r="U3089" s="49"/>
      <c r="V3089" s="49"/>
      <c r="W3089" s="49"/>
      <c r="X3089" s="49" t="str">
        <f t="shared" si="3"/>
        <v>,</v>
      </c>
      <c r="Y3089" s="49"/>
      <c r="Z3089" s="49"/>
      <c r="AB3089" s="49"/>
      <c r="AC3089" s="49"/>
      <c r="AD3089" s="49"/>
      <c r="AE3089" s="49"/>
      <c r="AF3089" s="49"/>
      <c r="AG3089" s="49"/>
      <c r="AH3089" s="1" t="s">
        <v>759</v>
      </c>
      <c r="AI3089" s="1" t="s">
        <v>6948</v>
      </c>
      <c r="AJ3089" s="6" t="str">
        <f>IFERROR(__xludf.DUMMYFUNCTION("""COMPUTED_VALUE"""),"enterprise")</f>
        <v>enterprise</v>
      </c>
      <c r="AK3089" s="49"/>
      <c r="AL3089" s="49"/>
      <c r="AM3089" s="49"/>
      <c r="AN3089" s="52" t="str">
        <f t="shared" si="5"/>
        <v>landscape,</v>
      </c>
      <c r="AP3089" s="49"/>
      <c r="AQ3089" s="49"/>
      <c r="AR3089" s="49"/>
      <c r="AS3089" s="49"/>
      <c r="AT3089" s="49"/>
    </row>
    <row r="3090">
      <c r="A3090" s="51"/>
      <c r="B3090" s="50" t="s">
        <v>4461</v>
      </c>
      <c r="C3090" s="50" t="s">
        <v>5475</v>
      </c>
      <c r="D3090" s="49" t="str">
        <f>IFERROR(__xludf.DUMMYFUNCTION("""COMPUTED_VALUE"""),"universe")</f>
        <v>universe</v>
      </c>
      <c r="E3090" s="49"/>
      <c r="F3090" s="49"/>
      <c r="G3090" s="49"/>
      <c r="H3090" s="54" t="str">
        <f t="shared" si="1"/>
        <v>davis,</v>
      </c>
      <c r="I3090" s="50"/>
      <c r="J3090" s="50"/>
      <c r="K3090" s="50" t="s">
        <v>5671</v>
      </c>
      <c r="L3090" s="49"/>
      <c r="M3090" s="49"/>
      <c r="N3090" s="49"/>
      <c r="O3090" s="49"/>
      <c r="P3090" s="49" t="str">
        <f t="shared" si="2"/>
        <v>,</v>
      </c>
      <c r="Q3090" s="49"/>
      <c r="R3090" s="49"/>
      <c r="S3090" s="55" t="s">
        <v>5513</v>
      </c>
      <c r="T3090" s="49"/>
      <c r="U3090" s="49"/>
      <c r="V3090" s="49"/>
      <c r="W3090" s="49"/>
      <c r="X3090" s="49" t="str">
        <f t="shared" si="3"/>
        <v>,</v>
      </c>
      <c r="Y3090" s="49"/>
      <c r="Z3090" s="49"/>
      <c r="AB3090" s="49"/>
      <c r="AC3090" s="49"/>
      <c r="AD3090" s="49"/>
      <c r="AE3090" s="49"/>
      <c r="AF3090" s="49"/>
      <c r="AG3090" s="49"/>
      <c r="AH3090" s="1" t="s">
        <v>6570</v>
      </c>
      <c r="AI3090" s="1" t="s">
        <v>6091</v>
      </c>
      <c r="AJ3090" s="6" t="str">
        <f>IFERROR(__xludf.DUMMYFUNCTION("""COMPUTED_VALUE"""),"corporate")</f>
        <v>corporate</v>
      </c>
      <c r="AK3090" s="49"/>
      <c r="AL3090" s="49"/>
      <c r="AM3090" s="49"/>
      <c r="AN3090" s="52" t="str">
        <f t="shared" si="5"/>
        <v>louis,</v>
      </c>
      <c r="AP3090" s="49"/>
      <c r="AQ3090" s="49"/>
      <c r="AR3090" s="49"/>
      <c r="AS3090" s="49"/>
      <c r="AT3090" s="49"/>
    </row>
    <row r="3091">
      <c r="A3091" s="51"/>
      <c r="B3091" s="50" t="s">
        <v>4728</v>
      </c>
      <c r="C3091" s="50" t="s">
        <v>4287</v>
      </c>
      <c r="D3091" s="49" t="str">
        <f>IFERROR(__xludf.DUMMYFUNCTION("""COMPUTED_VALUE"""),"damaged")</f>
        <v>damaged</v>
      </c>
      <c r="E3091" s="49"/>
      <c r="F3091" s="49"/>
      <c r="G3091" s="49"/>
      <c r="H3091" s="54" t="str">
        <f t="shared" si="1"/>
        <v>rape,</v>
      </c>
      <c r="I3091" s="50"/>
      <c r="J3091" s="50"/>
      <c r="K3091" s="50" t="s">
        <v>4650</v>
      </c>
      <c r="L3091" s="49"/>
      <c r="M3091" s="49"/>
      <c r="N3091" s="49"/>
      <c r="O3091" s="49"/>
      <c r="P3091" s="49" t="str">
        <f t="shared" si="2"/>
        <v>,</v>
      </c>
      <c r="Q3091" s="49"/>
      <c r="R3091" s="49"/>
      <c r="S3091" s="55" t="s">
        <v>2758</v>
      </c>
      <c r="T3091" s="49"/>
      <c r="U3091" s="49"/>
      <c r="V3091" s="49"/>
      <c r="W3091" s="49"/>
      <c r="X3091" s="49" t="str">
        <f t="shared" si="3"/>
        <v>,</v>
      </c>
      <c r="Y3091" s="49"/>
      <c r="Z3091" s="49"/>
      <c r="AB3091" s="49"/>
      <c r="AC3091" s="49"/>
      <c r="AD3091" s="49"/>
      <c r="AE3091" s="49"/>
      <c r="AF3091" s="49"/>
      <c r="AG3091" s="49"/>
      <c r="AH3091" s="1" t="s">
        <v>1874</v>
      </c>
      <c r="AI3091" s="1" t="s">
        <v>6949</v>
      </c>
      <c r="AJ3091" s="6" t="str">
        <f>IFERROR(__xludf.DUMMYFUNCTION("""COMPUTED_VALUE"""),"broadway")</f>
        <v>broadway</v>
      </c>
      <c r="AK3091" s="49"/>
      <c r="AL3091" s="49"/>
      <c r="AM3091" s="49"/>
      <c r="AN3091" s="52" t="str">
        <f t="shared" si="5"/>
        <v>parking,</v>
      </c>
      <c r="AP3091" s="49"/>
      <c r="AQ3091" s="49"/>
      <c r="AR3091" s="49"/>
      <c r="AS3091" s="49"/>
      <c r="AT3091" s="49"/>
    </row>
    <row r="3092">
      <c r="A3092" s="51"/>
      <c r="B3092" s="50" t="s">
        <v>2437</v>
      </c>
      <c r="C3092" s="50" t="s">
        <v>1425</v>
      </c>
      <c r="D3092" s="49" t="str">
        <f>IFERROR(__xludf.DUMMYFUNCTION("""COMPUTED_VALUE"""),"thrust")</f>
        <v>thrust</v>
      </c>
      <c r="E3092" s="49"/>
      <c r="F3092" s="49"/>
      <c r="G3092" s="49"/>
      <c r="H3092" s="54" t="str">
        <f t="shared" si="1"/>
        <v>topic,</v>
      </c>
      <c r="I3092" s="50"/>
      <c r="J3092" s="50"/>
      <c r="K3092" s="50" t="s">
        <v>3822</v>
      </c>
      <c r="L3092" s="49"/>
      <c r="M3092" s="49"/>
      <c r="N3092" s="49"/>
      <c r="O3092" s="49"/>
      <c r="P3092" s="49" t="str">
        <f t="shared" si="2"/>
        <v>,</v>
      </c>
      <c r="Q3092" s="49"/>
      <c r="R3092" s="49"/>
      <c r="S3092" s="55" t="s">
        <v>2763</v>
      </c>
      <c r="T3092" s="49"/>
      <c r="U3092" s="49"/>
      <c r="V3092" s="49"/>
      <c r="W3092" s="49"/>
      <c r="X3092" s="49" t="str">
        <f t="shared" si="3"/>
        <v>,</v>
      </c>
      <c r="Y3092" s="49"/>
      <c r="Z3092" s="49"/>
      <c r="AB3092" s="49"/>
      <c r="AC3092" s="49"/>
      <c r="AD3092" s="49"/>
      <c r="AE3092" s="49"/>
      <c r="AF3092" s="49"/>
      <c r="AG3092" s="49"/>
      <c r="AH3092" s="1" t="s">
        <v>5561</v>
      </c>
      <c r="AI3092" s="1">
        <v>1960.0</v>
      </c>
      <c r="AJ3092" s="6" t="str">
        <f>IFERROR(__xludf.DUMMYFUNCTION("""COMPUTED_VALUE"""),"remain")</f>
        <v>remain</v>
      </c>
      <c r="AK3092" s="49"/>
      <c r="AL3092" s="49"/>
      <c r="AM3092" s="49"/>
      <c r="AN3092" s="52" t="str">
        <f t="shared" si="5"/>
        <v>boots,</v>
      </c>
      <c r="AP3092" s="49"/>
      <c r="AQ3092" s="49"/>
      <c r="AR3092" s="49"/>
      <c r="AS3092" s="49"/>
      <c r="AT3092" s="49"/>
    </row>
    <row r="3093">
      <c r="A3093" s="51"/>
      <c r="B3093" s="50" t="s">
        <v>1613</v>
      </c>
      <c r="C3093" s="50" t="s">
        <v>6829</v>
      </c>
      <c r="D3093" s="49" t="str">
        <f>IFERROR(__xludf.DUMMYFUNCTION("""COMPUTED_VALUE"""),"hurt")</f>
        <v>hurt</v>
      </c>
      <c r="E3093" s="49"/>
      <c r="F3093" s="49"/>
      <c r="G3093" s="49"/>
      <c r="H3093" s="54" t="str">
        <f t="shared" si="1"/>
        <v>soap,</v>
      </c>
      <c r="I3093" s="50"/>
      <c r="J3093" s="50"/>
      <c r="K3093" s="50" t="s">
        <v>2850</v>
      </c>
      <c r="L3093" s="49"/>
      <c r="M3093" s="49"/>
      <c r="N3093" s="49"/>
      <c r="O3093" s="49"/>
      <c r="P3093" s="49" t="str">
        <f t="shared" si="2"/>
        <v>,</v>
      </c>
      <c r="Q3093" s="49"/>
      <c r="R3093" s="49"/>
      <c r="S3093" s="55" t="s">
        <v>4566</v>
      </c>
      <c r="T3093" s="49"/>
      <c r="U3093" s="49"/>
      <c r="V3093" s="49"/>
      <c r="W3093" s="49"/>
      <c r="X3093" s="49" t="str">
        <f t="shared" si="3"/>
        <v>,</v>
      </c>
      <c r="Y3093" s="49"/>
      <c r="Z3093" s="49"/>
      <c r="AB3093" s="49"/>
      <c r="AC3093" s="49"/>
      <c r="AD3093" s="49"/>
      <c r="AE3093" s="49"/>
      <c r="AF3093" s="49"/>
      <c r="AG3093" s="49"/>
      <c r="AH3093" s="1" t="s">
        <v>6874</v>
      </c>
      <c r="AI3093" s="1" t="s">
        <v>6950</v>
      </c>
      <c r="AJ3093" s="6" t="str">
        <f>IFERROR(__xludf.DUMMYFUNCTION("""COMPUTED_VALUE"""),"recovery")</f>
        <v>recovery</v>
      </c>
      <c r="AK3093" s="49"/>
      <c r="AL3093" s="49"/>
      <c r="AM3093" s="49"/>
      <c r="AN3093" s="52" t="str">
        <f t="shared" si="5"/>
        <v>garage,</v>
      </c>
      <c r="AP3093" s="49"/>
      <c r="AQ3093" s="49"/>
      <c r="AR3093" s="49"/>
      <c r="AS3093" s="49"/>
      <c r="AT3093" s="49"/>
    </row>
    <row r="3094">
      <c r="A3094" s="51"/>
      <c r="B3094" s="50" t="s">
        <v>6492</v>
      </c>
      <c r="C3094" s="50" t="s">
        <v>3289</v>
      </c>
      <c r="D3094" s="49" t="str">
        <f>IFERROR(__xludf.DUMMYFUNCTION("""COMPUTED_VALUE"""),"teeth")</f>
        <v>teeth</v>
      </c>
      <c r="E3094" s="49"/>
      <c r="F3094" s="49"/>
      <c r="G3094" s="49"/>
      <c r="H3094" s="54" t="str">
        <f t="shared" si="1"/>
        <v>nevertheless,</v>
      </c>
      <c r="I3094" s="50"/>
      <c r="J3094" s="50"/>
      <c r="K3094" s="50" t="s">
        <v>1125</v>
      </c>
      <c r="L3094" s="49"/>
      <c r="M3094" s="49"/>
      <c r="N3094" s="49"/>
      <c r="O3094" s="49"/>
      <c r="P3094" s="49" t="str">
        <f t="shared" si="2"/>
        <v>,</v>
      </c>
      <c r="Q3094" s="49"/>
      <c r="R3094" s="49"/>
      <c r="S3094" s="55" t="s">
        <v>4580</v>
      </c>
      <c r="T3094" s="49"/>
      <c r="U3094" s="49"/>
      <c r="V3094" s="49"/>
      <c r="W3094" s="49"/>
      <c r="X3094" s="49" t="str">
        <f t="shared" si="3"/>
        <v>,</v>
      </c>
      <c r="Y3094" s="49"/>
      <c r="Z3094" s="49"/>
      <c r="AB3094" s="49"/>
      <c r="AC3094" s="49"/>
      <c r="AD3094" s="49"/>
      <c r="AE3094" s="49"/>
      <c r="AF3094" s="49"/>
      <c r="AG3094" s="49"/>
      <c r="AH3094" s="1" t="s">
        <v>1395</v>
      </c>
      <c r="AI3094" s="1" t="s">
        <v>6094</v>
      </c>
      <c r="AJ3094" s="6" t="str">
        <f>IFERROR(__xludf.DUMMYFUNCTION("""COMPUTED_VALUE"""),"photos")</f>
        <v>photos</v>
      </c>
      <c r="AK3094" s="49"/>
      <c r="AL3094" s="49"/>
      <c r="AM3094" s="49"/>
      <c r="AN3094" s="52" t="str">
        <f t="shared" si="5"/>
        <v>warm,</v>
      </c>
      <c r="AP3094" s="49"/>
      <c r="AQ3094" s="49"/>
      <c r="AR3094" s="49"/>
      <c r="AS3094" s="49"/>
      <c r="AT3094" s="49"/>
    </row>
    <row r="3095">
      <c r="A3095" s="51"/>
      <c r="B3095" s="50" t="s">
        <v>2836</v>
      </c>
      <c r="C3095" s="50" t="s">
        <v>5787</v>
      </c>
      <c r="D3095" s="49" t="str">
        <f>IFERROR(__xludf.DUMMYFUNCTION("""COMPUTED_VALUE"""),"angel")</f>
        <v>angel</v>
      </c>
      <c r="E3095" s="49"/>
      <c r="F3095" s="49"/>
      <c r="G3095" s="49"/>
      <c r="H3095" s="54" t="str">
        <f t="shared" si="1"/>
        <v>turkey,</v>
      </c>
      <c r="I3095" s="50"/>
      <c r="J3095" s="50"/>
      <c r="K3095" s="50" t="s">
        <v>5598</v>
      </c>
      <c r="L3095" s="49"/>
      <c r="M3095" s="49"/>
      <c r="N3095" s="49"/>
      <c r="O3095" s="49"/>
      <c r="P3095" s="49" t="str">
        <f t="shared" si="2"/>
        <v>,</v>
      </c>
      <c r="Q3095" s="49"/>
      <c r="R3095" s="49"/>
      <c r="S3095" s="55" t="s">
        <v>3756</v>
      </c>
      <c r="T3095" s="49"/>
      <c r="U3095" s="49"/>
      <c r="V3095" s="49"/>
      <c r="W3095" s="49"/>
      <c r="X3095" s="49" t="str">
        <f t="shared" si="3"/>
        <v>,</v>
      </c>
      <c r="Y3095" s="49"/>
      <c r="Z3095" s="49"/>
      <c r="AB3095" s="49"/>
      <c r="AC3095" s="49"/>
      <c r="AD3095" s="49"/>
      <c r="AE3095" s="49"/>
      <c r="AF3095" s="49"/>
      <c r="AG3095" s="49"/>
      <c r="AH3095" s="1" t="s">
        <v>6469</v>
      </c>
      <c r="AI3095" s="1" t="s">
        <v>1645</v>
      </c>
      <c r="AJ3095" s="6" t="str">
        <f>IFERROR(__xludf.DUMMYFUNCTION("""COMPUTED_VALUE"""),"access")</f>
        <v>access</v>
      </c>
      <c r="AK3095" s="49"/>
      <c r="AL3095" s="49"/>
      <c r="AM3095" s="49"/>
      <c r="AN3095" s="52" t="str">
        <f t="shared" si="5"/>
        <v>strongly,</v>
      </c>
      <c r="AP3095" s="49"/>
      <c r="AQ3095" s="49"/>
      <c r="AR3095" s="49"/>
      <c r="AS3095" s="49"/>
      <c r="AT3095" s="49"/>
    </row>
    <row r="3096">
      <c r="A3096" s="51"/>
      <c r="B3096" s="50" t="s">
        <v>6041</v>
      </c>
      <c r="C3096" s="50" t="s">
        <v>5321</v>
      </c>
      <c r="D3096" s="49" t="str">
        <f>IFERROR(__xludf.DUMMYFUNCTION("""COMPUTED_VALUE"""),"crossed")</f>
        <v>crossed</v>
      </c>
      <c r="E3096" s="49"/>
      <c r="F3096" s="49"/>
      <c r="G3096" s="49"/>
      <c r="H3096" s="54" t="str">
        <f t="shared" si="1"/>
        <v>referred,</v>
      </c>
      <c r="I3096" s="50"/>
      <c r="J3096" s="50"/>
      <c r="K3096" s="50" t="s">
        <v>1849</v>
      </c>
      <c r="L3096" s="49"/>
      <c r="M3096" s="49"/>
      <c r="N3096" s="49"/>
      <c r="O3096" s="49"/>
      <c r="P3096" s="49" t="str">
        <f t="shared" si="2"/>
        <v>,</v>
      </c>
      <c r="Q3096" s="49"/>
      <c r="R3096" s="49"/>
      <c r="S3096" s="55" t="s">
        <v>5517</v>
      </c>
      <c r="T3096" s="49"/>
      <c r="U3096" s="49"/>
      <c r="V3096" s="49"/>
      <c r="W3096" s="49"/>
      <c r="X3096" s="49" t="str">
        <f t="shared" si="3"/>
        <v>,</v>
      </c>
      <c r="Y3096" s="49"/>
      <c r="Z3096" s="49"/>
      <c r="AB3096" s="49"/>
      <c r="AC3096" s="49"/>
      <c r="AD3096" s="49"/>
      <c r="AE3096" s="49"/>
      <c r="AF3096" s="49"/>
      <c r="AG3096" s="49"/>
      <c r="AH3096" s="1" t="s">
        <v>4830</v>
      </c>
      <c r="AI3096" s="1" t="s">
        <v>757</v>
      </c>
      <c r="AJ3096" s="6" t="str">
        <f>IFERROR(__xludf.DUMMYFUNCTION("""COMPUTED_VALUE"""),"emphasis")</f>
        <v>emphasis</v>
      </c>
      <c r="AK3096" s="49"/>
      <c r="AL3096" s="49"/>
      <c r="AM3096" s="49"/>
      <c r="AN3096" s="52" t="str">
        <f t="shared" si="5"/>
        <v>challenges,</v>
      </c>
      <c r="AP3096" s="49"/>
      <c r="AQ3096" s="49"/>
      <c r="AR3096" s="49"/>
      <c r="AS3096" s="49"/>
      <c r="AT3096" s="49"/>
    </row>
    <row r="3097">
      <c r="A3097" s="51"/>
      <c r="B3097" s="50" t="s">
        <v>3832</v>
      </c>
      <c r="C3097" s="50" t="s">
        <v>3642</v>
      </c>
      <c r="D3097" s="49" t="str">
        <f>IFERROR(__xludf.DUMMYFUNCTION("""COMPUTED_VALUE"""),"hey")</f>
        <v>hey</v>
      </c>
      <c r="E3097" s="49"/>
      <c r="F3097" s="49"/>
      <c r="G3097" s="49"/>
      <c r="H3097" s="54" t="str">
        <f t="shared" si="1"/>
        <v>ties,</v>
      </c>
      <c r="I3097" s="50"/>
      <c r="J3097" s="50"/>
      <c r="K3097" s="50" t="s">
        <v>2857</v>
      </c>
      <c r="L3097" s="49"/>
      <c r="M3097" s="49"/>
      <c r="N3097" s="49"/>
      <c r="O3097" s="49"/>
      <c r="P3097" s="49" t="str">
        <f t="shared" si="2"/>
        <v>,</v>
      </c>
      <c r="Q3097" s="49"/>
      <c r="R3097" s="49"/>
      <c r="S3097" s="55" t="s">
        <v>1884</v>
      </c>
      <c r="T3097" s="49"/>
      <c r="U3097" s="49"/>
      <c r="V3097" s="49"/>
      <c r="W3097" s="49"/>
      <c r="X3097" s="49" t="str">
        <f t="shared" si="3"/>
        <v>,</v>
      </c>
      <c r="Y3097" s="49"/>
      <c r="Z3097" s="49"/>
      <c r="AB3097" s="49"/>
      <c r="AC3097" s="49"/>
      <c r="AD3097" s="49"/>
      <c r="AE3097" s="49"/>
      <c r="AF3097" s="49"/>
      <c r="AG3097" s="49"/>
      <c r="AH3097" s="1" t="s">
        <v>4359</v>
      </c>
      <c r="AI3097" s="1" t="s">
        <v>5673</v>
      </c>
      <c r="AJ3097" s="6" t="str">
        <f>IFERROR(__xludf.DUMMYFUNCTION("""COMPUTED_VALUE"""),"surviving")</f>
        <v>surviving</v>
      </c>
      <c r="AK3097" s="49"/>
      <c r="AL3097" s="49"/>
      <c r="AM3097" s="49"/>
      <c r="AN3097" s="52" t="str">
        <f t="shared" si="5"/>
        <v>schedule,</v>
      </c>
      <c r="AP3097" s="49"/>
      <c r="AQ3097" s="49"/>
      <c r="AR3097" s="49"/>
      <c r="AS3097" s="49"/>
      <c r="AT3097" s="49"/>
    </row>
    <row r="3098">
      <c r="A3098" s="51"/>
      <c r="B3098" s="50" t="s">
        <v>3212</v>
      </c>
      <c r="C3098" s="50" t="s">
        <v>4733</v>
      </c>
      <c r="D3098" s="49" t="str">
        <f>IFERROR(__xludf.DUMMYFUNCTION("""COMPUTED_VALUE"""),"united")</f>
        <v>united</v>
      </c>
      <c r="E3098" s="49"/>
      <c r="F3098" s="49"/>
      <c r="G3098" s="49"/>
      <c r="H3098" s="54" t="str">
        <f t="shared" si="1"/>
        <v>colors,</v>
      </c>
      <c r="I3098" s="50"/>
      <c r="J3098" s="50"/>
      <c r="K3098" s="50" t="s">
        <v>2859</v>
      </c>
      <c r="L3098" s="49"/>
      <c r="M3098" s="49"/>
      <c r="N3098" s="49"/>
      <c r="O3098" s="49"/>
      <c r="P3098" s="49" t="str">
        <f t="shared" si="2"/>
        <v>,</v>
      </c>
      <c r="Q3098" s="49"/>
      <c r="R3098" s="49"/>
      <c r="S3098" s="55" t="s">
        <v>1286</v>
      </c>
      <c r="T3098" s="49"/>
      <c r="U3098" s="49"/>
      <c r="V3098" s="49"/>
      <c r="W3098" s="49"/>
      <c r="X3098" s="49" t="str">
        <f t="shared" si="3"/>
        <v>,</v>
      </c>
      <c r="Y3098" s="49"/>
      <c r="Z3098" s="49"/>
      <c r="AB3098" s="49"/>
      <c r="AC3098" s="49"/>
      <c r="AD3098" s="49"/>
      <c r="AE3098" s="49"/>
      <c r="AF3098" s="49"/>
      <c r="AG3098" s="49"/>
      <c r="AH3098" s="1" t="s">
        <v>4610</v>
      </c>
      <c r="AI3098" s="1" t="s">
        <v>5675</v>
      </c>
      <c r="AJ3098" s="6" t="str">
        <f>IFERROR(__xludf.DUMMYFUNCTION("""COMPUTED_VALUE"""),"spaces")</f>
        <v>spaces</v>
      </c>
      <c r="AK3098" s="49"/>
      <c r="AL3098" s="49"/>
      <c r="AM3098" s="49"/>
      <c r="AN3098" s="52" t="str">
        <f t="shared" si="5"/>
        <v>companion,</v>
      </c>
      <c r="AP3098" s="49"/>
      <c r="AQ3098" s="49"/>
      <c r="AR3098" s="49"/>
      <c r="AS3098" s="49"/>
      <c r="AT3098" s="49"/>
    </row>
    <row r="3099">
      <c r="A3099" s="51"/>
      <c r="B3099" s="50" t="s">
        <v>5786</v>
      </c>
      <c r="C3099" s="50" t="s">
        <v>3645</v>
      </c>
      <c r="D3099" s="49" t="str">
        <f>IFERROR(__xludf.DUMMYFUNCTION("""COMPUTED_VALUE"""),"states")</f>
        <v>states</v>
      </c>
      <c r="E3099" s="49"/>
      <c r="F3099" s="49"/>
      <c r="G3099" s="49"/>
      <c r="H3099" s="54" t="str">
        <f t="shared" si="1"/>
        <v>guilt,</v>
      </c>
      <c r="I3099" s="50"/>
      <c r="J3099" s="50"/>
      <c r="K3099" s="50" t="s">
        <v>5601</v>
      </c>
      <c r="L3099" s="49"/>
      <c r="M3099" s="49"/>
      <c r="N3099" s="49"/>
      <c r="O3099" s="49"/>
      <c r="P3099" s="49" t="str">
        <f t="shared" si="2"/>
        <v>,</v>
      </c>
      <c r="Q3099" s="49"/>
      <c r="R3099" s="49"/>
      <c r="S3099" s="55" t="s">
        <v>1760</v>
      </c>
      <c r="T3099" s="49"/>
      <c r="U3099" s="49"/>
      <c r="V3099" s="49"/>
      <c r="W3099" s="49"/>
      <c r="X3099" s="49" t="str">
        <f t="shared" si="3"/>
        <v>,</v>
      </c>
      <c r="Y3099" s="49"/>
      <c r="Z3099" s="49"/>
      <c r="AB3099" s="49"/>
      <c r="AC3099" s="49"/>
      <c r="AD3099" s="49"/>
      <c r="AE3099" s="49"/>
      <c r="AF3099" s="49"/>
      <c r="AG3099" s="49"/>
      <c r="AH3099" s="1" t="s">
        <v>5975</v>
      </c>
      <c r="AI3099" s="1" t="s">
        <v>4541</v>
      </c>
      <c r="AJ3099" s="6" t="str">
        <f>IFERROR(__xludf.DUMMYFUNCTION("""COMPUTED_VALUE"""),"sara")</f>
        <v>sara</v>
      </c>
      <c r="AK3099" s="49"/>
      <c r="AL3099" s="49"/>
      <c r="AM3099" s="49"/>
      <c r="AN3099" s="52" t="str">
        <f t="shared" si="5"/>
        <v>educational,</v>
      </c>
      <c r="AP3099" s="49"/>
      <c r="AQ3099" s="49"/>
      <c r="AR3099" s="49"/>
      <c r="AS3099" s="49"/>
      <c r="AT3099" s="49"/>
    </row>
    <row r="3100">
      <c r="A3100" s="51"/>
      <c r="B3100" s="50" t="s">
        <v>5753</v>
      </c>
      <c r="C3100" s="50" t="s">
        <v>6830</v>
      </c>
      <c r="D3100" s="49">
        <f>IFERROR(__xludf.DUMMYFUNCTION("""COMPUTED_VALUE"""),2001.0)</f>
        <v>2001</v>
      </c>
      <c r="E3100" s="49"/>
      <c r="F3100" s="49"/>
      <c r="G3100" s="49"/>
      <c r="H3100" s="54" t="str">
        <f t="shared" si="1"/>
        <v>climbing,</v>
      </c>
      <c r="I3100" s="50"/>
      <c r="J3100" s="50"/>
      <c r="K3100" s="50" t="s">
        <v>4657</v>
      </c>
      <c r="L3100" s="49"/>
      <c r="M3100" s="49"/>
      <c r="N3100" s="49"/>
      <c r="O3100" s="49"/>
      <c r="P3100" s="49" t="str">
        <f t="shared" si="2"/>
        <v>,</v>
      </c>
      <c r="Q3100" s="49"/>
      <c r="R3100" s="49"/>
      <c r="S3100" s="55" t="s">
        <v>2768</v>
      </c>
      <c r="T3100" s="49"/>
      <c r="U3100" s="49"/>
      <c r="V3100" s="49"/>
      <c r="W3100" s="49"/>
      <c r="X3100" s="49" t="str">
        <f t="shared" si="3"/>
        <v>,</v>
      </c>
      <c r="Y3100" s="49"/>
      <c r="Z3100" s="49"/>
      <c r="AB3100" s="49"/>
      <c r="AC3100" s="49"/>
      <c r="AD3100" s="49"/>
      <c r="AE3100" s="49"/>
      <c r="AF3100" s="49"/>
      <c r="AG3100" s="49"/>
      <c r="AH3100" s="1">
        <v>1975.0</v>
      </c>
      <c r="AI3100" s="1" t="s">
        <v>6951</v>
      </c>
      <c r="AJ3100" s="6" t="str">
        <f>IFERROR(__xludf.DUMMYFUNCTION("""COMPUTED_VALUE"""),"characterized")</f>
        <v>characterized</v>
      </c>
      <c r="AK3100" s="49"/>
      <c r="AL3100" s="49"/>
      <c r="AM3100" s="49"/>
      <c r="AN3100" s="52" t="str">
        <f t="shared" si="5"/>
        <v>1975,</v>
      </c>
      <c r="AP3100" s="49"/>
      <c r="AQ3100" s="49"/>
      <c r="AR3100" s="49"/>
      <c r="AS3100" s="49"/>
      <c r="AT3100" s="49"/>
    </row>
    <row r="3101">
      <c r="A3101" s="51"/>
      <c r="B3101" s="50" t="s">
        <v>2880</v>
      </c>
      <c r="C3101" s="50" t="s">
        <v>3766</v>
      </c>
      <c r="D3101" s="49" t="str">
        <f>IFERROR(__xludf.DUMMYFUNCTION("""COMPUTED_VALUE"""),"4th")</f>
        <v>4th</v>
      </c>
      <c r="E3101" s="49"/>
      <c r="F3101" s="49"/>
      <c r="G3101" s="49"/>
      <c r="H3101" s="54" t="str">
        <f t="shared" si="1"/>
        <v>returning,</v>
      </c>
      <c r="I3101" s="50"/>
      <c r="J3101" s="50"/>
      <c r="K3101" s="50" t="s">
        <v>5603</v>
      </c>
      <c r="L3101" s="49"/>
      <c r="M3101" s="49"/>
      <c r="N3101" s="49"/>
      <c r="O3101" s="49"/>
      <c r="P3101" s="49" t="str">
        <f t="shared" si="2"/>
        <v>,</v>
      </c>
      <c r="Q3101" s="49"/>
      <c r="R3101" s="49"/>
      <c r="S3101" s="55" t="s">
        <v>5291</v>
      </c>
      <c r="T3101" s="49"/>
      <c r="U3101" s="49"/>
      <c r="V3101" s="49"/>
      <c r="W3101" s="49"/>
      <c r="X3101" s="49" t="str">
        <f t="shared" si="3"/>
        <v>,</v>
      </c>
      <c r="Y3101" s="49"/>
      <c r="Z3101" s="49"/>
      <c r="AB3101" s="49"/>
      <c r="AC3101" s="49"/>
      <c r="AD3101" s="49"/>
      <c r="AE3101" s="49"/>
      <c r="AF3101" s="49"/>
      <c r="AG3101" s="49"/>
      <c r="AH3101" s="1" t="s">
        <v>4195</v>
      </c>
      <c r="AI3101" s="1" t="s">
        <v>6102</v>
      </c>
      <c r="AJ3101" s="6" t="str">
        <f>IFERROR(__xludf.DUMMYFUNCTION("""COMPUTED_VALUE"""),"beaten")</f>
        <v>beaten</v>
      </c>
      <c r="AK3101" s="49"/>
      <c r="AL3101" s="49"/>
      <c r="AM3101" s="49"/>
      <c r="AN3101" s="52" t="str">
        <f t="shared" si="5"/>
        <v>discussion,</v>
      </c>
      <c r="AP3101" s="49"/>
      <c r="AQ3101" s="49"/>
      <c r="AR3101" s="49"/>
      <c r="AS3101" s="49"/>
      <c r="AT3101" s="49"/>
    </row>
    <row r="3102">
      <c r="A3102" s="51"/>
      <c r="B3102" s="50" t="s">
        <v>6367</v>
      </c>
      <c r="C3102" s="50" t="s">
        <v>4128</v>
      </c>
      <c r="D3102" s="49" t="str">
        <f>IFERROR(__xludf.DUMMYFUNCTION("""COMPUTED_VALUE"""),"comments")</f>
        <v>comments</v>
      </c>
      <c r="E3102" s="49"/>
      <c r="F3102" s="49"/>
      <c r="G3102" s="49"/>
      <c r="H3102" s="54" t="str">
        <f t="shared" si="1"/>
        <v>greatly,</v>
      </c>
      <c r="I3102" s="50"/>
      <c r="J3102" s="50"/>
      <c r="K3102" s="50" t="s">
        <v>2863</v>
      </c>
      <c r="L3102" s="49"/>
      <c r="M3102" s="49"/>
      <c r="N3102" s="49"/>
      <c r="O3102" s="49"/>
      <c r="P3102" s="49" t="str">
        <f t="shared" si="2"/>
        <v>,</v>
      </c>
      <c r="Q3102" s="49"/>
      <c r="R3102" s="49"/>
      <c r="S3102" s="55" t="s">
        <v>1371</v>
      </c>
      <c r="T3102" s="49"/>
      <c r="U3102" s="49"/>
      <c r="V3102" s="49"/>
      <c r="W3102" s="49"/>
      <c r="X3102" s="49" t="str">
        <f t="shared" si="3"/>
        <v>,</v>
      </c>
      <c r="Y3102" s="49"/>
      <c r="Z3102" s="49"/>
      <c r="AB3102" s="49"/>
      <c r="AC3102" s="49"/>
      <c r="AD3102" s="49"/>
      <c r="AE3102" s="49"/>
      <c r="AF3102" s="49"/>
      <c r="AG3102" s="49"/>
      <c r="AH3102" s="1" t="s">
        <v>1319</v>
      </c>
      <c r="AI3102" s="1" t="s">
        <v>6952</v>
      </c>
      <c r="AJ3102" s="6" t="str">
        <f>IFERROR(__xludf.DUMMYFUNCTION("""COMPUTED_VALUE"""),"backed")</f>
        <v>backed</v>
      </c>
      <c r="AK3102" s="49"/>
      <c r="AL3102" s="49"/>
      <c r="AM3102" s="49"/>
      <c r="AN3102" s="52" t="str">
        <f t="shared" si="5"/>
        <v>3d,</v>
      </c>
      <c r="AP3102" s="49"/>
      <c r="AQ3102" s="49"/>
      <c r="AR3102" s="49"/>
      <c r="AS3102" s="49"/>
      <c r="AT3102" s="49"/>
    </row>
    <row r="3103">
      <c r="A3103" s="51"/>
      <c r="B3103" s="50" t="s">
        <v>7640</v>
      </c>
      <c r="C3103" s="50" t="s">
        <v>5269</v>
      </c>
      <c r="D3103" s="49" t="str">
        <f>IFERROR(__xludf.DUMMYFUNCTION("""COMPUTED_VALUE"""),"partly")</f>
        <v>partly</v>
      </c>
      <c r="E3103" s="49"/>
      <c r="F3103" s="49"/>
      <c r="G3103" s="49"/>
      <c r="H3103" s="54" t="str">
        <f t="shared" si="1"/>
        <v>lucy,</v>
      </c>
      <c r="I3103" s="50"/>
      <c r="J3103" s="50"/>
      <c r="K3103" s="50" t="s">
        <v>6009</v>
      </c>
      <c r="L3103" s="49"/>
      <c r="M3103" s="49"/>
      <c r="N3103" s="49"/>
      <c r="O3103" s="49"/>
      <c r="P3103" s="49" t="str">
        <f t="shared" si="2"/>
        <v>,</v>
      </c>
      <c r="Q3103" s="49"/>
      <c r="R3103" s="49"/>
      <c r="S3103" s="55" t="s">
        <v>2771</v>
      </c>
      <c r="T3103" s="49"/>
      <c r="U3103" s="49"/>
      <c r="V3103" s="49"/>
      <c r="W3103" s="49"/>
      <c r="X3103" s="49" t="str">
        <f t="shared" si="3"/>
        <v>,</v>
      </c>
      <c r="Y3103" s="49"/>
      <c r="Z3103" s="49"/>
      <c r="AB3103" s="49"/>
      <c r="AC3103" s="49"/>
      <c r="AD3103" s="49"/>
      <c r="AE3103" s="49"/>
      <c r="AF3103" s="49"/>
      <c r="AG3103" s="49"/>
      <c r="AH3103" s="1" t="s">
        <v>439</v>
      </c>
      <c r="AI3103" s="1" t="s">
        <v>6953</v>
      </c>
      <c r="AJ3103" s="6" t="str">
        <f>IFERROR(__xludf.DUMMYFUNCTION("""COMPUTED_VALUE"""),"khan")</f>
        <v>khan</v>
      </c>
      <c r="AK3103" s="49"/>
      <c r="AL3103" s="49"/>
      <c r="AM3103" s="49"/>
      <c r="AN3103" s="52" t="str">
        <f t="shared" si="5"/>
        <v>wildlife,</v>
      </c>
      <c r="AP3103" s="49"/>
      <c r="AQ3103" s="49"/>
      <c r="AR3103" s="49"/>
      <c r="AS3103" s="49"/>
      <c r="AT3103" s="49"/>
    </row>
    <row r="3104">
      <c r="A3104" s="51"/>
      <c r="B3104" s="50" t="s">
        <v>2223</v>
      </c>
      <c r="C3104" s="50" t="s">
        <v>5937</v>
      </c>
      <c r="D3104" s="49" t="str">
        <f>IFERROR(__xludf.DUMMYFUNCTION("""COMPUTED_VALUE"""),"carl")</f>
        <v>carl</v>
      </c>
      <c r="E3104" s="49"/>
      <c r="F3104" s="49"/>
      <c r="G3104" s="49"/>
      <c r="H3104" s="54" t="str">
        <f t="shared" si="1"/>
        <v>martha,</v>
      </c>
      <c r="I3104" s="50"/>
      <c r="J3104" s="50"/>
      <c r="K3104" s="50" t="s">
        <v>4660</v>
      </c>
      <c r="L3104" s="49"/>
      <c r="M3104" s="49"/>
      <c r="N3104" s="49"/>
      <c r="O3104" s="49"/>
      <c r="P3104" s="49" t="str">
        <f t="shared" si="2"/>
        <v>,</v>
      </c>
      <c r="Q3104" s="49"/>
      <c r="R3104" s="49"/>
      <c r="S3104" s="55" t="s">
        <v>1401</v>
      </c>
      <c r="T3104" s="49"/>
      <c r="U3104" s="49"/>
      <c r="V3104" s="49"/>
      <c r="W3104" s="49"/>
      <c r="X3104" s="49" t="str">
        <f t="shared" si="3"/>
        <v>,</v>
      </c>
      <c r="Y3104" s="49"/>
      <c r="Z3104" s="49"/>
      <c r="AB3104" s="49"/>
      <c r="AC3104" s="49"/>
      <c r="AD3104" s="49"/>
      <c r="AE3104" s="49"/>
      <c r="AF3104" s="49"/>
      <c r="AG3104" s="49"/>
      <c r="AH3104" s="1" t="s">
        <v>1932</v>
      </c>
      <c r="AI3104" s="1" t="s">
        <v>6954</v>
      </c>
      <c r="AJ3104" s="6" t="str">
        <f>IFERROR(__xludf.DUMMYFUNCTION("""COMPUTED_VALUE"""),"parties")</f>
        <v>parties</v>
      </c>
      <c r="AK3104" s="49"/>
      <c r="AL3104" s="49"/>
      <c r="AM3104" s="49"/>
      <c r="AN3104" s="52" t="str">
        <f t="shared" si="5"/>
        <v>error,</v>
      </c>
      <c r="AP3104" s="49"/>
      <c r="AQ3104" s="49"/>
      <c r="AR3104" s="49"/>
      <c r="AS3104" s="49"/>
      <c r="AT3104" s="49"/>
    </row>
    <row r="3105">
      <c r="A3105" s="51"/>
      <c r="B3105" s="50" t="s">
        <v>6694</v>
      </c>
      <c r="C3105" s="50" t="s">
        <v>5793</v>
      </c>
      <c r="D3105" s="49" t="str">
        <f>IFERROR(__xludf.DUMMYFUNCTION("""COMPUTED_VALUE"""),"actual")</f>
        <v>actual</v>
      </c>
      <c r="E3105" s="49"/>
      <c r="F3105" s="49"/>
      <c r="G3105" s="49"/>
      <c r="H3105" s="54" t="str">
        <f t="shared" si="1"/>
        <v>agreed,</v>
      </c>
      <c r="I3105" s="50"/>
      <c r="J3105" s="50"/>
      <c r="K3105" s="50" t="s">
        <v>5102</v>
      </c>
      <c r="L3105" s="49"/>
      <c r="M3105" s="49"/>
      <c r="N3105" s="49"/>
      <c r="O3105" s="49"/>
      <c r="P3105" s="49" t="str">
        <f t="shared" si="2"/>
        <v>,</v>
      </c>
      <c r="Q3105" s="49"/>
      <c r="R3105" s="49"/>
      <c r="S3105" s="55" t="s">
        <v>2780</v>
      </c>
      <c r="T3105" s="49"/>
      <c r="U3105" s="49"/>
      <c r="V3105" s="49"/>
      <c r="W3105" s="49"/>
      <c r="X3105" s="49" t="str">
        <f t="shared" si="3"/>
        <v>,</v>
      </c>
      <c r="Y3105" s="49"/>
      <c r="Z3105" s="49"/>
      <c r="AB3105" s="49"/>
      <c r="AC3105" s="49"/>
      <c r="AD3105" s="49"/>
      <c r="AE3105" s="49"/>
      <c r="AF3105" s="49"/>
      <c r="AG3105" s="49"/>
      <c r="AH3105" s="1" t="s">
        <v>5862</v>
      </c>
      <c r="AI3105" s="1" t="s">
        <v>6955</v>
      </c>
      <c r="AJ3105" s="6" t="str">
        <f>IFERROR(__xludf.DUMMYFUNCTION("""COMPUTED_VALUE"""),"wallace")</f>
        <v>wallace</v>
      </c>
      <c r="AK3105" s="49"/>
      <c r="AL3105" s="49"/>
      <c r="AM3105" s="49"/>
      <c r="AN3105" s="52" t="str">
        <f t="shared" si="5"/>
        <v>trials,</v>
      </c>
      <c r="AP3105" s="49"/>
      <c r="AQ3105" s="49"/>
      <c r="AR3105" s="49"/>
      <c r="AS3105" s="49"/>
      <c r="AT3105" s="49"/>
    </row>
    <row r="3106">
      <c r="A3106" s="51"/>
      <c r="B3106" s="50" t="s">
        <v>3861</v>
      </c>
      <c r="C3106" s="50" t="s">
        <v>2495</v>
      </c>
      <c r="D3106" s="49" t="str">
        <f>IFERROR(__xludf.DUMMYFUNCTION("""COMPUTED_VALUE"""),"jon")</f>
        <v>jon</v>
      </c>
      <c r="E3106" s="49"/>
      <c r="F3106" s="49"/>
      <c r="G3106" s="49"/>
      <c r="H3106" s="54" t="str">
        <f t="shared" si="1"/>
        <v>reid,</v>
      </c>
      <c r="I3106" s="50"/>
      <c r="J3106" s="50"/>
      <c r="K3106" s="50" t="s">
        <v>3829</v>
      </c>
      <c r="L3106" s="49"/>
      <c r="M3106" s="49"/>
      <c r="N3106" s="49"/>
      <c r="O3106" s="49"/>
      <c r="P3106" s="49" t="str">
        <f t="shared" si="2"/>
        <v>,</v>
      </c>
      <c r="Q3106" s="49"/>
      <c r="R3106" s="49"/>
      <c r="S3106" s="55" t="s">
        <v>3771</v>
      </c>
      <c r="T3106" s="49"/>
      <c r="U3106" s="49"/>
      <c r="V3106" s="49"/>
      <c r="W3106" s="49"/>
      <c r="X3106" s="49" t="str">
        <f t="shared" si="3"/>
        <v>,</v>
      </c>
      <c r="Y3106" s="49"/>
      <c r="Z3106" s="49"/>
      <c r="AB3106" s="49"/>
      <c r="AC3106" s="49"/>
      <c r="AD3106" s="49"/>
      <c r="AE3106" s="49"/>
      <c r="AF3106" s="49"/>
      <c r="AG3106" s="49"/>
      <c r="AH3106" s="1" t="s">
        <v>3204</v>
      </c>
      <c r="AI3106" s="1" t="s">
        <v>1808</v>
      </c>
      <c r="AJ3106" s="6" t="str">
        <f>IFERROR(__xludf.DUMMYFUNCTION("""COMPUTED_VALUE"""),"messages")</f>
        <v>messages</v>
      </c>
      <c r="AK3106" s="49"/>
      <c r="AL3106" s="49"/>
      <c r="AM3106" s="49"/>
      <c r="AN3106" s="52" t="str">
        <f t="shared" si="5"/>
        <v>glass,</v>
      </c>
      <c r="AP3106" s="49"/>
      <c r="AQ3106" s="49"/>
      <c r="AR3106" s="49"/>
      <c r="AS3106" s="49"/>
      <c r="AT3106" s="49"/>
    </row>
    <row r="3107">
      <c r="A3107" s="51"/>
      <c r="B3107" s="50" t="s">
        <v>6090</v>
      </c>
      <c r="C3107" s="50" t="s">
        <v>5332</v>
      </c>
      <c r="D3107" s="49" t="str">
        <f>IFERROR(__xludf.DUMMYFUNCTION("""COMPUTED_VALUE"""),"miller")</f>
        <v>miller</v>
      </c>
      <c r="E3107" s="49"/>
      <c r="F3107" s="49"/>
      <c r="G3107" s="49"/>
      <c r="H3107" s="54" t="str">
        <f t="shared" si="1"/>
        <v>throat,</v>
      </c>
      <c r="I3107" s="50"/>
      <c r="J3107" s="50"/>
      <c r="K3107" s="50" t="s">
        <v>2867</v>
      </c>
      <c r="L3107" s="49"/>
      <c r="M3107" s="49"/>
      <c r="N3107" s="49"/>
      <c r="O3107" s="49"/>
      <c r="P3107" s="49" t="str">
        <f t="shared" si="2"/>
        <v>,</v>
      </c>
      <c r="Q3107" s="49"/>
      <c r="R3107" s="49"/>
      <c r="S3107" s="55" t="s">
        <v>3769</v>
      </c>
      <c r="T3107" s="49"/>
      <c r="U3107" s="49"/>
      <c r="V3107" s="49"/>
      <c r="W3107" s="49"/>
      <c r="X3107" s="49" t="str">
        <f t="shared" si="3"/>
        <v>,</v>
      </c>
      <c r="Y3107" s="49"/>
      <c r="Z3107" s="49"/>
      <c r="AB3107" s="49"/>
      <c r="AC3107" s="49"/>
      <c r="AD3107" s="49"/>
      <c r="AE3107" s="49"/>
      <c r="AF3107" s="49"/>
      <c r="AG3107" s="49"/>
      <c r="AH3107" s="1" t="s">
        <v>4655</v>
      </c>
      <c r="AI3107" s="1" t="s">
        <v>4052</v>
      </c>
      <c r="AJ3107" s="6" t="str">
        <f>IFERROR(__xludf.DUMMYFUNCTION("""COMPUTED_VALUE"""),"traditions")</f>
        <v>traditions</v>
      </c>
      <c r="AK3107" s="49"/>
      <c r="AL3107" s="49"/>
      <c r="AM3107" s="49"/>
      <c r="AN3107" s="52" t="str">
        <f t="shared" si="5"/>
        <v>gap,</v>
      </c>
      <c r="AP3107" s="49"/>
      <c r="AQ3107" s="49"/>
      <c r="AR3107" s="49"/>
      <c r="AS3107" s="49"/>
      <c r="AT3107" s="49"/>
    </row>
    <row r="3108">
      <c r="A3108" s="51"/>
      <c r="B3108" s="50" t="s">
        <v>6733</v>
      </c>
      <c r="C3108" s="50" t="s">
        <v>548</v>
      </c>
      <c r="D3108" s="49" t="str">
        <f>IFERROR(__xludf.DUMMYFUNCTION("""COMPUTED_VALUE"""),"dad")</f>
        <v>dad</v>
      </c>
      <c r="E3108" s="49"/>
      <c r="F3108" s="49"/>
      <c r="G3108" s="49"/>
      <c r="H3108" s="54" t="str">
        <f t="shared" si="1"/>
        <v>medicine,</v>
      </c>
      <c r="I3108" s="50"/>
      <c r="J3108" s="50"/>
      <c r="K3108" s="50" t="s">
        <v>5611</v>
      </c>
      <c r="L3108" s="49"/>
      <c r="M3108" s="49"/>
      <c r="N3108" s="49"/>
      <c r="O3108" s="49"/>
      <c r="P3108" s="49" t="str">
        <f t="shared" si="2"/>
        <v>,</v>
      </c>
      <c r="Q3108" s="49"/>
      <c r="R3108" s="49"/>
      <c r="S3108" s="55" t="s">
        <v>1373</v>
      </c>
      <c r="T3108" s="49"/>
      <c r="U3108" s="49"/>
      <c r="V3108" s="49"/>
      <c r="W3108" s="49"/>
      <c r="X3108" s="49" t="str">
        <f t="shared" si="3"/>
        <v>,</v>
      </c>
      <c r="Y3108" s="49"/>
      <c r="Z3108" s="49"/>
      <c r="AB3108" s="49"/>
      <c r="AC3108" s="49"/>
      <c r="AD3108" s="49"/>
      <c r="AE3108" s="49"/>
      <c r="AF3108" s="49"/>
      <c r="AG3108" s="49"/>
      <c r="AH3108" s="1" t="s">
        <v>6752</v>
      </c>
      <c r="AI3108" s="1" t="s">
        <v>6041</v>
      </c>
      <c r="AJ3108" s="6" t="str">
        <f>IFERROR(__xludf.DUMMYFUNCTION("""COMPUTED_VALUE"""),"goals")</f>
        <v>goals</v>
      </c>
      <c r="AK3108" s="49"/>
      <c r="AL3108" s="49"/>
      <c r="AM3108" s="49"/>
      <c r="AN3108" s="52" t="str">
        <f t="shared" si="5"/>
        <v>josh,</v>
      </c>
      <c r="AP3108" s="49"/>
      <c r="AQ3108" s="49"/>
      <c r="AR3108" s="49"/>
      <c r="AS3108" s="49"/>
      <c r="AT3108" s="49"/>
    </row>
    <row r="3109">
      <c r="A3109" s="51"/>
      <c r="B3109" s="50" t="s">
        <v>2938</v>
      </c>
      <c r="C3109" s="50" t="s">
        <v>6834</v>
      </c>
      <c r="D3109" s="49" t="str">
        <f>IFERROR(__xludf.DUMMYFUNCTION("""COMPUTED_VALUE"""),"suppose")</f>
        <v>suppose</v>
      </c>
      <c r="E3109" s="49"/>
      <c r="F3109" s="49"/>
      <c r="G3109" s="49"/>
      <c r="H3109" s="54" t="str">
        <f t="shared" si="1"/>
        <v>ethan,</v>
      </c>
      <c r="I3109" s="50"/>
      <c r="J3109" s="50"/>
      <c r="K3109" s="50" t="s">
        <v>1689</v>
      </c>
      <c r="L3109" s="49"/>
      <c r="M3109" s="49"/>
      <c r="N3109" s="49"/>
      <c r="O3109" s="49"/>
      <c r="P3109" s="49" t="str">
        <f t="shared" si="2"/>
        <v>,</v>
      </c>
      <c r="Q3109" s="49"/>
      <c r="R3109" s="49"/>
      <c r="S3109" s="55" t="s">
        <v>4804</v>
      </c>
      <c r="T3109" s="49"/>
      <c r="U3109" s="49"/>
      <c r="V3109" s="49"/>
      <c r="W3109" s="49"/>
      <c r="X3109" s="49" t="str">
        <f t="shared" si="3"/>
        <v>,</v>
      </c>
      <c r="Y3109" s="49"/>
      <c r="Z3109" s="49"/>
      <c r="AB3109" s="49"/>
      <c r="AC3109" s="49"/>
      <c r="AD3109" s="49"/>
      <c r="AE3109" s="49"/>
      <c r="AF3109" s="49"/>
      <c r="AG3109" s="49"/>
      <c r="AH3109" s="1" t="s">
        <v>5516</v>
      </c>
      <c r="AI3109" s="1" t="s">
        <v>6956</v>
      </c>
      <c r="AJ3109" s="6" t="str">
        <f>IFERROR(__xludf.DUMMYFUNCTION("""COMPUTED_VALUE"""),"limit")</f>
        <v>limit</v>
      </c>
      <c r="AK3109" s="49"/>
      <c r="AL3109" s="49"/>
      <c r="AM3109" s="49"/>
      <c r="AN3109" s="52" t="str">
        <f t="shared" si="5"/>
        <v>sought,</v>
      </c>
      <c r="AP3109" s="49"/>
      <c r="AQ3109" s="49"/>
      <c r="AR3109" s="49"/>
      <c r="AS3109" s="49"/>
      <c r="AT3109" s="49"/>
    </row>
    <row r="3110">
      <c r="A3110" s="51"/>
      <c r="B3110" s="50" t="s">
        <v>2150</v>
      </c>
      <c r="C3110" s="50" t="s">
        <v>5767</v>
      </c>
      <c r="D3110" s="49" t="str">
        <f>IFERROR(__xludf.DUMMYFUNCTION("""COMPUTED_VALUE"""),"zhang")</f>
        <v>zhang</v>
      </c>
      <c r="E3110" s="49"/>
      <c r="F3110" s="49"/>
      <c r="G3110" s="49"/>
      <c r="H3110" s="54" t="str">
        <f t="shared" si="1"/>
        <v>address,</v>
      </c>
      <c r="I3110" s="50"/>
      <c r="J3110" s="50"/>
      <c r="K3110" s="50" t="s">
        <v>4559</v>
      </c>
      <c r="L3110" s="49"/>
      <c r="M3110" s="49"/>
      <c r="N3110" s="49"/>
      <c r="O3110" s="49"/>
      <c r="P3110" s="49" t="str">
        <f t="shared" si="2"/>
        <v>,</v>
      </c>
      <c r="Q3110" s="49"/>
      <c r="R3110" s="49"/>
      <c r="S3110" s="55" t="s">
        <v>1566</v>
      </c>
      <c r="T3110" s="49"/>
      <c r="U3110" s="49"/>
      <c r="V3110" s="49"/>
      <c r="W3110" s="49"/>
      <c r="X3110" s="49" t="str">
        <f t="shared" si="3"/>
        <v>,</v>
      </c>
      <c r="Y3110" s="49"/>
      <c r="Z3110" s="49"/>
      <c r="AB3110" s="49"/>
      <c r="AC3110" s="49"/>
      <c r="AD3110" s="49"/>
      <c r="AE3110" s="49"/>
      <c r="AF3110" s="49"/>
      <c r="AG3110" s="49"/>
      <c r="AH3110" s="1" t="s">
        <v>1645</v>
      </c>
      <c r="AI3110" s="1">
        <v>1957.0</v>
      </c>
      <c r="AJ3110" s="6" t="str">
        <f>IFERROR(__xludf.DUMMYFUNCTION("""COMPUTED_VALUE"""),"smaller")</f>
        <v>smaller</v>
      </c>
      <c r="AK3110" s="49"/>
      <c r="AL3110" s="49"/>
      <c r="AM3110" s="49"/>
      <c r="AN3110" s="52" t="str">
        <f t="shared" si="5"/>
        <v>welsh,</v>
      </c>
      <c r="AP3110" s="49"/>
      <c r="AQ3110" s="49"/>
      <c r="AR3110" s="49"/>
      <c r="AS3110" s="49"/>
      <c r="AT3110" s="49"/>
    </row>
    <row r="3111">
      <c r="A3111" s="51"/>
      <c r="B3111" s="50" t="s">
        <v>7673</v>
      </c>
      <c r="C3111" s="50" t="s">
        <v>6957</v>
      </c>
      <c r="D3111" s="49" t="str">
        <f>IFERROR(__xludf.DUMMYFUNCTION("""COMPUTED_VALUE"""),"southern")</f>
        <v>southern</v>
      </c>
      <c r="E3111" s="49"/>
      <c r="F3111" s="49"/>
      <c r="G3111" s="49"/>
      <c r="H3111" s="54" t="str">
        <f t="shared" si="1"/>
        <v>mail,</v>
      </c>
      <c r="I3111" s="50"/>
      <c r="J3111" s="50"/>
      <c r="K3111" s="50" t="s">
        <v>5614</v>
      </c>
      <c r="L3111" s="49"/>
      <c r="M3111" s="49"/>
      <c r="N3111" s="49"/>
      <c r="O3111" s="49"/>
      <c r="P3111" s="49" t="str">
        <f t="shared" si="2"/>
        <v>,</v>
      </c>
      <c r="Q3111" s="49"/>
      <c r="R3111" s="49"/>
      <c r="S3111" s="55" t="s">
        <v>1572</v>
      </c>
      <c r="T3111" s="49"/>
      <c r="U3111" s="49"/>
      <c r="V3111" s="49"/>
      <c r="W3111" s="49"/>
      <c r="X3111" s="49" t="str">
        <f t="shared" si="3"/>
        <v>,</v>
      </c>
      <c r="Y3111" s="49"/>
      <c r="Z3111" s="49"/>
      <c r="AB3111" s="49"/>
      <c r="AC3111" s="49"/>
      <c r="AD3111" s="49"/>
      <c r="AE3111" s="49"/>
      <c r="AF3111" s="49"/>
      <c r="AG3111" s="49"/>
      <c r="AH3111" s="1" t="s">
        <v>5978</v>
      </c>
      <c r="AI3111" s="1" t="s">
        <v>6958</v>
      </c>
      <c r="AJ3111" s="6" t="str">
        <f>IFERROR(__xludf.DUMMYFUNCTION("""COMPUTED_VALUE"""),"strategic")</f>
        <v>strategic</v>
      </c>
      <c r="AK3111" s="49"/>
      <c r="AL3111" s="49"/>
      <c r="AM3111" s="49"/>
      <c r="AN3111" s="52" t="str">
        <f t="shared" si="5"/>
        <v>filming,</v>
      </c>
      <c r="AP3111" s="49"/>
      <c r="AQ3111" s="49"/>
      <c r="AR3111" s="49"/>
      <c r="AS3111" s="49"/>
      <c r="AT3111" s="49"/>
    </row>
    <row r="3112">
      <c r="A3112" s="51"/>
      <c r="B3112" s="50" t="s">
        <v>6359</v>
      </c>
      <c r="C3112" s="50" t="s">
        <v>4091</v>
      </c>
      <c r="D3112" s="49" t="str">
        <f>IFERROR(__xludf.DUMMYFUNCTION("""COMPUTED_VALUE"""),"learned")</f>
        <v>learned</v>
      </c>
      <c r="E3112" s="49"/>
      <c r="F3112" s="49"/>
      <c r="G3112" s="49"/>
      <c r="H3112" s="54" t="str">
        <f t="shared" si="1"/>
        <v>honestly,</v>
      </c>
      <c r="I3112" s="50"/>
      <c r="J3112" s="50"/>
      <c r="K3112" s="50" t="s">
        <v>1907</v>
      </c>
      <c r="L3112" s="49"/>
      <c r="M3112" s="49"/>
      <c r="N3112" s="49"/>
      <c r="O3112" s="49"/>
      <c r="P3112" s="49" t="str">
        <f t="shared" si="2"/>
        <v>,</v>
      </c>
      <c r="Q3112" s="49"/>
      <c r="R3112" s="49"/>
      <c r="S3112" s="55" t="s">
        <v>3688</v>
      </c>
      <c r="T3112" s="49"/>
      <c r="U3112" s="49"/>
      <c r="V3112" s="49"/>
      <c r="W3112" s="49"/>
      <c r="X3112" s="49" t="str">
        <f t="shared" si="3"/>
        <v>,</v>
      </c>
      <c r="Y3112" s="49"/>
      <c r="Z3112" s="49"/>
      <c r="AB3112" s="49"/>
      <c r="AC3112" s="49"/>
      <c r="AD3112" s="49"/>
      <c r="AE3112" s="49"/>
      <c r="AF3112" s="49"/>
      <c r="AG3112" s="49"/>
      <c r="AH3112" s="1" t="s">
        <v>1807</v>
      </c>
      <c r="AI3112" s="1">
        <v>72.0</v>
      </c>
      <c r="AJ3112" s="6" t="str">
        <f>IFERROR(__xludf.DUMMYFUNCTION("""COMPUTED_VALUE"""),"fields")</f>
        <v>fields</v>
      </c>
      <c r="AK3112" s="49"/>
      <c r="AL3112" s="49"/>
      <c r="AM3112" s="49"/>
      <c r="AN3112" s="52" t="str">
        <f t="shared" si="5"/>
        <v>shirt,</v>
      </c>
      <c r="AP3112" s="49"/>
      <c r="AQ3112" s="49"/>
      <c r="AR3112" s="49"/>
      <c r="AS3112" s="49"/>
      <c r="AT3112" s="49"/>
    </row>
    <row r="3113">
      <c r="A3113" s="51"/>
      <c r="B3113" s="50" t="s">
        <v>6001</v>
      </c>
      <c r="C3113" s="50" t="s">
        <v>3653</v>
      </c>
      <c r="D3113" s="49" t="str">
        <f>IFERROR(__xludf.DUMMYFUNCTION("""COMPUTED_VALUE"""),"building")</f>
        <v>building</v>
      </c>
      <c r="E3113" s="49"/>
      <c r="F3113" s="49"/>
      <c r="G3113" s="49"/>
      <c r="H3113" s="54" t="str">
        <f t="shared" si="1"/>
        <v>loving,</v>
      </c>
      <c r="I3113" s="50"/>
      <c r="J3113" s="50"/>
      <c r="K3113" s="50" t="s">
        <v>6011</v>
      </c>
      <c r="L3113" s="49"/>
      <c r="M3113" s="49"/>
      <c r="N3113" s="49"/>
      <c r="O3113" s="49"/>
      <c r="P3113" s="49" t="str">
        <f t="shared" si="2"/>
        <v>,</v>
      </c>
      <c r="Q3113" s="49"/>
      <c r="R3113" s="49"/>
      <c r="S3113" s="55">
        <v>1952.0</v>
      </c>
      <c r="T3113" s="49"/>
      <c r="U3113" s="49"/>
      <c r="V3113" s="49"/>
      <c r="W3113" s="49"/>
      <c r="X3113" s="49" t="str">
        <f t="shared" si="3"/>
        <v>,</v>
      </c>
      <c r="Y3113" s="49"/>
      <c r="Z3113" s="49"/>
      <c r="AB3113" s="49"/>
      <c r="AC3113" s="49"/>
      <c r="AD3113" s="49"/>
      <c r="AE3113" s="49"/>
      <c r="AF3113" s="49"/>
      <c r="AG3113" s="49"/>
      <c r="AH3113" s="1" t="s">
        <v>2979</v>
      </c>
      <c r="AI3113" s="1" t="s">
        <v>6108</v>
      </c>
      <c r="AJ3113" s="6" t="str">
        <f>IFERROR(__xludf.DUMMYFUNCTION("""COMPUTED_VALUE"""),"conditions")</f>
        <v>conditions</v>
      </c>
      <c r="AK3113" s="49"/>
      <c r="AL3113" s="49"/>
      <c r="AM3113" s="49"/>
      <c r="AN3113" s="52" t="str">
        <f t="shared" si="5"/>
        <v>revolutionary,</v>
      </c>
      <c r="AP3113" s="49"/>
      <c r="AQ3113" s="49"/>
      <c r="AR3113" s="49"/>
      <c r="AS3113" s="49"/>
      <c r="AT3113" s="49"/>
    </row>
    <row r="3114">
      <c r="A3114" s="51"/>
      <c r="B3114" s="50" t="s">
        <v>4639</v>
      </c>
      <c r="C3114" s="50" t="s">
        <v>5534</v>
      </c>
      <c r="D3114" s="49" t="str">
        <f>IFERROR(__xludf.DUMMYFUNCTION("""COMPUTED_VALUE"""),"assigned")</f>
        <v>assigned</v>
      </c>
      <c r="E3114" s="49"/>
      <c r="F3114" s="49"/>
      <c r="G3114" s="49"/>
      <c r="H3114" s="54" t="str">
        <f t="shared" si="1"/>
        <v>eventual,</v>
      </c>
      <c r="I3114" s="50"/>
      <c r="J3114" s="50"/>
      <c r="K3114" s="50" t="s">
        <v>6013</v>
      </c>
      <c r="L3114" s="49"/>
      <c r="M3114" s="49"/>
      <c r="N3114" s="49"/>
      <c r="O3114" s="49"/>
      <c r="P3114" s="49" t="str">
        <f t="shared" si="2"/>
        <v>,</v>
      </c>
      <c r="Q3114" s="49"/>
      <c r="R3114" s="49"/>
      <c r="S3114" s="55" t="s">
        <v>5531</v>
      </c>
      <c r="T3114" s="49"/>
      <c r="U3114" s="49"/>
      <c r="V3114" s="49"/>
      <c r="W3114" s="49"/>
      <c r="X3114" s="49" t="str">
        <f t="shared" si="3"/>
        <v>,</v>
      </c>
      <c r="Y3114" s="49"/>
      <c r="Z3114" s="49"/>
      <c r="AB3114" s="49"/>
      <c r="AC3114" s="49"/>
      <c r="AD3114" s="49"/>
      <c r="AE3114" s="49"/>
      <c r="AF3114" s="49"/>
      <c r="AG3114" s="49"/>
      <c r="AH3114" s="1" t="s">
        <v>1273</v>
      </c>
      <c r="AI3114" s="1" t="s">
        <v>6959</v>
      </c>
      <c r="AJ3114" s="6" t="str">
        <f>IFERROR(__xludf.DUMMYFUNCTION("""COMPUTED_VALUE"""),"policy")</f>
        <v>policy</v>
      </c>
      <c r="AK3114" s="49"/>
      <c r="AL3114" s="49"/>
      <c r="AM3114" s="49"/>
      <c r="AN3114" s="52" t="str">
        <f t="shared" si="5"/>
        <v>capture,</v>
      </c>
      <c r="AP3114" s="49"/>
      <c r="AQ3114" s="49"/>
      <c r="AR3114" s="49"/>
      <c r="AS3114" s="49"/>
      <c r="AT3114" s="49"/>
    </row>
    <row r="3115">
      <c r="A3115" s="51"/>
      <c r="B3115" s="50" t="s">
        <v>7159</v>
      </c>
      <c r="C3115" s="50" t="s">
        <v>5638</v>
      </c>
      <c r="D3115" s="49" t="str">
        <f>IFERROR(__xludf.DUMMYFUNCTION("""COMPUTED_VALUE"""),"wood")</f>
        <v>wood</v>
      </c>
      <c r="E3115" s="49"/>
      <c r="F3115" s="49"/>
      <c r="G3115" s="49"/>
      <c r="H3115" s="54" t="str">
        <f t="shared" si="1"/>
        <v>ali,</v>
      </c>
      <c r="I3115" s="50"/>
      <c r="J3115" s="50"/>
      <c r="K3115" s="50" t="s">
        <v>1604</v>
      </c>
      <c r="L3115" s="49"/>
      <c r="M3115" s="49"/>
      <c r="N3115" s="49"/>
      <c r="O3115" s="49"/>
      <c r="P3115" s="49" t="str">
        <f t="shared" si="2"/>
        <v>,</v>
      </c>
      <c r="Q3115" s="49"/>
      <c r="R3115" s="49"/>
      <c r="S3115" s="55" t="s">
        <v>6038</v>
      </c>
      <c r="T3115" s="49"/>
      <c r="U3115" s="49"/>
      <c r="V3115" s="49"/>
      <c r="W3115" s="49"/>
      <c r="X3115" s="49" t="str">
        <f t="shared" si="3"/>
        <v>,</v>
      </c>
      <c r="Y3115" s="49"/>
      <c r="Z3115" s="49"/>
      <c r="AB3115" s="49"/>
      <c r="AC3115" s="49"/>
      <c r="AD3115" s="49"/>
      <c r="AE3115" s="49"/>
      <c r="AF3115" s="49"/>
      <c r="AG3115" s="49"/>
      <c r="AH3115" s="1" t="s">
        <v>3085</v>
      </c>
      <c r="AI3115" s="1" t="s">
        <v>4910</v>
      </c>
      <c r="AJ3115" s="6" t="str">
        <f>IFERROR(__xludf.DUMMYFUNCTION("""COMPUTED_VALUE"""),"acts")</f>
        <v>acts</v>
      </c>
      <c r="AK3115" s="49"/>
      <c r="AL3115" s="49"/>
      <c r="AM3115" s="49"/>
      <c r="AN3115" s="52" t="str">
        <f t="shared" si="5"/>
        <v>reign,</v>
      </c>
      <c r="AP3115" s="49"/>
      <c r="AQ3115" s="49"/>
      <c r="AR3115" s="49"/>
      <c r="AS3115" s="49"/>
      <c r="AT3115" s="49"/>
    </row>
    <row r="3116">
      <c r="A3116" s="51"/>
      <c r="B3116" s="50" t="s">
        <v>2689</v>
      </c>
      <c r="C3116" s="50" t="s">
        <v>1390</v>
      </c>
      <c r="D3116" s="49" t="str">
        <f>IFERROR(__xludf.DUMMYFUNCTION("""COMPUTED_VALUE"""),"ed")</f>
        <v>ed</v>
      </c>
      <c r="E3116" s="49"/>
      <c r="F3116" s="49"/>
      <c r="G3116" s="49"/>
      <c r="H3116" s="54" t="str">
        <f t="shared" si="1"/>
        <v>equal,</v>
      </c>
      <c r="I3116" s="50"/>
      <c r="J3116" s="50"/>
      <c r="K3116" s="50" t="s">
        <v>2870</v>
      </c>
      <c r="L3116" s="49"/>
      <c r="M3116" s="49"/>
      <c r="N3116" s="49"/>
      <c r="O3116" s="49"/>
      <c r="P3116" s="49" t="str">
        <f t="shared" si="2"/>
        <v>,</v>
      </c>
      <c r="Q3116" s="49"/>
      <c r="R3116" s="49"/>
      <c r="S3116" s="55" t="s">
        <v>2786</v>
      </c>
      <c r="T3116" s="49"/>
      <c r="U3116" s="49"/>
      <c r="V3116" s="49"/>
      <c r="W3116" s="49"/>
      <c r="X3116" s="49" t="str">
        <f t="shared" si="3"/>
        <v>,</v>
      </c>
      <c r="Y3116" s="49"/>
      <c r="Z3116" s="49"/>
      <c r="AB3116" s="49"/>
      <c r="AC3116" s="49"/>
      <c r="AD3116" s="49"/>
      <c r="AE3116" s="49"/>
      <c r="AF3116" s="49"/>
      <c r="AG3116" s="49"/>
      <c r="AH3116" s="1" t="s">
        <v>6827</v>
      </c>
      <c r="AI3116" s="1" t="s">
        <v>5689</v>
      </c>
      <c r="AJ3116" s="6" t="str">
        <f>IFERROR(__xludf.DUMMYFUNCTION("""COMPUTED_VALUE"""),"owen")</f>
        <v>owen</v>
      </c>
      <c r="AK3116" s="49"/>
      <c r="AL3116" s="49"/>
      <c r="AM3116" s="49"/>
      <c r="AN3116" s="52" t="str">
        <f t="shared" si="5"/>
        <v>lily,</v>
      </c>
      <c r="AP3116" s="49"/>
      <c r="AQ3116" s="49"/>
      <c r="AR3116" s="49"/>
      <c r="AS3116" s="49"/>
      <c r="AT3116" s="49"/>
    </row>
    <row r="3117">
      <c r="A3117" s="51"/>
      <c r="B3117" s="50" t="s">
        <v>5691</v>
      </c>
      <c r="C3117" s="50" t="s">
        <v>1654</v>
      </c>
      <c r="D3117" s="49" t="str">
        <f>IFERROR(__xludf.DUMMYFUNCTION("""COMPUTED_VALUE"""),"observed")</f>
        <v>observed</v>
      </c>
      <c r="E3117" s="49"/>
      <c r="F3117" s="49"/>
      <c r="G3117" s="49"/>
      <c r="H3117" s="54" t="str">
        <f t="shared" si="1"/>
        <v>definition,</v>
      </c>
      <c r="I3117" s="50"/>
      <c r="J3117" s="50"/>
      <c r="K3117" s="50" t="s">
        <v>3204</v>
      </c>
      <c r="L3117" s="49"/>
      <c r="M3117" s="49"/>
      <c r="N3117" s="49"/>
      <c r="O3117" s="49"/>
      <c r="P3117" s="49" t="str">
        <f t="shared" si="2"/>
        <v>,</v>
      </c>
      <c r="Q3117" s="49"/>
      <c r="R3117" s="49"/>
      <c r="S3117" s="55" t="s">
        <v>5159</v>
      </c>
      <c r="T3117" s="49"/>
      <c r="U3117" s="49"/>
      <c r="V3117" s="49"/>
      <c r="W3117" s="49"/>
      <c r="X3117" s="49" t="str">
        <f t="shared" si="3"/>
        <v>,</v>
      </c>
      <c r="Y3117" s="49"/>
      <c r="Z3117" s="49"/>
      <c r="AB3117" s="49"/>
      <c r="AC3117" s="49"/>
      <c r="AD3117" s="49"/>
      <c r="AE3117" s="49"/>
      <c r="AF3117" s="49"/>
      <c r="AG3117" s="49"/>
      <c r="AH3117" s="1" t="s">
        <v>3822</v>
      </c>
      <c r="AI3117" s="1" t="s">
        <v>5510</v>
      </c>
      <c r="AJ3117" s="6" t="str">
        <f>IFERROR(__xludf.DUMMYFUNCTION("""COMPUTED_VALUE"""),"frozen")</f>
        <v>frozen</v>
      </c>
      <c r="AK3117" s="49"/>
      <c r="AL3117" s="49"/>
      <c r="AM3117" s="49"/>
      <c r="AN3117" s="52" t="str">
        <f t="shared" si="5"/>
        <v>catholic,</v>
      </c>
      <c r="AP3117" s="49"/>
      <c r="AQ3117" s="49"/>
      <c r="AR3117" s="49"/>
      <c r="AS3117" s="49"/>
      <c r="AT3117" s="49"/>
    </row>
    <row r="3118">
      <c r="A3118" s="51"/>
      <c r="B3118" s="50" t="s">
        <v>5451</v>
      </c>
      <c r="C3118" s="50">
        <v>60.0</v>
      </c>
      <c r="D3118" s="49" t="str">
        <f>IFERROR(__xludf.DUMMYFUNCTION("""COMPUTED_VALUE"""),"property")</f>
        <v>property</v>
      </c>
      <c r="E3118" s="49"/>
      <c r="F3118" s="49"/>
      <c r="G3118" s="49"/>
      <c r="H3118" s="54" t="str">
        <f t="shared" si="1"/>
        <v>discovery,</v>
      </c>
      <c r="I3118" s="50"/>
      <c r="J3118" s="50"/>
      <c r="K3118" s="50" t="s">
        <v>6016</v>
      </c>
      <c r="L3118" s="49"/>
      <c r="M3118" s="49"/>
      <c r="N3118" s="49"/>
      <c r="O3118" s="49"/>
      <c r="P3118" s="49" t="str">
        <f t="shared" si="2"/>
        <v>,</v>
      </c>
      <c r="Q3118" s="49"/>
      <c r="R3118" s="49"/>
      <c r="S3118" s="55" t="s">
        <v>5536</v>
      </c>
      <c r="T3118" s="49"/>
      <c r="U3118" s="49"/>
      <c r="V3118" s="49"/>
      <c r="W3118" s="49"/>
      <c r="X3118" s="49" t="str">
        <f t="shared" si="3"/>
        <v>,</v>
      </c>
      <c r="Y3118" s="49"/>
      <c r="Z3118" s="49"/>
      <c r="AB3118" s="49"/>
      <c r="AC3118" s="49"/>
      <c r="AD3118" s="49"/>
      <c r="AE3118" s="49"/>
      <c r="AF3118" s="49"/>
      <c r="AG3118" s="49"/>
      <c r="AH3118" s="1" t="s">
        <v>6933</v>
      </c>
      <c r="AI3118" s="1" t="s">
        <v>4152</v>
      </c>
      <c r="AJ3118" s="6" t="str">
        <f>IFERROR(__xludf.DUMMYFUNCTION("""COMPUTED_VALUE"""),"kissing")</f>
        <v>kissing</v>
      </c>
      <c r="AK3118" s="49"/>
      <c r="AL3118" s="49"/>
      <c r="AM3118" s="49"/>
      <c r="AN3118" s="52" t="str">
        <f t="shared" si="5"/>
        <v>scotland,</v>
      </c>
      <c r="AP3118" s="49"/>
      <c r="AQ3118" s="49"/>
      <c r="AR3118" s="49"/>
      <c r="AS3118" s="49"/>
      <c r="AT3118" s="49"/>
    </row>
    <row r="3119">
      <c r="A3119" s="51"/>
      <c r="B3119" s="50" t="s">
        <v>4075</v>
      </c>
      <c r="C3119" s="50" t="s">
        <v>3658</v>
      </c>
      <c r="D3119" s="49" t="str">
        <f>IFERROR(__xludf.DUMMYFUNCTION("""COMPUTED_VALUE"""),"nails")</f>
        <v>nails</v>
      </c>
      <c r="E3119" s="49"/>
      <c r="F3119" s="49"/>
      <c r="G3119" s="49"/>
      <c r="H3119" s="54" t="str">
        <f t="shared" si="1"/>
        <v>happiness,</v>
      </c>
      <c r="I3119" s="50"/>
      <c r="J3119" s="50"/>
      <c r="K3119" s="50" t="s">
        <v>4664</v>
      </c>
      <c r="L3119" s="49"/>
      <c r="M3119" s="49"/>
      <c r="N3119" s="49"/>
      <c r="O3119" s="49"/>
      <c r="P3119" s="49" t="str">
        <f t="shared" si="2"/>
        <v>,</v>
      </c>
      <c r="Q3119" s="49"/>
      <c r="R3119" s="49"/>
      <c r="S3119" s="55" t="s">
        <v>2790</v>
      </c>
      <c r="T3119" s="49"/>
      <c r="U3119" s="49"/>
      <c r="V3119" s="49"/>
      <c r="W3119" s="49"/>
      <c r="X3119" s="49" t="str">
        <f t="shared" si="3"/>
        <v>,</v>
      </c>
      <c r="Y3119" s="49"/>
      <c r="Z3119" s="49"/>
      <c r="AB3119" s="49"/>
      <c r="AC3119" s="49"/>
      <c r="AD3119" s="49"/>
      <c r="AE3119" s="49"/>
      <c r="AF3119" s="49"/>
      <c r="AG3119" s="49"/>
      <c r="AH3119" s="1" t="s">
        <v>3872</v>
      </c>
      <c r="AI3119" s="1" t="s">
        <v>5073</v>
      </c>
      <c r="AJ3119" s="6" t="str">
        <f>IFERROR(__xludf.DUMMYFUNCTION("""COMPUTED_VALUE"""),"arrangements")</f>
        <v>arrangements</v>
      </c>
      <c r="AK3119" s="49"/>
      <c r="AL3119" s="49"/>
      <c r="AM3119" s="49"/>
      <c r="AN3119" s="52" t="str">
        <f t="shared" si="5"/>
        <v>assigned,</v>
      </c>
      <c r="AP3119" s="49"/>
      <c r="AQ3119" s="49"/>
      <c r="AR3119" s="49"/>
      <c r="AS3119" s="49"/>
      <c r="AT3119" s="49"/>
    </row>
    <row r="3120">
      <c r="A3120" s="51"/>
      <c r="B3120" s="50" t="s">
        <v>4552</v>
      </c>
      <c r="C3120" s="50" t="s">
        <v>6000</v>
      </c>
      <c r="D3120" s="49" t="str">
        <f>IFERROR(__xludf.DUMMYFUNCTION("""COMPUTED_VALUE"""),"lies")</f>
        <v>lies</v>
      </c>
      <c r="E3120" s="49"/>
      <c r="F3120" s="49"/>
      <c r="G3120" s="49"/>
      <c r="H3120" s="54" t="str">
        <f t="shared" si="1"/>
        <v>wash,</v>
      </c>
      <c r="I3120" s="50"/>
      <c r="J3120" s="50"/>
      <c r="K3120" s="50" t="s">
        <v>3843</v>
      </c>
      <c r="L3120" s="49"/>
      <c r="M3120" s="49"/>
      <c r="N3120" s="49"/>
      <c r="O3120" s="49"/>
      <c r="P3120" s="49" t="str">
        <f t="shared" si="2"/>
        <v>,</v>
      </c>
      <c r="Q3120" s="49"/>
      <c r="R3120" s="49"/>
      <c r="S3120" s="55" t="s">
        <v>1890</v>
      </c>
      <c r="T3120" s="49"/>
      <c r="U3120" s="49"/>
      <c r="V3120" s="49"/>
      <c r="W3120" s="49"/>
      <c r="X3120" s="49" t="str">
        <f t="shared" si="3"/>
        <v>,</v>
      </c>
      <c r="Y3120" s="49"/>
      <c r="Z3120" s="49"/>
      <c r="AB3120" s="49"/>
      <c r="AC3120" s="49"/>
      <c r="AD3120" s="49"/>
      <c r="AE3120" s="49"/>
      <c r="AF3120" s="49"/>
      <c r="AG3120" s="49"/>
      <c r="AH3120" s="1" t="s">
        <v>6743</v>
      </c>
      <c r="AI3120" s="1" t="s">
        <v>2345</v>
      </c>
      <c r="AJ3120" s="6" t="str">
        <f>IFERROR(__xludf.DUMMYFUNCTION("""COMPUTED_VALUE"""),"procedure")</f>
        <v>procedure</v>
      </c>
      <c r="AK3120" s="49"/>
      <c r="AL3120" s="49"/>
      <c r="AM3120" s="49"/>
      <c r="AN3120" s="52" t="str">
        <f t="shared" si="5"/>
        <v>shell,</v>
      </c>
      <c r="AP3120" s="49"/>
      <c r="AQ3120" s="49"/>
      <c r="AR3120" s="49"/>
      <c r="AS3120" s="49"/>
      <c r="AT3120" s="49"/>
    </row>
    <row r="3121">
      <c r="A3121" s="51"/>
      <c r="B3121" s="50" t="s">
        <v>4364</v>
      </c>
      <c r="C3121" s="50" t="s">
        <v>6960</v>
      </c>
      <c r="D3121" s="49" t="str">
        <f>IFERROR(__xludf.DUMMYFUNCTION("""COMPUTED_VALUE"""),"backed")</f>
        <v>backed</v>
      </c>
      <c r="E3121" s="49"/>
      <c r="F3121" s="49"/>
      <c r="G3121" s="49"/>
      <c r="H3121" s="54" t="str">
        <f t="shared" si="1"/>
        <v>understanding,</v>
      </c>
      <c r="I3121" s="50"/>
      <c r="J3121" s="50"/>
      <c r="K3121" s="50" t="s">
        <v>1610</v>
      </c>
      <c r="L3121" s="49"/>
      <c r="M3121" s="49"/>
      <c r="N3121" s="49"/>
      <c r="O3121" s="49"/>
      <c r="P3121" s="49" t="str">
        <f t="shared" si="2"/>
        <v>,</v>
      </c>
      <c r="Q3121" s="49"/>
      <c r="R3121" s="49"/>
      <c r="S3121" s="55" t="s">
        <v>5538</v>
      </c>
      <c r="T3121" s="49"/>
      <c r="U3121" s="49"/>
      <c r="V3121" s="49"/>
      <c r="W3121" s="49"/>
      <c r="X3121" s="49" t="str">
        <f t="shared" si="3"/>
        <v>,</v>
      </c>
      <c r="Y3121" s="49"/>
      <c r="Z3121" s="49"/>
      <c r="AB3121" s="49"/>
      <c r="AC3121" s="49"/>
      <c r="AD3121" s="49"/>
      <c r="AE3121" s="49"/>
      <c r="AF3121" s="49"/>
      <c r="AG3121" s="49"/>
      <c r="AH3121" s="1" t="s">
        <v>6476</v>
      </c>
      <c r="AI3121" s="1" t="s">
        <v>6961</v>
      </c>
      <c r="AJ3121" s="6" t="str">
        <f>IFERROR(__xludf.DUMMYFUNCTION("""COMPUTED_VALUE"""),"proposal")</f>
        <v>proposal</v>
      </c>
      <c r="AK3121" s="49"/>
      <c r="AL3121" s="49"/>
      <c r="AM3121" s="49"/>
      <c r="AN3121" s="52" t="str">
        <f t="shared" si="5"/>
        <v>edges,</v>
      </c>
      <c r="AP3121" s="49"/>
      <c r="AQ3121" s="49"/>
      <c r="AR3121" s="49"/>
      <c r="AS3121" s="49"/>
      <c r="AT3121" s="49"/>
    </row>
    <row r="3122">
      <c r="A3122" s="51"/>
      <c r="B3122" s="50" t="s">
        <v>6002</v>
      </c>
      <c r="C3122" s="50" t="s">
        <v>682</v>
      </c>
      <c r="D3122" s="49" t="str">
        <f>IFERROR(__xludf.DUMMYFUNCTION("""COMPUTED_VALUE"""),"became")</f>
        <v>became</v>
      </c>
      <c r="E3122" s="49"/>
      <c r="F3122" s="49"/>
      <c r="G3122" s="49"/>
      <c r="H3122" s="54" t="str">
        <f t="shared" si="1"/>
        <v>vast,</v>
      </c>
      <c r="I3122" s="50"/>
      <c r="J3122" s="50"/>
      <c r="K3122" s="50" t="s">
        <v>2877</v>
      </c>
      <c r="L3122" s="49"/>
      <c r="M3122" s="49"/>
      <c r="N3122" s="49"/>
      <c r="O3122" s="49"/>
      <c r="P3122" s="49" t="str">
        <f t="shared" si="2"/>
        <v>,</v>
      </c>
      <c r="Q3122" s="49"/>
      <c r="R3122" s="49"/>
      <c r="S3122" s="55" t="s">
        <v>4585</v>
      </c>
      <c r="T3122" s="49"/>
      <c r="U3122" s="49"/>
      <c r="V3122" s="49"/>
      <c r="W3122" s="49"/>
      <c r="X3122" s="49" t="str">
        <f t="shared" si="3"/>
        <v>,</v>
      </c>
      <c r="Y3122" s="49"/>
      <c r="Z3122" s="49"/>
      <c r="AB3122" s="49"/>
      <c r="AC3122" s="49"/>
      <c r="AD3122" s="49"/>
      <c r="AE3122" s="49"/>
      <c r="AF3122" s="49"/>
      <c r="AG3122" s="49"/>
      <c r="AH3122" s="1" t="s">
        <v>4097</v>
      </c>
      <c r="AI3122" s="1" t="s">
        <v>6962</v>
      </c>
      <c r="AJ3122" s="6" t="str">
        <f>IFERROR(__xludf.DUMMYFUNCTION("""COMPUTED_VALUE"""),"engaged")</f>
        <v>engaged</v>
      </c>
      <c r="AK3122" s="49"/>
      <c r="AL3122" s="49"/>
      <c r="AM3122" s="49"/>
      <c r="AN3122" s="52" t="str">
        <f t="shared" si="5"/>
        <v>collected,</v>
      </c>
      <c r="AP3122" s="49"/>
      <c r="AQ3122" s="49"/>
      <c r="AR3122" s="49"/>
      <c r="AS3122" s="49"/>
      <c r="AT3122" s="49"/>
    </row>
    <row r="3123">
      <c r="A3123" s="51"/>
      <c r="B3123" s="50" t="s">
        <v>2587</v>
      </c>
      <c r="C3123" s="50" t="s">
        <v>6835</v>
      </c>
      <c r="D3123" s="49" t="str">
        <f>IFERROR(__xludf.DUMMYFUNCTION("""COMPUTED_VALUE"""),"north")</f>
        <v>north</v>
      </c>
      <c r="E3123" s="49"/>
      <c r="F3123" s="49"/>
      <c r="G3123" s="49"/>
      <c r="H3123" s="54" t="str">
        <f t="shared" si="1"/>
        <v>corruption,</v>
      </c>
      <c r="I3123" s="50"/>
      <c r="J3123" s="50"/>
      <c r="K3123" s="50" t="s">
        <v>4669</v>
      </c>
      <c r="L3123" s="49"/>
      <c r="M3123" s="49"/>
      <c r="N3123" s="49"/>
      <c r="O3123" s="49"/>
      <c r="P3123" s="49" t="str">
        <f t="shared" si="2"/>
        <v>,</v>
      </c>
      <c r="Q3123" s="49"/>
      <c r="R3123" s="49"/>
      <c r="S3123" s="55" t="s">
        <v>974</v>
      </c>
      <c r="T3123" s="49"/>
      <c r="U3123" s="49"/>
      <c r="V3123" s="49"/>
      <c r="W3123" s="49"/>
      <c r="X3123" s="49" t="str">
        <f t="shared" si="3"/>
        <v>,</v>
      </c>
      <c r="Y3123" s="49"/>
      <c r="Z3123" s="49"/>
      <c r="AB3123" s="49"/>
      <c r="AC3123" s="49"/>
      <c r="AD3123" s="49"/>
      <c r="AE3123" s="49"/>
      <c r="AF3123" s="49"/>
      <c r="AG3123" s="49"/>
      <c r="AH3123" s="1" t="s">
        <v>4041</v>
      </c>
      <c r="AI3123" s="1" t="s">
        <v>5479</v>
      </c>
      <c r="AJ3123" s="6" t="str">
        <f>IFERROR(__xludf.DUMMYFUNCTION("""COMPUTED_VALUE"""),"classification")</f>
        <v>classification</v>
      </c>
      <c r="AK3123" s="49"/>
      <c r="AL3123" s="49"/>
      <c r="AM3123" s="49"/>
      <c r="AN3123" s="52" t="str">
        <f t="shared" si="5"/>
        <v>exit,</v>
      </c>
      <c r="AP3123" s="49"/>
      <c r="AQ3123" s="49"/>
      <c r="AR3123" s="49"/>
      <c r="AS3123" s="49"/>
      <c r="AT3123" s="49"/>
    </row>
    <row r="3124">
      <c r="A3124" s="51"/>
      <c r="B3124" s="50" t="s">
        <v>7674</v>
      </c>
      <c r="C3124" s="50" t="s">
        <v>3664</v>
      </c>
      <c r="D3124" s="49" t="str">
        <f>IFERROR(__xludf.DUMMYFUNCTION("""COMPUTED_VALUE"""),"surrounding")</f>
        <v>surrounding</v>
      </c>
      <c r="E3124" s="49"/>
      <c r="F3124" s="49"/>
      <c r="G3124" s="49"/>
      <c r="H3124" s="54" t="str">
        <f t="shared" si="1"/>
        <v>arm,</v>
      </c>
      <c r="I3124" s="50"/>
      <c r="J3124" s="50"/>
      <c r="K3124" s="50" t="s">
        <v>1615</v>
      </c>
      <c r="L3124" s="49"/>
      <c r="M3124" s="49"/>
      <c r="N3124" s="49"/>
      <c r="O3124" s="49"/>
      <c r="P3124" s="49" t="str">
        <f t="shared" si="2"/>
        <v>,</v>
      </c>
      <c r="Q3124" s="49"/>
      <c r="R3124" s="49"/>
      <c r="S3124" s="55" t="s">
        <v>2794</v>
      </c>
      <c r="T3124" s="49"/>
      <c r="U3124" s="49"/>
      <c r="V3124" s="49"/>
      <c r="W3124" s="49"/>
      <c r="X3124" s="49" t="str">
        <f t="shared" si="3"/>
        <v>,</v>
      </c>
      <c r="Y3124" s="49"/>
      <c r="Z3124" s="49"/>
      <c r="AB3124" s="49"/>
      <c r="AC3124" s="49"/>
      <c r="AD3124" s="49"/>
      <c r="AE3124" s="49"/>
      <c r="AF3124" s="49"/>
      <c r="AG3124" s="49"/>
      <c r="AH3124" s="1" t="s">
        <v>4317</v>
      </c>
      <c r="AI3124" s="1" t="s">
        <v>3890</v>
      </c>
      <c r="AJ3124" s="6" t="str">
        <f>IFERROR(__xludf.DUMMYFUNCTION("""COMPUTED_VALUE"""),"bread")</f>
        <v>bread</v>
      </c>
      <c r="AK3124" s="49"/>
      <c r="AL3124" s="49"/>
      <c r="AM3124" s="49"/>
      <c r="AN3124" s="52" t="str">
        <f t="shared" si="5"/>
        <v>wound,</v>
      </c>
      <c r="AP3124" s="49"/>
      <c r="AQ3124" s="49"/>
      <c r="AR3124" s="49"/>
      <c r="AS3124" s="49"/>
      <c r="AT3124" s="49"/>
    </row>
    <row r="3125">
      <c r="A3125" s="51"/>
      <c r="B3125" s="50" t="s">
        <v>2716</v>
      </c>
      <c r="C3125" s="50" t="s">
        <v>1813</v>
      </c>
      <c r="D3125" s="49" t="str">
        <f>IFERROR(__xludf.DUMMYFUNCTION("""COMPUTED_VALUE"""),"witness")</f>
        <v>witness</v>
      </c>
      <c r="E3125" s="49"/>
      <c r="F3125" s="49"/>
      <c r="G3125" s="49"/>
      <c r="H3125" s="54" t="str">
        <f t="shared" si="1"/>
        <v>legs,</v>
      </c>
      <c r="I3125" s="50"/>
      <c r="J3125" s="50"/>
      <c r="K3125" s="50" t="s">
        <v>5624</v>
      </c>
      <c r="L3125" s="49"/>
      <c r="M3125" s="49"/>
      <c r="N3125" s="49"/>
      <c r="O3125" s="49"/>
      <c r="P3125" s="49" t="str">
        <f t="shared" si="2"/>
        <v>,</v>
      </c>
      <c r="Q3125" s="49"/>
      <c r="R3125" s="49"/>
      <c r="S3125" s="55" t="s">
        <v>5541</v>
      </c>
      <c r="T3125" s="49"/>
      <c r="U3125" s="49"/>
      <c r="V3125" s="49"/>
      <c r="W3125" s="49"/>
      <c r="X3125" s="49" t="str">
        <f t="shared" si="3"/>
        <v>,</v>
      </c>
      <c r="Y3125" s="49"/>
      <c r="Z3125" s="49"/>
      <c r="AB3125" s="49"/>
      <c r="AC3125" s="49"/>
      <c r="AD3125" s="49"/>
      <c r="AE3125" s="49"/>
      <c r="AF3125" s="49"/>
      <c r="AG3125" s="49"/>
      <c r="AH3125" s="1" t="s">
        <v>4441</v>
      </c>
      <c r="AI3125" s="1" t="s">
        <v>6963</v>
      </c>
      <c r="AJ3125" s="6" t="str">
        <f>IFERROR(__xludf.DUMMYFUNCTION("""COMPUTED_VALUE"""),"wanting")</f>
        <v>wanting</v>
      </c>
      <c r="AK3125" s="49"/>
      <c r="AL3125" s="49"/>
      <c r="AM3125" s="49"/>
      <c r="AN3125" s="52" t="str">
        <f t="shared" si="5"/>
        <v>proud,</v>
      </c>
      <c r="AP3125" s="49"/>
      <c r="AQ3125" s="49"/>
      <c r="AR3125" s="49"/>
      <c r="AS3125" s="49"/>
      <c r="AT3125" s="49"/>
    </row>
    <row r="3126">
      <c r="A3126" s="51"/>
      <c r="B3126" s="50" t="s">
        <v>3533</v>
      </c>
      <c r="C3126" s="50" t="s">
        <v>6836</v>
      </c>
      <c r="D3126" s="49" t="str">
        <f>IFERROR(__xludf.DUMMYFUNCTION("""COMPUTED_VALUE"""),"scientists")</f>
        <v>scientists</v>
      </c>
      <c r="E3126" s="49"/>
      <c r="F3126" s="49"/>
      <c r="G3126" s="49"/>
      <c r="H3126" s="54" t="str">
        <f t="shared" si="1"/>
        <v>knees,</v>
      </c>
      <c r="I3126" s="50"/>
      <c r="J3126" s="50"/>
      <c r="K3126" s="50" t="s">
        <v>1937</v>
      </c>
      <c r="L3126" s="49"/>
      <c r="M3126" s="49"/>
      <c r="N3126" s="49"/>
      <c r="O3126" s="49"/>
      <c r="P3126" s="49" t="str">
        <f t="shared" si="2"/>
        <v>,</v>
      </c>
      <c r="Q3126" s="49"/>
      <c r="R3126" s="49"/>
      <c r="S3126" s="55" t="s">
        <v>5542</v>
      </c>
      <c r="T3126" s="49"/>
      <c r="U3126" s="49"/>
      <c r="V3126" s="49"/>
      <c r="W3126" s="49"/>
      <c r="X3126" s="49" t="str">
        <f t="shared" si="3"/>
        <v>,</v>
      </c>
      <c r="Y3126" s="49"/>
      <c r="Z3126" s="49"/>
      <c r="AB3126" s="49"/>
      <c r="AC3126" s="49"/>
      <c r="AD3126" s="49"/>
      <c r="AE3126" s="49"/>
      <c r="AF3126" s="49"/>
      <c r="AG3126" s="49"/>
      <c r="AH3126" s="1" t="s">
        <v>6869</v>
      </c>
      <c r="AI3126" s="1" t="s">
        <v>6964</v>
      </c>
      <c r="AJ3126" s="6" t="str">
        <f>IFERROR(__xludf.DUMMYFUNCTION("""COMPUTED_VALUE"""),"garden")</f>
        <v>garden</v>
      </c>
      <c r="AK3126" s="49"/>
      <c r="AL3126" s="49"/>
      <c r="AM3126" s="49"/>
      <c r="AN3126" s="52" t="str">
        <f t="shared" si="5"/>
        <v>stayed,</v>
      </c>
      <c r="AP3126" s="49"/>
      <c r="AQ3126" s="49"/>
      <c r="AR3126" s="49"/>
      <c r="AS3126" s="49"/>
      <c r="AT3126" s="49"/>
    </row>
    <row r="3127">
      <c r="A3127" s="51"/>
      <c r="B3127" s="50" t="s">
        <v>2119</v>
      </c>
      <c r="C3127" s="50" t="s">
        <v>4824</v>
      </c>
      <c r="D3127" s="49" t="str">
        <f>IFERROR(__xludf.DUMMYFUNCTION("""COMPUTED_VALUE"""),"gesture")</f>
        <v>gesture</v>
      </c>
      <c r="E3127" s="49"/>
      <c r="F3127" s="49"/>
      <c r="G3127" s="49"/>
      <c r="H3127" s="54" t="str">
        <f t="shared" si="1"/>
        <v>scattered,</v>
      </c>
      <c r="I3127" s="50"/>
      <c r="J3127" s="50"/>
      <c r="K3127" s="50" t="s">
        <v>5628</v>
      </c>
      <c r="L3127" s="49"/>
      <c r="M3127" s="49"/>
      <c r="N3127" s="49"/>
      <c r="O3127" s="49"/>
      <c r="P3127" s="49" t="str">
        <f t="shared" si="2"/>
        <v>,</v>
      </c>
      <c r="Q3127" s="49"/>
      <c r="R3127" s="49"/>
      <c r="S3127" s="55" t="s">
        <v>1578</v>
      </c>
      <c r="T3127" s="49"/>
      <c r="U3127" s="49"/>
      <c r="V3127" s="49"/>
      <c r="W3127" s="49"/>
      <c r="X3127" s="49" t="str">
        <f t="shared" si="3"/>
        <v>,</v>
      </c>
      <c r="Y3127" s="49"/>
      <c r="Z3127" s="49"/>
      <c r="AB3127" s="49"/>
      <c r="AC3127" s="49"/>
      <c r="AD3127" s="49"/>
      <c r="AE3127" s="49"/>
      <c r="AF3127" s="49"/>
      <c r="AG3127" s="49"/>
      <c r="AH3127" s="1" t="s">
        <v>5239</v>
      </c>
      <c r="AI3127" s="1" t="s">
        <v>6965</v>
      </c>
      <c r="AJ3127" s="6" t="str">
        <f>IFERROR(__xludf.DUMMYFUNCTION("""COMPUTED_VALUE"""),"grandmother")</f>
        <v>grandmother</v>
      </c>
      <c r="AK3127" s="49"/>
      <c r="AL3127" s="49"/>
      <c r="AM3127" s="49"/>
      <c r="AN3127" s="52" t="str">
        <f t="shared" si="5"/>
        <v>resistance,</v>
      </c>
      <c r="AP3127" s="49"/>
      <c r="AQ3127" s="49"/>
      <c r="AR3127" s="49"/>
      <c r="AS3127" s="49"/>
      <c r="AT3127" s="49"/>
    </row>
    <row r="3128">
      <c r="A3128" s="51"/>
      <c r="B3128" s="50" t="s">
        <v>2012</v>
      </c>
      <c r="C3128" s="50" t="s">
        <v>6837</v>
      </c>
      <c r="D3128" s="49" t="str">
        <f>IFERROR(__xludf.DUMMYFUNCTION("""COMPUTED_VALUE"""),"shaw")</f>
        <v>shaw</v>
      </c>
      <c r="E3128" s="49"/>
      <c r="F3128" s="49"/>
      <c r="G3128" s="49"/>
      <c r="H3128" s="54" t="str">
        <f t="shared" si="1"/>
        <v>assembled,</v>
      </c>
      <c r="I3128" s="50"/>
      <c r="J3128" s="50"/>
      <c r="K3128" s="50" t="s">
        <v>6019</v>
      </c>
      <c r="L3128" s="49"/>
      <c r="M3128" s="49"/>
      <c r="N3128" s="49"/>
      <c r="O3128" s="49"/>
      <c r="P3128" s="49" t="str">
        <f t="shared" si="2"/>
        <v>,</v>
      </c>
      <c r="Q3128" s="49"/>
      <c r="R3128" s="49"/>
      <c r="S3128" s="55" t="s">
        <v>2798</v>
      </c>
      <c r="T3128" s="49"/>
      <c r="U3128" s="49"/>
      <c r="V3128" s="49"/>
      <c r="W3128" s="49"/>
      <c r="X3128" s="49" t="str">
        <f t="shared" si="3"/>
        <v>,</v>
      </c>
      <c r="Y3128" s="49"/>
      <c r="Z3128" s="49"/>
      <c r="AB3128" s="49"/>
      <c r="AC3128" s="49"/>
      <c r="AD3128" s="49"/>
      <c r="AE3128" s="49"/>
      <c r="AF3128" s="49"/>
      <c r="AG3128" s="49"/>
      <c r="AH3128" s="1" t="s">
        <v>5930</v>
      </c>
      <c r="AI3128" s="1" t="s">
        <v>6050</v>
      </c>
      <c r="AJ3128" s="6" t="str">
        <f>IFERROR(__xludf.DUMMYFUNCTION("""COMPUTED_VALUE"""),"round")</f>
        <v>round</v>
      </c>
      <c r="AK3128" s="49"/>
      <c r="AL3128" s="49"/>
      <c r="AM3128" s="49"/>
      <c r="AN3128" s="52" t="str">
        <f t="shared" si="5"/>
        <v>edition,</v>
      </c>
      <c r="AP3128" s="49"/>
      <c r="AQ3128" s="49"/>
      <c r="AR3128" s="49"/>
      <c r="AS3128" s="49"/>
      <c r="AT3128" s="49"/>
    </row>
    <row r="3129">
      <c r="A3129" s="51"/>
      <c r="B3129" s="50" t="s">
        <v>6287</v>
      </c>
      <c r="C3129" s="50" t="s">
        <v>5317</v>
      </c>
      <c r="D3129" s="49" t="str">
        <f>IFERROR(__xludf.DUMMYFUNCTION("""COMPUTED_VALUE"""),"killing")</f>
        <v>killing</v>
      </c>
      <c r="E3129" s="49"/>
      <c r="F3129" s="49"/>
      <c r="G3129" s="49"/>
      <c r="H3129" s="54" t="str">
        <f t="shared" si="1"/>
        <v>karen,</v>
      </c>
      <c r="I3129" s="50"/>
      <c r="J3129" s="50"/>
      <c r="K3129" s="50" t="s">
        <v>6020</v>
      </c>
      <c r="L3129" s="49"/>
      <c r="M3129" s="49"/>
      <c r="N3129" s="49"/>
      <c r="O3129" s="49"/>
      <c r="P3129" s="49" t="str">
        <f t="shared" si="2"/>
        <v>,</v>
      </c>
      <c r="Q3129" s="49"/>
      <c r="R3129" s="49"/>
      <c r="S3129" s="55" t="s">
        <v>3776</v>
      </c>
      <c r="T3129" s="49"/>
      <c r="U3129" s="49"/>
      <c r="V3129" s="49"/>
      <c r="W3129" s="49"/>
      <c r="X3129" s="49" t="str">
        <f t="shared" si="3"/>
        <v>,</v>
      </c>
      <c r="Y3129" s="49"/>
      <c r="Z3129" s="49"/>
      <c r="AB3129" s="49"/>
      <c r="AC3129" s="49"/>
      <c r="AD3129" s="49"/>
      <c r="AE3129" s="49"/>
      <c r="AF3129" s="49"/>
      <c r="AG3129" s="49"/>
      <c r="AH3129" s="1" t="s">
        <v>1993</v>
      </c>
      <c r="AI3129" s="1" t="s">
        <v>3732</v>
      </c>
      <c r="AJ3129" s="6" t="str">
        <f>IFERROR(__xludf.DUMMYFUNCTION("""COMPUTED_VALUE"""),"leon")</f>
        <v>leon</v>
      </c>
      <c r="AK3129" s="49"/>
      <c r="AL3129" s="49"/>
      <c r="AM3129" s="49"/>
      <c r="AN3129" s="52" t="str">
        <f t="shared" si="5"/>
        <v>significantly,</v>
      </c>
      <c r="AP3129" s="49"/>
      <c r="AQ3129" s="49"/>
      <c r="AR3129" s="49"/>
      <c r="AS3129" s="49"/>
      <c r="AT3129" s="49"/>
    </row>
    <row r="3130">
      <c r="A3130" s="51"/>
      <c r="B3130" s="50" t="s">
        <v>7092</v>
      </c>
      <c r="C3130" s="50" t="s">
        <v>5484</v>
      </c>
      <c r="D3130" s="49" t="str">
        <f>IFERROR(__xludf.DUMMYFUNCTION("""COMPUTED_VALUE"""),"riding")</f>
        <v>riding</v>
      </c>
      <c r="E3130" s="49"/>
      <c r="F3130" s="49"/>
      <c r="G3130" s="49"/>
      <c r="H3130" s="54" t="str">
        <f t="shared" si="1"/>
        <v>orbit,</v>
      </c>
      <c r="I3130" s="50"/>
      <c r="J3130" s="50"/>
      <c r="K3130" s="50" t="s">
        <v>5630</v>
      </c>
      <c r="L3130" s="49"/>
      <c r="M3130" s="49"/>
      <c r="N3130" s="49"/>
      <c r="O3130" s="49"/>
      <c r="P3130" s="49" t="str">
        <f t="shared" si="2"/>
        <v>,</v>
      </c>
      <c r="Q3130" s="49"/>
      <c r="R3130" s="49"/>
      <c r="S3130" s="55" t="s">
        <v>5415</v>
      </c>
      <c r="T3130" s="49"/>
      <c r="U3130" s="49"/>
      <c r="V3130" s="49"/>
      <c r="W3130" s="49"/>
      <c r="X3130" s="49" t="str">
        <f t="shared" si="3"/>
        <v>,</v>
      </c>
      <c r="Y3130" s="49"/>
      <c r="Z3130" s="49"/>
      <c r="AB3130" s="49"/>
      <c r="AC3130" s="49"/>
      <c r="AD3130" s="49"/>
      <c r="AE3130" s="49"/>
      <c r="AF3130" s="49"/>
      <c r="AG3130" s="49"/>
      <c r="AH3130" s="1" t="s">
        <v>6810</v>
      </c>
      <c r="AI3130" s="1" t="s">
        <v>1729</v>
      </c>
      <c r="AJ3130" s="6" t="str">
        <f>IFERROR(__xludf.DUMMYFUNCTION("""COMPUTED_VALUE"""),"governments")</f>
        <v>governments</v>
      </c>
      <c r="AK3130" s="49"/>
      <c r="AL3130" s="49"/>
      <c r="AM3130" s="49"/>
      <c r="AN3130" s="52" t="str">
        <f t="shared" si="5"/>
        <v>pleased,</v>
      </c>
      <c r="AP3130" s="49"/>
      <c r="AQ3130" s="49"/>
      <c r="AR3130" s="49"/>
      <c r="AS3130" s="49"/>
      <c r="AT3130" s="49"/>
    </row>
    <row r="3131">
      <c r="A3131" s="51"/>
      <c r="B3131" s="50" t="s">
        <v>3768</v>
      </c>
      <c r="C3131" s="50" t="s">
        <v>4323</v>
      </c>
      <c r="D3131" s="49" t="str">
        <f>IFERROR(__xludf.DUMMYFUNCTION("""COMPUTED_VALUE"""),"educational")</f>
        <v>educational</v>
      </c>
      <c r="E3131" s="49"/>
      <c r="F3131" s="49"/>
      <c r="G3131" s="49"/>
      <c r="H3131" s="54" t="str">
        <f t="shared" si="1"/>
        <v>zone,</v>
      </c>
      <c r="I3131" s="50"/>
      <c r="J3131" s="50"/>
      <c r="K3131" s="50" t="s">
        <v>6021</v>
      </c>
      <c r="L3131" s="49"/>
      <c r="M3131" s="49"/>
      <c r="N3131" s="49"/>
      <c r="O3131" s="49"/>
      <c r="P3131" s="49" t="str">
        <f t="shared" si="2"/>
        <v>,</v>
      </c>
      <c r="Q3131" s="49"/>
      <c r="R3131" s="49"/>
      <c r="S3131" s="55" t="s">
        <v>2800</v>
      </c>
      <c r="T3131" s="49"/>
      <c r="U3131" s="49"/>
      <c r="V3131" s="49"/>
      <c r="W3131" s="49"/>
      <c r="X3131" s="49" t="str">
        <f t="shared" si="3"/>
        <v>,</v>
      </c>
      <c r="Y3131" s="49"/>
      <c r="Z3131" s="49"/>
      <c r="AB3131" s="49"/>
      <c r="AC3131" s="49"/>
      <c r="AD3131" s="49"/>
      <c r="AE3131" s="49"/>
      <c r="AF3131" s="49"/>
      <c r="AG3131" s="49"/>
      <c r="AH3131" s="1" t="s">
        <v>6044</v>
      </c>
      <c r="AI3131" s="1" t="s">
        <v>6966</v>
      </c>
      <c r="AJ3131" s="6" t="str">
        <f>IFERROR(__xludf.DUMMYFUNCTION("""COMPUTED_VALUE"""),"concerning")</f>
        <v>concerning</v>
      </c>
      <c r="AK3131" s="49"/>
      <c r="AL3131" s="49"/>
      <c r="AM3131" s="49"/>
      <c r="AN3131" s="52" t="str">
        <f t="shared" si="5"/>
        <v>conducted,</v>
      </c>
      <c r="AP3131" s="49"/>
      <c r="AQ3131" s="49"/>
      <c r="AR3131" s="49"/>
      <c r="AS3131" s="49"/>
      <c r="AT3131" s="49"/>
    </row>
    <row r="3132">
      <c r="A3132" s="51"/>
      <c r="B3132" s="50" t="s">
        <v>7675</v>
      </c>
      <c r="C3132" s="50" t="s">
        <v>1668</v>
      </c>
      <c r="D3132" s="49" t="str">
        <f>IFERROR(__xludf.DUMMYFUNCTION("""COMPUTED_VALUE"""),"conducted")</f>
        <v>conducted</v>
      </c>
      <c r="E3132" s="49"/>
      <c r="F3132" s="49"/>
      <c r="G3132" s="49"/>
      <c r="H3132" s="54" t="str">
        <f t="shared" si="1"/>
        <v>opposition,</v>
      </c>
      <c r="I3132" s="50"/>
      <c r="J3132" s="50"/>
      <c r="K3132" s="50" t="s">
        <v>6023</v>
      </c>
      <c r="L3132" s="49"/>
      <c r="M3132" s="49"/>
      <c r="N3132" s="49"/>
      <c r="O3132" s="49"/>
      <c r="P3132" s="49" t="str">
        <f t="shared" si="2"/>
        <v>,</v>
      </c>
      <c r="Q3132" s="49"/>
      <c r="R3132" s="49"/>
      <c r="S3132" s="55" t="s">
        <v>5548</v>
      </c>
      <c r="T3132" s="49"/>
      <c r="U3132" s="49"/>
      <c r="V3132" s="49"/>
      <c r="W3132" s="49"/>
      <c r="X3132" s="49" t="str">
        <f t="shared" si="3"/>
        <v>,</v>
      </c>
      <c r="Y3132" s="49"/>
      <c r="Z3132" s="49"/>
      <c r="AB3132" s="49"/>
      <c r="AC3132" s="49"/>
      <c r="AD3132" s="49"/>
      <c r="AE3132" s="49"/>
      <c r="AF3132" s="49"/>
      <c r="AG3132" s="49"/>
      <c r="AH3132" s="1" t="s">
        <v>6612</v>
      </c>
      <c r="AI3132" s="1" t="s">
        <v>3895</v>
      </c>
      <c r="AJ3132" s="6" t="str">
        <f>IFERROR(__xludf.DUMMYFUNCTION("""COMPUTED_VALUE"""),"shared")</f>
        <v>shared</v>
      </c>
      <c r="AK3132" s="49"/>
      <c r="AL3132" s="49"/>
      <c r="AM3132" s="49"/>
      <c r="AN3132" s="52" t="str">
        <f t="shared" si="5"/>
        <v>personnel,</v>
      </c>
      <c r="AP3132" s="49"/>
      <c r="AQ3132" s="49"/>
      <c r="AR3132" s="49"/>
      <c r="AS3132" s="49"/>
      <c r="AT3132" s="49"/>
    </row>
    <row r="3133">
      <c r="A3133" s="51"/>
      <c r="B3133" s="50" t="s">
        <v>6409</v>
      </c>
      <c r="C3133" s="50" t="s">
        <v>5532</v>
      </c>
      <c r="D3133" s="49" t="str">
        <f>IFERROR(__xludf.DUMMYFUNCTION("""COMPUTED_VALUE"""),"defeated")</f>
        <v>defeated</v>
      </c>
      <c r="E3133" s="49"/>
      <c r="F3133" s="49"/>
      <c r="G3133" s="49"/>
      <c r="H3133" s="54" t="str">
        <f t="shared" si="1"/>
        <v>push,</v>
      </c>
      <c r="I3133" s="50"/>
      <c r="J3133" s="50"/>
      <c r="K3133" s="50" t="s">
        <v>5632</v>
      </c>
      <c r="L3133" s="49"/>
      <c r="M3133" s="49"/>
      <c r="N3133" s="49"/>
      <c r="O3133" s="49"/>
      <c r="P3133" s="49" t="str">
        <f t="shared" si="2"/>
        <v>,</v>
      </c>
      <c r="Q3133" s="49"/>
      <c r="R3133" s="49"/>
      <c r="S3133" s="55" t="s">
        <v>3783</v>
      </c>
      <c r="T3133" s="49"/>
      <c r="U3133" s="49"/>
      <c r="V3133" s="49"/>
      <c r="W3133" s="49"/>
      <c r="X3133" s="49" t="str">
        <f t="shared" si="3"/>
        <v>,</v>
      </c>
      <c r="Y3133" s="49"/>
      <c r="Z3133" s="49"/>
      <c r="AB3133" s="49"/>
      <c r="AC3133" s="49"/>
      <c r="AD3133" s="49"/>
      <c r="AE3133" s="49"/>
      <c r="AF3133" s="49"/>
      <c r="AG3133" s="49"/>
      <c r="AH3133" s="1" t="s">
        <v>6012</v>
      </c>
      <c r="AI3133" s="1" t="s">
        <v>2640</v>
      </c>
      <c r="AJ3133" s="6"/>
      <c r="AK3133" s="49"/>
      <c r="AL3133" s="49"/>
      <c r="AM3133" s="49"/>
      <c r="AN3133" s="52" t="str">
        <f t="shared" si="5"/>
        <v>religion,</v>
      </c>
      <c r="AP3133" s="49"/>
      <c r="AQ3133" s="49"/>
      <c r="AR3133" s="49"/>
      <c r="AS3133" s="49"/>
      <c r="AT3133" s="49"/>
    </row>
    <row r="3134">
      <c r="A3134" s="51"/>
      <c r="B3134" s="50" t="s">
        <v>2896</v>
      </c>
      <c r="C3134" s="50" t="s">
        <v>4798</v>
      </c>
      <c r="D3134" s="49" t="str">
        <f>IFERROR(__xludf.DUMMYFUNCTION("""COMPUTED_VALUE"""),"monument")</f>
        <v>monument</v>
      </c>
      <c r="E3134" s="49"/>
      <c r="F3134" s="49"/>
      <c r="G3134" s="49"/>
      <c r="H3134" s="54" t="str">
        <f t="shared" si="1"/>
        <v>places,</v>
      </c>
      <c r="I3134" s="50"/>
      <c r="J3134" s="50"/>
      <c r="K3134" s="50" t="s">
        <v>2884</v>
      </c>
      <c r="L3134" s="49"/>
      <c r="M3134" s="49"/>
      <c r="N3134" s="49"/>
      <c r="O3134" s="49"/>
      <c r="P3134" s="49" t="str">
        <f t="shared" si="2"/>
        <v>,</v>
      </c>
      <c r="Q3134" s="49"/>
      <c r="R3134" s="49"/>
      <c r="S3134" s="55" t="s">
        <v>3784</v>
      </c>
      <c r="T3134" s="49"/>
      <c r="U3134" s="49"/>
      <c r="V3134" s="49"/>
      <c r="W3134" s="49"/>
      <c r="X3134" s="49" t="str">
        <f t="shared" si="3"/>
        <v>,</v>
      </c>
      <c r="Y3134" s="49"/>
      <c r="Z3134" s="49"/>
      <c r="AB3134" s="49"/>
      <c r="AC3134" s="49"/>
      <c r="AD3134" s="49"/>
      <c r="AE3134" s="49"/>
      <c r="AF3134" s="49"/>
      <c r="AG3134" s="49"/>
      <c r="AH3134" s="1">
        <v>21.0</v>
      </c>
      <c r="AI3134" s="1" t="s">
        <v>6967</v>
      </c>
      <c r="AJ3134" s="6"/>
      <c r="AK3134" s="49"/>
      <c r="AL3134" s="49"/>
      <c r="AM3134" s="49"/>
      <c r="AN3134" s="52" t="str">
        <f t="shared" si="5"/>
        <v>21,</v>
      </c>
      <c r="AP3134" s="49"/>
      <c r="AQ3134" s="49"/>
      <c r="AR3134" s="49"/>
      <c r="AS3134" s="49"/>
      <c r="AT3134" s="49"/>
    </row>
    <row r="3135">
      <c r="A3135" s="51"/>
      <c r="B3135" s="50" t="s">
        <v>5226</v>
      </c>
      <c r="C3135" s="50" t="s">
        <v>5947</v>
      </c>
      <c r="D3135" s="49" t="str">
        <f>IFERROR(__xludf.DUMMYFUNCTION("""COMPUTED_VALUE"""),"minority")</f>
        <v>minority</v>
      </c>
      <c r="E3135" s="49"/>
      <c r="F3135" s="49"/>
      <c r="G3135" s="49"/>
      <c r="H3135" s="54" t="str">
        <f t="shared" si="1"/>
        <v>hug,</v>
      </c>
      <c r="I3135" s="50"/>
      <c r="J3135" s="50"/>
      <c r="K3135" s="50" t="s">
        <v>5633</v>
      </c>
      <c r="L3135" s="49"/>
      <c r="M3135" s="49"/>
      <c r="N3135" s="49"/>
      <c r="O3135" s="49"/>
      <c r="P3135" s="49" t="str">
        <f t="shared" si="2"/>
        <v>,</v>
      </c>
      <c r="Q3135" s="49"/>
      <c r="R3135" s="49"/>
      <c r="S3135" s="55" t="s">
        <v>1583</v>
      </c>
      <c r="T3135" s="49"/>
      <c r="U3135" s="49"/>
      <c r="V3135" s="49"/>
      <c r="W3135" s="49"/>
      <c r="X3135" s="49" t="str">
        <f t="shared" si="3"/>
        <v>,</v>
      </c>
      <c r="Y3135" s="49"/>
      <c r="Z3135" s="49"/>
      <c r="AB3135" s="49"/>
      <c r="AC3135" s="49"/>
      <c r="AD3135" s="49"/>
      <c r="AE3135" s="49"/>
      <c r="AF3135" s="49"/>
      <c r="AG3135" s="49"/>
      <c r="AH3135" s="1" t="s">
        <v>5347</v>
      </c>
      <c r="AI3135" s="1" t="s">
        <v>5783</v>
      </c>
      <c r="AJ3135" s="6"/>
      <c r="AK3135" s="49"/>
      <c r="AL3135" s="49"/>
      <c r="AM3135" s="49"/>
      <c r="AN3135" s="52" t="str">
        <f t="shared" si="5"/>
        <v>severe,</v>
      </c>
      <c r="AP3135" s="49"/>
      <c r="AQ3135" s="49"/>
      <c r="AR3135" s="49"/>
      <c r="AS3135" s="49"/>
      <c r="AT3135" s="49"/>
    </row>
    <row r="3136">
      <c r="A3136" s="51"/>
      <c r="B3136" s="50" t="s">
        <v>2435</v>
      </c>
      <c r="C3136" s="50" t="s">
        <v>5599</v>
      </c>
      <c r="D3136" s="49" t="str">
        <f>IFERROR(__xludf.DUMMYFUNCTION("""COMPUTED_VALUE"""),"send")</f>
        <v>send</v>
      </c>
      <c r="E3136" s="49"/>
      <c r="F3136" s="49"/>
      <c r="G3136" s="49"/>
      <c r="H3136" s="54" t="str">
        <f t="shared" si="1"/>
        <v>excited,</v>
      </c>
      <c r="I3136" s="50"/>
      <c r="J3136" s="50"/>
      <c r="K3136" s="50" t="s">
        <v>2886</v>
      </c>
      <c r="L3136" s="49"/>
      <c r="M3136" s="49"/>
      <c r="N3136" s="49"/>
      <c r="O3136" s="49"/>
      <c r="P3136" s="49" t="str">
        <f t="shared" si="2"/>
        <v>,</v>
      </c>
      <c r="Q3136" s="49"/>
      <c r="R3136" s="49"/>
      <c r="S3136" s="55" t="s">
        <v>4591</v>
      </c>
      <c r="T3136" s="49"/>
      <c r="U3136" s="49"/>
      <c r="V3136" s="49"/>
      <c r="W3136" s="49"/>
      <c r="X3136" s="49" t="str">
        <f t="shared" si="3"/>
        <v>,</v>
      </c>
      <c r="Y3136" s="49"/>
      <c r="Z3136" s="49"/>
      <c r="AB3136" s="49"/>
      <c r="AC3136" s="49"/>
      <c r="AD3136" s="49"/>
      <c r="AE3136" s="49"/>
      <c r="AF3136" s="49"/>
      <c r="AG3136" s="49"/>
      <c r="AH3136" s="1" t="s">
        <v>5462</v>
      </c>
      <c r="AI3136" s="1" t="s">
        <v>6968</v>
      </c>
      <c r="AJ3136" s="6"/>
      <c r="AK3136" s="49"/>
      <c r="AL3136" s="49"/>
      <c r="AM3136" s="49"/>
      <c r="AN3136" s="52" t="str">
        <f t="shared" si="5"/>
        <v>function,</v>
      </c>
      <c r="AP3136" s="49"/>
      <c r="AQ3136" s="49"/>
      <c r="AR3136" s="49"/>
      <c r="AS3136" s="49"/>
      <c r="AT3136" s="49"/>
    </row>
    <row r="3137">
      <c r="A3137" s="51"/>
      <c r="B3137" s="50">
        <v>11.0</v>
      </c>
      <c r="C3137" s="50" t="s">
        <v>1703</v>
      </c>
      <c r="D3137" s="49" t="str">
        <f>IFERROR(__xludf.DUMMYFUNCTION("""COMPUTED_VALUE"""),"spine")</f>
        <v>spine</v>
      </c>
      <c r="E3137" s="49"/>
      <c r="F3137" s="49"/>
      <c r="G3137" s="49"/>
      <c r="H3137" s="54" t="str">
        <f t="shared" si="1"/>
        <v>11,</v>
      </c>
      <c r="I3137" s="50"/>
      <c r="J3137" s="50"/>
      <c r="K3137" s="50" t="s">
        <v>5806</v>
      </c>
      <c r="L3137" s="49"/>
      <c r="M3137" s="49"/>
      <c r="N3137" s="49"/>
      <c r="O3137" s="49"/>
      <c r="P3137" s="49" t="str">
        <f t="shared" si="2"/>
        <v>,</v>
      </c>
      <c r="Q3137" s="49"/>
      <c r="R3137" s="49"/>
      <c r="S3137" s="55" t="s">
        <v>2803</v>
      </c>
      <c r="T3137" s="49"/>
      <c r="U3137" s="49"/>
      <c r="V3137" s="49"/>
      <c r="W3137" s="49"/>
      <c r="X3137" s="49" t="str">
        <f t="shared" si="3"/>
        <v>,</v>
      </c>
      <c r="Y3137" s="49"/>
      <c r="Z3137" s="49"/>
      <c r="AB3137" s="49"/>
      <c r="AC3137" s="49"/>
      <c r="AD3137" s="49"/>
      <c r="AE3137" s="49"/>
      <c r="AF3137" s="49"/>
      <c r="AG3137" s="49"/>
      <c r="AH3137" s="1" t="s">
        <v>1480</v>
      </c>
      <c r="AI3137" s="1" t="s">
        <v>1306</v>
      </c>
      <c r="AJ3137" s="6"/>
      <c r="AK3137" s="49"/>
      <c r="AL3137" s="49"/>
      <c r="AM3137" s="49"/>
      <c r="AN3137" s="52" t="str">
        <f t="shared" si="5"/>
        <v>classical,</v>
      </c>
      <c r="AP3137" s="49"/>
      <c r="AQ3137" s="49"/>
      <c r="AR3137" s="49"/>
      <c r="AS3137" s="49"/>
      <c r="AT3137" s="49"/>
    </row>
    <row r="3138">
      <c r="A3138" s="51"/>
      <c r="B3138" s="50" t="s">
        <v>7147</v>
      </c>
      <c r="C3138" s="50" t="s">
        <v>6839</v>
      </c>
      <c r="D3138" s="49" t="str">
        <f>IFERROR(__xludf.DUMMYFUNCTION("""COMPUTED_VALUE"""),"topics")</f>
        <v>topics</v>
      </c>
      <c r="E3138" s="49"/>
      <c r="F3138" s="49"/>
      <c r="G3138" s="49"/>
      <c r="H3138" s="54" t="str">
        <f t="shared" si="1"/>
        <v>cuban,</v>
      </c>
      <c r="I3138" s="50"/>
      <c r="J3138" s="50"/>
      <c r="K3138" s="50" t="s">
        <v>4679</v>
      </c>
      <c r="L3138" s="49"/>
      <c r="M3138" s="49"/>
      <c r="N3138" s="49"/>
      <c r="O3138" s="49"/>
      <c r="P3138" s="49" t="str">
        <f t="shared" si="2"/>
        <v>,</v>
      </c>
      <c r="Q3138" s="49"/>
      <c r="R3138" s="49"/>
      <c r="S3138" s="55" t="s">
        <v>5550</v>
      </c>
      <c r="T3138" s="49"/>
      <c r="U3138" s="49"/>
      <c r="V3138" s="49"/>
      <c r="W3138" s="49"/>
      <c r="X3138" s="49" t="str">
        <f t="shared" si="3"/>
        <v>,</v>
      </c>
      <c r="Y3138" s="49"/>
      <c r="Z3138" s="49"/>
      <c r="AB3138" s="49"/>
      <c r="AC3138" s="49"/>
      <c r="AD3138" s="49"/>
      <c r="AE3138" s="49"/>
      <c r="AF3138" s="49"/>
      <c r="AG3138" s="49"/>
      <c r="AH3138" s="1" t="s">
        <v>3003</v>
      </c>
      <c r="AI3138" s="1" t="s">
        <v>5148</v>
      </c>
      <c r="AJ3138" s="6"/>
      <c r="AK3138" s="49"/>
      <c r="AL3138" s="49"/>
      <c r="AM3138" s="49"/>
      <c r="AN3138" s="52" t="str">
        <f t="shared" si="5"/>
        <v>native,</v>
      </c>
      <c r="AP3138" s="49"/>
      <c r="AQ3138" s="49"/>
      <c r="AR3138" s="49"/>
      <c r="AS3138" s="49"/>
      <c r="AT3138" s="49"/>
    </row>
    <row r="3139">
      <c r="A3139" s="51"/>
      <c r="B3139" s="50" t="s">
        <v>4921</v>
      </c>
      <c r="C3139" s="50" t="s">
        <v>5954</v>
      </c>
      <c r="D3139" s="49" t="str">
        <f>IFERROR(__xludf.DUMMYFUNCTION("""COMPUTED_VALUE"""),"lift")</f>
        <v>lift</v>
      </c>
      <c r="E3139" s="49"/>
      <c r="F3139" s="49"/>
      <c r="G3139" s="49"/>
      <c r="H3139" s="54" t="str">
        <f t="shared" si="1"/>
        <v>austrian,</v>
      </c>
      <c r="I3139" s="50"/>
      <c r="J3139" s="50"/>
      <c r="K3139" s="50" t="s">
        <v>2892</v>
      </c>
      <c r="L3139" s="49"/>
      <c r="M3139" s="49"/>
      <c r="N3139" s="49"/>
      <c r="O3139" s="49"/>
      <c r="P3139" s="49" t="str">
        <f t="shared" si="2"/>
        <v>,</v>
      </c>
      <c r="Q3139" s="49"/>
      <c r="R3139" s="49"/>
      <c r="S3139" s="55" t="s">
        <v>6051</v>
      </c>
      <c r="T3139" s="49"/>
      <c r="U3139" s="49"/>
      <c r="V3139" s="49"/>
      <c r="W3139" s="49"/>
      <c r="X3139" s="49" t="str">
        <f t="shared" si="3"/>
        <v>,</v>
      </c>
      <c r="Y3139" s="49"/>
      <c r="Z3139" s="49"/>
      <c r="AB3139" s="49"/>
      <c r="AC3139" s="49"/>
      <c r="AD3139" s="49"/>
      <c r="AE3139" s="49"/>
      <c r="AF3139" s="49"/>
      <c r="AG3139" s="49"/>
      <c r="AH3139" s="1" t="s">
        <v>3415</v>
      </c>
      <c r="AI3139" s="1" t="s">
        <v>3897</v>
      </c>
      <c r="AJ3139" s="6"/>
      <c r="AK3139" s="49"/>
      <c r="AL3139" s="49"/>
      <c r="AM3139" s="49"/>
      <c r="AN3139" s="52" t="str">
        <f t="shared" si="5"/>
        <v>rural,</v>
      </c>
      <c r="AP3139" s="49"/>
      <c r="AQ3139" s="49"/>
      <c r="AR3139" s="49"/>
      <c r="AS3139" s="49"/>
      <c r="AT3139" s="49"/>
    </row>
    <row r="3140">
      <c r="A3140" s="51"/>
      <c r="B3140" s="50" t="s">
        <v>5285</v>
      </c>
      <c r="C3140" s="50" t="s">
        <v>5351</v>
      </c>
      <c r="D3140" s="49" t="str">
        <f>IFERROR(__xludf.DUMMYFUNCTION("""COMPUTED_VALUE"""),"mine")</f>
        <v>mine</v>
      </c>
      <c r="E3140" s="49"/>
      <c r="F3140" s="49"/>
      <c r="G3140" s="49"/>
      <c r="H3140" s="54" t="str">
        <f t="shared" si="1"/>
        <v>instrument,</v>
      </c>
      <c r="I3140" s="50"/>
      <c r="J3140" s="50"/>
      <c r="K3140" s="50" t="s">
        <v>2895</v>
      </c>
      <c r="L3140" s="49"/>
      <c r="M3140" s="49"/>
      <c r="N3140" s="49"/>
      <c r="O3140" s="49"/>
      <c r="P3140" s="49" t="str">
        <f t="shared" si="2"/>
        <v>,</v>
      </c>
      <c r="Q3140" s="49"/>
      <c r="R3140" s="49"/>
      <c r="S3140" s="55" t="s">
        <v>2806</v>
      </c>
      <c r="T3140" s="49"/>
      <c r="U3140" s="49"/>
      <c r="V3140" s="49"/>
      <c r="W3140" s="49"/>
      <c r="X3140" s="49" t="str">
        <f t="shared" si="3"/>
        <v>,</v>
      </c>
      <c r="Y3140" s="49"/>
      <c r="Z3140" s="49"/>
      <c r="AB3140" s="49"/>
      <c r="AC3140" s="49"/>
      <c r="AD3140" s="49"/>
      <c r="AE3140" s="49"/>
      <c r="AF3140" s="49"/>
      <c r="AG3140" s="49"/>
      <c r="AH3140" s="1" t="s">
        <v>1774</v>
      </c>
      <c r="AI3140" s="1" t="s">
        <v>1932</v>
      </c>
      <c r="AJ3140" s="6"/>
      <c r="AK3140" s="49"/>
      <c r="AL3140" s="49"/>
      <c r="AM3140" s="49"/>
      <c r="AN3140" s="52" t="str">
        <f t="shared" si="5"/>
        <v>learning,</v>
      </c>
      <c r="AP3140" s="49"/>
      <c r="AQ3140" s="49"/>
      <c r="AR3140" s="49"/>
      <c r="AS3140" s="49"/>
      <c r="AT3140" s="49"/>
    </row>
    <row r="3141">
      <c r="A3141" s="51"/>
      <c r="B3141" s="50" t="s">
        <v>6124</v>
      </c>
      <c r="C3141" s="50" t="s">
        <v>3670</v>
      </c>
      <c r="D3141" s="49" t="str">
        <f>IFERROR(__xludf.DUMMYFUNCTION("""COMPUTED_VALUE"""),"gathering")</f>
        <v>gathering</v>
      </c>
      <c r="E3141" s="49"/>
      <c r="F3141" s="49"/>
      <c r="G3141" s="49"/>
      <c r="H3141" s="54" t="str">
        <f t="shared" si="1"/>
        <v>clinical,</v>
      </c>
      <c r="I3141" s="50"/>
      <c r="J3141" s="50"/>
      <c r="K3141" s="50" t="s">
        <v>1019</v>
      </c>
      <c r="L3141" s="49"/>
      <c r="M3141" s="49"/>
      <c r="N3141" s="49"/>
      <c r="O3141" s="49"/>
      <c r="P3141" s="49" t="str">
        <f t="shared" si="2"/>
        <v>,</v>
      </c>
      <c r="Q3141" s="49"/>
      <c r="R3141" s="49"/>
      <c r="S3141" s="55" t="s">
        <v>6969</v>
      </c>
      <c r="T3141" s="49"/>
      <c r="U3141" s="49"/>
      <c r="V3141" s="49"/>
      <c r="W3141" s="49"/>
      <c r="X3141" s="49" t="str">
        <f t="shared" si="3"/>
        <v>,</v>
      </c>
      <c r="Y3141" s="49"/>
      <c r="Z3141" s="49"/>
      <c r="AB3141" s="49"/>
      <c r="AC3141" s="49"/>
      <c r="AD3141" s="49"/>
      <c r="AE3141" s="49"/>
      <c r="AF3141" s="49"/>
      <c r="AG3141" s="49"/>
      <c r="AH3141" s="1" t="s">
        <v>4944</v>
      </c>
      <c r="AI3141" s="1" t="s">
        <v>4792</v>
      </c>
      <c r="AJ3141" s="6"/>
      <c r="AK3141" s="49"/>
      <c r="AL3141" s="49"/>
      <c r="AM3141" s="49"/>
      <c r="AN3141" s="52" t="str">
        <f t="shared" si="5"/>
        <v>heritage,</v>
      </c>
      <c r="AP3141" s="49"/>
      <c r="AQ3141" s="49"/>
      <c r="AR3141" s="49"/>
      <c r="AS3141" s="49"/>
      <c r="AT3141" s="49"/>
    </row>
    <row r="3142">
      <c r="A3142" s="51"/>
      <c r="B3142" s="50" t="s">
        <v>5413</v>
      </c>
      <c r="C3142" s="50" t="s">
        <v>3234</v>
      </c>
      <c r="D3142" s="49" t="str">
        <f>IFERROR(__xludf.DUMMYFUNCTION("""COMPUTED_VALUE"""),"oh")</f>
        <v>oh</v>
      </c>
      <c r="E3142" s="49"/>
      <c r="F3142" s="49"/>
      <c r="G3142" s="49"/>
      <c r="H3142" s="54" t="str">
        <f t="shared" si="1"/>
        <v>diamond,</v>
      </c>
      <c r="I3142" s="50"/>
      <c r="J3142" s="50"/>
      <c r="K3142" s="50" t="s">
        <v>6026</v>
      </c>
      <c r="L3142" s="49"/>
      <c r="M3142" s="49"/>
      <c r="N3142" s="49"/>
      <c r="O3142" s="49"/>
      <c r="P3142" s="49" t="str">
        <f t="shared" si="2"/>
        <v>,</v>
      </c>
      <c r="Q3142" s="49"/>
      <c r="R3142" s="49"/>
      <c r="S3142" s="55">
        <v>146.0</v>
      </c>
      <c r="T3142" s="49"/>
      <c r="U3142" s="49"/>
      <c r="V3142" s="49"/>
      <c r="W3142" s="49"/>
      <c r="X3142" s="49" t="str">
        <f t="shared" si="3"/>
        <v>,</v>
      </c>
      <c r="Y3142" s="49"/>
      <c r="Z3142" s="49"/>
      <c r="AB3142" s="49"/>
      <c r="AC3142" s="49"/>
      <c r="AD3142" s="49"/>
      <c r="AE3142" s="49"/>
      <c r="AF3142" s="49"/>
      <c r="AG3142" s="49"/>
      <c r="AH3142" s="1" t="s">
        <v>2744</v>
      </c>
      <c r="AI3142" s="1" t="s">
        <v>6970</v>
      </c>
      <c r="AJ3142" s="6"/>
      <c r="AK3142" s="49"/>
      <c r="AL3142" s="49"/>
      <c r="AM3142" s="49"/>
      <c r="AN3142" s="52" t="str">
        <f t="shared" si="5"/>
        <v>square,</v>
      </c>
      <c r="AP3142" s="49"/>
      <c r="AQ3142" s="49"/>
      <c r="AR3142" s="49"/>
      <c r="AS3142" s="49"/>
      <c r="AT3142" s="49"/>
    </row>
    <row r="3143">
      <c r="A3143" s="51"/>
      <c r="B3143" s="50" t="s">
        <v>6491</v>
      </c>
      <c r="C3143" s="50">
        <v>66.0</v>
      </c>
      <c r="D3143" s="49" t="str">
        <f>IFERROR(__xludf.DUMMYFUNCTION("""COMPUTED_VALUE"""),"steal")</f>
        <v>steal</v>
      </c>
      <c r="E3143" s="49"/>
      <c r="F3143" s="49"/>
      <c r="G3143" s="49"/>
      <c r="H3143" s="54" t="str">
        <f t="shared" si="1"/>
        <v>fell,</v>
      </c>
      <c r="I3143" s="50"/>
      <c r="J3143" s="50"/>
      <c r="K3143" s="50" t="s">
        <v>2897</v>
      </c>
      <c r="L3143" s="49"/>
      <c r="M3143" s="49"/>
      <c r="N3143" s="49"/>
      <c r="O3143" s="49"/>
      <c r="P3143" s="49" t="str">
        <f t="shared" si="2"/>
        <v>,</v>
      </c>
      <c r="Q3143" s="49"/>
      <c r="R3143" s="49"/>
      <c r="S3143" s="55" t="s">
        <v>3787</v>
      </c>
      <c r="T3143" s="49"/>
      <c r="U3143" s="49"/>
      <c r="V3143" s="49"/>
      <c r="W3143" s="49"/>
      <c r="X3143" s="49" t="str">
        <f t="shared" si="3"/>
        <v>,</v>
      </c>
      <c r="Y3143" s="49"/>
      <c r="Z3143" s="49"/>
      <c r="AB3143" s="49"/>
      <c r="AC3143" s="49"/>
      <c r="AD3143" s="49"/>
      <c r="AE3143" s="49"/>
      <c r="AF3143" s="49"/>
      <c r="AG3143" s="49"/>
      <c r="AH3143" s="1" t="s">
        <v>2487</v>
      </c>
      <c r="AI3143" s="1" t="s">
        <v>6971</v>
      </c>
      <c r="AJ3143" s="6"/>
      <c r="AK3143" s="49"/>
      <c r="AL3143" s="49"/>
      <c r="AM3143" s="49"/>
      <c r="AN3143" s="52" t="str">
        <f t="shared" si="5"/>
        <v>wooden,</v>
      </c>
      <c r="AP3143" s="49"/>
      <c r="AQ3143" s="49"/>
      <c r="AR3143" s="49"/>
      <c r="AS3143" s="49"/>
      <c r="AT3143" s="49"/>
    </row>
    <row r="3144">
      <c r="A3144" s="51"/>
      <c r="B3144" s="50" t="s">
        <v>4884</v>
      </c>
      <c r="C3144" s="50" t="s">
        <v>5494</v>
      </c>
      <c r="D3144" s="49" t="str">
        <f>IFERROR(__xludf.DUMMYFUNCTION("""COMPUTED_VALUE"""),"das")</f>
        <v>das</v>
      </c>
      <c r="E3144" s="49"/>
      <c r="F3144" s="49"/>
      <c r="G3144" s="49"/>
      <c r="H3144" s="54" t="str">
        <f t="shared" si="1"/>
        <v>lighting,</v>
      </c>
      <c r="I3144" s="50"/>
      <c r="J3144" s="50"/>
      <c r="K3144" s="50" t="s">
        <v>1620</v>
      </c>
      <c r="L3144" s="49"/>
      <c r="M3144" s="49"/>
      <c r="N3144" s="49"/>
      <c r="O3144" s="49"/>
      <c r="P3144" s="49" t="str">
        <f t="shared" si="2"/>
        <v>,</v>
      </c>
      <c r="Q3144" s="49"/>
      <c r="R3144" s="49"/>
      <c r="S3144" s="55" t="s">
        <v>2810</v>
      </c>
      <c r="T3144" s="49"/>
      <c r="U3144" s="49"/>
      <c r="V3144" s="49"/>
      <c r="W3144" s="49"/>
      <c r="X3144" s="49" t="str">
        <f t="shared" si="3"/>
        <v>,</v>
      </c>
      <c r="Y3144" s="49"/>
      <c r="Z3144" s="49"/>
      <c r="AB3144" s="49"/>
      <c r="AC3144" s="49"/>
      <c r="AD3144" s="49"/>
      <c r="AE3144" s="49"/>
      <c r="AF3144" s="49"/>
      <c r="AG3144" s="49"/>
      <c r="AH3144" s="1" t="s">
        <v>5852</v>
      </c>
      <c r="AI3144" s="1" t="s">
        <v>5709</v>
      </c>
      <c r="AJ3144" s="6"/>
      <c r="AK3144" s="49"/>
      <c r="AL3144" s="49"/>
      <c r="AM3144" s="49"/>
      <c r="AN3144" s="52" t="str">
        <f t="shared" si="5"/>
        <v>21st,</v>
      </c>
      <c r="AP3144" s="49"/>
      <c r="AQ3144" s="49"/>
      <c r="AR3144" s="49"/>
      <c r="AS3144" s="49"/>
      <c r="AT3144" s="49"/>
    </row>
    <row r="3145">
      <c r="A3145" s="51"/>
      <c r="B3145" s="50" t="s">
        <v>4096</v>
      </c>
      <c r="C3145" s="50" t="s">
        <v>4772</v>
      </c>
      <c r="D3145" s="49" t="str">
        <f>IFERROR(__xludf.DUMMYFUNCTION("""COMPUTED_VALUE"""),"boot")</f>
        <v>boot</v>
      </c>
      <c r="E3145" s="49"/>
      <c r="F3145" s="49"/>
      <c r="G3145" s="49"/>
      <c r="H3145" s="54" t="str">
        <f t="shared" si="1"/>
        <v>forth,</v>
      </c>
      <c r="I3145" s="50"/>
      <c r="J3145" s="50"/>
      <c r="K3145" s="50" t="s">
        <v>5641</v>
      </c>
      <c r="L3145" s="49"/>
      <c r="M3145" s="49"/>
      <c r="N3145" s="49"/>
      <c r="O3145" s="49"/>
      <c r="P3145" s="49" t="str">
        <f t="shared" si="2"/>
        <v>,</v>
      </c>
      <c r="Q3145" s="49"/>
      <c r="R3145" s="49"/>
      <c r="S3145" s="55" t="s">
        <v>2815</v>
      </c>
      <c r="T3145" s="49"/>
      <c r="U3145" s="49"/>
      <c r="V3145" s="49"/>
      <c r="W3145" s="49"/>
      <c r="X3145" s="49" t="str">
        <f t="shared" si="3"/>
        <v>,</v>
      </c>
      <c r="Y3145" s="49"/>
      <c r="Z3145" s="49"/>
      <c r="AB3145" s="49"/>
      <c r="AC3145" s="49"/>
      <c r="AD3145" s="49"/>
      <c r="AE3145" s="49"/>
      <c r="AF3145" s="49"/>
      <c r="AG3145" s="49"/>
      <c r="AH3145" s="1" t="s">
        <v>1301</v>
      </c>
      <c r="AI3145" s="1" t="s">
        <v>5838</v>
      </c>
      <c r="AJ3145" s="6"/>
      <c r="AK3145" s="49"/>
      <c r="AL3145" s="49"/>
      <c r="AM3145" s="49"/>
      <c r="AN3145" s="52" t="str">
        <f t="shared" si="5"/>
        <v>performed,</v>
      </c>
      <c r="AP3145" s="49"/>
      <c r="AQ3145" s="49"/>
      <c r="AR3145" s="49"/>
      <c r="AS3145" s="49"/>
      <c r="AT3145" s="49"/>
    </row>
    <row r="3146">
      <c r="A3146" s="51"/>
      <c r="B3146" s="50" t="s">
        <v>2668</v>
      </c>
      <c r="C3146" s="50" t="s">
        <v>5347</v>
      </c>
      <c r="D3146" s="49" t="str">
        <f>IFERROR(__xludf.DUMMYFUNCTION("""COMPUTED_VALUE"""),"parallel")</f>
        <v>parallel</v>
      </c>
      <c r="E3146" s="49"/>
      <c r="F3146" s="49"/>
      <c r="G3146" s="49"/>
      <c r="H3146" s="54" t="str">
        <f t="shared" si="1"/>
        <v>areas,</v>
      </c>
      <c r="I3146" s="50"/>
      <c r="J3146" s="50"/>
      <c r="K3146" s="50" t="s">
        <v>2903</v>
      </c>
      <c r="L3146" s="49"/>
      <c r="M3146" s="49"/>
      <c r="N3146" s="49"/>
      <c r="O3146" s="49"/>
      <c r="P3146" s="49" t="str">
        <f t="shared" si="2"/>
        <v>,</v>
      </c>
      <c r="Q3146" s="49"/>
      <c r="R3146" s="49"/>
      <c r="S3146" s="55" t="s">
        <v>6972</v>
      </c>
      <c r="T3146" s="49"/>
      <c r="U3146" s="49"/>
      <c r="V3146" s="49"/>
      <c r="W3146" s="49"/>
      <c r="X3146" s="49" t="str">
        <f t="shared" si="3"/>
        <v>,</v>
      </c>
      <c r="Y3146" s="49"/>
      <c r="Z3146" s="49"/>
      <c r="AB3146" s="49"/>
      <c r="AC3146" s="49"/>
      <c r="AD3146" s="49"/>
      <c r="AE3146" s="49"/>
      <c r="AF3146" s="49"/>
      <c r="AG3146" s="49"/>
      <c r="AH3146" s="1" t="s">
        <v>5276</v>
      </c>
      <c r="AI3146" s="1" t="s">
        <v>3904</v>
      </c>
      <c r="AJ3146" s="6"/>
      <c r="AK3146" s="49"/>
      <c r="AL3146" s="49"/>
      <c r="AM3146" s="49"/>
      <c r="AN3146" s="52" t="str">
        <f t="shared" si="5"/>
        <v>awarded,</v>
      </c>
      <c r="AP3146" s="49"/>
      <c r="AQ3146" s="49"/>
      <c r="AR3146" s="49"/>
      <c r="AS3146" s="49"/>
      <c r="AT3146" s="49"/>
    </row>
    <row r="3147">
      <c r="A3147" s="51"/>
      <c r="B3147" s="50" t="s">
        <v>7676</v>
      </c>
      <c r="C3147" s="50" t="s">
        <v>6841</v>
      </c>
      <c r="D3147" s="49" t="str">
        <f>IFERROR(__xludf.DUMMYFUNCTION("""COMPUTED_VALUE"""),"twelve")</f>
        <v>twelve</v>
      </c>
      <c r="E3147" s="49"/>
      <c r="F3147" s="49"/>
      <c r="G3147" s="49"/>
      <c r="H3147" s="54" t="str">
        <f t="shared" si="1"/>
        <v>cap,</v>
      </c>
      <c r="I3147" s="50"/>
      <c r="J3147" s="50"/>
      <c r="K3147" s="50" t="s">
        <v>1626</v>
      </c>
      <c r="L3147" s="49"/>
      <c r="M3147" s="49"/>
      <c r="N3147" s="49"/>
      <c r="O3147" s="49"/>
      <c r="P3147" s="49" t="str">
        <f t="shared" si="2"/>
        <v>,</v>
      </c>
      <c r="Q3147" s="49"/>
      <c r="R3147" s="49"/>
      <c r="S3147" s="55" t="s">
        <v>6973</v>
      </c>
      <c r="T3147" s="49"/>
      <c r="U3147" s="49"/>
      <c r="V3147" s="49"/>
      <c r="W3147" s="49"/>
      <c r="X3147" s="49" t="str">
        <f t="shared" si="3"/>
        <v>,</v>
      </c>
      <c r="Y3147" s="49"/>
      <c r="Z3147" s="49"/>
      <c r="AB3147" s="49"/>
      <c r="AC3147" s="49"/>
      <c r="AD3147" s="49"/>
      <c r="AE3147" s="49"/>
      <c r="AF3147" s="49"/>
      <c r="AG3147" s="49"/>
      <c r="AH3147" s="1" t="s">
        <v>1237</v>
      </c>
      <c r="AI3147" s="1" t="s">
        <v>6974</v>
      </c>
      <c r="AJ3147" s="6"/>
      <c r="AK3147" s="49"/>
      <c r="AL3147" s="49"/>
      <c r="AM3147" s="49"/>
      <c r="AN3147" s="52" t="str">
        <f t="shared" si="5"/>
        <v>authority,</v>
      </c>
      <c r="AP3147" s="49"/>
      <c r="AQ3147" s="49"/>
      <c r="AR3147" s="49"/>
      <c r="AS3147" s="49"/>
      <c r="AT3147" s="49"/>
    </row>
    <row r="3148">
      <c r="A3148" s="51"/>
      <c r="B3148" s="50" t="s">
        <v>1714</v>
      </c>
      <c r="C3148" s="50" t="s">
        <v>4397</v>
      </c>
      <c r="D3148" s="49" t="str">
        <f>IFERROR(__xludf.DUMMYFUNCTION("""COMPUTED_VALUE"""),"drinking")</f>
        <v>drinking</v>
      </c>
      <c r="E3148" s="49"/>
      <c r="F3148" s="49"/>
      <c r="G3148" s="49"/>
      <c r="H3148" s="54" t="str">
        <f t="shared" si="1"/>
        <v>excitement,</v>
      </c>
      <c r="I3148" s="50"/>
      <c r="J3148" s="50"/>
      <c r="K3148" s="50" t="s">
        <v>4308</v>
      </c>
      <c r="L3148" s="49"/>
      <c r="M3148" s="49"/>
      <c r="N3148" s="49"/>
      <c r="O3148" s="49"/>
      <c r="P3148" s="49" t="str">
        <f t="shared" si="2"/>
        <v>,</v>
      </c>
      <c r="Q3148" s="49"/>
      <c r="R3148" s="49"/>
      <c r="S3148" s="55" t="s">
        <v>4600</v>
      </c>
      <c r="T3148" s="49"/>
      <c r="U3148" s="49"/>
      <c r="V3148" s="49"/>
      <c r="W3148" s="49"/>
      <c r="X3148" s="49" t="str">
        <f t="shared" si="3"/>
        <v>,</v>
      </c>
      <c r="Y3148" s="49"/>
      <c r="Z3148" s="49"/>
      <c r="AB3148" s="49"/>
      <c r="AC3148" s="49"/>
      <c r="AD3148" s="49"/>
      <c r="AE3148" s="49"/>
      <c r="AF3148" s="49"/>
      <c r="AG3148" s="49"/>
      <c r="AH3148" s="1" t="s">
        <v>2130</v>
      </c>
      <c r="AI3148" s="1" t="s">
        <v>6975</v>
      </c>
      <c r="AJ3148" s="6"/>
      <c r="AK3148" s="49"/>
      <c r="AL3148" s="49"/>
      <c r="AM3148" s="49"/>
      <c r="AN3148" s="52" t="str">
        <f t="shared" si="5"/>
        <v>graduated,</v>
      </c>
      <c r="AP3148" s="49"/>
      <c r="AQ3148" s="49"/>
      <c r="AR3148" s="49"/>
      <c r="AS3148" s="49"/>
      <c r="AT3148" s="49"/>
    </row>
    <row r="3149">
      <c r="A3149" s="51"/>
      <c r="B3149" s="50" t="s">
        <v>5725</v>
      </c>
      <c r="C3149" s="50" t="s">
        <v>5027</v>
      </c>
      <c r="D3149" s="49" t="str">
        <f>IFERROR(__xludf.DUMMYFUNCTION("""COMPUTED_VALUE"""),"alfred")</f>
        <v>alfred</v>
      </c>
      <c r="E3149" s="49"/>
      <c r="F3149" s="49"/>
      <c r="G3149" s="49"/>
      <c r="H3149" s="54" t="str">
        <f t="shared" si="1"/>
        <v>developments,</v>
      </c>
      <c r="I3149" s="50"/>
      <c r="J3149" s="50"/>
      <c r="K3149" s="50" t="s">
        <v>2910</v>
      </c>
      <c r="L3149" s="49"/>
      <c r="M3149" s="49"/>
      <c r="N3149" s="49"/>
      <c r="O3149" s="49"/>
      <c r="P3149" s="49" t="str">
        <f t="shared" si="2"/>
        <v>,</v>
      </c>
      <c r="Q3149" s="49"/>
      <c r="R3149" s="49"/>
      <c r="S3149" s="55" t="s">
        <v>4604</v>
      </c>
      <c r="T3149" s="49"/>
      <c r="U3149" s="49"/>
      <c r="V3149" s="49"/>
      <c r="W3149" s="49"/>
      <c r="X3149" s="49" t="str">
        <f t="shared" si="3"/>
        <v>,</v>
      </c>
      <c r="Y3149" s="49"/>
      <c r="Z3149" s="49"/>
      <c r="AB3149" s="49"/>
      <c r="AC3149" s="49"/>
      <c r="AD3149" s="49"/>
      <c r="AE3149" s="49"/>
      <c r="AF3149" s="49"/>
      <c r="AG3149" s="49"/>
      <c r="AH3149" s="1" t="s">
        <v>7677</v>
      </c>
      <c r="AI3149" s="1" t="s">
        <v>6976</v>
      </c>
      <c r="AJ3149" s="6"/>
      <c r="AK3149" s="49"/>
      <c r="AL3149" s="49"/>
      <c r="AM3149" s="49"/>
      <c r="AN3149" s="52" t="str">
        <f t="shared" si="5"/>
        <v>April,</v>
      </c>
      <c r="AP3149" s="49"/>
      <c r="AQ3149" s="49"/>
      <c r="AR3149" s="49"/>
      <c r="AS3149" s="49"/>
      <c r="AT3149" s="49"/>
    </row>
    <row r="3150">
      <c r="A3150" s="51"/>
      <c r="B3150" s="50">
        <v>16.0</v>
      </c>
      <c r="C3150" s="50">
        <v>1998.0</v>
      </c>
      <c r="D3150" s="49" t="str">
        <f>IFERROR(__xludf.DUMMYFUNCTION("""COMPUTED_VALUE"""),"youth")</f>
        <v>youth</v>
      </c>
      <c r="E3150" s="49"/>
      <c r="F3150" s="49"/>
      <c r="G3150" s="49"/>
      <c r="H3150" s="54" t="str">
        <f t="shared" si="1"/>
        <v>16,</v>
      </c>
      <c r="I3150" s="50"/>
      <c r="J3150" s="50"/>
      <c r="K3150" s="50" t="s">
        <v>5645</v>
      </c>
      <c r="L3150" s="49"/>
      <c r="M3150" s="49"/>
      <c r="N3150" s="49"/>
      <c r="O3150" s="49"/>
      <c r="P3150" s="49" t="str">
        <f t="shared" si="2"/>
        <v>,</v>
      </c>
      <c r="Q3150" s="49"/>
      <c r="R3150" s="49"/>
      <c r="S3150" s="55" t="s">
        <v>1587</v>
      </c>
      <c r="T3150" s="49"/>
      <c r="U3150" s="49"/>
      <c r="V3150" s="49"/>
      <c r="W3150" s="49"/>
      <c r="X3150" s="49" t="str">
        <f t="shared" si="3"/>
        <v>,</v>
      </c>
      <c r="Y3150" s="49"/>
      <c r="Z3150" s="49"/>
      <c r="AB3150" s="49"/>
      <c r="AC3150" s="49"/>
      <c r="AD3150" s="49"/>
      <c r="AE3150" s="49"/>
      <c r="AF3150" s="49"/>
      <c r="AG3150" s="49"/>
      <c r="AH3150" s="1" t="s">
        <v>5247</v>
      </c>
      <c r="AI3150" s="1" t="s">
        <v>5959</v>
      </c>
      <c r="AJ3150" s="6"/>
      <c r="AK3150" s="49"/>
      <c r="AL3150" s="49"/>
      <c r="AM3150" s="49"/>
      <c r="AN3150" s="52" t="str">
        <f t="shared" si="5"/>
        <v>12th,</v>
      </c>
      <c r="AP3150" s="49"/>
      <c r="AQ3150" s="49"/>
      <c r="AR3150" s="49"/>
      <c r="AS3150" s="49"/>
      <c r="AT3150" s="49"/>
    </row>
    <row r="3151">
      <c r="A3151" s="51"/>
      <c r="B3151" s="50">
        <v>48.0</v>
      </c>
      <c r="C3151" s="50" t="s">
        <v>5830</v>
      </c>
      <c r="D3151" s="49" t="str">
        <f>IFERROR(__xludf.DUMMYFUNCTION("""COMPUTED_VALUE"""),"shakespeare")</f>
        <v>shakespeare</v>
      </c>
      <c r="E3151" s="49"/>
      <c r="F3151" s="49"/>
      <c r="G3151" s="49"/>
      <c r="H3151" s="54" t="str">
        <f t="shared" si="1"/>
        <v>48,</v>
      </c>
      <c r="I3151" s="50"/>
      <c r="J3151" s="50"/>
      <c r="K3151" s="50" t="s">
        <v>6028</v>
      </c>
      <c r="L3151" s="49"/>
      <c r="M3151" s="49"/>
      <c r="N3151" s="49"/>
      <c r="O3151" s="49"/>
      <c r="P3151" s="49" t="str">
        <f t="shared" si="2"/>
        <v>,</v>
      </c>
      <c r="Q3151" s="49"/>
      <c r="R3151" s="49"/>
      <c r="S3151" s="55" t="s">
        <v>1592</v>
      </c>
      <c r="T3151" s="49"/>
      <c r="U3151" s="49"/>
      <c r="V3151" s="49"/>
      <c r="W3151" s="49"/>
      <c r="X3151" s="49" t="str">
        <f t="shared" si="3"/>
        <v>,</v>
      </c>
      <c r="Y3151" s="49"/>
      <c r="Z3151" s="49"/>
      <c r="AB3151" s="49"/>
      <c r="AC3151" s="49"/>
      <c r="AD3151" s="49"/>
      <c r="AE3151" s="49"/>
      <c r="AF3151" s="49"/>
      <c r="AG3151" s="49"/>
      <c r="AH3151" s="1" t="s">
        <v>1831</v>
      </c>
      <c r="AI3151" s="1" t="s">
        <v>3907</v>
      </c>
      <c r="AJ3151" s="6"/>
      <c r="AK3151" s="49"/>
      <c r="AL3151" s="49"/>
      <c r="AM3151" s="49"/>
      <c r="AN3151" s="52" t="str">
        <f t="shared" si="5"/>
        <v>album,</v>
      </c>
      <c r="AP3151" s="49"/>
      <c r="AQ3151" s="49"/>
      <c r="AR3151" s="49"/>
      <c r="AS3151" s="49"/>
      <c r="AT3151" s="49"/>
    </row>
    <row r="3152">
      <c r="A3152" s="51"/>
      <c r="B3152" s="50" t="s">
        <v>6607</v>
      </c>
      <c r="C3152" s="50" t="s">
        <v>2533</v>
      </c>
      <c r="D3152" s="49" t="str">
        <f>IFERROR(__xludf.DUMMYFUNCTION("""COMPUTED_VALUE"""),"companion")</f>
        <v>companion</v>
      </c>
      <c r="E3152" s="49"/>
      <c r="F3152" s="49"/>
      <c r="G3152" s="49"/>
      <c r="H3152" s="54" t="str">
        <f t="shared" si="1"/>
        <v>ash,</v>
      </c>
      <c r="I3152" s="50"/>
      <c r="J3152" s="50"/>
      <c r="K3152" s="50" t="s">
        <v>4688</v>
      </c>
      <c r="L3152" s="49"/>
      <c r="M3152" s="49"/>
      <c r="N3152" s="49"/>
      <c r="O3152" s="49"/>
      <c r="P3152" s="49" t="str">
        <f t="shared" si="2"/>
        <v>,</v>
      </c>
      <c r="Q3152" s="49"/>
      <c r="R3152" s="49"/>
      <c r="S3152" s="55" t="s">
        <v>4610</v>
      </c>
      <c r="T3152" s="49"/>
      <c r="U3152" s="49"/>
      <c r="V3152" s="49"/>
      <c r="W3152" s="49"/>
      <c r="X3152" s="49" t="str">
        <f t="shared" si="3"/>
        <v>,</v>
      </c>
      <c r="Y3152" s="49"/>
      <c r="Z3152" s="49"/>
      <c r="AB3152" s="49"/>
      <c r="AC3152" s="49"/>
      <c r="AD3152" s="49"/>
      <c r="AE3152" s="49"/>
      <c r="AF3152" s="49"/>
      <c r="AG3152" s="49"/>
      <c r="AH3152" s="1" t="s">
        <v>6753</v>
      </c>
      <c r="AI3152" s="1" t="s">
        <v>1625</v>
      </c>
      <c r="AJ3152" s="6"/>
      <c r="AK3152" s="49"/>
      <c r="AL3152" s="49"/>
      <c r="AM3152" s="49"/>
      <c r="AN3152" s="52" t="str">
        <f t="shared" si="5"/>
        <v>receiving,</v>
      </c>
      <c r="AP3152" s="49"/>
      <c r="AQ3152" s="49"/>
      <c r="AR3152" s="49"/>
      <c r="AS3152" s="49"/>
      <c r="AT3152" s="49"/>
    </row>
    <row r="3153">
      <c r="A3153" s="51"/>
      <c r="B3153" s="50" t="s">
        <v>3972</v>
      </c>
      <c r="C3153" s="50" t="s">
        <v>5358</v>
      </c>
      <c r="D3153" s="49" t="str">
        <f>IFERROR(__xludf.DUMMYFUNCTION("""COMPUTED_VALUE"""),"sing")</f>
        <v>sing</v>
      </c>
      <c r="E3153" s="49"/>
      <c r="F3153" s="49"/>
      <c r="G3153" s="49"/>
      <c r="H3153" s="54" t="str">
        <f t="shared" si="1"/>
        <v>wear,</v>
      </c>
      <c r="I3153" s="50"/>
      <c r="J3153" s="50"/>
      <c r="K3153" s="50" t="s">
        <v>5356</v>
      </c>
      <c r="L3153" s="49"/>
      <c r="M3153" s="49"/>
      <c r="N3153" s="49"/>
      <c r="O3153" s="49"/>
      <c r="P3153" s="49" t="str">
        <f t="shared" si="2"/>
        <v>,</v>
      </c>
      <c r="Q3153" s="49"/>
      <c r="R3153" s="49"/>
      <c r="S3153" s="55" t="s">
        <v>4613</v>
      </c>
      <c r="T3153" s="49"/>
      <c r="U3153" s="49"/>
      <c r="V3153" s="49"/>
      <c r="W3153" s="49"/>
      <c r="X3153" s="49" t="str">
        <f t="shared" si="3"/>
        <v>,</v>
      </c>
      <c r="Y3153" s="49"/>
      <c r="Z3153" s="49"/>
      <c r="AB3153" s="49"/>
      <c r="AC3153" s="49"/>
      <c r="AD3153" s="49"/>
      <c r="AE3153" s="49"/>
      <c r="AF3153" s="49"/>
      <c r="AG3153" s="49"/>
      <c r="AH3153" s="1" t="s">
        <v>5441</v>
      </c>
      <c r="AI3153" s="1" t="s">
        <v>5201</v>
      </c>
      <c r="AJ3153" s="6"/>
      <c r="AK3153" s="49"/>
      <c r="AL3153" s="49"/>
      <c r="AM3153" s="49"/>
      <c r="AN3153" s="52" t="str">
        <f t="shared" si="5"/>
        <v>hiding,</v>
      </c>
      <c r="AP3153" s="49"/>
      <c r="AQ3153" s="49"/>
      <c r="AR3153" s="49"/>
      <c r="AS3153" s="49"/>
      <c r="AT3153" s="49"/>
    </row>
    <row r="3154">
      <c r="A3154" s="51"/>
      <c r="B3154" s="50" t="s">
        <v>5060</v>
      </c>
      <c r="C3154" s="50" t="s">
        <v>5389</v>
      </c>
      <c r="D3154" s="49" t="str">
        <f>IFERROR(__xludf.DUMMYFUNCTION("""COMPUTED_VALUE"""),"lucas")</f>
        <v>lucas</v>
      </c>
      <c r="E3154" s="49"/>
      <c r="F3154" s="49"/>
      <c r="G3154" s="49"/>
      <c r="H3154" s="54" t="str">
        <f t="shared" si="1"/>
        <v>arrow,</v>
      </c>
      <c r="I3154" s="50"/>
      <c r="J3154" s="50"/>
      <c r="K3154" s="50" t="s">
        <v>4690</v>
      </c>
      <c r="L3154" s="49"/>
      <c r="M3154" s="49"/>
      <c r="N3154" s="49"/>
      <c r="O3154" s="49"/>
      <c r="P3154" s="49" t="str">
        <f t="shared" si="2"/>
        <v>,</v>
      </c>
      <c r="Q3154" s="49"/>
      <c r="R3154" s="49"/>
      <c r="S3154" s="55" t="s">
        <v>3790</v>
      </c>
      <c r="T3154" s="49"/>
      <c r="U3154" s="49"/>
      <c r="V3154" s="49"/>
      <c r="W3154" s="49"/>
      <c r="X3154" s="49" t="str">
        <f t="shared" si="3"/>
        <v>,</v>
      </c>
      <c r="Y3154" s="49"/>
      <c r="Z3154" s="49"/>
      <c r="AB3154" s="49"/>
      <c r="AC3154" s="49"/>
      <c r="AD3154" s="49"/>
      <c r="AE3154" s="49"/>
      <c r="AF3154" s="49"/>
      <c r="AG3154" s="49"/>
      <c r="AH3154" s="1" t="s">
        <v>4656</v>
      </c>
      <c r="AI3154" s="1" t="s">
        <v>3908</v>
      </c>
      <c r="AJ3154" s="6"/>
      <c r="AK3154" s="49"/>
      <c r="AL3154" s="49"/>
      <c r="AM3154" s="49"/>
      <c r="AN3154" s="52" t="str">
        <f t="shared" si="5"/>
        <v>crosses,</v>
      </c>
      <c r="AP3154" s="49"/>
      <c r="AQ3154" s="49"/>
      <c r="AR3154" s="49"/>
      <c r="AS3154" s="49"/>
      <c r="AT3154" s="49"/>
    </row>
    <row r="3155">
      <c r="A3155" s="51"/>
      <c r="B3155" s="50" t="s">
        <v>1039</v>
      </c>
      <c r="C3155" s="50" t="s">
        <v>3673</v>
      </c>
      <c r="D3155" s="49" t="str">
        <f>IFERROR(__xludf.DUMMYFUNCTION("""COMPUTED_VALUE"""),"beach")</f>
        <v>beach</v>
      </c>
      <c r="E3155" s="49"/>
      <c r="F3155" s="49"/>
      <c r="G3155" s="49"/>
      <c r="H3155" s="54" t="str">
        <f t="shared" si="1"/>
        <v>served,</v>
      </c>
      <c r="I3155" s="50"/>
      <c r="J3155" s="50"/>
      <c r="K3155" s="50" t="s">
        <v>4693</v>
      </c>
      <c r="L3155" s="49"/>
      <c r="M3155" s="49"/>
      <c r="N3155" s="49"/>
      <c r="O3155" s="49"/>
      <c r="P3155" s="49" t="str">
        <f t="shared" si="2"/>
        <v>,</v>
      </c>
      <c r="Q3155" s="49"/>
      <c r="R3155" s="49"/>
      <c r="S3155" s="55" t="s">
        <v>2823</v>
      </c>
      <c r="T3155" s="49"/>
      <c r="U3155" s="49"/>
      <c r="V3155" s="49"/>
      <c r="W3155" s="49"/>
      <c r="X3155" s="49" t="str">
        <f t="shared" si="3"/>
        <v>,</v>
      </c>
      <c r="Y3155" s="49"/>
      <c r="Z3155" s="49"/>
      <c r="AB3155" s="49"/>
      <c r="AC3155" s="49"/>
      <c r="AD3155" s="49"/>
      <c r="AE3155" s="49"/>
      <c r="AF3155" s="49"/>
      <c r="AG3155" s="49"/>
      <c r="AH3155" s="1" t="s">
        <v>6730</v>
      </c>
      <c r="AI3155" s="1" t="s">
        <v>4195</v>
      </c>
      <c r="AJ3155" s="6"/>
      <c r="AK3155" s="49"/>
      <c r="AL3155" s="49"/>
      <c r="AM3155" s="49"/>
      <c r="AN3155" s="52" t="str">
        <f t="shared" si="5"/>
        <v>prevent,</v>
      </c>
      <c r="AP3155" s="49"/>
      <c r="AQ3155" s="49"/>
      <c r="AR3155" s="49"/>
      <c r="AS3155" s="49"/>
      <c r="AT3155" s="49"/>
    </row>
    <row r="3156">
      <c r="A3156" s="51"/>
      <c r="B3156" s="50" t="s">
        <v>3063</v>
      </c>
      <c r="C3156" s="50" t="s">
        <v>1549</v>
      </c>
      <c r="D3156" s="49" t="str">
        <f>IFERROR(__xludf.DUMMYFUNCTION("""COMPUTED_VALUE"""),"schedule")</f>
        <v>schedule</v>
      </c>
      <c r="E3156" s="49"/>
      <c r="F3156" s="49"/>
      <c r="G3156" s="49"/>
      <c r="H3156" s="54" t="str">
        <f t="shared" si="1"/>
        <v>latin,</v>
      </c>
      <c r="I3156" s="50"/>
      <c r="J3156" s="50"/>
      <c r="K3156" s="50" t="s">
        <v>2913</v>
      </c>
      <c r="L3156" s="49"/>
      <c r="M3156" s="49"/>
      <c r="N3156" s="49"/>
      <c r="O3156" s="49"/>
      <c r="P3156" s="49" t="str">
        <f t="shared" si="2"/>
        <v>,</v>
      </c>
      <c r="Q3156" s="49"/>
      <c r="R3156" s="49"/>
      <c r="S3156" s="55" t="s">
        <v>722</v>
      </c>
      <c r="T3156" s="49"/>
      <c r="U3156" s="49"/>
      <c r="V3156" s="49"/>
      <c r="W3156" s="49"/>
      <c r="X3156" s="49" t="str">
        <f t="shared" si="3"/>
        <v>,</v>
      </c>
      <c r="Y3156" s="49"/>
      <c r="Z3156" s="49"/>
      <c r="AB3156" s="49"/>
      <c r="AC3156" s="49"/>
      <c r="AD3156" s="49"/>
      <c r="AE3156" s="49"/>
      <c r="AF3156" s="49"/>
      <c r="AG3156" s="49"/>
      <c r="AH3156" s="1" t="s">
        <v>6970</v>
      </c>
      <c r="AI3156" s="1" t="s">
        <v>5727</v>
      </c>
      <c r="AJ3156" s="6"/>
      <c r="AK3156" s="49"/>
      <c r="AL3156" s="49"/>
      <c r="AM3156" s="49"/>
      <c r="AN3156" s="52" t="str">
        <f t="shared" si="5"/>
        <v>ordered,</v>
      </c>
      <c r="AP3156" s="49"/>
      <c r="AQ3156" s="49"/>
      <c r="AR3156" s="49"/>
      <c r="AS3156" s="49"/>
      <c r="AT3156" s="49"/>
    </row>
    <row r="3157">
      <c r="A3157" s="51"/>
      <c r="B3157" s="50" t="s">
        <v>2590</v>
      </c>
      <c r="C3157" s="50" t="s">
        <v>3998</v>
      </c>
      <c r="D3157" s="49" t="str">
        <f>IFERROR(__xludf.DUMMYFUNCTION("""COMPUTED_VALUE"""),"critic")</f>
        <v>critic</v>
      </c>
      <c r="E3157" s="49"/>
      <c r="F3157" s="49"/>
      <c r="G3157" s="49"/>
      <c r="H3157" s="54" t="str">
        <f t="shared" si="1"/>
        <v>pace,</v>
      </c>
      <c r="I3157" s="50"/>
      <c r="J3157" s="50"/>
      <c r="K3157" s="50" t="s">
        <v>4695</v>
      </c>
      <c r="L3157" s="49"/>
      <c r="M3157" s="49"/>
      <c r="N3157" s="49"/>
      <c r="O3157" s="49"/>
      <c r="P3157" s="49" t="str">
        <f t="shared" si="2"/>
        <v>,</v>
      </c>
      <c r="Q3157" s="49"/>
      <c r="R3157" s="49"/>
      <c r="S3157" s="55" t="s">
        <v>4942</v>
      </c>
      <c r="T3157" s="49"/>
      <c r="U3157" s="49"/>
      <c r="V3157" s="49"/>
      <c r="W3157" s="49"/>
      <c r="X3157" s="49" t="str">
        <f t="shared" si="3"/>
        <v>,</v>
      </c>
      <c r="Y3157" s="49"/>
      <c r="Z3157" s="49"/>
      <c r="AB3157" s="49"/>
      <c r="AC3157" s="49"/>
      <c r="AD3157" s="49"/>
      <c r="AE3157" s="49"/>
      <c r="AF3157" s="49"/>
      <c r="AG3157" s="49"/>
      <c r="AH3157" s="1" t="s">
        <v>3682</v>
      </c>
      <c r="AI3157" s="1" t="s">
        <v>6977</v>
      </c>
      <c r="AJ3157" s="6"/>
      <c r="AK3157" s="49"/>
      <c r="AL3157" s="49"/>
      <c r="AM3157" s="49"/>
      <c r="AN3157" s="52" t="str">
        <f t="shared" si="5"/>
        <v>waters,</v>
      </c>
      <c r="AP3157" s="49"/>
      <c r="AQ3157" s="49"/>
      <c r="AR3157" s="49"/>
      <c r="AS3157" s="49"/>
      <c r="AT3157" s="49"/>
    </row>
    <row r="3158">
      <c r="A3158" s="51"/>
      <c r="B3158" s="50" t="s">
        <v>4958</v>
      </c>
      <c r="C3158" s="50" t="s">
        <v>4271</v>
      </c>
      <c r="D3158" s="49" t="str">
        <f>IFERROR(__xludf.DUMMYFUNCTION("""COMPUTED_VALUE"""),"functions")</f>
        <v>functions</v>
      </c>
      <c r="E3158" s="49"/>
      <c r="F3158" s="49"/>
      <c r="G3158" s="49"/>
      <c r="H3158" s="54" t="str">
        <f t="shared" si="1"/>
        <v>improvement,</v>
      </c>
      <c r="I3158" s="50"/>
      <c r="J3158" s="50"/>
      <c r="K3158" s="50" t="s">
        <v>5939</v>
      </c>
      <c r="L3158" s="49"/>
      <c r="M3158" s="49"/>
      <c r="N3158" s="49"/>
      <c r="O3158" s="49"/>
      <c r="P3158" s="49" t="str">
        <f t="shared" si="2"/>
        <v>,</v>
      </c>
      <c r="Q3158" s="49"/>
      <c r="R3158" s="49"/>
      <c r="S3158" s="55" t="s">
        <v>519</v>
      </c>
      <c r="T3158" s="49"/>
      <c r="U3158" s="49"/>
      <c r="V3158" s="49"/>
      <c r="W3158" s="49"/>
      <c r="X3158" s="49" t="str">
        <f t="shared" si="3"/>
        <v>,</v>
      </c>
      <c r="Y3158" s="49"/>
      <c r="Z3158" s="49"/>
      <c r="AB3158" s="49"/>
      <c r="AC3158" s="49"/>
      <c r="AD3158" s="49"/>
      <c r="AE3158" s="49"/>
      <c r="AF3158" s="49"/>
      <c r="AG3158" s="49"/>
      <c r="AH3158" s="1" t="s">
        <v>3594</v>
      </c>
      <c r="AI3158" s="1" t="s">
        <v>1809</v>
      </c>
      <c r="AJ3158" s="6"/>
      <c r="AK3158" s="49"/>
      <c r="AL3158" s="49"/>
      <c r="AM3158" s="49"/>
      <c r="AN3158" s="52" t="str">
        <f t="shared" si="5"/>
        <v>liberal,</v>
      </c>
      <c r="AP3158" s="49"/>
      <c r="AQ3158" s="49"/>
      <c r="AR3158" s="49"/>
      <c r="AS3158" s="49"/>
      <c r="AT3158" s="49"/>
    </row>
    <row r="3159">
      <c r="A3159" s="51"/>
      <c r="B3159" s="50" t="s">
        <v>67</v>
      </c>
      <c r="C3159" s="50" t="s">
        <v>1415</v>
      </c>
      <c r="D3159" s="49" t="str">
        <f>IFERROR(__xludf.DUMMYFUNCTION("""COMPUTED_VALUE"""),"causes")</f>
        <v>causes</v>
      </c>
      <c r="E3159" s="49"/>
      <c r="F3159" s="49"/>
      <c r="G3159" s="49"/>
      <c r="H3159" s="54" t="str">
        <f t="shared" si="1"/>
        <v>uncertain,</v>
      </c>
      <c r="I3159" s="50"/>
      <c r="J3159" s="50"/>
      <c r="K3159" s="50" t="s">
        <v>5643</v>
      </c>
      <c r="L3159" s="49"/>
      <c r="M3159" s="49"/>
      <c r="N3159" s="49"/>
      <c r="O3159" s="49"/>
      <c r="P3159" s="49" t="str">
        <f t="shared" si="2"/>
        <v>,</v>
      </c>
      <c r="Q3159" s="49"/>
      <c r="R3159" s="49"/>
      <c r="S3159" s="55" t="s">
        <v>4499</v>
      </c>
      <c r="T3159" s="49"/>
      <c r="U3159" s="49"/>
      <c r="V3159" s="49"/>
      <c r="W3159" s="49"/>
      <c r="X3159" s="49" t="str">
        <f t="shared" si="3"/>
        <v>,</v>
      </c>
      <c r="Y3159" s="49"/>
      <c r="Z3159" s="49"/>
      <c r="AB3159" s="49"/>
      <c r="AC3159" s="49"/>
      <c r="AD3159" s="49"/>
      <c r="AE3159" s="49"/>
      <c r="AF3159" s="49"/>
      <c r="AG3159" s="49"/>
      <c r="AH3159" s="1" t="s">
        <v>2395</v>
      </c>
      <c r="AI3159" s="1" t="s">
        <v>3042</v>
      </c>
      <c r="AJ3159" s="6"/>
      <c r="AK3159" s="49"/>
      <c r="AL3159" s="49"/>
      <c r="AM3159" s="49"/>
      <c r="AN3159" s="52" t="str">
        <f t="shared" si="5"/>
        <v>democracy,</v>
      </c>
      <c r="AP3159" s="49"/>
      <c r="AQ3159" s="49"/>
      <c r="AR3159" s="49"/>
      <c r="AS3159" s="49"/>
      <c r="AT3159" s="49"/>
    </row>
    <row r="3160">
      <c r="A3160" s="51"/>
      <c r="B3160" s="50" t="s">
        <v>3555</v>
      </c>
      <c r="C3160" s="50" t="s">
        <v>5840</v>
      </c>
      <c r="D3160" s="49" t="str">
        <f>IFERROR(__xludf.DUMMYFUNCTION("""COMPUTED_VALUE"""),"engine")</f>
        <v>engine</v>
      </c>
      <c r="E3160" s="49"/>
      <c r="F3160" s="49"/>
      <c r="G3160" s="49"/>
      <c r="H3160" s="54" t="str">
        <f t="shared" si="1"/>
        <v>hitting,</v>
      </c>
      <c r="I3160" s="50"/>
      <c r="J3160" s="50"/>
      <c r="K3160" s="50" t="s">
        <v>3504</v>
      </c>
      <c r="L3160" s="49"/>
      <c r="M3160" s="49"/>
      <c r="N3160" s="49"/>
      <c r="O3160" s="49"/>
      <c r="P3160" s="49" t="str">
        <f t="shared" si="2"/>
        <v>,</v>
      </c>
      <c r="Q3160" s="49"/>
      <c r="R3160" s="49"/>
      <c r="S3160" s="55" t="s">
        <v>2827</v>
      </c>
      <c r="T3160" s="49"/>
      <c r="U3160" s="49"/>
      <c r="V3160" s="49"/>
      <c r="W3160" s="49"/>
      <c r="X3160" s="49" t="str">
        <f t="shared" si="3"/>
        <v>,</v>
      </c>
      <c r="Y3160" s="49"/>
      <c r="Z3160" s="49"/>
      <c r="AB3160" s="49"/>
      <c r="AC3160" s="49"/>
      <c r="AD3160" s="49"/>
      <c r="AE3160" s="49"/>
      <c r="AF3160" s="49"/>
      <c r="AG3160" s="49"/>
      <c r="AH3160" s="1" t="s">
        <v>3568</v>
      </c>
      <c r="AI3160" s="1" t="s">
        <v>6978</v>
      </c>
      <c r="AJ3160" s="6"/>
      <c r="AK3160" s="49"/>
      <c r="AL3160" s="49"/>
      <c r="AM3160" s="49"/>
      <c r="AN3160" s="52" t="str">
        <f t="shared" si="5"/>
        <v>collective,</v>
      </c>
      <c r="AP3160" s="49"/>
      <c r="AQ3160" s="49"/>
      <c r="AR3160" s="49"/>
      <c r="AS3160" s="49"/>
      <c r="AT3160" s="49"/>
    </row>
    <row r="3161">
      <c r="A3161" s="51"/>
      <c r="B3161" s="50" t="s">
        <v>5802</v>
      </c>
      <c r="C3161" s="50" t="s">
        <v>2013</v>
      </c>
      <c r="D3161" s="49" t="str">
        <f>IFERROR(__xludf.DUMMYFUNCTION("""COMPUTED_VALUE"""),"internal")</f>
        <v>internal</v>
      </c>
      <c r="E3161" s="49"/>
      <c r="F3161" s="49"/>
      <c r="G3161" s="49"/>
      <c r="H3161" s="54" t="str">
        <f t="shared" si="1"/>
        <v>conversion,</v>
      </c>
      <c r="I3161" s="50"/>
      <c r="J3161" s="50"/>
      <c r="K3161" s="50" t="s">
        <v>2916</v>
      </c>
      <c r="L3161" s="49"/>
      <c r="M3161" s="49"/>
      <c r="N3161" s="49"/>
      <c r="O3161" s="49"/>
      <c r="P3161" s="49" t="str">
        <f t="shared" si="2"/>
        <v>,</v>
      </c>
      <c r="Q3161" s="49"/>
      <c r="R3161" s="49"/>
      <c r="S3161" s="55" t="s">
        <v>6979</v>
      </c>
      <c r="T3161" s="49"/>
      <c r="U3161" s="49"/>
      <c r="V3161" s="49"/>
      <c r="W3161" s="49"/>
      <c r="X3161" s="49" t="str">
        <f t="shared" si="3"/>
        <v>,</v>
      </c>
      <c r="Y3161" s="49"/>
      <c r="Z3161" s="49"/>
      <c r="AB3161" s="49"/>
      <c r="AC3161" s="49"/>
      <c r="AD3161" s="49"/>
      <c r="AE3161" s="49"/>
      <c r="AF3161" s="49"/>
      <c r="AG3161" s="49"/>
      <c r="AH3161" s="1" t="s">
        <v>6620</v>
      </c>
      <c r="AI3161" s="1" t="s">
        <v>4826</v>
      </c>
      <c r="AJ3161" s="6"/>
      <c r="AK3161" s="49"/>
      <c r="AL3161" s="49"/>
      <c r="AM3161" s="49"/>
      <c r="AN3161" s="52" t="str">
        <f t="shared" si="5"/>
        <v>diego,</v>
      </c>
      <c r="AP3161" s="49"/>
      <c r="AQ3161" s="49"/>
      <c r="AR3161" s="49"/>
      <c r="AS3161" s="49"/>
      <c r="AT3161" s="49"/>
    </row>
    <row r="3162">
      <c r="A3162" s="51"/>
      <c r="B3162" s="50" t="s">
        <v>2079</v>
      </c>
      <c r="C3162" s="50" t="s">
        <v>1687</v>
      </c>
      <c r="D3162" s="49" t="str">
        <f>IFERROR(__xludf.DUMMYFUNCTION("""COMPUTED_VALUE"""),"join")</f>
        <v>join</v>
      </c>
      <c r="E3162" s="49"/>
      <c r="F3162" s="49"/>
      <c r="G3162" s="49"/>
      <c r="H3162" s="54" t="str">
        <f t="shared" si="1"/>
        <v>targeted,</v>
      </c>
      <c r="I3162" s="50"/>
      <c r="J3162" s="50"/>
      <c r="K3162" s="50" t="s">
        <v>2918</v>
      </c>
      <c r="L3162" s="49"/>
      <c r="M3162" s="49"/>
      <c r="N3162" s="49"/>
      <c r="O3162" s="49"/>
      <c r="P3162" s="49" t="str">
        <f t="shared" si="2"/>
        <v>,</v>
      </c>
      <c r="Q3162" s="49"/>
      <c r="R3162" s="49"/>
      <c r="S3162" s="55" t="s">
        <v>4619</v>
      </c>
      <c r="T3162" s="49"/>
      <c r="U3162" s="49"/>
      <c r="V3162" s="49"/>
      <c r="W3162" s="49"/>
      <c r="X3162" s="49" t="str">
        <f t="shared" si="3"/>
        <v>,</v>
      </c>
      <c r="Y3162" s="49"/>
      <c r="Z3162" s="49"/>
      <c r="AB3162" s="49"/>
      <c r="AC3162" s="49"/>
      <c r="AD3162" s="49"/>
      <c r="AE3162" s="49"/>
      <c r="AF3162" s="49"/>
      <c r="AG3162" s="49"/>
      <c r="AH3162" s="1" t="s">
        <v>6926</v>
      </c>
      <c r="AI3162" s="1" t="s">
        <v>4969</v>
      </c>
      <c r="AJ3162" s="6"/>
      <c r="AK3162" s="49"/>
      <c r="AL3162" s="49"/>
      <c r="AM3162" s="49"/>
      <c r="AN3162" s="52" t="str">
        <f t="shared" si="5"/>
        <v>participate,</v>
      </c>
      <c r="AP3162" s="49"/>
      <c r="AQ3162" s="49"/>
      <c r="AR3162" s="49"/>
      <c r="AS3162" s="49"/>
      <c r="AT3162" s="49"/>
    </row>
    <row r="3163">
      <c r="A3163" s="51"/>
      <c r="B3163" s="50">
        <v>1960.0</v>
      </c>
      <c r="C3163" s="50" t="s">
        <v>6980</v>
      </c>
      <c r="D3163" s="49" t="str">
        <f>IFERROR(__xludf.DUMMYFUNCTION("""COMPUTED_VALUE"""),"buried")</f>
        <v>buried</v>
      </c>
      <c r="E3163" s="49"/>
      <c r="F3163" s="49"/>
      <c r="G3163" s="49"/>
      <c r="H3163" s="54" t="str">
        <f t="shared" si="1"/>
        <v>1960,</v>
      </c>
      <c r="I3163" s="50"/>
      <c r="J3163" s="50"/>
      <c r="K3163" s="50" t="s">
        <v>2923</v>
      </c>
      <c r="L3163" s="49"/>
      <c r="M3163" s="49"/>
      <c r="N3163" s="49"/>
      <c r="O3163" s="49"/>
      <c r="P3163" s="49" t="str">
        <f t="shared" si="2"/>
        <v>,</v>
      </c>
      <c r="Q3163" s="49"/>
      <c r="R3163" s="49"/>
      <c r="S3163" s="55" t="s">
        <v>6214</v>
      </c>
      <c r="T3163" s="49"/>
      <c r="U3163" s="49"/>
      <c r="V3163" s="49"/>
      <c r="W3163" s="49"/>
      <c r="X3163" s="49" t="str">
        <f t="shared" si="3"/>
        <v>,</v>
      </c>
      <c r="Y3163" s="49"/>
      <c r="Z3163" s="49"/>
      <c r="AB3163" s="49"/>
      <c r="AC3163" s="49"/>
      <c r="AD3163" s="49"/>
      <c r="AE3163" s="49"/>
      <c r="AF3163" s="49"/>
      <c r="AG3163" s="49"/>
      <c r="AH3163" s="1" t="s">
        <v>832</v>
      </c>
      <c r="AI3163" s="1" t="s">
        <v>6981</v>
      </c>
      <c r="AJ3163" s="6"/>
      <c r="AK3163" s="49"/>
      <c r="AL3163" s="49"/>
      <c r="AM3163" s="49"/>
      <c r="AN3163" s="52" t="str">
        <f t="shared" si="5"/>
        <v>laboratory,</v>
      </c>
      <c r="AP3163" s="49"/>
      <c r="AQ3163" s="49"/>
      <c r="AR3163" s="49"/>
      <c r="AS3163" s="49"/>
      <c r="AT3163" s="49"/>
    </row>
    <row r="3164">
      <c r="A3164" s="51"/>
      <c r="B3164" s="50" t="s">
        <v>3907</v>
      </c>
      <c r="C3164" s="50" t="s">
        <v>5140</v>
      </c>
      <c r="D3164" s="49" t="str">
        <f>IFERROR(__xludf.DUMMYFUNCTION("""COMPUTED_VALUE"""),"residents")</f>
        <v>residents</v>
      </c>
      <c r="E3164" s="49"/>
      <c r="F3164" s="49"/>
      <c r="G3164" s="49"/>
      <c r="H3164" s="54" t="str">
        <f t="shared" si="1"/>
        <v>controversial,</v>
      </c>
      <c r="I3164" s="50"/>
      <c r="J3164" s="50"/>
      <c r="K3164" s="50" t="s">
        <v>1904</v>
      </c>
      <c r="L3164" s="49"/>
      <c r="M3164" s="49"/>
      <c r="N3164" s="49"/>
      <c r="O3164" s="49"/>
      <c r="P3164" s="49" t="str">
        <f t="shared" si="2"/>
        <v>,</v>
      </c>
      <c r="Q3164" s="49"/>
      <c r="R3164" s="49"/>
      <c r="S3164" s="55" t="s">
        <v>5566</v>
      </c>
      <c r="T3164" s="49"/>
      <c r="U3164" s="49"/>
      <c r="V3164" s="49"/>
      <c r="W3164" s="49"/>
      <c r="X3164" s="49" t="str">
        <f t="shared" si="3"/>
        <v>,</v>
      </c>
      <c r="Y3164" s="49"/>
      <c r="Z3164" s="49"/>
      <c r="AB3164" s="49"/>
      <c r="AC3164" s="49"/>
      <c r="AD3164" s="49"/>
      <c r="AE3164" s="49"/>
      <c r="AF3164" s="49"/>
      <c r="AG3164" s="49"/>
      <c r="AH3164" s="1" t="s">
        <v>3807</v>
      </c>
      <c r="AI3164" s="1" t="s">
        <v>5735</v>
      </c>
      <c r="AJ3164" s="6"/>
      <c r="AK3164" s="49"/>
      <c r="AL3164" s="49"/>
      <c r="AM3164" s="49"/>
      <c r="AN3164" s="52" t="str">
        <f t="shared" si="5"/>
        <v>mall,</v>
      </c>
      <c r="AP3164" s="49"/>
      <c r="AQ3164" s="49"/>
      <c r="AR3164" s="49"/>
      <c r="AS3164" s="49"/>
      <c r="AT3164" s="49"/>
    </row>
    <row r="3165">
      <c r="A3165" s="51"/>
      <c r="B3165" s="50" t="s">
        <v>4348</v>
      </c>
      <c r="C3165" s="50" t="s">
        <v>6842</v>
      </c>
      <c r="D3165" s="49" t="str">
        <f>IFERROR(__xludf.DUMMYFUNCTION("""COMPUTED_VALUE"""),"neighborhood")</f>
        <v>neighborhood</v>
      </c>
      <c r="E3165" s="49"/>
      <c r="F3165" s="49"/>
      <c r="G3165" s="49"/>
      <c r="H3165" s="54" t="str">
        <f t="shared" si="1"/>
        <v>specifically,</v>
      </c>
      <c r="I3165" s="50"/>
      <c r="J3165" s="50"/>
      <c r="K3165" s="50" t="s">
        <v>5817</v>
      </c>
      <c r="L3165" s="49"/>
      <c r="M3165" s="49"/>
      <c r="N3165" s="49"/>
      <c r="O3165" s="49"/>
      <c r="P3165" s="49" t="str">
        <f t="shared" si="2"/>
        <v>,</v>
      </c>
      <c r="Q3165" s="49"/>
      <c r="R3165" s="49"/>
      <c r="S3165" s="55" t="s">
        <v>5567</v>
      </c>
      <c r="T3165" s="49"/>
      <c r="U3165" s="49"/>
      <c r="V3165" s="49"/>
      <c r="W3165" s="49"/>
      <c r="X3165" s="49" t="str">
        <f t="shared" si="3"/>
        <v>,</v>
      </c>
      <c r="Y3165" s="49"/>
      <c r="Z3165" s="49"/>
      <c r="AB3165" s="49"/>
      <c r="AC3165" s="49"/>
      <c r="AD3165" s="49"/>
      <c r="AE3165" s="49"/>
      <c r="AF3165" s="49"/>
      <c r="AG3165" s="49"/>
      <c r="AH3165" s="1" t="s">
        <v>5030</v>
      </c>
      <c r="AI3165" s="1" t="s">
        <v>6982</v>
      </c>
      <c r="AJ3165" s="6"/>
      <c r="AK3165" s="49"/>
      <c r="AL3165" s="49"/>
      <c r="AM3165" s="49"/>
      <c r="AN3165" s="52" t="str">
        <f t="shared" si="5"/>
        <v>tomorrow,</v>
      </c>
      <c r="AP3165" s="49"/>
      <c r="AQ3165" s="49"/>
      <c r="AR3165" s="49"/>
      <c r="AS3165" s="49"/>
      <c r="AT3165" s="49"/>
    </row>
    <row r="3166">
      <c r="A3166" s="51"/>
      <c r="B3166" s="50" t="s">
        <v>4384</v>
      </c>
      <c r="C3166" s="50" t="s">
        <v>5369</v>
      </c>
      <c r="D3166" s="49" t="str">
        <f>IFERROR(__xludf.DUMMYFUNCTION("""COMPUTED_VALUE"""),"paris")</f>
        <v>paris</v>
      </c>
      <c r="E3166" s="49"/>
      <c r="F3166" s="49"/>
      <c r="G3166" s="49"/>
      <c r="H3166" s="54" t="str">
        <f t="shared" si="1"/>
        <v>mill,</v>
      </c>
      <c r="I3166" s="50"/>
      <c r="J3166" s="50"/>
      <c r="K3166" s="50" t="s">
        <v>5647</v>
      </c>
      <c r="L3166" s="49"/>
      <c r="M3166" s="49"/>
      <c r="N3166" s="49"/>
      <c r="O3166" s="49"/>
      <c r="P3166" s="49" t="str">
        <f t="shared" si="2"/>
        <v>,</v>
      </c>
      <c r="Q3166" s="49"/>
      <c r="R3166" s="49"/>
      <c r="S3166" s="55" t="s">
        <v>4622</v>
      </c>
      <c r="T3166" s="49"/>
      <c r="U3166" s="49"/>
      <c r="V3166" s="49"/>
      <c r="W3166" s="49"/>
      <c r="X3166" s="49" t="str">
        <f t="shared" si="3"/>
        <v>,</v>
      </c>
      <c r="Y3166" s="49"/>
      <c r="Z3166" s="49"/>
      <c r="AB3166" s="49"/>
      <c r="AC3166" s="49"/>
      <c r="AD3166" s="49"/>
      <c r="AE3166" s="49"/>
      <c r="AF3166" s="49"/>
      <c r="AG3166" s="49"/>
      <c r="AH3166" s="1" t="s">
        <v>5115</v>
      </c>
      <c r="AI3166" s="1" t="s">
        <v>6983</v>
      </c>
      <c r="AJ3166" s="6"/>
      <c r="AK3166" s="49"/>
      <c r="AL3166" s="49"/>
      <c r="AM3166" s="49"/>
      <c r="AN3166" s="52" t="str">
        <f t="shared" si="5"/>
        <v>apply,</v>
      </c>
      <c r="AP3166" s="49"/>
      <c r="AQ3166" s="49"/>
      <c r="AR3166" s="49"/>
      <c r="AS3166" s="49"/>
      <c r="AT3166" s="49"/>
    </row>
    <row r="3167">
      <c r="A3167" s="51"/>
      <c r="B3167" s="50" t="s">
        <v>6485</v>
      </c>
      <c r="C3167" s="50" t="s">
        <v>5748</v>
      </c>
      <c r="D3167" s="49" t="str">
        <f>IFERROR(__xludf.DUMMYFUNCTION("""COMPUTED_VALUE"""),"apple")</f>
        <v>apple</v>
      </c>
      <c r="E3167" s="49"/>
      <c r="F3167" s="49"/>
      <c r="G3167" s="49"/>
      <c r="H3167" s="54" t="str">
        <f t="shared" si="1"/>
        <v>quiet,</v>
      </c>
      <c r="I3167" s="50"/>
      <c r="J3167" s="50"/>
      <c r="K3167" s="50" t="s">
        <v>1633</v>
      </c>
      <c r="L3167" s="49"/>
      <c r="M3167" s="49"/>
      <c r="N3167" s="49"/>
      <c r="O3167" s="49"/>
      <c r="P3167" s="49" t="str">
        <f t="shared" si="2"/>
        <v>,</v>
      </c>
      <c r="Q3167" s="49"/>
      <c r="R3167" s="49"/>
      <c r="S3167" s="55" t="s">
        <v>4624</v>
      </c>
      <c r="T3167" s="49"/>
      <c r="U3167" s="49"/>
      <c r="V3167" s="49"/>
      <c r="W3167" s="49"/>
      <c r="X3167" s="49" t="str">
        <f t="shared" si="3"/>
        <v>,</v>
      </c>
      <c r="Y3167" s="49"/>
      <c r="Z3167" s="49"/>
      <c r="AB3167" s="49"/>
      <c r="AC3167" s="49"/>
      <c r="AD3167" s="49"/>
      <c r="AE3167" s="49"/>
      <c r="AF3167" s="49"/>
      <c r="AG3167" s="49"/>
      <c r="AH3167" s="1" t="s">
        <v>6785</v>
      </c>
      <c r="AI3167" s="1" t="s">
        <v>5738</v>
      </c>
      <c r="AJ3167" s="6"/>
      <c r="AK3167" s="49"/>
      <c r="AL3167" s="49"/>
      <c r="AM3167" s="49"/>
      <c r="AN3167" s="52" t="str">
        <f t="shared" si="5"/>
        <v>pride,</v>
      </c>
      <c r="AP3167" s="49"/>
      <c r="AQ3167" s="49"/>
      <c r="AR3167" s="49"/>
      <c r="AS3167" s="49"/>
      <c r="AT3167" s="49"/>
    </row>
    <row r="3168">
      <c r="A3168" s="51"/>
      <c r="B3168" s="50" t="s">
        <v>5888</v>
      </c>
      <c r="C3168" s="50" t="s">
        <v>4264</v>
      </c>
      <c r="D3168" s="49" t="str">
        <f>IFERROR(__xludf.DUMMYFUNCTION("""COMPUTED_VALUE"""),"lit")</f>
        <v>lit</v>
      </c>
      <c r="E3168" s="49"/>
      <c r="F3168" s="49"/>
      <c r="G3168" s="49"/>
      <c r="H3168" s="54" t="str">
        <f t="shared" si="1"/>
        <v>illustrated,</v>
      </c>
      <c r="I3168" s="50"/>
      <c r="J3168" s="50"/>
      <c r="K3168" s="50" t="s">
        <v>5649</v>
      </c>
      <c r="L3168" s="49"/>
      <c r="M3168" s="49"/>
      <c r="N3168" s="49"/>
      <c r="O3168" s="49"/>
      <c r="P3168" s="49" t="str">
        <f t="shared" si="2"/>
        <v>,</v>
      </c>
      <c r="Q3168" s="49"/>
      <c r="R3168" s="49"/>
      <c r="S3168" s="55" t="s">
        <v>2855</v>
      </c>
      <c r="T3168" s="49"/>
      <c r="U3168" s="49"/>
      <c r="V3168" s="49"/>
      <c r="W3168" s="49"/>
      <c r="X3168" s="49" t="str">
        <f t="shared" si="3"/>
        <v>,</v>
      </c>
      <c r="Y3168" s="49"/>
      <c r="Z3168" s="49"/>
      <c r="AB3168" s="49"/>
      <c r="AC3168" s="49"/>
      <c r="AD3168" s="49"/>
      <c r="AE3168" s="49"/>
      <c r="AF3168" s="49"/>
      <c r="AG3168" s="49"/>
      <c r="AH3168" s="1" t="s">
        <v>2657</v>
      </c>
      <c r="AI3168" s="1" t="s">
        <v>6984</v>
      </c>
      <c r="AJ3168" s="6"/>
      <c r="AK3168" s="49"/>
      <c r="AL3168" s="49"/>
      <c r="AM3168" s="49"/>
      <c r="AN3168" s="52" t="str">
        <f t="shared" si="5"/>
        <v>transition,</v>
      </c>
      <c r="AP3168" s="49"/>
      <c r="AQ3168" s="49"/>
      <c r="AR3168" s="49"/>
      <c r="AS3168" s="49"/>
      <c r="AT3168" s="49"/>
    </row>
    <row r="3169">
      <c r="A3169" s="51"/>
      <c r="B3169" s="50" t="s">
        <v>4693</v>
      </c>
      <c r="C3169" s="50" t="s">
        <v>5923</v>
      </c>
      <c r="D3169" s="49" t="str">
        <f>IFERROR(__xludf.DUMMYFUNCTION("""COMPUTED_VALUE"""),"woods")</f>
        <v>woods</v>
      </c>
      <c r="E3169" s="49"/>
      <c r="F3169" s="49"/>
      <c r="G3169" s="49"/>
      <c r="H3169" s="54" t="str">
        <f t="shared" si="1"/>
        <v>metropolitan,</v>
      </c>
      <c r="I3169" s="50"/>
      <c r="J3169" s="50"/>
      <c r="K3169" s="50" t="s">
        <v>6030</v>
      </c>
      <c r="L3169" s="49"/>
      <c r="M3169" s="49"/>
      <c r="N3169" s="49"/>
      <c r="O3169" s="49"/>
      <c r="P3169" s="49" t="str">
        <f t="shared" si="2"/>
        <v>,</v>
      </c>
      <c r="Q3169" s="49"/>
      <c r="R3169" s="49"/>
      <c r="S3169" s="55" t="s">
        <v>6985</v>
      </c>
      <c r="T3169" s="49"/>
      <c r="U3169" s="49"/>
      <c r="V3169" s="49"/>
      <c r="W3169" s="49"/>
      <c r="X3169" s="49" t="str">
        <f t="shared" si="3"/>
        <v>,</v>
      </c>
      <c r="Y3169" s="49"/>
      <c r="Z3169" s="49"/>
      <c r="AB3169" s="49"/>
      <c r="AC3169" s="49"/>
      <c r="AD3169" s="49"/>
      <c r="AE3169" s="49"/>
      <c r="AF3169" s="49"/>
      <c r="AG3169" s="49"/>
      <c r="AH3169" s="1" t="s">
        <v>5575</v>
      </c>
      <c r="AI3169" s="1" t="s">
        <v>6986</v>
      </c>
      <c r="AJ3169" s="6"/>
      <c r="AK3169" s="49"/>
      <c r="AL3169" s="49"/>
      <c r="AM3169" s="49"/>
      <c r="AN3169" s="52" t="str">
        <f t="shared" si="5"/>
        <v>buried,</v>
      </c>
      <c r="AP3169" s="49"/>
      <c r="AQ3169" s="49"/>
      <c r="AR3169" s="49"/>
      <c r="AS3169" s="49"/>
      <c r="AT3169" s="49"/>
    </row>
    <row r="3170">
      <c r="A3170" s="51"/>
      <c r="B3170" s="50" t="s">
        <v>3192</v>
      </c>
      <c r="C3170" s="50" t="s">
        <v>4719</v>
      </c>
      <c r="D3170" s="49" t="str">
        <f>IFERROR(__xludf.DUMMYFUNCTION("""COMPUTED_VALUE"""),"healthy")</f>
        <v>healthy</v>
      </c>
      <c r="E3170" s="49"/>
      <c r="F3170" s="49"/>
      <c r="G3170" s="49"/>
      <c r="H3170" s="54" t="str">
        <f t="shared" si="1"/>
        <v>panic,</v>
      </c>
      <c r="I3170" s="50"/>
      <c r="J3170" s="50"/>
      <c r="K3170" s="50" t="s">
        <v>5653</v>
      </c>
      <c r="L3170" s="49"/>
      <c r="M3170" s="49"/>
      <c r="N3170" s="49"/>
      <c r="O3170" s="49"/>
      <c r="P3170" s="49" t="str">
        <f t="shared" si="2"/>
        <v>,</v>
      </c>
      <c r="Q3170" s="49"/>
      <c r="R3170" s="49"/>
      <c r="S3170" s="55" t="s">
        <v>4625</v>
      </c>
      <c r="T3170" s="49"/>
      <c r="U3170" s="49"/>
      <c r="V3170" s="49"/>
      <c r="W3170" s="49"/>
      <c r="X3170" s="49" t="str">
        <f t="shared" si="3"/>
        <v>,</v>
      </c>
      <c r="Y3170" s="49"/>
      <c r="Z3170" s="49"/>
      <c r="AB3170" s="49"/>
      <c r="AC3170" s="49"/>
      <c r="AD3170" s="49"/>
      <c r="AE3170" s="49"/>
      <c r="AF3170" s="49"/>
      <c r="AG3170" s="49"/>
      <c r="AH3170" s="1" t="s">
        <v>399</v>
      </c>
      <c r="AI3170" s="1" t="s">
        <v>4538</v>
      </c>
      <c r="AJ3170" s="6"/>
      <c r="AK3170" s="49"/>
      <c r="AL3170" s="49"/>
      <c r="AM3170" s="49"/>
      <c r="AN3170" s="52" t="str">
        <f t="shared" si="5"/>
        <v>iranian,</v>
      </c>
      <c r="AP3170" s="49"/>
      <c r="AQ3170" s="49"/>
      <c r="AR3170" s="49"/>
      <c r="AS3170" s="49"/>
      <c r="AT3170" s="49"/>
    </row>
    <row r="3171">
      <c r="A3171" s="51"/>
      <c r="B3171" s="50" t="s">
        <v>6966</v>
      </c>
      <c r="C3171" s="50" t="s">
        <v>6845</v>
      </c>
      <c r="D3171" s="49" t="str">
        <f>IFERROR(__xludf.DUMMYFUNCTION("""COMPUTED_VALUE"""),"ball")</f>
        <v>ball</v>
      </c>
      <c r="E3171" s="49"/>
      <c r="F3171" s="49"/>
      <c r="G3171" s="49"/>
      <c r="H3171" s="54" t="str">
        <f t="shared" si="1"/>
        <v>views,</v>
      </c>
      <c r="I3171" s="50"/>
      <c r="J3171" s="50"/>
      <c r="K3171" s="50" t="s">
        <v>5655</v>
      </c>
      <c r="L3171" s="49"/>
      <c r="M3171" s="49"/>
      <c r="N3171" s="49"/>
      <c r="O3171" s="49"/>
      <c r="P3171" s="49" t="str">
        <f t="shared" si="2"/>
        <v>,</v>
      </c>
      <c r="Q3171" s="49"/>
      <c r="R3171" s="49"/>
      <c r="S3171" s="55" t="s">
        <v>5573</v>
      </c>
      <c r="T3171" s="49"/>
      <c r="U3171" s="49"/>
      <c r="V3171" s="49"/>
      <c r="W3171" s="49"/>
      <c r="X3171" s="49" t="str">
        <f t="shared" si="3"/>
        <v>,</v>
      </c>
      <c r="Y3171" s="49"/>
      <c r="Z3171" s="49"/>
      <c r="AB3171" s="49"/>
      <c r="AC3171" s="49"/>
      <c r="AD3171" s="49"/>
      <c r="AE3171" s="49"/>
      <c r="AF3171" s="49"/>
      <c r="AG3171" s="49"/>
      <c r="AH3171" s="1" t="s">
        <v>6615</v>
      </c>
      <c r="AI3171" s="1" t="s">
        <v>895</v>
      </c>
      <c r="AJ3171" s="6"/>
      <c r="AK3171" s="49"/>
      <c r="AL3171" s="49"/>
      <c r="AM3171" s="49"/>
      <c r="AN3171" s="52" t="str">
        <f t="shared" si="5"/>
        <v>decisions,</v>
      </c>
      <c r="AP3171" s="49"/>
      <c r="AQ3171" s="49"/>
      <c r="AR3171" s="49"/>
      <c r="AS3171" s="49"/>
      <c r="AT3171" s="49"/>
    </row>
    <row r="3172">
      <c r="A3172" s="51"/>
      <c r="B3172" s="50" t="s">
        <v>4073</v>
      </c>
      <c r="C3172" s="50" t="s">
        <v>4368</v>
      </c>
      <c r="D3172" s="49" t="str">
        <f>IFERROR(__xludf.DUMMYFUNCTION("""COMPUTED_VALUE"""),"drops")</f>
        <v>drops</v>
      </c>
      <c r="E3172" s="49"/>
      <c r="F3172" s="49"/>
      <c r="G3172" s="49"/>
      <c r="H3172" s="54" t="str">
        <f t="shared" si="1"/>
        <v>resident,</v>
      </c>
      <c r="I3172" s="50"/>
      <c r="J3172" s="50"/>
      <c r="K3172" s="50" t="s">
        <v>5777</v>
      </c>
      <c r="L3172" s="49"/>
      <c r="M3172" s="49"/>
      <c r="N3172" s="49"/>
      <c r="O3172" s="49"/>
      <c r="P3172" s="49" t="str">
        <f t="shared" si="2"/>
        <v>,</v>
      </c>
      <c r="Q3172" s="49"/>
      <c r="R3172" s="49"/>
      <c r="S3172" s="55" t="s">
        <v>6055</v>
      </c>
      <c r="T3172" s="49"/>
      <c r="U3172" s="49"/>
      <c r="V3172" s="49"/>
      <c r="W3172" s="49"/>
      <c r="X3172" s="49" t="str">
        <f t="shared" si="3"/>
        <v>,</v>
      </c>
      <c r="Y3172" s="49"/>
      <c r="Z3172" s="49"/>
      <c r="AB3172" s="49"/>
      <c r="AC3172" s="49"/>
      <c r="AD3172" s="49"/>
      <c r="AE3172" s="49"/>
      <c r="AF3172" s="49"/>
      <c r="AG3172" s="49"/>
      <c r="AH3172" s="1" t="s">
        <v>6769</v>
      </c>
      <c r="AI3172" s="1" t="s">
        <v>6142</v>
      </c>
      <c r="AJ3172" s="6"/>
      <c r="AK3172" s="49"/>
      <c r="AL3172" s="49"/>
      <c r="AM3172" s="49"/>
      <c r="AN3172" s="52" t="str">
        <f t="shared" si="5"/>
        <v>charged,</v>
      </c>
      <c r="AP3172" s="49"/>
      <c r="AQ3172" s="49"/>
      <c r="AR3172" s="49"/>
      <c r="AS3172" s="49"/>
      <c r="AT3172" s="49"/>
    </row>
    <row r="3173">
      <c r="A3173" s="51"/>
      <c r="B3173" s="50" t="s">
        <v>2072</v>
      </c>
      <c r="C3173" s="50" t="s">
        <v>6987</v>
      </c>
      <c r="D3173" s="49" t="str">
        <f>IFERROR(__xludf.DUMMYFUNCTION("""COMPUTED_VALUE"""),"masters")</f>
        <v>masters</v>
      </c>
      <c r="E3173" s="49"/>
      <c r="F3173" s="49"/>
      <c r="G3173" s="49"/>
      <c r="H3173" s="54" t="str">
        <f t="shared" si="1"/>
        <v>barrel,</v>
      </c>
      <c r="I3173" s="50"/>
      <c r="J3173" s="50"/>
      <c r="K3173" s="50" t="s">
        <v>4700</v>
      </c>
      <c r="L3173" s="49"/>
      <c r="M3173" s="49"/>
      <c r="N3173" s="49"/>
      <c r="O3173" s="49"/>
      <c r="P3173" s="49" t="str">
        <f t="shared" si="2"/>
        <v>,</v>
      </c>
      <c r="Q3173" s="49"/>
      <c r="R3173" s="49"/>
      <c r="S3173" s="55" t="s">
        <v>5775</v>
      </c>
      <c r="T3173" s="49"/>
      <c r="U3173" s="49"/>
      <c r="V3173" s="49"/>
      <c r="W3173" s="49"/>
      <c r="X3173" s="49" t="str">
        <f t="shared" si="3"/>
        <v>,</v>
      </c>
      <c r="Y3173" s="49"/>
      <c r="Z3173" s="49"/>
      <c r="AB3173" s="49"/>
      <c r="AC3173" s="49"/>
      <c r="AD3173" s="49"/>
      <c r="AE3173" s="49"/>
      <c r="AF3173" s="49"/>
      <c r="AG3173" s="49"/>
      <c r="AH3173" s="1" t="s">
        <v>1791</v>
      </c>
      <c r="AI3173" s="1" t="s">
        <v>6988</v>
      </c>
      <c r="AJ3173" s="6"/>
      <c r="AK3173" s="49"/>
      <c r="AL3173" s="49"/>
      <c r="AM3173" s="49"/>
      <c r="AN3173" s="52" t="str">
        <f t="shared" si="5"/>
        <v>importance,</v>
      </c>
      <c r="AP3173" s="49"/>
      <c r="AQ3173" s="49"/>
      <c r="AR3173" s="49"/>
      <c r="AS3173" s="49"/>
      <c r="AT3173" s="49"/>
    </row>
    <row r="3174">
      <c r="A3174" s="51"/>
      <c r="B3174" s="50" t="s">
        <v>3818</v>
      </c>
      <c r="C3174" s="50" t="s">
        <v>5375</v>
      </c>
      <c r="D3174" s="49" t="str">
        <f>IFERROR(__xludf.DUMMYFUNCTION("""COMPUTED_VALUE"""),"charles")</f>
        <v>charles</v>
      </c>
      <c r="E3174" s="49"/>
      <c r="F3174" s="49"/>
      <c r="G3174" s="49"/>
      <c r="H3174" s="54" t="str">
        <f t="shared" si="1"/>
        <v>variations,</v>
      </c>
      <c r="I3174" s="50"/>
      <c r="J3174" s="50"/>
      <c r="K3174" s="50" t="s">
        <v>4703</v>
      </c>
      <c r="L3174" s="49"/>
      <c r="M3174" s="49"/>
      <c r="N3174" s="49"/>
      <c r="O3174" s="49"/>
      <c r="P3174" s="49" t="str">
        <f t="shared" si="2"/>
        <v>,</v>
      </c>
      <c r="Q3174" s="49"/>
      <c r="R3174" s="49"/>
      <c r="S3174" s="55" t="s">
        <v>2830</v>
      </c>
      <c r="T3174" s="49"/>
      <c r="U3174" s="49"/>
      <c r="V3174" s="49"/>
      <c r="W3174" s="49"/>
      <c r="X3174" s="49" t="str">
        <f t="shared" si="3"/>
        <v>,</v>
      </c>
      <c r="Y3174" s="49"/>
      <c r="Z3174" s="49"/>
      <c r="AB3174" s="49"/>
      <c r="AC3174" s="49"/>
      <c r="AD3174" s="49"/>
      <c r="AE3174" s="49"/>
      <c r="AF3174" s="49"/>
      <c r="AG3174" s="49"/>
      <c r="AH3174" s="1" t="s">
        <v>6096</v>
      </c>
      <c r="AI3174" s="1" t="s">
        <v>6989</v>
      </c>
      <c r="AJ3174" s="6"/>
      <c r="AK3174" s="49"/>
      <c r="AL3174" s="49"/>
      <c r="AM3174" s="49"/>
      <c r="AN3174" s="52" t="str">
        <f t="shared" si="5"/>
        <v>pa,</v>
      </c>
      <c r="AP3174" s="49"/>
      <c r="AQ3174" s="49"/>
      <c r="AR3174" s="49"/>
      <c r="AS3174" s="49"/>
      <c r="AT3174" s="49"/>
    </row>
    <row r="3175">
      <c r="A3175" s="51"/>
      <c r="B3175" s="50" t="s">
        <v>1794</v>
      </c>
      <c r="C3175" s="50" t="s">
        <v>6846</v>
      </c>
      <c r="D3175" s="49" t="str">
        <f>IFERROR(__xludf.DUMMYFUNCTION("""COMPUTED_VALUE"""),"iii")</f>
        <v>iii</v>
      </c>
      <c r="E3175" s="49"/>
      <c r="F3175" s="49"/>
      <c r="G3175" s="49"/>
      <c r="H3175" s="54" t="str">
        <f t="shared" si="1"/>
        <v>harsh,</v>
      </c>
      <c r="I3175" s="50"/>
      <c r="J3175" s="50"/>
      <c r="K3175" s="50" t="s">
        <v>2929</v>
      </c>
      <c r="L3175" s="49"/>
      <c r="M3175" s="49"/>
      <c r="N3175" s="49"/>
      <c r="O3175" s="49"/>
      <c r="P3175" s="49" t="str">
        <f t="shared" si="2"/>
        <v>,</v>
      </c>
      <c r="Q3175" s="49"/>
      <c r="R3175" s="49"/>
      <c r="S3175" s="55" t="s">
        <v>5575</v>
      </c>
      <c r="T3175" s="49"/>
      <c r="U3175" s="49"/>
      <c r="V3175" s="49"/>
      <c r="W3175" s="49"/>
      <c r="X3175" s="49" t="str">
        <f t="shared" si="3"/>
        <v>,</v>
      </c>
      <c r="Y3175" s="49"/>
      <c r="Z3175" s="49"/>
      <c r="AB3175" s="49"/>
      <c r="AC3175" s="49"/>
      <c r="AD3175" s="49"/>
      <c r="AE3175" s="49"/>
      <c r="AF3175" s="49"/>
      <c r="AG3175" s="49"/>
      <c r="AH3175" s="1" t="s">
        <v>5474</v>
      </c>
      <c r="AI3175" s="1" t="s">
        <v>2779</v>
      </c>
      <c r="AJ3175" s="6"/>
      <c r="AK3175" s="49"/>
      <c r="AL3175" s="49"/>
      <c r="AM3175" s="49"/>
      <c r="AN3175" s="52" t="str">
        <f t="shared" si="5"/>
        <v>salt,</v>
      </c>
      <c r="AP3175" s="49"/>
      <c r="AQ3175" s="49"/>
      <c r="AR3175" s="49"/>
      <c r="AS3175" s="49"/>
      <c r="AT3175" s="49"/>
    </row>
    <row r="3176">
      <c r="A3176" s="51"/>
      <c r="B3176" s="50" t="s">
        <v>4264</v>
      </c>
      <c r="C3176" s="50" t="s">
        <v>6847</v>
      </c>
      <c r="D3176" s="49" t="str">
        <f>IFERROR(__xludf.DUMMYFUNCTION("""COMPUTED_VALUE"""),"proposal")</f>
        <v>proposal</v>
      </c>
      <c r="E3176" s="49"/>
      <c r="F3176" s="49"/>
      <c r="G3176" s="49"/>
      <c r="H3176" s="54" t="str">
        <f t="shared" si="1"/>
        <v>primary,</v>
      </c>
      <c r="I3176" s="50"/>
      <c r="J3176" s="50"/>
      <c r="K3176" s="50" t="s">
        <v>3865</v>
      </c>
      <c r="L3176" s="49"/>
      <c r="M3176" s="49"/>
      <c r="N3176" s="49"/>
      <c r="O3176" s="49"/>
      <c r="P3176" s="49" t="str">
        <f t="shared" si="2"/>
        <v>,</v>
      </c>
      <c r="Q3176" s="49"/>
      <c r="R3176" s="49"/>
      <c r="S3176" s="55" t="s">
        <v>4627</v>
      </c>
      <c r="T3176" s="49"/>
      <c r="U3176" s="49"/>
      <c r="V3176" s="49"/>
      <c r="W3176" s="49"/>
      <c r="X3176" s="49" t="str">
        <f t="shared" si="3"/>
        <v>,</v>
      </c>
      <c r="Y3176" s="49"/>
      <c r="Z3176" s="49"/>
      <c r="AB3176" s="49"/>
      <c r="AC3176" s="49"/>
      <c r="AD3176" s="49"/>
      <c r="AE3176" s="49"/>
      <c r="AF3176" s="49"/>
      <c r="AG3176" s="49"/>
      <c r="AH3176" s="1" t="s">
        <v>6830</v>
      </c>
      <c r="AI3176" s="1" t="s">
        <v>5117</v>
      </c>
      <c r="AJ3176" s="6"/>
      <c r="AK3176" s="49"/>
      <c r="AL3176" s="49"/>
      <c r="AM3176" s="49"/>
      <c r="AN3176" s="52" t="str">
        <f t="shared" si="5"/>
        <v>discussed,</v>
      </c>
      <c r="AP3176" s="49"/>
      <c r="AQ3176" s="49"/>
      <c r="AR3176" s="49"/>
      <c r="AS3176" s="49"/>
      <c r="AT3176" s="49"/>
    </row>
    <row r="3177">
      <c r="A3177" s="51"/>
      <c r="B3177" s="50" t="s">
        <v>2279</v>
      </c>
      <c r="C3177" s="50" t="s">
        <v>6990</v>
      </c>
      <c r="D3177" s="49" t="str">
        <f>IFERROR(__xludf.DUMMYFUNCTION("""COMPUTED_VALUE"""),"associated")</f>
        <v>associated</v>
      </c>
      <c r="E3177" s="49"/>
      <c r="F3177" s="49"/>
      <c r="G3177" s="49"/>
      <c r="H3177" s="54" t="str">
        <f t="shared" si="1"/>
        <v>item,</v>
      </c>
      <c r="I3177" s="50"/>
      <c r="J3177" s="50"/>
      <c r="K3177" s="50" t="s">
        <v>4706</v>
      </c>
      <c r="L3177" s="49"/>
      <c r="M3177" s="49"/>
      <c r="N3177" s="49"/>
      <c r="O3177" s="49"/>
      <c r="P3177" s="49" t="str">
        <f t="shared" si="2"/>
        <v>,</v>
      </c>
      <c r="Q3177" s="49"/>
      <c r="R3177" s="49"/>
      <c r="S3177" s="55" t="s">
        <v>2832</v>
      </c>
      <c r="T3177" s="49"/>
      <c r="U3177" s="49"/>
      <c r="V3177" s="49"/>
      <c r="W3177" s="49"/>
      <c r="X3177" s="49" t="str">
        <f t="shared" si="3"/>
        <v>,</v>
      </c>
      <c r="Y3177" s="49"/>
      <c r="Z3177" s="49"/>
      <c r="AB3177" s="49"/>
      <c r="AC3177" s="49"/>
      <c r="AD3177" s="49"/>
      <c r="AE3177" s="49"/>
      <c r="AF3177" s="49"/>
      <c r="AG3177" s="49"/>
      <c r="AH3177" s="1" t="s">
        <v>7016</v>
      </c>
      <c r="AI3177" s="1" t="s">
        <v>3773</v>
      </c>
      <c r="AJ3177" s="6"/>
      <c r="AK3177" s="49"/>
      <c r="AL3177" s="49"/>
      <c r="AM3177" s="49"/>
      <c r="AN3177" s="52" t="str">
        <f t="shared" si="5"/>
        <v>admitted,</v>
      </c>
      <c r="AP3177" s="49"/>
      <c r="AQ3177" s="49"/>
      <c r="AR3177" s="49"/>
      <c r="AS3177" s="49"/>
      <c r="AT3177" s="49"/>
    </row>
    <row r="3178">
      <c r="A3178" s="51"/>
      <c r="B3178" s="50" t="s">
        <v>4973</v>
      </c>
      <c r="C3178" s="50" t="s">
        <v>5851</v>
      </c>
      <c r="D3178" s="49" t="str">
        <f>IFERROR(__xludf.DUMMYFUNCTION("""COMPUTED_VALUE"""),"peace")</f>
        <v>peace</v>
      </c>
      <c r="E3178" s="49"/>
      <c r="F3178" s="49"/>
      <c r="G3178" s="49"/>
      <c r="H3178" s="54" t="str">
        <f t="shared" si="1"/>
        <v>santa,</v>
      </c>
      <c r="I3178" s="50"/>
      <c r="J3178" s="50"/>
      <c r="K3178" s="50" t="s">
        <v>5659</v>
      </c>
      <c r="L3178" s="49"/>
      <c r="M3178" s="49"/>
      <c r="N3178" s="49"/>
      <c r="O3178" s="49"/>
      <c r="P3178" s="49" t="str">
        <f t="shared" si="2"/>
        <v>,</v>
      </c>
      <c r="Q3178" s="49"/>
      <c r="R3178" s="49"/>
      <c r="S3178" s="55" t="s">
        <v>6909</v>
      </c>
      <c r="T3178" s="49"/>
      <c r="U3178" s="49"/>
      <c r="V3178" s="49"/>
      <c r="W3178" s="49"/>
      <c r="X3178" s="49" t="str">
        <f t="shared" si="3"/>
        <v>,</v>
      </c>
      <c r="Y3178" s="49"/>
      <c r="Z3178" s="49"/>
      <c r="AB3178" s="49"/>
      <c r="AC3178" s="49"/>
      <c r="AD3178" s="49"/>
      <c r="AE3178" s="49"/>
      <c r="AF3178" s="49"/>
      <c r="AG3178" s="49"/>
      <c r="AH3178" s="1" t="s">
        <v>5954</v>
      </c>
      <c r="AI3178" s="1" t="s">
        <v>3746</v>
      </c>
      <c r="AJ3178" s="6"/>
      <c r="AK3178" s="49"/>
      <c r="AL3178" s="49"/>
      <c r="AM3178" s="49"/>
      <c r="AN3178" s="52" t="str">
        <f t="shared" si="5"/>
        <v>placing,</v>
      </c>
      <c r="AP3178" s="49"/>
      <c r="AQ3178" s="49"/>
      <c r="AR3178" s="49"/>
      <c r="AS3178" s="49"/>
      <c r="AT3178" s="49"/>
    </row>
    <row r="3179">
      <c r="A3179" s="51"/>
      <c r="B3179" s="50" t="s">
        <v>6462</v>
      </c>
      <c r="C3179" s="50" t="s">
        <v>5966</v>
      </c>
      <c r="D3179" s="49" t="str">
        <f>IFERROR(__xludf.DUMMYFUNCTION("""COMPUTED_VALUE"""),"influenced")</f>
        <v>influenced</v>
      </c>
      <c r="E3179" s="49"/>
      <c r="F3179" s="49"/>
      <c r="G3179" s="49"/>
      <c r="H3179" s="54" t="str">
        <f t="shared" si="1"/>
        <v>environment,</v>
      </c>
      <c r="I3179" s="50"/>
      <c r="J3179" s="50"/>
      <c r="K3179" s="50" t="s">
        <v>1681</v>
      </c>
      <c r="L3179" s="49"/>
      <c r="M3179" s="49"/>
      <c r="N3179" s="49"/>
      <c r="O3179" s="49"/>
      <c r="P3179" s="49" t="str">
        <f t="shared" si="2"/>
        <v>,</v>
      </c>
      <c r="Q3179" s="49"/>
      <c r="R3179" s="49"/>
      <c r="S3179" s="55" t="s">
        <v>5582</v>
      </c>
      <c r="T3179" s="49"/>
      <c r="U3179" s="49"/>
      <c r="V3179" s="49"/>
      <c r="W3179" s="49"/>
      <c r="X3179" s="49" t="str">
        <f t="shared" si="3"/>
        <v>,</v>
      </c>
      <c r="Y3179" s="49"/>
      <c r="Z3179" s="49"/>
      <c r="AB3179" s="49"/>
      <c r="AC3179" s="49"/>
      <c r="AD3179" s="49"/>
      <c r="AE3179" s="49"/>
      <c r="AF3179" s="49"/>
      <c r="AG3179" s="49"/>
      <c r="AH3179" s="1" t="s">
        <v>4838</v>
      </c>
      <c r="AI3179" s="1" t="s">
        <v>4849</v>
      </c>
      <c r="AJ3179" s="6"/>
      <c r="AK3179" s="49"/>
      <c r="AL3179" s="49"/>
      <c r="AM3179" s="49"/>
      <c r="AN3179" s="52" t="str">
        <f t="shared" si="5"/>
        <v>updated,</v>
      </c>
      <c r="AP3179" s="49"/>
      <c r="AQ3179" s="49"/>
      <c r="AR3179" s="49"/>
      <c r="AS3179" s="49"/>
      <c r="AT3179" s="49"/>
    </row>
    <row r="3180">
      <c r="A3180" s="51"/>
      <c r="B3180" s="50" t="s">
        <v>2610</v>
      </c>
      <c r="C3180" s="50" t="s">
        <v>3684</v>
      </c>
      <c r="D3180" s="49" t="str">
        <f>IFERROR(__xludf.DUMMYFUNCTION("""COMPUTED_VALUE"""),"east")</f>
        <v>east</v>
      </c>
      <c r="E3180" s="49"/>
      <c r="F3180" s="49"/>
      <c r="G3180" s="49"/>
      <c r="H3180" s="54" t="str">
        <f t="shared" si="1"/>
        <v>seeking,</v>
      </c>
      <c r="I3180" s="50"/>
      <c r="J3180" s="50"/>
      <c r="K3180" s="50" t="s">
        <v>2933</v>
      </c>
      <c r="L3180" s="49"/>
      <c r="M3180" s="49"/>
      <c r="N3180" s="49"/>
      <c r="O3180" s="49"/>
      <c r="P3180" s="49" t="str">
        <f t="shared" si="2"/>
        <v>,</v>
      </c>
      <c r="Q3180" s="49"/>
      <c r="R3180" s="49"/>
      <c r="S3180" s="55" t="s">
        <v>4632</v>
      </c>
      <c r="T3180" s="49"/>
      <c r="U3180" s="49"/>
      <c r="V3180" s="49"/>
      <c r="W3180" s="49"/>
      <c r="X3180" s="49" t="str">
        <f t="shared" si="3"/>
        <v>,</v>
      </c>
      <c r="Y3180" s="49"/>
      <c r="Z3180" s="49"/>
      <c r="AB3180" s="49"/>
      <c r="AC3180" s="49"/>
      <c r="AD3180" s="49"/>
      <c r="AE3180" s="49"/>
      <c r="AF3180" s="49"/>
      <c r="AG3180" s="49"/>
      <c r="AH3180" s="1" t="s">
        <v>498</v>
      </c>
      <c r="AI3180" s="1" t="s">
        <v>5797</v>
      </c>
      <c r="AJ3180" s="6"/>
      <c r="AK3180" s="49"/>
      <c r="AL3180" s="49"/>
      <c r="AM3180" s="49"/>
      <c r="AN3180" s="52" t="str">
        <f t="shared" si="5"/>
        <v>musicians,</v>
      </c>
      <c r="AP3180" s="49"/>
      <c r="AQ3180" s="49"/>
      <c r="AR3180" s="49"/>
      <c r="AS3180" s="49"/>
      <c r="AT3180" s="49"/>
    </row>
    <row r="3181">
      <c r="A3181" s="51"/>
      <c r="B3181" s="50" t="s">
        <v>2656</v>
      </c>
      <c r="C3181" s="50" t="s">
        <v>6848</v>
      </c>
      <c r="D3181" s="49" t="str">
        <f>IFERROR(__xludf.DUMMYFUNCTION("""COMPUTED_VALUE"""),"anyway")</f>
        <v>anyway</v>
      </c>
      <c r="E3181" s="49"/>
      <c r="F3181" s="49"/>
      <c r="G3181" s="49"/>
      <c r="H3181" s="54" t="str">
        <f t="shared" si="1"/>
        <v>triangle,</v>
      </c>
      <c r="I3181" s="50"/>
      <c r="J3181" s="50"/>
      <c r="K3181" s="50" t="s">
        <v>4711</v>
      </c>
      <c r="L3181" s="49"/>
      <c r="M3181" s="49"/>
      <c r="N3181" s="49"/>
      <c r="O3181" s="49"/>
      <c r="P3181" s="49" t="str">
        <f t="shared" si="2"/>
        <v>,</v>
      </c>
      <c r="Q3181" s="49"/>
      <c r="R3181" s="49"/>
      <c r="S3181" s="55" t="s">
        <v>4634</v>
      </c>
      <c r="T3181" s="49"/>
      <c r="U3181" s="49"/>
      <c r="V3181" s="49"/>
      <c r="W3181" s="49"/>
      <c r="X3181" s="49" t="str">
        <f t="shared" si="3"/>
        <v>,</v>
      </c>
      <c r="Y3181" s="49"/>
      <c r="Z3181" s="49"/>
      <c r="AB3181" s="49"/>
      <c r="AC3181" s="49"/>
      <c r="AD3181" s="49"/>
      <c r="AE3181" s="49"/>
      <c r="AF3181" s="49"/>
      <c r="AG3181" s="49"/>
      <c r="AH3181" s="1" t="s">
        <v>4953</v>
      </c>
      <c r="AI3181" s="1" t="s">
        <v>6991</v>
      </c>
      <c r="AJ3181" s="6"/>
      <c r="AK3181" s="49"/>
      <c r="AL3181" s="49"/>
      <c r="AM3181" s="49"/>
      <c r="AN3181" s="52" t="str">
        <f t="shared" si="5"/>
        <v>paint,</v>
      </c>
      <c r="AP3181" s="49"/>
      <c r="AQ3181" s="49"/>
      <c r="AR3181" s="49"/>
      <c r="AS3181" s="49"/>
      <c r="AT3181" s="49"/>
    </row>
    <row r="3182">
      <c r="A3182" s="51"/>
      <c r="B3182" s="50" t="s">
        <v>6552</v>
      </c>
      <c r="C3182" s="50" t="s">
        <v>6849</v>
      </c>
      <c r="D3182" s="49" t="str">
        <f>IFERROR(__xludf.DUMMYFUNCTION("""COMPUTED_VALUE"""),"initial")</f>
        <v>initial</v>
      </c>
      <c r="E3182" s="49"/>
      <c r="F3182" s="49"/>
      <c r="G3182" s="49"/>
      <c r="H3182" s="54" t="str">
        <f t="shared" si="1"/>
        <v>assembly,</v>
      </c>
      <c r="I3182" s="50"/>
      <c r="J3182" s="50"/>
      <c r="K3182" s="50" t="s">
        <v>5663</v>
      </c>
      <c r="L3182" s="49"/>
      <c r="M3182" s="49"/>
      <c r="N3182" s="49"/>
      <c r="O3182" s="49"/>
      <c r="P3182" s="49" t="str">
        <f t="shared" si="2"/>
        <v>,</v>
      </c>
      <c r="Q3182" s="49"/>
      <c r="R3182" s="49"/>
      <c r="S3182" s="55" t="s">
        <v>2834</v>
      </c>
      <c r="T3182" s="49"/>
      <c r="U3182" s="49"/>
      <c r="V3182" s="49"/>
      <c r="W3182" s="49"/>
      <c r="X3182" s="49" t="str">
        <f t="shared" si="3"/>
        <v>,</v>
      </c>
      <c r="Y3182" s="49"/>
      <c r="Z3182" s="49"/>
      <c r="AB3182" s="49"/>
      <c r="AC3182" s="49"/>
      <c r="AD3182" s="49"/>
      <c r="AE3182" s="49"/>
      <c r="AF3182" s="49"/>
      <c r="AG3182" s="49"/>
      <c r="AH3182" s="1" t="s">
        <v>5130</v>
      </c>
      <c r="AI3182" s="1" t="s">
        <v>3596</v>
      </c>
      <c r="AJ3182" s="6"/>
      <c r="AK3182" s="49"/>
      <c r="AL3182" s="49"/>
      <c r="AM3182" s="49"/>
      <c r="AN3182" s="52" t="str">
        <f t="shared" si="5"/>
        <v>anger,</v>
      </c>
      <c r="AP3182" s="49"/>
      <c r="AQ3182" s="49"/>
      <c r="AR3182" s="49"/>
      <c r="AS3182" s="49"/>
      <c r="AT3182" s="49"/>
    </row>
    <row r="3183">
      <c r="A3183" s="51"/>
      <c r="B3183" s="50" t="s">
        <v>3149</v>
      </c>
      <c r="C3183" s="50" t="s">
        <v>5382</v>
      </c>
      <c r="D3183" s="49" t="str">
        <f>IFERROR(__xludf.DUMMYFUNCTION("""COMPUTED_VALUE"""),"unable")</f>
        <v>unable</v>
      </c>
      <c r="E3183" s="49"/>
      <c r="F3183" s="49"/>
      <c r="G3183" s="49"/>
      <c r="H3183" s="54" t="str">
        <f t="shared" si="1"/>
        <v>toss,</v>
      </c>
      <c r="I3183" s="50"/>
      <c r="J3183" s="50"/>
      <c r="K3183" s="50" t="s">
        <v>2937</v>
      </c>
      <c r="L3183" s="49"/>
      <c r="M3183" s="49"/>
      <c r="N3183" s="49"/>
      <c r="O3183" s="49"/>
      <c r="P3183" s="49" t="str">
        <f t="shared" si="2"/>
        <v>,</v>
      </c>
      <c r="Q3183" s="49"/>
      <c r="R3183" s="49"/>
      <c r="S3183" s="55">
        <v>163.0</v>
      </c>
      <c r="T3183" s="49"/>
      <c r="U3183" s="49"/>
      <c r="V3183" s="49"/>
      <c r="W3183" s="49"/>
      <c r="X3183" s="49" t="str">
        <f t="shared" si="3"/>
        <v>,</v>
      </c>
      <c r="Y3183" s="49"/>
      <c r="Z3183" s="49"/>
      <c r="AB3183" s="49"/>
      <c r="AC3183" s="49"/>
      <c r="AD3183" s="49"/>
      <c r="AE3183" s="49"/>
      <c r="AF3183" s="49"/>
      <c r="AG3183" s="49"/>
      <c r="AH3183" s="1" t="s">
        <v>1889</v>
      </c>
      <c r="AI3183" s="1" t="s">
        <v>3930</v>
      </c>
      <c r="AJ3183" s="6"/>
      <c r="AK3183" s="49"/>
      <c r="AL3183" s="49"/>
      <c r="AM3183" s="49"/>
      <c r="AN3183" s="52" t="str">
        <f t="shared" si="5"/>
        <v>distinguished,</v>
      </c>
      <c r="AP3183" s="49"/>
      <c r="AQ3183" s="49"/>
      <c r="AR3183" s="49"/>
      <c r="AS3183" s="49"/>
      <c r="AT3183" s="49"/>
    </row>
    <row r="3184">
      <c r="A3184" s="51"/>
      <c r="B3184" s="50" t="s">
        <v>4897</v>
      </c>
      <c r="C3184" s="50" t="s">
        <v>1726</v>
      </c>
      <c r="D3184" s="49" t="str">
        <f>IFERROR(__xludf.DUMMYFUNCTION("""COMPUTED_VALUE"""),"eventual")</f>
        <v>eventual</v>
      </c>
      <c r="E3184" s="49"/>
      <c r="F3184" s="49"/>
      <c r="G3184" s="49"/>
      <c r="H3184" s="54" t="str">
        <f t="shared" si="1"/>
        <v>raised,</v>
      </c>
      <c r="I3184" s="50"/>
      <c r="J3184" s="50"/>
      <c r="K3184" s="50">
        <v>1960.0</v>
      </c>
      <c r="L3184" s="49"/>
      <c r="M3184" s="49"/>
      <c r="N3184" s="49"/>
      <c r="O3184" s="49"/>
      <c r="P3184" s="49" t="str">
        <f t="shared" si="2"/>
        <v>,</v>
      </c>
      <c r="Q3184" s="49"/>
      <c r="R3184" s="49"/>
      <c r="S3184" s="55" t="s">
        <v>5587</v>
      </c>
      <c r="T3184" s="49"/>
      <c r="U3184" s="49"/>
      <c r="V3184" s="49"/>
      <c r="W3184" s="49"/>
      <c r="X3184" s="49" t="str">
        <f t="shared" si="3"/>
        <v>,</v>
      </c>
      <c r="Y3184" s="49"/>
      <c r="Z3184" s="49"/>
      <c r="AB3184" s="49"/>
      <c r="AC3184" s="49"/>
      <c r="AD3184" s="49"/>
      <c r="AE3184" s="49"/>
      <c r="AF3184" s="49"/>
      <c r="AG3184" s="49"/>
      <c r="AH3184" s="1" t="s">
        <v>6949</v>
      </c>
      <c r="AI3184" s="1">
        <v>1975.0</v>
      </c>
      <c r="AJ3184" s="6"/>
      <c r="AK3184" s="49"/>
      <c r="AL3184" s="49"/>
      <c r="AM3184" s="49"/>
      <c r="AN3184" s="52" t="str">
        <f t="shared" si="5"/>
        <v>principal,</v>
      </c>
      <c r="AP3184" s="49"/>
      <c r="AQ3184" s="49"/>
      <c r="AR3184" s="49"/>
      <c r="AS3184" s="49"/>
      <c r="AT3184" s="49"/>
    </row>
    <row r="3185">
      <c r="A3185" s="51"/>
      <c r="B3185" s="50" t="s">
        <v>1454</v>
      </c>
      <c r="C3185" s="50" t="s">
        <v>5852</v>
      </c>
      <c r="D3185" s="49" t="str">
        <f>IFERROR(__xludf.DUMMYFUNCTION("""COMPUTED_VALUE"""),"passed")</f>
        <v>passed</v>
      </c>
      <c r="E3185" s="49"/>
      <c r="F3185" s="49"/>
      <c r="G3185" s="49"/>
      <c r="H3185" s="54" t="str">
        <f t="shared" si="1"/>
        <v>lowered,</v>
      </c>
      <c r="I3185" s="50"/>
      <c r="J3185" s="50"/>
      <c r="K3185" s="50" t="s">
        <v>4716</v>
      </c>
      <c r="L3185" s="49"/>
      <c r="M3185" s="49"/>
      <c r="N3185" s="49"/>
      <c r="O3185" s="49"/>
      <c r="P3185" s="49" t="str">
        <f t="shared" si="2"/>
        <v>,</v>
      </c>
      <c r="Q3185" s="49"/>
      <c r="R3185" s="49"/>
      <c r="S3185" s="55" t="s">
        <v>5261</v>
      </c>
      <c r="T3185" s="49"/>
      <c r="U3185" s="49"/>
      <c r="V3185" s="49"/>
      <c r="W3185" s="49"/>
      <c r="X3185" s="49" t="str">
        <f t="shared" si="3"/>
        <v>,</v>
      </c>
      <c r="Y3185" s="49"/>
      <c r="Z3185" s="49"/>
      <c r="AB3185" s="49"/>
      <c r="AC3185" s="49"/>
      <c r="AD3185" s="49"/>
      <c r="AE3185" s="49"/>
      <c r="AF3185" s="49"/>
      <c r="AG3185" s="49"/>
      <c r="AH3185" s="1" t="s">
        <v>4467</v>
      </c>
      <c r="AI3185" s="1" t="s">
        <v>5750</v>
      </c>
      <c r="AJ3185" s="6"/>
      <c r="AK3185" s="49"/>
      <c r="AL3185" s="49"/>
      <c r="AM3185" s="49"/>
      <c r="AN3185" s="52" t="str">
        <f t="shared" si="5"/>
        <v>controversy,</v>
      </c>
      <c r="AP3185" s="49"/>
      <c r="AQ3185" s="49"/>
      <c r="AR3185" s="49"/>
      <c r="AS3185" s="49"/>
      <c r="AT3185" s="49"/>
    </row>
    <row r="3186">
      <c r="A3186" s="51"/>
      <c r="B3186" s="50" t="s">
        <v>3263</v>
      </c>
      <c r="C3186" s="50" t="s">
        <v>3686</v>
      </c>
      <c r="D3186" s="49" t="str">
        <f>IFERROR(__xludf.DUMMYFUNCTION("""COMPUTED_VALUE"""),"heavyweight")</f>
        <v>heavyweight</v>
      </c>
      <c r="E3186" s="49"/>
      <c r="F3186" s="49"/>
      <c r="G3186" s="49"/>
      <c r="H3186" s="54" t="str">
        <f t="shared" si="1"/>
        <v>mature,</v>
      </c>
      <c r="I3186" s="50"/>
      <c r="J3186" s="50"/>
      <c r="K3186" s="50" t="s">
        <v>2938</v>
      </c>
      <c r="L3186" s="49"/>
      <c r="M3186" s="49"/>
      <c r="N3186" s="49"/>
      <c r="O3186" s="49"/>
      <c r="P3186" s="49" t="str">
        <f t="shared" si="2"/>
        <v>,</v>
      </c>
      <c r="Q3186" s="49"/>
      <c r="R3186" s="49"/>
      <c r="S3186" s="55" t="s">
        <v>5019</v>
      </c>
      <c r="T3186" s="49"/>
      <c r="U3186" s="49"/>
      <c r="V3186" s="49"/>
      <c r="W3186" s="49"/>
      <c r="X3186" s="49" t="str">
        <f t="shared" si="3"/>
        <v>,</v>
      </c>
      <c r="Y3186" s="49"/>
      <c r="Z3186" s="49"/>
      <c r="AB3186" s="49"/>
      <c r="AC3186" s="49"/>
      <c r="AD3186" s="49"/>
      <c r="AE3186" s="49"/>
      <c r="AF3186" s="49"/>
      <c r="AG3186" s="49"/>
      <c r="AH3186" s="1" t="s">
        <v>4338</v>
      </c>
      <c r="AI3186" s="1" t="s">
        <v>3836</v>
      </c>
      <c r="AJ3186" s="6"/>
      <c r="AK3186" s="49"/>
      <c r="AL3186" s="49"/>
      <c r="AM3186" s="49"/>
      <c r="AN3186" s="52" t="str">
        <f t="shared" si="5"/>
        <v>lock,</v>
      </c>
      <c r="AP3186" s="49"/>
      <c r="AQ3186" s="49"/>
      <c r="AR3186" s="49"/>
      <c r="AS3186" s="49"/>
      <c r="AT3186" s="49"/>
    </row>
    <row r="3187">
      <c r="A3187" s="51"/>
      <c r="B3187" s="50" t="s">
        <v>830</v>
      </c>
      <c r="C3187" s="50" t="s">
        <v>5383</v>
      </c>
      <c r="D3187" s="49" t="str">
        <f>IFERROR(__xludf.DUMMYFUNCTION("""COMPUTED_VALUE"""),"burns")</f>
        <v>burns</v>
      </c>
      <c r="E3187" s="49"/>
      <c r="F3187" s="49"/>
      <c r="G3187" s="49"/>
      <c r="H3187" s="54" t="str">
        <f t="shared" si="1"/>
        <v>stores,</v>
      </c>
      <c r="I3187" s="50"/>
      <c r="J3187" s="50"/>
      <c r="K3187" s="50" t="s">
        <v>2944</v>
      </c>
      <c r="L3187" s="49"/>
      <c r="M3187" s="49"/>
      <c r="N3187" s="49"/>
      <c r="O3187" s="49"/>
      <c r="P3187" s="49" t="str">
        <f t="shared" si="2"/>
        <v>,</v>
      </c>
      <c r="Q3187" s="49"/>
      <c r="R3187" s="49"/>
      <c r="S3187" s="55" t="s">
        <v>1644</v>
      </c>
      <c r="T3187" s="49"/>
      <c r="U3187" s="49"/>
      <c r="V3187" s="49"/>
      <c r="W3187" s="49"/>
      <c r="X3187" s="49" t="str">
        <f t="shared" si="3"/>
        <v>,</v>
      </c>
      <c r="Y3187" s="49"/>
      <c r="Z3187" s="49"/>
      <c r="AB3187" s="49"/>
      <c r="AC3187" s="49"/>
      <c r="AD3187" s="49"/>
      <c r="AE3187" s="49"/>
      <c r="AF3187" s="49"/>
      <c r="AG3187" s="49"/>
      <c r="AH3187" s="1">
        <v>84.0</v>
      </c>
      <c r="AI3187" s="1" t="s">
        <v>6992</v>
      </c>
      <c r="AJ3187" s="6"/>
      <c r="AK3187" s="49"/>
      <c r="AL3187" s="49"/>
      <c r="AM3187" s="49"/>
      <c r="AN3187" s="52" t="str">
        <f t="shared" si="5"/>
        <v>84,</v>
      </c>
      <c r="AP3187" s="49"/>
      <c r="AQ3187" s="49"/>
      <c r="AR3187" s="49"/>
      <c r="AS3187" s="49"/>
      <c r="AT3187" s="49"/>
    </row>
    <row r="3188">
      <c r="A3188" s="51"/>
      <c r="B3188" s="50" t="s">
        <v>4333</v>
      </c>
      <c r="C3188" s="50" t="s">
        <v>5488</v>
      </c>
      <c r="D3188" s="49" t="str">
        <f>IFERROR(__xludf.DUMMYFUNCTION("""COMPUTED_VALUE"""),"globe")</f>
        <v>globe</v>
      </c>
      <c r="E3188" s="49"/>
      <c r="F3188" s="49"/>
      <c r="G3188" s="49"/>
      <c r="H3188" s="54" t="str">
        <f t="shared" si="1"/>
        <v>shock,</v>
      </c>
      <c r="I3188" s="50"/>
      <c r="J3188" s="50"/>
      <c r="K3188" s="50" t="s">
        <v>2948</v>
      </c>
      <c r="L3188" s="49"/>
      <c r="M3188" s="49"/>
      <c r="N3188" s="49"/>
      <c r="O3188" s="49"/>
      <c r="P3188" s="49" t="str">
        <f t="shared" si="2"/>
        <v>,</v>
      </c>
      <c r="Q3188" s="49"/>
      <c r="R3188" s="49"/>
      <c r="S3188" s="55" t="s">
        <v>4639</v>
      </c>
      <c r="T3188" s="49"/>
      <c r="U3188" s="49"/>
      <c r="V3188" s="49"/>
      <c r="W3188" s="49"/>
      <c r="X3188" s="49" t="str">
        <f t="shared" si="3"/>
        <v>,</v>
      </c>
      <c r="Y3188" s="49"/>
      <c r="Z3188" s="49"/>
      <c r="AB3188" s="49"/>
      <c r="AC3188" s="49"/>
      <c r="AD3188" s="49"/>
      <c r="AE3188" s="49"/>
      <c r="AF3188" s="49"/>
      <c r="AG3188" s="49"/>
      <c r="AH3188" s="1" t="s">
        <v>6842</v>
      </c>
      <c r="AI3188" s="1" t="s">
        <v>6993</v>
      </c>
      <c r="AJ3188" s="6"/>
      <c r="AK3188" s="49"/>
      <c r="AL3188" s="49"/>
      <c r="AM3188" s="49"/>
      <c r="AN3188" s="52" t="str">
        <f t="shared" si="5"/>
        <v>earned,</v>
      </c>
      <c r="AP3188" s="49"/>
      <c r="AQ3188" s="49"/>
      <c r="AR3188" s="49"/>
      <c r="AS3188" s="49"/>
      <c r="AT3188" s="49"/>
    </row>
    <row r="3189">
      <c r="A3189" s="51"/>
      <c r="B3189" s="50" t="s">
        <v>5840</v>
      </c>
      <c r="C3189" s="50" t="s">
        <v>3251</v>
      </c>
      <c r="D3189" s="49" t="str">
        <f>IFERROR(__xludf.DUMMYFUNCTION("""COMPUTED_VALUE"""),"orbit")</f>
        <v>orbit</v>
      </c>
      <c r="E3189" s="49"/>
      <c r="F3189" s="49"/>
      <c r="G3189" s="49"/>
      <c r="H3189" s="54" t="str">
        <f t="shared" si="1"/>
        <v>willie,</v>
      </c>
      <c r="I3189" s="50"/>
      <c r="J3189" s="50"/>
      <c r="K3189" s="50" t="s">
        <v>5666</v>
      </c>
      <c r="L3189" s="49"/>
      <c r="M3189" s="49"/>
      <c r="N3189" s="49"/>
      <c r="O3189" s="49"/>
      <c r="P3189" s="49" t="str">
        <f t="shared" si="2"/>
        <v>,</v>
      </c>
      <c r="Q3189" s="49"/>
      <c r="R3189" s="49"/>
      <c r="S3189" s="55" t="s">
        <v>1702</v>
      </c>
      <c r="T3189" s="49"/>
      <c r="U3189" s="49"/>
      <c r="V3189" s="49"/>
      <c r="W3189" s="49"/>
      <c r="X3189" s="49" t="str">
        <f t="shared" si="3"/>
        <v>,</v>
      </c>
      <c r="Y3189" s="49"/>
      <c r="Z3189" s="49"/>
      <c r="AB3189" s="49"/>
      <c r="AC3189" s="49"/>
      <c r="AD3189" s="49"/>
      <c r="AE3189" s="49"/>
      <c r="AF3189" s="49"/>
      <c r="AG3189" s="49"/>
      <c r="AH3189" s="1" t="s">
        <v>6909</v>
      </c>
      <c r="AI3189" s="1" t="s">
        <v>4863</v>
      </c>
      <c r="AJ3189" s="6"/>
      <c r="AK3189" s="49"/>
      <c r="AL3189" s="49"/>
      <c r="AM3189" s="49"/>
      <c r="AN3189" s="52" t="str">
        <f t="shared" si="5"/>
        <v>lit,</v>
      </c>
      <c r="AP3189" s="49"/>
      <c r="AQ3189" s="49"/>
      <c r="AR3189" s="49"/>
      <c r="AS3189" s="49"/>
      <c r="AT3189" s="49"/>
    </row>
    <row r="3190">
      <c r="A3190" s="51"/>
      <c r="B3190" s="50" t="s">
        <v>1603</v>
      </c>
      <c r="C3190" s="50" t="s">
        <v>6850</v>
      </c>
      <c r="D3190" s="49" t="str">
        <f>IFERROR(__xludf.DUMMYFUNCTION("""COMPUTED_VALUE"""),"nicole")</f>
        <v>nicole</v>
      </c>
      <c r="E3190" s="49"/>
      <c r="F3190" s="49"/>
      <c r="G3190" s="49"/>
      <c r="H3190" s="54" t="str">
        <f t="shared" si="1"/>
        <v>led,</v>
      </c>
      <c r="I3190" s="50"/>
      <c r="J3190" s="50"/>
      <c r="K3190" s="50" t="s">
        <v>6032</v>
      </c>
      <c r="L3190" s="49"/>
      <c r="M3190" s="49"/>
      <c r="N3190" s="49"/>
      <c r="O3190" s="49"/>
      <c r="P3190" s="49" t="str">
        <f t="shared" si="2"/>
        <v>,</v>
      </c>
      <c r="Q3190" s="49"/>
      <c r="R3190" s="49"/>
      <c r="S3190" s="55" t="s">
        <v>5999</v>
      </c>
      <c r="T3190" s="49"/>
      <c r="U3190" s="49"/>
      <c r="V3190" s="49"/>
      <c r="W3190" s="49"/>
      <c r="X3190" s="49" t="str">
        <f t="shared" si="3"/>
        <v>,</v>
      </c>
      <c r="Y3190" s="49"/>
      <c r="Z3190" s="49"/>
      <c r="AB3190" s="49"/>
      <c r="AC3190" s="49"/>
      <c r="AD3190" s="49"/>
      <c r="AE3190" s="49"/>
      <c r="AF3190" s="49"/>
      <c r="AG3190" s="49"/>
      <c r="AH3190" s="1" t="s">
        <v>5655</v>
      </c>
      <c r="AI3190" s="1" t="s">
        <v>6994</v>
      </c>
      <c r="AJ3190" s="6"/>
      <c r="AK3190" s="49"/>
      <c r="AL3190" s="49"/>
      <c r="AM3190" s="49"/>
      <c r="AN3190" s="52" t="str">
        <f t="shared" si="5"/>
        <v>venice,</v>
      </c>
      <c r="AP3190" s="49"/>
      <c r="AQ3190" s="49"/>
      <c r="AR3190" s="49"/>
      <c r="AS3190" s="49"/>
      <c r="AT3190" s="49"/>
    </row>
    <row r="3191">
      <c r="A3191" s="51"/>
      <c r="B3191" s="50" t="s">
        <v>5427</v>
      </c>
      <c r="C3191" s="50" t="s">
        <v>6851</v>
      </c>
      <c r="D3191" s="49" t="str">
        <f>IFERROR(__xludf.DUMMYFUNCTION("""COMPUTED_VALUE"""),"treated")</f>
        <v>treated</v>
      </c>
      <c r="E3191" s="49"/>
      <c r="F3191" s="49"/>
      <c r="G3191" s="49"/>
      <c r="H3191" s="54" t="str">
        <f t="shared" si="1"/>
        <v>suggesting,</v>
      </c>
      <c r="I3191" s="50"/>
      <c r="J3191" s="50"/>
      <c r="K3191" s="50" t="s">
        <v>1639</v>
      </c>
      <c r="L3191" s="49"/>
      <c r="M3191" s="49"/>
      <c r="N3191" s="49"/>
      <c r="O3191" s="49"/>
      <c r="P3191" s="49" t="str">
        <f t="shared" si="2"/>
        <v>,</v>
      </c>
      <c r="Q3191" s="49"/>
      <c r="R3191" s="49"/>
      <c r="S3191" s="55" t="s">
        <v>2841</v>
      </c>
      <c r="T3191" s="49"/>
      <c r="U3191" s="49"/>
      <c r="V3191" s="49"/>
      <c r="W3191" s="49"/>
      <c r="X3191" s="49" t="str">
        <f t="shared" si="3"/>
        <v>,</v>
      </c>
      <c r="Y3191" s="49"/>
      <c r="Z3191" s="49"/>
      <c r="AB3191" s="49"/>
      <c r="AC3191" s="49"/>
      <c r="AD3191" s="49"/>
      <c r="AE3191" s="49"/>
      <c r="AF3191" s="49"/>
      <c r="AG3191" s="49"/>
      <c r="AH3191" s="1" t="s">
        <v>2324</v>
      </c>
      <c r="AI3191" s="1" t="s">
        <v>6071</v>
      </c>
      <c r="AJ3191" s="6"/>
      <c r="AK3191" s="49"/>
      <c r="AL3191" s="49"/>
      <c r="AM3191" s="49"/>
      <c r="AN3191" s="52" t="str">
        <f t="shared" si="5"/>
        <v>origins,</v>
      </c>
      <c r="AP3191" s="49"/>
      <c r="AQ3191" s="49"/>
      <c r="AR3191" s="49"/>
      <c r="AS3191" s="49"/>
      <c r="AT3191" s="49"/>
    </row>
    <row r="3192">
      <c r="A3192" s="51"/>
      <c r="B3192" s="50" t="s">
        <v>685</v>
      </c>
      <c r="C3192" s="50" t="s">
        <v>3690</v>
      </c>
      <c r="D3192" s="49" t="str">
        <f>IFERROR(__xludf.DUMMYFUNCTION("""COMPUTED_VALUE"""),"exception")</f>
        <v>exception</v>
      </c>
      <c r="E3192" s="49"/>
      <c r="F3192" s="49"/>
      <c r="G3192" s="49"/>
      <c r="H3192" s="54" t="str">
        <f t="shared" si="1"/>
        <v>striking,</v>
      </c>
      <c r="I3192" s="50"/>
      <c r="J3192" s="50"/>
      <c r="K3192" s="50" t="s">
        <v>1645</v>
      </c>
      <c r="L3192" s="49"/>
      <c r="M3192" s="49"/>
      <c r="N3192" s="49"/>
      <c r="O3192" s="49"/>
      <c r="P3192" s="49" t="str">
        <f t="shared" si="2"/>
        <v>,</v>
      </c>
      <c r="Q3192" s="49"/>
      <c r="R3192" s="49"/>
      <c r="S3192" s="55" t="s">
        <v>5591</v>
      </c>
      <c r="T3192" s="49"/>
      <c r="U3192" s="49"/>
      <c r="V3192" s="49"/>
      <c r="W3192" s="49"/>
      <c r="X3192" s="49" t="str">
        <f t="shared" si="3"/>
        <v>,</v>
      </c>
      <c r="Y3192" s="49"/>
      <c r="Z3192" s="49"/>
      <c r="AB3192" s="49"/>
      <c r="AC3192" s="49"/>
      <c r="AD3192" s="49"/>
      <c r="AE3192" s="49"/>
      <c r="AF3192" s="49"/>
      <c r="AG3192" s="49"/>
      <c r="AH3192" s="1" t="s">
        <v>4275</v>
      </c>
      <c r="AI3192" s="1" t="s">
        <v>6075</v>
      </c>
      <c r="AJ3192" s="6"/>
      <c r="AK3192" s="49"/>
      <c r="AL3192" s="49"/>
      <c r="AM3192" s="49"/>
      <c r="AN3192" s="52" t="str">
        <f t="shared" si="5"/>
        <v>yard,</v>
      </c>
      <c r="AP3192" s="49"/>
      <c r="AQ3192" s="49"/>
      <c r="AR3192" s="49"/>
      <c r="AS3192" s="49"/>
      <c r="AT3192" s="49"/>
    </row>
    <row r="3193">
      <c r="A3193" s="51"/>
      <c r="B3193" s="50" t="s">
        <v>7678</v>
      </c>
      <c r="C3193" s="50" t="s">
        <v>5345</v>
      </c>
      <c r="D3193" s="49" t="str">
        <f>IFERROR(__xludf.DUMMYFUNCTION("""COMPUTED_VALUE"""),"foot")</f>
        <v>foot</v>
      </c>
      <c r="E3193" s="49"/>
      <c r="F3193" s="49"/>
      <c r="G3193" s="49"/>
      <c r="H3193" s="54" t="str">
        <f t="shared" si="1"/>
        <v>skull,</v>
      </c>
      <c r="I3193" s="50"/>
      <c r="J3193" s="50"/>
      <c r="K3193" s="50" t="s">
        <v>4726</v>
      </c>
      <c r="L3193" s="49"/>
      <c r="M3193" s="49"/>
      <c r="N3193" s="49"/>
      <c r="O3193" s="49"/>
      <c r="P3193" s="49" t="str">
        <f t="shared" si="2"/>
        <v>,</v>
      </c>
      <c r="Q3193" s="49"/>
      <c r="R3193" s="49"/>
      <c r="S3193" s="55" t="s">
        <v>4643</v>
      </c>
      <c r="T3193" s="49"/>
      <c r="U3193" s="49"/>
      <c r="V3193" s="49"/>
      <c r="W3193" s="49"/>
      <c r="X3193" s="49" t="str">
        <f t="shared" si="3"/>
        <v>,</v>
      </c>
      <c r="Y3193" s="49"/>
      <c r="Z3193" s="49"/>
      <c r="AB3193" s="49"/>
      <c r="AC3193" s="49"/>
      <c r="AD3193" s="49"/>
      <c r="AE3193" s="49"/>
      <c r="AF3193" s="49"/>
      <c r="AG3193" s="49"/>
      <c r="AH3193" s="1" t="s">
        <v>3562</v>
      </c>
      <c r="AI3193" s="1" t="s">
        <v>6995</v>
      </c>
      <c r="AJ3193" s="6"/>
      <c r="AK3193" s="49"/>
      <c r="AL3193" s="49"/>
      <c r="AM3193" s="49"/>
      <c r="AN3193" s="52" t="str">
        <f t="shared" si="5"/>
        <v>bones,</v>
      </c>
      <c r="AP3193" s="49"/>
      <c r="AQ3193" s="49"/>
      <c r="AR3193" s="49"/>
      <c r="AS3193" s="49"/>
      <c r="AT3193" s="49"/>
    </row>
    <row r="3194">
      <c r="A3194" s="51"/>
      <c r="B3194" s="50" t="s">
        <v>7020</v>
      </c>
      <c r="C3194" s="50" t="s">
        <v>2116</v>
      </c>
      <c r="D3194" s="49" t="str">
        <f>IFERROR(__xludf.DUMMYFUNCTION("""COMPUTED_VALUE"""),"assault")</f>
        <v>assault</v>
      </c>
      <c r="E3194" s="49"/>
      <c r="F3194" s="49"/>
      <c r="G3194" s="49"/>
      <c r="H3194" s="54" t="str">
        <f t="shared" si="1"/>
        <v>reverse,</v>
      </c>
      <c r="I3194" s="50"/>
      <c r="J3194" s="50"/>
      <c r="K3194" s="50" t="s">
        <v>5669</v>
      </c>
      <c r="L3194" s="49"/>
      <c r="M3194" s="49"/>
      <c r="N3194" s="49"/>
      <c r="O3194" s="49"/>
      <c r="P3194" s="49" t="str">
        <f t="shared" si="2"/>
        <v>,</v>
      </c>
      <c r="Q3194" s="49"/>
      <c r="R3194" s="49"/>
      <c r="S3194" s="55" t="s">
        <v>3806</v>
      </c>
      <c r="T3194" s="49"/>
      <c r="U3194" s="49"/>
      <c r="V3194" s="49"/>
      <c r="W3194" s="49"/>
      <c r="X3194" s="49" t="str">
        <f t="shared" si="3"/>
        <v>,</v>
      </c>
      <c r="Y3194" s="49"/>
      <c r="Z3194" s="49"/>
      <c r="AB3194" s="49"/>
      <c r="AC3194" s="49"/>
      <c r="AD3194" s="49"/>
      <c r="AE3194" s="49"/>
      <c r="AF3194" s="49"/>
      <c r="AG3194" s="49"/>
      <c r="AH3194" s="1" t="s">
        <v>3218</v>
      </c>
      <c r="AI3194" s="1" t="s">
        <v>5763</v>
      </c>
      <c r="AJ3194" s="6"/>
      <c r="AK3194" s="49"/>
      <c r="AL3194" s="49"/>
      <c r="AM3194" s="49"/>
      <c r="AN3194" s="52" t="str">
        <f t="shared" si="5"/>
        <v>pulling,</v>
      </c>
      <c r="AP3194" s="49"/>
      <c r="AQ3194" s="49"/>
      <c r="AR3194" s="49"/>
      <c r="AS3194" s="49"/>
      <c r="AT3194" s="49"/>
    </row>
    <row r="3195">
      <c r="A3195" s="51"/>
      <c r="B3195" s="50" t="s">
        <v>3525</v>
      </c>
      <c r="C3195" s="50" t="s">
        <v>5390</v>
      </c>
      <c r="D3195" s="49" t="str">
        <f>IFERROR(__xludf.DUMMYFUNCTION("""COMPUTED_VALUE"""),"variations")</f>
        <v>variations</v>
      </c>
      <c r="E3195" s="49"/>
      <c r="F3195" s="49"/>
      <c r="G3195" s="49"/>
      <c r="H3195" s="54" t="str">
        <f t="shared" si="1"/>
        <v>crack,</v>
      </c>
      <c r="I3195" s="50"/>
      <c r="J3195" s="50"/>
      <c r="K3195" s="50" t="s">
        <v>6033</v>
      </c>
      <c r="L3195" s="49"/>
      <c r="M3195" s="49"/>
      <c r="N3195" s="49"/>
      <c r="O3195" s="49"/>
      <c r="P3195" s="49" t="str">
        <f t="shared" si="2"/>
        <v>,</v>
      </c>
      <c r="Q3195" s="49"/>
      <c r="R3195" s="49"/>
      <c r="S3195" s="55" t="s">
        <v>4645</v>
      </c>
      <c r="T3195" s="49"/>
      <c r="U3195" s="49"/>
      <c r="V3195" s="49"/>
      <c r="W3195" s="49"/>
      <c r="X3195" s="49" t="str">
        <f t="shared" si="3"/>
        <v>,</v>
      </c>
      <c r="Y3195" s="49"/>
      <c r="Z3195" s="49"/>
      <c r="AB3195" s="49"/>
      <c r="AC3195" s="49"/>
      <c r="AD3195" s="49"/>
      <c r="AE3195" s="49"/>
      <c r="AF3195" s="49"/>
      <c r="AG3195" s="49"/>
      <c r="AH3195" s="1" t="s">
        <v>1468</v>
      </c>
      <c r="AI3195" s="1" t="s">
        <v>3934</v>
      </c>
      <c r="AJ3195" s="6"/>
      <c r="AK3195" s="49"/>
      <c r="AL3195" s="49"/>
      <c r="AM3195" s="49"/>
      <c r="AN3195" s="52" t="str">
        <f t="shared" si="5"/>
        <v>slip,</v>
      </c>
      <c r="AP3195" s="49"/>
      <c r="AQ3195" s="49"/>
      <c r="AR3195" s="49"/>
      <c r="AS3195" s="49"/>
      <c r="AT3195" s="49"/>
    </row>
    <row r="3196">
      <c r="A3196" s="51"/>
      <c r="B3196" s="50" t="s">
        <v>6601</v>
      </c>
      <c r="C3196" s="50" t="s">
        <v>3063</v>
      </c>
      <c r="D3196" s="49" t="str">
        <f>IFERROR(__xludf.DUMMYFUNCTION("""COMPUTED_VALUE"""),"catholic")</f>
        <v>catholic</v>
      </c>
      <c r="E3196" s="49"/>
      <c r="F3196" s="49"/>
      <c r="G3196" s="49"/>
      <c r="H3196" s="54" t="str">
        <f t="shared" si="1"/>
        <v>code,</v>
      </c>
      <c r="I3196" s="50"/>
      <c r="J3196" s="50"/>
      <c r="K3196" s="50" t="s">
        <v>4728</v>
      </c>
      <c r="L3196" s="49"/>
      <c r="M3196" s="49"/>
      <c r="N3196" s="49"/>
      <c r="O3196" s="49"/>
      <c r="P3196" s="49" t="str">
        <f t="shared" si="2"/>
        <v>,</v>
      </c>
      <c r="Q3196" s="49"/>
      <c r="R3196" s="49"/>
      <c r="S3196" s="55" t="s">
        <v>6063</v>
      </c>
      <c r="T3196" s="49"/>
      <c r="U3196" s="49"/>
      <c r="V3196" s="49"/>
      <c r="W3196" s="49"/>
      <c r="X3196" s="49" t="str">
        <f t="shared" si="3"/>
        <v>,</v>
      </c>
      <c r="Y3196" s="49"/>
      <c r="Z3196" s="49"/>
      <c r="AB3196" s="49"/>
      <c r="AC3196" s="49"/>
      <c r="AD3196" s="49"/>
      <c r="AE3196" s="49"/>
      <c r="AF3196" s="49"/>
      <c r="AG3196" s="49"/>
      <c r="AH3196" s="1" t="s">
        <v>4059</v>
      </c>
      <c r="AI3196" s="1" t="s">
        <v>4880</v>
      </c>
      <c r="AJ3196" s="6"/>
      <c r="AK3196" s="49"/>
      <c r="AL3196" s="49"/>
      <c r="AM3196" s="49"/>
      <c r="AN3196" s="52" t="str">
        <f t="shared" si="5"/>
        <v>historic,</v>
      </c>
      <c r="AP3196" s="49"/>
      <c r="AQ3196" s="49"/>
      <c r="AR3196" s="49"/>
      <c r="AS3196" s="49"/>
      <c r="AT3196" s="49"/>
    </row>
    <row r="3197">
      <c r="A3197" s="51"/>
      <c r="B3197" s="50" t="s">
        <v>1310</v>
      </c>
      <c r="C3197" s="50" t="s">
        <v>6852</v>
      </c>
      <c r="D3197" s="49" t="str">
        <f>IFERROR(__xludf.DUMMYFUNCTION("""COMPUTED_VALUE"""),"tenth")</f>
        <v>tenth</v>
      </c>
      <c r="E3197" s="49"/>
      <c r="F3197" s="49"/>
      <c r="G3197" s="49"/>
      <c r="H3197" s="54" t="str">
        <f t="shared" si="1"/>
        <v>displays,</v>
      </c>
      <c r="I3197" s="50"/>
      <c r="J3197" s="50"/>
      <c r="K3197" s="50" t="s">
        <v>757</v>
      </c>
      <c r="L3197" s="49"/>
      <c r="M3197" s="49"/>
      <c r="N3197" s="49"/>
      <c r="O3197" s="49"/>
      <c r="P3197" s="49" t="str">
        <f t="shared" si="2"/>
        <v>,</v>
      </c>
      <c r="Q3197" s="49"/>
      <c r="R3197" s="49"/>
      <c r="S3197" s="55" t="s">
        <v>2845</v>
      </c>
      <c r="T3197" s="49"/>
      <c r="U3197" s="49"/>
      <c r="V3197" s="49"/>
      <c r="W3197" s="49"/>
      <c r="X3197" s="49" t="str">
        <f t="shared" si="3"/>
        <v>,</v>
      </c>
      <c r="Y3197" s="49"/>
      <c r="Z3197" s="49"/>
      <c r="AB3197" s="49"/>
      <c r="AC3197" s="49"/>
      <c r="AD3197" s="49"/>
      <c r="AE3197" s="49"/>
      <c r="AF3197" s="49"/>
      <c r="AG3197" s="49"/>
      <c r="AH3197" s="1">
        <v>88.0</v>
      </c>
      <c r="AI3197" s="1" t="s">
        <v>4790</v>
      </c>
      <c r="AJ3197" s="6"/>
      <c r="AK3197" s="49"/>
      <c r="AL3197" s="49"/>
      <c r="AM3197" s="49"/>
      <c r="AN3197" s="52" t="str">
        <f t="shared" si="5"/>
        <v>88,</v>
      </c>
      <c r="AP3197" s="49"/>
      <c r="AQ3197" s="49"/>
      <c r="AR3197" s="49"/>
      <c r="AS3197" s="49"/>
      <c r="AT3197" s="49"/>
    </row>
    <row r="3198">
      <c r="A3198" s="51"/>
      <c r="B3198" s="50" t="s">
        <v>2371</v>
      </c>
      <c r="C3198" s="50" t="s">
        <v>6996</v>
      </c>
      <c r="D3198" s="49" t="str">
        <f>IFERROR(__xludf.DUMMYFUNCTION("""COMPUTED_VALUE"""),"pin")</f>
        <v>pin</v>
      </c>
      <c r="E3198" s="49"/>
      <c r="F3198" s="49"/>
      <c r="G3198" s="49"/>
      <c r="H3198" s="54" t="str">
        <f t="shared" si="1"/>
        <v>discipline,</v>
      </c>
      <c r="I3198" s="50"/>
      <c r="J3198" s="50"/>
      <c r="K3198" s="50" t="s">
        <v>5654</v>
      </c>
      <c r="L3198" s="49"/>
      <c r="M3198" s="49"/>
      <c r="N3198" s="49"/>
      <c r="O3198" s="49"/>
      <c r="P3198" s="49" t="str">
        <f t="shared" si="2"/>
        <v>,</v>
      </c>
      <c r="Q3198" s="49"/>
      <c r="R3198" s="49"/>
      <c r="S3198" s="55" t="s">
        <v>2848</v>
      </c>
      <c r="T3198" s="49"/>
      <c r="U3198" s="49"/>
      <c r="V3198" s="49"/>
      <c r="W3198" s="49"/>
      <c r="X3198" s="49" t="str">
        <f t="shared" si="3"/>
        <v>,</v>
      </c>
      <c r="Y3198" s="49"/>
      <c r="Z3198" s="49"/>
      <c r="AB3198" s="49"/>
      <c r="AC3198" s="49"/>
      <c r="AD3198" s="49"/>
      <c r="AE3198" s="49"/>
      <c r="AF3198" s="49"/>
      <c r="AG3198" s="49"/>
      <c r="AH3198" s="1" t="s">
        <v>3732</v>
      </c>
      <c r="AI3198" s="1" t="s">
        <v>3937</v>
      </c>
      <c r="AJ3198" s="6"/>
      <c r="AK3198" s="49"/>
      <c r="AL3198" s="49"/>
      <c r="AM3198" s="49"/>
      <c r="AN3198" s="52" t="str">
        <f t="shared" si="5"/>
        <v>pan,</v>
      </c>
      <c r="AP3198" s="49"/>
      <c r="AQ3198" s="49"/>
      <c r="AR3198" s="49"/>
      <c r="AS3198" s="49"/>
      <c r="AT3198" s="49"/>
    </row>
    <row r="3199">
      <c r="A3199" s="51"/>
      <c r="B3199" s="50" t="s">
        <v>5734</v>
      </c>
      <c r="C3199" s="50" t="s">
        <v>5394</v>
      </c>
      <c r="D3199" s="49" t="str">
        <f>IFERROR(__xludf.DUMMYFUNCTION("""COMPUTED_VALUE"""),"method")</f>
        <v>method</v>
      </c>
      <c r="E3199" s="49"/>
      <c r="F3199" s="49"/>
      <c r="G3199" s="49"/>
      <c r="H3199" s="54" t="str">
        <f t="shared" si="1"/>
        <v>contrast,</v>
      </c>
      <c r="I3199" s="50"/>
      <c r="J3199" s="50"/>
      <c r="K3199" s="50" t="s">
        <v>2961</v>
      </c>
      <c r="L3199" s="49"/>
      <c r="M3199" s="49"/>
      <c r="N3199" s="49"/>
      <c r="O3199" s="49"/>
      <c r="P3199" s="49" t="str">
        <f t="shared" si="2"/>
        <v>,</v>
      </c>
      <c r="Q3199" s="49"/>
      <c r="R3199" s="49"/>
      <c r="S3199" s="55" t="s">
        <v>329</v>
      </c>
      <c r="T3199" s="49"/>
      <c r="U3199" s="49"/>
      <c r="V3199" s="49"/>
      <c r="W3199" s="49"/>
      <c r="X3199" s="49" t="str">
        <f t="shared" si="3"/>
        <v>,</v>
      </c>
      <c r="Y3199" s="49"/>
      <c r="Z3199" s="49"/>
      <c r="AB3199" s="49"/>
      <c r="AC3199" s="49"/>
      <c r="AD3199" s="49"/>
      <c r="AE3199" s="49"/>
      <c r="AF3199" s="49"/>
      <c r="AG3199" s="49"/>
      <c r="AH3199" s="1" t="s">
        <v>232</v>
      </c>
      <c r="AI3199" s="1" t="s">
        <v>3940</v>
      </c>
      <c r="AJ3199" s="6"/>
      <c r="AK3199" s="49"/>
      <c r="AL3199" s="49"/>
      <c r="AM3199" s="49"/>
      <c r="AN3199" s="52" t="str">
        <f t="shared" si="5"/>
        <v>nomination,</v>
      </c>
      <c r="AP3199" s="49"/>
      <c r="AQ3199" s="49"/>
      <c r="AR3199" s="49"/>
      <c r="AS3199" s="49"/>
      <c r="AT3199" s="49"/>
    </row>
    <row r="3200">
      <c r="A3200" s="51"/>
      <c r="B3200" s="50" t="s">
        <v>5649</v>
      </c>
      <c r="C3200" s="50" t="s">
        <v>2552</v>
      </c>
      <c r="D3200" s="49" t="str">
        <f>IFERROR(__xludf.DUMMYFUNCTION("""COMPUTED_VALUE"""),"inhabitants")</f>
        <v>inhabitants</v>
      </c>
      <c r="E3200" s="49"/>
      <c r="F3200" s="49"/>
      <c r="G3200" s="49"/>
      <c r="H3200" s="54" t="str">
        <f t="shared" si="1"/>
        <v>journalist,</v>
      </c>
      <c r="I3200" s="50"/>
      <c r="J3200" s="50"/>
      <c r="K3200" s="50" t="s">
        <v>6034</v>
      </c>
      <c r="L3200" s="49"/>
      <c r="M3200" s="49"/>
      <c r="N3200" s="49"/>
      <c r="O3200" s="49"/>
      <c r="P3200" s="49" t="str">
        <f t="shared" si="2"/>
        <v>,</v>
      </c>
      <c r="Q3200" s="49"/>
      <c r="R3200" s="49"/>
      <c r="S3200" s="55" t="s">
        <v>4143</v>
      </c>
      <c r="T3200" s="49"/>
      <c r="U3200" s="49"/>
      <c r="V3200" s="49"/>
      <c r="W3200" s="49"/>
      <c r="X3200" s="49" t="str">
        <f t="shared" si="3"/>
        <v>,</v>
      </c>
      <c r="Y3200" s="49"/>
      <c r="Z3200" s="49"/>
      <c r="AB3200" s="49"/>
      <c r="AC3200" s="49"/>
      <c r="AD3200" s="49"/>
      <c r="AE3200" s="49"/>
      <c r="AF3200" s="49"/>
      <c r="AG3200" s="49"/>
      <c r="AH3200" s="1" t="s">
        <v>6828</v>
      </c>
      <c r="AI3200" s="1" t="s">
        <v>6997</v>
      </c>
      <c r="AJ3200" s="6"/>
      <c r="AK3200" s="49"/>
      <c r="AL3200" s="49"/>
      <c r="AM3200" s="49"/>
      <c r="AN3200" s="52" t="str">
        <f t="shared" si="5"/>
        <v>fist,</v>
      </c>
      <c r="AP3200" s="49"/>
      <c r="AQ3200" s="49"/>
      <c r="AR3200" s="49"/>
      <c r="AS3200" s="49"/>
      <c r="AT3200" s="49"/>
    </row>
    <row r="3201">
      <c r="A3201" s="51"/>
      <c r="B3201" s="50" t="s">
        <v>5973</v>
      </c>
      <c r="C3201" s="50" t="s">
        <v>5336</v>
      </c>
      <c r="D3201" s="49" t="str">
        <f>IFERROR(__xludf.DUMMYFUNCTION("""COMPUTED_VALUE"""),"franco")</f>
        <v>franco</v>
      </c>
      <c r="E3201" s="49"/>
      <c r="F3201" s="49"/>
      <c r="G3201" s="49"/>
      <c r="H3201" s="54" t="str">
        <f t="shared" si="1"/>
        <v>reduce,</v>
      </c>
      <c r="I3201" s="50"/>
      <c r="J3201" s="50"/>
      <c r="K3201" s="50" t="s">
        <v>2965</v>
      </c>
      <c r="L3201" s="49"/>
      <c r="M3201" s="49"/>
      <c r="N3201" s="49"/>
      <c r="O3201" s="49"/>
      <c r="P3201" s="49" t="str">
        <f t="shared" si="2"/>
        <v>,</v>
      </c>
      <c r="Q3201" s="49"/>
      <c r="R3201" s="49"/>
      <c r="S3201" s="55" t="s">
        <v>2850</v>
      </c>
      <c r="T3201" s="49"/>
      <c r="U3201" s="49"/>
      <c r="V3201" s="49"/>
      <c r="W3201" s="49"/>
      <c r="X3201" s="49" t="str">
        <f t="shared" si="3"/>
        <v>,</v>
      </c>
      <c r="Y3201" s="49"/>
      <c r="Z3201" s="49"/>
      <c r="AB3201" s="49"/>
      <c r="AC3201" s="49"/>
      <c r="AD3201" s="49"/>
      <c r="AE3201" s="49"/>
      <c r="AF3201" s="49"/>
      <c r="AG3201" s="49"/>
      <c r="AH3201" s="1" t="s">
        <v>6582</v>
      </c>
      <c r="AI3201" s="1" t="s">
        <v>6998</v>
      </c>
      <c r="AJ3201" s="6"/>
      <c r="AK3201" s="49"/>
      <c r="AL3201" s="49"/>
      <c r="AM3201" s="49"/>
      <c r="AN3201" s="52" t="str">
        <f t="shared" si="5"/>
        <v>restored,</v>
      </c>
      <c r="AP3201" s="49"/>
      <c r="AQ3201" s="49"/>
      <c r="AR3201" s="49"/>
      <c r="AS3201" s="49"/>
      <c r="AT3201" s="49"/>
    </row>
    <row r="3202">
      <c r="A3202" s="51"/>
      <c r="B3202" s="50" t="s">
        <v>1566</v>
      </c>
      <c r="C3202" s="50" t="s">
        <v>2562</v>
      </c>
      <c r="D3202" s="49" t="str">
        <f>IFERROR(__xludf.DUMMYFUNCTION("""COMPUTED_VALUE"""),"christianity")</f>
        <v>christianity</v>
      </c>
      <c r="E3202" s="49"/>
      <c r="F3202" s="49"/>
      <c r="G3202" s="49"/>
      <c r="H3202" s="54" t="str">
        <f t="shared" si="1"/>
        <v>scientists,</v>
      </c>
      <c r="I3202" s="50"/>
      <c r="J3202" s="50"/>
      <c r="K3202" s="50" t="s">
        <v>4730</v>
      </c>
      <c r="L3202" s="49"/>
      <c r="M3202" s="49"/>
      <c r="N3202" s="49"/>
      <c r="O3202" s="49"/>
      <c r="P3202" s="49" t="str">
        <f t="shared" si="2"/>
        <v>,</v>
      </c>
      <c r="Q3202" s="49"/>
      <c r="R3202" s="49"/>
      <c r="S3202" s="55" t="s">
        <v>1125</v>
      </c>
      <c r="T3202" s="49"/>
      <c r="U3202" s="49"/>
      <c r="V3202" s="49"/>
      <c r="W3202" s="49"/>
      <c r="X3202" s="49" t="str">
        <f t="shared" si="3"/>
        <v>,</v>
      </c>
      <c r="Y3202" s="49"/>
      <c r="Z3202" s="49"/>
      <c r="AB3202" s="49"/>
      <c r="AC3202" s="49"/>
      <c r="AD3202" s="49"/>
      <c r="AE3202" s="49"/>
      <c r="AF3202" s="49"/>
      <c r="AG3202" s="49"/>
      <c r="AH3202" s="1" t="s">
        <v>4480</v>
      </c>
      <c r="AI3202" s="1" t="s">
        <v>6999</v>
      </c>
      <c r="AJ3202" s="6"/>
      <c r="AK3202" s="49"/>
      <c r="AL3202" s="49"/>
      <c r="AM3202" s="49"/>
      <c r="AN3202" s="52" t="str">
        <f t="shared" si="5"/>
        <v>tears,</v>
      </c>
      <c r="AP3202" s="49"/>
      <c r="AQ3202" s="49"/>
      <c r="AR3202" s="49"/>
      <c r="AS3202" s="49"/>
      <c r="AT3202" s="49"/>
    </row>
    <row r="3203">
      <c r="A3203" s="51"/>
      <c r="B3203" s="50" t="s">
        <v>2349</v>
      </c>
      <c r="C3203" s="50" t="s">
        <v>6853</v>
      </c>
      <c r="D3203" s="49" t="str">
        <f>IFERROR(__xludf.DUMMYFUNCTION("""COMPUTED_VALUE"""),"spreading")</f>
        <v>spreading</v>
      </c>
      <c r="E3203" s="49"/>
      <c r="F3203" s="49"/>
      <c r="G3203" s="49"/>
      <c r="H3203" s="54" t="str">
        <f t="shared" si="1"/>
        <v>balance,</v>
      </c>
      <c r="I3203" s="50"/>
      <c r="J3203" s="50"/>
      <c r="K3203" s="50" t="s">
        <v>4732</v>
      </c>
      <c r="L3203" s="49"/>
      <c r="M3203" s="49"/>
      <c r="N3203" s="49"/>
      <c r="O3203" s="49"/>
      <c r="P3203" s="49" t="str">
        <f t="shared" si="2"/>
        <v>,</v>
      </c>
      <c r="Q3203" s="49"/>
      <c r="R3203" s="49"/>
      <c r="S3203" s="55" t="s">
        <v>5598</v>
      </c>
      <c r="T3203" s="49"/>
      <c r="U3203" s="49"/>
      <c r="V3203" s="49"/>
      <c r="W3203" s="49"/>
      <c r="X3203" s="49" t="str">
        <f t="shared" si="3"/>
        <v>,</v>
      </c>
      <c r="Y3203" s="49"/>
      <c r="Z3203" s="49"/>
      <c r="AB3203" s="49"/>
      <c r="AC3203" s="49"/>
      <c r="AD3203" s="49"/>
      <c r="AE3203" s="49"/>
      <c r="AF3203" s="49"/>
      <c r="AG3203" s="49"/>
      <c r="AH3203" s="1" t="s">
        <v>5974</v>
      </c>
      <c r="AI3203" s="1" t="s">
        <v>7000</v>
      </c>
      <c r="AJ3203" s="6"/>
      <c r="AK3203" s="49"/>
      <c r="AL3203" s="49"/>
      <c r="AM3203" s="49"/>
      <c r="AN3203" s="52" t="str">
        <f t="shared" si="5"/>
        <v>tourism,</v>
      </c>
      <c r="AP3203" s="49"/>
      <c r="AQ3203" s="49"/>
      <c r="AR3203" s="49"/>
      <c r="AS3203" s="49"/>
      <c r="AT3203" s="49"/>
    </row>
    <row r="3204">
      <c r="A3204" s="51"/>
      <c r="B3204" s="50" t="s">
        <v>5394</v>
      </c>
      <c r="C3204" s="50" t="s">
        <v>6854</v>
      </c>
      <c r="D3204" s="49" t="str">
        <f>IFERROR(__xludf.DUMMYFUNCTION("""COMPUTED_VALUE"""),"interview")</f>
        <v>interview</v>
      </c>
      <c r="E3204" s="49"/>
      <c r="F3204" s="49"/>
      <c r="G3204" s="49"/>
      <c r="H3204" s="54" t="str">
        <f t="shared" si="1"/>
        <v>confidence,</v>
      </c>
      <c r="I3204" s="50"/>
      <c r="J3204" s="50"/>
      <c r="K3204" s="50" t="s">
        <v>441</v>
      </c>
      <c r="L3204" s="49"/>
      <c r="M3204" s="49"/>
      <c r="N3204" s="49"/>
      <c r="O3204" s="49"/>
      <c r="P3204" s="49" t="str">
        <f t="shared" si="2"/>
        <v>,</v>
      </c>
      <c r="Q3204" s="49"/>
      <c r="R3204" s="49"/>
      <c r="S3204" s="55" t="s">
        <v>1849</v>
      </c>
      <c r="T3204" s="49"/>
      <c r="U3204" s="49"/>
      <c r="V3204" s="49"/>
      <c r="W3204" s="49"/>
      <c r="X3204" s="49" t="str">
        <f t="shared" si="3"/>
        <v>,</v>
      </c>
      <c r="Y3204" s="49"/>
      <c r="Z3204" s="49"/>
      <c r="AB3204" s="49"/>
      <c r="AC3204" s="49"/>
      <c r="AD3204" s="49"/>
      <c r="AE3204" s="49"/>
      <c r="AF3204" s="49"/>
      <c r="AG3204" s="49"/>
      <c r="AH3204" s="1" t="s">
        <v>271</v>
      </c>
      <c r="AI3204" s="1" t="s">
        <v>7001</v>
      </c>
      <c r="AJ3204" s="6"/>
      <c r="AK3204" s="49"/>
      <c r="AL3204" s="49"/>
      <c r="AM3204" s="49"/>
      <c r="AN3204" s="52" t="str">
        <f t="shared" si="5"/>
        <v>account,</v>
      </c>
      <c r="AP3204" s="49"/>
      <c r="AQ3204" s="49"/>
      <c r="AR3204" s="49"/>
      <c r="AS3204" s="49"/>
      <c r="AT3204" s="49"/>
    </row>
    <row r="3205">
      <c r="A3205" s="51"/>
      <c r="B3205" s="50" t="s">
        <v>6527</v>
      </c>
      <c r="C3205" s="50" t="s">
        <v>7002</v>
      </c>
      <c r="D3205" s="49" t="str">
        <f>IFERROR(__xludf.DUMMYFUNCTION("""COMPUTED_VALUE"""),"shaking")</f>
        <v>shaking</v>
      </c>
      <c r="E3205" s="49"/>
      <c r="F3205" s="49"/>
      <c r="G3205" s="49"/>
      <c r="H3205" s="54" t="str">
        <f t="shared" si="1"/>
        <v>charge,</v>
      </c>
      <c r="I3205" s="50"/>
      <c r="J3205" s="50"/>
      <c r="K3205" s="50" t="s">
        <v>5673</v>
      </c>
      <c r="L3205" s="49"/>
      <c r="M3205" s="49"/>
      <c r="N3205" s="49"/>
      <c r="O3205" s="49"/>
      <c r="P3205" s="49" t="str">
        <f t="shared" si="2"/>
        <v>,</v>
      </c>
      <c r="Q3205" s="49"/>
      <c r="R3205" s="49"/>
      <c r="S3205" s="55" t="s">
        <v>6162</v>
      </c>
      <c r="T3205" s="49"/>
      <c r="U3205" s="49"/>
      <c r="V3205" s="49"/>
      <c r="W3205" s="49"/>
      <c r="X3205" s="49" t="str">
        <f t="shared" si="3"/>
        <v>,</v>
      </c>
      <c r="Y3205" s="49"/>
      <c r="Z3205" s="49"/>
      <c r="AB3205" s="49"/>
      <c r="AC3205" s="49"/>
      <c r="AD3205" s="49"/>
      <c r="AE3205" s="49"/>
      <c r="AF3205" s="49"/>
      <c r="AG3205" s="49"/>
      <c r="AH3205" s="1" t="s">
        <v>6943</v>
      </c>
      <c r="AI3205" s="1" t="s">
        <v>7003</v>
      </c>
      <c r="AJ3205" s="6"/>
      <c r="AK3205" s="49"/>
      <c r="AL3205" s="49"/>
      <c r="AM3205" s="49"/>
      <c r="AN3205" s="52" t="str">
        <f t="shared" si="5"/>
        <v>equipment,</v>
      </c>
      <c r="AP3205" s="49"/>
      <c r="AQ3205" s="49"/>
      <c r="AR3205" s="49"/>
      <c r="AS3205" s="49"/>
      <c r="AT3205" s="49"/>
    </row>
    <row r="3206">
      <c r="A3206" s="51"/>
      <c r="B3206" s="50" t="s">
        <v>6891</v>
      </c>
      <c r="C3206" s="50" t="s">
        <v>3705</v>
      </c>
      <c r="D3206" s="49" t="str">
        <f>IFERROR(__xludf.DUMMYFUNCTION("""COMPUTED_VALUE"""),"ties")</f>
        <v>ties</v>
      </c>
      <c r="E3206" s="49"/>
      <c r="F3206" s="49"/>
      <c r="G3206" s="49"/>
      <c r="H3206" s="54" t="str">
        <f t="shared" si="1"/>
        <v>dust,</v>
      </c>
      <c r="I3206" s="50"/>
      <c r="J3206" s="50"/>
      <c r="K3206" s="50" t="s">
        <v>5675</v>
      </c>
      <c r="L3206" s="49"/>
      <c r="M3206" s="49"/>
      <c r="N3206" s="49"/>
      <c r="O3206" s="49"/>
      <c r="P3206" s="49" t="str">
        <f t="shared" si="2"/>
        <v>,</v>
      </c>
      <c r="Q3206" s="49"/>
      <c r="R3206" s="49"/>
      <c r="S3206" s="55" t="s">
        <v>2857</v>
      </c>
      <c r="T3206" s="49"/>
      <c r="U3206" s="49"/>
      <c r="V3206" s="49"/>
      <c r="W3206" s="49"/>
      <c r="X3206" s="49" t="str">
        <f t="shared" si="3"/>
        <v>,</v>
      </c>
      <c r="Y3206" s="49"/>
      <c r="Z3206" s="49"/>
      <c r="AB3206" s="49"/>
      <c r="AC3206" s="49"/>
      <c r="AD3206" s="49"/>
      <c r="AE3206" s="49"/>
      <c r="AF3206" s="49"/>
      <c r="AG3206" s="49"/>
      <c r="AH3206" s="1" t="s">
        <v>2674</v>
      </c>
      <c r="AI3206" s="1" t="s">
        <v>6015</v>
      </c>
      <c r="AJ3206" s="6"/>
      <c r="AK3206" s="49"/>
      <c r="AL3206" s="49"/>
      <c r="AM3206" s="49"/>
      <c r="AN3206" s="52" t="str">
        <f t="shared" si="5"/>
        <v>heights,</v>
      </c>
      <c r="AP3206" s="49"/>
      <c r="AQ3206" s="49"/>
      <c r="AR3206" s="49"/>
      <c r="AS3206" s="49"/>
      <c r="AT3206" s="49"/>
    </row>
    <row r="3207">
      <c r="A3207" s="51"/>
      <c r="B3207" s="50" t="s">
        <v>2191</v>
      </c>
      <c r="C3207" s="50" t="s">
        <v>6855</v>
      </c>
      <c r="D3207" s="49" t="str">
        <f>IFERROR(__xludf.DUMMYFUNCTION("""COMPUTED_VALUE"""),"hawk")</f>
        <v>hawk</v>
      </c>
      <c r="E3207" s="49"/>
      <c r="F3207" s="49"/>
      <c r="G3207" s="49"/>
      <c r="H3207" s="54" t="str">
        <f t="shared" si="1"/>
        <v>exposure,</v>
      </c>
      <c r="I3207" s="50"/>
      <c r="J3207" s="50"/>
      <c r="K3207" s="50" t="s">
        <v>4736</v>
      </c>
      <c r="L3207" s="49"/>
      <c r="M3207" s="49"/>
      <c r="N3207" s="49"/>
      <c r="O3207" s="49"/>
      <c r="P3207" s="49" t="str">
        <f t="shared" si="2"/>
        <v>,</v>
      </c>
      <c r="Q3207" s="49"/>
      <c r="R3207" s="49"/>
      <c r="S3207" s="55" t="s">
        <v>2859</v>
      </c>
      <c r="T3207" s="49"/>
      <c r="U3207" s="49"/>
      <c r="V3207" s="49"/>
      <c r="W3207" s="49"/>
      <c r="X3207" s="49" t="str">
        <f t="shared" si="3"/>
        <v>,</v>
      </c>
      <c r="Y3207" s="49"/>
      <c r="Z3207" s="49"/>
      <c r="AB3207" s="49"/>
      <c r="AC3207" s="49"/>
      <c r="AD3207" s="49"/>
      <c r="AE3207" s="49"/>
      <c r="AF3207" s="49"/>
      <c r="AG3207" s="49"/>
      <c r="AH3207" s="1" t="s">
        <v>4554</v>
      </c>
      <c r="AI3207" s="1" t="s">
        <v>6152</v>
      </c>
      <c r="AJ3207" s="6"/>
      <c r="AK3207" s="49"/>
      <c r="AL3207" s="49"/>
      <c r="AM3207" s="49"/>
      <c r="AN3207" s="52" t="str">
        <f t="shared" si="5"/>
        <v>el,</v>
      </c>
      <c r="AP3207" s="49"/>
      <c r="AQ3207" s="49"/>
      <c r="AR3207" s="49"/>
      <c r="AS3207" s="49"/>
      <c r="AT3207" s="49"/>
    </row>
    <row r="3208">
      <c r="A3208" s="51"/>
      <c r="B3208" s="50" t="s">
        <v>7052</v>
      </c>
      <c r="C3208" s="50" t="s">
        <v>5403</v>
      </c>
      <c r="D3208" s="49" t="str">
        <f>IFERROR(__xludf.DUMMYFUNCTION("""COMPUTED_VALUE"""),"holy")</f>
        <v>holy</v>
      </c>
      <c r="E3208" s="49"/>
      <c r="F3208" s="49"/>
      <c r="G3208" s="49"/>
      <c r="H3208" s="54" t="str">
        <f t="shared" si="1"/>
        <v>individuals,</v>
      </c>
      <c r="I3208" s="50"/>
      <c r="J3208" s="50"/>
      <c r="K3208" s="50" t="s">
        <v>1651</v>
      </c>
      <c r="L3208" s="49"/>
      <c r="M3208" s="49"/>
      <c r="N3208" s="49"/>
      <c r="O3208" s="49"/>
      <c r="P3208" s="49" t="str">
        <f t="shared" si="2"/>
        <v>,</v>
      </c>
      <c r="Q3208" s="49"/>
      <c r="R3208" s="49"/>
      <c r="S3208" s="55" t="s">
        <v>4657</v>
      </c>
      <c r="T3208" s="49"/>
      <c r="U3208" s="49"/>
      <c r="V3208" s="49"/>
      <c r="W3208" s="49"/>
      <c r="X3208" s="49" t="str">
        <f t="shared" si="3"/>
        <v>,</v>
      </c>
      <c r="Y3208" s="49"/>
      <c r="Z3208" s="49"/>
      <c r="AB3208" s="49"/>
      <c r="AC3208" s="49"/>
      <c r="AD3208" s="49"/>
      <c r="AE3208" s="49"/>
      <c r="AF3208" s="49"/>
      <c r="AG3208" s="49"/>
      <c r="AH3208" s="1" t="s">
        <v>7679</v>
      </c>
      <c r="AI3208" s="1" t="s">
        <v>3578</v>
      </c>
      <c r="AJ3208" s="6"/>
      <c r="AK3208" s="49"/>
      <c r="AL3208" s="49"/>
      <c r="AM3208" s="49"/>
      <c r="AN3208" s="52" t="str">
        <f t="shared" si="5"/>
        <v>flames,</v>
      </c>
      <c r="AP3208" s="49"/>
      <c r="AQ3208" s="49"/>
      <c r="AR3208" s="49"/>
      <c r="AS3208" s="49"/>
      <c r="AT3208" s="49"/>
    </row>
    <row r="3209">
      <c r="A3209" s="51"/>
      <c r="B3209" s="50" t="s">
        <v>3153</v>
      </c>
      <c r="C3209" s="50" t="s">
        <v>3797</v>
      </c>
      <c r="D3209" s="49" t="str">
        <f>IFERROR(__xludf.DUMMYFUNCTION("""COMPUTED_VALUE"""),"controlled")</f>
        <v>controlled</v>
      </c>
      <c r="E3209" s="49"/>
      <c r="F3209" s="49"/>
      <c r="G3209" s="49"/>
      <c r="H3209" s="54" t="str">
        <f t="shared" si="1"/>
        <v>interpretation,</v>
      </c>
      <c r="I3209" s="50"/>
      <c r="J3209" s="50"/>
      <c r="K3209" s="50" t="s">
        <v>4739</v>
      </c>
      <c r="L3209" s="49"/>
      <c r="M3209" s="49"/>
      <c r="N3209" s="49"/>
      <c r="O3209" s="49"/>
      <c r="P3209" s="49" t="str">
        <f t="shared" si="2"/>
        <v>,</v>
      </c>
      <c r="Q3209" s="49"/>
      <c r="R3209" s="49"/>
      <c r="S3209" s="55" t="s">
        <v>2863</v>
      </c>
      <c r="T3209" s="49"/>
      <c r="U3209" s="49"/>
      <c r="V3209" s="49"/>
      <c r="W3209" s="49"/>
      <c r="X3209" s="49" t="str">
        <f t="shared" si="3"/>
        <v>,</v>
      </c>
      <c r="Y3209" s="49"/>
      <c r="Z3209" s="49"/>
      <c r="AB3209" s="49"/>
      <c r="AC3209" s="49"/>
      <c r="AD3209" s="49"/>
      <c r="AE3209" s="49"/>
      <c r="AF3209" s="49"/>
      <c r="AG3209" s="49"/>
      <c r="AH3209" s="1" t="s">
        <v>6095</v>
      </c>
      <c r="AI3209" s="1" t="s">
        <v>5778</v>
      </c>
      <c r="AJ3209" s="6"/>
      <c r="AK3209" s="49"/>
      <c r="AL3209" s="49"/>
      <c r="AM3209" s="49"/>
      <c r="AN3209" s="52" t="str">
        <f t="shared" si="5"/>
        <v>sharing,</v>
      </c>
      <c r="AP3209" s="49"/>
      <c r="AQ3209" s="49"/>
      <c r="AR3209" s="49"/>
      <c r="AS3209" s="49"/>
      <c r="AT3209" s="49"/>
    </row>
    <row r="3210">
      <c r="A3210" s="51"/>
      <c r="B3210" s="50" t="s">
        <v>4644</v>
      </c>
      <c r="C3210" s="50" t="s">
        <v>6856</v>
      </c>
      <c r="D3210" s="49" t="str">
        <f>IFERROR(__xludf.DUMMYFUNCTION("""COMPUTED_VALUE"""),"local")</f>
        <v>local</v>
      </c>
      <c r="E3210" s="49"/>
      <c r="F3210" s="49"/>
      <c r="G3210" s="49"/>
      <c r="H3210" s="54" t="str">
        <f t="shared" si="1"/>
        <v>object,</v>
      </c>
      <c r="I3210" s="50"/>
      <c r="J3210" s="50"/>
      <c r="K3210" s="50" t="s">
        <v>4740</v>
      </c>
      <c r="L3210" s="49"/>
      <c r="M3210" s="49"/>
      <c r="N3210" s="49"/>
      <c r="O3210" s="49"/>
      <c r="P3210" s="49" t="str">
        <f t="shared" si="2"/>
        <v>,</v>
      </c>
      <c r="Q3210" s="49"/>
      <c r="R3210" s="49"/>
      <c r="S3210" s="55" t="s">
        <v>743</v>
      </c>
      <c r="T3210" s="49"/>
      <c r="U3210" s="49"/>
      <c r="V3210" s="49"/>
      <c r="W3210" s="49"/>
      <c r="X3210" s="49" t="str">
        <f t="shared" si="3"/>
        <v>,</v>
      </c>
      <c r="Y3210" s="49"/>
      <c r="Z3210" s="49"/>
      <c r="AB3210" s="49"/>
      <c r="AC3210" s="49"/>
      <c r="AD3210" s="49"/>
      <c r="AE3210" s="49"/>
      <c r="AF3210" s="49"/>
      <c r="AG3210" s="49"/>
      <c r="AH3210" s="1" t="s">
        <v>2304</v>
      </c>
      <c r="AI3210" s="1" t="s">
        <v>5973</v>
      </c>
      <c r="AJ3210" s="6"/>
      <c r="AK3210" s="49"/>
      <c r="AL3210" s="49"/>
      <c r="AM3210" s="49"/>
      <c r="AN3210" s="52" t="str">
        <f t="shared" si="5"/>
        <v>enterprise,</v>
      </c>
      <c r="AP3210" s="49"/>
      <c r="AQ3210" s="49"/>
      <c r="AR3210" s="49"/>
      <c r="AS3210" s="49"/>
      <c r="AT3210" s="49"/>
    </row>
    <row r="3211">
      <c r="A3211" s="51"/>
      <c r="B3211" s="50" t="s">
        <v>7472</v>
      </c>
      <c r="C3211" s="50" t="s">
        <v>1319</v>
      </c>
      <c r="D3211" s="49" t="str">
        <f>IFERROR(__xludf.DUMMYFUNCTION("""COMPUTED_VALUE"""),"distinct")</f>
        <v>distinct</v>
      </c>
      <c r="E3211" s="49"/>
      <c r="F3211" s="49"/>
      <c r="G3211" s="49"/>
      <c r="H3211" s="54" t="str">
        <f t="shared" si="1"/>
        <v>knee,</v>
      </c>
      <c r="I3211" s="50"/>
      <c r="J3211" s="50"/>
      <c r="K3211" s="50" t="s">
        <v>6035</v>
      </c>
      <c r="L3211" s="49"/>
      <c r="M3211" s="49"/>
      <c r="N3211" s="49"/>
      <c r="O3211" s="49"/>
      <c r="P3211" s="49" t="str">
        <f t="shared" si="2"/>
        <v>,</v>
      </c>
      <c r="Q3211" s="49"/>
      <c r="R3211" s="49"/>
      <c r="S3211" s="55" t="s">
        <v>2867</v>
      </c>
      <c r="T3211" s="49"/>
      <c r="U3211" s="49"/>
      <c r="V3211" s="49"/>
      <c r="W3211" s="49"/>
      <c r="X3211" s="49" t="str">
        <f t="shared" si="3"/>
        <v>,</v>
      </c>
      <c r="Y3211" s="49"/>
      <c r="Z3211" s="49"/>
      <c r="AB3211" s="49"/>
      <c r="AC3211" s="49"/>
      <c r="AD3211" s="49"/>
      <c r="AE3211" s="49"/>
      <c r="AF3211" s="49"/>
      <c r="AG3211" s="49"/>
      <c r="AH3211" s="1" t="s">
        <v>6301</v>
      </c>
      <c r="AI3211" s="1" t="s">
        <v>399</v>
      </c>
      <c r="AJ3211" s="6"/>
      <c r="AK3211" s="49"/>
      <c r="AL3211" s="49"/>
      <c r="AM3211" s="49"/>
      <c r="AN3211" s="52" t="str">
        <f t="shared" si="5"/>
        <v>corporate,</v>
      </c>
      <c r="AP3211" s="49"/>
      <c r="AQ3211" s="49"/>
      <c r="AR3211" s="49"/>
      <c r="AS3211" s="49"/>
      <c r="AT3211" s="49"/>
    </row>
    <row r="3212">
      <c r="A3212" s="51"/>
      <c r="B3212" s="50" t="s">
        <v>5481</v>
      </c>
      <c r="C3212" s="50" t="s">
        <v>1491</v>
      </c>
      <c r="D3212" s="49" t="str">
        <f>IFERROR(__xludf.DUMMYFUNCTION("""COMPUTED_VALUE"""),"robinson")</f>
        <v>robinson</v>
      </c>
      <c r="E3212" s="49"/>
      <c r="F3212" s="49"/>
      <c r="G3212" s="49"/>
      <c r="H3212" s="54" t="str">
        <f t="shared" si="1"/>
        <v>substitute,</v>
      </c>
      <c r="I3212" s="50"/>
      <c r="J3212" s="50"/>
      <c r="K3212" s="50" t="s">
        <v>4743</v>
      </c>
      <c r="L3212" s="49"/>
      <c r="M3212" s="49"/>
      <c r="N3212" s="49"/>
      <c r="O3212" s="49"/>
      <c r="P3212" s="49" t="str">
        <f t="shared" si="2"/>
        <v>,</v>
      </c>
      <c r="Q3212" s="49"/>
      <c r="R3212" s="49"/>
      <c r="S3212" s="55" t="s">
        <v>5611</v>
      </c>
      <c r="T3212" s="49"/>
      <c r="U3212" s="49"/>
      <c r="V3212" s="49"/>
      <c r="W3212" s="49"/>
      <c r="X3212" s="49" t="str">
        <f t="shared" si="3"/>
        <v>,</v>
      </c>
      <c r="Y3212" s="49"/>
      <c r="Z3212" s="49"/>
      <c r="AB3212" s="49"/>
      <c r="AC3212" s="49"/>
      <c r="AD3212" s="49"/>
      <c r="AE3212" s="49"/>
      <c r="AF3212" s="49"/>
      <c r="AG3212" s="49"/>
      <c r="AH3212" s="1" t="s">
        <v>4313</v>
      </c>
      <c r="AI3212" s="1" t="s">
        <v>3961</v>
      </c>
      <c r="AJ3212" s="6"/>
      <c r="AK3212" s="49"/>
      <c r="AL3212" s="49"/>
      <c r="AM3212" s="49"/>
      <c r="AN3212" s="52" t="str">
        <f t="shared" si="5"/>
        <v>broadway,</v>
      </c>
      <c r="AP3212" s="49"/>
      <c r="AQ3212" s="49"/>
      <c r="AR3212" s="49"/>
      <c r="AS3212" s="49"/>
      <c r="AT3212" s="49"/>
    </row>
    <row r="3213">
      <c r="A3213" s="51"/>
      <c r="B3213" s="50" t="s">
        <v>4500</v>
      </c>
      <c r="C3213" s="50" t="s">
        <v>3708</v>
      </c>
      <c r="D3213" s="49" t="str">
        <f>IFERROR(__xludf.DUMMYFUNCTION("""COMPUTED_VALUE"""),"suburban")</f>
        <v>suburban</v>
      </c>
      <c r="E3213" s="49"/>
      <c r="F3213" s="49"/>
      <c r="G3213" s="49"/>
      <c r="H3213" s="54" t="str">
        <f t="shared" si="1"/>
        <v>columbus,</v>
      </c>
      <c r="I3213" s="50"/>
      <c r="J3213" s="50"/>
      <c r="K3213" s="50" t="s">
        <v>4745</v>
      </c>
      <c r="L3213" s="49"/>
      <c r="M3213" s="49"/>
      <c r="N3213" s="49"/>
      <c r="O3213" s="49"/>
      <c r="P3213" s="49" t="str">
        <f t="shared" si="2"/>
        <v>,</v>
      </c>
      <c r="Q3213" s="49"/>
      <c r="R3213" s="49"/>
      <c r="S3213" s="55" t="s">
        <v>1947</v>
      </c>
      <c r="T3213" s="49"/>
      <c r="U3213" s="49"/>
      <c r="V3213" s="49"/>
      <c r="W3213" s="49"/>
      <c r="X3213" s="49" t="str">
        <f t="shared" si="3"/>
        <v>,</v>
      </c>
      <c r="Y3213" s="49"/>
      <c r="Z3213" s="49"/>
      <c r="AB3213" s="49"/>
      <c r="AC3213" s="49"/>
      <c r="AD3213" s="49"/>
      <c r="AE3213" s="49"/>
      <c r="AF3213" s="49"/>
      <c r="AG3213" s="49"/>
      <c r="AH3213" s="1" t="s">
        <v>127</v>
      </c>
      <c r="AI3213" s="1" t="s">
        <v>5572</v>
      </c>
      <c r="AJ3213" s="6"/>
      <c r="AK3213" s="49"/>
      <c r="AL3213" s="49"/>
      <c r="AM3213" s="49"/>
      <c r="AN3213" s="52" t="str">
        <f t="shared" si="5"/>
        <v>remain,</v>
      </c>
      <c r="AP3213" s="49"/>
      <c r="AQ3213" s="49"/>
      <c r="AR3213" s="49"/>
      <c r="AS3213" s="49"/>
      <c r="AT3213" s="49"/>
    </row>
    <row r="3214">
      <c r="A3214" s="51"/>
      <c r="B3214" s="50" t="s">
        <v>3649</v>
      </c>
      <c r="C3214" s="50" t="s">
        <v>1821</v>
      </c>
      <c r="D3214" s="49" t="str">
        <f>IFERROR(__xludf.DUMMYFUNCTION("""COMPUTED_VALUE"""),"stripped")</f>
        <v>stripped</v>
      </c>
      <c r="E3214" s="49"/>
      <c r="F3214" s="49"/>
      <c r="G3214" s="49"/>
      <c r="H3214" s="54" t="str">
        <f t="shared" si="1"/>
        <v>cia,</v>
      </c>
      <c r="I3214" s="50"/>
      <c r="J3214" s="50"/>
      <c r="K3214" s="50" t="s">
        <v>4261</v>
      </c>
      <c r="L3214" s="49"/>
      <c r="M3214" s="49"/>
      <c r="N3214" s="49"/>
      <c r="O3214" s="49"/>
      <c r="P3214" s="49" t="str">
        <f t="shared" si="2"/>
        <v>,</v>
      </c>
      <c r="Q3214" s="49"/>
      <c r="R3214" s="49"/>
      <c r="S3214" s="55" t="s">
        <v>1689</v>
      </c>
      <c r="T3214" s="49"/>
      <c r="U3214" s="49"/>
      <c r="V3214" s="49"/>
      <c r="W3214" s="49"/>
      <c r="X3214" s="49" t="str">
        <f t="shared" si="3"/>
        <v>,</v>
      </c>
      <c r="Y3214" s="49"/>
      <c r="Z3214" s="49"/>
      <c r="AB3214" s="49"/>
      <c r="AC3214" s="49"/>
      <c r="AD3214" s="49"/>
      <c r="AE3214" s="49"/>
      <c r="AF3214" s="49"/>
      <c r="AG3214" s="49"/>
      <c r="AH3214" s="1" t="s">
        <v>5225</v>
      </c>
      <c r="AI3214" s="1" t="s">
        <v>2535</v>
      </c>
      <c r="AJ3214" s="6"/>
      <c r="AK3214" s="49"/>
      <c r="AL3214" s="49"/>
      <c r="AM3214" s="49"/>
      <c r="AN3214" s="52" t="str">
        <f t="shared" si="5"/>
        <v>recovery,</v>
      </c>
      <c r="AP3214" s="49"/>
      <c r="AQ3214" s="49"/>
      <c r="AR3214" s="49"/>
      <c r="AS3214" s="49"/>
      <c r="AT3214" s="49"/>
    </row>
    <row r="3215">
      <c r="A3215" s="51"/>
      <c r="B3215" s="50" t="s">
        <v>563</v>
      </c>
      <c r="C3215" s="50" t="s">
        <v>5322</v>
      </c>
      <c r="D3215" s="49" t="str">
        <f>IFERROR(__xludf.DUMMYFUNCTION("""COMPUTED_VALUE"""),"smoke")</f>
        <v>smoke</v>
      </c>
      <c r="E3215" s="49"/>
      <c r="F3215" s="49"/>
      <c r="G3215" s="49"/>
      <c r="H3215" s="54" t="str">
        <f t="shared" si="1"/>
        <v>reaction,</v>
      </c>
      <c r="I3215" s="50"/>
      <c r="J3215" s="50"/>
      <c r="K3215" s="50" t="s">
        <v>2975</v>
      </c>
      <c r="L3215" s="49"/>
      <c r="M3215" s="49"/>
      <c r="N3215" s="49"/>
      <c r="O3215" s="49"/>
      <c r="P3215" s="49" t="str">
        <f t="shared" si="2"/>
        <v>,</v>
      </c>
      <c r="Q3215" s="49"/>
      <c r="R3215" s="49"/>
      <c r="S3215" s="55" t="s">
        <v>5614</v>
      </c>
      <c r="T3215" s="49"/>
      <c r="U3215" s="49"/>
      <c r="V3215" s="49"/>
      <c r="W3215" s="49"/>
      <c r="X3215" s="49" t="str">
        <f t="shared" si="3"/>
        <v>,</v>
      </c>
      <c r="Y3215" s="49"/>
      <c r="Z3215" s="49"/>
      <c r="AB3215" s="49"/>
      <c r="AC3215" s="49"/>
      <c r="AD3215" s="49"/>
      <c r="AE3215" s="49"/>
      <c r="AF3215" s="49"/>
      <c r="AG3215" s="49"/>
      <c r="AH3215" s="1" t="s">
        <v>4044</v>
      </c>
      <c r="AI3215" s="1" t="s">
        <v>6154</v>
      </c>
      <c r="AJ3215" s="6"/>
      <c r="AK3215" s="49"/>
      <c r="AL3215" s="49"/>
      <c r="AM3215" s="49"/>
      <c r="AN3215" s="52" t="str">
        <f t="shared" si="5"/>
        <v>photos,</v>
      </c>
      <c r="AP3215" s="49"/>
      <c r="AQ3215" s="49"/>
      <c r="AR3215" s="49"/>
      <c r="AS3215" s="49"/>
      <c r="AT3215" s="49"/>
    </row>
    <row r="3216">
      <c r="A3216" s="51"/>
      <c r="B3216" s="50" t="s">
        <v>5084</v>
      </c>
      <c r="C3216" s="50" t="s">
        <v>5281</v>
      </c>
      <c r="D3216" s="49" t="str">
        <f>IFERROR(__xludf.DUMMYFUNCTION("""COMPUTED_VALUE"""),"walker")</f>
        <v>walker</v>
      </c>
      <c r="E3216" s="49"/>
      <c r="F3216" s="49"/>
      <c r="G3216" s="49"/>
      <c r="H3216" s="54" t="str">
        <f t="shared" si="1"/>
        <v>afterwards,</v>
      </c>
      <c r="I3216" s="50"/>
      <c r="J3216" s="50"/>
      <c r="K3216" s="50" t="s">
        <v>4746</v>
      </c>
      <c r="L3216" s="49"/>
      <c r="M3216" s="49"/>
      <c r="N3216" s="49"/>
      <c r="O3216" s="49"/>
      <c r="P3216" s="49" t="str">
        <f t="shared" si="2"/>
        <v>,</v>
      </c>
      <c r="Q3216" s="49"/>
      <c r="R3216" s="49"/>
      <c r="S3216" s="55" t="s">
        <v>6070</v>
      </c>
      <c r="T3216" s="49"/>
      <c r="U3216" s="49"/>
      <c r="V3216" s="49"/>
      <c r="W3216" s="49"/>
      <c r="X3216" s="49" t="str">
        <f t="shared" si="3"/>
        <v>,</v>
      </c>
      <c r="Y3216" s="49"/>
      <c r="Z3216" s="49"/>
      <c r="AB3216" s="49"/>
      <c r="AC3216" s="49"/>
      <c r="AD3216" s="49"/>
      <c r="AE3216" s="49"/>
      <c r="AF3216" s="49"/>
      <c r="AG3216" s="49"/>
      <c r="AH3216" s="1" t="s">
        <v>3827</v>
      </c>
      <c r="AI3216" s="1" t="s">
        <v>5782</v>
      </c>
      <c r="AJ3216" s="6"/>
      <c r="AK3216" s="49"/>
      <c r="AL3216" s="49"/>
      <c r="AM3216" s="49"/>
      <c r="AN3216" s="52" t="str">
        <f t="shared" si="5"/>
        <v>access,</v>
      </c>
      <c r="AP3216" s="49"/>
      <c r="AQ3216" s="49"/>
      <c r="AR3216" s="49"/>
      <c r="AS3216" s="49"/>
      <c r="AT3216" s="49"/>
    </row>
    <row r="3217">
      <c r="A3217" s="51"/>
      <c r="B3217" s="50" t="s">
        <v>1907</v>
      </c>
      <c r="C3217" s="50" t="s">
        <v>5409</v>
      </c>
      <c r="D3217" s="49" t="str">
        <f>IFERROR(__xludf.DUMMYFUNCTION("""COMPUTED_VALUE"""),"sat")</f>
        <v>sat</v>
      </c>
      <c r="E3217" s="49"/>
      <c r="F3217" s="49"/>
      <c r="G3217" s="49"/>
      <c r="H3217" s="54" t="str">
        <f t="shared" si="1"/>
        <v>stripped,</v>
      </c>
      <c r="I3217" s="50"/>
      <c r="J3217" s="50"/>
      <c r="K3217" s="50" t="s">
        <v>2978</v>
      </c>
      <c r="L3217" s="49"/>
      <c r="M3217" s="49"/>
      <c r="N3217" s="49"/>
      <c r="O3217" s="49"/>
      <c r="P3217" s="49" t="str">
        <f t="shared" si="2"/>
        <v>,</v>
      </c>
      <c r="Q3217" s="49"/>
      <c r="R3217" s="49"/>
      <c r="S3217" s="55" t="s">
        <v>6011</v>
      </c>
      <c r="T3217" s="49"/>
      <c r="U3217" s="49"/>
      <c r="V3217" s="49"/>
      <c r="W3217" s="49"/>
      <c r="X3217" s="49" t="str">
        <f t="shared" si="3"/>
        <v>,</v>
      </c>
      <c r="Y3217" s="49"/>
      <c r="Z3217" s="49"/>
      <c r="AB3217" s="49"/>
      <c r="AC3217" s="49"/>
      <c r="AD3217" s="49"/>
      <c r="AE3217" s="49"/>
      <c r="AF3217" s="49"/>
      <c r="AG3217" s="49"/>
      <c r="AH3217" s="1" t="s">
        <v>5613</v>
      </c>
      <c r="AI3217" s="1" t="s">
        <v>6197</v>
      </c>
      <c r="AJ3217" s="6"/>
      <c r="AK3217" s="49"/>
      <c r="AL3217" s="49"/>
      <c r="AM3217" s="49"/>
      <c r="AN3217" s="52" t="str">
        <f t="shared" si="5"/>
        <v>emphasis,</v>
      </c>
      <c r="AP3217" s="49"/>
      <c r="AQ3217" s="49"/>
      <c r="AR3217" s="49"/>
      <c r="AS3217" s="49"/>
      <c r="AT3217" s="49"/>
    </row>
    <row r="3218">
      <c r="A3218" s="51"/>
      <c r="B3218" s="50" t="s">
        <v>3243</v>
      </c>
      <c r="C3218" s="50" t="s">
        <v>2582</v>
      </c>
      <c r="D3218" s="49" t="str">
        <f>IFERROR(__xludf.DUMMYFUNCTION("""COMPUTED_VALUE"""),"pretend")</f>
        <v>pretend</v>
      </c>
      <c r="E3218" s="49"/>
      <c r="F3218" s="49"/>
      <c r="G3218" s="49"/>
      <c r="H3218" s="54" t="str">
        <f t="shared" si="1"/>
        <v>mouth,</v>
      </c>
      <c r="I3218" s="50"/>
      <c r="J3218" s="50"/>
      <c r="K3218" s="50" t="s">
        <v>1785</v>
      </c>
      <c r="L3218" s="49"/>
      <c r="M3218" s="49"/>
      <c r="N3218" s="49"/>
      <c r="O3218" s="49"/>
      <c r="P3218" s="49" t="str">
        <f t="shared" si="2"/>
        <v>,</v>
      </c>
      <c r="Q3218" s="49"/>
      <c r="R3218" s="49"/>
      <c r="S3218" s="55" t="s">
        <v>5560</v>
      </c>
      <c r="T3218" s="49"/>
      <c r="U3218" s="49"/>
      <c r="V3218" s="49"/>
      <c r="W3218" s="49"/>
      <c r="X3218" s="49" t="str">
        <f t="shared" si="3"/>
        <v>,</v>
      </c>
      <c r="Y3218" s="49"/>
      <c r="Z3218" s="49"/>
      <c r="AB3218" s="49"/>
      <c r="AC3218" s="49"/>
      <c r="AD3218" s="49"/>
      <c r="AE3218" s="49"/>
      <c r="AF3218" s="49"/>
      <c r="AG3218" s="49"/>
      <c r="AH3218" s="1" t="s">
        <v>6402</v>
      </c>
      <c r="AI3218" s="1" t="s">
        <v>4909</v>
      </c>
      <c r="AJ3218" s="6"/>
      <c r="AK3218" s="49"/>
      <c r="AL3218" s="49"/>
      <c r="AM3218" s="49"/>
      <c r="AN3218" s="52" t="str">
        <f t="shared" si="5"/>
        <v>surviving,</v>
      </c>
      <c r="AP3218" s="49"/>
      <c r="AQ3218" s="49"/>
      <c r="AR3218" s="49"/>
      <c r="AS3218" s="49"/>
      <c r="AT3218" s="49"/>
    </row>
    <row r="3219">
      <c r="A3219" s="51"/>
      <c r="B3219" s="50" t="s">
        <v>5801</v>
      </c>
      <c r="C3219" s="50" t="s">
        <v>4192</v>
      </c>
      <c r="D3219" s="49" t="str">
        <f>IFERROR(__xludf.DUMMYFUNCTION("""COMPUTED_VALUE"""),"bryan")</f>
        <v>bryan</v>
      </c>
      <c r="E3219" s="49"/>
      <c r="F3219" s="49"/>
      <c r="G3219" s="49"/>
      <c r="H3219" s="54" t="str">
        <f t="shared" si="1"/>
        <v>solo,</v>
      </c>
      <c r="I3219" s="50"/>
      <c r="J3219" s="50"/>
      <c r="K3219" s="50" t="s">
        <v>4747</v>
      </c>
      <c r="L3219" s="49"/>
      <c r="M3219" s="49"/>
      <c r="N3219" s="49"/>
      <c r="O3219" s="49"/>
      <c r="P3219" s="49" t="str">
        <f t="shared" si="2"/>
        <v>,</v>
      </c>
      <c r="Q3219" s="49"/>
      <c r="R3219" s="49"/>
      <c r="S3219" s="55" t="s">
        <v>6013</v>
      </c>
      <c r="T3219" s="49"/>
      <c r="U3219" s="49"/>
      <c r="V3219" s="49"/>
      <c r="W3219" s="49"/>
      <c r="X3219" s="49" t="str">
        <f t="shared" si="3"/>
        <v>,</v>
      </c>
      <c r="Y3219" s="49"/>
      <c r="Z3219" s="49"/>
      <c r="AB3219" s="49"/>
      <c r="AC3219" s="49"/>
      <c r="AD3219" s="49"/>
      <c r="AE3219" s="49"/>
      <c r="AF3219" s="49"/>
      <c r="AG3219" s="49"/>
      <c r="AH3219" s="1" t="s">
        <v>4765</v>
      </c>
      <c r="AI3219" s="1" t="s">
        <v>4461</v>
      </c>
      <c r="AJ3219" s="6"/>
      <c r="AK3219" s="49"/>
      <c r="AL3219" s="49"/>
      <c r="AM3219" s="49"/>
      <c r="AN3219" s="52" t="str">
        <f t="shared" si="5"/>
        <v>spaces,</v>
      </c>
      <c r="AP3219" s="49"/>
      <c r="AQ3219" s="49"/>
      <c r="AR3219" s="49"/>
      <c r="AS3219" s="49"/>
      <c r="AT3219" s="49"/>
    </row>
    <row r="3220">
      <c r="A3220" s="51"/>
      <c r="B3220" s="50" t="s">
        <v>5238</v>
      </c>
      <c r="C3220" s="50" t="s">
        <v>2588</v>
      </c>
      <c r="D3220" s="49" t="str">
        <f>IFERROR(__xludf.DUMMYFUNCTION("""COMPUTED_VALUE"""),"partnership")</f>
        <v>partnership</v>
      </c>
      <c r="E3220" s="49"/>
      <c r="F3220" s="49"/>
      <c r="G3220" s="49"/>
      <c r="H3220" s="54" t="str">
        <f t="shared" si="1"/>
        <v>foster,</v>
      </c>
      <c r="I3220" s="50"/>
      <c r="J3220" s="50"/>
      <c r="K3220" s="50">
        <v>451.0</v>
      </c>
      <c r="L3220" s="49"/>
      <c r="M3220" s="49"/>
      <c r="N3220" s="49"/>
      <c r="O3220" s="49"/>
      <c r="P3220" s="49" t="str">
        <f t="shared" si="2"/>
        <v>,</v>
      </c>
      <c r="Q3220" s="49"/>
      <c r="R3220" s="49"/>
      <c r="S3220" s="55" t="s">
        <v>1604</v>
      </c>
      <c r="T3220" s="49"/>
      <c r="U3220" s="49"/>
      <c r="V3220" s="49"/>
      <c r="W3220" s="49"/>
      <c r="X3220" s="49" t="str">
        <f t="shared" si="3"/>
        <v>,</v>
      </c>
      <c r="Y3220" s="49"/>
      <c r="Z3220" s="49"/>
      <c r="AB3220" s="49"/>
      <c r="AC3220" s="49"/>
      <c r="AD3220" s="49"/>
      <c r="AE3220" s="49"/>
      <c r="AF3220" s="49"/>
      <c r="AG3220" s="49"/>
      <c r="AH3220" s="1" t="s">
        <v>3216</v>
      </c>
      <c r="AI3220" s="1" t="s">
        <v>6156</v>
      </c>
      <c r="AJ3220" s="6"/>
      <c r="AK3220" s="49"/>
      <c r="AL3220" s="49"/>
      <c r="AM3220" s="49"/>
      <c r="AN3220" s="52" t="str">
        <f t="shared" si="5"/>
        <v>sara,</v>
      </c>
      <c r="AP3220" s="49"/>
      <c r="AQ3220" s="49"/>
      <c r="AR3220" s="49"/>
      <c r="AS3220" s="49"/>
      <c r="AT3220" s="49"/>
    </row>
    <row r="3221">
      <c r="A3221" s="51"/>
      <c r="B3221" s="50" t="s">
        <v>5916</v>
      </c>
      <c r="C3221" s="50" t="s">
        <v>6857</v>
      </c>
      <c r="D3221" s="49" t="str">
        <f>IFERROR(__xludf.DUMMYFUNCTION("""COMPUTED_VALUE"""),"glass")</f>
        <v>glass</v>
      </c>
      <c r="E3221" s="49"/>
      <c r="F3221" s="49"/>
      <c r="G3221" s="49"/>
      <c r="H3221" s="54" t="str">
        <f t="shared" si="1"/>
        <v>determine,</v>
      </c>
      <c r="I3221" s="50"/>
      <c r="J3221" s="50"/>
      <c r="K3221" s="50" t="s">
        <v>6041</v>
      </c>
      <c r="L3221" s="49"/>
      <c r="M3221" s="49"/>
      <c r="N3221" s="49"/>
      <c r="O3221" s="49"/>
      <c r="P3221" s="49" t="str">
        <f t="shared" si="2"/>
        <v>,</v>
      </c>
      <c r="Q3221" s="49"/>
      <c r="R3221" s="49"/>
      <c r="S3221" s="55" t="s">
        <v>2870</v>
      </c>
      <c r="T3221" s="49"/>
      <c r="U3221" s="49"/>
      <c r="V3221" s="49"/>
      <c r="W3221" s="49"/>
      <c r="X3221" s="49" t="str">
        <f t="shared" si="3"/>
        <v>,</v>
      </c>
      <c r="Y3221" s="49"/>
      <c r="Z3221" s="49"/>
      <c r="AB3221" s="49"/>
      <c r="AC3221" s="49"/>
      <c r="AD3221" s="49"/>
      <c r="AE3221" s="49"/>
      <c r="AF3221" s="49"/>
      <c r="AG3221" s="49"/>
      <c r="AH3221" s="1" t="s">
        <v>2619</v>
      </c>
      <c r="AI3221" s="1" t="s">
        <v>5115</v>
      </c>
      <c r="AJ3221" s="6"/>
      <c r="AK3221" s="49"/>
      <c r="AL3221" s="49"/>
      <c r="AM3221" s="49"/>
      <c r="AN3221" s="52" t="str">
        <f t="shared" si="5"/>
        <v>characterized,</v>
      </c>
      <c r="AP3221" s="49"/>
      <c r="AQ3221" s="49"/>
      <c r="AR3221" s="49"/>
      <c r="AS3221" s="49"/>
      <c r="AT3221" s="49"/>
    </row>
    <row r="3222">
      <c r="A3222" s="51"/>
      <c r="B3222" s="50" t="s">
        <v>4733</v>
      </c>
      <c r="C3222" s="50" t="s">
        <v>6859</v>
      </c>
      <c r="D3222" s="49" t="str">
        <f>IFERROR(__xludf.DUMMYFUNCTION("""COMPUTED_VALUE"""),"participate")</f>
        <v>participate</v>
      </c>
      <c r="E3222" s="49"/>
      <c r="F3222" s="49"/>
      <c r="G3222" s="49"/>
      <c r="H3222" s="54" t="str">
        <f t="shared" si="1"/>
        <v>household,</v>
      </c>
      <c r="I3222" s="50"/>
      <c r="J3222" s="50"/>
      <c r="K3222" s="50" t="s">
        <v>1946</v>
      </c>
      <c r="L3222" s="49"/>
      <c r="M3222" s="49"/>
      <c r="N3222" s="49"/>
      <c r="O3222" s="49"/>
      <c r="P3222" s="49" t="str">
        <f t="shared" si="2"/>
        <v>,</v>
      </c>
      <c r="Q3222" s="49"/>
      <c r="R3222" s="49"/>
      <c r="S3222" s="55" t="s">
        <v>3204</v>
      </c>
      <c r="T3222" s="49"/>
      <c r="U3222" s="49"/>
      <c r="V3222" s="49"/>
      <c r="W3222" s="49"/>
      <c r="X3222" s="49" t="str">
        <f t="shared" si="3"/>
        <v>,</v>
      </c>
      <c r="Y3222" s="49"/>
      <c r="Z3222" s="49"/>
      <c r="AB3222" s="49"/>
      <c r="AC3222" s="49"/>
      <c r="AD3222" s="49"/>
      <c r="AE3222" s="49"/>
      <c r="AF3222" s="49"/>
      <c r="AG3222" s="49"/>
      <c r="AH3222" s="1" t="s">
        <v>4623</v>
      </c>
      <c r="AI3222" s="1" t="s">
        <v>4319</v>
      </c>
      <c r="AJ3222" s="6"/>
      <c r="AK3222" s="49"/>
      <c r="AL3222" s="49"/>
      <c r="AM3222" s="49"/>
      <c r="AN3222" s="52" t="str">
        <f t="shared" si="5"/>
        <v>beaten,</v>
      </c>
      <c r="AP3222" s="49"/>
      <c r="AQ3222" s="49"/>
      <c r="AR3222" s="49"/>
      <c r="AS3222" s="49"/>
      <c r="AT3222" s="49"/>
    </row>
    <row r="3223">
      <c r="A3223" s="51"/>
      <c r="B3223" s="50" t="s">
        <v>6768</v>
      </c>
      <c r="C3223" s="50" t="s">
        <v>6860</v>
      </c>
      <c r="D3223" s="49" t="str">
        <f>IFERROR(__xludf.DUMMYFUNCTION("""COMPUTED_VALUE"""),"pause")</f>
        <v>pause</v>
      </c>
      <c r="E3223" s="49"/>
      <c r="F3223" s="49"/>
      <c r="G3223" s="49"/>
      <c r="H3223" s="54" t="str">
        <f t="shared" si="1"/>
        <v>dominated,</v>
      </c>
      <c r="I3223" s="50"/>
      <c r="J3223" s="50"/>
      <c r="K3223" s="50" t="s">
        <v>6043</v>
      </c>
      <c r="L3223" s="49"/>
      <c r="M3223" s="49"/>
      <c r="N3223" s="49"/>
      <c r="O3223" s="49"/>
      <c r="P3223" s="49" t="str">
        <f t="shared" si="2"/>
        <v>,</v>
      </c>
      <c r="Q3223" s="49"/>
      <c r="R3223" s="49"/>
      <c r="S3223" s="55" t="s">
        <v>6016</v>
      </c>
      <c r="T3223" s="49"/>
      <c r="U3223" s="49"/>
      <c r="V3223" s="49"/>
      <c r="W3223" s="49"/>
      <c r="X3223" s="49" t="str">
        <f t="shared" si="3"/>
        <v>,</v>
      </c>
      <c r="Y3223" s="49"/>
      <c r="Z3223" s="49"/>
      <c r="AB3223" s="49"/>
      <c r="AC3223" s="49"/>
      <c r="AD3223" s="49"/>
      <c r="AE3223" s="49"/>
      <c r="AF3223" s="49"/>
      <c r="AG3223" s="49"/>
      <c r="AH3223" s="1" t="s">
        <v>6897</v>
      </c>
      <c r="AI3223" s="1" t="s">
        <v>7004</v>
      </c>
      <c r="AJ3223" s="6"/>
      <c r="AK3223" s="49"/>
      <c r="AL3223" s="49"/>
      <c r="AM3223" s="49"/>
      <c r="AN3223" s="52" t="str">
        <f t="shared" si="5"/>
        <v>backed,</v>
      </c>
      <c r="AP3223" s="49"/>
      <c r="AQ3223" s="49"/>
      <c r="AR3223" s="49"/>
      <c r="AS3223" s="49"/>
      <c r="AT3223" s="49"/>
    </row>
    <row r="3224">
      <c r="A3224" s="51"/>
      <c r="B3224" s="50" t="s">
        <v>4864</v>
      </c>
      <c r="C3224" s="50" t="s">
        <v>5890</v>
      </c>
      <c r="D3224" s="49" t="str">
        <f>IFERROR(__xludf.DUMMYFUNCTION("""COMPUTED_VALUE"""),"bet")</f>
        <v>bet</v>
      </c>
      <c r="E3224" s="49"/>
      <c r="F3224" s="49"/>
      <c r="G3224" s="49"/>
      <c r="H3224" s="54" t="str">
        <f t="shared" si="1"/>
        <v>cannon,</v>
      </c>
      <c r="I3224" s="50"/>
      <c r="J3224" s="50"/>
      <c r="K3224" s="50">
        <v>1957.0</v>
      </c>
      <c r="L3224" s="49"/>
      <c r="M3224" s="49"/>
      <c r="N3224" s="49"/>
      <c r="O3224" s="49"/>
      <c r="P3224" s="49" t="str">
        <f t="shared" si="2"/>
        <v>,</v>
      </c>
      <c r="Q3224" s="49"/>
      <c r="R3224" s="49"/>
      <c r="S3224" s="55" t="s">
        <v>6926</v>
      </c>
      <c r="T3224" s="49"/>
      <c r="U3224" s="49"/>
      <c r="V3224" s="49"/>
      <c r="W3224" s="49"/>
      <c r="X3224" s="49" t="str">
        <f t="shared" si="3"/>
        <v>,</v>
      </c>
      <c r="Y3224" s="49"/>
      <c r="Z3224" s="49"/>
      <c r="AB3224" s="49"/>
      <c r="AC3224" s="49"/>
      <c r="AD3224" s="49"/>
      <c r="AE3224" s="49"/>
      <c r="AF3224" s="49"/>
      <c r="AG3224" s="49"/>
      <c r="AH3224" s="1" t="s">
        <v>3466</v>
      </c>
      <c r="AI3224" s="1" t="s">
        <v>4913</v>
      </c>
      <c r="AJ3224" s="6"/>
      <c r="AK3224" s="49"/>
      <c r="AL3224" s="49"/>
      <c r="AM3224" s="49"/>
      <c r="AN3224" s="52" t="str">
        <f t="shared" si="5"/>
        <v>khan,</v>
      </c>
      <c r="AP3224" s="49"/>
      <c r="AQ3224" s="49"/>
      <c r="AR3224" s="49"/>
      <c r="AS3224" s="49"/>
      <c r="AT3224" s="49"/>
    </row>
    <row r="3225">
      <c r="A3225" s="51"/>
      <c r="B3225" s="50" t="s">
        <v>4226</v>
      </c>
      <c r="C3225" s="50" t="s">
        <v>4431</v>
      </c>
      <c r="D3225" s="49" t="str">
        <f>IFERROR(__xludf.DUMMYFUNCTION("""COMPUTED_VALUE"""),"recently")</f>
        <v>recently</v>
      </c>
      <c r="E3225" s="49"/>
      <c r="F3225" s="49"/>
      <c r="G3225" s="49"/>
      <c r="H3225" s="54" t="str">
        <f t="shared" si="1"/>
        <v>feat,</v>
      </c>
      <c r="I3225" s="50"/>
      <c r="J3225" s="50"/>
      <c r="K3225" s="50" t="s">
        <v>1526</v>
      </c>
      <c r="L3225" s="49"/>
      <c r="M3225" s="49"/>
      <c r="N3225" s="49"/>
      <c r="O3225" s="49"/>
      <c r="P3225" s="49" t="str">
        <f t="shared" si="2"/>
        <v>,</v>
      </c>
      <c r="Q3225" s="49"/>
      <c r="R3225" s="49"/>
      <c r="S3225" s="55" t="s">
        <v>1610</v>
      </c>
      <c r="T3225" s="49"/>
      <c r="U3225" s="49"/>
      <c r="V3225" s="49"/>
      <c r="W3225" s="49"/>
      <c r="X3225" s="49" t="str">
        <f t="shared" si="3"/>
        <v>,</v>
      </c>
      <c r="Y3225" s="49"/>
      <c r="Z3225" s="49"/>
      <c r="AB3225" s="49"/>
      <c r="AC3225" s="49"/>
      <c r="AD3225" s="49"/>
      <c r="AE3225" s="49"/>
      <c r="AF3225" s="49"/>
      <c r="AG3225" s="49"/>
      <c r="AH3225" s="1" t="s">
        <v>7000</v>
      </c>
      <c r="AI3225" s="1" t="s">
        <v>7005</v>
      </c>
      <c r="AJ3225" s="6"/>
      <c r="AK3225" s="49"/>
      <c r="AL3225" s="49"/>
      <c r="AM3225" s="49"/>
      <c r="AN3225" s="52" t="str">
        <f t="shared" si="5"/>
        <v>parties,</v>
      </c>
      <c r="AP3225" s="49"/>
      <c r="AQ3225" s="49"/>
      <c r="AR3225" s="49"/>
      <c r="AS3225" s="49"/>
      <c r="AT3225" s="49"/>
    </row>
    <row r="3226">
      <c r="A3226" s="51"/>
      <c r="B3226" s="50" t="s">
        <v>7135</v>
      </c>
      <c r="C3226" s="50" t="s">
        <v>5895</v>
      </c>
      <c r="D3226" s="49" t="str">
        <f>IFERROR(__xludf.DUMMYFUNCTION("""COMPUTED_VALUE"""),"recommended")</f>
        <v>recommended</v>
      </c>
      <c r="E3226" s="49"/>
      <c r="F3226" s="49"/>
      <c r="G3226" s="49"/>
      <c r="H3226" s="54" t="str">
        <f t="shared" si="1"/>
        <v>mountains,</v>
      </c>
      <c r="I3226" s="50"/>
      <c r="J3226" s="50"/>
      <c r="K3226" s="50" t="s">
        <v>644</v>
      </c>
      <c r="L3226" s="49"/>
      <c r="M3226" s="49"/>
      <c r="N3226" s="49"/>
      <c r="O3226" s="49"/>
      <c r="P3226" s="49" t="str">
        <f t="shared" si="2"/>
        <v>,</v>
      </c>
      <c r="Q3226" s="49"/>
      <c r="R3226" s="49"/>
      <c r="S3226" s="55" t="s">
        <v>2877</v>
      </c>
      <c r="T3226" s="49"/>
      <c r="U3226" s="49"/>
      <c r="V3226" s="49"/>
      <c r="W3226" s="49"/>
      <c r="X3226" s="49" t="str">
        <f t="shared" si="3"/>
        <v>,</v>
      </c>
      <c r="Y3226" s="49"/>
      <c r="Z3226" s="49"/>
      <c r="AB3226" s="49"/>
      <c r="AC3226" s="49"/>
      <c r="AD3226" s="49"/>
      <c r="AE3226" s="49"/>
      <c r="AF3226" s="49"/>
      <c r="AG3226" s="49"/>
      <c r="AH3226" s="1" t="s">
        <v>4592</v>
      </c>
      <c r="AI3226" s="1" t="s">
        <v>7006</v>
      </c>
      <c r="AJ3226" s="6"/>
      <c r="AK3226" s="49"/>
      <c r="AL3226" s="49"/>
      <c r="AM3226" s="49"/>
      <c r="AN3226" s="52" t="str">
        <f t="shared" si="5"/>
        <v>wallace,</v>
      </c>
      <c r="AP3226" s="49"/>
      <c r="AQ3226" s="49"/>
      <c r="AR3226" s="49"/>
      <c r="AS3226" s="49"/>
      <c r="AT3226" s="49"/>
    </row>
    <row r="3227">
      <c r="A3227" s="51"/>
      <c r="B3227" s="50" t="s">
        <v>5706</v>
      </c>
      <c r="C3227" s="50" t="s">
        <v>725</v>
      </c>
      <c r="D3227" s="49" t="str">
        <f>IFERROR(__xludf.DUMMYFUNCTION("""COMPUTED_VALUE"""),"arrest")</f>
        <v>arrest</v>
      </c>
      <c r="E3227" s="49"/>
      <c r="F3227" s="49"/>
      <c r="G3227" s="49"/>
      <c r="H3227" s="54" t="str">
        <f t="shared" si="1"/>
        <v>succeed,</v>
      </c>
      <c r="I3227" s="50"/>
      <c r="J3227" s="50"/>
      <c r="K3227" s="50" t="s">
        <v>3878</v>
      </c>
      <c r="L3227" s="49"/>
      <c r="M3227" s="49"/>
      <c r="N3227" s="49"/>
      <c r="O3227" s="49"/>
      <c r="P3227" s="49" t="str">
        <f t="shared" si="2"/>
        <v>,</v>
      </c>
      <c r="Q3227" s="49"/>
      <c r="R3227" s="49"/>
      <c r="S3227" s="55" t="s">
        <v>1615</v>
      </c>
      <c r="T3227" s="49"/>
      <c r="U3227" s="49"/>
      <c r="V3227" s="49"/>
      <c r="W3227" s="49"/>
      <c r="X3227" s="49" t="str">
        <f t="shared" si="3"/>
        <v>,</v>
      </c>
      <c r="Y3227" s="49"/>
      <c r="Z3227" s="49"/>
      <c r="AB3227" s="49"/>
      <c r="AC3227" s="49"/>
      <c r="AD3227" s="49"/>
      <c r="AE3227" s="49"/>
      <c r="AF3227" s="49"/>
      <c r="AG3227" s="49"/>
      <c r="AH3227" s="1" t="s">
        <v>7680</v>
      </c>
      <c r="AI3227" s="1" t="s">
        <v>5812</v>
      </c>
      <c r="AJ3227" s="6"/>
      <c r="AK3227" s="49"/>
      <c r="AL3227" s="49"/>
      <c r="AM3227" s="49"/>
      <c r="AN3227" s="52" t="str">
        <f t="shared" si="5"/>
        <v>roads,</v>
      </c>
      <c r="AP3227" s="49"/>
      <c r="AQ3227" s="49"/>
      <c r="AR3227" s="49"/>
      <c r="AS3227" s="49"/>
      <c r="AT3227" s="49"/>
    </row>
    <row r="3228">
      <c r="A3228" s="51"/>
      <c r="B3228" s="50" t="s">
        <v>2506</v>
      </c>
      <c r="C3228" s="50" t="s">
        <v>5413</v>
      </c>
      <c r="D3228" s="49" t="str">
        <f>IFERROR(__xludf.DUMMYFUNCTION("""COMPUTED_VALUE"""),"severely")</f>
        <v>severely</v>
      </c>
      <c r="E3228" s="49"/>
      <c r="F3228" s="49"/>
      <c r="G3228" s="49"/>
      <c r="H3228" s="54" t="str">
        <f t="shared" si="1"/>
        <v>developed,</v>
      </c>
      <c r="I3228" s="50"/>
      <c r="J3228" s="50"/>
      <c r="K3228" s="50" t="s">
        <v>2984</v>
      </c>
      <c r="L3228" s="49"/>
      <c r="M3228" s="49"/>
      <c r="N3228" s="49"/>
      <c r="O3228" s="49"/>
      <c r="P3228" s="49" t="str">
        <f t="shared" si="2"/>
        <v>,</v>
      </c>
      <c r="Q3228" s="49"/>
      <c r="R3228" s="49"/>
      <c r="S3228" s="55" t="s">
        <v>5628</v>
      </c>
      <c r="T3228" s="49"/>
      <c r="U3228" s="49"/>
      <c r="V3228" s="49"/>
      <c r="W3228" s="49"/>
      <c r="X3228" s="49" t="str">
        <f t="shared" si="3"/>
        <v>,</v>
      </c>
      <c r="Y3228" s="49"/>
      <c r="Z3228" s="49"/>
      <c r="AB3228" s="49"/>
      <c r="AC3228" s="49"/>
      <c r="AD3228" s="49"/>
      <c r="AE3228" s="49"/>
      <c r="AF3228" s="49"/>
      <c r="AG3228" s="49"/>
      <c r="AH3228" s="1" t="s">
        <v>6352</v>
      </c>
      <c r="AI3228" s="1" t="s">
        <v>4921</v>
      </c>
      <c r="AJ3228" s="6"/>
      <c r="AK3228" s="49"/>
      <c r="AL3228" s="49"/>
      <c r="AM3228" s="49"/>
      <c r="AN3228" s="52" t="str">
        <f t="shared" si="5"/>
        <v>messages,</v>
      </c>
      <c r="AP3228" s="49"/>
      <c r="AQ3228" s="49"/>
      <c r="AR3228" s="49"/>
      <c r="AS3228" s="49"/>
      <c r="AT3228" s="49"/>
    </row>
    <row r="3229">
      <c r="A3229" s="51"/>
      <c r="B3229" s="50" t="s">
        <v>1298</v>
      </c>
      <c r="C3229" s="50" t="s">
        <v>6861</v>
      </c>
      <c r="D3229" s="49" t="str">
        <f>IFERROR(__xludf.DUMMYFUNCTION("""COMPUTED_VALUE"""),"bed")</f>
        <v>bed</v>
      </c>
      <c r="E3229" s="49"/>
      <c r="F3229" s="49"/>
      <c r="G3229" s="49"/>
      <c r="H3229" s="54" t="str">
        <f t="shared" si="1"/>
        <v>borders,</v>
      </c>
      <c r="I3229" s="50"/>
      <c r="J3229" s="50"/>
      <c r="K3229" s="50" t="s">
        <v>2987</v>
      </c>
      <c r="L3229" s="49"/>
      <c r="M3229" s="49"/>
      <c r="N3229" s="49"/>
      <c r="O3229" s="49"/>
      <c r="P3229" s="49" t="str">
        <f t="shared" si="2"/>
        <v>,</v>
      </c>
      <c r="Q3229" s="49"/>
      <c r="R3229" s="49"/>
      <c r="S3229" s="55" t="s">
        <v>6020</v>
      </c>
      <c r="T3229" s="49"/>
      <c r="U3229" s="49"/>
      <c r="V3229" s="49"/>
      <c r="W3229" s="49"/>
      <c r="X3229" s="49" t="str">
        <f t="shared" si="3"/>
        <v>,</v>
      </c>
      <c r="Y3229" s="49"/>
      <c r="Z3229" s="49"/>
      <c r="AB3229" s="49"/>
      <c r="AC3229" s="49"/>
      <c r="AD3229" s="49"/>
      <c r="AE3229" s="49"/>
      <c r="AF3229" s="49"/>
      <c r="AG3229" s="49"/>
      <c r="AH3229" s="1" t="s">
        <v>3906</v>
      </c>
      <c r="AI3229" s="1" t="s">
        <v>4922</v>
      </c>
      <c r="AJ3229" s="6"/>
      <c r="AK3229" s="49"/>
      <c r="AL3229" s="49"/>
      <c r="AM3229" s="49"/>
      <c r="AN3229" s="52" t="str">
        <f t="shared" si="5"/>
        <v>traditions,</v>
      </c>
      <c r="AP3229" s="49"/>
      <c r="AQ3229" s="49"/>
      <c r="AR3229" s="49"/>
      <c r="AS3229" s="49"/>
      <c r="AT3229" s="49"/>
    </row>
    <row r="3230">
      <c r="A3230" s="51"/>
      <c r="B3230" s="50" t="s">
        <v>6690</v>
      </c>
      <c r="C3230" s="50" t="s">
        <v>4961</v>
      </c>
      <c r="D3230" s="49" t="str">
        <f>IFERROR(__xludf.DUMMYFUNCTION("""COMPUTED_VALUE"""),"waited")</f>
        <v>waited</v>
      </c>
      <c r="E3230" s="49"/>
      <c r="F3230" s="49"/>
      <c r="G3230" s="49"/>
      <c r="H3230" s="54" t="str">
        <f t="shared" si="1"/>
        <v>rivals,</v>
      </c>
      <c r="I3230" s="50"/>
      <c r="J3230" s="50"/>
      <c r="K3230" s="50" t="s">
        <v>4910</v>
      </c>
      <c r="L3230" s="49"/>
      <c r="M3230" s="49"/>
      <c r="N3230" s="49"/>
      <c r="O3230" s="49"/>
      <c r="P3230" s="49" t="str">
        <f t="shared" si="2"/>
        <v>,</v>
      </c>
      <c r="Q3230" s="49"/>
      <c r="R3230" s="49"/>
      <c r="S3230" s="55" t="s">
        <v>6021</v>
      </c>
      <c r="T3230" s="49"/>
      <c r="U3230" s="49"/>
      <c r="V3230" s="49"/>
      <c r="W3230" s="49"/>
      <c r="X3230" s="49" t="str">
        <f t="shared" si="3"/>
        <v>,</v>
      </c>
      <c r="Y3230" s="49"/>
      <c r="Z3230" s="49"/>
      <c r="AB3230" s="49"/>
      <c r="AC3230" s="49"/>
      <c r="AD3230" s="49"/>
      <c r="AE3230" s="49"/>
      <c r="AF3230" s="49"/>
      <c r="AG3230" s="49"/>
      <c r="AH3230" s="1" t="s">
        <v>4708</v>
      </c>
      <c r="AI3230" s="1" t="s">
        <v>1954</v>
      </c>
      <c r="AJ3230" s="6"/>
      <c r="AK3230" s="49"/>
      <c r="AL3230" s="49"/>
      <c r="AM3230" s="49"/>
      <c r="AN3230" s="52" t="str">
        <f t="shared" si="5"/>
        <v>goals,</v>
      </c>
      <c r="AP3230" s="49"/>
      <c r="AQ3230" s="49"/>
      <c r="AR3230" s="49"/>
      <c r="AS3230" s="49"/>
      <c r="AT3230" s="49"/>
    </row>
    <row r="3231">
      <c r="A3231" s="51"/>
      <c r="B3231" s="50" t="s">
        <v>2285</v>
      </c>
      <c r="C3231" s="50" t="s">
        <v>5416</v>
      </c>
      <c r="D3231" s="49" t="str">
        <f>IFERROR(__xludf.DUMMYFUNCTION("""COMPUTED_VALUE"""),"emergency")</f>
        <v>emergency</v>
      </c>
      <c r="E3231" s="49"/>
      <c r="F3231" s="49"/>
      <c r="G3231" s="49"/>
      <c r="H3231" s="54" t="str">
        <f t="shared" si="1"/>
        <v>indian,</v>
      </c>
      <c r="I3231" s="50"/>
      <c r="J3231" s="50"/>
      <c r="K3231" s="50" t="s">
        <v>4754</v>
      </c>
      <c r="L3231" s="49"/>
      <c r="M3231" s="49"/>
      <c r="N3231" s="50"/>
      <c r="O3231" s="49"/>
      <c r="P3231" s="49" t="str">
        <f t="shared" si="2"/>
        <v>,</v>
      </c>
      <c r="Q3231" s="49"/>
      <c r="R3231" s="49"/>
      <c r="S3231" s="55" t="s">
        <v>4916</v>
      </c>
      <c r="T3231" s="49"/>
      <c r="U3231" s="49"/>
      <c r="V3231" s="49"/>
      <c r="W3231" s="49"/>
      <c r="X3231" s="49" t="str">
        <f t="shared" si="3"/>
        <v>,</v>
      </c>
      <c r="Y3231" s="49"/>
      <c r="Z3231" s="49"/>
      <c r="AB3231" s="49"/>
      <c r="AC3231" s="49"/>
      <c r="AD3231" s="49"/>
      <c r="AE3231" s="49"/>
      <c r="AF3231" s="49"/>
      <c r="AG3231" s="49"/>
      <c r="AH3231" s="1" t="s">
        <v>6999</v>
      </c>
      <c r="AI3231" s="1" t="s">
        <v>7007</v>
      </c>
      <c r="AJ3231" s="6"/>
      <c r="AK3231" s="49"/>
      <c r="AL3231" s="49"/>
      <c r="AM3231" s="49"/>
      <c r="AN3231" s="52" t="str">
        <f t="shared" si="5"/>
        <v>limit,</v>
      </c>
      <c r="AP3231" s="49"/>
      <c r="AQ3231" s="49"/>
      <c r="AR3231" s="49"/>
      <c r="AS3231" s="49"/>
      <c r="AT3231" s="49"/>
    </row>
    <row r="3232">
      <c r="A3232" s="51"/>
      <c r="B3232" s="50" t="s">
        <v>7681</v>
      </c>
      <c r="C3232" s="50" t="s">
        <v>6862</v>
      </c>
      <c r="D3232" s="49" t="str">
        <f>IFERROR(__xludf.DUMMYFUNCTION("""COMPUTED_VALUE"""),"latter")</f>
        <v>latter</v>
      </c>
      <c r="E3232" s="49"/>
      <c r="F3232" s="49"/>
      <c r="G3232" s="49"/>
      <c r="H3232" s="54" t="str">
        <f t="shared" si="1"/>
        <v>principle,</v>
      </c>
      <c r="I3232" s="50"/>
      <c r="J3232" s="50"/>
      <c r="K3232" s="50">
        <v>87.0</v>
      </c>
      <c r="L3232" s="49"/>
      <c r="M3232" s="49"/>
      <c r="N3232" s="50"/>
      <c r="O3232" s="49"/>
      <c r="P3232" s="49" t="str">
        <f t="shared" si="2"/>
        <v>,</v>
      </c>
      <c r="Q3232" s="49"/>
      <c r="R3232" s="49"/>
      <c r="S3232" s="55" t="s">
        <v>7008</v>
      </c>
      <c r="T3232" s="49"/>
      <c r="U3232" s="49"/>
      <c r="V3232" s="49"/>
      <c r="W3232" s="49"/>
      <c r="X3232" s="49" t="str">
        <f t="shared" si="3"/>
        <v>,</v>
      </c>
      <c r="Y3232" s="49"/>
      <c r="Z3232" s="49"/>
      <c r="AB3232" s="49"/>
      <c r="AC3232" s="49"/>
      <c r="AD3232" s="49"/>
      <c r="AE3232" s="49"/>
      <c r="AF3232" s="49"/>
      <c r="AG3232" s="49"/>
      <c r="AH3232" s="1" t="s">
        <v>3413</v>
      </c>
      <c r="AI3232" s="1" t="s">
        <v>7009</v>
      </c>
      <c r="AJ3232" s="6"/>
      <c r="AK3232" s="49"/>
      <c r="AL3232" s="49"/>
      <c r="AM3232" s="49"/>
      <c r="AN3232" s="52" t="str">
        <f t="shared" si="5"/>
        <v>smaller,</v>
      </c>
      <c r="AP3232" s="49"/>
      <c r="AQ3232" s="49"/>
      <c r="AR3232" s="49"/>
      <c r="AS3232" s="49"/>
      <c r="AT3232" s="49"/>
    </row>
    <row r="3233">
      <c r="A3233" s="51"/>
      <c r="B3233" s="50" t="s">
        <v>1761</v>
      </c>
      <c r="C3233" s="50" t="s">
        <v>6863</v>
      </c>
      <c r="D3233" s="49" t="str">
        <f>IFERROR(__xludf.DUMMYFUNCTION("""COMPUTED_VALUE"""),"satisfaction")</f>
        <v>satisfaction</v>
      </c>
      <c r="E3233" s="49"/>
      <c r="F3233" s="49"/>
      <c r="G3233" s="49"/>
      <c r="H3233" s="54" t="str">
        <f t="shared" si="1"/>
        <v>politics,</v>
      </c>
      <c r="I3233" s="50"/>
      <c r="J3233" s="50"/>
      <c r="K3233" s="50" t="s">
        <v>2989</v>
      </c>
      <c r="L3233" s="49"/>
      <c r="M3233" s="49"/>
      <c r="N3233" s="50"/>
      <c r="O3233" s="49"/>
      <c r="P3233" s="49" t="str">
        <f t="shared" si="2"/>
        <v>,</v>
      </c>
      <c r="Q3233" s="49"/>
      <c r="R3233" s="49"/>
      <c r="S3233" s="55" t="s">
        <v>2884</v>
      </c>
      <c r="T3233" s="49"/>
      <c r="U3233" s="49"/>
      <c r="V3233" s="49"/>
      <c r="W3233" s="49"/>
      <c r="X3233" s="49" t="str">
        <f t="shared" si="3"/>
        <v>,</v>
      </c>
      <c r="Y3233" s="49"/>
      <c r="Z3233" s="49"/>
      <c r="AB3233" s="49"/>
      <c r="AC3233" s="49"/>
      <c r="AD3233" s="49"/>
      <c r="AE3233" s="49"/>
      <c r="AF3233" s="49"/>
      <c r="AG3233" s="49"/>
      <c r="AH3233" s="1" t="s">
        <v>4100</v>
      </c>
      <c r="AI3233" s="1" t="s">
        <v>5795</v>
      </c>
      <c r="AJ3233" s="6"/>
      <c r="AK3233" s="49"/>
      <c r="AL3233" s="49"/>
      <c r="AM3233" s="49"/>
      <c r="AN3233" s="52" t="str">
        <f t="shared" si="5"/>
        <v>strategic,</v>
      </c>
      <c r="AP3233" s="49"/>
      <c r="AQ3233" s="49"/>
      <c r="AR3233" s="49"/>
      <c r="AS3233" s="49"/>
      <c r="AT3233" s="49"/>
    </row>
    <row r="3234">
      <c r="A3234" s="51"/>
      <c r="B3234" s="50" t="s">
        <v>6558</v>
      </c>
      <c r="C3234" s="50" t="s">
        <v>6864</v>
      </c>
      <c r="D3234" s="49" t="str">
        <f>IFERROR(__xludf.DUMMYFUNCTION("""COMPUTED_VALUE"""),"sean")</f>
        <v>sean</v>
      </c>
      <c r="E3234" s="49"/>
      <c r="F3234" s="49"/>
      <c r="G3234" s="49"/>
      <c r="H3234" s="54" t="str">
        <f t="shared" si="1"/>
        <v>ignored,</v>
      </c>
      <c r="I3234" s="50"/>
      <c r="J3234" s="50"/>
      <c r="K3234" s="50" t="s">
        <v>2993</v>
      </c>
      <c r="L3234" s="49"/>
      <c r="M3234" s="49"/>
      <c r="N3234" s="50"/>
      <c r="O3234" s="49"/>
      <c r="P3234" s="49" t="str">
        <f t="shared" si="2"/>
        <v>,</v>
      </c>
      <c r="Q3234" s="49"/>
      <c r="R3234" s="49"/>
      <c r="S3234" s="55" t="s">
        <v>6078</v>
      </c>
      <c r="T3234" s="49"/>
      <c r="U3234" s="49"/>
      <c r="V3234" s="49"/>
      <c r="W3234" s="49"/>
      <c r="X3234" s="49" t="str">
        <f t="shared" si="3"/>
        <v>,</v>
      </c>
      <c r="Y3234" s="49"/>
      <c r="Z3234" s="49"/>
      <c r="AB3234" s="49"/>
      <c r="AC3234" s="49"/>
      <c r="AD3234" s="49"/>
      <c r="AE3234" s="49"/>
      <c r="AF3234" s="49"/>
      <c r="AG3234" s="49"/>
      <c r="AH3234" s="1" t="s">
        <v>6711</v>
      </c>
      <c r="AI3234" s="1" t="s">
        <v>5801</v>
      </c>
      <c r="AJ3234" s="6"/>
      <c r="AK3234" s="49"/>
      <c r="AL3234" s="49"/>
      <c r="AM3234" s="49"/>
      <c r="AN3234" s="52" t="str">
        <f t="shared" si="5"/>
        <v>fields,</v>
      </c>
      <c r="AP3234" s="49"/>
      <c r="AQ3234" s="49"/>
      <c r="AR3234" s="49"/>
      <c r="AS3234" s="49"/>
      <c r="AT3234" s="49"/>
    </row>
    <row r="3235">
      <c r="A3235" s="51"/>
      <c r="B3235" s="50" t="s">
        <v>2002</v>
      </c>
      <c r="C3235" s="50" t="s">
        <v>6866</v>
      </c>
      <c r="D3235" s="49" t="str">
        <f>IFERROR(__xludf.DUMMYFUNCTION("""COMPUTED_VALUE"""),"decide")</f>
        <v>decide</v>
      </c>
      <c r="E3235" s="49"/>
      <c r="F3235" s="49"/>
      <c r="G3235" s="49"/>
      <c r="H3235" s="54" t="str">
        <f t="shared" si="1"/>
        <v>loss,</v>
      </c>
      <c r="I3235" s="50"/>
      <c r="J3235" s="50"/>
      <c r="K3235" s="50" t="s">
        <v>4756</v>
      </c>
      <c r="L3235" s="49"/>
      <c r="M3235" s="49"/>
      <c r="N3235" s="50"/>
      <c r="O3235" s="49"/>
      <c r="P3235" s="49" t="str">
        <f t="shared" si="2"/>
        <v>,</v>
      </c>
      <c r="Q3235" s="49"/>
      <c r="R3235" s="49"/>
      <c r="S3235" s="55" t="s">
        <v>7010</v>
      </c>
      <c r="T3235" s="49"/>
      <c r="U3235" s="49"/>
      <c r="V3235" s="49"/>
      <c r="W3235" s="49"/>
      <c r="X3235" s="49" t="str">
        <f t="shared" si="3"/>
        <v>,</v>
      </c>
      <c r="Y3235" s="49"/>
      <c r="Z3235" s="49"/>
      <c r="AB3235" s="49"/>
      <c r="AC3235" s="49"/>
      <c r="AD3235" s="49"/>
      <c r="AE3235" s="49"/>
      <c r="AF3235" s="49"/>
      <c r="AG3235" s="49"/>
      <c r="AH3235" s="1" t="s">
        <v>6846</v>
      </c>
      <c r="AI3235" s="1" t="s">
        <v>5802</v>
      </c>
      <c r="AJ3235" s="6"/>
      <c r="AK3235" s="49"/>
      <c r="AL3235" s="49"/>
      <c r="AM3235" s="49"/>
      <c r="AN3235" s="52" t="str">
        <f t="shared" si="5"/>
        <v>conditions,</v>
      </c>
      <c r="AP3235" s="49"/>
      <c r="AQ3235" s="49"/>
      <c r="AR3235" s="49"/>
      <c r="AS3235" s="49"/>
      <c r="AT3235" s="49"/>
    </row>
    <row r="3236">
      <c r="A3236" s="51"/>
      <c r="B3236" s="50" t="s">
        <v>4027</v>
      </c>
      <c r="C3236" s="50" t="s">
        <v>4443</v>
      </c>
      <c r="D3236" s="49" t="str">
        <f>IFERROR(__xludf.DUMMYFUNCTION("""COMPUTED_VALUE"""),"duty")</f>
        <v>duty</v>
      </c>
      <c r="E3236" s="49"/>
      <c r="F3236" s="49"/>
      <c r="G3236" s="49"/>
      <c r="H3236" s="54" t="str">
        <f t="shared" si="1"/>
        <v>cancer,</v>
      </c>
      <c r="I3236" s="50"/>
      <c r="J3236" s="50"/>
      <c r="K3236" s="50" t="s">
        <v>6047</v>
      </c>
      <c r="L3236" s="49"/>
      <c r="M3236" s="49"/>
      <c r="N3236" s="50"/>
      <c r="O3236" s="49"/>
      <c r="P3236" s="49" t="str">
        <f t="shared" si="2"/>
        <v>,</v>
      </c>
      <c r="Q3236" s="49"/>
      <c r="R3236" s="49"/>
      <c r="S3236" s="55" t="s">
        <v>2886</v>
      </c>
      <c r="T3236" s="49"/>
      <c r="U3236" s="49"/>
      <c r="V3236" s="49"/>
      <c r="W3236" s="49"/>
      <c r="X3236" s="49" t="str">
        <f t="shared" si="3"/>
        <v>,</v>
      </c>
      <c r="Y3236" s="49"/>
      <c r="Z3236" s="49"/>
      <c r="AB3236" s="49"/>
      <c r="AC3236" s="49"/>
      <c r="AD3236" s="49"/>
      <c r="AE3236" s="49"/>
      <c r="AF3236" s="49"/>
      <c r="AG3236" s="49"/>
      <c r="AH3236" s="1" t="s">
        <v>6841</v>
      </c>
      <c r="AI3236" s="1" t="s">
        <v>7011</v>
      </c>
      <c r="AJ3236" s="6"/>
      <c r="AK3236" s="49"/>
      <c r="AL3236" s="49"/>
      <c r="AM3236" s="49"/>
      <c r="AN3236" s="52" t="str">
        <f t="shared" si="5"/>
        <v>policy,</v>
      </c>
      <c r="AP3236" s="49"/>
      <c r="AQ3236" s="49"/>
      <c r="AR3236" s="49"/>
      <c r="AS3236" s="49"/>
      <c r="AT3236" s="49"/>
    </row>
    <row r="3237">
      <c r="A3237" s="51"/>
      <c r="B3237" s="50" t="s">
        <v>4385</v>
      </c>
      <c r="C3237" s="50" t="s">
        <v>6166</v>
      </c>
      <c r="D3237" s="49" t="str">
        <f>IFERROR(__xludf.DUMMYFUNCTION("""COMPUTED_VALUE"""),"appeals")</f>
        <v>appeals</v>
      </c>
      <c r="E3237" s="49"/>
      <c r="F3237" s="49"/>
      <c r="G3237" s="49"/>
      <c r="H3237" s="54" t="str">
        <f t="shared" si="1"/>
        <v>grandfather,</v>
      </c>
      <c r="I3237" s="50"/>
      <c r="J3237" s="50"/>
      <c r="K3237" s="50" t="s">
        <v>4294</v>
      </c>
      <c r="L3237" s="49"/>
      <c r="M3237" s="49"/>
      <c r="N3237" s="50"/>
      <c r="O3237" s="49"/>
      <c r="P3237" s="49" t="str">
        <f t="shared" si="2"/>
        <v>,</v>
      </c>
      <c r="Q3237" s="49"/>
      <c r="R3237" s="49"/>
      <c r="S3237" s="55" t="s">
        <v>4679</v>
      </c>
      <c r="T3237" s="49"/>
      <c r="U3237" s="49"/>
      <c r="V3237" s="49"/>
      <c r="W3237" s="49"/>
      <c r="X3237" s="49" t="str">
        <f t="shared" si="3"/>
        <v>,</v>
      </c>
      <c r="Y3237" s="49"/>
      <c r="Z3237" s="49"/>
      <c r="AB3237" s="49"/>
      <c r="AC3237" s="49"/>
      <c r="AD3237" s="49"/>
      <c r="AE3237" s="49"/>
      <c r="AF3237" s="49"/>
      <c r="AG3237" s="49"/>
      <c r="AH3237" s="1" t="s">
        <v>2225</v>
      </c>
      <c r="AI3237" s="1" t="s">
        <v>5397</v>
      </c>
      <c r="AJ3237" s="6"/>
      <c r="AK3237" s="49"/>
      <c r="AL3237" s="49"/>
      <c r="AM3237" s="49"/>
      <c r="AN3237" s="52" t="str">
        <f t="shared" si="5"/>
        <v>acts,</v>
      </c>
      <c r="AP3237" s="49"/>
      <c r="AQ3237" s="49"/>
      <c r="AR3237" s="49"/>
      <c r="AS3237" s="49"/>
      <c r="AT3237" s="49"/>
    </row>
    <row r="3238">
      <c r="A3238" s="51"/>
      <c r="B3238" s="50" t="s">
        <v>7524</v>
      </c>
      <c r="C3238" s="50" t="s">
        <v>2293</v>
      </c>
      <c r="D3238" s="49" t="str">
        <f>IFERROR(__xludf.DUMMYFUNCTION("""COMPUTED_VALUE"""),"remembered")</f>
        <v>remembered</v>
      </c>
      <c r="E3238" s="49"/>
      <c r="F3238" s="49"/>
      <c r="G3238" s="49"/>
      <c r="H3238" s="54" t="str">
        <f t="shared" si="1"/>
        <v>mate,</v>
      </c>
      <c r="I3238" s="50"/>
      <c r="J3238" s="50"/>
      <c r="K3238" s="50" t="s">
        <v>2997</v>
      </c>
      <c r="L3238" s="49"/>
      <c r="M3238" s="49"/>
      <c r="N3238" s="50"/>
      <c r="O3238" s="49"/>
      <c r="P3238" s="49" t="str">
        <f t="shared" si="2"/>
        <v>,</v>
      </c>
      <c r="Q3238" s="49"/>
      <c r="R3238" s="49"/>
      <c r="S3238" s="55" t="s">
        <v>4577</v>
      </c>
      <c r="T3238" s="49"/>
      <c r="U3238" s="49"/>
      <c r="V3238" s="49"/>
      <c r="W3238" s="49"/>
      <c r="X3238" s="49" t="str">
        <f t="shared" si="3"/>
        <v>,</v>
      </c>
      <c r="Y3238" s="49"/>
      <c r="Z3238" s="49"/>
      <c r="AB3238" s="49"/>
      <c r="AC3238" s="49"/>
      <c r="AD3238" s="49"/>
      <c r="AE3238" s="49"/>
      <c r="AF3238" s="49"/>
      <c r="AG3238" s="49"/>
      <c r="AH3238" s="1" t="s">
        <v>4939</v>
      </c>
      <c r="AI3238" s="1">
        <v>75.0</v>
      </c>
      <c r="AJ3238" s="6"/>
      <c r="AK3238" s="49"/>
      <c r="AL3238" s="49"/>
      <c r="AM3238" s="49"/>
      <c r="AN3238" s="52" t="str">
        <f t="shared" si="5"/>
        <v>owen,</v>
      </c>
      <c r="AP3238" s="49"/>
      <c r="AQ3238" s="49"/>
      <c r="AR3238" s="49"/>
      <c r="AS3238" s="49"/>
      <c r="AT3238" s="49"/>
    </row>
    <row r="3239">
      <c r="A3239" s="51"/>
      <c r="B3239" s="50" t="s">
        <v>558</v>
      </c>
      <c r="C3239" s="50" t="s">
        <v>5425</v>
      </c>
      <c r="D3239" s="49" t="str">
        <f>IFERROR(__xludf.DUMMYFUNCTION("""COMPUTED_VALUE"""),"7th")</f>
        <v>7th</v>
      </c>
      <c r="E3239" s="49"/>
      <c r="F3239" s="49"/>
      <c r="G3239" s="49"/>
      <c r="H3239" s="54" t="str">
        <f t="shared" si="1"/>
        <v>tribute,</v>
      </c>
      <c r="I3239" s="50"/>
      <c r="J3239" s="50"/>
      <c r="K3239" s="50" t="s">
        <v>5479</v>
      </c>
      <c r="L3239" s="49"/>
      <c r="M3239" s="49"/>
      <c r="N3239" s="50"/>
      <c r="O3239" s="49"/>
      <c r="P3239" s="49" t="str">
        <f t="shared" si="2"/>
        <v>,</v>
      </c>
      <c r="Q3239" s="49"/>
      <c r="R3239" s="49"/>
      <c r="S3239" s="55" t="s">
        <v>2892</v>
      </c>
      <c r="T3239" s="49"/>
      <c r="U3239" s="49"/>
      <c r="V3239" s="49"/>
      <c r="W3239" s="49"/>
      <c r="X3239" s="49" t="str">
        <f t="shared" si="3"/>
        <v>,</v>
      </c>
      <c r="Y3239" s="49"/>
      <c r="Z3239" s="49"/>
      <c r="AB3239" s="49"/>
      <c r="AC3239" s="49"/>
      <c r="AD3239" s="49"/>
      <c r="AE3239" s="49"/>
      <c r="AF3239" s="49"/>
      <c r="AG3239" s="49"/>
      <c r="AH3239" s="1" t="s">
        <v>6366</v>
      </c>
      <c r="AI3239" s="1" t="s">
        <v>6095</v>
      </c>
      <c r="AJ3239" s="6"/>
      <c r="AK3239" s="49"/>
      <c r="AL3239" s="49"/>
      <c r="AM3239" s="49"/>
      <c r="AN3239" s="52" t="str">
        <f t="shared" si="5"/>
        <v>frozen,</v>
      </c>
      <c r="AP3239" s="49"/>
      <c r="AQ3239" s="49"/>
      <c r="AR3239" s="49"/>
      <c r="AS3239" s="49"/>
      <c r="AT3239" s="49"/>
    </row>
    <row r="3240">
      <c r="A3240" s="51"/>
      <c r="B3240" s="50" t="s">
        <v>1334</v>
      </c>
      <c r="C3240" s="50" t="s">
        <v>5903</v>
      </c>
      <c r="D3240" s="49" t="str">
        <f>IFERROR(__xludf.DUMMYFUNCTION("""COMPUTED_VALUE"""),"barry")</f>
        <v>barry</v>
      </c>
      <c r="E3240" s="49"/>
      <c r="F3240" s="49"/>
      <c r="G3240" s="49"/>
      <c r="H3240" s="54" t="str">
        <f t="shared" si="1"/>
        <v>repeated,</v>
      </c>
      <c r="I3240" s="50"/>
      <c r="J3240" s="50"/>
      <c r="K3240" s="50" t="s">
        <v>4759</v>
      </c>
      <c r="L3240" s="49"/>
      <c r="M3240" s="49"/>
      <c r="N3240" s="50"/>
      <c r="O3240" s="49"/>
      <c r="P3240" s="49" t="str">
        <f t="shared" si="2"/>
        <v>,</v>
      </c>
      <c r="Q3240" s="49"/>
      <c r="R3240" s="49"/>
      <c r="S3240" s="55" t="s">
        <v>2895</v>
      </c>
      <c r="T3240" s="49"/>
      <c r="U3240" s="49"/>
      <c r="V3240" s="49"/>
      <c r="W3240" s="49"/>
      <c r="X3240" s="49" t="str">
        <f t="shared" si="3"/>
        <v>,</v>
      </c>
      <c r="Y3240" s="49"/>
      <c r="Z3240" s="49"/>
      <c r="AB3240" s="49"/>
      <c r="AC3240" s="49"/>
      <c r="AD3240" s="49"/>
      <c r="AE3240" s="49"/>
      <c r="AF3240" s="49"/>
      <c r="AG3240" s="49"/>
      <c r="AH3240" s="1" t="s">
        <v>4021</v>
      </c>
      <c r="AI3240" s="1" t="s">
        <v>2932</v>
      </c>
      <c r="AJ3240" s="6"/>
      <c r="AK3240" s="49"/>
      <c r="AL3240" s="49"/>
      <c r="AM3240" s="49"/>
      <c r="AN3240" s="52" t="str">
        <f t="shared" si="5"/>
        <v>kissing,</v>
      </c>
      <c r="AP3240" s="49"/>
      <c r="AQ3240" s="49"/>
      <c r="AR3240" s="49"/>
      <c r="AS3240" s="49"/>
      <c r="AT3240" s="49"/>
    </row>
    <row r="3241">
      <c r="A3241" s="51"/>
      <c r="B3241" s="50" t="s">
        <v>7006</v>
      </c>
      <c r="C3241" s="50" t="s">
        <v>2619</v>
      </c>
      <c r="D3241" s="49" t="str">
        <f>IFERROR(__xludf.DUMMYFUNCTION("""COMPUTED_VALUE"""),"January")</f>
        <v>January</v>
      </c>
      <c r="E3241" s="49"/>
      <c r="F3241" s="49"/>
      <c r="G3241" s="49"/>
      <c r="H3241" s="54" t="str">
        <f t="shared" si="1"/>
        <v>ratio,</v>
      </c>
      <c r="I3241" s="50"/>
      <c r="J3241" s="50"/>
      <c r="K3241" s="50" t="s">
        <v>3002</v>
      </c>
      <c r="L3241" s="49"/>
      <c r="M3241" s="49"/>
      <c r="N3241" s="50"/>
      <c r="O3241" s="49"/>
      <c r="P3241" s="49" t="str">
        <f t="shared" si="2"/>
        <v>,</v>
      </c>
      <c r="Q3241" s="49"/>
      <c r="R3241" s="49"/>
      <c r="S3241" s="55">
        <v>18.0</v>
      </c>
      <c r="T3241" s="49"/>
      <c r="U3241" s="49"/>
      <c r="V3241" s="49"/>
      <c r="W3241" s="49"/>
      <c r="X3241" s="49" t="str">
        <f t="shared" si="3"/>
        <v>,</v>
      </c>
      <c r="Y3241" s="49"/>
      <c r="Z3241" s="49"/>
      <c r="AB3241" s="49"/>
      <c r="AC3241" s="49"/>
      <c r="AD3241" s="49"/>
      <c r="AE3241" s="49"/>
      <c r="AF3241" s="49"/>
      <c r="AG3241" s="49"/>
      <c r="AH3241" s="1" t="s">
        <v>4337</v>
      </c>
      <c r="AI3241" s="1" t="s">
        <v>4951</v>
      </c>
      <c r="AJ3241" s="6"/>
      <c r="AK3241" s="49"/>
      <c r="AL3241" s="49"/>
      <c r="AM3241" s="49"/>
      <c r="AN3241" s="52" t="str">
        <f t="shared" si="5"/>
        <v>arrangements,</v>
      </c>
      <c r="AP3241" s="49"/>
      <c r="AQ3241" s="49"/>
      <c r="AR3241" s="49"/>
      <c r="AS3241" s="49"/>
      <c r="AT3241" s="49"/>
    </row>
    <row r="3242">
      <c r="A3242" s="51"/>
      <c r="B3242" s="50" t="s">
        <v>157</v>
      </c>
      <c r="C3242" s="50" t="s">
        <v>6869</v>
      </c>
      <c r="D3242" s="49" t="str">
        <f>IFERROR(__xludf.DUMMYFUNCTION("""COMPUTED_VALUE"""),"releasing")</f>
        <v>releasing</v>
      </c>
      <c r="E3242" s="49"/>
      <c r="F3242" s="49"/>
      <c r="G3242" s="49"/>
      <c r="H3242" s="54" t="str">
        <f t="shared" si="1"/>
        <v>reveals,</v>
      </c>
      <c r="I3242" s="50"/>
      <c r="J3242" s="50"/>
      <c r="K3242" s="50" t="s">
        <v>6050</v>
      </c>
      <c r="L3242" s="49"/>
      <c r="M3242" s="49"/>
      <c r="N3242" s="50"/>
      <c r="O3242" s="49"/>
      <c r="P3242" s="49" t="str">
        <f t="shared" si="2"/>
        <v>,</v>
      </c>
      <c r="Q3242" s="49"/>
      <c r="R3242" s="49"/>
      <c r="S3242" s="55" t="s">
        <v>4249</v>
      </c>
      <c r="T3242" s="49"/>
      <c r="U3242" s="49"/>
      <c r="V3242" s="49"/>
      <c r="W3242" s="49"/>
      <c r="X3242" s="49" t="str">
        <f t="shared" si="3"/>
        <v>,</v>
      </c>
      <c r="Y3242" s="49"/>
      <c r="Z3242" s="49"/>
      <c r="AB3242" s="49"/>
      <c r="AC3242" s="49"/>
      <c r="AD3242" s="49"/>
      <c r="AE3242" s="49"/>
      <c r="AF3242" s="49"/>
      <c r="AG3242" s="49"/>
      <c r="AH3242" s="1" t="s">
        <v>2156</v>
      </c>
      <c r="AI3242" s="1" t="s">
        <v>6168</v>
      </c>
      <c r="AJ3242" s="6"/>
      <c r="AK3242" s="49"/>
      <c r="AL3242" s="49"/>
      <c r="AM3242" s="49"/>
      <c r="AN3242" s="52" t="str">
        <f t="shared" si="5"/>
        <v>procedure,</v>
      </c>
      <c r="AP3242" s="49"/>
      <c r="AQ3242" s="49"/>
      <c r="AR3242" s="49"/>
      <c r="AS3242" s="49"/>
      <c r="AT3242" s="49"/>
    </row>
    <row r="3243">
      <c r="A3243" s="51"/>
      <c r="B3243" s="50" t="s">
        <v>6514</v>
      </c>
      <c r="C3243" s="50" t="s">
        <v>4452</v>
      </c>
      <c r="D3243" s="49" t="str">
        <f>IFERROR(__xludf.DUMMYFUNCTION("""COMPUTED_VALUE"""),"scotland")</f>
        <v>scotland</v>
      </c>
      <c r="E3243" s="49"/>
      <c r="F3243" s="49"/>
      <c r="G3243" s="49"/>
      <c r="H3243" s="54" t="str">
        <f t="shared" si="1"/>
        <v>universe,</v>
      </c>
      <c r="I3243" s="50"/>
      <c r="J3243" s="50"/>
      <c r="K3243" s="50" t="s">
        <v>3732</v>
      </c>
      <c r="L3243" s="49"/>
      <c r="M3243" s="49"/>
      <c r="N3243" s="50"/>
      <c r="O3243" s="49"/>
      <c r="P3243" s="49" t="str">
        <f t="shared" si="2"/>
        <v>,</v>
      </c>
      <c r="Q3243" s="49"/>
      <c r="R3243" s="49"/>
      <c r="S3243" s="55" t="s">
        <v>7012</v>
      </c>
      <c r="T3243" s="49"/>
      <c r="U3243" s="49"/>
      <c r="V3243" s="49"/>
      <c r="W3243" s="49"/>
      <c r="X3243" s="49" t="str">
        <f t="shared" si="3"/>
        <v>,</v>
      </c>
      <c r="Y3243" s="49"/>
      <c r="Z3243" s="49"/>
      <c r="AB3243" s="49"/>
      <c r="AC3243" s="49"/>
      <c r="AD3243" s="49"/>
      <c r="AE3243" s="49"/>
      <c r="AF3243" s="49"/>
      <c r="AG3243" s="49"/>
      <c r="AH3243" s="1" t="s">
        <v>5261</v>
      </c>
      <c r="AI3243" s="1">
        <v>88.0</v>
      </c>
      <c r="AJ3243" s="6"/>
      <c r="AK3243" s="49"/>
      <c r="AL3243" s="49"/>
      <c r="AM3243" s="49"/>
      <c r="AN3243" s="52" t="str">
        <f t="shared" si="5"/>
        <v>proposal,</v>
      </c>
      <c r="AP3243" s="49"/>
      <c r="AQ3243" s="49"/>
      <c r="AR3243" s="49"/>
      <c r="AS3243" s="49"/>
      <c r="AT3243" s="49"/>
    </row>
    <row r="3244">
      <c r="A3244" s="51"/>
      <c r="B3244" s="50" t="s">
        <v>4567</v>
      </c>
      <c r="C3244" s="50" t="s">
        <v>5883</v>
      </c>
      <c r="D3244" s="49" t="str">
        <f>IFERROR(__xludf.DUMMYFUNCTION("""COMPUTED_VALUE"""),"arc")</f>
        <v>arc</v>
      </c>
      <c r="E3244" s="49"/>
      <c r="F3244" s="49"/>
      <c r="G3244" s="49"/>
      <c r="H3244" s="54" t="str">
        <f t="shared" si="1"/>
        <v>breath,</v>
      </c>
      <c r="I3244" s="50"/>
      <c r="J3244" s="50"/>
      <c r="K3244" s="50" t="s">
        <v>1729</v>
      </c>
      <c r="L3244" s="49"/>
      <c r="M3244" s="49"/>
      <c r="N3244" s="50"/>
      <c r="O3244" s="49"/>
      <c r="P3244" s="49" t="str">
        <f t="shared" si="2"/>
        <v>,</v>
      </c>
      <c r="Q3244" s="49"/>
      <c r="R3244" s="49"/>
      <c r="S3244" s="55" t="s">
        <v>2897</v>
      </c>
      <c r="T3244" s="49"/>
      <c r="U3244" s="49"/>
      <c r="V3244" s="49"/>
      <c r="W3244" s="49"/>
      <c r="X3244" s="49" t="str">
        <f t="shared" si="3"/>
        <v>,</v>
      </c>
      <c r="Y3244" s="49"/>
      <c r="Z3244" s="49"/>
      <c r="AB3244" s="49"/>
      <c r="AC3244" s="49"/>
      <c r="AD3244" s="49"/>
      <c r="AE3244" s="49"/>
      <c r="AF3244" s="49"/>
      <c r="AG3244" s="49"/>
      <c r="AH3244" s="1" t="s">
        <v>4894</v>
      </c>
      <c r="AI3244" s="1" t="s">
        <v>6096</v>
      </c>
      <c r="AJ3244" s="6"/>
      <c r="AK3244" s="49"/>
      <c r="AL3244" s="49"/>
      <c r="AM3244" s="49"/>
      <c r="AN3244" s="52" t="str">
        <f t="shared" si="5"/>
        <v>engaged,</v>
      </c>
      <c r="AP3244" s="49"/>
      <c r="AQ3244" s="49"/>
      <c r="AR3244" s="49"/>
      <c r="AS3244" s="49"/>
      <c r="AT3244" s="49"/>
    </row>
    <row r="3245">
      <c r="A3245" s="51"/>
      <c r="B3245" s="50">
        <v>1984.0</v>
      </c>
      <c r="C3245" s="50" t="s">
        <v>1713</v>
      </c>
      <c r="D3245" s="49" t="str">
        <f>IFERROR(__xludf.DUMMYFUNCTION("""COMPUTED_VALUE"""),"occur")</f>
        <v>occur</v>
      </c>
      <c r="E3245" s="49"/>
      <c r="F3245" s="49"/>
      <c r="G3245" s="49"/>
      <c r="H3245" s="54" t="str">
        <f t="shared" si="1"/>
        <v>1984,</v>
      </c>
      <c r="I3245" s="50"/>
      <c r="J3245" s="50"/>
      <c r="K3245" s="50" t="s">
        <v>4762</v>
      </c>
      <c r="L3245" s="49"/>
      <c r="M3245" s="49"/>
      <c r="N3245" s="50"/>
      <c r="O3245" s="49"/>
      <c r="P3245" s="49" t="str">
        <f t="shared" si="2"/>
        <v>,</v>
      </c>
      <c r="Q3245" s="49"/>
      <c r="R3245" s="49"/>
      <c r="S3245" s="55" t="s">
        <v>1620</v>
      </c>
      <c r="T3245" s="49"/>
      <c r="U3245" s="49"/>
      <c r="V3245" s="49"/>
      <c r="W3245" s="49"/>
      <c r="X3245" s="49" t="str">
        <f t="shared" si="3"/>
        <v>,</v>
      </c>
      <c r="Y3245" s="49"/>
      <c r="Z3245" s="49"/>
      <c r="AB3245" s="49"/>
      <c r="AC3245" s="49"/>
      <c r="AD3245" s="49"/>
      <c r="AE3245" s="49"/>
      <c r="AF3245" s="49"/>
      <c r="AG3245" s="49"/>
      <c r="AH3245" s="1" t="s">
        <v>2428</v>
      </c>
      <c r="AI3245" s="1" t="s">
        <v>3194</v>
      </c>
      <c r="AJ3245" s="6"/>
      <c r="AK3245" s="49"/>
      <c r="AL3245" s="49"/>
      <c r="AM3245" s="49"/>
      <c r="AN3245" s="52" t="str">
        <f t="shared" si="5"/>
        <v>classification,</v>
      </c>
      <c r="AP3245" s="49"/>
      <c r="AQ3245" s="49"/>
      <c r="AR3245" s="49"/>
      <c r="AS3245" s="49"/>
      <c r="AT3245" s="49"/>
    </row>
    <row r="3246">
      <c r="A3246" s="51"/>
      <c r="B3246" s="50" t="s">
        <v>4450</v>
      </c>
      <c r="C3246" s="50" t="s">
        <v>5986</v>
      </c>
      <c r="D3246" s="49">
        <f>IFERROR(__xludf.DUMMYFUNCTION("""COMPUTED_VALUE"""),18.0)</f>
        <v>18</v>
      </c>
      <c r="E3246" s="49"/>
      <c r="F3246" s="49"/>
      <c r="G3246" s="49"/>
      <c r="H3246" s="54" t="str">
        <f t="shared" si="1"/>
        <v>versions,</v>
      </c>
      <c r="I3246" s="50"/>
      <c r="J3246" s="50"/>
      <c r="K3246" s="50" t="s">
        <v>4766</v>
      </c>
      <c r="L3246" s="49"/>
      <c r="M3246" s="49"/>
      <c r="N3246" s="50"/>
      <c r="O3246" s="49"/>
      <c r="P3246" s="49" t="str">
        <f t="shared" si="2"/>
        <v>,</v>
      </c>
      <c r="Q3246" s="49"/>
      <c r="R3246" s="49"/>
      <c r="S3246" s="55" t="s">
        <v>5641</v>
      </c>
      <c r="T3246" s="49"/>
      <c r="U3246" s="49"/>
      <c r="V3246" s="49"/>
      <c r="W3246" s="49"/>
      <c r="X3246" s="49" t="str">
        <f t="shared" si="3"/>
        <v>,</v>
      </c>
      <c r="Y3246" s="49"/>
      <c r="Z3246" s="49"/>
      <c r="AB3246" s="49"/>
      <c r="AC3246" s="49"/>
      <c r="AD3246" s="49"/>
      <c r="AE3246" s="49"/>
      <c r="AF3246" s="49"/>
      <c r="AG3246" s="49"/>
      <c r="AH3246" s="1" t="s">
        <v>6989</v>
      </c>
      <c r="AI3246" s="1" t="s">
        <v>7013</v>
      </c>
      <c r="AJ3246" s="6"/>
      <c r="AK3246" s="49"/>
      <c r="AL3246" s="49"/>
      <c r="AM3246" s="49"/>
      <c r="AN3246" s="52" t="str">
        <f t="shared" si="5"/>
        <v>bread,</v>
      </c>
      <c r="AP3246" s="49"/>
      <c r="AQ3246" s="49"/>
      <c r="AR3246" s="49"/>
      <c r="AS3246" s="49"/>
      <c r="AT3246" s="49"/>
    </row>
    <row r="3247">
      <c r="A3247" s="51"/>
      <c r="B3247" s="50" t="s">
        <v>5872</v>
      </c>
      <c r="C3247" s="50" t="s">
        <v>5911</v>
      </c>
      <c r="D3247" s="49" t="str">
        <f>IFERROR(__xludf.DUMMYFUNCTION("""COMPUTED_VALUE"""),"worried")</f>
        <v>worried</v>
      </c>
      <c r="E3247" s="49"/>
      <c r="F3247" s="49"/>
      <c r="G3247" s="49"/>
      <c r="H3247" s="54" t="str">
        <f t="shared" si="1"/>
        <v>europe,</v>
      </c>
      <c r="I3247" s="50"/>
      <c r="J3247" s="50"/>
      <c r="K3247" s="50" t="s">
        <v>3895</v>
      </c>
      <c r="L3247" s="49"/>
      <c r="M3247" s="49"/>
      <c r="N3247" s="50"/>
      <c r="O3247" s="49"/>
      <c r="P3247" s="49" t="str">
        <f t="shared" si="2"/>
        <v>,</v>
      </c>
      <c r="Q3247" s="49"/>
      <c r="R3247" s="49"/>
      <c r="S3247" s="55" t="s">
        <v>2903</v>
      </c>
      <c r="T3247" s="49"/>
      <c r="U3247" s="49"/>
      <c r="V3247" s="49"/>
      <c r="W3247" s="49"/>
      <c r="X3247" s="49" t="str">
        <f t="shared" si="3"/>
        <v>,</v>
      </c>
      <c r="Y3247" s="49"/>
      <c r="Z3247" s="49"/>
      <c r="AB3247" s="49"/>
      <c r="AC3247" s="49"/>
      <c r="AD3247" s="49"/>
      <c r="AE3247" s="49"/>
      <c r="AF3247" s="49"/>
      <c r="AG3247" s="49"/>
      <c r="AH3247" s="1" t="s">
        <v>1061</v>
      </c>
      <c r="AI3247" s="1" t="s">
        <v>5343</v>
      </c>
      <c r="AJ3247" s="6"/>
      <c r="AK3247" s="49"/>
      <c r="AL3247" s="49"/>
      <c r="AM3247" s="49"/>
      <c r="AN3247" s="52" t="str">
        <f t="shared" si="5"/>
        <v>wanting,</v>
      </c>
      <c r="AP3247" s="49"/>
      <c r="AQ3247" s="49"/>
      <c r="AR3247" s="49"/>
      <c r="AS3247" s="49"/>
      <c r="AT3247" s="49"/>
    </row>
    <row r="3248">
      <c r="A3248" s="51"/>
      <c r="B3248" s="50" t="s">
        <v>5281</v>
      </c>
      <c r="C3248" s="50" t="s">
        <v>6871</v>
      </c>
      <c r="D3248" s="49" t="str">
        <f>IFERROR(__xludf.DUMMYFUNCTION("""COMPUTED_VALUE"""),"limited")</f>
        <v>limited</v>
      </c>
      <c r="E3248" s="49"/>
      <c r="F3248" s="49"/>
      <c r="G3248" s="49"/>
      <c r="H3248" s="54" t="str">
        <f t="shared" si="1"/>
        <v>economic,</v>
      </c>
      <c r="I3248" s="50"/>
      <c r="J3248" s="50"/>
      <c r="K3248" s="50" t="s">
        <v>4768</v>
      </c>
      <c r="L3248" s="49"/>
      <c r="M3248" s="49"/>
      <c r="N3248" s="50"/>
      <c r="O3248" s="49"/>
      <c r="P3248" s="49" t="str">
        <f t="shared" si="2"/>
        <v>,</v>
      </c>
      <c r="Q3248" s="49"/>
      <c r="R3248" s="49"/>
      <c r="S3248" s="55" t="s">
        <v>1626</v>
      </c>
      <c r="T3248" s="49"/>
      <c r="U3248" s="49"/>
      <c r="V3248" s="49"/>
      <c r="W3248" s="49"/>
      <c r="X3248" s="49" t="str">
        <f t="shared" si="3"/>
        <v>,</v>
      </c>
      <c r="Y3248" s="49"/>
      <c r="Z3248" s="49"/>
      <c r="AB3248" s="49"/>
      <c r="AC3248" s="49"/>
      <c r="AD3248" s="49"/>
      <c r="AE3248" s="49"/>
      <c r="AF3248" s="49"/>
      <c r="AG3248" s="49"/>
      <c r="AH3248" s="1" t="s">
        <v>7633</v>
      </c>
      <c r="AI3248" s="1" t="s">
        <v>4126</v>
      </c>
      <c r="AJ3248" s="6"/>
      <c r="AK3248" s="49"/>
      <c r="AL3248" s="49"/>
      <c r="AM3248" s="49"/>
      <c r="AN3248" s="52" t="str">
        <f t="shared" si="5"/>
        <v>counter,</v>
      </c>
      <c r="AP3248" s="49"/>
      <c r="AQ3248" s="49"/>
      <c r="AR3248" s="49"/>
      <c r="AS3248" s="49"/>
      <c r="AT3248" s="49"/>
    </row>
    <row r="3249">
      <c r="A3249" s="51"/>
      <c r="B3249" s="50" t="s">
        <v>4914</v>
      </c>
      <c r="C3249" s="50" t="s">
        <v>5933</v>
      </c>
      <c r="D3249" s="49" t="str">
        <f>IFERROR(__xludf.DUMMYFUNCTION("""COMPUTED_VALUE"""),"clients")</f>
        <v>clients</v>
      </c>
      <c r="E3249" s="49"/>
      <c r="F3249" s="49"/>
      <c r="G3249" s="49"/>
      <c r="H3249" s="54" t="str">
        <f t="shared" si="1"/>
        <v>associated,</v>
      </c>
      <c r="I3249" s="50"/>
      <c r="J3249" s="50"/>
      <c r="K3249" s="50" t="s">
        <v>5695</v>
      </c>
      <c r="L3249" s="49"/>
      <c r="M3249" s="49"/>
      <c r="N3249" s="50"/>
      <c r="O3249" s="49"/>
      <c r="P3249" s="49" t="str">
        <f t="shared" si="2"/>
        <v>,</v>
      </c>
      <c r="Q3249" s="49"/>
      <c r="R3249" s="49"/>
      <c r="S3249" s="55" t="s">
        <v>2910</v>
      </c>
      <c r="T3249" s="49"/>
      <c r="U3249" s="49"/>
      <c r="V3249" s="49"/>
      <c r="W3249" s="49"/>
      <c r="X3249" s="49" t="str">
        <f t="shared" si="3"/>
        <v>,</v>
      </c>
      <c r="Y3249" s="49"/>
      <c r="Z3249" s="49"/>
      <c r="AB3249" s="49"/>
      <c r="AC3249" s="49"/>
      <c r="AD3249" s="49"/>
      <c r="AE3249" s="49"/>
      <c r="AF3249" s="49"/>
      <c r="AG3249" s="49"/>
      <c r="AH3249" s="1" t="s">
        <v>6713</v>
      </c>
      <c r="AI3249" s="1" t="s">
        <v>7014</v>
      </c>
      <c r="AJ3249" s="6"/>
      <c r="AK3249" s="49"/>
      <c r="AL3249" s="49"/>
      <c r="AM3249" s="49"/>
      <c r="AN3249" s="52" t="str">
        <f t="shared" si="5"/>
        <v>garden,</v>
      </c>
      <c r="AP3249" s="49"/>
      <c r="AQ3249" s="49"/>
      <c r="AR3249" s="49"/>
      <c r="AS3249" s="49"/>
      <c r="AT3249" s="49"/>
    </row>
    <row r="3250">
      <c r="A3250" s="51"/>
      <c r="B3250" s="50" t="s">
        <v>5164</v>
      </c>
      <c r="C3250" s="50" t="s">
        <v>5433</v>
      </c>
      <c r="D3250" s="49" t="str">
        <f>IFERROR(__xludf.DUMMYFUNCTION("""COMPUTED_VALUE"""),"excellence")</f>
        <v>excellence</v>
      </c>
      <c r="E3250" s="49"/>
      <c r="F3250" s="49"/>
      <c r="G3250" s="49"/>
      <c r="H3250" s="54" t="str">
        <f t="shared" si="1"/>
        <v>nazi,</v>
      </c>
      <c r="I3250" s="50"/>
      <c r="J3250" s="50"/>
      <c r="K3250" s="50" t="s">
        <v>6053</v>
      </c>
      <c r="L3250" s="49"/>
      <c r="M3250" s="49"/>
      <c r="N3250" s="50"/>
      <c r="O3250" s="49"/>
      <c r="P3250" s="49" t="str">
        <f t="shared" si="2"/>
        <v>,</v>
      </c>
      <c r="Q3250" s="49"/>
      <c r="R3250" s="49"/>
      <c r="S3250" s="55" t="s">
        <v>5160</v>
      </c>
      <c r="T3250" s="49"/>
      <c r="U3250" s="49"/>
      <c r="V3250" s="49"/>
      <c r="W3250" s="49"/>
      <c r="X3250" s="49" t="str">
        <f t="shared" si="3"/>
        <v>,</v>
      </c>
      <c r="Y3250" s="49"/>
      <c r="Z3250" s="49"/>
      <c r="AB3250" s="49"/>
      <c r="AC3250" s="49"/>
      <c r="AD3250" s="49"/>
      <c r="AE3250" s="49"/>
      <c r="AF3250" s="49"/>
      <c r="AG3250" s="49"/>
      <c r="AH3250" s="1" t="s">
        <v>6474</v>
      </c>
      <c r="AI3250" s="1" t="s">
        <v>7015</v>
      </c>
      <c r="AJ3250" s="6"/>
      <c r="AK3250" s="49"/>
      <c r="AL3250" s="49"/>
      <c r="AM3250" s="49"/>
      <c r="AN3250" s="52" t="str">
        <f t="shared" si="5"/>
        <v>grandmother,</v>
      </c>
      <c r="AP3250" s="49"/>
      <c r="AQ3250" s="49"/>
      <c r="AR3250" s="49"/>
      <c r="AS3250" s="49"/>
      <c r="AT3250" s="49"/>
    </row>
    <row r="3251">
      <c r="A3251" s="51"/>
      <c r="B3251" s="50" t="s">
        <v>1383</v>
      </c>
      <c r="C3251" s="50" t="s">
        <v>4462</v>
      </c>
      <c r="D3251" s="49" t="str">
        <f>IFERROR(__xludf.DUMMYFUNCTION("""COMPUTED_VALUE"""),"catching")</f>
        <v>catching</v>
      </c>
      <c r="E3251" s="49"/>
      <c r="F3251" s="49"/>
      <c r="G3251" s="49"/>
      <c r="H3251" s="54" t="str">
        <f t="shared" si="1"/>
        <v>noble,</v>
      </c>
      <c r="I3251" s="50"/>
      <c r="J3251" s="50"/>
      <c r="K3251" s="50" t="s">
        <v>4769</v>
      </c>
      <c r="L3251" s="49"/>
      <c r="M3251" s="49"/>
      <c r="N3251" s="50"/>
      <c r="O3251" s="49"/>
      <c r="P3251" s="49" t="str">
        <f t="shared" si="2"/>
        <v>,</v>
      </c>
      <c r="Q3251" s="49"/>
      <c r="R3251" s="49"/>
      <c r="S3251" s="55" t="s">
        <v>6028</v>
      </c>
      <c r="T3251" s="49"/>
      <c r="U3251" s="49"/>
      <c r="V3251" s="49"/>
      <c r="W3251" s="49"/>
      <c r="X3251" s="49" t="str">
        <f t="shared" si="3"/>
        <v>,</v>
      </c>
      <c r="Y3251" s="49"/>
      <c r="Z3251" s="49"/>
      <c r="AB3251" s="49"/>
      <c r="AC3251" s="49"/>
      <c r="AD3251" s="49"/>
      <c r="AE3251" s="49"/>
      <c r="AF3251" s="49"/>
      <c r="AG3251" s="49"/>
      <c r="AH3251" s="1" t="s">
        <v>4794</v>
      </c>
      <c r="AI3251" s="1" t="s">
        <v>5813</v>
      </c>
      <c r="AJ3251" s="6"/>
      <c r="AK3251" s="49"/>
      <c r="AL3251" s="49"/>
      <c r="AM3251" s="49"/>
      <c r="AN3251" s="52" t="str">
        <f t="shared" si="5"/>
        <v>round,</v>
      </c>
      <c r="AP3251" s="49"/>
      <c r="AQ3251" s="49"/>
      <c r="AR3251" s="49"/>
      <c r="AS3251" s="49"/>
      <c r="AT3251" s="49"/>
    </row>
    <row r="3252">
      <c r="A3252" s="51"/>
      <c r="B3252" s="50" t="s">
        <v>4804</v>
      </c>
      <c r="C3252" s="50" t="s">
        <v>6898</v>
      </c>
      <c r="D3252" s="49" t="str">
        <f>IFERROR(__xludf.DUMMYFUNCTION("""COMPUTED_VALUE"""),"support")</f>
        <v>support</v>
      </c>
      <c r="E3252" s="49"/>
      <c r="F3252" s="49"/>
      <c r="G3252" s="49"/>
      <c r="H3252" s="54" t="str">
        <f t="shared" si="1"/>
        <v>surrounding,</v>
      </c>
      <c r="I3252" s="50"/>
      <c r="J3252" s="50"/>
      <c r="K3252" s="50" t="s">
        <v>3004</v>
      </c>
      <c r="L3252" s="49"/>
      <c r="M3252" s="49"/>
      <c r="N3252" s="50"/>
      <c r="O3252" s="49"/>
      <c r="P3252" s="49" t="str">
        <f t="shared" si="2"/>
        <v>,</v>
      </c>
      <c r="Q3252" s="49"/>
      <c r="R3252" s="49"/>
      <c r="S3252" s="55" t="s">
        <v>4300</v>
      </c>
      <c r="T3252" s="49"/>
      <c r="U3252" s="49"/>
      <c r="V3252" s="49"/>
      <c r="W3252" s="49"/>
      <c r="X3252" s="49" t="str">
        <f t="shared" si="3"/>
        <v>,</v>
      </c>
      <c r="Y3252" s="49"/>
      <c r="Z3252" s="49"/>
      <c r="AB3252" s="49"/>
      <c r="AC3252" s="49"/>
      <c r="AD3252" s="49"/>
      <c r="AE3252" s="49"/>
      <c r="AF3252" s="49"/>
      <c r="AG3252" s="49"/>
      <c r="AH3252" s="1" t="s">
        <v>730</v>
      </c>
      <c r="AI3252" s="1" t="s">
        <v>7016</v>
      </c>
      <c r="AJ3252" s="6"/>
      <c r="AK3252" s="49"/>
      <c r="AL3252" s="49"/>
      <c r="AM3252" s="49"/>
      <c r="AN3252" s="52" t="str">
        <f t="shared" si="5"/>
        <v>leon,</v>
      </c>
      <c r="AP3252" s="49"/>
      <c r="AQ3252" s="49"/>
      <c r="AR3252" s="49"/>
      <c r="AS3252" s="49"/>
      <c r="AT3252" s="49"/>
    </row>
    <row r="3253">
      <c r="A3253" s="51"/>
      <c r="B3253" s="50" t="s">
        <v>4152</v>
      </c>
      <c r="C3253" s="50" t="s">
        <v>852</v>
      </c>
      <c r="D3253" s="49" t="str">
        <f>IFERROR(__xludf.DUMMYFUNCTION("""COMPUTED_VALUE"""),"colin")</f>
        <v>colin</v>
      </c>
      <c r="E3253" s="49"/>
      <c r="F3253" s="49"/>
      <c r="G3253" s="49"/>
      <c r="H3253" s="54" t="str">
        <f t="shared" si="1"/>
        <v>draw,</v>
      </c>
      <c r="I3253" s="50"/>
      <c r="J3253" s="50"/>
      <c r="K3253" s="50">
        <v>1933.0</v>
      </c>
      <c r="L3253" s="49"/>
      <c r="M3253" s="49"/>
      <c r="N3253" s="50"/>
      <c r="O3253" s="49"/>
      <c r="P3253" s="49" t="str">
        <f t="shared" si="2"/>
        <v>,</v>
      </c>
      <c r="Q3253" s="49"/>
      <c r="R3253" s="49"/>
      <c r="S3253" s="55" t="s">
        <v>5423</v>
      </c>
      <c r="T3253" s="49"/>
      <c r="U3253" s="49"/>
      <c r="V3253" s="49"/>
      <c r="W3253" s="49"/>
      <c r="X3253" s="49" t="str">
        <f t="shared" si="3"/>
        <v>,</v>
      </c>
      <c r="Y3253" s="49"/>
      <c r="Z3253" s="49"/>
      <c r="AB3253" s="49"/>
      <c r="AC3253" s="49"/>
      <c r="AD3253" s="49"/>
      <c r="AE3253" s="49"/>
      <c r="AF3253" s="49"/>
      <c r="AG3253" s="49"/>
      <c r="AH3253" s="1" t="s">
        <v>2764</v>
      </c>
      <c r="AI3253" s="1" t="s">
        <v>7017</v>
      </c>
      <c r="AJ3253" s="6"/>
      <c r="AK3253" s="49"/>
      <c r="AL3253" s="49"/>
      <c r="AM3253" s="49"/>
      <c r="AN3253" s="52" t="str">
        <f t="shared" si="5"/>
        <v>governments,</v>
      </c>
      <c r="AP3253" s="49"/>
      <c r="AQ3253" s="49"/>
      <c r="AR3253" s="49"/>
      <c r="AS3253" s="49"/>
      <c r="AT3253" s="49"/>
    </row>
    <row r="3254">
      <c r="A3254" s="51"/>
      <c r="B3254" s="50" t="s">
        <v>3801</v>
      </c>
      <c r="C3254" s="50" t="s">
        <v>6872</v>
      </c>
      <c r="D3254" s="49" t="str">
        <f>IFERROR(__xludf.DUMMYFUNCTION("""COMPUTED_VALUE"""),"emphasis")</f>
        <v>emphasis</v>
      </c>
      <c r="E3254" s="49"/>
      <c r="F3254" s="49"/>
      <c r="G3254" s="49"/>
      <c r="H3254" s="54" t="str">
        <f t="shared" si="1"/>
        <v>attract,</v>
      </c>
      <c r="I3254" s="50"/>
      <c r="J3254" s="50"/>
      <c r="K3254" s="50" t="s">
        <v>4771</v>
      </c>
      <c r="L3254" s="49"/>
      <c r="M3254" s="49"/>
      <c r="N3254" s="50"/>
      <c r="O3254" s="49"/>
      <c r="P3254" s="49" t="str">
        <f t="shared" si="2"/>
        <v>,</v>
      </c>
      <c r="Q3254" s="49"/>
      <c r="R3254" s="49"/>
      <c r="S3254" s="55" t="s">
        <v>4688</v>
      </c>
      <c r="T3254" s="49"/>
      <c r="U3254" s="49"/>
      <c r="V3254" s="49"/>
      <c r="W3254" s="49"/>
      <c r="X3254" s="49" t="str">
        <f t="shared" si="3"/>
        <v>,</v>
      </c>
      <c r="Y3254" s="49"/>
      <c r="Z3254" s="49"/>
      <c r="AB3254" s="49"/>
      <c r="AC3254" s="49"/>
      <c r="AD3254" s="49"/>
      <c r="AE3254" s="49"/>
      <c r="AF3254" s="49"/>
      <c r="AG3254" s="49"/>
      <c r="AH3254" s="1" t="s">
        <v>5933</v>
      </c>
      <c r="AI3254" s="1" t="s">
        <v>7018</v>
      </c>
      <c r="AJ3254" s="6"/>
      <c r="AK3254" s="49"/>
      <c r="AL3254" s="49"/>
      <c r="AM3254" s="49"/>
      <c r="AN3254" s="52" t="str">
        <f t="shared" si="5"/>
        <v>concerning,</v>
      </c>
      <c r="AP3254" s="49"/>
      <c r="AQ3254" s="49"/>
      <c r="AR3254" s="49"/>
      <c r="AS3254" s="49"/>
      <c r="AT3254" s="49"/>
    </row>
    <row r="3255">
      <c r="A3255" s="51"/>
      <c r="B3255" s="50" t="s">
        <v>3369</v>
      </c>
      <c r="C3255" s="50" t="s">
        <v>6873</v>
      </c>
      <c r="D3255" s="49" t="str">
        <f>IFERROR(__xludf.DUMMYFUNCTION("""COMPUTED_VALUE"""),"fault")</f>
        <v>fault</v>
      </c>
      <c r="E3255" s="49"/>
      <c r="F3255" s="49"/>
      <c r="G3255" s="49"/>
      <c r="H3255" s="54" t="str">
        <f t="shared" si="1"/>
        <v>shadow,</v>
      </c>
      <c r="I3255" s="50"/>
      <c r="J3255" s="50"/>
      <c r="K3255" s="50" t="s">
        <v>3007</v>
      </c>
      <c r="L3255" s="49"/>
      <c r="M3255" s="49"/>
      <c r="N3255" s="50"/>
      <c r="O3255" s="49"/>
      <c r="P3255" s="49" t="str">
        <f t="shared" si="2"/>
        <v>,</v>
      </c>
      <c r="Q3255" s="49"/>
      <c r="R3255" s="49"/>
      <c r="S3255" s="55" t="s">
        <v>4690</v>
      </c>
      <c r="T3255" s="49"/>
      <c r="U3255" s="49"/>
      <c r="V3255" s="49"/>
      <c r="W3255" s="49"/>
      <c r="X3255" s="49" t="str">
        <f t="shared" si="3"/>
        <v>,</v>
      </c>
      <c r="Y3255" s="49"/>
      <c r="Z3255" s="49"/>
      <c r="AB3255" s="49"/>
      <c r="AC3255" s="49"/>
      <c r="AD3255" s="49"/>
      <c r="AE3255" s="49"/>
      <c r="AF3255" s="49"/>
      <c r="AG3255" s="49"/>
      <c r="AH3255" s="1" t="s">
        <v>6364</v>
      </c>
      <c r="AI3255" s="1" t="s">
        <v>7019</v>
      </c>
      <c r="AJ3255" s="6"/>
      <c r="AK3255" s="49"/>
      <c r="AL3255" s="49"/>
      <c r="AM3255" s="49"/>
      <c r="AN3255" s="52" t="str">
        <f t="shared" si="5"/>
        <v>shared,</v>
      </c>
      <c r="AP3255" s="49"/>
      <c r="AQ3255" s="49"/>
      <c r="AR3255" s="49"/>
      <c r="AS3255" s="49"/>
      <c r="AT3255" s="49"/>
    </row>
    <row r="3256">
      <c r="A3256" s="51"/>
      <c r="B3256" s="50" t="s">
        <v>3009</v>
      </c>
      <c r="C3256" s="50" t="s">
        <v>6874</v>
      </c>
      <c r="D3256" s="49" t="str">
        <f>IFERROR(__xludf.DUMMYFUNCTION("""COMPUTED_VALUE"""),"terminal")</f>
        <v>terminal</v>
      </c>
      <c r="E3256" s="49"/>
      <c r="F3256" s="49"/>
      <c r="G3256" s="49"/>
      <c r="H3256" s="54" t="str">
        <f t="shared" si="1"/>
        <v>swift,</v>
      </c>
      <c r="I3256" s="50"/>
      <c r="J3256" s="50"/>
      <c r="K3256" s="50" t="s">
        <v>4774</v>
      </c>
      <c r="L3256" s="49"/>
      <c r="M3256" s="49"/>
      <c r="N3256" s="50"/>
      <c r="O3256" s="49"/>
      <c r="P3256" s="49" t="str">
        <f t="shared" si="2"/>
        <v>,</v>
      </c>
      <c r="Q3256" s="49"/>
      <c r="R3256" s="49"/>
      <c r="S3256" s="55" t="s">
        <v>7020</v>
      </c>
      <c r="T3256" s="49"/>
      <c r="U3256" s="49"/>
      <c r="V3256" s="49"/>
      <c r="W3256" s="49"/>
      <c r="X3256" s="49" t="str">
        <f t="shared" si="3"/>
        <v>,</v>
      </c>
      <c r="Y3256" s="49"/>
      <c r="Z3256" s="49"/>
      <c r="AB3256" s="49"/>
      <c r="AC3256" s="49"/>
      <c r="AD3256" s="49"/>
      <c r="AE3256" s="49"/>
      <c r="AF3256" s="49"/>
      <c r="AG3256" s="49"/>
      <c r="AH3256" s="1" t="s">
        <v>7682</v>
      </c>
      <c r="AI3256" s="1" t="s">
        <v>5819</v>
      </c>
      <c r="AJ3256" s="6"/>
      <c r="AK3256" s="49"/>
      <c r="AL3256" s="49"/>
      <c r="AM3256" s="49"/>
      <c r="AN3256" s="52" t="str">
        <f t="shared" si="5"/>
        <v>nancy,</v>
      </c>
      <c r="AP3256" s="49"/>
      <c r="AQ3256" s="49"/>
      <c r="AR3256" s="49"/>
      <c r="AS3256" s="49"/>
      <c r="AT3256" s="49"/>
    </row>
    <row r="3257">
      <c r="A3257" s="51"/>
      <c r="B3257" s="50" t="s">
        <v>7484</v>
      </c>
      <c r="C3257" s="50" t="s">
        <v>4303</v>
      </c>
      <c r="D3257" s="49">
        <f>IFERROR(__xludf.DUMMYFUNCTION("""COMPUTED_VALUE"""),2000.0)</f>
        <v>2000</v>
      </c>
      <c r="E3257" s="49"/>
      <c r="F3257" s="49"/>
      <c r="G3257" s="49"/>
      <c r="H3257" s="54" t="str">
        <f t="shared" si="1"/>
        <v>mi,</v>
      </c>
      <c r="I3257" s="50"/>
      <c r="J3257" s="50"/>
      <c r="K3257" s="50" t="s">
        <v>4673</v>
      </c>
      <c r="L3257" s="49"/>
      <c r="M3257" s="49"/>
      <c r="N3257" s="50"/>
      <c r="O3257" s="49"/>
      <c r="P3257" s="49" t="str">
        <f t="shared" si="2"/>
        <v>,</v>
      </c>
      <c r="Q3257" s="49"/>
      <c r="R3257" s="49"/>
      <c r="S3257" s="55" t="s">
        <v>4693</v>
      </c>
      <c r="T3257" s="49"/>
      <c r="U3257" s="49"/>
      <c r="V3257" s="49"/>
      <c r="W3257" s="49"/>
      <c r="X3257" s="49" t="str">
        <f t="shared" si="3"/>
        <v>,</v>
      </c>
      <c r="Y3257" s="49"/>
      <c r="Z3257" s="49"/>
      <c r="AB3257" s="49"/>
      <c r="AC3257" s="49"/>
      <c r="AD3257" s="49"/>
      <c r="AE3257" s="49"/>
      <c r="AF3257" s="49"/>
      <c r="AG3257" s="49"/>
      <c r="AH3257" s="49"/>
      <c r="AI3257" s="1" t="s">
        <v>7021</v>
      </c>
      <c r="AJ3257" s="6"/>
      <c r="AK3257" s="49"/>
      <c r="AL3257" s="49"/>
      <c r="AM3257" s="49"/>
      <c r="AN3257" s="52" t="str">
        <f t="shared" si="5"/>
        <v>,</v>
      </c>
      <c r="AP3257" s="49"/>
      <c r="AQ3257" s="49"/>
      <c r="AR3257" s="49"/>
      <c r="AS3257" s="49"/>
      <c r="AT3257" s="49"/>
    </row>
    <row r="3258">
      <c r="A3258" s="51"/>
      <c r="B3258" s="50" t="s">
        <v>1649</v>
      </c>
      <c r="C3258" s="50" t="s">
        <v>6875</v>
      </c>
      <c r="D3258" s="49" t="str">
        <f>IFERROR(__xludf.DUMMYFUNCTION("""COMPUTED_VALUE"""),"demonstrated")</f>
        <v>demonstrated</v>
      </c>
      <c r="E3258" s="49"/>
      <c r="F3258" s="49"/>
      <c r="G3258" s="49"/>
      <c r="H3258" s="54" t="str">
        <f t="shared" si="1"/>
        <v>distance,</v>
      </c>
      <c r="I3258" s="50"/>
      <c r="J3258" s="50"/>
      <c r="K3258" s="50" t="s">
        <v>4778</v>
      </c>
      <c r="L3258" s="49"/>
      <c r="M3258" s="49"/>
      <c r="N3258" s="50"/>
      <c r="O3258" s="49"/>
      <c r="P3258" s="49" t="str">
        <f t="shared" si="2"/>
        <v>,</v>
      </c>
      <c r="Q3258" s="49"/>
      <c r="R3258" s="49"/>
      <c r="S3258" s="55" t="s">
        <v>2913</v>
      </c>
      <c r="T3258" s="49"/>
      <c r="U3258" s="49"/>
      <c r="V3258" s="49"/>
      <c r="W3258" s="49"/>
      <c r="X3258" s="49" t="str">
        <f t="shared" si="3"/>
        <v>,</v>
      </c>
      <c r="Y3258" s="49"/>
      <c r="Z3258" s="49"/>
      <c r="AB3258" s="49"/>
      <c r="AC3258" s="49"/>
      <c r="AD3258" s="49"/>
      <c r="AE3258" s="49"/>
      <c r="AF3258" s="49"/>
      <c r="AG3258" s="49"/>
      <c r="AH3258" s="49"/>
      <c r="AI3258" s="1" t="s">
        <v>4245</v>
      </c>
      <c r="AJ3258" s="6"/>
      <c r="AK3258" s="49"/>
      <c r="AL3258" s="49"/>
      <c r="AM3258" s="49"/>
      <c r="AN3258" s="52" t="str">
        <f t="shared" si="5"/>
        <v>,</v>
      </c>
      <c r="AP3258" s="49"/>
      <c r="AQ3258" s="49"/>
      <c r="AR3258" s="49"/>
      <c r="AS3258" s="49"/>
      <c r="AT3258" s="49"/>
    </row>
    <row r="3259">
      <c r="A3259" s="51"/>
      <c r="B3259" s="50" t="s">
        <v>7654</v>
      </c>
      <c r="C3259" s="50" t="s">
        <v>4084</v>
      </c>
      <c r="D3259" s="49" t="str">
        <f>IFERROR(__xludf.DUMMYFUNCTION("""COMPUTED_VALUE"""),"fruit")</f>
        <v>fruit</v>
      </c>
      <c r="E3259" s="49"/>
      <c r="F3259" s="49"/>
      <c r="G3259" s="49"/>
      <c r="H3259" s="54" t="str">
        <f t="shared" si="1"/>
        <v>affect,</v>
      </c>
      <c r="I3259" s="50"/>
      <c r="J3259" s="50"/>
      <c r="K3259" s="50" t="s">
        <v>4781</v>
      </c>
      <c r="L3259" s="49"/>
      <c r="M3259" s="49"/>
      <c r="N3259" s="50"/>
      <c r="O3259" s="49"/>
      <c r="P3259" s="49" t="str">
        <f t="shared" si="2"/>
        <v>,</v>
      </c>
      <c r="Q3259" s="49"/>
      <c r="R3259" s="49"/>
      <c r="S3259" s="55" t="s">
        <v>4695</v>
      </c>
      <c r="T3259" s="49"/>
      <c r="U3259" s="49"/>
      <c r="V3259" s="49"/>
      <c r="W3259" s="49"/>
      <c r="X3259" s="49" t="str">
        <f t="shared" si="3"/>
        <v>,</v>
      </c>
      <c r="Y3259" s="49"/>
      <c r="Z3259" s="49"/>
      <c r="AB3259" s="49"/>
      <c r="AC3259" s="49"/>
      <c r="AD3259" s="49"/>
      <c r="AE3259" s="49"/>
      <c r="AF3259" s="49"/>
      <c r="AG3259" s="49"/>
      <c r="AH3259" s="49"/>
      <c r="AI3259" s="1" t="s">
        <v>7022</v>
      </c>
      <c r="AJ3259" s="6"/>
      <c r="AK3259" s="49"/>
      <c r="AL3259" s="49"/>
      <c r="AM3259" s="49"/>
      <c r="AN3259" s="52" t="str">
        <f t="shared" si="5"/>
        <v>,</v>
      </c>
      <c r="AP3259" s="49"/>
      <c r="AQ3259" s="49"/>
      <c r="AR3259" s="49"/>
      <c r="AS3259" s="49"/>
      <c r="AT3259" s="49"/>
    </row>
    <row r="3260">
      <c r="A3260" s="51"/>
      <c r="B3260" s="50" t="s">
        <v>6748</v>
      </c>
      <c r="C3260" s="50" t="s">
        <v>6876</v>
      </c>
      <c r="D3260" s="49" t="str">
        <f>IFERROR(__xludf.DUMMYFUNCTION("""COMPUTED_VALUE"""),"reverse")</f>
        <v>reverse</v>
      </c>
      <c r="E3260" s="49"/>
      <c r="F3260" s="49"/>
      <c r="G3260" s="49"/>
      <c r="H3260" s="54" t="str">
        <f t="shared" si="1"/>
        <v>racing,</v>
      </c>
      <c r="I3260" s="50"/>
      <c r="J3260" s="50"/>
      <c r="K3260" s="50" t="s">
        <v>4783</v>
      </c>
      <c r="L3260" s="49"/>
      <c r="M3260" s="49"/>
      <c r="N3260" s="50"/>
      <c r="O3260" s="49"/>
      <c r="P3260" s="49" t="str">
        <f t="shared" si="2"/>
        <v>,</v>
      </c>
      <c r="Q3260" s="49"/>
      <c r="R3260" s="49"/>
      <c r="S3260" s="55" t="s">
        <v>5939</v>
      </c>
      <c r="T3260" s="49"/>
      <c r="U3260" s="49"/>
      <c r="V3260" s="49"/>
      <c r="W3260" s="49"/>
      <c r="X3260" s="49" t="str">
        <f t="shared" si="3"/>
        <v>,</v>
      </c>
      <c r="Y3260" s="49"/>
      <c r="Z3260" s="49"/>
      <c r="AB3260" s="49"/>
      <c r="AC3260" s="49"/>
      <c r="AD3260" s="49"/>
      <c r="AE3260" s="49"/>
      <c r="AF3260" s="49"/>
      <c r="AG3260" s="49"/>
      <c r="AH3260" s="49"/>
      <c r="AI3260" s="1" t="s">
        <v>5824</v>
      </c>
      <c r="AJ3260" s="6"/>
      <c r="AK3260" s="49"/>
      <c r="AL3260" s="49"/>
      <c r="AM3260" s="49"/>
      <c r="AN3260" s="52" t="str">
        <f t="shared" si="5"/>
        <v>,</v>
      </c>
      <c r="AP3260" s="49"/>
      <c r="AQ3260" s="49"/>
      <c r="AR3260" s="49"/>
      <c r="AS3260" s="49"/>
      <c r="AT3260" s="49"/>
    </row>
    <row r="3261">
      <c r="A3261" s="51"/>
      <c r="B3261" s="50" t="s">
        <v>5000</v>
      </c>
      <c r="C3261" s="50" t="s">
        <v>5439</v>
      </c>
      <c r="D3261" s="49" t="str">
        <f>IFERROR(__xludf.DUMMYFUNCTION("""COMPUTED_VALUE"""),"metropolitan")</f>
        <v>metropolitan</v>
      </c>
      <c r="E3261" s="49"/>
      <c r="F3261" s="49"/>
      <c r="G3261" s="49"/>
      <c r="H3261" s="54" t="str">
        <f t="shared" si="1"/>
        <v>mexican,</v>
      </c>
      <c r="I3261" s="50"/>
      <c r="J3261" s="50"/>
      <c r="K3261" s="50" t="s">
        <v>3008</v>
      </c>
      <c r="L3261" s="49"/>
      <c r="M3261" s="49"/>
      <c r="N3261" s="50"/>
      <c r="O3261" s="49"/>
      <c r="P3261" s="49" t="str">
        <f t="shared" si="2"/>
        <v>,</v>
      </c>
      <c r="Q3261" s="49"/>
      <c r="R3261" s="49"/>
      <c r="S3261" s="55" t="s">
        <v>6945</v>
      </c>
      <c r="T3261" s="49"/>
      <c r="U3261" s="49"/>
      <c r="V3261" s="49"/>
      <c r="W3261" s="49"/>
      <c r="X3261" s="49" t="str">
        <f t="shared" si="3"/>
        <v>,</v>
      </c>
      <c r="Y3261" s="49"/>
      <c r="Z3261" s="49"/>
      <c r="AB3261" s="49"/>
      <c r="AC3261" s="49"/>
      <c r="AD3261" s="49"/>
      <c r="AE3261" s="49"/>
      <c r="AF3261" s="49"/>
      <c r="AG3261" s="49"/>
      <c r="AH3261" s="49"/>
      <c r="AI3261" s="1" t="s">
        <v>7023</v>
      </c>
      <c r="AJ3261" s="6"/>
      <c r="AK3261" s="49"/>
      <c r="AL3261" s="49"/>
      <c r="AM3261" s="49"/>
      <c r="AN3261" s="52" t="str">
        <f t="shared" si="5"/>
        <v>,</v>
      </c>
      <c r="AP3261" s="49"/>
      <c r="AQ3261" s="49"/>
      <c r="AR3261" s="49"/>
      <c r="AS3261" s="49"/>
      <c r="AT3261" s="49"/>
    </row>
    <row r="3262">
      <c r="A3262" s="51"/>
      <c r="B3262" s="50" t="s">
        <v>5819</v>
      </c>
      <c r="C3262" s="50" t="s">
        <v>5441</v>
      </c>
      <c r="D3262" s="49" t="str">
        <f>IFERROR(__xludf.DUMMYFUNCTION("""COMPUTED_VALUE"""),"opens")</f>
        <v>opens</v>
      </c>
      <c r="E3262" s="49"/>
      <c r="F3262" s="49"/>
      <c r="G3262" s="49"/>
      <c r="H3262" s="54" t="str">
        <f t="shared" si="1"/>
        <v>alleged,</v>
      </c>
      <c r="I3262" s="50"/>
      <c r="J3262" s="50"/>
      <c r="K3262" s="50" t="s">
        <v>3898</v>
      </c>
      <c r="L3262" s="49"/>
      <c r="M3262" s="49"/>
      <c r="N3262" s="50"/>
      <c r="O3262" s="49"/>
      <c r="P3262" s="49" t="str">
        <f t="shared" si="2"/>
        <v>,</v>
      </c>
      <c r="Q3262" s="49"/>
      <c r="R3262" s="49"/>
      <c r="S3262" s="55" t="s">
        <v>5643</v>
      </c>
      <c r="T3262" s="49"/>
      <c r="U3262" s="49"/>
      <c r="V3262" s="49"/>
      <c r="W3262" s="49"/>
      <c r="X3262" s="49" t="str">
        <f t="shared" si="3"/>
        <v>,</v>
      </c>
      <c r="Y3262" s="49"/>
      <c r="Z3262" s="49"/>
      <c r="AB3262" s="49"/>
      <c r="AC3262" s="49"/>
      <c r="AD3262" s="49"/>
      <c r="AE3262" s="49"/>
      <c r="AF3262" s="49"/>
      <c r="AG3262" s="49"/>
      <c r="AH3262" s="49"/>
      <c r="AI3262" s="1" t="s">
        <v>4994</v>
      </c>
      <c r="AJ3262" s="6"/>
      <c r="AK3262" s="49"/>
      <c r="AL3262" s="49"/>
      <c r="AM3262" s="49"/>
      <c r="AN3262" s="52" t="str">
        <f t="shared" si="5"/>
        <v>,</v>
      </c>
      <c r="AP3262" s="49"/>
      <c r="AQ3262" s="49"/>
      <c r="AR3262" s="49"/>
      <c r="AS3262" s="49"/>
      <c r="AT3262" s="49"/>
    </row>
    <row r="3263">
      <c r="A3263" s="51"/>
      <c r="B3263" s="50" t="s">
        <v>3154</v>
      </c>
      <c r="C3263" s="50" t="s">
        <v>4894</v>
      </c>
      <c r="D3263" s="49" t="str">
        <f>IFERROR(__xludf.DUMMYFUNCTION("""COMPUTED_VALUE"""),"law")</f>
        <v>law</v>
      </c>
      <c r="E3263" s="49"/>
      <c r="F3263" s="49"/>
      <c r="G3263" s="49"/>
      <c r="H3263" s="54" t="str">
        <f t="shared" si="1"/>
        <v>afternoon,</v>
      </c>
      <c r="I3263" s="50"/>
      <c r="J3263" s="50"/>
      <c r="K3263" s="50" t="s">
        <v>3012</v>
      </c>
      <c r="L3263" s="49"/>
      <c r="M3263" s="49"/>
      <c r="N3263" s="50"/>
      <c r="O3263" s="49"/>
      <c r="P3263" s="49" t="str">
        <f t="shared" si="2"/>
        <v>,</v>
      </c>
      <c r="Q3263" s="49"/>
      <c r="R3263" s="49"/>
      <c r="S3263" s="55" t="s">
        <v>2916</v>
      </c>
      <c r="T3263" s="49"/>
      <c r="U3263" s="49"/>
      <c r="V3263" s="49"/>
      <c r="W3263" s="49"/>
      <c r="X3263" s="49" t="str">
        <f t="shared" si="3"/>
        <v>,</v>
      </c>
      <c r="Y3263" s="49"/>
      <c r="Z3263" s="49"/>
      <c r="AB3263" s="49"/>
      <c r="AC3263" s="49"/>
      <c r="AD3263" s="49"/>
      <c r="AE3263" s="49"/>
      <c r="AF3263" s="49"/>
      <c r="AG3263" s="49"/>
      <c r="AH3263" s="49"/>
      <c r="AI3263" s="1" t="s">
        <v>6110</v>
      </c>
      <c r="AJ3263" s="6"/>
      <c r="AK3263" s="49"/>
      <c r="AL3263" s="49"/>
      <c r="AM3263" s="49"/>
      <c r="AN3263" s="52" t="str">
        <f t="shared" si="5"/>
        <v>,</v>
      </c>
      <c r="AP3263" s="49"/>
      <c r="AQ3263" s="49"/>
      <c r="AR3263" s="49"/>
      <c r="AS3263" s="49"/>
      <c r="AT3263" s="49"/>
    </row>
    <row r="3264">
      <c r="A3264" s="51"/>
      <c r="B3264" s="50" t="s">
        <v>2048</v>
      </c>
      <c r="C3264" s="50" t="s">
        <v>5997</v>
      </c>
      <c r="D3264" s="49" t="str">
        <f>IFERROR(__xludf.DUMMYFUNCTION("""COMPUTED_VALUE"""),"enforcement")</f>
        <v>enforcement</v>
      </c>
      <c r="E3264" s="49"/>
      <c r="F3264" s="49"/>
      <c r="G3264" s="49"/>
      <c r="H3264" s="54" t="str">
        <f t="shared" si="1"/>
        <v>draws,</v>
      </c>
      <c r="I3264" s="50"/>
      <c r="J3264" s="50"/>
      <c r="K3264" s="50" t="s">
        <v>3018</v>
      </c>
      <c r="L3264" s="49"/>
      <c r="M3264" s="49"/>
      <c r="N3264" s="50"/>
      <c r="O3264" s="49"/>
      <c r="P3264" s="49" t="str">
        <f t="shared" si="2"/>
        <v>,</v>
      </c>
      <c r="Q3264" s="49"/>
      <c r="R3264" s="49"/>
      <c r="S3264" s="55" t="s">
        <v>2918</v>
      </c>
      <c r="T3264" s="49"/>
      <c r="U3264" s="49"/>
      <c r="V3264" s="49"/>
      <c r="W3264" s="49"/>
      <c r="X3264" s="49" t="str">
        <f t="shared" si="3"/>
        <v>,</v>
      </c>
      <c r="Y3264" s="49"/>
      <c r="Z3264" s="49"/>
      <c r="AB3264" s="49"/>
      <c r="AC3264" s="49"/>
      <c r="AD3264" s="49"/>
      <c r="AE3264" s="49"/>
      <c r="AF3264" s="49"/>
      <c r="AG3264" s="49"/>
      <c r="AH3264" s="49"/>
      <c r="AI3264" s="1" t="s">
        <v>3242</v>
      </c>
      <c r="AJ3264" s="6"/>
      <c r="AK3264" s="49"/>
      <c r="AL3264" s="49"/>
      <c r="AM3264" s="49"/>
      <c r="AN3264" s="52" t="str">
        <f t="shared" si="5"/>
        <v>,</v>
      </c>
      <c r="AP3264" s="49"/>
      <c r="AQ3264" s="49"/>
      <c r="AR3264" s="49"/>
      <c r="AS3264" s="49"/>
      <c r="AT3264" s="49"/>
    </row>
    <row r="3265">
      <c r="A3265" s="51"/>
      <c r="B3265" s="50" t="s">
        <v>3547</v>
      </c>
      <c r="C3265" s="50" t="s">
        <v>1012</v>
      </c>
      <c r="D3265" s="49" t="str">
        <f>IFERROR(__xludf.DUMMYFUNCTION("""COMPUTED_VALUE"""),"holmes")</f>
        <v>holmes</v>
      </c>
      <c r="E3265" s="49"/>
      <c r="F3265" s="49"/>
      <c r="G3265" s="49"/>
      <c r="H3265" s="54" t="str">
        <f t="shared" si="1"/>
        <v>combat,</v>
      </c>
      <c r="I3265" s="50"/>
      <c r="J3265" s="50"/>
      <c r="K3265" s="50" t="s">
        <v>1932</v>
      </c>
      <c r="L3265" s="49"/>
      <c r="M3265" s="49"/>
      <c r="N3265" s="50"/>
      <c r="O3265" s="49"/>
      <c r="P3265" s="49" t="str">
        <f t="shared" si="2"/>
        <v>,</v>
      </c>
      <c r="Q3265" s="49"/>
      <c r="R3265" s="49"/>
      <c r="S3265" s="55" t="s">
        <v>2923</v>
      </c>
      <c r="T3265" s="49"/>
      <c r="U3265" s="49"/>
      <c r="V3265" s="49"/>
      <c r="W3265" s="49"/>
      <c r="X3265" s="49" t="str">
        <f t="shared" si="3"/>
        <v>,</v>
      </c>
      <c r="Y3265" s="49"/>
      <c r="Z3265" s="49"/>
      <c r="AB3265" s="49"/>
      <c r="AC3265" s="49"/>
      <c r="AD3265" s="49"/>
      <c r="AE3265" s="49"/>
      <c r="AF3265" s="49"/>
      <c r="AG3265" s="49"/>
      <c r="AH3265" s="49"/>
      <c r="AI3265" s="1" t="s">
        <v>3983</v>
      </c>
      <c r="AJ3265" s="6"/>
      <c r="AK3265" s="49"/>
      <c r="AL3265" s="49"/>
      <c r="AM3265" s="49"/>
      <c r="AN3265" s="52" t="str">
        <f t="shared" si="5"/>
        <v>,</v>
      </c>
      <c r="AP3265" s="49"/>
      <c r="AQ3265" s="49"/>
      <c r="AR3265" s="49"/>
      <c r="AS3265" s="49"/>
      <c r="AT3265" s="49"/>
    </row>
    <row r="3266">
      <c r="A3266" s="51"/>
      <c r="B3266" s="50" t="s">
        <v>6952</v>
      </c>
      <c r="C3266" s="50" t="s">
        <v>4890</v>
      </c>
      <c r="D3266" s="49" t="str">
        <f>IFERROR(__xludf.DUMMYFUNCTION("""COMPUTED_VALUE"""),"senses")</f>
        <v>senses</v>
      </c>
      <c r="E3266" s="49"/>
      <c r="F3266" s="49"/>
      <c r="G3266" s="49"/>
      <c r="H3266" s="54" t="str">
        <f t="shared" si="1"/>
        <v>carefully,</v>
      </c>
      <c r="I3266" s="50"/>
      <c r="J3266" s="50"/>
      <c r="K3266" s="50" t="s">
        <v>4792</v>
      </c>
      <c r="L3266" s="49"/>
      <c r="M3266" s="49"/>
      <c r="N3266" s="50"/>
      <c r="O3266" s="49"/>
      <c r="P3266" s="49" t="str">
        <f t="shared" si="2"/>
        <v>,</v>
      </c>
      <c r="Q3266" s="49"/>
      <c r="R3266" s="49"/>
      <c r="S3266" s="55" t="s">
        <v>1633</v>
      </c>
      <c r="T3266" s="49"/>
      <c r="U3266" s="49"/>
      <c r="V3266" s="49"/>
      <c r="W3266" s="49"/>
      <c r="X3266" s="49" t="str">
        <f t="shared" si="3"/>
        <v>,</v>
      </c>
      <c r="Y3266" s="49"/>
      <c r="Z3266" s="49"/>
      <c r="AB3266" s="49"/>
      <c r="AC3266" s="49"/>
      <c r="AD3266" s="49"/>
      <c r="AE3266" s="49"/>
      <c r="AF3266" s="49"/>
      <c r="AG3266" s="49"/>
      <c r="AH3266" s="49"/>
      <c r="AI3266" s="1" t="s">
        <v>5743</v>
      </c>
      <c r="AJ3266" s="6"/>
      <c r="AK3266" s="49"/>
      <c r="AL3266" s="49"/>
      <c r="AM3266" s="49"/>
      <c r="AN3266" s="52" t="str">
        <f t="shared" si="5"/>
        <v>,</v>
      </c>
      <c r="AP3266" s="49"/>
      <c r="AQ3266" s="49"/>
      <c r="AR3266" s="49"/>
      <c r="AS3266" s="49"/>
      <c r="AT3266" s="49"/>
    </row>
    <row r="3267">
      <c r="A3267" s="51"/>
      <c r="B3267" s="50" t="s">
        <v>5546</v>
      </c>
      <c r="C3267" s="50" t="s">
        <v>6877</v>
      </c>
      <c r="D3267" s="49" t="str">
        <f>IFERROR(__xludf.DUMMYFUNCTION("""COMPUTED_VALUE"""),"toy")</f>
        <v>toy</v>
      </c>
      <c r="E3267" s="49"/>
      <c r="F3267" s="49"/>
      <c r="G3267" s="49"/>
      <c r="H3267" s="54" t="str">
        <f t="shared" si="1"/>
        <v>topics,</v>
      </c>
      <c r="I3267" s="50"/>
      <c r="J3267" s="50"/>
      <c r="K3267" s="50" t="s">
        <v>3021</v>
      </c>
      <c r="L3267" s="49"/>
      <c r="M3267" s="49"/>
      <c r="N3267" s="50"/>
      <c r="O3267" s="49"/>
      <c r="P3267" s="49" t="str">
        <f t="shared" si="2"/>
        <v>,</v>
      </c>
      <c r="Q3267" s="49"/>
      <c r="R3267" s="49"/>
      <c r="S3267" s="55" t="s">
        <v>5649</v>
      </c>
      <c r="T3267" s="49"/>
      <c r="U3267" s="49"/>
      <c r="V3267" s="49"/>
      <c r="W3267" s="49"/>
      <c r="X3267" s="49" t="str">
        <f t="shared" si="3"/>
        <v>,</v>
      </c>
      <c r="Y3267" s="49"/>
      <c r="Z3267" s="49"/>
      <c r="AB3267" s="49"/>
      <c r="AC3267" s="49"/>
      <c r="AD3267" s="49"/>
      <c r="AE3267" s="49"/>
      <c r="AF3267" s="49"/>
      <c r="AG3267" s="49"/>
      <c r="AH3267" s="49"/>
      <c r="AI3267" s="1" t="s">
        <v>5010</v>
      </c>
      <c r="AJ3267" s="6"/>
      <c r="AK3267" s="49"/>
      <c r="AL3267" s="49"/>
      <c r="AM3267" s="49"/>
      <c r="AN3267" s="52" t="str">
        <f t="shared" si="5"/>
        <v>,</v>
      </c>
      <c r="AP3267" s="49"/>
      <c r="AQ3267" s="49"/>
      <c r="AR3267" s="49"/>
      <c r="AS3267" s="49"/>
      <c r="AT3267" s="49"/>
    </row>
    <row r="3268">
      <c r="A3268" s="51"/>
      <c r="B3268" s="50" t="s">
        <v>5634</v>
      </c>
      <c r="C3268" s="50">
        <v>1958.0</v>
      </c>
      <c r="D3268" s="49" t="str">
        <f>IFERROR(__xludf.DUMMYFUNCTION("""COMPUTED_VALUE"""),"recorded")</f>
        <v>recorded</v>
      </c>
      <c r="E3268" s="49"/>
      <c r="F3268" s="49"/>
      <c r="G3268" s="49"/>
      <c r="H3268" s="54" t="str">
        <f t="shared" si="1"/>
        <v>releasing,</v>
      </c>
      <c r="I3268" s="50"/>
      <c r="J3268" s="50"/>
      <c r="K3268" s="50" t="s">
        <v>3023</v>
      </c>
      <c r="L3268" s="49"/>
      <c r="M3268" s="49"/>
      <c r="N3268" s="50"/>
      <c r="O3268" s="49"/>
      <c r="P3268" s="49" t="str">
        <f t="shared" si="2"/>
        <v>,</v>
      </c>
      <c r="Q3268" s="49"/>
      <c r="R3268" s="49"/>
      <c r="S3268" s="55" t="s">
        <v>5651</v>
      </c>
      <c r="T3268" s="49"/>
      <c r="U3268" s="49"/>
      <c r="V3268" s="49"/>
      <c r="W3268" s="49"/>
      <c r="X3268" s="49" t="str">
        <f t="shared" si="3"/>
        <v>,</v>
      </c>
      <c r="Y3268" s="49"/>
      <c r="Z3268" s="49"/>
      <c r="AB3268" s="49"/>
      <c r="AC3268" s="49"/>
      <c r="AD3268" s="49"/>
      <c r="AE3268" s="49"/>
      <c r="AF3268" s="49"/>
      <c r="AG3268" s="49"/>
      <c r="AH3268" s="49"/>
      <c r="AI3268" s="1" t="s">
        <v>3986</v>
      </c>
      <c r="AJ3268" s="6"/>
      <c r="AK3268" s="49"/>
      <c r="AL3268" s="49"/>
      <c r="AM3268" s="49"/>
      <c r="AN3268" s="52" t="str">
        <f t="shared" si="5"/>
        <v>,</v>
      </c>
      <c r="AP3268" s="49"/>
      <c r="AQ3268" s="49"/>
      <c r="AR3268" s="49"/>
      <c r="AS3268" s="49"/>
      <c r="AT3268" s="49"/>
    </row>
    <row r="3269">
      <c r="A3269" s="51"/>
      <c r="B3269" s="50" t="s">
        <v>7485</v>
      </c>
      <c r="C3269" s="50" t="s">
        <v>4471</v>
      </c>
      <c r="D3269" s="49" t="str">
        <f>IFERROR(__xludf.DUMMYFUNCTION("""COMPUTED_VALUE"""),"medical")</f>
        <v>medical</v>
      </c>
      <c r="E3269" s="49"/>
      <c r="F3269" s="49"/>
      <c r="G3269" s="49"/>
      <c r="H3269" s="54" t="str">
        <f t="shared" si="1"/>
        <v>correct,</v>
      </c>
      <c r="I3269" s="50"/>
      <c r="J3269" s="50"/>
      <c r="K3269" s="50" t="s">
        <v>5838</v>
      </c>
      <c r="L3269" s="49"/>
      <c r="M3269" s="49"/>
      <c r="N3269" s="50"/>
      <c r="O3269" s="49"/>
      <c r="P3269" s="49" t="str">
        <f t="shared" si="2"/>
        <v>,</v>
      </c>
      <c r="Q3269" s="49"/>
      <c r="R3269" s="49"/>
      <c r="S3269" s="55" t="s">
        <v>6030</v>
      </c>
      <c r="T3269" s="49"/>
      <c r="U3269" s="49"/>
      <c r="V3269" s="49"/>
      <c r="W3269" s="49"/>
      <c r="X3269" s="49" t="str">
        <f t="shared" si="3"/>
        <v>,</v>
      </c>
      <c r="Y3269" s="49"/>
      <c r="Z3269" s="49"/>
      <c r="AB3269" s="49"/>
      <c r="AC3269" s="49"/>
      <c r="AD3269" s="49"/>
      <c r="AE3269" s="49"/>
      <c r="AF3269" s="49"/>
      <c r="AG3269" s="49"/>
      <c r="AH3269" s="49"/>
      <c r="AI3269" s="1" t="s">
        <v>3988</v>
      </c>
      <c r="AJ3269" s="6"/>
      <c r="AK3269" s="49"/>
      <c r="AL3269" s="49"/>
      <c r="AM3269" s="49"/>
      <c r="AN3269" s="52" t="str">
        <f t="shared" si="5"/>
        <v>,</v>
      </c>
      <c r="AP3269" s="49"/>
      <c r="AQ3269" s="49"/>
      <c r="AR3269" s="49"/>
      <c r="AS3269" s="49"/>
      <c r="AT3269" s="49"/>
    </row>
    <row r="3270">
      <c r="A3270" s="51"/>
      <c r="B3270" s="50" t="s">
        <v>3687</v>
      </c>
      <c r="C3270" s="50" t="s">
        <v>6001</v>
      </c>
      <c r="D3270" s="49" t="str">
        <f>IFERROR(__xludf.DUMMYFUNCTION("""COMPUTED_VALUE"""),"equipment")</f>
        <v>equipment</v>
      </c>
      <c r="E3270" s="49"/>
      <c r="F3270" s="49"/>
      <c r="G3270" s="49"/>
      <c r="H3270" s="54" t="str">
        <f t="shared" si="1"/>
        <v>qualify,</v>
      </c>
      <c r="I3270" s="50"/>
      <c r="J3270" s="50"/>
      <c r="K3270" s="50" t="s">
        <v>4796</v>
      </c>
      <c r="L3270" s="49"/>
      <c r="M3270" s="49"/>
      <c r="N3270" s="50"/>
      <c r="O3270" s="49"/>
      <c r="P3270" s="49" t="str">
        <f t="shared" si="2"/>
        <v>,</v>
      </c>
      <c r="Q3270" s="49"/>
      <c r="R3270" s="49"/>
      <c r="S3270" s="55" t="s">
        <v>5653</v>
      </c>
      <c r="T3270" s="49"/>
      <c r="U3270" s="49"/>
      <c r="V3270" s="49"/>
      <c r="W3270" s="49"/>
      <c r="X3270" s="49" t="str">
        <f t="shared" si="3"/>
        <v>,</v>
      </c>
      <c r="Y3270" s="49"/>
      <c r="Z3270" s="49"/>
      <c r="AB3270" s="49"/>
      <c r="AC3270" s="49"/>
      <c r="AD3270" s="49"/>
      <c r="AE3270" s="49"/>
      <c r="AF3270" s="49"/>
      <c r="AG3270" s="49"/>
      <c r="AH3270" s="49"/>
      <c r="AI3270" s="1" t="s">
        <v>5832</v>
      </c>
      <c r="AJ3270" s="6"/>
      <c r="AK3270" s="49"/>
      <c r="AL3270" s="49"/>
      <c r="AM3270" s="49"/>
      <c r="AN3270" s="52" t="str">
        <f t="shared" si="5"/>
        <v>,</v>
      </c>
      <c r="AP3270" s="49"/>
      <c r="AQ3270" s="49"/>
      <c r="AR3270" s="49"/>
      <c r="AS3270" s="49"/>
      <c r="AT3270" s="49"/>
    </row>
    <row r="3271">
      <c r="A3271" s="51"/>
      <c r="B3271" s="50" t="s">
        <v>3492</v>
      </c>
      <c r="C3271" s="50" t="s">
        <v>6120</v>
      </c>
      <c r="D3271" s="49" t="str">
        <f>IFERROR(__xludf.DUMMYFUNCTION("""COMPUTED_VALUE"""),"massive")</f>
        <v>massive</v>
      </c>
      <c r="E3271" s="49"/>
      <c r="F3271" s="49"/>
      <c r="G3271" s="49"/>
      <c r="H3271" s="54" t="str">
        <f t="shared" si="1"/>
        <v>cry,</v>
      </c>
      <c r="I3271" s="50"/>
      <c r="J3271" s="50"/>
      <c r="K3271" s="50" t="s">
        <v>4797</v>
      </c>
      <c r="L3271" s="49"/>
      <c r="M3271" s="49"/>
      <c r="N3271" s="50"/>
      <c r="O3271" s="49"/>
      <c r="P3271" s="49" t="str">
        <f t="shared" si="2"/>
        <v>,</v>
      </c>
      <c r="Q3271" s="49"/>
      <c r="R3271" s="49"/>
      <c r="S3271" s="55" t="s">
        <v>5655</v>
      </c>
      <c r="T3271" s="49"/>
      <c r="U3271" s="49"/>
      <c r="V3271" s="49"/>
      <c r="W3271" s="49"/>
      <c r="X3271" s="49" t="str">
        <f t="shared" si="3"/>
        <v>,</v>
      </c>
      <c r="Y3271" s="49"/>
      <c r="Z3271" s="49"/>
      <c r="AB3271" s="49"/>
      <c r="AC3271" s="49"/>
      <c r="AD3271" s="49"/>
      <c r="AE3271" s="49"/>
      <c r="AF3271" s="49"/>
      <c r="AG3271" s="49"/>
      <c r="AH3271" s="49"/>
      <c r="AI3271" s="1" t="s">
        <v>7024</v>
      </c>
      <c r="AJ3271" s="6"/>
      <c r="AK3271" s="49"/>
      <c r="AL3271" s="49"/>
      <c r="AM3271" s="49"/>
      <c r="AN3271" s="52" t="str">
        <f t="shared" si="5"/>
        <v>,</v>
      </c>
      <c r="AP3271" s="49"/>
      <c r="AQ3271" s="49"/>
      <c r="AR3271" s="49"/>
      <c r="AS3271" s="49"/>
      <c r="AT3271" s="49"/>
    </row>
    <row r="3272">
      <c r="A3272" s="51"/>
      <c r="B3272" s="50">
        <v>30.0</v>
      </c>
      <c r="C3272" s="50" t="s">
        <v>6002</v>
      </c>
      <c r="D3272" s="49" t="str">
        <f>IFERROR(__xludf.DUMMYFUNCTION("""COMPUTED_VALUE"""),"goods")</f>
        <v>goods</v>
      </c>
      <c r="E3272" s="49"/>
      <c r="F3272" s="49"/>
      <c r="G3272" s="49"/>
      <c r="H3272" s="54" t="str">
        <f t="shared" si="1"/>
        <v>30,</v>
      </c>
      <c r="I3272" s="50"/>
      <c r="J3272" s="50"/>
      <c r="K3272" s="50" t="s">
        <v>4799</v>
      </c>
      <c r="L3272" s="49"/>
      <c r="M3272" s="49"/>
      <c r="N3272" s="50"/>
      <c r="O3272" s="49"/>
      <c r="P3272" s="49" t="str">
        <f t="shared" si="2"/>
        <v>,</v>
      </c>
      <c r="Q3272" s="49"/>
      <c r="R3272" s="49"/>
      <c r="S3272" s="55" t="s">
        <v>4703</v>
      </c>
      <c r="T3272" s="49"/>
      <c r="U3272" s="49"/>
      <c r="V3272" s="49"/>
      <c r="W3272" s="49"/>
      <c r="X3272" s="49" t="str">
        <f t="shared" si="3"/>
        <v>,</v>
      </c>
      <c r="Y3272" s="49"/>
      <c r="Z3272" s="49"/>
      <c r="AB3272" s="49"/>
      <c r="AC3272" s="49"/>
      <c r="AD3272" s="49"/>
      <c r="AE3272" s="49"/>
      <c r="AF3272" s="49"/>
      <c r="AG3272" s="49"/>
      <c r="AH3272" s="49"/>
      <c r="AI3272" s="1" t="s">
        <v>1895</v>
      </c>
      <c r="AJ3272" s="6"/>
      <c r="AK3272" s="49"/>
      <c r="AL3272" s="49"/>
      <c r="AM3272" s="49"/>
      <c r="AN3272" s="52" t="str">
        <f t="shared" si="5"/>
        <v>,</v>
      </c>
      <c r="AP3272" s="49"/>
      <c r="AQ3272" s="49"/>
      <c r="AR3272" s="49"/>
      <c r="AS3272" s="49"/>
      <c r="AT3272" s="49"/>
    </row>
    <row r="3273">
      <c r="A3273" s="51"/>
      <c r="B3273" s="50" t="s">
        <v>7683</v>
      </c>
      <c r="C3273" s="50" t="s">
        <v>5004</v>
      </c>
      <c r="D3273" s="49" t="str">
        <f>IFERROR(__xludf.DUMMYFUNCTION("""COMPUTED_VALUE"""),"June")</f>
        <v>June</v>
      </c>
      <c r="E3273" s="49"/>
      <c r="F3273" s="49"/>
      <c r="G3273" s="49"/>
      <c r="H3273" s="54" t="str">
        <f t="shared" si="1"/>
        <v>leg,</v>
      </c>
      <c r="I3273" s="50"/>
      <c r="J3273" s="50"/>
      <c r="K3273" s="50" t="s">
        <v>5710</v>
      </c>
      <c r="L3273" s="49"/>
      <c r="M3273" s="49"/>
      <c r="N3273" s="50"/>
      <c r="O3273" s="49"/>
      <c r="P3273" s="49" t="str">
        <f t="shared" si="2"/>
        <v>,</v>
      </c>
      <c r="Q3273" s="49"/>
      <c r="R3273" s="49"/>
      <c r="S3273" s="55" t="s">
        <v>2929</v>
      </c>
      <c r="T3273" s="49"/>
      <c r="U3273" s="49"/>
      <c r="V3273" s="49"/>
      <c r="W3273" s="49"/>
      <c r="X3273" s="49" t="str">
        <f t="shared" si="3"/>
        <v>,</v>
      </c>
      <c r="Y3273" s="49"/>
      <c r="Z3273" s="49"/>
      <c r="AB3273" s="49"/>
      <c r="AC3273" s="49"/>
      <c r="AD3273" s="49"/>
      <c r="AE3273" s="49"/>
      <c r="AF3273" s="49"/>
      <c r="AG3273" s="49"/>
      <c r="AH3273" s="49"/>
      <c r="AI3273" s="1" t="s">
        <v>7025</v>
      </c>
      <c r="AJ3273" s="6"/>
      <c r="AK3273" s="49"/>
      <c r="AL3273" s="49"/>
      <c r="AM3273" s="49"/>
      <c r="AN3273" s="52" t="str">
        <f t="shared" si="5"/>
        <v>,</v>
      </c>
      <c r="AP3273" s="49"/>
      <c r="AQ3273" s="49"/>
      <c r="AR3273" s="49"/>
      <c r="AS3273" s="49"/>
      <c r="AT3273" s="49"/>
    </row>
    <row r="3274">
      <c r="A3274" s="51"/>
      <c r="B3274" s="50" t="s">
        <v>7488</v>
      </c>
      <c r="C3274" s="50" t="s">
        <v>2653</v>
      </c>
      <c r="D3274" s="49" t="str">
        <f>IFERROR(__xludf.DUMMYFUNCTION("""COMPUTED_VALUE"""),"jane")</f>
        <v>jane</v>
      </c>
      <c r="E3274" s="49"/>
      <c r="F3274" s="49"/>
      <c r="G3274" s="49"/>
      <c r="H3274" s="54" t="str">
        <f t="shared" si="1"/>
        <v>co,</v>
      </c>
      <c r="I3274" s="50"/>
      <c r="J3274" s="50"/>
      <c r="K3274" s="50" t="s">
        <v>3025</v>
      </c>
      <c r="L3274" s="49"/>
      <c r="M3274" s="49"/>
      <c r="N3274" s="50"/>
      <c r="O3274" s="49"/>
      <c r="P3274" s="49" t="str">
        <f t="shared" si="2"/>
        <v>,</v>
      </c>
      <c r="Q3274" s="49"/>
      <c r="R3274" s="49"/>
      <c r="S3274" s="55" t="s">
        <v>3865</v>
      </c>
      <c r="T3274" s="49"/>
      <c r="U3274" s="49"/>
      <c r="V3274" s="49"/>
      <c r="W3274" s="49"/>
      <c r="X3274" s="49" t="str">
        <f t="shared" si="3"/>
        <v>,</v>
      </c>
      <c r="Y3274" s="49"/>
      <c r="Z3274" s="49"/>
      <c r="AB3274" s="49"/>
      <c r="AC3274" s="49"/>
      <c r="AD3274" s="49"/>
      <c r="AE3274" s="49"/>
      <c r="AF3274" s="49"/>
      <c r="AG3274" s="49"/>
      <c r="AH3274" s="49"/>
      <c r="AI3274" s="1" t="s">
        <v>5126</v>
      </c>
      <c r="AJ3274" s="6"/>
      <c r="AK3274" s="49"/>
      <c r="AL3274" s="49"/>
      <c r="AM3274" s="49"/>
      <c r="AN3274" s="52" t="str">
        <f t="shared" si="5"/>
        <v>,</v>
      </c>
      <c r="AP3274" s="49"/>
      <c r="AQ3274" s="49"/>
      <c r="AR3274" s="49"/>
      <c r="AS3274" s="49"/>
      <c r="AT3274" s="49"/>
    </row>
    <row r="3275">
      <c r="A3275" s="51"/>
      <c r="B3275" s="50" t="s">
        <v>2622</v>
      </c>
      <c r="C3275" s="50" t="s">
        <v>6003</v>
      </c>
      <c r="D3275" s="49" t="str">
        <f>IFERROR(__xludf.DUMMYFUNCTION("""COMPUTED_VALUE"""),"plant")</f>
        <v>plant</v>
      </c>
      <c r="E3275" s="49"/>
      <c r="F3275" s="49"/>
      <c r="G3275" s="49"/>
      <c r="H3275" s="54" t="str">
        <f t="shared" si="1"/>
        <v>claim,</v>
      </c>
      <c r="I3275" s="50"/>
      <c r="J3275" s="50"/>
      <c r="K3275" s="50" t="s">
        <v>3681</v>
      </c>
      <c r="L3275" s="49"/>
      <c r="M3275" s="49"/>
      <c r="N3275" s="50"/>
      <c r="O3275" s="49"/>
      <c r="P3275" s="49" t="str">
        <f t="shared" si="2"/>
        <v>,</v>
      </c>
      <c r="Q3275" s="49"/>
      <c r="R3275" s="49"/>
      <c r="S3275" s="55" t="s">
        <v>7026</v>
      </c>
      <c r="T3275" s="49"/>
      <c r="U3275" s="49"/>
      <c r="V3275" s="49"/>
      <c r="W3275" s="49"/>
      <c r="X3275" s="49" t="str">
        <f t="shared" si="3"/>
        <v>,</v>
      </c>
      <c r="Y3275" s="49"/>
      <c r="Z3275" s="49"/>
      <c r="AB3275" s="49"/>
      <c r="AC3275" s="49"/>
      <c r="AD3275" s="49"/>
      <c r="AE3275" s="49"/>
      <c r="AF3275" s="49"/>
      <c r="AG3275" s="49"/>
      <c r="AH3275" s="49"/>
      <c r="AI3275" s="1" t="s">
        <v>4633</v>
      </c>
      <c r="AJ3275" s="6"/>
      <c r="AK3275" s="49"/>
      <c r="AL3275" s="49"/>
      <c r="AM3275" s="49"/>
      <c r="AN3275" s="52" t="str">
        <f t="shared" si="5"/>
        <v>,</v>
      </c>
      <c r="AP3275" s="49"/>
      <c r="AQ3275" s="49"/>
      <c r="AR3275" s="49"/>
      <c r="AS3275" s="49"/>
      <c r="AT3275" s="49"/>
    </row>
    <row r="3276">
      <c r="A3276" s="51"/>
      <c r="B3276" s="50" t="s">
        <v>7489</v>
      </c>
      <c r="C3276" s="50" t="s">
        <v>2659</v>
      </c>
      <c r="D3276" s="49" t="str">
        <f>IFERROR(__xludf.DUMMYFUNCTION("""COMPUTED_VALUE"""),"tour")</f>
        <v>tour</v>
      </c>
      <c r="E3276" s="49"/>
      <c r="F3276" s="49"/>
      <c r="G3276" s="49"/>
      <c r="H3276" s="54" t="str">
        <f t="shared" si="1"/>
        <v>vi,</v>
      </c>
      <c r="I3276" s="50"/>
      <c r="J3276" s="50"/>
      <c r="K3276" s="50" t="s">
        <v>4805</v>
      </c>
      <c r="L3276" s="49"/>
      <c r="M3276" s="49"/>
      <c r="N3276" s="50"/>
      <c r="O3276" s="49"/>
      <c r="P3276" s="49" t="str">
        <f t="shared" si="2"/>
        <v>,</v>
      </c>
      <c r="Q3276" s="49"/>
      <c r="R3276" s="49"/>
      <c r="S3276" s="55" t="s">
        <v>4706</v>
      </c>
      <c r="T3276" s="49"/>
      <c r="U3276" s="49"/>
      <c r="V3276" s="49"/>
      <c r="W3276" s="49"/>
      <c r="X3276" s="49" t="str">
        <f t="shared" si="3"/>
        <v>,</v>
      </c>
      <c r="Y3276" s="49"/>
      <c r="Z3276" s="49"/>
      <c r="AB3276" s="49"/>
      <c r="AC3276" s="49"/>
      <c r="AD3276" s="49"/>
      <c r="AE3276" s="49"/>
      <c r="AF3276" s="49"/>
      <c r="AG3276" s="49"/>
      <c r="AH3276" s="49"/>
      <c r="AI3276" s="1" t="s">
        <v>4825</v>
      </c>
      <c r="AJ3276" s="6"/>
      <c r="AK3276" s="49"/>
      <c r="AL3276" s="49"/>
      <c r="AM3276" s="49"/>
      <c r="AN3276" s="52" t="str">
        <f t="shared" si="5"/>
        <v>,</v>
      </c>
      <c r="AP3276" s="49"/>
      <c r="AQ3276" s="49"/>
      <c r="AR3276" s="49"/>
      <c r="AS3276" s="49"/>
      <c r="AT3276" s="49"/>
    </row>
    <row r="3277">
      <c r="A3277" s="51"/>
      <c r="B3277" s="50" t="s">
        <v>902</v>
      </c>
      <c r="C3277" s="50" t="s">
        <v>5925</v>
      </c>
      <c r="D3277" s="49" t="str">
        <f>IFERROR(__xludf.DUMMYFUNCTION("""COMPUTED_VALUE"""),"journalist")</f>
        <v>journalist</v>
      </c>
      <c r="E3277" s="49"/>
      <c r="F3277" s="49"/>
      <c r="G3277" s="49"/>
      <c r="H3277" s="54" t="str">
        <f t="shared" si="1"/>
        <v>breathe,</v>
      </c>
      <c r="I3277" s="50"/>
      <c r="J3277" s="50"/>
      <c r="K3277" s="50" t="s">
        <v>5285</v>
      </c>
      <c r="L3277" s="49"/>
      <c r="M3277" s="49"/>
      <c r="N3277" s="50"/>
      <c r="O3277" s="49"/>
      <c r="P3277" s="49" t="str">
        <f t="shared" si="2"/>
        <v>,</v>
      </c>
      <c r="Q3277" s="49"/>
      <c r="R3277" s="49"/>
      <c r="S3277" s="55" t="s">
        <v>1681</v>
      </c>
      <c r="T3277" s="49"/>
      <c r="U3277" s="49"/>
      <c r="V3277" s="49"/>
      <c r="W3277" s="49"/>
      <c r="X3277" s="49" t="str">
        <f t="shared" si="3"/>
        <v>,</v>
      </c>
      <c r="Y3277" s="49"/>
      <c r="Z3277" s="49"/>
      <c r="AB3277" s="49"/>
      <c r="AC3277" s="49"/>
      <c r="AD3277" s="49"/>
      <c r="AE3277" s="49"/>
      <c r="AF3277" s="49"/>
      <c r="AG3277" s="49"/>
      <c r="AH3277" s="49"/>
      <c r="AI3277" s="1" t="s">
        <v>7027</v>
      </c>
      <c r="AJ3277" s="6"/>
      <c r="AK3277" s="49"/>
      <c r="AL3277" s="49"/>
      <c r="AM3277" s="49"/>
      <c r="AN3277" s="52" t="str">
        <f t="shared" si="5"/>
        <v>,</v>
      </c>
      <c r="AP3277" s="49"/>
      <c r="AQ3277" s="49"/>
      <c r="AR3277" s="49"/>
      <c r="AS3277" s="49"/>
      <c r="AT3277" s="49"/>
    </row>
    <row r="3278">
      <c r="A3278" s="51"/>
      <c r="B3278" s="50" t="s">
        <v>6651</v>
      </c>
      <c r="C3278" s="50" t="s">
        <v>2221</v>
      </c>
      <c r="D3278" s="49" t="str">
        <f>IFERROR(__xludf.DUMMYFUNCTION("""COMPUTED_VALUE"""),"reid")</f>
        <v>reid</v>
      </c>
      <c r="E3278" s="49"/>
      <c r="F3278" s="49"/>
      <c r="G3278" s="49"/>
      <c r="H3278" s="54" t="str">
        <f t="shared" si="1"/>
        <v>contained,</v>
      </c>
      <c r="I3278" s="50"/>
      <c r="J3278" s="50"/>
      <c r="K3278" s="50" t="s">
        <v>3028</v>
      </c>
      <c r="L3278" s="49"/>
      <c r="M3278" s="49"/>
      <c r="N3278" s="50"/>
      <c r="O3278" s="49"/>
      <c r="P3278" s="49" t="str">
        <f t="shared" si="2"/>
        <v>,</v>
      </c>
      <c r="Q3278" s="49"/>
      <c r="R3278" s="49"/>
      <c r="S3278" s="55" t="s">
        <v>6091</v>
      </c>
      <c r="T3278" s="49"/>
      <c r="U3278" s="49"/>
      <c r="V3278" s="49"/>
      <c r="W3278" s="49"/>
      <c r="X3278" s="49" t="str">
        <f t="shared" si="3"/>
        <v>,</v>
      </c>
      <c r="Y3278" s="49"/>
      <c r="Z3278" s="49"/>
      <c r="AB3278" s="49"/>
      <c r="AC3278" s="49"/>
      <c r="AD3278" s="49"/>
      <c r="AE3278" s="49"/>
      <c r="AF3278" s="49"/>
      <c r="AG3278" s="49"/>
      <c r="AH3278" s="49"/>
      <c r="AI3278" s="1" t="s">
        <v>7028</v>
      </c>
      <c r="AJ3278" s="6"/>
      <c r="AK3278" s="49"/>
      <c r="AL3278" s="49"/>
      <c r="AM3278" s="49"/>
      <c r="AN3278" s="52" t="str">
        <f t="shared" si="5"/>
        <v>,</v>
      </c>
      <c r="AP3278" s="49"/>
      <c r="AQ3278" s="49"/>
      <c r="AR3278" s="49"/>
      <c r="AS3278" s="49"/>
      <c r="AT3278" s="49"/>
    </row>
    <row r="3279">
      <c r="A3279" s="51"/>
      <c r="B3279" s="50" t="s">
        <v>2593</v>
      </c>
      <c r="C3279" s="50" t="s">
        <v>2869</v>
      </c>
      <c r="D3279" s="49" t="str">
        <f>IFERROR(__xludf.DUMMYFUNCTION("""COMPUTED_VALUE"""),"venice")</f>
        <v>venice</v>
      </c>
      <c r="E3279" s="49"/>
      <c r="F3279" s="49"/>
      <c r="G3279" s="49"/>
      <c r="H3279" s="54" t="str">
        <f t="shared" si="1"/>
        <v>celebrated,</v>
      </c>
      <c r="I3279" s="50"/>
      <c r="J3279" s="50"/>
      <c r="K3279" s="50" t="s">
        <v>1660</v>
      </c>
      <c r="L3279" s="49"/>
      <c r="M3279" s="49"/>
      <c r="N3279" s="50"/>
      <c r="O3279" s="49"/>
      <c r="P3279" s="49" t="str">
        <f t="shared" si="2"/>
        <v>,</v>
      </c>
      <c r="Q3279" s="49"/>
      <c r="R3279" s="49"/>
      <c r="S3279" s="55" t="s">
        <v>2933</v>
      </c>
      <c r="T3279" s="49"/>
      <c r="U3279" s="49"/>
      <c r="V3279" s="49"/>
      <c r="W3279" s="49"/>
      <c r="X3279" s="49" t="str">
        <f t="shared" si="3"/>
        <v>,</v>
      </c>
      <c r="Y3279" s="49"/>
      <c r="Z3279" s="49"/>
      <c r="AB3279" s="49"/>
      <c r="AC3279" s="49"/>
      <c r="AD3279" s="49"/>
      <c r="AE3279" s="49"/>
      <c r="AF3279" s="49"/>
      <c r="AG3279" s="49"/>
      <c r="AH3279" s="49"/>
      <c r="AI3279" s="1" t="s">
        <v>7029</v>
      </c>
      <c r="AJ3279" s="6"/>
      <c r="AK3279" s="49"/>
      <c r="AL3279" s="49"/>
      <c r="AM3279" s="49"/>
      <c r="AN3279" s="52" t="str">
        <f t="shared" si="5"/>
        <v>,</v>
      </c>
      <c r="AP3279" s="49"/>
      <c r="AQ3279" s="49"/>
      <c r="AR3279" s="49"/>
      <c r="AS3279" s="49"/>
      <c r="AT3279" s="49"/>
    </row>
    <row r="3280">
      <c r="A3280" s="51"/>
      <c r="B3280" s="50" t="s">
        <v>6938</v>
      </c>
      <c r="C3280" s="50" t="s">
        <v>2713</v>
      </c>
      <c r="D3280" s="49" t="str">
        <f>IFERROR(__xludf.DUMMYFUNCTION("""COMPUTED_VALUE"""),"pursued")</f>
        <v>pursued</v>
      </c>
      <c r="E3280" s="49"/>
      <c r="F3280" s="49"/>
      <c r="G3280" s="49"/>
      <c r="H3280" s="54" t="str">
        <f t="shared" si="1"/>
        <v>fault,</v>
      </c>
      <c r="I3280" s="50"/>
      <c r="J3280" s="50"/>
      <c r="K3280" s="50" t="s">
        <v>4809</v>
      </c>
      <c r="L3280" s="49"/>
      <c r="M3280" s="49"/>
      <c r="N3280" s="50"/>
      <c r="O3280" s="49"/>
      <c r="P3280" s="49" t="str">
        <f t="shared" si="2"/>
        <v>,</v>
      </c>
      <c r="Q3280" s="49"/>
      <c r="R3280" s="49"/>
      <c r="S3280" s="55" t="s">
        <v>5663</v>
      </c>
      <c r="T3280" s="49"/>
      <c r="U3280" s="49"/>
      <c r="V3280" s="49"/>
      <c r="W3280" s="49"/>
      <c r="X3280" s="49" t="str">
        <f t="shared" si="3"/>
        <v>,</v>
      </c>
      <c r="Y3280" s="49"/>
      <c r="Z3280" s="49"/>
      <c r="AB3280" s="49"/>
      <c r="AC3280" s="49"/>
      <c r="AD3280" s="49"/>
      <c r="AE3280" s="49"/>
      <c r="AF3280" s="49"/>
      <c r="AG3280" s="49"/>
      <c r="AH3280" s="49"/>
      <c r="AI3280" s="1" t="s">
        <v>7030</v>
      </c>
      <c r="AJ3280" s="6"/>
      <c r="AK3280" s="49"/>
      <c r="AL3280" s="49"/>
      <c r="AM3280" s="49"/>
      <c r="AN3280" s="52" t="str">
        <f t="shared" si="5"/>
        <v>,</v>
      </c>
      <c r="AP3280" s="49"/>
      <c r="AQ3280" s="49"/>
      <c r="AR3280" s="49"/>
      <c r="AS3280" s="49"/>
      <c r="AT3280" s="49"/>
    </row>
    <row r="3281">
      <c r="A3281" s="51"/>
      <c r="B3281" s="50" t="s">
        <v>2592</v>
      </c>
      <c r="C3281" s="50" t="s">
        <v>6007</v>
      </c>
      <c r="D3281" s="49" t="str">
        <f>IFERROR(__xludf.DUMMYFUNCTION("""COMPUTED_VALUE"""),"items")</f>
        <v>items</v>
      </c>
      <c r="E3281" s="49"/>
      <c r="F3281" s="49"/>
      <c r="G3281" s="49"/>
      <c r="H3281" s="54" t="str">
        <f t="shared" si="1"/>
        <v>justice,</v>
      </c>
      <c r="I3281" s="50"/>
      <c r="J3281" s="50"/>
      <c r="K3281" s="50" t="s">
        <v>1858</v>
      </c>
      <c r="L3281" s="49"/>
      <c r="M3281" s="49"/>
      <c r="N3281" s="50"/>
      <c r="O3281" s="49"/>
      <c r="P3281" s="49" t="str">
        <f t="shared" si="2"/>
        <v>,</v>
      </c>
      <c r="Q3281" s="49"/>
      <c r="R3281" s="49"/>
      <c r="S3281" s="55" t="s">
        <v>4711</v>
      </c>
      <c r="T3281" s="49"/>
      <c r="U3281" s="49"/>
      <c r="V3281" s="49"/>
      <c r="W3281" s="49"/>
      <c r="X3281" s="49" t="str">
        <f t="shared" si="3"/>
        <v>,</v>
      </c>
      <c r="Y3281" s="49"/>
      <c r="Z3281" s="49"/>
      <c r="AB3281" s="49"/>
      <c r="AC3281" s="49"/>
      <c r="AD3281" s="49"/>
      <c r="AE3281" s="49"/>
      <c r="AF3281" s="49"/>
      <c r="AG3281" s="49"/>
      <c r="AH3281" s="49"/>
      <c r="AI3281" s="1" t="s">
        <v>4489</v>
      </c>
      <c r="AJ3281" s="6"/>
      <c r="AK3281" s="49"/>
      <c r="AL3281" s="49"/>
      <c r="AM3281" s="49"/>
      <c r="AN3281" s="52" t="str">
        <f t="shared" si="5"/>
        <v>,</v>
      </c>
      <c r="AP3281" s="49"/>
      <c r="AQ3281" s="49"/>
      <c r="AR3281" s="49"/>
      <c r="AS3281" s="49"/>
      <c r="AT3281" s="49"/>
    </row>
    <row r="3282">
      <c r="A3282" s="51"/>
      <c r="B3282" s="50" t="s">
        <v>4002</v>
      </c>
      <c r="C3282" s="50" t="s">
        <v>6878</v>
      </c>
      <c r="D3282" s="49" t="str">
        <f>IFERROR(__xludf.DUMMYFUNCTION("""COMPUTED_VALUE"""),"anna")</f>
        <v>anna</v>
      </c>
      <c r="E3282" s="49"/>
      <c r="F3282" s="49"/>
      <c r="G3282" s="49"/>
      <c r="H3282" s="54" t="str">
        <f t="shared" si="1"/>
        <v>alice,</v>
      </c>
      <c r="I3282" s="50"/>
      <c r="J3282" s="50"/>
      <c r="K3282" s="50" t="s">
        <v>4811</v>
      </c>
      <c r="L3282" s="49"/>
      <c r="M3282" s="49"/>
      <c r="N3282" s="50"/>
      <c r="O3282" s="49"/>
      <c r="P3282" s="49" t="str">
        <f t="shared" si="2"/>
        <v>,</v>
      </c>
      <c r="Q3282" s="49"/>
      <c r="R3282" s="49"/>
      <c r="S3282" s="55" t="s">
        <v>2937</v>
      </c>
      <c r="T3282" s="49"/>
      <c r="U3282" s="49"/>
      <c r="V3282" s="49"/>
      <c r="W3282" s="49"/>
      <c r="X3282" s="49" t="str">
        <f t="shared" si="3"/>
        <v>,</v>
      </c>
      <c r="Y3282" s="49"/>
      <c r="Z3282" s="49"/>
      <c r="AB3282" s="49"/>
      <c r="AC3282" s="49"/>
      <c r="AD3282" s="49"/>
      <c r="AE3282" s="49"/>
      <c r="AF3282" s="49"/>
      <c r="AG3282" s="49"/>
      <c r="AH3282" s="49"/>
      <c r="AI3282" s="1" t="s">
        <v>3266</v>
      </c>
      <c r="AJ3282" s="6"/>
      <c r="AK3282" s="49"/>
      <c r="AL3282" s="49"/>
      <c r="AM3282" s="49"/>
      <c r="AN3282" s="52" t="str">
        <f t="shared" si="5"/>
        <v>,</v>
      </c>
      <c r="AP3282" s="49"/>
      <c r="AQ3282" s="49"/>
      <c r="AR3282" s="49"/>
      <c r="AS3282" s="49"/>
      <c r="AT3282" s="49"/>
    </row>
    <row r="3283">
      <c r="A3283" s="51"/>
      <c r="B3283" s="50" t="s">
        <v>4462</v>
      </c>
      <c r="C3283" s="50" t="s">
        <v>5289</v>
      </c>
      <c r="D3283" s="49" t="str">
        <f>IFERROR(__xludf.DUMMYFUNCTION("""COMPUTED_VALUE"""),"available")</f>
        <v>available</v>
      </c>
      <c r="E3283" s="49"/>
      <c r="F3283" s="49"/>
      <c r="G3283" s="49"/>
      <c r="H3283" s="54" t="str">
        <f t="shared" si="1"/>
        <v>background,</v>
      </c>
      <c r="I3283" s="50"/>
      <c r="J3283" s="50"/>
      <c r="K3283" s="50" t="s">
        <v>3036</v>
      </c>
      <c r="L3283" s="49"/>
      <c r="M3283" s="49"/>
      <c r="N3283" s="50"/>
      <c r="O3283" s="49"/>
      <c r="P3283" s="49" t="str">
        <f t="shared" si="2"/>
        <v>,</v>
      </c>
      <c r="Q3283" s="49"/>
      <c r="R3283" s="49"/>
      <c r="S3283" s="55" t="s">
        <v>4683</v>
      </c>
      <c r="T3283" s="49"/>
      <c r="U3283" s="49"/>
      <c r="V3283" s="49"/>
      <c r="W3283" s="49"/>
      <c r="X3283" s="49" t="str">
        <f t="shared" si="3"/>
        <v>,</v>
      </c>
      <c r="Y3283" s="49"/>
      <c r="Z3283" s="49"/>
      <c r="AB3283" s="49"/>
      <c r="AC3283" s="49"/>
      <c r="AD3283" s="49"/>
      <c r="AE3283" s="49"/>
      <c r="AF3283" s="49"/>
      <c r="AG3283" s="49"/>
      <c r="AH3283" s="49"/>
      <c r="AI3283" s="1" t="s">
        <v>7031</v>
      </c>
      <c r="AJ3283" s="6"/>
      <c r="AK3283" s="49"/>
      <c r="AL3283" s="49"/>
      <c r="AM3283" s="49"/>
      <c r="AN3283" s="52" t="str">
        <f t="shared" si="5"/>
        <v>,</v>
      </c>
      <c r="AP3283" s="49"/>
      <c r="AQ3283" s="49"/>
      <c r="AR3283" s="49"/>
      <c r="AS3283" s="49"/>
      <c r="AT3283" s="49"/>
    </row>
    <row r="3284">
      <c r="A3284" s="51"/>
      <c r="B3284" s="50" t="s">
        <v>4431</v>
      </c>
      <c r="C3284" s="50" t="s">
        <v>3726</v>
      </c>
      <c r="D3284" s="49" t="str">
        <f>IFERROR(__xludf.DUMMYFUNCTION("""COMPUTED_VALUE"""),"jealous")</f>
        <v>jealous</v>
      </c>
      <c r="E3284" s="49"/>
      <c r="F3284" s="49"/>
      <c r="G3284" s="49"/>
      <c r="H3284" s="54" t="str">
        <f t="shared" si="1"/>
        <v>runner,</v>
      </c>
      <c r="I3284" s="50"/>
      <c r="J3284" s="50"/>
      <c r="K3284" s="50" t="s">
        <v>3038</v>
      </c>
      <c r="L3284" s="49"/>
      <c r="M3284" s="49"/>
      <c r="N3284" s="50"/>
      <c r="O3284" s="49"/>
      <c r="P3284" s="49" t="str">
        <f t="shared" si="2"/>
        <v>,</v>
      </c>
      <c r="Q3284" s="49"/>
      <c r="R3284" s="49"/>
      <c r="S3284" s="55" t="s">
        <v>2938</v>
      </c>
      <c r="T3284" s="49"/>
      <c r="U3284" s="49"/>
      <c r="V3284" s="49"/>
      <c r="W3284" s="49"/>
      <c r="X3284" s="49" t="str">
        <f t="shared" si="3"/>
        <v>,</v>
      </c>
      <c r="Y3284" s="49"/>
      <c r="Z3284" s="49"/>
      <c r="AB3284" s="49"/>
      <c r="AC3284" s="49"/>
      <c r="AD3284" s="49"/>
      <c r="AE3284" s="49"/>
      <c r="AF3284" s="49"/>
      <c r="AG3284" s="49"/>
      <c r="AH3284" s="49"/>
      <c r="AI3284" s="1" t="s">
        <v>7032</v>
      </c>
      <c r="AJ3284" s="6"/>
      <c r="AK3284" s="49"/>
      <c r="AL3284" s="49"/>
      <c r="AM3284" s="49"/>
      <c r="AN3284" s="52" t="str">
        <f t="shared" si="5"/>
        <v>,</v>
      </c>
      <c r="AP3284" s="49"/>
      <c r="AQ3284" s="49"/>
      <c r="AR3284" s="49"/>
      <c r="AS3284" s="49"/>
      <c r="AT3284" s="49"/>
    </row>
    <row r="3285">
      <c r="A3285" s="51"/>
      <c r="B3285" s="50" t="s">
        <v>6654</v>
      </c>
      <c r="C3285" s="50" t="s">
        <v>3729</v>
      </c>
      <c r="D3285" s="49" t="str">
        <f>IFERROR(__xludf.DUMMYFUNCTION("""COMPUTED_VALUE"""),"mtv")</f>
        <v>mtv</v>
      </c>
      <c r="E3285" s="49"/>
      <c r="F3285" s="49"/>
      <c r="G3285" s="49"/>
      <c r="H3285" s="54" t="str">
        <f t="shared" si="1"/>
        <v>sport,</v>
      </c>
      <c r="I3285" s="50"/>
      <c r="J3285" s="50"/>
      <c r="K3285" s="50" t="s">
        <v>4815</v>
      </c>
      <c r="L3285" s="49"/>
      <c r="M3285" s="49"/>
      <c r="N3285" s="50"/>
      <c r="O3285" s="49"/>
      <c r="P3285" s="49" t="str">
        <f t="shared" si="2"/>
        <v>,</v>
      </c>
      <c r="Q3285" s="49"/>
      <c r="R3285" s="49"/>
      <c r="S3285" s="55" t="s">
        <v>2944</v>
      </c>
      <c r="T3285" s="49"/>
      <c r="U3285" s="49"/>
      <c r="V3285" s="49"/>
      <c r="W3285" s="49"/>
      <c r="X3285" s="49" t="str">
        <f t="shared" si="3"/>
        <v>,</v>
      </c>
      <c r="Y3285" s="49"/>
      <c r="Z3285" s="49"/>
      <c r="AB3285" s="49"/>
      <c r="AC3285" s="49"/>
      <c r="AD3285" s="49"/>
      <c r="AE3285" s="49"/>
      <c r="AF3285" s="49"/>
      <c r="AG3285" s="49"/>
      <c r="AH3285" s="49"/>
      <c r="AI3285" s="1" t="s">
        <v>2822</v>
      </c>
      <c r="AJ3285" s="6"/>
      <c r="AK3285" s="49"/>
      <c r="AL3285" s="49"/>
      <c r="AM3285" s="49"/>
      <c r="AN3285" s="52" t="str">
        <f t="shared" si="5"/>
        <v>,</v>
      </c>
      <c r="AP3285" s="49"/>
      <c r="AQ3285" s="49"/>
      <c r="AR3285" s="49"/>
      <c r="AS3285" s="49"/>
      <c r="AT3285" s="49"/>
    </row>
    <row r="3286">
      <c r="A3286" s="51"/>
      <c r="B3286" s="50" t="s">
        <v>236</v>
      </c>
      <c r="C3286" s="50" t="s">
        <v>6879</v>
      </c>
      <c r="D3286" s="49" t="str">
        <f>IFERROR(__xludf.DUMMYFUNCTION("""COMPUTED_VALUE"""),"principal")</f>
        <v>principal</v>
      </c>
      <c r="E3286" s="49"/>
      <c r="F3286" s="49"/>
      <c r="G3286" s="49"/>
      <c r="H3286" s="54" t="str">
        <f t="shared" si="1"/>
        <v>treatment,</v>
      </c>
      <c r="I3286" s="50"/>
      <c r="J3286" s="50"/>
      <c r="K3286" s="50" t="s">
        <v>4817</v>
      </c>
      <c r="L3286" s="49"/>
      <c r="M3286" s="49"/>
      <c r="N3286" s="50"/>
      <c r="O3286" s="49"/>
      <c r="P3286" s="49" t="str">
        <f t="shared" si="2"/>
        <v>,</v>
      </c>
      <c r="Q3286" s="49"/>
      <c r="R3286" s="49"/>
      <c r="S3286" s="55" t="s">
        <v>2948</v>
      </c>
      <c r="T3286" s="49"/>
      <c r="U3286" s="49"/>
      <c r="V3286" s="49"/>
      <c r="W3286" s="49"/>
      <c r="X3286" s="49" t="str">
        <f t="shared" si="3"/>
        <v>,</v>
      </c>
      <c r="Y3286" s="49"/>
      <c r="Z3286" s="49"/>
      <c r="AB3286" s="49"/>
      <c r="AC3286" s="49"/>
      <c r="AD3286" s="49"/>
      <c r="AE3286" s="49"/>
      <c r="AF3286" s="49"/>
      <c r="AG3286" s="49"/>
      <c r="AH3286" s="49"/>
      <c r="AI3286" s="1" t="s">
        <v>7033</v>
      </c>
      <c r="AJ3286" s="6"/>
      <c r="AK3286" s="49"/>
      <c r="AL3286" s="49"/>
      <c r="AM3286" s="49"/>
      <c r="AN3286" s="52" t="str">
        <f t="shared" si="5"/>
        <v>,</v>
      </c>
      <c r="AP3286" s="49"/>
      <c r="AQ3286" s="49"/>
      <c r="AR3286" s="49"/>
      <c r="AS3286" s="49"/>
      <c r="AT3286" s="49"/>
    </row>
    <row r="3287">
      <c r="A3287" s="51"/>
      <c r="B3287" s="50" t="s">
        <v>6644</v>
      </c>
      <c r="C3287" s="50" t="s">
        <v>6904</v>
      </c>
      <c r="D3287" s="49">
        <f>IFERROR(__xludf.DUMMYFUNCTION("""COMPUTED_VALUE"""),1960.0)</f>
        <v>1960</v>
      </c>
      <c r="E3287" s="49"/>
      <c r="F3287" s="49"/>
      <c r="G3287" s="49"/>
      <c r="H3287" s="54" t="str">
        <f t="shared" si="1"/>
        <v>pushing,</v>
      </c>
      <c r="I3287" s="50"/>
      <c r="J3287" s="50"/>
      <c r="K3287" s="50" t="s">
        <v>4819</v>
      </c>
      <c r="L3287" s="49"/>
      <c r="M3287" s="49"/>
      <c r="N3287" s="50"/>
      <c r="O3287" s="49"/>
      <c r="P3287" s="49" t="str">
        <f t="shared" si="2"/>
        <v>,</v>
      </c>
      <c r="Q3287" s="49"/>
      <c r="R3287" s="49"/>
      <c r="S3287" s="55" t="s">
        <v>6032</v>
      </c>
      <c r="T3287" s="49"/>
      <c r="U3287" s="49"/>
      <c r="V3287" s="49"/>
      <c r="W3287" s="49"/>
      <c r="X3287" s="49" t="str">
        <f t="shared" si="3"/>
        <v>,</v>
      </c>
      <c r="Y3287" s="49"/>
      <c r="Z3287" s="49"/>
      <c r="AB3287" s="49"/>
      <c r="AC3287" s="49"/>
      <c r="AD3287" s="49"/>
      <c r="AE3287" s="49"/>
      <c r="AF3287" s="49"/>
      <c r="AG3287" s="49"/>
      <c r="AH3287" s="49"/>
      <c r="AI3287" s="1" t="s">
        <v>7034</v>
      </c>
      <c r="AJ3287" s="6"/>
      <c r="AK3287" s="49"/>
      <c r="AL3287" s="49"/>
      <c r="AM3287" s="49"/>
      <c r="AN3287" s="52" t="str">
        <f t="shared" si="5"/>
        <v>,</v>
      </c>
      <c r="AP3287" s="49"/>
      <c r="AQ3287" s="49"/>
      <c r="AR3287" s="49"/>
      <c r="AS3287" s="49"/>
      <c r="AT3287" s="49"/>
    </row>
    <row r="3288">
      <c r="A3288" s="51"/>
      <c r="B3288" s="50" t="s">
        <v>6369</v>
      </c>
      <c r="C3288" s="50" t="s">
        <v>5224</v>
      </c>
      <c r="D3288" s="49" t="str">
        <f>IFERROR(__xludf.DUMMYFUNCTION("""COMPUTED_VALUE"""),"thomas")</f>
        <v>thomas</v>
      </c>
      <c r="E3288" s="49"/>
      <c r="F3288" s="49"/>
      <c r="G3288" s="49"/>
      <c r="H3288" s="54" t="str">
        <f t="shared" si="1"/>
        <v>chapter,</v>
      </c>
      <c r="I3288" s="50"/>
      <c r="J3288" s="50"/>
      <c r="K3288" s="50" t="s">
        <v>6059</v>
      </c>
      <c r="L3288" s="49"/>
      <c r="M3288" s="49"/>
      <c r="N3288" s="50"/>
      <c r="O3288" s="49"/>
      <c r="P3288" s="49" t="str">
        <f t="shared" si="2"/>
        <v>,</v>
      </c>
      <c r="Q3288" s="49"/>
      <c r="R3288" s="49"/>
      <c r="S3288" s="55" t="s">
        <v>1639</v>
      </c>
      <c r="T3288" s="49"/>
      <c r="U3288" s="49"/>
      <c r="V3288" s="49"/>
      <c r="W3288" s="49"/>
      <c r="X3288" s="49" t="str">
        <f t="shared" si="3"/>
        <v>,</v>
      </c>
      <c r="Y3288" s="49"/>
      <c r="Z3288" s="49"/>
      <c r="AB3288" s="49"/>
      <c r="AC3288" s="49"/>
      <c r="AD3288" s="49"/>
      <c r="AE3288" s="49"/>
      <c r="AF3288" s="49"/>
      <c r="AG3288" s="49"/>
      <c r="AH3288" s="49"/>
      <c r="AI3288" s="1" t="s">
        <v>3996</v>
      </c>
      <c r="AJ3288" s="6"/>
      <c r="AK3288" s="49"/>
      <c r="AL3288" s="49"/>
      <c r="AM3288" s="49"/>
      <c r="AN3288" s="52" t="str">
        <f t="shared" si="5"/>
        <v>,</v>
      </c>
      <c r="AP3288" s="49"/>
      <c r="AQ3288" s="49"/>
      <c r="AR3288" s="49"/>
      <c r="AS3288" s="49"/>
      <c r="AT3288" s="49"/>
    </row>
    <row r="3289">
      <c r="A3289" s="51"/>
      <c r="B3289" s="50" t="s">
        <v>3028</v>
      </c>
      <c r="C3289" s="50" t="s">
        <v>5451</v>
      </c>
      <c r="D3289" s="49" t="str">
        <f>IFERROR(__xludf.DUMMYFUNCTION("""COMPUTED_VALUE"""),"walls")</f>
        <v>walls</v>
      </c>
      <c r="E3289" s="49"/>
      <c r="F3289" s="49"/>
      <c r="G3289" s="49"/>
      <c r="H3289" s="54" t="str">
        <f t="shared" si="1"/>
        <v>reportedly,</v>
      </c>
      <c r="I3289" s="50"/>
      <c r="J3289" s="50"/>
      <c r="K3289" s="50" t="s">
        <v>4822</v>
      </c>
      <c r="L3289" s="49"/>
      <c r="M3289" s="49"/>
      <c r="N3289" s="50"/>
      <c r="O3289" s="49"/>
      <c r="P3289" s="49" t="str">
        <f t="shared" si="2"/>
        <v>,</v>
      </c>
      <c r="Q3289" s="49"/>
      <c r="R3289" s="49"/>
      <c r="S3289" s="55" t="s">
        <v>1645</v>
      </c>
      <c r="T3289" s="49"/>
      <c r="U3289" s="49"/>
      <c r="V3289" s="49"/>
      <c r="W3289" s="49"/>
      <c r="X3289" s="49" t="str">
        <f t="shared" si="3"/>
        <v>,</v>
      </c>
      <c r="Y3289" s="49"/>
      <c r="Z3289" s="49"/>
      <c r="AB3289" s="49"/>
      <c r="AC3289" s="49"/>
      <c r="AD3289" s="49"/>
      <c r="AE3289" s="49"/>
      <c r="AF3289" s="49"/>
      <c r="AG3289" s="49"/>
      <c r="AH3289" s="49"/>
      <c r="AI3289" s="1" t="s">
        <v>7035</v>
      </c>
      <c r="AJ3289" s="6"/>
      <c r="AK3289" s="49"/>
      <c r="AL3289" s="49"/>
      <c r="AM3289" s="49"/>
      <c r="AN3289" s="52" t="str">
        <f t="shared" si="5"/>
        <v>,</v>
      </c>
      <c r="AP3289" s="49"/>
      <c r="AQ3289" s="49"/>
      <c r="AR3289" s="49"/>
      <c r="AS3289" s="49"/>
      <c r="AT3289" s="49"/>
    </row>
    <row r="3290">
      <c r="A3290" s="51"/>
      <c r="B3290" s="50" t="s">
        <v>2228</v>
      </c>
      <c r="C3290" s="50">
        <v>25.0</v>
      </c>
      <c r="D3290" s="49" t="str">
        <f>IFERROR(__xludf.DUMMYFUNCTION("""COMPUTED_VALUE"""),"ethan")</f>
        <v>ethan</v>
      </c>
      <c r="E3290" s="49"/>
      <c r="F3290" s="49"/>
      <c r="G3290" s="49"/>
      <c r="H3290" s="54" t="str">
        <f t="shared" si="1"/>
        <v>represented,</v>
      </c>
      <c r="I3290" s="50"/>
      <c r="J3290" s="50"/>
      <c r="K3290" s="50" t="s">
        <v>1667</v>
      </c>
      <c r="L3290" s="49"/>
      <c r="M3290" s="49"/>
      <c r="N3290" s="50"/>
      <c r="O3290" s="49"/>
      <c r="P3290" s="49" t="str">
        <f t="shared" si="2"/>
        <v>,</v>
      </c>
      <c r="Q3290" s="49"/>
      <c r="R3290" s="49"/>
      <c r="S3290" s="55" t="s">
        <v>7036</v>
      </c>
      <c r="T3290" s="49"/>
      <c r="U3290" s="49"/>
      <c r="V3290" s="49"/>
      <c r="W3290" s="49"/>
      <c r="X3290" s="49" t="str">
        <f t="shared" si="3"/>
        <v>,</v>
      </c>
      <c r="Y3290" s="49"/>
      <c r="Z3290" s="49"/>
      <c r="AB3290" s="49"/>
      <c r="AC3290" s="49"/>
      <c r="AD3290" s="49"/>
      <c r="AE3290" s="49"/>
      <c r="AF3290" s="49"/>
      <c r="AG3290" s="49"/>
      <c r="AH3290" s="49"/>
      <c r="AI3290" s="1" t="s">
        <v>5704</v>
      </c>
      <c r="AJ3290" s="6"/>
      <c r="AK3290" s="49"/>
      <c r="AL3290" s="49"/>
      <c r="AM3290" s="49"/>
      <c r="AN3290" s="52" t="str">
        <f t="shared" si="5"/>
        <v>,</v>
      </c>
      <c r="AP3290" s="49"/>
      <c r="AQ3290" s="49"/>
      <c r="AR3290" s="49"/>
      <c r="AS3290" s="49"/>
      <c r="AT3290" s="49"/>
    </row>
    <row r="3291">
      <c r="A3291" s="51"/>
      <c r="B3291" s="50" t="s">
        <v>5778</v>
      </c>
      <c r="C3291" s="50" t="s">
        <v>1404</v>
      </c>
      <c r="D3291" s="49" t="str">
        <f>IFERROR(__xludf.DUMMYFUNCTION("""COMPUTED_VALUE"""),"dylan")</f>
        <v>dylan</v>
      </c>
      <c r="E3291" s="49"/>
      <c r="F3291" s="49"/>
      <c r="G3291" s="49"/>
      <c r="H3291" s="54" t="str">
        <f t="shared" si="1"/>
        <v>interests,</v>
      </c>
      <c r="I3291" s="50"/>
      <c r="J3291" s="50"/>
      <c r="K3291" s="50" t="s">
        <v>3042</v>
      </c>
      <c r="L3291" s="49"/>
      <c r="M3291" s="49"/>
      <c r="N3291" s="50"/>
      <c r="O3291" s="49"/>
      <c r="P3291" s="49" t="str">
        <f t="shared" si="2"/>
        <v>,</v>
      </c>
      <c r="Q3291" s="49"/>
      <c r="R3291" s="49"/>
      <c r="S3291" s="55" t="s">
        <v>5669</v>
      </c>
      <c r="T3291" s="49"/>
      <c r="U3291" s="49"/>
      <c r="V3291" s="49"/>
      <c r="W3291" s="49"/>
      <c r="X3291" s="49" t="str">
        <f t="shared" si="3"/>
        <v>,</v>
      </c>
      <c r="Y3291" s="49"/>
      <c r="Z3291" s="49"/>
      <c r="AB3291" s="49"/>
      <c r="AC3291" s="49"/>
      <c r="AD3291" s="49"/>
      <c r="AE3291" s="49"/>
      <c r="AF3291" s="49"/>
      <c r="AG3291" s="49"/>
      <c r="AH3291" s="49"/>
      <c r="AI3291" s="1" t="s">
        <v>3383</v>
      </c>
      <c r="AJ3291" s="6"/>
      <c r="AK3291" s="49"/>
      <c r="AL3291" s="49"/>
      <c r="AM3291" s="49"/>
      <c r="AN3291" s="52" t="str">
        <f t="shared" si="5"/>
        <v>,</v>
      </c>
      <c r="AP3291" s="49"/>
      <c r="AQ3291" s="49"/>
      <c r="AR3291" s="49"/>
      <c r="AS3291" s="49"/>
      <c r="AT3291" s="49"/>
    </row>
    <row r="3292">
      <c r="A3292" s="51"/>
      <c r="B3292" s="50" t="s">
        <v>3396</v>
      </c>
      <c r="C3292" s="50" t="s">
        <v>5929</v>
      </c>
      <c r="D3292" s="49" t="str">
        <f>IFERROR(__xludf.DUMMYFUNCTION("""COMPUTED_VALUE"""),"acquire")</f>
        <v>acquire</v>
      </c>
      <c r="E3292" s="49"/>
      <c r="F3292" s="49"/>
      <c r="G3292" s="49"/>
      <c r="H3292" s="54" t="str">
        <f t="shared" si="1"/>
        <v>strictly,</v>
      </c>
      <c r="I3292" s="50"/>
      <c r="J3292" s="50"/>
      <c r="K3292" s="50" t="s">
        <v>4826</v>
      </c>
      <c r="L3292" s="49"/>
      <c r="M3292" s="49"/>
      <c r="N3292" s="50"/>
      <c r="O3292" s="49"/>
      <c r="P3292" s="49" t="str">
        <f t="shared" si="2"/>
        <v>,</v>
      </c>
      <c r="Q3292" s="49"/>
      <c r="R3292" s="49"/>
      <c r="S3292" s="55" t="s">
        <v>4728</v>
      </c>
      <c r="T3292" s="49"/>
      <c r="U3292" s="49"/>
      <c r="V3292" s="49"/>
      <c r="W3292" s="49"/>
      <c r="X3292" s="49" t="str">
        <f t="shared" si="3"/>
        <v>,</v>
      </c>
      <c r="Y3292" s="49"/>
      <c r="Z3292" s="49"/>
      <c r="AB3292" s="49"/>
      <c r="AC3292" s="49"/>
      <c r="AD3292" s="49"/>
      <c r="AE3292" s="49"/>
      <c r="AF3292" s="49"/>
      <c r="AG3292" s="49"/>
      <c r="AH3292" s="49"/>
      <c r="AI3292" s="1" t="s">
        <v>7037</v>
      </c>
      <c r="AJ3292" s="6"/>
      <c r="AK3292" s="49"/>
      <c r="AL3292" s="49"/>
      <c r="AM3292" s="49"/>
      <c r="AN3292" s="52" t="str">
        <f t="shared" si="5"/>
        <v>,</v>
      </c>
      <c r="AP3292" s="49"/>
      <c r="AQ3292" s="49"/>
      <c r="AR3292" s="49"/>
      <c r="AS3292" s="49"/>
      <c r="AT3292" s="49"/>
    </row>
    <row r="3293">
      <c r="A3293" s="51"/>
      <c r="B3293" s="50" t="s">
        <v>5918</v>
      </c>
      <c r="C3293" s="50" t="s">
        <v>1735</v>
      </c>
      <c r="D3293" s="49" t="str">
        <f>IFERROR(__xludf.DUMMYFUNCTION("""COMPUTED_VALUE"""),"welsh")</f>
        <v>welsh</v>
      </c>
      <c r="E3293" s="49"/>
      <c r="F3293" s="49"/>
      <c r="G3293" s="49"/>
      <c r="H3293" s="54" t="str">
        <f t="shared" si="1"/>
        <v>kingdom,</v>
      </c>
      <c r="I3293" s="50"/>
      <c r="J3293" s="50"/>
      <c r="K3293" s="50" t="s">
        <v>1670</v>
      </c>
      <c r="L3293" s="49"/>
      <c r="M3293" s="49"/>
      <c r="N3293" s="50"/>
      <c r="O3293" s="49"/>
      <c r="P3293" s="49" t="str">
        <f t="shared" si="2"/>
        <v>,</v>
      </c>
      <c r="Q3293" s="49"/>
      <c r="R3293" s="49"/>
      <c r="S3293" s="55" t="s">
        <v>757</v>
      </c>
      <c r="T3293" s="49"/>
      <c r="U3293" s="49"/>
      <c r="V3293" s="49"/>
      <c r="W3293" s="49"/>
      <c r="X3293" s="49" t="str">
        <f t="shared" si="3"/>
        <v>,</v>
      </c>
      <c r="Y3293" s="49"/>
      <c r="Z3293" s="49"/>
      <c r="AB3293" s="49"/>
      <c r="AC3293" s="49"/>
      <c r="AD3293" s="49"/>
      <c r="AE3293" s="49"/>
      <c r="AF3293" s="49"/>
      <c r="AG3293" s="49"/>
      <c r="AH3293" s="49"/>
      <c r="AI3293" s="1" t="s">
        <v>5850</v>
      </c>
      <c r="AJ3293" s="6"/>
      <c r="AK3293" s="49"/>
      <c r="AL3293" s="49"/>
      <c r="AM3293" s="49"/>
      <c r="AN3293" s="52" t="str">
        <f t="shared" si="5"/>
        <v>,</v>
      </c>
      <c r="AP3293" s="49"/>
      <c r="AQ3293" s="49"/>
      <c r="AR3293" s="49"/>
      <c r="AS3293" s="49"/>
      <c r="AT3293" s="49"/>
    </row>
    <row r="3294">
      <c r="A3294" s="51"/>
      <c r="B3294" s="50" t="s">
        <v>1502</v>
      </c>
      <c r="C3294" s="50" t="s">
        <v>5930</v>
      </c>
      <c r="D3294" s="49" t="str">
        <f>IFERROR(__xludf.DUMMYFUNCTION("""COMPUTED_VALUE"""),"curious")</f>
        <v>curious</v>
      </c>
      <c r="E3294" s="49"/>
      <c r="F3294" s="49"/>
      <c r="G3294" s="49"/>
      <c r="H3294" s="54" t="str">
        <f t="shared" si="1"/>
        <v>poet,</v>
      </c>
      <c r="I3294" s="50"/>
      <c r="J3294" s="50"/>
      <c r="K3294" s="50" t="s">
        <v>3044</v>
      </c>
      <c r="L3294" s="49"/>
      <c r="M3294" s="49"/>
      <c r="N3294" s="50"/>
      <c r="O3294" s="49"/>
      <c r="P3294" s="49" t="str">
        <f t="shared" si="2"/>
        <v>,</v>
      </c>
      <c r="Q3294" s="49"/>
      <c r="R3294" s="49"/>
      <c r="S3294" s="55" t="s">
        <v>5654</v>
      </c>
      <c r="T3294" s="49"/>
      <c r="U3294" s="49"/>
      <c r="V3294" s="49"/>
      <c r="W3294" s="49"/>
      <c r="X3294" s="49" t="str">
        <f t="shared" si="3"/>
        <v>,</v>
      </c>
      <c r="Y3294" s="49"/>
      <c r="Z3294" s="49"/>
      <c r="AB3294" s="49"/>
      <c r="AC3294" s="49"/>
      <c r="AD3294" s="49"/>
      <c r="AE3294" s="49"/>
      <c r="AF3294" s="49"/>
      <c r="AG3294" s="49"/>
      <c r="AH3294" s="49"/>
      <c r="AI3294" s="1" t="s">
        <v>7038</v>
      </c>
      <c r="AJ3294" s="6"/>
      <c r="AK3294" s="49"/>
      <c r="AL3294" s="49"/>
      <c r="AM3294" s="49"/>
      <c r="AN3294" s="52" t="str">
        <f t="shared" si="5"/>
        <v>,</v>
      </c>
      <c r="AP3294" s="49"/>
      <c r="AQ3294" s="49"/>
      <c r="AR3294" s="49"/>
      <c r="AS3294" s="49"/>
      <c r="AT3294" s="49"/>
    </row>
    <row r="3295">
      <c r="A3295" s="51"/>
      <c r="B3295" s="50" t="s">
        <v>5854</v>
      </c>
      <c r="C3295" s="50" t="s">
        <v>6881</v>
      </c>
      <c r="D3295" s="49" t="str">
        <f>IFERROR(__xludf.DUMMYFUNCTION("""COMPUTED_VALUE"""),"rape")</f>
        <v>rape</v>
      </c>
      <c r="E3295" s="49"/>
      <c r="F3295" s="49"/>
      <c r="G3295" s="49"/>
      <c r="H3295" s="54" t="str">
        <f t="shared" si="1"/>
        <v>thirteen,</v>
      </c>
      <c r="I3295" s="50"/>
      <c r="J3295" s="50"/>
      <c r="K3295" s="50" t="s">
        <v>4969</v>
      </c>
      <c r="L3295" s="49"/>
      <c r="M3295" s="49"/>
      <c r="N3295" s="50"/>
      <c r="O3295" s="49"/>
      <c r="P3295" s="49" t="str">
        <f t="shared" si="2"/>
        <v>,</v>
      </c>
      <c r="Q3295" s="49"/>
      <c r="R3295" s="49"/>
      <c r="S3295" s="55" t="s">
        <v>2961</v>
      </c>
      <c r="T3295" s="49"/>
      <c r="U3295" s="49"/>
      <c r="V3295" s="49"/>
      <c r="W3295" s="49"/>
      <c r="X3295" s="49" t="str">
        <f t="shared" si="3"/>
        <v>,</v>
      </c>
      <c r="Y3295" s="49"/>
      <c r="Z3295" s="49"/>
      <c r="AB3295" s="49"/>
      <c r="AC3295" s="49"/>
      <c r="AD3295" s="49"/>
      <c r="AE3295" s="49"/>
      <c r="AF3295" s="49"/>
      <c r="AG3295" s="49"/>
      <c r="AH3295" s="49"/>
      <c r="AI3295" s="1" t="s">
        <v>5807</v>
      </c>
      <c r="AJ3295" s="6"/>
      <c r="AK3295" s="49"/>
      <c r="AL3295" s="49"/>
      <c r="AM3295" s="49"/>
      <c r="AN3295" s="52" t="str">
        <f t="shared" si="5"/>
        <v>,</v>
      </c>
      <c r="AP3295" s="49"/>
      <c r="AQ3295" s="49"/>
      <c r="AR3295" s="49"/>
      <c r="AS3295" s="49"/>
      <c r="AT3295" s="49"/>
    </row>
    <row r="3296">
      <c r="A3296" s="51"/>
      <c r="B3296" s="50" t="s">
        <v>6187</v>
      </c>
      <c r="C3296" s="50" t="s">
        <v>5931</v>
      </c>
      <c r="D3296" s="49" t="str">
        <f>IFERROR(__xludf.DUMMYFUNCTION("""COMPUTED_VALUE"""),"stuart")</f>
        <v>stuart</v>
      </c>
      <c r="E3296" s="49"/>
      <c r="F3296" s="49"/>
      <c r="G3296" s="49"/>
      <c r="H3296" s="54" t="str">
        <f t="shared" si="1"/>
        <v>rough,</v>
      </c>
      <c r="I3296" s="50"/>
      <c r="J3296" s="50"/>
      <c r="K3296" s="50" t="s">
        <v>6061</v>
      </c>
      <c r="L3296" s="49"/>
      <c r="M3296" s="49"/>
      <c r="N3296" s="50"/>
      <c r="O3296" s="49"/>
      <c r="P3296" s="49" t="str">
        <f t="shared" si="2"/>
        <v>,</v>
      </c>
      <c r="Q3296" s="49"/>
      <c r="R3296" s="49"/>
      <c r="S3296" s="55" t="s">
        <v>6034</v>
      </c>
      <c r="T3296" s="49"/>
      <c r="U3296" s="49"/>
      <c r="V3296" s="49"/>
      <c r="W3296" s="49"/>
      <c r="X3296" s="49" t="str">
        <f t="shared" si="3"/>
        <v>,</v>
      </c>
      <c r="Y3296" s="49"/>
      <c r="Z3296" s="49"/>
      <c r="AB3296" s="49"/>
      <c r="AC3296" s="49"/>
      <c r="AD3296" s="49"/>
      <c r="AE3296" s="49"/>
      <c r="AF3296" s="49"/>
      <c r="AG3296" s="49"/>
      <c r="AH3296" s="49"/>
      <c r="AI3296" s="1" t="s">
        <v>7039</v>
      </c>
      <c r="AJ3296" s="6"/>
      <c r="AK3296" s="49"/>
      <c r="AL3296" s="49"/>
      <c r="AM3296" s="49"/>
      <c r="AN3296" s="52" t="str">
        <f t="shared" si="5"/>
        <v>,</v>
      </c>
      <c r="AP3296" s="49"/>
      <c r="AQ3296" s="49"/>
      <c r="AR3296" s="49"/>
      <c r="AS3296" s="49"/>
      <c r="AT3296" s="49"/>
    </row>
    <row r="3297">
      <c r="A3297" s="51"/>
      <c r="B3297" s="50" t="s">
        <v>7045</v>
      </c>
      <c r="C3297" s="50" t="s">
        <v>4487</v>
      </c>
      <c r="D3297" s="49" t="str">
        <f>IFERROR(__xludf.DUMMYFUNCTION("""COMPUTED_VALUE"""),"believing")</f>
        <v>believing</v>
      </c>
      <c r="E3297" s="49"/>
      <c r="F3297" s="49"/>
      <c r="G3297" s="49"/>
      <c r="H3297" s="54" t="str">
        <f t="shared" si="1"/>
        <v>bath,</v>
      </c>
      <c r="I3297" s="50"/>
      <c r="J3297" s="50"/>
      <c r="K3297" s="50" t="s">
        <v>1673</v>
      </c>
      <c r="L3297" s="49"/>
      <c r="M3297" s="49"/>
      <c r="N3297" s="50"/>
      <c r="O3297" s="49"/>
      <c r="P3297" s="49" t="str">
        <f t="shared" si="2"/>
        <v>,</v>
      </c>
      <c r="Q3297" s="49"/>
      <c r="R3297" s="49"/>
      <c r="S3297" s="55" t="s">
        <v>2965</v>
      </c>
      <c r="T3297" s="49"/>
      <c r="U3297" s="49"/>
      <c r="V3297" s="49"/>
      <c r="W3297" s="49"/>
      <c r="X3297" s="49" t="str">
        <f t="shared" si="3"/>
        <v>,</v>
      </c>
      <c r="Y3297" s="49"/>
      <c r="Z3297" s="49"/>
      <c r="AB3297" s="49"/>
      <c r="AC3297" s="49"/>
      <c r="AD3297" s="49"/>
      <c r="AE3297" s="49"/>
      <c r="AF3297" s="49"/>
      <c r="AG3297" s="49"/>
      <c r="AH3297" s="49"/>
      <c r="AI3297" s="1" t="s">
        <v>4002</v>
      </c>
      <c r="AJ3297" s="6"/>
      <c r="AK3297" s="49"/>
      <c r="AL3297" s="49"/>
      <c r="AM3297" s="49"/>
      <c r="AN3297" s="52" t="str">
        <f t="shared" si="5"/>
        <v>,</v>
      </c>
      <c r="AP3297" s="49"/>
      <c r="AQ3297" s="49"/>
      <c r="AR3297" s="49"/>
      <c r="AS3297" s="49"/>
      <c r="AT3297" s="49"/>
    </row>
    <row r="3298">
      <c r="A3298" s="51"/>
      <c r="B3298" s="50" t="s">
        <v>6395</v>
      </c>
      <c r="C3298" s="50" t="s">
        <v>5932</v>
      </c>
      <c r="D3298" s="49" t="str">
        <f>IFERROR(__xludf.DUMMYFUNCTION("""COMPUTED_VALUE"""),"lo")</f>
        <v>lo</v>
      </c>
      <c r="E3298" s="49"/>
      <c r="F3298" s="49"/>
      <c r="G3298" s="49"/>
      <c r="H3298" s="54" t="str">
        <f t="shared" si="1"/>
        <v>passing,</v>
      </c>
      <c r="I3298" s="50"/>
      <c r="J3298" s="50"/>
      <c r="K3298" s="50" t="s">
        <v>3046</v>
      </c>
      <c r="L3298" s="49"/>
      <c r="M3298" s="49"/>
      <c r="N3298" s="50"/>
      <c r="O3298" s="49"/>
      <c r="P3298" s="49" t="str">
        <f t="shared" si="2"/>
        <v>,</v>
      </c>
      <c r="Q3298" s="49"/>
      <c r="R3298" s="49"/>
      <c r="S3298" s="55" t="s">
        <v>4732</v>
      </c>
      <c r="T3298" s="49"/>
      <c r="U3298" s="49"/>
      <c r="V3298" s="49"/>
      <c r="W3298" s="49"/>
      <c r="X3298" s="49" t="str">
        <f t="shared" si="3"/>
        <v>,</v>
      </c>
      <c r="Y3298" s="49"/>
      <c r="Z3298" s="49"/>
      <c r="AB3298" s="49"/>
      <c r="AC3298" s="49"/>
      <c r="AD3298" s="49"/>
      <c r="AE3298" s="49"/>
      <c r="AF3298" s="49"/>
      <c r="AG3298" s="49"/>
      <c r="AH3298" s="49"/>
      <c r="AI3298" s="1" t="s">
        <v>3303</v>
      </c>
      <c r="AJ3298" s="6"/>
      <c r="AK3298" s="49"/>
      <c r="AL3298" s="49"/>
      <c r="AM3298" s="49"/>
      <c r="AN3298" s="52" t="str">
        <f t="shared" si="5"/>
        <v>,</v>
      </c>
      <c r="AP3298" s="49"/>
      <c r="AQ3298" s="49"/>
      <c r="AR3298" s="49"/>
      <c r="AS3298" s="49"/>
      <c r="AT3298" s="49"/>
    </row>
    <row r="3299">
      <c r="A3299" s="51"/>
      <c r="B3299" s="50" t="s">
        <v>293</v>
      </c>
      <c r="C3299" s="50" t="s">
        <v>4924</v>
      </c>
      <c r="D3299" s="49" t="str">
        <f>IFERROR(__xludf.DUMMYFUNCTION("""COMPUTED_VALUE"""),"butt")</f>
        <v>butt</v>
      </c>
      <c r="E3299" s="49"/>
      <c r="F3299" s="49"/>
      <c r="G3299" s="49"/>
      <c r="H3299" s="54" t="str">
        <f t="shared" si="1"/>
        <v>considerable,</v>
      </c>
      <c r="I3299" s="50"/>
      <c r="J3299" s="50"/>
      <c r="K3299" s="50" t="s">
        <v>4831</v>
      </c>
      <c r="L3299" s="49"/>
      <c r="M3299" s="49"/>
      <c r="N3299" s="50"/>
      <c r="O3299" s="49"/>
      <c r="P3299" s="49" t="str">
        <f t="shared" si="2"/>
        <v>,</v>
      </c>
      <c r="Q3299" s="49"/>
      <c r="R3299" s="49"/>
      <c r="S3299" s="55" t="s">
        <v>5320</v>
      </c>
      <c r="T3299" s="49"/>
      <c r="U3299" s="49"/>
      <c r="V3299" s="49"/>
      <c r="W3299" s="49"/>
      <c r="X3299" s="49" t="str">
        <f t="shared" si="3"/>
        <v>,</v>
      </c>
      <c r="Y3299" s="49"/>
      <c r="Z3299" s="49"/>
      <c r="AB3299" s="49"/>
      <c r="AC3299" s="49"/>
      <c r="AD3299" s="49"/>
      <c r="AE3299" s="49"/>
      <c r="AF3299" s="49"/>
      <c r="AG3299" s="49"/>
      <c r="AH3299" s="49"/>
      <c r="AI3299" s="1" t="s">
        <v>7040</v>
      </c>
      <c r="AJ3299" s="6"/>
      <c r="AK3299" s="49"/>
      <c r="AL3299" s="49"/>
      <c r="AM3299" s="49"/>
      <c r="AN3299" s="52" t="str">
        <f t="shared" si="5"/>
        <v>,</v>
      </c>
      <c r="AP3299" s="49"/>
      <c r="AQ3299" s="49"/>
      <c r="AR3299" s="49"/>
      <c r="AS3299" s="49"/>
      <c r="AT3299" s="49"/>
    </row>
    <row r="3300">
      <c r="A3300" s="51"/>
      <c r="B3300" s="50" t="s">
        <v>3328</v>
      </c>
      <c r="C3300" s="50" t="s">
        <v>5455</v>
      </c>
      <c r="D3300" s="49" t="str">
        <f>IFERROR(__xludf.DUMMYFUNCTION("""COMPUTED_VALUE"""),"philip")</f>
        <v>philip</v>
      </c>
      <c r="E3300" s="49"/>
      <c r="F3300" s="49"/>
      <c r="G3300" s="49"/>
      <c r="H3300" s="54" t="str">
        <f t="shared" si="1"/>
        <v>delivery,</v>
      </c>
      <c r="I3300" s="50"/>
      <c r="J3300" s="50"/>
      <c r="K3300" s="50" t="s">
        <v>5105</v>
      </c>
      <c r="L3300" s="49"/>
      <c r="M3300" s="49"/>
      <c r="N3300" s="50"/>
      <c r="O3300" s="49"/>
      <c r="P3300" s="49" t="str">
        <f t="shared" si="2"/>
        <v>,</v>
      </c>
      <c r="Q3300" s="49"/>
      <c r="R3300" s="49"/>
      <c r="S3300" s="55" t="s">
        <v>441</v>
      </c>
      <c r="T3300" s="49"/>
      <c r="U3300" s="49"/>
      <c r="V3300" s="49"/>
      <c r="W3300" s="49"/>
      <c r="X3300" s="49" t="str">
        <f t="shared" si="3"/>
        <v>,</v>
      </c>
      <c r="Y3300" s="49"/>
      <c r="Z3300" s="49"/>
      <c r="AB3300" s="49"/>
      <c r="AC3300" s="49"/>
      <c r="AD3300" s="49"/>
      <c r="AE3300" s="49"/>
      <c r="AF3300" s="49"/>
      <c r="AG3300" s="49"/>
      <c r="AH3300" s="49"/>
      <c r="AI3300" s="1">
        <v>1962.0</v>
      </c>
      <c r="AJ3300" s="6"/>
      <c r="AK3300" s="49"/>
      <c r="AL3300" s="49"/>
      <c r="AM3300" s="49"/>
      <c r="AN3300" s="52" t="str">
        <f t="shared" si="5"/>
        <v>,</v>
      </c>
      <c r="AP3300" s="49"/>
      <c r="AQ3300" s="49"/>
      <c r="AR3300" s="49"/>
      <c r="AS3300" s="49"/>
      <c r="AT3300" s="49"/>
    </row>
    <row r="3301">
      <c r="A3301" s="51"/>
      <c r="B3301" s="50" t="s">
        <v>6406</v>
      </c>
      <c r="C3301" s="50" t="s">
        <v>5104</v>
      </c>
      <c r="D3301" s="49" t="str">
        <f>IFERROR(__xludf.DUMMYFUNCTION("""COMPUTED_VALUE"""),"battles")</f>
        <v>battles</v>
      </c>
      <c r="E3301" s="49"/>
      <c r="F3301" s="49"/>
      <c r="G3301" s="49"/>
      <c r="H3301" s="54" t="str">
        <f t="shared" si="1"/>
        <v>witnessed,</v>
      </c>
      <c r="I3301" s="50"/>
      <c r="J3301" s="50"/>
      <c r="K3301" s="50" t="s">
        <v>4832</v>
      </c>
      <c r="L3301" s="49"/>
      <c r="M3301" s="49"/>
      <c r="N3301" s="50"/>
      <c r="O3301" s="49"/>
      <c r="P3301" s="49" t="str">
        <f t="shared" si="2"/>
        <v>,</v>
      </c>
      <c r="Q3301" s="49"/>
      <c r="R3301" s="49"/>
      <c r="S3301" s="55" t="s">
        <v>7041</v>
      </c>
      <c r="T3301" s="49"/>
      <c r="U3301" s="49"/>
      <c r="V3301" s="49"/>
      <c r="W3301" s="49"/>
      <c r="X3301" s="49" t="str">
        <f t="shared" si="3"/>
        <v>,</v>
      </c>
      <c r="Y3301" s="49"/>
      <c r="Z3301" s="49"/>
      <c r="AB3301" s="49"/>
      <c r="AC3301" s="49"/>
      <c r="AD3301" s="49"/>
      <c r="AE3301" s="49"/>
      <c r="AF3301" s="49"/>
      <c r="AG3301" s="49"/>
      <c r="AH3301" s="49"/>
      <c r="AI3301" s="1" t="s">
        <v>5854</v>
      </c>
      <c r="AJ3301" s="6"/>
      <c r="AK3301" s="49"/>
      <c r="AL3301" s="49"/>
      <c r="AM3301" s="49"/>
      <c r="AN3301" s="52" t="str">
        <f t="shared" si="5"/>
        <v>,</v>
      </c>
      <c r="AP3301" s="49"/>
      <c r="AQ3301" s="49"/>
      <c r="AR3301" s="49"/>
      <c r="AS3301" s="49"/>
      <c r="AT3301" s="49"/>
    </row>
    <row r="3302">
      <c r="A3302" s="51"/>
      <c r="B3302" s="50" t="s">
        <v>6919</v>
      </c>
      <c r="C3302" s="50" t="s">
        <v>6882</v>
      </c>
      <c r="D3302" s="49" t="str">
        <f>IFERROR(__xludf.DUMMYFUNCTION("""COMPUTED_VALUE"""),"windows")</f>
        <v>windows</v>
      </c>
      <c r="E3302" s="49"/>
      <c r="F3302" s="49"/>
      <c r="G3302" s="49"/>
      <c r="H3302" s="54" t="str">
        <f t="shared" si="1"/>
        <v>treated,</v>
      </c>
      <c r="I3302" s="50"/>
      <c r="J3302" s="50"/>
      <c r="K3302" s="50" t="s">
        <v>1778</v>
      </c>
      <c r="L3302" s="49"/>
      <c r="M3302" s="49"/>
      <c r="N3302" s="50"/>
      <c r="O3302" s="49"/>
      <c r="P3302" s="49" t="str">
        <f t="shared" si="2"/>
        <v>,</v>
      </c>
      <c r="Q3302" s="49"/>
      <c r="R3302" s="49"/>
      <c r="S3302" s="55" t="s">
        <v>5673</v>
      </c>
      <c r="T3302" s="49"/>
      <c r="U3302" s="49"/>
      <c r="V3302" s="49"/>
      <c r="W3302" s="49"/>
      <c r="X3302" s="49" t="str">
        <f t="shared" si="3"/>
        <v>,</v>
      </c>
      <c r="Y3302" s="49"/>
      <c r="Z3302" s="49"/>
      <c r="AB3302" s="49"/>
      <c r="AC3302" s="49"/>
      <c r="AD3302" s="49"/>
      <c r="AE3302" s="49"/>
      <c r="AF3302" s="49"/>
      <c r="AG3302" s="49"/>
      <c r="AH3302" s="49"/>
      <c r="AI3302" s="1" t="s">
        <v>7042</v>
      </c>
      <c r="AJ3302" s="6"/>
      <c r="AK3302" s="49"/>
      <c r="AL3302" s="49"/>
      <c r="AM3302" s="49"/>
      <c r="AN3302" s="52" t="str">
        <f t="shared" si="5"/>
        <v>,</v>
      </c>
      <c r="AP3302" s="49"/>
      <c r="AQ3302" s="49"/>
      <c r="AR3302" s="49"/>
      <c r="AS3302" s="49"/>
      <c r="AT3302" s="49"/>
    </row>
    <row r="3303">
      <c r="A3303" s="51"/>
      <c r="B3303" s="50" t="s">
        <v>3315</v>
      </c>
      <c r="C3303" s="50" t="s">
        <v>4767</v>
      </c>
      <c r="D3303" s="49" t="str">
        <f>IFERROR(__xludf.DUMMYFUNCTION("""COMPUTED_VALUE"""),"cars")</f>
        <v>cars</v>
      </c>
      <c r="E3303" s="49"/>
      <c r="F3303" s="49"/>
      <c r="G3303" s="49"/>
      <c r="H3303" s="54" t="str">
        <f t="shared" si="1"/>
        <v>movements,</v>
      </c>
      <c r="I3303" s="50"/>
      <c r="J3303" s="50"/>
      <c r="K3303" s="50" t="s">
        <v>4835</v>
      </c>
      <c r="L3303" s="49"/>
      <c r="M3303" s="49"/>
      <c r="N3303" s="50"/>
      <c r="O3303" s="49"/>
      <c r="P3303" s="49" t="str">
        <f t="shared" si="2"/>
        <v>,</v>
      </c>
      <c r="Q3303" s="49"/>
      <c r="R3303" s="49"/>
      <c r="S3303" s="55" t="s">
        <v>4736</v>
      </c>
      <c r="T3303" s="49"/>
      <c r="U3303" s="49"/>
      <c r="V3303" s="49"/>
      <c r="W3303" s="49"/>
      <c r="X3303" s="49" t="str">
        <f t="shared" si="3"/>
        <v>,</v>
      </c>
      <c r="Y3303" s="49"/>
      <c r="Z3303" s="49"/>
      <c r="AB3303" s="49"/>
      <c r="AC3303" s="49"/>
      <c r="AD3303" s="49"/>
      <c r="AE3303" s="49"/>
      <c r="AF3303" s="49"/>
      <c r="AG3303" s="49"/>
      <c r="AH3303" s="49"/>
      <c r="AI3303" s="1" t="s">
        <v>4005</v>
      </c>
      <c r="AJ3303" s="6"/>
      <c r="AK3303" s="49"/>
      <c r="AL3303" s="49"/>
      <c r="AM3303" s="49"/>
      <c r="AN3303" s="52" t="str">
        <f t="shared" si="5"/>
        <v>,</v>
      </c>
      <c r="AP3303" s="49"/>
      <c r="AQ3303" s="49"/>
      <c r="AR3303" s="49"/>
      <c r="AS3303" s="49"/>
      <c r="AT3303" s="49"/>
    </row>
    <row r="3304">
      <c r="A3304" s="51"/>
      <c r="B3304" s="50" t="s">
        <v>5767</v>
      </c>
      <c r="C3304" s="50" t="s">
        <v>5461</v>
      </c>
      <c r="D3304" s="49" t="str">
        <f>IFERROR(__xludf.DUMMYFUNCTION("""COMPUTED_VALUE"""),"snake")</f>
        <v>snake</v>
      </c>
      <c r="E3304" s="49"/>
      <c r="F3304" s="49"/>
      <c r="G3304" s="49"/>
      <c r="H3304" s="54" t="str">
        <f t="shared" si="1"/>
        <v>debate,</v>
      </c>
      <c r="I3304" s="50"/>
      <c r="J3304" s="50"/>
      <c r="K3304" s="50" t="s">
        <v>4837</v>
      </c>
      <c r="L3304" s="49"/>
      <c r="M3304" s="49"/>
      <c r="N3304" s="50"/>
      <c r="O3304" s="49"/>
      <c r="P3304" s="49" t="str">
        <f t="shared" si="2"/>
        <v>,</v>
      </c>
      <c r="Q3304" s="49"/>
      <c r="R3304" s="49"/>
      <c r="S3304" s="55" t="s">
        <v>1651</v>
      </c>
      <c r="T3304" s="49"/>
      <c r="U3304" s="49"/>
      <c r="V3304" s="49"/>
      <c r="W3304" s="49"/>
      <c r="X3304" s="49" t="str">
        <f t="shared" si="3"/>
        <v>,</v>
      </c>
      <c r="Y3304" s="49"/>
      <c r="Z3304" s="49"/>
      <c r="AB3304" s="49"/>
      <c r="AC3304" s="49"/>
      <c r="AD3304" s="49"/>
      <c r="AE3304" s="49"/>
      <c r="AF3304" s="49"/>
      <c r="AG3304" s="49"/>
      <c r="AH3304" s="49"/>
      <c r="AI3304" s="1" t="s">
        <v>7043</v>
      </c>
      <c r="AJ3304" s="6"/>
      <c r="AK3304" s="49"/>
      <c r="AL3304" s="49"/>
      <c r="AM3304" s="49"/>
      <c r="AN3304" s="52" t="str">
        <f t="shared" si="5"/>
        <v>,</v>
      </c>
      <c r="AP3304" s="49"/>
      <c r="AQ3304" s="49"/>
      <c r="AR3304" s="49"/>
      <c r="AS3304" s="49"/>
      <c r="AT3304" s="49"/>
    </row>
    <row r="3305">
      <c r="A3305" s="51"/>
      <c r="B3305" s="50" t="s">
        <v>7684</v>
      </c>
      <c r="C3305" s="50" t="s">
        <v>5462</v>
      </c>
      <c r="D3305" s="49" t="str">
        <f>IFERROR(__xludf.DUMMYFUNCTION("""COMPUTED_VALUE"""),"carefully")</f>
        <v>carefully</v>
      </c>
      <c r="E3305" s="49"/>
      <c r="F3305" s="49"/>
      <c r="G3305" s="49"/>
      <c r="H3305" s="54" t="str">
        <f t="shared" si="1"/>
        <v>marc,</v>
      </c>
      <c r="I3305" s="50"/>
      <c r="J3305" s="50"/>
      <c r="K3305" s="50" t="s">
        <v>3051</v>
      </c>
      <c r="L3305" s="49"/>
      <c r="M3305" s="49"/>
      <c r="N3305" s="50"/>
      <c r="O3305" s="49"/>
      <c r="P3305" s="49" t="str">
        <f t="shared" si="2"/>
        <v>,</v>
      </c>
      <c r="Q3305" s="49"/>
      <c r="R3305" s="49"/>
      <c r="S3305" s="55" t="s">
        <v>4739</v>
      </c>
      <c r="T3305" s="49"/>
      <c r="U3305" s="49"/>
      <c r="V3305" s="49"/>
      <c r="W3305" s="49"/>
      <c r="X3305" s="49" t="str">
        <f t="shared" si="3"/>
        <v>,</v>
      </c>
      <c r="Y3305" s="49"/>
      <c r="Z3305" s="49"/>
      <c r="AB3305" s="49"/>
      <c r="AC3305" s="49"/>
      <c r="AD3305" s="49"/>
      <c r="AE3305" s="49"/>
      <c r="AF3305" s="49"/>
      <c r="AG3305" s="49"/>
      <c r="AH3305" s="49"/>
      <c r="AI3305" s="1" t="s">
        <v>5858</v>
      </c>
      <c r="AJ3305" s="6"/>
      <c r="AK3305" s="49"/>
      <c r="AL3305" s="49"/>
      <c r="AM3305" s="49"/>
      <c r="AN3305" s="52" t="str">
        <f t="shared" si="5"/>
        <v>,</v>
      </c>
      <c r="AP3305" s="49"/>
      <c r="AQ3305" s="49"/>
      <c r="AR3305" s="49"/>
      <c r="AS3305" s="49"/>
      <c r="AT3305" s="49"/>
    </row>
    <row r="3306">
      <c r="A3306" s="51"/>
      <c r="B3306" s="50" t="s">
        <v>7538</v>
      </c>
      <c r="C3306" s="50" t="s">
        <v>1500</v>
      </c>
      <c r="D3306" s="49" t="str">
        <f>IFERROR(__xludf.DUMMYFUNCTION("""COMPUTED_VALUE"""),"uncomfortable")</f>
        <v>uncomfortable</v>
      </c>
      <c r="E3306" s="49"/>
      <c r="F3306" s="49"/>
      <c r="G3306" s="49"/>
      <c r="H3306" s="54" t="str">
        <f t="shared" si="1"/>
        <v>hat,</v>
      </c>
      <c r="I3306" s="50"/>
      <c r="J3306" s="50"/>
      <c r="K3306" s="50" t="s">
        <v>1800</v>
      </c>
      <c r="L3306" s="49"/>
      <c r="M3306" s="49"/>
      <c r="N3306" s="50"/>
      <c r="O3306" s="49"/>
      <c r="P3306" s="49" t="str">
        <f t="shared" si="2"/>
        <v>,</v>
      </c>
      <c r="Q3306" s="49"/>
      <c r="R3306" s="49"/>
      <c r="S3306" s="55" t="s">
        <v>5583</v>
      </c>
      <c r="T3306" s="49"/>
      <c r="U3306" s="49"/>
      <c r="V3306" s="49"/>
      <c r="W3306" s="49"/>
      <c r="X3306" s="49" t="str">
        <f t="shared" si="3"/>
        <v>,</v>
      </c>
      <c r="Y3306" s="49"/>
      <c r="Z3306" s="49"/>
      <c r="AB3306" s="49"/>
      <c r="AC3306" s="49"/>
      <c r="AD3306" s="49"/>
      <c r="AE3306" s="49"/>
      <c r="AF3306" s="49"/>
      <c r="AG3306" s="49"/>
      <c r="AH3306" s="49"/>
      <c r="AI3306" s="1" t="s">
        <v>7044</v>
      </c>
      <c r="AJ3306" s="6"/>
      <c r="AK3306" s="49"/>
      <c r="AL3306" s="49"/>
      <c r="AM3306" s="49"/>
      <c r="AN3306" s="52" t="str">
        <f t="shared" si="5"/>
        <v>,</v>
      </c>
      <c r="AP3306" s="49"/>
      <c r="AQ3306" s="49"/>
      <c r="AR3306" s="49"/>
      <c r="AS3306" s="49"/>
      <c r="AT3306" s="49"/>
    </row>
    <row r="3307">
      <c r="A3307" s="51"/>
      <c r="B3307" s="50" t="s">
        <v>1098</v>
      </c>
      <c r="C3307" s="50" t="s">
        <v>5934</v>
      </c>
      <c r="D3307" s="49" t="str">
        <f>IFERROR(__xludf.DUMMYFUNCTION("""COMPUTED_VALUE"""),"bars")</f>
        <v>bars</v>
      </c>
      <c r="E3307" s="49"/>
      <c r="F3307" s="49"/>
      <c r="G3307" s="49"/>
      <c r="H3307" s="54" t="str">
        <f t="shared" si="1"/>
        <v>viewed,</v>
      </c>
      <c r="I3307" s="50"/>
      <c r="J3307" s="50"/>
      <c r="K3307" s="50" t="s">
        <v>1805</v>
      </c>
      <c r="L3307" s="49"/>
      <c r="M3307" s="49"/>
      <c r="N3307" s="50"/>
      <c r="O3307" s="49"/>
      <c r="P3307" s="49" t="str">
        <f t="shared" si="2"/>
        <v>,</v>
      </c>
      <c r="Q3307" s="49"/>
      <c r="R3307" s="49"/>
      <c r="S3307" s="55" t="s">
        <v>4743</v>
      </c>
      <c r="T3307" s="49"/>
      <c r="U3307" s="49"/>
      <c r="V3307" s="49"/>
      <c r="W3307" s="49"/>
      <c r="X3307" s="49" t="str">
        <f t="shared" si="3"/>
        <v>,</v>
      </c>
      <c r="Y3307" s="49"/>
      <c r="Z3307" s="49"/>
      <c r="AB3307" s="49"/>
      <c r="AC3307" s="49"/>
      <c r="AD3307" s="49"/>
      <c r="AE3307" s="49"/>
      <c r="AF3307" s="49"/>
      <c r="AG3307" s="49"/>
      <c r="AH3307" s="49"/>
      <c r="AI3307" s="1" t="s">
        <v>7045</v>
      </c>
      <c r="AJ3307" s="6"/>
      <c r="AK3307" s="49"/>
      <c r="AL3307" s="49"/>
      <c r="AM3307" s="49"/>
      <c r="AN3307" s="52" t="str">
        <f t="shared" si="5"/>
        <v>,</v>
      </c>
      <c r="AP3307" s="49"/>
      <c r="AQ3307" s="49"/>
      <c r="AR3307" s="49"/>
      <c r="AS3307" s="49"/>
      <c r="AT3307" s="49"/>
    </row>
    <row r="3308">
      <c r="A3308" s="51"/>
      <c r="B3308" s="50" t="s">
        <v>7685</v>
      </c>
      <c r="C3308" s="50" t="s">
        <v>4512</v>
      </c>
      <c r="D3308" s="49" t="str">
        <f>IFERROR(__xludf.DUMMYFUNCTION("""COMPUTED_VALUE"""),"meet")</f>
        <v>meet</v>
      </c>
      <c r="E3308" s="49"/>
      <c r="F3308" s="49"/>
      <c r="G3308" s="49"/>
      <c r="H3308" s="54" t="str">
        <f t="shared" si="1"/>
        <v>um,</v>
      </c>
      <c r="I3308" s="50"/>
      <c r="J3308" s="50"/>
      <c r="K3308" s="50" t="s">
        <v>4839</v>
      </c>
      <c r="L3308" s="49"/>
      <c r="M3308" s="49"/>
      <c r="N3308" s="50"/>
      <c r="O3308" s="49"/>
      <c r="P3308" s="49" t="str">
        <f t="shared" si="2"/>
        <v>,</v>
      </c>
      <c r="Q3308" s="49"/>
      <c r="R3308" s="49"/>
      <c r="S3308" s="55" t="s">
        <v>5676</v>
      </c>
      <c r="T3308" s="49"/>
      <c r="U3308" s="49"/>
      <c r="V3308" s="49"/>
      <c r="W3308" s="49"/>
      <c r="X3308" s="49" t="str">
        <f t="shared" si="3"/>
        <v>,</v>
      </c>
      <c r="Y3308" s="49"/>
      <c r="Z3308" s="49"/>
      <c r="AB3308" s="49"/>
      <c r="AC3308" s="49"/>
      <c r="AD3308" s="49"/>
      <c r="AE3308" s="49"/>
      <c r="AF3308" s="49"/>
      <c r="AG3308" s="49"/>
      <c r="AH3308" s="49"/>
      <c r="AI3308" s="1" t="s">
        <v>4012</v>
      </c>
      <c r="AJ3308" s="6"/>
      <c r="AK3308" s="49"/>
      <c r="AL3308" s="49"/>
      <c r="AM3308" s="49"/>
      <c r="AN3308" s="52" t="str">
        <f t="shared" si="5"/>
        <v>,</v>
      </c>
      <c r="AP3308" s="49"/>
      <c r="AQ3308" s="49"/>
      <c r="AR3308" s="49"/>
      <c r="AS3308" s="49"/>
      <c r="AT3308" s="49"/>
    </row>
    <row r="3309">
      <c r="A3309" s="51"/>
      <c r="B3309" s="50" t="s">
        <v>7002</v>
      </c>
      <c r="C3309" s="50" t="s">
        <v>6884</v>
      </c>
      <c r="D3309" s="49" t="str">
        <f>IFERROR(__xludf.DUMMYFUNCTION("""COMPUTED_VALUE"""),"tree")</f>
        <v>tree</v>
      </c>
      <c r="E3309" s="49"/>
      <c r="F3309" s="49"/>
      <c r="G3309" s="49"/>
      <c r="H3309" s="54" t="str">
        <f t="shared" si="1"/>
        <v>elderly,</v>
      </c>
      <c r="I3309" s="50"/>
      <c r="J3309" s="50"/>
      <c r="K3309" s="50" t="s">
        <v>3056</v>
      </c>
      <c r="L3309" s="49"/>
      <c r="M3309" s="49"/>
      <c r="N3309" s="50"/>
      <c r="O3309" s="49"/>
      <c r="P3309" s="49" t="str">
        <f t="shared" si="2"/>
        <v>,</v>
      </c>
      <c r="Q3309" s="49"/>
      <c r="R3309" s="49"/>
      <c r="S3309" s="55" t="s">
        <v>4745</v>
      </c>
      <c r="T3309" s="49"/>
      <c r="U3309" s="49"/>
      <c r="V3309" s="49"/>
      <c r="W3309" s="49"/>
      <c r="X3309" s="49" t="str">
        <f t="shared" si="3"/>
        <v>,</v>
      </c>
      <c r="Y3309" s="49"/>
      <c r="Z3309" s="49"/>
      <c r="AB3309" s="49"/>
      <c r="AC3309" s="49"/>
      <c r="AD3309" s="49"/>
      <c r="AE3309" s="49"/>
      <c r="AF3309" s="49"/>
      <c r="AG3309" s="49"/>
      <c r="AH3309" s="49"/>
      <c r="AI3309" s="1" t="s">
        <v>7046</v>
      </c>
      <c r="AJ3309" s="6"/>
      <c r="AK3309" s="49"/>
      <c r="AL3309" s="49"/>
      <c r="AM3309" s="49"/>
      <c r="AN3309" s="52" t="str">
        <f t="shared" si="5"/>
        <v>,</v>
      </c>
      <c r="AP3309" s="49"/>
      <c r="AQ3309" s="49"/>
      <c r="AR3309" s="49"/>
      <c r="AS3309" s="49"/>
      <c r="AT3309" s="49"/>
    </row>
    <row r="3310">
      <c r="A3310" s="51"/>
      <c r="B3310" s="50" t="s">
        <v>4786</v>
      </c>
      <c r="C3310" s="50" t="s">
        <v>6912</v>
      </c>
      <c r="D3310" s="49" t="str">
        <f>IFERROR(__xludf.DUMMYFUNCTION("""COMPUTED_VALUE"""),"amusement")</f>
        <v>amusement</v>
      </c>
      <c r="E3310" s="49"/>
      <c r="F3310" s="49"/>
      <c r="G3310" s="49"/>
      <c r="H3310" s="54" t="str">
        <f t="shared" si="1"/>
        <v>painting,</v>
      </c>
      <c r="I3310" s="50"/>
      <c r="J3310" s="50"/>
      <c r="K3310" s="50" t="s">
        <v>1878</v>
      </c>
      <c r="L3310" s="49"/>
      <c r="M3310" s="49"/>
      <c r="N3310" s="50"/>
      <c r="O3310" s="49"/>
      <c r="P3310" s="49" t="str">
        <f t="shared" si="2"/>
        <v>,</v>
      </c>
      <c r="Q3310" s="49"/>
      <c r="R3310" s="49"/>
      <c r="S3310" s="55" t="s">
        <v>2975</v>
      </c>
      <c r="T3310" s="49"/>
      <c r="U3310" s="49"/>
      <c r="V3310" s="49"/>
      <c r="W3310" s="49"/>
      <c r="X3310" s="49" t="str">
        <f t="shared" si="3"/>
        <v>,</v>
      </c>
      <c r="Y3310" s="49"/>
      <c r="Z3310" s="49"/>
      <c r="AB3310" s="49"/>
      <c r="AC3310" s="49"/>
      <c r="AD3310" s="49"/>
      <c r="AE3310" s="49"/>
      <c r="AF3310" s="49"/>
      <c r="AG3310" s="49"/>
      <c r="AH3310" s="49"/>
      <c r="AI3310" s="1" t="s">
        <v>5400</v>
      </c>
      <c r="AJ3310" s="6"/>
      <c r="AK3310" s="49"/>
      <c r="AL3310" s="49"/>
      <c r="AM3310" s="49"/>
      <c r="AN3310" s="52" t="str">
        <f t="shared" si="5"/>
        <v>,</v>
      </c>
      <c r="AP3310" s="49"/>
      <c r="AQ3310" s="49"/>
      <c r="AR3310" s="49"/>
      <c r="AS3310" s="49"/>
      <c r="AT3310" s="49"/>
    </row>
    <row r="3311">
      <c r="A3311" s="51"/>
      <c r="B3311" s="50" t="s">
        <v>7179</v>
      </c>
      <c r="C3311" s="50" t="s">
        <v>4286</v>
      </c>
      <c r="D3311" s="49" t="str">
        <f>IFERROR(__xludf.DUMMYFUNCTION("""COMPUTED_VALUE"""),"christ")</f>
        <v>christ</v>
      </c>
      <c r="E3311" s="49"/>
      <c r="F3311" s="49"/>
      <c r="G3311" s="49"/>
      <c r="H3311" s="54" t="str">
        <f t="shared" si="1"/>
        <v>occurs,</v>
      </c>
      <c r="I3311" s="50"/>
      <c r="J3311" s="50"/>
      <c r="K3311" s="50" t="s">
        <v>1048</v>
      </c>
      <c r="L3311" s="49"/>
      <c r="M3311" s="49"/>
      <c r="N3311" s="50"/>
      <c r="O3311" s="49"/>
      <c r="P3311" s="49" t="str">
        <f t="shared" si="2"/>
        <v>,</v>
      </c>
      <c r="Q3311" s="49"/>
      <c r="R3311" s="49"/>
      <c r="S3311" s="55" t="s">
        <v>2978</v>
      </c>
      <c r="T3311" s="49"/>
      <c r="U3311" s="49"/>
      <c r="V3311" s="49"/>
      <c r="W3311" s="49"/>
      <c r="X3311" s="49" t="str">
        <f t="shared" si="3"/>
        <v>,</v>
      </c>
      <c r="Y3311" s="49"/>
      <c r="Z3311" s="49"/>
      <c r="AB3311" s="49"/>
      <c r="AC3311" s="49"/>
      <c r="AD3311" s="49"/>
      <c r="AE3311" s="49"/>
      <c r="AF3311" s="49"/>
      <c r="AG3311" s="49"/>
      <c r="AH3311" s="49"/>
      <c r="AI3311" s="1" t="s">
        <v>7047</v>
      </c>
      <c r="AJ3311" s="6"/>
      <c r="AK3311" s="49"/>
      <c r="AL3311" s="49"/>
      <c r="AM3311" s="49"/>
      <c r="AN3311" s="52" t="str">
        <f t="shared" si="5"/>
        <v>,</v>
      </c>
      <c r="AP3311" s="49"/>
      <c r="AQ3311" s="49"/>
      <c r="AR3311" s="49"/>
      <c r="AS3311" s="49"/>
      <c r="AT3311" s="49"/>
    </row>
    <row r="3312">
      <c r="A3312" s="51"/>
      <c r="B3312" s="50" t="s">
        <v>3570</v>
      </c>
      <c r="C3312" s="50" t="s">
        <v>1876</v>
      </c>
      <c r="D3312" s="49" t="str">
        <f>IFERROR(__xludf.DUMMYFUNCTION("""COMPUTED_VALUE"""),"kinds")</f>
        <v>kinds</v>
      </c>
      <c r="E3312" s="49"/>
      <c r="F3312" s="49"/>
      <c r="G3312" s="49"/>
      <c r="H3312" s="54" t="str">
        <f t="shared" si="1"/>
        <v>singles,</v>
      </c>
      <c r="I3312" s="50"/>
      <c r="J3312" s="50"/>
      <c r="K3312" s="50" t="s">
        <v>3060</v>
      </c>
      <c r="L3312" s="49"/>
      <c r="M3312" s="49"/>
      <c r="N3312" s="50"/>
      <c r="O3312" s="49"/>
      <c r="P3312" s="49" t="str">
        <f t="shared" si="2"/>
        <v>,</v>
      </c>
      <c r="Q3312" s="49"/>
      <c r="R3312" s="49"/>
      <c r="S3312" s="55" t="s">
        <v>7048</v>
      </c>
      <c r="T3312" s="49"/>
      <c r="U3312" s="49"/>
      <c r="V3312" s="49"/>
      <c r="W3312" s="49"/>
      <c r="X3312" s="49" t="str">
        <f t="shared" si="3"/>
        <v>,</v>
      </c>
      <c r="Y3312" s="49"/>
      <c r="Z3312" s="49"/>
      <c r="AB3312" s="49"/>
      <c r="AC3312" s="49"/>
      <c r="AD3312" s="49"/>
      <c r="AE3312" s="49"/>
      <c r="AF3312" s="49"/>
      <c r="AG3312" s="49"/>
      <c r="AH3312" s="49"/>
      <c r="AI3312" s="1" t="s">
        <v>7049</v>
      </c>
      <c r="AJ3312" s="6"/>
      <c r="AK3312" s="49"/>
      <c r="AL3312" s="49"/>
      <c r="AM3312" s="49"/>
      <c r="AN3312" s="52" t="str">
        <f t="shared" si="5"/>
        <v>,</v>
      </c>
      <c r="AP3312" s="49"/>
      <c r="AQ3312" s="49"/>
      <c r="AR3312" s="49"/>
      <c r="AS3312" s="49"/>
      <c r="AT3312" s="49"/>
    </row>
    <row r="3313">
      <c r="A3313" s="51"/>
      <c r="B3313" s="50" t="s">
        <v>6289</v>
      </c>
      <c r="C3313" s="50" t="s">
        <v>6913</v>
      </c>
      <c r="D3313" s="49" t="str">
        <f>IFERROR(__xludf.DUMMYFUNCTION("""COMPUTED_VALUE"""),"orders")</f>
        <v>orders</v>
      </c>
      <c r="E3313" s="49"/>
      <c r="F3313" s="49"/>
      <c r="G3313" s="49"/>
      <c r="H3313" s="54" t="str">
        <f t="shared" si="1"/>
        <v>tucked,</v>
      </c>
      <c r="I3313" s="50"/>
      <c r="J3313" s="50"/>
      <c r="K3313" s="50" t="s">
        <v>1869</v>
      </c>
      <c r="L3313" s="49"/>
      <c r="M3313" s="49"/>
      <c r="N3313" s="50"/>
      <c r="O3313" s="49"/>
      <c r="P3313" s="49" t="str">
        <f t="shared" si="2"/>
        <v>,</v>
      </c>
      <c r="Q3313" s="49"/>
      <c r="R3313" s="49"/>
      <c r="S3313" s="55" t="s">
        <v>7050</v>
      </c>
      <c r="T3313" s="49"/>
      <c r="U3313" s="49"/>
      <c r="V3313" s="49"/>
      <c r="W3313" s="49"/>
      <c r="X3313" s="49" t="str">
        <f t="shared" si="3"/>
        <v>,</v>
      </c>
      <c r="Y3313" s="49"/>
      <c r="Z3313" s="49"/>
      <c r="AB3313" s="49"/>
      <c r="AC3313" s="49"/>
      <c r="AD3313" s="49"/>
      <c r="AE3313" s="49"/>
      <c r="AF3313" s="49"/>
      <c r="AG3313" s="49"/>
      <c r="AH3313" s="49"/>
      <c r="AI3313" s="1" t="s">
        <v>6185</v>
      </c>
      <c r="AJ3313" s="6"/>
      <c r="AK3313" s="49"/>
      <c r="AL3313" s="49"/>
      <c r="AM3313" s="49"/>
      <c r="AN3313" s="52" t="str">
        <f t="shared" si="5"/>
        <v>,</v>
      </c>
      <c r="AP3313" s="49"/>
      <c r="AQ3313" s="49"/>
      <c r="AR3313" s="49"/>
      <c r="AS3313" s="49"/>
      <c r="AT3313" s="49"/>
    </row>
    <row r="3314">
      <c r="A3314" s="51"/>
      <c r="B3314" s="50" t="s">
        <v>5456</v>
      </c>
      <c r="C3314" s="50" t="s">
        <v>5466</v>
      </c>
      <c r="D3314" s="49" t="str">
        <f>IFERROR(__xludf.DUMMYFUNCTION("""COMPUTED_VALUE"""),"earlier")</f>
        <v>earlier</v>
      </c>
      <c r="E3314" s="49"/>
      <c r="F3314" s="49"/>
      <c r="G3314" s="49"/>
      <c r="H3314" s="54" t="str">
        <f t="shared" si="1"/>
        <v>protective,</v>
      </c>
      <c r="I3314" s="50"/>
      <c r="J3314" s="50"/>
      <c r="K3314" s="50" t="s">
        <v>3773</v>
      </c>
      <c r="L3314" s="49"/>
      <c r="M3314" s="49"/>
      <c r="N3314" s="50"/>
      <c r="O3314" s="49"/>
      <c r="P3314" s="49" t="str">
        <f t="shared" si="2"/>
        <v>,</v>
      </c>
      <c r="Q3314" s="49"/>
      <c r="R3314" s="49"/>
      <c r="S3314" s="55" t="s">
        <v>5915</v>
      </c>
      <c r="T3314" s="49"/>
      <c r="U3314" s="49"/>
      <c r="V3314" s="49"/>
      <c r="W3314" s="49"/>
      <c r="X3314" s="49" t="str">
        <f t="shared" si="3"/>
        <v>,</v>
      </c>
      <c r="Y3314" s="49"/>
      <c r="Z3314" s="49"/>
      <c r="AB3314" s="49"/>
      <c r="AC3314" s="49"/>
      <c r="AD3314" s="49"/>
      <c r="AE3314" s="49"/>
      <c r="AF3314" s="49"/>
      <c r="AG3314" s="49"/>
      <c r="AH3314" s="49"/>
      <c r="AI3314" s="1" t="s">
        <v>5862</v>
      </c>
      <c r="AJ3314" s="6"/>
      <c r="AK3314" s="49"/>
      <c r="AL3314" s="49"/>
      <c r="AM3314" s="49"/>
      <c r="AN3314" s="52" t="str">
        <f t="shared" si="5"/>
        <v>,</v>
      </c>
      <c r="AP3314" s="49"/>
      <c r="AQ3314" s="49"/>
      <c r="AR3314" s="49"/>
      <c r="AS3314" s="49"/>
      <c r="AT3314" s="49"/>
    </row>
    <row r="3315">
      <c r="A3315" s="51"/>
      <c r="B3315" s="50" t="s">
        <v>3996</v>
      </c>
      <c r="C3315" s="50" t="s">
        <v>6885</v>
      </c>
      <c r="D3315" s="49" t="str">
        <f>IFERROR(__xludf.DUMMYFUNCTION("""COMPUTED_VALUE"""),"referred")</f>
        <v>referred</v>
      </c>
      <c r="E3315" s="49"/>
      <c r="F3315" s="49"/>
      <c r="G3315" s="49"/>
      <c r="H3315" s="54" t="str">
        <f t="shared" si="1"/>
        <v>howard,</v>
      </c>
      <c r="I3315" s="50"/>
      <c r="J3315" s="50"/>
      <c r="K3315" s="50" t="s">
        <v>4849</v>
      </c>
      <c r="L3315" s="49"/>
      <c r="M3315" s="49"/>
      <c r="N3315" s="50"/>
      <c r="O3315" s="49"/>
      <c r="P3315" s="49" t="str">
        <f t="shared" si="2"/>
        <v>,</v>
      </c>
      <c r="Q3315" s="49"/>
      <c r="R3315" s="49"/>
      <c r="S3315" s="55" t="s">
        <v>4747</v>
      </c>
      <c r="T3315" s="49"/>
      <c r="U3315" s="49"/>
      <c r="V3315" s="49"/>
      <c r="W3315" s="49"/>
      <c r="X3315" s="49" t="str">
        <f t="shared" si="3"/>
        <v>,</v>
      </c>
      <c r="Y3315" s="49"/>
      <c r="Z3315" s="49"/>
      <c r="AB3315" s="49"/>
      <c r="AC3315" s="49"/>
      <c r="AD3315" s="49"/>
      <c r="AE3315" s="49"/>
      <c r="AF3315" s="49"/>
      <c r="AG3315" s="49"/>
      <c r="AH3315" s="49"/>
      <c r="AI3315" s="1" t="s">
        <v>6014</v>
      </c>
      <c r="AJ3315" s="6"/>
      <c r="AK3315" s="49"/>
      <c r="AL3315" s="49"/>
      <c r="AM3315" s="49"/>
      <c r="AN3315" s="52" t="str">
        <f t="shared" si="5"/>
        <v>,</v>
      </c>
      <c r="AP3315" s="49"/>
      <c r="AQ3315" s="49"/>
      <c r="AR3315" s="49"/>
      <c r="AS3315" s="49"/>
      <c r="AT3315" s="49"/>
    </row>
    <row r="3316">
      <c r="A3316" s="51"/>
      <c r="B3316" s="50" t="s">
        <v>3421</v>
      </c>
      <c r="C3316" s="50" t="s">
        <v>1507</v>
      </c>
      <c r="D3316" s="49" t="str">
        <f>IFERROR(__xludf.DUMMYFUNCTION("""COMPUTED_VALUE"""),"removed")</f>
        <v>removed</v>
      </c>
      <c r="E3316" s="49"/>
      <c r="F3316" s="49"/>
      <c r="G3316" s="49"/>
      <c r="H3316" s="54" t="str">
        <f t="shared" si="1"/>
        <v>existed,</v>
      </c>
      <c r="I3316" s="50"/>
      <c r="J3316" s="50"/>
      <c r="K3316" s="50" t="s">
        <v>3064</v>
      </c>
      <c r="L3316" s="49"/>
      <c r="M3316" s="49"/>
      <c r="N3316" s="50"/>
      <c r="O3316" s="49"/>
      <c r="P3316" s="49" t="str">
        <f t="shared" si="2"/>
        <v>,</v>
      </c>
      <c r="Q3316" s="49"/>
      <c r="R3316" s="49"/>
      <c r="S3316" s="55">
        <v>451.0</v>
      </c>
      <c r="T3316" s="49"/>
      <c r="U3316" s="49"/>
      <c r="V3316" s="49"/>
      <c r="W3316" s="49"/>
      <c r="X3316" s="49" t="str">
        <f t="shared" si="3"/>
        <v>,</v>
      </c>
      <c r="Y3316" s="49"/>
      <c r="Z3316" s="49"/>
      <c r="AB3316" s="49"/>
      <c r="AC3316" s="49"/>
      <c r="AD3316" s="49"/>
      <c r="AE3316" s="49"/>
      <c r="AF3316" s="49"/>
      <c r="AG3316" s="49"/>
      <c r="AH3316" s="49"/>
      <c r="AI3316" s="1" t="s">
        <v>7051</v>
      </c>
      <c r="AJ3316" s="6"/>
      <c r="AK3316" s="49"/>
      <c r="AL3316" s="49"/>
      <c r="AM3316" s="49"/>
      <c r="AN3316" s="52" t="str">
        <f t="shared" si="5"/>
        <v>,</v>
      </c>
      <c r="AP3316" s="49"/>
      <c r="AQ3316" s="49"/>
      <c r="AR3316" s="49"/>
      <c r="AS3316" s="49"/>
      <c r="AT3316" s="49"/>
    </row>
    <row r="3317">
      <c r="A3317" s="51"/>
      <c r="B3317" s="50" t="s">
        <v>1693</v>
      </c>
      <c r="C3317" s="50">
        <v>94.0</v>
      </c>
      <c r="D3317" s="49" t="str">
        <f>IFERROR(__xludf.DUMMYFUNCTION("""COMPUTED_VALUE"""),"ivan")</f>
        <v>ivan</v>
      </c>
      <c r="E3317" s="49"/>
      <c r="F3317" s="49"/>
      <c r="G3317" s="49"/>
      <c r="H3317" s="54" t="str">
        <f t="shared" si="1"/>
        <v>darling,</v>
      </c>
      <c r="I3317" s="50"/>
      <c r="J3317" s="50"/>
      <c r="K3317" s="50" t="s">
        <v>4850</v>
      </c>
      <c r="L3317" s="49"/>
      <c r="M3317" s="49"/>
      <c r="N3317" s="50"/>
      <c r="O3317" s="49"/>
      <c r="P3317" s="49" t="str">
        <f t="shared" si="2"/>
        <v>,</v>
      </c>
      <c r="Q3317" s="49"/>
      <c r="R3317" s="49"/>
      <c r="S3317" s="55" t="s">
        <v>5765</v>
      </c>
      <c r="T3317" s="49"/>
      <c r="U3317" s="49"/>
      <c r="V3317" s="49"/>
      <c r="W3317" s="49"/>
      <c r="X3317" s="49" t="str">
        <f t="shared" si="3"/>
        <v>,</v>
      </c>
      <c r="Y3317" s="49"/>
      <c r="Z3317" s="49"/>
      <c r="AB3317" s="49"/>
      <c r="AC3317" s="49"/>
      <c r="AD3317" s="49"/>
      <c r="AE3317" s="49"/>
      <c r="AF3317" s="49"/>
      <c r="AG3317" s="49"/>
      <c r="AH3317" s="49"/>
      <c r="AI3317" s="1" t="s">
        <v>7052</v>
      </c>
      <c r="AJ3317" s="6"/>
      <c r="AK3317" s="49"/>
      <c r="AL3317" s="49"/>
      <c r="AM3317" s="49"/>
      <c r="AN3317" s="52" t="str">
        <f t="shared" si="5"/>
        <v>,</v>
      </c>
      <c r="AP3317" s="49"/>
      <c r="AQ3317" s="49"/>
      <c r="AR3317" s="49"/>
      <c r="AS3317" s="49"/>
      <c r="AT3317" s="49"/>
    </row>
    <row r="3318">
      <c r="A3318" s="51"/>
      <c r="B3318" s="50" t="s">
        <v>6616</v>
      </c>
      <c r="C3318" s="50" t="s">
        <v>7053</v>
      </c>
      <c r="D3318" s="49">
        <f>IFERROR(__xludf.DUMMYFUNCTION("""COMPUTED_VALUE"""),1957.0)</f>
        <v>1957</v>
      </c>
      <c r="E3318" s="49"/>
      <c r="F3318" s="49"/>
      <c r="G3318" s="49"/>
      <c r="H3318" s="54" t="str">
        <f t="shared" si="1"/>
        <v>shop,</v>
      </c>
      <c r="I3318" s="50"/>
      <c r="J3318" s="50"/>
      <c r="K3318" s="50" t="s">
        <v>4851</v>
      </c>
      <c r="L3318" s="49"/>
      <c r="M3318" s="49"/>
      <c r="N3318" s="50"/>
      <c r="O3318" s="49"/>
      <c r="P3318" s="49" t="str">
        <f t="shared" si="2"/>
        <v>,</v>
      </c>
      <c r="Q3318" s="49"/>
      <c r="R3318" s="49"/>
      <c r="S3318" s="55" t="s">
        <v>6043</v>
      </c>
      <c r="T3318" s="49"/>
      <c r="U3318" s="49"/>
      <c r="V3318" s="49"/>
      <c r="W3318" s="49"/>
      <c r="X3318" s="49" t="str">
        <f t="shared" si="3"/>
        <v>,</v>
      </c>
      <c r="Y3318" s="49"/>
      <c r="Z3318" s="49"/>
      <c r="AB3318" s="49"/>
      <c r="AC3318" s="49"/>
      <c r="AD3318" s="49"/>
      <c r="AE3318" s="49"/>
      <c r="AF3318" s="49"/>
      <c r="AG3318" s="49"/>
      <c r="AH3318" s="49"/>
      <c r="AI3318" s="1" t="s">
        <v>2505</v>
      </c>
      <c r="AJ3318" s="6"/>
      <c r="AK3318" s="49"/>
      <c r="AL3318" s="49"/>
      <c r="AM3318" s="49"/>
      <c r="AN3318" s="52" t="str">
        <f t="shared" si="5"/>
        <v>,</v>
      </c>
      <c r="AP3318" s="49"/>
      <c r="AQ3318" s="49"/>
      <c r="AR3318" s="49"/>
      <c r="AS3318" s="49"/>
      <c r="AT3318" s="49"/>
    </row>
    <row r="3319">
      <c r="A3319" s="51"/>
      <c r="B3319" s="50" t="s">
        <v>2846</v>
      </c>
      <c r="C3319" s="50" t="s">
        <v>6886</v>
      </c>
      <c r="D3319" s="49" t="str">
        <f>IFERROR(__xludf.DUMMYFUNCTION("""COMPUTED_VALUE"""),"meant")</f>
        <v>meant</v>
      </c>
      <c r="E3319" s="49"/>
      <c r="F3319" s="49"/>
      <c r="G3319" s="49"/>
      <c r="H3319" s="54" t="str">
        <f t="shared" si="1"/>
        <v>distant,</v>
      </c>
      <c r="I3319" s="50"/>
      <c r="J3319" s="50"/>
      <c r="K3319" s="50" t="s">
        <v>4853</v>
      </c>
      <c r="L3319" s="49"/>
      <c r="M3319" s="49"/>
      <c r="N3319" s="50"/>
      <c r="O3319" s="49"/>
      <c r="P3319" s="49" t="str">
        <f t="shared" si="2"/>
        <v>,</v>
      </c>
      <c r="Q3319" s="49"/>
      <c r="R3319" s="49"/>
      <c r="S3319" s="55" t="s">
        <v>1873</v>
      </c>
      <c r="T3319" s="49"/>
      <c r="U3319" s="49"/>
      <c r="V3319" s="49"/>
      <c r="W3319" s="49"/>
      <c r="X3319" s="49" t="str">
        <f t="shared" si="3"/>
        <v>,</v>
      </c>
      <c r="Y3319" s="49"/>
      <c r="Z3319" s="49"/>
      <c r="AB3319" s="49"/>
      <c r="AC3319" s="49"/>
      <c r="AD3319" s="49"/>
      <c r="AE3319" s="49"/>
      <c r="AF3319" s="49"/>
      <c r="AG3319" s="49"/>
      <c r="AH3319" s="49"/>
      <c r="AI3319" s="1">
        <v>1997.0</v>
      </c>
      <c r="AJ3319" s="6"/>
      <c r="AK3319" s="49"/>
      <c r="AL3319" s="49"/>
      <c r="AM3319" s="49"/>
      <c r="AN3319" s="52" t="str">
        <f t="shared" si="5"/>
        <v>,</v>
      </c>
      <c r="AP3319" s="49"/>
      <c r="AQ3319" s="49"/>
      <c r="AR3319" s="49"/>
      <c r="AS3319" s="49"/>
      <c r="AT3319" s="49"/>
    </row>
    <row r="3320">
      <c r="A3320" s="51"/>
      <c r="B3320" s="50" t="s">
        <v>6953</v>
      </c>
      <c r="C3320" s="50" t="s">
        <v>6887</v>
      </c>
      <c r="D3320" s="49" t="str">
        <f>IFERROR(__xludf.DUMMYFUNCTION("""COMPUTED_VALUE"""),"tall")</f>
        <v>tall</v>
      </c>
      <c r="E3320" s="49"/>
      <c r="F3320" s="49"/>
      <c r="G3320" s="49"/>
      <c r="H3320" s="54" t="str">
        <f t="shared" si="1"/>
        <v>bars,</v>
      </c>
      <c r="I3320" s="50"/>
      <c r="J3320" s="50"/>
      <c r="K3320" s="50" t="s">
        <v>4855</v>
      </c>
      <c r="L3320" s="49"/>
      <c r="M3320" s="49"/>
      <c r="N3320" s="50"/>
      <c r="O3320" s="49"/>
      <c r="P3320" s="49" t="str">
        <f t="shared" si="2"/>
        <v>,</v>
      </c>
      <c r="Q3320" s="49"/>
      <c r="R3320" s="49"/>
      <c r="S3320" s="55">
        <v>1957.0</v>
      </c>
      <c r="T3320" s="49"/>
      <c r="U3320" s="49"/>
      <c r="V3320" s="49"/>
      <c r="W3320" s="49"/>
      <c r="X3320" s="49" t="str">
        <f t="shared" si="3"/>
        <v>,</v>
      </c>
      <c r="Y3320" s="49"/>
      <c r="Z3320" s="49"/>
      <c r="AB3320" s="49"/>
      <c r="AC3320" s="49"/>
      <c r="AD3320" s="49"/>
      <c r="AE3320" s="49"/>
      <c r="AF3320" s="49"/>
      <c r="AG3320" s="49"/>
      <c r="AH3320" s="49"/>
      <c r="AI3320" s="1" t="s">
        <v>7054</v>
      </c>
      <c r="AJ3320" s="6"/>
      <c r="AK3320" s="49"/>
      <c r="AL3320" s="49"/>
      <c r="AM3320" s="49"/>
      <c r="AN3320" s="52" t="str">
        <f t="shared" si="5"/>
        <v>,</v>
      </c>
      <c r="AP3320" s="49"/>
      <c r="AQ3320" s="49"/>
      <c r="AR3320" s="49"/>
      <c r="AS3320" s="49"/>
      <c r="AT3320" s="49"/>
    </row>
    <row r="3321">
      <c r="A3321" s="51"/>
      <c r="B3321" s="50" t="s">
        <v>325</v>
      </c>
      <c r="C3321" s="50" t="s">
        <v>7055</v>
      </c>
      <c r="D3321" s="49" t="str">
        <f>IFERROR(__xludf.DUMMYFUNCTION("""COMPUTED_VALUE"""),"retiring")</f>
        <v>retiring</v>
      </c>
      <c r="E3321" s="49"/>
      <c r="F3321" s="49"/>
      <c r="G3321" s="49"/>
      <c r="H3321" s="54" t="str">
        <f t="shared" si="1"/>
        <v>vulnerable,</v>
      </c>
      <c r="I3321" s="50"/>
      <c r="J3321" s="50"/>
      <c r="K3321" s="50" t="s">
        <v>3068</v>
      </c>
      <c r="L3321" s="49"/>
      <c r="M3321" s="49"/>
      <c r="N3321" s="50"/>
      <c r="O3321" s="49"/>
      <c r="P3321" s="49" t="str">
        <f t="shared" si="2"/>
        <v>,</v>
      </c>
      <c r="Q3321" s="49"/>
      <c r="R3321" s="49"/>
      <c r="S3321" s="55" t="s">
        <v>1526</v>
      </c>
      <c r="T3321" s="49"/>
      <c r="U3321" s="49"/>
      <c r="V3321" s="49"/>
      <c r="W3321" s="49"/>
      <c r="X3321" s="49" t="str">
        <f t="shared" si="3"/>
        <v>,</v>
      </c>
      <c r="Y3321" s="49"/>
      <c r="Z3321" s="49"/>
      <c r="AB3321" s="49"/>
      <c r="AC3321" s="49"/>
      <c r="AD3321" s="49"/>
      <c r="AE3321" s="49"/>
      <c r="AF3321" s="49"/>
      <c r="AG3321" s="49"/>
      <c r="AH3321" s="49"/>
      <c r="AI3321" s="1" t="s">
        <v>7056</v>
      </c>
      <c r="AJ3321" s="6"/>
      <c r="AK3321" s="49"/>
      <c r="AL3321" s="49"/>
      <c r="AM3321" s="49"/>
      <c r="AN3321" s="52" t="str">
        <f t="shared" si="5"/>
        <v>,</v>
      </c>
      <c r="AP3321" s="49"/>
      <c r="AQ3321" s="49"/>
      <c r="AR3321" s="49"/>
      <c r="AS3321" s="49"/>
      <c r="AT3321" s="49"/>
    </row>
    <row r="3322">
      <c r="A3322" s="51"/>
      <c r="B3322" s="50" t="s">
        <v>1462</v>
      </c>
      <c r="C3322" s="50" t="s">
        <v>2915</v>
      </c>
      <c r="D3322" s="49" t="str">
        <f>IFERROR(__xludf.DUMMYFUNCTION("""COMPUTED_VALUE"""),"mission")</f>
        <v>mission</v>
      </c>
      <c r="E3322" s="49"/>
      <c r="F3322" s="49"/>
      <c r="G3322" s="49"/>
      <c r="H3322" s="54" t="str">
        <f t="shared" si="1"/>
        <v>swim,</v>
      </c>
      <c r="I3322" s="50"/>
      <c r="J3322" s="50"/>
      <c r="K3322" s="50" t="s">
        <v>4858</v>
      </c>
      <c r="L3322" s="49"/>
      <c r="M3322" s="49"/>
      <c r="N3322" s="50"/>
      <c r="O3322" s="49"/>
      <c r="P3322" s="49" t="str">
        <f t="shared" si="2"/>
        <v>,</v>
      </c>
      <c r="Q3322" s="49"/>
      <c r="R3322" s="49"/>
      <c r="S3322" s="55" t="s">
        <v>6064</v>
      </c>
      <c r="T3322" s="49"/>
      <c r="U3322" s="49"/>
      <c r="V3322" s="49"/>
      <c r="W3322" s="49"/>
      <c r="X3322" s="49" t="str">
        <f t="shared" si="3"/>
        <v>,</v>
      </c>
      <c r="Y3322" s="49"/>
      <c r="Z3322" s="49"/>
      <c r="AB3322" s="49"/>
      <c r="AC3322" s="49"/>
      <c r="AD3322" s="49"/>
      <c r="AE3322" s="49"/>
      <c r="AF3322" s="49"/>
      <c r="AG3322" s="49"/>
      <c r="AH3322" s="49"/>
      <c r="AI3322" s="1" t="s">
        <v>4124</v>
      </c>
      <c r="AJ3322" s="6"/>
      <c r="AK3322" s="49"/>
      <c r="AL3322" s="49"/>
      <c r="AM3322" s="49"/>
      <c r="AN3322" s="52" t="str">
        <f t="shared" si="5"/>
        <v>,</v>
      </c>
      <c r="AP3322" s="49"/>
      <c r="AQ3322" s="49"/>
      <c r="AR3322" s="49"/>
      <c r="AS3322" s="49"/>
      <c r="AT3322" s="49"/>
    </row>
    <row r="3323">
      <c r="A3323" s="51"/>
      <c r="B3323" s="50" t="s">
        <v>6185</v>
      </c>
      <c r="C3323" s="50" t="s">
        <v>4006</v>
      </c>
      <c r="D3323" s="49" t="str">
        <f>IFERROR(__xludf.DUMMYFUNCTION("""COMPUTED_VALUE"""),"writers")</f>
        <v>writers</v>
      </c>
      <c r="E3323" s="49"/>
      <c r="F3323" s="49"/>
      <c r="G3323" s="49"/>
      <c r="H3323" s="54" t="str">
        <f t="shared" si="1"/>
        <v>defensive,</v>
      </c>
      <c r="I3323" s="50"/>
      <c r="J3323" s="50"/>
      <c r="K3323" s="50">
        <v>1975.0</v>
      </c>
      <c r="L3323" s="49"/>
      <c r="M3323" s="49"/>
      <c r="N3323" s="50"/>
      <c r="O3323" s="49"/>
      <c r="P3323" s="49" t="str">
        <f t="shared" si="2"/>
        <v>,</v>
      </c>
      <c r="Q3323" s="49"/>
      <c r="R3323" s="49"/>
      <c r="S3323" s="55" t="s">
        <v>7057</v>
      </c>
      <c r="T3323" s="49"/>
      <c r="U3323" s="49"/>
      <c r="V3323" s="49"/>
      <c r="W3323" s="49"/>
      <c r="X3323" s="49" t="str">
        <f t="shared" si="3"/>
        <v>,</v>
      </c>
      <c r="Y3323" s="49"/>
      <c r="Z3323" s="49"/>
      <c r="AB3323" s="49"/>
      <c r="AC3323" s="49"/>
      <c r="AD3323" s="49"/>
      <c r="AE3323" s="49"/>
      <c r="AF3323" s="49"/>
      <c r="AG3323" s="49"/>
      <c r="AH3323" s="49"/>
      <c r="AI3323" s="1" t="s">
        <v>4019</v>
      </c>
      <c r="AJ3323" s="6"/>
      <c r="AK3323" s="49"/>
      <c r="AL3323" s="49"/>
      <c r="AM3323" s="49"/>
      <c r="AN3323" s="52" t="str">
        <f t="shared" si="5"/>
        <v>,</v>
      </c>
      <c r="AP3323" s="49"/>
      <c r="AQ3323" s="49"/>
      <c r="AR3323" s="49"/>
      <c r="AS3323" s="49"/>
      <c r="AT3323" s="49"/>
    </row>
    <row r="3324">
      <c r="A3324" s="51"/>
      <c r="B3324" s="50" t="s">
        <v>2540</v>
      </c>
      <c r="C3324" s="50" t="s">
        <v>5506</v>
      </c>
      <c r="D3324" s="49">
        <f>IFERROR(__xludf.DUMMYFUNCTION("""COMPUTED_VALUE"""),87.0)</f>
        <v>87</v>
      </c>
      <c r="E3324" s="49"/>
      <c r="F3324" s="49"/>
      <c r="G3324" s="49"/>
      <c r="H3324" s="54" t="str">
        <f t="shared" si="1"/>
        <v>focused,</v>
      </c>
      <c r="I3324" s="50"/>
      <c r="J3324" s="50"/>
      <c r="K3324" s="50" t="s">
        <v>5750</v>
      </c>
      <c r="L3324" s="49"/>
      <c r="M3324" s="49"/>
      <c r="N3324" s="50"/>
      <c r="O3324" s="49"/>
      <c r="P3324" s="49" t="str">
        <f t="shared" si="2"/>
        <v>,</v>
      </c>
      <c r="Q3324" s="49"/>
      <c r="R3324" s="49"/>
      <c r="S3324" s="55" t="s">
        <v>3878</v>
      </c>
      <c r="T3324" s="49"/>
      <c r="U3324" s="49"/>
      <c r="V3324" s="49"/>
      <c r="W3324" s="49"/>
      <c r="X3324" s="49" t="str">
        <f t="shared" si="3"/>
        <v>,</v>
      </c>
      <c r="Y3324" s="49"/>
      <c r="Z3324" s="49"/>
      <c r="AB3324" s="49"/>
      <c r="AC3324" s="49"/>
      <c r="AD3324" s="49"/>
      <c r="AE3324" s="49"/>
      <c r="AF3324" s="49"/>
      <c r="AG3324" s="49"/>
      <c r="AH3324" s="49"/>
      <c r="AI3324" s="1" t="s">
        <v>2789</v>
      </c>
      <c r="AJ3324" s="6"/>
      <c r="AK3324" s="49"/>
      <c r="AL3324" s="49"/>
      <c r="AM3324" s="49"/>
      <c r="AN3324" s="52" t="str">
        <f t="shared" si="5"/>
        <v>,</v>
      </c>
      <c r="AP3324" s="49"/>
      <c r="AQ3324" s="49"/>
      <c r="AR3324" s="49"/>
      <c r="AS3324" s="49"/>
      <c r="AT3324" s="49"/>
    </row>
    <row r="3325">
      <c r="A3325" s="51"/>
      <c r="B3325" s="50" t="s">
        <v>334</v>
      </c>
      <c r="C3325" s="50" t="s">
        <v>4450</v>
      </c>
      <c r="D3325" s="49" t="str">
        <f>IFERROR(__xludf.DUMMYFUNCTION("""COMPUTED_VALUE"""),"draw")</f>
        <v>draw</v>
      </c>
      <c r="E3325" s="49"/>
      <c r="F3325" s="49"/>
      <c r="G3325" s="49"/>
      <c r="H3325" s="54" t="str">
        <f t="shared" si="1"/>
        <v>happening,</v>
      </c>
      <c r="I3325" s="50"/>
      <c r="J3325" s="50"/>
      <c r="K3325" s="50" t="s">
        <v>3072</v>
      </c>
      <c r="L3325" s="49"/>
      <c r="M3325" s="49"/>
      <c r="N3325" s="50"/>
      <c r="O3325" s="49"/>
      <c r="P3325" s="49" t="str">
        <f t="shared" si="2"/>
        <v>,</v>
      </c>
      <c r="Q3325" s="49"/>
      <c r="R3325" s="49"/>
      <c r="S3325" s="55" t="s">
        <v>2984</v>
      </c>
      <c r="T3325" s="49"/>
      <c r="U3325" s="49"/>
      <c r="V3325" s="49"/>
      <c r="W3325" s="49"/>
      <c r="X3325" s="49" t="str">
        <f t="shared" si="3"/>
        <v>,</v>
      </c>
      <c r="Y3325" s="49"/>
      <c r="Z3325" s="49"/>
      <c r="AB3325" s="49"/>
      <c r="AC3325" s="49"/>
      <c r="AD3325" s="49"/>
      <c r="AE3325" s="49"/>
      <c r="AF3325" s="49"/>
      <c r="AG3325" s="49"/>
      <c r="AH3325" s="49"/>
      <c r="AI3325" s="1" t="s">
        <v>7058</v>
      </c>
      <c r="AJ3325" s="6"/>
      <c r="AK3325" s="49"/>
      <c r="AL3325" s="49"/>
      <c r="AM3325" s="49"/>
      <c r="AN3325" s="52" t="str">
        <f t="shared" si="5"/>
        <v>,</v>
      </c>
      <c r="AP3325" s="49"/>
      <c r="AQ3325" s="49"/>
      <c r="AR3325" s="49"/>
      <c r="AS3325" s="49"/>
      <c r="AT3325" s="49"/>
    </row>
    <row r="3326">
      <c r="A3326" s="51"/>
      <c r="B3326" s="50" t="s">
        <v>4411</v>
      </c>
      <c r="C3326" s="50" t="s">
        <v>6048</v>
      </c>
      <c r="D3326" s="49" t="str">
        <f>IFERROR(__xludf.DUMMYFUNCTION("""COMPUTED_VALUE"""),"guitar")</f>
        <v>guitar</v>
      </c>
      <c r="E3326" s="49"/>
      <c r="F3326" s="49"/>
      <c r="G3326" s="49"/>
      <c r="H3326" s="54" t="str">
        <f t="shared" si="1"/>
        <v>replaced,</v>
      </c>
      <c r="I3326" s="50"/>
      <c r="J3326" s="50"/>
      <c r="K3326" s="50" t="s">
        <v>4863</v>
      </c>
      <c r="L3326" s="49"/>
      <c r="M3326" s="49"/>
      <c r="N3326" s="50"/>
      <c r="O3326" s="49"/>
      <c r="P3326" s="49" t="str">
        <f t="shared" si="2"/>
        <v>,</v>
      </c>
      <c r="Q3326" s="49"/>
      <c r="R3326" s="49"/>
      <c r="S3326" s="55" t="s">
        <v>3881</v>
      </c>
      <c r="T3326" s="49"/>
      <c r="U3326" s="49"/>
      <c r="V3326" s="49"/>
      <c r="W3326" s="49"/>
      <c r="X3326" s="49" t="str">
        <f t="shared" si="3"/>
        <v>,</v>
      </c>
      <c r="Y3326" s="49"/>
      <c r="Z3326" s="49"/>
      <c r="AB3326" s="49"/>
      <c r="AC3326" s="49"/>
      <c r="AD3326" s="49"/>
      <c r="AE3326" s="49"/>
      <c r="AF3326" s="49"/>
      <c r="AG3326" s="49"/>
      <c r="AH3326" s="49"/>
      <c r="AI3326" s="1" t="s">
        <v>7059</v>
      </c>
      <c r="AJ3326" s="6"/>
      <c r="AK3326" s="49"/>
      <c r="AL3326" s="49"/>
      <c r="AM3326" s="49"/>
      <c r="AN3326" s="52" t="str">
        <f t="shared" si="5"/>
        <v>,</v>
      </c>
      <c r="AP3326" s="49"/>
      <c r="AQ3326" s="49"/>
      <c r="AR3326" s="49"/>
      <c r="AS3326" s="49"/>
      <c r="AT3326" s="49"/>
    </row>
    <row r="3327">
      <c r="A3327" s="51"/>
      <c r="B3327" s="50" t="s">
        <v>4562</v>
      </c>
      <c r="C3327" s="50">
        <v>95.0</v>
      </c>
      <c r="D3327" s="49" t="str">
        <f>IFERROR(__xludf.DUMMYFUNCTION("""COMPUTED_VALUE"""),"page")</f>
        <v>page</v>
      </c>
      <c r="E3327" s="49"/>
      <c r="F3327" s="49"/>
      <c r="G3327" s="49"/>
      <c r="H3327" s="54" t="str">
        <f t="shared" si="1"/>
        <v>grin,</v>
      </c>
      <c r="I3327" s="50"/>
      <c r="J3327" s="50"/>
      <c r="K3327" s="50" t="s">
        <v>3077</v>
      </c>
      <c r="L3327" s="49"/>
      <c r="M3327" s="49"/>
      <c r="N3327" s="50"/>
      <c r="O3327" s="49"/>
      <c r="P3327" s="49" t="str">
        <f t="shared" si="2"/>
        <v>,</v>
      </c>
      <c r="Q3327" s="49"/>
      <c r="R3327" s="49"/>
      <c r="S3327" s="55" t="s">
        <v>2987</v>
      </c>
      <c r="T3327" s="49"/>
      <c r="U3327" s="49"/>
      <c r="V3327" s="49"/>
      <c r="W3327" s="49"/>
      <c r="X3327" s="49" t="str">
        <f t="shared" si="3"/>
        <v>,</v>
      </c>
      <c r="Y3327" s="49"/>
      <c r="Z3327" s="49"/>
      <c r="AB3327" s="49"/>
      <c r="AC3327" s="49"/>
      <c r="AD3327" s="49"/>
      <c r="AE3327" s="49"/>
      <c r="AF3327" s="49"/>
      <c r="AG3327" s="49"/>
      <c r="AH3327" s="49"/>
      <c r="AI3327" s="1" t="s">
        <v>6140</v>
      </c>
      <c r="AJ3327" s="6"/>
      <c r="AK3327" s="49"/>
      <c r="AL3327" s="49"/>
      <c r="AM3327" s="49"/>
      <c r="AN3327" s="52" t="str">
        <f t="shared" si="5"/>
        <v>,</v>
      </c>
      <c r="AP3327" s="49"/>
      <c r="AQ3327" s="49"/>
      <c r="AR3327" s="49"/>
      <c r="AS3327" s="49"/>
      <c r="AT3327" s="49"/>
    </row>
    <row r="3328">
      <c r="A3328" s="51"/>
      <c r="B3328" s="50" t="s">
        <v>5196</v>
      </c>
      <c r="C3328" s="50" t="s">
        <v>835</v>
      </c>
      <c r="D3328" s="49" t="str">
        <f>IFERROR(__xludf.DUMMYFUNCTION("""COMPUTED_VALUE"""),"automatically")</f>
        <v>automatically</v>
      </c>
      <c r="E3328" s="49"/>
      <c r="F3328" s="49"/>
      <c r="G3328" s="49"/>
      <c r="H3328" s="54" t="str">
        <f t="shared" si="1"/>
        <v>reflect,</v>
      </c>
      <c r="I3328" s="50"/>
      <c r="J3328" s="50"/>
      <c r="K3328" s="50" t="s">
        <v>4865</v>
      </c>
      <c r="L3328" s="49"/>
      <c r="M3328" s="49"/>
      <c r="N3328" s="50"/>
      <c r="O3328" s="49"/>
      <c r="P3328" s="49" t="str">
        <f t="shared" si="2"/>
        <v>,</v>
      </c>
      <c r="Q3328" s="49"/>
      <c r="R3328" s="49"/>
      <c r="S3328" s="55" t="s">
        <v>6959</v>
      </c>
      <c r="T3328" s="49"/>
      <c r="U3328" s="49"/>
      <c r="V3328" s="49"/>
      <c r="W3328" s="49"/>
      <c r="X3328" s="49" t="str">
        <f t="shared" si="3"/>
        <v>,</v>
      </c>
      <c r="Y3328" s="49"/>
      <c r="Z3328" s="49"/>
      <c r="AB3328" s="49"/>
      <c r="AC3328" s="49"/>
      <c r="AD3328" s="49"/>
      <c r="AE3328" s="49"/>
      <c r="AF3328" s="49"/>
      <c r="AG3328" s="49"/>
      <c r="AH3328" s="49"/>
      <c r="AI3328" s="1" t="s">
        <v>6160</v>
      </c>
      <c r="AJ3328" s="6"/>
      <c r="AK3328" s="49"/>
      <c r="AL3328" s="49"/>
      <c r="AM3328" s="49"/>
      <c r="AN3328" s="52" t="str">
        <f t="shared" si="5"/>
        <v>,</v>
      </c>
      <c r="AP3328" s="49"/>
      <c r="AQ3328" s="49"/>
      <c r="AR3328" s="49"/>
      <c r="AS3328" s="49"/>
      <c r="AT3328" s="49"/>
    </row>
    <row r="3329">
      <c r="A3329" s="51"/>
      <c r="B3329" s="50" t="s">
        <v>2818</v>
      </c>
      <c r="C3329" s="50" t="s">
        <v>4930</v>
      </c>
      <c r="D3329" s="49" t="str">
        <f>IFERROR(__xludf.DUMMYFUNCTION("""COMPUTED_VALUE"""),"improve")</f>
        <v>improve</v>
      </c>
      <c r="E3329" s="49"/>
      <c r="F3329" s="49"/>
      <c r="G3329" s="49"/>
      <c r="H3329" s="54" t="str">
        <f t="shared" si="1"/>
        <v>spanish,</v>
      </c>
      <c r="I3329" s="50"/>
      <c r="J3329" s="50"/>
      <c r="K3329" s="50" t="s">
        <v>4866</v>
      </c>
      <c r="L3329" s="49"/>
      <c r="M3329" s="49"/>
      <c r="N3329" s="50"/>
      <c r="O3329" s="49"/>
      <c r="P3329" s="49" t="str">
        <f t="shared" si="2"/>
        <v>,</v>
      </c>
      <c r="Q3329" s="49"/>
      <c r="R3329" s="49"/>
      <c r="S3329" s="55" t="s">
        <v>5685</v>
      </c>
      <c r="T3329" s="49"/>
      <c r="U3329" s="49"/>
      <c r="V3329" s="49"/>
      <c r="W3329" s="49"/>
      <c r="X3329" s="49" t="str">
        <f t="shared" si="3"/>
        <v>,</v>
      </c>
      <c r="Y3329" s="49"/>
      <c r="Z3329" s="49"/>
      <c r="AB3329" s="49"/>
      <c r="AC3329" s="49"/>
      <c r="AD3329" s="49"/>
      <c r="AE3329" s="49"/>
      <c r="AF3329" s="49"/>
      <c r="AG3329" s="49"/>
      <c r="AH3329" s="49"/>
      <c r="AI3329" s="1" t="s">
        <v>7060</v>
      </c>
      <c r="AJ3329" s="6"/>
      <c r="AK3329" s="49"/>
      <c r="AL3329" s="49"/>
      <c r="AM3329" s="49"/>
      <c r="AN3329" s="52" t="str">
        <f t="shared" si="5"/>
        <v>,</v>
      </c>
      <c r="AP3329" s="49"/>
      <c r="AQ3329" s="49"/>
      <c r="AR3329" s="49"/>
      <c r="AS3329" s="49"/>
      <c r="AT3329" s="49"/>
    </row>
    <row r="3330">
      <c r="A3330" s="51"/>
      <c r="B3330" s="50" t="s">
        <v>6646</v>
      </c>
      <c r="C3330" s="50" t="s">
        <v>5940</v>
      </c>
      <c r="D3330" s="49" t="str">
        <f>IFERROR(__xludf.DUMMYFUNCTION("""COMPUTED_VALUE"""),"solely")</f>
        <v>solely</v>
      </c>
      <c r="E3330" s="49"/>
      <c r="F3330" s="49"/>
      <c r="G3330" s="49"/>
      <c r="H3330" s="54" t="str">
        <f t="shared" si="1"/>
        <v>zero,</v>
      </c>
      <c r="I3330" s="50"/>
      <c r="J3330" s="50"/>
      <c r="K3330" s="50" t="s">
        <v>4868</v>
      </c>
      <c r="L3330" s="49"/>
      <c r="M3330" s="49"/>
      <c r="N3330" s="50"/>
      <c r="O3330" s="49"/>
      <c r="P3330" s="49" t="str">
        <f t="shared" si="2"/>
        <v>,</v>
      </c>
      <c r="Q3330" s="49"/>
      <c r="R3330" s="49"/>
      <c r="S3330" s="55" t="s">
        <v>4910</v>
      </c>
      <c r="T3330" s="49"/>
      <c r="U3330" s="49"/>
      <c r="V3330" s="49"/>
      <c r="W3330" s="49"/>
      <c r="X3330" s="49" t="str">
        <f t="shared" si="3"/>
        <v>,</v>
      </c>
      <c r="Y3330" s="49"/>
      <c r="Z3330" s="49"/>
      <c r="AB3330" s="49"/>
      <c r="AC3330" s="49"/>
      <c r="AD3330" s="49"/>
      <c r="AE3330" s="49"/>
      <c r="AF3330" s="49"/>
      <c r="AG3330" s="49"/>
      <c r="AH3330" s="49"/>
      <c r="AI3330" s="1" t="s">
        <v>7061</v>
      </c>
      <c r="AJ3330" s="6"/>
      <c r="AK3330" s="49"/>
      <c r="AL3330" s="49"/>
      <c r="AM3330" s="49"/>
      <c r="AN3330" s="52" t="str">
        <f t="shared" si="5"/>
        <v>,</v>
      </c>
      <c r="AP3330" s="49"/>
      <c r="AQ3330" s="49"/>
      <c r="AR3330" s="49"/>
      <c r="AS3330" s="49"/>
      <c r="AT3330" s="49"/>
    </row>
    <row r="3331">
      <c r="A3331" s="51"/>
      <c r="B3331" s="50" t="s">
        <v>1940</v>
      </c>
      <c r="C3331" s="50" t="s">
        <v>3741</v>
      </c>
      <c r="D3331" s="49" t="str">
        <f>IFERROR(__xludf.DUMMYFUNCTION("""COMPUTED_VALUE"""),"breed")</f>
        <v>breed</v>
      </c>
      <c r="E3331" s="49"/>
      <c r="F3331" s="49"/>
      <c r="G3331" s="49"/>
      <c r="H3331" s="54" t="str">
        <f t="shared" si="1"/>
        <v>cutting,</v>
      </c>
      <c r="I3331" s="50"/>
      <c r="J3331" s="50"/>
      <c r="K3331" s="50" t="s">
        <v>4870</v>
      </c>
      <c r="L3331" s="49"/>
      <c r="M3331" s="49"/>
      <c r="N3331" s="50"/>
      <c r="O3331" s="49"/>
      <c r="P3331" s="49" t="str">
        <f t="shared" si="2"/>
        <v>,</v>
      </c>
      <c r="Q3331" s="49"/>
      <c r="R3331" s="49"/>
      <c r="S3331" s="55" t="s">
        <v>227</v>
      </c>
      <c r="T3331" s="49"/>
      <c r="U3331" s="49"/>
      <c r="V3331" s="49"/>
      <c r="W3331" s="49"/>
      <c r="X3331" s="49" t="str">
        <f t="shared" si="3"/>
        <v>,</v>
      </c>
      <c r="Y3331" s="49"/>
      <c r="Z3331" s="49"/>
      <c r="AB3331" s="49"/>
      <c r="AC3331" s="49"/>
      <c r="AD3331" s="49"/>
      <c r="AE3331" s="49"/>
      <c r="AF3331" s="49"/>
      <c r="AG3331" s="49"/>
      <c r="AH3331" s="49"/>
      <c r="AI3331" s="1" t="s">
        <v>5877</v>
      </c>
      <c r="AJ3331" s="6"/>
      <c r="AK3331" s="49"/>
      <c r="AL3331" s="49"/>
      <c r="AM3331" s="49"/>
      <c r="AN3331" s="52" t="str">
        <f t="shared" si="5"/>
        <v>,</v>
      </c>
      <c r="AP3331" s="49"/>
      <c r="AQ3331" s="49"/>
      <c r="AR3331" s="49"/>
      <c r="AS3331" s="49"/>
      <c r="AT3331" s="49"/>
    </row>
    <row r="3332">
      <c r="A3332" s="51"/>
      <c r="B3332" s="50">
        <v>1959.0</v>
      </c>
      <c r="C3332" s="50" t="s">
        <v>4513</v>
      </c>
      <c r="D3332" s="49" t="str">
        <f>IFERROR(__xludf.DUMMYFUNCTION("""COMPUTED_VALUE"""),"experimental")</f>
        <v>experimental</v>
      </c>
      <c r="E3332" s="49"/>
      <c r="F3332" s="49"/>
      <c r="G3332" s="49"/>
      <c r="H3332" s="54" t="str">
        <f t="shared" si="1"/>
        <v>1959,</v>
      </c>
      <c r="I3332" s="50"/>
      <c r="J3332" s="50"/>
      <c r="K3332" s="50" t="s">
        <v>3083</v>
      </c>
      <c r="L3332" s="49"/>
      <c r="M3332" s="49"/>
      <c r="N3332" s="50"/>
      <c r="O3332" s="49"/>
      <c r="P3332" s="49" t="str">
        <f t="shared" si="2"/>
        <v>,</v>
      </c>
      <c r="Q3332" s="49"/>
      <c r="R3332" s="49"/>
      <c r="S3332" s="55" t="s">
        <v>4754</v>
      </c>
      <c r="T3332" s="49"/>
      <c r="U3332" s="49"/>
      <c r="V3332" s="49"/>
      <c r="W3332" s="49"/>
      <c r="X3332" s="49" t="str">
        <f t="shared" si="3"/>
        <v>,</v>
      </c>
      <c r="Y3332" s="49"/>
      <c r="Z3332" s="49"/>
      <c r="AB3332" s="49"/>
      <c r="AC3332" s="49"/>
      <c r="AD3332" s="49"/>
      <c r="AE3332" s="49"/>
      <c r="AF3332" s="49"/>
      <c r="AG3332" s="49"/>
      <c r="AH3332" s="49"/>
      <c r="AI3332" s="1" t="s">
        <v>6187</v>
      </c>
      <c r="AJ3332" s="6"/>
      <c r="AK3332" s="49"/>
      <c r="AL3332" s="49"/>
      <c r="AM3332" s="49"/>
      <c r="AN3332" s="52" t="str">
        <f t="shared" si="5"/>
        <v>,</v>
      </c>
      <c r="AP3332" s="49"/>
      <c r="AQ3332" s="49"/>
      <c r="AR3332" s="49"/>
      <c r="AS3332" s="49"/>
      <c r="AT3332" s="49"/>
    </row>
    <row r="3333">
      <c r="A3333" s="51"/>
      <c r="B3333" s="50" t="s">
        <v>3347</v>
      </c>
      <c r="C3333" s="50" t="s">
        <v>6027</v>
      </c>
      <c r="D3333" s="49" t="str">
        <f>IFERROR(__xludf.DUMMYFUNCTION("""COMPUTED_VALUE"""),"creatures")</f>
        <v>creatures</v>
      </c>
      <c r="E3333" s="49"/>
      <c r="F3333" s="49"/>
      <c r="G3333" s="49"/>
      <c r="H3333" s="54" t="str">
        <f t="shared" si="1"/>
        <v>dug,</v>
      </c>
      <c r="I3333" s="50"/>
      <c r="J3333" s="50"/>
      <c r="K3333" s="50" t="s">
        <v>3086</v>
      </c>
      <c r="L3333" s="49"/>
      <c r="M3333" s="49"/>
      <c r="N3333" s="50"/>
      <c r="O3333" s="49"/>
      <c r="P3333" s="49" t="str">
        <f t="shared" si="2"/>
        <v>,</v>
      </c>
      <c r="Q3333" s="49"/>
      <c r="R3333" s="49"/>
      <c r="S3333" s="55" t="s">
        <v>7062</v>
      </c>
      <c r="T3333" s="49"/>
      <c r="U3333" s="49"/>
      <c r="V3333" s="49"/>
      <c r="W3333" s="49"/>
      <c r="X3333" s="49" t="str">
        <f t="shared" si="3"/>
        <v>,</v>
      </c>
      <c r="Y3333" s="49"/>
      <c r="Z3333" s="49"/>
      <c r="AB3333" s="49"/>
      <c r="AC3333" s="49"/>
      <c r="AD3333" s="49"/>
      <c r="AE3333" s="49"/>
      <c r="AF3333" s="49"/>
      <c r="AG3333" s="49"/>
      <c r="AH3333" s="49"/>
      <c r="AI3333" s="1">
        <v>21.0</v>
      </c>
      <c r="AJ3333" s="6"/>
      <c r="AK3333" s="49"/>
      <c r="AL3333" s="49"/>
      <c r="AM3333" s="49"/>
      <c r="AN3333" s="52" t="str">
        <f t="shared" si="5"/>
        <v>,</v>
      </c>
      <c r="AP3333" s="49"/>
      <c r="AQ3333" s="49"/>
      <c r="AR3333" s="49"/>
      <c r="AS3333" s="49"/>
      <c r="AT3333" s="49"/>
    </row>
    <row r="3334">
      <c r="A3334" s="51"/>
      <c r="B3334" s="50" t="s">
        <v>2603</v>
      </c>
      <c r="C3334" s="50" t="s">
        <v>5946</v>
      </c>
      <c r="D3334" s="49" t="str">
        <f>IFERROR(__xludf.DUMMYFUNCTION("""COMPUTED_VALUE"""),"trained")</f>
        <v>trained</v>
      </c>
      <c r="E3334" s="49"/>
      <c r="F3334" s="49"/>
      <c r="G3334" s="49"/>
      <c r="H3334" s="54" t="str">
        <f t="shared" si="1"/>
        <v>darker,</v>
      </c>
      <c r="I3334" s="50"/>
      <c r="J3334" s="50"/>
      <c r="K3334" s="50" t="s">
        <v>1268</v>
      </c>
      <c r="L3334" s="49"/>
      <c r="M3334" s="49"/>
      <c r="N3334" s="50"/>
      <c r="O3334" s="49"/>
      <c r="P3334" s="49" t="str">
        <f t="shared" si="2"/>
        <v>,</v>
      </c>
      <c r="Q3334" s="49"/>
      <c r="R3334" s="49"/>
      <c r="S3334" s="55" t="s">
        <v>7063</v>
      </c>
      <c r="T3334" s="49"/>
      <c r="U3334" s="49"/>
      <c r="V3334" s="49"/>
      <c r="W3334" s="49"/>
      <c r="X3334" s="49" t="str">
        <f t="shared" si="3"/>
        <v>,</v>
      </c>
      <c r="Y3334" s="49"/>
      <c r="Z3334" s="49"/>
      <c r="AB3334" s="49"/>
      <c r="AC3334" s="49"/>
      <c r="AD3334" s="49"/>
      <c r="AE3334" s="49"/>
      <c r="AF3334" s="49"/>
      <c r="AG3334" s="49"/>
      <c r="AH3334" s="49"/>
      <c r="AI3334" s="1" t="s">
        <v>7064</v>
      </c>
      <c r="AJ3334" s="6"/>
      <c r="AK3334" s="49"/>
      <c r="AL3334" s="49"/>
      <c r="AM3334" s="49"/>
      <c r="AN3334" s="52" t="str">
        <f t="shared" si="5"/>
        <v>,</v>
      </c>
      <c r="AP3334" s="49"/>
      <c r="AQ3334" s="49"/>
      <c r="AR3334" s="49"/>
      <c r="AS3334" s="49"/>
      <c r="AT3334" s="49"/>
    </row>
    <row r="3335">
      <c r="A3335" s="51"/>
      <c r="B3335" s="50" t="s">
        <v>5947</v>
      </c>
      <c r="C3335" s="50" t="s">
        <v>750</v>
      </c>
      <c r="D3335" s="49" t="str">
        <f>IFERROR(__xludf.DUMMYFUNCTION("""COMPUTED_VALUE"""),"manager")</f>
        <v>manager</v>
      </c>
      <c r="E3335" s="49"/>
      <c r="F3335" s="49"/>
      <c r="G3335" s="49"/>
      <c r="H3335" s="54" t="str">
        <f t="shared" si="1"/>
        <v>instance,</v>
      </c>
      <c r="I3335" s="50"/>
      <c r="J3335" s="50"/>
      <c r="K3335" s="50" t="s">
        <v>6071</v>
      </c>
      <c r="L3335" s="49"/>
      <c r="M3335" s="49"/>
      <c r="N3335" s="50"/>
      <c r="O3335" s="49"/>
      <c r="P3335" s="49" t="str">
        <f t="shared" si="2"/>
        <v>,</v>
      </c>
      <c r="Q3335" s="49"/>
      <c r="R3335" s="49"/>
      <c r="S3335" s="55" t="s">
        <v>7065</v>
      </c>
      <c r="T3335" s="49"/>
      <c r="U3335" s="49"/>
      <c r="V3335" s="49"/>
      <c r="W3335" s="49"/>
      <c r="X3335" s="49" t="str">
        <f t="shared" si="3"/>
        <v>,</v>
      </c>
      <c r="Y3335" s="49"/>
      <c r="Z3335" s="49"/>
      <c r="AB3335" s="49"/>
      <c r="AC3335" s="49"/>
      <c r="AD3335" s="49"/>
      <c r="AE3335" s="49"/>
      <c r="AF3335" s="49"/>
      <c r="AG3335" s="49"/>
      <c r="AH3335" s="49"/>
      <c r="AI3335" s="1" t="s">
        <v>4023</v>
      </c>
      <c r="AJ3335" s="6"/>
      <c r="AK3335" s="49"/>
      <c r="AL3335" s="49"/>
      <c r="AM3335" s="49"/>
      <c r="AN3335" s="52" t="str">
        <f t="shared" si="5"/>
        <v>,</v>
      </c>
      <c r="AP3335" s="49"/>
      <c r="AQ3335" s="49"/>
      <c r="AR3335" s="49"/>
      <c r="AS3335" s="49"/>
      <c r="AT3335" s="49"/>
    </row>
    <row r="3336">
      <c r="A3336" s="51"/>
      <c r="B3336" s="50" t="s">
        <v>7169</v>
      </c>
      <c r="C3336" s="50" t="s">
        <v>2718</v>
      </c>
      <c r="D3336" s="49" t="str">
        <f>IFERROR(__xludf.DUMMYFUNCTION("""COMPUTED_VALUE"""),"pan")</f>
        <v>pan</v>
      </c>
      <c r="E3336" s="49"/>
      <c r="F3336" s="49"/>
      <c r="G3336" s="49"/>
      <c r="H3336" s="54" t="str">
        <f t="shared" si="1"/>
        <v>lasting,</v>
      </c>
      <c r="I3336" s="50"/>
      <c r="J3336" s="50"/>
      <c r="K3336" s="50" t="s">
        <v>4874</v>
      </c>
      <c r="L3336" s="49"/>
      <c r="M3336" s="49"/>
      <c r="N3336" s="50"/>
      <c r="O3336" s="49"/>
      <c r="P3336" s="49" t="str">
        <f t="shared" si="2"/>
        <v>,</v>
      </c>
      <c r="Q3336" s="49"/>
      <c r="R3336" s="49"/>
      <c r="S3336" s="55" t="s">
        <v>2989</v>
      </c>
      <c r="T3336" s="49"/>
      <c r="U3336" s="49"/>
      <c r="V3336" s="49"/>
      <c r="W3336" s="49"/>
      <c r="X3336" s="49" t="str">
        <f t="shared" si="3"/>
        <v>,</v>
      </c>
      <c r="Y3336" s="49"/>
      <c r="Z3336" s="49"/>
      <c r="AB3336" s="49"/>
      <c r="AC3336" s="49"/>
      <c r="AD3336" s="49"/>
      <c r="AE3336" s="49"/>
      <c r="AF3336" s="49"/>
      <c r="AG3336" s="49"/>
      <c r="AH3336" s="49"/>
      <c r="AI3336" s="1" t="s">
        <v>7066</v>
      </c>
      <c r="AJ3336" s="6"/>
      <c r="AK3336" s="49"/>
      <c r="AL3336" s="49"/>
      <c r="AM3336" s="49"/>
      <c r="AN3336" s="52" t="str">
        <f t="shared" si="5"/>
        <v>,</v>
      </c>
      <c r="AP3336" s="49"/>
      <c r="AQ3336" s="49"/>
      <c r="AR3336" s="49"/>
      <c r="AS3336" s="49"/>
      <c r="AT3336" s="49"/>
    </row>
    <row r="3337">
      <c r="A3337" s="51"/>
      <c r="B3337" s="50" t="s">
        <v>5026</v>
      </c>
      <c r="C3337" s="50" t="s">
        <v>2124</v>
      </c>
      <c r="D3337" s="49" t="str">
        <f>IFERROR(__xludf.DUMMYFUNCTION("""COMPUTED_VALUE"""),"phoenix")</f>
        <v>phoenix</v>
      </c>
      <c r="E3337" s="49"/>
      <c r="F3337" s="49"/>
      <c r="G3337" s="49"/>
      <c r="H3337" s="54" t="str">
        <f t="shared" si="1"/>
        <v>gaze,</v>
      </c>
      <c r="I3337" s="50"/>
      <c r="J3337" s="50"/>
      <c r="K3337" s="50">
        <v>1973.0</v>
      </c>
      <c r="L3337" s="49"/>
      <c r="M3337" s="49"/>
      <c r="N3337" s="50"/>
      <c r="O3337" s="49"/>
      <c r="P3337" s="49" t="str">
        <f t="shared" si="2"/>
        <v>,</v>
      </c>
      <c r="Q3337" s="49"/>
      <c r="R3337" s="49"/>
      <c r="S3337" s="55" t="s">
        <v>2993</v>
      </c>
      <c r="T3337" s="49"/>
      <c r="U3337" s="49"/>
      <c r="V3337" s="49"/>
      <c r="W3337" s="49"/>
      <c r="X3337" s="49" t="str">
        <f t="shared" si="3"/>
        <v>,</v>
      </c>
      <c r="Y3337" s="49"/>
      <c r="Z3337" s="49"/>
      <c r="AB3337" s="49"/>
      <c r="AC3337" s="49"/>
      <c r="AD3337" s="49"/>
      <c r="AE3337" s="49"/>
      <c r="AF3337" s="49"/>
      <c r="AG3337" s="49"/>
      <c r="AH3337" s="49"/>
      <c r="AI3337" s="1" t="s">
        <v>3331</v>
      </c>
      <c r="AJ3337" s="6"/>
      <c r="AK3337" s="49"/>
      <c r="AL3337" s="49"/>
      <c r="AM3337" s="49"/>
      <c r="AN3337" s="52" t="str">
        <f t="shared" si="5"/>
        <v>,</v>
      </c>
      <c r="AP3337" s="49"/>
      <c r="AQ3337" s="49"/>
      <c r="AR3337" s="49"/>
      <c r="AS3337" s="49"/>
      <c r="AT3337" s="49"/>
    </row>
    <row r="3338">
      <c r="A3338" s="51"/>
      <c r="B3338" s="50" t="s">
        <v>1411</v>
      </c>
      <c r="C3338" s="50" t="s">
        <v>7067</v>
      </c>
      <c r="D3338" s="49" t="str">
        <f>IFERROR(__xludf.DUMMYFUNCTION("""COMPUTED_VALUE"""),"views")</f>
        <v>views</v>
      </c>
      <c r="E3338" s="49"/>
      <c r="F3338" s="49"/>
      <c r="G3338" s="49"/>
      <c r="H3338" s="54" t="str">
        <f t="shared" si="1"/>
        <v>beings,</v>
      </c>
      <c r="I3338" s="50"/>
      <c r="J3338" s="50"/>
      <c r="K3338" s="50" t="s">
        <v>3089</v>
      </c>
      <c r="L3338" s="49"/>
      <c r="M3338" s="49"/>
      <c r="N3338" s="50"/>
      <c r="O3338" s="49"/>
      <c r="P3338" s="49" t="str">
        <f t="shared" si="2"/>
        <v>,</v>
      </c>
      <c r="Q3338" s="49"/>
      <c r="R3338" s="49"/>
      <c r="S3338" s="55" t="s">
        <v>4756</v>
      </c>
      <c r="T3338" s="49"/>
      <c r="U3338" s="49"/>
      <c r="V3338" s="49"/>
      <c r="W3338" s="49"/>
      <c r="X3338" s="49" t="str">
        <f t="shared" si="3"/>
        <v>,</v>
      </c>
      <c r="Y3338" s="49"/>
      <c r="Z3338" s="49"/>
      <c r="AB3338" s="49"/>
      <c r="AC3338" s="49"/>
      <c r="AD3338" s="49"/>
      <c r="AE3338" s="49"/>
      <c r="AF3338" s="49"/>
      <c r="AG3338" s="49"/>
      <c r="AH3338" s="49"/>
      <c r="AI3338" s="1" t="s">
        <v>3803</v>
      </c>
      <c r="AJ3338" s="6"/>
      <c r="AK3338" s="49"/>
      <c r="AL3338" s="49"/>
      <c r="AM3338" s="49"/>
      <c r="AN3338" s="52" t="str">
        <f t="shared" si="5"/>
        <v>,</v>
      </c>
      <c r="AP3338" s="49"/>
      <c r="AQ3338" s="49"/>
      <c r="AR3338" s="49"/>
      <c r="AS3338" s="49"/>
      <c r="AT3338" s="49"/>
    </row>
    <row r="3339">
      <c r="A3339" s="51"/>
      <c r="B3339" s="50" t="s">
        <v>5335</v>
      </c>
      <c r="C3339" s="50" t="s">
        <v>6025</v>
      </c>
      <c r="D3339" s="49" t="str">
        <f>IFERROR(__xludf.DUMMYFUNCTION("""COMPUTED_VALUE"""),"crisis")</f>
        <v>crisis</v>
      </c>
      <c r="E3339" s="49"/>
      <c r="F3339" s="49"/>
      <c r="G3339" s="49"/>
      <c r="H3339" s="54" t="str">
        <f t="shared" si="1"/>
        <v>ears,</v>
      </c>
      <c r="I3339" s="50"/>
      <c r="J3339" s="50"/>
      <c r="K3339" s="50" t="s">
        <v>6075</v>
      </c>
      <c r="L3339" s="49"/>
      <c r="M3339" s="49"/>
      <c r="N3339" s="50"/>
      <c r="O3339" s="49"/>
      <c r="P3339" s="49" t="str">
        <f t="shared" si="2"/>
        <v>,</v>
      </c>
      <c r="Q3339" s="49"/>
      <c r="R3339" s="49"/>
      <c r="S3339" s="55" t="s">
        <v>4294</v>
      </c>
      <c r="T3339" s="49"/>
      <c r="U3339" s="49"/>
      <c r="V3339" s="49"/>
      <c r="W3339" s="49"/>
      <c r="X3339" s="49" t="str">
        <f t="shared" si="3"/>
        <v>,</v>
      </c>
      <c r="Y3339" s="49"/>
      <c r="Z3339" s="49"/>
      <c r="AB3339" s="49"/>
      <c r="AC3339" s="49"/>
      <c r="AD3339" s="49"/>
      <c r="AE3339" s="49"/>
      <c r="AF3339" s="49"/>
      <c r="AG3339" s="49"/>
      <c r="AH3339" s="49"/>
      <c r="AI3339" s="1" t="s">
        <v>7068</v>
      </c>
      <c r="AJ3339" s="6"/>
      <c r="AK3339" s="49"/>
      <c r="AL3339" s="49"/>
      <c r="AM3339" s="49"/>
      <c r="AN3339" s="52" t="str">
        <f t="shared" si="5"/>
        <v>,</v>
      </c>
      <c r="AP3339" s="49"/>
      <c r="AQ3339" s="49"/>
      <c r="AR3339" s="49"/>
      <c r="AS3339" s="49"/>
      <c r="AT3339" s="49"/>
    </row>
    <row r="3340">
      <c r="A3340" s="51"/>
      <c r="B3340" s="50" t="s">
        <v>6928</v>
      </c>
      <c r="C3340" s="50" t="s">
        <v>5950</v>
      </c>
      <c r="D3340" s="49" t="str">
        <f>IFERROR(__xludf.DUMMYFUNCTION("""COMPUTED_VALUE"""),"sullivan")</f>
        <v>sullivan</v>
      </c>
      <c r="E3340" s="49"/>
      <c r="F3340" s="49"/>
      <c r="G3340" s="49"/>
      <c r="H3340" s="54" t="str">
        <f t="shared" si="1"/>
        <v>recommended,</v>
      </c>
      <c r="I3340" s="50"/>
      <c r="J3340" s="50"/>
      <c r="K3340" s="50" t="s">
        <v>3934</v>
      </c>
      <c r="L3340" s="49"/>
      <c r="M3340" s="49"/>
      <c r="N3340" s="50"/>
      <c r="O3340" s="49"/>
      <c r="P3340" s="49" t="str">
        <f t="shared" si="2"/>
        <v>,</v>
      </c>
      <c r="Q3340" s="49"/>
      <c r="R3340" s="49"/>
      <c r="S3340" s="55" t="s">
        <v>2997</v>
      </c>
      <c r="T3340" s="49"/>
      <c r="U3340" s="49"/>
      <c r="V3340" s="49"/>
      <c r="W3340" s="49"/>
      <c r="X3340" s="49" t="str">
        <f t="shared" si="3"/>
        <v>,</v>
      </c>
      <c r="Y3340" s="49"/>
      <c r="Z3340" s="49"/>
      <c r="AB3340" s="49"/>
      <c r="AC3340" s="49"/>
      <c r="AD3340" s="49"/>
      <c r="AE3340" s="49"/>
      <c r="AF3340" s="49"/>
      <c r="AG3340" s="49"/>
      <c r="AH3340" s="49"/>
      <c r="AI3340" s="1" t="s">
        <v>7069</v>
      </c>
      <c r="AJ3340" s="6"/>
      <c r="AK3340" s="49"/>
      <c r="AL3340" s="49"/>
      <c r="AM3340" s="49"/>
      <c r="AN3340" s="52" t="str">
        <f t="shared" si="5"/>
        <v>,</v>
      </c>
      <c r="AP3340" s="49"/>
      <c r="AQ3340" s="49"/>
      <c r="AR3340" s="49"/>
      <c r="AS3340" s="49"/>
      <c r="AT3340" s="49"/>
    </row>
    <row r="3341">
      <c r="A3341" s="51"/>
      <c r="B3341" s="50" t="s">
        <v>6609</v>
      </c>
      <c r="C3341" s="50" t="s">
        <v>1751</v>
      </c>
      <c r="D3341" s="49" t="str">
        <f>IFERROR(__xludf.DUMMYFUNCTION("""COMPUTED_VALUE"""),"rings")</f>
        <v>rings</v>
      </c>
      <c r="E3341" s="49"/>
      <c r="F3341" s="49"/>
      <c r="G3341" s="49"/>
      <c r="H3341" s="54" t="str">
        <f t="shared" si="1"/>
        <v>ignoring,</v>
      </c>
      <c r="I3341" s="50"/>
      <c r="J3341" s="50"/>
      <c r="K3341" s="50" t="s">
        <v>4880</v>
      </c>
      <c r="L3341" s="49"/>
      <c r="M3341" s="49"/>
      <c r="N3341" s="50"/>
      <c r="O3341" s="49"/>
      <c r="P3341" s="49" t="str">
        <f t="shared" si="2"/>
        <v>,</v>
      </c>
      <c r="Q3341" s="49"/>
      <c r="R3341" s="49"/>
      <c r="S3341" s="55" t="s">
        <v>4759</v>
      </c>
      <c r="T3341" s="49"/>
      <c r="U3341" s="49"/>
      <c r="V3341" s="49"/>
      <c r="W3341" s="49"/>
      <c r="X3341" s="49" t="str">
        <f t="shared" si="3"/>
        <v>,</v>
      </c>
      <c r="Y3341" s="49"/>
      <c r="Z3341" s="49"/>
      <c r="AB3341" s="49"/>
      <c r="AC3341" s="49"/>
      <c r="AD3341" s="49"/>
      <c r="AE3341" s="49"/>
      <c r="AF3341" s="49"/>
      <c r="AG3341" s="49"/>
      <c r="AH3341" s="49"/>
      <c r="AI3341" s="1" t="s">
        <v>7070</v>
      </c>
      <c r="AJ3341" s="6"/>
      <c r="AK3341" s="49"/>
      <c r="AL3341" s="49"/>
      <c r="AM3341" s="49"/>
      <c r="AN3341" s="52" t="str">
        <f t="shared" si="5"/>
        <v>,</v>
      </c>
      <c r="AP3341" s="49"/>
      <c r="AQ3341" s="49"/>
      <c r="AR3341" s="49"/>
      <c r="AS3341" s="49"/>
      <c r="AT3341" s="49"/>
    </row>
    <row r="3342">
      <c r="A3342" s="51"/>
      <c r="B3342" s="50" t="s">
        <v>1232</v>
      </c>
      <c r="C3342" s="50" t="s">
        <v>4524</v>
      </c>
      <c r="D3342" s="49" t="str">
        <f>IFERROR(__xludf.DUMMYFUNCTION("""COMPUTED_VALUE"""),"communication")</f>
        <v>communication</v>
      </c>
      <c r="E3342" s="49"/>
      <c r="F3342" s="49"/>
      <c r="G3342" s="49"/>
      <c r="H3342" s="54" t="str">
        <f t="shared" si="1"/>
        <v>concert,</v>
      </c>
      <c r="I3342" s="50"/>
      <c r="J3342" s="50"/>
      <c r="K3342" s="50" t="s">
        <v>1678</v>
      </c>
      <c r="L3342" s="49"/>
      <c r="M3342" s="49"/>
      <c r="N3342" s="50"/>
      <c r="O3342" s="49"/>
      <c r="P3342" s="49" t="str">
        <f t="shared" si="2"/>
        <v>,</v>
      </c>
      <c r="Q3342" s="49"/>
      <c r="R3342" s="49"/>
      <c r="S3342" s="55" t="s">
        <v>3002</v>
      </c>
      <c r="T3342" s="49"/>
      <c r="U3342" s="49"/>
      <c r="V3342" s="49"/>
      <c r="W3342" s="49"/>
      <c r="X3342" s="49" t="str">
        <f t="shared" si="3"/>
        <v>,</v>
      </c>
      <c r="Y3342" s="49"/>
      <c r="Z3342" s="49"/>
      <c r="AB3342" s="49"/>
      <c r="AC3342" s="49"/>
      <c r="AD3342" s="49"/>
      <c r="AE3342" s="49"/>
      <c r="AF3342" s="49"/>
      <c r="AG3342" s="49"/>
      <c r="AH3342" s="49"/>
      <c r="AI3342" s="1" t="s">
        <v>4653</v>
      </c>
      <c r="AJ3342" s="6"/>
      <c r="AK3342" s="49"/>
      <c r="AL3342" s="49"/>
      <c r="AM3342" s="49"/>
      <c r="AN3342" s="52" t="str">
        <f t="shared" si="5"/>
        <v>,</v>
      </c>
      <c r="AP3342" s="49"/>
      <c r="AQ3342" s="49"/>
      <c r="AR3342" s="49"/>
      <c r="AS3342" s="49"/>
      <c r="AT3342" s="49"/>
    </row>
    <row r="3343">
      <c r="A3343" s="51"/>
      <c r="B3343" s="50" t="s">
        <v>6546</v>
      </c>
      <c r="C3343" s="50" t="s">
        <v>4526</v>
      </c>
      <c r="D3343" s="49" t="str">
        <f>IFERROR(__xludf.DUMMYFUNCTION("""COMPUTED_VALUE"""),"gain")</f>
        <v>gain</v>
      </c>
      <c r="E3343" s="49"/>
      <c r="F3343" s="49"/>
      <c r="G3343" s="49"/>
      <c r="H3343" s="54" t="str">
        <f t="shared" si="1"/>
        <v>ancient,</v>
      </c>
      <c r="I3343" s="50"/>
      <c r="J3343" s="50"/>
      <c r="K3343" s="50" t="s">
        <v>3937</v>
      </c>
      <c r="L3343" s="49"/>
      <c r="M3343" s="49"/>
      <c r="N3343" s="50"/>
      <c r="O3343" s="49"/>
      <c r="P3343" s="49" t="str">
        <f t="shared" si="2"/>
        <v>,</v>
      </c>
      <c r="Q3343" s="49"/>
      <c r="R3343" s="49"/>
      <c r="S3343" s="55" t="s">
        <v>3732</v>
      </c>
      <c r="T3343" s="49"/>
      <c r="U3343" s="49"/>
      <c r="V3343" s="49"/>
      <c r="W3343" s="49"/>
      <c r="X3343" s="49" t="str">
        <f t="shared" si="3"/>
        <v>,</v>
      </c>
      <c r="Y3343" s="49"/>
      <c r="Z3343" s="49"/>
      <c r="AB3343" s="49"/>
      <c r="AC3343" s="49"/>
      <c r="AD3343" s="49"/>
      <c r="AE3343" s="49"/>
      <c r="AF3343" s="49"/>
      <c r="AG3343" s="49"/>
      <c r="AH3343" s="49"/>
      <c r="AI3343" s="1" t="s">
        <v>5884</v>
      </c>
      <c r="AJ3343" s="6"/>
      <c r="AK3343" s="49"/>
      <c r="AL3343" s="49"/>
      <c r="AM3343" s="49"/>
      <c r="AN3343" s="52" t="str">
        <f t="shared" si="5"/>
        <v>,</v>
      </c>
      <c r="AP3343" s="49"/>
      <c r="AQ3343" s="49"/>
      <c r="AR3343" s="49"/>
      <c r="AS3343" s="49"/>
      <c r="AT3343" s="49"/>
    </row>
    <row r="3344">
      <c r="A3344" s="51"/>
      <c r="B3344" s="50" t="s">
        <v>5215</v>
      </c>
      <c r="C3344" s="50" t="s">
        <v>6888</v>
      </c>
      <c r="D3344" s="49">
        <f>IFERROR(__xludf.DUMMYFUNCTION("""COMPUTED_VALUE"""),52.0)</f>
        <v>52</v>
      </c>
      <c r="E3344" s="49"/>
      <c r="F3344" s="49"/>
      <c r="G3344" s="49"/>
      <c r="H3344" s="54" t="str">
        <f t="shared" si="1"/>
        <v>institution,</v>
      </c>
      <c r="I3344" s="50"/>
      <c r="J3344" s="50"/>
      <c r="K3344" s="50" t="s">
        <v>6076</v>
      </c>
      <c r="L3344" s="49"/>
      <c r="M3344" s="49"/>
      <c r="N3344" s="50"/>
      <c r="O3344" s="49"/>
      <c r="P3344" s="49" t="str">
        <f t="shared" si="2"/>
        <v>,</v>
      </c>
      <c r="Q3344" s="49"/>
      <c r="R3344" s="49"/>
      <c r="S3344" s="55" t="s">
        <v>7071</v>
      </c>
      <c r="T3344" s="49"/>
      <c r="U3344" s="49"/>
      <c r="V3344" s="49"/>
      <c r="W3344" s="49"/>
      <c r="X3344" s="49" t="str">
        <f t="shared" si="3"/>
        <v>,</v>
      </c>
      <c r="Y3344" s="49"/>
      <c r="Z3344" s="49"/>
      <c r="AB3344" s="49"/>
      <c r="AC3344" s="49"/>
      <c r="AD3344" s="49"/>
      <c r="AE3344" s="49"/>
      <c r="AF3344" s="49"/>
      <c r="AG3344" s="49"/>
      <c r="AH3344" s="49"/>
      <c r="AI3344" s="1" t="s">
        <v>7072</v>
      </c>
      <c r="AJ3344" s="6"/>
      <c r="AK3344" s="49"/>
      <c r="AL3344" s="49"/>
      <c r="AM3344" s="49"/>
      <c r="AN3344" s="52" t="str">
        <f t="shared" si="5"/>
        <v>,</v>
      </c>
      <c r="AP3344" s="49"/>
      <c r="AQ3344" s="49"/>
      <c r="AR3344" s="49"/>
      <c r="AS3344" s="49"/>
      <c r="AT3344" s="49"/>
    </row>
    <row r="3345">
      <c r="A3345" s="51"/>
      <c r="B3345" s="50" t="s">
        <v>7140</v>
      </c>
      <c r="C3345" s="50" t="s">
        <v>6889</v>
      </c>
      <c r="D3345" s="49" t="str">
        <f>IFERROR(__xludf.DUMMYFUNCTION("""COMPUTED_VALUE"""),"secret")</f>
        <v>secret</v>
      </c>
      <c r="E3345" s="49"/>
      <c r="F3345" s="49"/>
      <c r="G3345" s="49"/>
      <c r="H3345" s="54" t="str">
        <f t="shared" si="1"/>
        <v>loyalty,</v>
      </c>
      <c r="I3345" s="50"/>
      <c r="J3345" s="50"/>
      <c r="K3345" s="50" t="s">
        <v>1685</v>
      </c>
      <c r="L3345" s="49"/>
      <c r="M3345" s="49"/>
      <c r="N3345" s="50"/>
      <c r="O3345" s="49"/>
      <c r="P3345" s="49" t="str">
        <f t="shared" si="2"/>
        <v>,</v>
      </c>
      <c r="Q3345" s="49"/>
      <c r="R3345" s="49"/>
      <c r="S3345" s="55" t="s">
        <v>4766</v>
      </c>
      <c r="T3345" s="49"/>
      <c r="U3345" s="49"/>
      <c r="V3345" s="49"/>
      <c r="W3345" s="49"/>
      <c r="X3345" s="49" t="str">
        <f t="shared" si="3"/>
        <v>,</v>
      </c>
      <c r="Y3345" s="49"/>
      <c r="Z3345" s="49"/>
      <c r="AB3345" s="49"/>
      <c r="AC3345" s="49"/>
      <c r="AD3345" s="49"/>
      <c r="AE3345" s="49"/>
      <c r="AF3345" s="49"/>
      <c r="AG3345" s="49"/>
      <c r="AH3345" s="49"/>
      <c r="AI3345" s="1" t="s">
        <v>5888</v>
      </c>
      <c r="AJ3345" s="6"/>
      <c r="AK3345" s="49"/>
      <c r="AL3345" s="49"/>
      <c r="AM3345" s="49"/>
      <c r="AN3345" s="52" t="str">
        <f t="shared" si="5"/>
        <v>,</v>
      </c>
      <c r="AP3345" s="49"/>
      <c r="AQ3345" s="49"/>
      <c r="AR3345" s="49"/>
      <c r="AS3345" s="49"/>
      <c r="AT3345" s="49"/>
    </row>
    <row r="3346">
      <c r="A3346" s="51"/>
      <c r="B3346" s="50" t="s">
        <v>3988</v>
      </c>
      <c r="C3346" s="50" t="s">
        <v>2730</v>
      </c>
      <c r="D3346" s="49">
        <f>IFERROR(__xludf.DUMMYFUNCTION("""COMPUTED_VALUE"""),1933.0)</f>
        <v>1933</v>
      </c>
      <c r="E3346" s="49"/>
      <c r="F3346" s="49"/>
      <c r="G3346" s="49"/>
      <c r="H3346" s="54" t="str">
        <f t="shared" si="1"/>
        <v>managing,</v>
      </c>
      <c r="I3346" s="50"/>
      <c r="J3346" s="50"/>
      <c r="K3346" s="50" t="s">
        <v>3096</v>
      </c>
      <c r="L3346" s="49"/>
      <c r="M3346" s="49"/>
      <c r="N3346" s="50"/>
      <c r="O3346" s="49"/>
      <c r="P3346" s="49" t="str">
        <f t="shared" si="2"/>
        <v>,</v>
      </c>
      <c r="Q3346" s="49"/>
      <c r="R3346" s="49"/>
      <c r="S3346" s="55" t="s">
        <v>3895</v>
      </c>
      <c r="T3346" s="49"/>
      <c r="U3346" s="49"/>
      <c r="V3346" s="49"/>
      <c r="W3346" s="49"/>
      <c r="X3346" s="49" t="str">
        <f t="shared" si="3"/>
        <v>,</v>
      </c>
      <c r="Y3346" s="49"/>
      <c r="Z3346" s="49"/>
      <c r="AB3346" s="49"/>
      <c r="AC3346" s="49"/>
      <c r="AD3346" s="49"/>
      <c r="AE3346" s="49"/>
      <c r="AF3346" s="49"/>
      <c r="AG3346" s="49"/>
      <c r="AH3346" s="49"/>
      <c r="AI3346" s="1" t="s">
        <v>5893</v>
      </c>
      <c r="AJ3346" s="6"/>
      <c r="AK3346" s="49"/>
      <c r="AL3346" s="49"/>
      <c r="AM3346" s="49"/>
      <c r="AN3346" s="52" t="str">
        <f t="shared" si="5"/>
        <v>,</v>
      </c>
      <c r="AP3346" s="49"/>
      <c r="AQ3346" s="49"/>
      <c r="AR3346" s="49"/>
      <c r="AS3346" s="49"/>
      <c r="AT3346" s="49"/>
    </row>
    <row r="3347">
      <c r="A3347" s="51"/>
      <c r="B3347" s="50" t="s">
        <v>5792</v>
      </c>
      <c r="C3347" s="50" t="s">
        <v>5491</v>
      </c>
      <c r="D3347" s="49" t="str">
        <f>IFERROR(__xludf.DUMMYFUNCTION("""COMPUTED_VALUE"""),"groups")</f>
        <v>groups</v>
      </c>
      <c r="E3347" s="49"/>
      <c r="F3347" s="49"/>
      <c r="G3347" s="49"/>
      <c r="H3347" s="54" t="str">
        <f t="shared" si="1"/>
        <v>tourists,</v>
      </c>
      <c r="I3347" s="50"/>
      <c r="J3347" s="50"/>
      <c r="K3347" s="50" t="s">
        <v>3099</v>
      </c>
      <c r="L3347" s="49"/>
      <c r="M3347" s="49"/>
      <c r="N3347" s="50"/>
      <c r="O3347" s="49"/>
      <c r="P3347" s="49" t="str">
        <f t="shared" si="2"/>
        <v>,</v>
      </c>
      <c r="Q3347" s="49"/>
      <c r="R3347" s="49"/>
      <c r="S3347" s="55" t="s">
        <v>4768</v>
      </c>
      <c r="T3347" s="49"/>
      <c r="U3347" s="49"/>
      <c r="V3347" s="49"/>
      <c r="W3347" s="49"/>
      <c r="X3347" s="49" t="str">
        <f t="shared" si="3"/>
        <v>,</v>
      </c>
      <c r="Y3347" s="49"/>
      <c r="Z3347" s="49"/>
      <c r="AB3347" s="49"/>
      <c r="AC3347" s="49"/>
      <c r="AD3347" s="49"/>
      <c r="AE3347" s="49"/>
      <c r="AF3347" s="49"/>
      <c r="AG3347" s="49"/>
      <c r="AH3347" s="49"/>
      <c r="AI3347" s="1" t="s">
        <v>6193</v>
      </c>
      <c r="AJ3347" s="6"/>
      <c r="AK3347" s="49"/>
      <c r="AL3347" s="49"/>
      <c r="AM3347" s="49"/>
      <c r="AN3347" s="52" t="str">
        <f t="shared" si="5"/>
        <v>,</v>
      </c>
      <c r="AP3347" s="49"/>
      <c r="AQ3347" s="49"/>
      <c r="AR3347" s="49"/>
      <c r="AS3347" s="49"/>
      <c r="AT3347" s="49"/>
    </row>
    <row r="3348">
      <c r="A3348" s="51"/>
      <c r="B3348" s="50" t="s">
        <v>6204</v>
      </c>
      <c r="C3348" s="50" t="s">
        <v>2736</v>
      </c>
      <c r="D3348" s="49" t="str">
        <f>IFERROR(__xludf.DUMMYFUNCTION("""COMPUTED_VALUE"""),"gas")</f>
        <v>gas</v>
      </c>
      <c r="E3348" s="49"/>
      <c r="F3348" s="49"/>
      <c r="G3348" s="49"/>
      <c r="H3348" s="54" t="str">
        <f t="shared" si="1"/>
        <v>secondary,</v>
      </c>
      <c r="I3348" s="50"/>
      <c r="J3348" s="50"/>
      <c r="K3348" s="50" t="s">
        <v>3948</v>
      </c>
      <c r="L3348" s="49"/>
      <c r="M3348" s="49"/>
      <c r="N3348" s="50"/>
      <c r="O3348" s="49"/>
      <c r="P3348" s="49" t="str">
        <f t="shared" si="2"/>
        <v>,</v>
      </c>
      <c r="Q3348" s="49"/>
      <c r="R3348" s="49"/>
      <c r="S3348" s="55" t="s">
        <v>5695</v>
      </c>
      <c r="T3348" s="49"/>
      <c r="U3348" s="49"/>
      <c r="V3348" s="49"/>
      <c r="W3348" s="49"/>
      <c r="X3348" s="49" t="str">
        <f t="shared" si="3"/>
        <v>,</v>
      </c>
      <c r="Y3348" s="49"/>
      <c r="Z3348" s="49"/>
      <c r="AB3348" s="49"/>
      <c r="AC3348" s="49"/>
      <c r="AD3348" s="49"/>
      <c r="AE3348" s="49"/>
      <c r="AF3348" s="49"/>
      <c r="AG3348" s="49"/>
      <c r="AH3348" s="49"/>
      <c r="AI3348" s="1" t="s">
        <v>5896</v>
      </c>
      <c r="AJ3348" s="6"/>
      <c r="AK3348" s="49"/>
      <c r="AL3348" s="49"/>
      <c r="AM3348" s="49"/>
      <c r="AN3348" s="52" t="str">
        <f t="shared" si="5"/>
        <v>,</v>
      </c>
      <c r="AP3348" s="49"/>
      <c r="AQ3348" s="49"/>
      <c r="AR3348" s="49"/>
      <c r="AS3348" s="49"/>
      <c r="AT3348" s="49"/>
    </row>
    <row r="3349">
      <c r="A3349" s="51"/>
      <c r="B3349" s="50" t="s">
        <v>4166</v>
      </c>
      <c r="C3349" s="50" t="s">
        <v>4629</v>
      </c>
      <c r="D3349" s="49" t="str">
        <f>IFERROR(__xludf.DUMMYFUNCTION("""COMPUTED_VALUE"""),"describes")</f>
        <v>describes</v>
      </c>
      <c r="E3349" s="49"/>
      <c r="F3349" s="49"/>
      <c r="G3349" s="49"/>
      <c r="H3349" s="54" t="str">
        <f t="shared" si="1"/>
        <v>committed,</v>
      </c>
      <c r="I3349" s="50"/>
      <c r="J3349" s="50"/>
      <c r="K3349" s="50" t="s">
        <v>1723</v>
      </c>
      <c r="L3349" s="49"/>
      <c r="M3349" s="49"/>
      <c r="N3349" s="50"/>
      <c r="O3349" s="49"/>
      <c r="P3349" s="49" t="str">
        <f t="shared" si="2"/>
        <v>,</v>
      </c>
      <c r="Q3349" s="49"/>
      <c r="R3349" s="49"/>
      <c r="S3349" s="55" t="s">
        <v>4769</v>
      </c>
      <c r="T3349" s="49"/>
      <c r="U3349" s="49"/>
      <c r="V3349" s="49"/>
      <c r="W3349" s="49"/>
      <c r="X3349" s="49" t="str">
        <f t="shared" si="3"/>
        <v>,</v>
      </c>
      <c r="Y3349" s="49"/>
      <c r="Z3349" s="49"/>
      <c r="AB3349" s="49"/>
      <c r="AC3349" s="49"/>
      <c r="AD3349" s="49"/>
      <c r="AE3349" s="49"/>
      <c r="AF3349" s="49"/>
      <c r="AG3349" s="49"/>
      <c r="AH3349" s="49"/>
      <c r="AI3349" s="1" t="s">
        <v>5834</v>
      </c>
      <c r="AJ3349" s="6"/>
      <c r="AK3349" s="49"/>
      <c r="AL3349" s="49"/>
      <c r="AM3349" s="49"/>
      <c r="AN3349" s="52" t="str">
        <f t="shared" si="5"/>
        <v>,</v>
      </c>
      <c r="AP3349" s="49"/>
      <c r="AQ3349" s="49"/>
      <c r="AR3349" s="49"/>
      <c r="AS3349" s="49"/>
      <c r="AT3349" s="49"/>
    </row>
    <row r="3350">
      <c r="A3350" s="51"/>
      <c r="B3350" s="50" t="s">
        <v>4608</v>
      </c>
      <c r="C3350" s="50" t="s">
        <v>6204</v>
      </c>
      <c r="D3350" s="49" t="str">
        <f>IFERROR(__xludf.DUMMYFUNCTION("""COMPUTED_VALUE"""),"fork")</f>
        <v>fork</v>
      </c>
      <c r="E3350" s="49"/>
      <c r="F3350" s="49"/>
      <c r="G3350" s="49"/>
      <c r="H3350" s="54" t="str">
        <f t="shared" si="1"/>
        <v>radar,</v>
      </c>
      <c r="I3350" s="50"/>
      <c r="J3350" s="50"/>
      <c r="K3350" s="50" t="s">
        <v>1747</v>
      </c>
      <c r="L3350" s="49"/>
      <c r="M3350" s="49"/>
      <c r="N3350" s="50"/>
      <c r="O3350" s="49"/>
      <c r="P3350" s="49" t="str">
        <f t="shared" si="2"/>
        <v>,</v>
      </c>
      <c r="Q3350" s="49"/>
      <c r="R3350" s="49"/>
      <c r="S3350" s="55" t="s">
        <v>6968</v>
      </c>
      <c r="T3350" s="49"/>
      <c r="U3350" s="49"/>
      <c r="V3350" s="49"/>
      <c r="W3350" s="49"/>
      <c r="X3350" s="49" t="str">
        <f t="shared" si="3"/>
        <v>,</v>
      </c>
      <c r="Y3350" s="49"/>
      <c r="Z3350" s="49"/>
      <c r="AB3350" s="49"/>
      <c r="AC3350" s="49"/>
      <c r="AD3350" s="49"/>
      <c r="AE3350" s="49"/>
      <c r="AF3350" s="49"/>
      <c r="AG3350" s="49"/>
      <c r="AH3350" s="49"/>
      <c r="AI3350" s="1" t="s">
        <v>7073</v>
      </c>
      <c r="AJ3350" s="6"/>
      <c r="AK3350" s="49"/>
      <c r="AL3350" s="49"/>
      <c r="AM3350" s="49"/>
      <c r="AN3350" s="52" t="str">
        <f t="shared" si="5"/>
        <v>,</v>
      </c>
      <c r="AP3350" s="49"/>
      <c r="AQ3350" s="49"/>
      <c r="AR3350" s="49"/>
      <c r="AS3350" s="49"/>
      <c r="AT3350" s="49"/>
    </row>
    <row r="3351">
      <c r="A3351" s="51"/>
      <c r="B3351" s="50" t="s">
        <v>2427</v>
      </c>
      <c r="C3351" s="50" t="s">
        <v>3003</v>
      </c>
      <c r="D3351" s="49" t="str">
        <f>IFERROR(__xludf.DUMMYFUNCTION("""COMPUTED_VALUE"""),"error")</f>
        <v>error</v>
      </c>
      <c r="E3351" s="49"/>
      <c r="F3351" s="49"/>
      <c r="G3351" s="49"/>
      <c r="H3351" s="54" t="str">
        <f t="shared" si="1"/>
        <v>clinic,</v>
      </c>
      <c r="I3351" s="50"/>
      <c r="J3351" s="50"/>
      <c r="K3351" s="50" t="s">
        <v>4887</v>
      </c>
      <c r="L3351" s="49"/>
      <c r="M3351" s="49"/>
      <c r="N3351" s="50"/>
      <c r="O3351" s="49"/>
      <c r="P3351" s="49" t="str">
        <f t="shared" si="2"/>
        <v>,</v>
      </c>
      <c r="Q3351" s="49"/>
      <c r="R3351" s="49"/>
      <c r="S3351" s="55" t="s">
        <v>3004</v>
      </c>
      <c r="T3351" s="49"/>
      <c r="U3351" s="49"/>
      <c r="V3351" s="49"/>
      <c r="W3351" s="49"/>
      <c r="X3351" s="49" t="str">
        <f t="shared" si="3"/>
        <v>,</v>
      </c>
      <c r="Y3351" s="49"/>
      <c r="Z3351" s="49"/>
      <c r="AB3351" s="49"/>
      <c r="AC3351" s="49"/>
      <c r="AD3351" s="49"/>
      <c r="AE3351" s="49"/>
      <c r="AF3351" s="49"/>
      <c r="AG3351" s="49"/>
      <c r="AH3351" s="49"/>
      <c r="AI3351" s="1" t="s">
        <v>3386</v>
      </c>
      <c r="AJ3351" s="6"/>
      <c r="AK3351" s="49"/>
      <c r="AL3351" s="49"/>
      <c r="AM3351" s="49"/>
      <c r="AN3351" s="52" t="str">
        <f t="shared" si="5"/>
        <v>,</v>
      </c>
      <c r="AP3351" s="49"/>
      <c r="AQ3351" s="49"/>
      <c r="AR3351" s="49"/>
      <c r="AS3351" s="49"/>
      <c r="AT3351" s="49"/>
    </row>
    <row r="3352">
      <c r="A3352" s="51"/>
      <c r="B3352" s="50" t="s">
        <v>4237</v>
      </c>
      <c r="C3352" s="50" t="s">
        <v>2739</v>
      </c>
      <c r="D3352" s="49" t="str">
        <f>IFERROR(__xludf.DUMMYFUNCTION("""COMPUTED_VALUE"""),"collaboration")</f>
        <v>collaboration</v>
      </c>
      <c r="E3352" s="49"/>
      <c r="F3352" s="49"/>
      <c r="G3352" s="49"/>
      <c r="H3352" s="54" t="str">
        <f t="shared" si="1"/>
        <v>jake,</v>
      </c>
      <c r="I3352" s="50"/>
      <c r="J3352" s="50"/>
      <c r="K3352" s="50" t="s">
        <v>5770</v>
      </c>
      <c r="L3352" s="49"/>
      <c r="M3352" s="49"/>
      <c r="N3352" s="50"/>
      <c r="O3352" s="49"/>
      <c r="P3352" s="49" t="str">
        <f t="shared" si="2"/>
        <v>,</v>
      </c>
      <c r="Q3352" s="49"/>
      <c r="R3352" s="49"/>
      <c r="S3352" s="55" t="s">
        <v>3007</v>
      </c>
      <c r="T3352" s="49"/>
      <c r="U3352" s="49"/>
      <c r="V3352" s="49"/>
      <c r="W3352" s="49"/>
      <c r="X3352" s="49" t="str">
        <f t="shared" si="3"/>
        <v>,</v>
      </c>
      <c r="Y3352" s="49"/>
      <c r="Z3352" s="49"/>
      <c r="AB3352" s="49"/>
      <c r="AC3352" s="49"/>
      <c r="AD3352" s="49"/>
      <c r="AE3352" s="49"/>
      <c r="AF3352" s="49"/>
      <c r="AG3352" s="49"/>
      <c r="AH3352" s="49"/>
      <c r="AI3352" s="1" t="s">
        <v>4197</v>
      </c>
      <c r="AJ3352" s="6"/>
      <c r="AK3352" s="49"/>
      <c r="AL3352" s="49"/>
      <c r="AM3352" s="49"/>
      <c r="AN3352" s="52" t="str">
        <f t="shared" si="5"/>
        <v>,</v>
      </c>
      <c r="AP3352" s="49"/>
      <c r="AQ3352" s="49"/>
      <c r="AR3352" s="49"/>
      <c r="AS3352" s="49"/>
      <c r="AT3352" s="49"/>
    </row>
    <row r="3353">
      <c r="A3353" s="51"/>
      <c r="B3353" s="50" t="s">
        <v>3392</v>
      </c>
      <c r="C3353" s="50" t="s">
        <v>4888</v>
      </c>
      <c r="D3353" s="49" t="str">
        <f>IFERROR(__xludf.DUMMYFUNCTION("""COMPUTED_VALUE"""),"ordered")</f>
        <v>ordered</v>
      </c>
      <c r="E3353" s="49"/>
      <c r="F3353" s="49"/>
      <c r="G3353" s="49"/>
      <c r="H3353" s="54" t="str">
        <f t="shared" si="1"/>
        <v>aged,</v>
      </c>
      <c r="I3353" s="50"/>
      <c r="J3353" s="50"/>
      <c r="K3353" s="50" t="s">
        <v>3103</v>
      </c>
      <c r="L3353" s="49"/>
      <c r="M3353" s="49"/>
      <c r="N3353" s="50"/>
      <c r="O3353" s="49"/>
      <c r="P3353" s="49" t="str">
        <f t="shared" si="2"/>
        <v>,</v>
      </c>
      <c r="Q3353" s="49"/>
      <c r="R3353" s="49"/>
      <c r="S3353" s="55" t="s">
        <v>4673</v>
      </c>
      <c r="T3353" s="49"/>
      <c r="U3353" s="49"/>
      <c r="V3353" s="49"/>
      <c r="W3353" s="49"/>
      <c r="X3353" s="49" t="str">
        <f t="shared" si="3"/>
        <v>,</v>
      </c>
      <c r="Y3353" s="49"/>
      <c r="Z3353" s="49"/>
      <c r="AB3353" s="49"/>
      <c r="AC3353" s="49"/>
      <c r="AD3353" s="49"/>
      <c r="AE3353" s="49"/>
      <c r="AF3353" s="49"/>
      <c r="AG3353" s="49"/>
      <c r="AH3353" s="49"/>
      <c r="AI3353" s="1" t="s">
        <v>5901</v>
      </c>
      <c r="AJ3353" s="6"/>
      <c r="AK3353" s="49"/>
      <c r="AL3353" s="49"/>
      <c r="AM3353" s="49"/>
      <c r="AN3353" s="52" t="str">
        <f t="shared" si="5"/>
        <v>,</v>
      </c>
      <c r="AP3353" s="49"/>
      <c r="AQ3353" s="49"/>
      <c r="AR3353" s="49"/>
      <c r="AS3353" s="49"/>
      <c r="AT3353" s="49"/>
    </row>
    <row r="3354">
      <c r="A3354" s="51"/>
      <c r="B3354" s="50" t="s">
        <v>3733</v>
      </c>
      <c r="C3354" s="50" t="s">
        <v>4105</v>
      </c>
      <c r="D3354" s="49" t="str">
        <f>IFERROR(__xludf.DUMMYFUNCTION("""COMPUTED_VALUE"""),"tend")</f>
        <v>tend</v>
      </c>
      <c r="E3354" s="49"/>
      <c r="F3354" s="49"/>
      <c r="G3354" s="49"/>
      <c r="H3354" s="54" t="str">
        <f t="shared" si="1"/>
        <v>underneath,</v>
      </c>
      <c r="I3354" s="50"/>
      <c r="J3354" s="50"/>
      <c r="K3354" s="50" t="s">
        <v>4889</v>
      </c>
      <c r="L3354" s="49"/>
      <c r="M3354" s="49"/>
      <c r="N3354" s="50"/>
      <c r="O3354" s="49"/>
      <c r="P3354" s="49" t="str">
        <f t="shared" si="2"/>
        <v>,</v>
      </c>
      <c r="Q3354" s="49"/>
      <c r="R3354" s="49"/>
      <c r="S3354" s="55" t="s">
        <v>4778</v>
      </c>
      <c r="T3354" s="49"/>
      <c r="U3354" s="49"/>
      <c r="V3354" s="49"/>
      <c r="W3354" s="49"/>
      <c r="X3354" s="49" t="str">
        <f t="shared" si="3"/>
        <v>,</v>
      </c>
      <c r="Y3354" s="49"/>
      <c r="Z3354" s="49"/>
      <c r="AB3354" s="49"/>
      <c r="AC3354" s="49"/>
      <c r="AD3354" s="49"/>
      <c r="AE3354" s="49"/>
      <c r="AF3354" s="49"/>
      <c r="AG3354" s="49"/>
      <c r="AH3354" s="49"/>
      <c r="AI3354" s="1" t="s">
        <v>4028</v>
      </c>
      <c r="AJ3354" s="6"/>
      <c r="AK3354" s="49"/>
      <c r="AL3354" s="49"/>
      <c r="AM3354" s="49"/>
      <c r="AN3354" s="52" t="str">
        <f t="shared" si="5"/>
        <v>,</v>
      </c>
      <c r="AP3354" s="49"/>
      <c r="AQ3354" s="49"/>
      <c r="AR3354" s="49"/>
      <c r="AS3354" s="49"/>
      <c r="AT3354" s="49"/>
    </row>
    <row r="3355">
      <c r="A3355" s="51"/>
      <c r="B3355" s="50" t="s">
        <v>5722</v>
      </c>
      <c r="C3355" s="50" t="s">
        <v>5481</v>
      </c>
      <c r="D3355" s="49" t="str">
        <f>IFERROR(__xludf.DUMMYFUNCTION("""COMPUTED_VALUE"""),"1960s")</f>
        <v>1960s</v>
      </c>
      <c r="E3355" s="49"/>
      <c r="F3355" s="49"/>
      <c r="G3355" s="49"/>
      <c r="H3355" s="54" t="str">
        <f t="shared" si="1"/>
        <v>labor,</v>
      </c>
      <c r="I3355" s="50"/>
      <c r="J3355" s="50"/>
      <c r="K3355" s="50" t="s">
        <v>3106</v>
      </c>
      <c r="L3355" s="49"/>
      <c r="M3355" s="49"/>
      <c r="N3355" s="50"/>
      <c r="O3355" s="49"/>
      <c r="P3355" s="49" t="str">
        <f t="shared" si="2"/>
        <v>,</v>
      </c>
      <c r="Q3355" s="49"/>
      <c r="R3355" s="49"/>
      <c r="S3355" s="55" t="s">
        <v>5148</v>
      </c>
      <c r="T3355" s="49"/>
      <c r="U3355" s="49"/>
      <c r="V3355" s="49"/>
      <c r="W3355" s="49"/>
      <c r="X3355" s="49" t="str">
        <f t="shared" si="3"/>
        <v>,</v>
      </c>
      <c r="Y3355" s="49"/>
      <c r="Z3355" s="49"/>
      <c r="AB3355" s="49"/>
      <c r="AC3355" s="49"/>
      <c r="AD3355" s="49"/>
      <c r="AE3355" s="49"/>
      <c r="AF3355" s="49"/>
      <c r="AG3355" s="49"/>
      <c r="AH3355" s="49"/>
      <c r="AI3355" s="49"/>
      <c r="AJ3355" s="49"/>
      <c r="AK3355" s="49"/>
      <c r="AL3355" s="49"/>
      <c r="AM3355" s="49"/>
      <c r="AN3355" s="49"/>
      <c r="AP3355" s="49"/>
      <c r="AQ3355" s="49"/>
      <c r="AR3355" s="49"/>
      <c r="AS3355" s="49"/>
      <c r="AT3355" s="49"/>
    </row>
    <row r="3356">
      <c r="A3356" s="51"/>
      <c r="B3356" s="50" t="s">
        <v>3625</v>
      </c>
      <c r="C3356" s="50" t="s">
        <v>4243</v>
      </c>
      <c r="D3356" s="49" t="str">
        <f>IFERROR(__xludf.DUMMYFUNCTION("""COMPUTED_VALUE"""),"notably")</f>
        <v>notably</v>
      </c>
      <c r="E3356" s="49"/>
      <c r="F3356" s="49"/>
      <c r="G3356" s="49"/>
      <c r="H3356" s="54" t="str">
        <f t="shared" si="1"/>
        <v>aware,</v>
      </c>
      <c r="I3356" s="50"/>
      <c r="J3356" s="50"/>
      <c r="K3356" s="50" t="s">
        <v>3952</v>
      </c>
      <c r="L3356" s="49"/>
      <c r="M3356" s="49"/>
      <c r="N3356" s="50"/>
      <c r="O3356" s="49"/>
      <c r="P3356" s="49" t="str">
        <f t="shared" si="2"/>
        <v>,</v>
      </c>
      <c r="Q3356" s="49"/>
      <c r="R3356" s="49"/>
      <c r="S3356" s="55" t="s">
        <v>3008</v>
      </c>
      <c r="T3356" s="49"/>
      <c r="U3356" s="49"/>
      <c r="V3356" s="49"/>
      <c r="W3356" s="49"/>
      <c r="X3356" s="49" t="str">
        <f t="shared" si="3"/>
        <v>,</v>
      </c>
      <c r="Y3356" s="49"/>
      <c r="Z3356" s="49"/>
      <c r="AB3356" s="49"/>
      <c r="AC3356" s="49"/>
      <c r="AD3356" s="49"/>
      <c r="AE3356" s="49"/>
      <c r="AF3356" s="49"/>
      <c r="AG3356" s="49"/>
      <c r="AH3356" s="49"/>
      <c r="AI3356" s="49"/>
      <c r="AJ3356" s="49"/>
      <c r="AK3356" s="49"/>
      <c r="AL3356" s="49"/>
      <c r="AM3356" s="49"/>
      <c r="AN3356" s="49"/>
      <c r="AP3356" s="49"/>
      <c r="AQ3356" s="49"/>
      <c r="AR3356" s="49"/>
      <c r="AS3356" s="49"/>
      <c r="AT3356" s="49"/>
    </row>
    <row r="3357">
      <c r="A3357" s="51"/>
      <c r="B3357" s="50" t="s">
        <v>3457</v>
      </c>
      <c r="C3357" s="50" t="s">
        <v>5960</v>
      </c>
      <c r="D3357" s="49" t="str">
        <f>IFERROR(__xludf.DUMMYFUNCTION("""COMPUTED_VALUE"""),"pocket")</f>
        <v>pocket</v>
      </c>
      <c r="E3357" s="49"/>
      <c r="F3357" s="49"/>
      <c r="G3357" s="49"/>
      <c r="H3357" s="54" t="str">
        <f t="shared" si="1"/>
        <v>sits,</v>
      </c>
      <c r="I3357" s="50"/>
      <c r="J3357" s="50"/>
      <c r="K3357" s="50" t="s">
        <v>3110</v>
      </c>
      <c r="L3357" s="49"/>
      <c r="M3357" s="49"/>
      <c r="N3357" s="50"/>
      <c r="O3357" s="49"/>
      <c r="P3357" s="49" t="str">
        <f t="shared" si="2"/>
        <v>,</v>
      </c>
      <c r="Q3357" s="49"/>
      <c r="R3357" s="49"/>
      <c r="S3357" s="55" t="s">
        <v>3012</v>
      </c>
      <c r="T3357" s="49"/>
      <c r="U3357" s="49"/>
      <c r="V3357" s="49"/>
      <c r="W3357" s="49"/>
      <c r="X3357" s="49" t="str">
        <f t="shared" si="3"/>
        <v>,</v>
      </c>
      <c r="Y3357" s="49"/>
      <c r="Z3357" s="49"/>
      <c r="AB3357" s="49"/>
      <c r="AC3357" s="49"/>
      <c r="AD3357" s="49"/>
      <c r="AE3357" s="49"/>
      <c r="AF3357" s="49"/>
      <c r="AG3357" s="49"/>
      <c r="AH3357" s="49"/>
      <c r="AI3357" s="49"/>
      <c r="AJ3357" s="49"/>
      <c r="AK3357" s="49"/>
      <c r="AL3357" s="49"/>
      <c r="AM3357" s="49"/>
      <c r="AN3357" s="49"/>
      <c r="AP3357" s="49"/>
      <c r="AQ3357" s="49"/>
      <c r="AR3357" s="49"/>
      <c r="AS3357" s="49"/>
      <c r="AT3357" s="49"/>
    </row>
    <row r="3358">
      <c r="A3358" s="51"/>
      <c r="B3358" s="50" t="s">
        <v>7686</v>
      </c>
      <c r="C3358" s="50" t="s">
        <v>6890</v>
      </c>
      <c r="D3358" s="49" t="str">
        <f>IFERROR(__xludf.DUMMYFUNCTION("""COMPUTED_VALUE"""),"outer")</f>
        <v>outer</v>
      </c>
      <c r="E3358" s="49"/>
      <c r="F3358" s="49"/>
      <c r="G3358" s="49"/>
      <c r="H3358" s="54" t="str">
        <f t="shared" si="1"/>
        <v>recover,</v>
      </c>
      <c r="I3358" s="50"/>
      <c r="J3358" s="50"/>
      <c r="K3358" s="50" t="s">
        <v>5909</v>
      </c>
      <c r="L3358" s="49"/>
      <c r="M3358" s="49"/>
      <c r="N3358" s="50"/>
      <c r="O3358" s="49"/>
      <c r="P3358" s="49" t="str">
        <f t="shared" si="2"/>
        <v>,</v>
      </c>
      <c r="Q3358" s="49"/>
      <c r="R3358" s="49"/>
      <c r="S3358" s="55" t="s">
        <v>3018</v>
      </c>
      <c r="T3358" s="49"/>
      <c r="U3358" s="49"/>
      <c r="V3358" s="49"/>
      <c r="W3358" s="49"/>
      <c r="X3358" s="49" t="str">
        <f t="shared" si="3"/>
        <v>,</v>
      </c>
      <c r="Y3358" s="49"/>
      <c r="Z3358" s="49"/>
      <c r="AB3358" s="49"/>
      <c r="AC3358" s="49"/>
      <c r="AD3358" s="49"/>
      <c r="AE3358" s="49"/>
      <c r="AF3358" s="49"/>
      <c r="AG3358" s="49"/>
      <c r="AH3358" s="49"/>
      <c r="AI3358" s="49"/>
      <c r="AJ3358" s="49"/>
      <c r="AK3358" s="49"/>
      <c r="AL3358" s="49"/>
      <c r="AM3358" s="49"/>
      <c r="AN3358" s="49"/>
      <c r="AP3358" s="49"/>
      <c r="AQ3358" s="49"/>
      <c r="AR3358" s="49"/>
      <c r="AS3358" s="49"/>
      <c r="AT3358" s="49"/>
    </row>
    <row r="3359">
      <c r="A3359" s="51"/>
      <c r="B3359" s="50" t="s">
        <v>4555</v>
      </c>
      <c r="C3359" s="50" t="s">
        <v>5178</v>
      </c>
      <c r="D3359" s="49" t="str">
        <f>IFERROR(__xludf.DUMMYFUNCTION("""COMPUTED_VALUE"""),"limits")</f>
        <v>limits</v>
      </c>
      <c r="E3359" s="49"/>
      <c r="F3359" s="49"/>
      <c r="G3359" s="49"/>
      <c r="H3359" s="54" t="str">
        <f t="shared" si="1"/>
        <v>ordinary,</v>
      </c>
      <c r="I3359" s="50"/>
      <c r="J3359" s="50"/>
      <c r="K3359" s="50" t="s">
        <v>6079</v>
      </c>
      <c r="L3359" s="49"/>
      <c r="M3359" s="49"/>
      <c r="N3359" s="50"/>
      <c r="O3359" s="49"/>
      <c r="P3359" s="49" t="str">
        <f t="shared" si="2"/>
        <v>,</v>
      </c>
      <c r="Q3359" s="49"/>
      <c r="R3359" s="49"/>
      <c r="S3359" s="55" t="s">
        <v>1932</v>
      </c>
      <c r="T3359" s="49"/>
      <c r="U3359" s="49"/>
      <c r="V3359" s="49"/>
      <c r="W3359" s="49"/>
      <c r="X3359" s="49" t="str">
        <f t="shared" si="3"/>
        <v>,</v>
      </c>
      <c r="Y3359" s="49"/>
      <c r="Z3359" s="49"/>
      <c r="AB3359" s="49"/>
      <c r="AC3359" s="49"/>
      <c r="AD3359" s="49"/>
      <c r="AE3359" s="49"/>
      <c r="AF3359" s="49"/>
      <c r="AG3359" s="49"/>
      <c r="AH3359" s="49"/>
      <c r="AI3359" s="49"/>
      <c r="AJ3359" s="49"/>
      <c r="AK3359" s="49"/>
      <c r="AL3359" s="49"/>
      <c r="AM3359" s="49"/>
      <c r="AN3359" s="49"/>
      <c r="AP3359" s="49"/>
      <c r="AQ3359" s="49"/>
      <c r="AR3359" s="49"/>
      <c r="AS3359" s="49"/>
      <c r="AT3359" s="49"/>
    </row>
    <row r="3360">
      <c r="A3360" s="51"/>
      <c r="B3360" s="50" t="s">
        <v>4553</v>
      </c>
      <c r="C3360" s="50" t="s">
        <v>5961</v>
      </c>
      <c r="D3360" s="49" t="str">
        <f>IFERROR(__xludf.DUMMYFUNCTION("""COMPUTED_VALUE"""),"instrument")</f>
        <v>instrument</v>
      </c>
      <c r="E3360" s="49"/>
      <c r="F3360" s="49"/>
      <c r="G3360" s="49"/>
      <c r="H3360" s="54" t="str">
        <f t="shared" si="1"/>
        <v>thrust,</v>
      </c>
      <c r="I3360" s="50"/>
      <c r="J3360" s="50"/>
      <c r="K3360" s="50" t="s">
        <v>4895</v>
      </c>
      <c r="L3360" s="49"/>
      <c r="M3360" s="49"/>
      <c r="N3360" s="50"/>
      <c r="O3360" s="49"/>
      <c r="P3360" s="49" t="str">
        <f t="shared" si="2"/>
        <v>,</v>
      </c>
      <c r="Q3360" s="49"/>
      <c r="R3360" s="49"/>
      <c r="S3360" s="55" t="s">
        <v>3021</v>
      </c>
      <c r="T3360" s="49"/>
      <c r="U3360" s="49"/>
      <c r="V3360" s="49"/>
      <c r="W3360" s="49"/>
      <c r="X3360" s="49" t="str">
        <f t="shared" si="3"/>
        <v>,</v>
      </c>
      <c r="Y3360" s="49"/>
      <c r="Z3360" s="49"/>
      <c r="AB3360" s="49"/>
      <c r="AC3360" s="49"/>
      <c r="AD3360" s="49"/>
      <c r="AE3360" s="49"/>
      <c r="AF3360" s="49"/>
      <c r="AG3360" s="49"/>
      <c r="AH3360" s="49"/>
      <c r="AI3360" s="49"/>
      <c r="AJ3360" s="49"/>
      <c r="AK3360" s="49"/>
      <c r="AL3360" s="49"/>
      <c r="AM3360" s="49"/>
      <c r="AN3360" s="49"/>
      <c r="AP3360" s="49"/>
      <c r="AQ3360" s="49"/>
      <c r="AR3360" s="49"/>
      <c r="AS3360" s="49"/>
      <c r="AT3360" s="49"/>
    </row>
    <row r="3361">
      <c r="A3361" s="51"/>
      <c r="B3361" s="50" t="s">
        <v>5192</v>
      </c>
      <c r="C3361" s="50" t="s">
        <v>6891</v>
      </c>
      <c r="D3361" s="49" t="str">
        <f>IFERROR(__xludf.DUMMYFUNCTION("""COMPUTED_VALUE"""),"reportedly")</f>
        <v>reportedly</v>
      </c>
      <c r="E3361" s="49"/>
      <c r="F3361" s="49"/>
      <c r="G3361" s="49"/>
      <c r="H3361" s="54" t="str">
        <f t="shared" si="1"/>
        <v>lord,</v>
      </c>
      <c r="I3361" s="50"/>
      <c r="J3361" s="50"/>
      <c r="K3361" s="50" t="s">
        <v>6080</v>
      </c>
      <c r="L3361" s="49"/>
      <c r="M3361" s="49"/>
      <c r="N3361" s="50"/>
      <c r="O3361" s="49"/>
      <c r="P3361" s="49" t="str">
        <f t="shared" si="2"/>
        <v>,</v>
      </c>
      <c r="Q3361" s="49"/>
      <c r="R3361" s="49"/>
      <c r="S3361" s="55" t="s">
        <v>3023</v>
      </c>
      <c r="T3361" s="49"/>
      <c r="U3361" s="49"/>
      <c r="V3361" s="49"/>
      <c r="W3361" s="49"/>
      <c r="X3361" s="49" t="str">
        <f t="shared" si="3"/>
        <v>,</v>
      </c>
      <c r="Y3361" s="49"/>
      <c r="Z3361" s="49"/>
      <c r="AB3361" s="49"/>
      <c r="AC3361" s="49"/>
      <c r="AD3361" s="49"/>
      <c r="AE3361" s="49"/>
      <c r="AF3361" s="49"/>
      <c r="AG3361" s="49"/>
      <c r="AH3361" s="49"/>
      <c r="AI3361" s="49"/>
      <c r="AJ3361" s="49"/>
      <c r="AK3361" s="49"/>
      <c r="AL3361" s="49"/>
      <c r="AM3361" s="49"/>
      <c r="AN3361" s="49"/>
      <c r="AP3361" s="49"/>
      <c r="AQ3361" s="49"/>
      <c r="AR3361" s="49"/>
      <c r="AS3361" s="49"/>
      <c r="AT3361" s="49"/>
    </row>
    <row r="3362">
      <c r="A3362" s="51"/>
      <c r="B3362" s="50" t="s">
        <v>6701</v>
      </c>
      <c r="C3362" s="50" t="s">
        <v>4751</v>
      </c>
      <c r="D3362" s="49" t="str">
        <f>IFERROR(__xludf.DUMMYFUNCTION("""COMPUTED_VALUE"""),"dimensional")</f>
        <v>dimensional</v>
      </c>
      <c r="E3362" s="49"/>
      <c r="F3362" s="49"/>
      <c r="G3362" s="49"/>
      <c r="H3362" s="54" t="str">
        <f t="shared" si="1"/>
        <v>traveled,</v>
      </c>
      <c r="I3362" s="50"/>
      <c r="J3362" s="50"/>
      <c r="K3362" s="50" t="s">
        <v>6081</v>
      </c>
      <c r="L3362" s="49"/>
      <c r="M3362" s="49"/>
      <c r="N3362" s="50"/>
      <c r="O3362" s="49"/>
      <c r="P3362" s="49" t="str">
        <f t="shared" si="2"/>
        <v>,</v>
      </c>
      <c r="Q3362" s="49"/>
      <c r="R3362" s="49"/>
      <c r="S3362" s="55" t="s">
        <v>4799</v>
      </c>
      <c r="T3362" s="49"/>
      <c r="U3362" s="49"/>
      <c r="V3362" s="49"/>
      <c r="W3362" s="49"/>
      <c r="X3362" s="49" t="str">
        <f t="shared" si="3"/>
        <v>,</v>
      </c>
      <c r="Y3362" s="49"/>
      <c r="Z3362" s="49"/>
      <c r="AB3362" s="49"/>
      <c r="AC3362" s="49"/>
      <c r="AD3362" s="49"/>
      <c r="AE3362" s="49"/>
      <c r="AF3362" s="49"/>
      <c r="AG3362" s="49"/>
      <c r="AH3362" s="49"/>
      <c r="AI3362" s="49"/>
      <c r="AJ3362" s="49"/>
      <c r="AK3362" s="49"/>
      <c r="AL3362" s="49"/>
      <c r="AM3362" s="49"/>
      <c r="AN3362" s="49"/>
      <c r="AP3362" s="49"/>
      <c r="AQ3362" s="49"/>
      <c r="AR3362" s="49"/>
      <c r="AS3362" s="49"/>
      <c r="AT3362" s="49"/>
    </row>
    <row r="3363">
      <c r="A3363" s="51"/>
      <c r="B3363" s="50" t="s">
        <v>4886</v>
      </c>
      <c r="C3363" s="50" t="s">
        <v>6892</v>
      </c>
      <c r="D3363" s="49" t="str">
        <f>IFERROR(__xludf.DUMMYFUNCTION("""COMPUTED_VALUE"""),"pushed")</f>
        <v>pushed</v>
      </c>
      <c r="E3363" s="49"/>
      <c r="F3363" s="49"/>
      <c r="G3363" s="49"/>
      <c r="H3363" s="54" t="str">
        <f t="shared" si="1"/>
        <v>ball,</v>
      </c>
      <c r="I3363" s="50"/>
      <c r="J3363" s="50"/>
      <c r="K3363" s="50" t="s">
        <v>3114</v>
      </c>
      <c r="L3363" s="49"/>
      <c r="M3363" s="49"/>
      <c r="N3363" s="50"/>
      <c r="O3363" s="49"/>
      <c r="P3363" s="49" t="str">
        <f t="shared" si="2"/>
        <v>,</v>
      </c>
      <c r="Q3363" s="49"/>
      <c r="R3363" s="49"/>
      <c r="S3363" s="55" t="s">
        <v>5710</v>
      </c>
      <c r="T3363" s="49"/>
      <c r="U3363" s="49"/>
      <c r="V3363" s="49"/>
      <c r="W3363" s="49"/>
      <c r="X3363" s="49" t="str">
        <f t="shared" si="3"/>
        <v>,</v>
      </c>
      <c r="Y3363" s="49"/>
      <c r="Z3363" s="49"/>
      <c r="AB3363" s="49"/>
      <c r="AC3363" s="49"/>
      <c r="AD3363" s="49"/>
      <c r="AE3363" s="49"/>
      <c r="AF3363" s="49"/>
      <c r="AG3363" s="49"/>
      <c r="AH3363" s="49"/>
      <c r="AI3363" s="49"/>
      <c r="AJ3363" s="49"/>
      <c r="AK3363" s="49"/>
      <c r="AL3363" s="49"/>
      <c r="AM3363" s="49"/>
      <c r="AN3363" s="49"/>
      <c r="AP3363" s="49"/>
      <c r="AQ3363" s="49"/>
      <c r="AR3363" s="49"/>
      <c r="AS3363" s="49"/>
      <c r="AT3363" s="49"/>
    </row>
    <row r="3364">
      <c r="A3364" s="51"/>
      <c r="B3364" s="50" t="s">
        <v>4536</v>
      </c>
      <c r="C3364" s="50" t="s">
        <v>7074</v>
      </c>
      <c r="D3364" s="49" t="str">
        <f>IFERROR(__xludf.DUMMYFUNCTION("""COMPUTED_VALUE"""),"spain")</f>
        <v>spain</v>
      </c>
      <c r="E3364" s="49"/>
      <c r="F3364" s="49"/>
      <c r="G3364" s="49"/>
      <c r="H3364" s="54" t="str">
        <f t="shared" si="1"/>
        <v>cooper,</v>
      </c>
      <c r="I3364" s="50"/>
      <c r="J3364" s="50"/>
      <c r="K3364" s="50" t="s">
        <v>3116</v>
      </c>
      <c r="L3364" s="49"/>
      <c r="M3364" s="49"/>
      <c r="N3364" s="50"/>
      <c r="O3364" s="49"/>
      <c r="P3364" s="49" t="str">
        <f t="shared" si="2"/>
        <v>,</v>
      </c>
      <c r="Q3364" s="49"/>
      <c r="R3364" s="49"/>
      <c r="S3364" s="55" t="s">
        <v>3025</v>
      </c>
      <c r="T3364" s="49"/>
      <c r="U3364" s="49"/>
      <c r="V3364" s="49"/>
      <c r="W3364" s="49"/>
      <c r="X3364" s="49" t="str">
        <f t="shared" si="3"/>
        <v>,</v>
      </c>
      <c r="Y3364" s="49"/>
      <c r="Z3364" s="49"/>
      <c r="AB3364" s="49"/>
      <c r="AC3364" s="49"/>
      <c r="AD3364" s="49"/>
      <c r="AE3364" s="49"/>
      <c r="AF3364" s="49"/>
      <c r="AG3364" s="49"/>
      <c r="AH3364" s="49"/>
      <c r="AI3364" s="49"/>
      <c r="AJ3364" s="49"/>
      <c r="AK3364" s="49"/>
      <c r="AL3364" s="49"/>
      <c r="AM3364" s="49"/>
      <c r="AN3364" s="49"/>
      <c r="AP3364" s="49"/>
      <c r="AQ3364" s="49"/>
      <c r="AR3364" s="49"/>
      <c r="AS3364" s="49"/>
      <c r="AT3364" s="49"/>
    </row>
    <row r="3365">
      <c r="A3365" s="51"/>
      <c r="B3365" s="50" t="s">
        <v>3545</v>
      </c>
      <c r="C3365" s="50" t="s">
        <v>6514</v>
      </c>
      <c r="D3365" s="49" t="str">
        <f>IFERROR(__xludf.DUMMYFUNCTION("""COMPUTED_VALUE"""),"controversial")</f>
        <v>controversial</v>
      </c>
      <c r="E3365" s="49"/>
      <c r="F3365" s="49"/>
      <c r="G3365" s="49"/>
      <c r="H3365" s="54" t="str">
        <f t="shared" si="1"/>
        <v>movement,</v>
      </c>
      <c r="I3365" s="50"/>
      <c r="J3365" s="50"/>
      <c r="K3365" s="50" t="s">
        <v>3117</v>
      </c>
      <c r="L3365" s="49"/>
      <c r="M3365" s="49"/>
      <c r="N3365" s="50"/>
      <c r="O3365" s="49"/>
      <c r="P3365" s="49" t="str">
        <f t="shared" si="2"/>
        <v>,</v>
      </c>
      <c r="Q3365" s="49"/>
      <c r="R3365" s="49"/>
      <c r="S3365" s="55" t="s">
        <v>3681</v>
      </c>
      <c r="T3365" s="49"/>
      <c r="U3365" s="49"/>
      <c r="V3365" s="49"/>
      <c r="W3365" s="49"/>
      <c r="X3365" s="49" t="str">
        <f t="shared" si="3"/>
        <v>,</v>
      </c>
      <c r="Y3365" s="49"/>
      <c r="Z3365" s="49"/>
      <c r="AB3365" s="49"/>
      <c r="AC3365" s="49"/>
      <c r="AD3365" s="49"/>
      <c r="AE3365" s="49"/>
      <c r="AF3365" s="49"/>
      <c r="AG3365" s="49"/>
      <c r="AH3365" s="49"/>
      <c r="AI3365" s="49"/>
      <c r="AJ3365" s="49"/>
      <c r="AK3365" s="49"/>
      <c r="AL3365" s="49"/>
      <c r="AM3365" s="49"/>
      <c r="AN3365" s="49"/>
      <c r="AP3365" s="49"/>
      <c r="AQ3365" s="49"/>
      <c r="AR3365" s="49"/>
      <c r="AS3365" s="49"/>
      <c r="AT3365" s="49"/>
    </row>
    <row r="3366">
      <c r="A3366" s="51"/>
      <c r="B3366" s="50" t="s">
        <v>545</v>
      </c>
      <c r="C3366" s="50" t="s">
        <v>5962</v>
      </c>
      <c r="D3366" s="49" t="str">
        <f>IFERROR(__xludf.DUMMYFUNCTION("""COMPUTED_VALUE"""),"university")</f>
        <v>university</v>
      </c>
      <c r="E3366" s="49"/>
      <c r="F3366" s="49"/>
      <c r="G3366" s="49"/>
      <c r="H3366" s="54" t="str">
        <f t="shared" si="1"/>
        <v>significant,</v>
      </c>
      <c r="I3366" s="50"/>
      <c r="J3366" s="50"/>
      <c r="K3366" s="50" t="s">
        <v>4901</v>
      </c>
      <c r="L3366" s="49"/>
      <c r="M3366" s="49"/>
      <c r="N3366" s="50"/>
      <c r="O3366" s="49"/>
      <c r="P3366" s="49" t="str">
        <f t="shared" si="2"/>
        <v>,</v>
      </c>
      <c r="Q3366" s="49"/>
      <c r="R3366" s="49"/>
      <c r="S3366" s="55" t="s">
        <v>4805</v>
      </c>
      <c r="T3366" s="49"/>
      <c r="U3366" s="49"/>
      <c r="V3366" s="49"/>
      <c r="W3366" s="49"/>
      <c r="X3366" s="49" t="str">
        <f t="shared" si="3"/>
        <v>,</v>
      </c>
      <c r="Y3366" s="49"/>
      <c r="Z3366" s="49"/>
      <c r="AB3366" s="49"/>
      <c r="AC3366" s="49"/>
      <c r="AD3366" s="49"/>
      <c r="AE3366" s="49"/>
      <c r="AF3366" s="49"/>
      <c r="AG3366" s="49"/>
      <c r="AH3366" s="49"/>
      <c r="AI3366" s="49"/>
      <c r="AJ3366" s="49"/>
      <c r="AK3366" s="49"/>
      <c r="AL3366" s="49"/>
      <c r="AM3366" s="49"/>
      <c r="AN3366" s="49"/>
      <c r="AP3366" s="49"/>
      <c r="AQ3366" s="49"/>
      <c r="AR3366" s="49"/>
      <c r="AS3366" s="49"/>
      <c r="AT3366" s="49"/>
    </row>
    <row r="3367">
      <c r="A3367" s="51"/>
      <c r="B3367" s="50" t="s">
        <v>4931</v>
      </c>
      <c r="C3367" s="50" t="s">
        <v>4553</v>
      </c>
      <c r="D3367" s="49" t="str">
        <f>IFERROR(__xludf.DUMMYFUNCTION("""COMPUTED_VALUE"""),"developments")</f>
        <v>developments</v>
      </c>
      <c r="E3367" s="49"/>
      <c r="F3367" s="49"/>
      <c r="G3367" s="49"/>
      <c r="H3367" s="54" t="str">
        <f t="shared" si="1"/>
        <v>blanket,</v>
      </c>
      <c r="I3367" s="50"/>
      <c r="J3367" s="50"/>
      <c r="K3367" s="50" t="s">
        <v>3121</v>
      </c>
      <c r="L3367" s="49"/>
      <c r="M3367" s="49"/>
      <c r="N3367" s="50"/>
      <c r="O3367" s="49"/>
      <c r="P3367" s="49" t="str">
        <f t="shared" si="2"/>
        <v>,</v>
      </c>
      <c r="Q3367" s="49"/>
      <c r="R3367" s="49"/>
      <c r="S3367" s="55" t="s">
        <v>3028</v>
      </c>
      <c r="T3367" s="49"/>
      <c r="U3367" s="49"/>
      <c r="V3367" s="49"/>
      <c r="W3367" s="49"/>
      <c r="X3367" s="49" t="str">
        <f t="shared" si="3"/>
        <v>,</v>
      </c>
      <c r="Y3367" s="49"/>
      <c r="Z3367" s="49"/>
      <c r="AB3367" s="49"/>
      <c r="AC3367" s="49"/>
      <c r="AD3367" s="49"/>
      <c r="AE3367" s="49"/>
      <c r="AF3367" s="49"/>
      <c r="AG3367" s="49"/>
      <c r="AH3367" s="49"/>
      <c r="AI3367" s="49"/>
      <c r="AJ3367" s="49"/>
      <c r="AK3367" s="49"/>
      <c r="AL3367" s="49"/>
      <c r="AM3367" s="49"/>
      <c r="AN3367" s="49"/>
      <c r="AP3367" s="49"/>
      <c r="AQ3367" s="49"/>
      <c r="AR3367" s="49"/>
      <c r="AS3367" s="49"/>
      <c r="AT3367" s="49"/>
    </row>
    <row r="3368">
      <c r="A3368" s="51"/>
      <c r="B3368" s="50" t="s">
        <v>5477</v>
      </c>
      <c r="C3368" s="50" t="s">
        <v>2260</v>
      </c>
      <c r="D3368" s="49" t="str">
        <f>IFERROR(__xludf.DUMMYFUNCTION("""COMPUTED_VALUE"""),"discussion")</f>
        <v>discussion</v>
      </c>
      <c r="E3368" s="49"/>
      <c r="F3368" s="49"/>
      <c r="G3368" s="49"/>
      <c r="H3368" s="54" t="str">
        <f t="shared" si="1"/>
        <v>innovative,</v>
      </c>
      <c r="I3368" s="50"/>
      <c r="J3368" s="50"/>
      <c r="K3368" s="50" t="s">
        <v>6082</v>
      </c>
      <c r="L3368" s="49"/>
      <c r="M3368" s="49"/>
      <c r="N3368" s="50"/>
      <c r="O3368" s="49"/>
      <c r="P3368" s="49" t="str">
        <f t="shared" si="2"/>
        <v>,</v>
      </c>
      <c r="Q3368" s="49"/>
      <c r="R3368" s="49"/>
      <c r="S3368" s="55" t="s">
        <v>1660</v>
      </c>
      <c r="T3368" s="49"/>
      <c r="U3368" s="49"/>
      <c r="V3368" s="49"/>
      <c r="W3368" s="49"/>
      <c r="X3368" s="49" t="str">
        <f t="shared" si="3"/>
        <v>,</v>
      </c>
      <c r="Y3368" s="49"/>
      <c r="Z3368" s="49"/>
      <c r="AB3368" s="49"/>
      <c r="AC3368" s="49"/>
      <c r="AD3368" s="49"/>
      <c r="AE3368" s="49"/>
      <c r="AF3368" s="49"/>
      <c r="AG3368" s="49"/>
      <c r="AH3368" s="49"/>
      <c r="AI3368" s="49"/>
      <c r="AJ3368" s="49"/>
      <c r="AK3368" s="49"/>
      <c r="AL3368" s="49"/>
      <c r="AM3368" s="49"/>
      <c r="AN3368" s="49"/>
      <c r="AP3368" s="49"/>
      <c r="AQ3368" s="49"/>
      <c r="AR3368" s="49"/>
      <c r="AS3368" s="49"/>
      <c r="AT3368" s="49"/>
    </row>
    <row r="3369">
      <c r="A3369" s="51"/>
      <c r="B3369" s="50" t="s">
        <v>2932</v>
      </c>
      <c r="C3369" s="50" t="s">
        <v>5131</v>
      </c>
      <c r="D3369" s="49" t="str">
        <f>IFERROR(__xludf.DUMMYFUNCTION("""COMPUTED_VALUE"""),"experiment")</f>
        <v>experiment</v>
      </c>
      <c r="E3369" s="49"/>
      <c r="F3369" s="49"/>
      <c r="G3369" s="49"/>
      <c r="H3369" s="54" t="str">
        <f t="shared" si="1"/>
        <v>fingers,</v>
      </c>
      <c r="I3369" s="50"/>
      <c r="J3369" s="50"/>
      <c r="K3369" s="50" t="s">
        <v>3124</v>
      </c>
      <c r="L3369" s="49"/>
      <c r="M3369" s="49"/>
      <c r="N3369" s="50"/>
      <c r="O3369" s="49"/>
      <c r="P3369" s="49" t="str">
        <f t="shared" si="2"/>
        <v>,</v>
      </c>
      <c r="Q3369" s="49"/>
      <c r="R3369" s="49"/>
      <c r="S3369" s="55" t="s">
        <v>4809</v>
      </c>
      <c r="T3369" s="49"/>
      <c r="U3369" s="49"/>
      <c r="V3369" s="49"/>
      <c r="W3369" s="49"/>
      <c r="X3369" s="49" t="str">
        <f t="shared" si="3"/>
        <v>,</v>
      </c>
      <c r="Y3369" s="49"/>
      <c r="Z3369" s="49"/>
      <c r="AB3369" s="49"/>
      <c r="AC3369" s="49"/>
      <c r="AD3369" s="49"/>
      <c r="AE3369" s="49"/>
      <c r="AF3369" s="49"/>
      <c r="AG3369" s="49"/>
      <c r="AH3369" s="49"/>
      <c r="AI3369" s="49"/>
      <c r="AJ3369" s="49"/>
      <c r="AK3369" s="49"/>
      <c r="AL3369" s="49"/>
      <c r="AM3369" s="49"/>
      <c r="AN3369" s="49"/>
      <c r="AP3369" s="49"/>
      <c r="AQ3369" s="49"/>
      <c r="AR3369" s="49"/>
      <c r="AS3369" s="49"/>
      <c r="AT3369" s="49"/>
    </row>
    <row r="3370">
      <c r="A3370" s="51"/>
      <c r="B3370" s="50" t="s">
        <v>7499</v>
      </c>
      <c r="C3370" s="50" t="s">
        <v>5581</v>
      </c>
      <c r="D3370" s="49" t="str">
        <f>IFERROR(__xludf.DUMMYFUNCTION("""COMPUTED_VALUE"""),"mass")</f>
        <v>mass</v>
      </c>
      <c r="E3370" s="49"/>
      <c r="F3370" s="49"/>
      <c r="G3370" s="49"/>
      <c r="H3370" s="54" t="str">
        <f t="shared" si="1"/>
        <v>en,</v>
      </c>
      <c r="I3370" s="50"/>
      <c r="J3370" s="50"/>
      <c r="K3370" s="50" t="s">
        <v>399</v>
      </c>
      <c r="L3370" s="49"/>
      <c r="M3370" s="49"/>
      <c r="N3370" s="50"/>
      <c r="O3370" s="49"/>
      <c r="P3370" s="49" t="str">
        <f t="shared" si="2"/>
        <v>,</v>
      </c>
      <c r="Q3370" s="49"/>
      <c r="R3370" s="49"/>
      <c r="S3370" s="55" t="s">
        <v>4811</v>
      </c>
      <c r="T3370" s="49"/>
      <c r="U3370" s="49"/>
      <c r="V3370" s="49"/>
      <c r="W3370" s="49"/>
      <c r="X3370" s="49" t="str">
        <f t="shared" si="3"/>
        <v>,</v>
      </c>
      <c r="Y3370" s="49"/>
      <c r="Z3370" s="49"/>
      <c r="AB3370" s="49"/>
      <c r="AC3370" s="49"/>
      <c r="AD3370" s="49"/>
      <c r="AE3370" s="49"/>
      <c r="AF3370" s="49"/>
      <c r="AG3370" s="49"/>
      <c r="AH3370" s="49"/>
      <c r="AI3370" s="49"/>
      <c r="AJ3370" s="49"/>
      <c r="AK3370" s="49"/>
      <c r="AL3370" s="49"/>
      <c r="AM3370" s="49"/>
      <c r="AN3370" s="49"/>
      <c r="AP3370" s="49"/>
      <c r="AQ3370" s="49"/>
      <c r="AR3370" s="49"/>
      <c r="AS3370" s="49"/>
      <c r="AT3370" s="49"/>
    </row>
    <row r="3371">
      <c r="A3371" s="51"/>
      <c r="B3371" s="50" t="s">
        <v>7042</v>
      </c>
      <c r="C3371" s="50" t="s">
        <v>6893</v>
      </c>
      <c r="D3371" s="49" t="str">
        <f>IFERROR(__xludf.DUMMYFUNCTION("""COMPUTED_VALUE"""),"according")</f>
        <v>according</v>
      </c>
      <c r="E3371" s="49"/>
      <c r="F3371" s="49"/>
      <c r="G3371" s="49"/>
      <c r="H3371" s="54" t="str">
        <f t="shared" si="1"/>
        <v>height,</v>
      </c>
      <c r="I3371" s="50"/>
      <c r="J3371" s="50"/>
      <c r="K3371" s="50" t="s">
        <v>3129</v>
      </c>
      <c r="L3371" s="49"/>
      <c r="M3371" s="49"/>
      <c r="N3371" s="50"/>
      <c r="O3371" s="49"/>
      <c r="P3371" s="49" t="str">
        <f t="shared" si="2"/>
        <v>,</v>
      </c>
      <c r="Q3371" s="49"/>
      <c r="R3371" s="49"/>
      <c r="S3371" s="55" t="s">
        <v>3036</v>
      </c>
      <c r="T3371" s="49"/>
      <c r="U3371" s="49"/>
      <c r="V3371" s="49"/>
      <c r="W3371" s="49"/>
      <c r="X3371" s="49" t="str">
        <f t="shared" si="3"/>
        <v>,</v>
      </c>
      <c r="Y3371" s="49"/>
      <c r="Z3371" s="49"/>
      <c r="AB3371" s="49"/>
      <c r="AC3371" s="49"/>
      <c r="AD3371" s="49"/>
      <c r="AE3371" s="49"/>
      <c r="AF3371" s="49"/>
      <c r="AG3371" s="49"/>
      <c r="AH3371" s="49"/>
      <c r="AI3371" s="49"/>
      <c r="AJ3371" s="49"/>
      <c r="AK3371" s="49"/>
      <c r="AL3371" s="49"/>
      <c r="AM3371" s="49"/>
      <c r="AN3371" s="49"/>
      <c r="AP3371" s="49"/>
      <c r="AQ3371" s="49"/>
      <c r="AR3371" s="49"/>
      <c r="AS3371" s="49"/>
      <c r="AT3371" s="49"/>
    </row>
    <row r="3372">
      <c r="A3372" s="51"/>
      <c r="B3372" s="50" t="s">
        <v>4351</v>
      </c>
      <c r="C3372" s="50" t="s">
        <v>5964</v>
      </c>
      <c r="D3372" s="49" t="str">
        <f>IFERROR(__xludf.DUMMYFUNCTION("""COMPUTED_VALUE"""),"football")</f>
        <v>football</v>
      </c>
      <c r="E3372" s="49"/>
      <c r="F3372" s="49"/>
      <c r="G3372" s="49"/>
      <c r="H3372" s="54" t="str">
        <f t="shared" si="1"/>
        <v>mixture,</v>
      </c>
      <c r="I3372" s="50"/>
      <c r="J3372" s="50"/>
      <c r="K3372" s="50" t="s">
        <v>3131</v>
      </c>
      <c r="L3372" s="49"/>
      <c r="M3372" s="49"/>
      <c r="N3372" s="50"/>
      <c r="O3372" s="49"/>
      <c r="P3372" s="49" t="str">
        <f t="shared" si="2"/>
        <v>,</v>
      </c>
      <c r="Q3372" s="49"/>
      <c r="R3372" s="49"/>
      <c r="S3372" s="55" t="s">
        <v>3038</v>
      </c>
      <c r="T3372" s="49"/>
      <c r="U3372" s="49"/>
      <c r="V3372" s="49"/>
      <c r="W3372" s="49"/>
      <c r="X3372" s="49" t="str">
        <f t="shared" si="3"/>
        <v>,</v>
      </c>
      <c r="Y3372" s="49"/>
      <c r="Z3372" s="49"/>
      <c r="AB3372" s="49"/>
      <c r="AC3372" s="49"/>
      <c r="AD3372" s="49"/>
      <c r="AE3372" s="49"/>
      <c r="AF3372" s="49"/>
      <c r="AG3372" s="49"/>
      <c r="AH3372" s="49"/>
      <c r="AI3372" s="49"/>
      <c r="AJ3372" s="49"/>
      <c r="AK3372" s="49"/>
      <c r="AL3372" s="49"/>
      <c r="AM3372" s="49"/>
      <c r="AN3372" s="49"/>
      <c r="AP3372" s="49"/>
      <c r="AQ3372" s="49"/>
      <c r="AR3372" s="49"/>
      <c r="AS3372" s="49"/>
      <c r="AT3372" s="49"/>
    </row>
    <row r="3373">
      <c r="A3373" s="51"/>
      <c r="B3373" s="50" t="s">
        <v>7687</v>
      </c>
      <c r="C3373" s="50" t="s">
        <v>1803</v>
      </c>
      <c r="D3373" s="49" t="str">
        <f>IFERROR(__xludf.DUMMYFUNCTION("""COMPUTED_VALUE"""),"ninth")</f>
        <v>ninth</v>
      </c>
      <c r="E3373" s="49"/>
      <c r="F3373" s="49"/>
      <c r="G3373" s="49"/>
      <c r="H3373" s="54" t="str">
        <f t="shared" si="1"/>
        <v>dante,</v>
      </c>
      <c r="I3373" s="50"/>
      <c r="J3373" s="50"/>
      <c r="K3373" s="50" t="s">
        <v>4909</v>
      </c>
      <c r="L3373" s="49"/>
      <c r="M3373" s="49"/>
      <c r="N3373" s="50"/>
      <c r="O3373" s="49"/>
      <c r="P3373" s="49" t="str">
        <f t="shared" si="2"/>
        <v>,</v>
      </c>
      <c r="Q3373" s="49"/>
      <c r="R3373" s="49"/>
      <c r="S3373" s="55" t="s">
        <v>6977</v>
      </c>
      <c r="T3373" s="49"/>
      <c r="U3373" s="49"/>
      <c r="V3373" s="49"/>
      <c r="W3373" s="49"/>
      <c r="X3373" s="49" t="str">
        <f t="shared" si="3"/>
        <v>,</v>
      </c>
      <c r="Y3373" s="49"/>
      <c r="Z3373" s="49"/>
      <c r="AB3373" s="49"/>
      <c r="AC3373" s="49"/>
      <c r="AD3373" s="49"/>
      <c r="AE3373" s="49"/>
      <c r="AF3373" s="49"/>
      <c r="AG3373" s="49"/>
      <c r="AH3373" s="49"/>
      <c r="AI3373" s="49"/>
      <c r="AJ3373" s="49"/>
      <c r="AK3373" s="49"/>
      <c r="AL3373" s="49"/>
      <c r="AM3373" s="49"/>
      <c r="AN3373" s="49"/>
      <c r="AP3373" s="49"/>
      <c r="AQ3373" s="49"/>
      <c r="AR3373" s="49"/>
      <c r="AS3373" s="49"/>
      <c r="AT3373" s="49"/>
    </row>
    <row r="3374">
      <c r="A3374" s="51"/>
      <c r="B3374" s="50" t="s">
        <v>7688</v>
      </c>
      <c r="C3374" s="50" t="s">
        <v>1027</v>
      </c>
      <c r="D3374" s="49" t="str">
        <f>IFERROR(__xludf.DUMMYFUNCTION("""COMPUTED_VALUE"""),"map")</f>
        <v>map</v>
      </c>
      <c r="E3374" s="49"/>
      <c r="F3374" s="49"/>
      <c r="G3374" s="49"/>
      <c r="H3374" s="54" t="str">
        <f t="shared" si="1"/>
        <v>han,</v>
      </c>
      <c r="I3374" s="50"/>
      <c r="J3374" s="50"/>
      <c r="K3374" s="50" t="s">
        <v>4911</v>
      </c>
      <c r="L3374" s="49"/>
      <c r="M3374" s="49"/>
      <c r="N3374" s="50"/>
      <c r="O3374" s="49"/>
      <c r="P3374" s="49" t="str">
        <f t="shared" si="2"/>
        <v>,</v>
      </c>
      <c r="Q3374" s="49"/>
      <c r="R3374" s="49"/>
      <c r="S3374" s="55" t="s">
        <v>4819</v>
      </c>
      <c r="T3374" s="49"/>
      <c r="U3374" s="49"/>
      <c r="V3374" s="49"/>
      <c r="W3374" s="49"/>
      <c r="X3374" s="49" t="str">
        <f t="shared" si="3"/>
        <v>,</v>
      </c>
      <c r="Y3374" s="49"/>
      <c r="Z3374" s="49"/>
      <c r="AB3374" s="49"/>
      <c r="AC3374" s="49"/>
      <c r="AD3374" s="49"/>
      <c r="AE3374" s="49"/>
      <c r="AF3374" s="49"/>
      <c r="AG3374" s="49"/>
      <c r="AH3374" s="49"/>
      <c r="AI3374" s="49"/>
      <c r="AJ3374" s="49"/>
      <c r="AK3374" s="49"/>
      <c r="AL3374" s="49"/>
      <c r="AM3374" s="49"/>
      <c r="AN3374" s="49"/>
      <c r="AP3374" s="49"/>
      <c r="AQ3374" s="49"/>
      <c r="AR3374" s="49"/>
      <c r="AS3374" s="49"/>
      <c r="AT3374" s="49"/>
    </row>
    <row r="3375">
      <c r="A3375" s="51"/>
      <c r="B3375" s="50" t="s">
        <v>750</v>
      </c>
      <c r="C3375" s="50">
        <v>2001.0</v>
      </c>
      <c r="D3375" s="49" t="str">
        <f>IFERROR(__xludf.DUMMYFUNCTION("""COMPUTED_VALUE"""),"torn")</f>
        <v>torn</v>
      </c>
      <c r="E3375" s="49"/>
      <c r="F3375" s="49"/>
      <c r="G3375" s="49"/>
      <c r="H3375" s="54" t="str">
        <f t="shared" si="1"/>
        <v>fictional,</v>
      </c>
      <c r="I3375" s="50"/>
      <c r="J3375" s="50"/>
      <c r="K3375" s="50" t="s">
        <v>4913</v>
      </c>
      <c r="L3375" s="49"/>
      <c r="M3375" s="49"/>
      <c r="N3375" s="50"/>
      <c r="O3375" s="49"/>
      <c r="P3375" s="49" t="str">
        <f t="shared" si="2"/>
        <v>,</v>
      </c>
      <c r="Q3375" s="49"/>
      <c r="R3375" s="49"/>
      <c r="S3375" s="55" t="s">
        <v>6059</v>
      </c>
      <c r="T3375" s="49"/>
      <c r="U3375" s="49"/>
      <c r="V3375" s="49"/>
      <c r="W3375" s="49"/>
      <c r="X3375" s="49" t="str">
        <f t="shared" si="3"/>
        <v>,</v>
      </c>
      <c r="Y3375" s="49"/>
      <c r="Z3375" s="49"/>
      <c r="AB3375" s="49"/>
      <c r="AC3375" s="49"/>
      <c r="AD3375" s="49"/>
      <c r="AE3375" s="49"/>
      <c r="AF3375" s="49"/>
      <c r="AG3375" s="49"/>
      <c r="AH3375" s="49"/>
      <c r="AI3375" s="49"/>
      <c r="AJ3375" s="49"/>
      <c r="AK3375" s="49"/>
      <c r="AL3375" s="49"/>
      <c r="AM3375" s="49"/>
      <c r="AN3375" s="49"/>
      <c r="AP3375" s="49"/>
      <c r="AQ3375" s="49"/>
      <c r="AR3375" s="49"/>
      <c r="AS3375" s="49"/>
      <c r="AT3375" s="49"/>
    </row>
    <row r="3376">
      <c r="A3376" s="51"/>
      <c r="B3376" s="50" t="s">
        <v>4614</v>
      </c>
      <c r="C3376" s="50" t="s">
        <v>6894</v>
      </c>
      <c r="D3376" s="49" t="str">
        <f>IFERROR(__xludf.DUMMYFUNCTION("""COMPUTED_VALUE"""),"approached")</f>
        <v>approached</v>
      </c>
      <c r="E3376" s="49"/>
      <c r="F3376" s="49"/>
      <c r="G3376" s="49"/>
      <c r="H3376" s="54" t="str">
        <f t="shared" si="1"/>
        <v>glory,</v>
      </c>
      <c r="I3376" s="50"/>
      <c r="J3376" s="50"/>
      <c r="K3376" s="50" t="s">
        <v>5785</v>
      </c>
      <c r="L3376" s="49"/>
      <c r="M3376" s="49"/>
      <c r="N3376" s="50"/>
      <c r="O3376" s="49"/>
      <c r="P3376" s="49" t="str">
        <f t="shared" si="2"/>
        <v>,</v>
      </c>
      <c r="Q3376" s="49"/>
      <c r="R3376" s="49"/>
      <c r="S3376" s="55" t="s">
        <v>1667</v>
      </c>
      <c r="T3376" s="49"/>
      <c r="U3376" s="49"/>
      <c r="V3376" s="49"/>
      <c r="W3376" s="49"/>
      <c r="X3376" s="49" t="str">
        <f t="shared" si="3"/>
        <v>,</v>
      </c>
      <c r="Y3376" s="49"/>
      <c r="Z3376" s="49"/>
      <c r="AB3376" s="49"/>
      <c r="AC3376" s="49"/>
      <c r="AD3376" s="49"/>
      <c r="AE3376" s="49"/>
      <c r="AF3376" s="49"/>
      <c r="AG3376" s="49"/>
      <c r="AH3376" s="49"/>
      <c r="AI3376" s="49"/>
      <c r="AJ3376" s="49"/>
      <c r="AK3376" s="49"/>
      <c r="AL3376" s="49"/>
      <c r="AM3376" s="49"/>
      <c r="AN3376" s="49"/>
      <c r="AP3376" s="49"/>
      <c r="AQ3376" s="49"/>
      <c r="AR3376" s="49"/>
      <c r="AS3376" s="49"/>
      <c r="AT3376" s="49"/>
    </row>
    <row r="3377">
      <c r="A3377" s="51"/>
      <c r="B3377" s="50" t="s">
        <v>4243</v>
      </c>
      <c r="C3377" s="50" t="s">
        <v>3754</v>
      </c>
      <c r="D3377" s="49" t="str">
        <f>IFERROR(__xludf.DUMMYFUNCTION("""COMPUTED_VALUE"""),"harvey")</f>
        <v>harvey</v>
      </c>
      <c r="E3377" s="49"/>
      <c r="F3377" s="49"/>
      <c r="G3377" s="49"/>
      <c r="H3377" s="54" t="str">
        <f t="shared" si="1"/>
        <v>insurance,</v>
      </c>
      <c r="I3377" s="50"/>
      <c r="J3377" s="50"/>
      <c r="K3377" s="50" t="s">
        <v>3964</v>
      </c>
      <c r="L3377" s="49"/>
      <c r="M3377" s="49"/>
      <c r="N3377" s="50"/>
      <c r="O3377" s="49"/>
      <c r="P3377" s="49" t="str">
        <f t="shared" si="2"/>
        <v>,</v>
      </c>
      <c r="Q3377" s="49"/>
      <c r="R3377" s="49"/>
      <c r="S3377" s="55" t="s">
        <v>3042</v>
      </c>
      <c r="T3377" s="49"/>
      <c r="U3377" s="49"/>
      <c r="V3377" s="49"/>
      <c r="W3377" s="49"/>
      <c r="X3377" s="49" t="str">
        <f t="shared" si="3"/>
        <v>,</v>
      </c>
      <c r="Y3377" s="49"/>
      <c r="Z3377" s="49"/>
      <c r="AB3377" s="49"/>
      <c r="AC3377" s="49"/>
      <c r="AD3377" s="49"/>
      <c r="AE3377" s="49"/>
      <c r="AF3377" s="49"/>
      <c r="AG3377" s="49"/>
      <c r="AH3377" s="49"/>
      <c r="AI3377" s="49"/>
      <c r="AJ3377" s="49"/>
      <c r="AK3377" s="49"/>
      <c r="AL3377" s="49"/>
      <c r="AM3377" s="49"/>
      <c r="AN3377" s="49"/>
      <c r="AP3377" s="49"/>
      <c r="AQ3377" s="49"/>
      <c r="AR3377" s="49"/>
      <c r="AS3377" s="49"/>
      <c r="AT3377" s="49"/>
    </row>
    <row r="3378">
      <c r="A3378" s="51"/>
      <c r="B3378" s="50" t="s">
        <v>7689</v>
      </c>
      <c r="C3378" s="50" t="s">
        <v>4560</v>
      </c>
      <c r="D3378" s="49" t="str">
        <f>IFERROR(__xludf.DUMMYFUNCTION("""COMPUTED_VALUE"""),"invented")</f>
        <v>invented</v>
      </c>
      <c r="E3378" s="49"/>
      <c r="F3378" s="49"/>
      <c r="G3378" s="49"/>
      <c r="H3378" s="54" t="str">
        <f t="shared" si="1"/>
        <v>india,</v>
      </c>
      <c r="I3378" s="50"/>
      <c r="J3378" s="50"/>
      <c r="K3378" s="50" t="s">
        <v>4917</v>
      </c>
      <c r="L3378" s="49"/>
      <c r="M3378" s="49"/>
      <c r="N3378" s="50"/>
      <c r="O3378" s="49"/>
      <c r="P3378" s="49" t="str">
        <f t="shared" si="2"/>
        <v>,</v>
      </c>
      <c r="Q3378" s="49"/>
      <c r="R3378" s="49"/>
      <c r="S3378" s="55" t="s">
        <v>5337</v>
      </c>
      <c r="T3378" s="49"/>
      <c r="U3378" s="49"/>
      <c r="V3378" s="49"/>
      <c r="W3378" s="49"/>
      <c r="X3378" s="49" t="str">
        <f t="shared" si="3"/>
        <v>,</v>
      </c>
      <c r="Y3378" s="49"/>
      <c r="Z3378" s="49"/>
      <c r="AB3378" s="49"/>
      <c r="AC3378" s="49"/>
      <c r="AD3378" s="49"/>
      <c r="AE3378" s="49"/>
      <c r="AF3378" s="49"/>
      <c r="AG3378" s="49"/>
      <c r="AH3378" s="49"/>
      <c r="AI3378" s="49"/>
      <c r="AJ3378" s="49"/>
      <c r="AK3378" s="49"/>
      <c r="AL3378" s="49"/>
      <c r="AM3378" s="49"/>
      <c r="AN3378" s="49"/>
      <c r="AP3378" s="49"/>
      <c r="AQ3378" s="49"/>
      <c r="AR3378" s="49"/>
      <c r="AS3378" s="49"/>
      <c r="AT3378" s="49"/>
    </row>
    <row r="3379">
      <c r="A3379" s="51"/>
      <c r="B3379" s="50" t="s">
        <v>3123</v>
      </c>
      <c r="C3379" s="50" t="s">
        <v>4451</v>
      </c>
      <c r="D3379" s="49" t="str">
        <f>IFERROR(__xludf.DUMMYFUNCTION("""COMPUTED_VALUE"""),"wrote")</f>
        <v>wrote</v>
      </c>
      <c r="E3379" s="49"/>
      <c r="F3379" s="49"/>
      <c r="G3379" s="49"/>
      <c r="H3379" s="54" t="str">
        <f t="shared" si="1"/>
        <v>conflict,</v>
      </c>
      <c r="I3379" s="50"/>
      <c r="J3379" s="50"/>
      <c r="K3379" s="50" t="s">
        <v>5786</v>
      </c>
      <c r="L3379" s="49"/>
      <c r="M3379" s="49"/>
      <c r="N3379" s="50"/>
      <c r="O3379" s="49"/>
      <c r="P3379" s="49" t="str">
        <f t="shared" si="2"/>
        <v>,</v>
      </c>
      <c r="Q3379" s="49"/>
      <c r="R3379" s="49"/>
      <c r="S3379" s="55" t="s">
        <v>4826</v>
      </c>
      <c r="T3379" s="49"/>
      <c r="U3379" s="49"/>
      <c r="V3379" s="49"/>
      <c r="W3379" s="49"/>
      <c r="X3379" s="49" t="str">
        <f t="shared" si="3"/>
        <v>,</v>
      </c>
      <c r="Y3379" s="49"/>
      <c r="Z3379" s="49"/>
      <c r="AB3379" s="49"/>
      <c r="AC3379" s="49"/>
      <c r="AD3379" s="49"/>
      <c r="AE3379" s="49"/>
      <c r="AF3379" s="49"/>
      <c r="AG3379" s="49"/>
      <c r="AH3379" s="49"/>
      <c r="AI3379" s="49"/>
      <c r="AJ3379" s="49"/>
      <c r="AK3379" s="49"/>
      <c r="AL3379" s="49"/>
      <c r="AM3379" s="49"/>
      <c r="AN3379" s="49"/>
      <c r="AP3379" s="49"/>
      <c r="AQ3379" s="49"/>
      <c r="AR3379" s="49"/>
      <c r="AS3379" s="49"/>
      <c r="AT3379" s="49"/>
    </row>
    <row r="3380">
      <c r="A3380" s="51"/>
      <c r="B3380" s="50" t="s">
        <v>2355</v>
      </c>
      <c r="C3380" s="50" t="s">
        <v>5038</v>
      </c>
      <c r="D3380" s="49" t="str">
        <f>IFERROR(__xludf.DUMMYFUNCTION("""COMPUTED_VALUE"""),"harbor")</f>
        <v>harbor</v>
      </c>
      <c r="E3380" s="49"/>
      <c r="F3380" s="49"/>
      <c r="G3380" s="49"/>
      <c r="H3380" s="54" t="str">
        <f t="shared" si="1"/>
        <v>pat,</v>
      </c>
      <c r="I3380" s="50"/>
      <c r="J3380" s="50"/>
      <c r="K3380" s="50" t="s">
        <v>4919</v>
      </c>
      <c r="L3380" s="49"/>
      <c r="M3380" s="49"/>
      <c r="N3380" s="50"/>
      <c r="O3380" s="49"/>
      <c r="P3380" s="49" t="str">
        <f t="shared" si="2"/>
        <v>,</v>
      </c>
      <c r="Q3380" s="49"/>
      <c r="R3380" s="49"/>
      <c r="S3380" s="55" t="s">
        <v>1670</v>
      </c>
      <c r="T3380" s="49"/>
      <c r="U3380" s="49"/>
      <c r="V3380" s="49"/>
      <c r="W3380" s="49"/>
      <c r="X3380" s="49" t="str">
        <f t="shared" si="3"/>
        <v>,</v>
      </c>
      <c r="Y3380" s="49"/>
      <c r="Z3380" s="49"/>
      <c r="AB3380" s="49"/>
      <c r="AC3380" s="49"/>
      <c r="AD3380" s="49"/>
      <c r="AE3380" s="49"/>
      <c r="AF3380" s="49"/>
      <c r="AG3380" s="49"/>
      <c r="AH3380" s="49"/>
      <c r="AI3380" s="49"/>
      <c r="AJ3380" s="49"/>
      <c r="AK3380" s="49"/>
      <c r="AL3380" s="49"/>
      <c r="AM3380" s="49"/>
      <c r="AN3380" s="49"/>
      <c r="AP3380" s="49"/>
      <c r="AQ3380" s="49"/>
      <c r="AR3380" s="49"/>
      <c r="AS3380" s="49"/>
      <c r="AT3380" s="49"/>
    </row>
    <row r="3381">
      <c r="A3381" s="51"/>
      <c r="B3381" s="50" t="s">
        <v>5205</v>
      </c>
      <c r="C3381" s="50" t="s">
        <v>5513</v>
      </c>
      <c r="D3381" s="49" t="str">
        <f>IFERROR(__xludf.DUMMYFUNCTION("""COMPUTED_VALUE"""),"pearl")</f>
        <v>pearl</v>
      </c>
      <c r="E3381" s="49"/>
      <c r="F3381" s="49"/>
      <c r="G3381" s="49"/>
      <c r="H3381" s="54" t="str">
        <f t="shared" si="1"/>
        <v>functions,</v>
      </c>
      <c r="I3381" s="50"/>
      <c r="J3381" s="50"/>
      <c r="K3381" s="50" t="s">
        <v>5788</v>
      </c>
      <c r="L3381" s="49"/>
      <c r="M3381" s="49"/>
      <c r="N3381" s="50"/>
      <c r="O3381" s="49"/>
      <c r="P3381" s="49" t="str">
        <f t="shared" si="2"/>
        <v>,</v>
      </c>
      <c r="Q3381" s="49"/>
      <c r="R3381" s="49"/>
      <c r="S3381" s="55" t="s">
        <v>3044</v>
      </c>
      <c r="T3381" s="49"/>
      <c r="U3381" s="49"/>
      <c r="V3381" s="49"/>
      <c r="W3381" s="49"/>
      <c r="X3381" s="49" t="str">
        <f t="shared" si="3"/>
        <v>,</v>
      </c>
      <c r="Y3381" s="49"/>
      <c r="Z3381" s="49"/>
      <c r="AB3381" s="49"/>
      <c r="AC3381" s="49"/>
      <c r="AD3381" s="49"/>
      <c r="AE3381" s="49"/>
      <c r="AF3381" s="49"/>
      <c r="AG3381" s="49"/>
      <c r="AH3381" s="49"/>
      <c r="AI3381" s="49"/>
      <c r="AJ3381" s="49"/>
      <c r="AK3381" s="49"/>
      <c r="AL3381" s="49"/>
      <c r="AM3381" s="49"/>
      <c r="AN3381" s="49"/>
      <c r="AP3381" s="49"/>
      <c r="AQ3381" s="49"/>
      <c r="AR3381" s="49"/>
      <c r="AS3381" s="49"/>
      <c r="AT3381" s="49"/>
    </row>
    <row r="3382">
      <c r="A3382" s="51"/>
      <c r="B3382" s="50" t="s">
        <v>6697</v>
      </c>
      <c r="C3382" s="50" t="s">
        <v>1556</v>
      </c>
      <c r="D3382" s="49" t="str">
        <f>IFERROR(__xludf.DUMMYFUNCTION("""COMPUTED_VALUE"""),"farm")</f>
        <v>farm</v>
      </c>
      <c r="E3382" s="49"/>
      <c r="F3382" s="49"/>
      <c r="G3382" s="49"/>
      <c r="H3382" s="54" t="str">
        <f t="shared" si="1"/>
        <v>bowl,</v>
      </c>
      <c r="I3382" s="50"/>
      <c r="J3382" s="50"/>
      <c r="K3382" s="50" t="s">
        <v>3133</v>
      </c>
      <c r="L3382" s="49"/>
      <c r="M3382" s="49"/>
      <c r="N3382" s="50"/>
      <c r="O3382" s="49"/>
      <c r="P3382" s="49" t="str">
        <f t="shared" si="2"/>
        <v>,</v>
      </c>
      <c r="Q3382" s="49"/>
      <c r="R3382" s="49"/>
      <c r="S3382" s="55" t="s">
        <v>4969</v>
      </c>
      <c r="T3382" s="49"/>
      <c r="U3382" s="49"/>
      <c r="V3382" s="49"/>
      <c r="W3382" s="49"/>
      <c r="X3382" s="49" t="str">
        <f t="shared" si="3"/>
        <v>,</v>
      </c>
      <c r="Y3382" s="49"/>
      <c r="Z3382" s="49"/>
      <c r="AB3382" s="49"/>
      <c r="AC3382" s="49"/>
      <c r="AD3382" s="49"/>
      <c r="AE3382" s="49"/>
      <c r="AF3382" s="49"/>
      <c r="AG3382" s="49"/>
      <c r="AH3382" s="49"/>
      <c r="AI3382" s="49"/>
      <c r="AJ3382" s="49"/>
      <c r="AK3382" s="49"/>
      <c r="AL3382" s="49"/>
      <c r="AM3382" s="49"/>
      <c r="AN3382" s="49"/>
      <c r="AP3382" s="49"/>
      <c r="AQ3382" s="49"/>
      <c r="AR3382" s="49"/>
      <c r="AS3382" s="49"/>
      <c r="AT3382" s="49"/>
    </row>
    <row r="3383">
      <c r="A3383" s="51"/>
      <c r="B3383" s="50" t="s">
        <v>5275</v>
      </c>
      <c r="C3383" s="50" t="s">
        <v>3704</v>
      </c>
      <c r="D3383" s="49" t="str">
        <f>IFERROR(__xludf.DUMMYFUNCTION("""COMPUTED_VALUE"""),"veteran")</f>
        <v>veteran</v>
      </c>
      <c r="E3383" s="49"/>
      <c r="F3383" s="49"/>
      <c r="G3383" s="49"/>
      <c r="H3383" s="54" t="str">
        <f t="shared" si="1"/>
        <v>suggests,</v>
      </c>
      <c r="I3383" s="50"/>
      <c r="J3383" s="50"/>
      <c r="K3383" s="50" t="s">
        <v>3139</v>
      </c>
      <c r="L3383" s="49"/>
      <c r="M3383" s="49"/>
      <c r="N3383" s="50"/>
      <c r="O3383" s="49"/>
      <c r="P3383" s="49" t="str">
        <f t="shared" si="2"/>
        <v>,</v>
      </c>
      <c r="Q3383" s="49"/>
      <c r="R3383" s="49"/>
      <c r="S3383" s="55" t="s">
        <v>6061</v>
      </c>
      <c r="T3383" s="49"/>
      <c r="U3383" s="49"/>
      <c r="V3383" s="49"/>
      <c r="W3383" s="49"/>
      <c r="X3383" s="49" t="str">
        <f t="shared" si="3"/>
        <v>,</v>
      </c>
      <c r="Y3383" s="49"/>
      <c r="Z3383" s="49"/>
      <c r="AB3383" s="49"/>
      <c r="AC3383" s="49"/>
      <c r="AD3383" s="49"/>
      <c r="AE3383" s="49"/>
      <c r="AF3383" s="49"/>
      <c r="AG3383" s="49"/>
      <c r="AH3383" s="49"/>
      <c r="AI3383" s="49"/>
      <c r="AJ3383" s="49"/>
      <c r="AK3383" s="49"/>
      <c r="AL3383" s="49"/>
      <c r="AM3383" s="49"/>
      <c r="AN3383" s="49"/>
      <c r="AP3383" s="49"/>
      <c r="AQ3383" s="49"/>
      <c r="AR3383" s="49"/>
      <c r="AS3383" s="49"/>
      <c r="AT3383" s="49"/>
    </row>
    <row r="3384">
      <c r="A3384" s="51"/>
      <c r="B3384" s="50" t="s">
        <v>5043</v>
      </c>
      <c r="C3384" s="50" t="s">
        <v>4580</v>
      </c>
      <c r="D3384" s="49" t="str">
        <f>IFERROR(__xludf.DUMMYFUNCTION("""COMPUTED_VALUE"""),"border")</f>
        <v>border</v>
      </c>
      <c r="E3384" s="49"/>
      <c r="F3384" s="49"/>
      <c r="G3384" s="49"/>
      <c r="H3384" s="54" t="str">
        <f t="shared" si="1"/>
        <v>michel,</v>
      </c>
      <c r="I3384" s="50"/>
      <c r="J3384" s="50"/>
      <c r="K3384" s="50" t="s">
        <v>4921</v>
      </c>
      <c r="L3384" s="49"/>
      <c r="M3384" s="49"/>
      <c r="N3384" s="50"/>
      <c r="O3384" s="49"/>
      <c r="P3384" s="49" t="str">
        <f t="shared" si="2"/>
        <v>,</v>
      </c>
      <c r="Q3384" s="49"/>
      <c r="R3384" s="49"/>
      <c r="S3384" s="55" t="s">
        <v>1673</v>
      </c>
      <c r="T3384" s="49"/>
      <c r="U3384" s="49"/>
      <c r="V3384" s="49"/>
      <c r="W3384" s="49"/>
      <c r="X3384" s="49" t="str">
        <f t="shared" si="3"/>
        <v>,</v>
      </c>
      <c r="Y3384" s="49"/>
      <c r="Z3384" s="49"/>
      <c r="AB3384" s="49"/>
      <c r="AC3384" s="49"/>
      <c r="AD3384" s="49"/>
      <c r="AE3384" s="49"/>
      <c r="AF3384" s="49"/>
      <c r="AG3384" s="49"/>
      <c r="AH3384" s="49"/>
      <c r="AI3384" s="49"/>
      <c r="AJ3384" s="49"/>
      <c r="AK3384" s="49"/>
      <c r="AL3384" s="49"/>
      <c r="AM3384" s="49"/>
      <c r="AN3384" s="49"/>
      <c r="AP3384" s="49"/>
      <c r="AQ3384" s="49"/>
      <c r="AR3384" s="49"/>
      <c r="AS3384" s="49"/>
      <c r="AT3384" s="49"/>
    </row>
    <row r="3385">
      <c r="A3385" s="51"/>
      <c r="B3385" s="50" t="s">
        <v>5336</v>
      </c>
      <c r="C3385" s="50" t="s">
        <v>3756</v>
      </c>
      <c r="D3385" s="49" t="str">
        <f>IFERROR(__xludf.DUMMYFUNCTION("""COMPUTED_VALUE"""),"agency")</f>
        <v>agency</v>
      </c>
      <c r="E3385" s="49"/>
      <c r="F3385" s="49"/>
      <c r="G3385" s="49"/>
      <c r="H3385" s="54" t="str">
        <f t="shared" si="1"/>
        <v>roman,</v>
      </c>
      <c r="I3385" s="50"/>
      <c r="J3385" s="50"/>
      <c r="K3385" s="50" t="s">
        <v>4922</v>
      </c>
      <c r="L3385" s="49"/>
      <c r="M3385" s="49"/>
      <c r="N3385" s="50"/>
      <c r="O3385" s="49"/>
      <c r="P3385" s="49" t="str">
        <f t="shared" si="2"/>
        <v>,</v>
      </c>
      <c r="Q3385" s="49"/>
      <c r="R3385" s="49"/>
      <c r="S3385" s="55" t="s">
        <v>3046</v>
      </c>
      <c r="T3385" s="49"/>
      <c r="U3385" s="49"/>
      <c r="V3385" s="49"/>
      <c r="W3385" s="49"/>
      <c r="X3385" s="49" t="str">
        <f t="shared" si="3"/>
        <v>,</v>
      </c>
      <c r="Y3385" s="49"/>
      <c r="Z3385" s="49"/>
      <c r="AB3385" s="49"/>
      <c r="AC3385" s="49"/>
      <c r="AD3385" s="49"/>
      <c r="AE3385" s="49"/>
      <c r="AF3385" s="49"/>
      <c r="AG3385" s="49"/>
      <c r="AH3385" s="49"/>
      <c r="AI3385" s="49"/>
      <c r="AJ3385" s="49"/>
      <c r="AK3385" s="49"/>
      <c r="AL3385" s="49"/>
      <c r="AM3385" s="49"/>
      <c r="AN3385" s="49"/>
      <c r="AP3385" s="49"/>
      <c r="AQ3385" s="49"/>
      <c r="AR3385" s="49"/>
      <c r="AS3385" s="49"/>
      <c r="AT3385" s="49"/>
    </row>
    <row r="3386">
      <c r="A3386" s="51"/>
      <c r="B3386" s="50" t="s">
        <v>7690</v>
      </c>
      <c r="C3386" s="50" t="s">
        <v>5517</v>
      </c>
      <c r="D3386" s="49" t="str">
        <f>IFERROR(__xludf.DUMMYFUNCTION("""COMPUTED_VALUE"""),"boss")</f>
        <v>boss</v>
      </c>
      <c r="E3386" s="49"/>
      <c r="F3386" s="49"/>
      <c r="G3386" s="49"/>
      <c r="H3386" s="54" t="str">
        <f t="shared" si="1"/>
        <v>emperor,</v>
      </c>
      <c r="I3386" s="50"/>
      <c r="J3386" s="50"/>
      <c r="K3386" s="50" t="s">
        <v>5350</v>
      </c>
      <c r="L3386" s="49"/>
      <c r="M3386" s="49"/>
      <c r="N3386" s="50"/>
      <c r="O3386" s="49"/>
      <c r="P3386" s="49" t="str">
        <f t="shared" si="2"/>
        <v>,</v>
      </c>
      <c r="Q3386" s="49"/>
      <c r="R3386" s="49"/>
      <c r="S3386" s="55" t="s">
        <v>4831</v>
      </c>
      <c r="T3386" s="49"/>
      <c r="U3386" s="49"/>
      <c r="V3386" s="49"/>
      <c r="W3386" s="49"/>
      <c r="X3386" s="49" t="str">
        <f t="shared" si="3"/>
        <v>,</v>
      </c>
      <c r="Y3386" s="49"/>
      <c r="Z3386" s="49"/>
      <c r="AB3386" s="49"/>
      <c r="AC3386" s="49"/>
      <c r="AD3386" s="49"/>
      <c r="AE3386" s="49"/>
      <c r="AF3386" s="49"/>
      <c r="AG3386" s="49"/>
      <c r="AH3386" s="49"/>
      <c r="AI3386" s="49"/>
      <c r="AJ3386" s="49"/>
      <c r="AK3386" s="49"/>
      <c r="AL3386" s="49"/>
      <c r="AM3386" s="49"/>
      <c r="AN3386" s="49"/>
      <c r="AP3386" s="49"/>
      <c r="AQ3386" s="49"/>
      <c r="AR3386" s="49"/>
      <c r="AS3386" s="49"/>
      <c r="AT3386" s="49"/>
    </row>
    <row r="3387">
      <c r="A3387" s="51"/>
      <c r="B3387" s="50" t="s">
        <v>3514</v>
      </c>
      <c r="C3387" s="50" t="s">
        <v>6896</v>
      </c>
      <c r="D3387" s="49" t="str">
        <f>IFERROR(__xludf.DUMMYFUNCTION("""COMPUTED_VALUE"""),"bread")</f>
        <v>bread</v>
      </c>
      <c r="E3387" s="49"/>
      <c r="F3387" s="49"/>
      <c r="G3387" s="49"/>
      <c r="H3387" s="54" t="str">
        <f t="shared" si="1"/>
        <v>harris,</v>
      </c>
      <c r="I3387" s="50"/>
      <c r="J3387" s="50"/>
      <c r="K3387" s="50" t="s">
        <v>4923</v>
      </c>
      <c r="L3387" s="49"/>
      <c r="M3387" s="49"/>
      <c r="N3387" s="50"/>
      <c r="O3387" s="49"/>
      <c r="P3387" s="49" t="str">
        <f t="shared" si="2"/>
        <v>,</v>
      </c>
      <c r="Q3387" s="49"/>
      <c r="R3387" s="49"/>
      <c r="S3387" s="55" t="s">
        <v>7075</v>
      </c>
      <c r="T3387" s="49"/>
      <c r="U3387" s="49"/>
      <c r="V3387" s="49"/>
      <c r="W3387" s="49"/>
      <c r="X3387" s="49" t="str">
        <f t="shared" si="3"/>
        <v>,</v>
      </c>
      <c r="Y3387" s="49"/>
      <c r="Z3387" s="49"/>
      <c r="AB3387" s="49"/>
      <c r="AC3387" s="49"/>
      <c r="AD3387" s="49"/>
      <c r="AE3387" s="49"/>
      <c r="AF3387" s="49"/>
      <c r="AG3387" s="49"/>
      <c r="AH3387" s="49"/>
      <c r="AI3387" s="49"/>
      <c r="AJ3387" s="49"/>
      <c r="AK3387" s="49"/>
      <c r="AL3387" s="49"/>
      <c r="AM3387" s="49"/>
      <c r="AN3387" s="49"/>
      <c r="AP3387" s="49"/>
      <c r="AQ3387" s="49"/>
      <c r="AR3387" s="49"/>
      <c r="AS3387" s="49"/>
      <c r="AT3387" s="49"/>
    </row>
    <row r="3388">
      <c r="A3388" s="51"/>
      <c r="B3388" s="50" t="s">
        <v>7123</v>
      </c>
      <c r="C3388" s="50" t="s">
        <v>1286</v>
      </c>
      <c r="D3388" s="49" t="str">
        <f>IFERROR(__xludf.DUMMYFUNCTION("""COMPUTED_VALUE"""),"corners")</f>
        <v>corners</v>
      </c>
      <c r="E3388" s="49"/>
      <c r="F3388" s="49"/>
      <c r="G3388" s="49"/>
      <c r="H3388" s="54" t="str">
        <f t="shared" si="1"/>
        <v>phoenix,</v>
      </c>
      <c r="I3388" s="50"/>
      <c r="J3388" s="50"/>
      <c r="K3388" s="50" t="s">
        <v>3141</v>
      </c>
      <c r="L3388" s="49"/>
      <c r="M3388" s="49"/>
      <c r="N3388" s="50"/>
      <c r="O3388" s="49"/>
      <c r="P3388" s="49" t="str">
        <f t="shared" si="2"/>
        <v>,</v>
      </c>
      <c r="Q3388" s="49"/>
      <c r="R3388" s="49"/>
      <c r="S3388" s="55" t="s">
        <v>4832</v>
      </c>
      <c r="T3388" s="49"/>
      <c r="U3388" s="49"/>
      <c r="V3388" s="49"/>
      <c r="W3388" s="49"/>
      <c r="X3388" s="49" t="str">
        <f t="shared" si="3"/>
        <v>,</v>
      </c>
      <c r="Y3388" s="49"/>
      <c r="Z3388" s="49"/>
      <c r="AB3388" s="49"/>
      <c r="AC3388" s="49"/>
      <c r="AD3388" s="49"/>
      <c r="AE3388" s="49"/>
      <c r="AF3388" s="49"/>
      <c r="AG3388" s="49"/>
      <c r="AH3388" s="49"/>
      <c r="AI3388" s="49"/>
      <c r="AJ3388" s="49"/>
      <c r="AK3388" s="49"/>
      <c r="AL3388" s="49"/>
      <c r="AM3388" s="49"/>
      <c r="AN3388" s="49"/>
      <c r="AP3388" s="49"/>
      <c r="AQ3388" s="49"/>
      <c r="AR3388" s="49"/>
      <c r="AS3388" s="49"/>
      <c r="AT3388" s="49"/>
    </row>
    <row r="3389">
      <c r="A3389" s="51"/>
      <c r="B3389" s="50" t="s">
        <v>5198</v>
      </c>
      <c r="C3389" s="50" t="s">
        <v>5522</v>
      </c>
      <c r="D3389" s="49" t="str">
        <f>IFERROR(__xludf.DUMMYFUNCTION("""COMPUTED_VALUE"""),"matrix")</f>
        <v>matrix</v>
      </c>
      <c r="E3389" s="49"/>
      <c r="F3389" s="49"/>
      <c r="G3389" s="49"/>
      <c r="H3389" s="54" t="str">
        <f t="shared" si="1"/>
        <v>earn,</v>
      </c>
      <c r="I3389" s="50"/>
      <c r="J3389" s="50"/>
      <c r="K3389" s="50" t="s">
        <v>3145</v>
      </c>
      <c r="L3389" s="49"/>
      <c r="M3389" s="49"/>
      <c r="N3389" s="50"/>
      <c r="O3389" s="49"/>
      <c r="P3389" s="49" t="str">
        <f t="shared" si="2"/>
        <v>,</v>
      </c>
      <c r="Q3389" s="49"/>
      <c r="R3389" s="49"/>
      <c r="S3389" s="55" t="s">
        <v>1778</v>
      </c>
      <c r="T3389" s="49"/>
      <c r="U3389" s="49"/>
      <c r="V3389" s="49"/>
      <c r="W3389" s="49"/>
      <c r="X3389" s="49" t="str">
        <f t="shared" si="3"/>
        <v>,</v>
      </c>
      <c r="Y3389" s="49"/>
      <c r="Z3389" s="49"/>
      <c r="AB3389" s="49"/>
      <c r="AC3389" s="49"/>
      <c r="AD3389" s="49"/>
      <c r="AE3389" s="49"/>
      <c r="AF3389" s="49"/>
      <c r="AG3389" s="49"/>
      <c r="AH3389" s="49"/>
      <c r="AI3389" s="49"/>
      <c r="AJ3389" s="49"/>
      <c r="AK3389" s="49"/>
      <c r="AL3389" s="49"/>
      <c r="AM3389" s="49"/>
      <c r="AN3389" s="49"/>
      <c r="AP3389" s="49"/>
      <c r="AQ3389" s="49"/>
      <c r="AR3389" s="49"/>
      <c r="AS3389" s="49"/>
      <c r="AT3389" s="49"/>
    </row>
    <row r="3390">
      <c r="A3390" s="51"/>
      <c r="B3390" s="50" t="s">
        <v>7072</v>
      </c>
      <c r="C3390" s="50" t="s">
        <v>3945</v>
      </c>
      <c r="D3390" s="49" t="str">
        <f>IFERROR(__xludf.DUMMYFUNCTION("""COMPUTED_VALUE"""),"section")</f>
        <v>section</v>
      </c>
      <c r="E3390" s="49"/>
      <c r="F3390" s="49"/>
      <c r="G3390" s="49"/>
      <c r="H3390" s="54" t="str">
        <f t="shared" si="1"/>
        <v>walks,</v>
      </c>
      <c r="I3390" s="50"/>
      <c r="J3390" s="50"/>
      <c r="K3390" s="50" t="s">
        <v>3148</v>
      </c>
      <c r="L3390" s="49"/>
      <c r="M3390" s="49"/>
      <c r="N3390" s="50"/>
      <c r="O3390" s="49"/>
      <c r="P3390" s="49" t="str">
        <f t="shared" si="2"/>
        <v>,</v>
      </c>
      <c r="Q3390" s="49"/>
      <c r="R3390" s="49"/>
      <c r="S3390" s="55" t="s">
        <v>7076</v>
      </c>
      <c r="T3390" s="49"/>
      <c r="U3390" s="49"/>
      <c r="V3390" s="49"/>
      <c r="W3390" s="49"/>
      <c r="X3390" s="49" t="str">
        <f t="shared" si="3"/>
        <v>,</v>
      </c>
      <c r="Y3390" s="49"/>
      <c r="Z3390" s="49"/>
      <c r="AB3390" s="49"/>
      <c r="AC3390" s="49"/>
      <c r="AD3390" s="49"/>
      <c r="AE3390" s="49"/>
      <c r="AF3390" s="49"/>
      <c r="AG3390" s="49"/>
      <c r="AH3390" s="49"/>
      <c r="AI3390" s="49"/>
      <c r="AJ3390" s="49"/>
      <c r="AK3390" s="49"/>
      <c r="AL3390" s="49"/>
      <c r="AM3390" s="49"/>
      <c r="AN3390" s="49"/>
      <c r="AP3390" s="49"/>
      <c r="AQ3390" s="49"/>
      <c r="AR3390" s="49"/>
      <c r="AS3390" s="49"/>
      <c r="AT3390" s="49"/>
    </row>
    <row r="3391">
      <c r="A3391" s="51"/>
      <c r="B3391" s="50" t="s">
        <v>2552</v>
      </c>
      <c r="C3391" s="50" t="s">
        <v>5482</v>
      </c>
      <c r="D3391" s="49" t="str">
        <f>IFERROR(__xludf.DUMMYFUNCTION("""COMPUTED_VALUE"""),"monday")</f>
        <v>monday</v>
      </c>
      <c r="E3391" s="49"/>
      <c r="F3391" s="49"/>
      <c r="G3391" s="49"/>
      <c r="H3391" s="54" t="str">
        <f t="shared" si="1"/>
        <v>malcolm,</v>
      </c>
      <c r="I3391" s="50"/>
      <c r="J3391" s="50"/>
      <c r="K3391" s="50" t="s">
        <v>1824</v>
      </c>
      <c r="L3391" s="49"/>
      <c r="M3391" s="49"/>
      <c r="N3391" s="50"/>
      <c r="O3391" s="49"/>
      <c r="P3391" s="49" t="str">
        <f t="shared" si="2"/>
        <v>,</v>
      </c>
      <c r="Q3391" s="49"/>
      <c r="R3391" s="49"/>
      <c r="S3391" s="55" t="s">
        <v>4835</v>
      </c>
      <c r="T3391" s="49"/>
      <c r="U3391" s="49"/>
      <c r="V3391" s="49"/>
      <c r="W3391" s="49"/>
      <c r="X3391" s="49" t="str">
        <f t="shared" si="3"/>
        <v>,</v>
      </c>
      <c r="Y3391" s="49"/>
      <c r="Z3391" s="49"/>
      <c r="AB3391" s="49"/>
      <c r="AC3391" s="49"/>
      <c r="AD3391" s="49"/>
      <c r="AE3391" s="49"/>
      <c r="AF3391" s="49"/>
      <c r="AG3391" s="49"/>
      <c r="AH3391" s="49"/>
      <c r="AI3391" s="49"/>
      <c r="AJ3391" s="49"/>
      <c r="AK3391" s="49"/>
      <c r="AL3391" s="49"/>
      <c r="AM3391" s="49"/>
      <c r="AN3391" s="49"/>
      <c r="AP3391" s="49"/>
      <c r="AQ3391" s="49"/>
      <c r="AR3391" s="49"/>
      <c r="AS3391" s="49"/>
      <c r="AT3391" s="49"/>
    </row>
    <row r="3392">
      <c r="A3392" s="51"/>
      <c r="B3392" s="50" t="s">
        <v>6324</v>
      </c>
      <c r="C3392" s="50" t="s">
        <v>1365</v>
      </c>
      <c r="D3392" s="49" t="str">
        <f>IFERROR(__xludf.DUMMYFUNCTION("""COMPUTED_VALUE"""),"departure")</f>
        <v>departure</v>
      </c>
      <c r="E3392" s="49"/>
      <c r="F3392" s="49"/>
      <c r="G3392" s="49"/>
      <c r="H3392" s="54" t="str">
        <f t="shared" si="1"/>
        <v>per,</v>
      </c>
      <c r="I3392" s="50"/>
      <c r="J3392" s="50"/>
      <c r="K3392" s="50" t="s">
        <v>3151</v>
      </c>
      <c r="L3392" s="49"/>
      <c r="M3392" s="49"/>
      <c r="N3392" s="50"/>
      <c r="O3392" s="49"/>
      <c r="P3392" s="49" t="str">
        <f t="shared" si="2"/>
        <v>,</v>
      </c>
      <c r="Q3392" s="49"/>
      <c r="R3392" s="49"/>
      <c r="S3392" s="55" t="s">
        <v>4837</v>
      </c>
      <c r="T3392" s="49"/>
      <c r="U3392" s="49"/>
      <c r="V3392" s="49"/>
      <c r="W3392" s="49"/>
      <c r="X3392" s="49" t="str">
        <f t="shared" si="3"/>
        <v>,</v>
      </c>
      <c r="Y3392" s="49"/>
      <c r="Z3392" s="49"/>
      <c r="AB3392" s="49"/>
      <c r="AC3392" s="49"/>
      <c r="AD3392" s="49"/>
      <c r="AE3392" s="49"/>
      <c r="AF3392" s="49"/>
      <c r="AG3392" s="49"/>
      <c r="AH3392" s="49"/>
      <c r="AI3392" s="49"/>
      <c r="AJ3392" s="49"/>
      <c r="AK3392" s="49"/>
      <c r="AL3392" s="49"/>
      <c r="AM3392" s="49"/>
      <c r="AN3392" s="49"/>
      <c r="AP3392" s="49"/>
      <c r="AQ3392" s="49"/>
      <c r="AR3392" s="49"/>
      <c r="AS3392" s="49"/>
      <c r="AT3392" s="49"/>
    </row>
    <row r="3393">
      <c r="A3393" s="51"/>
      <c r="B3393" s="50">
        <v>1987.0</v>
      </c>
      <c r="C3393" s="50" t="s">
        <v>3872</v>
      </c>
      <c r="D3393" s="49" t="str">
        <f>IFERROR(__xludf.DUMMYFUNCTION("""COMPUTED_VALUE"""),"prisoners")</f>
        <v>prisoners</v>
      </c>
      <c r="E3393" s="49"/>
      <c r="F3393" s="49"/>
      <c r="G3393" s="49"/>
      <c r="H3393" s="54" t="str">
        <f t="shared" si="1"/>
        <v>1987,</v>
      </c>
      <c r="I3393" s="50"/>
      <c r="J3393" s="50"/>
      <c r="K3393" s="50" t="s">
        <v>3155</v>
      </c>
      <c r="L3393" s="49"/>
      <c r="M3393" s="49"/>
      <c r="N3393" s="50"/>
      <c r="O3393" s="49"/>
      <c r="P3393" s="49" t="str">
        <f t="shared" si="2"/>
        <v>,</v>
      </c>
      <c r="Q3393" s="49"/>
      <c r="R3393" s="49"/>
      <c r="S3393" s="55" t="s">
        <v>3051</v>
      </c>
      <c r="T3393" s="49"/>
      <c r="U3393" s="49"/>
      <c r="V3393" s="49"/>
      <c r="W3393" s="49"/>
      <c r="X3393" s="49" t="str">
        <f t="shared" si="3"/>
        <v>,</v>
      </c>
      <c r="Y3393" s="49"/>
      <c r="Z3393" s="49"/>
      <c r="AB3393" s="49"/>
      <c r="AC3393" s="49"/>
      <c r="AD3393" s="49"/>
      <c r="AE3393" s="49"/>
      <c r="AF3393" s="49"/>
      <c r="AG3393" s="49"/>
      <c r="AH3393" s="49"/>
      <c r="AI3393" s="49"/>
      <c r="AJ3393" s="49"/>
      <c r="AK3393" s="49"/>
      <c r="AL3393" s="49"/>
      <c r="AM3393" s="49"/>
      <c r="AN3393" s="49"/>
      <c r="AP3393" s="49"/>
      <c r="AQ3393" s="49"/>
      <c r="AR3393" s="49"/>
      <c r="AS3393" s="49"/>
      <c r="AT3393" s="49"/>
    </row>
    <row r="3394">
      <c r="A3394" s="51"/>
      <c r="B3394" s="50" t="s">
        <v>6339</v>
      </c>
      <c r="C3394" s="50" t="s">
        <v>3286</v>
      </c>
      <c r="D3394" s="49" t="str">
        <f>IFERROR(__xludf.DUMMYFUNCTION("""COMPUTED_VALUE"""),"murray")</f>
        <v>murray</v>
      </c>
      <c r="E3394" s="49"/>
      <c r="F3394" s="49"/>
      <c r="G3394" s="49"/>
      <c r="H3394" s="54" t="str">
        <f t="shared" si="1"/>
        <v>smooth,</v>
      </c>
      <c r="I3394" s="50"/>
      <c r="J3394" s="50"/>
      <c r="K3394" s="50" t="s">
        <v>3157</v>
      </c>
      <c r="L3394" s="49"/>
      <c r="M3394" s="49"/>
      <c r="N3394" s="50"/>
      <c r="O3394" s="49"/>
      <c r="P3394" s="49" t="str">
        <f t="shared" si="2"/>
        <v>,</v>
      </c>
      <c r="Q3394" s="49"/>
      <c r="R3394" s="49"/>
      <c r="S3394" s="55" t="s">
        <v>1800</v>
      </c>
      <c r="T3394" s="49"/>
      <c r="U3394" s="49"/>
      <c r="V3394" s="49"/>
      <c r="W3394" s="49"/>
      <c r="X3394" s="49" t="str">
        <f t="shared" si="3"/>
        <v>,</v>
      </c>
      <c r="Y3394" s="49"/>
      <c r="Z3394" s="49"/>
      <c r="AB3394" s="49"/>
      <c r="AC3394" s="49"/>
      <c r="AD3394" s="49"/>
      <c r="AE3394" s="49"/>
      <c r="AF3394" s="49"/>
      <c r="AG3394" s="49"/>
      <c r="AH3394" s="49"/>
      <c r="AI3394" s="49"/>
      <c r="AJ3394" s="49"/>
      <c r="AK3394" s="49"/>
      <c r="AL3394" s="49"/>
      <c r="AM3394" s="49"/>
      <c r="AN3394" s="49"/>
      <c r="AP3394" s="49"/>
      <c r="AQ3394" s="49"/>
      <c r="AR3394" s="49"/>
      <c r="AS3394" s="49"/>
      <c r="AT3394" s="49"/>
    </row>
    <row r="3395">
      <c r="A3395" s="51"/>
      <c r="B3395" s="50" t="s">
        <v>5970</v>
      </c>
      <c r="C3395" s="50" t="s">
        <v>5291</v>
      </c>
      <c r="D3395" s="49" t="str">
        <f>IFERROR(__xludf.DUMMYFUNCTION("""COMPUTED_VALUE"""),"ireland")</f>
        <v>ireland</v>
      </c>
      <c r="E3395" s="49"/>
      <c r="F3395" s="49"/>
      <c r="G3395" s="49"/>
      <c r="H3395" s="54" t="str">
        <f t="shared" si="1"/>
        <v>drum,</v>
      </c>
      <c r="I3395" s="50"/>
      <c r="J3395" s="50"/>
      <c r="K3395" s="50" t="s">
        <v>5799</v>
      </c>
      <c r="L3395" s="49"/>
      <c r="M3395" s="49"/>
      <c r="N3395" s="50"/>
      <c r="O3395" s="49"/>
      <c r="P3395" s="49" t="str">
        <f t="shared" si="2"/>
        <v>,</v>
      </c>
      <c r="Q3395" s="49"/>
      <c r="R3395" s="49"/>
      <c r="S3395" s="55" t="s">
        <v>1805</v>
      </c>
      <c r="T3395" s="49"/>
      <c r="U3395" s="49"/>
      <c r="V3395" s="49"/>
      <c r="W3395" s="49"/>
      <c r="X3395" s="49" t="str">
        <f t="shared" si="3"/>
        <v>,</v>
      </c>
      <c r="Y3395" s="49"/>
      <c r="Z3395" s="49"/>
      <c r="AB3395" s="49"/>
      <c r="AC3395" s="49"/>
      <c r="AD3395" s="49"/>
      <c r="AE3395" s="49"/>
      <c r="AF3395" s="49"/>
      <c r="AG3395" s="49"/>
      <c r="AH3395" s="49"/>
      <c r="AI3395" s="49"/>
      <c r="AJ3395" s="49"/>
      <c r="AK3395" s="49"/>
      <c r="AL3395" s="49"/>
      <c r="AM3395" s="49"/>
      <c r="AN3395" s="49"/>
      <c r="AP3395" s="49"/>
      <c r="AQ3395" s="49"/>
      <c r="AR3395" s="49"/>
      <c r="AS3395" s="49"/>
      <c r="AT3395" s="49"/>
    </row>
    <row r="3396">
      <c r="A3396" s="51"/>
      <c r="B3396" s="50" t="s">
        <v>5901</v>
      </c>
      <c r="C3396" s="50" t="s">
        <v>7077</v>
      </c>
      <c r="D3396" s="49" t="str">
        <f>IFERROR(__xludf.DUMMYFUNCTION("""COMPUTED_VALUE"""),"classes")</f>
        <v>classes</v>
      </c>
      <c r="E3396" s="49"/>
      <c r="F3396" s="49"/>
      <c r="G3396" s="49"/>
      <c r="H3396" s="54" t="str">
        <f t="shared" si="1"/>
        <v>assets,</v>
      </c>
      <c r="I3396" s="50"/>
      <c r="J3396" s="50"/>
      <c r="K3396" s="50" t="s">
        <v>3160</v>
      </c>
      <c r="L3396" s="49"/>
      <c r="M3396" s="49"/>
      <c r="N3396" s="50"/>
      <c r="O3396" s="49"/>
      <c r="P3396" s="49" t="str">
        <f t="shared" si="2"/>
        <v>,</v>
      </c>
      <c r="Q3396" s="49"/>
      <c r="R3396" s="49"/>
      <c r="S3396" s="55" t="s">
        <v>4839</v>
      </c>
      <c r="T3396" s="49"/>
      <c r="U3396" s="49"/>
      <c r="V3396" s="49"/>
      <c r="W3396" s="49"/>
      <c r="X3396" s="49" t="str">
        <f t="shared" si="3"/>
        <v>,</v>
      </c>
      <c r="Y3396" s="49"/>
      <c r="Z3396" s="49"/>
      <c r="AB3396" s="49"/>
      <c r="AC3396" s="49"/>
      <c r="AD3396" s="49"/>
      <c r="AE3396" s="49"/>
      <c r="AF3396" s="49"/>
      <c r="AG3396" s="49"/>
      <c r="AH3396" s="49"/>
      <c r="AI3396" s="49"/>
      <c r="AJ3396" s="49"/>
      <c r="AK3396" s="49"/>
      <c r="AL3396" s="49"/>
      <c r="AM3396" s="49"/>
      <c r="AN3396" s="49"/>
      <c r="AP3396" s="49"/>
      <c r="AQ3396" s="49"/>
      <c r="AR3396" s="49"/>
      <c r="AS3396" s="49"/>
      <c r="AT3396" s="49"/>
    </row>
    <row r="3397">
      <c r="A3397" s="51"/>
      <c r="B3397" s="50" t="s">
        <v>7098</v>
      </c>
      <c r="C3397" s="50" t="s">
        <v>1371</v>
      </c>
      <c r="D3397" s="49" t="str">
        <f>IFERROR(__xludf.DUMMYFUNCTION("""COMPUTED_VALUE"""),"shore")</f>
        <v>shore</v>
      </c>
      <c r="E3397" s="49"/>
      <c r="F3397" s="49"/>
      <c r="G3397" s="49"/>
      <c r="H3397" s="54" t="str">
        <f t="shared" si="1"/>
        <v>suburban,</v>
      </c>
      <c r="I3397" s="50"/>
      <c r="J3397" s="50"/>
      <c r="K3397" s="50" t="s">
        <v>6090</v>
      </c>
      <c r="L3397" s="49"/>
      <c r="M3397" s="49"/>
      <c r="N3397" s="50"/>
      <c r="O3397" s="49"/>
      <c r="P3397" s="49" t="str">
        <f t="shared" si="2"/>
        <v>,</v>
      </c>
      <c r="Q3397" s="49"/>
      <c r="R3397" s="49"/>
      <c r="S3397" s="55" t="s">
        <v>3056</v>
      </c>
      <c r="T3397" s="49"/>
      <c r="U3397" s="49"/>
      <c r="V3397" s="49"/>
      <c r="W3397" s="49"/>
      <c r="X3397" s="49" t="str">
        <f t="shared" si="3"/>
        <v>,</v>
      </c>
      <c r="Y3397" s="49"/>
      <c r="Z3397" s="49"/>
      <c r="AB3397" s="49"/>
      <c r="AC3397" s="49"/>
      <c r="AD3397" s="49"/>
      <c r="AE3397" s="49"/>
      <c r="AF3397" s="49"/>
      <c r="AG3397" s="49"/>
      <c r="AH3397" s="49"/>
      <c r="AI3397" s="49"/>
      <c r="AJ3397" s="49"/>
      <c r="AK3397" s="49"/>
      <c r="AL3397" s="49"/>
      <c r="AM3397" s="49"/>
      <c r="AN3397" s="49"/>
      <c r="AP3397" s="49"/>
      <c r="AQ3397" s="49"/>
      <c r="AR3397" s="49"/>
      <c r="AS3397" s="49"/>
      <c r="AT3397" s="49"/>
    </row>
    <row r="3398">
      <c r="A3398" s="51"/>
      <c r="B3398" s="50" t="s">
        <v>3070</v>
      </c>
      <c r="C3398" s="50" t="s">
        <v>7078</v>
      </c>
      <c r="D3398" s="49" t="str">
        <f>IFERROR(__xludf.DUMMYFUNCTION("""COMPUTED_VALUE"""),"thoughts")</f>
        <v>thoughts</v>
      </c>
      <c r="E3398" s="49"/>
      <c r="F3398" s="49"/>
      <c r="G3398" s="49"/>
      <c r="H3398" s="54" t="str">
        <f t="shared" si="1"/>
        <v>johnny,</v>
      </c>
      <c r="I3398" s="50"/>
      <c r="J3398" s="50"/>
      <c r="K3398" s="50" t="s">
        <v>3162</v>
      </c>
      <c r="L3398" s="49"/>
      <c r="M3398" s="49"/>
      <c r="N3398" s="50"/>
      <c r="O3398" s="49"/>
      <c r="P3398" s="49" t="str">
        <f t="shared" si="2"/>
        <v>,</v>
      </c>
      <c r="Q3398" s="49"/>
      <c r="R3398" s="49"/>
      <c r="S3398" s="55" t="s">
        <v>895</v>
      </c>
      <c r="T3398" s="49"/>
      <c r="U3398" s="49"/>
      <c r="V3398" s="49"/>
      <c r="W3398" s="49"/>
      <c r="X3398" s="49" t="str">
        <f t="shared" si="3"/>
        <v>,</v>
      </c>
      <c r="Y3398" s="49"/>
      <c r="Z3398" s="49"/>
      <c r="AB3398" s="49"/>
      <c r="AC3398" s="49"/>
      <c r="AD3398" s="49"/>
      <c r="AE3398" s="49"/>
      <c r="AF3398" s="49"/>
      <c r="AG3398" s="49"/>
      <c r="AH3398" s="49"/>
      <c r="AI3398" s="49"/>
      <c r="AJ3398" s="49"/>
      <c r="AK3398" s="49"/>
      <c r="AL3398" s="49"/>
      <c r="AM3398" s="49"/>
      <c r="AN3398" s="49"/>
      <c r="AP3398" s="49"/>
      <c r="AQ3398" s="49"/>
      <c r="AR3398" s="49"/>
      <c r="AS3398" s="49"/>
      <c r="AT3398" s="49"/>
    </row>
    <row r="3399">
      <c r="A3399" s="51"/>
      <c r="B3399" s="50" t="s">
        <v>5454</v>
      </c>
      <c r="C3399" s="50" t="s">
        <v>3765</v>
      </c>
      <c r="D3399" s="49">
        <f>IFERROR(__xludf.DUMMYFUNCTION("""COMPUTED_VALUE"""),1975.0)</f>
        <v>1975</v>
      </c>
      <c r="E3399" s="49"/>
      <c r="F3399" s="49"/>
      <c r="G3399" s="49"/>
      <c r="H3399" s="54" t="str">
        <f t="shared" si="1"/>
        <v>properties,</v>
      </c>
      <c r="I3399" s="50"/>
      <c r="J3399" s="50"/>
      <c r="K3399" s="50" t="s">
        <v>4552</v>
      </c>
      <c r="L3399" s="49"/>
      <c r="M3399" s="49"/>
      <c r="N3399" s="50"/>
      <c r="O3399" s="49"/>
      <c r="P3399" s="49" t="str">
        <f t="shared" si="2"/>
        <v>,</v>
      </c>
      <c r="Q3399" s="49"/>
      <c r="R3399" s="49"/>
      <c r="S3399" s="55" t="s">
        <v>1878</v>
      </c>
      <c r="T3399" s="49"/>
      <c r="U3399" s="49"/>
      <c r="V3399" s="49"/>
      <c r="W3399" s="49"/>
      <c r="X3399" s="49" t="str">
        <f t="shared" si="3"/>
        <v>,</v>
      </c>
      <c r="Y3399" s="49"/>
      <c r="Z3399" s="49"/>
      <c r="AB3399" s="49"/>
      <c r="AC3399" s="49"/>
      <c r="AD3399" s="49"/>
      <c r="AE3399" s="49"/>
      <c r="AF3399" s="49"/>
      <c r="AG3399" s="49"/>
      <c r="AH3399" s="49"/>
      <c r="AI3399" s="49"/>
      <c r="AJ3399" s="49"/>
      <c r="AK3399" s="49"/>
      <c r="AL3399" s="49"/>
      <c r="AM3399" s="49"/>
      <c r="AN3399" s="49"/>
      <c r="AP3399" s="49"/>
      <c r="AQ3399" s="49"/>
      <c r="AR3399" s="49"/>
      <c r="AS3399" s="49"/>
      <c r="AT3399" s="49"/>
    </row>
    <row r="3400">
      <c r="A3400" s="51"/>
      <c r="B3400" s="50" t="s">
        <v>6786</v>
      </c>
      <c r="C3400" s="50" t="s">
        <v>3771</v>
      </c>
      <c r="D3400" s="49" t="str">
        <f>IFERROR(__xludf.DUMMYFUNCTION("""COMPUTED_VALUE"""),"derek")</f>
        <v>derek</v>
      </c>
      <c r="E3400" s="49"/>
      <c r="F3400" s="49"/>
      <c r="G3400" s="49"/>
      <c r="H3400" s="54" t="str">
        <f t="shared" si="1"/>
        <v>distinction,</v>
      </c>
      <c r="I3400" s="50"/>
      <c r="J3400" s="50"/>
      <c r="K3400" s="50" t="s">
        <v>4935</v>
      </c>
      <c r="L3400" s="49"/>
      <c r="M3400" s="49"/>
      <c r="N3400" s="50"/>
      <c r="O3400" s="49"/>
      <c r="P3400" s="49" t="str">
        <f t="shared" si="2"/>
        <v>,</v>
      </c>
      <c r="Q3400" s="49"/>
      <c r="R3400" s="49"/>
      <c r="S3400" s="55" t="s">
        <v>1048</v>
      </c>
      <c r="T3400" s="49"/>
      <c r="U3400" s="49"/>
      <c r="V3400" s="49"/>
      <c r="W3400" s="49"/>
      <c r="X3400" s="49" t="str">
        <f t="shared" si="3"/>
        <v>,</v>
      </c>
      <c r="Y3400" s="49"/>
      <c r="Z3400" s="49"/>
      <c r="AB3400" s="49"/>
      <c r="AC3400" s="49"/>
      <c r="AD3400" s="49"/>
      <c r="AE3400" s="49"/>
      <c r="AF3400" s="49"/>
      <c r="AG3400" s="49"/>
      <c r="AH3400" s="49"/>
      <c r="AI3400" s="49"/>
      <c r="AJ3400" s="49"/>
      <c r="AK3400" s="49"/>
      <c r="AL3400" s="49"/>
      <c r="AM3400" s="49"/>
      <c r="AN3400" s="49"/>
      <c r="AP3400" s="49"/>
      <c r="AQ3400" s="49"/>
      <c r="AR3400" s="49"/>
      <c r="AS3400" s="49"/>
      <c r="AT3400" s="49"/>
    </row>
    <row r="3401">
      <c r="A3401" s="51"/>
      <c r="B3401" s="50" t="s">
        <v>3215</v>
      </c>
      <c r="C3401" s="50" t="s">
        <v>6897</v>
      </c>
      <c r="D3401" s="49" t="str">
        <f>IFERROR(__xludf.DUMMYFUNCTION("""COMPUTED_VALUE"""),"bo")</f>
        <v>bo</v>
      </c>
      <c r="E3401" s="49"/>
      <c r="F3401" s="49"/>
      <c r="G3401" s="49"/>
      <c r="H3401" s="54" t="str">
        <f t="shared" si="1"/>
        <v>sides,</v>
      </c>
      <c r="I3401" s="50"/>
      <c r="J3401" s="50"/>
      <c r="K3401" s="50" t="s">
        <v>3166</v>
      </c>
      <c r="L3401" s="49"/>
      <c r="M3401" s="49"/>
      <c r="N3401" s="50"/>
      <c r="O3401" s="49"/>
      <c r="P3401" s="49" t="str">
        <f t="shared" si="2"/>
        <v>,</v>
      </c>
      <c r="Q3401" s="49"/>
      <c r="R3401" s="49"/>
      <c r="S3401" s="55" t="s">
        <v>2779</v>
      </c>
      <c r="T3401" s="49"/>
      <c r="U3401" s="49"/>
      <c r="V3401" s="49"/>
      <c r="W3401" s="49"/>
      <c r="X3401" s="49" t="str">
        <f t="shared" si="3"/>
        <v>,</v>
      </c>
      <c r="Y3401" s="49"/>
      <c r="Z3401" s="49"/>
      <c r="AB3401" s="49"/>
      <c r="AC3401" s="49"/>
      <c r="AD3401" s="49"/>
      <c r="AE3401" s="49"/>
      <c r="AF3401" s="49"/>
      <c r="AG3401" s="49"/>
      <c r="AH3401" s="49"/>
      <c r="AI3401" s="49"/>
      <c r="AJ3401" s="49"/>
      <c r="AK3401" s="49"/>
      <c r="AL3401" s="49"/>
      <c r="AM3401" s="49"/>
      <c r="AN3401" s="49"/>
      <c r="AP3401" s="49"/>
      <c r="AQ3401" s="49"/>
      <c r="AR3401" s="49"/>
      <c r="AS3401" s="49"/>
      <c r="AT3401" s="49"/>
    </row>
    <row r="3402">
      <c r="A3402" s="51"/>
      <c r="B3402" s="50" t="s">
        <v>6635</v>
      </c>
      <c r="C3402" s="50" t="s">
        <v>3769</v>
      </c>
      <c r="D3402" s="49" t="str">
        <f>IFERROR(__xludf.DUMMYFUNCTION("""COMPUTED_VALUE"""),"normally")</f>
        <v>normally</v>
      </c>
      <c r="E3402" s="49"/>
      <c r="F3402" s="49"/>
      <c r="G3402" s="49"/>
      <c r="H3402" s="54" t="str">
        <f t="shared" si="1"/>
        <v>carrying,</v>
      </c>
      <c r="I3402" s="50"/>
      <c r="J3402" s="50"/>
      <c r="K3402" s="50" t="s">
        <v>3169</v>
      </c>
      <c r="L3402" s="49"/>
      <c r="M3402" s="49"/>
      <c r="N3402" s="50"/>
      <c r="O3402" s="49"/>
      <c r="P3402" s="49" t="str">
        <f t="shared" si="2"/>
        <v>,</v>
      </c>
      <c r="Q3402" s="49"/>
      <c r="R3402" s="49"/>
      <c r="S3402" s="55" t="s">
        <v>3060</v>
      </c>
      <c r="T3402" s="49"/>
      <c r="U3402" s="49"/>
      <c r="V3402" s="49"/>
      <c r="W3402" s="49"/>
      <c r="X3402" s="49" t="str">
        <f t="shared" si="3"/>
        <v>,</v>
      </c>
      <c r="Y3402" s="49"/>
      <c r="Z3402" s="49"/>
      <c r="AB3402" s="49"/>
      <c r="AC3402" s="49"/>
      <c r="AD3402" s="49"/>
      <c r="AE3402" s="49"/>
      <c r="AF3402" s="49"/>
      <c r="AG3402" s="49"/>
      <c r="AH3402" s="49"/>
      <c r="AI3402" s="49"/>
      <c r="AJ3402" s="49"/>
      <c r="AK3402" s="49"/>
      <c r="AL3402" s="49"/>
      <c r="AM3402" s="49"/>
      <c r="AN3402" s="49"/>
      <c r="AP3402" s="49"/>
      <c r="AQ3402" s="49"/>
      <c r="AR3402" s="49"/>
      <c r="AS3402" s="49"/>
      <c r="AT3402" s="49"/>
    </row>
    <row r="3403">
      <c r="A3403" s="51"/>
      <c r="B3403" s="50" t="s">
        <v>7691</v>
      </c>
      <c r="C3403" s="50" t="s">
        <v>1373</v>
      </c>
      <c r="D3403" s="49" t="str">
        <f>IFERROR(__xludf.DUMMYFUNCTION("""COMPUTED_VALUE"""),"sources")</f>
        <v>sources</v>
      </c>
      <c r="E3403" s="49"/>
      <c r="F3403" s="49"/>
      <c r="G3403" s="49"/>
      <c r="H3403" s="54" t="str">
        <f t="shared" si="1"/>
        <v>tunnel,</v>
      </c>
      <c r="I3403" s="50"/>
      <c r="J3403" s="50"/>
      <c r="K3403" s="50" t="s">
        <v>1913</v>
      </c>
      <c r="L3403" s="49"/>
      <c r="M3403" s="49"/>
      <c r="N3403" s="50"/>
      <c r="O3403" s="49"/>
      <c r="P3403" s="49" t="str">
        <f t="shared" si="2"/>
        <v>,</v>
      </c>
      <c r="Q3403" s="49"/>
      <c r="R3403" s="49"/>
      <c r="S3403" s="55" t="s">
        <v>3773</v>
      </c>
      <c r="T3403" s="49"/>
      <c r="U3403" s="49"/>
      <c r="V3403" s="49"/>
      <c r="W3403" s="49"/>
      <c r="X3403" s="49" t="str">
        <f t="shared" si="3"/>
        <v>,</v>
      </c>
      <c r="Y3403" s="49"/>
      <c r="Z3403" s="49"/>
      <c r="AB3403" s="49"/>
      <c r="AC3403" s="49"/>
      <c r="AD3403" s="49"/>
      <c r="AE3403" s="49"/>
      <c r="AF3403" s="49"/>
      <c r="AG3403" s="49"/>
      <c r="AH3403" s="49"/>
      <c r="AI3403" s="49"/>
      <c r="AJ3403" s="49"/>
      <c r="AK3403" s="49"/>
      <c r="AL3403" s="49"/>
      <c r="AM3403" s="49"/>
      <c r="AN3403" s="49"/>
      <c r="AP3403" s="49"/>
      <c r="AQ3403" s="49"/>
      <c r="AR3403" s="49"/>
      <c r="AS3403" s="49"/>
      <c r="AT3403" s="49"/>
    </row>
    <row r="3404">
      <c r="A3404" s="51"/>
      <c r="B3404" s="50" t="s">
        <v>3702</v>
      </c>
      <c r="C3404" s="50" t="s">
        <v>1449</v>
      </c>
      <c r="D3404" s="49" t="str">
        <f>IFERROR(__xludf.DUMMYFUNCTION("""COMPUTED_VALUE"""),"arriving")</f>
        <v>arriving</v>
      </c>
      <c r="E3404" s="49"/>
      <c r="F3404" s="49"/>
      <c r="G3404" s="49"/>
      <c r="H3404" s="54" t="str">
        <f t="shared" si="1"/>
        <v>possibility,</v>
      </c>
      <c r="I3404" s="50"/>
      <c r="J3404" s="50"/>
      <c r="K3404" s="50" t="s">
        <v>3171</v>
      </c>
      <c r="L3404" s="49"/>
      <c r="M3404" s="49"/>
      <c r="N3404" s="50"/>
      <c r="O3404" s="49"/>
      <c r="P3404" s="49" t="str">
        <f t="shared" si="2"/>
        <v>,</v>
      </c>
      <c r="Q3404" s="49"/>
      <c r="R3404" s="49"/>
      <c r="S3404" s="55" t="s">
        <v>5745</v>
      </c>
      <c r="T3404" s="49"/>
      <c r="U3404" s="49"/>
      <c r="V3404" s="49"/>
      <c r="W3404" s="49"/>
      <c r="X3404" s="49" t="str">
        <f t="shared" si="3"/>
        <v>,</v>
      </c>
      <c r="Y3404" s="49"/>
      <c r="Z3404" s="49"/>
      <c r="AB3404" s="49"/>
      <c r="AC3404" s="49"/>
      <c r="AD3404" s="49"/>
      <c r="AE3404" s="49"/>
      <c r="AF3404" s="49"/>
      <c r="AG3404" s="49"/>
      <c r="AH3404" s="49"/>
      <c r="AI3404" s="49"/>
      <c r="AJ3404" s="49"/>
      <c r="AK3404" s="49"/>
      <c r="AL3404" s="49"/>
      <c r="AM3404" s="49"/>
      <c r="AN3404" s="49"/>
      <c r="AP3404" s="49"/>
      <c r="AQ3404" s="49"/>
      <c r="AR3404" s="49"/>
      <c r="AS3404" s="49"/>
      <c r="AT3404" s="49"/>
    </row>
    <row r="3405">
      <c r="A3405" s="51"/>
      <c r="B3405" s="50" t="s">
        <v>6589</v>
      </c>
      <c r="C3405" s="50" t="s">
        <v>4804</v>
      </c>
      <c r="D3405" s="49" t="str">
        <f>IFERROR(__xludf.DUMMYFUNCTION("""COMPUTED_VALUE"""),"lightly")</f>
        <v>lightly</v>
      </c>
      <c r="E3405" s="49"/>
      <c r="F3405" s="49"/>
      <c r="G3405" s="49"/>
      <c r="H3405" s="54" t="str">
        <f t="shared" si="1"/>
        <v>opposed,</v>
      </c>
      <c r="I3405" s="50"/>
      <c r="J3405" s="50"/>
      <c r="K3405" s="50" t="s">
        <v>1518</v>
      </c>
      <c r="L3405" s="49"/>
      <c r="M3405" s="49"/>
      <c r="N3405" s="50"/>
      <c r="O3405" s="49"/>
      <c r="P3405" s="49" t="str">
        <f t="shared" si="2"/>
        <v>,</v>
      </c>
      <c r="Q3405" s="49"/>
      <c r="R3405" s="49"/>
      <c r="S3405" s="55" t="s">
        <v>4849</v>
      </c>
      <c r="T3405" s="49"/>
      <c r="U3405" s="49"/>
      <c r="V3405" s="49"/>
      <c r="W3405" s="49"/>
      <c r="X3405" s="49" t="str">
        <f t="shared" si="3"/>
        <v>,</v>
      </c>
      <c r="Y3405" s="49"/>
      <c r="Z3405" s="49"/>
      <c r="AB3405" s="49"/>
      <c r="AC3405" s="49"/>
      <c r="AD3405" s="49"/>
      <c r="AE3405" s="49"/>
      <c r="AF3405" s="49"/>
      <c r="AG3405" s="49"/>
      <c r="AH3405" s="49"/>
      <c r="AI3405" s="49"/>
      <c r="AJ3405" s="49"/>
      <c r="AK3405" s="49"/>
      <c r="AL3405" s="49"/>
      <c r="AM3405" s="49"/>
      <c r="AN3405" s="49"/>
      <c r="AP3405" s="49"/>
      <c r="AQ3405" s="49"/>
      <c r="AR3405" s="49"/>
      <c r="AS3405" s="49"/>
      <c r="AT3405" s="49"/>
    </row>
    <row r="3406">
      <c r="A3406" s="51"/>
      <c r="B3406" s="50" t="s">
        <v>4926</v>
      </c>
      <c r="C3406" s="50" t="s">
        <v>5892</v>
      </c>
      <c r="D3406" s="49" t="str">
        <f>IFERROR(__xludf.DUMMYFUNCTION("""COMPUTED_VALUE"""),"seemed")</f>
        <v>seemed</v>
      </c>
      <c r="E3406" s="49"/>
      <c r="F3406" s="49"/>
      <c r="G3406" s="49"/>
      <c r="H3406" s="54" t="str">
        <f t="shared" si="1"/>
        <v>shorts,</v>
      </c>
      <c r="I3406" s="50"/>
      <c r="J3406" s="50"/>
      <c r="K3406" s="50" t="s">
        <v>4943</v>
      </c>
      <c r="L3406" s="49"/>
      <c r="M3406" s="49"/>
      <c r="N3406" s="50"/>
      <c r="O3406" s="49"/>
      <c r="P3406" s="49" t="str">
        <f t="shared" si="2"/>
        <v>,</v>
      </c>
      <c r="Q3406" s="49"/>
      <c r="R3406" s="49"/>
      <c r="S3406" s="55" t="s">
        <v>3064</v>
      </c>
      <c r="T3406" s="49"/>
      <c r="U3406" s="49"/>
      <c r="V3406" s="49"/>
      <c r="W3406" s="49"/>
      <c r="X3406" s="49" t="str">
        <f t="shared" si="3"/>
        <v>,</v>
      </c>
      <c r="Y3406" s="49"/>
      <c r="Z3406" s="49"/>
      <c r="AB3406" s="49"/>
      <c r="AC3406" s="49"/>
      <c r="AD3406" s="49"/>
      <c r="AE3406" s="49"/>
      <c r="AF3406" s="49"/>
      <c r="AG3406" s="49"/>
      <c r="AH3406" s="49"/>
      <c r="AI3406" s="49"/>
      <c r="AJ3406" s="49"/>
      <c r="AK3406" s="49"/>
      <c r="AL3406" s="49"/>
      <c r="AM3406" s="49"/>
      <c r="AN3406" s="49"/>
      <c r="AP3406" s="49"/>
      <c r="AQ3406" s="49"/>
      <c r="AR3406" s="49"/>
      <c r="AS3406" s="49"/>
      <c r="AT3406" s="49"/>
    </row>
    <row r="3407">
      <c r="A3407" s="51"/>
      <c r="B3407" s="50" t="s">
        <v>7505</v>
      </c>
      <c r="C3407" s="50" t="s">
        <v>1566</v>
      </c>
      <c r="D3407" s="49" t="str">
        <f>IFERROR(__xludf.DUMMYFUNCTION("""COMPUTED_VALUE"""),"mentioned")</f>
        <v>mentioned</v>
      </c>
      <c r="E3407" s="49"/>
      <c r="F3407" s="49"/>
      <c r="G3407" s="49"/>
      <c r="H3407" s="54" t="str">
        <f t="shared" si="1"/>
        <v>evan,</v>
      </c>
      <c r="I3407" s="50"/>
      <c r="J3407" s="50"/>
      <c r="K3407" s="50" t="s">
        <v>5397</v>
      </c>
      <c r="L3407" s="49"/>
      <c r="M3407" s="49"/>
      <c r="N3407" s="50"/>
      <c r="O3407" s="49"/>
      <c r="P3407" s="49" t="str">
        <f t="shared" si="2"/>
        <v>,</v>
      </c>
      <c r="Q3407" s="49"/>
      <c r="R3407" s="49"/>
      <c r="S3407" s="55" t="s">
        <v>4850</v>
      </c>
      <c r="T3407" s="49"/>
      <c r="U3407" s="49"/>
      <c r="V3407" s="49"/>
      <c r="W3407" s="49"/>
      <c r="X3407" s="49" t="str">
        <f t="shared" si="3"/>
        <v>,</v>
      </c>
      <c r="Y3407" s="49"/>
      <c r="Z3407" s="49"/>
      <c r="AB3407" s="49"/>
      <c r="AC3407" s="49"/>
      <c r="AD3407" s="49"/>
      <c r="AE3407" s="49"/>
      <c r="AF3407" s="49"/>
      <c r="AG3407" s="49"/>
      <c r="AH3407" s="49"/>
      <c r="AI3407" s="49"/>
      <c r="AJ3407" s="49"/>
      <c r="AK3407" s="49"/>
      <c r="AL3407" s="49"/>
      <c r="AM3407" s="49"/>
      <c r="AN3407" s="49"/>
      <c r="AP3407" s="49"/>
      <c r="AQ3407" s="49"/>
      <c r="AR3407" s="49"/>
      <c r="AS3407" s="49"/>
      <c r="AT3407" s="49"/>
    </row>
    <row r="3408">
      <c r="A3408" s="51"/>
      <c r="B3408" s="50" t="s">
        <v>5125</v>
      </c>
      <c r="C3408" s="50">
        <v>1952.0</v>
      </c>
      <c r="D3408" s="49">
        <f>IFERROR(__xludf.DUMMYFUNCTION("""COMPUTED_VALUE"""),1973.0)</f>
        <v>1973</v>
      </c>
      <c r="E3408" s="49"/>
      <c r="F3408" s="49"/>
      <c r="G3408" s="49"/>
      <c r="H3408" s="54" t="str">
        <f t="shared" si="1"/>
        <v>styles,</v>
      </c>
      <c r="I3408" s="50"/>
      <c r="J3408" s="50"/>
      <c r="K3408" s="50" t="s">
        <v>3176</v>
      </c>
      <c r="L3408" s="49"/>
      <c r="M3408" s="49"/>
      <c r="N3408" s="50"/>
      <c r="O3408" s="49"/>
      <c r="P3408" s="49" t="str">
        <f t="shared" si="2"/>
        <v>,</v>
      </c>
      <c r="Q3408" s="49"/>
      <c r="R3408" s="49"/>
      <c r="S3408" s="55" t="s">
        <v>6226</v>
      </c>
      <c r="T3408" s="49"/>
      <c r="U3408" s="49"/>
      <c r="V3408" s="49"/>
      <c r="W3408" s="49"/>
      <c r="X3408" s="49" t="str">
        <f t="shared" si="3"/>
        <v>,</v>
      </c>
      <c r="Y3408" s="49"/>
      <c r="Z3408" s="49"/>
      <c r="AB3408" s="49"/>
      <c r="AC3408" s="49"/>
      <c r="AD3408" s="49"/>
      <c r="AE3408" s="49"/>
      <c r="AF3408" s="49"/>
      <c r="AG3408" s="49"/>
      <c r="AH3408" s="49"/>
      <c r="AI3408" s="49"/>
      <c r="AJ3408" s="49"/>
      <c r="AK3408" s="49"/>
      <c r="AL3408" s="49"/>
      <c r="AM3408" s="49"/>
      <c r="AN3408" s="49"/>
      <c r="AP3408" s="49"/>
      <c r="AQ3408" s="49"/>
      <c r="AR3408" s="49"/>
      <c r="AS3408" s="49"/>
      <c r="AT3408" s="49"/>
    </row>
    <row r="3409">
      <c r="A3409" s="51"/>
      <c r="B3409" s="50" t="s">
        <v>6447</v>
      </c>
      <c r="C3409" s="50" t="s">
        <v>7079</v>
      </c>
      <c r="D3409" s="49" t="str">
        <f>IFERROR(__xludf.DUMMYFUNCTION("""COMPUTED_VALUE"""),"roy")</f>
        <v>roy</v>
      </c>
      <c r="E3409" s="49"/>
      <c r="F3409" s="49"/>
      <c r="G3409" s="49"/>
      <c r="H3409" s="54" t="str">
        <f t="shared" si="1"/>
        <v>com,</v>
      </c>
      <c r="I3409" s="50"/>
      <c r="J3409" s="50"/>
      <c r="K3409" s="50" t="s">
        <v>6095</v>
      </c>
      <c r="L3409" s="49"/>
      <c r="M3409" s="49"/>
      <c r="N3409" s="50"/>
      <c r="O3409" s="49"/>
      <c r="P3409" s="49" t="str">
        <f t="shared" si="2"/>
        <v>,</v>
      </c>
      <c r="Q3409" s="49"/>
      <c r="R3409" s="49"/>
      <c r="S3409" s="55" t="s">
        <v>5143</v>
      </c>
      <c r="T3409" s="49"/>
      <c r="U3409" s="49"/>
      <c r="V3409" s="49"/>
      <c r="W3409" s="49"/>
      <c r="X3409" s="49" t="str">
        <f t="shared" si="3"/>
        <v>,</v>
      </c>
      <c r="Y3409" s="49"/>
      <c r="Z3409" s="49"/>
      <c r="AB3409" s="49"/>
      <c r="AC3409" s="49"/>
      <c r="AD3409" s="49"/>
      <c r="AE3409" s="49"/>
      <c r="AF3409" s="49"/>
      <c r="AG3409" s="49"/>
      <c r="AH3409" s="49"/>
      <c r="AI3409" s="49"/>
      <c r="AJ3409" s="49"/>
      <c r="AK3409" s="49"/>
      <c r="AL3409" s="49"/>
      <c r="AM3409" s="49"/>
      <c r="AN3409" s="49"/>
      <c r="AP3409" s="49"/>
      <c r="AQ3409" s="49"/>
      <c r="AR3409" s="49"/>
      <c r="AS3409" s="49"/>
      <c r="AT3409" s="49"/>
    </row>
    <row r="3410">
      <c r="A3410" s="51"/>
      <c r="B3410" s="50" t="s">
        <v>3324</v>
      </c>
      <c r="C3410" s="50" t="s">
        <v>7080</v>
      </c>
      <c r="D3410" s="49" t="str">
        <f>IFERROR(__xludf.DUMMYFUNCTION("""COMPUTED_VALUE"""),"negative")</f>
        <v>negative</v>
      </c>
      <c r="E3410" s="49"/>
      <c r="F3410" s="49"/>
      <c r="G3410" s="49"/>
      <c r="H3410" s="54" t="str">
        <f t="shared" si="1"/>
        <v>casualties,</v>
      </c>
      <c r="I3410" s="50"/>
      <c r="J3410" s="50"/>
      <c r="K3410" s="50" t="s">
        <v>3178</v>
      </c>
      <c r="L3410" s="49"/>
      <c r="M3410" s="49"/>
      <c r="N3410" s="50"/>
      <c r="O3410" s="49"/>
      <c r="P3410" s="49" t="str">
        <f t="shared" si="2"/>
        <v>,</v>
      </c>
      <c r="Q3410" s="49"/>
      <c r="R3410" s="49"/>
      <c r="S3410" s="55" t="s">
        <v>4853</v>
      </c>
      <c r="T3410" s="49"/>
      <c r="U3410" s="49"/>
      <c r="V3410" s="49"/>
      <c r="W3410" s="49"/>
      <c r="X3410" s="49" t="str">
        <f t="shared" si="3"/>
        <v>,</v>
      </c>
      <c r="Y3410" s="49"/>
      <c r="Z3410" s="49"/>
      <c r="AB3410" s="49"/>
      <c r="AC3410" s="49"/>
      <c r="AD3410" s="49"/>
      <c r="AE3410" s="49"/>
      <c r="AF3410" s="49"/>
      <c r="AG3410" s="49"/>
      <c r="AH3410" s="49"/>
      <c r="AI3410" s="49"/>
      <c r="AJ3410" s="49"/>
      <c r="AK3410" s="49"/>
      <c r="AL3410" s="49"/>
      <c r="AM3410" s="49"/>
      <c r="AN3410" s="49"/>
      <c r="AP3410" s="49"/>
      <c r="AQ3410" s="49"/>
      <c r="AR3410" s="49"/>
      <c r="AS3410" s="49"/>
      <c r="AT3410" s="49"/>
    </row>
    <row r="3411">
      <c r="A3411" s="51"/>
      <c r="B3411" s="50" t="s">
        <v>6920</v>
      </c>
      <c r="C3411" s="50" t="s">
        <v>6038</v>
      </c>
      <c r="D3411" s="49" t="str">
        <f>IFERROR(__xludf.DUMMYFUNCTION("""COMPUTED_VALUE"""),"eric")</f>
        <v>eric</v>
      </c>
      <c r="E3411" s="49"/>
      <c r="F3411" s="49"/>
      <c r="G3411" s="49"/>
      <c r="H3411" s="54" t="str">
        <f t="shared" si="1"/>
        <v>intervention,</v>
      </c>
      <c r="I3411" s="50"/>
      <c r="J3411" s="50"/>
      <c r="K3411" s="50" t="s">
        <v>3179</v>
      </c>
      <c r="L3411" s="49"/>
      <c r="M3411" s="49"/>
      <c r="N3411" s="50"/>
      <c r="O3411" s="49"/>
      <c r="P3411" s="49" t="str">
        <f t="shared" si="2"/>
        <v>,</v>
      </c>
      <c r="Q3411" s="49"/>
      <c r="R3411" s="49"/>
      <c r="S3411" s="55" t="s">
        <v>3068</v>
      </c>
      <c r="T3411" s="49"/>
      <c r="U3411" s="49"/>
      <c r="V3411" s="49"/>
      <c r="W3411" s="49"/>
      <c r="X3411" s="49" t="str">
        <f t="shared" si="3"/>
        <v>,</v>
      </c>
      <c r="Y3411" s="49"/>
      <c r="Z3411" s="49"/>
      <c r="AB3411" s="49"/>
      <c r="AC3411" s="49"/>
      <c r="AD3411" s="49"/>
      <c r="AE3411" s="49"/>
      <c r="AF3411" s="49"/>
      <c r="AG3411" s="49"/>
      <c r="AH3411" s="49"/>
      <c r="AI3411" s="49"/>
      <c r="AJ3411" s="49"/>
      <c r="AK3411" s="49"/>
      <c r="AL3411" s="49"/>
      <c r="AM3411" s="49"/>
      <c r="AN3411" s="49"/>
      <c r="AP3411" s="49"/>
      <c r="AQ3411" s="49"/>
      <c r="AR3411" s="49"/>
      <c r="AS3411" s="49"/>
      <c r="AT3411" s="49"/>
    </row>
    <row r="3412">
      <c r="A3412" s="51"/>
      <c r="B3412" s="50" t="s">
        <v>6414</v>
      </c>
      <c r="C3412" s="50" t="s">
        <v>7081</v>
      </c>
      <c r="D3412" s="49" t="str">
        <f>IFERROR(__xludf.DUMMYFUNCTION("""COMPUTED_VALUE"""),"brussels")</f>
        <v>brussels</v>
      </c>
      <c r="E3412" s="49"/>
      <c r="F3412" s="49"/>
      <c r="G3412" s="49"/>
      <c r="H3412" s="54" t="str">
        <f t="shared" si="1"/>
        <v>traditional,</v>
      </c>
      <c r="I3412" s="50"/>
      <c r="J3412" s="50"/>
      <c r="K3412" s="50" t="s">
        <v>3183</v>
      </c>
      <c r="L3412" s="49"/>
      <c r="M3412" s="49"/>
      <c r="N3412" s="50"/>
      <c r="O3412" s="49"/>
      <c r="P3412" s="49" t="str">
        <f t="shared" si="2"/>
        <v>,</v>
      </c>
      <c r="Q3412" s="49"/>
      <c r="R3412" s="49"/>
      <c r="S3412" s="55" t="s">
        <v>5752</v>
      </c>
      <c r="T3412" s="49"/>
      <c r="U3412" s="49"/>
      <c r="V3412" s="49"/>
      <c r="W3412" s="49"/>
      <c r="X3412" s="49" t="str">
        <f t="shared" si="3"/>
        <v>,</v>
      </c>
      <c r="Y3412" s="49"/>
      <c r="Z3412" s="49"/>
      <c r="AB3412" s="49"/>
      <c r="AC3412" s="49"/>
      <c r="AD3412" s="49"/>
      <c r="AE3412" s="49"/>
      <c r="AF3412" s="49"/>
      <c r="AG3412" s="49"/>
      <c r="AH3412" s="49"/>
      <c r="AI3412" s="49"/>
      <c r="AJ3412" s="49"/>
      <c r="AK3412" s="49"/>
      <c r="AL3412" s="49"/>
      <c r="AM3412" s="49"/>
      <c r="AN3412" s="49"/>
      <c r="AP3412" s="49"/>
      <c r="AQ3412" s="49"/>
      <c r="AR3412" s="49"/>
      <c r="AS3412" s="49"/>
      <c r="AT3412" s="49"/>
    </row>
    <row r="3413">
      <c r="A3413" s="51"/>
      <c r="B3413" s="50" t="s">
        <v>7161</v>
      </c>
      <c r="C3413" s="50" t="s">
        <v>6899</v>
      </c>
      <c r="D3413" s="49" t="str">
        <f>IFERROR(__xludf.DUMMYFUNCTION("""COMPUTED_VALUE"""),"analysis")</f>
        <v>analysis</v>
      </c>
      <c r="E3413" s="49"/>
      <c r="F3413" s="49"/>
      <c r="G3413" s="49"/>
      <c r="H3413" s="54" t="str">
        <f t="shared" si="1"/>
        <v>closure,</v>
      </c>
      <c r="I3413" s="50"/>
      <c r="J3413" s="50"/>
      <c r="K3413" s="50" t="s">
        <v>4948</v>
      </c>
      <c r="L3413" s="49"/>
      <c r="M3413" s="49"/>
      <c r="N3413" s="50"/>
      <c r="O3413" s="49"/>
      <c r="P3413" s="49" t="str">
        <f t="shared" si="2"/>
        <v>,</v>
      </c>
      <c r="Q3413" s="49"/>
      <c r="R3413" s="49"/>
      <c r="S3413" s="55" t="s">
        <v>3072</v>
      </c>
      <c r="T3413" s="49"/>
      <c r="U3413" s="49"/>
      <c r="V3413" s="49"/>
      <c r="W3413" s="49"/>
      <c r="X3413" s="49" t="str">
        <f t="shared" si="3"/>
        <v>,</v>
      </c>
      <c r="Y3413" s="49"/>
      <c r="Z3413" s="49"/>
      <c r="AB3413" s="49"/>
      <c r="AC3413" s="49"/>
      <c r="AD3413" s="49"/>
      <c r="AE3413" s="49"/>
      <c r="AF3413" s="49"/>
      <c r="AG3413" s="49"/>
      <c r="AH3413" s="49"/>
      <c r="AI3413" s="49"/>
      <c r="AJ3413" s="49"/>
      <c r="AK3413" s="49"/>
      <c r="AL3413" s="49"/>
      <c r="AM3413" s="49"/>
      <c r="AN3413" s="49"/>
      <c r="AP3413" s="49"/>
      <c r="AQ3413" s="49"/>
      <c r="AR3413" s="49"/>
      <c r="AS3413" s="49"/>
      <c r="AT3413" s="49"/>
    </row>
    <row r="3414">
      <c r="A3414" s="51"/>
      <c r="B3414" s="50" t="s">
        <v>6990</v>
      </c>
      <c r="C3414" s="50" t="s">
        <v>5975</v>
      </c>
      <c r="D3414" s="49" t="str">
        <f>IFERROR(__xludf.DUMMYFUNCTION("""COMPUTED_VALUE"""),"fix")</f>
        <v>fix</v>
      </c>
      <c r="E3414" s="49"/>
      <c r="F3414" s="49"/>
      <c r="G3414" s="49"/>
      <c r="H3414" s="54" t="str">
        <f t="shared" si="1"/>
        <v>maker,</v>
      </c>
      <c r="I3414" s="50"/>
      <c r="J3414" s="50"/>
      <c r="K3414" s="50" t="s">
        <v>4951</v>
      </c>
      <c r="L3414" s="49"/>
      <c r="M3414" s="49"/>
      <c r="N3414" s="50"/>
      <c r="O3414" s="49"/>
      <c r="P3414" s="49" t="str">
        <f t="shared" si="2"/>
        <v>,</v>
      </c>
      <c r="Q3414" s="49"/>
      <c r="R3414" s="49"/>
      <c r="S3414" s="55" t="s">
        <v>3077</v>
      </c>
      <c r="T3414" s="49"/>
      <c r="U3414" s="49"/>
      <c r="V3414" s="49"/>
      <c r="W3414" s="49"/>
      <c r="X3414" s="49" t="str">
        <f t="shared" si="3"/>
        <v>,</v>
      </c>
      <c r="Y3414" s="49"/>
      <c r="Z3414" s="49"/>
      <c r="AB3414" s="49"/>
      <c r="AC3414" s="49"/>
      <c r="AD3414" s="49"/>
      <c r="AE3414" s="49"/>
      <c r="AF3414" s="49"/>
      <c r="AG3414" s="49"/>
      <c r="AH3414" s="49"/>
      <c r="AI3414" s="49"/>
      <c r="AJ3414" s="49"/>
      <c r="AK3414" s="49"/>
      <c r="AL3414" s="49"/>
      <c r="AM3414" s="49"/>
      <c r="AN3414" s="49"/>
      <c r="AP3414" s="49"/>
      <c r="AQ3414" s="49"/>
      <c r="AR3414" s="49"/>
      <c r="AS3414" s="49"/>
      <c r="AT3414" s="49"/>
    </row>
    <row r="3415">
      <c r="A3415" s="51"/>
      <c r="B3415" s="50" t="s">
        <v>1604</v>
      </c>
      <c r="C3415" s="50" t="s">
        <v>7082</v>
      </c>
      <c r="D3415" s="49" t="str">
        <f>IFERROR(__xludf.DUMMYFUNCTION("""COMPUTED_VALUE"""),"reception")</f>
        <v>reception</v>
      </c>
      <c r="E3415" s="49"/>
      <c r="F3415" s="49"/>
      <c r="G3415" s="49"/>
      <c r="H3415" s="54" t="str">
        <f t="shared" si="1"/>
        <v>partnership,</v>
      </c>
      <c r="I3415" s="50"/>
      <c r="J3415" s="50"/>
      <c r="K3415" s="50" t="s">
        <v>4956</v>
      </c>
      <c r="L3415" s="49"/>
      <c r="M3415" s="49"/>
      <c r="N3415" s="50"/>
      <c r="O3415" s="49"/>
      <c r="P3415" s="49" t="str">
        <f t="shared" si="2"/>
        <v>,</v>
      </c>
      <c r="Q3415" s="49"/>
      <c r="R3415" s="49"/>
      <c r="S3415" s="55" t="s">
        <v>4865</v>
      </c>
      <c r="T3415" s="49"/>
      <c r="U3415" s="49"/>
      <c r="V3415" s="49"/>
      <c r="W3415" s="49"/>
      <c r="X3415" s="49" t="str">
        <f t="shared" si="3"/>
        <v>,</v>
      </c>
      <c r="Y3415" s="49"/>
      <c r="Z3415" s="49"/>
      <c r="AB3415" s="49"/>
      <c r="AC3415" s="49"/>
      <c r="AD3415" s="49"/>
      <c r="AE3415" s="49"/>
      <c r="AF3415" s="49"/>
      <c r="AG3415" s="49"/>
      <c r="AH3415" s="49"/>
      <c r="AI3415" s="49"/>
      <c r="AJ3415" s="49"/>
      <c r="AK3415" s="49"/>
      <c r="AL3415" s="49"/>
      <c r="AM3415" s="49"/>
      <c r="AN3415" s="49"/>
      <c r="AP3415" s="49"/>
      <c r="AQ3415" s="49"/>
      <c r="AR3415" s="49"/>
      <c r="AS3415" s="49"/>
      <c r="AT3415" s="49"/>
    </row>
    <row r="3416">
      <c r="A3416" s="51"/>
      <c r="B3416" s="50" t="s">
        <v>7007</v>
      </c>
      <c r="C3416" s="50" t="s">
        <v>6044</v>
      </c>
      <c r="D3416" s="49" t="str">
        <f>IFERROR(__xludf.DUMMYFUNCTION("""COMPUTED_VALUE"""),"grave")</f>
        <v>grave</v>
      </c>
      <c r="E3416" s="49"/>
      <c r="F3416" s="49"/>
      <c r="G3416" s="49"/>
      <c r="H3416" s="54" t="str">
        <f t="shared" si="1"/>
        <v>matches,</v>
      </c>
      <c r="I3416" s="50"/>
      <c r="J3416" s="50"/>
      <c r="K3416" s="50" t="s">
        <v>3187</v>
      </c>
      <c r="L3416" s="49"/>
      <c r="M3416" s="49"/>
      <c r="N3416" s="50"/>
      <c r="O3416" s="49"/>
      <c r="P3416" s="49" t="str">
        <f t="shared" si="2"/>
        <v>,</v>
      </c>
      <c r="Q3416" s="49"/>
      <c r="R3416" s="49"/>
      <c r="S3416" s="55" t="s">
        <v>4870</v>
      </c>
      <c r="T3416" s="49"/>
      <c r="U3416" s="49"/>
      <c r="V3416" s="49"/>
      <c r="W3416" s="49"/>
      <c r="X3416" s="49" t="str">
        <f t="shared" si="3"/>
        <v>,</v>
      </c>
      <c r="Y3416" s="49"/>
      <c r="Z3416" s="49"/>
      <c r="AB3416" s="49"/>
      <c r="AC3416" s="49"/>
      <c r="AD3416" s="49"/>
      <c r="AE3416" s="49"/>
      <c r="AF3416" s="49"/>
      <c r="AG3416" s="49"/>
      <c r="AH3416" s="49"/>
      <c r="AI3416" s="49"/>
      <c r="AJ3416" s="49"/>
      <c r="AK3416" s="49"/>
      <c r="AL3416" s="49"/>
      <c r="AM3416" s="49"/>
      <c r="AN3416" s="49"/>
      <c r="AP3416" s="49"/>
      <c r="AQ3416" s="49"/>
      <c r="AR3416" s="49"/>
      <c r="AS3416" s="49"/>
      <c r="AT3416" s="49"/>
    </row>
    <row r="3417">
      <c r="A3417" s="51"/>
      <c r="B3417" s="50" t="s">
        <v>7182</v>
      </c>
      <c r="C3417" s="50" t="s">
        <v>5538</v>
      </c>
      <c r="D3417" s="49" t="str">
        <f>IFERROR(__xludf.DUMMYFUNCTION("""COMPUTED_VALUE"""),"split")</f>
        <v>split</v>
      </c>
      <c r="E3417" s="49"/>
      <c r="F3417" s="49"/>
      <c r="G3417" s="49"/>
      <c r="H3417" s="54" t="str">
        <f t="shared" si="1"/>
        <v>subsequent,</v>
      </c>
      <c r="I3417" s="50"/>
      <c r="J3417" s="50"/>
      <c r="K3417" s="50" t="s">
        <v>4959</v>
      </c>
      <c r="L3417" s="49"/>
      <c r="M3417" s="49"/>
      <c r="N3417" s="50"/>
      <c r="O3417" s="49"/>
      <c r="P3417" s="49" t="str">
        <f t="shared" si="2"/>
        <v>,</v>
      </c>
      <c r="Q3417" s="49"/>
      <c r="R3417" s="49"/>
      <c r="S3417" s="55" t="s">
        <v>3083</v>
      </c>
      <c r="T3417" s="49"/>
      <c r="U3417" s="49"/>
      <c r="V3417" s="49"/>
      <c r="W3417" s="49"/>
      <c r="X3417" s="49" t="str">
        <f t="shared" si="3"/>
        <v>,</v>
      </c>
      <c r="Y3417" s="49"/>
      <c r="Z3417" s="49"/>
      <c r="AB3417" s="49"/>
      <c r="AC3417" s="49"/>
      <c r="AD3417" s="49"/>
      <c r="AE3417" s="49"/>
      <c r="AF3417" s="49"/>
      <c r="AG3417" s="49"/>
      <c r="AH3417" s="49"/>
      <c r="AI3417" s="49"/>
      <c r="AJ3417" s="49"/>
      <c r="AK3417" s="49"/>
      <c r="AL3417" s="49"/>
      <c r="AM3417" s="49"/>
      <c r="AN3417" s="49"/>
      <c r="AP3417" s="49"/>
      <c r="AQ3417" s="49"/>
      <c r="AR3417" s="49"/>
      <c r="AS3417" s="49"/>
      <c r="AT3417" s="49"/>
    </row>
    <row r="3418">
      <c r="A3418" s="51"/>
      <c r="B3418" s="50" t="s">
        <v>361</v>
      </c>
      <c r="C3418" s="50" t="s">
        <v>4585</v>
      </c>
      <c r="D3418" s="49" t="str">
        <f>IFERROR(__xludf.DUMMYFUNCTION("""COMPUTED_VALUE"""),"dear")</f>
        <v>dear</v>
      </c>
      <c r="E3418" s="49"/>
      <c r="F3418" s="49"/>
      <c r="G3418" s="49"/>
      <c r="H3418" s="54" t="str">
        <f t="shared" si="1"/>
        <v>pale,</v>
      </c>
      <c r="I3418" s="50"/>
      <c r="J3418" s="50"/>
      <c r="K3418" s="50" t="s">
        <v>6096</v>
      </c>
      <c r="L3418" s="49"/>
      <c r="M3418" s="49"/>
      <c r="N3418" s="50"/>
      <c r="O3418" s="49"/>
      <c r="P3418" s="49" t="str">
        <f t="shared" si="2"/>
        <v>,</v>
      </c>
      <c r="Q3418" s="49"/>
      <c r="R3418" s="49"/>
      <c r="S3418" s="55" t="s">
        <v>3086</v>
      </c>
      <c r="T3418" s="49"/>
      <c r="U3418" s="49"/>
      <c r="V3418" s="49"/>
      <c r="W3418" s="49"/>
      <c r="X3418" s="49" t="str">
        <f t="shared" si="3"/>
        <v>,</v>
      </c>
      <c r="Y3418" s="49"/>
      <c r="Z3418" s="49"/>
      <c r="AB3418" s="49"/>
      <c r="AC3418" s="49"/>
      <c r="AD3418" s="49"/>
      <c r="AE3418" s="49"/>
      <c r="AF3418" s="49"/>
      <c r="AG3418" s="49"/>
      <c r="AH3418" s="49"/>
      <c r="AI3418" s="49"/>
      <c r="AJ3418" s="49"/>
      <c r="AK3418" s="49"/>
      <c r="AL3418" s="49"/>
      <c r="AM3418" s="49"/>
      <c r="AN3418" s="49"/>
      <c r="AP3418" s="49"/>
      <c r="AQ3418" s="49"/>
      <c r="AR3418" s="49"/>
      <c r="AS3418" s="49"/>
      <c r="AT3418" s="49"/>
    </row>
    <row r="3419">
      <c r="A3419" s="51"/>
      <c r="B3419" s="50" t="s">
        <v>4803</v>
      </c>
      <c r="C3419" s="50" t="s">
        <v>5652</v>
      </c>
      <c r="D3419" s="49" t="str">
        <f>IFERROR(__xludf.DUMMYFUNCTION("""COMPUTED_VALUE"""),"grip")</f>
        <v>grip</v>
      </c>
      <c r="E3419" s="49"/>
      <c r="F3419" s="49"/>
      <c r="G3419" s="49"/>
      <c r="H3419" s="54" t="str">
        <f t="shared" si="1"/>
        <v>operates,</v>
      </c>
      <c r="I3419" s="50"/>
      <c r="J3419" s="50"/>
      <c r="K3419" s="50" t="s">
        <v>3191</v>
      </c>
      <c r="L3419" s="49"/>
      <c r="M3419" s="49"/>
      <c r="N3419" s="50"/>
      <c r="O3419" s="49"/>
      <c r="P3419" s="49" t="str">
        <f t="shared" si="2"/>
        <v>,</v>
      </c>
      <c r="Q3419" s="49"/>
      <c r="R3419" s="49"/>
      <c r="S3419" s="55" t="s">
        <v>1268</v>
      </c>
      <c r="T3419" s="49"/>
      <c r="U3419" s="49"/>
      <c r="V3419" s="49"/>
      <c r="W3419" s="49"/>
      <c r="X3419" s="49" t="str">
        <f t="shared" si="3"/>
        <v>,</v>
      </c>
      <c r="Y3419" s="49"/>
      <c r="Z3419" s="49"/>
      <c r="AB3419" s="49"/>
      <c r="AC3419" s="49"/>
      <c r="AD3419" s="49"/>
      <c r="AE3419" s="49"/>
      <c r="AF3419" s="49"/>
      <c r="AG3419" s="49"/>
      <c r="AH3419" s="49"/>
      <c r="AI3419" s="49"/>
      <c r="AJ3419" s="49"/>
      <c r="AK3419" s="49"/>
      <c r="AL3419" s="49"/>
      <c r="AM3419" s="49"/>
      <c r="AN3419" s="49"/>
      <c r="AP3419" s="49"/>
      <c r="AQ3419" s="49"/>
      <c r="AR3419" s="49"/>
      <c r="AS3419" s="49"/>
      <c r="AT3419" s="49"/>
    </row>
    <row r="3420">
      <c r="A3420" s="51"/>
      <c r="B3420" s="50" t="s">
        <v>6488</v>
      </c>
      <c r="C3420" s="50" t="s">
        <v>974</v>
      </c>
      <c r="D3420" s="49" t="str">
        <f>IFERROR(__xludf.DUMMYFUNCTION("""COMPUTED_VALUE"""),"contact")</f>
        <v>contact</v>
      </c>
      <c r="E3420" s="49"/>
      <c r="F3420" s="49"/>
      <c r="G3420" s="49"/>
      <c r="H3420" s="54" t="str">
        <f t="shared" si="1"/>
        <v>tiger,</v>
      </c>
      <c r="I3420" s="50"/>
      <c r="J3420" s="50"/>
      <c r="K3420" s="50" t="s">
        <v>1764</v>
      </c>
      <c r="L3420" s="49"/>
      <c r="M3420" s="49"/>
      <c r="N3420" s="50"/>
      <c r="O3420" s="49"/>
      <c r="P3420" s="49" t="str">
        <f t="shared" si="2"/>
        <v>,</v>
      </c>
      <c r="Q3420" s="49"/>
      <c r="R3420" s="49"/>
      <c r="S3420" s="55">
        <v>1973.0</v>
      </c>
      <c r="T3420" s="49"/>
      <c r="U3420" s="49"/>
      <c r="V3420" s="49"/>
      <c r="W3420" s="49"/>
      <c r="X3420" s="49" t="str">
        <f t="shared" si="3"/>
        <v>,</v>
      </c>
      <c r="Y3420" s="49"/>
      <c r="Z3420" s="49"/>
      <c r="AB3420" s="49"/>
      <c r="AC3420" s="49"/>
      <c r="AD3420" s="49"/>
      <c r="AE3420" s="49"/>
      <c r="AF3420" s="49"/>
      <c r="AG3420" s="49"/>
      <c r="AH3420" s="49"/>
      <c r="AI3420" s="49"/>
      <c r="AJ3420" s="49"/>
      <c r="AK3420" s="49"/>
      <c r="AL3420" s="49"/>
      <c r="AM3420" s="49"/>
      <c r="AN3420" s="49"/>
      <c r="AP3420" s="49"/>
      <c r="AQ3420" s="49"/>
      <c r="AR3420" s="49"/>
      <c r="AS3420" s="49"/>
      <c r="AT3420" s="49"/>
    </row>
    <row r="3421">
      <c r="A3421" s="51"/>
      <c r="B3421" s="50" t="s">
        <v>4813</v>
      </c>
      <c r="C3421" s="50" t="s">
        <v>6045</v>
      </c>
      <c r="D3421" s="49" t="str">
        <f>IFERROR(__xludf.DUMMYFUNCTION("""COMPUTED_VALUE"""),"circles")</f>
        <v>circles</v>
      </c>
      <c r="E3421" s="49"/>
      <c r="F3421" s="49"/>
      <c r="G3421" s="49"/>
      <c r="H3421" s="54" t="str">
        <f t="shared" si="1"/>
        <v>wake,</v>
      </c>
      <c r="I3421" s="50"/>
      <c r="J3421" s="50"/>
      <c r="K3421" s="50" t="s">
        <v>4964</v>
      </c>
      <c r="L3421" s="49"/>
      <c r="M3421" s="49"/>
      <c r="N3421" s="50"/>
      <c r="O3421" s="49"/>
      <c r="P3421" s="49" t="str">
        <f t="shared" si="2"/>
        <v>,</v>
      </c>
      <c r="Q3421" s="49"/>
      <c r="R3421" s="49"/>
      <c r="S3421" s="55" t="s">
        <v>7083</v>
      </c>
      <c r="T3421" s="49"/>
      <c r="U3421" s="49"/>
      <c r="V3421" s="49"/>
      <c r="W3421" s="49"/>
      <c r="X3421" s="49" t="str">
        <f t="shared" si="3"/>
        <v>,</v>
      </c>
      <c r="Y3421" s="49"/>
      <c r="Z3421" s="49"/>
      <c r="AB3421" s="49"/>
      <c r="AC3421" s="49"/>
      <c r="AD3421" s="49"/>
      <c r="AE3421" s="49"/>
      <c r="AF3421" s="49"/>
      <c r="AG3421" s="49"/>
      <c r="AH3421" s="49"/>
      <c r="AI3421" s="49"/>
      <c r="AJ3421" s="49"/>
      <c r="AK3421" s="49"/>
      <c r="AL3421" s="49"/>
      <c r="AM3421" s="49"/>
      <c r="AN3421" s="49"/>
      <c r="AP3421" s="49"/>
      <c r="AQ3421" s="49"/>
      <c r="AR3421" s="49"/>
      <c r="AS3421" s="49"/>
      <c r="AT3421" s="49"/>
    </row>
    <row r="3422">
      <c r="A3422" s="51"/>
      <c r="B3422" s="50" t="s">
        <v>4180</v>
      </c>
      <c r="C3422" s="50" t="s">
        <v>5541</v>
      </c>
      <c r="D3422" s="49" t="str">
        <f>IFERROR(__xludf.DUMMYFUNCTION("""COMPUTED_VALUE"""),"row")</f>
        <v>row</v>
      </c>
      <c r="E3422" s="49"/>
      <c r="F3422" s="49"/>
      <c r="G3422" s="49"/>
      <c r="H3422" s="54" t="str">
        <f t="shared" si="1"/>
        <v>dismissed,</v>
      </c>
      <c r="I3422" s="50"/>
      <c r="J3422" s="50"/>
      <c r="K3422" s="50" t="s">
        <v>3194</v>
      </c>
      <c r="L3422" s="49"/>
      <c r="M3422" s="49"/>
      <c r="N3422" s="50"/>
      <c r="O3422" s="49"/>
      <c r="P3422" s="49" t="str">
        <f t="shared" si="2"/>
        <v>,</v>
      </c>
      <c r="Q3422" s="49"/>
      <c r="R3422" s="49"/>
      <c r="S3422" s="55" t="s">
        <v>3089</v>
      </c>
      <c r="T3422" s="49"/>
      <c r="U3422" s="49"/>
      <c r="V3422" s="49"/>
      <c r="W3422" s="49"/>
      <c r="X3422" s="49" t="str">
        <f t="shared" si="3"/>
        <v>,</v>
      </c>
      <c r="Y3422" s="49"/>
      <c r="Z3422" s="49"/>
      <c r="AB3422" s="49"/>
      <c r="AC3422" s="49"/>
      <c r="AD3422" s="49"/>
      <c r="AE3422" s="49"/>
      <c r="AF3422" s="49"/>
      <c r="AG3422" s="49"/>
      <c r="AH3422" s="49"/>
      <c r="AI3422" s="49"/>
      <c r="AJ3422" s="49"/>
      <c r="AK3422" s="49"/>
      <c r="AL3422" s="49"/>
      <c r="AM3422" s="49"/>
      <c r="AN3422" s="49"/>
      <c r="AP3422" s="49"/>
      <c r="AQ3422" s="49"/>
      <c r="AR3422" s="49"/>
      <c r="AS3422" s="49"/>
      <c r="AT3422" s="49"/>
    </row>
    <row r="3423">
      <c r="A3423" s="51"/>
      <c r="B3423" s="50" t="s">
        <v>7692</v>
      </c>
      <c r="C3423" s="50" t="s">
        <v>5542</v>
      </c>
      <c r="D3423" s="49" t="str">
        <f>IFERROR(__xludf.DUMMYFUNCTION("""COMPUTED_VALUE"""),"limit")</f>
        <v>limit</v>
      </c>
      <c r="E3423" s="49"/>
      <c r="F3423" s="49"/>
      <c r="G3423" s="49"/>
      <c r="H3423" s="54" t="str">
        <f t="shared" si="1"/>
        <v>progress,</v>
      </c>
      <c r="I3423" s="50"/>
      <c r="J3423" s="50"/>
      <c r="K3423" s="50" t="s">
        <v>3197</v>
      </c>
      <c r="L3423" s="49"/>
      <c r="M3423" s="49"/>
      <c r="N3423" s="50"/>
      <c r="O3423" s="49"/>
      <c r="P3423" s="49" t="str">
        <f t="shared" si="2"/>
        <v>,</v>
      </c>
      <c r="Q3423" s="49"/>
      <c r="R3423" s="49"/>
      <c r="S3423" s="55" t="s">
        <v>3934</v>
      </c>
      <c r="T3423" s="49"/>
      <c r="U3423" s="49"/>
      <c r="V3423" s="49"/>
      <c r="W3423" s="49"/>
      <c r="X3423" s="49" t="str">
        <f t="shared" si="3"/>
        <v>,</v>
      </c>
      <c r="Y3423" s="49"/>
      <c r="Z3423" s="49"/>
      <c r="AB3423" s="49"/>
      <c r="AC3423" s="49"/>
      <c r="AD3423" s="49"/>
      <c r="AE3423" s="49"/>
      <c r="AF3423" s="49"/>
      <c r="AG3423" s="49"/>
      <c r="AH3423" s="49"/>
      <c r="AI3423" s="49"/>
      <c r="AJ3423" s="49"/>
      <c r="AK3423" s="49"/>
      <c r="AL3423" s="49"/>
      <c r="AM3423" s="49"/>
      <c r="AN3423" s="49"/>
      <c r="AP3423" s="49"/>
      <c r="AQ3423" s="49"/>
      <c r="AR3423" s="49"/>
      <c r="AS3423" s="49"/>
      <c r="AT3423" s="49"/>
    </row>
    <row r="3424">
      <c r="A3424" s="51"/>
      <c r="B3424" s="50" t="s">
        <v>6770</v>
      </c>
      <c r="C3424" s="50" t="s">
        <v>7084</v>
      </c>
      <c r="D3424" s="49" t="str">
        <f>IFERROR(__xludf.DUMMYFUNCTION("""COMPUTED_VALUE"""),"parties")</f>
        <v>parties</v>
      </c>
      <c r="E3424" s="49"/>
      <c r="F3424" s="49"/>
      <c r="G3424" s="49"/>
      <c r="H3424" s="54" t="str">
        <f t="shared" si="1"/>
        <v>finishing,</v>
      </c>
      <c r="I3424" s="50"/>
      <c r="J3424" s="50"/>
      <c r="K3424" s="50" t="s">
        <v>3201</v>
      </c>
      <c r="L3424" s="49"/>
      <c r="M3424" s="49"/>
      <c r="N3424" s="50"/>
      <c r="O3424" s="49"/>
      <c r="P3424" s="49" t="str">
        <f t="shared" si="2"/>
        <v>,</v>
      </c>
      <c r="Q3424" s="49"/>
      <c r="R3424" s="49"/>
      <c r="S3424" s="55" t="s">
        <v>4880</v>
      </c>
      <c r="T3424" s="49"/>
      <c r="U3424" s="49"/>
      <c r="V3424" s="49"/>
      <c r="W3424" s="49"/>
      <c r="X3424" s="49" t="str">
        <f t="shared" si="3"/>
        <v>,</v>
      </c>
      <c r="Y3424" s="49"/>
      <c r="Z3424" s="49"/>
      <c r="AB3424" s="49"/>
      <c r="AC3424" s="49"/>
      <c r="AD3424" s="49"/>
      <c r="AE3424" s="49"/>
      <c r="AF3424" s="49"/>
      <c r="AG3424" s="49"/>
      <c r="AH3424" s="49"/>
      <c r="AI3424" s="49"/>
      <c r="AJ3424" s="49"/>
      <c r="AK3424" s="49"/>
      <c r="AL3424" s="49"/>
      <c r="AM3424" s="49"/>
      <c r="AN3424" s="49"/>
      <c r="AP3424" s="49"/>
      <c r="AQ3424" s="49"/>
      <c r="AR3424" s="49"/>
      <c r="AS3424" s="49"/>
      <c r="AT3424" s="49"/>
    </row>
    <row r="3425">
      <c r="A3425" s="51"/>
      <c r="B3425" s="50" t="s">
        <v>873</v>
      </c>
      <c r="C3425" s="50" t="s">
        <v>5546</v>
      </c>
      <c r="D3425" s="49" t="str">
        <f>IFERROR(__xludf.DUMMYFUNCTION("""COMPUTED_VALUE"""),"les")</f>
        <v>les</v>
      </c>
      <c r="E3425" s="49"/>
      <c r="F3425" s="49"/>
      <c r="G3425" s="49"/>
      <c r="H3425" s="54" t="str">
        <f t="shared" si="1"/>
        <v>touched,</v>
      </c>
      <c r="I3425" s="50"/>
      <c r="J3425" s="50"/>
      <c r="K3425" s="50" t="s">
        <v>3205</v>
      </c>
      <c r="L3425" s="49"/>
      <c r="M3425" s="49"/>
      <c r="N3425" s="50"/>
      <c r="O3425" s="49"/>
      <c r="P3425" s="49" t="str">
        <f t="shared" si="2"/>
        <v>,</v>
      </c>
      <c r="Q3425" s="49"/>
      <c r="R3425" s="49"/>
      <c r="S3425" s="55" t="s">
        <v>1678</v>
      </c>
      <c r="T3425" s="49"/>
      <c r="U3425" s="49"/>
      <c r="V3425" s="49"/>
      <c r="W3425" s="49"/>
      <c r="X3425" s="49" t="str">
        <f t="shared" si="3"/>
        <v>,</v>
      </c>
      <c r="Y3425" s="49"/>
      <c r="Z3425" s="49"/>
      <c r="AB3425" s="49"/>
      <c r="AC3425" s="49"/>
      <c r="AD3425" s="49"/>
      <c r="AE3425" s="49"/>
      <c r="AF3425" s="49"/>
      <c r="AG3425" s="49"/>
      <c r="AH3425" s="49"/>
      <c r="AI3425" s="49"/>
      <c r="AJ3425" s="49"/>
      <c r="AK3425" s="49"/>
      <c r="AL3425" s="49"/>
      <c r="AM3425" s="49"/>
      <c r="AN3425" s="49"/>
      <c r="AP3425" s="49"/>
      <c r="AQ3425" s="49"/>
      <c r="AR3425" s="49"/>
      <c r="AS3425" s="49"/>
      <c r="AT3425" s="49"/>
    </row>
    <row r="3426">
      <c r="A3426" s="51"/>
      <c r="B3426" s="50" t="s">
        <v>5950</v>
      </c>
      <c r="C3426" s="50" t="s">
        <v>3778</v>
      </c>
      <c r="D3426" s="49" t="str">
        <f>IFERROR(__xludf.DUMMYFUNCTION("""COMPUTED_VALUE"""),"delay")</f>
        <v>delay</v>
      </c>
      <c r="E3426" s="49"/>
      <c r="F3426" s="49"/>
      <c r="G3426" s="49"/>
      <c r="H3426" s="54" t="str">
        <f t="shared" si="1"/>
        <v>gregory,</v>
      </c>
      <c r="I3426" s="50"/>
      <c r="J3426" s="50"/>
      <c r="K3426" s="50" t="s">
        <v>4970</v>
      </c>
      <c r="L3426" s="49"/>
      <c r="M3426" s="49"/>
      <c r="N3426" s="50"/>
      <c r="O3426" s="49"/>
      <c r="P3426" s="49" t="str">
        <f t="shared" si="2"/>
        <v>,</v>
      </c>
      <c r="Q3426" s="49"/>
      <c r="R3426" s="49"/>
      <c r="S3426" s="55" t="s">
        <v>3937</v>
      </c>
      <c r="T3426" s="49"/>
      <c r="U3426" s="49"/>
      <c r="V3426" s="49"/>
      <c r="W3426" s="49"/>
      <c r="X3426" s="49" t="str">
        <f t="shared" si="3"/>
        <v>,</v>
      </c>
      <c r="Y3426" s="49"/>
      <c r="Z3426" s="49"/>
      <c r="AB3426" s="49"/>
      <c r="AC3426" s="49"/>
      <c r="AD3426" s="49"/>
      <c r="AE3426" s="49"/>
      <c r="AF3426" s="49"/>
      <c r="AG3426" s="49"/>
      <c r="AH3426" s="49"/>
      <c r="AI3426" s="49"/>
      <c r="AJ3426" s="49"/>
      <c r="AK3426" s="49"/>
      <c r="AL3426" s="49"/>
      <c r="AM3426" s="49"/>
      <c r="AN3426" s="49"/>
      <c r="AP3426" s="49"/>
      <c r="AQ3426" s="49"/>
      <c r="AR3426" s="49"/>
      <c r="AS3426" s="49"/>
      <c r="AT3426" s="49"/>
    </row>
    <row r="3427">
      <c r="A3427" s="51"/>
      <c r="B3427" s="50" t="s">
        <v>6819</v>
      </c>
      <c r="C3427" s="50" t="s">
        <v>3630</v>
      </c>
      <c r="D3427" s="49" t="str">
        <f>IFERROR(__xludf.DUMMYFUNCTION("""COMPUTED_VALUE"""),"losses")</f>
        <v>losses</v>
      </c>
      <c r="E3427" s="49"/>
      <c r="F3427" s="49"/>
      <c r="G3427" s="49"/>
      <c r="H3427" s="54" t="str">
        <f t="shared" si="1"/>
        <v>brooks,</v>
      </c>
      <c r="I3427" s="50"/>
      <c r="J3427" s="50"/>
      <c r="K3427" s="50" t="s">
        <v>4971</v>
      </c>
      <c r="L3427" s="49"/>
      <c r="M3427" s="49"/>
      <c r="N3427" s="50"/>
      <c r="O3427" s="49"/>
      <c r="P3427" s="49" t="str">
        <f t="shared" si="2"/>
        <v>,</v>
      </c>
      <c r="Q3427" s="49"/>
      <c r="R3427" s="49"/>
      <c r="S3427" s="55" t="s">
        <v>4790</v>
      </c>
      <c r="T3427" s="49"/>
      <c r="U3427" s="49"/>
      <c r="V3427" s="49"/>
      <c r="W3427" s="49"/>
      <c r="X3427" s="49" t="str">
        <f t="shared" si="3"/>
        <v>,</v>
      </c>
      <c r="Y3427" s="49"/>
      <c r="Z3427" s="49"/>
      <c r="AB3427" s="49"/>
      <c r="AC3427" s="49"/>
      <c r="AD3427" s="49"/>
      <c r="AE3427" s="49"/>
      <c r="AF3427" s="49"/>
      <c r="AG3427" s="49"/>
      <c r="AH3427" s="49"/>
      <c r="AI3427" s="49"/>
      <c r="AJ3427" s="49"/>
      <c r="AK3427" s="49"/>
      <c r="AL3427" s="49"/>
      <c r="AM3427" s="49"/>
      <c r="AN3427" s="49"/>
      <c r="AP3427" s="49"/>
      <c r="AQ3427" s="49"/>
      <c r="AR3427" s="49"/>
      <c r="AS3427" s="49"/>
      <c r="AT3427" s="49"/>
    </row>
    <row r="3428">
      <c r="A3428" s="51"/>
      <c r="B3428" s="50" t="s">
        <v>6673</v>
      </c>
      <c r="C3428" s="50" t="s">
        <v>5492</v>
      </c>
      <c r="D3428" s="49" t="str">
        <f>IFERROR(__xludf.DUMMYFUNCTION("""COMPUTED_VALUE"""),"examples")</f>
        <v>examples</v>
      </c>
      <c r="E3428" s="49"/>
      <c r="F3428" s="49"/>
      <c r="G3428" s="49"/>
      <c r="H3428" s="54" t="str">
        <f t="shared" si="1"/>
        <v>developers,</v>
      </c>
      <c r="I3428" s="50"/>
      <c r="J3428" s="50"/>
      <c r="K3428" s="50" t="s">
        <v>3208</v>
      </c>
      <c r="L3428" s="49"/>
      <c r="M3428" s="49"/>
      <c r="N3428" s="50"/>
      <c r="O3428" s="49"/>
      <c r="P3428" s="49" t="str">
        <f t="shared" si="2"/>
        <v>,</v>
      </c>
      <c r="Q3428" s="49"/>
      <c r="R3428" s="49"/>
      <c r="S3428" s="55" t="s">
        <v>1685</v>
      </c>
      <c r="T3428" s="49"/>
      <c r="U3428" s="49"/>
      <c r="V3428" s="49"/>
      <c r="W3428" s="49"/>
      <c r="X3428" s="49" t="str">
        <f t="shared" si="3"/>
        <v>,</v>
      </c>
      <c r="Y3428" s="49"/>
      <c r="Z3428" s="49"/>
      <c r="AB3428" s="49"/>
      <c r="AC3428" s="49"/>
      <c r="AD3428" s="49"/>
      <c r="AE3428" s="49"/>
      <c r="AF3428" s="49"/>
      <c r="AG3428" s="49"/>
      <c r="AH3428" s="49"/>
      <c r="AI3428" s="49"/>
      <c r="AJ3428" s="49"/>
      <c r="AK3428" s="49"/>
      <c r="AL3428" s="49"/>
      <c r="AM3428" s="49"/>
      <c r="AN3428" s="49"/>
      <c r="AP3428" s="49"/>
      <c r="AQ3428" s="49"/>
      <c r="AR3428" s="49"/>
      <c r="AS3428" s="49"/>
      <c r="AT3428" s="49"/>
    </row>
    <row r="3429">
      <c r="A3429" s="51"/>
      <c r="B3429" s="50" t="s">
        <v>3505</v>
      </c>
      <c r="C3429" s="50" t="s">
        <v>3783</v>
      </c>
      <c r="D3429" s="49" t="str">
        <f>IFERROR(__xludf.DUMMYFUNCTION("""COMPUTED_VALUE"""),"wide")</f>
        <v>wide</v>
      </c>
      <c r="E3429" s="49"/>
      <c r="F3429" s="49"/>
      <c r="G3429" s="49"/>
      <c r="H3429" s="54" t="str">
        <f t="shared" si="1"/>
        <v>circle,</v>
      </c>
      <c r="I3429" s="50"/>
      <c r="J3429" s="50"/>
      <c r="K3429" s="50" t="s">
        <v>6101</v>
      </c>
      <c r="L3429" s="49"/>
      <c r="M3429" s="49"/>
      <c r="N3429" s="50"/>
      <c r="O3429" s="49"/>
      <c r="P3429" s="49" t="str">
        <f t="shared" si="2"/>
        <v>,</v>
      </c>
      <c r="Q3429" s="49"/>
      <c r="R3429" s="49"/>
      <c r="S3429" s="55" t="s">
        <v>2558</v>
      </c>
      <c r="T3429" s="49"/>
      <c r="U3429" s="49"/>
      <c r="V3429" s="49"/>
      <c r="W3429" s="49"/>
      <c r="X3429" s="49" t="str">
        <f t="shared" si="3"/>
        <v>,</v>
      </c>
      <c r="Y3429" s="49"/>
      <c r="Z3429" s="49"/>
      <c r="AB3429" s="49"/>
      <c r="AC3429" s="49"/>
      <c r="AD3429" s="49"/>
      <c r="AE3429" s="49"/>
      <c r="AF3429" s="49"/>
      <c r="AG3429" s="49"/>
      <c r="AH3429" s="49"/>
      <c r="AI3429" s="49"/>
      <c r="AJ3429" s="49"/>
      <c r="AK3429" s="49"/>
      <c r="AL3429" s="49"/>
      <c r="AM3429" s="49"/>
      <c r="AN3429" s="49"/>
      <c r="AP3429" s="49"/>
      <c r="AQ3429" s="49"/>
      <c r="AR3429" s="49"/>
      <c r="AS3429" s="49"/>
      <c r="AT3429" s="49"/>
    </row>
    <row r="3430">
      <c r="A3430" s="51"/>
      <c r="B3430" s="50" t="s">
        <v>5676</v>
      </c>
      <c r="C3430" s="50" t="s">
        <v>7085</v>
      </c>
      <c r="D3430" s="49" t="str">
        <f>IFERROR(__xludf.DUMMYFUNCTION("""COMPUTED_VALUE"""),"mountains")</f>
        <v>mountains</v>
      </c>
      <c r="E3430" s="49"/>
      <c r="F3430" s="49"/>
      <c r="G3430" s="49"/>
      <c r="H3430" s="54" t="str">
        <f t="shared" si="1"/>
        <v>uncomfortable,</v>
      </c>
      <c r="I3430" s="50"/>
      <c r="J3430" s="50"/>
      <c r="K3430" s="50" t="s">
        <v>3210</v>
      </c>
      <c r="L3430" s="49"/>
      <c r="M3430" s="49"/>
      <c r="N3430" s="50"/>
      <c r="O3430" s="49"/>
      <c r="P3430" s="49" t="str">
        <f t="shared" si="2"/>
        <v>,</v>
      </c>
      <c r="Q3430" s="49"/>
      <c r="R3430" s="49"/>
      <c r="S3430" s="55" t="s">
        <v>3096</v>
      </c>
      <c r="T3430" s="49"/>
      <c r="U3430" s="49"/>
      <c r="V3430" s="49"/>
      <c r="W3430" s="49"/>
      <c r="X3430" s="49" t="str">
        <f t="shared" si="3"/>
        <v>,</v>
      </c>
      <c r="Y3430" s="49"/>
      <c r="Z3430" s="49"/>
      <c r="AB3430" s="49"/>
      <c r="AC3430" s="49"/>
      <c r="AD3430" s="49"/>
      <c r="AE3430" s="49"/>
      <c r="AF3430" s="49"/>
      <c r="AG3430" s="49"/>
      <c r="AH3430" s="49"/>
      <c r="AI3430" s="49"/>
      <c r="AJ3430" s="49"/>
      <c r="AK3430" s="49"/>
      <c r="AL3430" s="49"/>
      <c r="AM3430" s="49"/>
      <c r="AN3430" s="49"/>
      <c r="AP3430" s="49"/>
      <c r="AQ3430" s="49"/>
      <c r="AR3430" s="49"/>
      <c r="AS3430" s="49"/>
      <c r="AT3430" s="49"/>
    </row>
    <row r="3431">
      <c r="A3431" s="51"/>
      <c r="B3431" s="50" t="s">
        <v>1973</v>
      </c>
      <c r="C3431" s="50" t="s">
        <v>7086</v>
      </c>
      <c r="D3431" s="49" t="str">
        <f>IFERROR(__xludf.DUMMYFUNCTION("""COMPUTED_VALUE"""),"steps")</f>
        <v>steps</v>
      </c>
      <c r="E3431" s="49"/>
      <c r="F3431" s="49"/>
      <c r="G3431" s="49"/>
      <c r="H3431" s="54" t="str">
        <f t="shared" si="1"/>
        <v>sake,</v>
      </c>
      <c r="I3431" s="50"/>
      <c r="J3431" s="50"/>
      <c r="K3431" s="50" t="s">
        <v>4977</v>
      </c>
      <c r="L3431" s="49"/>
      <c r="M3431" s="49"/>
      <c r="N3431" s="50"/>
      <c r="O3431" s="49"/>
      <c r="P3431" s="49" t="str">
        <f t="shared" si="2"/>
        <v>,</v>
      </c>
      <c r="Q3431" s="49"/>
      <c r="R3431" s="49"/>
      <c r="S3431" s="55" t="s">
        <v>3099</v>
      </c>
      <c r="T3431" s="49"/>
      <c r="U3431" s="49"/>
      <c r="V3431" s="49"/>
      <c r="W3431" s="49"/>
      <c r="X3431" s="49" t="str">
        <f t="shared" si="3"/>
        <v>,</v>
      </c>
      <c r="Y3431" s="49"/>
      <c r="Z3431" s="49"/>
      <c r="AB3431" s="49"/>
      <c r="AC3431" s="49"/>
      <c r="AD3431" s="49"/>
      <c r="AE3431" s="49"/>
      <c r="AF3431" s="49"/>
      <c r="AG3431" s="49"/>
      <c r="AH3431" s="49"/>
      <c r="AI3431" s="49"/>
      <c r="AJ3431" s="49"/>
      <c r="AK3431" s="49"/>
      <c r="AL3431" s="49"/>
      <c r="AM3431" s="49"/>
      <c r="AN3431" s="49"/>
      <c r="AP3431" s="49"/>
      <c r="AQ3431" s="49"/>
      <c r="AR3431" s="49"/>
      <c r="AS3431" s="49"/>
      <c r="AT3431" s="49"/>
    </row>
    <row r="3432">
      <c r="A3432" s="51"/>
      <c r="B3432" s="50" t="s">
        <v>6386</v>
      </c>
      <c r="C3432" s="50" t="s">
        <v>2597</v>
      </c>
      <c r="D3432" s="49" t="str">
        <f>IFERROR(__xludf.DUMMYFUNCTION("""COMPUTED_VALUE"""),"climbing")</f>
        <v>climbing</v>
      </c>
      <c r="E3432" s="49"/>
      <c r="F3432" s="49"/>
      <c r="G3432" s="49"/>
      <c r="H3432" s="54" t="str">
        <f t="shared" si="1"/>
        <v>rachel,</v>
      </c>
      <c r="I3432" s="50"/>
      <c r="J3432" s="50"/>
      <c r="K3432" s="50" t="s">
        <v>3213</v>
      </c>
      <c r="L3432" s="49"/>
      <c r="M3432" s="49"/>
      <c r="N3432" s="50"/>
      <c r="O3432" s="49"/>
      <c r="P3432" s="49" t="str">
        <f t="shared" si="2"/>
        <v>,</v>
      </c>
      <c r="Q3432" s="49"/>
      <c r="R3432" s="49"/>
      <c r="S3432" s="55" t="s">
        <v>3948</v>
      </c>
      <c r="T3432" s="49"/>
      <c r="U3432" s="49"/>
      <c r="V3432" s="49"/>
      <c r="W3432" s="49"/>
      <c r="X3432" s="49" t="str">
        <f t="shared" si="3"/>
        <v>,</v>
      </c>
      <c r="Y3432" s="49"/>
      <c r="Z3432" s="49"/>
      <c r="AB3432" s="49"/>
      <c r="AC3432" s="49"/>
      <c r="AD3432" s="49"/>
      <c r="AE3432" s="49"/>
      <c r="AF3432" s="49"/>
      <c r="AG3432" s="49"/>
      <c r="AH3432" s="49"/>
      <c r="AI3432" s="49"/>
      <c r="AJ3432" s="49"/>
      <c r="AK3432" s="49"/>
      <c r="AL3432" s="49"/>
      <c r="AM3432" s="49"/>
      <c r="AN3432" s="49"/>
      <c r="AP3432" s="49"/>
      <c r="AQ3432" s="49"/>
      <c r="AR3432" s="49"/>
      <c r="AS3432" s="49"/>
      <c r="AT3432" s="49"/>
    </row>
    <row r="3433">
      <c r="A3433" s="51"/>
      <c r="B3433" s="50" t="s">
        <v>4194</v>
      </c>
      <c r="C3433" s="50" t="s">
        <v>6051</v>
      </c>
      <c r="D3433" s="49" t="str">
        <f>IFERROR(__xludf.DUMMYFUNCTION("""COMPUTED_VALUE"""),"drawings")</f>
        <v>drawings</v>
      </c>
      <c r="E3433" s="49"/>
      <c r="F3433" s="49"/>
      <c r="G3433" s="49"/>
      <c r="H3433" s="54" t="str">
        <f t="shared" si="1"/>
        <v>aids,</v>
      </c>
      <c r="I3433" s="50"/>
      <c r="J3433" s="50"/>
      <c r="K3433" s="50" t="s">
        <v>1692</v>
      </c>
      <c r="L3433" s="49"/>
      <c r="M3433" s="49"/>
      <c r="N3433" s="50"/>
      <c r="O3433" s="49"/>
      <c r="P3433" s="49" t="str">
        <f t="shared" si="2"/>
        <v>,</v>
      </c>
      <c r="Q3433" s="49"/>
      <c r="R3433" s="49"/>
      <c r="S3433" s="55" t="s">
        <v>1723</v>
      </c>
      <c r="T3433" s="49"/>
      <c r="U3433" s="49"/>
      <c r="V3433" s="49"/>
      <c r="W3433" s="49"/>
      <c r="X3433" s="49" t="str">
        <f t="shared" si="3"/>
        <v>,</v>
      </c>
      <c r="Y3433" s="49"/>
      <c r="Z3433" s="49"/>
      <c r="AB3433" s="49"/>
      <c r="AC3433" s="49"/>
      <c r="AD3433" s="49"/>
      <c r="AE3433" s="49"/>
      <c r="AF3433" s="49"/>
      <c r="AG3433" s="49"/>
      <c r="AH3433" s="49"/>
      <c r="AI3433" s="49"/>
      <c r="AJ3433" s="49"/>
      <c r="AK3433" s="49"/>
      <c r="AL3433" s="49"/>
      <c r="AM3433" s="49"/>
      <c r="AN3433" s="49"/>
      <c r="AP3433" s="49"/>
      <c r="AQ3433" s="49"/>
      <c r="AR3433" s="49"/>
      <c r="AS3433" s="49"/>
      <c r="AT3433" s="49"/>
    </row>
    <row r="3434">
      <c r="A3434" s="51"/>
      <c r="B3434" s="50" t="s">
        <v>6606</v>
      </c>
      <c r="C3434" s="50" t="s">
        <v>6900</v>
      </c>
      <c r="D3434" s="49" t="str">
        <f>IFERROR(__xludf.DUMMYFUNCTION("""COMPUTED_VALUE"""),"interests")</f>
        <v>interests</v>
      </c>
      <c r="E3434" s="49"/>
      <c r="F3434" s="49"/>
      <c r="G3434" s="49"/>
      <c r="H3434" s="54" t="str">
        <f t="shared" si="1"/>
        <v>environments,</v>
      </c>
      <c r="I3434" s="50"/>
      <c r="J3434" s="50"/>
      <c r="K3434" s="50" t="s">
        <v>444</v>
      </c>
      <c r="L3434" s="49"/>
      <c r="M3434" s="49"/>
      <c r="N3434" s="50"/>
      <c r="O3434" s="49"/>
      <c r="P3434" s="49" t="str">
        <f t="shared" si="2"/>
        <v>,</v>
      </c>
      <c r="Q3434" s="49"/>
      <c r="R3434" s="49"/>
      <c r="S3434" s="55" t="s">
        <v>4887</v>
      </c>
      <c r="T3434" s="49"/>
      <c r="U3434" s="49"/>
      <c r="V3434" s="49"/>
      <c r="W3434" s="49"/>
      <c r="X3434" s="49" t="str">
        <f t="shared" si="3"/>
        <v>,</v>
      </c>
      <c r="Y3434" s="49"/>
      <c r="Z3434" s="49"/>
      <c r="AB3434" s="49"/>
      <c r="AC3434" s="49"/>
      <c r="AD3434" s="49"/>
      <c r="AE3434" s="49"/>
      <c r="AF3434" s="49"/>
      <c r="AG3434" s="49"/>
      <c r="AH3434" s="49"/>
      <c r="AI3434" s="49"/>
      <c r="AJ3434" s="49"/>
      <c r="AK3434" s="49"/>
      <c r="AL3434" s="49"/>
      <c r="AM3434" s="49"/>
      <c r="AN3434" s="49"/>
      <c r="AP3434" s="49"/>
      <c r="AQ3434" s="49"/>
      <c r="AR3434" s="49"/>
      <c r="AS3434" s="49"/>
      <c r="AT3434" s="49"/>
    </row>
    <row r="3435">
      <c r="A3435" s="51"/>
      <c r="B3435" s="50" t="s">
        <v>6048</v>
      </c>
      <c r="C3435" s="50" t="s">
        <v>6973</v>
      </c>
      <c r="D3435" s="49" t="str">
        <f>IFERROR(__xludf.DUMMYFUNCTION("""COMPUTED_VALUE"""),"reduce")</f>
        <v>reduce</v>
      </c>
      <c r="E3435" s="49"/>
      <c r="F3435" s="49"/>
      <c r="G3435" s="49"/>
      <c r="H3435" s="54" t="str">
        <f t="shared" si="1"/>
        <v>log,</v>
      </c>
      <c r="I3435" s="50"/>
      <c r="J3435" s="50"/>
      <c r="K3435" s="50" t="s">
        <v>790</v>
      </c>
      <c r="L3435" s="49"/>
      <c r="M3435" s="49"/>
      <c r="N3435" s="50"/>
      <c r="O3435" s="49"/>
      <c r="P3435" s="49" t="str">
        <f t="shared" si="2"/>
        <v>,</v>
      </c>
      <c r="Q3435" s="49"/>
      <c r="R3435" s="49"/>
      <c r="S3435" s="55" t="s">
        <v>5770</v>
      </c>
      <c r="T3435" s="49"/>
      <c r="U3435" s="49"/>
      <c r="V3435" s="49"/>
      <c r="W3435" s="49"/>
      <c r="X3435" s="49" t="str">
        <f t="shared" si="3"/>
        <v>,</v>
      </c>
      <c r="Y3435" s="49"/>
      <c r="Z3435" s="49"/>
      <c r="AB3435" s="49"/>
      <c r="AC3435" s="49"/>
      <c r="AD3435" s="49"/>
      <c r="AE3435" s="49"/>
      <c r="AF3435" s="49"/>
      <c r="AG3435" s="49"/>
      <c r="AH3435" s="49"/>
      <c r="AI3435" s="49"/>
      <c r="AJ3435" s="49"/>
      <c r="AK3435" s="49"/>
      <c r="AL3435" s="49"/>
      <c r="AM3435" s="49"/>
      <c r="AN3435" s="49"/>
      <c r="AP3435" s="49"/>
      <c r="AQ3435" s="49"/>
      <c r="AR3435" s="49"/>
      <c r="AS3435" s="49"/>
      <c r="AT3435" s="49"/>
    </row>
    <row r="3436">
      <c r="A3436" s="51"/>
      <c r="B3436" s="50" t="s">
        <v>2579</v>
      </c>
      <c r="C3436" s="50" t="s">
        <v>5982</v>
      </c>
      <c r="D3436" s="49" t="str">
        <f>IFERROR(__xludf.DUMMYFUNCTION("""COMPUTED_VALUE"""),"controlling")</f>
        <v>controlling</v>
      </c>
      <c r="E3436" s="49"/>
      <c r="F3436" s="49"/>
      <c r="G3436" s="49"/>
      <c r="H3436" s="54" t="str">
        <f t="shared" si="1"/>
        <v>pointed,</v>
      </c>
      <c r="I3436" s="50"/>
      <c r="J3436" s="50"/>
      <c r="K3436" s="50" t="s">
        <v>1700</v>
      </c>
      <c r="L3436" s="49"/>
      <c r="M3436" s="49"/>
      <c r="N3436" s="50"/>
      <c r="O3436" s="49"/>
      <c r="P3436" s="49" t="str">
        <f t="shared" si="2"/>
        <v>,</v>
      </c>
      <c r="Q3436" s="49"/>
      <c r="R3436" s="49"/>
      <c r="S3436" s="55" t="s">
        <v>7003</v>
      </c>
      <c r="T3436" s="49"/>
      <c r="U3436" s="49"/>
      <c r="V3436" s="49"/>
      <c r="W3436" s="49"/>
      <c r="X3436" s="49" t="str">
        <f t="shared" si="3"/>
        <v>,</v>
      </c>
      <c r="Y3436" s="49"/>
      <c r="Z3436" s="49"/>
      <c r="AB3436" s="49"/>
      <c r="AC3436" s="49"/>
      <c r="AD3436" s="49"/>
      <c r="AE3436" s="49"/>
      <c r="AF3436" s="49"/>
      <c r="AG3436" s="49"/>
      <c r="AH3436" s="49"/>
      <c r="AI3436" s="49"/>
      <c r="AJ3436" s="49"/>
      <c r="AK3436" s="49"/>
      <c r="AL3436" s="49"/>
      <c r="AM3436" s="49"/>
      <c r="AN3436" s="49"/>
      <c r="AP3436" s="49"/>
      <c r="AQ3436" s="49"/>
      <c r="AR3436" s="49"/>
      <c r="AS3436" s="49"/>
      <c r="AT3436" s="49"/>
    </row>
    <row r="3437">
      <c r="A3437" s="51"/>
      <c r="B3437" s="50" t="s">
        <v>5351</v>
      </c>
      <c r="C3437" s="50" t="s">
        <v>2810</v>
      </c>
      <c r="D3437" s="49" t="str">
        <f>IFERROR(__xludf.DUMMYFUNCTION("""COMPUTED_VALUE"""),"guardian")</f>
        <v>guardian</v>
      </c>
      <c r="E3437" s="49"/>
      <c r="F3437" s="49"/>
      <c r="G3437" s="49"/>
      <c r="H3437" s="54" t="str">
        <f t="shared" si="1"/>
        <v>repeatedly,</v>
      </c>
      <c r="I3437" s="50"/>
      <c r="J3437" s="50"/>
      <c r="K3437" s="50" t="s">
        <v>3225</v>
      </c>
      <c r="L3437" s="49"/>
      <c r="M3437" s="49"/>
      <c r="N3437" s="50"/>
      <c r="O3437" s="49"/>
      <c r="P3437" s="49" t="str">
        <f t="shared" si="2"/>
        <v>,</v>
      </c>
      <c r="Q3437" s="49"/>
      <c r="R3437" s="49"/>
      <c r="S3437" s="55" t="s">
        <v>3103</v>
      </c>
      <c r="T3437" s="49"/>
      <c r="U3437" s="49"/>
      <c r="V3437" s="49"/>
      <c r="W3437" s="49"/>
      <c r="X3437" s="49" t="str">
        <f t="shared" si="3"/>
        <v>,</v>
      </c>
      <c r="Y3437" s="49"/>
      <c r="Z3437" s="49"/>
      <c r="AB3437" s="49"/>
      <c r="AC3437" s="49"/>
      <c r="AD3437" s="49"/>
      <c r="AE3437" s="49"/>
      <c r="AF3437" s="49"/>
      <c r="AG3437" s="49"/>
      <c r="AH3437" s="49"/>
      <c r="AI3437" s="49"/>
      <c r="AJ3437" s="49"/>
      <c r="AK3437" s="49"/>
      <c r="AL3437" s="49"/>
      <c r="AM3437" s="49"/>
      <c r="AN3437" s="49"/>
      <c r="AP3437" s="49"/>
      <c r="AQ3437" s="49"/>
      <c r="AR3437" s="49"/>
      <c r="AS3437" s="49"/>
      <c r="AT3437" s="49"/>
    </row>
    <row r="3438">
      <c r="A3438" s="51"/>
      <c r="B3438" s="50" t="s">
        <v>7064</v>
      </c>
      <c r="C3438" s="50" t="s">
        <v>5032</v>
      </c>
      <c r="D3438" s="49" t="str">
        <f>IFERROR(__xludf.DUMMYFUNCTION("""COMPUTED_VALUE"""),"iranian")</f>
        <v>iranian</v>
      </c>
      <c r="E3438" s="49"/>
      <c r="F3438" s="49"/>
      <c r="G3438" s="49"/>
      <c r="H3438" s="54" t="str">
        <f t="shared" si="1"/>
        <v>answered,</v>
      </c>
      <c r="I3438" s="50"/>
      <c r="J3438" s="50"/>
      <c r="K3438" s="50" t="s">
        <v>4982</v>
      </c>
      <c r="L3438" s="49"/>
      <c r="M3438" s="49"/>
      <c r="N3438" s="50"/>
      <c r="O3438" s="49"/>
      <c r="P3438" s="49" t="str">
        <f t="shared" si="2"/>
        <v>,</v>
      </c>
      <c r="Q3438" s="49"/>
      <c r="R3438" s="49"/>
      <c r="S3438" s="55" t="s">
        <v>4889</v>
      </c>
      <c r="T3438" s="49"/>
      <c r="U3438" s="49"/>
      <c r="V3438" s="49"/>
      <c r="W3438" s="49"/>
      <c r="X3438" s="49" t="str">
        <f t="shared" si="3"/>
        <v>,</v>
      </c>
      <c r="Y3438" s="49"/>
      <c r="Z3438" s="49"/>
      <c r="AB3438" s="49"/>
      <c r="AC3438" s="49"/>
      <c r="AD3438" s="49"/>
      <c r="AE3438" s="49"/>
      <c r="AF3438" s="49"/>
      <c r="AG3438" s="49"/>
      <c r="AH3438" s="49"/>
      <c r="AI3438" s="49"/>
      <c r="AJ3438" s="49"/>
      <c r="AK3438" s="49"/>
      <c r="AL3438" s="49"/>
      <c r="AM3438" s="49"/>
      <c r="AN3438" s="49"/>
      <c r="AP3438" s="49"/>
      <c r="AQ3438" s="49"/>
      <c r="AR3438" s="49"/>
      <c r="AS3438" s="49"/>
      <c r="AT3438" s="49"/>
    </row>
    <row r="3439">
      <c r="A3439" s="51"/>
      <c r="B3439" s="50" t="s">
        <v>2542</v>
      </c>
      <c r="C3439" s="50" t="s">
        <v>1587</v>
      </c>
      <c r="D3439" s="49" t="str">
        <f>IFERROR(__xludf.DUMMYFUNCTION("""COMPUTED_VALUE"""),"challenge")</f>
        <v>challenge</v>
      </c>
      <c r="E3439" s="49"/>
      <c r="F3439" s="49"/>
      <c r="G3439" s="49"/>
      <c r="H3439" s="54" t="str">
        <f t="shared" si="1"/>
        <v>gear,</v>
      </c>
      <c r="I3439" s="50"/>
      <c r="J3439" s="50"/>
      <c r="K3439" s="50" t="s">
        <v>6106</v>
      </c>
      <c r="L3439" s="49"/>
      <c r="M3439" s="49"/>
      <c r="N3439" s="50"/>
      <c r="O3439" s="49"/>
      <c r="P3439" s="49" t="str">
        <f t="shared" si="2"/>
        <v>,</v>
      </c>
      <c r="Q3439" s="49"/>
      <c r="R3439" s="49"/>
      <c r="S3439" s="55" t="s">
        <v>5773</v>
      </c>
      <c r="T3439" s="49"/>
      <c r="U3439" s="49"/>
      <c r="V3439" s="49"/>
      <c r="W3439" s="49"/>
      <c r="X3439" s="49" t="str">
        <f t="shared" si="3"/>
        <v>,</v>
      </c>
      <c r="Y3439" s="49"/>
      <c r="Z3439" s="49"/>
      <c r="AB3439" s="49"/>
      <c r="AC3439" s="49"/>
      <c r="AD3439" s="49"/>
      <c r="AE3439" s="49"/>
      <c r="AF3439" s="49"/>
      <c r="AG3439" s="49"/>
      <c r="AH3439" s="49"/>
      <c r="AI3439" s="49"/>
      <c r="AJ3439" s="49"/>
      <c r="AK3439" s="49"/>
      <c r="AL3439" s="49"/>
      <c r="AM3439" s="49"/>
      <c r="AN3439" s="49"/>
      <c r="AP3439" s="49"/>
      <c r="AQ3439" s="49"/>
      <c r="AR3439" s="49"/>
      <c r="AS3439" s="49"/>
      <c r="AT3439" s="49"/>
    </row>
    <row r="3440">
      <c r="A3440" s="51"/>
      <c r="B3440" s="50" t="b">
        <v>0</v>
      </c>
      <c r="C3440" s="50" t="s">
        <v>4610</v>
      </c>
      <c r="D3440" s="49" t="str">
        <f>IFERROR(__xludf.DUMMYFUNCTION("""COMPUTED_VALUE"""),"column")</f>
        <v>column</v>
      </c>
      <c r="E3440" s="49"/>
      <c r="F3440" s="49"/>
      <c r="G3440" s="49"/>
      <c r="H3440" s="54" t="str">
        <f t="shared" si="1"/>
        <v>FALSE,</v>
      </c>
      <c r="I3440" s="50"/>
      <c r="J3440" s="50"/>
      <c r="K3440" s="50" t="s">
        <v>1455</v>
      </c>
      <c r="L3440" s="49"/>
      <c r="M3440" s="49"/>
      <c r="N3440" s="50"/>
      <c r="O3440" s="49"/>
      <c r="P3440" s="49" t="str">
        <f t="shared" si="2"/>
        <v>,</v>
      </c>
      <c r="Q3440" s="49"/>
      <c r="R3440" s="49"/>
      <c r="S3440" s="55" t="s">
        <v>3106</v>
      </c>
      <c r="T3440" s="49"/>
      <c r="U3440" s="49"/>
      <c r="V3440" s="49"/>
      <c r="W3440" s="49"/>
      <c r="X3440" s="49" t="str">
        <f t="shared" si="3"/>
        <v>,</v>
      </c>
      <c r="Y3440" s="49"/>
      <c r="Z3440" s="49"/>
      <c r="AB3440" s="49"/>
      <c r="AC3440" s="49"/>
      <c r="AD3440" s="49"/>
      <c r="AE3440" s="49"/>
      <c r="AF3440" s="49"/>
      <c r="AG3440" s="49"/>
      <c r="AH3440" s="49"/>
      <c r="AI3440" s="49"/>
      <c r="AJ3440" s="49"/>
      <c r="AK3440" s="49"/>
      <c r="AL3440" s="49"/>
      <c r="AM3440" s="49"/>
      <c r="AN3440" s="49"/>
      <c r="AP3440" s="49"/>
      <c r="AQ3440" s="49"/>
      <c r="AR3440" s="49"/>
      <c r="AS3440" s="49"/>
      <c r="AT3440" s="49"/>
    </row>
    <row r="3441">
      <c r="A3441" s="51"/>
      <c r="B3441" s="50" t="s">
        <v>2696</v>
      </c>
      <c r="C3441" s="50" t="s">
        <v>1049</v>
      </c>
      <c r="D3441" s="49" t="str">
        <f>IFERROR(__xludf.DUMMYFUNCTION("""COMPUTED_VALUE"""),"jacket")</f>
        <v>jacket</v>
      </c>
      <c r="E3441" s="49"/>
      <c r="F3441" s="49"/>
      <c r="G3441" s="49"/>
      <c r="H3441" s="54" t="str">
        <f t="shared" si="1"/>
        <v>foundation,</v>
      </c>
      <c r="I3441" s="50"/>
      <c r="J3441" s="50"/>
      <c r="K3441" s="50" t="s">
        <v>5821</v>
      </c>
      <c r="L3441" s="49"/>
      <c r="M3441" s="49"/>
      <c r="N3441" s="50"/>
      <c r="O3441" s="49"/>
      <c r="P3441" s="49" t="str">
        <f t="shared" si="2"/>
        <v>,</v>
      </c>
      <c r="Q3441" s="49"/>
      <c r="R3441" s="49"/>
      <c r="S3441" s="55" t="s">
        <v>3952</v>
      </c>
      <c r="T3441" s="49"/>
      <c r="U3441" s="49"/>
      <c r="V3441" s="49"/>
      <c r="W3441" s="49"/>
      <c r="X3441" s="49" t="str">
        <f t="shared" si="3"/>
        <v>,</v>
      </c>
      <c r="Y3441" s="49"/>
      <c r="Z3441" s="49"/>
      <c r="AB3441" s="49"/>
      <c r="AC3441" s="49"/>
      <c r="AD3441" s="49"/>
      <c r="AE3441" s="49"/>
      <c r="AF3441" s="49"/>
      <c r="AG3441" s="49"/>
      <c r="AH3441" s="49"/>
      <c r="AI3441" s="49"/>
      <c r="AJ3441" s="49"/>
      <c r="AK3441" s="49"/>
      <c r="AL3441" s="49"/>
      <c r="AM3441" s="49"/>
      <c r="AN3441" s="49"/>
      <c r="AP3441" s="49"/>
      <c r="AQ3441" s="49"/>
      <c r="AR3441" s="49"/>
      <c r="AS3441" s="49"/>
      <c r="AT3441" s="49"/>
    </row>
    <row r="3442">
      <c r="A3442" s="51"/>
      <c r="B3442" s="50" t="s">
        <v>5078</v>
      </c>
      <c r="C3442" s="50" t="s">
        <v>5563</v>
      </c>
      <c r="D3442" s="49" t="str">
        <f>IFERROR(__xludf.DUMMYFUNCTION("""COMPUTED_VALUE"""),"track")</f>
        <v>track</v>
      </c>
      <c r="E3442" s="49"/>
      <c r="F3442" s="49"/>
      <c r="G3442" s="49"/>
      <c r="H3442" s="54" t="str">
        <f t="shared" si="1"/>
        <v>stepped,</v>
      </c>
      <c r="I3442" s="50"/>
      <c r="J3442" s="50"/>
      <c r="K3442" s="50" t="s">
        <v>4867</v>
      </c>
      <c r="L3442" s="49"/>
      <c r="M3442" s="49"/>
      <c r="N3442" s="50"/>
      <c r="O3442" s="49"/>
      <c r="P3442" s="49" t="str">
        <f t="shared" si="2"/>
        <v>,</v>
      </c>
      <c r="Q3442" s="49"/>
      <c r="R3442" s="49"/>
      <c r="S3442" s="55" t="s">
        <v>3110</v>
      </c>
      <c r="T3442" s="49"/>
      <c r="U3442" s="49"/>
      <c r="V3442" s="49"/>
      <c r="W3442" s="49"/>
      <c r="X3442" s="49" t="str">
        <f t="shared" si="3"/>
        <v>,</v>
      </c>
      <c r="Y3442" s="49"/>
      <c r="Z3442" s="49"/>
      <c r="AB3442" s="49"/>
      <c r="AC3442" s="49"/>
      <c r="AD3442" s="49"/>
      <c r="AE3442" s="49"/>
      <c r="AF3442" s="49"/>
      <c r="AG3442" s="49"/>
      <c r="AH3442" s="49"/>
      <c r="AI3442" s="49"/>
      <c r="AJ3442" s="49"/>
      <c r="AK3442" s="49"/>
      <c r="AL3442" s="49"/>
      <c r="AM3442" s="49"/>
      <c r="AN3442" s="49"/>
      <c r="AP3442" s="49"/>
      <c r="AQ3442" s="49"/>
      <c r="AR3442" s="49"/>
      <c r="AS3442" s="49"/>
      <c r="AT3442" s="49"/>
    </row>
    <row r="3443">
      <c r="A3443" s="51"/>
      <c r="B3443" s="50" t="s">
        <v>6354</v>
      </c>
      <c r="C3443" s="50" t="s">
        <v>4499</v>
      </c>
      <c r="D3443" s="49" t="str">
        <f>IFERROR(__xludf.DUMMYFUNCTION("""COMPUTED_VALUE"""),"lose")</f>
        <v>lose</v>
      </c>
      <c r="E3443" s="49"/>
      <c r="F3443" s="49"/>
      <c r="G3443" s="49"/>
      <c r="H3443" s="54" t="str">
        <f t="shared" si="1"/>
        <v>organized,</v>
      </c>
      <c r="I3443" s="50"/>
      <c r="J3443" s="50"/>
      <c r="K3443" s="50" t="s">
        <v>3228</v>
      </c>
      <c r="L3443" s="49"/>
      <c r="M3443" s="49"/>
      <c r="N3443" s="50"/>
      <c r="O3443" s="49"/>
      <c r="P3443" s="49" t="str">
        <f t="shared" si="2"/>
        <v>,</v>
      </c>
      <c r="Q3443" s="49"/>
      <c r="R3443" s="49"/>
      <c r="S3443" s="55" t="s">
        <v>4848</v>
      </c>
      <c r="T3443" s="49"/>
      <c r="U3443" s="49"/>
      <c r="V3443" s="49"/>
      <c r="W3443" s="49"/>
      <c r="X3443" s="49" t="str">
        <f t="shared" si="3"/>
        <v>,</v>
      </c>
      <c r="Y3443" s="49"/>
      <c r="Z3443" s="49"/>
      <c r="AB3443" s="49"/>
      <c r="AC3443" s="49"/>
      <c r="AD3443" s="49"/>
      <c r="AE3443" s="49"/>
      <c r="AF3443" s="49"/>
      <c r="AG3443" s="49"/>
      <c r="AH3443" s="49"/>
      <c r="AI3443" s="49"/>
      <c r="AJ3443" s="49"/>
      <c r="AK3443" s="49"/>
      <c r="AL3443" s="49"/>
      <c r="AM3443" s="49"/>
      <c r="AN3443" s="49"/>
      <c r="AP3443" s="49"/>
      <c r="AQ3443" s="49"/>
      <c r="AR3443" s="49"/>
      <c r="AS3443" s="49"/>
      <c r="AT3443" s="49"/>
    </row>
    <row r="3444">
      <c r="A3444" s="51"/>
      <c r="B3444" s="50" t="s">
        <v>5782</v>
      </c>
      <c r="C3444" s="50" t="s">
        <v>4359</v>
      </c>
      <c r="D3444" s="49" t="str">
        <f>IFERROR(__xludf.DUMMYFUNCTION("""COMPUTED_VALUE"""),"schools")</f>
        <v>schools</v>
      </c>
      <c r="E3444" s="49"/>
      <c r="F3444" s="49"/>
      <c r="G3444" s="49"/>
      <c r="H3444" s="54" t="str">
        <f t="shared" si="1"/>
        <v>lose,</v>
      </c>
      <c r="I3444" s="50"/>
      <c r="J3444" s="50"/>
      <c r="K3444" s="50" t="s">
        <v>3230</v>
      </c>
      <c r="L3444" s="49"/>
      <c r="M3444" s="49"/>
      <c r="N3444" s="50"/>
      <c r="O3444" s="49"/>
      <c r="P3444" s="49" t="str">
        <f t="shared" si="2"/>
        <v>,</v>
      </c>
      <c r="Q3444" s="49"/>
      <c r="R3444" s="49"/>
      <c r="S3444" s="55" t="s">
        <v>7087</v>
      </c>
      <c r="T3444" s="49"/>
      <c r="U3444" s="49"/>
      <c r="V3444" s="49"/>
      <c r="W3444" s="49"/>
      <c r="X3444" s="49" t="str">
        <f t="shared" si="3"/>
        <v>,</v>
      </c>
      <c r="Y3444" s="49"/>
      <c r="Z3444" s="49"/>
      <c r="AB3444" s="49"/>
      <c r="AC3444" s="49"/>
      <c r="AD3444" s="49"/>
      <c r="AE3444" s="49"/>
      <c r="AF3444" s="49"/>
      <c r="AG3444" s="49"/>
      <c r="AH3444" s="49"/>
      <c r="AI3444" s="49"/>
      <c r="AJ3444" s="49"/>
      <c r="AK3444" s="49"/>
      <c r="AL3444" s="49"/>
      <c r="AM3444" s="49"/>
      <c r="AN3444" s="49"/>
      <c r="AP3444" s="49"/>
      <c r="AQ3444" s="49"/>
      <c r="AR3444" s="49"/>
      <c r="AS3444" s="49"/>
      <c r="AT3444" s="49"/>
    </row>
    <row r="3445">
      <c r="A3445" s="51"/>
      <c r="B3445" s="50" t="s">
        <v>3894</v>
      </c>
      <c r="C3445" s="50" t="s">
        <v>5565</v>
      </c>
      <c r="D3445" s="49" t="str">
        <f>IFERROR(__xludf.DUMMYFUNCTION("""COMPUTED_VALUE"""),"commitment")</f>
        <v>commitment</v>
      </c>
      <c r="E3445" s="49"/>
      <c r="F3445" s="49"/>
      <c r="G3445" s="49"/>
      <c r="H3445" s="54" t="str">
        <f t="shared" si="1"/>
        <v>introduction,</v>
      </c>
      <c r="I3445" s="50"/>
      <c r="J3445" s="50"/>
      <c r="K3445" s="50" t="s">
        <v>4988</v>
      </c>
      <c r="L3445" s="49"/>
      <c r="M3445" s="49"/>
      <c r="N3445" s="50"/>
      <c r="O3445" s="49"/>
      <c r="P3445" s="49" t="str">
        <f t="shared" si="2"/>
        <v>,</v>
      </c>
      <c r="Q3445" s="49"/>
      <c r="R3445" s="49"/>
      <c r="S3445" s="55" t="s">
        <v>4895</v>
      </c>
      <c r="T3445" s="49"/>
      <c r="U3445" s="49"/>
      <c r="V3445" s="49"/>
      <c r="W3445" s="49"/>
      <c r="X3445" s="49" t="str">
        <f t="shared" si="3"/>
        <v>,</v>
      </c>
      <c r="Y3445" s="49"/>
      <c r="Z3445" s="49"/>
      <c r="AB3445" s="49"/>
      <c r="AC3445" s="49"/>
      <c r="AD3445" s="49"/>
      <c r="AE3445" s="49"/>
      <c r="AF3445" s="49"/>
      <c r="AG3445" s="49"/>
      <c r="AH3445" s="49"/>
      <c r="AI3445" s="49"/>
      <c r="AJ3445" s="49"/>
      <c r="AK3445" s="49"/>
      <c r="AL3445" s="49"/>
      <c r="AM3445" s="49"/>
      <c r="AN3445" s="49"/>
      <c r="AP3445" s="49"/>
      <c r="AQ3445" s="49"/>
      <c r="AR3445" s="49"/>
      <c r="AS3445" s="49"/>
      <c r="AT3445" s="49"/>
    </row>
    <row r="3446">
      <c r="A3446" s="51"/>
      <c r="B3446" s="50" t="s">
        <v>4487</v>
      </c>
      <c r="C3446" s="50" t="s">
        <v>7088</v>
      </c>
      <c r="D3446" s="49" t="str">
        <f>IFERROR(__xludf.DUMMYFUNCTION("""COMPUTED_VALUE"""),"defend")</f>
        <v>defend</v>
      </c>
      <c r="E3446" s="49"/>
      <c r="F3446" s="49"/>
      <c r="G3446" s="49"/>
      <c r="H3446" s="54" t="str">
        <f t="shared" si="1"/>
        <v>concentration,</v>
      </c>
      <c r="I3446" s="50"/>
      <c r="J3446" s="50"/>
      <c r="K3446" s="50" t="s">
        <v>4990</v>
      </c>
      <c r="L3446" s="49"/>
      <c r="M3446" s="49"/>
      <c r="N3446" s="50"/>
      <c r="O3446" s="49"/>
      <c r="P3446" s="49" t="str">
        <f t="shared" si="2"/>
        <v>,</v>
      </c>
      <c r="Q3446" s="49"/>
      <c r="R3446" s="49"/>
      <c r="S3446" s="55" t="s">
        <v>3117</v>
      </c>
      <c r="T3446" s="49"/>
      <c r="U3446" s="49"/>
      <c r="V3446" s="49"/>
      <c r="W3446" s="49"/>
      <c r="X3446" s="49" t="str">
        <f t="shared" si="3"/>
        <v>,</v>
      </c>
      <c r="Y3446" s="49"/>
      <c r="Z3446" s="49"/>
      <c r="AB3446" s="49"/>
      <c r="AC3446" s="49"/>
      <c r="AD3446" s="49"/>
      <c r="AE3446" s="49"/>
      <c r="AF3446" s="49"/>
      <c r="AG3446" s="49"/>
      <c r="AH3446" s="49"/>
      <c r="AI3446" s="49"/>
      <c r="AJ3446" s="49"/>
      <c r="AK3446" s="49"/>
      <c r="AL3446" s="49"/>
      <c r="AM3446" s="49"/>
      <c r="AN3446" s="49"/>
      <c r="AP3446" s="49"/>
      <c r="AQ3446" s="49"/>
      <c r="AR3446" s="49"/>
      <c r="AS3446" s="49"/>
      <c r="AT3446" s="49"/>
    </row>
    <row r="3447">
      <c r="A3447" s="51"/>
      <c r="B3447" s="50" t="s">
        <v>3924</v>
      </c>
      <c r="C3447" s="50" t="s">
        <v>5205</v>
      </c>
      <c r="D3447" s="49" t="str">
        <f>IFERROR(__xludf.DUMMYFUNCTION("""COMPUTED_VALUE"""),"daniel")</f>
        <v>daniel</v>
      </c>
      <c r="E3447" s="49"/>
      <c r="F3447" s="49"/>
      <c r="G3447" s="49"/>
      <c r="H3447" s="54" t="str">
        <f t="shared" si="1"/>
        <v>connected,</v>
      </c>
      <c r="I3447" s="50"/>
      <c r="J3447" s="50"/>
      <c r="K3447" s="50" t="s">
        <v>3232</v>
      </c>
      <c r="L3447" s="49"/>
      <c r="M3447" s="49"/>
      <c r="N3447" s="50"/>
      <c r="O3447" s="49"/>
      <c r="P3447" s="49" t="str">
        <f t="shared" si="2"/>
        <v>,</v>
      </c>
      <c r="Q3447" s="49"/>
      <c r="R3447" s="49"/>
      <c r="S3447" s="55" t="s">
        <v>3114</v>
      </c>
      <c r="T3447" s="49"/>
      <c r="U3447" s="49"/>
      <c r="V3447" s="49"/>
      <c r="W3447" s="49"/>
      <c r="X3447" s="49" t="str">
        <f t="shared" si="3"/>
        <v>,</v>
      </c>
      <c r="Y3447" s="49"/>
      <c r="Z3447" s="49"/>
      <c r="AB3447" s="49"/>
      <c r="AC3447" s="49"/>
      <c r="AD3447" s="49"/>
      <c r="AE3447" s="49"/>
      <c r="AF3447" s="49"/>
      <c r="AG3447" s="49"/>
      <c r="AH3447" s="49"/>
      <c r="AI3447" s="49"/>
      <c r="AJ3447" s="49"/>
      <c r="AK3447" s="49"/>
      <c r="AL3447" s="49"/>
      <c r="AM3447" s="49"/>
      <c r="AN3447" s="49"/>
      <c r="AP3447" s="49"/>
      <c r="AQ3447" s="49"/>
      <c r="AR3447" s="49"/>
      <c r="AS3447" s="49"/>
      <c r="AT3447" s="49"/>
    </row>
    <row r="3448">
      <c r="A3448" s="51"/>
      <c r="B3448" s="50" t="s">
        <v>974</v>
      </c>
      <c r="C3448" s="50" t="s">
        <v>6985</v>
      </c>
      <c r="D3448" s="49" t="str">
        <f>IFERROR(__xludf.DUMMYFUNCTION("""COMPUTED_VALUE"""),"1930s")</f>
        <v>1930s</v>
      </c>
      <c r="E3448" s="49"/>
      <c r="F3448" s="49"/>
      <c r="G3448" s="49"/>
      <c r="H3448" s="54" t="str">
        <f t="shared" si="1"/>
        <v>minority,</v>
      </c>
      <c r="I3448" s="50"/>
      <c r="J3448" s="50"/>
      <c r="K3448" s="50" t="s">
        <v>4994</v>
      </c>
      <c r="L3448" s="49"/>
      <c r="M3448" s="49"/>
      <c r="N3448" s="50"/>
      <c r="O3448" s="49"/>
      <c r="P3448" s="49" t="str">
        <f t="shared" si="2"/>
        <v>,</v>
      </c>
      <c r="Q3448" s="49"/>
      <c r="R3448" s="49"/>
      <c r="S3448" s="55" t="s">
        <v>4901</v>
      </c>
      <c r="T3448" s="49"/>
      <c r="U3448" s="49"/>
      <c r="V3448" s="49"/>
      <c r="W3448" s="49"/>
      <c r="X3448" s="49" t="str">
        <f t="shared" si="3"/>
        <v>,</v>
      </c>
      <c r="Y3448" s="49"/>
      <c r="Z3448" s="49"/>
      <c r="AB3448" s="49"/>
      <c r="AC3448" s="49"/>
      <c r="AD3448" s="49"/>
      <c r="AE3448" s="49"/>
      <c r="AF3448" s="49"/>
      <c r="AG3448" s="49"/>
      <c r="AH3448" s="49"/>
      <c r="AI3448" s="49"/>
      <c r="AJ3448" s="49"/>
      <c r="AK3448" s="49"/>
      <c r="AL3448" s="49"/>
      <c r="AM3448" s="49"/>
      <c r="AN3448" s="49"/>
      <c r="AP3448" s="49"/>
      <c r="AQ3448" s="49"/>
      <c r="AR3448" s="49"/>
      <c r="AS3448" s="49"/>
      <c r="AT3448" s="49"/>
    </row>
    <row r="3449">
      <c r="A3449" s="51"/>
      <c r="B3449" s="50" t="s">
        <v>4569</v>
      </c>
      <c r="C3449" s="50" t="s">
        <v>6902</v>
      </c>
      <c r="D3449" s="49" t="str">
        <f>IFERROR(__xludf.DUMMYFUNCTION("""COMPUTED_VALUE"""),"davis")</f>
        <v>davis</v>
      </c>
      <c r="E3449" s="49"/>
      <c r="F3449" s="49"/>
      <c r="G3449" s="49"/>
      <c r="H3449" s="54" t="str">
        <f t="shared" si="1"/>
        <v>bowling,</v>
      </c>
      <c r="I3449" s="50"/>
      <c r="J3449" s="50"/>
      <c r="K3449" s="50" t="s">
        <v>3235</v>
      </c>
      <c r="L3449" s="49"/>
      <c r="M3449" s="49"/>
      <c r="N3449" s="50"/>
      <c r="O3449" s="49"/>
      <c r="P3449" s="49" t="str">
        <f t="shared" si="2"/>
        <v>,</v>
      </c>
      <c r="Q3449" s="49"/>
      <c r="R3449" s="49"/>
      <c r="S3449" s="55" t="s">
        <v>3116</v>
      </c>
      <c r="T3449" s="49"/>
      <c r="U3449" s="49"/>
      <c r="V3449" s="49"/>
      <c r="W3449" s="49"/>
      <c r="X3449" s="49" t="str">
        <f t="shared" si="3"/>
        <v>,</v>
      </c>
      <c r="Y3449" s="49"/>
      <c r="Z3449" s="49"/>
      <c r="AB3449" s="49"/>
      <c r="AC3449" s="49"/>
      <c r="AD3449" s="49"/>
      <c r="AE3449" s="49"/>
      <c r="AF3449" s="49"/>
      <c r="AG3449" s="49"/>
      <c r="AH3449" s="49"/>
      <c r="AI3449" s="49"/>
      <c r="AJ3449" s="49"/>
      <c r="AK3449" s="49"/>
      <c r="AL3449" s="49"/>
      <c r="AM3449" s="49"/>
      <c r="AN3449" s="49"/>
      <c r="AP3449" s="49"/>
      <c r="AQ3449" s="49"/>
      <c r="AR3449" s="49"/>
      <c r="AS3449" s="49"/>
      <c r="AT3449" s="49"/>
    </row>
    <row r="3450">
      <c r="A3450" s="51"/>
      <c r="B3450" s="50" t="s">
        <v>2793</v>
      </c>
      <c r="C3450" s="50" t="s">
        <v>5411</v>
      </c>
      <c r="D3450" s="49" t="str">
        <f>IFERROR(__xludf.DUMMYFUNCTION("""COMPUTED_VALUE"""),"activities")</f>
        <v>activities</v>
      </c>
      <c r="E3450" s="49"/>
      <c r="F3450" s="49"/>
      <c r="G3450" s="49"/>
      <c r="H3450" s="54" t="str">
        <f t="shared" si="1"/>
        <v>signs,</v>
      </c>
      <c r="I3450" s="50"/>
      <c r="J3450" s="50"/>
      <c r="K3450" s="50" t="s">
        <v>3239</v>
      </c>
      <c r="L3450" s="49"/>
      <c r="M3450" s="49"/>
      <c r="N3450" s="50"/>
      <c r="O3450" s="49"/>
      <c r="P3450" s="49" t="str">
        <f t="shared" si="2"/>
        <v>,</v>
      </c>
      <c r="Q3450" s="49"/>
      <c r="R3450" s="49"/>
      <c r="S3450" s="55" t="s">
        <v>6153</v>
      </c>
      <c r="T3450" s="49"/>
      <c r="U3450" s="49"/>
      <c r="V3450" s="49"/>
      <c r="W3450" s="49"/>
      <c r="X3450" s="49" t="str">
        <f t="shared" si="3"/>
        <v>,</v>
      </c>
      <c r="Y3450" s="49"/>
      <c r="Z3450" s="49"/>
      <c r="AB3450" s="49"/>
      <c r="AC3450" s="49"/>
      <c r="AD3450" s="49"/>
      <c r="AE3450" s="49"/>
      <c r="AF3450" s="49"/>
      <c r="AG3450" s="49"/>
      <c r="AH3450" s="49"/>
      <c r="AI3450" s="49"/>
      <c r="AJ3450" s="49"/>
      <c r="AK3450" s="49"/>
      <c r="AL3450" s="49"/>
      <c r="AM3450" s="49"/>
      <c r="AN3450" s="49"/>
      <c r="AP3450" s="49"/>
      <c r="AQ3450" s="49"/>
      <c r="AR3450" s="49"/>
      <c r="AS3450" s="49"/>
      <c r="AT3450" s="49"/>
    </row>
    <row r="3451">
      <c r="A3451" s="51"/>
      <c r="B3451" s="50" t="s">
        <v>4524</v>
      </c>
      <c r="C3451" s="50" t="s">
        <v>6903</v>
      </c>
      <c r="D3451" s="49" t="str">
        <f>IFERROR(__xludf.DUMMYFUNCTION("""COMPUTED_VALUE"""),"apply")</f>
        <v>apply</v>
      </c>
      <c r="E3451" s="49"/>
      <c r="F3451" s="49"/>
      <c r="G3451" s="49"/>
      <c r="H3451" s="54" t="str">
        <f t="shared" si="1"/>
        <v>engineering,</v>
      </c>
      <c r="I3451" s="50"/>
      <c r="J3451" s="50"/>
      <c r="K3451" s="50" t="s">
        <v>3242</v>
      </c>
      <c r="L3451" s="49"/>
      <c r="M3451" s="49"/>
      <c r="N3451" s="50"/>
      <c r="O3451" s="49"/>
      <c r="P3451" s="49" t="str">
        <f t="shared" si="2"/>
        <v>,</v>
      </c>
      <c r="Q3451" s="49"/>
      <c r="R3451" s="49"/>
      <c r="S3451" s="55" t="s">
        <v>3121</v>
      </c>
      <c r="T3451" s="49"/>
      <c r="U3451" s="49"/>
      <c r="V3451" s="49"/>
      <c r="W3451" s="49"/>
      <c r="X3451" s="49" t="str">
        <f t="shared" si="3"/>
        <v>,</v>
      </c>
      <c r="Y3451" s="49"/>
      <c r="Z3451" s="49"/>
      <c r="AB3451" s="49"/>
      <c r="AC3451" s="49"/>
      <c r="AD3451" s="49"/>
      <c r="AE3451" s="49"/>
      <c r="AF3451" s="49"/>
      <c r="AG3451" s="49"/>
      <c r="AH3451" s="49"/>
      <c r="AI3451" s="49"/>
      <c r="AJ3451" s="49"/>
      <c r="AK3451" s="49"/>
      <c r="AL3451" s="49"/>
      <c r="AM3451" s="49"/>
      <c r="AN3451" s="49"/>
      <c r="AP3451" s="49"/>
      <c r="AQ3451" s="49"/>
      <c r="AR3451" s="49"/>
      <c r="AS3451" s="49"/>
      <c r="AT3451" s="49"/>
    </row>
    <row r="3452">
      <c r="A3452" s="51"/>
      <c r="B3452" s="50" t="s">
        <v>7693</v>
      </c>
      <c r="C3452" s="50" t="s">
        <v>6905</v>
      </c>
      <c r="D3452" s="49" t="str">
        <f>IFERROR(__xludf.DUMMYFUNCTION("""COMPUTED_VALUE"""),"loyalty")</f>
        <v>loyalty</v>
      </c>
      <c r="E3452" s="49"/>
      <c r="F3452" s="49"/>
      <c r="G3452" s="49"/>
      <c r="H3452" s="54" t="str">
        <f t="shared" si="1"/>
        <v>trains,</v>
      </c>
      <c r="I3452" s="50"/>
      <c r="J3452" s="50"/>
      <c r="K3452" s="50" t="s">
        <v>1837</v>
      </c>
      <c r="L3452" s="49"/>
      <c r="M3452" s="49"/>
      <c r="N3452" s="50"/>
      <c r="O3452" s="49"/>
      <c r="P3452" s="49" t="str">
        <f t="shared" si="2"/>
        <v>,</v>
      </c>
      <c r="Q3452" s="49"/>
      <c r="R3452" s="49"/>
      <c r="S3452" s="55" t="s">
        <v>3124</v>
      </c>
      <c r="T3452" s="49"/>
      <c r="U3452" s="49"/>
      <c r="V3452" s="49"/>
      <c r="W3452" s="49"/>
      <c r="X3452" s="49" t="str">
        <f t="shared" si="3"/>
        <v>,</v>
      </c>
      <c r="Y3452" s="49"/>
      <c r="Z3452" s="49"/>
      <c r="AB3452" s="49"/>
      <c r="AC3452" s="49"/>
      <c r="AD3452" s="49"/>
      <c r="AE3452" s="49"/>
      <c r="AF3452" s="49"/>
      <c r="AG3452" s="49"/>
      <c r="AH3452" s="49"/>
      <c r="AI3452" s="49"/>
      <c r="AJ3452" s="49"/>
      <c r="AK3452" s="49"/>
      <c r="AL3452" s="49"/>
      <c r="AM3452" s="49"/>
      <c r="AN3452" s="49"/>
      <c r="AP3452" s="49"/>
      <c r="AQ3452" s="49"/>
      <c r="AR3452" s="49"/>
      <c r="AS3452" s="49"/>
      <c r="AT3452" s="49"/>
    </row>
    <row r="3453">
      <c r="A3453" s="51"/>
      <c r="B3453" s="50" t="s">
        <v>4013</v>
      </c>
      <c r="C3453" s="50" t="s">
        <v>5575</v>
      </c>
      <c r="D3453" s="49" t="str">
        <f>IFERROR(__xludf.DUMMYFUNCTION("""COMPUTED_VALUE"""),"bible")</f>
        <v>bible</v>
      </c>
      <c r="E3453" s="49"/>
      <c r="F3453" s="49"/>
      <c r="G3453" s="49"/>
      <c r="H3453" s="54" t="str">
        <f t="shared" si="1"/>
        <v>fool,</v>
      </c>
      <c r="I3453" s="50"/>
      <c r="J3453" s="50"/>
      <c r="K3453" s="50" t="s">
        <v>3983</v>
      </c>
      <c r="L3453" s="49"/>
      <c r="M3453" s="49"/>
      <c r="N3453" s="50"/>
      <c r="O3453" s="49"/>
      <c r="P3453" s="49" t="str">
        <f t="shared" si="2"/>
        <v>,</v>
      </c>
      <c r="Q3453" s="49"/>
      <c r="R3453" s="49"/>
      <c r="S3453" s="55" t="s">
        <v>399</v>
      </c>
      <c r="T3453" s="49"/>
      <c r="U3453" s="49"/>
      <c r="V3453" s="49"/>
      <c r="W3453" s="49"/>
      <c r="X3453" s="49" t="str">
        <f t="shared" si="3"/>
        <v>,</v>
      </c>
      <c r="Y3453" s="49"/>
      <c r="Z3453" s="49"/>
      <c r="AB3453" s="49"/>
      <c r="AC3453" s="49"/>
      <c r="AD3453" s="49"/>
      <c r="AE3453" s="49"/>
      <c r="AF3453" s="49"/>
      <c r="AG3453" s="49"/>
      <c r="AH3453" s="49"/>
      <c r="AI3453" s="49"/>
      <c r="AJ3453" s="49"/>
      <c r="AK3453" s="49"/>
      <c r="AL3453" s="49"/>
      <c r="AM3453" s="49"/>
      <c r="AN3453" s="49"/>
      <c r="AP3453" s="49"/>
      <c r="AQ3453" s="49"/>
      <c r="AR3453" s="49"/>
      <c r="AS3453" s="49"/>
      <c r="AT3453" s="49"/>
    </row>
    <row r="3454">
      <c r="A3454" s="51"/>
      <c r="B3454" s="50" t="s">
        <v>5604</v>
      </c>
      <c r="C3454" s="50" t="s">
        <v>6906</v>
      </c>
      <c r="D3454" s="49" t="str">
        <f>IFERROR(__xludf.DUMMYFUNCTION("""COMPUTED_VALUE"""),"requires")</f>
        <v>requires</v>
      </c>
      <c r="E3454" s="49"/>
      <c r="F3454" s="49"/>
      <c r="G3454" s="49"/>
      <c r="H3454" s="54" t="str">
        <f t="shared" si="1"/>
        <v>relevant,</v>
      </c>
      <c r="I3454" s="50"/>
      <c r="J3454" s="50"/>
      <c r="K3454" s="50" t="s">
        <v>3245</v>
      </c>
      <c r="L3454" s="49"/>
      <c r="M3454" s="49"/>
      <c r="N3454" s="50"/>
      <c r="O3454" s="49"/>
      <c r="P3454" s="49" t="str">
        <f t="shared" si="2"/>
        <v>,</v>
      </c>
      <c r="Q3454" s="49"/>
      <c r="R3454" s="49"/>
      <c r="S3454" s="55" t="s">
        <v>3129</v>
      </c>
      <c r="T3454" s="49"/>
      <c r="U3454" s="49"/>
      <c r="V3454" s="49"/>
      <c r="W3454" s="49"/>
      <c r="X3454" s="49" t="str">
        <f t="shared" si="3"/>
        <v>,</v>
      </c>
      <c r="Y3454" s="49"/>
      <c r="Z3454" s="49"/>
      <c r="AB3454" s="49"/>
      <c r="AC3454" s="49"/>
      <c r="AD3454" s="49"/>
      <c r="AE3454" s="49"/>
      <c r="AF3454" s="49"/>
      <c r="AG3454" s="49"/>
      <c r="AH3454" s="49"/>
      <c r="AI3454" s="49"/>
      <c r="AJ3454" s="49"/>
      <c r="AK3454" s="49"/>
      <c r="AL3454" s="49"/>
      <c r="AM3454" s="49"/>
      <c r="AN3454" s="49"/>
      <c r="AP3454" s="49"/>
      <c r="AQ3454" s="49"/>
      <c r="AR3454" s="49"/>
      <c r="AS3454" s="49"/>
      <c r="AT3454" s="49"/>
    </row>
    <row r="3455">
      <c r="A3455" s="51"/>
      <c r="B3455" s="50" t="s">
        <v>3603</v>
      </c>
      <c r="C3455" s="50" t="s">
        <v>5577</v>
      </c>
      <c r="D3455" s="49" t="str">
        <f>IFERROR(__xludf.DUMMYFUNCTION("""COMPUTED_VALUE"""),"gray")</f>
        <v>gray</v>
      </c>
      <c r="E3455" s="49"/>
      <c r="F3455" s="49"/>
      <c r="G3455" s="49"/>
      <c r="H3455" s="54" t="str">
        <f t="shared" si="1"/>
        <v>pack,</v>
      </c>
      <c r="I3455" s="50"/>
      <c r="J3455" s="50"/>
      <c r="K3455" s="50" t="s">
        <v>3248</v>
      </c>
      <c r="L3455" s="49"/>
      <c r="M3455" s="49"/>
      <c r="N3455" s="50"/>
      <c r="O3455" s="49"/>
      <c r="P3455" s="49" t="str">
        <f t="shared" si="2"/>
        <v>,</v>
      </c>
      <c r="Q3455" s="49"/>
      <c r="R3455" s="49"/>
      <c r="S3455" s="55" t="s">
        <v>3131</v>
      </c>
      <c r="T3455" s="49"/>
      <c r="U3455" s="49"/>
      <c r="V3455" s="49"/>
      <c r="W3455" s="49"/>
      <c r="X3455" s="49" t="str">
        <f t="shared" si="3"/>
        <v>,</v>
      </c>
      <c r="Y3455" s="49"/>
      <c r="Z3455" s="49"/>
      <c r="AB3455" s="49"/>
      <c r="AC3455" s="49"/>
      <c r="AD3455" s="49"/>
      <c r="AE3455" s="49"/>
      <c r="AF3455" s="49"/>
      <c r="AG3455" s="49"/>
      <c r="AH3455" s="49"/>
      <c r="AI3455" s="49"/>
      <c r="AJ3455" s="49"/>
      <c r="AK3455" s="49"/>
      <c r="AL3455" s="49"/>
      <c r="AM3455" s="49"/>
      <c r="AN3455" s="49"/>
      <c r="AP3455" s="49"/>
      <c r="AQ3455" s="49"/>
      <c r="AR3455" s="49"/>
      <c r="AS3455" s="49"/>
      <c r="AT3455" s="49"/>
    </row>
    <row r="3456">
      <c r="A3456" s="51"/>
      <c r="B3456" s="50" t="s">
        <v>5787</v>
      </c>
      <c r="C3456" s="50" t="s">
        <v>5576</v>
      </c>
      <c r="D3456" s="49" t="str">
        <f>IFERROR(__xludf.DUMMYFUNCTION("""COMPUTED_VALUE"""),"sending")</f>
        <v>sending</v>
      </c>
      <c r="E3456" s="49"/>
      <c r="F3456" s="49"/>
      <c r="G3456" s="49"/>
      <c r="H3456" s="54" t="str">
        <f t="shared" si="1"/>
        <v>forum,</v>
      </c>
      <c r="I3456" s="50"/>
      <c r="J3456" s="50"/>
      <c r="K3456" s="50" t="s">
        <v>1895</v>
      </c>
      <c r="L3456" s="49"/>
      <c r="M3456" s="49"/>
      <c r="N3456" s="50"/>
      <c r="O3456" s="49"/>
      <c r="P3456" s="49" t="str">
        <f t="shared" si="2"/>
        <v>,</v>
      </c>
      <c r="Q3456" s="49"/>
      <c r="R3456" s="49"/>
      <c r="S3456" s="55" t="s">
        <v>6197</v>
      </c>
      <c r="T3456" s="49"/>
      <c r="U3456" s="49"/>
      <c r="V3456" s="49"/>
      <c r="W3456" s="49"/>
      <c r="X3456" s="49" t="str">
        <f t="shared" si="3"/>
        <v>,</v>
      </c>
      <c r="Y3456" s="49"/>
      <c r="Z3456" s="49"/>
      <c r="AB3456" s="49"/>
      <c r="AC3456" s="49"/>
      <c r="AD3456" s="49"/>
      <c r="AE3456" s="49"/>
      <c r="AF3456" s="49"/>
      <c r="AG3456" s="49"/>
      <c r="AH3456" s="49"/>
      <c r="AI3456" s="49"/>
      <c r="AJ3456" s="49"/>
      <c r="AK3456" s="49"/>
      <c r="AL3456" s="49"/>
      <c r="AM3456" s="49"/>
      <c r="AN3456" s="49"/>
      <c r="AP3456" s="49"/>
      <c r="AQ3456" s="49"/>
      <c r="AR3456" s="49"/>
      <c r="AS3456" s="49"/>
      <c r="AT3456" s="49"/>
    </row>
    <row r="3457">
      <c r="A3457" s="51"/>
      <c r="B3457" s="50" t="s">
        <v>3488</v>
      </c>
      <c r="C3457" s="50" t="s">
        <v>5871</v>
      </c>
      <c r="D3457" s="49" t="str">
        <f>IFERROR(__xludf.DUMMYFUNCTION("""COMPUTED_VALUE"""),"influential")</f>
        <v>influential</v>
      </c>
      <c r="E3457" s="49"/>
      <c r="F3457" s="49"/>
      <c r="G3457" s="49"/>
      <c r="H3457" s="54" t="str">
        <f t="shared" si="1"/>
        <v>lessons,</v>
      </c>
      <c r="I3457" s="50"/>
      <c r="J3457" s="50"/>
      <c r="K3457" s="50" t="s">
        <v>3249</v>
      </c>
      <c r="L3457" s="49"/>
      <c r="M3457" s="49"/>
      <c r="N3457" s="50"/>
      <c r="O3457" s="49"/>
      <c r="P3457" s="49" t="str">
        <f t="shared" si="2"/>
        <v>,</v>
      </c>
      <c r="Q3457" s="49"/>
      <c r="R3457" s="49"/>
      <c r="S3457" s="55" t="s">
        <v>4911</v>
      </c>
      <c r="T3457" s="49"/>
      <c r="U3457" s="49"/>
      <c r="V3457" s="49"/>
      <c r="W3457" s="49"/>
      <c r="X3457" s="49" t="str">
        <f t="shared" si="3"/>
        <v>,</v>
      </c>
      <c r="Y3457" s="49"/>
      <c r="Z3457" s="49"/>
      <c r="AB3457" s="49"/>
      <c r="AC3457" s="49"/>
      <c r="AD3457" s="49"/>
      <c r="AE3457" s="49"/>
      <c r="AF3457" s="49"/>
      <c r="AG3457" s="49"/>
      <c r="AH3457" s="49"/>
      <c r="AI3457" s="49"/>
      <c r="AJ3457" s="49"/>
      <c r="AK3457" s="49"/>
      <c r="AL3457" s="49"/>
      <c r="AM3457" s="49"/>
      <c r="AN3457" s="49"/>
      <c r="AP3457" s="49"/>
      <c r="AQ3457" s="49"/>
      <c r="AR3457" s="49"/>
      <c r="AS3457" s="49"/>
      <c r="AT3457" s="49"/>
    </row>
    <row r="3458">
      <c r="A3458" s="51"/>
      <c r="B3458" s="50" t="s">
        <v>3658</v>
      </c>
      <c r="C3458" s="50" t="s">
        <v>6908</v>
      </c>
      <c r="D3458" s="49" t="str">
        <f>IFERROR(__xludf.DUMMYFUNCTION("""COMPUTED_VALUE"""),"hills")</f>
        <v>hills</v>
      </c>
      <c r="E3458" s="49"/>
      <c r="F3458" s="49"/>
      <c r="G3458" s="49"/>
      <c r="H3458" s="54" t="str">
        <f t="shared" si="1"/>
        <v>chest,</v>
      </c>
      <c r="I3458" s="50"/>
      <c r="J3458" s="50"/>
      <c r="K3458" s="50" t="s">
        <v>3252</v>
      </c>
      <c r="L3458" s="49"/>
      <c r="M3458" s="49"/>
      <c r="N3458" s="50"/>
      <c r="O3458" s="49"/>
      <c r="P3458" s="49" t="str">
        <f t="shared" si="2"/>
        <v>,</v>
      </c>
      <c r="Q3458" s="49"/>
      <c r="R3458" s="49"/>
      <c r="S3458" s="55" t="s">
        <v>4461</v>
      </c>
      <c r="T3458" s="49"/>
      <c r="U3458" s="49"/>
      <c r="V3458" s="49"/>
      <c r="W3458" s="49"/>
      <c r="X3458" s="49" t="str">
        <f t="shared" si="3"/>
        <v>,</v>
      </c>
      <c r="Y3458" s="49"/>
      <c r="Z3458" s="49"/>
      <c r="AB3458" s="49"/>
      <c r="AC3458" s="49"/>
      <c r="AD3458" s="49"/>
      <c r="AE3458" s="49"/>
      <c r="AF3458" s="49"/>
      <c r="AG3458" s="49"/>
      <c r="AH3458" s="49"/>
      <c r="AI3458" s="49"/>
      <c r="AJ3458" s="49"/>
      <c r="AK3458" s="49"/>
      <c r="AL3458" s="49"/>
      <c r="AM3458" s="49"/>
      <c r="AN3458" s="49"/>
      <c r="AP3458" s="49"/>
      <c r="AQ3458" s="49"/>
      <c r="AR3458" s="49"/>
      <c r="AS3458" s="49"/>
      <c r="AT3458" s="49"/>
    </row>
    <row r="3459">
      <c r="A3459" s="51"/>
      <c r="B3459" s="50" t="s">
        <v>3842</v>
      </c>
      <c r="C3459" s="50" t="s">
        <v>6909</v>
      </c>
      <c r="D3459" s="49" t="str">
        <f>IFERROR(__xludf.DUMMYFUNCTION("""COMPUTED_VALUE"""),"guilt")</f>
        <v>guilt</v>
      </c>
      <c r="E3459" s="49"/>
      <c r="F3459" s="49"/>
      <c r="G3459" s="49"/>
      <c r="H3459" s="54" t="str">
        <f t="shared" si="1"/>
        <v>dare,</v>
      </c>
      <c r="I3459" s="50"/>
      <c r="J3459" s="50"/>
      <c r="K3459" s="50" t="s">
        <v>5126</v>
      </c>
      <c r="L3459" s="49"/>
      <c r="M3459" s="49"/>
      <c r="N3459" s="50"/>
      <c r="O3459" s="49"/>
      <c r="P3459" s="49" t="str">
        <f t="shared" si="2"/>
        <v>,</v>
      </c>
      <c r="Q3459" s="49"/>
      <c r="R3459" s="49"/>
      <c r="S3459" s="55" t="s">
        <v>6157</v>
      </c>
      <c r="T3459" s="49"/>
      <c r="U3459" s="49"/>
      <c r="V3459" s="49"/>
      <c r="W3459" s="49"/>
      <c r="X3459" s="49" t="str">
        <f t="shared" si="3"/>
        <v>,</v>
      </c>
      <c r="Y3459" s="49"/>
      <c r="Z3459" s="49"/>
      <c r="AB3459" s="49"/>
      <c r="AC3459" s="49"/>
      <c r="AD3459" s="49"/>
      <c r="AE3459" s="49"/>
      <c r="AF3459" s="49"/>
      <c r="AG3459" s="49"/>
      <c r="AH3459" s="49"/>
      <c r="AI3459" s="49"/>
      <c r="AJ3459" s="49"/>
      <c r="AK3459" s="49"/>
      <c r="AL3459" s="49"/>
      <c r="AM3459" s="49"/>
      <c r="AN3459" s="49"/>
      <c r="AP3459" s="49"/>
      <c r="AQ3459" s="49"/>
      <c r="AR3459" s="49"/>
      <c r="AS3459" s="49"/>
      <c r="AT3459" s="49"/>
    </row>
    <row r="3460">
      <c r="A3460" s="51"/>
      <c r="B3460" s="50" t="s">
        <v>2051</v>
      </c>
      <c r="C3460" s="50" t="s">
        <v>6057</v>
      </c>
      <c r="D3460" s="49" t="str">
        <f>IFERROR(__xludf.DUMMYFUNCTION("""COMPUTED_VALUE"""),"conflicts")</f>
        <v>conflicts</v>
      </c>
      <c r="E3460" s="49"/>
      <c r="F3460" s="49"/>
      <c r="G3460" s="49"/>
      <c r="H3460" s="54" t="str">
        <f t="shared" si="1"/>
        <v>bits,</v>
      </c>
      <c r="I3460" s="50"/>
      <c r="J3460" s="50"/>
      <c r="K3460" s="50" t="s">
        <v>4633</v>
      </c>
      <c r="L3460" s="49"/>
      <c r="M3460" s="49"/>
      <c r="N3460" s="50"/>
      <c r="O3460" s="49"/>
      <c r="P3460" s="49" t="str">
        <f t="shared" si="2"/>
        <v>,</v>
      </c>
      <c r="Q3460" s="49"/>
      <c r="R3460" s="49"/>
      <c r="S3460" s="55" t="s">
        <v>4919</v>
      </c>
      <c r="T3460" s="49"/>
      <c r="U3460" s="49"/>
      <c r="V3460" s="49"/>
      <c r="W3460" s="49"/>
      <c r="X3460" s="49" t="str">
        <f t="shared" si="3"/>
        <v>,</v>
      </c>
      <c r="Y3460" s="49"/>
      <c r="Z3460" s="49"/>
      <c r="AB3460" s="49"/>
      <c r="AC3460" s="49"/>
      <c r="AD3460" s="49"/>
      <c r="AE3460" s="49"/>
      <c r="AF3460" s="49"/>
      <c r="AG3460" s="49"/>
      <c r="AH3460" s="49"/>
      <c r="AI3460" s="49"/>
      <c r="AJ3460" s="49"/>
      <c r="AK3460" s="49"/>
      <c r="AL3460" s="49"/>
      <c r="AM3460" s="49"/>
      <c r="AN3460" s="49"/>
      <c r="AP3460" s="49"/>
      <c r="AQ3460" s="49"/>
      <c r="AR3460" s="49"/>
      <c r="AS3460" s="49"/>
      <c r="AT3460" s="49"/>
    </row>
    <row r="3461">
      <c r="A3461" s="51"/>
      <c r="B3461" s="50" t="s">
        <v>3454</v>
      </c>
      <c r="C3461" s="50" t="s">
        <v>7089</v>
      </c>
      <c r="D3461" s="49" t="str">
        <f>IFERROR(__xludf.DUMMYFUNCTION("""COMPUTED_VALUE"""),"ratio")</f>
        <v>ratio</v>
      </c>
      <c r="E3461" s="49"/>
      <c r="F3461" s="49"/>
      <c r="G3461" s="49"/>
      <c r="H3461" s="54" t="str">
        <f t="shared" si="1"/>
        <v>delhi,</v>
      </c>
      <c r="I3461" s="50"/>
      <c r="J3461" s="50"/>
      <c r="K3461" s="50" t="s">
        <v>3255</v>
      </c>
      <c r="L3461" s="49"/>
      <c r="M3461" s="49"/>
      <c r="N3461" s="50"/>
      <c r="O3461" s="49"/>
      <c r="P3461" s="49" t="str">
        <f t="shared" si="2"/>
        <v>,</v>
      </c>
      <c r="Q3461" s="49"/>
      <c r="R3461" s="49"/>
      <c r="S3461" s="55" t="s">
        <v>5788</v>
      </c>
      <c r="T3461" s="49"/>
      <c r="U3461" s="49"/>
      <c r="V3461" s="49"/>
      <c r="W3461" s="49"/>
      <c r="X3461" s="49" t="str">
        <f t="shared" si="3"/>
        <v>,</v>
      </c>
      <c r="Y3461" s="49"/>
      <c r="Z3461" s="49"/>
      <c r="AB3461" s="49"/>
      <c r="AC3461" s="49"/>
      <c r="AD3461" s="49"/>
      <c r="AE3461" s="49"/>
      <c r="AF3461" s="49"/>
      <c r="AG3461" s="49"/>
      <c r="AH3461" s="49"/>
      <c r="AI3461" s="49"/>
      <c r="AJ3461" s="49"/>
      <c r="AK3461" s="49"/>
      <c r="AL3461" s="49"/>
      <c r="AM3461" s="49"/>
      <c r="AN3461" s="49"/>
      <c r="AP3461" s="49"/>
      <c r="AQ3461" s="49"/>
      <c r="AR3461" s="49"/>
      <c r="AS3461" s="49"/>
      <c r="AT3461" s="49"/>
    </row>
    <row r="3462">
      <c r="A3462" s="51"/>
      <c r="B3462" s="50" t="s">
        <v>6198</v>
      </c>
      <c r="C3462" s="50" t="s">
        <v>4886</v>
      </c>
      <c r="D3462" s="49" t="str">
        <f>IFERROR(__xludf.DUMMYFUNCTION("""COMPUTED_VALUE"""),"press")</f>
        <v>press</v>
      </c>
      <c r="E3462" s="49"/>
      <c r="F3462" s="49"/>
      <c r="G3462" s="49"/>
      <c r="H3462" s="54" t="str">
        <f t="shared" si="1"/>
        <v>hardy,</v>
      </c>
      <c r="I3462" s="50"/>
      <c r="J3462" s="50"/>
      <c r="K3462" s="50" t="s">
        <v>3258</v>
      </c>
      <c r="L3462" s="49"/>
      <c r="M3462" s="49"/>
      <c r="N3462" s="50"/>
      <c r="O3462" s="49"/>
      <c r="P3462" s="49" t="str">
        <f t="shared" si="2"/>
        <v>,</v>
      </c>
      <c r="Q3462" s="49"/>
      <c r="R3462" s="49"/>
      <c r="S3462" s="55" t="s">
        <v>3133</v>
      </c>
      <c r="T3462" s="49"/>
      <c r="U3462" s="49"/>
      <c r="V3462" s="49"/>
      <c r="W3462" s="49"/>
      <c r="X3462" s="49" t="str">
        <f t="shared" si="3"/>
        <v>,</v>
      </c>
      <c r="Y3462" s="49"/>
      <c r="Z3462" s="49"/>
      <c r="AB3462" s="49"/>
      <c r="AC3462" s="49"/>
      <c r="AD3462" s="49"/>
      <c r="AE3462" s="49"/>
      <c r="AF3462" s="49"/>
      <c r="AG3462" s="49"/>
      <c r="AH3462" s="49"/>
      <c r="AI3462" s="49"/>
      <c r="AJ3462" s="49"/>
      <c r="AK3462" s="49"/>
      <c r="AL3462" s="49"/>
      <c r="AM3462" s="49"/>
      <c r="AN3462" s="49"/>
      <c r="AP3462" s="49"/>
      <c r="AQ3462" s="49"/>
      <c r="AR3462" s="49"/>
      <c r="AS3462" s="49"/>
      <c r="AT3462" s="49"/>
    </row>
    <row r="3463">
      <c r="A3463" s="51"/>
      <c r="B3463" s="50" t="s">
        <v>6066</v>
      </c>
      <c r="C3463" s="50" t="s">
        <v>3798</v>
      </c>
      <c r="D3463" s="49" t="str">
        <f>IFERROR(__xludf.DUMMYFUNCTION("""COMPUTED_VALUE"""),"candidate")</f>
        <v>candidate</v>
      </c>
      <c r="E3463" s="49"/>
      <c r="F3463" s="49"/>
      <c r="G3463" s="49"/>
      <c r="H3463" s="54" t="str">
        <f t="shared" si="1"/>
        <v>tang,</v>
      </c>
      <c r="I3463" s="50"/>
      <c r="J3463" s="50"/>
      <c r="K3463" s="50" t="s">
        <v>6115</v>
      </c>
      <c r="L3463" s="49"/>
      <c r="M3463" s="49"/>
      <c r="N3463" s="50"/>
      <c r="O3463" s="49"/>
      <c r="P3463" s="49" t="str">
        <f t="shared" si="2"/>
        <v>,</v>
      </c>
      <c r="Q3463" s="49"/>
      <c r="R3463" s="49"/>
      <c r="S3463" s="55" t="s">
        <v>3139</v>
      </c>
      <c r="T3463" s="49"/>
      <c r="U3463" s="49"/>
      <c r="V3463" s="49"/>
      <c r="W3463" s="49"/>
      <c r="X3463" s="49" t="str">
        <f t="shared" si="3"/>
        <v>,</v>
      </c>
      <c r="Y3463" s="49"/>
      <c r="Z3463" s="49"/>
      <c r="AB3463" s="49"/>
      <c r="AC3463" s="49"/>
      <c r="AD3463" s="49"/>
      <c r="AE3463" s="49"/>
      <c r="AF3463" s="49"/>
      <c r="AG3463" s="49"/>
      <c r="AH3463" s="49"/>
      <c r="AI3463" s="49"/>
      <c r="AJ3463" s="49"/>
      <c r="AK3463" s="49"/>
      <c r="AL3463" s="49"/>
      <c r="AM3463" s="49"/>
      <c r="AN3463" s="49"/>
      <c r="AP3463" s="49"/>
      <c r="AQ3463" s="49"/>
      <c r="AR3463" s="49"/>
      <c r="AS3463" s="49"/>
      <c r="AT3463" s="49"/>
    </row>
    <row r="3464">
      <c r="A3464" s="51"/>
      <c r="B3464" s="50" t="s">
        <v>2443</v>
      </c>
      <c r="C3464" s="50" t="s">
        <v>6911</v>
      </c>
      <c r="D3464" s="49" t="str">
        <f>IFERROR(__xludf.DUMMYFUNCTION("""COMPUTED_VALUE"""),"austrian")</f>
        <v>austrian</v>
      </c>
      <c r="E3464" s="49"/>
      <c r="F3464" s="49"/>
      <c r="G3464" s="49"/>
      <c r="H3464" s="54" t="str">
        <f t="shared" si="1"/>
        <v>scandal,</v>
      </c>
      <c r="I3464" s="50"/>
      <c r="J3464" s="50"/>
      <c r="K3464" s="50" t="s">
        <v>3262</v>
      </c>
      <c r="L3464" s="49"/>
      <c r="M3464" s="49"/>
      <c r="N3464" s="50"/>
      <c r="O3464" s="49"/>
      <c r="P3464" s="49" t="str">
        <f t="shared" si="2"/>
        <v>,</v>
      </c>
      <c r="Q3464" s="49"/>
      <c r="R3464" s="49"/>
      <c r="S3464" s="55" t="s">
        <v>4921</v>
      </c>
      <c r="T3464" s="49"/>
      <c r="U3464" s="49"/>
      <c r="V3464" s="49"/>
      <c r="W3464" s="49"/>
      <c r="X3464" s="49" t="str">
        <f t="shared" si="3"/>
        <v>,</v>
      </c>
      <c r="Y3464" s="49"/>
      <c r="Z3464" s="49"/>
      <c r="AB3464" s="49"/>
      <c r="AC3464" s="49"/>
      <c r="AD3464" s="49"/>
      <c r="AE3464" s="49"/>
      <c r="AF3464" s="49"/>
      <c r="AG3464" s="49"/>
      <c r="AH3464" s="49"/>
      <c r="AI3464" s="49"/>
      <c r="AJ3464" s="49"/>
      <c r="AK3464" s="49"/>
      <c r="AL3464" s="49"/>
      <c r="AM3464" s="49"/>
      <c r="AN3464" s="49"/>
      <c r="AP3464" s="49"/>
      <c r="AQ3464" s="49"/>
      <c r="AR3464" s="49"/>
      <c r="AS3464" s="49"/>
      <c r="AT3464" s="49"/>
    </row>
    <row r="3465">
      <c r="A3465" s="51"/>
      <c r="B3465" s="50" t="s">
        <v>7666</v>
      </c>
      <c r="C3465" s="50" t="s">
        <v>5589</v>
      </c>
      <c r="D3465" s="49" t="str">
        <f>IFERROR(__xludf.DUMMYFUNCTION("""COMPUTED_VALUE"""),"1950s")</f>
        <v>1950s</v>
      </c>
      <c r="E3465" s="49"/>
      <c r="F3465" s="49"/>
      <c r="G3465" s="49"/>
      <c r="H3465" s="54" t="str">
        <f t="shared" si="1"/>
        <v>luke,</v>
      </c>
      <c r="I3465" s="50"/>
      <c r="J3465" s="50"/>
      <c r="K3465" s="50" t="s">
        <v>5008</v>
      </c>
      <c r="L3465" s="49"/>
      <c r="M3465" s="49"/>
      <c r="N3465" s="50"/>
      <c r="O3465" s="49"/>
      <c r="P3465" s="49" t="str">
        <f t="shared" si="2"/>
        <v>,</v>
      </c>
      <c r="Q3465" s="49"/>
      <c r="R3465" s="49"/>
      <c r="S3465" s="55" t="s">
        <v>5350</v>
      </c>
      <c r="T3465" s="49"/>
      <c r="U3465" s="49"/>
      <c r="V3465" s="49"/>
      <c r="W3465" s="49"/>
      <c r="X3465" s="49" t="str">
        <f t="shared" si="3"/>
        <v>,</v>
      </c>
      <c r="Y3465" s="49"/>
      <c r="Z3465" s="49"/>
      <c r="AB3465" s="49"/>
      <c r="AC3465" s="49"/>
      <c r="AD3465" s="49"/>
      <c r="AE3465" s="49"/>
      <c r="AF3465" s="49"/>
      <c r="AG3465" s="49"/>
      <c r="AH3465" s="49"/>
      <c r="AI3465" s="49"/>
      <c r="AJ3465" s="49"/>
      <c r="AK3465" s="49"/>
      <c r="AL3465" s="49"/>
      <c r="AM3465" s="49"/>
      <c r="AN3465" s="49"/>
      <c r="AP3465" s="49"/>
      <c r="AQ3465" s="49"/>
      <c r="AR3465" s="49"/>
      <c r="AS3465" s="49"/>
      <c r="AT3465" s="49"/>
    </row>
    <row r="3466">
      <c r="A3466" s="51"/>
      <c r="B3466" s="50" t="s">
        <v>5777</v>
      </c>
      <c r="C3466" s="50" t="s">
        <v>5587</v>
      </c>
      <c r="D3466" s="49" t="str">
        <f>IFERROR(__xludf.DUMMYFUNCTION("""COMPUTED_VALUE"""),"August")</f>
        <v>August</v>
      </c>
      <c r="E3466" s="49"/>
      <c r="F3466" s="49"/>
      <c r="G3466" s="49"/>
      <c r="H3466" s="54" t="str">
        <f t="shared" si="1"/>
        <v>pursued,</v>
      </c>
      <c r="I3466" s="50"/>
      <c r="J3466" s="50"/>
      <c r="K3466" s="50" t="s">
        <v>3266</v>
      </c>
      <c r="L3466" s="49"/>
      <c r="M3466" s="49"/>
      <c r="N3466" s="50"/>
      <c r="O3466" s="49"/>
      <c r="P3466" s="49" t="str">
        <f t="shared" si="2"/>
        <v>,</v>
      </c>
      <c r="Q3466" s="49"/>
      <c r="R3466" s="49"/>
      <c r="S3466" s="55" t="s">
        <v>7090</v>
      </c>
      <c r="T3466" s="49"/>
      <c r="U3466" s="49"/>
      <c r="V3466" s="49"/>
      <c r="W3466" s="49"/>
      <c r="X3466" s="49" t="str">
        <f t="shared" si="3"/>
        <v>,</v>
      </c>
      <c r="Y3466" s="49"/>
      <c r="Z3466" s="49"/>
      <c r="AB3466" s="49"/>
      <c r="AC3466" s="49"/>
      <c r="AD3466" s="49"/>
      <c r="AE3466" s="49"/>
      <c r="AF3466" s="49"/>
      <c r="AG3466" s="49"/>
      <c r="AH3466" s="49"/>
      <c r="AI3466" s="49"/>
      <c r="AJ3466" s="49"/>
      <c r="AK3466" s="49"/>
      <c r="AL3466" s="49"/>
      <c r="AM3466" s="49"/>
      <c r="AN3466" s="49"/>
      <c r="AP3466" s="49"/>
      <c r="AQ3466" s="49"/>
      <c r="AR3466" s="49"/>
      <c r="AS3466" s="49"/>
      <c r="AT3466" s="49"/>
    </row>
    <row r="3467">
      <c r="A3467" s="51"/>
      <c r="B3467" s="50" t="s">
        <v>3403</v>
      </c>
      <c r="C3467" s="50" t="s">
        <v>5261</v>
      </c>
      <c r="D3467" s="49" t="str">
        <f>IFERROR(__xludf.DUMMYFUNCTION("""COMPUTED_VALUE"""),"matches")</f>
        <v>matches</v>
      </c>
      <c r="E3467" s="49"/>
      <c r="F3467" s="49"/>
      <c r="G3467" s="49"/>
      <c r="H3467" s="54" t="str">
        <f t="shared" si="1"/>
        <v>naval,</v>
      </c>
      <c r="I3467" s="50"/>
      <c r="J3467" s="50"/>
      <c r="K3467" s="50" t="s">
        <v>5012</v>
      </c>
      <c r="L3467" s="49"/>
      <c r="M3467" s="49"/>
      <c r="N3467" s="50"/>
      <c r="O3467" s="49"/>
      <c r="P3467" s="49" t="str">
        <f t="shared" si="2"/>
        <v>,</v>
      </c>
      <c r="Q3467" s="49"/>
      <c r="R3467" s="49"/>
      <c r="S3467" s="55" t="s">
        <v>5790</v>
      </c>
      <c r="T3467" s="49"/>
      <c r="U3467" s="49"/>
      <c r="V3467" s="49"/>
      <c r="W3467" s="49"/>
      <c r="X3467" s="49" t="str">
        <f t="shared" si="3"/>
        <v>,</v>
      </c>
      <c r="Y3467" s="49"/>
      <c r="Z3467" s="49"/>
      <c r="AB3467" s="49"/>
      <c r="AC3467" s="49"/>
      <c r="AD3467" s="49"/>
      <c r="AE3467" s="49"/>
      <c r="AF3467" s="49"/>
      <c r="AG3467" s="49"/>
      <c r="AH3467" s="49"/>
      <c r="AI3467" s="49"/>
      <c r="AJ3467" s="49"/>
      <c r="AK3467" s="49"/>
      <c r="AL3467" s="49"/>
      <c r="AM3467" s="49"/>
      <c r="AN3467" s="49"/>
      <c r="AP3467" s="49"/>
      <c r="AQ3467" s="49"/>
      <c r="AR3467" s="49"/>
      <c r="AS3467" s="49"/>
      <c r="AT3467" s="49"/>
    </row>
    <row r="3468">
      <c r="A3468" s="51"/>
      <c r="B3468" s="50" t="s">
        <v>2028</v>
      </c>
      <c r="C3468" s="50" t="s">
        <v>4914</v>
      </c>
      <c r="D3468" s="49" t="str">
        <f>IFERROR(__xludf.DUMMYFUNCTION("""COMPUTED_VALUE"""),"doc")</f>
        <v>doc</v>
      </c>
      <c r="E3468" s="49"/>
      <c r="F3468" s="49"/>
      <c r="G3468" s="49"/>
      <c r="H3468" s="54" t="str">
        <f t="shared" si="1"/>
        <v>radical,</v>
      </c>
      <c r="I3468" s="50"/>
      <c r="J3468" s="50"/>
      <c r="K3468" s="50" t="s">
        <v>3270</v>
      </c>
      <c r="L3468" s="49"/>
      <c r="M3468" s="49"/>
      <c r="N3468" s="50"/>
      <c r="O3468" s="49"/>
      <c r="P3468" s="49" t="str">
        <f t="shared" si="2"/>
        <v>,</v>
      </c>
      <c r="Q3468" s="49"/>
      <c r="R3468" s="49"/>
      <c r="S3468" s="55" t="s">
        <v>4923</v>
      </c>
      <c r="T3468" s="49"/>
      <c r="U3468" s="49"/>
      <c r="V3468" s="49"/>
      <c r="W3468" s="49"/>
      <c r="X3468" s="49" t="str">
        <f t="shared" si="3"/>
        <v>,</v>
      </c>
      <c r="Y3468" s="49"/>
      <c r="Z3468" s="49"/>
      <c r="AB3468" s="49"/>
      <c r="AC3468" s="49"/>
      <c r="AD3468" s="49"/>
      <c r="AE3468" s="49"/>
      <c r="AF3468" s="49"/>
      <c r="AG3468" s="49"/>
      <c r="AH3468" s="49"/>
      <c r="AI3468" s="49"/>
      <c r="AJ3468" s="49"/>
      <c r="AK3468" s="49"/>
      <c r="AL3468" s="49"/>
      <c r="AM3468" s="49"/>
      <c r="AN3468" s="49"/>
      <c r="AP3468" s="49"/>
      <c r="AQ3468" s="49"/>
      <c r="AR3468" s="49"/>
      <c r="AS3468" s="49"/>
      <c r="AT3468" s="49"/>
    </row>
    <row r="3469">
      <c r="A3469" s="51"/>
      <c r="B3469" s="50" t="s">
        <v>1117</v>
      </c>
      <c r="C3469" s="50" t="s">
        <v>5019</v>
      </c>
      <c r="D3469" s="49" t="str">
        <f>IFERROR(__xludf.DUMMYFUNCTION("""COMPUTED_VALUE"""),"joan")</f>
        <v>joan</v>
      </c>
      <c r="E3469" s="49"/>
      <c r="F3469" s="49"/>
      <c r="G3469" s="49"/>
      <c r="H3469" s="54" t="str">
        <f t="shared" si="1"/>
        <v>explore,</v>
      </c>
      <c r="I3469" s="50"/>
      <c r="J3469" s="50"/>
      <c r="K3469" s="50" t="s">
        <v>1915</v>
      </c>
      <c r="L3469" s="49"/>
      <c r="M3469" s="49"/>
      <c r="N3469" s="50"/>
      <c r="O3469" s="49"/>
      <c r="P3469" s="49" t="str">
        <f t="shared" si="2"/>
        <v>,</v>
      </c>
      <c r="Q3469" s="49"/>
      <c r="R3469" s="49"/>
      <c r="S3469" s="55" t="s">
        <v>3141</v>
      </c>
      <c r="T3469" s="49"/>
      <c r="U3469" s="49"/>
      <c r="V3469" s="49"/>
      <c r="W3469" s="49"/>
      <c r="X3469" s="49" t="str">
        <f t="shared" si="3"/>
        <v>,</v>
      </c>
      <c r="Y3469" s="49"/>
      <c r="Z3469" s="49"/>
      <c r="AB3469" s="49"/>
      <c r="AC3469" s="49"/>
      <c r="AD3469" s="49"/>
      <c r="AE3469" s="49"/>
      <c r="AF3469" s="49"/>
      <c r="AG3469" s="49"/>
      <c r="AH3469" s="49"/>
      <c r="AI3469" s="49"/>
      <c r="AJ3469" s="49"/>
      <c r="AK3469" s="49"/>
      <c r="AL3469" s="49"/>
      <c r="AM3469" s="49"/>
      <c r="AN3469" s="49"/>
      <c r="AP3469" s="49"/>
      <c r="AQ3469" s="49"/>
      <c r="AR3469" s="49"/>
      <c r="AS3469" s="49"/>
      <c r="AT3469" s="49"/>
    </row>
    <row r="3470">
      <c r="A3470" s="51"/>
      <c r="B3470" s="50" t="s">
        <v>944</v>
      </c>
      <c r="C3470" s="50" t="s">
        <v>4992</v>
      </c>
      <c r="D3470" s="49" t="str">
        <f>IFERROR(__xludf.DUMMYFUNCTION("""COMPUTED_VALUE"""),"tourists")</f>
        <v>tourists</v>
      </c>
      <c r="E3470" s="49"/>
      <c r="F3470" s="49"/>
      <c r="G3470" s="49"/>
      <c r="H3470" s="54" t="str">
        <f t="shared" si="1"/>
        <v>feast,</v>
      </c>
      <c r="I3470" s="50"/>
      <c r="J3470" s="50"/>
      <c r="K3470" s="50" t="s">
        <v>5015</v>
      </c>
      <c r="L3470" s="49"/>
      <c r="M3470" s="49"/>
      <c r="N3470" s="50"/>
      <c r="O3470" s="49"/>
      <c r="P3470" s="49" t="str">
        <f t="shared" si="2"/>
        <v>,</v>
      </c>
      <c r="Q3470" s="49"/>
      <c r="R3470" s="49"/>
      <c r="S3470" s="55" t="s">
        <v>3145</v>
      </c>
      <c r="T3470" s="49"/>
      <c r="U3470" s="49"/>
      <c r="V3470" s="49"/>
      <c r="W3470" s="49"/>
      <c r="X3470" s="49" t="str">
        <f t="shared" si="3"/>
        <v>,</v>
      </c>
      <c r="Y3470" s="49"/>
      <c r="Z3470" s="49"/>
      <c r="AB3470" s="49"/>
      <c r="AC3470" s="49"/>
      <c r="AD3470" s="49"/>
      <c r="AE3470" s="49"/>
      <c r="AF3470" s="49"/>
      <c r="AG3470" s="49"/>
      <c r="AH3470" s="49"/>
      <c r="AI3470" s="49"/>
      <c r="AJ3470" s="49"/>
      <c r="AK3470" s="49"/>
      <c r="AL3470" s="49"/>
      <c r="AM3470" s="49"/>
      <c r="AN3470" s="49"/>
      <c r="AP3470" s="49"/>
      <c r="AQ3470" s="49"/>
      <c r="AR3470" s="49"/>
      <c r="AS3470" s="49"/>
      <c r="AT3470" s="49"/>
    </row>
    <row r="3471">
      <c r="A3471" s="51"/>
      <c r="B3471" s="50" t="s">
        <v>5969</v>
      </c>
      <c r="C3471" s="50" t="s">
        <v>5592</v>
      </c>
      <c r="D3471" s="49" t="str">
        <f>IFERROR(__xludf.DUMMYFUNCTION("""COMPUTED_VALUE"""),"deny")</f>
        <v>deny</v>
      </c>
      <c r="E3471" s="49"/>
      <c r="F3471" s="49"/>
      <c r="G3471" s="49"/>
      <c r="H3471" s="54" t="str">
        <f t="shared" si="1"/>
        <v>homes,</v>
      </c>
      <c r="I3471" s="50"/>
      <c r="J3471" s="50"/>
      <c r="K3471" s="50" t="s">
        <v>3274</v>
      </c>
      <c r="L3471" s="49"/>
      <c r="M3471" s="49"/>
      <c r="N3471" s="50"/>
      <c r="O3471" s="49"/>
      <c r="P3471" s="49" t="str">
        <f t="shared" si="2"/>
        <v>,</v>
      </c>
      <c r="Q3471" s="49"/>
      <c r="R3471" s="49"/>
      <c r="S3471" s="55" t="s">
        <v>3148</v>
      </c>
      <c r="T3471" s="49"/>
      <c r="U3471" s="49"/>
      <c r="V3471" s="49"/>
      <c r="W3471" s="49"/>
      <c r="X3471" s="49" t="str">
        <f t="shared" si="3"/>
        <v>,</v>
      </c>
      <c r="Y3471" s="49"/>
      <c r="Z3471" s="49"/>
      <c r="AB3471" s="49"/>
      <c r="AC3471" s="49"/>
      <c r="AD3471" s="49"/>
      <c r="AE3471" s="49"/>
      <c r="AF3471" s="49"/>
      <c r="AG3471" s="49"/>
      <c r="AH3471" s="49"/>
      <c r="AI3471" s="49"/>
      <c r="AJ3471" s="49"/>
      <c r="AK3471" s="49"/>
      <c r="AL3471" s="49"/>
      <c r="AM3471" s="49"/>
      <c r="AN3471" s="49"/>
      <c r="AP3471" s="49"/>
      <c r="AQ3471" s="49"/>
      <c r="AR3471" s="49"/>
      <c r="AS3471" s="49"/>
      <c r="AT3471" s="49"/>
    </row>
    <row r="3472">
      <c r="A3472" s="51"/>
      <c r="B3472" s="50" t="s">
        <v>2868</v>
      </c>
      <c r="C3472" s="50" t="s">
        <v>1644</v>
      </c>
      <c r="D3472" s="49" t="str">
        <f>IFERROR(__xludf.DUMMYFUNCTION("""COMPUTED_VALUE"""),"classified")</f>
        <v>classified</v>
      </c>
      <c r="E3472" s="49"/>
      <c r="F3472" s="49"/>
      <c r="G3472" s="49"/>
      <c r="H3472" s="54" t="str">
        <f t="shared" si="1"/>
        <v>fisher,</v>
      </c>
      <c r="I3472" s="50"/>
      <c r="J3472" s="50"/>
      <c r="K3472" s="50" t="s">
        <v>3276</v>
      </c>
      <c r="L3472" s="49"/>
      <c r="M3472" s="49"/>
      <c r="N3472" s="50"/>
      <c r="O3472" s="49"/>
      <c r="P3472" s="49" t="str">
        <f t="shared" si="2"/>
        <v>,</v>
      </c>
      <c r="Q3472" s="49"/>
      <c r="R3472" s="49"/>
      <c r="S3472" s="55" t="s">
        <v>3151</v>
      </c>
      <c r="T3472" s="49"/>
      <c r="U3472" s="49"/>
      <c r="V3472" s="49"/>
      <c r="W3472" s="49"/>
      <c r="X3472" s="49" t="str">
        <f t="shared" si="3"/>
        <v>,</v>
      </c>
      <c r="Y3472" s="49"/>
      <c r="Z3472" s="49"/>
      <c r="AB3472" s="49"/>
      <c r="AC3472" s="49"/>
      <c r="AD3472" s="49"/>
      <c r="AE3472" s="49"/>
      <c r="AF3472" s="49"/>
      <c r="AG3472" s="49"/>
      <c r="AH3472" s="49"/>
      <c r="AI3472" s="49"/>
      <c r="AJ3472" s="49"/>
      <c r="AK3472" s="49"/>
      <c r="AL3472" s="49"/>
      <c r="AM3472" s="49"/>
      <c r="AN3472" s="49"/>
      <c r="AP3472" s="49"/>
      <c r="AQ3472" s="49"/>
      <c r="AR3472" s="49"/>
      <c r="AS3472" s="49"/>
      <c r="AT3472" s="49"/>
    </row>
    <row r="3473">
      <c r="A3473" s="51"/>
      <c r="B3473" s="50" t="s">
        <v>4119</v>
      </c>
      <c r="C3473" s="50" t="s">
        <v>3455</v>
      </c>
      <c r="D3473" s="49" t="str">
        <f>IFERROR(__xludf.DUMMYFUNCTION("""COMPUTED_VALUE"""),"officer")</f>
        <v>officer</v>
      </c>
      <c r="E3473" s="49"/>
      <c r="F3473" s="49"/>
      <c r="G3473" s="49"/>
      <c r="H3473" s="54" t="str">
        <f t="shared" si="1"/>
        <v>devices,</v>
      </c>
      <c r="I3473" s="50"/>
      <c r="J3473" s="50"/>
      <c r="K3473" s="50" t="s">
        <v>5020</v>
      </c>
      <c r="L3473" s="49"/>
      <c r="M3473" s="49"/>
      <c r="N3473" s="50"/>
      <c r="O3473" s="49"/>
      <c r="P3473" s="49" t="str">
        <f t="shared" si="2"/>
        <v>,</v>
      </c>
      <c r="Q3473" s="49"/>
      <c r="R3473" s="49"/>
      <c r="S3473" s="55" t="s">
        <v>3155</v>
      </c>
      <c r="T3473" s="49"/>
      <c r="U3473" s="49"/>
      <c r="V3473" s="49"/>
      <c r="W3473" s="49"/>
      <c r="X3473" s="49" t="str">
        <f t="shared" si="3"/>
        <v>,</v>
      </c>
      <c r="Y3473" s="49"/>
      <c r="Z3473" s="49"/>
      <c r="AB3473" s="49"/>
      <c r="AC3473" s="49"/>
      <c r="AD3473" s="49"/>
      <c r="AE3473" s="49"/>
      <c r="AF3473" s="49"/>
      <c r="AG3473" s="49"/>
      <c r="AH3473" s="49"/>
      <c r="AI3473" s="49"/>
      <c r="AJ3473" s="49"/>
      <c r="AK3473" s="49"/>
      <c r="AL3473" s="49"/>
      <c r="AM3473" s="49"/>
      <c r="AN3473" s="49"/>
      <c r="AP3473" s="49"/>
      <c r="AQ3473" s="49"/>
      <c r="AR3473" s="49"/>
      <c r="AS3473" s="49"/>
      <c r="AT3473" s="49"/>
    </row>
    <row r="3474">
      <c r="A3474" s="51"/>
      <c r="B3474" s="50" t="s">
        <v>1187</v>
      </c>
      <c r="C3474" s="50" t="s">
        <v>732</v>
      </c>
      <c r="D3474" s="49" t="str">
        <f>IFERROR(__xludf.DUMMYFUNCTION("""COMPUTED_VALUE"""),"throat")</f>
        <v>throat</v>
      </c>
      <c r="E3474" s="49"/>
      <c r="F3474" s="49"/>
      <c r="G3474" s="49"/>
      <c r="H3474" s="54" t="str">
        <f t="shared" si="1"/>
        <v>rejected,</v>
      </c>
      <c r="I3474" s="50"/>
      <c r="J3474" s="50"/>
      <c r="K3474" s="50" t="s">
        <v>5845</v>
      </c>
      <c r="L3474" s="49"/>
      <c r="M3474" s="49"/>
      <c r="N3474" s="50"/>
      <c r="O3474" s="49"/>
      <c r="P3474" s="49" t="str">
        <f t="shared" si="2"/>
        <v>,</v>
      </c>
      <c r="Q3474" s="49"/>
      <c r="R3474" s="49"/>
      <c r="S3474" s="55" t="s">
        <v>3157</v>
      </c>
      <c r="T3474" s="49"/>
      <c r="U3474" s="49"/>
      <c r="V3474" s="49"/>
      <c r="W3474" s="49"/>
      <c r="X3474" s="49" t="str">
        <f t="shared" si="3"/>
        <v>,</v>
      </c>
      <c r="Y3474" s="49"/>
      <c r="Z3474" s="49"/>
      <c r="AB3474" s="49"/>
      <c r="AC3474" s="49"/>
      <c r="AD3474" s="49"/>
      <c r="AE3474" s="49"/>
      <c r="AF3474" s="49"/>
      <c r="AG3474" s="49"/>
      <c r="AH3474" s="49"/>
      <c r="AI3474" s="49"/>
      <c r="AJ3474" s="49"/>
      <c r="AK3474" s="49"/>
      <c r="AL3474" s="49"/>
      <c r="AM3474" s="49"/>
      <c r="AN3474" s="49"/>
      <c r="AP3474" s="49"/>
      <c r="AQ3474" s="49"/>
      <c r="AR3474" s="49"/>
      <c r="AS3474" s="49"/>
      <c r="AT3474" s="49"/>
    </row>
    <row r="3475">
      <c r="A3475" s="51"/>
      <c r="B3475" s="50" t="s">
        <v>1165</v>
      </c>
      <c r="C3475" s="50" t="s">
        <v>6914</v>
      </c>
      <c r="D3475" s="49" t="str">
        <f>IFERROR(__xludf.DUMMYFUNCTION("""COMPUTED_VALUE"""),"solo")</f>
        <v>solo</v>
      </c>
      <c r="E3475" s="49"/>
      <c r="F3475" s="49"/>
      <c r="G3475" s="49"/>
      <c r="H3475" s="54" t="str">
        <f t="shared" si="1"/>
        <v>quietly,</v>
      </c>
      <c r="I3475" s="50"/>
      <c r="J3475" s="50"/>
      <c r="K3475" s="50" t="s">
        <v>3278</v>
      </c>
      <c r="L3475" s="49"/>
      <c r="M3475" s="49"/>
      <c r="N3475" s="50"/>
      <c r="O3475" s="49"/>
      <c r="P3475" s="49" t="str">
        <f t="shared" si="2"/>
        <v>,</v>
      </c>
      <c r="Q3475" s="49"/>
      <c r="R3475" s="49"/>
      <c r="S3475" s="55" t="s">
        <v>5799</v>
      </c>
      <c r="T3475" s="49"/>
      <c r="U3475" s="49"/>
      <c r="V3475" s="49"/>
      <c r="W3475" s="49"/>
      <c r="X3475" s="49" t="str">
        <f t="shared" si="3"/>
        <v>,</v>
      </c>
      <c r="Y3475" s="49"/>
      <c r="Z3475" s="49"/>
      <c r="AB3475" s="49"/>
      <c r="AC3475" s="49"/>
      <c r="AD3475" s="49"/>
      <c r="AE3475" s="49"/>
      <c r="AF3475" s="49"/>
      <c r="AG3475" s="49"/>
      <c r="AH3475" s="49"/>
      <c r="AI3475" s="49"/>
      <c r="AJ3475" s="49"/>
      <c r="AK3475" s="49"/>
      <c r="AL3475" s="49"/>
      <c r="AM3475" s="49"/>
      <c r="AN3475" s="49"/>
      <c r="AP3475" s="49"/>
      <c r="AQ3475" s="49"/>
      <c r="AR3475" s="49"/>
      <c r="AS3475" s="49"/>
      <c r="AT3475" s="49"/>
    </row>
    <row r="3476">
      <c r="A3476" s="51"/>
      <c r="B3476" s="50" t="s">
        <v>3101</v>
      </c>
      <c r="C3476" s="50" t="s">
        <v>4639</v>
      </c>
      <c r="D3476" s="49" t="str">
        <f>IFERROR(__xludf.DUMMYFUNCTION("""COMPUTED_VALUE"""),"wash")</f>
        <v>wash</v>
      </c>
      <c r="E3476" s="49"/>
      <c r="F3476" s="49"/>
      <c r="G3476" s="49"/>
      <c r="H3476" s="54" t="str">
        <f t="shared" si="1"/>
        <v>complicated,</v>
      </c>
      <c r="I3476" s="50"/>
      <c r="J3476" s="50"/>
      <c r="K3476" s="50" t="s">
        <v>3282</v>
      </c>
      <c r="L3476" s="49"/>
      <c r="M3476" s="49"/>
      <c r="N3476" s="50"/>
      <c r="O3476" s="49"/>
      <c r="P3476" s="49" t="str">
        <f t="shared" si="2"/>
        <v>,</v>
      </c>
      <c r="Q3476" s="49"/>
      <c r="R3476" s="49"/>
      <c r="S3476" s="55" t="s">
        <v>3160</v>
      </c>
      <c r="T3476" s="49"/>
      <c r="U3476" s="49"/>
      <c r="V3476" s="49"/>
      <c r="W3476" s="49"/>
      <c r="X3476" s="49" t="str">
        <f t="shared" si="3"/>
        <v>,</v>
      </c>
      <c r="Y3476" s="49"/>
      <c r="Z3476" s="49"/>
      <c r="AB3476" s="49"/>
      <c r="AC3476" s="49"/>
      <c r="AD3476" s="49"/>
      <c r="AE3476" s="49"/>
      <c r="AF3476" s="49"/>
      <c r="AG3476" s="49"/>
      <c r="AH3476" s="49"/>
      <c r="AI3476" s="49"/>
      <c r="AJ3476" s="49"/>
      <c r="AK3476" s="49"/>
      <c r="AL3476" s="49"/>
      <c r="AM3476" s="49"/>
      <c r="AN3476" s="49"/>
      <c r="AP3476" s="49"/>
      <c r="AQ3476" s="49"/>
      <c r="AR3476" s="49"/>
      <c r="AS3476" s="49"/>
      <c r="AT3476" s="49"/>
    </row>
    <row r="3477">
      <c r="A3477" s="51"/>
      <c r="B3477" s="50" t="s">
        <v>6957</v>
      </c>
      <c r="C3477" s="50" t="s">
        <v>6915</v>
      </c>
      <c r="D3477" s="49" t="str">
        <f>IFERROR(__xludf.DUMMYFUNCTION("""COMPUTED_VALUE"""),"depicted")</f>
        <v>depicted</v>
      </c>
      <c r="E3477" s="49"/>
      <c r="F3477" s="49"/>
      <c r="G3477" s="49"/>
      <c r="H3477" s="54" t="str">
        <f t="shared" si="1"/>
        <v>queens,</v>
      </c>
      <c r="I3477" s="50"/>
      <c r="J3477" s="50"/>
      <c r="K3477" s="50" t="s">
        <v>6118</v>
      </c>
      <c r="L3477" s="49"/>
      <c r="M3477" s="49"/>
      <c r="N3477" s="50"/>
      <c r="O3477" s="49"/>
      <c r="P3477" s="49" t="str">
        <f t="shared" si="2"/>
        <v>,</v>
      </c>
      <c r="Q3477" s="49"/>
      <c r="R3477" s="49"/>
      <c r="S3477" s="55" t="s">
        <v>6090</v>
      </c>
      <c r="T3477" s="49"/>
      <c r="U3477" s="49"/>
      <c r="V3477" s="49"/>
      <c r="W3477" s="49"/>
      <c r="X3477" s="49" t="str">
        <f t="shared" si="3"/>
        <v>,</v>
      </c>
      <c r="Y3477" s="49"/>
      <c r="Z3477" s="49"/>
      <c r="AB3477" s="49"/>
      <c r="AC3477" s="49"/>
      <c r="AD3477" s="49"/>
      <c r="AE3477" s="49"/>
      <c r="AF3477" s="49"/>
      <c r="AG3477" s="49"/>
      <c r="AH3477" s="49"/>
      <c r="AI3477" s="49"/>
      <c r="AJ3477" s="49"/>
      <c r="AK3477" s="49"/>
      <c r="AL3477" s="49"/>
      <c r="AM3477" s="49"/>
      <c r="AN3477" s="49"/>
      <c r="AP3477" s="49"/>
      <c r="AQ3477" s="49"/>
      <c r="AR3477" s="49"/>
      <c r="AS3477" s="49"/>
      <c r="AT3477" s="49"/>
    </row>
    <row r="3478">
      <c r="A3478" s="51"/>
      <c r="B3478" s="50" t="s">
        <v>5763</v>
      </c>
      <c r="C3478" s="50" t="s">
        <v>6916</v>
      </c>
      <c r="D3478" s="49" t="str">
        <f>IFERROR(__xludf.DUMMYFUNCTION("""COMPUTED_VALUE"""),"conversion")</f>
        <v>conversion</v>
      </c>
      <c r="E3478" s="49"/>
      <c r="F3478" s="49"/>
      <c r="G3478" s="49"/>
      <c r="H3478" s="54" t="str">
        <f t="shared" si="1"/>
        <v>analysis,</v>
      </c>
      <c r="I3478" s="50"/>
      <c r="J3478" s="50"/>
      <c r="K3478" s="50" t="s">
        <v>3997</v>
      </c>
      <c r="L3478" s="49"/>
      <c r="M3478" s="49"/>
      <c r="N3478" s="50"/>
      <c r="O3478" s="49"/>
      <c r="P3478" s="49" t="str">
        <f t="shared" si="2"/>
        <v>,</v>
      </c>
      <c r="Q3478" s="49"/>
      <c r="R3478" s="49"/>
      <c r="S3478" s="55" t="s">
        <v>3162</v>
      </c>
      <c r="T3478" s="49"/>
      <c r="U3478" s="49"/>
      <c r="V3478" s="49"/>
      <c r="W3478" s="49"/>
      <c r="X3478" s="49" t="str">
        <f t="shared" si="3"/>
        <v>,</v>
      </c>
      <c r="Y3478" s="49"/>
      <c r="Z3478" s="49"/>
      <c r="AB3478" s="49"/>
      <c r="AC3478" s="49"/>
      <c r="AD3478" s="49"/>
      <c r="AE3478" s="49"/>
      <c r="AF3478" s="49"/>
      <c r="AG3478" s="49"/>
      <c r="AH3478" s="49"/>
      <c r="AI3478" s="49"/>
      <c r="AJ3478" s="49"/>
      <c r="AK3478" s="49"/>
      <c r="AL3478" s="49"/>
      <c r="AM3478" s="49"/>
      <c r="AN3478" s="49"/>
      <c r="AP3478" s="49"/>
      <c r="AQ3478" s="49"/>
      <c r="AR3478" s="49"/>
      <c r="AS3478" s="49"/>
      <c r="AT3478" s="49"/>
    </row>
    <row r="3479">
      <c r="A3479" s="51"/>
      <c r="B3479" s="50" t="s">
        <v>701</v>
      </c>
      <c r="C3479" s="50" t="s">
        <v>5591</v>
      </c>
      <c r="D3479" s="49" t="str">
        <f>IFERROR(__xludf.DUMMYFUNCTION("""COMPUTED_VALUE"""),"led")</f>
        <v>led</v>
      </c>
      <c r="E3479" s="49"/>
      <c r="F3479" s="49"/>
      <c r="G3479" s="49"/>
      <c r="H3479" s="54" t="str">
        <f t="shared" si="1"/>
        <v>longest,</v>
      </c>
      <c r="I3479" s="50"/>
      <c r="J3479" s="50"/>
      <c r="K3479" s="50" t="s">
        <v>5846</v>
      </c>
      <c r="L3479" s="49"/>
      <c r="M3479" s="49"/>
      <c r="N3479" s="50"/>
      <c r="O3479" s="49"/>
      <c r="P3479" s="49" t="str">
        <f t="shared" si="2"/>
        <v>,</v>
      </c>
      <c r="Q3479" s="49"/>
      <c r="R3479" s="49"/>
      <c r="S3479" s="55" t="s">
        <v>5801</v>
      </c>
      <c r="T3479" s="49"/>
      <c r="U3479" s="49"/>
      <c r="V3479" s="49"/>
      <c r="W3479" s="49"/>
      <c r="X3479" s="49" t="str">
        <f t="shared" si="3"/>
        <v>,</v>
      </c>
      <c r="Y3479" s="49"/>
      <c r="Z3479" s="49"/>
      <c r="AB3479" s="49"/>
      <c r="AC3479" s="49"/>
      <c r="AD3479" s="49"/>
      <c r="AE3479" s="49"/>
      <c r="AF3479" s="49"/>
      <c r="AG3479" s="49"/>
      <c r="AH3479" s="49"/>
      <c r="AI3479" s="49"/>
      <c r="AJ3479" s="49"/>
      <c r="AK3479" s="49"/>
      <c r="AL3479" s="49"/>
      <c r="AM3479" s="49"/>
      <c r="AN3479" s="49"/>
      <c r="AP3479" s="49"/>
      <c r="AQ3479" s="49"/>
      <c r="AR3479" s="49"/>
      <c r="AS3479" s="49"/>
      <c r="AT3479" s="49"/>
    </row>
    <row r="3480">
      <c r="A3480" s="51"/>
      <c r="B3480" s="50" t="s">
        <v>6860</v>
      </c>
      <c r="C3480" s="50" t="s">
        <v>3806</v>
      </c>
      <c r="D3480" s="49" t="str">
        <f>IFERROR(__xludf.DUMMYFUNCTION("""COMPUTED_VALUE"""),"trio")</f>
        <v>trio</v>
      </c>
      <c r="E3480" s="49"/>
      <c r="F3480" s="49"/>
      <c r="G3480" s="49"/>
      <c r="H3480" s="54" t="str">
        <f t="shared" si="1"/>
        <v>strategy,</v>
      </c>
      <c r="I3480" s="50"/>
      <c r="J3480" s="50"/>
      <c r="K3480" s="50" t="s">
        <v>5023</v>
      </c>
      <c r="L3480" s="49"/>
      <c r="M3480" s="49"/>
      <c r="N3480" s="50"/>
      <c r="O3480" s="49"/>
      <c r="P3480" s="49" t="str">
        <f t="shared" si="2"/>
        <v>,</v>
      </c>
      <c r="Q3480" s="49"/>
      <c r="R3480" s="49"/>
      <c r="S3480" s="55" t="s">
        <v>7091</v>
      </c>
      <c r="T3480" s="49"/>
      <c r="U3480" s="49"/>
      <c r="V3480" s="49"/>
      <c r="W3480" s="49"/>
      <c r="X3480" s="49" t="str">
        <f t="shared" si="3"/>
        <v>,</v>
      </c>
      <c r="Y3480" s="49"/>
      <c r="Z3480" s="49"/>
      <c r="AB3480" s="49"/>
      <c r="AC3480" s="49"/>
      <c r="AD3480" s="49"/>
      <c r="AE3480" s="49"/>
      <c r="AF3480" s="49"/>
      <c r="AG3480" s="49"/>
      <c r="AH3480" s="49"/>
      <c r="AI3480" s="49"/>
      <c r="AJ3480" s="49"/>
      <c r="AK3480" s="49"/>
      <c r="AL3480" s="49"/>
      <c r="AM3480" s="49"/>
      <c r="AN3480" s="49"/>
      <c r="AP3480" s="49"/>
      <c r="AQ3480" s="49"/>
      <c r="AR3480" s="49"/>
      <c r="AS3480" s="49"/>
      <c r="AT3480" s="49"/>
    </row>
    <row r="3481">
      <c r="A3481" s="51"/>
      <c r="B3481" s="50" t="s">
        <v>3599</v>
      </c>
      <c r="C3481" s="50" t="s">
        <v>6918</v>
      </c>
      <c r="D3481" s="49" t="str">
        <f>IFERROR(__xludf.DUMMYFUNCTION("""COMPUTED_VALUE"""),"columbia")</f>
        <v>columbia</v>
      </c>
      <c r="E3481" s="49"/>
      <c r="F3481" s="49"/>
      <c r="G3481" s="49"/>
      <c r="H3481" s="54" t="str">
        <f t="shared" si="1"/>
        <v>shake,</v>
      </c>
      <c r="I3481" s="50"/>
      <c r="J3481" s="50"/>
      <c r="K3481" s="50" t="s">
        <v>5025</v>
      </c>
      <c r="L3481" s="49"/>
      <c r="M3481" s="49"/>
      <c r="N3481" s="50"/>
      <c r="O3481" s="49"/>
      <c r="P3481" s="49" t="str">
        <f t="shared" si="2"/>
        <v>,</v>
      </c>
      <c r="Q3481" s="49"/>
      <c r="R3481" s="49"/>
      <c r="S3481" s="55" t="s">
        <v>4552</v>
      </c>
      <c r="T3481" s="49"/>
      <c r="U3481" s="49"/>
      <c r="V3481" s="49"/>
      <c r="W3481" s="49"/>
      <c r="X3481" s="49" t="str">
        <f t="shared" si="3"/>
        <v>,</v>
      </c>
      <c r="Y3481" s="49"/>
      <c r="Z3481" s="49"/>
      <c r="AB3481" s="49"/>
      <c r="AC3481" s="49"/>
      <c r="AD3481" s="49"/>
      <c r="AE3481" s="49"/>
      <c r="AF3481" s="49"/>
      <c r="AG3481" s="49"/>
      <c r="AH3481" s="49"/>
      <c r="AI3481" s="49"/>
      <c r="AJ3481" s="49"/>
      <c r="AK3481" s="49"/>
      <c r="AL3481" s="49"/>
      <c r="AM3481" s="49"/>
      <c r="AN3481" s="49"/>
      <c r="AP3481" s="49"/>
      <c r="AQ3481" s="49"/>
      <c r="AR3481" s="49"/>
      <c r="AS3481" s="49"/>
      <c r="AT3481" s="49"/>
    </row>
    <row r="3482">
      <c r="A3482" s="51"/>
      <c r="B3482" s="50" t="s">
        <v>4120</v>
      </c>
      <c r="C3482" s="50" t="s">
        <v>3810</v>
      </c>
      <c r="D3482" s="49">
        <f>IFERROR(__xludf.DUMMYFUNCTION("""COMPUTED_VALUE"""),75.0)</f>
        <v>75</v>
      </c>
      <c r="E3482" s="49"/>
      <c r="F3482" s="49"/>
      <c r="G3482" s="49"/>
      <c r="H3482" s="54" t="str">
        <f t="shared" si="1"/>
        <v>manhattan,</v>
      </c>
      <c r="I3482" s="50"/>
      <c r="J3482" s="50"/>
      <c r="K3482" s="50" t="s">
        <v>3285</v>
      </c>
      <c r="L3482" s="49"/>
      <c r="M3482" s="49"/>
      <c r="N3482" s="50"/>
      <c r="O3482" s="49"/>
      <c r="P3482" s="49" t="str">
        <f t="shared" si="2"/>
        <v>,</v>
      </c>
      <c r="Q3482" s="49"/>
      <c r="R3482" s="49"/>
      <c r="S3482" s="55" t="s">
        <v>4935</v>
      </c>
      <c r="T3482" s="49"/>
      <c r="U3482" s="49"/>
      <c r="V3482" s="49"/>
      <c r="W3482" s="49"/>
      <c r="X3482" s="49" t="str">
        <f t="shared" si="3"/>
        <v>,</v>
      </c>
      <c r="Y3482" s="49"/>
      <c r="Z3482" s="49"/>
      <c r="AB3482" s="49"/>
      <c r="AC3482" s="49"/>
      <c r="AD3482" s="49"/>
      <c r="AE3482" s="49"/>
      <c r="AF3482" s="49"/>
      <c r="AG3482" s="49"/>
      <c r="AH3482" s="49"/>
      <c r="AI3482" s="49"/>
      <c r="AJ3482" s="49"/>
      <c r="AK3482" s="49"/>
      <c r="AL3482" s="49"/>
      <c r="AM3482" s="49"/>
      <c r="AN3482" s="49"/>
      <c r="AP3482" s="49"/>
      <c r="AQ3482" s="49"/>
      <c r="AR3482" s="49"/>
      <c r="AS3482" s="49"/>
      <c r="AT3482" s="49"/>
    </row>
    <row r="3483">
      <c r="A3483" s="51"/>
      <c r="B3483" s="50" t="s">
        <v>7694</v>
      </c>
      <c r="C3483" s="50" t="s">
        <v>7092</v>
      </c>
      <c r="D3483" s="49" t="str">
        <f>IFERROR(__xludf.DUMMYFUNCTION("""COMPUTED_VALUE"""),"sharing")</f>
        <v>sharing</v>
      </c>
      <c r="E3483" s="49"/>
      <c r="F3483" s="49"/>
      <c r="G3483" s="49"/>
      <c r="H3483" s="54" t="str">
        <f t="shared" si="1"/>
        <v>resort,</v>
      </c>
      <c r="I3483" s="50"/>
      <c r="J3483" s="50"/>
      <c r="K3483" s="50" t="s">
        <v>3287</v>
      </c>
      <c r="L3483" s="49"/>
      <c r="M3483" s="49"/>
      <c r="N3483" s="50"/>
      <c r="O3483" s="49"/>
      <c r="P3483" s="49" t="str">
        <f t="shared" si="2"/>
        <v>,</v>
      </c>
      <c r="Q3483" s="49"/>
      <c r="R3483" s="49"/>
      <c r="S3483" s="55" t="s">
        <v>3166</v>
      </c>
      <c r="T3483" s="49"/>
      <c r="U3483" s="49"/>
      <c r="V3483" s="49"/>
      <c r="W3483" s="49"/>
      <c r="X3483" s="49" t="str">
        <f t="shared" si="3"/>
        <v>,</v>
      </c>
      <c r="Y3483" s="49"/>
      <c r="Z3483" s="49"/>
      <c r="AB3483" s="49"/>
      <c r="AC3483" s="49"/>
      <c r="AD3483" s="49"/>
      <c r="AE3483" s="49"/>
      <c r="AF3483" s="49"/>
      <c r="AG3483" s="49"/>
      <c r="AH3483" s="49"/>
      <c r="AI3483" s="49"/>
      <c r="AJ3483" s="49"/>
      <c r="AK3483" s="49"/>
      <c r="AL3483" s="49"/>
      <c r="AM3483" s="49"/>
      <c r="AN3483" s="49"/>
      <c r="AP3483" s="49"/>
      <c r="AQ3483" s="49"/>
      <c r="AR3483" s="49"/>
      <c r="AS3483" s="49"/>
      <c r="AT3483" s="49"/>
    </row>
    <row r="3484">
      <c r="A3484" s="51"/>
      <c r="B3484" s="50" t="s">
        <v>6381</v>
      </c>
      <c r="C3484" s="50" t="s">
        <v>5631</v>
      </c>
      <c r="D3484" s="49" t="str">
        <f>IFERROR(__xludf.DUMMYFUNCTION("""COMPUTED_VALUE"""),"fingers")</f>
        <v>fingers</v>
      </c>
      <c r="E3484" s="49"/>
      <c r="F3484" s="49"/>
      <c r="G3484" s="49"/>
      <c r="H3484" s="54" t="str">
        <f t="shared" si="1"/>
        <v>outstanding,</v>
      </c>
      <c r="I3484" s="50"/>
      <c r="J3484" s="50"/>
      <c r="K3484" s="50" t="s">
        <v>5902</v>
      </c>
      <c r="L3484" s="49"/>
      <c r="M3484" s="49"/>
      <c r="N3484" s="50"/>
      <c r="O3484" s="49"/>
      <c r="P3484" s="49" t="str">
        <f t="shared" si="2"/>
        <v>,</v>
      </c>
      <c r="Q3484" s="49"/>
      <c r="R3484" s="49"/>
      <c r="S3484" s="55" t="s">
        <v>3169</v>
      </c>
      <c r="T3484" s="49"/>
      <c r="U3484" s="49"/>
      <c r="V3484" s="49"/>
      <c r="W3484" s="49"/>
      <c r="X3484" s="49" t="str">
        <f t="shared" si="3"/>
        <v>,</v>
      </c>
      <c r="Y3484" s="49"/>
      <c r="Z3484" s="49"/>
      <c r="AB3484" s="49"/>
      <c r="AC3484" s="49"/>
      <c r="AD3484" s="49"/>
      <c r="AE3484" s="49"/>
      <c r="AF3484" s="49"/>
      <c r="AG3484" s="49"/>
      <c r="AH3484" s="49"/>
      <c r="AI3484" s="49"/>
      <c r="AJ3484" s="49"/>
      <c r="AK3484" s="49"/>
      <c r="AL3484" s="49"/>
      <c r="AM3484" s="49"/>
      <c r="AN3484" s="49"/>
      <c r="AP3484" s="49"/>
      <c r="AQ3484" s="49"/>
      <c r="AR3484" s="49"/>
      <c r="AS3484" s="49"/>
      <c r="AT3484" s="49"/>
    </row>
    <row r="3485">
      <c r="A3485" s="51"/>
      <c r="B3485" s="50" t="s">
        <v>6621</v>
      </c>
      <c r="C3485" s="50" t="s">
        <v>6062</v>
      </c>
      <c r="D3485" s="49" t="str">
        <f>IFERROR(__xludf.DUMMYFUNCTION("""COMPUTED_VALUE"""),"hardy")</f>
        <v>hardy</v>
      </c>
      <c r="E3485" s="49"/>
      <c r="F3485" s="49"/>
      <c r="G3485" s="49"/>
      <c r="H3485" s="54" t="str">
        <f t="shared" si="1"/>
        <v>resulted,</v>
      </c>
      <c r="I3485" s="50"/>
      <c r="J3485" s="50"/>
      <c r="K3485" s="50" t="s">
        <v>3290</v>
      </c>
      <c r="L3485" s="49"/>
      <c r="M3485" s="49"/>
      <c r="N3485" s="50"/>
      <c r="O3485" s="49"/>
      <c r="P3485" s="49" t="str">
        <f t="shared" si="2"/>
        <v>,</v>
      </c>
      <c r="Q3485" s="49"/>
      <c r="R3485" s="49"/>
      <c r="S3485" s="55" t="s">
        <v>3171</v>
      </c>
      <c r="T3485" s="49"/>
      <c r="U3485" s="49"/>
      <c r="V3485" s="49"/>
      <c r="W3485" s="49"/>
      <c r="X3485" s="49" t="str">
        <f t="shared" si="3"/>
        <v>,</v>
      </c>
      <c r="Y3485" s="49"/>
      <c r="Z3485" s="49"/>
      <c r="AB3485" s="49"/>
      <c r="AC3485" s="49"/>
      <c r="AD3485" s="49"/>
      <c r="AE3485" s="49"/>
      <c r="AF3485" s="49"/>
      <c r="AG3485" s="49"/>
      <c r="AH3485" s="49"/>
      <c r="AI3485" s="49"/>
      <c r="AJ3485" s="49"/>
      <c r="AK3485" s="49"/>
      <c r="AL3485" s="49"/>
      <c r="AM3485" s="49"/>
      <c r="AN3485" s="49"/>
      <c r="AP3485" s="49"/>
      <c r="AQ3485" s="49"/>
      <c r="AR3485" s="49"/>
      <c r="AS3485" s="49"/>
      <c r="AT3485" s="49"/>
    </row>
    <row r="3486">
      <c r="A3486" s="51"/>
      <c r="B3486" s="50" t="s">
        <v>2019</v>
      </c>
      <c r="C3486" s="50" t="s">
        <v>6065</v>
      </c>
      <c r="D3486" s="49" t="str">
        <f>IFERROR(__xludf.DUMMYFUNCTION("""COMPUTED_VALUE"""),"cuban")</f>
        <v>cuban</v>
      </c>
      <c r="E3486" s="49"/>
      <c r="F3486" s="49"/>
      <c r="G3486" s="49"/>
      <c r="H3486" s="54" t="str">
        <f t="shared" si="1"/>
        <v>closely,</v>
      </c>
      <c r="I3486" s="50"/>
      <c r="J3486" s="50"/>
      <c r="K3486" s="50" t="s">
        <v>5029</v>
      </c>
      <c r="L3486" s="49"/>
      <c r="M3486" s="49"/>
      <c r="N3486" s="50"/>
      <c r="O3486" s="49"/>
      <c r="P3486" s="49" t="str">
        <f t="shared" si="2"/>
        <v>,</v>
      </c>
      <c r="Q3486" s="49"/>
      <c r="R3486" s="49"/>
      <c r="S3486" s="55" t="s">
        <v>1518</v>
      </c>
      <c r="T3486" s="49"/>
      <c r="U3486" s="49"/>
      <c r="V3486" s="49"/>
      <c r="W3486" s="49"/>
      <c r="X3486" s="49" t="str">
        <f t="shared" si="3"/>
        <v>,</v>
      </c>
      <c r="Y3486" s="49"/>
      <c r="Z3486" s="49"/>
      <c r="AB3486" s="49"/>
      <c r="AC3486" s="49"/>
      <c r="AD3486" s="49"/>
      <c r="AE3486" s="49"/>
      <c r="AF3486" s="49"/>
      <c r="AG3486" s="49"/>
      <c r="AH3486" s="49"/>
      <c r="AI3486" s="49"/>
      <c r="AJ3486" s="49"/>
      <c r="AK3486" s="49"/>
      <c r="AL3486" s="49"/>
      <c r="AM3486" s="49"/>
      <c r="AN3486" s="49"/>
      <c r="AP3486" s="49"/>
      <c r="AQ3486" s="49"/>
      <c r="AR3486" s="49"/>
      <c r="AS3486" s="49"/>
      <c r="AT3486" s="49"/>
    </row>
    <row r="3487">
      <c r="A3487" s="51"/>
      <c r="B3487" s="50" t="s">
        <v>163</v>
      </c>
      <c r="C3487" s="50" t="s">
        <v>6919</v>
      </c>
      <c r="D3487" s="49" t="str">
        <f>IFERROR(__xludf.DUMMYFUNCTION("""COMPUTED_VALUE"""),"covered")</f>
        <v>covered</v>
      </c>
      <c r="E3487" s="49"/>
      <c r="F3487" s="49"/>
      <c r="G3487" s="49"/>
      <c r="H3487" s="54" t="str">
        <f t="shared" si="1"/>
        <v>exploration,</v>
      </c>
      <c r="I3487" s="50"/>
      <c r="J3487" s="50"/>
      <c r="K3487" s="50" t="s">
        <v>1705</v>
      </c>
      <c r="L3487" s="49"/>
      <c r="M3487" s="49"/>
      <c r="N3487" s="50"/>
      <c r="O3487" s="49"/>
      <c r="P3487" s="49" t="str">
        <f t="shared" si="2"/>
        <v>,</v>
      </c>
      <c r="Q3487" s="49"/>
      <c r="R3487" s="49"/>
      <c r="S3487" s="55" t="s">
        <v>4943</v>
      </c>
      <c r="T3487" s="49"/>
      <c r="U3487" s="49"/>
      <c r="V3487" s="49"/>
      <c r="W3487" s="49"/>
      <c r="X3487" s="49" t="str">
        <f t="shared" si="3"/>
        <v>,</v>
      </c>
      <c r="Y3487" s="49"/>
      <c r="Z3487" s="49"/>
      <c r="AB3487" s="49"/>
      <c r="AC3487" s="49"/>
      <c r="AD3487" s="49"/>
      <c r="AE3487" s="49"/>
      <c r="AF3487" s="49"/>
      <c r="AG3487" s="49"/>
      <c r="AH3487" s="49"/>
      <c r="AI3487" s="49"/>
      <c r="AJ3487" s="49"/>
      <c r="AK3487" s="49"/>
      <c r="AL3487" s="49"/>
      <c r="AM3487" s="49"/>
      <c r="AN3487" s="49"/>
      <c r="AP3487" s="49"/>
      <c r="AQ3487" s="49"/>
      <c r="AR3487" s="49"/>
      <c r="AS3487" s="49"/>
      <c r="AT3487" s="49"/>
    </row>
    <row r="3488">
      <c r="A3488" s="51"/>
      <c r="B3488" s="50" t="s">
        <v>5937</v>
      </c>
      <c r="C3488" s="50" t="s">
        <v>5594</v>
      </c>
      <c r="D3488" s="49" t="str">
        <f>IFERROR(__xludf.DUMMYFUNCTION("""COMPUTED_VALUE"""),"destruction")</f>
        <v>destruction</v>
      </c>
      <c r="E3488" s="49"/>
      <c r="F3488" s="49"/>
      <c r="G3488" s="49"/>
      <c r="H3488" s="54" t="str">
        <f t="shared" si="1"/>
        <v>cure,</v>
      </c>
      <c r="I3488" s="50"/>
      <c r="J3488" s="50"/>
      <c r="K3488" s="50" t="s">
        <v>3297</v>
      </c>
      <c r="L3488" s="49"/>
      <c r="M3488" s="49"/>
      <c r="N3488" s="50"/>
      <c r="O3488" s="49"/>
      <c r="P3488" s="49" t="str">
        <f t="shared" si="2"/>
        <v>,</v>
      </c>
      <c r="Q3488" s="49"/>
      <c r="R3488" s="49"/>
      <c r="S3488" s="55" t="s">
        <v>3176</v>
      </c>
      <c r="T3488" s="49"/>
      <c r="U3488" s="49"/>
      <c r="V3488" s="49"/>
      <c r="W3488" s="49"/>
      <c r="X3488" s="49" t="str">
        <f t="shared" si="3"/>
        <v>,</v>
      </c>
      <c r="Y3488" s="49"/>
      <c r="Z3488" s="49"/>
      <c r="AB3488" s="49"/>
      <c r="AC3488" s="49"/>
      <c r="AD3488" s="49"/>
      <c r="AE3488" s="49"/>
      <c r="AF3488" s="49"/>
      <c r="AG3488" s="49"/>
      <c r="AH3488" s="49"/>
      <c r="AI3488" s="49"/>
      <c r="AJ3488" s="49"/>
      <c r="AK3488" s="49"/>
      <c r="AL3488" s="49"/>
      <c r="AM3488" s="49"/>
      <c r="AN3488" s="49"/>
      <c r="AP3488" s="49"/>
      <c r="AQ3488" s="49"/>
      <c r="AR3488" s="49"/>
      <c r="AS3488" s="49"/>
      <c r="AT3488" s="49"/>
    </row>
    <row r="3489">
      <c r="A3489" s="51"/>
      <c r="B3489" s="50" t="s">
        <v>2551</v>
      </c>
      <c r="C3489" s="50" t="s">
        <v>4143</v>
      </c>
      <c r="D3489" s="49" t="str">
        <f>IFERROR(__xludf.DUMMYFUNCTION("""COMPUTED_VALUE"""),"cheeks")</f>
        <v>cheeks</v>
      </c>
      <c r="E3489" s="49"/>
      <c r="F3489" s="49"/>
      <c r="G3489" s="49"/>
      <c r="H3489" s="54" t="str">
        <f t="shared" si="1"/>
        <v>gaining,</v>
      </c>
      <c r="I3489" s="50"/>
      <c r="J3489" s="50"/>
      <c r="K3489" s="50" t="s">
        <v>3303</v>
      </c>
      <c r="L3489" s="49"/>
      <c r="M3489" s="49"/>
      <c r="N3489" s="50"/>
      <c r="O3489" s="49"/>
      <c r="P3489" s="49" t="str">
        <f t="shared" si="2"/>
        <v>,</v>
      </c>
      <c r="Q3489" s="49"/>
      <c r="R3489" s="49"/>
      <c r="S3489" s="55" t="s">
        <v>6095</v>
      </c>
      <c r="T3489" s="49"/>
      <c r="U3489" s="49"/>
      <c r="V3489" s="49"/>
      <c r="W3489" s="49"/>
      <c r="X3489" s="49" t="str">
        <f t="shared" si="3"/>
        <v>,</v>
      </c>
      <c r="Y3489" s="49"/>
      <c r="Z3489" s="49"/>
      <c r="AB3489" s="49"/>
      <c r="AC3489" s="49"/>
      <c r="AD3489" s="49"/>
      <c r="AE3489" s="49"/>
      <c r="AF3489" s="49"/>
      <c r="AG3489" s="49"/>
      <c r="AH3489" s="49"/>
      <c r="AI3489" s="49"/>
      <c r="AJ3489" s="49"/>
      <c r="AK3489" s="49"/>
      <c r="AL3489" s="49"/>
      <c r="AM3489" s="49"/>
      <c r="AN3489" s="49"/>
      <c r="AP3489" s="49"/>
      <c r="AQ3489" s="49"/>
      <c r="AR3489" s="49"/>
      <c r="AS3489" s="49"/>
      <c r="AT3489" s="49"/>
    </row>
    <row r="3490">
      <c r="A3490" s="51"/>
      <c r="B3490" s="50" t="s">
        <v>6429</v>
      </c>
      <c r="C3490" s="50" t="s">
        <v>4650</v>
      </c>
      <c r="D3490" s="49">
        <f>IFERROR(__xludf.DUMMYFUNCTION("""COMPUTED_VALUE"""),88.0)</f>
        <v>88</v>
      </c>
      <c r="E3490" s="49"/>
      <c r="F3490" s="49"/>
      <c r="G3490" s="49"/>
      <c r="H3490" s="54" t="str">
        <f t="shared" si="1"/>
        <v>lifestyle,</v>
      </c>
      <c r="I3490" s="50"/>
      <c r="J3490" s="50"/>
      <c r="K3490" s="50" t="s">
        <v>3306</v>
      </c>
      <c r="L3490" s="49"/>
      <c r="M3490" s="49"/>
      <c r="N3490" s="50"/>
      <c r="O3490" s="49"/>
      <c r="P3490" s="49" t="str">
        <f t="shared" si="2"/>
        <v>,</v>
      </c>
      <c r="Q3490" s="49"/>
      <c r="R3490" s="49"/>
      <c r="S3490" s="55" t="s">
        <v>3178</v>
      </c>
      <c r="T3490" s="49"/>
      <c r="U3490" s="49"/>
      <c r="V3490" s="49"/>
      <c r="W3490" s="49"/>
      <c r="X3490" s="49" t="str">
        <f t="shared" si="3"/>
        <v>,</v>
      </c>
      <c r="Y3490" s="49"/>
      <c r="Z3490" s="49"/>
      <c r="AB3490" s="49"/>
      <c r="AC3490" s="49"/>
      <c r="AD3490" s="49"/>
      <c r="AE3490" s="49"/>
      <c r="AF3490" s="49"/>
      <c r="AG3490" s="49"/>
      <c r="AH3490" s="49"/>
      <c r="AI3490" s="49"/>
      <c r="AJ3490" s="49"/>
      <c r="AK3490" s="49"/>
      <c r="AL3490" s="49"/>
      <c r="AM3490" s="49"/>
      <c r="AN3490" s="49"/>
      <c r="AP3490" s="49"/>
      <c r="AQ3490" s="49"/>
      <c r="AR3490" s="49"/>
      <c r="AS3490" s="49"/>
      <c r="AT3490" s="49"/>
    </row>
    <row r="3491">
      <c r="A3491" s="51"/>
      <c r="B3491" s="50" t="s">
        <v>2507</v>
      </c>
      <c r="C3491" s="50" t="s">
        <v>3818</v>
      </c>
      <c r="D3491" s="49" t="str">
        <f>IFERROR(__xludf.DUMMYFUNCTION("""COMPUTED_VALUE"""),"pa")</f>
        <v>pa</v>
      </c>
      <c r="E3491" s="49"/>
      <c r="F3491" s="49"/>
      <c r="G3491" s="49"/>
      <c r="H3491" s="54" t="str">
        <f t="shared" si="1"/>
        <v>process,</v>
      </c>
      <c r="I3491" s="50"/>
      <c r="J3491" s="50"/>
      <c r="K3491" s="50" t="s">
        <v>6124</v>
      </c>
      <c r="L3491" s="49"/>
      <c r="M3491" s="49"/>
      <c r="N3491" s="50"/>
      <c r="O3491" s="49"/>
      <c r="P3491" s="49" t="str">
        <f t="shared" si="2"/>
        <v>,</v>
      </c>
      <c r="Q3491" s="49"/>
      <c r="R3491" s="49"/>
      <c r="S3491" s="55" t="s">
        <v>7093</v>
      </c>
      <c r="T3491" s="49"/>
      <c r="U3491" s="49"/>
      <c r="V3491" s="49"/>
      <c r="W3491" s="49"/>
      <c r="X3491" s="49" t="str">
        <f t="shared" si="3"/>
        <v>,</v>
      </c>
      <c r="Y3491" s="49"/>
      <c r="Z3491" s="49"/>
      <c r="AB3491" s="49"/>
      <c r="AC3491" s="49"/>
      <c r="AD3491" s="49"/>
      <c r="AE3491" s="49"/>
      <c r="AF3491" s="49"/>
      <c r="AG3491" s="49"/>
      <c r="AH3491" s="49"/>
      <c r="AI3491" s="49"/>
      <c r="AJ3491" s="49"/>
      <c r="AK3491" s="49"/>
      <c r="AL3491" s="49"/>
      <c r="AM3491" s="49"/>
      <c r="AN3491" s="49"/>
      <c r="AP3491" s="49"/>
      <c r="AQ3491" s="49"/>
      <c r="AR3491" s="49"/>
      <c r="AS3491" s="49"/>
      <c r="AT3491" s="49"/>
    </row>
    <row r="3492">
      <c r="A3492" s="51"/>
      <c r="B3492" s="50" t="s">
        <v>2453</v>
      </c>
      <c r="C3492" s="50" t="s">
        <v>3822</v>
      </c>
      <c r="D3492" s="49" t="str">
        <f>IFERROR(__xludf.DUMMYFUNCTION("""COMPUTED_VALUE"""),"chicken")</f>
        <v>chicken</v>
      </c>
      <c r="E3492" s="49"/>
      <c r="F3492" s="49"/>
      <c r="G3492" s="49"/>
      <c r="H3492" s="54" t="str">
        <f t="shared" si="1"/>
        <v>poverty,</v>
      </c>
      <c r="I3492" s="50"/>
      <c r="J3492" s="50"/>
      <c r="K3492" s="50">
        <v>1962.0</v>
      </c>
      <c r="L3492" s="49"/>
      <c r="M3492" s="49"/>
      <c r="N3492" s="50"/>
      <c r="O3492" s="49"/>
      <c r="P3492" s="49" t="str">
        <f t="shared" si="2"/>
        <v>,</v>
      </c>
      <c r="Q3492" s="49"/>
      <c r="R3492" s="49"/>
      <c r="S3492" s="55" t="s">
        <v>3179</v>
      </c>
      <c r="T3492" s="49"/>
      <c r="U3492" s="49"/>
      <c r="V3492" s="49"/>
      <c r="W3492" s="49"/>
      <c r="X3492" s="49" t="str">
        <f t="shared" si="3"/>
        <v>,</v>
      </c>
      <c r="Y3492" s="49"/>
      <c r="Z3492" s="49"/>
      <c r="AB3492" s="49"/>
      <c r="AC3492" s="49"/>
      <c r="AD3492" s="49"/>
      <c r="AE3492" s="49"/>
      <c r="AF3492" s="49"/>
      <c r="AG3492" s="49"/>
      <c r="AH3492" s="49"/>
      <c r="AI3492" s="49"/>
      <c r="AJ3492" s="49"/>
      <c r="AK3492" s="49"/>
      <c r="AL3492" s="49"/>
      <c r="AM3492" s="49"/>
      <c r="AN3492" s="49"/>
      <c r="AP3492" s="49"/>
      <c r="AQ3492" s="49"/>
      <c r="AR3492" s="49"/>
      <c r="AS3492" s="49"/>
      <c r="AT3492" s="49"/>
    </row>
    <row r="3493">
      <c r="A3493" s="51"/>
      <c r="B3493" s="50" t="s">
        <v>3043</v>
      </c>
      <c r="C3493" s="50" t="s">
        <v>1125</v>
      </c>
      <c r="D3493" s="49" t="str">
        <f>IFERROR(__xludf.DUMMYFUNCTION("""COMPUTED_VALUE"""),"simpson")</f>
        <v>simpson</v>
      </c>
      <c r="E3493" s="49"/>
      <c r="F3493" s="49"/>
      <c r="G3493" s="49"/>
      <c r="H3493" s="54" t="str">
        <f t="shared" si="1"/>
        <v>cultural,</v>
      </c>
      <c r="I3493" s="50"/>
      <c r="J3493" s="50"/>
      <c r="K3493" s="50" t="s">
        <v>3312</v>
      </c>
      <c r="L3493" s="49"/>
      <c r="M3493" s="49"/>
      <c r="N3493" s="50"/>
      <c r="O3493" s="49"/>
      <c r="P3493" s="49" t="str">
        <f t="shared" si="2"/>
        <v>,</v>
      </c>
      <c r="Q3493" s="49"/>
      <c r="R3493" s="49"/>
      <c r="S3493" s="55" t="s">
        <v>3183</v>
      </c>
      <c r="T3493" s="49"/>
      <c r="U3493" s="49"/>
      <c r="V3493" s="49"/>
      <c r="W3493" s="49"/>
      <c r="X3493" s="49" t="str">
        <f t="shared" si="3"/>
        <v>,</v>
      </c>
      <c r="Y3493" s="49"/>
      <c r="Z3493" s="49"/>
      <c r="AB3493" s="49"/>
      <c r="AC3493" s="49"/>
      <c r="AD3493" s="49"/>
      <c r="AE3493" s="49"/>
      <c r="AF3493" s="49"/>
      <c r="AG3493" s="49"/>
      <c r="AH3493" s="49"/>
      <c r="AI3493" s="49"/>
      <c r="AJ3493" s="49"/>
      <c r="AK3493" s="49"/>
      <c r="AL3493" s="49"/>
      <c r="AM3493" s="49"/>
      <c r="AN3493" s="49"/>
      <c r="AP3493" s="49"/>
      <c r="AQ3493" s="49"/>
      <c r="AR3493" s="49"/>
      <c r="AS3493" s="49"/>
      <c r="AT3493" s="49"/>
    </row>
    <row r="3494">
      <c r="A3494" s="51"/>
      <c r="B3494" s="50" t="s">
        <v>6851</v>
      </c>
      <c r="C3494" s="50" t="s">
        <v>7094</v>
      </c>
      <c r="D3494" s="49" t="str">
        <f>IFERROR(__xludf.DUMMYFUNCTION("""COMPUTED_VALUE"""),"butler")</f>
        <v>butler</v>
      </c>
      <c r="E3494" s="49"/>
      <c r="F3494" s="49"/>
      <c r="G3494" s="49"/>
      <c r="H3494" s="54" t="str">
        <f t="shared" si="1"/>
        <v>beijing,</v>
      </c>
      <c r="I3494" s="50"/>
      <c r="J3494" s="50"/>
      <c r="K3494" s="50" t="s">
        <v>6125</v>
      </c>
      <c r="L3494" s="49"/>
      <c r="M3494" s="49"/>
      <c r="N3494" s="50"/>
      <c r="O3494" s="49"/>
      <c r="P3494" s="49" t="str">
        <f t="shared" si="2"/>
        <v>,</v>
      </c>
      <c r="Q3494" s="49"/>
      <c r="R3494" s="49"/>
      <c r="S3494" s="55" t="s">
        <v>4948</v>
      </c>
      <c r="T3494" s="49"/>
      <c r="U3494" s="49"/>
      <c r="V3494" s="49"/>
      <c r="W3494" s="49"/>
      <c r="X3494" s="49" t="str">
        <f t="shared" si="3"/>
        <v>,</v>
      </c>
      <c r="Y3494" s="49"/>
      <c r="Z3494" s="49"/>
      <c r="AB3494" s="49"/>
      <c r="AC3494" s="49"/>
      <c r="AD3494" s="49"/>
      <c r="AE3494" s="49"/>
      <c r="AF3494" s="49"/>
      <c r="AG3494" s="49"/>
      <c r="AH3494" s="49"/>
      <c r="AI3494" s="49"/>
      <c r="AJ3494" s="49"/>
      <c r="AK3494" s="49"/>
      <c r="AL3494" s="49"/>
      <c r="AM3494" s="49"/>
      <c r="AN3494" s="49"/>
      <c r="AP3494" s="49"/>
      <c r="AQ3494" s="49"/>
      <c r="AR3494" s="49"/>
      <c r="AS3494" s="49"/>
      <c r="AT3494" s="49"/>
    </row>
    <row r="3495">
      <c r="A3495" s="51"/>
      <c r="B3495" s="50" t="s">
        <v>4565</v>
      </c>
      <c r="C3495" s="50" t="s">
        <v>7095</v>
      </c>
      <c r="D3495" s="49" t="str">
        <f>IFERROR(__xludf.DUMMYFUNCTION("""COMPUTED_VALUE"""),"discovered")</f>
        <v>discovered</v>
      </c>
      <c r="E3495" s="49"/>
      <c r="F3495" s="49"/>
      <c r="G3495" s="49"/>
      <c r="H3495" s="54" t="str">
        <f t="shared" si="1"/>
        <v>wang,</v>
      </c>
      <c r="I3495" s="50"/>
      <c r="J3495" s="50"/>
      <c r="K3495" s="50" t="s">
        <v>6126</v>
      </c>
      <c r="L3495" s="49"/>
      <c r="M3495" s="49"/>
      <c r="N3495" s="50"/>
      <c r="O3495" s="49"/>
      <c r="P3495" s="49" t="str">
        <f t="shared" si="2"/>
        <v>,</v>
      </c>
      <c r="Q3495" s="49"/>
      <c r="R3495" s="49"/>
      <c r="S3495" s="55" t="s">
        <v>4951</v>
      </c>
      <c r="T3495" s="49"/>
      <c r="U3495" s="49"/>
      <c r="V3495" s="49"/>
      <c r="W3495" s="49"/>
      <c r="X3495" s="49" t="str">
        <f t="shared" si="3"/>
        <v>,</v>
      </c>
      <c r="Y3495" s="49"/>
      <c r="Z3495" s="49"/>
      <c r="AB3495" s="49"/>
      <c r="AC3495" s="49"/>
      <c r="AD3495" s="49"/>
      <c r="AE3495" s="49"/>
      <c r="AF3495" s="49"/>
      <c r="AG3495" s="49"/>
      <c r="AH3495" s="49"/>
      <c r="AI3495" s="49"/>
      <c r="AJ3495" s="49"/>
      <c r="AK3495" s="49"/>
      <c r="AL3495" s="49"/>
      <c r="AM3495" s="49"/>
      <c r="AN3495" s="49"/>
      <c r="AP3495" s="49"/>
      <c r="AQ3495" s="49"/>
      <c r="AR3495" s="49"/>
      <c r="AS3495" s="49"/>
      <c r="AT3495" s="49"/>
    </row>
    <row r="3496">
      <c r="A3496" s="51"/>
      <c r="B3496" s="50">
        <v>300.0</v>
      </c>
      <c r="C3496" s="50" t="s">
        <v>5600</v>
      </c>
      <c r="D3496" s="49" t="str">
        <f>IFERROR(__xludf.DUMMYFUNCTION("""COMPUTED_VALUE"""),"bull")</f>
        <v>bull</v>
      </c>
      <c r="E3496" s="49"/>
      <c r="F3496" s="49"/>
      <c r="G3496" s="49"/>
      <c r="H3496" s="54" t="str">
        <f t="shared" si="1"/>
        <v>300,</v>
      </c>
      <c r="I3496" s="50"/>
      <c r="J3496" s="50"/>
      <c r="K3496" s="50" t="s">
        <v>3314</v>
      </c>
      <c r="L3496" s="49"/>
      <c r="M3496" s="49"/>
      <c r="N3496" s="50"/>
      <c r="O3496" s="49"/>
      <c r="P3496" s="49" t="str">
        <f t="shared" si="2"/>
        <v>,</v>
      </c>
      <c r="Q3496" s="49"/>
      <c r="R3496" s="49"/>
      <c r="S3496" s="55" t="s">
        <v>4956</v>
      </c>
      <c r="T3496" s="49"/>
      <c r="U3496" s="49"/>
      <c r="V3496" s="49"/>
      <c r="W3496" s="49"/>
      <c r="X3496" s="49" t="str">
        <f t="shared" si="3"/>
        <v>,</v>
      </c>
      <c r="Y3496" s="49"/>
      <c r="Z3496" s="49"/>
      <c r="AB3496" s="49"/>
      <c r="AC3496" s="49"/>
      <c r="AD3496" s="49"/>
      <c r="AE3496" s="49"/>
      <c r="AF3496" s="49"/>
      <c r="AG3496" s="49"/>
      <c r="AH3496" s="49"/>
      <c r="AI3496" s="49"/>
      <c r="AJ3496" s="49"/>
      <c r="AK3496" s="49"/>
      <c r="AL3496" s="49"/>
      <c r="AM3496" s="49"/>
      <c r="AN3496" s="49"/>
      <c r="AP3496" s="49"/>
      <c r="AQ3496" s="49"/>
      <c r="AR3496" s="49"/>
      <c r="AS3496" s="49"/>
      <c r="AT3496" s="49"/>
    </row>
    <row r="3497">
      <c r="A3497" s="51"/>
      <c r="B3497" s="50" t="s">
        <v>7019</v>
      </c>
      <c r="C3497" s="50" t="s">
        <v>2859</v>
      </c>
      <c r="D3497" s="49" t="str">
        <f>IFERROR(__xludf.DUMMYFUNCTION("""COMPUTED_VALUE"""),"supplies")</f>
        <v>supplies</v>
      </c>
      <c r="E3497" s="49"/>
      <c r="F3497" s="49"/>
      <c r="G3497" s="49"/>
      <c r="H3497" s="54" t="str">
        <f t="shared" si="1"/>
        <v>teachers,</v>
      </c>
      <c r="I3497" s="50"/>
      <c r="J3497" s="50"/>
      <c r="K3497" s="50" t="s">
        <v>3318</v>
      </c>
      <c r="L3497" s="49"/>
      <c r="M3497" s="49"/>
      <c r="N3497" s="50"/>
      <c r="O3497" s="49"/>
      <c r="P3497" s="49" t="str">
        <f t="shared" si="2"/>
        <v>,</v>
      </c>
      <c r="Q3497" s="49"/>
      <c r="R3497" s="49"/>
      <c r="S3497" s="55">
        <v>88.0</v>
      </c>
      <c r="T3497" s="49"/>
      <c r="U3497" s="49"/>
      <c r="V3497" s="49"/>
      <c r="W3497" s="49"/>
      <c r="X3497" s="49" t="str">
        <f t="shared" si="3"/>
        <v>,</v>
      </c>
      <c r="Y3497" s="49"/>
      <c r="Z3497" s="49"/>
      <c r="AB3497" s="49"/>
      <c r="AC3497" s="49"/>
      <c r="AD3497" s="49"/>
      <c r="AE3497" s="49"/>
      <c r="AF3497" s="49"/>
      <c r="AG3497" s="49"/>
      <c r="AH3497" s="49"/>
      <c r="AI3497" s="49"/>
      <c r="AJ3497" s="49"/>
      <c r="AK3497" s="49"/>
      <c r="AL3497" s="49"/>
      <c r="AM3497" s="49"/>
      <c r="AN3497" s="49"/>
      <c r="AP3497" s="49"/>
      <c r="AQ3497" s="49"/>
      <c r="AR3497" s="49"/>
      <c r="AS3497" s="49"/>
      <c r="AT3497" s="49"/>
    </row>
    <row r="3498">
      <c r="A3498" s="51"/>
      <c r="B3498" s="50" t="s">
        <v>7577</v>
      </c>
      <c r="C3498" s="50" t="s">
        <v>5601</v>
      </c>
      <c r="D3498" s="49" t="str">
        <f>IFERROR(__xludf.DUMMYFUNCTION("""COMPUTED_VALUE"""),"suffered")</f>
        <v>suffered</v>
      </c>
      <c r="E3498" s="49"/>
      <c r="F3498" s="49"/>
      <c r="G3498" s="49"/>
      <c r="H3498" s="54" t="str">
        <f t="shared" si="1"/>
        <v>jo,</v>
      </c>
      <c r="I3498" s="50"/>
      <c r="J3498" s="50"/>
      <c r="K3498" s="50" t="s">
        <v>5855</v>
      </c>
      <c r="L3498" s="49"/>
      <c r="M3498" s="49"/>
      <c r="N3498" s="50"/>
      <c r="O3498" s="49"/>
      <c r="P3498" s="49" t="str">
        <f t="shared" si="2"/>
        <v>,</v>
      </c>
      <c r="Q3498" s="49"/>
      <c r="R3498" s="49"/>
      <c r="S3498" s="55" t="s">
        <v>3187</v>
      </c>
      <c r="T3498" s="49"/>
      <c r="U3498" s="49"/>
      <c r="V3498" s="49"/>
      <c r="W3498" s="49"/>
      <c r="X3498" s="49" t="str">
        <f t="shared" si="3"/>
        <v>,</v>
      </c>
      <c r="Y3498" s="49"/>
      <c r="Z3498" s="49"/>
      <c r="AB3498" s="49"/>
      <c r="AC3498" s="49"/>
      <c r="AD3498" s="49"/>
      <c r="AE3498" s="49"/>
      <c r="AF3498" s="49"/>
      <c r="AG3498" s="49"/>
      <c r="AH3498" s="49"/>
      <c r="AI3498" s="49"/>
      <c r="AJ3498" s="49"/>
      <c r="AK3498" s="49"/>
      <c r="AL3498" s="49"/>
      <c r="AM3498" s="49"/>
      <c r="AN3498" s="49"/>
      <c r="AP3498" s="49"/>
      <c r="AQ3498" s="49"/>
      <c r="AR3498" s="49"/>
      <c r="AS3498" s="49"/>
      <c r="AT3498" s="49"/>
    </row>
    <row r="3499">
      <c r="A3499" s="51"/>
      <c r="B3499" s="50" t="s">
        <v>1499</v>
      </c>
      <c r="C3499" s="50" t="s">
        <v>4657</v>
      </c>
      <c r="D3499" s="49" t="str">
        <f>IFERROR(__xludf.DUMMYFUNCTION("""COMPUTED_VALUE"""),"cancer")</f>
        <v>cancer</v>
      </c>
      <c r="E3499" s="49"/>
      <c r="F3499" s="49"/>
      <c r="G3499" s="49"/>
      <c r="H3499" s="54" t="str">
        <f t="shared" si="1"/>
        <v>received,</v>
      </c>
      <c r="I3499" s="50"/>
      <c r="J3499" s="50"/>
      <c r="K3499" s="50">
        <v>1987.0</v>
      </c>
      <c r="L3499" s="49"/>
      <c r="M3499" s="49"/>
      <c r="N3499" s="50"/>
      <c r="O3499" s="49"/>
      <c r="P3499" s="49" t="str">
        <f t="shared" si="2"/>
        <v>,</v>
      </c>
      <c r="Q3499" s="49"/>
      <c r="R3499" s="49"/>
      <c r="S3499" s="55" t="s">
        <v>3191</v>
      </c>
      <c r="T3499" s="49"/>
      <c r="U3499" s="49"/>
      <c r="V3499" s="49"/>
      <c r="W3499" s="49"/>
      <c r="X3499" s="49" t="str">
        <f t="shared" si="3"/>
        <v>,</v>
      </c>
      <c r="Y3499" s="49"/>
      <c r="Z3499" s="49"/>
      <c r="AB3499" s="49"/>
      <c r="AC3499" s="49"/>
      <c r="AD3499" s="49"/>
      <c r="AE3499" s="49"/>
      <c r="AF3499" s="49"/>
      <c r="AG3499" s="49"/>
      <c r="AH3499" s="49"/>
      <c r="AI3499" s="49"/>
      <c r="AJ3499" s="49"/>
      <c r="AK3499" s="49"/>
      <c r="AL3499" s="49"/>
      <c r="AM3499" s="49"/>
      <c r="AN3499" s="49"/>
      <c r="AP3499" s="49"/>
      <c r="AQ3499" s="49"/>
      <c r="AR3499" s="49"/>
      <c r="AS3499" s="49"/>
      <c r="AT3499" s="49"/>
    </row>
    <row r="3500">
      <c r="A3500" s="51"/>
      <c r="B3500" s="50" t="s">
        <v>3870</v>
      </c>
      <c r="C3500" s="50" t="s">
        <v>6040</v>
      </c>
      <c r="D3500" s="49" t="str">
        <f>IFERROR(__xludf.DUMMYFUNCTION("""COMPUTED_VALUE"""),"argue")</f>
        <v>argue</v>
      </c>
      <c r="E3500" s="49"/>
      <c r="F3500" s="49"/>
      <c r="G3500" s="49"/>
      <c r="H3500" s="54" t="str">
        <f t="shared" si="1"/>
        <v>pink,</v>
      </c>
      <c r="I3500" s="50"/>
      <c r="J3500" s="50"/>
      <c r="K3500" s="50" t="s">
        <v>5041</v>
      </c>
      <c r="L3500" s="49"/>
      <c r="M3500" s="49"/>
      <c r="N3500" s="50"/>
      <c r="O3500" s="49"/>
      <c r="P3500" s="49" t="str">
        <f t="shared" si="2"/>
        <v>,</v>
      </c>
      <c r="Q3500" s="49"/>
      <c r="R3500" s="49"/>
      <c r="S3500" s="55" t="s">
        <v>7096</v>
      </c>
      <c r="T3500" s="49"/>
      <c r="U3500" s="49"/>
      <c r="V3500" s="49"/>
      <c r="W3500" s="49"/>
      <c r="X3500" s="49" t="str">
        <f t="shared" si="3"/>
        <v>,</v>
      </c>
      <c r="Y3500" s="49"/>
      <c r="Z3500" s="49"/>
      <c r="AB3500" s="49"/>
      <c r="AC3500" s="49"/>
      <c r="AD3500" s="49"/>
      <c r="AE3500" s="49"/>
      <c r="AF3500" s="49"/>
      <c r="AG3500" s="49"/>
      <c r="AH3500" s="49"/>
      <c r="AI3500" s="49"/>
      <c r="AJ3500" s="49"/>
      <c r="AK3500" s="49"/>
      <c r="AL3500" s="49"/>
      <c r="AM3500" s="49"/>
      <c r="AN3500" s="49"/>
      <c r="AP3500" s="49"/>
      <c r="AQ3500" s="49"/>
      <c r="AR3500" s="49"/>
      <c r="AS3500" s="49"/>
      <c r="AT3500" s="49"/>
    </row>
    <row r="3501">
      <c r="A3501" s="51"/>
      <c r="B3501" s="50" t="s">
        <v>5832</v>
      </c>
      <c r="C3501" s="50" t="s">
        <v>7097</v>
      </c>
      <c r="D3501" s="49" t="str">
        <f>IFERROR(__xludf.DUMMYFUNCTION("""COMPUTED_VALUE"""),"joins")</f>
        <v>joins</v>
      </c>
      <c r="E3501" s="49"/>
      <c r="F3501" s="49"/>
      <c r="G3501" s="49"/>
      <c r="H3501" s="54" t="str">
        <f t="shared" si="1"/>
        <v>temple,</v>
      </c>
      <c r="I3501" s="50"/>
      <c r="J3501" s="50"/>
      <c r="K3501" s="50" t="s">
        <v>5045</v>
      </c>
      <c r="L3501" s="49"/>
      <c r="M3501" s="49"/>
      <c r="N3501" s="50"/>
      <c r="O3501" s="49"/>
      <c r="P3501" s="49" t="str">
        <f t="shared" si="2"/>
        <v>,</v>
      </c>
      <c r="Q3501" s="49"/>
      <c r="R3501" s="49"/>
      <c r="S3501" s="55" t="s">
        <v>4964</v>
      </c>
      <c r="T3501" s="49"/>
      <c r="U3501" s="49"/>
      <c r="V3501" s="49"/>
      <c r="W3501" s="49"/>
      <c r="X3501" s="49" t="str">
        <f t="shared" si="3"/>
        <v>,</v>
      </c>
      <c r="Y3501" s="49"/>
      <c r="Z3501" s="49"/>
      <c r="AB3501" s="49"/>
      <c r="AC3501" s="49"/>
      <c r="AD3501" s="49"/>
      <c r="AE3501" s="49"/>
      <c r="AF3501" s="49"/>
      <c r="AG3501" s="49"/>
      <c r="AH3501" s="49"/>
      <c r="AI3501" s="49"/>
      <c r="AJ3501" s="49"/>
      <c r="AK3501" s="49"/>
      <c r="AL3501" s="49"/>
      <c r="AM3501" s="49"/>
      <c r="AN3501" s="49"/>
      <c r="AP3501" s="49"/>
      <c r="AQ3501" s="49"/>
      <c r="AR3501" s="49"/>
      <c r="AS3501" s="49"/>
      <c r="AT3501" s="49"/>
    </row>
    <row r="3502">
      <c r="A3502" s="51"/>
      <c r="B3502" s="50" t="s">
        <v>5116</v>
      </c>
      <c r="C3502" s="50" t="s">
        <v>6067</v>
      </c>
      <c r="D3502" s="49" t="str">
        <f>IFERROR(__xludf.DUMMYFUNCTION("""COMPUTED_VALUE"""),"fraser")</f>
        <v>fraser</v>
      </c>
      <c r="E3502" s="49"/>
      <c r="F3502" s="49"/>
      <c r="G3502" s="49"/>
      <c r="H3502" s="54" t="str">
        <f t="shared" si="1"/>
        <v>pressed,</v>
      </c>
      <c r="I3502" s="50"/>
      <c r="J3502" s="50"/>
      <c r="K3502" s="50" t="s">
        <v>3321</v>
      </c>
      <c r="L3502" s="49"/>
      <c r="M3502" s="49"/>
      <c r="N3502" s="50"/>
      <c r="O3502" s="49"/>
      <c r="P3502" s="49" t="str">
        <f t="shared" si="2"/>
        <v>,</v>
      </c>
      <c r="Q3502" s="49"/>
      <c r="R3502" s="49"/>
      <c r="S3502" s="55" t="s">
        <v>3194</v>
      </c>
      <c r="T3502" s="49"/>
      <c r="U3502" s="49"/>
      <c r="V3502" s="49"/>
      <c r="W3502" s="49"/>
      <c r="X3502" s="49" t="str">
        <f t="shared" si="3"/>
        <v>,</v>
      </c>
      <c r="Y3502" s="49"/>
      <c r="Z3502" s="49"/>
      <c r="AB3502" s="49"/>
      <c r="AC3502" s="49"/>
      <c r="AD3502" s="49"/>
      <c r="AE3502" s="49"/>
      <c r="AF3502" s="49"/>
      <c r="AG3502" s="49"/>
      <c r="AH3502" s="49"/>
      <c r="AI3502" s="49"/>
      <c r="AJ3502" s="49"/>
      <c r="AK3502" s="49"/>
      <c r="AL3502" s="49"/>
      <c r="AM3502" s="49"/>
      <c r="AN3502" s="49"/>
      <c r="AP3502" s="49"/>
      <c r="AQ3502" s="49"/>
      <c r="AR3502" s="49"/>
      <c r="AS3502" s="49"/>
      <c r="AT3502" s="49"/>
    </row>
    <row r="3503">
      <c r="A3503" s="51"/>
      <c r="B3503" s="50" t="s">
        <v>4331</v>
      </c>
      <c r="C3503" s="50" t="s">
        <v>1968</v>
      </c>
      <c r="D3503" s="49" t="str">
        <f>IFERROR(__xludf.DUMMYFUNCTION("""COMPUTED_VALUE"""),"suddenly")</f>
        <v>suddenly</v>
      </c>
      <c r="E3503" s="49"/>
      <c r="F3503" s="49"/>
      <c r="G3503" s="49"/>
      <c r="H3503" s="54" t="str">
        <f t="shared" si="1"/>
        <v>forcing,</v>
      </c>
      <c r="I3503" s="50"/>
      <c r="J3503" s="50"/>
      <c r="K3503" s="50" t="s">
        <v>5049</v>
      </c>
      <c r="L3503" s="49"/>
      <c r="M3503" s="49"/>
      <c r="N3503" s="50"/>
      <c r="O3503" s="49"/>
      <c r="P3503" s="49" t="str">
        <f t="shared" si="2"/>
        <v>,</v>
      </c>
      <c r="Q3503" s="49"/>
      <c r="R3503" s="49"/>
      <c r="S3503" s="55" t="s">
        <v>3197</v>
      </c>
      <c r="T3503" s="49"/>
      <c r="U3503" s="49"/>
      <c r="V3503" s="49"/>
      <c r="W3503" s="49"/>
      <c r="X3503" s="49" t="str">
        <f t="shared" si="3"/>
        <v>,</v>
      </c>
      <c r="Y3503" s="49"/>
      <c r="Z3503" s="49"/>
      <c r="AB3503" s="49"/>
      <c r="AC3503" s="49"/>
      <c r="AD3503" s="49"/>
      <c r="AE3503" s="49"/>
      <c r="AF3503" s="49"/>
      <c r="AG3503" s="49"/>
      <c r="AH3503" s="49"/>
      <c r="AI3503" s="49"/>
      <c r="AJ3503" s="49"/>
      <c r="AK3503" s="49"/>
      <c r="AL3503" s="49"/>
      <c r="AM3503" s="49"/>
      <c r="AN3503" s="49"/>
      <c r="AP3503" s="49"/>
      <c r="AQ3503" s="49"/>
      <c r="AR3503" s="49"/>
      <c r="AS3503" s="49"/>
      <c r="AT3503" s="49"/>
    </row>
    <row r="3504">
      <c r="A3504" s="51"/>
      <c r="B3504" s="50" t="s">
        <v>2928</v>
      </c>
      <c r="C3504" s="50" t="s">
        <v>3832</v>
      </c>
      <c r="D3504" s="49" t="str">
        <f>IFERROR(__xludf.DUMMYFUNCTION("""COMPUTED_VALUE"""),"admitted")</f>
        <v>admitted</v>
      </c>
      <c r="E3504" s="49"/>
      <c r="F3504" s="49"/>
      <c r="G3504" s="49"/>
      <c r="H3504" s="54" t="str">
        <f t="shared" si="1"/>
        <v>miracle,</v>
      </c>
      <c r="I3504" s="50"/>
      <c r="J3504" s="50"/>
      <c r="K3504" s="50" t="s">
        <v>6127</v>
      </c>
      <c r="L3504" s="49"/>
      <c r="M3504" s="49"/>
      <c r="N3504" s="50"/>
      <c r="O3504" s="49"/>
      <c r="P3504" s="49" t="str">
        <f t="shared" si="2"/>
        <v>,</v>
      </c>
      <c r="Q3504" s="49"/>
      <c r="R3504" s="49"/>
      <c r="S3504" s="55" t="s">
        <v>3201</v>
      </c>
      <c r="T3504" s="49"/>
      <c r="U3504" s="49"/>
      <c r="V3504" s="49"/>
      <c r="W3504" s="49"/>
      <c r="X3504" s="49" t="str">
        <f t="shared" si="3"/>
        <v>,</v>
      </c>
      <c r="Y3504" s="49"/>
      <c r="Z3504" s="49"/>
      <c r="AB3504" s="49"/>
      <c r="AC3504" s="49"/>
      <c r="AD3504" s="49"/>
      <c r="AE3504" s="49"/>
      <c r="AF3504" s="49"/>
      <c r="AG3504" s="49"/>
      <c r="AH3504" s="49"/>
      <c r="AI3504" s="49"/>
      <c r="AJ3504" s="49"/>
      <c r="AK3504" s="49"/>
      <c r="AL3504" s="49"/>
      <c r="AM3504" s="49"/>
      <c r="AN3504" s="49"/>
      <c r="AP3504" s="49"/>
      <c r="AQ3504" s="49"/>
      <c r="AR3504" s="49"/>
      <c r="AS3504" s="49"/>
      <c r="AT3504" s="49"/>
    </row>
    <row r="3505">
      <c r="A3505" s="51"/>
      <c r="B3505" s="50" t="s">
        <v>2381</v>
      </c>
      <c r="C3505" s="50" t="s">
        <v>2612</v>
      </c>
      <c r="D3505" s="49" t="str">
        <f>IFERROR(__xludf.DUMMYFUNCTION("""COMPUTED_VALUE"""),"acres")</f>
        <v>acres</v>
      </c>
      <c r="E3505" s="49"/>
      <c r="F3505" s="49"/>
      <c r="G3505" s="49"/>
      <c r="H3505" s="54" t="str">
        <f t="shared" si="1"/>
        <v>symbols,</v>
      </c>
      <c r="I3505" s="50"/>
      <c r="J3505" s="50"/>
      <c r="K3505" s="50" t="s">
        <v>5857</v>
      </c>
      <c r="L3505" s="49"/>
      <c r="M3505" s="49"/>
      <c r="N3505" s="50"/>
      <c r="O3505" s="49"/>
      <c r="P3505" s="49" t="str">
        <f t="shared" si="2"/>
        <v>,</v>
      </c>
      <c r="Q3505" s="49"/>
      <c r="R3505" s="49"/>
      <c r="S3505" s="55" t="s">
        <v>3205</v>
      </c>
      <c r="T3505" s="49"/>
      <c r="U3505" s="49"/>
      <c r="V3505" s="49"/>
      <c r="W3505" s="49"/>
      <c r="X3505" s="49" t="str">
        <f t="shared" si="3"/>
        <v>,</v>
      </c>
      <c r="Y3505" s="49"/>
      <c r="Z3505" s="49"/>
      <c r="AB3505" s="49"/>
      <c r="AC3505" s="49"/>
      <c r="AD3505" s="49"/>
      <c r="AE3505" s="49"/>
      <c r="AF3505" s="49"/>
      <c r="AG3505" s="49"/>
      <c r="AH3505" s="49"/>
      <c r="AI3505" s="49"/>
      <c r="AJ3505" s="49"/>
      <c r="AK3505" s="49"/>
      <c r="AL3505" s="49"/>
      <c r="AM3505" s="49"/>
      <c r="AN3505" s="49"/>
      <c r="AP3505" s="49"/>
      <c r="AQ3505" s="49"/>
      <c r="AR3505" s="49"/>
      <c r="AS3505" s="49"/>
      <c r="AT3505" s="49"/>
    </row>
    <row r="3506">
      <c r="A3506" s="51"/>
      <c r="B3506" s="50" t="s">
        <v>1992</v>
      </c>
      <c r="C3506" s="50" t="s">
        <v>6922</v>
      </c>
      <c r="D3506" s="49" t="str">
        <f>IFERROR(__xludf.DUMMYFUNCTION("""COMPUTED_VALUE"""),"crash")</f>
        <v>crash</v>
      </c>
      <c r="E3506" s="49"/>
      <c r="F3506" s="49"/>
      <c r="G3506" s="49"/>
      <c r="H3506" s="54" t="str">
        <f t="shared" si="1"/>
        <v>fights,</v>
      </c>
      <c r="I3506" s="50"/>
      <c r="J3506" s="50"/>
      <c r="K3506" s="50" t="s">
        <v>6128</v>
      </c>
      <c r="L3506" s="49"/>
      <c r="M3506" s="49"/>
      <c r="N3506" s="50"/>
      <c r="O3506" s="49"/>
      <c r="P3506" s="49" t="str">
        <f t="shared" si="2"/>
        <v>,</v>
      </c>
      <c r="Q3506" s="49"/>
      <c r="R3506" s="49"/>
      <c r="S3506" s="55" t="s">
        <v>5810</v>
      </c>
      <c r="T3506" s="49"/>
      <c r="U3506" s="49"/>
      <c r="V3506" s="49"/>
      <c r="W3506" s="49"/>
      <c r="X3506" s="49" t="str">
        <f t="shared" si="3"/>
        <v>,</v>
      </c>
      <c r="Y3506" s="49"/>
      <c r="Z3506" s="49"/>
      <c r="AB3506" s="49"/>
      <c r="AC3506" s="49"/>
      <c r="AD3506" s="49"/>
      <c r="AE3506" s="49"/>
      <c r="AF3506" s="49"/>
      <c r="AG3506" s="49"/>
      <c r="AH3506" s="49"/>
      <c r="AI3506" s="49"/>
      <c r="AJ3506" s="49"/>
      <c r="AK3506" s="49"/>
      <c r="AL3506" s="49"/>
      <c r="AM3506" s="49"/>
      <c r="AN3506" s="49"/>
      <c r="AP3506" s="49"/>
      <c r="AQ3506" s="49"/>
      <c r="AR3506" s="49"/>
      <c r="AS3506" s="49"/>
      <c r="AT3506" s="49"/>
    </row>
    <row r="3507">
      <c r="A3507" s="51"/>
      <c r="B3507" s="50" t="s">
        <v>106</v>
      </c>
      <c r="C3507" s="50" t="s">
        <v>6923</v>
      </c>
      <c r="D3507" s="49" t="str">
        <f>IFERROR(__xludf.DUMMYFUNCTION("""COMPUTED_VALUE"""),"proven")</f>
        <v>proven</v>
      </c>
      <c r="E3507" s="49"/>
      <c r="F3507" s="49"/>
      <c r="G3507" s="49"/>
      <c r="H3507" s="54" t="str">
        <f t="shared" si="1"/>
        <v>emotion,</v>
      </c>
      <c r="I3507" s="50"/>
      <c r="J3507" s="50"/>
      <c r="K3507" s="50" t="s">
        <v>5860</v>
      </c>
      <c r="L3507" s="49"/>
      <c r="M3507" s="49"/>
      <c r="N3507" s="50"/>
      <c r="O3507" s="49"/>
      <c r="P3507" s="49" t="str">
        <f t="shared" si="2"/>
        <v>,</v>
      </c>
      <c r="Q3507" s="49"/>
      <c r="R3507" s="49"/>
      <c r="S3507" s="55" t="s">
        <v>4970</v>
      </c>
      <c r="T3507" s="49"/>
      <c r="U3507" s="49"/>
      <c r="V3507" s="49"/>
      <c r="W3507" s="49"/>
      <c r="X3507" s="49" t="str">
        <f t="shared" si="3"/>
        <v>,</v>
      </c>
      <c r="Y3507" s="49"/>
      <c r="Z3507" s="49"/>
      <c r="AB3507" s="49"/>
      <c r="AC3507" s="49"/>
      <c r="AD3507" s="49"/>
      <c r="AE3507" s="49"/>
      <c r="AF3507" s="49"/>
      <c r="AG3507" s="49"/>
      <c r="AH3507" s="49"/>
      <c r="AI3507" s="49"/>
      <c r="AJ3507" s="49"/>
      <c r="AK3507" s="49"/>
      <c r="AL3507" s="49"/>
      <c r="AM3507" s="49"/>
      <c r="AN3507" s="49"/>
      <c r="AP3507" s="49"/>
      <c r="AQ3507" s="49"/>
      <c r="AR3507" s="49"/>
      <c r="AS3507" s="49"/>
      <c r="AT3507" s="49"/>
    </row>
    <row r="3508">
      <c r="A3508" s="51"/>
      <c r="B3508" s="50" t="s">
        <v>1452</v>
      </c>
      <c r="C3508" s="50" t="s">
        <v>743</v>
      </c>
      <c r="D3508" s="49" t="str">
        <f>IFERROR(__xludf.DUMMYFUNCTION("""COMPUTED_VALUE"""),"increase")</f>
        <v>increase</v>
      </c>
      <c r="E3508" s="49"/>
      <c r="F3508" s="49"/>
      <c r="G3508" s="49"/>
      <c r="H3508" s="54" t="str">
        <f t="shared" si="1"/>
        <v>characteristic,</v>
      </c>
      <c r="I3508" s="50"/>
      <c r="J3508" s="50"/>
      <c r="K3508" s="50" t="s">
        <v>3324</v>
      </c>
      <c r="L3508" s="49"/>
      <c r="M3508" s="49"/>
      <c r="N3508" s="50"/>
      <c r="O3508" s="49"/>
      <c r="P3508" s="49" t="str">
        <f t="shared" si="2"/>
        <v>,</v>
      </c>
      <c r="Q3508" s="49"/>
      <c r="R3508" s="49"/>
      <c r="S3508" s="55" t="s">
        <v>4971</v>
      </c>
      <c r="T3508" s="49"/>
      <c r="U3508" s="49"/>
      <c r="V3508" s="49"/>
      <c r="W3508" s="49"/>
      <c r="X3508" s="49" t="str">
        <f t="shared" si="3"/>
        <v>,</v>
      </c>
      <c r="Y3508" s="49"/>
      <c r="Z3508" s="49"/>
      <c r="AB3508" s="49"/>
      <c r="AC3508" s="49"/>
      <c r="AD3508" s="49"/>
      <c r="AE3508" s="49"/>
      <c r="AF3508" s="49"/>
      <c r="AG3508" s="49"/>
      <c r="AH3508" s="49"/>
      <c r="AI3508" s="49"/>
      <c r="AJ3508" s="49"/>
      <c r="AK3508" s="49"/>
      <c r="AL3508" s="49"/>
      <c r="AM3508" s="49"/>
      <c r="AN3508" s="49"/>
      <c r="AP3508" s="49"/>
      <c r="AQ3508" s="49"/>
      <c r="AR3508" s="49"/>
      <c r="AS3508" s="49"/>
      <c r="AT3508" s="49"/>
    </row>
    <row r="3509">
      <c r="A3509" s="51"/>
      <c r="B3509" s="50" t="s">
        <v>7667</v>
      </c>
      <c r="C3509" s="50" t="s">
        <v>3833</v>
      </c>
      <c r="D3509" s="49" t="str">
        <f>IFERROR(__xludf.DUMMYFUNCTION("""COMPUTED_VALUE"""),"teachers")</f>
        <v>teachers</v>
      </c>
      <c r="E3509" s="49"/>
      <c r="F3509" s="49"/>
      <c r="G3509" s="49"/>
      <c r="H3509" s="54" t="str">
        <f t="shared" si="1"/>
        <v>stress,</v>
      </c>
      <c r="I3509" s="50"/>
      <c r="J3509" s="50"/>
      <c r="K3509" s="50" t="s">
        <v>6129</v>
      </c>
      <c r="L3509" s="49"/>
      <c r="M3509" s="49"/>
      <c r="N3509" s="50"/>
      <c r="O3509" s="49"/>
      <c r="P3509" s="49" t="str">
        <f t="shared" si="2"/>
        <v>,</v>
      </c>
      <c r="Q3509" s="49"/>
      <c r="R3509" s="49"/>
      <c r="S3509" s="55" t="s">
        <v>3208</v>
      </c>
      <c r="T3509" s="49"/>
      <c r="U3509" s="49"/>
      <c r="V3509" s="49"/>
      <c r="W3509" s="49"/>
      <c r="X3509" s="49" t="str">
        <f t="shared" si="3"/>
        <v>,</v>
      </c>
      <c r="Y3509" s="49"/>
      <c r="Z3509" s="49"/>
      <c r="AB3509" s="49"/>
      <c r="AC3509" s="49"/>
      <c r="AD3509" s="49"/>
      <c r="AE3509" s="49"/>
      <c r="AF3509" s="49"/>
      <c r="AG3509" s="49"/>
      <c r="AH3509" s="49"/>
      <c r="AI3509" s="49"/>
      <c r="AJ3509" s="49"/>
      <c r="AK3509" s="49"/>
      <c r="AL3509" s="49"/>
      <c r="AM3509" s="49"/>
      <c r="AN3509" s="49"/>
      <c r="AP3509" s="49"/>
      <c r="AQ3509" s="49"/>
      <c r="AR3509" s="49"/>
      <c r="AS3509" s="49"/>
      <c r="AT3509" s="49"/>
    </row>
    <row r="3510">
      <c r="A3510" s="51"/>
      <c r="B3510" s="50" t="s">
        <v>6375</v>
      </c>
      <c r="C3510" s="50" t="s">
        <v>5442</v>
      </c>
      <c r="D3510" s="49" t="str">
        <f>IFERROR(__xludf.DUMMYFUNCTION("""COMPUTED_VALUE"""),"alleged")</f>
        <v>alleged</v>
      </c>
      <c r="E3510" s="49"/>
      <c r="F3510" s="49"/>
      <c r="G3510" s="49"/>
      <c r="H3510" s="54" t="str">
        <f t="shared" si="1"/>
        <v>helps,</v>
      </c>
      <c r="I3510" s="50"/>
      <c r="J3510" s="50"/>
      <c r="K3510" s="50" t="s">
        <v>6130</v>
      </c>
      <c r="L3510" s="49"/>
      <c r="M3510" s="49"/>
      <c r="N3510" s="50"/>
      <c r="O3510" s="49"/>
      <c r="P3510" s="49" t="str">
        <f t="shared" si="2"/>
        <v>,</v>
      </c>
      <c r="Q3510" s="49"/>
      <c r="R3510" s="49"/>
      <c r="S3510" s="55" t="s">
        <v>6173</v>
      </c>
      <c r="T3510" s="49"/>
      <c r="U3510" s="49"/>
      <c r="V3510" s="49"/>
      <c r="W3510" s="49"/>
      <c r="X3510" s="49" t="str">
        <f t="shared" si="3"/>
        <v>,</v>
      </c>
      <c r="Y3510" s="49"/>
      <c r="Z3510" s="49"/>
      <c r="AB3510" s="49"/>
      <c r="AC3510" s="49"/>
      <c r="AD3510" s="49"/>
      <c r="AE3510" s="49"/>
      <c r="AF3510" s="49"/>
      <c r="AG3510" s="49"/>
      <c r="AH3510" s="49"/>
      <c r="AI3510" s="49"/>
      <c r="AJ3510" s="49"/>
      <c r="AK3510" s="49"/>
      <c r="AL3510" s="49"/>
      <c r="AM3510" s="49"/>
      <c r="AN3510" s="49"/>
      <c r="AP3510" s="49"/>
      <c r="AQ3510" s="49"/>
      <c r="AR3510" s="49"/>
      <c r="AS3510" s="49"/>
      <c r="AT3510" s="49"/>
    </row>
    <row r="3511">
      <c r="A3511" s="51"/>
      <c r="B3511" s="50" t="s">
        <v>4189</v>
      </c>
      <c r="C3511" s="50" t="s">
        <v>4559</v>
      </c>
      <c r="D3511" s="49" t="str">
        <f>IFERROR(__xludf.DUMMYFUNCTION("""COMPUTED_VALUE"""),"anton")</f>
        <v>anton</v>
      </c>
      <c r="E3511" s="49"/>
      <c r="F3511" s="49"/>
      <c r="G3511" s="49"/>
      <c r="H3511" s="54" t="str">
        <f t="shared" si="1"/>
        <v>revolution,</v>
      </c>
      <c r="I3511" s="50"/>
      <c r="J3511" s="50"/>
      <c r="K3511" s="50" t="s">
        <v>3327</v>
      </c>
      <c r="L3511" s="49"/>
      <c r="M3511" s="49"/>
      <c r="N3511" s="50"/>
      <c r="O3511" s="49"/>
      <c r="P3511" s="49" t="str">
        <f t="shared" si="2"/>
        <v>,</v>
      </c>
      <c r="Q3511" s="49"/>
      <c r="R3511" s="49"/>
      <c r="S3511" s="55" t="s">
        <v>3210</v>
      </c>
      <c r="T3511" s="49"/>
      <c r="U3511" s="49"/>
      <c r="V3511" s="49"/>
      <c r="W3511" s="49"/>
      <c r="X3511" s="49" t="str">
        <f t="shared" si="3"/>
        <v>,</v>
      </c>
      <c r="Y3511" s="49"/>
      <c r="Z3511" s="49"/>
      <c r="AB3511" s="49"/>
      <c r="AC3511" s="49"/>
      <c r="AD3511" s="49"/>
      <c r="AE3511" s="49"/>
      <c r="AF3511" s="49"/>
      <c r="AG3511" s="49"/>
      <c r="AH3511" s="49"/>
      <c r="AI3511" s="49"/>
      <c r="AJ3511" s="49"/>
      <c r="AK3511" s="49"/>
      <c r="AL3511" s="49"/>
      <c r="AM3511" s="49"/>
      <c r="AN3511" s="49"/>
      <c r="AP3511" s="49"/>
      <c r="AQ3511" s="49"/>
      <c r="AR3511" s="49"/>
      <c r="AS3511" s="49"/>
      <c r="AT3511" s="49"/>
    </row>
    <row r="3512">
      <c r="A3512" s="51"/>
      <c r="B3512" s="50" t="s">
        <v>2640</v>
      </c>
      <c r="C3512" s="50" t="s">
        <v>7098</v>
      </c>
      <c r="D3512" s="49" t="str">
        <f>IFERROR(__xludf.DUMMYFUNCTION("""COMPUTED_VALUE"""),"inc")</f>
        <v>inc</v>
      </c>
      <c r="E3512" s="49"/>
      <c r="F3512" s="49"/>
      <c r="G3512" s="49"/>
      <c r="H3512" s="54" t="str">
        <f t="shared" si="1"/>
        <v>rings,</v>
      </c>
      <c r="I3512" s="50"/>
      <c r="J3512" s="50"/>
      <c r="K3512" s="50" t="s">
        <v>5052</v>
      </c>
      <c r="L3512" s="49"/>
      <c r="M3512" s="49"/>
      <c r="N3512" s="50"/>
      <c r="O3512" s="49"/>
      <c r="P3512" s="49" t="str">
        <f t="shared" si="2"/>
        <v>,</v>
      </c>
      <c r="Q3512" s="49"/>
      <c r="R3512" s="49"/>
      <c r="S3512" s="55" t="s">
        <v>3213</v>
      </c>
      <c r="T3512" s="49"/>
      <c r="U3512" s="49"/>
      <c r="V3512" s="49"/>
      <c r="W3512" s="49"/>
      <c r="X3512" s="49" t="str">
        <f t="shared" si="3"/>
        <v>,</v>
      </c>
      <c r="Y3512" s="49"/>
      <c r="Z3512" s="49"/>
      <c r="AB3512" s="49"/>
      <c r="AC3512" s="49"/>
      <c r="AD3512" s="49"/>
      <c r="AE3512" s="49"/>
      <c r="AF3512" s="49"/>
      <c r="AG3512" s="49"/>
      <c r="AH3512" s="49"/>
      <c r="AI3512" s="49"/>
      <c r="AJ3512" s="49"/>
      <c r="AK3512" s="49"/>
      <c r="AL3512" s="49"/>
      <c r="AM3512" s="49"/>
      <c r="AN3512" s="49"/>
      <c r="AP3512" s="49"/>
      <c r="AQ3512" s="49"/>
      <c r="AR3512" s="49"/>
      <c r="AS3512" s="49"/>
      <c r="AT3512" s="49"/>
    </row>
    <row r="3513">
      <c r="A3513" s="51"/>
      <c r="B3513" s="50" t="s">
        <v>6734</v>
      </c>
      <c r="C3513" s="50" t="s">
        <v>1907</v>
      </c>
      <c r="D3513" s="49" t="str">
        <f>IFERROR(__xludf.DUMMYFUNCTION("""COMPUTED_VALUE"""),"consequence")</f>
        <v>consequence</v>
      </c>
      <c r="E3513" s="49"/>
      <c r="F3513" s="49"/>
      <c r="G3513" s="49"/>
      <c r="H3513" s="54" t="str">
        <f t="shared" si="1"/>
        <v>jeremy,</v>
      </c>
      <c r="I3513" s="50"/>
      <c r="J3513" s="50"/>
      <c r="K3513" s="50" t="s">
        <v>3332</v>
      </c>
      <c r="L3513" s="49"/>
      <c r="M3513" s="49"/>
      <c r="N3513" s="50"/>
      <c r="O3513" s="49"/>
      <c r="P3513" s="49" t="str">
        <f t="shared" si="2"/>
        <v>,</v>
      </c>
      <c r="Q3513" s="49"/>
      <c r="R3513" s="49"/>
      <c r="S3513" s="55" t="s">
        <v>7016</v>
      </c>
      <c r="T3513" s="49"/>
      <c r="U3513" s="49"/>
      <c r="V3513" s="49"/>
      <c r="W3513" s="49"/>
      <c r="X3513" s="49" t="str">
        <f t="shared" si="3"/>
        <v>,</v>
      </c>
      <c r="Y3513" s="49"/>
      <c r="Z3513" s="49"/>
      <c r="AB3513" s="49"/>
      <c r="AC3513" s="49"/>
      <c r="AD3513" s="49"/>
      <c r="AE3513" s="49"/>
      <c r="AF3513" s="49"/>
      <c r="AG3513" s="49"/>
      <c r="AH3513" s="49"/>
      <c r="AI3513" s="49"/>
      <c r="AJ3513" s="49"/>
      <c r="AK3513" s="49"/>
      <c r="AL3513" s="49"/>
      <c r="AM3513" s="49"/>
      <c r="AN3513" s="49"/>
      <c r="AP3513" s="49"/>
      <c r="AQ3513" s="49"/>
      <c r="AR3513" s="49"/>
      <c r="AS3513" s="49"/>
      <c r="AT3513" s="49"/>
    </row>
    <row r="3514">
      <c r="A3514" s="51"/>
      <c r="B3514" s="50" t="s">
        <v>6534</v>
      </c>
      <c r="C3514" s="50" t="s">
        <v>6924</v>
      </c>
      <c r="D3514" s="49" t="str">
        <f>IFERROR(__xludf.DUMMYFUNCTION("""COMPUTED_VALUE"""),"flood")</f>
        <v>flood</v>
      </c>
      <c r="E3514" s="49"/>
      <c r="F3514" s="49"/>
      <c r="G3514" s="49"/>
      <c r="H3514" s="54" t="str">
        <f t="shared" si="1"/>
        <v>holding,</v>
      </c>
      <c r="I3514" s="50"/>
      <c r="J3514" s="50"/>
      <c r="K3514" s="50" t="s">
        <v>5054</v>
      </c>
      <c r="L3514" s="49"/>
      <c r="M3514" s="49"/>
      <c r="N3514" s="50"/>
      <c r="O3514" s="49"/>
      <c r="P3514" s="49" t="str">
        <f t="shared" si="2"/>
        <v>,</v>
      </c>
      <c r="Q3514" s="49"/>
      <c r="R3514" s="49"/>
      <c r="S3514" s="55" t="s">
        <v>7099</v>
      </c>
      <c r="T3514" s="49"/>
      <c r="U3514" s="49"/>
      <c r="V3514" s="49"/>
      <c r="W3514" s="49"/>
      <c r="X3514" s="49" t="str">
        <f t="shared" si="3"/>
        <v>,</v>
      </c>
      <c r="Y3514" s="49"/>
      <c r="Z3514" s="49"/>
      <c r="AB3514" s="49"/>
      <c r="AC3514" s="49"/>
      <c r="AD3514" s="49"/>
      <c r="AE3514" s="49"/>
      <c r="AF3514" s="49"/>
      <c r="AG3514" s="49"/>
      <c r="AH3514" s="49"/>
      <c r="AI3514" s="49"/>
      <c r="AJ3514" s="49"/>
      <c r="AK3514" s="49"/>
      <c r="AL3514" s="49"/>
      <c r="AM3514" s="49"/>
      <c r="AN3514" s="49"/>
      <c r="AP3514" s="49"/>
      <c r="AQ3514" s="49"/>
      <c r="AR3514" s="49"/>
      <c r="AS3514" s="49"/>
      <c r="AT3514" s="49"/>
    </row>
    <row r="3515">
      <c r="A3515" s="51"/>
      <c r="B3515" s="50" t="s">
        <v>7518</v>
      </c>
      <c r="C3515" s="50" t="s">
        <v>6925</v>
      </c>
      <c r="D3515" s="49">
        <f>IFERROR(__xludf.DUMMYFUNCTION("""COMPUTED_VALUE"""),1970.0)</f>
        <v>1970</v>
      </c>
      <c r="E3515" s="49"/>
      <c r="F3515" s="49"/>
      <c r="G3515" s="49"/>
      <c r="H3515" s="54" t="str">
        <f t="shared" si="1"/>
        <v>global,</v>
      </c>
      <c r="I3515" s="50"/>
      <c r="J3515" s="50"/>
      <c r="K3515" s="50" t="s">
        <v>3334</v>
      </c>
      <c r="L3515" s="49"/>
      <c r="M3515" s="49"/>
      <c r="N3515" s="50"/>
      <c r="O3515" s="49"/>
      <c r="P3515" s="49" t="str">
        <f t="shared" si="2"/>
        <v>,</v>
      </c>
      <c r="Q3515" s="49"/>
      <c r="R3515" s="49"/>
      <c r="S3515" s="55" t="s">
        <v>1692</v>
      </c>
      <c r="T3515" s="49"/>
      <c r="U3515" s="49"/>
      <c r="V3515" s="49"/>
      <c r="W3515" s="49"/>
      <c r="X3515" s="49" t="str">
        <f t="shared" si="3"/>
        <v>,</v>
      </c>
      <c r="Y3515" s="49"/>
      <c r="Z3515" s="49"/>
      <c r="AB3515" s="49"/>
      <c r="AC3515" s="49"/>
      <c r="AD3515" s="49"/>
      <c r="AE3515" s="49"/>
      <c r="AF3515" s="49"/>
      <c r="AG3515" s="49"/>
      <c r="AH3515" s="49"/>
      <c r="AI3515" s="49"/>
      <c r="AJ3515" s="49"/>
      <c r="AK3515" s="49"/>
      <c r="AL3515" s="49"/>
      <c r="AM3515" s="49"/>
      <c r="AN3515" s="49"/>
      <c r="AP3515" s="49"/>
      <c r="AQ3515" s="49"/>
      <c r="AR3515" s="49"/>
      <c r="AS3515" s="49"/>
      <c r="AT3515" s="49"/>
    </row>
    <row r="3516">
      <c r="A3516" s="51"/>
      <c r="B3516" s="50" t="s">
        <v>5599</v>
      </c>
      <c r="C3516" s="50" t="s">
        <v>6011</v>
      </c>
      <c r="D3516" s="49" t="str">
        <f>IFERROR(__xludf.DUMMYFUNCTION("""COMPUTED_VALUE"""),"personally")</f>
        <v>personally</v>
      </c>
      <c r="E3516" s="49"/>
      <c r="F3516" s="49"/>
      <c r="G3516" s="49"/>
      <c r="H3516" s="54" t="str">
        <f t="shared" si="1"/>
        <v>exists,</v>
      </c>
      <c r="I3516" s="50"/>
      <c r="J3516" s="50"/>
      <c r="K3516" s="50" t="s">
        <v>3339</v>
      </c>
      <c r="L3516" s="49"/>
      <c r="M3516" s="49"/>
      <c r="N3516" s="50"/>
      <c r="O3516" s="49"/>
      <c r="P3516" s="49" t="str">
        <f t="shared" si="2"/>
        <v>,</v>
      </c>
      <c r="Q3516" s="49"/>
      <c r="R3516" s="49"/>
      <c r="S3516" s="55" t="s">
        <v>444</v>
      </c>
      <c r="T3516" s="49"/>
      <c r="U3516" s="49"/>
      <c r="V3516" s="49"/>
      <c r="W3516" s="49"/>
      <c r="X3516" s="49" t="str">
        <f t="shared" si="3"/>
        <v>,</v>
      </c>
      <c r="Y3516" s="49"/>
      <c r="Z3516" s="49"/>
      <c r="AB3516" s="49"/>
      <c r="AC3516" s="49"/>
      <c r="AD3516" s="49"/>
      <c r="AE3516" s="49"/>
      <c r="AF3516" s="49"/>
      <c r="AG3516" s="49"/>
      <c r="AH3516" s="49"/>
      <c r="AI3516" s="49"/>
      <c r="AJ3516" s="49"/>
      <c r="AK3516" s="49"/>
      <c r="AL3516" s="49"/>
      <c r="AM3516" s="49"/>
      <c r="AN3516" s="49"/>
      <c r="AP3516" s="49"/>
      <c r="AQ3516" s="49"/>
      <c r="AR3516" s="49"/>
      <c r="AS3516" s="49"/>
      <c r="AT3516" s="49"/>
    </row>
    <row r="3517">
      <c r="A3517" s="51"/>
      <c r="B3517" s="50" t="s">
        <v>4640</v>
      </c>
      <c r="C3517" s="50">
        <v>120.0</v>
      </c>
      <c r="D3517" s="49" t="str">
        <f>IFERROR(__xludf.DUMMYFUNCTION("""COMPUTED_VALUE"""),"testing")</f>
        <v>testing</v>
      </c>
      <c r="E3517" s="49"/>
      <c r="F3517" s="49"/>
      <c r="G3517" s="49"/>
      <c r="H3517" s="54" t="str">
        <f t="shared" si="1"/>
        <v>legal,</v>
      </c>
      <c r="I3517" s="50"/>
      <c r="J3517" s="50"/>
      <c r="K3517" s="50" t="s">
        <v>3341</v>
      </c>
      <c r="L3517" s="49"/>
      <c r="M3517" s="49"/>
      <c r="N3517" s="50"/>
      <c r="O3517" s="49"/>
      <c r="P3517" s="49" t="str">
        <f t="shared" si="2"/>
        <v>,</v>
      </c>
      <c r="Q3517" s="49"/>
      <c r="R3517" s="49"/>
      <c r="S3517" s="55" t="s">
        <v>7100</v>
      </c>
      <c r="T3517" s="49"/>
      <c r="U3517" s="49"/>
      <c r="V3517" s="49"/>
      <c r="W3517" s="49"/>
      <c r="X3517" s="49" t="str">
        <f t="shared" si="3"/>
        <v>,</v>
      </c>
      <c r="Y3517" s="49"/>
      <c r="Z3517" s="49"/>
      <c r="AB3517" s="49"/>
      <c r="AC3517" s="49"/>
      <c r="AD3517" s="49"/>
      <c r="AE3517" s="49"/>
      <c r="AF3517" s="49"/>
      <c r="AG3517" s="49"/>
      <c r="AH3517" s="49"/>
      <c r="AI3517" s="49"/>
      <c r="AJ3517" s="49"/>
      <c r="AK3517" s="49"/>
      <c r="AL3517" s="49"/>
      <c r="AM3517" s="49"/>
      <c r="AN3517" s="49"/>
      <c r="AP3517" s="49"/>
      <c r="AQ3517" s="49"/>
      <c r="AR3517" s="49"/>
      <c r="AS3517" s="49"/>
      <c r="AT3517" s="49"/>
    </row>
    <row r="3518">
      <c r="A3518" s="51"/>
      <c r="B3518" s="50" t="s">
        <v>4192</v>
      </c>
      <c r="C3518" s="50" t="s">
        <v>5560</v>
      </c>
      <c r="D3518" s="49" t="str">
        <f>IFERROR(__xludf.DUMMYFUNCTION("""COMPUTED_VALUE"""),"ok")</f>
        <v>ok</v>
      </c>
      <c r="E3518" s="49"/>
      <c r="F3518" s="49"/>
      <c r="G3518" s="49"/>
      <c r="H3518" s="54" t="str">
        <f t="shared" si="1"/>
        <v>cared,</v>
      </c>
      <c r="I3518" s="50"/>
      <c r="J3518" s="50"/>
      <c r="K3518" s="50" t="s">
        <v>3344</v>
      </c>
      <c r="L3518" s="49"/>
      <c r="M3518" s="49"/>
      <c r="N3518" s="50"/>
      <c r="O3518" s="49"/>
      <c r="P3518" s="49" t="str">
        <f t="shared" si="2"/>
        <v>,</v>
      </c>
      <c r="Q3518" s="49"/>
      <c r="R3518" s="49"/>
      <c r="S3518" s="55" t="s">
        <v>790</v>
      </c>
      <c r="T3518" s="49"/>
      <c r="U3518" s="49"/>
      <c r="V3518" s="49"/>
      <c r="W3518" s="49"/>
      <c r="X3518" s="49" t="str">
        <f t="shared" si="3"/>
        <v>,</v>
      </c>
      <c r="Y3518" s="49"/>
      <c r="Z3518" s="49"/>
      <c r="AB3518" s="49"/>
      <c r="AC3518" s="49"/>
      <c r="AD3518" s="49"/>
      <c r="AE3518" s="49"/>
      <c r="AF3518" s="49"/>
      <c r="AG3518" s="49"/>
      <c r="AH3518" s="49"/>
      <c r="AI3518" s="49"/>
      <c r="AJ3518" s="49"/>
      <c r="AK3518" s="49"/>
      <c r="AL3518" s="49"/>
      <c r="AM3518" s="49"/>
      <c r="AN3518" s="49"/>
      <c r="AP3518" s="49"/>
      <c r="AQ3518" s="49"/>
      <c r="AR3518" s="49"/>
      <c r="AS3518" s="49"/>
      <c r="AT3518" s="49"/>
    </row>
    <row r="3519">
      <c r="A3519" s="51"/>
      <c r="B3519" s="50" t="s">
        <v>7695</v>
      </c>
      <c r="C3519" s="50" t="s">
        <v>5615</v>
      </c>
      <c r="D3519" s="49" t="str">
        <f>IFERROR(__xludf.DUMMYFUNCTION("""COMPUTED_VALUE"""),"advanced")</f>
        <v>advanced</v>
      </c>
      <c r="E3519" s="49"/>
      <c r="F3519" s="49"/>
      <c r="G3519" s="49"/>
      <c r="H3519" s="54" t="str">
        <f t="shared" si="1"/>
        <v>shall,</v>
      </c>
      <c r="I3519" s="50"/>
      <c r="J3519" s="50"/>
      <c r="K3519" s="50" t="s">
        <v>5058</v>
      </c>
      <c r="L3519" s="49"/>
      <c r="M3519" s="49"/>
      <c r="N3519" s="50"/>
      <c r="O3519" s="49"/>
      <c r="P3519" s="49" t="str">
        <f t="shared" si="2"/>
        <v>,</v>
      </c>
      <c r="Q3519" s="49"/>
      <c r="R3519" s="49"/>
      <c r="S3519" s="55" t="s">
        <v>1700</v>
      </c>
      <c r="T3519" s="49"/>
      <c r="U3519" s="49"/>
      <c r="V3519" s="49"/>
      <c r="W3519" s="49"/>
      <c r="X3519" s="49" t="str">
        <f t="shared" si="3"/>
        <v>,</v>
      </c>
      <c r="Y3519" s="49"/>
      <c r="Z3519" s="49"/>
      <c r="AB3519" s="49"/>
      <c r="AC3519" s="49"/>
      <c r="AD3519" s="49"/>
      <c r="AE3519" s="49"/>
      <c r="AF3519" s="49"/>
      <c r="AG3519" s="49"/>
      <c r="AH3519" s="49"/>
      <c r="AI3519" s="49"/>
      <c r="AJ3519" s="49"/>
      <c r="AK3519" s="49"/>
      <c r="AL3519" s="49"/>
      <c r="AM3519" s="49"/>
      <c r="AN3519" s="49"/>
      <c r="AP3519" s="49"/>
      <c r="AQ3519" s="49"/>
      <c r="AR3519" s="49"/>
      <c r="AS3519" s="49"/>
      <c r="AT3519" s="49"/>
    </row>
    <row r="3520">
      <c r="A3520" s="51"/>
      <c r="B3520" s="50" t="s">
        <v>4503</v>
      </c>
      <c r="C3520" s="50" t="s">
        <v>6013</v>
      </c>
      <c r="D3520" s="49" t="str">
        <f>IFERROR(__xludf.DUMMYFUNCTION("""COMPUTED_VALUE"""),"marshall")</f>
        <v>marshall</v>
      </c>
      <c r="E3520" s="49"/>
      <c r="F3520" s="49"/>
      <c r="G3520" s="49"/>
      <c r="H3520" s="54" t="str">
        <f t="shared" si="1"/>
        <v>atlantic,</v>
      </c>
      <c r="I3520" s="50"/>
      <c r="J3520" s="50"/>
      <c r="K3520" s="50" t="s">
        <v>6132</v>
      </c>
      <c r="L3520" s="49"/>
      <c r="M3520" s="49"/>
      <c r="N3520" s="50"/>
      <c r="O3520" s="49"/>
      <c r="P3520" s="49" t="str">
        <f t="shared" si="2"/>
        <v>,</v>
      </c>
      <c r="Q3520" s="49"/>
      <c r="R3520" s="49"/>
      <c r="S3520" s="55" t="s">
        <v>3225</v>
      </c>
      <c r="T3520" s="49"/>
      <c r="U3520" s="49"/>
      <c r="V3520" s="49"/>
      <c r="W3520" s="49"/>
      <c r="X3520" s="49" t="str">
        <f t="shared" si="3"/>
        <v>,</v>
      </c>
      <c r="Y3520" s="49"/>
      <c r="Z3520" s="49"/>
      <c r="AB3520" s="49"/>
      <c r="AC3520" s="49"/>
      <c r="AD3520" s="49"/>
      <c r="AE3520" s="49"/>
      <c r="AF3520" s="49"/>
      <c r="AG3520" s="49"/>
      <c r="AH3520" s="49"/>
      <c r="AI3520" s="49"/>
      <c r="AJ3520" s="49"/>
      <c r="AK3520" s="49"/>
      <c r="AL3520" s="49"/>
      <c r="AM3520" s="49"/>
      <c r="AN3520" s="49"/>
      <c r="AP3520" s="49"/>
      <c r="AQ3520" s="49"/>
      <c r="AR3520" s="49"/>
      <c r="AS3520" s="49"/>
      <c r="AT3520" s="49"/>
    </row>
    <row r="3521">
      <c r="A3521" s="51"/>
      <c r="B3521" s="50" t="s">
        <v>4633</v>
      </c>
      <c r="C3521" s="50" t="s">
        <v>6074</v>
      </c>
      <c r="D3521" s="49" t="str">
        <f>IFERROR(__xludf.DUMMYFUNCTION("""COMPUTED_VALUE"""),"framework")</f>
        <v>framework</v>
      </c>
      <c r="E3521" s="49"/>
      <c r="F3521" s="49"/>
      <c r="G3521" s="49"/>
      <c r="H3521" s="54" t="str">
        <f t="shared" si="1"/>
        <v>parent,</v>
      </c>
      <c r="I3521" s="50"/>
      <c r="J3521" s="50"/>
      <c r="K3521" s="50" t="s">
        <v>3350</v>
      </c>
      <c r="L3521" s="49"/>
      <c r="M3521" s="49"/>
      <c r="N3521" s="50"/>
      <c r="O3521" s="49"/>
      <c r="P3521" s="49" t="str">
        <f t="shared" si="2"/>
        <v>,</v>
      </c>
      <c r="Q3521" s="49"/>
      <c r="R3521" s="49"/>
      <c r="S3521" s="55" t="s">
        <v>7101</v>
      </c>
      <c r="T3521" s="49"/>
      <c r="U3521" s="49"/>
      <c r="V3521" s="49"/>
      <c r="W3521" s="49"/>
      <c r="X3521" s="49" t="str">
        <f t="shared" si="3"/>
        <v>,</v>
      </c>
      <c r="Y3521" s="49"/>
      <c r="Z3521" s="49"/>
      <c r="AB3521" s="49"/>
      <c r="AC3521" s="49"/>
      <c r="AD3521" s="49"/>
      <c r="AE3521" s="49"/>
      <c r="AF3521" s="49"/>
      <c r="AG3521" s="49"/>
      <c r="AH3521" s="49"/>
      <c r="AI3521" s="49"/>
      <c r="AJ3521" s="49"/>
      <c r="AK3521" s="49"/>
      <c r="AL3521" s="49"/>
      <c r="AM3521" s="49"/>
      <c r="AN3521" s="49"/>
      <c r="AP3521" s="49"/>
      <c r="AQ3521" s="49"/>
      <c r="AR3521" s="49"/>
      <c r="AS3521" s="49"/>
      <c r="AT3521" s="49"/>
    </row>
    <row r="3522">
      <c r="A3522" s="51"/>
      <c r="B3522" s="50" t="s">
        <v>7025</v>
      </c>
      <c r="C3522" s="50" t="s">
        <v>1604</v>
      </c>
      <c r="D3522" s="49" t="str">
        <f>IFERROR(__xludf.DUMMYFUNCTION("""COMPUTED_VALUE"""),"detective")</f>
        <v>detective</v>
      </c>
      <c r="E3522" s="49"/>
      <c r="F3522" s="49"/>
      <c r="G3522" s="49"/>
      <c r="H3522" s="54" t="str">
        <f t="shared" si="1"/>
        <v>telephone,</v>
      </c>
      <c r="I3522" s="50"/>
      <c r="J3522" s="50"/>
      <c r="K3522" s="50" t="s">
        <v>3353</v>
      </c>
      <c r="L3522" s="49"/>
      <c r="M3522" s="49"/>
      <c r="N3522" s="50"/>
      <c r="O3522" s="49"/>
      <c r="P3522" s="49" t="str">
        <f t="shared" si="2"/>
        <v>,</v>
      </c>
      <c r="Q3522" s="49"/>
      <c r="R3522" s="49"/>
      <c r="S3522" s="55" t="s">
        <v>7021</v>
      </c>
      <c r="T3522" s="49"/>
      <c r="U3522" s="49"/>
      <c r="V3522" s="49"/>
      <c r="W3522" s="49"/>
      <c r="X3522" s="49" t="str">
        <f t="shared" si="3"/>
        <v>,</v>
      </c>
      <c r="Y3522" s="49"/>
      <c r="Z3522" s="49"/>
      <c r="AB3522" s="49"/>
      <c r="AC3522" s="49"/>
      <c r="AD3522" s="49"/>
      <c r="AE3522" s="49"/>
      <c r="AF3522" s="49"/>
      <c r="AG3522" s="49"/>
      <c r="AH3522" s="49"/>
      <c r="AI3522" s="49"/>
      <c r="AJ3522" s="49"/>
      <c r="AK3522" s="49"/>
      <c r="AL3522" s="49"/>
      <c r="AM3522" s="49"/>
      <c r="AN3522" s="49"/>
      <c r="AP3522" s="49"/>
      <c r="AQ3522" s="49"/>
      <c r="AR3522" s="49"/>
      <c r="AS3522" s="49"/>
      <c r="AT3522" s="49"/>
    </row>
    <row r="3523">
      <c r="A3523" s="51"/>
      <c r="B3523" s="50" t="s">
        <v>6835</v>
      </c>
      <c r="C3523" s="50" t="s">
        <v>3204</v>
      </c>
      <c r="D3523" s="49" t="str">
        <f>IFERROR(__xludf.DUMMYFUNCTION("""COMPUTED_VALUE"""),"difficulty")</f>
        <v>difficulty</v>
      </c>
      <c r="E3523" s="49"/>
      <c r="F3523" s="49"/>
      <c r="G3523" s="49"/>
      <c r="H3523" s="54" t="str">
        <f t="shared" si="1"/>
        <v>ballet,</v>
      </c>
      <c r="I3523" s="50"/>
      <c r="J3523" s="50"/>
      <c r="K3523" s="50" t="s">
        <v>3354</v>
      </c>
      <c r="L3523" s="49"/>
      <c r="M3523" s="49"/>
      <c r="N3523" s="50"/>
      <c r="O3523" s="49"/>
      <c r="P3523" s="49" t="str">
        <f t="shared" si="2"/>
        <v>,</v>
      </c>
      <c r="Q3523" s="49"/>
      <c r="R3523" s="49"/>
      <c r="S3523" s="55" t="s">
        <v>5821</v>
      </c>
      <c r="T3523" s="49"/>
      <c r="U3523" s="49"/>
      <c r="V3523" s="49"/>
      <c r="W3523" s="49"/>
      <c r="X3523" s="49" t="str">
        <f t="shared" si="3"/>
        <v>,</v>
      </c>
      <c r="Y3523" s="49"/>
      <c r="Z3523" s="49"/>
      <c r="AB3523" s="49"/>
      <c r="AC3523" s="49"/>
      <c r="AD3523" s="49"/>
      <c r="AE3523" s="49"/>
      <c r="AF3523" s="49"/>
      <c r="AG3523" s="49"/>
      <c r="AH3523" s="49"/>
      <c r="AI3523" s="49"/>
      <c r="AJ3523" s="49"/>
      <c r="AK3523" s="49"/>
      <c r="AL3523" s="49"/>
      <c r="AM3523" s="49"/>
      <c r="AN3523" s="49"/>
      <c r="AP3523" s="49"/>
      <c r="AQ3523" s="49"/>
      <c r="AR3523" s="49"/>
      <c r="AS3523" s="49"/>
      <c r="AT3523" s="49"/>
    </row>
    <row r="3524">
      <c r="A3524" s="51"/>
      <c r="B3524" s="50" t="s">
        <v>6833</v>
      </c>
      <c r="C3524" s="50" t="s">
        <v>6926</v>
      </c>
      <c r="D3524" s="49" t="str">
        <f>IFERROR(__xludf.DUMMYFUNCTION("""COMPUTED_VALUE"""),"kurt")</f>
        <v>kurt</v>
      </c>
      <c r="E3524" s="49"/>
      <c r="F3524" s="49"/>
      <c r="G3524" s="49"/>
      <c r="H3524" s="54" t="str">
        <f t="shared" si="1"/>
        <v>voyage,</v>
      </c>
      <c r="I3524" s="50"/>
      <c r="J3524" s="50"/>
      <c r="K3524" s="50" t="s">
        <v>6135</v>
      </c>
      <c r="L3524" s="49"/>
      <c r="M3524" s="49"/>
      <c r="N3524" s="50"/>
      <c r="O3524" s="49"/>
      <c r="P3524" s="49" t="str">
        <f t="shared" si="2"/>
        <v>,</v>
      </c>
      <c r="Q3524" s="49"/>
      <c r="R3524" s="49"/>
      <c r="S3524" s="55" t="s">
        <v>4867</v>
      </c>
      <c r="T3524" s="49"/>
      <c r="U3524" s="49"/>
      <c r="V3524" s="49"/>
      <c r="W3524" s="49"/>
      <c r="X3524" s="49" t="str">
        <f t="shared" si="3"/>
        <v>,</v>
      </c>
      <c r="Y3524" s="49"/>
      <c r="Z3524" s="49"/>
      <c r="AB3524" s="49"/>
      <c r="AC3524" s="49"/>
      <c r="AD3524" s="49"/>
      <c r="AE3524" s="49"/>
      <c r="AF3524" s="49"/>
      <c r="AG3524" s="49"/>
      <c r="AH3524" s="49"/>
      <c r="AI3524" s="49"/>
      <c r="AJ3524" s="49"/>
      <c r="AK3524" s="49"/>
      <c r="AL3524" s="49"/>
      <c r="AM3524" s="49"/>
      <c r="AN3524" s="49"/>
      <c r="AP3524" s="49"/>
      <c r="AQ3524" s="49"/>
      <c r="AR3524" s="49"/>
      <c r="AS3524" s="49"/>
      <c r="AT3524" s="49"/>
    </row>
    <row r="3525">
      <c r="A3525" s="51"/>
      <c r="B3525" s="50" t="s">
        <v>3798</v>
      </c>
      <c r="C3525" s="50" t="s">
        <v>5621</v>
      </c>
      <c r="D3525" s="49" t="str">
        <f>IFERROR(__xludf.DUMMYFUNCTION("""COMPUTED_VALUE"""),"patent")</f>
        <v>patent</v>
      </c>
      <c r="E3525" s="49"/>
      <c r="F3525" s="49"/>
      <c r="G3525" s="49"/>
      <c r="H3525" s="54" t="str">
        <f t="shared" si="1"/>
        <v>drops,</v>
      </c>
      <c r="I3525" s="50"/>
      <c r="J3525" s="50"/>
      <c r="K3525" s="50" t="s">
        <v>6136</v>
      </c>
      <c r="L3525" s="49"/>
      <c r="M3525" s="49"/>
      <c r="N3525" s="50"/>
      <c r="O3525" s="49"/>
      <c r="P3525" s="49" t="str">
        <f t="shared" si="2"/>
        <v>,</v>
      </c>
      <c r="Q3525" s="49"/>
      <c r="R3525" s="49"/>
      <c r="S3525" s="55" t="s">
        <v>3228</v>
      </c>
      <c r="T3525" s="49"/>
      <c r="U3525" s="49"/>
      <c r="V3525" s="49"/>
      <c r="W3525" s="49"/>
      <c r="X3525" s="49" t="str">
        <f t="shared" si="3"/>
        <v>,</v>
      </c>
      <c r="Y3525" s="49"/>
      <c r="Z3525" s="49"/>
      <c r="AB3525" s="49"/>
      <c r="AC3525" s="49"/>
      <c r="AD3525" s="49"/>
      <c r="AE3525" s="49"/>
      <c r="AF3525" s="49"/>
      <c r="AG3525" s="49"/>
      <c r="AH3525" s="49"/>
      <c r="AI3525" s="49"/>
      <c r="AJ3525" s="49"/>
      <c r="AK3525" s="49"/>
      <c r="AL3525" s="49"/>
      <c r="AM3525" s="49"/>
      <c r="AN3525" s="49"/>
      <c r="AP3525" s="49"/>
      <c r="AQ3525" s="49"/>
      <c r="AR3525" s="49"/>
      <c r="AS3525" s="49"/>
      <c r="AT3525" s="49"/>
    </row>
    <row r="3526">
      <c r="A3526" s="51"/>
      <c r="B3526" s="50" t="s">
        <v>5006</v>
      </c>
      <c r="C3526" s="50" t="s">
        <v>3843</v>
      </c>
      <c r="D3526" s="49" t="str">
        <f>IFERROR(__xludf.DUMMYFUNCTION("""COMPUTED_VALUE"""),"widely")</f>
        <v>widely</v>
      </c>
      <c r="E3526" s="49"/>
      <c r="F3526" s="49"/>
      <c r="G3526" s="49"/>
      <c r="H3526" s="54" t="str">
        <f t="shared" si="1"/>
        <v>harm,</v>
      </c>
      <c r="I3526" s="50"/>
      <c r="J3526" s="50"/>
      <c r="K3526" s="50" t="s">
        <v>6138</v>
      </c>
      <c r="L3526" s="49"/>
      <c r="M3526" s="49"/>
      <c r="N3526" s="50"/>
      <c r="O3526" s="49"/>
      <c r="P3526" s="49" t="str">
        <f t="shared" si="2"/>
        <v>,</v>
      </c>
      <c r="Q3526" s="49"/>
      <c r="R3526" s="49"/>
      <c r="S3526" s="55" t="s">
        <v>3230</v>
      </c>
      <c r="T3526" s="49"/>
      <c r="U3526" s="49"/>
      <c r="V3526" s="49"/>
      <c r="W3526" s="49"/>
      <c r="X3526" s="49" t="str">
        <f t="shared" si="3"/>
        <v>,</v>
      </c>
      <c r="Y3526" s="49"/>
      <c r="Z3526" s="49"/>
      <c r="AB3526" s="49"/>
      <c r="AC3526" s="49"/>
      <c r="AD3526" s="49"/>
      <c r="AE3526" s="49"/>
      <c r="AF3526" s="49"/>
      <c r="AG3526" s="49"/>
      <c r="AH3526" s="49"/>
      <c r="AI3526" s="49"/>
      <c r="AJ3526" s="49"/>
      <c r="AK3526" s="49"/>
      <c r="AL3526" s="49"/>
      <c r="AM3526" s="49"/>
      <c r="AN3526" s="49"/>
      <c r="AP3526" s="49"/>
      <c r="AQ3526" s="49"/>
      <c r="AR3526" s="49"/>
      <c r="AS3526" s="49"/>
      <c r="AT3526" s="49"/>
    </row>
    <row r="3527">
      <c r="A3527" s="51"/>
      <c r="B3527" s="50" t="s">
        <v>1806</v>
      </c>
      <c r="C3527" s="50" t="s">
        <v>6020</v>
      </c>
      <c r="D3527" s="49" t="str">
        <f>IFERROR(__xludf.DUMMYFUNCTION("""COMPUTED_VALUE"""),"appropriate")</f>
        <v>appropriate</v>
      </c>
      <c r="E3527" s="49"/>
      <c r="F3527" s="49"/>
      <c r="G3527" s="49"/>
      <c r="H3527" s="54" t="str">
        <f t="shared" si="1"/>
        <v>videos,</v>
      </c>
      <c r="I3527" s="50"/>
      <c r="J3527" s="50"/>
      <c r="K3527" s="50" t="s">
        <v>6139</v>
      </c>
      <c r="L3527" s="49"/>
      <c r="M3527" s="49"/>
      <c r="N3527" s="50"/>
      <c r="O3527" s="49"/>
      <c r="P3527" s="49" t="str">
        <f t="shared" si="2"/>
        <v>,</v>
      </c>
      <c r="Q3527" s="49"/>
      <c r="R3527" s="49"/>
      <c r="S3527" s="55" t="s">
        <v>6176</v>
      </c>
      <c r="T3527" s="49"/>
      <c r="U3527" s="49"/>
      <c r="V3527" s="49"/>
      <c r="W3527" s="49"/>
      <c r="X3527" s="49" t="str">
        <f t="shared" si="3"/>
        <v>,</v>
      </c>
      <c r="Y3527" s="49"/>
      <c r="Z3527" s="49"/>
      <c r="AB3527" s="49"/>
      <c r="AC3527" s="49"/>
      <c r="AD3527" s="49"/>
      <c r="AE3527" s="49"/>
      <c r="AF3527" s="49"/>
      <c r="AG3527" s="49"/>
      <c r="AH3527" s="49"/>
      <c r="AI3527" s="49"/>
      <c r="AJ3527" s="49"/>
      <c r="AK3527" s="49"/>
      <c r="AL3527" s="49"/>
      <c r="AM3527" s="49"/>
      <c r="AN3527" s="49"/>
      <c r="AP3527" s="49"/>
      <c r="AQ3527" s="49"/>
      <c r="AR3527" s="49"/>
      <c r="AS3527" s="49"/>
      <c r="AT3527" s="49"/>
    </row>
    <row r="3528">
      <c r="A3528" s="51"/>
      <c r="B3528" s="50" t="s">
        <v>7189</v>
      </c>
      <c r="C3528" s="50" t="s">
        <v>6927</v>
      </c>
      <c r="D3528" s="49" t="str">
        <f>IFERROR(__xludf.DUMMYFUNCTION("""COMPUTED_VALUE"""),"lisa")</f>
        <v>lisa</v>
      </c>
      <c r="E3528" s="49"/>
      <c r="F3528" s="49"/>
      <c r="G3528" s="49"/>
      <c r="H3528" s="54" t="str">
        <f t="shared" si="1"/>
        <v>citizen,</v>
      </c>
      <c r="I3528" s="50"/>
      <c r="J3528" s="50"/>
      <c r="K3528" s="50" t="s">
        <v>6140</v>
      </c>
      <c r="L3528" s="49"/>
      <c r="M3528" s="49"/>
      <c r="N3528" s="50"/>
      <c r="O3528" s="49"/>
      <c r="P3528" s="49" t="str">
        <f t="shared" si="2"/>
        <v>,</v>
      </c>
      <c r="Q3528" s="49"/>
      <c r="R3528" s="49"/>
      <c r="S3528" s="55" t="s">
        <v>4990</v>
      </c>
      <c r="T3528" s="49"/>
      <c r="U3528" s="49"/>
      <c r="V3528" s="49"/>
      <c r="W3528" s="49"/>
      <c r="X3528" s="49" t="str">
        <f t="shared" si="3"/>
        <v>,</v>
      </c>
      <c r="Y3528" s="49"/>
      <c r="Z3528" s="49"/>
      <c r="AB3528" s="49"/>
      <c r="AC3528" s="49"/>
      <c r="AD3528" s="49"/>
      <c r="AE3528" s="49"/>
      <c r="AF3528" s="49"/>
      <c r="AG3528" s="49"/>
      <c r="AH3528" s="49"/>
      <c r="AI3528" s="49"/>
      <c r="AJ3528" s="49"/>
      <c r="AK3528" s="49"/>
      <c r="AL3528" s="49"/>
      <c r="AM3528" s="49"/>
      <c r="AN3528" s="49"/>
      <c r="AP3528" s="49"/>
      <c r="AQ3528" s="49"/>
      <c r="AR3528" s="49"/>
      <c r="AS3528" s="49"/>
      <c r="AT3528" s="49"/>
    </row>
    <row r="3529">
      <c r="A3529" s="51"/>
      <c r="B3529" s="50" t="s">
        <v>4254</v>
      </c>
      <c r="C3529" s="50" t="s">
        <v>6928</v>
      </c>
      <c r="D3529" s="49" t="str">
        <f>IFERROR(__xludf.DUMMYFUNCTION("""COMPUTED_VALUE"""),"managing")</f>
        <v>managing</v>
      </c>
      <c r="E3529" s="49"/>
      <c r="F3529" s="49"/>
      <c r="G3529" s="49"/>
      <c r="H3529" s="54" t="str">
        <f t="shared" si="1"/>
        <v>composed,</v>
      </c>
      <c r="I3529" s="50"/>
      <c r="J3529" s="50"/>
      <c r="K3529" s="50" t="s">
        <v>5274</v>
      </c>
      <c r="L3529" s="49"/>
      <c r="M3529" s="49"/>
      <c r="N3529" s="50"/>
      <c r="O3529" s="49"/>
      <c r="P3529" s="49" t="str">
        <f t="shared" si="2"/>
        <v>,</v>
      </c>
      <c r="Q3529" s="49"/>
      <c r="R3529" s="49"/>
      <c r="S3529" s="55" t="s">
        <v>3232</v>
      </c>
      <c r="T3529" s="49"/>
      <c r="U3529" s="49"/>
      <c r="V3529" s="49"/>
      <c r="W3529" s="49"/>
      <c r="X3529" s="49" t="str">
        <f t="shared" si="3"/>
        <v>,</v>
      </c>
      <c r="Y3529" s="49"/>
      <c r="Z3529" s="49"/>
      <c r="AB3529" s="49"/>
      <c r="AC3529" s="49"/>
      <c r="AD3529" s="49"/>
      <c r="AE3529" s="49"/>
      <c r="AF3529" s="49"/>
      <c r="AG3529" s="49"/>
      <c r="AH3529" s="49"/>
      <c r="AI3529" s="49"/>
      <c r="AJ3529" s="49"/>
      <c r="AK3529" s="49"/>
      <c r="AL3529" s="49"/>
      <c r="AM3529" s="49"/>
      <c r="AN3529" s="49"/>
      <c r="AP3529" s="49"/>
      <c r="AQ3529" s="49"/>
      <c r="AR3529" s="49"/>
      <c r="AS3529" s="49"/>
      <c r="AT3529" s="49"/>
    </row>
    <row r="3530">
      <c r="A3530" s="51"/>
      <c r="B3530" s="50" t="s">
        <v>4228</v>
      </c>
      <c r="C3530" s="50" t="s">
        <v>4795</v>
      </c>
      <c r="D3530" s="49" t="str">
        <f>IFERROR(__xludf.DUMMYFUNCTION("""COMPUTED_VALUE"""),"jury")</f>
        <v>jury</v>
      </c>
      <c r="E3530" s="49"/>
      <c r="F3530" s="49"/>
      <c r="G3530" s="49"/>
      <c r="H3530" s="54" t="str">
        <f t="shared" si="1"/>
        <v>calm,</v>
      </c>
      <c r="I3530" s="50"/>
      <c r="J3530" s="50"/>
      <c r="K3530" s="50" t="s">
        <v>3357</v>
      </c>
      <c r="L3530" s="49"/>
      <c r="M3530" s="49"/>
      <c r="N3530" s="50"/>
      <c r="O3530" s="49"/>
      <c r="P3530" s="49" t="str">
        <f t="shared" si="2"/>
        <v>,</v>
      </c>
      <c r="Q3530" s="49"/>
      <c r="R3530" s="49"/>
      <c r="S3530" s="55" t="s">
        <v>3235</v>
      </c>
      <c r="T3530" s="49"/>
      <c r="U3530" s="49"/>
      <c r="V3530" s="49"/>
      <c r="W3530" s="49"/>
      <c r="X3530" s="49" t="str">
        <f t="shared" si="3"/>
        <v>,</v>
      </c>
      <c r="Y3530" s="49"/>
      <c r="Z3530" s="49"/>
      <c r="AB3530" s="49"/>
      <c r="AC3530" s="49"/>
      <c r="AD3530" s="49"/>
      <c r="AE3530" s="49"/>
      <c r="AF3530" s="49"/>
      <c r="AG3530" s="49"/>
      <c r="AH3530" s="49"/>
      <c r="AI3530" s="49"/>
      <c r="AJ3530" s="49"/>
      <c r="AK3530" s="49"/>
      <c r="AL3530" s="49"/>
      <c r="AM3530" s="49"/>
      <c r="AN3530" s="49"/>
      <c r="AP3530" s="49"/>
      <c r="AQ3530" s="49"/>
      <c r="AR3530" s="49"/>
      <c r="AS3530" s="49"/>
      <c r="AT3530" s="49"/>
    </row>
    <row r="3531">
      <c r="A3531" s="51"/>
      <c r="B3531" s="50" t="s">
        <v>7696</v>
      </c>
      <c r="C3531" s="50" t="s">
        <v>5630</v>
      </c>
      <c r="D3531" s="49" t="str">
        <f>IFERROR(__xludf.DUMMYFUNCTION("""COMPUTED_VALUE"""),"connections")</f>
        <v>connections</v>
      </c>
      <c r="E3531" s="49"/>
      <c r="F3531" s="49"/>
      <c r="G3531" s="49"/>
      <c r="H3531" s="54" t="str">
        <f t="shared" si="1"/>
        <v>olive,</v>
      </c>
      <c r="I3531" s="50"/>
      <c r="J3531" s="50"/>
      <c r="K3531" s="50" t="s">
        <v>5062</v>
      </c>
      <c r="L3531" s="49"/>
      <c r="M3531" s="49"/>
      <c r="N3531" s="50"/>
      <c r="O3531" s="49"/>
      <c r="P3531" s="49" t="str">
        <f t="shared" si="2"/>
        <v>,</v>
      </c>
      <c r="Q3531" s="49"/>
      <c r="R3531" s="49"/>
      <c r="S3531" s="55" t="s">
        <v>3239</v>
      </c>
      <c r="T3531" s="49"/>
      <c r="U3531" s="49"/>
      <c r="V3531" s="49"/>
      <c r="W3531" s="49"/>
      <c r="X3531" s="49" t="str">
        <f t="shared" si="3"/>
        <v>,</v>
      </c>
      <c r="Y3531" s="49"/>
      <c r="Z3531" s="49"/>
      <c r="AB3531" s="49"/>
      <c r="AC3531" s="49"/>
      <c r="AD3531" s="49"/>
      <c r="AE3531" s="49"/>
      <c r="AF3531" s="49"/>
      <c r="AG3531" s="49"/>
      <c r="AH3531" s="49"/>
      <c r="AI3531" s="49"/>
      <c r="AJ3531" s="49"/>
      <c r="AK3531" s="49"/>
      <c r="AL3531" s="49"/>
      <c r="AM3531" s="49"/>
      <c r="AN3531" s="49"/>
      <c r="AP3531" s="49"/>
      <c r="AQ3531" s="49"/>
      <c r="AR3531" s="49"/>
      <c r="AS3531" s="49"/>
      <c r="AT3531" s="49"/>
    </row>
    <row r="3532">
      <c r="A3532" s="51"/>
      <c r="B3532" s="50" t="s">
        <v>4768</v>
      </c>
      <c r="C3532" s="50" t="s">
        <v>6929</v>
      </c>
      <c r="D3532" s="49" t="str">
        <f>IFERROR(__xludf.DUMMYFUNCTION("""COMPUTED_VALUE"""),"temple")</f>
        <v>temple</v>
      </c>
      <c r="E3532" s="49"/>
      <c r="F3532" s="49"/>
      <c r="G3532" s="49"/>
      <c r="H3532" s="54" t="str">
        <f t="shared" si="1"/>
        <v>sullivan,</v>
      </c>
      <c r="I3532" s="50"/>
      <c r="J3532" s="50"/>
      <c r="K3532" s="50" t="s">
        <v>3360</v>
      </c>
      <c r="L3532" s="49"/>
      <c r="M3532" s="49"/>
      <c r="N3532" s="50"/>
      <c r="O3532" s="49"/>
      <c r="P3532" s="49" t="str">
        <f t="shared" si="2"/>
        <v>,</v>
      </c>
      <c r="Q3532" s="49"/>
      <c r="R3532" s="49"/>
      <c r="S3532" s="55" t="s">
        <v>3242</v>
      </c>
      <c r="T3532" s="49"/>
      <c r="U3532" s="49"/>
      <c r="V3532" s="49"/>
      <c r="W3532" s="49"/>
      <c r="X3532" s="49" t="str">
        <f t="shared" si="3"/>
        <v>,</v>
      </c>
      <c r="Y3532" s="49"/>
      <c r="Z3532" s="49"/>
      <c r="AB3532" s="49"/>
      <c r="AC3532" s="49"/>
      <c r="AD3532" s="49"/>
      <c r="AE3532" s="49"/>
      <c r="AF3532" s="49"/>
      <c r="AG3532" s="49"/>
      <c r="AH3532" s="49"/>
      <c r="AI3532" s="49"/>
      <c r="AJ3532" s="49"/>
      <c r="AK3532" s="49"/>
      <c r="AL3532" s="49"/>
      <c r="AM3532" s="49"/>
      <c r="AN3532" s="49"/>
      <c r="AP3532" s="49"/>
      <c r="AQ3532" s="49"/>
      <c r="AR3532" s="49"/>
      <c r="AS3532" s="49"/>
      <c r="AT3532" s="49"/>
    </row>
    <row r="3533">
      <c r="A3533" s="51"/>
      <c r="B3533" s="50" t="s">
        <v>2392</v>
      </c>
      <c r="C3533" s="50" t="s">
        <v>7102</v>
      </c>
      <c r="D3533" s="49" t="str">
        <f>IFERROR(__xludf.DUMMYFUNCTION("""COMPUTED_VALUE"""),"religious")</f>
        <v>religious</v>
      </c>
      <c r="E3533" s="49"/>
      <c r="F3533" s="49"/>
      <c r="G3533" s="49"/>
      <c r="H3533" s="54" t="str">
        <f t="shared" si="1"/>
        <v>suffering,</v>
      </c>
      <c r="I3533" s="50"/>
      <c r="J3533" s="50"/>
      <c r="K3533" s="50" t="s">
        <v>5065</v>
      </c>
      <c r="L3533" s="49"/>
      <c r="M3533" s="49"/>
      <c r="N3533" s="50"/>
      <c r="O3533" s="49"/>
      <c r="P3533" s="49" t="str">
        <f t="shared" si="2"/>
        <v>,</v>
      </c>
      <c r="Q3533" s="49"/>
      <c r="R3533" s="49"/>
      <c r="S3533" s="55" t="s">
        <v>1837</v>
      </c>
      <c r="T3533" s="49"/>
      <c r="U3533" s="49"/>
      <c r="V3533" s="49"/>
      <c r="W3533" s="49"/>
      <c r="X3533" s="49" t="str">
        <f t="shared" si="3"/>
        <v>,</v>
      </c>
      <c r="Y3533" s="49"/>
      <c r="Z3533" s="49"/>
      <c r="AB3533" s="49"/>
      <c r="AC3533" s="49"/>
      <c r="AD3533" s="49"/>
      <c r="AE3533" s="49"/>
      <c r="AF3533" s="49"/>
      <c r="AG3533" s="49"/>
      <c r="AH3533" s="49"/>
      <c r="AI3533" s="49"/>
      <c r="AJ3533" s="49"/>
      <c r="AK3533" s="49"/>
      <c r="AL3533" s="49"/>
      <c r="AM3533" s="49"/>
      <c r="AN3533" s="49"/>
      <c r="AP3533" s="49"/>
      <c r="AQ3533" s="49"/>
      <c r="AR3533" s="49"/>
      <c r="AS3533" s="49"/>
      <c r="AT3533" s="49"/>
    </row>
    <row r="3534">
      <c r="A3534" s="51"/>
      <c r="B3534" s="50" t="s">
        <v>6902</v>
      </c>
      <c r="C3534" s="50" t="s">
        <v>6021</v>
      </c>
      <c r="D3534" s="49" t="str">
        <f>IFERROR(__xludf.DUMMYFUNCTION("""COMPUTED_VALUE"""),"entering")</f>
        <v>entering</v>
      </c>
      <c r="E3534" s="49"/>
      <c r="F3534" s="49"/>
      <c r="G3534" s="49"/>
      <c r="H3534" s="54" t="str">
        <f t="shared" si="1"/>
        <v>engine,</v>
      </c>
      <c r="I3534" s="50"/>
      <c r="J3534" s="50"/>
      <c r="K3534" s="50" t="s">
        <v>6103</v>
      </c>
      <c r="L3534" s="49"/>
      <c r="M3534" s="49"/>
      <c r="N3534" s="50"/>
      <c r="O3534" s="49"/>
      <c r="P3534" s="49" t="str">
        <f t="shared" si="2"/>
        <v>,</v>
      </c>
      <c r="Q3534" s="49"/>
      <c r="R3534" s="49"/>
      <c r="S3534" s="55" t="s">
        <v>3245</v>
      </c>
      <c r="T3534" s="49"/>
      <c r="U3534" s="49"/>
      <c r="V3534" s="49"/>
      <c r="W3534" s="49"/>
      <c r="X3534" s="49" t="str">
        <f t="shared" si="3"/>
        <v>,</v>
      </c>
      <c r="Y3534" s="49"/>
      <c r="Z3534" s="49"/>
      <c r="AB3534" s="49"/>
      <c r="AC3534" s="49"/>
      <c r="AD3534" s="49"/>
      <c r="AE3534" s="49"/>
      <c r="AF3534" s="49"/>
      <c r="AG3534" s="49"/>
      <c r="AH3534" s="49"/>
      <c r="AI3534" s="49"/>
      <c r="AJ3534" s="49"/>
      <c r="AK3534" s="49"/>
      <c r="AL3534" s="49"/>
      <c r="AM3534" s="49"/>
      <c r="AN3534" s="49"/>
      <c r="AP3534" s="49"/>
      <c r="AQ3534" s="49"/>
      <c r="AR3534" s="49"/>
      <c r="AS3534" s="49"/>
      <c r="AT3534" s="49"/>
    </row>
    <row r="3535">
      <c r="A3535" s="51"/>
      <c r="B3535" s="50" t="s">
        <v>5884</v>
      </c>
      <c r="C3535" s="50" t="s">
        <v>7103</v>
      </c>
      <c r="D3535" s="49" t="str">
        <f>IFERROR(__xludf.DUMMYFUNCTION("""COMPUTED_VALUE"""),"spoken")</f>
        <v>spoken</v>
      </c>
      <c r="E3535" s="49"/>
      <c r="F3535" s="49"/>
      <c r="G3535" s="49"/>
      <c r="H3535" s="54" t="str">
        <f t="shared" si="1"/>
        <v>dave,</v>
      </c>
      <c r="I3535" s="50"/>
      <c r="J3535" s="50"/>
      <c r="K3535" s="50" t="s">
        <v>1712</v>
      </c>
      <c r="L3535" s="49"/>
      <c r="M3535" s="49"/>
      <c r="N3535" s="50"/>
      <c r="O3535" s="49"/>
      <c r="P3535" s="49" t="str">
        <f t="shared" si="2"/>
        <v>,</v>
      </c>
      <c r="Q3535" s="49"/>
      <c r="R3535" s="49"/>
      <c r="S3535" s="55" t="s">
        <v>3986</v>
      </c>
      <c r="T3535" s="49"/>
      <c r="U3535" s="49"/>
      <c r="V3535" s="49"/>
      <c r="W3535" s="49"/>
      <c r="X3535" s="49" t="str">
        <f t="shared" si="3"/>
        <v>,</v>
      </c>
      <c r="Y3535" s="49"/>
      <c r="Z3535" s="49"/>
      <c r="AB3535" s="49"/>
      <c r="AC3535" s="49"/>
      <c r="AD3535" s="49"/>
      <c r="AE3535" s="49"/>
      <c r="AF3535" s="49"/>
      <c r="AG3535" s="49"/>
      <c r="AH3535" s="49"/>
      <c r="AI3535" s="49"/>
      <c r="AJ3535" s="49"/>
      <c r="AK3535" s="49"/>
      <c r="AL3535" s="49"/>
      <c r="AM3535" s="49"/>
      <c r="AN3535" s="49"/>
      <c r="AP3535" s="49"/>
      <c r="AQ3535" s="49"/>
      <c r="AR3535" s="49"/>
      <c r="AS3535" s="49"/>
      <c r="AT3535" s="49"/>
    </row>
    <row r="3536">
      <c r="A3536" s="51"/>
      <c r="B3536" s="50" t="s">
        <v>2149</v>
      </c>
      <c r="C3536" s="50" t="s">
        <v>7104</v>
      </c>
      <c r="D3536" s="49" t="str">
        <f>IFERROR(__xludf.DUMMYFUNCTION("""COMPUTED_VALUE"""),"scoring")</f>
        <v>scoring</v>
      </c>
      <c r="E3536" s="49"/>
      <c r="F3536" s="49"/>
      <c r="G3536" s="49"/>
      <c r="H3536" s="54" t="str">
        <f t="shared" si="1"/>
        <v>dvd,</v>
      </c>
      <c r="I3536" s="50"/>
      <c r="J3536" s="50"/>
      <c r="K3536" s="50" t="s">
        <v>3367</v>
      </c>
      <c r="L3536" s="49"/>
      <c r="M3536" s="49"/>
      <c r="N3536" s="50"/>
      <c r="O3536" s="49"/>
      <c r="P3536" s="49" t="str">
        <f t="shared" si="2"/>
        <v>,</v>
      </c>
      <c r="Q3536" s="49"/>
      <c r="R3536" s="49"/>
      <c r="S3536" s="55" t="s">
        <v>3248</v>
      </c>
      <c r="T3536" s="49"/>
      <c r="U3536" s="49"/>
      <c r="V3536" s="49"/>
      <c r="W3536" s="49"/>
      <c r="X3536" s="49" t="str">
        <f t="shared" si="3"/>
        <v>,</v>
      </c>
      <c r="Y3536" s="49"/>
      <c r="Z3536" s="49"/>
      <c r="AB3536" s="49"/>
      <c r="AC3536" s="49"/>
      <c r="AD3536" s="49"/>
      <c r="AE3536" s="49"/>
      <c r="AF3536" s="49"/>
      <c r="AG3536" s="49"/>
      <c r="AH3536" s="49"/>
      <c r="AI3536" s="49"/>
      <c r="AJ3536" s="49"/>
      <c r="AK3536" s="49"/>
      <c r="AL3536" s="49"/>
      <c r="AM3536" s="49"/>
      <c r="AN3536" s="49"/>
      <c r="AP3536" s="49"/>
      <c r="AQ3536" s="49"/>
      <c r="AR3536" s="49"/>
      <c r="AS3536" s="49"/>
      <c r="AT3536" s="49"/>
    </row>
    <row r="3537">
      <c r="A3537" s="51"/>
      <c r="B3537" s="50" t="s">
        <v>1722</v>
      </c>
      <c r="C3537" s="50" t="s">
        <v>4916</v>
      </c>
      <c r="D3537" s="49" t="str">
        <f>IFERROR(__xludf.DUMMYFUNCTION("""COMPUTED_VALUE"""),"telephone")</f>
        <v>telephone</v>
      </c>
      <c r="E3537" s="49"/>
      <c r="F3537" s="49"/>
      <c r="G3537" s="49"/>
      <c r="H3537" s="54" t="str">
        <f t="shared" si="1"/>
        <v>fury,</v>
      </c>
      <c r="I3537" s="50"/>
      <c r="J3537" s="50"/>
      <c r="K3537" s="50" t="s">
        <v>6145</v>
      </c>
      <c r="L3537" s="49"/>
      <c r="M3537" s="49"/>
      <c r="N3537" s="50"/>
      <c r="O3537" s="49"/>
      <c r="P3537" s="49" t="str">
        <f t="shared" si="2"/>
        <v>,</v>
      </c>
      <c r="Q3537" s="49"/>
      <c r="R3537" s="49"/>
      <c r="S3537" s="55" t="s">
        <v>1895</v>
      </c>
      <c r="T3537" s="49"/>
      <c r="U3537" s="49"/>
      <c r="V3537" s="49"/>
      <c r="W3537" s="49"/>
      <c r="X3537" s="49" t="str">
        <f t="shared" si="3"/>
        <v>,</v>
      </c>
      <c r="Y3537" s="49"/>
      <c r="Z3537" s="49"/>
      <c r="AB3537" s="49"/>
      <c r="AC3537" s="49"/>
      <c r="AD3537" s="49"/>
      <c r="AE3537" s="49"/>
      <c r="AF3537" s="49"/>
      <c r="AG3537" s="49"/>
      <c r="AH3537" s="49"/>
      <c r="AI3537" s="49"/>
      <c r="AJ3537" s="49"/>
      <c r="AK3537" s="49"/>
      <c r="AL3537" s="49"/>
      <c r="AM3537" s="49"/>
      <c r="AN3537" s="49"/>
      <c r="AP3537" s="49"/>
      <c r="AQ3537" s="49"/>
      <c r="AR3537" s="49"/>
      <c r="AS3537" s="49"/>
      <c r="AT3537" s="49"/>
    </row>
    <row r="3538">
      <c r="A3538" s="51"/>
      <c r="B3538" s="50" t="s">
        <v>6466</v>
      </c>
      <c r="C3538" s="50" t="s">
        <v>6023</v>
      </c>
      <c r="D3538" s="49" t="str">
        <f>IFERROR(__xludf.DUMMYFUNCTION("""COMPUTED_VALUE"""),"sword")</f>
        <v>sword</v>
      </c>
      <c r="E3538" s="49"/>
      <c r="F3538" s="49"/>
      <c r="G3538" s="49"/>
      <c r="H3538" s="54" t="str">
        <f t="shared" si="1"/>
        <v>techniques,</v>
      </c>
      <c r="I3538" s="50"/>
      <c r="J3538" s="50"/>
      <c r="K3538" s="50" t="s">
        <v>4598</v>
      </c>
      <c r="L3538" s="49"/>
      <c r="M3538" s="49"/>
      <c r="N3538" s="50"/>
      <c r="O3538" s="49"/>
      <c r="P3538" s="49" t="str">
        <f t="shared" si="2"/>
        <v>,</v>
      </c>
      <c r="Q3538" s="49"/>
      <c r="R3538" s="49"/>
      <c r="S3538" s="55" t="s">
        <v>3249</v>
      </c>
      <c r="T3538" s="49"/>
      <c r="U3538" s="49"/>
      <c r="V3538" s="49"/>
      <c r="W3538" s="49"/>
      <c r="X3538" s="49" t="str">
        <f t="shared" si="3"/>
        <v>,</v>
      </c>
      <c r="Y3538" s="49"/>
      <c r="Z3538" s="49"/>
      <c r="AB3538" s="49"/>
      <c r="AC3538" s="49"/>
      <c r="AD3538" s="49"/>
      <c r="AE3538" s="49"/>
      <c r="AF3538" s="49"/>
      <c r="AG3538" s="49"/>
      <c r="AH3538" s="49"/>
      <c r="AI3538" s="49"/>
      <c r="AJ3538" s="49"/>
      <c r="AK3538" s="49"/>
      <c r="AL3538" s="49"/>
      <c r="AM3538" s="49"/>
      <c r="AN3538" s="49"/>
      <c r="AP3538" s="49"/>
      <c r="AQ3538" s="49"/>
      <c r="AR3538" s="49"/>
      <c r="AS3538" s="49"/>
      <c r="AT3538" s="49"/>
    </row>
    <row r="3539">
      <c r="A3539" s="51"/>
      <c r="B3539" s="50" t="s">
        <v>1663</v>
      </c>
      <c r="C3539" s="50" t="s">
        <v>6931</v>
      </c>
      <c r="D3539" s="49" t="str">
        <f>IFERROR(__xludf.DUMMYFUNCTION("""COMPUTED_VALUE"""),"parent")</f>
        <v>parent</v>
      </c>
      <c r="E3539" s="49"/>
      <c r="F3539" s="49"/>
      <c r="G3539" s="49"/>
      <c r="H3539" s="54" t="str">
        <f t="shared" si="1"/>
        <v>extraordinary,</v>
      </c>
      <c r="I3539" s="50"/>
      <c r="J3539" s="50"/>
      <c r="K3539" s="50" t="s">
        <v>5879</v>
      </c>
      <c r="L3539" s="49"/>
      <c r="M3539" s="49"/>
      <c r="N3539" s="50"/>
      <c r="O3539" s="49"/>
      <c r="P3539" s="49" t="str">
        <f t="shared" si="2"/>
        <v>,</v>
      </c>
      <c r="Q3539" s="49"/>
      <c r="R3539" s="49"/>
      <c r="S3539" s="55" t="s">
        <v>3252</v>
      </c>
      <c r="T3539" s="49"/>
      <c r="U3539" s="49"/>
      <c r="V3539" s="49"/>
      <c r="W3539" s="49"/>
      <c r="X3539" s="49" t="str">
        <f t="shared" si="3"/>
        <v>,</v>
      </c>
      <c r="Y3539" s="49"/>
      <c r="Z3539" s="49"/>
      <c r="AB3539" s="49"/>
      <c r="AC3539" s="49"/>
      <c r="AD3539" s="49"/>
      <c r="AE3539" s="49"/>
      <c r="AF3539" s="49"/>
      <c r="AG3539" s="49"/>
      <c r="AH3539" s="49"/>
      <c r="AI3539" s="49"/>
      <c r="AJ3539" s="49"/>
      <c r="AK3539" s="49"/>
      <c r="AL3539" s="49"/>
      <c r="AM3539" s="49"/>
      <c r="AN3539" s="49"/>
      <c r="AP3539" s="49"/>
      <c r="AQ3539" s="49"/>
      <c r="AR3539" s="49"/>
      <c r="AS3539" s="49"/>
      <c r="AT3539" s="49"/>
    </row>
    <row r="3540">
      <c r="A3540" s="51"/>
      <c r="B3540" s="50" t="s">
        <v>4751</v>
      </c>
      <c r="C3540" s="50" t="s">
        <v>413</v>
      </c>
      <c r="D3540" s="49" t="str">
        <f>IFERROR(__xludf.DUMMYFUNCTION("""COMPUTED_VALUE"""),"hence")</f>
        <v>hence</v>
      </c>
      <c r="E3540" s="49"/>
      <c r="F3540" s="49"/>
      <c r="G3540" s="49"/>
      <c r="H3540" s="54" t="str">
        <f t="shared" si="1"/>
        <v>regard,</v>
      </c>
      <c r="I3540" s="50"/>
      <c r="J3540" s="50"/>
      <c r="K3540" s="50" t="s">
        <v>5068</v>
      </c>
      <c r="L3540" s="49"/>
      <c r="M3540" s="49"/>
      <c r="N3540" s="50"/>
      <c r="O3540" s="49"/>
      <c r="P3540" s="49" t="str">
        <f t="shared" si="2"/>
        <v>,</v>
      </c>
      <c r="Q3540" s="49"/>
      <c r="R3540" s="49"/>
      <c r="S3540" s="55" t="s">
        <v>3255</v>
      </c>
      <c r="T3540" s="49"/>
      <c r="U3540" s="49"/>
      <c r="V3540" s="49"/>
      <c r="W3540" s="49"/>
      <c r="X3540" s="49" t="str">
        <f t="shared" si="3"/>
        <v>,</v>
      </c>
      <c r="Y3540" s="49"/>
      <c r="Z3540" s="49"/>
      <c r="AB3540" s="49"/>
      <c r="AC3540" s="49"/>
      <c r="AD3540" s="49"/>
      <c r="AE3540" s="49"/>
      <c r="AF3540" s="49"/>
      <c r="AG3540" s="49"/>
      <c r="AH3540" s="49"/>
      <c r="AI3540" s="49"/>
      <c r="AJ3540" s="49"/>
      <c r="AK3540" s="49"/>
      <c r="AL3540" s="49"/>
      <c r="AM3540" s="49"/>
      <c r="AN3540" s="49"/>
      <c r="AP3540" s="49"/>
      <c r="AQ3540" s="49"/>
      <c r="AR3540" s="49"/>
      <c r="AS3540" s="49"/>
      <c r="AT3540" s="49"/>
    </row>
    <row r="3541">
      <c r="A3541" s="51"/>
      <c r="B3541" s="50" t="s">
        <v>5962</v>
      </c>
      <c r="C3541" s="50" t="s">
        <v>6932</v>
      </c>
      <c r="D3541" s="49" t="str">
        <f>IFERROR(__xludf.DUMMYFUNCTION("""COMPUTED_VALUE"""),"brow")</f>
        <v>brow</v>
      </c>
      <c r="E3541" s="49"/>
      <c r="F3541" s="49"/>
      <c r="G3541" s="49"/>
      <c r="H3541" s="54" t="str">
        <f t="shared" si="1"/>
        <v>damaged,</v>
      </c>
      <c r="I3541" s="50"/>
      <c r="J3541" s="50"/>
      <c r="K3541" s="50" t="s">
        <v>5071</v>
      </c>
      <c r="L3541" s="49"/>
      <c r="M3541" s="49"/>
      <c r="N3541" s="50"/>
      <c r="O3541" s="49"/>
      <c r="P3541" s="49" t="str">
        <f t="shared" si="2"/>
        <v>,</v>
      </c>
      <c r="Q3541" s="49"/>
      <c r="R3541" s="49"/>
      <c r="S3541" s="55" t="s">
        <v>3258</v>
      </c>
      <c r="T3541" s="49"/>
      <c r="U3541" s="49"/>
      <c r="V3541" s="49"/>
      <c r="W3541" s="49"/>
      <c r="X3541" s="49" t="str">
        <f t="shared" si="3"/>
        <v>,</v>
      </c>
      <c r="Y3541" s="49"/>
      <c r="Z3541" s="49"/>
      <c r="AB3541" s="49"/>
      <c r="AC3541" s="49"/>
      <c r="AD3541" s="49"/>
      <c r="AE3541" s="49"/>
      <c r="AF3541" s="49"/>
      <c r="AG3541" s="49"/>
      <c r="AH3541" s="49"/>
      <c r="AI3541" s="49"/>
      <c r="AJ3541" s="49"/>
      <c r="AK3541" s="49"/>
      <c r="AL3541" s="49"/>
      <c r="AM3541" s="49"/>
      <c r="AN3541" s="49"/>
      <c r="AP3541" s="49"/>
      <c r="AQ3541" s="49"/>
      <c r="AR3541" s="49"/>
      <c r="AS3541" s="49"/>
      <c r="AT3541" s="49"/>
    </row>
    <row r="3542">
      <c r="A3542" s="51"/>
      <c r="B3542" s="50" t="s">
        <v>2216</v>
      </c>
      <c r="C3542" s="50" t="s">
        <v>5633</v>
      </c>
      <c r="D3542" s="49" t="str">
        <f>IFERROR(__xludf.DUMMYFUNCTION("""COMPUTED_VALUE"""),"knight")</f>
        <v>knight</v>
      </c>
      <c r="E3542" s="49"/>
      <c r="F3542" s="49"/>
      <c r="G3542" s="49"/>
      <c r="H3542" s="54" t="str">
        <f t="shared" si="1"/>
        <v>pianist,</v>
      </c>
      <c r="I3542" s="50"/>
      <c r="J3542" s="50"/>
      <c r="K3542" s="50" t="s">
        <v>3331</v>
      </c>
      <c r="L3542" s="49"/>
      <c r="M3542" s="49"/>
      <c r="N3542" s="50"/>
      <c r="O3542" s="49"/>
      <c r="P3542" s="49" t="str">
        <f t="shared" si="2"/>
        <v>,</v>
      </c>
      <c r="Q3542" s="49"/>
      <c r="R3542" s="49"/>
      <c r="S3542" s="55" t="s">
        <v>3262</v>
      </c>
      <c r="T3542" s="49"/>
      <c r="U3542" s="49"/>
      <c r="V3542" s="49"/>
      <c r="W3542" s="49"/>
      <c r="X3542" s="49" t="str">
        <f t="shared" si="3"/>
        <v>,</v>
      </c>
      <c r="Y3542" s="49"/>
      <c r="Z3542" s="49"/>
      <c r="AB3542" s="49"/>
      <c r="AC3542" s="49"/>
      <c r="AD3542" s="49"/>
      <c r="AE3542" s="49"/>
      <c r="AF3542" s="49"/>
      <c r="AG3542" s="49"/>
      <c r="AH3542" s="49"/>
      <c r="AI3542" s="49"/>
      <c r="AJ3542" s="49"/>
      <c r="AK3542" s="49"/>
      <c r="AL3542" s="49"/>
      <c r="AM3542" s="49"/>
      <c r="AN3542" s="49"/>
      <c r="AP3542" s="49"/>
      <c r="AQ3542" s="49"/>
      <c r="AR3542" s="49"/>
      <c r="AS3542" s="49"/>
      <c r="AT3542" s="49"/>
    </row>
    <row r="3543">
      <c r="A3543" s="51"/>
      <c r="B3543" s="50" t="s">
        <v>3756</v>
      </c>
      <c r="C3543" s="50" t="s">
        <v>6078</v>
      </c>
      <c r="D3543" s="49" t="str">
        <f>IFERROR(__xludf.DUMMYFUNCTION("""COMPUTED_VALUE"""),"everybody")</f>
        <v>everybody</v>
      </c>
      <c r="E3543" s="49"/>
      <c r="F3543" s="49"/>
      <c r="G3543" s="49"/>
      <c r="H3543" s="54" t="str">
        <f t="shared" si="1"/>
        <v>miller,</v>
      </c>
      <c r="I3543" s="50"/>
      <c r="J3543" s="50"/>
      <c r="K3543" s="50" t="s">
        <v>6147</v>
      </c>
      <c r="L3543" s="49"/>
      <c r="M3543" s="49"/>
      <c r="N3543" s="50"/>
      <c r="O3543" s="49"/>
      <c r="P3543" s="49" t="str">
        <f t="shared" si="2"/>
        <v>,</v>
      </c>
      <c r="Q3543" s="49"/>
      <c r="R3543" s="49"/>
      <c r="S3543" s="55" t="s">
        <v>5836</v>
      </c>
      <c r="T3543" s="49"/>
      <c r="U3543" s="49"/>
      <c r="V3543" s="49"/>
      <c r="W3543" s="49"/>
      <c r="X3543" s="49" t="str">
        <f t="shared" si="3"/>
        <v>,</v>
      </c>
      <c r="Y3543" s="49"/>
      <c r="Z3543" s="49"/>
      <c r="AB3543" s="49"/>
      <c r="AC3543" s="49"/>
      <c r="AD3543" s="49"/>
      <c r="AE3543" s="49"/>
      <c r="AF3543" s="49"/>
      <c r="AG3543" s="49"/>
      <c r="AH3543" s="49"/>
      <c r="AI3543" s="49"/>
      <c r="AJ3543" s="49"/>
      <c r="AK3543" s="49"/>
      <c r="AL3543" s="49"/>
      <c r="AM3543" s="49"/>
      <c r="AN3543" s="49"/>
      <c r="AP3543" s="49"/>
      <c r="AQ3543" s="49"/>
      <c r="AR3543" s="49"/>
      <c r="AS3543" s="49"/>
      <c r="AT3543" s="49"/>
    </row>
    <row r="3544">
      <c r="A3544" s="51"/>
      <c r="B3544" s="50" t="s">
        <v>3050</v>
      </c>
      <c r="C3544" s="50" t="s">
        <v>7010</v>
      </c>
      <c r="D3544" s="49" t="str">
        <f>IFERROR(__xludf.DUMMYFUNCTION("""COMPUTED_VALUE"""),"sixth")</f>
        <v>sixth</v>
      </c>
      <c r="E3544" s="49"/>
      <c r="F3544" s="49"/>
      <c r="G3544" s="49"/>
      <c r="H3544" s="54" t="str">
        <f t="shared" si="1"/>
        <v>circuit,</v>
      </c>
      <c r="I3544" s="50"/>
      <c r="J3544" s="50"/>
      <c r="K3544" s="50" t="s">
        <v>5074</v>
      </c>
      <c r="L3544" s="49"/>
      <c r="M3544" s="49"/>
      <c r="N3544" s="50"/>
      <c r="O3544" s="49"/>
      <c r="P3544" s="49" t="str">
        <f t="shared" si="2"/>
        <v>,</v>
      </c>
      <c r="Q3544" s="49"/>
      <c r="R3544" s="49"/>
      <c r="S3544" s="55" t="s">
        <v>7105</v>
      </c>
      <c r="T3544" s="49"/>
      <c r="U3544" s="49"/>
      <c r="V3544" s="49"/>
      <c r="W3544" s="49"/>
      <c r="X3544" s="49" t="str">
        <f t="shared" si="3"/>
        <v>,</v>
      </c>
      <c r="Y3544" s="49"/>
      <c r="Z3544" s="49"/>
      <c r="AB3544" s="49"/>
      <c r="AC3544" s="49"/>
      <c r="AD3544" s="49"/>
      <c r="AE3544" s="49"/>
      <c r="AF3544" s="49"/>
      <c r="AG3544" s="49"/>
      <c r="AH3544" s="49"/>
      <c r="AI3544" s="49"/>
      <c r="AJ3544" s="49"/>
      <c r="AK3544" s="49"/>
      <c r="AL3544" s="49"/>
      <c r="AM3544" s="49"/>
      <c r="AN3544" s="49"/>
      <c r="AP3544" s="49"/>
      <c r="AQ3544" s="49"/>
      <c r="AR3544" s="49"/>
      <c r="AS3544" s="49"/>
      <c r="AT3544" s="49"/>
    </row>
    <row r="3545">
      <c r="A3545" s="51"/>
      <c r="B3545" s="50" t="s">
        <v>1691</v>
      </c>
      <c r="C3545" s="50" t="s">
        <v>4577</v>
      </c>
      <c r="D3545" s="49" t="str">
        <f>IFERROR(__xludf.DUMMYFUNCTION("""COMPUTED_VALUE"""),"incident")</f>
        <v>incident</v>
      </c>
      <c r="E3545" s="49"/>
      <c r="F3545" s="49"/>
      <c r="G3545" s="49"/>
      <c r="H3545" s="54" t="str">
        <f t="shared" si="1"/>
        <v>January,</v>
      </c>
      <c r="I3545" s="50"/>
      <c r="J3545" s="50"/>
      <c r="K3545" s="50" t="s">
        <v>5077</v>
      </c>
      <c r="L3545" s="49"/>
      <c r="M3545" s="49"/>
      <c r="N3545" s="50"/>
      <c r="O3545" s="49"/>
      <c r="P3545" s="49" t="str">
        <f t="shared" si="2"/>
        <v>,</v>
      </c>
      <c r="Q3545" s="49"/>
      <c r="R3545" s="49"/>
      <c r="S3545" s="55" t="s">
        <v>5008</v>
      </c>
      <c r="T3545" s="49"/>
      <c r="U3545" s="49"/>
      <c r="V3545" s="49"/>
      <c r="W3545" s="49"/>
      <c r="X3545" s="49" t="str">
        <f t="shared" si="3"/>
        <v>,</v>
      </c>
      <c r="Y3545" s="49"/>
      <c r="Z3545" s="49"/>
      <c r="AB3545" s="49"/>
      <c r="AC3545" s="49"/>
      <c r="AD3545" s="49"/>
      <c r="AE3545" s="49"/>
      <c r="AF3545" s="49"/>
      <c r="AG3545" s="49"/>
      <c r="AH3545" s="49"/>
      <c r="AI3545" s="49"/>
      <c r="AJ3545" s="49"/>
      <c r="AK3545" s="49"/>
      <c r="AL3545" s="49"/>
      <c r="AM3545" s="49"/>
      <c r="AN3545" s="49"/>
      <c r="AP3545" s="49"/>
      <c r="AQ3545" s="49"/>
      <c r="AR3545" s="49"/>
      <c r="AS3545" s="49"/>
      <c r="AT3545" s="49"/>
    </row>
    <row r="3546">
      <c r="A3546" s="51"/>
      <c r="B3546" s="50" t="s">
        <v>1431</v>
      </c>
      <c r="C3546" s="50" t="s">
        <v>1691</v>
      </c>
      <c r="D3546" s="49" t="str">
        <f>IFERROR(__xludf.DUMMYFUNCTION("""COMPUTED_VALUE"""),"normal")</f>
        <v>normal</v>
      </c>
      <c r="E3546" s="49"/>
      <c r="F3546" s="49"/>
      <c r="G3546" s="49"/>
      <c r="H3546" s="54" t="str">
        <f t="shared" si="1"/>
        <v>format,</v>
      </c>
      <c r="I3546" s="50"/>
      <c r="J3546" s="50"/>
      <c r="K3546" s="50" t="s">
        <v>3371</v>
      </c>
      <c r="L3546" s="49"/>
      <c r="M3546" s="49"/>
      <c r="N3546" s="50"/>
      <c r="O3546" s="49"/>
      <c r="P3546" s="49" t="str">
        <f t="shared" si="2"/>
        <v>,</v>
      </c>
      <c r="Q3546" s="49"/>
      <c r="R3546" s="49"/>
      <c r="S3546" s="55" t="s">
        <v>3266</v>
      </c>
      <c r="T3546" s="49"/>
      <c r="U3546" s="49"/>
      <c r="V3546" s="49"/>
      <c r="W3546" s="49"/>
      <c r="X3546" s="49" t="str">
        <f t="shared" si="3"/>
        <v>,</v>
      </c>
      <c r="Y3546" s="49"/>
      <c r="Z3546" s="49"/>
      <c r="AB3546" s="49"/>
      <c r="AC3546" s="49"/>
      <c r="AD3546" s="49"/>
      <c r="AE3546" s="49"/>
      <c r="AF3546" s="49"/>
      <c r="AG3546" s="49"/>
      <c r="AH3546" s="49"/>
      <c r="AI3546" s="49"/>
      <c r="AJ3546" s="49"/>
      <c r="AK3546" s="49"/>
      <c r="AL3546" s="49"/>
      <c r="AM3546" s="49"/>
      <c r="AN3546" s="49"/>
      <c r="AP3546" s="49"/>
      <c r="AQ3546" s="49"/>
      <c r="AR3546" s="49"/>
      <c r="AS3546" s="49"/>
      <c r="AT3546" s="49"/>
    </row>
    <row r="3547">
      <c r="A3547" s="51"/>
      <c r="B3547" s="50" t="s">
        <v>6000</v>
      </c>
      <c r="C3547" s="50" t="s">
        <v>5634</v>
      </c>
      <c r="D3547" s="49" t="str">
        <f>IFERROR(__xludf.DUMMYFUNCTION("""COMPUTED_VALUE"""),"kept")</f>
        <v>kept</v>
      </c>
      <c r="E3547" s="49"/>
      <c r="F3547" s="49"/>
      <c r="G3547" s="49"/>
      <c r="H3547" s="54" t="str">
        <f t="shared" si="1"/>
        <v>extension,</v>
      </c>
      <c r="I3547" s="50"/>
      <c r="J3547" s="50"/>
      <c r="K3547" s="50" t="s">
        <v>5881</v>
      </c>
      <c r="L3547" s="49"/>
      <c r="M3547" s="49"/>
      <c r="N3547" s="50"/>
      <c r="O3547" s="49"/>
      <c r="P3547" s="49" t="str">
        <f t="shared" si="2"/>
        <v>,</v>
      </c>
      <c r="Q3547" s="49"/>
      <c r="R3547" s="49"/>
      <c r="S3547" s="55" t="s">
        <v>5012</v>
      </c>
      <c r="T3547" s="49"/>
      <c r="U3547" s="49"/>
      <c r="V3547" s="49"/>
      <c r="W3547" s="49"/>
      <c r="X3547" s="49" t="str">
        <f t="shared" si="3"/>
        <v>,</v>
      </c>
      <c r="Y3547" s="49"/>
      <c r="Z3547" s="49"/>
      <c r="AB3547" s="49"/>
      <c r="AC3547" s="49"/>
      <c r="AD3547" s="49"/>
      <c r="AE3547" s="49"/>
      <c r="AF3547" s="49"/>
      <c r="AG3547" s="49"/>
      <c r="AH3547" s="49"/>
      <c r="AI3547" s="49"/>
      <c r="AJ3547" s="49"/>
      <c r="AK3547" s="49"/>
      <c r="AL3547" s="49"/>
      <c r="AM3547" s="49"/>
      <c r="AN3547" s="49"/>
      <c r="AP3547" s="49"/>
      <c r="AQ3547" s="49"/>
      <c r="AR3547" s="49"/>
      <c r="AS3547" s="49"/>
      <c r="AT3547" s="49"/>
    </row>
    <row r="3548">
      <c r="A3548" s="51"/>
      <c r="B3548" s="50" t="s">
        <v>3531</v>
      </c>
      <c r="C3548" s="50" t="s">
        <v>5636</v>
      </c>
      <c r="D3548" s="49" t="str">
        <f>IFERROR(__xludf.DUMMYFUNCTION("""COMPUTED_VALUE"""),"pointing")</f>
        <v>pointing</v>
      </c>
      <c r="E3548" s="49"/>
      <c r="F3548" s="49"/>
      <c r="G3548" s="49"/>
      <c r="H3548" s="54" t="str">
        <f t="shared" si="1"/>
        <v>accessible,</v>
      </c>
      <c r="I3548" s="50"/>
      <c r="J3548" s="50"/>
      <c r="K3548" s="50" t="s">
        <v>3375</v>
      </c>
      <c r="L3548" s="49"/>
      <c r="M3548" s="49"/>
      <c r="N3548" s="50"/>
      <c r="O3548" s="49"/>
      <c r="P3548" s="49" t="str">
        <f t="shared" si="2"/>
        <v>,</v>
      </c>
      <c r="Q3548" s="49"/>
      <c r="R3548" s="49"/>
      <c r="S3548" s="55" t="s">
        <v>3270</v>
      </c>
      <c r="T3548" s="49"/>
      <c r="U3548" s="49"/>
      <c r="V3548" s="49"/>
      <c r="W3548" s="49"/>
      <c r="X3548" s="49" t="str">
        <f t="shared" si="3"/>
        <v>,</v>
      </c>
      <c r="Y3548" s="49"/>
      <c r="Z3548" s="49"/>
      <c r="AB3548" s="49"/>
      <c r="AC3548" s="49"/>
      <c r="AD3548" s="49"/>
      <c r="AE3548" s="49"/>
      <c r="AF3548" s="49"/>
      <c r="AG3548" s="49"/>
      <c r="AH3548" s="49"/>
      <c r="AI3548" s="49"/>
      <c r="AJ3548" s="49"/>
      <c r="AK3548" s="49"/>
      <c r="AL3548" s="49"/>
      <c r="AM3548" s="49"/>
      <c r="AN3548" s="49"/>
      <c r="AP3548" s="49"/>
      <c r="AQ3548" s="49"/>
      <c r="AR3548" s="49"/>
      <c r="AS3548" s="49"/>
      <c r="AT3548" s="49"/>
    </row>
    <row r="3549">
      <c r="A3549" s="51"/>
      <c r="B3549" s="50" t="s">
        <v>1597</v>
      </c>
      <c r="C3549" s="50" t="s">
        <v>6933</v>
      </c>
      <c r="D3549" s="49" t="str">
        <f>IFERROR(__xludf.DUMMYFUNCTION("""COMPUTED_VALUE"""),"self")</f>
        <v>self</v>
      </c>
      <c r="E3549" s="49"/>
      <c r="F3549" s="49"/>
      <c r="G3549" s="49"/>
      <c r="H3549" s="54" t="str">
        <f t="shared" si="1"/>
        <v>croatia,</v>
      </c>
      <c r="I3549" s="50"/>
      <c r="J3549" s="50"/>
      <c r="K3549" s="50" t="s">
        <v>5080</v>
      </c>
      <c r="L3549" s="49"/>
      <c r="M3549" s="49"/>
      <c r="N3549" s="50"/>
      <c r="O3549" s="49"/>
      <c r="P3549" s="49" t="str">
        <f t="shared" si="2"/>
        <v>,</v>
      </c>
      <c r="Q3549" s="49"/>
      <c r="R3549" s="49"/>
      <c r="S3549" s="55" t="s">
        <v>7033</v>
      </c>
      <c r="T3549" s="49"/>
      <c r="U3549" s="49"/>
      <c r="V3549" s="49"/>
      <c r="W3549" s="49"/>
      <c r="X3549" s="49" t="str">
        <f t="shared" si="3"/>
        <v>,</v>
      </c>
      <c r="Y3549" s="49"/>
      <c r="Z3549" s="49"/>
      <c r="AB3549" s="49"/>
      <c r="AC3549" s="49"/>
      <c r="AD3549" s="49"/>
      <c r="AE3549" s="49"/>
      <c r="AF3549" s="49"/>
      <c r="AG3549" s="49"/>
      <c r="AH3549" s="49"/>
      <c r="AI3549" s="49"/>
      <c r="AJ3549" s="49"/>
      <c r="AK3549" s="49"/>
      <c r="AL3549" s="49"/>
      <c r="AM3549" s="49"/>
      <c r="AN3549" s="49"/>
      <c r="AP3549" s="49"/>
      <c r="AQ3549" s="49"/>
      <c r="AR3549" s="49"/>
      <c r="AS3549" s="49"/>
      <c r="AT3549" s="49"/>
    </row>
    <row r="3550">
      <c r="A3550" s="51"/>
      <c r="B3550" s="50" t="s">
        <v>4721</v>
      </c>
      <c r="C3550" s="50" t="s">
        <v>1019</v>
      </c>
      <c r="D3550" s="49" t="str">
        <f>IFERROR(__xludf.DUMMYFUNCTION("""COMPUTED_VALUE"""),"faced")</f>
        <v>faced</v>
      </c>
      <c r="E3550" s="49"/>
      <c r="F3550" s="49"/>
      <c r="G3550" s="49"/>
      <c r="H3550" s="54" t="str">
        <f t="shared" si="1"/>
        <v>medical,</v>
      </c>
      <c r="I3550" s="50"/>
      <c r="J3550" s="50"/>
      <c r="K3550" s="50" t="s">
        <v>5885</v>
      </c>
      <c r="L3550" s="49"/>
      <c r="M3550" s="49"/>
      <c r="N3550" s="50"/>
      <c r="O3550" s="49"/>
      <c r="P3550" s="49" t="str">
        <f t="shared" si="2"/>
        <v>,</v>
      </c>
      <c r="Q3550" s="49"/>
      <c r="R3550" s="49"/>
      <c r="S3550" s="55" t="s">
        <v>1915</v>
      </c>
      <c r="T3550" s="49"/>
      <c r="U3550" s="49"/>
      <c r="V3550" s="49"/>
      <c r="W3550" s="49"/>
      <c r="X3550" s="49" t="str">
        <f t="shared" si="3"/>
        <v>,</v>
      </c>
      <c r="Y3550" s="49"/>
      <c r="Z3550" s="49"/>
      <c r="AB3550" s="49"/>
      <c r="AC3550" s="49"/>
      <c r="AD3550" s="49"/>
      <c r="AE3550" s="49"/>
      <c r="AF3550" s="49"/>
      <c r="AG3550" s="49"/>
      <c r="AH3550" s="49"/>
      <c r="AI3550" s="49"/>
      <c r="AJ3550" s="49"/>
      <c r="AK3550" s="49"/>
      <c r="AL3550" s="49"/>
      <c r="AM3550" s="49"/>
      <c r="AN3550" s="49"/>
      <c r="AP3550" s="49"/>
      <c r="AQ3550" s="49"/>
      <c r="AR3550" s="49"/>
      <c r="AS3550" s="49"/>
      <c r="AT3550" s="49"/>
    </row>
    <row r="3551">
      <c r="A3551" s="51"/>
      <c r="B3551" s="50" t="s">
        <v>7154</v>
      </c>
      <c r="C3551" s="50" t="s">
        <v>7106</v>
      </c>
      <c r="D3551" s="49" t="str">
        <f>IFERROR(__xludf.DUMMYFUNCTION("""COMPUTED_VALUE"""),"howard")</f>
        <v>howard</v>
      </c>
      <c r="E3551" s="49"/>
      <c r="F3551" s="49"/>
      <c r="G3551" s="49"/>
      <c r="H3551" s="54" t="str">
        <f t="shared" si="1"/>
        <v>patent,</v>
      </c>
      <c r="I3551" s="50"/>
      <c r="J3551" s="50"/>
      <c r="K3551" s="50" t="s">
        <v>5035</v>
      </c>
      <c r="L3551" s="49"/>
      <c r="M3551" s="49"/>
      <c r="N3551" s="50"/>
      <c r="O3551" s="49"/>
      <c r="P3551" s="49" t="str">
        <f t="shared" si="2"/>
        <v>,</v>
      </c>
      <c r="Q3551" s="49"/>
      <c r="R3551" s="49"/>
      <c r="S3551" s="55" t="s">
        <v>3274</v>
      </c>
      <c r="T3551" s="49"/>
      <c r="U3551" s="49"/>
      <c r="V3551" s="49"/>
      <c r="W3551" s="49"/>
      <c r="X3551" s="49" t="str">
        <f t="shared" si="3"/>
        <v>,</v>
      </c>
      <c r="Y3551" s="49"/>
      <c r="Z3551" s="49"/>
      <c r="AB3551" s="49"/>
      <c r="AC3551" s="49"/>
      <c r="AD3551" s="49"/>
      <c r="AE3551" s="49"/>
      <c r="AF3551" s="49"/>
      <c r="AG3551" s="49"/>
      <c r="AH3551" s="49"/>
      <c r="AI3551" s="49"/>
      <c r="AJ3551" s="49"/>
      <c r="AK3551" s="49"/>
      <c r="AL3551" s="49"/>
      <c r="AM3551" s="49"/>
      <c r="AN3551" s="49"/>
      <c r="AP3551" s="49"/>
      <c r="AQ3551" s="49"/>
      <c r="AR3551" s="49"/>
      <c r="AS3551" s="49"/>
      <c r="AT3551" s="49"/>
    </row>
    <row r="3552">
      <c r="A3552" s="51"/>
      <c r="B3552" s="50" t="s">
        <v>7697</v>
      </c>
      <c r="C3552" s="50">
        <v>18.0</v>
      </c>
      <c r="D3552" s="49" t="str">
        <f>IFERROR(__xludf.DUMMYFUNCTION("""COMPUTED_VALUE"""),"orange")</f>
        <v>orange</v>
      </c>
      <c r="E3552" s="49"/>
      <c r="F3552" s="49"/>
      <c r="G3552" s="49"/>
      <c r="H3552" s="54" t="str">
        <f t="shared" si="1"/>
        <v>powered,</v>
      </c>
      <c r="I3552" s="50"/>
      <c r="J3552" s="50"/>
      <c r="K3552" s="50" t="s">
        <v>5887</v>
      </c>
      <c r="L3552" s="49"/>
      <c r="M3552" s="49"/>
      <c r="N3552" s="50"/>
      <c r="O3552" s="49"/>
      <c r="P3552" s="49" t="str">
        <f t="shared" si="2"/>
        <v>,</v>
      </c>
      <c r="Q3552" s="49"/>
      <c r="R3552" s="49"/>
      <c r="S3552" s="55" t="s">
        <v>3276</v>
      </c>
      <c r="T3552" s="49"/>
      <c r="U3552" s="49"/>
      <c r="V3552" s="49"/>
      <c r="W3552" s="49"/>
      <c r="X3552" s="49" t="str">
        <f t="shared" si="3"/>
        <v>,</v>
      </c>
      <c r="Y3552" s="49"/>
      <c r="Z3552" s="49"/>
      <c r="AB3552" s="49"/>
      <c r="AC3552" s="49"/>
      <c r="AD3552" s="49"/>
      <c r="AE3552" s="49"/>
      <c r="AF3552" s="49"/>
      <c r="AG3552" s="49"/>
      <c r="AH3552" s="49"/>
      <c r="AI3552" s="49"/>
      <c r="AJ3552" s="49"/>
      <c r="AK3552" s="49"/>
      <c r="AL3552" s="49"/>
      <c r="AM3552" s="49"/>
      <c r="AN3552" s="49"/>
      <c r="AP3552" s="49"/>
      <c r="AQ3552" s="49"/>
      <c r="AR3552" s="49"/>
      <c r="AS3552" s="49"/>
      <c r="AT3552" s="49"/>
    </row>
    <row r="3553">
      <c r="A3553" s="51"/>
      <c r="B3553" s="50" t="s">
        <v>7107</v>
      </c>
      <c r="C3553" s="50" t="s">
        <v>4249</v>
      </c>
      <c r="D3553" s="49" t="str">
        <f>IFERROR(__xludf.DUMMYFUNCTION("""COMPUTED_VALUE"""),"generations")</f>
        <v>generations</v>
      </c>
      <c r="E3553" s="49"/>
      <c r="F3553" s="49"/>
      <c r="G3553" s="49"/>
      <c r="H3553" s="54" t="str">
        <f t="shared" si="1"/>
        <v>excellence,</v>
      </c>
      <c r="I3553" s="50"/>
      <c r="J3553" s="50"/>
      <c r="K3553" s="50" t="s">
        <v>3379</v>
      </c>
      <c r="L3553" s="49"/>
      <c r="M3553" s="49"/>
      <c r="N3553" s="50"/>
      <c r="O3553" s="49"/>
      <c r="P3553" s="49" t="str">
        <f t="shared" si="2"/>
        <v>,</v>
      </c>
      <c r="Q3553" s="49"/>
      <c r="R3553" s="49"/>
      <c r="S3553" s="55" t="s">
        <v>5020</v>
      </c>
      <c r="T3553" s="49"/>
      <c r="U3553" s="49"/>
      <c r="V3553" s="49"/>
      <c r="W3553" s="49"/>
      <c r="X3553" s="49" t="str">
        <f t="shared" si="3"/>
        <v>,</v>
      </c>
      <c r="Y3553" s="49"/>
      <c r="Z3553" s="49"/>
      <c r="AB3553" s="49"/>
      <c r="AC3553" s="49"/>
      <c r="AD3553" s="49"/>
      <c r="AE3553" s="49"/>
      <c r="AF3553" s="49"/>
      <c r="AG3553" s="49"/>
      <c r="AH3553" s="49"/>
      <c r="AI3553" s="49"/>
      <c r="AJ3553" s="49"/>
      <c r="AK3553" s="49"/>
      <c r="AL3553" s="49"/>
      <c r="AM3553" s="49"/>
      <c r="AN3553" s="49"/>
      <c r="AP3553" s="49"/>
      <c r="AQ3553" s="49"/>
      <c r="AR3553" s="49"/>
      <c r="AS3553" s="49"/>
      <c r="AT3553" s="49"/>
    </row>
    <row r="3554">
      <c r="A3554" s="51"/>
      <c r="B3554" s="50" t="s">
        <v>4284</v>
      </c>
      <c r="C3554" s="50" t="s">
        <v>6934</v>
      </c>
      <c r="D3554" s="49" t="str">
        <f>IFERROR(__xludf.DUMMYFUNCTION("""COMPUTED_VALUE"""),"blues")</f>
        <v>blues</v>
      </c>
      <c r="E3554" s="49"/>
      <c r="F3554" s="49"/>
      <c r="G3554" s="49"/>
      <c r="H3554" s="54" t="str">
        <f t="shared" si="1"/>
        <v>tender,</v>
      </c>
      <c r="I3554" s="50"/>
      <c r="J3554" s="50"/>
      <c r="K3554" s="50" t="s">
        <v>5894</v>
      </c>
      <c r="L3554" s="49"/>
      <c r="M3554" s="49"/>
      <c r="N3554" s="50"/>
      <c r="O3554" s="49"/>
      <c r="P3554" s="49" t="str">
        <f t="shared" si="2"/>
        <v>,</v>
      </c>
      <c r="Q3554" s="49"/>
      <c r="R3554" s="49"/>
      <c r="S3554" s="55" t="s">
        <v>5844</v>
      </c>
      <c r="T3554" s="49"/>
      <c r="U3554" s="49"/>
      <c r="V3554" s="49"/>
      <c r="W3554" s="49"/>
      <c r="X3554" s="49" t="str">
        <f t="shared" si="3"/>
        <v>,</v>
      </c>
      <c r="Y3554" s="49"/>
      <c r="Z3554" s="49"/>
      <c r="AB3554" s="49"/>
      <c r="AC3554" s="49"/>
      <c r="AD3554" s="49"/>
      <c r="AE3554" s="49"/>
      <c r="AF3554" s="49"/>
      <c r="AG3554" s="49"/>
      <c r="AH3554" s="49"/>
      <c r="AI3554" s="49"/>
      <c r="AJ3554" s="49"/>
      <c r="AK3554" s="49"/>
      <c r="AL3554" s="49"/>
      <c r="AM3554" s="49"/>
      <c r="AN3554" s="49"/>
      <c r="AP3554" s="49"/>
      <c r="AQ3554" s="49"/>
      <c r="AR3554" s="49"/>
      <c r="AS3554" s="49"/>
      <c r="AT3554" s="49"/>
    </row>
    <row r="3555">
      <c r="A3555" s="51"/>
      <c r="B3555" s="50" t="s">
        <v>6625</v>
      </c>
      <c r="C3555" s="50" t="s">
        <v>3981</v>
      </c>
      <c r="D3555" s="49" t="str">
        <f>IFERROR(__xludf.DUMMYFUNCTION("""COMPUTED_VALUE"""),"feed")</f>
        <v>feed</v>
      </c>
      <c r="E3555" s="49"/>
      <c r="F3555" s="49"/>
      <c r="G3555" s="49"/>
      <c r="H3555" s="54" t="str">
        <f t="shared" si="1"/>
        <v>laid,</v>
      </c>
      <c r="I3555" s="50"/>
      <c r="J3555" s="50"/>
      <c r="K3555" s="50" t="s">
        <v>3381</v>
      </c>
      <c r="L3555" s="49"/>
      <c r="M3555" s="49"/>
      <c r="N3555" s="50"/>
      <c r="O3555" s="49"/>
      <c r="P3555" s="49" t="str">
        <f t="shared" si="2"/>
        <v>,</v>
      </c>
      <c r="Q3555" s="49"/>
      <c r="R3555" s="49"/>
      <c r="S3555" s="55" t="s">
        <v>3278</v>
      </c>
      <c r="T3555" s="49"/>
      <c r="U3555" s="49"/>
      <c r="V3555" s="49"/>
      <c r="W3555" s="49"/>
      <c r="X3555" s="49" t="str">
        <f t="shared" si="3"/>
        <v>,</v>
      </c>
      <c r="Y3555" s="49"/>
      <c r="Z3555" s="49"/>
      <c r="AB3555" s="49"/>
      <c r="AC3555" s="49"/>
      <c r="AD3555" s="49"/>
      <c r="AE3555" s="49"/>
      <c r="AF3555" s="49"/>
      <c r="AG3555" s="49"/>
      <c r="AH3555" s="49"/>
      <c r="AI3555" s="49"/>
      <c r="AJ3555" s="49"/>
      <c r="AK3555" s="49"/>
      <c r="AL3555" s="49"/>
      <c r="AM3555" s="49"/>
      <c r="AN3555" s="49"/>
      <c r="AP3555" s="49"/>
      <c r="AQ3555" s="49"/>
      <c r="AR3555" s="49"/>
      <c r="AS3555" s="49"/>
      <c r="AT3555" s="49"/>
    </row>
    <row r="3556">
      <c r="A3556" s="51"/>
      <c r="B3556" s="50" t="s">
        <v>1784</v>
      </c>
      <c r="C3556" s="50" t="s">
        <v>7107</v>
      </c>
      <c r="D3556" s="49" t="str">
        <f>IFERROR(__xludf.DUMMYFUNCTION("""COMPUTED_VALUE"""),"ali")</f>
        <v>ali</v>
      </c>
      <c r="E3556" s="49"/>
      <c r="F3556" s="49"/>
      <c r="G3556" s="49"/>
      <c r="H3556" s="54" t="str">
        <f t="shared" si="1"/>
        <v>siege,</v>
      </c>
      <c r="I3556" s="50"/>
      <c r="J3556" s="50"/>
      <c r="K3556" s="50" t="s">
        <v>6150</v>
      </c>
      <c r="L3556" s="49"/>
      <c r="M3556" s="49"/>
      <c r="N3556" s="50"/>
      <c r="O3556" s="49"/>
      <c r="P3556" s="49" t="str">
        <f t="shared" si="2"/>
        <v>,</v>
      </c>
      <c r="Q3556" s="49"/>
      <c r="R3556" s="49"/>
      <c r="S3556" s="55" t="s">
        <v>3282</v>
      </c>
      <c r="T3556" s="49"/>
      <c r="U3556" s="49"/>
      <c r="V3556" s="49"/>
      <c r="W3556" s="49"/>
      <c r="X3556" s="49" t="str">
        <f t="shared" si="3"/>
        <v>,</v>
      </c>
      <c r="Y3556" s="49"/>
      <c r="Z3556" s="49"/>
      <c r="AB3556" s="49"/>
      <c r="AC3556" s="49"/>
      <c r="AD3556" s="49"/>
      <c r="AE3556" s="49"/>
      <c r="AF3556" s="49"/>
      <c r="AG3556" s="49"/>
      <c r="AH3556" s="49"/>
      <c r="AI3556" s="49"/>
      <c r="AJ3556" s="49"/>
      <c r="AK3556" s="49"/>
      <c r="AL3556" s="49"/>
      <c r="AM3556" s="49"/>
      <c r="AN3556" s="49"/>
      <c r="AP3556" s="49"/>
      <c r="AQ3556" s="49"/>
      <c r="AR3556" s="49"/>
      <c r="AS3556" s="49"/>
      <c r="AT3556" s="49"/>
    </row>
    <row r="3557">
      <c r="A3557" s="51"/>
      <c r="B3557" s="50" t="s">
        <v>3581</v>
      </c>
      <c r="C3557" s="50" t="s">
        <v>4308</v>
      </c>
      <c r="D3557" s="49" t="str">
        <f>IFERROR(__xludf.DUMMYFUNCTION("""COMPUTED_VALUE"""),"enemies")</f>
        <v>enemies</v>
      </c>
      <c r="E3557" s="49"/>
      <c r="F3557" s="49"/>
      <c r="G3557" s="49"/>
      <c r="H3557" s="54" t="str">
        <f t="shared" si="1"/>
        <v>lobby,</v>
      </c>
      <c r="I3557" s="50"/>
      <c r="J3557" s="50"/>
      <c r="K3557" s="50" t="s">
        <v>5898</v>
      </c>
      <c r="L3557" s="49"/>
      <c r="M3557" s="49"/>
      <c r="N3557" s="50"/>
      <c r="O3557" s="49"/>
      <c r="P3557" s="49" t="str">
        <f t="shared" si="2"/>
        <v>,</v>
      </c>
      <c r="Q3557" s="49"/>
      <c r="R3557" s="49"/>
      <c r="S3557" s="55" t="s">
        <v>5846</v>
      </c>
      <c r="T3557" s="49"/>
      <c r="U3557" s="49"/>
      <c r="V3557" s="49"/>
      <c r="W3557" s="49"/>
      <c r="X3557" s="49" t="str">
        <f t="shared" si="3"/>
        <v>,</v>
      </c>
      <c r="Y3557" s="49"/>
      <c r="Z3557" s="49"/>
      <c r="AB3557" s="49"/>
      <c r="AC3557" s="49"/>
      <c r="AD3557" s="49"/>
      <c r="AE3557" s="49"/>
      <c r="AF3557" s="49"/>
      <c r="AG3557" s="49"/>
      <c r="AH3557" s="49"/>
      <c r="AI3557" s="49"/>
      <c r="AJ3557" s="49"/>
      <c r="AK3557" s="49"/>
      <c r="AL3557" s="49"/>
      <c r="AM3557" s="49"/>
      <c r="AN3557" s="49"/>
      <c r="AP3557" s="49"/>
      <c r="AQ3557" s="49"/>
      <c r="AR3557" s="49"/>
      <c r="AS3557" s="49"/>
      <c r="AT3557" s="49"/>
    </row>
    <row r="3558">
      <c r="A3558" s="51"/>
      <c r="B3558" s="50">
        <v>1957.0</v>
      </c>
      <c r="C3558" s="50" t="s">
        <v>3857</v>
      </c>
      <c r="D3558" s="49" t="str">
        <f>IFERROR(__xludf.DUMMYFUNCTION("""COMPUTED_VALUE"""),"refers")</f>
        <v>refers</v>
      </c>
      <c r="E3558" s="49"/>
      <c r="F3558" s="49"/>
      <c r="G3558" s="49"/>
      <c r="H3558" s="54" t="str">
        <f t="shared" si="1"/>
        <v>1957,</v>
      </c>
      <c r="I3558" s="50"/>
      <c r="J3558" s="50"/>
      <c r="K3558" s="50" t="s">
        <v>3384</v>
      </c>
      <c r="L3558" s="49"/>
      <c r="M3558" s="49"/>
      <c r="N3558" s="50"/>
      <c r="O3558" s="49"/>
      <c r="P3558" s="49" t="str">
        <f t="shared" si="2"/>
        <v>,</v>
      </c>
      <c r="Q3558" s="49"/>
      <c r="R3558" s="49"/>
      <c r="S3558" s="55" t="s">
        <v>7108</v>
      </c>
      <c r="T3558" s="49"/>
      <c r="U3558" s="49"/>
      <c r="V3558" s="49"/>
      <c r="W3558" s="49"/>
      <c r="X3558" s="49" t="str">
        <f t="shared" si="3"/>
        <v>,</v>
      </c>
      <c r="Y3558" s="49"/>
      <c r="Z3558" s="49"/>
      <c r="AB3558" s="49"/>
      <c r="AC3558" s="49"/>
      <c r="AD3558" s="49"/>
      <c r="AE3558" s="49"/>
      <c r="AF3558" s="49"/>
      <c r="AG3558" s="49"/>
      <c r="AH3558" s="49"/>
      <c r="AI3558" s="49"/>
      <c r="AJ3558" s="49"/>
      <c r="AK3558" s="49"/>
      <c r="AL3558" s="49"/>
      <c r="AM3558" s="49"/>
      <c r="AN3558" s="49"/>
      <c r="AP3558" s="49"/>
      <c r="AQ3558" s="49"/>
      <c r="AR3558" s="49"/>
      <c r="AS3558" s="49"/>
      <c r="AT3558" s="49"/>
    </row>
    <row r="3559">
      <c r="A3559" s="51"/>
      <c r="B3559" s="50" t="s">
        <v>5073</v>
      </c>
      <c r="C3559" s="50" t="s">
        <v>6936</v>
      </c>
      <c r="D3559" s="49" t="str">
        <f>IFERROR(__xludf.DUMMYFUNCTION("""COMPUTED_VALUE"""),"standing")</f>
        <v>standing</v>
      </c>
      <c r="E3559" s="49"/>
      <c r="F3559" s="49"/>
      <c r="G3559" s="49"/>
      <c r="H3559" s="54" t="str">
        <f t="shared" si="1"/>
        <v>guitar,</v>
      </c>
      <c r="I3559" s="50"/>
      <c r="J3559" s="50"/>
      <c r="K3559" s="50" t="s">
        <v>3386</v>
      </c>
      <c r="L3559" s="49"/>
      <c r="M3559" s="49"/>
      <c r="N3559" s="50"/>
      <c r="O3559" s="49"/>
      <c r="P3559" s="49" t="str">
        <f t="shared" si="2"/>
        <v>,</v>
      </c>
      <c r="Q3559" s="49"/>
      <c r="R3559" s="49"/>
      <c r="S3559" s="55" t="s">
        <v>3383</v>
      </c>
      <c r="T3559" s="49"/>
      <c r="U3559" s="49"/>
      <c r="V3559" s="49"/>
      <c r="W3559" s="49"/>
      <c r="X3559" s="49" t="str">
        <f t="shared" si="3"/>
        <v>,</v>
      </c>
      <c r="Y3559" s="49"/>
      <c r="Z3559" s="49"/>
      <c r="AB3559" s="49"/>
      <c r="AC3559" s="49"/>
      <c r="AD3559" s="49"/>
      <c r="AE3559" s="49"/>
      <c r="AF3559" s="49"/>
      <c r="AG3559" s="49"/>
      <c r="AH3559" s="49"/>
      <c r="AI3559" s="49"/>
      <c r="AJ3559" s="49"/>
      <c r="AK3559" s="49"/>
      <c r="AL3559" s="49"/>
      <c r="AM3559" s="49"/>
      <c r="AN3559" s="49"/>
      <c r="AP3559" s="49"/>
      <c r="AQ3559" s="49"/>
      <c r="AR3559" s="49"/>
      <c r="AS3559" s="49"/>
      <c r="AT3559" s="49"/>
    </row>
    <row r="3560">
      <c r="A3560" s="51"/>
      <c r="B3560" s="50" t="s">
        <v>6517</v>
      </c>
      <c r="C3560" s="50" t="s">
        <v>7109</v>
      </c>
      <c r="D3560" s="49" t="str">
        <f>IFERROR(__xludf.DUMMYFUNCTION("""COMPUTED_VALUE"""),"shadows")</f>
        <v>shadows</v>
      </c>
      <c r="E3560" s="49"/>
      <c r="F3560" s="49"/>
      <c r="G3560" s="49"/>
      <c r="H3560" s="54" t="str">
        <f t="shared" si="1"/>
        <v>beer,</v>
      </c>
      <c r="I3560" s="50"/>
      <c r="J3560" s="50"/>
      <c r="K3560" s="50" t="s">
        <v>5899</v>
      </c>
      <c r="L3560" s="49"/>
      <c r="M3560" s="49"/>
      <c r="N3560" s="50"/>
      <c r="O3560" s="49"/>
      <c r="P3560" s="49" t="str">
        <f t="shared" si="2"/>
        <v>,</v>
      </c>
      <c r="Q3560" s="49"/>
      <c r="R3560" s="49"/>
      <c r="S3560" s="55" t="s">
        <v>5025</v>
      </c>
      <c r="T3560" s="49"/>
      <c r="U3560" s="49"/>
      <c r="V3560" s="49"/>
      <c r="W3560" s="49"/>
      <c r="X3560" s="49" t="str">
        <f t="shared" si="3"/>
        <v>,</v>
      </c>
      <c r="Y3560" s="49"/>
      <c r="Z3560" s="49"/>
      <c r="AB3560" s="49"/>
      <c r="AC3560" s="49"/>
      <c r="AD3560" s="49"/>
      <c r="AE3560" s="49"/>
      <c r="AF3560" s="49"/>
      <c r="AG3560" s="49"/>
      <c r="AH3560" s="49"/>
      <c r="AI3560" s="49"/>
      <c r="AJ3560" s="49"/>
      <c r="AK3560" s="49"/>
      <c r="AL3560" s="49"/>
      <c r="AM3560" s="49"/>
      <c r="AN3560" s="49"/>
      <c r="AP3560" s="49"/>
      <c r="AQ3560" s="49"/>
      <c r="AR3560" s="49"/>
      <c r="AS3560" s="49"/>
      <c r="AT3560" s="49"/>
    </row>
    <row r="3561">
      <c r="A3561" s="51"/>
      <c r="B3561" s="50" t="s">
        <v>7698</v>
      </c>
      <c r="C3561" s="50" t="s">
        <v>5613</v>
      </c>
      <c r="D3561" s="49" t="str">
        <f>IFERROR(__xludf.DUMMYFUNCTION("""COMPUTED_VALUE"""),"hitler")</f>
        <v>hitler</v>
      </c>
      <c r="E3561" s="49"/>
      <c r="F3561" s="49"/>
      <c r="G3561" s="49"/>
      <c r="H3561" s="54" t="str">
        <f t="shared" si="1"/>
        <v>clay,</v>
      </c>
      <c r="I3561" s="50"/>
      <c r="J3561" s="50"/>
      <c r="K3561" s="50" t="s">
        <v>5085</v>
      </c>
      <c r="L3561" s="49"/>
      <c r="M3561" s="49"/>
      <c r="N3561" s="50"/>
      <c r="O3561" s="49"/>
      <c r="P3561" s="49" t="str">
        <f t="shared" si="2"/>
        <v>,</v>
      </c>
      <c r="Q3561" s="49"/>
      <c r="R3561" s="49"/>
      <c r="S3561" s="55" t="s">
        <v>3285</v>
      </c>
      <c r="T3561" s="49"/>
      <c r="U3561" s="49"/>
      <c r="V3561" s="49"/>
      <c r="W3561" s="49"/>
      <c r="X3561" s="49" t="str">
        <f t="shared" si="3"/>
        <v>,</v>
      </c>
      <c r="Y3561" s="49"/>
      <c r="Z3561" s="49"/>
      <c r="AB3561" s="49"/>
      <c r="AC3561" s="49"/>
      <c r="AD3561" s="49"/>
      <c r="AE3561" s="49"/>
      <c r="AF3561" s="49"/>
      <c r="AG3561" s="49"/>
      <c r="AH3561" s="49"/>
      <c r="AI3561" s="49"/>
      <c r="AJ3561" s="49"/>
      <c r="AK3561" s="49"/>
      <c r="AL3561" s="49"/>
      <c r="AM3561" s="49"/>
      <c r="AN3561" s="49"/>
      <c r="AP3561" s="49"/>
      <c r="AQ3561" s="49"/>
      <c r="AR3561" s="49"/>
      <c r="AS3561" s="49"/>
      <c r="AT3561" s="49"/>
    </row>
    <row r="3562">
      <c r="A3562" s="51"/>
      <c r="B3562" s="50" t="s">
        <v>6661</v>
      </c>
      <c r="C3562" s="50" t="s">
        <v>6938</v>
      </c>
      <c r="D3562" s="49" t="str">
        <f>IFERROR(__xludf.DUMMYFUNCTION("""COMPUTED_VALUE"""),"versus")</f>
        <v>versus</v>
      </c>
      <c r="E3562" s="49"/>
      <c r="F3562" s="49"/>
      <c r="G3562" s="49"/>
      <c r="H3562" s="54" t="str">
        <f t="shared" si="1"/>
        <v>represent,</v>
      </c>
      <c r="I3562" s="50"/>
      <c r="J3562" s="50"/>
      <c r="K3562" s="50" t="s">
        <v>5901</v>
      </c>
      <c r="L3562" s="49"/>
      <c r="M3562" s="49"/>
      <c r="N3562" s="50"/>
      <c r="O3562" s="49"/>
      <c r="P3562" s="49" t="str">
        <f t="shared" si="2"/>
        <v>,</v>
      </c>
      <c r="Q3562" s="49"/>
      <c r="R3562" s="49"/>
      <c r="S3562" s="55" t="s">
        <v>3287</v>
      </c>
      <c r="T3562" s="49"/>
      <c r="U3562" s="49"/>
      <c r="V3562" s="49"/>
      <c r="W3562" s="49"/>
      <c r="X3562" s="49" t="str">
        <f t="shared" si="3"/>
        <v>,</v>
      </c>
      <c r="Y3562" s="49"/>
      <c r="Z3562" s="49"/>
      <c r="AB3562" s="49"/>
      <c r="AC3562" s="49"/>
      <c r="AD3562" s="49"/>
      <c r="AE3562" s="49"/>
      <c r="AF3562" s="49"/>
      <c r="AG3562" s="49"/>
      <c r="AH3562" s="49"/>
      <c r="AI3562" s="49"/>
      <c r="AJ3562" s="49"/>
      <c r="AK3562" s="49"/>
      <c r="AL3562" s="49"/>
      <c r="AM3562" s="49"/>
      <c r="AN3562" s="49"/>
      <c r="AP3562" s="49"/>
      <c r="AQ3562" s="49"/>
      <c r="AR3562" s="49"/>
      <c r="AS3562" s="49"/>
      <c r="AT3562" s="49"/>
    </row>
    <row r="3563">
      <c r="A3563" s="51"/>
      <c r="B3563" s="50" t="s">
        <v>5494</v>
      </c>
      <c r="C3563" s="50" t="s">
        <v>4300</v>
      </c>
      <c r="D3563" s="49" t="str">
        <f>IFERROR(__xludf.DUMMYFUNCTION("""COMPUTED_VALUE"""),"alice")</f>
        <v>alice</v>
      </c>
      <c r="E3563" s="49"/>
      <c r="F3563" s="49"/>
      <c r="G3563" s="49"/>
      <c r="H3563" s="54" t="str">
        <f t="shared" si="1"/>
        <v>belgium,</v>
      </c>
      <c r="I3563" s="50"/>
      <c r="J3563" s="50"/>
      <c r="K3563" s="50" t="s">
        <v>3390</v>
      </c>
      <c r="L3563" s="49"/>
      <c r="M3563" s="49"/>
      <c r="N3563" s="50"/>
      <c r="O3563" s="49"/>
      <c r="P3563" s="49" t="str">
        <f t="shared" si="2"/>
        <v>,</v>
      </c>
      <c r="Q3563" s="49"/>
      <c r="R3563" s="49"/>
      <c r="S3563" s="55" t="s">
        <v>5902</v>
      </c>
      <c r="T3563" s="49"/>
      <c r="U3563" s="49"/>
      <c r="V3563" s="49"/>
      <c r="W3563" s="49"/>
      <c r="X3563" s="49" t="str">
        <f t="shared" si="3"/>
        <v>,</v>
      </c>
      <c r="Y3563" s="49"/>
      <c r="Z3563" s="49"/>
      <c r="AB3563" s="49"/>
      <c r="AC3563" s="49"/>
      <c r="AD3563" s="49"/>
      <c r="AE3563" s="49"/>
      <c r="AF3563" s="49"/>
      <c r="AG3563" s="49"/>
      <c r="AH3563" s="49"/>
      <c r="AI3563" s="49"/>
      <c r="AJ3563" s="49"/>
      <c r="AK3563" s="49"/>
      <c r="AL3563" s="49"/>
      <c r="AM3563" s="49"/>
      <c r="AN3563" s="49"/>
      <c r="AP3563" s="49"/>
      <c r="AQ3563" s="49"/>
      <c r="AR3563" s="49"/>
      <c r="AS3563" s="49"/>
      <c r="AT3563" s="49"/>
    </row>
    <row r="3564">
      <c r="A3564" s="51"/>
      <c r="B3564" s="50" t="s">
        <v>7018</v>
      </c>
      <c r="C3564" s="50" t="s">
        <v>5423</v>
      </c>
      <c r="D3564" s="49" t="str">
        <f>IFERROR(__xludf.DUMMYFUNCTION("""COMPUTED_VALUE"""),"writings")</f>
        <v>writings</v>
      </c>
      <c r="E3564" s="49"/>
      <c r="F3564" s="49"/>
      <c r="G3564" s="49"/>
      <c r="H3564" s="54" t="str">
        <f t="shared" si="1"/>
        <v>increase,</v>
      </c>
      <c r="I3564" s="50"/>
      <c r="J3564" s="50"/>
      <c r="K3564" s="50"/>
      <c r="L3564" s="50"/>
      <c r="M3564" s="50"/>
      <c r="N3564" s="50"/>
      <c r="O3564" s="49"/>
      <c r="P3564" s="49"/>
      <c r="Q3564" s="49"/>
      <c r="R3564" s="49"/>
      <c r="S3564" s="55" t="s">
        <v>5850</v>
      </c>
      <c r="T3564" s="49"/>
      <c r="U3564" s="49"/>
      <c r="V3564" s="49"/>
      <c r="W3564" s="49"/>
      <c r="X3564" s="49" t="str">
        <f t="shared" si="3"/>
        <v>,</v>
      </c>
      <c r="Y3564" s="49"/>
      <c r="Z3564" s="49"/>
      <c r="AB3564" s="49"/>
      <c r="AC3564" s="49"/>
      <c r="AD3564" s="49"/>
      <c r="AE3564" s="49"/>
      <c r="AF3564" s="49"/>
      <c r="AG3564" s="49"/>
      <c r="AH3564" s="49"/>
      <c r="AI3564" s="49"/>
      <c r="AJ3564" s="49"/>
      <c r="AK3564" s="49"/>
      <c r="AL3564" s="49"/>
      <c r="AM3564" s="49"/>
      <c r="AN3564" s="49"/>
      <c r="AP3564" s="49"/>
      <c r="AQ3564" s="49"/>
      <c r="AR3564" s="49"/>
      <c r="AS3564" s="49"/>
      <c r="AT3564" s="49"/>
    </row>
    <row r="3565">
      <c r="A3565" s="51"/>
      <c r="B3565" s="50" t="s">
        <v>6562</v>
      </c>
      <c r="C3565" s="50" t="s">
        <v>1684</v>
      </c>
      <c r="D3565" s="49" t="str">
        <f>IFERROR(__xludf.DUMMYFUNCTION("""COMPUTED_VALUE"""),"soft")</f>
        <v>soft</v>
      </c>
      <c r="E3565" s="49"/>
      <c r="F3565" s="49"/>
      <c r="G3565" s="49"/>
      <c r="H3565" s="54" t="str">
        <f t="shared" si="1"/>
        <v>visible,</v>
      </c>
      <c r="I3565" s="50"/>
      <c r="J3565" s="50"/>
      <c r="K3565" s="50"/>
      <c r="L3565" s="50"/>
      <c r="M3565" s="50"/>
      <c r="N3565" s="50"/>
      <c r="O3565" s="49"/>
      <c r="P3565" s="49"/>
      <c r="Q3565" s="49"/>
      <c r="R3565" s="49"/>
      <c r="S3565" s="55" t="s">
        <v>3290</v>
      </c>
      <c r="T3565" s="49"/>
      <c r="U3565" s="49"/>
      <c r="V3565" s="49"/>
      <c r="W3565" s="49"/>
      <c r="X3565" s="49" t="str">
        <f t="shared" si="3"/>
        <v>,</v>
      </c>
      <c r="Y3565" s="49"/>
      <c r="Z3565" s="49"/>
      <c r="AB3565" s="49"/>
      <c r="AC3565" s="49"/>
      <c r="AD3565" s="49"/>
      <c r="AE3565" s="49"/>
      <c r="AF3565" s="49"/>
      <c r="AG3565" s="49"/>
      <c r="AH3565" s="49"/>
      <c r="AI3565" s="49"/>
      <c r="AJ3565" s="49"/>
      <c r="AK3565" s="49"/>
      <c r="AL3565" s="49"/>
      <c r="AM3565" s="49"/>
      <c r="AN3565" s="49"/>
      <c r="AP3565" s="49"/>
      <c r="AQ3565" s="49"/>
      <c r="AR3565" s="49"/>
      <c r="AS3565" s="49"/>
      <c r="AT3565" s="49"/>
    </row>
    <row r="3566">
      <c r="A3566" s="51"/>
      <c r="B3566" s="50" t="s">
        <v>3596</v>
      </c>
      <c r="C3566" s="50">
        <v>2000.0</v>
      </c>
      <c r="D3566" s="49" t="str">
        <f>IFERROR(__xludf.DUMMYFUNCTION("""COMPUTED_VALUE"""),"clinical")</f>
        <v>clinical</v>
      </c>
      <c r="E3566" s="49"/>
      <c r="F3566" s="49"/>
      <c r="G3566" s="49"/>
      <c r="H3566" s="54" t="str">
        <f t="shared" si="1"/>
        <v>shore,</v>
      </c>
      <c r="I3566" s="50"/>
      <c r="J3566" s="50"/>
      <c r="K3566" s="50"/>
      <c r="L3566" s="50"/>
      <c r="M3566" s="50"/>
      <c r="N3566" s="50"/>
      <c r="O3566" s="49"/>
      <c r="P3566" s="49"/>
      <c r="Q3566" s="49"/>
      <c r="R3566" s="49"/>
      <c r="S3566" s="55" t="s">
        <v>5029</v>
      </c>
      <c r="T3566" s="49"/>
      <c r="U3566" s="49"/>
      <c r="V3566" s="49"/>
      <c r="W3566" s="49"/>
      <c r="X3566" s="49" t="str">
        <f t="shared" si="3"/>
        <v>,</v>
      </c>
      <c r="Y3566" s="49"/>
      <c r="Z3566" s="49"/>
      <c r="AB3566" s="49"/>
      <c r="AC3566" s="49"/>
      <c r="AD3566" s="49"/>
      <c r="AE3566" s="49"/>
      <c r="AF3566" s="49"/>
      <c r="AG3566" s="49"/>
      <c r="AH3566" s="49"/>
      <c r="AI3566" s="49"/>
      <c r="AJ3566" s="49"/>
      <c r="AK3566" s="49"/>
      <c r="AL3566" s="49"/>
      <c r="AM3566" s="49"/>
      <c r="AN3566" s="49"/>
      <c r="AP3566" s="49"/>
      <c r="AQ3566" s="49"/>
      <c r="AR3566" s="49"/>
      <c r="AS3566" s="49"/>
      <c r="AT3566" s="49"/>
    </row>
    <row r="3567">
      <c r="A3567" s="51"/>
      <c r="B3567" s="50" t="s">
        <v>217</v>
      </c>
      <c r="C3567" s="50" t="s">
        <v>3968</v>
      </c>
      <c r="D3567" s="49">
        <f>IFERROR(__xludf.DUMMYFUNCTION("""COMPUTED_VALUE"""),1962.0)</f>
        <v>1962</v>
      </c>
      <c r="E3567" s="49"/>
      <c r="F3567" s="49"/>
      <c r="G3567" s="49"/>
      <c r="H3567" s="54" t="str">
        <f t="shared" si="1"/>
        <v>revealing,</v>
      </c>
      <c r="I3567" s="50"/>
      <c r="J3567" s="50"/>
      <c r="K3567" s="50"/>
      <c r="L3567" s="50"/>
      <c r="M3567" s="50"/>
      <c r="N3567" s="50"/>
      <c r="O3567" s="49"/>
      <c r="P3567" s="49"/>
      <c r="Q3567" s="49"/>
      <c r="R3567" s="49"/>
      <c r="S3567" s="55" t="s">
        <v>1705</v>
      </c>
      <c r="T3567" s="49"/>
      <c r="U3567" s="49"/>
      <c r="V3567" s="49"/>
      <c r="W3567" s="49"/>
      <c r="X3567" s="49" t="str">
        <f t="shared" si="3"/>
        <v>,</v>
      </c>
      <c r="Y3567" s="49"/>
      <c r="Z3567" s="49"/>
      <c r="AB3567" s="49"/>
      <c r="AC3567" s="49"/>
      <c r="AD3567" s="49"/>
      <c r="AE3567" s="49"/>
      <c r="AF3567" s="49"/>
      <c r="AG3567" s="49"/>
      <c r="AH3567" s="49"/>
      <c r="AI3567" s="49"/>
      <c r="AJ3567" s="49"/>
      <c r="AK3567" s="49"/>
      <c r="AL3567" s="49"/>
      <c r="AM3567" s="49"/>
      <c r="AN3567" s="49"/>
      <c r="AP3567" s="49"/>
      <c r="AQ3567" s="49"/>
      <c r="AR3567" s="49"/>
      <c r="AS3567" s="49"/>
      <c r="AT3567" s="49"/>
    </row>
    <row r="3568">
      <c r="A3568" s="51"/>
      <c r="B3568" s="50" t="s">
        <v>4697</v>
      </c>
      <c r="C3568" s="50" t="s">
        <v>6940</v>
      </c>
      <c r="D3568" s="49" t="str">
        <f>IFERROR(__xludf.DUMMYFUNCTION("""COMPUTED_VALUE"""),"thirteen")</f>
        <v>thirteen</v>
      </c>
      <c r="E3568" s="49"/>
      <c r="F3568" s="49"/>
      <c r="G3568" s="49"/>
      <c r="H3568" s="54" t="str">
        <f t="shared" si="1"/>
        <v>inspiration,</v>
      </c>
      <c r="I3568" s="50"/>
      <c r="J3568" s="50"/>
      <c r="K3568" s="50"/>
      <c r="L3568" s="50"/>
      <c r="M3568" s="50"/>
      <c r="N3568" s="50"/>
      <c r="O3568" s="49"/>
      <c r="P3568" s="49"/>
      <c r="Q3568" s="49"/>
      <c r="R3568" s="49"/>
      <c r="S3568" s="55" t="s">
        <v>3297</v>
      </c>
      <c r="T3568" s="49"/>
      <c r="U3568" s="49"/>
      <c r="V3568" s="49"/>
      <c r="W3568" s="49"/>
      <c r="X3568" s="49" t="str">
        <f t="shared" si="3"/>
        <v>,</v>
      </c>
      <c r="Y3568" s="49"/>
      <c r="Z3568" s="49"/>
      <c r="AB3568" s="49"/>
      <c r="AC3568" s="49"/>
      <c r="AD3568" s="49"/>
      <c r="AE3568" s="49"/>
      <c r="AF3568" s="49"/>
      <c r="AG3568" s="49"/>
      <c r="AH3568" s="49"/>
      <c r="AI3568" s="49"/>
      <c r="AJ3568" s="49"/>
      <c r="AK3568" s="49"/>
      <c r="AL3568" s="49"/>
      <c r="AM3568" s="49"/>
      <c r="AN3568" s="49"/>
      <c r="AP3568" s="49"/>
      <c r="AQ3568" s="49"/>
      <c r="AR3568" s="49"/>
      <c r="AS3568" s="49"/>
      <c r="AT3568" s="49"/>
    </row>
    <row r="3569">
      <c r="A3569" s="51"/>
      <c r="B3569" s="50" t="s">
        <v>5131</v>
      </c>
      <c r="C3569" s="50" t="s">
        <v>6941</v>
      </c>
      <c r="D3569" s="49" t="str">
        <f>IFERROR(__xludf.DUMMYFUNCTION("""COMPUTED_VALUE"""),"closure")</f>
        <v>closure</v>
      </c>
      <c r="E3569" s="49"/>
      <c r="F3569" s="49"/>
      <c r="G3569" s="49"/>
      <c r="H3569" s="54" t="str">
        <f t="shared" si="1"/>
        <v>teeth,</v>
      </c>
      <c r="I3569" s="50"/>
      <c r="J3569" s="50"/>
      <c r="K3569" s="50"/>
      <c r="L3569" s="50"/>
      <c r="M3569" s="50"/>
      <c r="N3569" s="50"/>
      <c r="O3569" s="49"/>
      <c r="P3569" s="49"/>
      <c r="Q3569" s="49"/>
      <c r="R3569" s="49"/>
      <c r="S3569" s="55" t="s">
        <v>3303</v>
      </c>
      <c r="T3569" s="49"/>
      <c r="U3569" s="49"/>
      <c r="V3569" s="49"/>
      <c r="W3569" s="49"/>
      <c r="X3569" s="49" t="str">
        <f t="shared" si="3"/>
        <v>,</v>
      </c>
      <c r="Y3569" s="49"/>
      <c r="Z3569" s="49"/>
      <c r="AB3569" s="49"/>
      <c r="AC3569" s="49"/>
      <c r="AD3569" s="49"/>
      <c r="AE3569" s="49"/>
      <c r="AF3569" s="49"/>
      <c r="AG3569" s="49"/>
      <c r="AH3569" s="49"/>
      <c r="AI3569" s="49"/>
      <c r="AJ3569" s="49"/>
      <c r="AK3569" s="49"/>
      <c r="AL3569" s="49"/>
      <c r="AM3569" s="49"/>
      <c r="AN3569" s="49"/>
      <c r="AP3569" s="49"/>
      <c r="AQ3569" s="49"/>
      <c r="AR3569" s="49"/>
      <c r="AS3569" s="49"/>
      <c r="AT3569" s="49"/>
    </row>
    <row r="3570">
      <c r="A3570" s="51"/>
      <c r="B3570" s="50" t="s">
        <v>2433</v>
      </c>
      <c r="C3570" s="50" t="s">
        <v>7020</v>
      </c>
      <c r="D3570" s="49" t="str">
        <f>IFERROR(__xludf.DUMMYFUNCTION("""COMPUTED_VALUE"""),"pet")</f>
        <v>pet</v>
      </c>
      <c r="E3570" s="49"/>
      <c r="F3570" s="49"/>
      <c r="G3570" s="49"/>
      <c r="H3570" s="54" t="str">
        <f t="shared" si="1"/>
        <v>portuguese,</v>
      </c>
      <c r="I3570" s="50"/>
      <c r="J3570" s="50"/>
      <c r="K3570" s="50"/>
      <c r="L3570" s="50"/>
      <c r="M3570" s="50"/>
      <c r="N3570" s="50"/>
      <c r="O3570" s="49"/>
      <c r="P3570" s="49"/>
      <c r="Q3570" s="49"/>
      <c r="R3570" s="49"/>
      <c r="S3570" s="55" t="s">
        <v>3306</v>
      </c>
      <c r="T3570" s="49"/>
      <c r="U3570" s="49"/>
      <c r="V3570" s="49"/>
      <c r="W3570" s="49"/>
      <c r="X3570" s="49" t="str">
        <f t="shared" si="3"/>
        <v>,</v>
      </c>
      <c r="Y3570" s="49"/>
      <c r="Z3570" s="49"/>
      <c r="AB3570" s="49"/>
      <c r="AC3570" s="49"/>
      <c r="AD3570" s="49"/>
      <c r="AE3570" s="49"/>
      <c r="AF3570" s="49"/>
      <c r="AG3570" s="49"/>
      <c r="AH3570" s="49"/>
      <c r="AI3570" s="49"/>
      <c r="AJ3570" s="49"/>
      <c r="AK3570" s="49"/>
      <c r="AL3570" s="49"/>
      <c r="AM3570" s="49"/>
      <c r="AN3570" s="49"/>
      <c r="AP3570" s="49"/>
      <c r="AQ3570" s="49"/>
      <c r="AR3570" s="49"/>
      <c r="AS3570" s="49"/>
      <c r="AT3570" s="49"/>
    </row>
    <row r="3571">
      <c r="A3571" s="51"/>
      <c r="B3571" s="50" t="s">
        <v>2727</v>
      </c>
      <c r="C3571" s="50" t="s">
        <v>4693</v>
      </c>
      <c r="D3571" s="49">
        <f>IFERROR(__xludf.DUMMYFUNCTION("""COMPUTED_VALUE"""),1987.0)</f>
        <v>1987</v>
      </c>
      <c r="E3571" s="49"/>
      <c r="F3571" s="49"/>
      <c r="G3571" s="49"/>
      <c r="H3571" s="54" t="str">
        <f t="shared" si="1"/>
        <v>hundreds,</v>
      </c>
      <c r="I3571" s="50"/>
      <c r="J3571" s="50"/>
      <c r="K3571" s="50"/>
      <c r="L3571" s="50"/>
      <c r="M3571" s="50"/>
      <c r="N3571" s="50"/>
      <c r="O3571" s="49"/>
      <c r="P3571" s="49"/>
      <c r="Q3571" s="49"/>
      <c r="R3571" s="49"/>
      <c r="S3571" s="55">
        <v>1962.0</v>
      </c>
      <c r="T3571" s="49"/>
      <c r="U3571" s="49"/>
      <c r="V3571" s="49"/>
      <c r="W3571" s="49"/>
      <c r="X3571" s="49" t="str">
        <f t="shared" si="3"/>
        <v>,</v>
      </c>
      <c r="Y3571" s="49"/>
      <c r="Z3571" s="49"/>
      <c r="AB3571" s="49"/>
      <c r="AC3571" s="49"/>
      <c r="AD3571" s="49"/>
      <c r="AE3571" s="49"/>
      <c r="AF3571" s="49"/>
      <c r="AG3571" s="49"/>
      <c r="AH3571" s="49"/>
      <c r="AI3571" s="49"/>
      <c r="AJ3571" s="49"/>
      <c r="AK3571" s="49"/>
      <c r="AL3571" s="49"/>
      <c r="AM3571" s="49"/>
      <c r="AN3571" s="49"/>
      <c r="AP3571" s="49"/>
      <c r="AQ3571" s="49"/>
      <c r="AR3571" s="49"/>
      <c r="AS3571" s="49"/>
      <c r="AT3571" s="49"/>
    </row>
    <row r="3572">
      <c r="A3572" s="51"/>
      <c r="B3572" s="50" t="s">
        <v>4019</v>
      </c>
      <c r="C3572" s="50" t="s">
        <v>5520</v>
      </c>
      <c r="D3572" s="49" t="str">
        <f>IFERROR(__xludf.DUMMYFUNCTION("""COMPUTED_VALUE"""),"fabric")</f>
        <v>fabric</v>
      </c>
      <c r="E3572" s="49"/>
      <c r="F3572" s="49"/>
      <c r="G3572" s="49"/>
      <c r="H3572" s="54" t="str">
        <f t="shared" si="1"/>
        <v>lips,</v>
      </c>
      <c r="I3572" s="50"/>
      <c r="J3572" s="50"/>
      <c r="K3572" s="50"/>
      <c r="L3572" s="50"/>
      <c r="M3572" s="50"/>
      <c r="N3572" s="50"/>
      <c r="O3572" s="49"/>
      <c r="P3572" s="49"/>
      <c r="Q3572" s="49"/>
      <c r="R3572" s="49"/>
      <c r="S3572" s="55" t="s">
        <v>3312</v>
      </c>
      <c r="T3572" s="49"/>
      <c r="U3572" s="49"/>
      <c r="V3572" s="49"/>
      <c r="W3572" s="49"/>
      <c r="X3572" s="49" t="str">
        <f t="shared" si="3"/>
        <v>,</v>
      </c>
      <c r="Y3572" s="49"/>
      <c r="Z3572" s="49"/>
      <c r="AB3572" s="49"/>
      <c r="AC3572" s="49"/>
      <c r="AD3572" s="49"/>
      <c r="AE3572" s="49"/>
      <c r="AF3572" s="49"/>
      <c r="AG3572" s="49"/>
      <c r="AH3572" s="49"/>
      <c r="AI3572" s="49"/>
      <c r="AJ3572" s="49"/>
      <c r="AK3572" s="49"/>
      <c r="AL3572" s="49"/>
      <c r="AM3572" s="49"/>
      <c r="AN3572" s="49"/>
      <c r="AP3572" s="49"/>
      <c r="AQ3572" s="49"/>
      <c r="AR3572" s="49"/>
      <c r="AS3572" s="49"/>
      <c r="AT3572" s="49"/>
    </row>
    <row r="3573">
      <c r="A3573" s="51"/>
      <c r="B3573" s="50" t="s">
        <v>3949</v>
      </c>
      <c r="C3573" s="50" t="s">
        <v>1720</v>
      </c>
      <c r="D3573" s="49" t="str">
        <f>IFERROR(__xludf.DUMMYFUNCTION("""COMPUTED_VALUE"""),"height")</f>
        <v>height</v>
      </c>
      <c r="E3573" s="49"/>
      <c r="F3573" s="49"/>
      <c r="G3573" s="49"/>
      <c r="H3573" s="54" t="str">
        <f t="shared" si="1"/>
        <v>settled,</v>
      </c>
      <c r="I3573" s="50"/>
      <c r="J3573" s="50"/>
      <c r="K3573" s="50"/>
      <c r="L3573" s="50"/>
      <c r="M3573" s="50"/>
      <c r="N3573" s="50"/>
      <c r="O3573" s="49"/>
      <c r="P3573" s="49"/>
      <c r="Q3573" s="49"/>
      <c r="R3573" s="49"/>
      <c r="S3573" s="55" t="s">
        <v>6125</v>
      </c>
      <c r="T3573" s="49"/>
      <c r="U3573" s="49"/>
      <c r="V3573" s="49"/>
      <c r="W3573" s="49"/>
      <c r="X3573" s="49" t="str">
        <f t="shared" si="3"/>
        <v>,</v>
      </c>
      <c r="Y3573" s="49"/>
      <c r="Z3573" s="49"/>
      <c r="AB3573" s="49"/>
      <c r="AC3573" s="49"/>
      <c r="AD3573" s="49"/>
      <c r="AE3573" s="49"/>
      <c r="AF3573" s="49"/>
      <c r="AG3573" s="49"/>
      <c r="AH3573" s="49"/>
      <c r="AI3573" s="49"/>
      <c r="AJ3573" s="49"/>
      <c r="AK3573" s="49"/>
      <c r="AL3573" s="49"/>
      <c r="AM3573" s="49"/>
      <c r="AN3573" s="49"/>
      <c r="AP3573" s="49"/>
      <c r="AQ3573" s="49"/>
      <c r="AR3573" s="49"/>
      <c r="AS3573" s="49"/>
      <c r="AT3573" s="49"/>
    </row>
    <row r="3574">
      <c r="A3574" s="51"/>
      <c r="B3574" s="50" t="s">
        <v>6317</v>
      </c>
      <c r="C3574" s="50" t="s">
        <v>6942</v>
      </c>
      <c r="D3574" s="49" t="str">
        <f>IFERROR(__xludf.DUMMYFUNCTION("""COMPUTED_VALUE"""),"abilities")</f>
        <v>abilities</v>
      </c>
      <c r="E3574" s="49"/>
      <c r="F3574" s="49"/>
      <c r="G3574" s="49"/>
      <c r="H3574" s="54" t="str">
        <f t="shared" si="1"/>
        <v>online,</v>
      </c>
      <c r="I3574" s="50"/>
      <c r="J3574" s="50"/>
      <c r="K3574" s="50"/>
      <c r="L3574" s="50"/>
      <c r="M3574" s="50"/>
      <c r="N3574" s="50"/>
      <c r="O3574" s="49"/>
      <c r="P3574" s="49"/>
      <c r="Q3574" s="49"/>
      <c r="R3574" s="49"/>
      <c r="S3574" s="55" t="s">
        <v>5854</v>
      </c>
      <c r="T3574" s="49"/>
      <c r="U3574" s="49"/>
      <c r="V3574" s="49"/>
      <c r="W3574" s="49"/>
      <c r="X3574" s="49" t="str">
        <f t="shared" si="3"/>
        <v>,</v>
      </c>
      <c r="Y3574" s="49"/>
      <c r="Z3574" s="49"/>
      <c r="AB3574" s="49"/>
      <c r="AC3574" s="49"/>
      <c r="AD3574" s="49"/>
      <c r="AE3574" s="49"/>
      <c r="AF3574" s="49"/>
      <c r="AG3574" s="49"/>
      <c r="AH3574" s="49"/>
      <c r="AI3574" s="49"/>
      <c r="AJ3574" s="49"/>
      <c r="AK3574" s="49"/>
      <c r="AL3574" s="49"/>
      <c r="AM3574" s="49"/>
      <c r="AN3574" s="49"/>
      <c r="AP3574" s="49"/>
      <c r="AQ3574" s="49"/>
      <c r="AR3574" s="49"/>
      <c r="AS3574" s="49"/>
      <c r="AT3574" s="49"/>
    </row>
    <row r="3575">
      <c r="A3575" s="51"/>
      <c r="B3575" s="50" t="s">
        <v>117</v>
      </c>
      <c r="C3575" s="50" t="s">
        <v>4695</v>
      </c>
      <c r="D3575" s="49" t="str">
        <f>IFERROR(__xludf.DUMMYFUNCTION("""COMPUTED_VALUE"""),"pipe")</f>
        <v>pipe</v>
      </c>
      <c r="E3575" s="49"/>
      <c r="F3575" s="49"/>
      <c r="G3575" s="49"/>
      <c r="H3575" s="54" t="str">
        <f t="shared" si="1"/>
        <v>deeply,</v>
      </c>
      <c r="I3575" s="50"/>
      <c r="J3575" s="50"/>
      <c r="K3575" s="50"/>
      <c r="L3575" s="50"/>
      <c r="M3575" s="50"/>
      <c r="N3575" s="50"/>
      <c r="O3575" s="49"/>
      <c r="P3575" s="49"/>
      <c r="Q3575" s="49"/>
      <c r="R3575" s="49"/>
      <c r="S3575" s="55" t="s">
        <v>3314</v>
      </c>
      <c r="T3575" s="49"/>
      <c r="U3575" s="49"/>
      <c r="V3575" s="49"/>
      <c r="W3575" s="49"/>
      <c r="X3575" s="49" t="str">
        <f t="shared" si="3"/>
        <v>,</v>
      </c>
      <c r="Y3575" s="49"/>
      <c r="Z3575" s="49"/>
      <c r="AB3575" s="49"/>
      <c r="AC3575" s="49"/>
      <c r="AD3575" s="49"/>
      <c r="AE3575" s="49"/>
      <c r="AF3575" s="49"/>
      <c r="AG3575" s="49"/>
      <c r="AH3575" s="49"/>
      <c r="AI3575" s="49"/>
      <c r="AJ3575" s="49"/>
      <c r="AK3575" s="49"/>
      <c r="AL3575" s="49"/>
      <c r="AM3575" s="49"/>
      <c r="AN3575" s="49"/>
      <c r="AP3575" s="49"/>
      <c r="AQ3575" s="49"/>
      <c r="AR3575" s="49"/>
      <c r="AS3575" s="49"/>
      <c r="AT3575" s="49"/>
    </row>
    <row r="3576">
      <c r="A3576" s="51"/>
      <c r="B3576" s="50" t="s">
        <v>2385</v>
      </c>
      <c r="C3576" s="50" t="s">
        <v>5939</v>
      </c>
      <c r="D3576" s="49" t="str">
        <f>IFERROR(__xludf.DUMMYFUNCTION("""COMPUTED_VALUE"""),"everywhere")</f>
        <v>everywhere</v>
      </c>
      <c r="E3576" s="49"/>
      <c r="F3576" s="49"/>
      <c r="G3576" s="49"/>
      <c r="H3576" s="54" t="str">
        <f t="shared" si="1"/>
        <v>episodes,</v>
      </c>
      <c r="I3576" s="50"/>
      <c r="J3576" s="50"/>
      <c r="K3576" s="50"/>
      <c r="L3576" s="50"/>
      <c r="M3576" s="50"/>
      <c r="N3576" s="50"/>
      <c r="O3576" s="49"/>
      <c r="P3576" s="49"/>
      <c r="Q3576" s="49"/>
      <c r="R3576" s="49"/>
      <c r="S3576" s="55" t="s">
        <v>3318</v>
      </c>
      <c r="T3576" s="49"/>
      <c r="U3576" s="49"/>
      <c r="V3576" s="49"/>
      <c r="W3576" s="49"/>
      <c r="X3576" s="49" t="str">
        <f t="shared" si="3"/>
        <v>,</v>
      </c>
      <c r="Y3576" s="49"/>
      <c r="Z3576" s="49"/>
      <c r="AB3576" s="49"/>
      <c r="AC3576" s="49"/>
      <c r="AD3576" s="49"/>
      <c r="AE3576" s="49"/>
      <c r="AF3576" s="49"/>
      <c r="AG3576" s="49"/>
      <c r="AH3576" s="49"/>
      <c r="AI3576" s="49"/>
      <c r="AJ3576" s="49"/>
      <c r="AK3576" s="49"/>
      <c r="AL3576" s="49"/>
      <c r="AM3576" s="49"/>
      <c r="AN3576" s="49"/>
      <c r="AP3576" s="49"/>
      <c r="AQ3576" s="49"/>
      <c r="AR3576" s="49"/>
      <c r="AS3576" s="49"/>
      <c r="AT3576" s="49"/>
    </row>
    <row r="3577">
      <c r="A3577" s="51"/>
      <c r="B3577" s="50" t="s">
        <v>4825</v>
      </c>
      <c r="C3577" s="50" t="s">
        <v>7110</v>
      </c>
      <c r="D3577" s="49">
        <f>IFERROR(__xludf.DUMMYFUNCTION("""COMPUTED_VALUE"""),1959.0)</f>
        <v>1959</v>
      </c>
      <c r="E3577" s="49"/>
      <c r="F3577" s="49"/>
      <c r="G3577" s="49"/>
      <c r="H3577" s="54" t="str">
        <f t="shared" si="1"/>
        <v>hence,</v>
      </c>
      <c r="I3577" s="50"/>
      <c r="J3577" s="50"/>
      <c r="K3577" s="50"/>
      <c r="L3577" s="50"/>
      <c r="M3577" s="50"/>
      <c r="N3577" s="50"/>
      <c r="O3577" s="49"/>
      <c r="P3577" s="49"/>
      <c r="Q3577" s="49"/>
      <c r="R3577" s="49"/>
      <c r="S3577" s="55" t="s">
        <v>7111</v>
      </c>
      <c r="T3577" s="49"/>
      <c r="U3577" s="49"/>
      <c r="V3577" s="49"/>
      <c r="W3577" s="49"/>
      <c r="X3577" s="49" t="str">
        <f t="shared" si="3"/>
        <v>,</v>
      </c>
      <c r="Y3577" s="49"/>
      <c r="Z3577" s="49"/>
      <c r="AB3577" s="49"/>
      <c r="AC3577" s="49"/>
      <c r="AD3577" s="49"/>
      <c r="AE3577" s="49"/>
      <c r="AF3577" s="49"/>
      <c r="AG3577" s="49"/>
      <c r="AH3577" s="49"/>
      <c r="AI3577" s="49"/>
      <c r="AJ3577" s="49"/>
      <c r="AK3577" s="49"/>
      <c r="AL3577" s="49"/>
      <c r="AM3577" s="49"/>
      <c r="AN3577" s="49"/>
      <c r="AP3577" s="49"/>
      <c r="AQ3577" s="49"/>
      <c r="AR3577" s="49"/>
      <c r="AS3577" s="49"/>
      <c r="AT3577" s="49"/>
    </row>
    <row r="3578">
      <c r="A3578" s="51"/>
      <c r="B3578" s="50" t="s">
        <v>759</v>
      </c>
      <c r="C3578" s="50" t="s">
        <v>5758</v>
      </c>
      <c r="D3578" s="49" t="str">
        <f>IFERROR(__xludf.DUMMYFUNCTION("""COMPUTED_VALUE"""),"raymond")</f>
        <v>raymond</v>
      </c>
      <c r="E3578" s="49"/>
      <c r="F3578" s="49"/>
      <c r="G3578" s="49"/>
      <c r="H3578" s="54" t="str">
        <f t="shared" si="1"/>
        <v>landscape,</v>
      </c>
      <c r="I3578" s="50"/>
      <c r="J3578" s="50"/>
      <c r="K3578" s="50"/>
      <c r="L3578" s="50"/>
      <c r="M3578" s="50"/>
      <c r="N3578" s="50"/>
      <c r="O3578" s="49"/>
      <c r="P3578" s="49"/>
      <c r="Q3578" s="49"/>
      <c r="R3578" s="49"/>
      <c r="S3578" s="55" t="s">
        <v>5041</v>
      </c>
      <c r="T3578" s="49"/>
      <c r="U3578" s="49"/>
      <c r="V3578" s="49"/>
      <c r="W3578" s="49"/>
      <c r="X3578" s="49" t="str">
        <f t="shared" si="3"/>
        <v>,</v>
      </c>
      <c r="Y3578" s="49"/>
      <c r="Z3578" s="49"/>
      <c r="AB3578" s="49"/>
      <c r="AC3578" s="49"/>
      <c r="AD3578" s="49"/>
      <c r="AE3578" s="49"/>
      <c r="AF3578" s="49"/>
      <c r="AG3578" s="49"/>
      <c r="AH3578" s="49"/>
      <c r="AI3578" s="49"/>
      <c r="AJ3578" s="49"/>
      <c r="AK3578" s="49"/>
      <c r="AL3578" s="49"/>
      <c r="AM3578" s="49"/>
      <c r="AN3578" s="49"/>
      <c r="AP3578" s="49"/>
      <c r="AQ3578" s="49"/>
      <c r="AR3578" s="49"/>
      <c r="AS3578" s="49"/>
      <c r="AT3578" s="49"/>
    </row>
    <row r="3579">
      <c r="A3579" s="51"/>
      <c r="B3579" s="50" t="s">
        <v>6570</v>
      </c>
      <c r="C3579" s="50" t="s">
        <v>4721</v>
      </c>
      <c r="D3579" s="49" t="str">
        <f>IFERROR(__xludf.DUMMYFUNCTION("""COMPUTED_VALUE"""),"hurried")</f>
        <v>hurried</v>
      </c>
      <c r="E3579" s="49"/>
      <c r="F3579" s="49"/>
      <c r="G3579" s="49"/>
      <c r="H3579" s="54" t="str">
        <f t="shared" si="1"/>
        <v>louis,</v>
      </c>
      <c r="I3579" s="50"/>
      <c r="J3579" s="50"/>
      <c r="K3579" s="50"/>
      <c r="L3579" s="50"/>
      <c r="M3579" s="50"/>
      <c r="N3579" s="50"/>
      <c r="O3579" s="49"/>
      <c r="P3579" s="49"/>
      <c r="Q3579" s="49"/>
      <c r="R3579" s="49"/>
      <c r="S3579" s="55" t="s">
        <v>5045</v>
      </c>
      <c r="T3579" s="49"/>
      <c r="U3579" s="49"/>
      <c r="V3579" s="49"/>
      <c r="W3579" s="49"/>
      <c r="X3579" s="49" t="str">
        <f t="shared" si="3"/>
        <v>,</v>
      </c>
      <c r="Y3579" s="49"/>
      <c r="Z3579" s="49"/>
      <c r="AB3579" s="49"/>
      <c r="AC3579" s="49"/>
      <c r="AD3579" s="49"/>
      <c r="AE3579" s="49"/>
      <c r="AF3579" s="49"/>
      <c r="AG3579" s="49"/>
      <c r="AH3579" s="49"/>
      <c r="AI3579" s="49"/>
      <c r="AJ3579" s="49"/>
      <c r="AK3579" s="49"/>
      <c r="AL3579" s="49"/>
      <c r="AM3579" s="49"/>
      <c r="AN3579" s="49"/>
      <c r="AP3579" s="49"/>
      <c r="AQ3579" s="49"/>
      <c r="AR3579" s="49"/>
      <c r="AS3579" s="49"/>
      <c r="AT3579" s="49"/>
    </row>
    <row r="3580">
      <c r="A3580" s="51"/>
      <c r="B3580" s="50" t="s">
        <v>1874</v>
      </c>
      <c r="C3580" s="50" t="s">
        <v>6943</v>
      </c>
      <c r="D3580" s="49" t="str">
        <f>IFERROR(__xludf.DUMMYFUNCTION("""COMPUTED_VALUE"""),"crystal")</f>
        <v>crystal</v>
      </c>
      <c r="E3580" s="49"/>
      <c r="F3580" s="49"/>
      <c r="G3580" s="49"/>
      <c r="H3580" s="54" t="str">
        <f t="shared" si="1"/>
        <v>parking,</v>
      </c>
      <c r="I3580" s="50"/>
      <c r="J3580" s="50"/>
      <c r="K3580" s="50"/>
      <c r="L3580" s="50"/>
      <c r="M3580" s="50"/>
      <c r="N3580" s="50"/>
      <c r="O3580" s="49"/>
      <c r="P3580" s="49"/>
      <c r="Q3580" s="49"/>
      <c r="R3580" s="49"/>
      <c r="S3580" s="55" t="s">
        <v>3321</v>
      </c>
      <c r="T3580" s="49"/>
      <c r="U3580" s="49"/>
      <c r="V3580" s="49"/>
      <c r="W3580" s="49"/>
      <c r="X3580" s="49" t="str">
        <f t="shared" si="3"/>
        <v>,</v>
      </c>
      <c r="Y3580" s="49"/>
      <c r="Z3580" s="49"/>
      <c r="AB3580" s="49"/>
      <c r="AC3580" s="49"/>
      <c r="AD3580" s="49"/>
      <c r="AE3580" s="49"/>
      <c r="AF3580" s="49"/>
      <c r="AG3580" s="49"/>
      <c r="AH3580" s="49"/>
      <c r="AI3580" s="49"/>
      <c r="AJ3580" s="49"/>
      <c r="AK3580" s="49"/>
      <c r="AL3580" s="49"/>
      <c r="AM3580" s="49"/>
      <c r="AN3580" s="49"/>
      <c r="AP3580" s="49"/>
      <c r="AQ3580" s="49"/>
      <c r="AR3580" s="49"/>
      <c r="AS3580" s="49"/>
      <c r="AT3580" s="49"/>
    </row>
    <row r="3581">
      <c r="A3581" s="51"/>
      <c r="B3581" s="50" t="s">
        <v>5561</v>
      </c>
      <c r="C3581" s="50" t="s">
        <v>6944</v>
      </c>
      <c r="D3581" s="49" t="str">
        <f>IFERROR(__xludf.DUMMYFUNCTION("""COMPUTED_VALUE"""),"bath")</f>
        <v>bath</v>
      </c>
      <c r="E3581" s="49"/>
      <c r="F3581" s="49"/>
      <c r="G3581" s="49"/>
      <c r="H3581" s="54" t="str">
        <f t="shared" si="1"/>
        <v>boots,</v>
      </c>
      <c r="I3581" s="50"/>
      <c r="J3581" s="50"/>
      <c r="K3581" s="50"/>
      <c r="L3581" s="50"/>
      <c r="M3581" s="50"/>
      <c r="N3581" s="50"/>
      <c r="O3581" s="49"/>
      <c r="P3581" s="49"/>
      <c r="Q3581" s="49"/>
      <c r="R3581" s="49"/>
      <c r="S3581" s="55" t="s">
        <v>5049</v>
      </c>
      <c r="T3581" s="49"/>
      <c r="U3581" s="49"/>
      <c r="V3581" s="49"/>
      <c r="W3581" s="49"/>
      <c r="X3581" s="49" t="str">
        <f t="shared" si="3"/>
        <v>,</v>
      </c>
      <c r="Y3581" s="49"/>
      <c r="Z3581" s="49"/>
      <c r="AB3581" s="49"/>
      <c r="AC3581" s="49"/>
      <c r="AD3581" s="49"/>
      <c r="AE3581" s="49"/>
      <c r="AF3581" s="49"/>
      <c r="AG3581" s="49"/>
      <c r="AH3581" s="49"/>
      <c r="AI3581" s="49"/>
      <c r="AJ3581" s="49"/>
      <c r="AK3581" s="49"/>
      <c r="AL3581" s="49"/>
      <c r="AM3581" s="49"/>
      <c r="AN3581" s="49"/>
      <c r="AP3581" s="49"/>
      <c r="AQ3581" s="49"/>
      <c r="AR3581" s="49"/>
      <c r="AS3581" s="49"/>
      <c r="AT3581" s="49"/>
    </row>
    <row r="3582">
      <c r="A3582" s="51"/>
      <c r="B3582" s="50" t="s">
        <v>6874</v>
      </c>
      <c r="C3582" s="50" t="s">
        <v>6945</v>
      </c>
      <c r="D3582" s="49" t="str">
        <f>IFERROR(__xludf.DUMMYFUNCTION("""COMPUTED_VALUE"""),"stands")</f>
        <v>stands</v>
      </c>
      <c r="E3582" s="49"/>
      <c r="F3582" s="49"/>
      <c r="G3582" s="49"/>
      <c r="H3582" s="54" t="str">
        <f t="shared" si="1"/>
        <v>garage,</v>
      </c>
      <c r="I3582" s="50"/>
      <c r="J3582" s="50"/>
      <c r="K3582" s="50"/>
      <c r="L3582" s="50"/>
      <c r="M3582" s="50"/>
      <c r="N3582" s="50"/>
      <c r="O3582" s="49"/>
      <c r="P3582" s="49"/>
      <c r="Q3582" s="49"/>
      <c r="R3582" s="49"/>
      <c r="S3582" s="55" t="s">
        <v>5857</v>
      </c>
      <c r="T3582" s="49"/>
      <c r="U3582" s="49"/>
      <c r="V3582" s="49"/>
      <c r="W3582" s="49"/>
      <c r="X3582" s="49" t="str">
        <f t="shared" si="3"/>
        <v>,</v>
      </c>
      <c r="Y3582" s="49"/>
      <c r="Z3582" s="49"/>
      <c r="AB3582" s="49"/>
      <c r="AC3582" s="49"/>
      <c r="AD3582" s="49"/>
      <c r="AE3582" s="49"/>
      <c r="AF3582" s="49"/>
      <c r="AG3582" s="49"/>
      <c r="AH3582" s="49"/>
      <c r="AI3582" s="49"/>
      <c r="AJ3582" s="49"/>
      <c r="AK3582" s="49"/>
      <c r="AL3582" s="49"/>
      <c r="AM3582" s="49"/>
      <c r="AN3582" s="49"/>
      <c r="AP3582" s="49"/>
      <c r="AQ3582" s="49"/>
      <c r="AR3582" s="49"/>
      <c r="AS3582" s="49"/>
      <c r="AT3582" s="49"/>
    </row>
    <row r="3583">
      <c r="A3583" s="51"/>
      <c r="B3583" s="50" t="s">
        <v>6904</v>
      </c>
      <c r="C3583" s="50" t="s">
        <v>4735</v>
      </c>
      <c r="D3583" s="49" t="str">
        <f>IFERROR(__xludf.DUMMYFUNCTION("""COMPUTED_VALUE"""),"casualties")</f>
        <v>casualties</v>
      </c>
      <c r="E3583" s="49"/>
      <c r="F3583" s="49"/>
      <c r="G3583" s="49"/>
      <c r="H3583" s="54" t="str">
        <f t="shared" si="1"/>
        <v>aggressive,</v>
      </c>
      <c r="I3583" s="50"/>
      <c r="J3583" s="50"/>
      <c r="K3583" s="50"/>
      <c r="L3583" s="50"/>
      <c r="M3583" s="50"/>
      <c r="N3583" s="50"/>
      <c r="O3583" s="49"/>
      <c r="P3583" s="49"/>
      <c r="Q3583" s="49"/>
      <c r="R3583" s="49"/>
      <c r="S3583" s="55" t="s">
        <v>6128</v>
      </c>
      <c r="T3583" s="49"/>
      <c r="U3583" s="49"/>
      <c r="V3583" s="49"/>
      <c r="W3583" s="49"/>
      <c r="X3583" s="49" t="str">
        <f t="shared" si="3"/>
        <v>,</v>
      </c>
      <c r="Y3583" s="49"/>
      <c r="Z3583" s="49"/>
      <c r="AB3583" s="49"/>
      <c r="AC3583" s="49"/>
      <c r="AD3583" s="49"/>
      <c r="AE3583" s="49"/>
      <c r="AF3583" s="49"/>
      <c r="AG3583" s="49"/>
      <c r="AH3583" s="49"/>
      <c r="AI3583" s="49"/>
      <c r="AJ3583" s="49"/>
      <c r="AK3583" s="49"/>
      <c r="AL3583" s="49"/>
      <c r="AM3583" s="49"/>
      <c r="AN3583" s="49"/>
      <c r="AP3583" s="49"/>
      <c r="AQ3583" s="49"/>
      <c r="AR3583" s="49"/>
      <c r="AS3583" s="49"/>
      <c r="AT3583" s="49"/>
    </row>
    <row r="3584">
      <c r="A3584" s="51"/>
      <c r="B3584" s="50" t="s">
        <v>3994</v>
      </c>
      <c r="C3584" s="50" t="s">
        <v>3504</v>
      </c>
      <c r="D3584" s="49" t="str">
        <f>IFERROR(__xludf.DUMMYFUNCTION("""COMPUTED_VALUE"""),"plan")</f>
        <v>plan</v>
      </c>
      <c r="E3584" s="49"/>
      <c r="F3584" s="49"/>
      <c r="G3584" s="49"/>
      <c r="H3584" s="54" t="str">
        <f t="shared" si="1"/>
        <v>handling,</v>
      </c>
      <c r="I3584" s="50"/>
      <c r="J3584" s="50"/>
      <c r="K3584" s="50"/>
      <c r="L3584" s="50"/>
      <c r="M3584" s="50"/>
      <c r="N3584" s="50"/>
      <c r="O3584" s="49"/>
      <c r="P3584" s="49"/>
      <c r="Q3584" s="49"/>
      <c r="R3584" s="49"/>
      <c r="S3584" s="55" t="s">
        <v>7045</v>
      </c>
      <c r="T3584" s="49"/>
      <c r="U3584" s="49"/>
      <c r="V3584" s="49"/>
      <c r="W3584" s="49"/>
      <c r="X3584" s="49" t="str">
        <f t="shared" si="3"/>
        <v>,</v>
      </c>
      <c r="Y3584" s="49"/>
      <c r="Z3584" s="49"/>
      <c r="AB3584" s="49"/>
      <c r="AC3584" s="49"/>
      <c r="AD3584" s="49"/>
      <c r="AE3584" s="49"/>
      <c r="AF3584" s="49"/>
      <c r="AG3584" s="49"/>
      <c r="AH3584" s="49"/>
      <c r="AI3584" s="49"/>
      <c r="AJ3584" s="49"/>
      <c r="AK3584" s="49"/>
      <c r="AL3584" s="49"/>
      <c r="AM3584" s="49"/>
      <c r="AN3584" s="49"/>
      <c r="AP3584" s="49"/>
      <c r="AQ3584" s="49"/>
      <c r="AR3584" s="49"/>
      <c r="AS3584" s="49"/>
      <c r="AT3584" s="49"/>
    </row>
    <row r="3585">
      <c r="A3585" s="51"/>
      <c r="B3585" s="50" t="s">
        <v>6494</v>
      </c>
      <c r="C3585" s="50" t="s">
        <v>6947</v>
      </c>
      <c r="D3585" s="49" t="str">
        <f>IFERROR(__xludf.DUMMYFUNCTION("""COMPUTED_VALUE"""),"muscles")</f>
        <v>muscles</v>
      </c>
      <c r="E3585" s="49"/>
      <c r="F3585" s="49"/>
      <c r="G3585" s="49"/>
      <c r="H3585" s="54" t="str">
        <f t="shared" si="1"/>
        <v>array,</v>
      </c>
      <c r="I3585" s="50"/>
      <c r="J3585" s="50"/>
      <c r="K3585" s="50"/>
      <c r="L3585" s="50"/>
      <c r="M3585" s="50"/>
      <c r="N3585" s="50"/>
      <c r="O3585" s="49"/>
      <c r="P3585" s="49"/>
      <c r="Q3585" s="49"/>
      <c r="R3585" s="49"/>
      <c r="S3585" s="55" t="s">
        <v>3324</v>
      </c>
      <c r="T3585" s="49"/>
      <c r="U3585" s="49"/>
      <c r="V3585" s="49"/>
      <c r="W3585" s="49"/>
      <c r="X3585" s="49" t="str">
        <f t="shared" si="3"/>
        <v>,</v>
      </c>
      <c r="Y3585" s="49"/>
      <c r="Z3585" s="49"/>
      <c r="AB3585" s="49"/>
      <c r="AC3585" s="49"/>
      <c r="AD3585" s="49"/>
      <c r="AE3585" s="49"/>
      <c r="AF3585" s="49"/>
      <c r="AG3585" s="49"/>
      <c r="AH3585" s="49"/>
      <c r="AI3585" s="49"/>
      <c r="AJ3585" s="49"/>
      <c r="AK3585" s="49"/>
      <c r="AL3585" s="49"/>
      <c r="AM3585" s="49"/>
      <c r="AN3585" s="49"/>
      <c r="AP3585" s="49"/>
      <c r="AQ3585" s="49"/>
      <c r="AR3585" s="49"/>
      <c r="AS3585" s="49"/>
      <c r="AT3585" s="49"/>
    </row>
    <row r="3586">
      <c r="A3586" s="51"/>
      <c r="B3586" s="50" t="s">
        <v>1395</v>
      </c>
      <c r="C3586" s="50" t="s">
        <v>5843</v>
      </c>
      <c r="D3586" s="49" t="str">
        <f>IFERROR(__xludf.DUMMYFUNCTION("""COMPUTED_VALUE"""),"castle")</f>
        <v>castle</v>
      </c>
      <c r="E3586" s="49"/>
      <c r="F3586" s="49"/>
      <c r="G3586" s="49"/>
      <c r="H3586" s="54" t="str">
        <f t="shared" si="1"/>
        <v>warm,</v>
      </c>
      <c r="I3586" s="50"/>
      <c r="J3586" s="50"/>
      <c r="K3586" s="50"/>
      <c r="L3586" s="50"/>
      <c r="M3586" s="50"/>
      <c r="N3586" s="50"/>
      <c r="O3586" s="49"/>
      <c r="P3586" s="49"/>
      <c r="Q3586" s="49"/>
      <c r="R3586" s="49"/>
      <c r="S3586" s="55" t="s">
        <v>6130</v>
      </c>
      <c r="T3586" s="49"/>
      <c r="U3586" s="49"/>
      <c r="V3586" s="49"/>
      <c r="W3586" s="49"/>
      <c r="X3586" s="49" t="str">
        <f t="shared" si="3"/>
        <v>,</v>
      </c>
      <c r="Y3586" s="49"/>
      <c r="Z3586" s="49"/>
      <c r="AB3586" s="49"/>
      <c r="AC3586" s="49"/>
      <c r="AD3586" s="49"/>
      <c r="AE3586" s="49"/>
      <c r="AF3586" s="49"/>
      <c r="AG3586" s="49"/>
      <c r="AH3586" s="49"/>
      <c r="AI3586" s="49"/>
      <c r="AJ3586" s="49"/>
      <c r="AK3586" s="49"/>
      <c r="AL3586" s="49"/>
      <c r="AM3586" s="49"/>
      <c r="AN3586" s="49"/>
      <c r="AP3586" s="49"/>
      <c r="AQ3586" s="49"/>
      <c r="AR3586" s="49"/>
      <c r="AS3586" s="49"/>
      <c r="AT3586" s="49"/>
    </row>
    <row r="3587">
      <c r="A3587" s="51"/>
      <c r="B3587" s="50" t="s">
        <v>6469</v>
      </c>
      <c r="C3587" s="50" t="s">
        <v>4955</v>
      </c>
      <c r="D3587" s="49" t="str">
        <f>IFERROR(__xludf.DUMMYFUNCTION("""COMPUTED_VALUE"""),"wing")</f>
        <v>wing</v>
      </c>
      <c r="E3587" s="49"/>
      <c r="F3587" s="49"/>
      <c r="G3587" s="49"/>
      <c r="H3587" s="54" t="str">
        <f t="shared" si="1"/>
        <v>strongly,</v>
      </c>
      <c r="I3587" s="50"/>
      <c r="J3587" s="50"/>
      <c r="K3587" s="50"/>
      <c r="L3587" s="50"/>
      <c r="M3587" s="50"/>
      <c r="N3587" s="50"/>
      <c r="O3587" s="49"/>
      <c r="P3587" s="49"/>
      <c r="Q3587" s="49"/>
      <c r="R3587" s="49"/>
      <c r="S3587" s="55" t="s">
        <v>3327</v>
      </c>
      <c r="T3587" s="49"/>
      <c r="U3587" s="49"/>
      <c r="V3587" s="49"/>
      <c r="W3587" s="49"/>
      <c r="X3587" s="49" t="str">
        <f t="shared" si="3"/>
        <v>,</v>
      </c>
      <c r="Y3587" s="49"/>
      <c r="Z3587" s="49"/>
      <c r="AB3587" s="49"/>
      <c r="AC3587" s="49"/>
      <c r="AD3587" s="49"/>
      <c r="AE3587" s="49"/>
      <c r="AF3587" s="49"/>
      <c r="AG3587" s="49"/>
      <c r="AH3587" s="49"/>
      <c r="AI3587" s="49"/>
      <c r="AJ3587" s="49"/>
      <c r="AK3587" s="49"/>
      <c r="AL3587" s="49"/>
      <c r="AM3587" s="49"/>
      <c r="AN3587" s="49"/>
      <c r="AP3587" s="49"/>
      <c r="AQ3587" s="49"/>
      <c r="AR3587" s="49"/>
      <c r="AS3587" s="49"/>
      <c r="AT3587" s="49"/>
    </row>
    <row r="3588">
      <c r="A3588" s="51"/>
      <c r="B3588" s="50" t="s">
        <v>4830</v>
      </c>
      <c r="C3588" s="50" t="s">
        <v>3265</v>
      </c>
      <c r="D3588" s="49" t="str">
        <f>IFERROR(__xludf.DUMMYFUNCTION("""COMPUTED_VALUE"""),"sky")</f>
        <v>sky</v>
      </c>
      <c r="E3588" s="49"/>
      <c r="F3588" s="49"/>
      <c r="G3588" s="49"/>
      <c r="H3588" s="54" t="str">
        <f t="shared" si="1"/>
        <v>challenges,</v>
      </c>
      <c r="I3588" s="50"/>
      <c r="J3588" s="50"/>
      <c r="K3588" s="50"/>
      <c r="L3588" s="50"/>
      <c r="M3588" s="50"/>
      <c r="N3588" s="50"/>
      <c r="O3588" s="49"/>
      <c r="P3588" s="49"/>
      <c r="Q3588" s="49"/>
      <c r="R3588" s="49"/>
      <c r="S3588" s="55" t="s">
        <v>3332</v>
      </c>
      <c r="T3588" s="49"/>
      <c r="U3588" s="49"/>
      <c r="V3588" s="49"/>
      <c r="W3588" s="49"/>
      <c r="X3588" s="49" t="str">
        <f t="shared" si="3"/>
        <v>,</v>
      </c>
      <c r="Y3588" s="49"/>
      <c r="Z3588" s="49"/>
      <c r="AB3588" s="49"/>
      <c r="AC3588" s="49"/>
      <c r="AD3588" s="49"/>
      <c r="AE3588" s="49"/>
      <c r="AF3588" s="49"/>
      <c r="AG3588" s="49"/>
      <c r="AH3588" s="49"/>
      <c r="AI3588" s="49"/>
      <c r="AJ3588" s="49"/>
      <c r="AK3588" s="49"/>
      <c r="AL3588" s="49"/>
      <c r="AM3588" s="49"/>
      <c r="AN3588" s="49"/>
      <c r="AP3588" s="49"/>
      <c r="AQ3588" s="49"/>
      <c r="AR3588" s="49"/>
      <c r="AS3588" s="49"/>
      <c r="AT3588" s="49"/>
    </row>
    <row r="3589">
      <c r="A3589" s="51"/>
      <c r="B3589" s="50" t="s">
        <v>4359</v>
      </c>
      <c r="C3589" s="50" t="s">
        <v>5649</v>
      </c>
      <c r="D3589" s="49" t="str">
        <f>IFERROR(__xludf.DUMMYFUNCTION("""COMPUTED_VALUE"""),"suicide")</f>
        <v>suicide</v>
      </c>
      <c r="E3589" s="49"/>
      <c r="F3589" s="49"/>
      <c r="G3589" s="49"/>
      <c r="H3589" s="54" t="str">
        <f t="shared" si="1"/>
        <v>schedule,</v>
      </c>
      <c r="I3589" s="50"/>
      <c r="J3589" s="50"/>
      <c r="K3589" s="50"/>
      <c r="L3589" s="50"/>
      <c r="M3589" s="50"/>
      <c r="N3589" s="50"/>
      <c r="O3589" s="49"/>
      <c r="P3589" s="49"/>
      <c r="Q3589" s="49"/>
      <c r="R3589" s="49"/>
      <c r="S3589" s="55" t="s">
        <v>5865</v>
      </c>
      <c r="T3589" s="49"/>
      <c r="U3589" s="49"/>
      <c r="V3589" s="49"/>
      <c r="W3589" s="49"/>
      <c r="X3589" s="49" t="str">
        <f t="shared" si="3"/>
        <v>,</v>
      </c>
      <c r="Y3589" s="49"/>
      <c r="Z3589" s="49"/>
      <c r="AB3589" s="49"/>
      <c r="AC3589" s="49"/>
      <c r="AD3589" s="49"/>
      <c r="AE3589" s="49"/>
      <c r="AF3589" s="49"/>
      <c r="AG3589" s="49"/>
      <c r="AH3589" s="49"/>
      <c r="AI3589" s="49"/>
      <c r="AJ3589" s="49"/>
      <c r="AK3589" s="49"/>
      <c r="AL3589" s="49"/>
      <c r="AM3589" s="49"/>
      <c r="AN3589" s="49"/>
      <c r="AP3589" s="49"/>
      <c r="AQ3589" s="49"/>
      <c r="AR3589" s="49"/>
      <c r="AS3589" s="49"/>
      <c r="AT3589" s="49"/>
    </row>
    <row r="3590">
      <c r="A3590" s="51"/>
      <c r="B3590" s="50" t="s">
        <v>7699</v>
      </c>
      <c r="C3590" s="50" t="s">
        <v>3861</v>
      </c>
      <c r="D3590" s="49" t="str">
        <f>IFERROR(__xludf.DUMMYFUNCTION("""COMPUTED_VALUE"""),"continuing")</f>
        <v>continuing</v>
      </c>
      <c r="E3590" s="49"/>
      <c r="F3590" s="49"/>
      <c r="G3590" s="49"/>
      <c r="H3590" s="54" t="str">
        <f t="shared" si="1"/>
        <v>files,</v>
      </c>
      <c r="I3590" s="50"/>
      <c r="J3590" s="50"/>
      <c r="K3590" s="50"/>
      <c r="L3590" s="50"/>
      <c r="M3590" s="50"/>
      <c r="N3590" s="50"/>
      <c r="O3590" s="49"/>
      <c r="P3590" s="49"/>
      <c r="Q3590" s="49"/>
      <c r="R3590" s="49"/>
      <c r="S3590" s="55" t="s">
        <v>3334</v>
      </c>
      <c r="T3590" s="49"/>
      <c r="U3590" s="49"/>
      <c r="V3590" s="49"/>
      <c r="W3590" s="49"/>
      <c r="X3590" s="49" t="str">
        <f t="shared" si="3"/>
        <v>,</v>
      </c>
      <c r="Y3590" s="49"/>
      <c r="Z3590" s="49"/>
      <c r="AB3590" s="49"/>
      <c r="AC3590" s="49"/>
      <c r="AD3590" s="49"/>
      <c r="AE3590" s="49"/>
      <c r="AF3590" s="49"/>
      <c r="AG3590" s="49"/>
      <c r="AH3590" s="49"/>
      <c r="AI3590" s="49"/>
      <c r="AJ3590" s="49"/>
      <c r="AK3590" s="49"/>
      <c r="AL3590" s="49"/>
      <c r="AM3590" s="49"/>
      <c r="AN3590" s="49"/>
      <c r="AP3590" s="49"/>
      <c r="AQ3590" s="49"/>
      <c r="AR3590" s="49"/>
      <c r="AS3590" s="49"/>
      <c r="AT3590" s="49"/>
    </row>
    <row r="3591">
      <c r="A3591" s="51"/>
      <c r="B3591" s="50" t="s">
        <v>4610</v>
      </c>
      <c r="C3591" s="50" t="s">
        <v>5655</v>
      </c>
      <c r="D3591" s="49" t="str">
        <f>IFERROR(__xludf.DUMMYFUNCTION("""COMPUTED_VALUE"""),"eve")</f>
        <v>eve</v>
      </c>
      <c r="E3591" s="49"/>
      <c r="F3591" s="49"/>
      <c r="G3591" s="49"/>
      <c r="H3591" s="54" t="str">
        <f t="shared" si="1"/>
        <v>companion,</v>
      </c>
      <c r="I3591" s="50"/>
      <c r="J3591" s="50"/>
      <c r="K3591" s="50"/>
      <c r="L3591" s="50"/>
      <c r="M3591" s="50"/>
      <c r="N3591" s="50"/>
      <c r="O3591" s="49"/>
      <c r="P3591" s="49"/>
      <c r="Q3591" s="49"/>
      <c r="R3591" s="49"/>
      <c r="S3591" s="55" t="s">
        <v>3339</v>
      </c>
      <c r="T3591" s="49"/>
      <c r="U3591" s="49"/>
      <c r="V3591" s="49"/>
      <c r="W3591" s="49"/>
      <c r="X3591" s="49" t="str">
        <f t="shared" si="3"/>
        <v>,</v>
      </c>
      <c r="Y3591" s="49"/>
      <c r="Z3591" s="49"/>
      <c r="AB3591" s="49"/>
      <c r="AC3591" s="49"/>
      <c r="AD3591" s="49"/>
      <c r="AE3591" s="49"/>
      <c r="AF3591" s="49"/>
      <c r="AG3591" s="49"/>
      <c r="AH3591" s="49"/>
      <c r="AI3591" s="49"/>
      <c r="AJ3591" s="49"/>
      <c r="AK3591" s="49"/>
      <c r="AL3591" s="49"/>
      <c r="AM3591" s="49"/>
      <c r="AN3591" s="49"/>
      <c r="AP3591" s="49"/>
      <c r="AQ3591" s="49"/>
      <c r="AR3591" s="49"/>
      <c r="AS3591" s="49"/>
      <c r="AT3591" s="49"/>
    </row>
    <row r="3592">
      <c r="A3592" s="51"/>
      <c r="B3592" s="50" t="s">
        <v>5975</v>
      </c>
      <c r="C3592" s="50" t="s">
        <v>5777</v>
      </c>
      <c r="D3592" s="49" t="str">
        <f>IFERROR(__xludf.DUMMYFUNCTION("""COMPUTED_VALUE"""),"defensive")</f>
        <v>defensive</v>
      </c>
      <c r="E3592" s="49"/>
      <c r="F3592" s="49"/>
      <c r="G3592" s="49"/>
      <c r="H3592" s="54" t="str">
        <f t="shared" si="1"/>
        <v>educational,</v>
      </c>
      <c r="I3592" s="50"/>
      <c r="J3592" s="50"/>
      <c r="K3592" s="50"/>
      <c r="L3592" s="50"/>
      <c r="M3592" s="50"/>
      <c r="N3592" s="50"/>
      <c r="O3592" s="49"/>
      <c r="P3592" s="49"/>
      <c r="Q3592" s="49"/>
      <c r="R3592" s="49"/>
      <c r="S3592" s="55" t="s">
        <v>3341</v>
      </c>
      <c r="T3592" s="49"/>
      <c r="U3592" s="49"/>
      <c r="V3592" s="49"/>
      <c r="W3592" s="49"/>
      <c r="X3592" s="49" t="str">
        <f t="shared" si="3"/>
        <v>,</v>
      </c>
      <c r="Y3592" s="49"/>
      <c r="Z3592" s="49"/>
      <c r="AB3592" s="49"/>
      <c r="AC3592" s="49"/>
      <c r="AD3592" s="49"/>
      <c r="AE3592" s="49"/>
      <c r="AF3592" s="49"/>
      <c r="AG3592" s="49"/>
      <c r="AH3592" s="49"/>
      <c r="AI3592" s="49"/>
      <c r="AJ3592" s="49"/>
      <c r="AK3592" s="49"/>
      <c r="AL3592" s="49"/>
      <c r="AM3592" s="49"/>
      <c r="AN3592" s="49"/>
      <c r="AP3592" s="49"/>
      <c r="AQ3592" s="49"/>
      <c r="AR3592" s="49"/>
      <c r="AS3592" s="49"/>
      <c r="AT3592" s="49"/>
    </row>
    <row r="3593">
      <c r="A3593" s="51"/>
      <c r="B3593" s="50">
        <v>103.0</v>
      </c>
      <c r="C3593" s="50" t="s">
        <v>7112</v>
      </c>
      <c r="D3593" s="49" t="str">
        <f>IFERROR(__xludf.DUMMYFUNCTION("""COMPUTED_VALUE"""),"trials")</f>
        <v>trials</v>
      </c>
      <c r="E3593" s="49"/>
      <c r="F3593" s="49"/>
      <c r="G3593" s="49"/>
      <c r="H3593" s="54" t="str">
        <f t="shared" si="1"/>
        <v>103,</v>
      </c>
      <c r="I3593" s="50"/>
      <c r="J3593" s="50"/>
      <c r="K3593" s="50"/>
      <c r="L3593" s="50"/>
      <c r="M3593" s="50"/>
      <c r="N3593" s="50"/>
      <c r="O3593" s="49"/>
      <c r="P3593" s="49"/>
      <c r="Q3593" s="49"/>
      <c r="R3593" s="49"/>
      <c r="S3593" s="55" t="s">
        <v>3344</v>
      </c>
      <c r="T3593" s="49"/>
      <c r="U3593" s="49"/>
      <c r="V3593" s="49"/>
      <c r="W3593" s="49"/>
      <c r="X3593" s="49" t="str">
        <f t="shared" si="3"/>
        <v>,</v>
      </c>
      <c r="Y3593" s="49"/>
      <c r="Z3593" s="49"/>
      <c r="AB3593" s="49"/>
      <c r="AC3593" s="49"/>
      <c r="AD3593" s="49"/>
      <c r="AE3593" s="49"/>
      <c r="AF3593" s="49"/>
      <c r="AG3593" s="49"/>
      <c r="AH3593" s="49"/>
      <c r="AI3593" s="49"/>
      <c r="AJ3593" s="49"/>
      <c r="AK3593" s="49"/>
      <c r="AL3593" s="49"/>
      <c r="AM3593" s="49"/>
      <c r="AN3593" s="49"/>
      <c r="AP3593" s="49"/>
      <c r="AQ3593" s="49"/>
      <c r="AR3593" s="49"/>
      <c r="AS3593" s="49"/>
      <c r="AT3593" s="49"/>
    </row>
    <row r="3594">
      <c r="A3594" s="51"/>
      <c r="B3594" s="50">
        <v>1975.0</v>
      </c>
      <c r="C3594" s="50" t="s">
        <v>6948</v>
      </c>
      <c r="D3594" s="49" t="str">
        <f>IFERROR(__xludf.DUMMYFUNCTION("""COMPUTED_VALUE"""),"ace")</f>
        <v>ace</v>
      </c>
      <c r="E3594" s="49"/>
      <c r="F3594" s="49"/>
      <c r="G3594" s="49"/>
      <c r="H3594" s="54" t="str">
        <f t="shared" si="1"/>
        <v>1975,</v>
      </c>
      <c r="I3594" s="50"/>
      <c r="J3594" s="50"/>
      <c r="K3594" s="50"/>
      <c r="L3594" s="50"/>
      <c r="M3594" s="50"/>
      <c r="N3594" s="50"/>
      <c r="O3594" s="49"/>
      <c r="P3594" s="49"/>
      <c r="Q3594" s="49"/>
      <c r="R3594" s="49"/>
      <c r="S3594" s="55" t="s">
        <v>7113</v>
      </c>
      <c r="T3594" s="49"/>
      <c r="U3594" s="49"/>
      <c r="V3594" s="49"/>
      <c r="W3594" s="49"/>
      <c r="X3594" s="49" t="str">
        <f t="shared" si="3"/>
        <v>,</v>
      </c>
      <c r="Y3594" s="49"/>
      <c r="Z3594" s="49"/>
      <c r="AB3594" s="49"/>
      <c r="AC3594" s="49"/>
      <c r="AD3594" s="49"/>
      <c r="AE3594" s="49"/>
      <c r="AF3594" s="49"/>
      <c r="AG3594" s="49"/>
      <c r="AH3594" s="49"/>
      <c r="AI3594" s="49"/>
      <c r="AJ3594" s="49"/>
      <c r="AK3594" s="49"/>
      <c r="AL3594" s="49"/>
      <c r="AM3594" s="49"/>
      <c r="AN3594" s="49"/>
      <c r="AP3594" s="49"/>
      <c r="AQ3594" s="49"/>
      <c r="AR3594" s="49"/>
      <c r="AS3594" s="49"/>
      <c r="AT3594" s="49"/>
    </row>
    <row r="3595">
      <c r="A3595" s="51"/>
      <c r="B3595" s="50" t="s">
        <v>2909</v>
      </c>
      <c r="C3595" s="50" t="s">
        <v>1681</v>
      </c>
      <c r="D3595" s="49" t="str">
        <f>IFERROR(__xludf.DUMMYFUNCTION("""COMPUTED_VALUE"""),"tanks")</f>
        <v>tanks</v>
      </c>
      <c r="E3595" s="49"/>
      <c r="F3595" s="49"/>
      <c r="G3595" s="49"/>
      <c r="H3595" s="54" t="str">
        <f t="shared" si="1"/>
        <v>casual,</v>
      </c>
      <c r="I3595" s="50"/>
      <c r="J3595" s="50"/>
      <c r="K3595" s="50"/>
      <c r="L3595" s="50"/>
      <c r="M3595" s="50"/>
      <c r="N3595" s="50"/>
      <c r="O3595" s="49"/>
      <c r="P3595" s="49"/>
      <c r="Q3595" s="49"/>
      <c r="R3595" s="49"/>
      <c r="S3595" s="55" t="s">
        <v>5058</v>
      </c>
      <c r="T3595" s="49"/>
      <c r="U3595" s="49"/>
      <c r="V3595" s="49"/>
      <c r="W3595" s="49"/>
      <c r="X3595" s="49" t="str">
        <f t="shared" si="3"/>
        <v>,</v>
      </c>
      <c r="Y3595" s="49"/>
      <c r="Z3595" s="49"/>
      <c r="AB3595" s="49"/>
      <c r="AC3595" s="49"/>
      <c r="AD3595" s="49"/>
      <c r="AE3595" s="49"/>
      <c r="AF3595" s="49"/>
      <c r="AG3595" s="49"/>
      <c r="AH3595" s="49"/>
      <c r="AI3595" s="49"/>
      <c r="AJ3595" s="49"/>
      <c r="AK3595" s="49"/>
      <c r="AL3595" s="49"/>
      <c r="AM3595" s="49"/>
      <c r="AN3595" s="49"/>
      <c r="AP3595" s="49"/>
      <c r="AQ3595" s="49"/>
      <c r="AR3595" s="49"/>
      <c r="AS3595" s="49"/>
      <c r="AT3595" s="49"/>
    </row>
    <row r="3596">
      <c r="A3596" s="51"/>
      <c r="B3596" s="50" t="s">
        <v>7539</v>
      </c>
      <c r="C3596" s="50" t="s">
        <v>6091</v>
      </c>
      <c r="D3596" s="49" t="str">
        <f>IFERROR(__xludf.DUMMYFUNCTION("""COMPUTED_VALUE"""),"lasting")</f>
        <v>lasting</v>
      </c>
      <c r="E3596" s="49"/>
      <c r="F3596" s="49"/>
      <c r="G3596" s="49"/>
      <c r="H3596" s="54" t="str">
        <f t="shared" si="1"/>
        <v>shed,</v>
      </c>
      <c r="I3596" s="50"/>
      <c r="J3596" s="50"/>
      <c r="K3596" s="50"/>
      <c r="L3596" s="50"/>
      <c r="M3596" s="50"/>
      <c r="N3596" s="50"/>
      <c r="O3596" s="49"/>
      <c r="P3596" s="49"/>
      <c r="Q3596" s="49"/>
      <c r="R3596" s="49"/>
      <c r="S3596" s="55" t="s">
        <v>3350</v>
      </c>
      <c r="T3596" s="49"/>
      <c r="U3596" s="49"/>
      <c r="V3596" s="49"/>
      <c r="W3596" s="49"/>
      <c r="X3596" s="49" t="str">
        <f t="shared" si="3"/>
        <v>,</v>
      </c>
      <c r="Y3596" s="49"/>
      <c r="Z3596" s="49"/>
      <c r="AB3596" s="49"/>
      <c r="AC3596" s="49"/>
      <c r="AD3596" s="49"/>
      <c r="AE3596" s="49"/>
      <c r="AF3596" s="49"/>
      <c r="AG3596" s="49"/>
      <c r="AH3596" s="49"/>
      <c r="AI3596" s="49"/>
      <c r="AJ3596" s="49"/>
      <c r="AK3596" s="49"/>
      <c r="AL3596" s="49"/>
      <c r="AM3596" s="49"/>
      <c r="AN3596" s="49"/>
      <c r="AP3596" s="49"/>
      <c r="AQ3596" s="49"/>
      <c r="AR3596" s="49"/>
      <c r="AS3596" s="49"/>
      <c r="AT3596" s="49"/>
    </row>
    <row r="3597">
      <c r="A3597" s="51"/>
      <c r="B3597" s="50" t="s">
        <v>4195</v>
      </c>
      <c r="C3597" s="50" t="s">
        <v>5661</v>
      </c>
      <c r="D3597" s="49" t="str">
        <f>IFERROR(__xludf.DUMMYFUNCTION("""COMPUTED_VALUE"""),"exposed")</f>
        <v>exposed</v>
      </c>
      <c r="E3597" s="49"/>
      <c r="F3597" s="49"/>
      <c r="G3597" s="49"/>
      <c r="H3597" s="54" t="str">
        <f t="shared" si="1"/>
        <v>discussion,</v>
      </c>
      <c r="I3597" s="50"/>
      <c r="J3597" s="50"/>
      <c r="K3597" s="50"/>
      <c r="L3597" s="50"/>
      <c r="M3597" s="50"/>
      <c r="N3597" s="50"/>
      <c r="O3597" s="49"/>
      <c r="P3597" s="49"/>
      <c r="Q3597" s="49"/>
      <c r="R3597" s="49"/>
      <c r="S3597" s="55" t="s">
        <v>3353</v>
      </c>
      <c r="T3597" s="49"/>
      <c r="U3597" s="49"/>
      <c r="V3597" s="49"/>
      <c r="W3597" s="49"/>
      <c r="X3597" s="49" t="str">
        <f t="shared" si="3"/>
        <v>,</v>
      </c>
      <c r="Y3597" s="49"/>
      <c r="Z3597" s="49"/>
      <c r="AB3597" s="49"/>
      <c r="AC3597" s="49"/>
      <c r="AD3597" s="49"/>
      <c r="AE3597" s="49"/>
      <c r="AF3597" s="49"/>
      <c r="AG3597" s="49"/>
      <c r="AH3597" s="49"/>
      <c r="AI3597" s="49"/>
      <c r="AJ3597" s="49"/>
      <c r="AK3597" s="49"/>
      <c r="AL3597" s="49"/>
      <c r="AM3597" s="49"/>
      <c r="AN3597" s="49"/>
      <c r="AP3597" s="49"/>
      <c r="AQ3597" s="49"/>
      <c r="AR3597" s="49"/>
      <c r="AS3597" s="49"/>
      <c r="AT3597" s="49"/>
    </row>
    <row r="3598">
      <c r="A3598" s="51"/>
      <c r="B3598" s="50" t="s">
        <v>1319</v>
      </c>
      <c r="C3598" s="50" t="s">
        <v>4711</v>
      </c>
      <c r="D3598" s="49" t="str">
        <f>IFERROR(__xludf.DUMMYFUNCTION("""COMPUTED_VALUE"""),"virgin")</f>
        <v>virgin</v>
      </c>
      <c r="E3598" s="49"/>
      <c r="F3598" s="49"/>
      <c r="G3598" s="49"/>
      <c r="H3598" s="54" t="str">
        <f t="shared" si="1"/>
        <v>3d,</v>
      </c>
      <c r="I3598" s="50"/>
      <c r="J3598" s="50"/>
      <c r="K3598" s="50"/>
      <c r="L3598" s="50"/>
      <c r="M3598" s="50"/>
      <c r="N3598" s="50"/>
      <c r="O3598" s="49"/>
      <c r="P3598" s="49"/>
      <c r="Q3598" s="49"/>
      <c r="R3598" s="49"/>
      <c r="S3598" s="55" t="s">
        <v>3354</v>
      </c>
      <c r="T3598" s="49"/>
      <c r="U3598" s="49"/>
      <c r="V3598" s="49"/>
      <c r="W3598" s="49"/>
      <c r="X3598" s="49" t="str">
        <f t="shared" si="3"/>
        <v>,</v>
      </c>
      <c r="Y3598" s="49"/>
      <c r="Z3598" s="49"/>
      <c r="AB3598" s="49"/>
      <c r="AC3598" s="49"/>
      <c r="AD3598" s="49"/>
      <c r="AE3598" s="49"/>
      <c r="AF3598" s="49"/>
      <c r="AG3598" s="49"/>
      <c r="AH3598" s="49"/>
      <c r="AI3598" s="49"/>
      <c r="AJ3598" s="49"/>
      <c r="AK3598" s="49"/>
      <c r="AL3598" s="49"/>
      <c r="AM3598" s="49"/>
      <c r="AN3598" s="49"/>
      <c r="AP3598" s="49"/>
      <c r="AQ3598" s="49"/>
      <c r="AR3598" s="49"/>
      <c r="AS3598" s="49"/>
      <c r="AT3598" s="49"/>
    </row>
    <row r="3599">
      <c r="A3599" s="51"/>
      <c r="B3599" s="50" t="s">
        <v>439</v>
      </c>
      <c r="C3599" s="50" t="s">
        <v>2933</v>
      </c>
      <c r="D3599" s="49" t="str">
        <f>IFERROR(__xludf.DUMMYFUNCTION("""COMPUTED_VALUE"""),"individuals")</f>
        <v>individuals</v>
      </c>
      <c r="E3599" s="49"/>
      <c r="F3599" s="49"/>
      <c r="G3599" s="49"/>
      <c r="H3599" s="54" t="str">
        <f t="shared" si="1"/>
        <v>wildlife,</v>
      </c>
      <c r="I3599" s="50"/>
      <c r="J3599" s="50"/>
      <c r="K3599" s="50"/>
      <c r="L3599" s="50"/>
      <c r="M3599" s="50"/>
      <c r="N3599" s="50"/>
      <c r="O3599" s="49"/>
      <c r="P3599" s="49"/>
      <c r="Q3599" s="49"/>
      <c r="R3599" s="49"/>
      <c r="S3599" s="55" t="s">
        <v>7058</v>
      </c>
      <c r="T3599" s="49"/>
      <c r="U3599" s="49"/>
      <c r="V3599" s="49"/>
      <c r="W3599" s="49"/>
      <c r="X3599" s="49" t="str">
        <f t="shared" si="3"/>
        <v>,</v>
      </c>
      <c r="Y3599" s="49"/>
      <c r="Z3599" s="49"/>
      <c r="AB3599" s="49"/>
      <c r="AC3599" s="49"/>
      <c r="AD3599" s="49"/>
      <c r="AE3599" s="49"/>
      <c r="AF3599" s="49"/>
      <c r="AG3599" s="49"/>
      <c r="AH3599" s="49"/>
      <c r="AI3599" s="49"/>
      <c r="AJ3599" s="49"/>
      <c r="AK3599" s="49"/>
      <c r="AL3599" s="49"/>
      <c r="AM3599" s="49"/>
      <c r="AN3599" s="49"/>
      <c r="AP3599" s="49"/>
      <c r="AQ3599" s="49"/>
      <c r="AR3599" s="49"/>
      <c r="AS3599" s="49"/>
      <c r="AT3599" s="49"/>
    </row>
    <row r="3600">
      <c r="A3600" s="51"/>
      <c r="B3600" s="50" t="s">
        <v>1932</v>
      </c>
      <c r="C3600" s="50" t="s">
        <v>6949</v>
      </c>
      <c r="D3600" s="49" t="str">
        <f>IFERROR(__xludf.DUMMYFUNCTION("""COMPUTED_VALUE"""),"rate")</f>
        <v>rate</v>
      </c>
      <c r="E3600" s="49"/>
      <c r="F3600" s="49"/>
      <c r="G3600" s="49"/>
      <c r="H3600" s="54" t="str">
        <f t="shared" si="1"/>
        <v>error,</v>
      </c>
      <c r="I3600" s="50"/>
      <c r="J3600" s="50"/>
      <c r="K3600" s="50"/>
      <c r="L3600" s="50"/>
      <c r="M3600" s="50"/>
      <c r="N3600" s="50"/>
      <c r="O3600" s="49"/>
      <c r="P3600" s="49"/>
      <c r="Q3600" s="49"/>
      <c r="R3600" s="49"/>
      <c r="S3600" s="55" t="s">
        <v>7114</v>
      </c>
      <c r="T3600" s="49"/>
      <c r="U3600" s="49"/>
      <c r="V3600" s="49"/>
      <c r="W3600" s="49"/>
      <c r="X3600" s="49" t="str">
        <f t="shared" si="3"/>
        <v>,</v>
      </c>
      <c r="Y3600" s="49"/>
      <c r="Z3600" s="49"/>
      <c r="AB3600" s="49"/>
      <c r="AC3600" s="49"/>
      <c r="AD3600" s="49"/>
      <c r="AE3600" s="49"/>
      <c r="AF3600" s="49"/>
      <c r="AG3600" s="49"/>
      <c r="AH3600" s="49"/>
      <c r="AI3600" s="49"/>
      <c r="AJ3600" s="49"/>
      <c r="AK3600" s="49"/>
      <c r="AL3600" s="49"/>
      <c r="AM3600" s="49"/>
      <c r="AN3600" s="49"/>
      <c r="AP3600" s="49"/>
      <c r="AQ3600" s="49"/>
      <c r="AR3600" s="49"/>
      <c r="AS3600" s="49"/>
      <c r="AT3600" s="49"/>
    </row>
    <row r="3601">
      <c r="A3601" s="51"/>
      <c r="B3601" s="50" t="s">
        <v>7700</v>
      </c>
      <c r="C3601" s="50">
        <v>1960.0</v>
      </c>
      <c r="D3601" s="49">
        <f>IFERROR(__xludf.DUMMYFUNCTION("""COMPUTED_VALUE"""),1997.0)</f>
        <v>1997</v>
      </c>
      <c r="E3601" s="49"/>
      <c r="F3601" s="49"/>
      <c r="G3601" s="49"/>
      <c r="H3601" s="54" t="str">
        <f t="shared" si="1"/>
        <v>thunder,</v>
      </c>
      <c r="I3601" s="50"/>
      <c r="J3601" s="50"/>
      <c r="K3601" s="50"/>
      <c r="L3601" s="50"/>
      <c r="M3601" s="50"/>
      <c r="N3601" s="50"/>
      <c r="O3601" s="49"/>
      <c r="P3601" s="49"/>
      <c r="Q3601" s="49"/>
      <c r="R3601" s="49"/>
      <c r="S3601" s="55" t="s">
        <v>5874</v>
      </c>
      <c r="T3601" s="49"/>
      <c r="U3601" s="49"/>
      <c r="V3601" s="49"/>
      <c r="W3601" s="49"/>
      <c r="X3601" s="49" t="str">
        <f t="shared" si="3"/>
        <v>,</v>
      </c>
      <c r="Y3601" s="49"/>
      <c r="Z3601" s="49"/>
      <c r="AB3601" s="49"/>
      <c r="AC3601" s="49"/>
      <c r="AD3601" s="49"/>
      <c r="AE3601" s="49"/>
      <c r="AF3601" s="49"/>
      <c r="AG3601" s="49"/>
      <c r="AH3601" s="49"/>
      <c r="AI3601" s="49"/>
      <c r="AJ3601" s="49"/>
      <c r="AK3601" s="49"/>
      <c r="AL3601" s="49"/>
      <c r="AM3601" s="49"/>
      <c r="AN3601" s="49"/>
      <c r="AP3601" s="49"/>
      <c r="AQ3601" s="49"/>
      <c r="AR3601" s="49"/>
      <c r="AS3601" s="49"/>
      <c r="AT3601" s="49"/>
    </row>
    <row r="3602">
      <c r="A3602" s="51"/>
      <c r="B3602" s="50" t="s">
        <v>5862</v>
      </c>
      <c r="C3602" s="50" t="s">
        <v>6950</v>
      </c>
      <c r="D3602" s="49" t="str">
        <f>IFERROR(__xludf.DUMMYFUNCTION("""COMPUTED_VALUE"""),"blond")</f>
        <v>blond</v>
      </c>
      <c r="E3602" s="49"/>
      <c r="F3602" s="49"/>
      <c r="G3602" s="49"/>
      <c r="H3602" s="54" t="str">
        <f t="shared" si="1"/>
        <v>trials,</v>
      </c>
      <c r="I3602" s="50"/>
      <c r="J3602" s="50"/>
      <c r="K3602" s="50"/>
      <c r="L3602" s="50"/>
      <c r="M3602" s="50"/>
      <c r="N3602" s="50"/>
      <c r="O3602" s="49"/>
      <c r="P3602" s="49"/>
      <c r="Q3602" s="49"/>
      <c r="R3602" s="49"/>
      <c r="S3602" s="55" t="s">
        <v>6140</v>
      </c>
      <c r="T3602" s="49"/>
      <c r="U3602" s="49"/>
      <c r="V3602" s="49"/>
      <c r="W3602" s="49"/>
      <c r="X3602" s="49" t="str">
        <f t="shared" si="3"/>
        <v>,</v>
      </c>
      <c r="Y3602" s="49"/>
      <c r="Z3602" s="49"/>
      <c r="AB3602" s="49"/>
      <c r="AC3602" s="49"/>
      <c r="AD3602" s="49"/>
      <c r="AE3602" s="49"/>
      <c r="AF3602" s="49"/>
      <c r="AG3602" s="49"/>
      <c r="AH3602" s="49"/>
      <c r="AI3602" s="49"/>
      <c r="AJ3602" s="49"/>
      <c r="AK3602" s="49"/>
      <c r="AL3602" s="49"/>
      <c r="AM3602" s="49"/>
      <c r="AN3602" s="49"/>
      <c r="AP3602" s="49"/>
      <c r="AQ3602" s="49"/>
      <c r="AR3602" s="49"/>
      <c r="AS3602" s="49"/>
      <c r="AT3602" s="49"/>
    </row>
    <row r="3603">
      <c r="A3603" s="51"/>
      <c r="B3603" s="50" t="s">
        <v>1184</v>
      </c>
      <c r="C3603" s="50" t="s">
        <v>6094</v>
      </c>
      <c r="D3603" s="49" t="str">
        <f>IFERROR(__xludf.DUMMYFUNCTION("""COMPUTED_VALUE"""),"calling")</f>
        <v>calling</v>
      </c>
      <c r="E3603" s="49"/>
      <c r="F3603" s="49"/>
      <c r="G3603" s="49"/>
      <c r="H3603" s="54" t="str">
        <f t="shared" si="1"/>
        <v>spare,</v>
      </c>
      <c r="I3603" s="50"/>
      <c r="J3603" s="50"/>
      <c r="K3603" s="50"/>
      <c r="L3603" s="50"/>
      <c r="M3603" s="50"/>
      <c r="N3603" s="50"/>
      <c r="O3603" s="49"/>
      <c r="P3603" s="49"/>
      <c r="Q3603" s="49"/>
      <c r="R3603" s="49"/>
      <c r="S3603" s="55" t="s">
        <v>5274</v>
      </c>
      <c r="T3603" s="49"/>
      <c r="U3603" s="49"/>
      <c r="V3603" s="49"/>
      <c r="W3603" s="49"/>
      <c r="X3603" s="49" t="str">
        <f t="shared" si="3"/>
        <v>,</v>
      </c>
      <c r="Y3603" s="49"/>
      <c r="Z3603" s="49"/>
      <c r="AB3603" s="49"/>
      <c r="AC3603" s="49"/>
      <c r="AD3603" s="49"/>
      <c r="AE3603" s="49"/>
      <c r="AF3603" s="49"/>
      <c r="AG3603" s="49"/>
      <c r="AH3603" s="49"/>
      <c r="AI3603" s="49"/>
      <c r="AJ3603" s="49"/>
      <c r="AK3603" s="49"/>
      <c r="AL3603" s="49"/>
      <c r="AM3603" s="49"/>
      <c r="AN3603" s="49"/>
      <c r="AP3603" s="49"/>
      <c r="AQ3603" s="49"/>
      <c r="AR3603" s="49"/>
      <c r="AS3603" s="49"/>
      <c r="AT3603" s="49"/>
    </row>
    <row r="3604">
      <c r="A3604" s="51"/>
      <c r="B3604" s="50" t="s">
        <v>4754</v>
      </c>
      <c r="C3604" s="50" t="s">
        <v>2938</v>
      </c>
      <c r="D3604" s="49" t="str">
        <f>IFERROR(__xludf.DUMMYFUNCTION("""COMPUTED_VALUE"""),"whereas")</f>
        <v>whereas</v>
      </c>
      <c r="E3604" s="49"/>
      <c r="F3604" s="49"/>
      <c r="G3604" s="49"/>
      <c r="H3604" s="54" t="str">
        <f t="shared" si="1"/>
        <v>retiring,</v>
      </c>
      <c r="I3604" s="50"/>
      <c r="J3604" s="50"/>
      <c r="K3604" s="50"/>
      <c r="L3604" s="50"/>
      <c r="M3604" s="50"/>
      <c r="N3604" s="50"/>
      <c r="O3604" s="49"/>
      <c r="P3604" s="49"/>
      <c r="Q3604" s="49"/>
      <c r="R3604" s="49"/>
      <c r="S3604" s="55" t="s">
        <v>3357</v>
      </c>
      <c r="T3604" s="49"/>
      <c r="U3604" s="49"/>
      <c r="V3604" s="49"/>
      <c r="W3604" s="49"/>
      <c r="X3604" s="49" t="str">
        <f t="shared" si="3"/>
        <v>,</v>
      </c>
      <c r="Y3604" s="49"/>
      <c r="Z3604" s="49"/>
      <c r="AB3604" s="49"/>
      <c r="AC3604" s="49"/>
      <c r="AD3604" s="49"/>
      <c r="AE3604" s="49"/>
      <c r="AF3604" s="49"/>
      <c r="AG3604" s="49"/>
      <c r="AH3604" s="49"/>
      <c r="AI3604" s="49"/>
      <c r="AJ3604" s="49"/>
      <c r="AK3604" s="49"/>
      <c r="AL3604" s="49"/>
      <c r="AM3604" s="49"/>
      <c r="AN3604" s="49"/>
      <c r="AP3604" s="49"/>
      <c r="AQ3604" s="49"/>
      <c r="AR3604" s="49"/>
      <c r="AS3604" s="49"/>
      <c r="AT3604" s="49"/>
    </row>
    <row r="3605">
      <c r="A3605" s="51"/>
      <c r="B3605" s="50" t="s">
        <v>4205</v>
      </c>
      <c r="C3605" s="50" t="s">
        <v>7115</v>
      </c>
      <c r="D3605" s="49" t="str">
        <f>IFERROR(__xludf.DUMMYFUNCTION("""COMPUTED_VALUE"""),"alan")</f>
        <v>alan</v>
      </c>
      <c r="E3605" s="49"/>
      <c r="F3605" s="49"/>
      <c r="G3605" s="49"/>
      <c r="H3605" s="54" t="str">
        <f t="shared" si="1"/>
        <v>documented,</v>
      </c>
      <c r="I3605" s="50"/>
      <c r="J3605" s="50"/>
      <c r="K3605" s="50"/>
      <c r="L3605" s="50"/>
      <c r="M3605" s="50"/>
      <c r="N3605" s="50"/>
      <c r="O3605" s="49"/>
      <c r="P3605" s="49"/>
      <c r="Q3605" s="49"/>
      <c r="R3605" s="49"/>
      <c r="S3605" s="55" t="s">
        <v>5062</v>
      </c>
      <c r="T3605" s="49"/>
      <c r="U3605" s="49"/>
      <c r="V3605" s="49"/>
      <c r="W3605" s="49"/>
      <c r="X3605" s="49" t="str">
        <f t="shared" si="3"/>
        <v>,</v>
      </c>
      <c r="Y3605" s="49"/>
      <c r="Z3605" s="49"/>
      <c r="AB3605" s="49"/>
      <c r="AC3605" s="49"/>
      <c r="AD3605" s="49"/>
      <c r="AE3605" s="49"/>
      <c r="AF3605" s="49"/>
      <c r="AG3605" s="49"/>
      <c r="AH3605" s="49"/>
      <c r="AI3605" s="49"/>
      <c r="AJ3605" s="49"/>
      <c r="AK3605" s="49"/>
      <c r="AL3605" s="49"/>
      <c r="AM3605" s="49"/>
      <c r="AN3605" s="49"/>
      <c r="AP3605" s="49"/>
      <c r="AQ3605" s="49"/>
      <c r="AR3605" s="49"/>
      <c r="AS3605" s="49"/>
      <c r="AT3605" s="49"/>
    </row>
    <row r="3606">
      <c r="A3606" s="51"/>
      <c r="B3606" s="50" t="s">
        <v>4218</v>
      </c>
      <c r="C3606" s="50" t="s">
        <v>6032</v>
      </c>
      <c r="D3606" s="49" t="str">
        <f>IFERROR(__xludf.DUMMYFUNCTION("""COMPUTED_VALUE"""),"warner")</f>
        <v>warner</v>
      </c>
      <c r="E3606" s="49"/>
      <c r="F3606" s="49"/>
      <c r="G3606" s="49"/>
      <c r="H3606" s="54" t="str">
        <f t="shared" si="1"/>
        <v>arguments,</v>
      </c>
      <c r="I3606" s="50"/>
      <c r="J3606" s="50"/>
      <c r="K3606" s="50"/>
      <c r="L3606" s="50"/>
      <c r="M3606" s="50"/>
      <c r="N3606" s="50"/>
      <c r="O3606" s="49"/>
      <c r="P3606" s="49"/>
      <c r="Q3606" s="49"/>
      <c r="R3606" s="49"/>
      <c r="S3606" s="55" t="s">
        <v>6187</v>
      </c>
      <c r="T3606" s="49"/>
      <c r="U3606" s="49"/>
      <c r="V3606" s="49"/>
      <c r="W3606" s="49"/>
      <c r="X3606" s="49" t="str">
        <f t="shared" si="3"/>
        <v>,</v>
      </c>
      <c r="Y3606" s="49"/>
      <c r="Z3606" s="49"/>
      <c r="AB3606" s="49"/>
      <c r="AC3606" s="49"/>
      <c r="AD3606" s="49"/>
      <c r="AE3606" s="49"/>
      <c r="AF3606" s="49"/>
      <c r="AG3606" s="49"/>
      <c r="AH3606" s="49"/>
      <c r="AI3606" s="49"/>
      <c r="AJ3606" s="49"/>
      <c r="AK3606" s="49"/>
      <c r="AL3606" s="49"/>
      <c r="AM3606" s="49"/>
      <c r="AN3606" s="49"/>
      <c r="AP3606" s="49"/>
      <c r="AQ3606" s="49"/>
      <c r="AR3606" s="49"/>
      <c r="AS3606" s="49"/>
      <c r="AT3606" s="49"/>
    </row>
    <row r="3607">
      <c r="A3607" s="51"/>
      <c r="B3607" s="50" t="s">
        <v>3204</v>
      </c>
      <c r="C3607" s="50" t="s">
        <v>1645</v>
      </c>
      <c r="D3607" s="49" t="str">
        <f>IFERROR(__xludf.DUMMYFUNCTION("""COMPUTED_VALUE"""),"roland")</f>
        <v>roland</v>
      </c>
      <c r="E3607" s="49"/>
      <c r="F3607" s="49"/>
      <c r="G3607" s="49"/>
      <c r="H3607" s="54" t="str">
        <f t="shared" si="1"/>
        <v>glass,</v>
      </c>
      <c r="I3607" s="50"/>
      <c r="J3607" s="50"/>
      <c r="K3607" s="50"/>
      <c r="L3607" s="50"/>
      <c r="M3607" s="50"/>
      <c r="N3607" s="50"/>
      <c r="O3607" s="49"/>
      <c r="P3607" s="49"/>
      <c r="Q3607" s="49"/>
      <c r="R3607" s="49"/>
      <c r="S3607" s="55" t="s">
        <v>3360</v>
      </c>
      <c r="T3607" s="49"/>
      <c r="U3607" s="49"/>
      <c r="V3607" s="49"/>
      <c r="W3607" s="49"/>
      <c r="X3607" s="49" t="str">
        <f t="shared" si="3"/>
        <v>,</v>
      </c>
      <c r="Y3607" s="49"/>
      <c r="Z3607" s="49"/>
      <c r="AB3607" s="49"/>
      <c r="AC3607" s="49"/>
      <c r="AD3607" s="49"/>
      <c r="AE3607" s="49"/>
      <c r="AF3607" s="49"/>
      <c r="AG3607" s="49"/>
      <c r="AH3607" s="49"/>
      <c r="AI3607" s="49"/>
      <c r="AJ3607" s="49"/>
      <c r="AK3607" s="49"/>
      <c r="AL3607" s="49"/>
      <c r="AM3607" s="49"/>
      <c r="AN3607" s="49"/>
      <c r="AP3607" s="49"/>
      <c r="AQ3607" s="49"/>
      <c r="AR3607" s="49"/>
      <c r="AS3607" s="49"/>
      <c r="AT3607" s="49"/>
    </row>
    <row r="3608">
      <c r="A3608" s="51"/>
      <c r="B3608" s="50" t="s">
        <v>4655</v>
      </c>
      <c r="C3608" s="50" t="s">
        <v>5428</v>
      </c>
      <c r="D3608" s="49" t="str">
        <f>IFERROR(__xludf.DUMMYFUNCTION("""COMPUTED_VALUE"""),"wondered")</f>
        <v>wondered</v>
      </c>
      <c r="E3608" s="49"/>
      <c r="F3608" s="49"/>
      <c r="G3608" s="49"/>
      <c r="H3608" s="54" t="str">
        <f t="shared" si="1"/>
        <v>gap,</v>
      </c>
      <c r="I3608" s="50"/>
      <c r="J3608" s="50"/>
      <c r="K3608" s="50"/>
      <c r="L3608" s="50"/>
      <c r="M3608" s="50"/>
      <c r="N3608" s="50"/>
      <c r="O3608" s="49"/>
      <c r="P3608" s="49"/>
      <c r="Q3608" s="49"/>
      <c r="R3608" s="49"/>
      <c r="S3608" s="55" t="s">
        <v>6103</v>
      </c>
      <c r="T3608" s="49"/>
      <c r="U3608" s="49"/>
      <c r="V3608" s="49"/>
      <c r="W3608" s="49"/>
      <c r="X3608" s="49" t="str">
        <f t="shared" si="3"/>
        <v>,</v>
      </c>
      <c r="Y3608" s="49"/>
      <c r="Z3608" s="49"/>
      <c r="AB3608" s="49"/>
      <c r="AC3608" s="49"/>
      <c r="AD3608" s="49"/>
      <c r="AE3608" s="49"/>
      <c r="AF3608" s="49"/>
      <c r="AG3608" s="49"/>
      <c r="AH3608" s="49"/>
      <c r="AI3608" s="49"/>
      <c r="AJ3608" s="49"/>
      <c r="AK3608" s="49"/>
      <c r="AL3608" s="49"/>
      <c r="AM3608" s="49"/>
      <c r="AN3608" s="49"/>
      <c r="AP3608" s="49"/>
      <c r="AQ3608" s="49"/>
      <c r="AR3608" s="49"/>
      <c r="AS3608" s="49"/>
      <c r="AT3608" s="49"/>
    </row>
    <row r="3609">
      <c r="A3609" s="51"/>
      <c r="B3609" s="50" t="s">
        <v>3586</v>
      </c>
      <c r="C3609" s="50" t="s">
        <v>4726</v>
      </c>
      <c r="D3609" s="49" t="str">
        <f>IFERROR(__xludf.DUMMYFUNCTION("""COMPUTED_VALUE"""),"types")</f>
        <v>types</v>
      </c>
      <c r="E3609" s="49"/>
      <c r="F3609" s="49"/>
      <c r="G3609" s="49"/>
      <c r="H3609" s="54" t="str">
        <f t="shared" si="1"/>
        <v>handled,</v>
      </c>
      <c r="I3609" s="50"/>
      <c r="J3609" s="50"/>
      <c r="K3609" s="50"/>
      <c r="L3609" s="50"/>
      <c r="M3609" s="50"/>
      <c r="N3609" s="50"/>
      <c r="O3609" s="49"/>
      <c r="P3609" s="49"/>
      <c r="Q3609" s="49"/>
      <c r="R3609" s="49"/>
      <c r="S3609" s="55" t="s">
        <v>1712</v>
      </c>
      <c r="T3609" s="49"/>
      <c r="U3609" s="49"/>
      <c r="V3609" s="49"/>
      <c r="W3609" s="49"/>
      <c r="X3609" s="49" t="str">
        <f t="shared" si="3"/>
        <v>,</v>
      </c>
      <c r="Y3609" s="49"/>
      <c r="Z3609" s="49"/>
      <c r="AB3609" s="49"/>
      <c r="AC3609" s="49"/>
      <c r="AD3609" s="49"/>
      <c r="AE3609" s="49"/>
      <c r="AF3609" s="49"/>
      <c r="AG3609" s="49"/>
      <c r="AH3609" s="49"/>
      <c r="AI3609" s="49"/>
      <c r="AJ3609" s="49"/>
      <c r="AK3609" s="49"/>
      <c r="AL3609" s="49"/>
      <c r="AM3609" s="49"/>
      <c r="AN3609" s="49"/>
      <c r="AP3609" s="49"/>
      <c r="AQ3609" s="49"/>
      <c r="AR3609" s="49"/>
      <c r="AS3609" s="49"/>
      <c r="AT3609" s="49"/>
    </row>
    <row r="3610">
      <c r="A3610" s="51"/>
      <c r="B3610" s="50" t="s">
        <v>6752</v>
      </c>
      <c r="C3610" s="50" t="s">
        <v>4728</v>
      </c>
      <c r="D3610" s="49" t="str">
        <f>IFERROR(__xludf.DUMMYFUNCTION("""COMPUTED_VALUE"""),"africa")</f>
        <v>africa</v>
      </c>
      <c r="E3610" s="49"/>
      <c r="F3610" s="49"/>
      <c r="G3610" s="49"/>
      <c r="H3610" s="54" t="str">
        <f t="shared" si="1"/>
        <v>josh,</v>
      </c>
      <c r="I3610" s="50"/>
      <c r="J3610" s="50"/>
      <c r="K3610" s="50"/>
      <c r="L3610" s="50"/>
      <c r="M3610" s="50"/>
      <c r="N3610" s="50"/>
      <c r="O3610" s="49"/>
      <c r="P3610" s="49"/>
      <c r="Q3610" s="49"/>
      <c r="R3610" s="49"/>
      <c r="S3610" s="55" t="s">
        <v>3367</v>
      </c>
      <c r="T3610" s="49"/>
      <c r="U3610" s="49"/>
      <c r="V3610" s="49"/>
      <c r="W3610" s="49"/>
      <c r="X3610" s="49" t="str">
        <f t="shared" si="3"/>
        <v>,</v>
      </c>
      <c r="Y3610" s="49"/>
      <c r="Z3610" s="49"/>
      <c r="AB3610" s="49"/>
      <c r="AC3610" s="49"/>
      <c r="AD3610" s="49"/>
      <c r="AE3610" s="49"/>
      <c r="AF3610" s="49"/>
      <c r="AG3610" s="49"/>
      <c r="AH3610" s="49"/>
      <c r="AI3610" s="49"/>
      <c r="AJ3610" s="49"/>
      <c r="AK3610" s="49"/>
      <c r="AL3610" s="49"/>
      <c r="AM3610" s="49"/>
      <c r="AN3610" s="49"/>
      <c r="AP3610" s="49"/>
      <c r="AQ3610" s="49"/>
      <c r="AR3610" s="49"/>
      <c r="AS3610" s="49"/>
      <c r="AT3610" s="49"/>
    </row>
    <row r="3611">
      <c r="A3611" s="51"/>
      <c r="B3611" s="50" t="s">
        <v>3014</v>
      </c>
      <c r="C3611" s="50" t="s">
        <v>757</v>
      </c>
      <c r="D3611" s="49" t="str">
        <f>IFERROR(__xludf.DUMMYFUNCTION("""COMPUTED_VALUE"""),"lips")</f>
        <v>lips</v>
      </c>
      <c r="E3611" s="49"/>
      <c r="F3611" s="49"/>
      <c r="G3611" s="49"/>
      <c r="H3611" s="54" t="str">
        <f t="shared" si="1"/>
        <v>convince,</v>
      </c>
      <c r="I3611" s="50"/>
      <c r="J3611" s="50"/>
      <c r="K3611" s="50"/>
      <c r="L3611" s="50"/>
      <c r="M3611" s="50"/>
      <c r="N3611" s="50"/>
      <c r="O3611" s="49"/>
      <c r="P3611" s="49"/>
      <c r="Q3611" s="49"/>
      <c r="R3611" s="49"/>
      <c r="S3611" s="55" t="s">
        <v>6145</v>
      </c>
      <c r="T3611" s="49"/>
      <c r="U3611" s="49"/>
      <c r="V3611" s="49"/>
      <c r="W3611" s="49"/>
      <c r="X3611" s="49" t="str">
        <f t="shared" si="3"/>
        <v>,</v>
      </c>
      <c r="Y3611" s="49"/>
      <c r="Z3611" s="49"/>
      <c r="AB3611" s="49"/>
      <c r="AC3611" s="49"/>
      <c r="AD3611" s="49"/>
      <c r="AE3611" s="49"/>
      <c r="AF3611" s="49"/>
      <c r="AG3611" s="49"/>
      <c r="AH3611" s="49"/>
      <c r="AI3611" s="49"/>
      <c r="AJ3611" s="49"/>
      <c r="AK3611" s="49"/>
      <c r="AL3611" s="49"/>
      <c r="AM3611" s="49"/>
      <c r="AN3611" s="49"/>
      <c r="AP3611" s="49"/>
      <c r="AQ3611" s="49"/>
      <c r="AR3611" s="49"/>
      <c r="AS3611" s="49"/>
      <c r="AT3611" s="49"/>
    </row>
    <row r="3612">
      <c r="A3612" s="51"/>
      <c r="B3612" s="50" t="s">
        <v>5516</v>
      </c>
      <c r="C3612" s="50" t="s">
        <v>5654</v>
      </c>
      <c r="D3612" s="49" t="str">
        <f>IFERROR(__xludf.DUMMYFUNCTION("""COMPUTED_VALUE"""),"hood")</f>
        <v>hood</v>
      </c>
      <c r="E3612" s="49"/>
      <c r="F3612" s="49"/>
      <c r="G3612" s="49"/>
      <c r="H3612" s="54" t="str">
        <f t="shared" si="1"/>
        <v>sought,</v>
      </c>
      <c r="I3612" s="50"/>
      <c r="J3612" s="50"/>
      <c r="K3612" s="50"/>
      <c r="L3612" s="50"/>
      <c r="M3612" s="50"/>
      <c r="N3612" s="50"/>
      <c r="O3612" s="49"/>
      <c r="P3612" s="49"/>
      <c r="Q3612" s="49"/>
      <c r="R3612" s="49"/>
      <c r="S3612" s="55" t="s">
        <v>5879</v>
      </c>
      <c r="T3612" s="49"/>
      <c r="U3612" s="49"/>
      <c r="V3612" s="49"/>
      <c r="W3612" s="49"/>
      <c r="X3612" s="49" t="str">
        <f t="shared" si="3"/>
        <v>,</v>
      </c>
      <c r="Y3612" s="49"/>
      <c r="Z3612" s="49"/>
      <c r="AB3612" s="49"/>
      <c r="AC3612" s="49"/>
      <c r="AD3612" s="49"/>
      <c r="AE3612" s="49"/>
      <c r="AF3612" s="49"/>
      <c r="AG3612" s="49"/>
      <c r="AH3612" s="49"/>
      <c r="AI3612" s="49"/>
      <c r="AJ3612" s="49"/>
      <c r="AK3612" s="49"/>
      <c r="AL3612" s="49"/>
      <c r="AM3612" s="49"/>
      <c r="AN3612" s="49"/>
      <c r="AP3612" s="49"/>
      <c r="AQ3612" s="49"/>
      <c r="AR3612" s="49"/>
      <c r="AS3612" s="49"/>
      <c r="AT3612" s="49"/>
    </row>
    <row r="3613">
      <c r="A3613" s="51"/>
      <c r="B3613" s="50" t="s">
        <v>1645</v>
      </c>
      <c r="C3613" s="50" t="s">
        <v>6034</v>
      </c>
      <c r="D3613" s="49" t="str">
        <f>IFERROR(__xludf.DUMMYFUNCTION("""COMPUTED_VALUE"""),"occurs")</f>
        <v>occurs</v>
      </c>
      <c r="E3613" s="49"/>
      <c r="F3613" s="49"/>
      <c r="G3613" s="49"/>
      <c r="H3613" s="54" t="str">
        <f t="shared" si="1"/>
        <v>welsh,</v>
      </c>
      <c r="I3613" s="50"/>
      <c r="J3613" s="50"/>
      <c r="K3613" s="50"/>
      <c r="L3613" s="50"/>
      <c r="M3613" s="50"/>
      <c r="N3613" s="50"/>
      <c r="O3613" s="49"/>
      <c r="P3613" s="49"/>
      <c r="Q3613" s="49"/>
      <c r="R3613" s="49"/>
      <c r="S3613" s="55" t="s">
        <v>5071</v>
      </c>
      <c r="T3613" s="49"/>
      <c r="U3613" s="49"/>
      <c r="V3613" s="49"/>
      <c r="W3613" s="49"/>
      <c r="X3613" s="49" t="str">
        <f t="shared" si="3"/>
        <v>,</v>
      </c>
      <c r="Y3613" s="49"/>
      <c r="Z3613" s="49"/>
      <c r="AB3613" s="49"/>
      <c r="AC3613" s="49"/>
      <c r="AD3613" s="49"/>
      <c r="AE3613" s="49"/>
      <c r="AF3613" s="49"/>
      <c r="AG3613" s="49"/>
      <c r="AH3613" s="49"/>
      <c r="AI3613" s="49"/>
      <c r="AJ3613" s="49"/>
      <c r="AK3613" s="49"/>
      <c r="AL3613" s="49"/>
      <c r="AM3613" s="49"/>
      <c r="AN3613" s="49"/>
      <c r="AP3613" s="49"/>
      <c r="AQ3613" s="49"/>
      <c r="AR3613" s="49"/>
      <c r="AS3613" s="49"/>
      <c r="AT3613" s="49"/>
    </row>
    <row r="3614">
      <c r="A3614" s="51"/>
      <c r="B3614" s="50" t="s">
        <v>5978</v>
      </c>
      <c r="C3614" s="50" t="s">
        <v>5320</v>
      </c>
      <c r="D3614" s="49" t="str">
        <f>IFERROR(__xludf.DUMMYFUNCTION("""COMPUTED_VALUE"""),"leonard")</f>
        <v>leonard</v>
      </c>
      <c r="E3614" s="49"/>
      <c r="F3614" s="49"/>
      <c r="G3614" s="49"/>
      <c r="H3614" s="54" t="str">
        <f t="shared" si="1"/>
        <v>filming,</v>
      </c>
      <c r="I3614" s="50"/>
      <c r="J3614" s="50"/>
      <c r="K3614" s="50"/>
      <c r="L3614" s="50"/>
      <c r="M3614" s="50"/>
      <c r="N3614" s="50"/>
      <c r="O3614" s="49"/>
      <c r="P3614" s="49"/>
      <c r="Q3614" s="49"/>
      <c r="R3614" s="49"/>
      <c r="S3614" s="55" t="s">
        <v>3331</v>
      </c>
      <c r="T3614" s="49"/>
      <c r="U3614" s="49"/>
      <c r="V3614" s="49"/>
      <c r="W3614" s="49"/>
      <c r="X3614" s="49" t="str">
        <f t="shared" si="3"/>
        <v>,</v>
      </c>
      <c r="Y3614" s="49"/>
      <c r="Z3614" s="49"/>
      <c r="AB3614" s="49"/>
      <c r="AC3614" s="49"/>
      <c r="AD3614" s="49"/>
      <c r="AE3614" s="49"/>
      <c r="AF3614" s="49"/>
      <c r="AG3614" s="49"/>
      <c r="AH3614" s="49"/>
      <c r="AI3614" s="49"/>
      <c r="AJ3614" s="49"/>
      <c r="AK3614" s="49"/>
      <c r="AL3614" s="49"/>
      <c r="AM3614" s="49"/>
      <c r="AN3614" s="49"/>
      <c r="AP3614" s="49"/>
      <c r="AQ3614" s="49"/>
      <c r="AR3614" s="49"/>
      <c r="AS3614" s="49"/>
      <c r="AT3614" s="49"/>
    </row>
    <row r="3615">
      <c r="A3615" s="51"/>
      <c r="B3615" s="50" t="s">
        <v>4934</v>
      </c>
      <c r="C3615" s="50" t="s">
        <v>5673</v>
      </c>
      <c r="D3615" s="49" t="str">
        <f>IFERROR(__xludf.DUMMYFUNCTION("""COMPUTED_VALUE"""),"leader")</f>
        <v>leader</v>
      </c>
      <c r="E3615" s="49"/>
      <c r="F3615" s="49"/>
      <c r="G3615" s="49"/>
      <c r="H3615" s="54" t="str">
        <f t="shared" si="1"/>
        <v>enters,</v>
      </c>
      <c r="I3615" s="50"/>
      <c r="J3615" s="50"/>
      <c r="K3615" s="50"/>
      <c r="L3615" s="50"/>
      <c r="M3615" s="50"/>
      <c r="N3615" s="50"/>
      <c r="O3615" s="49"/>
      <c r="P3615" s="49"/>
      <c r="Q3615" s="49"/>
      <c r="R3615" s="49"/>
      <c r="S3615" s="55" t="s">
        <v>7069</v>
      </c>
      <c r="T3615" s="49"/>
      <c r="U3615" s="49"/>
      <c r="V3615" s="49"/>
      <c r="W3615" s="49"/>
      <c r="X3615" s="49" t="str">
        <f t="shared" si="3"/>
        <v>,</v>
      </c>
      <c r="Y3615" s="49"/>
      <c r="Z3615" s="49"/>
      <c r="AB3615" s="49"/>
      <c r="AC3615" s="49"/>
      <c r="AD3615" s="49"/>
      <c r="AE3615" s="49"/>
      <c r="AF3615" s="49"/>
      <c r="AG3615" s="49"/>
      <c r="AH3615" s="49"/>
      <c r="AI3615" s="49"/>
      <c r="AJ3615" s="49"/>
      <c r="AK3615" s="49"/>
      <c r="AL3615" s="49"/>
      <c r="AM3615" s="49"/>
      <c r="AN3615" s="49"/>
      <c r="AP3615" s="49"/>
      <c r="AQ3615" s="49"/>
      <c r="AR3615" s="49"/>
      <c r="AS3615" s="49"/>
      <c r="AT3615" s="49"/>
    </row>
    <row r="3616">
      <c r="A3616" s="51"/>
      <c r="B3616" s="50" t="s">
        <v>7543</v>
      </c>
      <c r="C3616" s="50" t="s">
        <v>6207</v>
      </c>
      <c r="D3616" s="49" t="str">
        <f>IFERROR(__xludf.DUMMYFUNCTION("""COMPUTED_VALUE"""),"subsequent")</f>
        <v>subsequent</v>
      </c>
      <c r="E3616" s="49"/>
      <c r="F3616" s="49"/>
      <c r="G3616" s="49"/>
      <c r="H3616" s="54" t="str">
        <f t="shared" si="1"/>
        <v>neo,</v>
      </c>
      <c r="I3616" s="50"/>
      <c r="J3616" s="50"/>
      <c r="K3616" s="50"/>
      <c r="L3616" s="50"/>
      <c r="M3616" s="50"/>
      <c r="N3616" s="50"/>
      <c r="O3616" s="49"/>
      <c r="P3616" s="49"/>
      <c r="Q3616" s="49"/>
      <c r="R3616" s="49"/>
      <c r="S3616" s="55" t="s">
        <v>3371</v>
      </c>
      <c r="T3616" s="49"/>
      <c r="U3616" s="49"/>
      <c r="V3616" s="49"/>
      <c r="W3616" s="49"/>
      <c r="X3616" s="49" t="str">
        <f t="shared" si="3"/>
        <v>,</v>
      </c>
      <c r="Y3616" s="49"/>
      <c r="Z3616" s="49"/>
      <c r="AB3616" s="49"/>
      <c r="AC3616" s="49"/>
      <c r="AD3616" s="49"/>
      <c r="AE3616" s="49"/>
      <c r="AF3616" s="49"/>
      <c r="AG3616" s="49"/>
      <c r="AH3616" s="49"/>
      <c r="AI3616" s="49"/>
      <c r="AJ3616" s="49"/>
      <c r="AK3616" s="49"/>
      <c r="AL3616" s="49"/>
      <c r="AM3616" s="49"/>
      <c r="AN3616" s="49"/>
      <c r="AP3616" s="49"/>
      <c r="AQ3616" s="49"/>
      <c r="AR3616" s="49"/>
      <c r="AS3616" s="49"/>
      <c r="AT3616" s="49"/>
    </row>
    <row r="3617">
      <c r="A3617" s="51"/>
      <c r="B3617" s="50" t="s">
        <v>5344</v>
      </c>
      <c r="C3617" s="50" t="s">
        <v>5675</v>
      </c>
      <c r="D3617" s="49" t="str">
        <f>IFERROR(__xludf.DUMMYFUNCTION("""COMPUTED_VALUE"""),"routes")</f>
        <v>routes</v>
      </c>
      <c r="E3617" s="49"/>
      <c r="F3617" s="49"/>
      <c r="G3617" s="49"/>
      <c r="H3617" s="54" t="str">
        <f t="shared" si="1"/>
        <v>imagined,</v>
      </c>
      <c r="I3617" s="50"/>
      <c r="J3617" s="50"/>
      <c r="K3617" s="50"/>
      <c r="L3617" s="50"/>
      <c r="M3617" s="50"/>
      <c r="N3617" s="50"/>
      <c r="O3617" s="49"/>
      <c r="P3617" s="49"/>
      <c r="Q3617" s="49"/>
      <c r="R3617" s="49"/>
      <c r="S3617" s="55" t="s">
        <v>7116</v>
      </c>
      <c r="T3617" s="49"/>
      <c r="U3617" s="49"/>
      <c r="V3617" s="49"/>
      <c r="W3617" s="49"/>
      <c r="X3617" s="49" t="str">
        <f t="shared" si="3"/>
        <v>,</v>
      </c>
      <c r="Y3617" s="49"/>
      <c r="Z3617" s="49"/>
      <c r="AB3617" s="49"/>
      <c r="AC3617" s="49"/>
      <c r="AD3617" s="49"/>
      <c r="AE3617" s="49"/>
      <c r="AF3617" s="49"/>
      <c r="AG3617" s="49"/>
      <c r="AH3617" s="49"/>
      <c r="AI3617" s="49"/>
      <c r="AJ3617" s="49"/>
      <c r="AK3617" s="49"/>
      <c r="AL3617" s="49"/>
      <c r="AM3617" s="49"/>
      <c r="AN3617" s="49"/>
      <c r="AP3617" s="49"/>
      <c r="AQ3617" s="49"/>
      <c r="AR3617" s="49"/>
      <c r="AS3617" s="49"/>
      <c r="AT3617" s="49"/>
    </row>
    <row r="3618">
      <c r="A3618" s="51"/>
      <c r="B3618" s="50" t="s">
        <v>4810</v>
      </c>
      <c r="C3618" s="50" t="s">
        <v>4541</v>
      </c>
      <c r="D3618" s="49" t="str">
        <f>IFERROR(__xludf.DUMMYFUNCTION("""COMPUTED_VALUE"""),"rose")</f>
        <v>rose</v>
      </c>
      <c r="E3618" s="49"/>
      <c r="F3618" s="49"/>
      <c r="G3618" s="49"/>
      <c r="H3618" s="54" t="str">
        <f t="shared" si="1"/>
        <v>treasure,</v>
      </c>
      <c r="I3618" s="50"/>
      <c r="J3618" s="50"/>
      <c r="K3618" s="50"/>
      <c r="L3618" s="50"/>
      <c r="M3618" s="50"/>
      <c r="N3618" s="50"/>
      <c r="O3618" s="49"/>
      <c r="P3618" s="49"/>
      <c r="Q3618" s="49"/>
      <c r="R3618" s="49"/>
      <c r="S3618" s="55" t="s">
        <v>3375</v>
      </c>
      <c r="T3618" s="49"/>
      <c r="U3618" s="49"/>
      <c r="V3618" s="49"/>
      <c r="W3618" s="49"/>
      <c r="X3618" s="49" t="str">
        <f t="shared" si="3"/>
        <v>,</v>
      </c>
      <c r="Y3618" s="49"/>
      <c r="Z3618" s="49"/>
      <c r="AB3618" s="49"/>
      <c r="AC3618" s="49"/>
      <c r="AD3618" s="49"/>
      <c r="AE3618" s="49"/>
      <c r="AF3618" s="49"/>
      <c r="AG3618" s="49"/>
      <c r="AH3618" s="49"/>
      <c r="AI3618" s="49"/>
      <c r="AJ3618" s="49"/>
      <c r="AK3618" s="49"/>
      <c r="AL3618" s="49"/>
      <c r="AM3618" s="49"/>
      <c r="AN3618" s="49"/>
      <c r="AP3618" s="49"/>
      <c r="AQ3618" s="49"/>
      <c r="AR3618" s="49"/>
      <c r="AS3618" s="49"/>
      <c r="AT3618" s="49"/>
    </row>
    <row r="3619">
      <c r="A3619" s="51"/>
      <c r="B3619" s="50" t="s">
        <v>1807</v>
      </c>
      <c r="C3619" s="50" t="s">
        <v>6951</v>
      </c>
      <c r="D3619" s="49" t="str">
        <f>IFERROR(__xludf.DUMMYFUNCTION("""COMPUTED_VALUE"""),"bernard")</f>
        <v>bernard</v>
      </c>
      <c r="E3619" s="49"/>
      <c r="F3619" s="49"/>
      <c r="G3619" s="49"/>
      <c r="H3619" s="54" t="str">
        <f t="shared" si="1"/>
        <v>shirt,</v>
      </c>
      <c r="I3619" s="50"/>
      <c r="J3619" s="50"/>
      <c r="K3619" s="50"/>
      <c r="L3619" s="50"/>
      <c r="M3619" s="50"/>
      <c r="N3619" s="50"/>
      <c r="O3619" s="49"/>
      <c r="P3619" s="49"/>
      <c r="Q3619" s="49"/>
      <c r="R3619" s="49"/>
      <c r="S3619" s="55" t="s">
        <v>5885</v>
      </c>
      <c r="T3619" s="49"/>
      <c r="U3619" s="49"/>
      <c r="V3619" s="49"/>
      <c r="W3619" s="49"/>
      <c r="X3619" s="49" t="str">
        <f t="shared" si="3"/>
        <v>,</v>
      </c>
      <c r="Y3619" s="49"/>
      <c r="Z3619" s="49"/>
      <c r="AB3619" s="49"/>
      <c r="AC3619" s="49"/>
      <c r="AD3619" s="49"/>
      <c r="AE3619" s="49"/>
      <c r="AF3619" s="49"/>
      <c r="AG3619" s="49"/>
      <c r="AH3619" s="49"/>
      <c r="AI3619" s="49"/>
      <c r="AJ3619" s="49"/>
      <c r="AK3619" s="49"/>
      <c r="AL3619" s="49"/>
      <c r="AM3619" s="49"/>
      <c r="AN3619" s="49"/>
      <c r="AP3619" s="49"/>
      <c r="AQ3619" s="49"/>
      <c r="AR3619" s="49"/>
      <c r="AS3619" s="49"/>
      <c r="AT3619" s="49"/>
    </row>
    <row r="3620">
      <c r="A3620" s="51"/>
      <c r="B3620" s="50" t="s">
        <v>2979</v>
      </c>
      <c r="C3620" s="50" t="s">
        <v>6102</v>
      </c>
      <c r="D3620" s="49" t="str">
        <f>IFERROR(__xludf.DUMMYFUNCTION("""COMPUTED_VALUE"""),"married")</f>
        <v>married</v>
      </c>
      <c r="E3620" s="49"/>
      <c r="F3620" s="49"/>
      <c r="G3620" s="49"/>
      <c r="H3620" s="54" t="str">
        <f t="shared" si="1"/>
        <v>revolutionary,</v>
      </c>
      <c r="I3620" s="50"/>
      <c r="J3620" s="50"/>
      <c r="K3620" s="50"/>
      <c r="L3620" s="50"/>
      <c r="M3620" s="50"/>
      <c r="N3620" s="50"/>
      <c r="O3620" s="49"/>
      <c r="P3620" s="49"/>
      <c r="Q3620" s="49"/>
      <c r="R3620" s="49"/>
      <c r="S3620" s="55" t="s">
        <v>5887</v>
      </c>
      <c r="T3620" s="49"/>
      <c r="U3620" s="49"/>
      <c r="V3620" s="49"/>
      <c r="W3620" s="49"/>
      <c r="X3620" s="49" t="str">
        <f t="shared" si="3"/>
        <v>,</v>
      </c>
      <c r="Y3620" s="49"/>
      <c r="Z3620" s="49"/>
      <c r="AB3620" s="49"/>
      <c r="AC3620" s="49"/>
      <c r="AD3620" s="49"/>
      <c r="AE3620" s="49"/>
      <c r="AF3620" s="49"/>
      <c r="AG3620" s="49"/>
      <c r="AH3620" s="49"/>
      <c r="AI3620" s="49"/>
      <c r="AJ3620" s="49"/>
      <c r="AK3620" s="49"/>
      <c r="AL3620" s="49"/>
      <c r="AM3620" s="49"/>
      <c r="AN3620" s="49"/>
      <c r="AP3620" s="49"/>
      <c r="AQ3620" s="49"/>
      <c r="AR3620" s="49"/>
      <c r="AS3620" s="49"/>
      <c r="AT3620" s="49"/>
    </row>
    <row r="3621">
      <c r="A3621" s="51"/>
      <c r="B3621" s="50" t="s">
        <v>6074</v>
      </c>
      <c r="C3621" s="50" t="s">
        <v>6952</v>
      </c>
      <c r="D3621" s="49" t="str">
        <f>IFERROR(__xludf.DUMMYFUNCTION("""COMPUTED_VALUE"""),"michelle")</f>
        <v>michelle</v>
      </c>
      <c r="E3621" s="49"/>
      <c r="F3621" s="49"/>
      <c r="G3621" s="49"/>
      <c r="H3621" s="54" t="str">
        <f t="shared" si="1"/>
        <v>bryan,</v>
      </c>
      <c r="I3621" s="50"/>
      <c r="J3621" s="50"/>
      <c r="K3621" s="50"/>
      <c r="L3621" s="50"/>
      <c r="M3621" s="50"/>
      <c r="N3621" s="50"/>
      <c r="O3621" s="49"/>
      <c r="P3621" s="49"/>
      <c r="Q3621" s="49"/>
      <c r="R3621" s="49"/>
      <c r="S3621" s="55" t="s">
        <v>3379</v>
      </c>
      <c r="T3621" s="49"/>
      <c r="U3621" s="49"/>
      <c r="V3621" s="49"/>
      <c r="W3621" s="49"/>
      <c r="X3621" s="49" t="str">
        <f t="shared" si="3"/>
        <v>,</v>
      </c>
      <c r="Y3621" s="49"/>
      <c r="Z3621" s="49"/>
      <c r="AB3621" s="49"/>
      <c r="AC3621" s="49"/>
      <c r="AD3621" s="49"/>
      <c r="AE3621" s="49"/>
      <c r="AF3621" s="49"/>
      <c r="AG3621" s="49"/>
      <c r="AH3621" s="49"/>
      <c r="AI3621" s="49"/>
      <c r="AJ3621" s="49"/>
      <c r="AK3621" s="49"/>
      <c r="AL3621" s="49"/>
      <c r="AM3621" s="49"/>
      <c r="AN3621" s="49"/>
      <c r="AP3621" s="49"/>
      <c r="AQ3621" s="49"/>
      <c r="AR3621" s="49"/>
      <c r="AS3621" s="49"/>
      <c r="AT3621" s="49"/>
    </row>
    <row r="3622">
      <c r="A3622" s="51"/>
      <c r="B3622" s="50" t="s">
        <v>1273</v>
      </c>
      <c r="C3622" s="50" t="s">
        <v>5676</v>
      </c>
      <c r="D3622" s="49" t="str">
        <f>IFERROR(__xludf.DUMMYFUNCTION("""COMPUTED_VALUE"""),"pregnant")</f>
        <v>pregnant</v>
      </c>
      <c r="E3622" s="49"/>
      <c r="F3622" s="49"/>
      <c r="G3622" s="49"/>
      <c r="H3622" s="54" t="str">
        <f t="shared" si="1"/>
        <v>capture,</v>
      </c>
      <c r="I3622" s="50"/>
      <c r="J3622" s="50"/>
      <c r="K3622" s="50"/>
      <c r="L3622" s="50"/>
      <c r="M3622" s="50"/>
      <c r="N3622" s="50"/>
      <c r="O3622" s="49"/>
      <c r="P3622" s="49"/>
      <c r="Q3622" s="49"/>
      <c r="R3622" s="49"/>
      <c r="S3622" s="55" t="s">
        <v>3381</v>
      </c>
      <c r="T3622" s="49"/>
      <c r="U3622" s="49"/>
      <c r="V3622" s="49"/>
      <c r="W3622" s="49"/>
      <c r="X3622" s="49" t="str">
        <f t="shared" si="3"/>
        <v>,</v>
      </c>
      <c r="Y3622" s="49"/>
      <c r="Z3622" s="49"/>
      <c r="AB3622" s="49"/>
      <c r="AC3622" s="49"/>
      <c r="AD3622" s="49"/>
      <c r="AE3622" s="49"/>
      <c r="AF3622" s="49"/>
      <c r="AG3622" s="49"/>
      <c r="AH3622" s="49"/>
      <c r="AI3622" s="49"/>
      <c r="AJ3622" s="49"/>
      <c r="AK3622" s="49"/>
      <c r="AL3622" s="49"/>
      <c r="AM3622" s="49"/>
      <c r="AN3622" s="49"/>
      <c r="AP3622" s="49"/>
      <c r="AQ3622" s="49"/>
      <c r="AR3622" s="49"/>
      <c r="AS3622" s="49"/>
      <c r="AT3622" s="49"/>
    </row>
    <row r="3623">
      <c r="A3623" s="51"/>
      <c r="B3623" s="50" t="s">
        <v>3085</v>
      </c>
      <c r="C3623" s="50" t="s">
        <v>6953</v>
      </c>
      <c r="D3623" s="49" t="str">
        <f>IFERROR(__xludf.DUMMYFUNCTION("""COMPUTED_VALUE"""),"resources")</f>
        <v>resources</v>
      </c>
      <c r="E3623" s="49"/>
      <c r="F3623" s="49"/>
      <c r="G3623" s="49"/>
      <c r="H3623" s="54" t="str">
        <f t="shared" si="1"/>
        <v>reign,</v>
      </c>
      <c r="I3623" s="50"/>
      <c r="J3623" s="50"/>
      <c r="K3623" s="50"/>
      <c r="L3623" s="50"/>
      <c r="M3623" s="50"/>
      <c r="N3623" s="50"/>
      <c r="O3623" s="49"/>
      <c r="P3623" s="49"/>
      <c r="Q3623" s="49"/>
      <c r="R3623" s="49"/>
      <c r="S3623" s="55" t="s">
        <v>5898</v>
      </c>
      <c r="T3623" s="49"/>
      <c r="U3623" s="49"/>
      <c r="V3623" s="49"/>
      <c r="W3623" s="49"/>
      <c r="X3623" s="49" t="str">
        <f t="shared" si="3"/>
        <v>,</v>
      </c>
      <c r="Y3623" s="49"/>
      <c r="Z3623" s="49"/>
      <c r="AB3623" s="49"/>
      <c r="AC3623" s="49"/>
      <c r="AD3623" s="49"/>
      <c r="AE3623" s="49"/>
      <c r="AF3623" s="49"/>
      <c r="AG3623" s="49"/>
      <c r="AH3623" s="49"/>
      <c r="AI3623" s="49"/>
      <c r="AJ3623" s="49"/>
      <c r="AK3623" s="49"/>
      <c r="AL3623" s="49"/>
      <c r="AM3623" s="49"/>
      <c r="AN3623" s="49"/>
      <c r="AP3623" s="49"/>
      <c r="AQ3623" s="49"/>
      <c r="AR3623" s="49"/>
      <c r="AS3623" s="49"/>
      <c r="AT3623" s="49"/>
    </row>
    <row r="3624">
      <c r="A3624" s="51"/>
      <c r="B3624" s="50" t="s">
        <v>4563</v>
      </c>
      <c r="C3624" s="50" t="s">
        <v>6954</v>
      </c>
      <c r="D3624" s="49" t="str">
        <f>IFERROR(__xludf.DUMMYFUNCTION("""COMPUTED_VALUE"""),"kane")</f>
        <v>kane</v>
      </c>
      <c r="E3624" s="49"/>
      <c r="F3624" s="49"/>
      <c r="G3624" s="49"/>
      <c r="H3624" s="54" t="str">
        <f t="shared" si="1"/>
        <v>ethics,</v>
      </c>
      <c r="I3624" s="50"/>
      <c r="J3624" s="50"/>
      <c r="K3624" s="50"/>
      <c r="L3624" s="50"/>
      <c r="M3624" s="50"/>
      <c r="N3624" s="50"/>
      <c r="O3624" s="49"/>
      <c r="P3624" s="49"/>
      <c r="Q3624" s="49"/>
      <c r="R3624" s="49"/>
      <c r="S3624" s="55" t="s">
        <v>3384</v>
      </c>
      <c r="T3624" s="49"/>
      <c r="U3624" s="49"/>
      <c r="V3624" s="49"/>
      <c r="W3624" s="49"/>
      <c r="X3624" s="49" t="str">
        <f t="shared" si="3"/>
        <v>,</v>
      </c>
      <c r="Y3624" s="49"/>
      <c r="Z3624" s="49"/>
      <c r="AB3624" s="49"/>
      <c r="AC3624" s="49"/>
      <c r="AD3624" s="49"/>
      <c r="AE3624" s="49"/>
      <c r="AF3624" s="49"/>
      <c r="AG3624" s="49"/>
      <c r="AH3624" s="49"/>
      <c r="AI3624" s="49"/>
      <c r="AJ3624" s="49"/>
      <c r="AK3624" s="49"/>
      <c r="AL3624" s="49"/>
      <c r="AM3624" s="49"/>
      <c r="AN3624" s="49"/>
      <c r="AP3624" s="49"/>
      <c r="AQ3624" s="49"/>
      <c r="AR3624" s="49"/>
      <c r="AS3624" s="49"/>
      <c r="AT3624" s="49"/>
    </row>
    <row r="3625">
      <c r="A3625" s="51"/>
      <c r="B3625" s="50" t="s">
        <v>6827</v>
      </c>
      <c r="C3625" s="50" t="s">
        <v>5260</v>
      </c>
      <c r="D3625" s="49" t="str">
        <f>IFERROR(__xludf.DUMMYFUNCTION("""COMPUTED_VALUE"""),"rough")</f>
        <v>rough</v>
      </c>
      <c r="E3625" s="49"/>
      <c r="F3625" s="49"/>
      <c r="G3625" s="49"/>
      <c r="H3625" s="54" t="str">
        <f t="shared" si="1"/>
        <v>lily,</v>
      </c>
      <c r="I3625" s="50"/>
      <c r="J3625" s="50"/>
      <c r="K3625" s="50"/>
      <c r="L3625" s="50"/>
      <c r="M3625" s="50"/>
      <c r="N3625" s="50"/>
      <c r="O3625" s="49"/>
      <c r="P3625" s="49"/>
      <c r="Q3625" s="49"/>
      <c r="R3625" s="49"/>
      <c r="S3625" s="55" t="s">
        <v>3386</v>
      </c>
      <c r="T3625" s="49"/>
      <c r="U3625" s="49"/>
      <c r="V3625" s="49"/>
      <c r="W3625" s="49"/>
      <c r="X3625" s="49" t="str">
        <f t="shared" si="3"/>
        <v>,</v>
      </c>
      <c r="Y3625" s="49"/>
      <c r="Z3625" s="49"/>
      <c r="AB3625" s="49"/>
      <c r="AC3625" s="49"/>
      <c r="AD3625" s="49"/>
      <c r="AE3625" s="49"/>
      <c r="AF3625" s="49"/>
      <c r="AG3625" s="49"/>
      <c r="AH3625" s="49"/>
      <c r="AI3625" s="49"/>
      <c r="AJ3625" s="49"/>
      <c r="AK3625" s="49"/>
      <c r="AL3625" s="49"/>
      <c r="AM3625" s="49"/>
      <c r="AN3625" s="49"/>
      <c r="AP3625" s="49"/>
      <c r="AQ3625" s="49"/>
      <c r="AR3625" s="49"/>
      <c r="AS3625" s="49"/>
      <c r="AT3625" s="49"/>
    </row>
    <row r="3626">
      <c r="A3626" s="51"/>
      <c r="B3626" s="50" t="s">
        <v>3822</v>
      </c>
      <c r="C3626" s="50" t="s">
        <v>7050</v>
      </c>
      <c r="D3626" s="49">
        <f>IFERROR(__xludf.DUMMYFUNCTION("""COMPUTED_VALUE"""),21.0)</f>
        <v>21</v>
      </c>
      <c r="E3626" s="49"/>
      <c r="F3626" s="49"/>
      <c r="G3626" s="49"/>
      <c r="H3626" s="54" t="str">
        <f t="shared" si="1"/>
        <v>catholic,</v>
      </c>
      <c r="I3626" s="50"/>
      <c r="J3626" s="50"/>
      <c r="K3626" s="50"/>
      <c r="L3626" s="50"/>
      <c r="M3626" s="50"/>
      <c r="N3626" s="50"/>
      <c r="O3626" s="49"/>
      <c r="P3626" s="49"/>
      <c r="Q3626" s="49"/>
      <c r="R3626" s="49"/>
      <c r="S3626" s="55" t="s">
        <v>5085</v>
      </c>
      <c r="T3626" s="49"/>
      <c r="U3626" s="49"/>
      <c r="V3626" s="49"/>
      <c r="W3626" s="49"/>
      <c r="X3626" s="49" t="str">
        <f t="shared" si="3"/>
        <v>,</v>
      </c>
      <c r="Y3626" s="49"/>
      <c r="Z3626" s="49"/>
      <c r="AB3626" s="49"/>
      <c r="AC3626" s="49"/>
      <c r="AD3626" s="49"/>
      <c r="AE3626" s="49"/>
      <c r="AF3626" s="49"/>
      <c r="AG3626" s="49"/>
      <c r="AH3626" s="49"/>
      <c r="AI3626" s="49"/>
      <c r="AJ3626" s="49"/>
      <c r="AK3626" s="49"/>
      <c r="AL3626" s="49"/>
      <c r="AM3626" s="49"/>
      <c r="AN3626" s="49"/>
      <c r="AP3626" s="49"/>
      <c r="AQ3626" s="49"/>
      <c r="AR3626" s="49"/>
      <c r="AS3626" s="49"/>
      <c r="AT3626" s="49"/>
    </row>
    <row r="3627">
      <c r="A3627" s="51"/>
      <c r="B3627" s="50" t="s">
        <v>6933</v>
      </c>
      <c r="C3627" s="50" t="s">
        <v>5915</v>
      </c>
      <c r="D3627" s="49" t="str">
        <f>IFERROR(__xludf.DUMMYFUNCTION("""COMPUTED_VALUE"""),"centers")</f>
        <v>centers</v>
      </c>
      <c r="E3627" s="49"/>
      <c r="F3627" s="49"/>
      <c r="G3627" s="49"/>
      <c r="H3627" s="54" t="str">
        <f t="shared" si="1"/>
        <v>scotland,</v>
      </c>
      <c r="I3627" s="50"/>
      <c r="J3627" s="50"/>
      <c r="K3627" s="50"/>
      <c r="L3627" s="50"/>
      <c r="M3627" s="50"/>
      <c r="N3627" s="50"/>
      <c r="O3627" s="49"/>
      <c r="P3627" s="49"/>
      <c r="Q3627" s="49"/>
      <c r="R3627" s="49"/>
      <c r="S3627" s="55" t="s">
        <v>3390</v>
      </c>
      <c r="T3627" s="49"/>
      <c r="U3627" s="49"/>
      <c r="V3627" s="49"/>
      <c r="W3627" s="49"/>
      <c r="X3627" s="49" t="str">
        <f t="shared" si="3"/>
        <v>,</v>
      </c>
      <c r="Y3627" s="49"/>
      <c r="Z3627" s="49"/>
      <c r="AB3627" s="49"/>
      <c r="AC3627" s="49"/>
      <c r="AD3627" s="49"/>
      <c r="AE3627" s="49"/>
      <c r="AF3627" s="49"/>
      <c r="AG3627" s="49"/>
      <c r="AH3627" s="49"/>
      <c r="AI3627" s="49"/>
      <c r="AJ3627" s="49"/>
      <c r="AK3627" s="49"/>
      <c r="AL3627" s="49"/>
      <c r="AM3627" s="49"/>
      <c r="AN3627" s="49"/>
      <c r="AP3627" s="49"/>
      <c r="AQ3627" s="49"/>
      <c r="AR3627" s="49"/>
      <c r="AS3627" s="49"/>
      <c r="AT3627" s="49"/>
    </row>
    <row r="3628">
      <c r="A3628" s="51"/>
      <c r="B3628" s="50" t="s">
        <v>3872</v>
      </c>
      <c r="C3628" s="50" t="s">
        <v>6955</v>
      </c>
      <c r="D3628" s="49" t="str">
        <f>IFERROR(__xludf.DUMMYFUNCTION("""COMPUTED_VALUE"""),"chocolate")</f>
        <v>chocolate</v>
      </c>
      <c r="E3628" s="49"/>
      <c r="F3628" s="49"/>
      <c r="G3628" s="49"/>
      <c r="H3628" s="54" t="str">
        <f t="shared" si="1"/>
        <v>assigned,</v>
      </c>
      <c r="I3628" s="50"/>
      <c r="J3628" s="50"/>
      <c r="K3628" s="50"/>
      <c r="L3628" s="50"/>
      <c r="M3628" s="50"/>
      <c r="N3628" s="50"/>
      <c r="O3628" s="49"/>
      <c r="P3628" s="49"/>
      <c r="Q3628" s="49"/>
      <c r="R3628" s="49"/>
      <c r="S3628" s="49"/>
      <c r="T3628" s="49"/>
      <c r="U3628" s="49"/>
      <c r="V3628" s="49"/>
      <c r="W3628" s="49"/>
      <c r="X3628" s="49"/>
      <c r="Y3628" s="49"/>
      <c r="Z3628" s="49"/>
      <c r="AB3628" s="49"/>
      <c r="AC3628" s="49"/>
      <c r="AD3628" s="49"/>
      <c r="AE3628" s="49"/>
      <c r="AF3628" s="49"/>
      <c r="AG3628" s="49"/>
      <c r="AH3628" s="49"/>
      <c r="AI3628" s="49"/>
      <c r="AJ3628" s="49"/>
      <c r="AK3628" s="49"/>
      <c r="AL3628" s="49"/>
      <c r="AM3628" s="49"/>
      <c r="AN3628" s="49"/>
      <c r="AP3628" s="49"/>
      <c r="AQ3628" s="49"/>
      <c r="AR3628" s="49"/>
      <c r="AS3628" s="49"/>
      <c r="AT3628" s="49"/>
    </row>
    <row r="3629">
      <c r="A3629" s="51"/>
      <c r="B3629" s="50" t="s">
        <v>7079</v>
      </c>
      <c r="C3629" s="50" t="s">
        <v>4686</v>
      </c>
      <c r="D3629" s="49" t="str">
        <f>IFERROR(__xludf.DUMMYFUNCTION("""COMPUTED_VALUE"""),"answered")</f>
        <v>answered</v>
      </c>
      <c r="E3629" s="49"/>
      <c r="F3629" s="49"/>
      <c r="G3629" s="49"/>
      <c r="H3629" s="54" t="str">
        <f t="shared" si="1"/>
        <v>gesture,</v>
      </c>
      <c r="I3629" s="50"/>
      <c r="J3629" s="50"/>
      <c r="K3629" s="50"/>
      <c r="L3629" s="50"/>
      <c r="M3629" s="50"/>
      <c r="N3629" s="50"/>
      <c r="O3629" s="49"/>
      <c r="P3629" s="49"/>
      <c r="Q3629" s="49"/>
      <c r="R3629" s="49"/>
      <c r="S3629" s="49"/>
      <c r="T3629" s="49"/>
      <c r="U3629" s="49"/>
      <c r="V3629" s="49"/>
      <c r="W3629" s="49"/>
      <c r="X3629" s="49"/>
      <c r="Y3629" s="49"/>
      <c r="Z3629" s="49"/>
      <c r="AB3629" s="49"/>
      <c r="AC3629" s="49"/>
      <c r="AD3629" s="49"/>
      <c r="AE3629" s="49"/>
      <c r="AF3629" s="49"/>
      <c r="AG3629" s="49"/>
      <c r="AH3629" s="49"/>
      <c r="AI3629" s="49"/>
      <c r="AJ3629" s="49"/>
      <c r="AK3629" s="49"/>
      <c r="AL3629" s="49"/>
      <c r="AM3629" s="49"/>
      <c r="AN3629" s="49"/>
      <c r="AP3629" s="49"/>
      <c r="AQ3629" s="49"/>
      <c r="AR3629" s="49"/>
      <c r="AS3629" s="49"/>
      <c r="AT3629" s="49"/>
    </row>
    <row r="3630">
      <c r="A3630" s="51"/>
      <c r="B3630" s="50" t="s">
        <v>6743</v>
      </c>
      <c r="C3630" s="50" t="s">
        <v>7117</v>
      </c>
      <c r="D3630" s="49" t="str">
        <f>IFERROR(__xludf.DUMMYFUNCTION("""COMPUTED_VALUE"""),"nuclear")</f>
        <v>nuclear</v>
      </c>
      <c r="E3630" s="49"/>
      <c r="F3630" s="49"/>
      <c r="G3630" s="49"/>
      <c r="H3630" s="54" t="str">
        <f t="shared" si="1"/>
        <v>shell,</v>
      </c>
      <c r="I3630" s="50"/>
      <c r="J3630" s="50"/>
      <c r="K3630" s="50"/>
      <c r="L3630" s="50"/>
      <c r="M3630" s="50"/>
      <c r="N3630" s="50"/>
      <c r="O3630" s="49"/>
      <c r="P3630" s="49"/>
      <c r="Q3630" s="49"/>
      <c r="R3630" s="49"/>
      <c r="S3630" s="49"/>
      <c r="T3630" s="49"/>
      <c r="U3630" s="49"/>
      <c r="V3630" s="49"/>
      <c r="W3630" s="49"/>
      <c r="X3630" s="49"/>
      <c r="Y3630" s="49"/>
      <c r="Z3630" s="49"/>
      <c r="AB3630" s="49"/>
      <c r="AC3630" s="49"/>
      <c r="AD3630" s="49"/>
      <c r="AE3630" s="49"/>
      <c r="AF3630" s="49"/>
      <c r="AG3630" s="49"/>
      <c r="AH3630" s="49"/>
      <c r="AI3630" s="49"/>
      <c r="AJ3630" s="49"/>
      <c r="AK3630" s="49"/>
      <c r="AL3630" s="49"/>
      <c r="AM3630" s="49"/>
      <c r="AN3630" s="49"/>
      <c r="AP3630" s="49"/>
      <c r="AQ3630" s="49"/>
      <c r="AR3630" s="49"/>
      <c r="AS3630" s="49"/>
      <c r="AT3630" s="49"/>
    </row>
    <row r="3631">
      <c r="A3631" s="51"/>
      <c r="B3631" s="50" t="s">
        <v>448</v>
      </c>
      <c r="C3631" s="50" t="s">
        <v>1808</v>
      </c>
      <c r="D3631" s="49" t="str">
        <f>IFERROR(__xludf.DUMMYFUNCTION("""COMPUTED_VALUE"""),"drunk")</f>
        <v>drunk</v>
      </c>
      <c r="E3631" s="49"/>
      <c r="F3631" s="49"/>
      <c r="G3631" s="49"/>
      <c r="H3631" s="54" t="str">
        <f t="shared" si="1"/>
        <v>philosophical,</v>
      </c>
      <c r="I3631" s="50"/>
      <c r="J3631" s="50"/>
      <c r="K3631" s="50"/>
      <c r="L3631" s="50"/>
      <c r="M3631" s="50"/>
      <c r="N3631" s="50"/>
      <c r="O3631" s="49"/>
      <c r="P3631" s="49"/>
      <c r="Q3631" s="49"/>
      <c r="R3631" s="49"/>
      <c r="S3631" s="49"/>
      <c r="T3631" s="49"/>
      <c r="U3631" s="49"/>
      <c r="V3631" s="49"/>
      <c r="W3631" s="49"/>
      <c r="X3631" s="49"/>
      <c r="Y3631" s="49"/>
      <c r="Z3631" s="49"/>
      <c r="AB3631" s="49"/>
      <c r="AC3631" s="49"/>
      <c r="AD3631" s="49"/>
      <c r="AE3631" s="49"/>
      <c r="AF3631" s="49"/>
      <c r="AG3631" s="49"/>
      <c r="AH3631" s="49"/>
      <c r="AI3631" s="49"/>
      <c r="AJ3631" s="49"/>
      <c r="AK3631" s="49"/>
      <c r="AL3631" s="49"/>
      <c r="AM3631" s="49"/>
      <c r="AN3631" s="49"/>
      <c r="AP3631" s="49"/>
      <c r="AQ3631" s="49"/>
      <c r="AR3631" s="49"/>
      <c r="AS3631" s="49"/>
      <c r="AT3631" s="49"/>
    </row>
    <row r="3632">
      <c r="A3632" s="51"/>
      <c r="B3632" s="50" t="s">
        <v>4695</v>
      </c>
      <c r="C3632" s="50" t="s">
        <v>4052</v>
      </c>
      <c r="D3632" s="49" t="str">
        <f>IFERROR(__xludf.DUMMYFUNCTION("""COMPUTED_VALUE"""),"expensive")</f>
        <v>expensive</v>
      </c>
      <c r="E3632" s="49"/>
      <c r="F3632" s="49"/>
      <c r="G3632" s="49"/>
      <c r="H3632" s="54" t="str">
        <f t="shared" si="1"/>
        <v>holmes,</v>
      </c>
      <c r="I3632" s="50"/>
      <c r="J3632" s="50"/>
      <c r="K3632" s="50"/>
      <c r="L3632" s="50"/>
      <c r="M3632" s="50"/>
      <c r="N3632" s="50"/>
      <c r="O3632" s="49"/>
      <c r="P3632" s="49"/>
      <c r="Q3632" s="49"/>
      <c r="R3632" s="49"/>
      <c r="S3632" s="49"/>
      <c r="T3632" s="49"/>
      <c r="U3632" s="49"/>
      <c r="V3632" s="49"/>
      <c r="W3632" s="49"/>
      <c r="X3632" s="49"/>
      <c r="Y3632" s="49"/>
      <c r="Z3632" s="49"/>
      <c r="AB3632" s="49"/>
      <c r="AC3632" s="49"/>
      <c r="AD3632" s="49"/>
      <c r="AE3632" s="49"/>
      <c r="AF3632" s="49"/>
      <c r="AG3632" s="49"/>
      <c r="AH3632" s="49"/>
      <c r="AI3632" s="49"/>
      <c r="AJ3632" s="49"/>
      <c r="AK3632" s="49"/>
      <c r="AL3632" s="49"/>
      <c r="AM3632" s="49"/>
      <c r="AN3632" s="49"/>
      <c r="AP3632" s="49"/>
      <c r="AQ3632" s="49"/>
      <c r="AR3632" s="49"/>
      <c r="AS3632" s="49"/>
      <c r="AT3632" s="49"/>
    </row>
    <row r="3633">
      <c r="A3633" s="51"/>
      <c r="B3633" s="50" t="s">
        <v>6476</v>
      </c>
      <c r="C3633" s="50" t="s">
        <v>6041</v>
      </c>
      <c r="D3633" s="49" t="str">
        <f>IFERROR(__xludf.DUMMYFUNCTION("""COMPUTED_VALUE"""),"china")</f>
        <v>china</v>
      </c>
      <c r="E3633" s="49"/>
      <c r="F3633" s="49"/>
      <c r="G3633" s="49"/>
      <c r="H3633" s="54" t="str">
        <f t="shared" si="1"/>
        <v>edges,</v>
      </c>
      <c r="I3633" s="50"/>
      <c r="J3633" s="50"/>
      <c r="K3633" s="50"/>
      <c r="L3633" s="50"/>
      <c r="M3633" s="50"/>
      <c r="N3633" s="50"/>
      <c r="O3633" s="49"/>
      <c r="P3633" s="49"/>
      <c r="Q3633" s="49"/>
      <c r="R3633" s="49"/>
      <c r="S3633" s="49"/>
      <c r="T3633" s="49"/>
      <c r="U3633" s="49"/>
      <c r="V3633" s="49"/>
      <c r="W3633" s="49"/>
      <c r="X3633" s="49"/>
      <c r="Y3633" s="49"/>
      <c r="Z3633" s="49"/>
      <c r="AB3633" s="49"/>
      <c r="AC3633" s="49"/>
      <c r="AD3633" s="49"/>
      <c r="AE3633" s="49"/>
      <c r="AF3633" s="49"/>
      <c r="AG3633" s="49"/>
      <c r="AH3633" s="49"/>
      <c r="AI3633" s="49"/>
      <c r="AJ3633" s="49"/>
      <c r="AK3633" s="49"/>
      <c r="AL3633" s="49"/>
      <c r="AM3633" s="49"/>
      <c r="AN3633" s="49"/>
      <c r="AP3633" s="49"/>
      <c r="AQ3633" s="49"/>
      <c r="AR3633" s="49"/>
      <c r="AS3633" s="49"/>
      <c r="AT3633" s="49"/>
    </row>
    <row r="3634">
      <c r="A3634" s="51"/>
      <c r="B3634" s="50" t="s">
        <v>4097</v>
      </c>
      <c r="C3634" s="50" t="s">
        <v>6956</v>
      </c>
      <c r="D3634" s="49" t="str">
        <f>IFERROR(__xludf.DUMMYFUNCTION("""COMPUTED_VALUE"""),"dress")</f>
        <v>dress</v>
      </c>
      <c r="E3634" s="49"/>
      <c r="F3634" s="49"/>
      <c r="G3634" s="49"/>
      <c r="H3634" s="54" t="str">
        <f t="shared" si="1"/>
        <v>collected,</v>
      </c>
      <c r="I3634" s="50"/>
      <c r="J3634" s="50"/>
      <c r="K3634" s="50"/>
      <c r="L3634" s="50"/>
      <c r="M3634" s="50"/>
      <c r="N3634" s="50"/>
      <c r="O3634" s="49"/>
      <c r="P3634" s="49"/>
      <c r="Q3634" s="49"/>
      <c r="R3634" s="49"/>
      <c r="S3634" s="49"/>
      <c r="T3634" s="49"/>
      <c r="U3634" s="49"/>
      <c r="V3634" s="49"/>
      <c r="W3634" s="49"/>
      <c r="X3634" s="49"/>
      <c r="Y3634" s="49"/>
      <c r="Z3634" s="49"/>
      <c r="AB3634" s="49"/>
      <c r="AC3634" s="49"/>
      <c r="AD3634" s="49"/>
      <c r="AE3634" s="49"/>
      <c r="AF3634" s="49"/>
      <c r="AG3634" s="49"/>
      <c r="AH3634" s="49"/>
      <c r="AI3634" s="49"/>
      <c r="AJ3634" s="49"/>
      <c r="AK3634" s="49"/>
      <c r="AL3634" s="49"/>
      <c r="AM3634" s="49"/>
      <c r="AN3634" s="49"/>
      <c r="AP3634" s="49"/>
      <c r="AQ3634" s="49"/>
      <c r="AR3634" s="49"/>
      <c r="AS3634" s="49"/>
      <c r="AT3634" s="49"/>
    </row>
    <row r="3635">
      <c r="A3635" s="51"/>
      <c r="B3635" s="50" t="s">
        <v>4041</v>
      </c>
      <c r="C3635" s="50" t="s">
        <v>6043</v>
      </c>
      <c r="D3635" s="49" t="str">
        <f>IFERROR(__xludf.DUMMYFUNCTION("""COMPUTED_VALUE"""),"double")</f>
        <v>double</v>
      </c>
      <c r="E3635" s="49"/>
      <c r="F3635" s="49"/>
      <c r="G3635" s="49"/>
      <c r="H3635" s="54" t="str">
        <f t="shared" si="1"/>
        <v>exit,</v>
      </c>
      <c r="I3635" s="50"/>
      <c r="J3635" s="50"/>
      <c r="K3635" s="50"/>
      <c r="L3635" s="50"/>
      <c r="M3635" s="50"/>
      <c r="N3635" s="50"/>
      <c r="O3635" s="49"/>
      <c r="P3635" s="49"/>
      <c r="Q3635" s="49"/>
      <c r="R3635" s="49"/>
      <c r="S3635" s="49"/>
      <c r="T3635" s="49"/>
      <c r="U3635" s="49"/>
      <c r="V3635" s="49"/>
      <c r="W3635" s="49"/>
      <c r="X3635" s="49"/>
      <c r="Y3635" s="49"/>
      <c r="Z3635" s="49"/>
      <c r="AB3635" s="49"/>
      <c r="AC3635" s="49"/>
      <c r="AD3635" s="49"/>
      <c r="AE3635" s="49"/>
      <c r="AF3635" s="49"/>
      <c r="AG3635" s="49"/>
      <c r="AH3635" s="49"/>
      <c r="AI3635" s="49"/>
      <c r="AJ3635" s="49"/>
      <c r="AK3635" s="49"/>
      <c r="AL3635" s="49"/>
      <c r="AM3635" s="49"/>
      <c r="AN3635" s="49"/>
      <c r="AP3635" s="49"/>
      <c r="AQ3635" s="49"/>
      <c r="AR3635" s="49"/>
      <c r="AS3635" s="49"/>
      <c r="AT3635" s="49"/>
    </row>
    <row r="3636">
      <c r="A3636" s="51"/>
      <c r="B3636" s="50" t="s">
        <v>4317</v>
      </c>
      <c r="C3636" s="50">
        <v>1957.0</v>
      </c>
      <c r="D3636" s="49" t="str">
        <f>IFERROR(__xludf.DUMMYFUNCTION("""COMPUTED_VALUE"""),"males")</f>
        <v>males</v>
      </c>
      <c r="E3636" s="49"/>
      <c r="F3636" s="49"/>
      <c r="G3636" s="49"/>
      <c r="H3636" s="54" t="str">
        <f t="shared" si="1"/>
        <v>wound,</v>
      </c>
      <c r="I3636" s="50"/>
      <c r="J3636" s="50"/>
      <c r="K3636" s="50"/>
      <c r="L3636" s="50"/>
      <c r="M3636" s="50"/>
      <c r="N3636" s="50"/>
      <c r="O3636" s="49"/>
      <c r="P3636" s="49"/>
      <c r="Q3636" s="49"/>
      <c r="R3636" s="49"/>
      <c r="S3636" s="49"/>
      <c r="T3636" s="49"/>
      <c r="U3636" s="49"/>
      <c r="V3636" s="49"/>
      <c r="W3636" s="49"/>
      <c r="X3636" s="49"/>
      <c r="Y3636" s="49"/>
      <c r="Z3636" s="49"/>
      <c r="AB3636" s="49"/>
      <c r="AC3636" s="49"/>
      <c r="AD3636" s="49"/>
      <c r="AE3636" s="49"/>
      <c r="AF3636" s="49"/>
      <c r="AG3636" s="49"/>
      <c r="AH3636" s="49"/>
      <c r="AI3636" s="49"/>
      <c r="AJ3636" s="49"/>
      <c r="AK3636" s="49"/>
      <c r="AL3636" s="49"/>
      <c r="AM3636" s="49"/>
      <c r="AN3636" s="49"/>
      <c r="AP3636" s="49"/>
      <c r="AQ3636" s="49"/>
      <c r="AR3636" s="49"/>
      <c r="AS3636" s="49"/>
      <c r="AT3636" s="49"/>
    </row>
    <row r="3637">
      <c r="A3637" s="51"/>
      <c r="B3637" s="50" t="s">
        <v>4607</v>
      </c>
      <c r="C3637" s="50" t="s">
        <v>6958</v>
      </c>
      <c r="D3637" s="49" t="str">
        <f>IFERROR(__xludf.DUMMYFUNCTION("""COMPUTED_VALUE"""),"aim")</f>
        <v>aim</v>
      </c>
      <c r="E3637" s="49"/>
      <c r="F3637" s="49"/>
      <c r="G3637" s="49"/>
      <c r="H3637" s="54" t="str">
        <f t="shared" si="1"/>
        <v>duration,</v>
      </c>
      <c r="I3637" s="50"/>
      <c r="J3637" s="50"/>
      <c r="K3637" s="50"/>
      <c r="L3637" s="50"/>
      <c r="M3637" s="50"/>
      <c r="N3637" s="50"/>
      <c r="O3637" s="49"/>
      <c r="P3637" s="49"/>
      <c r="Q3637" s="49"/>
      <c r="R3637" s="49"/>
      <c r="S3637" s="49"/>
      <c r="T3637" s="49"/>
      <c r="U3637" s="49"/>
      <c r="V3637" s="49"/>
      <c r="W3637" s="49"/>
      <c r="X3637" s="49"/>
      <c r="Y3637" s="49"/>
      <c r="Z3637" s="49"/>
      <c r="AB3637" s="49"/>
      <c r="AC3637" s="49"/>
      <c r="AD3637" s="49"/>
      <c r="AE3637" s="49"/>
      <c r="AF3637" s="49"/>
      <c r="AG3637" s="49"/>
      <c r="AH3637" s="49"/>
      <c r="AI3637" s="49"/>
      <c r="AJ3637" s="49"/>
      <c r="AK3637" s="49"/>
      <c r="AL3637" s="49"/>
      <c r="AM3637" s="49"/>
      <c r="AN3637" s="49"/>
      <c r="AP3637" s="49"/>
      <c r="AQ3637" s="49"/>
      <c r="AR3637" s="49"/>
      <c r="AS3637" s="49"/>
      <c r="AT3637" s="49"/>
    </row>
    <row r="3638">
      <c r="A3638" s="51"/>
      <c r="B3638" s="50" t="s">
        <v>4441</v>
      </c>
      <c r="C3638" s="50">
        <v>72.0</v>
      </c>
      <c r="D3638" s="49" t="str">
        <f>IFERROR(__xludf.DUMMYFUNCTION("""COMPUTED_VALUE"""),"underground")</f>
        <v>underground</v>
      </c>
      <c r="E3638" s="49"/>
      <c r="F3638" s="49"/>
      <c r="G3638" s="49"/>
      <c r="H3638" s="54" t="str">
        <f t="shared" si="1"/>
        <v>proud,</v>
      </c>
      <c r="I3638" s="50"/>
      <c r="J3638" s="50"/>
      <c r="K3638" s="50"/>
      <c r="L3638" s="50"/>
      <c r="M3638" s="50"/>
      <c r="N3638" s="50"/>
      <c r="O3638" s="49"/>
      <c r="P3638" s="49"/>
      <c r="Q3638" s="49"/>
      <c r="R3638" s="49"/>
      <c r="S3638" s="49"/>
      <c r="T3638" s="49"/>
      <c r="U3638" s="49"/>
      <c r="V3638" s="49"/>
      <c r="W3638" s="49"/>
      <c r="X3638" s="49"/>
      <c r="Y3638" s="49"/>
      <c r="Z3638" s="49"/>
      <c r="AB3638" s="49"/>
      <c r="AC3638" s="49"/>
      <c r="AD3638" s="49"/>
      <c r="AE3638" s="49"/>
      <c r="AF3638" s="49"/>
      <c r="AG3638" s="49"/>
      <c r="AH3638" s="49"/>
      <c r="AI3638" s="49"/>
      <c r="AJ3638" s="49"/>
      <c r="AK3638" s="49"/>
      <c r="AL3638" s="49"/>
      <c r="AM3638" s="49"/>
      <c r="AN3638" s="49"/>
      <c r="AP3638" s="49"/>
      <c r="AQ3638" s="49"/>
      <c r="AR3638" s="49"/>
      <c r="AS3638" s="49"/>
      <c r="AT3638" s="49"/>
    </row>
    <row r="3639">
      <c r="A3639" s="51"/>
      <c r="B3639" s="50" t="s">
        <v>7547</v>
      </c>
      <c r="C3639" s="50" t="s">
        <v>6108</v>
      </c>
      <c r="D3639" s="49" t="str">
        <f>IFERROR(__xludf.DUMMYFUNCTION("""COMPUTED_VALUE"""),"depending")</f>
        <v>depending</v>
      </c>
      <c r="E3639" s="49"/>
      <c r="F3639" s="49"/>
      <c r="G3639" s="49"/>
      <c r="H3639" s="54" t="str">
        <f t="shared" si="1"/>
        <v>orchestra,</v>
      </c>
      <c r="I3639" s="50"/>
      <c r="J3639" s="50"/>
      <c r="K3639" s="50"/>
      <c r="L3639" s="50"/>
      <c r="M3639" s="50"/>
      <c r="N3639" s="50"/>
      <c r="O3639" s="49"/>
      <c r="P3639" s="49"/>
      <c r="Q3639" s="49"/>
      <c r="R3639" s="49"/>
      <c r="S3639" s="49"/>
      <c r="T3639" s="49"/>
      <c r="U3639" s="49"/>
      <c r="V3639" s="49"/>
      <c r="W3639" s="49"/>
      <c r="X3639" s="49"/>
      <c r="Y3639" s="49"/>
      <c r="Z3639" s="49"/>
      <c r="AB3639" s="49"/>
      <c r="AC3639" s="49"/>
      <c r="AD3639" s="49"/>
      <c r="AE3639" s="49"/>
      <c r="AF3639" s="49"/>
      <c r="AG3639" s="49"/>
      <c r="AH3639" s="49"/>
      <c r="AI3639" s="49"/>
      <c r="AJ3639" s="49"/>
      <c r="AK3639" s="49"/>
      <c r="AL3639" s="49"/>
      <c r="AM3639" s="49"/>
      <c r="AN3639" s="49"/>
      <c r="AP3639" s="49"/>
      <c r="AQ3639" s="49"/>
      <c r="AR3639" s="49"/>
      <c r="AS3639" s="49"/>
      <c r="AT3639" s="49"/>
    </row>
    <row r="3640">
      <c r="A3640" s="51"/>
      <c r="B3640" s="50" t="s">
        <v>6869</v>
      </c>
      <c r="C3640" s="50" t="s">
        <v>4910</v>
      </c>
      <c r="D3640" s="49" t="str">
        <f>IFERROR(__xludf.DUMMYFUNCTION("""COMPUTED_VALUE"""),"considerably")</f>
        <v>considerably</v>
      </c>
      <c r="E3640" s="49"/>
      <c r="F3640" s="49"/>
      <c r="G3640" s="49"/>
      <c r="H3640" s="54" t="str">
        <f t="shared" si="1"/>
        <v>stayed,</v>
      </c>
      <c r="I3640" s="50"/>
      <c r="J3640" s="50"/>
      <c r="K3640" s="50"/>
      <c r="L3640" s="50"/>
      <c r="M3640" s="50"/>
      <c r="N3640" s="50"/>
      <c r="O3640" s="49"/>
      <c r="P3640" s="49"/>
      <c r="Q3640" s="49"/>
      <c r="R3640" s="49"/>
      <c r="S3640" s="49"/>
      <c r="T3640" s="49"/>
      <c r="U3640" s="49"/>
      <c r="V3640" s="49"/>
      <c r="W3640" s="49"/>
      <c r="X3640" s="49"/>
      <c r="Y3640" s="49"/>
      <c r="Z3640" s="49"/>
      <c r="AB3640" s="49"/>
      <c r="AC3640" s="49"/>
      <c r="AD3640" s="49"/>
      <c r="AE3640" s="49"/>
      <c r="AF3640" s="49"/>
      <c r="AG3640" s="49"/>
      <c r="AH3640" s="49"/>
      <c r="AI3640" s="49"/>
      <c r="AJ3640" s="49"/>
      <c r="AK3640" s="49"/>
      <c r="AL3640" s="49"/>
      <c r="AM3640" s="49"/>
      <c r="AN3640" s="49"/>
      <c r="AP3640" s="49"/>
      <c r="AQ3640" s="49"/>
      <c r="AR3640" s="49"/>
      <c r="AS3640" s="49"/>
      <c r="AT3640" s="49"/>
    </row>
    <row r="3641">
      <c r="A3641" s="51"/>
      <c r="B3641" s="50" t="s">
        <v>5239</v>
      </c>
      <c r="C3641" s="50" t="s">
        <v>4754</v>
      </c>
      <c r="D3641" s="49" t="str">
        <f>IFERROR(__xludf.DUMMYFUNCTION("""COMPUTED_VALUE"""),"dave")</f>
        <v>dave</v>
      </c>
      <c r="E3641" s="49"/>
      <c r="F3641" s="49"/>
      <c r="G3641" s="49"/>
      <c r="H3641" s="54" t="str">
        <f t="shared" si="1"/>
        <v>resistance,</v>
      </c>
      <c r="I3641" s="50"/>
      <c r="J3641" s="50"/>
      <c r="K3641" s="50"/>
      <c r="L3641" s="50"/>
      <c r="M3641" s="50"/>
      <c r="N3641" s="50"/>
      <c r="O3641" s="49"/>
      <c r="P3641" s="49"/>
      <c r="Q3641" s="49"/>
      <c r="R3641" s="49"/>
      <c r="S3641" s="49"/>
      <c r="T3641" s="49"/>
      <c r="U3641" s="49"/>
      <c r="V3641" s="49"/>
      <c r="W3641" s="49"/>
      <c r="X3641" s="49"/>
      <c r="Y3641" s="49"/>
      <c r="Z3641" s="49"/>
      <c r="AB3641" s="49"/>
      <c r="AC3641" s="49"/>
      <c r="AD3641" s="49"/>
      <c r="AE3641" s="49"/>
      <c r="AF3641" s="49"/>
      <c r="AG3641" s="49"/>
      <c r="AH3641" s="49"/>
      <c r="AI3641" s="49"/>
      <c r="AJ3641" s="49"/>
      <c r="AK3641" s="49"/>
      <c r="AL3641" s="49"/>
      <c r="AM3641" s="49"/>
      <c r="AN3641" s="49"/>
      <c r="AP3641" s="49"/>
      <c r="AQ3641" s="49"/>
      <c r="AR3641" s="49"/>
      <c r="AS3641" s="49"/>
      <c r="AT3641" s="49"/>
    </row>
    <row r="3642">
      <c r="A3642" s="51"/>
      <c r="B3642" s="50" t="s">
        <v>5282</v>
      </c>
      <c r="C3642" s="50" t="s">
        <v>7118</v>
      </c>
      <c r="D3642" s="49" t="str">
        <f>IFERROR(__xludf.DUMMYFUNCTION("""COMPUTED_VALUE"""),"walks")</f>
        <v>walks</v>
      </c>
      <c r="E3642" s="49"/>
      <c r="F3642" s="49"/>
      <c r="G3642" s="49"/>
      <c r="H3642" s="54" t="str">
        <f t="shared" si="1"/>
        <v>sunshine,</v>
      </c>
      <c r="I3642" s="50"/>
      <c r="J3642" s="50"/>
      <c r="K3642" s="50"/>
      <c r="L3642" s="50"/>
      <c r="M3642" s="50"/>
      <c r="N3642" s="50"/>
      <c r="O3642" s="49"/>
      <c r="P3642" s="49"/>
      <c r="Q3642" s="49"/>
      <c r="R3642" s="49"/>
      <c r="S3642" s="49"/>
      <c r="T3642" s="49"/>
      <c r="U3642" s="49"/>
      <c r="V3642" s="49"/>
      <c r="W3642" s="49"/>
      <c r="X3642" s="49"/>
      <c r="Y3642" s="49"/>
      <c r="Z3642" s="49"/>
      <c r="AB3642" s="49"/>
      <c r="AC3642" s="49"/>
      <c r="AD3642" s="49"/>
      <c r="AE3642" s="49"/>
      <c r="AF3642" s="49"/>
      <c r="AG3642" s="49"/>
      <c r="AH3642" s="49"/>
      <c r="AI3642" s="49"/>
      <c r="AJ3642" s="49"/>
      <c r="AK3642" s="49"/>
      <c r="AL3642" s="49"/>
      <c r="AM3642" s="49"/>
      <c r="AN3642" s="49"/>
      <c r="AP3642" s="49"/>
      <c r="AQ3642" s="49"/>
      <c r="AR3642" s="49"/>
      <c r="AS3642" s="49"/>
      <c r="AT3642" s="49"/>
    </row>
    <row r="3643">
      <c r="A3643" s="51"/>
      <c r="B3643" s="50" t="s">
        <v>3465</v>
      </c>
      <c r="C3643" s="50" t="s">
        <v>5689</v>
      </c>
      <c r="D3643" s="49">
        <f>IFERROR(__xludf.DUMMYFUNCTION("""COMPUTED_VALUE"""),1972.0)</f>
        <v>1972</v>
      </c>
      <c r="E3643" s="49"/>
      <c r="F3643" s="49"/>
      <c r="G3643" s="49"/>
      <c r="H3643" s="54" t="str">
        <f t="shared" si="1"/>
        <v>span,</v>
      </c>
      <c r="I3643" s="50"/>
      <c r="J3643" s="50"/>
      <c r="K3643" s="50"/>
      <c r="L3643" s="50"/>
      <c r="M3643" s="50"/>
      <c r="N3643" s="50"/>
      <c r="O3643" s="49"/>
      <c r="P3643" s="49"/>
      <c r="Q3643" s="49"/>
      <c r="R3643" s="49"/>
      <c r="S3643" s="49"/>
      <c r="T3643" s="49"/>
      <c r="U3643" s="49"/>
      <c r="V3643" s="49"/>
      <c r="W3643" s="49"/>
      <c r="X3643" s="49"/>
      <c r="Y3643" s="49"/>
      <c r="Z3643" s="49"/>
      <c r="AB3643" s="49"/>
      <c r="AC3643" s="49"/>
      <c r="AD3643" s="49"/>
      <c r="AE3643" s="49"/>
      <c r="AF3643" s="49"/>
      <c r="AG3643" s="49"/>
      <c r="AH3643" s="49"/>
      <c r="AI3643" s="49"/>
      <c r="AJ3643" s="49"/>
      <c r="AK3643" s="49"/>
      <c r="AL3643" s="49"/>
      <c r="AM3643" s="49"/>
      <c r="AN3643" s="49"/>
      <c r="AP3643" s="49"/>
      <c r="AQ3643" s="49"/>
      <c r="AR3643" s="49"/>
      <c r="AS3643" s="49"/>
      <c r="AT3643" s="49"/>
    </row>
    <row r="3644">
      <c r="A3644" s="51"/>
      <c r="B3644" s="50" t="s">
        <v>5930</v>
      </c>
      <c r="C3644" s="50" t="s">
        <v>5510</v>
      </c>
      <c r="D3644" s="49" t="str">
        <f>IFERROR(__xludf.DUMMYFUNCTION("""COMPUTED_VALUE"""),"ram")</f>
        <v>ram</v>
      </c>
      <c r="E3644" s="49"/>
      <c r="F3644" s="49"/>
      <c r="G3644" s="49"/>
      <c r="H3644" s="54" t="str">
        <f t="shared" si="1"/>
        <v>edition,</v>
      </c>
      <c r="I3644" s="50"/>
      <c r="J3644" s="50"/>
      <c r="K3644" s="50"/>
      <c r="L3644" s="50"/>
      <c r="M3644" s="50"/>
      <c r="N3644" s="50"/>
      <c r="O3644" s="49"/>
      <c r="P3644" s="49"/>
      <c r="Q3644" s="49"/>
      <c r="R3644" s="49"/>
      <c r="S3644" s="49"/>
      <c r="T3644" s="49"/>
      <c r="U3644" s="49"/>
      <c r="V3644" s="49"/>
      <c r="W3644" s="49"/>
      <c r="X3644" s="49"/>
      <c r="Y3644" s="49"/>
      <c r="Z3644" s="49"/>
      <c r="AB3644" s="49"/>
      <c r="AC3644" s="49"/>
      <c r="AD3644" s="49"/>
      <c r="AE3644" s="49"/>
      <c r="AF3644" s="49"/>
      <c r="AG3644" s="49"/>
      <c r="AH3644" s="49"/>
      <c r="AI3644" s="49"/>
      <c r="AJ3644" s="49"/>
      <c r="AK3644" s="49"/>
      <c r="AL3644" s="49"/>
      <c r="AM3644" s="49"/>
      <c r="AN3644" s="49"/>
      <c r="AP3644" s="49"/>
      <c r="AQ3644" s="49"/>
      <c r="AR3644" s="49"/>
      <c r="AS3644" s="49"/>
      <c r="AT3644" s="49"/>
    </row>
    <row r="3645">
      <c r="A3645" s="51"/>
      <c r="B3645" s="50" t="s">
        <v>7187</v>
      </c>
      <c r="C3645" s="50" t="s">
        <v>7119</v>
      </c>
      <c r="D3645" s="49" t="str">
        <f>IFERROR(__xludf.DUMMYFUNCTION("""COMPUTED_VALUE"""),"illustrated")</f>
        <v>illustrated</v>
      </c>
      <c r="E3645" s="49"/>
      <c r="F3645" s="49"/>
      <c r="G3645" s="49"/>
      <c r="H3645" s="54" t="str">
        <f t="shared" si="1"/>
        <v>considerably,</v>
      </c>
      <c r="I3645" s="50"/>
      <c r="J3645" s="50"/>
      <c r="K3645" s="50"/>
      <c r="L3645" s="50"/>
      <c r="M3645" s="50"/>
      <c r="N3645" s="50"/>
      <c r="O3645" s="49"/>
      <c r="P3645" s="49"/>
      <c r="Q3645" s="49"/>
      <c r="R3645" s="49"/>
      <c r="S3645" s="49"/>
      <c r="T3645" s="49"/>
      <c r="U3645" s="49"/>
      <c r="V3645" s="49"/>
      <c r="W3645" s="49"/>
      <c r="X3645" s="49"/>
      <c r="Y3645" s="49"/>
      <c r="Z3645" s="49"/>
      <c r="AB3645" s="49"/>
      <c r="AC3645" s="49"/>
      <c r="AD3645" s="49"/>
      <c r="AE3645" s="49"/>
      <c r="AF3645" s="49"/>
      <c r="AG3645" s="49"/>
      <c r="AH3645" s="49"/>
      <c r="AI3645" s="49"/>
      <c r="AJ3645" s="49"/>
      <c r="AK3645" s="49"/>
      <c r="AL3645" s="49"/>
      <c r="AM3645" s="49"/>
      <c r="AN3645" s="49"/>
      <c r="AP3645" s="49"/>
      <c r="AQ3645" s="49"/>
      <c r="AR3645" s="49"/>
      <c r="AS3645" s="49"/>
      <c r="AT3645" s="49"/>
    </row>
    <row r="3646">
      <c r="A3646" s="51"/>
      <c r="B3646" s="50" t="s">
        <v>1993</v>
      </c>
      <c r="C3646" s="50">
        <v>87.0</v>
      </c>
      <c r="D3646" s="49" t="str">
        <f>IFERROR(__xludf.DUMMYFUNCTION("""COMPUTED_VALUE"""),"vampires")</f>
        <v>vampires</v>
      </c>
      <c r="E3646" s="49"/>
      <c r="F3646" s="49"/>
      <c r="G3646" s="49"/>
      <c r="H3646" s="54" t="str">
        <f t="shared" si="1"/>
        <v>significantly,</v>
      </c>
      <c r="I3646" s="50"/>
      <c r="J3646" s="50"/>
      <c r="K3646" s="50"/>
      <c r="L3646" s="50"/>
      <c r="M3646" s="50"/>
      <c r="N3646" s="50"/>
      <c r="O3646" s="49"/>
      <c r="P3646" s="49"/>
      <c r="Q3646" s="49"/>
      <c r="R3646" s="49"/>
      <c r="S3646" s="49"/>
      <c r="T3646" s="49"/>
      <c r="U3646" s="49"/>
      <c r="V3646" s="49"/>
      <c r="W3646" s="49"/>
      <c r="X3646" s="49"/>
      <c r="Y3646" s="49"/>
      <c r="Z3646" s="49"/>
      <c r="AB3646" s="49"/>
      <c r="AC3646" s="49"/>
      <c r="AD3646" s="49"/>
      <c r="AE3646" s="49"/>
      <c r="AF3646" s="49"/>
      <c r="AG3646" s="49"/>
      <c r="AH3646" s="49"/>
      <c r="AI3646" s="49"/>
      <c r="AJ3646" s="49"/>
      <c r="AK3646" s="49"/>
      <c r="AL3646" s="49"/>
      <c r="AM3646" s="49"/>
      <c r="AN3646" s="49"/>
      <c r="AP3646" s="49"/>
      <c r="AQ3646" s="49"/>
      <c r="AR3646" s="49"/>
      <c r="AS3646" s="49"/>
      <c r="AT3646" s="49"/>
    </row>
    <row r="3647">
      <c r="A3647" s="51"/>
      <c r="B3647" s="50" t="s">
        <v>6810</v>
      </c>
      <c r="C3647" s="50" t="s">
        <v>4152</v>
      </c>
      <c r="D3647" s="49" t="str">
        <f>IFERROR(__xludf.DUMMYFUNCTION("""COMPUTED_VALUE"""),"tonight")</f>
        <v>tonight</v>
      </c>
      <c r="E3647" s="49"/>
      <c r="F3647" s="49"/>
      <c r="G3647" s="49"/>
      <c r="H3647" s="54" t="str">
        <f t="shared" si="1"/>
        <v>pleased,</v>
      </c>
      <c r="I3647" s="50"/>
      <c r="J3647" s="50"/>
      <c r="K3647" s="50"/>
      <c r="L3647" s="50"/>
      <c r="M3647" s="50"/>
      <c r="N3647" s="50"/>
      <c r="O3647" s="49"/>
      <c r="P3647" s="49"/>
      <c r="Q3647" s="49"/>
      <c r="R3647" s="49"/>
      <c r="S3647" s="49"/>
      <c r="T3647" s="49"/>
      <c r="U3647" s="49"/>
      <c r="V3647" s="49"/>
      <c r="W3647" s="49"/>
      <c r="X3647" s="49"/>
      <c r="Y3647" s="49"/>
      <c r="Z3647" s="49"/>
      <c r="AB3647" s="49"/>
      <c r="AC3647" s="49"/>
      <c r="AD3647" s="49"/>
      <c r="AE3647" s="49"/>
      <c r="AF3647" s="49"/>
      <c r="AG3647" s="49"/>
      <c r="AH3647" s="49"/>
      <c r="AI3647" s="49"/>
      <c r="AJ3647" s="49"/>
      <c r="AK3647" s="49"/>
      <c r="AL3647" s="49"/>
      <c r="AM3647" s="49"/>
      <c r="AN3647" s="49"/>
      <c r="AP3647" s="49"/>
      <c r="AQ3647" s="49"/>
      <c r="AR3647" s="49"/>
      <c r="AS3647" s="49"/>
      <c r="AT3647" s="49"/>
    </row>
    <row r="3648">
      <c r="A3648" s="51"/>
      <c r="B3648" s="50" t="s">
        <v>6044</v>
      </c>
      <c r="C3648" s="50" t="s">
        <v>5073</v>
      </c>
      <c r="D3648" s="49" t="str">
        <f>IFERROR(__xludf.DUMMYFUNCTION("""COMPUTED_VALUE"""),"lyrics")</f>
        <v>lyrics</v>
      </c>
      <c r="E3648" s="49"/>
      <c r="F3648" s="49"/>
      <c r="G3648" s="49"/>
      <c r="H3648" s="54" t="str">
        <f t="shared" si="1"/>
        <v>conducted,</v>
      </c>
      <c r="I3648" s="50"/>
      <c r="J3648" s="50"/>
      <c r="K3648" s="50"/>
      <c r="L3648" s="50"/>
      <c r="M3648" s="50"/>
      <c r="N3648" s="50"/>
      <c r="O3648" s="49"/>
      <c r="P3648" s="49"/>
      <c r="Q3648" s="49"/>
      <c r="R3648" s="49"/>
      <c r="S3648" s="49"/>
      <c r="T3648" s="49"/>
      <c r="U3648" s="49"/>
      <c r="V3648" s="49"/>
      <c r="W3648" s="49"/>
      <c r="X3648" s="49"/>
      <c r="Y3648" s="49"/>
      <c r="Z3648" s="49"/>
      <c r="AB3648" s="49"/>
      <c r="AC3648" s="49"/>
      <c r="AD3648" s="49"/>
      <c r="AE3648" s="49"/>
      <c r="AF3648" s="49"/>
      <c r="AG3648" s="49"/>
      <c r="AH3648" s="49"/>
      <c r="AI3648" s="49"/>
      <c r="AJ3648" s="49"/>
      <c r="AK3648" s="49"/>
      <c r="AL3648" s="49"/>
      <c r="AM3648" s="49"/>
      <c r="AN3648" s="49"/>
      <c r="AP3648" s="49"/>
      <c r="AQ3648" s="49"/>
      <c r="AR3648" s="49"/>
      <c r="AS3648" s="49"/>
      <c r="AT3648" s="49"/>
    </row>
    <row r="3649">
      <c r="A3649" s="51"/>
      <c r="B3649" s="50" t="s">
        <v>6612</v>
      </c>
      <c r="C3649" s="50" t="s">
        <v>2345</v>
      </c>
      <c r="D3649" s="49" t="str">
        <f>IFERROR(__xludf.DUMMYFUNCTION("""COMPUTED_VALUE"""),"citizen")</f>
        <v>citizen</v>
      </c>
      <c r="E3649" s="49"/>
      <c r="F3649" s="49"/>
      <c r="G3649" s="49"/>
      <c r="H3649" s="54" t="str">
        <f t="shared" si="1"/>
        <v>personnel,</v>
      </c>
      <c r="I3649" s="50"/>
      <c r="J3649" s="50"/>
      <c r="K3649" s="50"/>
      <c r="L3649" s="50"/>
      <c r="M3649" s="50"/>
      <c r="N3649" s="50"/>
      <c r="O3649" s="49"/>
      <c r="P3649" s="49"/>
      <c r="Q3649" s="49"/>
      <c r="R3649" s="49"/>
      <c r="S3649" s="49"/>
      <c r="T3649" s="49"/>
      <c r="U3649" s="49"/>
      <c r="V3649" s="49"/>
      <c r="W3649" s="49"/>
      <c r="X3649" s="49"/>
      <c r="Y3649" s="49"/>
      <c r="Z3649" s="49"/>
      <c r="AB3649" s="49"/>
      <c r="AC3649" s="49"/>
      <c r="AD3649" s="49"/>
      <c r="AE3649" s="49"/>
      <c r="AF3649" s="49"/>
      <c r="AG3649" s="49"/>
      <c r="AH3649" s="49"/>
      <c r="AI3649" s="49"/>
      <c r="AJ3649" s="49"/>
      <c r="AK3649" s="49"/>
      <c r="AL3649" s="49"/>
      <c r="AM3649" s="49"/>
      <c r="AN3649" s="49"/>
      <c r="AP3649" s="49"/>
      <c r="AQ3649" s="49"/>
      <c r="AR3649" s="49"/>
      <c r="AS3649" s="49"/>
      <c r="AT3649" s="49"/>
    </row>
    <row r="3650">
      <c r="A3650" s="51"/>
      <c r="B3650" s="50" t="s">
        <v>6012</v>
      </c>
      <c r="C3650" s="50" t="s">
        <v>7120</v>
      </c>
      <c r="D3650" s="49" t="str">
        <f>IFERROR(__xludf.DUMMYFUNCTION("""COMPUTED_VALUE"""),"uk")</f>
        <v>uk</v>
      </c>
      <c r="E3650" s="49"/>
      <c r="F3650" s="49"/>
      <c r="G3650" s="49"/>
      <c r="H3650" s="54" t="str">
        <f t="shared" si="1"/>
        <v>religion,</v>
      </c>
      <c r="I3650" s="50"/>
      <c r="J3650" s="50"/>
      <c r="K3650" s="50"/>
      <c r="L3650" s="50"/>
      <c r="M3650" s="50"/>
      <c r="N3650" s="50"/>
      <c r="O3650" s="49"/>
      <c r="P3650" s="49"/>
      <c r="Q3650" s="49"/>
      <c r="R3650" s="49"/>
      <c r="S3650" s="49"/>
      <c r="T3650" s="49"/>
      <c r="U3650" s="49"/>
      <c r="V3650" s="49"/>
      <c r="W3650" s="49"/>
      <c r="X3650" s="49"/>
      <c r="Y3650" s="49"/>
      <c r="Z3650" s="49"/>
      <c r="AB3650" s="49"/>
      <c r="AC3650" s="49"/>
      <c r="AD3650" s="49"/>
      <c r="AE3650" s="49"/>
      <c r="AF3650" s="49"/>
      <c r="AG3650" s="49"/>
      <c r="AH3650" s="49"/>
      <c r="AI3650" s="49"/>
      <c r="AJ3650" s="49"/>
      <c r="AK3650" s="49"/>
      <c r="AL3650" s="49"/>
      <c r="AM3650" s="49"/>
      <c r="AN3650" s="49"/>
      <c r="AP3650" s="49"/>
      <c r="AQ3650" s="49"/>
      <c r="AR3650" s="49"/>
      <c r="AS3650" s="49"/>
      <c r="AT3650" s="49"/>
    </row>
    <row r="3651">
      <c r="A3651" s="51"/>
      <c r="B3651" s="50">
        <v>21.0</v>
      </c>
      <c r="C3651" s="50" t="s">
        <v>6961</v>
      </c>
      <c r="D3651" s="49" t="str">
        <f>IFERROR(__xludf.DUMMYFUNCTION("""COMPUTED_VALUE"""),"write")</f>
        <v>write</v>
      </c>
      <c r="E3651" s="49"/>
      <c r="F3651" s="49"/>
      <c r="G3651" s="49"/>
      <c r="H3651" s="54" t="str">
        <f t="shared" si="1"/>
        <v>21,</v>
      </c>
      <c r="I3651" s="50"/>
      <c r="J3651" s="50"/>
      <c r="K3651" s="50"/>
      <c r="L3651" s="50"/>
      <c r="M3651" s="50"/>
      <c r="N3651" s="50"/>
      <c r="O3651" s="49"/>
      <c r="P3651" s="49"/>
      <c r="Q3651" s="49"/>
      <c r="R3651" s="49"/>
      <c r="S3651" s="49"/>
      <c r="T3651" s="49"/>
      <c r="U3651" s="49"/>
      <c r="V3651" s="49"/>
      <c r="W3651" s="49"/>
      <c r="X3651" s="49"/>
      <c r="Y3651" s="49"/>
      <c r="Z3651" s="49"/>
      <c r="AB3651" s="49"/>
      <c r="AC3651" s="49"/>
      <c r="AD3651" s="49"/>
      <c r="AE3651" s="49"/>
      <c r="AF3651" s="49"/>
      <c r="AG3651" s="49"/>
      <c r="AH3651" s="49"/>
      <c r="AI3651" s="49"/>
      <c r="AJ3651" s="49"/>
      <c r="AK3651" s="49"/>
      <c r="AL3651" s="49"/>
      <c r="AM3651" s="49"/>
      <c r="AN3651" s="49"/>
      <c r="AP3651" s="49"/>
      <c r="AQ3651" s="49"/>
      <c r="AR3651" s="49"/>
      <c r="AS3651" s="49"/>
      <c r="AT3651" s="49"/>
    </row>
    <row r="3652">
      <c r="A3652" s="51"/>
      <c r="B3652" s="50" t="s">
        <v>2147</v>
      </c>
      <c r="C3652" s="50" t="s">
        <v>7121</v>
      </c>
      <c r="D3652" s="49" t="str">
        <f>IFERROR(__xludf.DUMMYFUNCTION("""COMPUTED_VALUE"""),"australia")</f>
        <v>australia</v>
      </c>
      <c r="E3652" s="49"/>
      <c r="F3652" s="49"/>
      <c r="G3652" s="49"/>
      <c r="H3652" s="54" t="str">
        <f t="shared" si="1"/>
        <v>observations,</v>
      </c>
      <c r="I3652" s="50"/>
      <c r="J3652" s="50"/>
      <c r="K3652" s="50"/>
      <c r="L3652" s="50"/>
      <c r="M3652" s="50"/>
      <c r="N3652" s="50"/>
      <c r="O3652" s="49"/>
      <c r="P3652" s="49"/>
      <c r="Q3652" s="49"/>
      <c r="R3652" s="49"/>
      <c r="S3652" s="49"/>
      <c r="T3652" s="49"/>
      <c r="U3652" s="49"/>
      <c r="V3652" s="49"/>
      <c r="W3652" s="49"/>
      <c r="X3652" s="49"/>
      <c r="Y3652" s="49"/>
      <c r="Z3652" s="49"/>
      <c r="AB3652" s="49"/>
      <c r="AC3652" s="49"/>
      <c r="AD3652" s="49"/>
      <c r="AE3652" s="49"/>
      <c r="AF3652" s="49"/>
      <c r="AG3652" s="49"/>
      <c r="AH3652" s="49"/>
      <c r="AI3652" s="49"/>
      <c r="AJ3652" s="49"/>
      <c r="AK3652" s="49"/>
      <c r="AL3652" s="49"/>
      <c r="AM3652" s="49"/>
      <c r="AN3652" s="49"/>
      <c r="AP3652" s="49"/>
      <c r="AQ3652" s="49"/>
      <c r="AR3652" s="49"/>
      <c r="AS3652" s="49"/>
      <c r="AT3652" s="49"/>
    </row>
    <row r="3653">
      <c r="A3653" s="51"/>
      <c r="B3653" s="50" t="s">
        <v>5347</v>
      </c>
      <c r="C3653" s="50" t="s">
        <v>7122</v>
      </c>
      <c r="D3653" s="49" t="str">
        <f>IFERROR(__xludf.DUMMYFUNCTION("""COMPUTED_VALUE"""),"plane")</f>
        <v>plane</v>
      </c>
      <c r="E3653" s="49"/>
      <c r="F3653" s="49"/>
      <c r="G3653" s="49"/>
      <c r="H3653" s="54" t="str">
        <f t="shared" si="1"/>
        <v>severe,</v>
      </c>
      <c r="I3653" s="50"/>
      <c r="J3653" s="50"/>
      <c r="K3653" s="50"/>
      <c r="L3653" s="50"/>
      <c r="M3653" s="50"/>
      <c r="N3653" s="50"/>
      <c r="O3653" s="49"/>
      <c r="P3653" s="49"/>
      <c r="Q3653" s="49"/>
      <c r="R3653" s="49"/>
      <c r="S3653" s="49"/>
      <c r="T3653" s="49"/>
      <c r="U3653" s="49"/>
      <c r="V3653" s="49"/>
      <c r="W3653" s="49"/>
      <c r="X3653" s="49"/>
      <c r="Y3653" s="49"/>
      <c r="Z3653" s="49"/>
      <c r="AB3653" s="49"/>
      <c r="AC3653" s="49"/>
      <c r="AD3653" s="49"/>
      <c r="AE3653" s="49"/>
      <c r="AF3653" s="49"/>
      <c r="AG3653" s="49"/>
      <c r="AH3653" s="49"/>
      <c r="AI3653" s="49"/>
      <c r="AJ3653" s="49"/>
      <c r="AK3653" s="49"/>
      <c r="AL3653" s="49"/>
      <c r="AM3653" s="49"/>
      <c r="AN3653" s="49"/>
      <c r="AP3653" s="49"/>
      <c r="AQ3653" s="49"/>
      <c r="AR3653" s="49"/>
      <c r="AS3653" s="49"/>
      <c r="AT3653" s="49"/>
    </row>
    <row r="3654">
      <c r="A3654" s="51"/>
      <c r="B3654" s="50" t="s">
        <v>2792</v>
      </c>
      <c r="C3654" s="50" t="s">
        <v>5479</v>
      </c>
      <c r="D3654" s="49" t="str">
        <f>IFERROR(__xludf.DUMMYFUNCTION("""COMPUTED_VALUE"""),"assets")</f>
        <v>assets</v>
      </c>
      <c r="E3654" s="49"/>
      <c r="F3654" s="49"/>
      <c r="G3654" s="49"/>
      <c r="H3654" s="54" t="str">
        <f t="shared" si="1"/>
        <v>consequences,</v>
      </c>
      <c r="I3654" s="50"/>
      <c r="J3654" s="50"/>
      <c r="K3654" s="50"/>
      <c r="L3654" s="50"/>
      <c r="M3654" s="50"/>
      <c r="N3654" s="50"/>
      <c r="O3654" s="49"/>
      <c r="P3654" s="49"/>
      <c r="Q3654" s="49"/>
      <c r="R3654" s="49"/>
      <c r="S3654" s="49"/>
      <c r="T3654" s="49"/>
      <c r="U3654" s="49"/>
      <c r="V3654" s="49"/>
      <c r="W3654" s="49"/>
      <c r="X3654" s="49"/>
      <c r="Y3654" s="49"/>
      <c r="Z3654" s="49"/>
      <c r="AB3654" s="49"/>
      <c r="AC3654" s="49"/>
      <c r="AD3654" s="49"/>
      <c r="AE3654" s="49"/>
      <c r="AF3654" s="49"/>
      <c r="AG3654" s="49"/>
      <c r="AH3654" s="49"/>
      <c r="AI3654" s="49"/>
      <c r="AJ3654" s="49"/>
      <c r="AK3654" s="49"/>
      <c r="AL3654" s="49"/>
      <c r="AM3654" s="49"/>
      <c r="AN3654" s="49"/>
      <c r="AP3654" s="49"/>
      <c r="AQ3654" s="49"/>
      <c r="AR3654" s="49"/>
      <c r="AS3654" s="49"/>
      <c r="AT3654" s="49"/>
    </row>
    <row r="3655">
      <c r="A3655" s="51"/>
      <c r="B3655" s="50" t="s">
        <v>3726</v>
      </c>
      <c r="C3655" s="50" t="s">
        <v>3890</v>
      </c>
      <c r="D3655" s="49"/>
      <c r="E3655" s="49"/>
      <c r="F3655" s="49"/>
      <c r="G3655" s="49"/>
      <c r="H3655" s="54" t="str">
        <f t="shared" si="1"/>
        <v>involve,</v>
      </c>
      <c r="I3655" s="50"/>
      <c r="J3655" s="50"/>
      <c r="K3655" s="50"/>
      <c r="L3655" s="50"/>
      <c r="M3655" s="50"/>
      <c r="N3655" s="50"/>
      <c r="O3655" s="49"/>
      <c r="P3655" s="49"/>
      <c r="Q3655" s="49"/>
      <c r="R3655" s="49"/>
      <c r="S3655" s="49"/>
      <c r="T3655" s="49"/>
      <c r="U3655" s="49"/>
      <c r="V3655" s="49"/>
      <c r="W3655" s="49"/>
      <c r="X3655" s="49"/>
      <c r="Y3655" s="49"/>
      <c r="Z3655" s="49"/>
      <c r="AB3655" s="49"/>
      <c r="AC3655" s="49"/>
      <c r="AD3655" s="49"/>
      <c r="AE3655" s="49"/>
      <c r="AF3655" s="49"/>
      <c r="AG3655" s="49"/>
      <c r="AH3655" s="49"/>
      <c r="AI3655" s="49"/>
      <c r="AJ3655" s="49"/>
      <c r="AK3655" s="49"/>
      <c r="AL3655" s="49"/>
      <c r="AM3655" s="49"/>
      <c r="AN3655" s="49"/>
      <c r="AP3655" s="49"/>
      <c r="AQ3655" s="49"/>
      <c r="AR3655" s="49"/>
      <c r="AS3655" s="49"/>
      <c r="AT3655" s="49"/>
    </row>
    <row r="3656">
      <c r="A3656" s="51"/>
      <c r="B3656" s="50" t="s">
        <v>5462</v>
      </c>
      <c r="C3656" s="50" t="s">
        <v>6963</v>
      </c>
      <c r="D3656" s="49"/>
      <c r="E3656" s="49"/>
      <c r="F3656" s="49"/>
      <c r="G3656" s="49"/>
      <c r="H3656" s="54" t="str">
        <f t="shared" si="1"/>
        <v>function,</v>
      </c>
      <c r="I3656" s="50"/>
      <c r="J3656" s="50"/>
      <c r="K3656" s="50"/>
      <c r="L3656" s="50"/>
      <c r="M3656" s="50"/>
      <c r="N3656" s="50"/>
      <c r="O3656" s="49"/>
      <c r="P3656" s="49"/>
      <c r="Q3656" s="49"/>
      <c r="R3656" s="49"/>
      <c r="S3656" s="49"/>
      <c r="T3656" s="49"/>
      <c r="U3656" s="49"/>
      <c r="V3656" s="49"/>
      <c r="W3656" s="49"/>
      <c r="X3656" s="49"/>
      <c r="Y3656" s="49"/>
      <c r="Z3656" s="49"/>
      <c r="AB3656" s="49"/>
      <c r="AC3656" s="49"/>
      <c r="AD3656" s="49"/>
      <c r="AE3656" s="49"/>
      <c r="AF3656" s="49"/>
      <c r="AG3656" s="49"/>
      <c r="AH3656" s="49"/>
      <c r="AI3656" s="49"/>
      <c r="AJ3656" s="49"/>
      <c r="AK3656" s="49"/>
      <c r="AL3656" s="49"/>
      <c r="AM3656" s="49"/>
      <c r="AN3656" s="49"/>
      <c r="AP3656" s="49"/>
      <c r="AQ3656" s="49"/>
      <c r="AR3656" s="49"/>
      <c r="AS3656" s="49"/>
      <c r="AT3656" s="49"/>
    </row>
    <row r="3657">
      <c r="A3657" s="51"/>
      <c r="B3657" s="50" t="s">
        <v>7055</v>
      </c>
      <c r="C3657" s="50" t="s">
        <v>6964</v>
      </c>
      <c r="D3657" s="49"/>
      <c r="E3657" s="49"/>
      <c r="F3657" s="49"/>
      <c r="G3657" s="49"/>
      <c r="H3657" s="54" t="str">
        <f t="shared" si="1"/>
        <v>variable,</v>
      </c>
      <c r="I3657" s="50"/>
      <c r="J3657" s="50"/>
      <c r="K3657" s="50"/>
      <c r="L3657" s="50"/>
      <c r="M3657" s="50"/>
      <c r="N3657" s="50"/>
      <c r="O3657" s="49"/>
      <c r="P3657" s="49"/>
      <c r="Q3657" s="49"/>
      <c r="R3657" s="49"/>
      <c r="S3657" s="49"/>
      <c r="T3657" s="49"/>
      <c r="U3657" s="49"/>
      <c r="V3657" s="49"/>
      <c r="W3657" s="49"/>
      <c r="X3657" s="49"/>
      <c r="Y3657" s="49"/>
      <c r="Z3657" s="49"/>
      <c r="AB3657" s="49"/>
      <c r="AC3657" s="49"/>
      <c r="AD3657" s="49"/>
      <c r="AE3657" s="49"/>
      <c r="AF3657" s="49"/>
      <c r="AG3657" s="49"/>
      <c r="AH3657" s="49"/>
      <c r="AI3657" s="49"/>
      <c r="AJ3657" s="49"/>
      <c r="AK3657" s="49"/>
      <c r="AL3657" s="49"/>
      <c r="AM3657" s="49"/>
      <c r="AN3657" s="49"/>
      <c r="AP3657" s="49"/>
      <c r="AQ3657" s="49"/>
      <c r="AR3657" s="49"/>
      <c r="AS3657" s="49"/>
      <c r="AT3657" s="49"/>
    </row>
    <row r="3658">
      <c r="A3658" s="51"/>
      <c r="B3658" s="50" t="s">
        <v>1480</v>
      </c>
      <c r="C3658" s="50" t="s">
        <v>6965</v>
      </c>
      <c r="D3658" s="49"/>
      <c r="E3658" s="49"/>
      <c r="F3658" s="49"/>
      <c r="G3658" s="49"/>
      <c r="H3658" s="54" t="str">
        <f t="shared" si="1"/>
        <v>classical,</v>
      </c>
      <c r="I3658" s="50"/>
      <c r="J3658" s="50"/>
      <c r="K3658" s="50"/>
      <c r="L3658" s="50"/>
      <c r="M3658" s="50"/>
      <c r="N3658" s="50"/>
      <c r="O3658" s="49"/>
      <c r="P3658" s="49"/>
      <c r="Q3658" s="49"/>
      <c r="R3658" s="49"/>
      <c r="S3658" s="49"/>
      <c r="T3658" s="49"/>
      <c r="U3658" s="49"/>
      <c r="V3658" s="49"/>
      <c r="W3658" s="49"/>
      <c r="X3658" s="49"/>
      <c r="Y3658" s="49"/>
      <c r="Z3658" s="49"/>
      <c r="AB3658" s="49"/>
      <c r="AC3658" s="49"/>
      <c r="AD3658" s="49"/>
      <c r="AE3658" s="49"/>
      <c r="AF3658" s="49"/>
      <c r="AG3658" s="49"/>
      <c r="AH3658" s="49"/>
      <c r="AI3658" s="49"/>
      <c r="AJ3658" s="49"/>
      <c r="AK3658" s="49"/>
      <c r="AL3658" s="49"/>
      <c r="AM3658" s="49"/>
      <c r="AN3658" s="49"/>
      <c r="AP3658" s="49"/>
      <c r="AQ3658" s="49"/>
      <c r="AR3658" s="49"/>
      <c r="AS3658" s="49"/>
      <c r="AT3658" s="49"/>
    </row>
    <row r="3659">
      <c r="A3659" s="51"/>
      <c r="B3659" s="50" t="s">
        <v>3003</v>
      </c>
      <c r="C3659" s="50" t="s">
        <v>3732</v>
      </c>
      <c r="D3659" s="49"/>
      <c r="E3659" s="49"/>
      <c r="F3659" s="49"/>
      <c r="G3659" s="49"/>
      <c r="H3659" s="54" t="str">
        <f t="shared" si="1"/>
        <v>native,</v>
      </c>
      <c r="I3659" s="50"/>
      <c r="J3659" s="50"/>
      <c r="K3659" s="50"/>
      <c r="L3659" s="50"/>
      <c r="M3659" s="50"/>
      <c r="N3659" s="50"/>
      <c r="O3659" s="49"/>
      <c r="P3659" s="49"/>
      <c r="Q3659" s="49"/>
      <c r="R3659" s="49"/>
      <c r="S3659" s="49"/>
      <c r="T3659" s="49"/>
      <c r="U3659" s="49"/>
      <c r="V3659" s="49"/>
      <c r="W3659" s="49"/>
      <c r="X3659" s="49"/>
      <c r="Y3659" s="49"/>
      <c r="Z3659" s="49"/>
      <c r="AB3659" s="49"/>
      <c r="AC3659" s="49"/>
      <c r="AD3659" s="49"/>
      <c r="AE3659" s="49"/>
      <c r="AF3659" s="49"/>
      <c r="AG3659" s="49"/>
      <c r="AH3659" s="49"/>
      <c r="AI3659" s="49"/>
      <c r="AJ3659" s="49"/>
      <c r="AK3659" s="49"/>
      <c r="AL3659" s="49"/>
      <c r="AM3659" s="49"/>
      <c r="AN3659" s="49"/>
      <c r="AP3659" s="49"/>
      <c r="AQ3659" s="49"/>
      <c r="AR3659" s="49"/>
      <c r="AS3659" s="49"/>
      <c r="AT3659" s="49"/>
    </row>
    <row r="3660">
      <c r="A3660" s="51"/>
      <c r="B3660" s="50" t="s">
        <v>3415</v>
      </c>
      <c r="C3660" s="50" t="s">
        <v>7123</v>
      </c>
      <c r="D3660" s="49"/>
      <c r="E3660" s="49"/>
      <c r="F3660" s="49"/>
      <c r="G3660" s="49"/>
      <c r="H3660" s="54" t="str">
        <f t="shared" si="1"/>
        <v>rural,</v>
      </c>
      <c r="I3660" s="50"/>
      <c r="J3660" s="50"/>
      <c r="K3660" s="50"/>
      <c r="L3660" s="50"/>
      <c r="M3660" s="50"/>
      <c r="N3660" s="50"/>
      <c r="O3660" s="49"/>
      <c r="P3660" s="49"/>
      <c r="Q3660" s="49"/>
      <c r="R3660" s="49"/>
      <c r="S3660" s="49"/>
      <c r="T3660" s="49"/>
      <c r="U3660" s="49"/>
      <c r="V3660" s="49"/>
      <c r="W3660" s="49"/>
      <c r="X3660" s="49"/>
      <c r="Y3660" s="49"/>
      <c r="Z3660" s="49"/>
      <c r="AB3660" s="49"/>
      <c r="AC3660" s="49"/>
      <c r="AD3660" s="49"/>
      <c r="AE3660" s="49"/>
      <c r="AF3660" s="49"/>
      <c r="AG3660" s="49"/>
      <c r="AH3660" s="49"/>
      <c r="AI3660" s="49"/>
      <c r="AJ3660" s="49"/>
      <c r="AK3660" s="49"/>
      <c r="AL3660" s="49"/>
      <c r="AM3660" s="49"/>
      <c r="AN3660" s="49"/>
      <c r="AP3660" s="49"/>
      <c r="AQ3660" s="49"/>
      <c r="AR3660" s="49"/>
      <c r="AS3660" s="49"/>
      <c r="AT3660" s="49"/>
    </row>
    <row r="3661">
      <c r="A3661" s="51"/>
      <c r="B3661" s="50" t="s">
        <v>1774</v>
      </c>
      <c r="C3661" s="50" t="s">
        <v>1729</v>
      </c>
      <c r="D3661" s="49"/>
      <c r="E3661" s="49"/>
      <c r="F3661" s="49"/>
      <c r="G3661" s="49"/>
      <c r="H3661" s="54" t="str">
        <f t="shared" si="1"/>
        <v>learning,</v>
      </c>
      <c r="I3661" s="50"/>
      <c r="J3661" s="50"/>
      <c r="K3661" s="50"/>
      <c r="L3661" s="50"/>
      <c r="M3661" s="50"/>
      <c r="N3661" s="50"/>
      <c r="O3661" s="49"/>
      <c r="P3661" s="49"/>
      <c r="Q3661" s="49"/>
      <c r="R3661" s="49"/>
      <c r="S3661" s="49"/>
      <c r="T3661" s="49"/>
      <c r="U3661" s="49"/>
      <c r="V3661" s="49"/>
      <c r="W3661" s="49"/>
      <c r="X3661" s="49"/>
      <c r="Y3661" s="49"/>
      <c r="Z3661" s="49"/>
      <c r="AB3661" s="49"/>
      <c r="AC3661" s="49"/>
      <c r="AD3661" s="49"/>
      <c r="AE3661" s="49"/>
      <c r="AF3661" s="49"/>
      <c r="AG3661" s="49"/>
      <c r="AH3661" s="49"/>
      <c r="AI3661" s="49"/>
      <c r="AJ3661" s="49"/>
      <c r="AK3661" s="49"/>
      <c r="AL3661" s="49"/>
      <c r="AM3661" s="49"/>
      <c r="AN3661" s="49"/>
      <c r="AP3661" s="49"/>
      <c r="AQ3661" s="49"/>
      <c r="AR3661" s="49"/>
      <c r="AS3661" s="49"/>
      <c r="AT3661" s="49"/>
    </row>
    <row r="3662">
      <c r="A3662" s="51"/>
      <c r="B3662" s="50" t="s">
        <v>4944</v>
      </c>
      <c r="C3662" s="50" t="s">
        <v>6966</v>
      </c>
      <c r="D3662" s="49"/>
      <c r="E3662" s="49"/>
      <c r="F3662" s="49"/>
      <c r="G3662" s="49"/>
      <c r="H3662" s="54" t="str">
        <f t="shared" si="1"/>
        <v>heritage,</v>
      </c>
      <c r="I3662" s="50"/>
      <c r="J3662" s="50"/>
      <c r="K3662" s="50"/>
      <c r="L3662" s="50"/>
      <c r="M3662" s="50"/>
      <c r="N3662" s="50"/>
      <c r="O3662" s="49"/>
      <c r="P3662" s="49"/>
      <c r="Q3662" s="49"/>
      <c r="R3662" s="49"/>
      <c r="S3662" s="49"/>
      <c r="T3662" s="49"/>
      <c r="U3662" s="49"/>
      <c r="V3662" s="49"/>
      <c r="W3662" s="49"/>
      <c r="X3662" s="49"/>
      <c r="Y3662" s="49"/>
      <c r="Z3662" s="49"/>
      <c r="AB3662" s="49"/>
      <c r="AC3662" s="49"/>
      <c r="AD3662" s="49"/>
      <c r="AE3662" s="49"/>
      <c r="AF3662" s="49"/>
      <c r="AG3662" s="49"/>
      <c r="AH3662" s="49"/>
      <c r="AI3662" s="49"/>
      <c r="AJ3662" s="49"/>
      <c r="AK3662" s="49"/>
      <c r="AL3662" s="49"/>
      <c r="AM3662" s="49"/>
      <c r="AN3662" s="49"/>
      <c r="AP3662" s="49"/>
      <c r="AQ3662" s="49"/>
      <c r="AR3662" s="49"/>
      <c r="AS3662" s="49"/>
      <c r="AT3662" s="49"/>
    </row>
    <row r="3663">
      <c r="A3663" s="51"/>
      <c r="B3663" s="50" t="s">
        <v>7701</v>
      </c>
      <c r="C3663" s="50" t="s">
        <v>3895</v>
      </c>
      <c r="D3663" s="49"/>
      <c r="E3663" s="49"/>
      <c r="F3663" s="49"/>
      <c r="G3663" s="49"/>
      <c r="H3663" s="54" t="str">
        <f t="shared" si="1"/>
        <v>swing,</v>
      </c>
      <c r="I3663" s="50"/>
      <c r="J3663" s="50"/>
      <c r="K3663" s="50"/>
      <c r="L3663" s="50"/>
      <c r="M3663" s="50"/>
      <c r="N3663" s="50"/>
      <c r="O3663" s="49"/>
      <c r="P3663" s="49"/>
      <c r="Q3663" s="49"/>
      <c r="R3663" s="49"/>
      <c r="S3663" s="49"/>
      <c r="T3663" s="49"/>
      <c r="U3663" s="49"/>
      <c r="V3663" s="49"/>
      <c r="W3663" s="49"/>
      <c r="X3663" s="49"/>
      <c r="Y3663" s="49"/>
      <c r="Z3663" s="49"/>
      <c r="AB3663" s="49"/>
      <c r="AC3663" s="49"/>
      <c r="AD3663" s="49"/>
      <c r="AE3663" s="49"/>
      <c r="AF3663" s="49"/>
      <c r="AG3663" s="49"/>
      <c r="AH3663" s="49"/>
      <c r="AI3663" s="49"/>
      <c r="AJ3663" s="49"/>
      <c r="AK3663" s="49"/>
      <c r="AL3663" s="49"/>
      <c r="AM3663" s="49"/>
      <c r="AN3663" s="49"/>
      <c r="AP3663" s="49"/>
      <c r="AQ3663" s="49"/>
      <c r="AR3663" s="49"/>
      <c r="AS3663" s="49"/>
      <c r="AT3663" s="49"/>
    </row>
    <row r="3664">
      <c r="A3664" s="51"/>
      <c r="B3664" s="50" t="s">
        <v>2744</v>
      </c>
      <c r="C3664" s="50" t="s">
        <v>4768</v>
      </c>
      <c r="D3664" s="49"/>
      <c r="E3664" s="49"/>
      <c r="F3664" s="49"/>
      <c r="G3664" s="49"/>
      <c r="H3664" s="54" t="str">
        <f t="shared" si="1"/>
        <v>square,</v>
      </c>
      <c r="I3664" s="50"/>
      <c r="J3664" s="50"/>
      <c r="K3664" s="50"/>
      <c r="L3664" s="50"/>
      <c r="M3664" s="50"/>
      <c r="N3664" s="50"/>
      <c r="O3664" s="49"/>
      <c r="P3664" s="49"/>
      <c r="Q3664" s="49"/>
      <c r="R3664" s="49"/>
      <c r="S3664" s="49"/>
      <c r="T3664" s="49"/>
      <c r="U3664" s="49"/>
      <c r="V3664" s="49"/>
      <c r="W3664" s="49"/>
      <c r="X3664" s="49"/>
      <c r="Y3664" s="49"/>
      <c r="Z3664" s="49"/>
      <c r="AB3664" s="49"/>
      <c r="AC3664" s="49"/>
      <c r="AD3664" s="49"/>
      <c r="AE3664" s="49"/>
      <c r="AF3664" s="49"/>
      <c r="AG3664" s="49"/>
      <c r="AH3664" s="49"/>
      <c r="AI3664" s="49"/>
      <c r="AJ3664" s="49"/>
      <c r="AK3664" s="49"/>
      <c r="AL3664" s="49"/>
      <c r="AM3664" s="49"/>
      <c r="AN3664" s="49"/>
      <c r="AP3664" s="49"/>
      <c r="AQ3664" s="49"/>
      <c r="AR3664" s="49"/>
      <c r="AS3664" s="49"/>
      <c r="AT3664" s="49"/>
    </row>
    <row r="3665">
      <c r="A3665" s="51"/>
      <c r="B3665" s="50" t="s">
        <v>2487</v>
      </c>
      <c r="C3665" s="50" t="s">
        <v>2640</v>
      </c>
      <c r="D3665" s="49"/>
      <c r="E3665" s="49"/>
      <c r="F3665" s="49"/>
      <c r="G3665" s="49"/>
      <c r="H3665" s="54" t="str">
        <f t="shared" si="1"/>
        <v>wooden,</v>
      </c>
      <c r="I3665" s="50"/>
      <c r="J3665" s="50"/>
      <c r="K3665" s="50"/>
      <c r="L3665" s="50"/>
      <c r="M3665" s="50"/>
      <c r="N3665" s="50"/>
      <c r="O3665" s="49"/>
      <c r="P3665" s="49"/>
      <c r="Q3665" s="49"/>
      <c r="R3665" s="49"/>
      <c r="S3665" s="49"/>
      <c r="T3665" s="49"/>
      <c r="U3665" s="49"/>
      <c r="V3665" s="49"/>
      <c r="W3665" s="49"/>
      <c r="X3665" s="49"/>
      <c r="Y3665" s="49"/>
      <c r="Z3665" s="49"/>
      <c r="AB3665" s="49"/>
      <c r="AC3665" s="49"/>
      <c r="AD3665" s="49"/>
      <c r="AE3665" s="49"/>
      <c r="AF3665" s="49"/>
      <c r="AG3665" s="49"/>
      <c r="AH3665" s="49"/>
      <c r="AI3665" s="49"/>
      <c r="AJ3665" s="49"/>
      <c r="AK3665" s="49"/>
      <c r="AL3665" s="49"/>
      <c r="AM3665" s="49"/>
      <c r="AN3665" s="49"/>
      <c r="AP3665" s="49"/>
      <c r="AQ3665" s="49"/>
      <c r="AR3665" s="49"/>
      <c r="AS3665" s="49"/>
      <c r="AT3665" s="49"/>
    </row>
    <row r="3666">
      <c r="A3666" s="51"/>
      <c r="B3666" s="50" t="s">
        <v>5852</v>
      </c>
      <c r="C3666" s="50" t="s">
        <v>7124</v>
      </c>
      <c r="D3666" s="49"/>
      <c r="E3666" s="49"/>
      <c r="F3666" s="49"/>
      <c r="G3666" s="49"/>
      <c r="H3666" s="54" t="str">
        <f t="shared" si="1"/>
        <v>21st,</v>
      </c>
      <c r="I3666" s="50"/>
      <c r="J3666" s="50"/>
      <c r="K3666" s="50"/>
      <c r="L3666" s="50"/>
      <c r="M3666" s="50"/>
      <c r="N3666" s="50"/>
      <c r="O3666" s="49"/>
      <c r="P3666" s="49"/>
      <c r="Q3666" s="49"/>
      <c r="R3666" s="49"/>
      <c r="S3666" s="49"/>
      <c r="T3666" s="49"/>
      <c r="U3666" s="49"/>
      <c r="V3666" s="49"/>
      <c r="W3666" s="49"/>
      <c r="X3666" s="49"/>
      <c r="Y3666" s="49"/>
      <c r="Z3666" s="49"/>
      <c r="AB3666" s="49"/>
      <c r="AC3666" s="49"/>
      <c r="AD3666" s="49"/>
      <c r="AE3666" s="49"/>
      <c r="AF3666" s="49"/>
      <c r="AG3666" s="49"/>
      <c r="AH3666" s="49"/>
      <c r="AI3666" s="49"/>
      <c r="AJ3666" s="49"/>
      <c r="AK3666" s="49"/>
      <c r="AL3666" s="49"/>
      <c r="AM3666" s="49"/>
      <c r="AN3666" s="49"/>
      <c r="AP3666" s="49"/>
      <c r="AQ3666" s="49"/>
      <c r="AR3666" s="49"/>
      <c r="AS3666" s="49"/>
      <c r="AT3666" s="49"/>
    </row>
    <row r="3667">
      <c r="A3667" s="51"/>
      <c r="B3667" s="50" t="s">
        <v>1301</v>
      </c>
      <c r="C3667" s="50" t="s">
        <v>7125</v>
      </c>
      <c r="D3667" s="49"/>
      <c r="E3667" s="49"/>
      <c r="F3667" s="49"/>
      <c r="G3667" s="49"/>
      <c r="H3667" s="54" t="str">
        <f t="shared" si="1"/>
        <v>performed,</v>
      </c>
      <c r="I3667" s="50"/>
      <c r="J3667" s="50"/>
      <c r="K3667" s="50"/>
      <c r="L3667" s="50"/>
      <c r="M3667" s="50"/>
      <c r="N3667" s="50"/>
      <c r="O3667" s="49"/>
      <c r="P3667" s="49"/>
      <c r="Q3667" s="49"/>
      <c r="R3667" s="49"/>
      <c r="S3667" s="49"/>
      <c r="T3667" s="49"/>
      <c r="U3667" s="49"/>
      <c r="V3667" s="49"/>
      <c r="W3667" s="49"/>
      <c r="X3667" s="49"/>
      <c r="Y3667" s="49"/>
      <c r="Z3667" s="49"/>
      <c r="AB3667" s="49"/>
      <c r="AC3667" s="49"/>
      <c r="AD3667" s="49"/>
      <c r="AE3667" s="49"/>
      <c r="AF3667" s="49"/>
      <c r="AG3667" s="49"/>
      <c r="AH3667" s="49"/>
      <c r="AI3667" s="49"/>
      <c r="AJ3667" s="49"/>
      <c r="AK3667" s="49"/>
      <c r="AL3667" s="49"/>
      <c r="AM3667" s="49"/>
      <c r="AN3667" s="49"/>
      <c r="AP3667" s="49"/>
      <c r="AQ3667" s="49"/>
      <c r="AR3667" s="49"/>
      <c r="AS3667" s="49"/>
      <c r="AT3667" s="49"/>
    </row>
    <row r="3668">
      <c r="A3668" s="51"/>
      <c r="B3668" s="50" t="s">
        <v>5276</v>
      </c>
      <c r="C3668" s="50" t="s">
        <v>5783</v>
      </c>
      <c r="D3668" s="49"/>
      <c r="E3668" s="49"/>
      <c r="F3668" s="49"/>
      <c r="G3668" s="49"/>
      <c r="H3668" s="54" t="str">
        <f t="shared" si="1"/>
        <v>awarded,</v>
      </c>
      <c r="I3668" s="50"/>
      <c r="J3668" s="50"/>
      <c r="K3668" s="50"/>
      <c r="L3668" s="50"/>
      <c r="M3668" s="50"/>
      <c r="N3668" s="50"/>
      <c r="O3668" s="49"/>
      <c r="P3668" s="49"/>
      <c r="Q3668" s="49"/>
      <c r="R3668" s="49"/>
      <c r="S3668" s="49"/>
      <c r="T3668" s="49"/>
      <c r="U3668" s="49"/>
      <c r="V3668" s="49"/>
      <c r="W3668" s="49"/>
      <c r="X3668" s="49"/>
      <c r="Y3668" s="49"/>
      <c r="Z3668" s="49"/>
      <c r="AB3668" s="49"/>
      <c r="AC3668" s="49"/>
      <c r="AD3668" s="49"/>
      <c r="AE3668" s="49"/>
      <c r="AF3668" s="49"/>
      <c r="AG3668" s="49"/>
      <c r="AH3668" s="49"/>
      <c r="AI3668" s="49"/>
      <c r="AJ3668" s="49"/>
      <c r="AK3668" s="49"/>
      <c r="AL3668" s="49"/>
      <c r="AM3668" s="49"/>
      <c r="AN3668" s="49"/>
      <c r="AP3668" s="49"/>
      <c r="AQ3668" s="49"/>
      <c r="AR3668" s="49"/>
      <c r="AS3668" s="49"/>
      <c r="AT3668" s="49"/>
    </row>
    <row r="3669">
      <c r="A3669" s="51"/>
      <c r="B3669" s="50" t="s">
        <v>1237</v>
      </c>
      <c r="C3669" s="50">
        <v>52.0</v>
      </c>
      <c r="D3669" s="49"/>
      <c r="E3669" s="49"/>
      <c r="F3669" s="49"/>
      <c r="G3669" s="49"/>
      <c r="H3669" s="54" t="str">
        <f t="shared" si="1"/>
        <v>authority,</v>
      </c>
      <c r="I3669" s="50"/>
      <c r="J3669" s="50"/>
      <c r="K3669" s="50"/>
      <c r="L3669" s="50"/>
      <c r="M3669" s="50"/>
      <c r="N3669" s="50"/>
      <c r="O3669" s="49"/>
      <c r="P3669" s="49"/>
      <c r="Q3669" s="49"/>
      <c r="R3669" s="49"/>
      <c r="S3669" s="49"/>
      <c r="T3669" s="49"/>
      <c r="U3669" s="49"/>
      <c r="V3669" s="49"/>
      <c r="W3669" s="49"/>
      <c r="X3669" s="49"/>
      <c r="Y3669" s="49"/>
      <c r="Z3669" s="49"/>
      <c r="AB3669" s="49"/>
      <c r="AC3669" s="49"/>
      <c r="AD3669" s="49"/>
      <c r="AE3669" s="49"/>
      <c r="AF3669" s="49"/>
      <c r="AG3669" s="49"/>
      <c r="AH3669" s="49"/>
      <c r="AI3669" s="49"/>
      <c r="AJ3669" s="49"/>
      <c r="AK3669" s="49"/>
      <c r="AL3669" s="49"/>
      <c r="AM3669" s="49"/>
      <c r="AN3669" s="49"/>
      <c r="AP3669" s="49"/>
      <c r="AQ3669" s="49"/>
      <c r="AR3669" s="49"/>
      <c r="AS3669" s="49"/>
      <c r="AT3669" s="49"/>
    </row>
    <row r="3670">
      <c r="A3670" s="51"/>
      <c r="B3670" s="50" t="s">
        <v>2130</v>
      </c>
      <c r="C3670" s="50" t="s">
        <v>6968</v>
      </c>
      <c r="D3670" s="49"/>
      <c r="E3670" s="49"/>
      <c r="F3670" s="49"/>
      <c r="G3670" s="49"/>
      <c r="H3670" s="54" t="str">
        <f t="shared" si="1"/>
        <v>graduated,</v>
      </c>
      <c r="I3670" s="50"/>
      <c r="J3670" s="50"/>
      <c r="K3670" s="50"/>
      <c r="L3670" s="50"/>
      <c r="M3670" s="50"/>
      <c r="N3670" s="50"/>
      <c r="O3670" s="49"/>
      <c r="P3670" s="49"/>
      <c r="Q3670" s="49"/>
      <c r="R3670" s="49"/>
      <c r="S3670" s="49"/>
      <c r="T3670" s="49"/>
      <c r="U3670" s="49"/>
      <c r="V3670" s="49"/>
      <c r="W3670" s="49"/>
      <c r="X3670" s="49"/>
      <c r="Y3670" s="49"/>
      <c r="Z3670" s="49"/>
      <c r="AB3670" s="49"/>
      <c r="AC3670" s="49"/>
      <c r="AD3670" s="49"/>
      <c r="AE3670" s="49"/>
      <c r="AF3670" s="49"/>
      <c r="AG3670" s="49"/>
      <c r="AH3670" s="49"/>
      <c r="AI3670" s="49"/>
      <c r="AJ3670" s="49"/>
      <c r="AK3670" s="49"/>
      <c r="AL3670" s="49"/>
      <c r="AM3670" s="49"/>
      <c r="AN3670" s="49"/>
      <c r="AP3670" s="49"/>
      <c r="AQ3670" s="49"/>
      <c r="AR3670" s="49"/>
      <c r="AS3670" s="49"/>
      <c r="AT3670" s="49"/>
    </row>
    <row r="3671">
      <c r="A3671" s="51"/>
      <c r="B3671" s="50" t="s">
        <v>2626</v>
      </c>
      <c r="C3671" s="50">
        <v>1933.0</v>
      </c>
      <c r="D3671" s="49"/>
      <c r="E3671" s="49"/>
      <c r="F3671" s="49"/>
      <c r="G3671" s="49"/>
      <c r="H3671" s="54" t="str">
        <f t="shared" si="1"/>
        <v>wednesday,</v>
      </c>
      <c r="I3671" s="50"/>
      <c r="J3671" s="50"/>
      <c r="K3671" s="50"/>
      <c r="L3671" s="50"/>
      <c r="M3671" s="50"/>
      <c r="N3671" s="50"/>
      <c r="O3671" s="49"/>
      <c r="P3671" s="49"/>
      <c r="Q3671" s="49"/>
      <c r="R3671" s="49"/>
      <c r="S3671" s="49"/>
      <c r="T3671" s="49"/>
      <c r="U3671" s="49"/>
      <c r="V3671" s="49"/>
      <c r="W3671" s="49"/>
      <c r="X3671" s="49"/>
      <c r="Y3671" s="49"/>
      <c r="Z3671" s="49"/>
      <c r="AB3671" s="49"/>
      <c r="AC3671" s="49"/>
      <c r="AD3671" s="49"/>
      <c r="AE3671" s="49"/>
      <c r="AF3671" s="49"/>
      <c r="AG3671" s="49"/>
      <c r="AH3671" s="49"/>
      <c r="AI3671" s="49"/>
      <c r="AJ3671" s="49"/>
      <c r="AK3671" s="49"/>
      <c r="AL3671" s="49"/>
      <c r="AM3671" s="49"/>
      <c r="AN3671" s="49"/>
      <c r="AP3671" s="49"/>
      <c r="AQ3671" s="49"/>
      <c r="AR3671" s="49"/>
      <c r="AS3671" s="49"/>
      <c r="AT3671" s="49"/>
    </row>
    <row r="3672">
      <c r="A3672" s="51"/>
      <c r="B3672" s="50" t="s">
        <v>5247</v>
      </c>
      <c r="C3672" s="50" t="s">
        <v>3004</v>
      </c>
      <c r="D3672" s="49"/>
      <c r="E3672" s="49"/>
      <c r="F3672" s="49"/>
      <c r="G3672" s="49"/>
      <c r="H3672" s="54" t="str">
        <f t="shared" si="1"/>
        <v>12th,</v>
      </c>
      <c r="I3672" s="50"/>
      <c r="J3672" s="50"/>
      <c r="K3672" s="50"/>
      <c r="L3672" s="50"/>
      <c r="M3672" s="50"/>
      <c r="N3672" s="50"/>
      <c r="O3672" s="49"/>
      <c r="P3672" s="49"/>
      <c r="Q3672" s="49"/>
      <c r="R3672" s="49"/>
      <c r="S3672" s="49"/>
      <c r="T3672" s="49"/>
      <c r="U3672" s="49"/>
      <c r="V3672" s="49"/>
      <c r="W3672" s="49"/>
      <c r="X3672" s="49"/>
      <c r="Y3672" s="49"/>
      <c r="Z3672" s="49"/>
      <c r="AB3672" s="49"/>
      <c r="AC3672" s="49"/>
      <c r="AD3672" s="49"/>
      <c r="AE3672" s="49"/>
      <c r="AF3672" s="49"/>
      <c r="AG3672" s="49"/>
      <c r="AH3672" s="49"/>
      <c r="AI3672" s="49"/>
      <c r="AJ3672" s="49"/>
      <c r="AK3672" s="49"/>
      <c r="AL3672" s="49"/>
      <c r="AM3672" s="49"/>
      <c r="AN3672" s="49"/>
      <c r="AP3672" s="49"/>
      <c r="AQ3672" s="49"/>
      <c r="AR3672" s="49"/>
      <c r="AS3672" s="49"/>
      <c r="AT3672" s="49"/>
    </row>
    <row r="3673">
      <c r="A3673" s="51"/>
      <c r="B3673" s="50" t="s">
        <v>1831</v>
      </c>
      <c r="C3673" s="50" t="s">
        <v>1306</v>
      </c>
      <c r="D3673" s="49"/>
      <c r="E3673" s="49"/>
      <c r="F3673" s="49"/>
      <c r="G3673" s="49"/>
      <c r="H3673" s="54" t="str">
        <f t="shared" si="1"/>
        <v>album,</v>
      </c>
      <c r="I3673" s="50"/>
      <c r="J3673" s="50"/>
      <c r="K3673" s="50"/>
      <c r="L3673" s="50"/>
      <c r="M3673" s="50"/>
      <c r="N3673" s="50"/>
      <c r="O3673" s="49"/>
      <c r="P3673" s="49"/>
      <c r="Q3673" s="49"/>
      <c r="R3673" s="49"/>
      <c r="S3673" s="49"/>
      <c r="T3673" s="49"/>
      <c r="U3673" s="49"/>
      <c r="V3673" s="49"/>
      <c r="W3673" s="49"/>
      <c r="X3673" s="49"/>
      <c r="Y3673" s="49"/>
      <c r="Z3673" s="49"/>
      <c r="AB3673" s="49"/>
      <c r="AC3673" s="49"/>
      <c r="AD3673" s="49"/>
      <c r="AE3673" s="49"/>
      <c r="AF3673" s="49"/>
      <c r="AG3673" s="49"/>
      <c r="AH3673" s="49"/>
      <c r="AI3673" s="49"/>
      <c r="AJ3673" s="49"/>
      <c r="AK3673" s="49"/>
      <c r="AL3673" s="49"/>
      <c r="AM3673" s="49"/>
      <c r="AN3673" s="49"/>
      <c r="AP3673" s="49"/>
      <c r="AQ3673" s="49"/>
      <c r="AR3673" s="49"/>
      <c r="AS3673" s="49"/>
      <c r="AT3673" s="49"/>
    </row>
    <row r="3674">
      <c r="A3674" s="51"/>
      <c r="B3674" s="50" t="s">
        <v>4127</v>
      </c>
      <c r="C3674" s="50" t="s">
        <v>5148</v>
      </c>
      <c r="D3674" s="49"/>
      <c r="E3674" s="49"/>
      <c r="F3674" s="49"/>
      <c r="G3674" s="49"/>
      <c r="H3674" s="54" t="str">
        <f t="shared" si="1"/>
        <v>witnesses,</v>
      </c>
      <c r="I3674" s="50"/>
      <c r="J3674" s="50"/>
      <c r="K3674" s="50"/>
      <c r="L3674" s="50"/>
      <c r="M3674" s="50"/>
      <c r="N3674" s="50"/>
      <c r="O3674" s="49"/>
      <c r="P3674" s="49"/>
      <c r="Q3674" s="49"/>
      <c r="R3674" s="49"/>
      <c r="S3674" s="49"/>
      <c r="T3674" s="49"/>
      <c r="U3674" s="49"/>
      <c r="V3674" s="49"/>
      <c r="W3674" s="49"/>
      <c r="X3674" s="49"/>
      <c r="Y3674" s="49"/>
      <c r="Z3674" s="49"/>
      <c r="AB3674" s="49"/>
      <c r="AC3674" s="49"/>
      <c r="AD3674" s="49"/>
      <c r="AE3674" s="49"/>
      <c r="AF3674" s="49"/>
      <c r="AG3674" s="49"/>
      <c r="AH3674" s="49"/>
      <c r="AI3674" s="49"/>
      <c r="AJ3674" s="49"/>
      <c r="AK3674" s="49"/>
      <c r="AL3674" s="49"/>
      <c r="AM3674" s="49"/>
      <c r="AN3674" s="49"/>
      <c r="AP3674" s="49"/>
      <c r="AQ3674" s="49"/>
      <c r="AR3674" s="49"/>
      <c r="AS3674" s="49"/>
      <c r="AT3674" s="49"/>
    </row>
    <row r="3675">
      <c r="A3675" s="51"/>
      <c r="B3675" s="50" t="s">
        <v>5169</v>
      </c>
      <c r="C3675" s="50" t="s">
        <v>3897</v>
      </c>
      <c r="D3675" s="49"/>
      <c r="E3675" s="49"/>
      <c r="F3675" s="49"/>
      <c r="G3675" s="49"/>
      <c r="H3675" s="54" t="str">
        <f t="shared" si="1"/>
        <v>practiced,</v>
      </c>
      <c r="I3675" s="50"/>
      <c r="J3675" s="50"/>
      <c r="K3675" s="50"/>
      <c r="L3675" s="50"/>
      <c r="M3675" s="50"/>
      <c r="N3675" s="50"/>
      <c r="O3675" s="49"/>
      <c r="P3675" s="49"/>
      <c r="Q3675" s="49"/>
      <c r="R3675" s="49"/>
      <c r="S3675" s="49"/>
      <c r="T3675" s="49"/>
      <c r="U3675" s="49"/>
      <c r="V3675" s="49"/>
      <c r="W3675" s="49"/>
      <c r="X3675" s="49"/>
      <c r="Y3675" s="49"/>
      <c r="Z3675" s="49"/>
      <c r="AB3675" s="49"/>
      <c r="AC3675" s="49"/>
      <c r="AD3675" s="49"/>
      <c r="AE3675" s="49"/>
      <c r="AF3675" s="49"/>
      <c r="AG3675" s="49"/>
      <c r="AH3675" s="49"/>
      <c r="AI3675" s="49"/>
      <c r="AJ3675" s="49"/>
      <c r="AK3675" s="49"/>
      <c r="AL3675" s="49"/>
      <c r="AM3675" s="49"/>
      <c r="AN3675" s="49"/>
      <c r="AP3675" s="49"/>
      <c r="AQ3675" s="49"/>
      <c r="AR3675" s="49"/>
      <c r="AS3675" s="49"/>
      <c r="AT3675" s="49"/>
    </row>
    <row r="3676">
      <c r="A3676" s="51"/>
      <c r="B3676" s="50" t="s">
        <v>1548</v>
      </c>
      <c r="C3676" s="50" t="s">
        <v>7126</v>
      </c>
      <c r="D3676" s="49"/>
      <c r="E3676" s="49"/>
      <c r="F3676" s="49"/>
      <c r="G3676" s="49"/>
      <c r="H3676" s="54" t="str">
        <f t="shared" si="1"/>
        <v>meal,</v>
      </c>
      <c r="I3676" s="50"/>
      <c r="J3676" s="50"/>
      <c r="K3676" s="50"/>
      <c r="L3676" s="50"/>
      <c r="M3676" s="50"/>
      <c r="N3676" s="50"/>
      <c r="O3676" s="49"/>
      <c r="P3676" s="49"/>
      <c r="Q3676" s="49"/>
      <c r="R3676" s="49"/>
      <c r="S3676" s="49"/>
      <c r="T3676" s="49"/>
      <c r="U3676" s="49"/>
      <c r="V3676" s="49"/>
      <c r="W3676" s="49"/>
      <c r="X3676" s="49"/>
      <c r="Y3676" s="49"/>
      <c r="Z3676" s="49"/>
      <c r="AB3676" s="49"/>
      <c r="AC3676" s="49"/>
      <c r="AD3676" s="49"/>
      <c r="AE3676" s="49"/>
      <c r="AF3676" s="49"/>
      <c r="AG3676" s="49"/>
      <c r="AH3676" s="49"/>
      <c r="AI3676" s="49"/>
      <c r="AJ3676" s="49"/>
      <c r="AK3676" s="49"/>
      <c r="AL3676" s="49"/>
      <c r="AM3676" s="49"/>
      <c r="AN3676" s="49"/>
      <c r="AP3676" s="49"/>
      <c r="AQ3676" s="49"/>
      <c r="AR3676" s="49"/>
      <c r="AS3676" s="49"/>
      <c r="AT3676" s="49"/>
    </row>
    <row r="3677">
      <c r="A3677" s="51"/>
      <c r="B3677" s="50" t="s">
        <v>6753</v>
      </c>
      <c r="C3677" s="50" t="s">
        <v>1932</v>
      </c>
      <c r="D3677" s="49"/>
      <c r="E3677" s="49"/>
      <c r="F3677" s="49"/>
      <c r="G3677" s="49"/>
      <c r="H3677" s="54" t="str">
        <f t="shared" si="1"/>
        <v>receiving,</v>
      </c>
      <c r="I3677" s="50"/>
      <c r="J3677" s="50"/>
      <c r="K3677" s="50"/>
      <c r="L3677" s="50"/>
      <c r="M3677" s="50"/>
      <c r="N3677" s="50"/>
      <c r="O3677" s="49"/>
      <c r="P3677" s="49"/>
      <c r="Q3677" s="49"/>
      <c r="R3677" s="49"/>
      <c r="S3677" s="49"/>
      <c r="T3677" s="49"/>
      <c r="U3677" s="49"/>
      <c r="V3677" s="49"/>
      <c r="W3677" s="49"/>
      <c r="X3677" s="49"/>
      <c r="Y3677" s="49"/>
      <c r="Z3677" s="49"/>
      <c r="AB3677" s="49"/>
      <c r="AC3677" s="49"/>
      <c r="AD3677" s="49"/>
      <c r="AE3677" s="49"/>
      <c r="AF3677" s="49"/>
      <c r="AG3677" s="49"/>
      <c r="AH3677" s="49"/>
      <c r="AI3677" s="49"/>
      <c r="AJ3677" s="49"/>
      <c r="AK3677" s="49"/>
      <c r="AL3677" s="49"/>
      <c r="AM3677" s="49"/>
      <c r="AN3677" s="49"/>
      <c r="AP3677" s="49"/>
      <c r="AQ3677" s="49"/>
      <c r="AR3677" s="49"/>
      <c r="AS3677" s="49"/>
      <c r="AT3677" s="49"/>
    </row>
    <row r="3678">
      <c r="A3678" s="51"/>
      <c r="B3678" s="50" t="s">
        <v>1481</v>
      </c>
      <c r="C3678" s="50" t="s">
        <v>4792</v>
      </c>
      <c r="D3678" s="49"/>
      <c r="E3678" s="49"/>
      <c r="F3678" s="49"/>
      <c r="G3678" s="49"/>
      <c r="H3678" s="54" t="str">
        <f t="shared" si="1"/>
        <v>fires,</v>
      </c>
      <c r="I3678" s="50"/>
      <c r="J3678" s="50"/>
      <c r="K3678" s="50"/>
      <c r="L3678" s="50"/>
      <c r="M3678" s="50"/>
      <c r="N3678" s="50"/>
      <c r="O3678" s="49"/>
      <c r="P3678" s="49"/>
      <c r="Q3678" s="49"/>
      <c r="R3678" s="49"/>
      <c r="S3678" s="49"/>
      <c r="T3678" s="49"/>
      <c r="U3678" s="49"/>
      <c r="V3678" s="49"/>
      <c r="W3678" s="49"/>
      <c r="X3678" s="49"/>
      <c r="Y3678" s="49"/>
      <c r="Z3678" s="49"/>
      <c r="AB3678" s="49"/>
      <c r="AC3678" s="49"/>
      <c r="AD3678" s="49"/>
      <c r="AE3678" s="49"/>
      <c r="AF3678" s="49"/>
      <c r="AG3678" s="49"/>
      <c r="AH3678" s="49"/>
      <c r="AI3678" s="49"/>
      <c r="AJ3678" s="49"/>
      <c r="AK3678" s="49"/>
      <c r="AL3678" s="49"/>
      <c r="AM3678" s="49"/>
      <c r="AN3678" s="49"/>
      <c r="AP3678" s="49"/>
      <c r="AQ3678" s="49"/>
      <c r="AR3678" s="49"/>
      <c r="AS3678" s="49"/>
      <c r="AT3678" s="49"/>
    </row>
    <row r="3679">
      <c r="A3679" s="51"/>
      <c r="B3679" s="50" t="s">
        <v>7555</v>
      </c>
      <c r="C3679" s="50" t="s">
        <v>6970</v>
      </c>
      <c r="D3679" s="49"/>
      <c r="E3679" s="49"/>
      <c r="F3679" s="49"/>
      <c r="G3679" s="49"/>
      <c r="H3679" s="54" t="str">
        <f t="shared" si="1"/>
        <v>mo,</v>
      </c>
      <c r="I3679" s="50"/>
      <c r="J3679" s="50"/>
      <c r="K3679" s="50"/>
      <c r="L3679" s="50"/>
      <c r="M3679" s="50"/>
      <c r="N3679" s="50"/>
      <c r="O3679" s="49"/>
      <c r="P3679" s="49"/>
      <c r="Q3679" s="49"/>
      <c r="R3679" s="49"/>
      <c r="S3679" s="49"/>
      <c r="T3679" s="49"/>
      <c r="U3679" s="49"/>
      <c r="V3679" s="49"/>
      <c r="W3679" s="49"/>
      <c r="X3679" s="49"/>
      <c r="Y3679" s="49"/>
      <c r="Z3679" s="49"/>
      <c r="AB3679" s="49"/>
      <c r="AC3679" s="49"/>
      <c r="AD3679" s="49"/>
      <c r="AE3679" s="49"/>
      <c r="AF3679" s="49"/>
      <c r="AG3679" s="49"/>
      <c r="AH3679" s="49"/>
      <c r="AI3679" s="49"/>
      <c r="AJ3679" s="49"/>
      <c r="AK3679" s="49"/>
      <c r="AL3679" s="49"/>
      <c r="AM3679" s="49"/>
      <c r="AN3679" s="49"/>
      <c r="AP3679" s="49"/>
      <c r="AQ3679" s="49"/>
      <c r="AR3679" s="49"/>
      <c r="AS3679" s="49"/>
      <c r="AT3679" s="49"/>
    </row>
    <row r="3680">
      <c r="A3680" s="51"/>
      <c r="B3680" s="50" t="s">
        <v>5441</v>
      </c>
      <c r="C3680" s="50" t="s">
        <v>6971</v>
      </c>
      <c r="D3680" s="49"/>
      <c r="E3680" s="49"/>
      <c r="F3680" s="49"/>
      <c r="G3680" s="49"/>
      <c r="H3680" s="54" t="str">
        <f t="shared" si="1"/>
        <v>hiding,</v>
      </c>
      <c r="I3680" s="50"/>
      <c r="J3680" s="50"/>
      <c r="K3680" s="50"/>
      <c r="L3680" s="50"/>
      <c r="M3680" s="50"/>
      <c r="N3680" s="50"/>
      <c r="O3680" s="49"/>
      <c r="P3680" s="49"/>
      <c r="Q3680" s="49"/>
      <c r="R3680" s="49"/>
      <c r="S3680" s="49"/>
      <c r="T3680" s="49"/>
      <c r="U3680" s="49"/>
      <c r="V3680" s="49"/>
      <c r="W3680" s="49"/>
      <c r="X3680" s="49"/>
      <c r="Y3680" s="49"/>
      <c r="Z3680" s="49"/>
      <c r="AB3680" s="49"/>
      <c r="AC3680" s="49"/>
      <c r="AD3680" s="49"/>
      <c r="AE3680" s="49"/>
      <c r="AF3680" s="49"/>
      <c r="AG3680" s="49"/>
      <c r="AH3680" s="49"/>
      <c r="AI3680" s="49"/>
      <c r="AJ3680" s="49"/>
      <c r="AK3680" s="49"/>
      <c r="AL3680" s="49"/>
      <c r="AM3680" s="49"/>
      <c r="AN3680" s="49"/>
      <c r="AP3680" s="49"/>
      <c r="AQ3680" s="49"/>
      <c r="AR3680" s="49"/>
      <c r="AS3680" s="49"/>
      <c r="AT3680" s="49"/>
    </row>
    <row r="3681">
      <c r="A3681" s="51"/>
      <c r="B3681" s="50" t="s">
        <v>4656</v>
      </c>
      <c r="C3681" s="50" t="s">
        <v>5709</v>
      </c>
      <c r="D3681" s="49"/>
      <c r="E3681" s="49"/>
      <c r="F3681" s="49"/>
      <c r="G3681" s="49"/>
      <c r="H3681" s="54" t="str">
        <f t="shared" si="1"/>
        <v>crosses,</v>
      </c>
      <c r="I3681" s="50"/>
      <c r="J3681" s="50"/>
      <c r="K3681" s="50"/>
      <c r="L3681" s="50"/>
      <c r="M3681" s="50"/>
      <c r="N3681" s="50"/>
      <c r="O3681" s="49"/>
      <c r="P3681" s="49"/>
      <c r="Q3681" s="49"/>
      <c r="R3681" s="49"/>
      <c r="S3681" s="49"/>
      <c r="T3681" s="49"/>
      <c r="U3681" s="49"/>
      <c r="V3681" s="49"/>
      <c r="W3681" s="49"/>
      <c r="X3681" s="49"/>
      <c r="Y3681" s="49"/>
      <c r="Z3681" s="49"/>
      <c r="AB3681" s="49"/>
      <c r="AC3681" s="49"/>
      <c r="AD3681" s="49"/>
      <c r="AE3681" s="49"/>
      <c r="AF3681" s="49"/>
      <c r="AG3681" s="49"/>
      <c r="AH3681" s="49"/>
      <c r="AI3681" s="49"/>
      <c r="AJ3681" s="49"/>
      <c r="AK3681" s="49"/>
      <c r="AL3681" s="49"/>
      <c r="AM3681" s="49"/>
      <c r="AN3681" s="49"/>
      <c r="AP3681" s="49"/>
      <c r="AQ3681" s="49"/>
      <c r="AR3681" s="49"/>
      <c r="AS3681" s="49"/>
      <c r="AT3681" s="49"/>
    </row>
    <row r="3682">
      <c r="A3682" s="51"/>
      <c r="B3682" s="50" t="s">
        <v>3251</v>
      </c>
      <c r="C3682" s="50" t="s">
        <v>5838</v>
      </c>
      <c r="D3682" s="49"/>
      <c r="E3682" s="49"/>
      <c r="F3682" s="49"/>
      <c r="G3682" s="49"/>
      <c r="H3682" s="54" t="str">
        <f t="shared" si="1"/>
        <v>ate,</v>
      </c>
      <c r="I3682" s="50"/>
      <c r="J3682" s="50"/>
      <c r="K3682" s="50"/>
      <c r="L3682" s="50"/>
      <c r="M3682" s="50"/>
      <c r="N3682" s="50"/>
      <c r="O3682" s="49"/>
      <c r="P3682" s="49"/>
      <c r="Q3682" s="49"/>
      <c r="R3682" s="49"/>
      <c r="S3682" s="49"/>
      <c r="T3682" s="49"/>
      <c r="U3682" s="49"/>
      <c r="V3682" s="49"/>
      <c r="W3682" s="49"/>
      <c r="X3682" s="49"/>
      <c r="Y3682" s="49"/>
      <c r="Z3682" s="49"/>
      <c r="AB3682" s="49"/>
      <c r="AC3682" s="49"/>
      <c r="AD3682" s="49"/>
      <c r="AE3682" s="49"/>
      <c r="AF3682" s="49"/>
      <c r="AG3682" s="49"/>
      <c r="AH3682" s="49"/>
      <c r="AI3682" s="49"/>
      <c r="AJ3682" s="49"/>
      <c r="AK3682" s="49"/>
      <c r="AL3682" s="49"/>
      <c r="AM3682" s="49"/>
      <c r="AN3682" s="49"/>
      <c r="AP3682" s="49"/>
      <c r="AQ3682" s="49"/>
      <c r="AR3682" s="49"/>
      <c r="AS3682" s="49"/>
      <c r="AT3682" s="49"/>
    </row>
    <row r="3683">
      <c r="A3683" s="51"/>
      <c r="B3683" s="50" t="s">
        <v>6730</v>
      </c>
      <c r="C3683" s="50" t="s">
        <v>4796</v>
      </c>
      <c r="D3683" s="49"/>
      <c r="E3683" s="49"/>
      <c r="F3683" s="49"/>
      <c r="G3683" s="49"/>
      <c r="H3683" s="54" t="str">
        <f t="shared" si="1"/>
        <v>prevent,</v>
      </c>
      <c r="I3683" s="50"/>
      <c r="J3683" s="50"/>
      <c r="K3683" s="50"/>
      <c r="L3683" s="50"/>
      <c r="M3683" s="50"/>
      <c r="N3683" s="50"/>
      <c r="O3683" s="49"/>
      <c r="P3683" s="49"/>
      <c r="Q3683" s="49"/>
      <c r="R3683" s="49"/>
      <c r="S3683" s="49"/>
      <c r="T3683" s="49"/>
      <c r="U3683" s="49"/>
      <c r="V3683" s="49"/>
      <c r="W3683" s="49"/>
      <c r="X3683" s="49"/>
      <c r="Y3683" s="49"/>
      <c r="Z3683" s="49"/>
      <c r="AB3683" s="49"/>
      <c r="AC3683" s="49"/>
      <c r="AD3683" s="49"/>
      <c r="AE3683" s="49"/>
      <c r="AF3683" s="49"/>
      <c r="AG3683" s="49"/>
      <c r="AH3683" s="49"/>
      <c r="AI3683" s="49"/>
      <c r="AJ3683" s="49"/>
      <c r="AK3683" s="49"/>
      <c r="AL3683" s="49"/>
      <c r="AM3683" s="49"/>
      <c r="AN3683" s="49"/>
      <c r="AP3683" s="49"/>
      <c r="AQ3683" s="49"/>
      <c r="AR3683" s="49"/>
      <c r="AS3683" s="49"/>
      <c r="AT3683" s="49"/>
    </row>
    <row r="3684">
      <c r="A3684" s="51"/>
      <c r="B3684" s="50" t="s">
        <v>7134</v>
      </c>
      <c r="C3684" s="50" t="s">
        <v>3904</v>
      </c>
      <c r="D3684" s="49"/>
      <c r="E3684" s="49"/>
      <c r="F3684" s="49"/>
      <c r="G3684" s="49"/>
      <c r="H3684" s="54" t="str">
        <f t="shared" si="1"/>
        <v>delay,</v>
      </c>
      <c r="I3684" s="50"/>
      <c r="J3684" s="50"/>
      <c r="K3684" s="50"/>
      <c r="L3684" s="50"/>
      <c r="M3684" s="50"/>
      <c r="N3684" s="50"/>
      <c r="O3684" s="49"/>
      <c r="P3684" s="49"/>
      <c r="Q3684" s="49"/>
      <c r="R3684" s="49"/>
      <c r="S3684" s="49"/>
      <c r="T3684" s="49"/>
      <c r="U3684" s="49"/>
      <c r="V3684" s="49"/>
      <c r="W3684" s="49"/>
      <c r="X3684" s="49"/>
      <c r="Y3684" s="49"/>
      <c r="Z3684" s="49"/>
      <c r="AB3684" s="49"/>
      <c r="AC3684" s="49"/>
      <c r="AD3684" s="49"/>
      <c r="AE3684" s="49"/>
      <c r="AF3684" s="49"/>
      <c r="AG3684" s="49"/>
      <c r="AH3684" s="49"/>
      <c r="AI3684" s="49"/>
      <c r="AJ3684" s="49"/>
      <c r="AK3684" s="49"/>
      <c r="AL3684" s="49"/>
      <c r="AM3684" s="49"/>
      <c r="AN3684" s="49"/>
      <c r="AP3684" s="49"/>
      <c r="AQ3684" s="49"/>
      <c r="AR3684" s="49"/>
      <c r="AS3684" s="49"/>
      <c r="AT3684" s="49"/>
    </row>
    <row r="3685">
      <c r="A3685" s="51"/>
      <c r="B3685" s="50" t="s">
        <v>4426</v>
      </c>
      <c r="C3685" s="50" t="s">
        <v>6974</v>
      </c>
      <c r="D3685" s="49"/>
      <c r="E3685" s="49"/>
      <c r="F3685" s="49"/>
      <c r="G3685" s="49"/>
      <c r="H3685" s="54" t="str">
        <f t="shared" si="1"/>
        <v>gravity,</v>
      </c>
      <c r="I3685" s="50"/>
      <c r="J3685" s="50"/>
      <c r="K3685" s="50"/>
      <c r="L3685" s="50"/>
      <c r="M3685" s="50"/>
      <c r="N3685" s="50"/>
      <c r="O3685" s="49"/>
      <c r="P3685" s="49"/>
      <c r="Q3685" s="49"/>
      <c r="R3685" s="49"/>
      <c r="S3685" s="49"/>
      <c r="T3685" s="49"/>
      <c r="U3685" s="49"/>
      <c r="V3685" s="49"/>
      <c r="W3685" s="49"/>
      <c r="X3685" s="49"/>
      <c r="Y3685" s="49"/>
      <c r="Z3685" s="49"/>
      <c r="AB3685" s="49"/>
      <c r="AC3685" s="49"/>
      <c r="AD3685" s="49"/>
      <c r="AE3685" s="49"/>
      <c r="AF3685" s="49"/>
      <c r="AG3685" s="49"/>
      <c r="AH3685" s="49"/>
      <c r="AI3685" s="49"/>
      <c r="AJ3685" s="49"/>
      <c r="AK3685" s="49"/>
      <c r="AL3685" s="49"/>
      <c r="AM3685" s="49"/>
      <c r="AN3685" s="49"/>
      <c r="AP3685" s="49"/>
      <c r="AQ3685" s="49"/>
      <c r="AR3685" s="49"/>
      <c r="AS3685" s="49"/>
      <c r="AT3685" s="49"/>
    </row>
    <row r="3686">
      <c r="A3686" s="51"/>
      <c r="B3686" s="50" t="s">
        <v>6970</v>
      </c>
      <c r="C3686" s="50" t="s">
        <v>6975</v>
      </c>
      <c r="D3686" s="49"/>
      <c r="E3686" s="49"/>
      <c r="F3686" s="49"/>
      <c r="G3686" s="49"/>
      <c r="H3686" s="54" t="str">
        <f t="shared" si="1"/>
        <v>ordered,</v>
      </c>
      <c r="I3686" s="50"/>
      <c r="J3686" s="50"/>
      <c r="K3686" s="50"/>
      <c r="L3686" s="50"/>
      <c r="M3686" s="50"/>
      <c r="N3686" s="50"/>
      <c r="O3686" s="49"/>
      <c r="P3686" s="49"/>
      <c r="Q3686" s="49"/>
      <c r="R3686" s="49"/>
      <c r="S3686" s="49"/>
      <c r="T3686" s="49"/>
      <c r="U3686" s="49"/>
      <c r="V3686" s="49"/>
      <c r="W3686" s="49"/>
      <c r="X3686" s="49"/>
      <c r="Y3686" s="49"/>
      <c r="Z3686" s="49"/>
      <c r="AB3686" s="49"/>
      <c r="AC3686" s="49"/>
      <c r="AD3686" s="49"/>
      <c r="AE3686" s="49"/>
      <c r="AF3686" s="49"/>
      <c r="AG3686" s="49"/>
      <c r="AH3686" s="49"/>
      <c r="AI3686" s="49"/>
      <c r="AJ3686" s="49"/>
      <c r="AK3686" s="49"/>
      <c r="AL3686" s="49"/>
      <c r="AM3686" s="49"/>
      <c r="AN3686" s="49"/>
      <c r="AP3686" s="49"/>
      <c r="AQ3686" s="49"/>
      <c r="AR3686" s="49"/>
      <c r="AS3686" s="49"/>
      <c r="AT3686" s="49"/>
    </row>
    <row r="3687">
      <c r="A3687" s="51"/>
      <c r="B3687" s="50" t="s">
        <v>5331</v>
      </c>
      <c r="C3687" s="50" t="s">
        <v>3025</v>
      </c>
      <c r="D3687" s="49"/>
      <c r="E3687" s="49"/>
      <c r="F3687" s="49"/>
      <c r="G3687" s="49"/>
      <c r="H3687" s="54" t="str">
        <f t="shared" si="1"/>
        <v>tactics,</v>
      </c>
      <c r="I3687" s="50"/>
      <c r="J3687" s="50"/>
      <c r="K3687" s="50"/>
      <c r="L3687" s="50"/>
      <c r="M3687" s="50"/>
      <c r="N3687" s="50"/>
      <c r="O3687" s="49"/>
      <c r="P3687" s="49"/>
      <c r="Q3687" s="49"/>
      <c r="R3687" s="49"/>
      <c r="S3687" s="49"/>
      <c r="T3687" s="49"/>
      <c r="U3687" s="49"/>
      <c r="V3687" s="49"/>
      <c r="W3687" s="49"/>
      <c r="X3687" s="49"/>
      <c r="Y3687" s="49"/>
      <c r="Z3687" s="49"/>
      <c r="AB3687" s="49"/>
      <c r="AC3687" s="49"/>
      <c r="AD3687" s="49"/>
      <c r="AE3687" s="49"/>
      <c r="AF3687" s="49"/>
      <c r="AG3687" s="49"/>
      <c r="AH3687" s="49"/>
      <c r="AI3687" s="49"/>
      <c r="AJ3687" s="49"/>
      <c r="AK3687" s="49"/>
      <c r="AL3687" s="49"/>
      <c r="AM3687" s="49"/>
      <c r="AN3687" s="49"/>
      <c r="AP3687" s="49"/>
      <c r="AQ3687" s="49"/>
      <c r="AR3687" s="49"/>
      <c r="AS3687" s="49"/>
      <c r="AT3687" s="49"/>
    </row>
    <row r="3688">
      <c r="A3688" s="51"/>
      <c r="B3688" s="50" t="s">
        <v>3682</v>
      </c>
      <c r="C3688" s="50" t="s">
        <v>5285</v>
      </c>
      <c r="D3688" s="49"/>
      <c r="E3688" s="49"/>
      <c r="F3688" s="49"/>
      <c r="G3688" s="49"/>
      <c r="H3688" s="54" t="str">
        <f t="shared" si="1"/>
        <v>waters,</v>
      </c>
      <c r="I3688" s="50"/>
      <c r="J3688" s="50"/>
      <c r="K3688" s="50"/>
      <c r="L3688" s="50"/>
      <c r="M3688" s="50"/>
      <c r="N3688" s="50"/>
      <c r="O3688" s="49"/>
      <c r="P3688" s="49"/>
      <c r="Q3688" s="49"/>
      <c r="R3688" s="49"/>
      <c r="S3688" s="49"/>
      <c r="T3688" s="49"/>
      <c r="U3688" s="49"/>
      <c r="V3688" s="49"/>
      <c r="W3688" s="49"/>
      <c r="X3688" s="49"/>
      <c r="Y3688" s="49"/>
      <c r="Z3688" s="49"/>
      <c r="AB3688" s="49"/>
      <c r="AC3688" s="49"/>
      <c r="AD3688" s="49"/>
      <c r="AE3688" s="49"/>
      <c r="AF3688" s="49"/>
      <c r="AG3688" s="49"/>
      <c r="AH3688" s="49"/>
      <c r="AI3688" s="49"/>
      <c r="AJ3688" s="49"/>
      <c r="AK3688" s="49"/>
      <c r="AL3688" s="49"/>
      <c r="AM3688" s="49"/>
      <c r="AN3688" s="49"/>
      <c r="AP3688" s="49"/>
      <c r="AQ3688" s="49"/>
      <c r="AR3688" s="49"/>
      <c r="AS3688" s="49"/>
      <c r="AT3688" s="49"/>
    </row>
    <row r="3689">
      <c r="A3689" s="51"/>
      <c r="B3689" s="50" t="s">
        <v>3736</v>
      </c>
      <c r="C3689" s="50" t="s">
        <v>3028</v>
      </c>
      <c r="D3689" s="49"/>
      <c r="E3689" s="49"/>
      <c r="F3689" s="49"/>
      <c r="G3689" s="49"/>
      <c r="H3689" s="54" t="str">
        <f t="shared" si="1"/>
        <v>loyal,</v>
      </c>
      <c r="I3689" s="50"/>
      <c r="J3689" s="50"/>
      <c r="K3689" s="50"/>
      <c r="L3689" s="50"/>
      <c r="M3689" s="50"/>
      <c r="N3689" s="50"/>
      <c r="O3689" s="49"/>
      <c r="P3689" s="49"/>
      <c r="Q3689" s="49"/>
      <c r="R3689" s="49"/>
      <c r="S3689" s="49"/>
      <c r="T3689" s="49"/>
      <c r="U3689" s="49"/>
      <c r="V3689" s="49"/>
      <c r="W3689" s="49"/>
      <c r="X3689" s="49"/>
      <c r="Y3689" s="49"/>
      <c r="Z3689" s="49"/>
      <c r="AB3689" s="49"/>
      <c r="AC3689" s="49"/>
      <c r="AD3689" s="49"/>
      <c r="AE3689" s="49"/>
      <c r="AF3689" s="49"/>
      <c r="AG3689" s="49"/>
      <c r="AH3689" s="49"/>
      <c r="AI3689" s="49"/>
      <c r="AJ3689" s="49"/>
      <c r="AK3689" s="49"/>
      <c r="AL3689" s="49"/>
      <c r="AM3689" s="49"/>
      <c r="AN3689" s="49"/>
      <c r="AP3689" s="49"/>
      <c r="AQ3689" s="49"/>
      <c r="AR3689" s="49"/>
      <c r="AS3689" s="49"/>
      <c r="AT3689" s="49"/>
    </row>
    <row r="3690">
      <c r="A3690" s="51"/>
      <c r="B3690" s="50" t="s">
        <v>7559</v>
      </c>
      <c r="C3690" s="50" t="s">
        <v>4809</v>
      </c>
      <c r="D3690" s="49"/>
      <c r="E3690" s="49"/>
      <c r="F3690" s="49"/>
      <c r="G3690" s="49"/>
      <c r="H3690" s="54" t="str">
        <f t="shared" si="1"/>
        <v>supreme,</v>
      </c>
      <c r="I3690" s="50"/>
      <c r="J3690" s="50"/>
      <c r="K3690" s="50"/>
      <c r="L3690" s="50"/>
      <c r="M3690" s="50"/>
      <c r="N3690" s="50"/>
      <c r="O3690" s="49"/>
      <c r="P3690" s="49"/>
      <c r="Q3690" s="49"/>
      <c r="R3690" s="49"/>
      <c r="S3690" s="49"/>
      <c r="T3690" s="49"/>
      <c r="U3690" s="49"/>
      <c r="V3690" s="49"/>
      <c r="W3690" s="49"/>
      <c r="X3690" s="49"/>
      <c r="Y3690" s="49"/>
      <c r="Z3690" s="49"/>
      <c r="AB3690" s="49"/>
      <c r="AC3690" s="49"/>
      <c r="AD3690" s="49"/>
      <c r="AE3690" s="49"/>
      <c r="AF3690" s="49"/>
      <c r="AG3690" s="49"/>
      <c r="AH3690" s="49"/>
      <c r="AI3690" s="49"/>
      <c r="AJ3690" s="49"/>
      <c r="AK3690" s="49"/>
      <c r="AL3690" s="49"/>
      <c r="AM3690" s="49"/>
      <c r="AN3690" s="49"/>
      <c r="AP3690" s="49"/>
      <c r="AQ3690" s="49"/>
      <c r="AR3690" s="49"/>
      <c r="AS3690" s="49"/>
      <c r="AT3690" s="49"/>
    </row>
    <row r="3691">
      <c r="A3691" s="51"/>
      <c r="B3691" s="50" t="s">
        <v>3594</v>
      </c>
      <c r="C3691" s="50" t="s">
        <v>6976</v>
      </c>
      <c r="D3691" s="49"/>
      <c r="E3691" s="49"/>
      <c r="F3691" s="49"/>
      <c r="G3691" s="49"/>
      <c r="H3691" s="54" t="str">
        <f t="shared" si="1"/>
        <v>liberal,</v>
      </c>
      <c r="I3691" s="50"/>
      <c r="J3691" s="50"/>
      <c r="K3691" s="50"/>
      <c r="L3691" s="50"/>
      <c r="M3691" s="50"/>
      <c r="N3691" s="50"/>
      <c r="O3691" s="49"/>
      <c r="P3691" s="49"/>
      <c r="Q3691" s="49"/>
      <c r="R3691" s="49"/>
      <c r="S3691" s="49"/>
      <c r="T3691" s="49"/>
      <c r="U3691" s="49"/>
      <c r="V3691" s="49"/>
      <c r="W3691" s="49"/>
      <c r="X3691" s="49"/>
      <c r="Y3691" s="49"/>
      <c r="Z3691" s="49"/>
      <c r="AB3691" s="49"/>
      <c r="AC3691" s="49"/>
      <c r="AD3691" s="49"/>
      <c r="AE3691" s="49"/>
      <c r="AF3691" s="49"/>
      <c r="AG3691" s="49"/>
      <c r="AH3691" s="49"/>
      <c r="AI3691" s="49"/>
      <c r="AJ3691" s="49"/>
      <c r="AK3691" s="49"/>
      <c r="AL3691" s="49"/>
      <c r="AM3691" s="49"/>
      <c r="AN3691" s="49"/>
      <c r="AP3691" s="49"/>
      <c r="AQ3691" s="49"/>
      <c r="AR3691" s="49"/>
      <c r="AS3691" s="49"/>
      <c r="AT3691" s="49"/>
    </row>
    <row r="3692">
      <c r="A3692" s="51"/>
      <c r="B3692" s="50" t="s">
        <v>2395</v>
      </c>
      <c r="C3692" s="50" t="s">
        <v>5619</v>
      </c>
      <c r="D3692" s="49"/>
      <c r="E3692" s="49"/>
      <c r="F3692" s="49"/>
      <c r="G3692" s="49"/>
      <c r="H3692" s="54" t="str">
        <f t="shared" si="1"/>
        <v>democracy,</v>
      </c>
      <c r="I3692" s="50"/>
      <c r="J3692" s="50"/>
      <c r="K3692" s="50"/>
      <c r="L3692" s="50"/>
      <c r="M3692" s="50"/>
      <c r="N3692" s="50"/>
      <c r="O3692" s="49"/>
      <c r="P3692" s="49"/>
      <c r="Q3692" s="49"/>
      <c r="R3692" s="49"/>
      <c r="S3692" s="49"/>
      <c r="T3692" s="49"/>
      <c r="U3692" s="49"/>
      <c r="V3692" s="49"/>
      <c r="W3692" s="49"/>
      <c r="X3692" s="49"/>
      <c r="Y3692" s="49"/>
      <c r="Z3692" s="49"/>
      <c r="AB3692" s="49"/>
      <c r="AC3692" s="49"/>
      <c r="AD3692" s="49"/>
      <c r="AE3692" s="49"/>
      <c r="AF3692" s="49"/>
      <c r="AG3692" s="49"/>
      <c r="AH3692" s="49"/>
      <c r="AI3692" s="49"/>
      <c r="AJ3692" s="49"/>
      <c r="AK3692" s="49"/>
      <c r="AL3692" s="49"/>
      <c r="AM3692" s="49"/>
      <c r="AN3692" s="49"/>
      <c r="AP3692" s="49"/>
      <c r="AQ3692" s="49"/>
      <c r="AR3692" s="49"/>
      <c r="AS3692" s="49"/>
      <c r="AT3692" s="49"/>
    </row>
    <row r="3693">
      <c r="A3693" s="51"/>
      <c r="B3693" s="50" t="s">
        <v>3568</v>
      </c>
      <c r="C3693" s="50" t="s">
        <v>5959</v>
      </c>
      <c r="D3693" s="49"/>
      <c r="E3693" s="49"/>
      <c r="F3693" s="49"/>
      <c r="G3693" s="49"/>
      <c r="H3693" s="54" t="str">
        <f t="shared" si="1"/>
        <v>collective,</v>
      </c>
      <c r="I3693" s="50"/>
      <c r="J3693" s="50"/>
      <c r="K3693" s="50"/>
      <c r="L3693" s="50"/>
      <c r="M3693" s="50"/>
      <c r="N3693" s="50"/>
      <c r="O3693" s="49"/>
      <c r="P3693" s="49"/>
      <c r="Q3693" s="49"/>
      <c r="R3693" s="49"/>
      <c r="S3693" s="49"/>
      <c r="T3693" s="49"/>
      <c r="U3693" s="49"/>
      <c r="V3693" s="49"/>
      <c r="W3693" s="49"/>
      <c r="X3693" s="49"/>
      <c r="Y3693" s="49"/>
      <c r="Z3693" s="49"/>
      <c r="AB3693" s="49"/>
      <c r="AC3693" s="49"/>
      <c r="AD3693" s="49"/>
      <c r="AE3693" s="49"/>
      <c r="AF3693" s="49"/>
      <c r="AG3693" s="49"/>
      <c r="AH3693" s="49"/>
      <c r="AI3693" s="49"/>
      <c r="AJ3693" s="49"/>
      <c r="AK3693" s="49"/>
      <c r="AL3693" s="49"/>
      <c r="AM3693" s="49"/>
      <c r="AN3693" s="49"/>
      <c r="AP3693" s="49"/>
      <c r="AQ3693" s="49"/>
      <c r="AR3693" s="49"/>
      <c r="AS3693" s="49"/>
      <c r="AT3693" s="49"/>
    </row>
    <row r="3694">
      <c r="A3694" s="51"/>
      <c r="B3694" s="50" t="s">
        <v>6620</v>
      </c>
      <c r="C3694" s="50" t="s">
        <v>3907</v>
      </c>
      <c r="D3694" s="49"/>
      <c r="E3694" s="49"/>
      <c r="F3694" s="49"/>
      <c r="G3694" s="49"/>
      <c r="H3694" s="54" t="str">
        <f t="shared" si="1"/>
        <v>diego,</v>
      </c>
      <c r="I3694" s="50"/>
      <c r="J3694" s="50"/>
      <c r="K3694" s="50"/>
      <c r="L3694" s="50"/>
      <c r="M3694" s="50"/>
      <c r="N3694" s="50"/>
      <c r="O3694" s="49"/>
      <c r="P3694" s="49"/>
      <c r="Q3694" s="49"/>
      <c r="R3694" s="49"/>
      <c r="S3694" s="49"/>
      <c r="T3694" s="49"/>
      <c r="U3694" s="49"/>
      <c r="V3694" s="49"/>
      <c r="W3694" s="49"/>
      <c r="X3694" s="49"/>
      <c r="Y3694" s="49"/>
      <c r="Z3694" s="49"/>
      <c r="AB3694" s="49"/>
      <c r="AC3694" s="49"/>
      <c r="AD3694" s="49"/>
      <c r="AE3694" s="49"/>
      <c r="AF3694" s="49"/>
      <c r="AG3694" s="49"/>
      <c r="AH3694" s="49"/>
      <c r="AI3694" s="49"/>
      <c r="AJ3694" s="49"/>
      <c r="AK3694" s="49"/>
      <c r="AL3694" s="49"/>
      <c r="AM3694" s="49"/>
      <c r="AN3694" s="49"/>
      <c r="AP3694" s="49"/>
      <c r="AQ3694" s="49"/>
      <c r="AR3694" s="49"/>
      <c r="AS3694" s="49"/>
      <c r="AT3694" s="49"/>
    </row>
    <row r="3695">
      <c r="A3695" s="51"/>
      <c r="B3695" s="50" t="s">
        <v>6926</v>
      </c>
      <c r="C3695" s="50" t="s">
        <v>1625</v>
      </c>
      <c r="D3695" s="49"/>
      <c r="E3695" s="49"/>
      <c r="F3695" s="49"/>
      <c r="G3695" s="49"/>
      <c r="H3695" s="54" t="str">
        <f t="shared" si="1"/>
        <v>participate,</v>
      </c>
      <c r="I3695" s="50"/>
      <c r="J3695" s="50"/>
      <c r="K3695" s="50"/>
      <c r="L3695" s="50"/>
      <c r="M3695" s="50"/>
      <c r="N3695" s="50"/>
      <c r="O3695" s="49"/>
      <c r="P3695" s="49"/>
      <c r="Q3695" s="49"/>
      <c r="R3695" s="49"/>
      <c r="S3695" s="49"/>
      <c r="T3695" s="49"/>
      <c r="U3695" s="49"/>
      <c r="V3695" s="49"/>
      <c r="W3695" s="49"/>
      <c r="X3695" s="49"/>
      <c r="Y3695" s="49"/>
      <c r="Z3695" s="49"/>
      <c r="AB3695" s="49"/>
      <c r="AC3695" s="49"/>
      <c r="AD3695" s="49"/>
      <c r="AE3695" s="49"/>
      <c r="AF3695" s="49"/>
      <c r="AG3695" s="49"/>
      <c r="AH3695" s="49"/>
      <c r="AI3695" s="49"/>
      <c r="AJ3695" s="49"/>
      <c r="AK3695" s="49"/>
      <c r="AL3695" s="49"/>
      <c r="AM3695" s="49"/>
      <c r="AN3695" s="49"/>
      <c r="AP3695" s="49"/>
      <c r="AQ3695" s="49"/>
      <c r="AR3695" s="49"/>
      <c r="AS3695" s="49"/>
      <c r="AT3695" s="49"/>
    </row>
    <row r="3696">
      <c r="A3696" s="51"/>
      <c r="B3696" s="50" t="s">
        <v>832</v>
      </c>
      <c r="C3696" s="50" t="s">
        <v>5201</v>
      </c>
      <c r="D3696" s="49"/>
      <c r="E3696" s="49"/>
      <c r="F3696" s="49"/>
      <c r="G3696" s="49"/>
      <c r="H3696" s="54" t="str">
        <f t="shared" si="1"/>
        <v>laboratory,</v>
      </c>
      <c r="I3696" s="50"/>
      <c r="J3696" s="50"/>
      <c r="K3696" s="50"/>
      <c r="L3696" s="50"/>
      <c r="M3696" s="50"/>
      <c r="N3696" s="50"/>
      <c r="O3696" s="49"/>
      <c r="P3696" s="49"/>
      <c r="Q3696" s="49"/>
      <c r="R3696" s="49"/>
      <c r="S3696" s="49"/>
      <c r="T3696" s="49"/>
      <c r="U3696" s="49"/>
      <c r="V3696" s="49"/>
      <c r="W3696" s="49"/>
      <c r="X3696" s="49"/>
      <c r="Y3696" s="49"/>
      <c r="Z3696" s="49"/>
      <c r="AB3696" s="49"/>
      <c r="AC3696" s="49"/>
      <c r="AD3696" s="49"/>
      <c r="AE3696" s="49"/>
      <c r="AF3696" s="49"/>
      <c r="AG3696" s="49"/>
      <c r="AH3696" s="49"/>
      <c r="AI3696" s="49"/>
      <c r="AJ3696" s="49"/>
      <c r="AK3696" s="49"/>
      <c r="AL3696" s="49"/>
      <c r="AM3696" s="49"/>
      <c r="AN3696" s="49"/>
      <c r="AP3696" s="49"/>
      <c r="AQ3696" s="49"/>
      <c r="AR3696" s="49"/>
      <c r="AS3696" s="49"/>
      <c r="AT3696" s="49"/>
    </row>
    <row r="3697">
      <c r="A3697" s="51"/>
      <c r="B3697" s="50" t="s">
        <v>7563</v>
      </c>
      <c r="C3697" s="50" t="s">
        <v>5725</v>
      </c>
      <c r="D3697" s="49"/>
      <c r="E3697" s="49"/>
      <c r="F3697" s="49"/>
      <c r="G3697" s="49"/>
      <c r="H3697" s="54" t="str">
        <f t="shared" si="1"/>
        <v>painter,</v>
      </c>
      <c r="I3697" s="50"/>
      <c r="J3697" s="50"/>
      <c r="K3697" s="50"/>
      <c r="L3697" s="50"/>
      <c r="M3697" s="50"/>
      <c r="N3697" s="50"/>
      <c r="O3697" s="49"/>
      <c r="P3697" s="49"/>
      <c r="Q3697" s="49"/>
      <c r="R3697" s="49"/>
      <c r="S3697" s="49"/>
      <c r="T3697" s="49"/>
      <c r="U3697" s="49"/>
      <c r="V3697" s="49"/>
      <c r="W3697" s="49"/>
      <c r="X3697" s="49"/>
      <c r="Y3697" s="49"/>
      <c r="Z3697" s="49"/>
      <c r="AB3697" s="49"/>
      <c r="AC3697" s="49"/>
      <c r="AD3697" s="49"/>
      <c r="AE3697" s="49"/>
      <c r="AF3697" s="49"/>
      <c r="AG3697" s="49"/>
      <c r="AH3697" s="49"/>
      <c r="AI3697" s="49"/>
      <c r="AJ3697" s="49"/>
      <c r="AK3697" s="49"/>
      <c r="AL3697" s="49"/>
      <c r="AM3697" s="49"/>
      <c r="AN3697" s="49"/>
      <c r="AP3697" s="49"/>
      <c r="AQ3697" s="49"/>
      <c r="AR3697" s="49"/>
      <c r="AS3697" s="49"/>
      <c r="AT3697" s="49"/>
    </row>
    <row r="3698">
      <c r="A3698" s="51"/>
      <c r="B3698" s="50" t="s">
        <v>3807</v>
      </c>
      <c r="C3698" s="50" t="s">
        <v>3908</v>
      </c>
      <c r="D3698" s="49"/>
      <c r="E3698" s="49"/>
      <c r="F3698" s="49"/>
      <c r="G3698" s="49"/>
      <c r="H3698" s="54" t="str">
        <f t="shared" si="1"/>
        <v>mall,</v>
      </c>
      <c r="I3698" s="50"/>
      <c r="J3698" s="50"/>
      <c r="K3698" s="50"/>
      <c r="L3698" s="50"/>
      <c r="M3698" s="50"/>
      <c r="N3698" s="50"/>
      <c r="O3698" s="49"/>
      <c r="P3698" s="49"/>
      <c r="Q3698" s="49"/>
      <c r="R3698" s="49"/>
      <c r="S3698" s="49"/>
      <c r="T3698" s="49"/>
      <c r="U3698" s="49"/>
      <c r="V3698" s="49"/>
      <c r="W3698" s="49"/>
      <c r="X3698" s="49"/>
      <c r="Y3698" s="49"/>
      <c r="Z3698" s="49"/>
      <c r="AB3698" s="49"/>
      <c r="AC3698" s="49"/>
      <c r="AD3698" s="49"/>
      <c r="AE3698" s="49"/>
      <c r="AF3698" s="49"/>
      <c r="AG3698" s="49"/>
      <c r="AH3698" s="49"/>
      <c r="AI3698" s="49"/>
      <c r="AJ3698" s="49"/>
      <c r="AK3698" s="49"/>
      <c r="AL3698" s="49"/>
      <c r="AM3698" s="49"/>
      <c r="AN3698" s="49"/>
      <c r="AP3698" s="49"/>
      <c r="AQ3698" s="49"/>
      <c r="AR3698" s="49"/>
      <c r="AS3698" s="49"/>
      <c r="AT3698" s="49"/>
    </row>
    <row r="3699">
      <c r="A3699" s="51"/>
      <c r="B3699" s="50" t="s">
        <v>5030</v>
      </c>
      <c r="C3699" s="50" t="s">
        <v>4195</v>
      </c>
      <c r="D3699" s="49"/>
      <c r="E3699" s="49"/>
      <c r="F3699" s="49"/>
      <c r="G3699" s="49"/>
      <c r="H3699" s="54" t="str">
        <f t="shared" si="1"/>
        <v>tomorrow,</v>
      </c>
      <c r="I3699" s="50"/>
      <c r="J3699" s="50"/>
      <c r="K3699" s="50"/>
      <c r="L3699" s="50"/>
      <c r="M3699" s="50"/>
      <c r="N3699" s="50"/>
      <c r="O3699" s="49"/>
      <c r="P3699" s="49"/>
      <c r="Q3699" s="49"/>
      <c r="R3699" s="49"/>
      <c r="S3699" s="49"/>
      <c r="T3699" s="49"/>
      <c r="U3699" s="49"/>
      <c r="V3699" s="49"/>
      <c r="W3699" s="49"/>
      <c r="X3699" s="49"/>
      <c r="Y3699" s="49"/>
      <c r="Z3699" s="49"/>
      <c r="AB3699" s="49"/>
      <c r="AC3699" s="49"/>
      <c r="AD3699" s="49"/>
      <c r="AE3699" s="49"/>
      <c r="AF3699" s="49"/>
      <c r="AG3699" s="49"/>
      <c r="AH3699" s="49"/>
      <c r="AI3699" s="49"/>
      <c r="AJ3699" s="49"/>
      <c r="AK3699" s="49"/>
      <c r="AL3699" s="49"/>
      <c r="AM3699" s="49"/>
      <c r="AN3699" s="49"/>
      <c r="AP3699" s="49"/>
      <c r="AQ3699" s="49"/>
      <c r="AR3699" s="49"/>
      <c r="AS3699" s="49"/>
      <c r="AT3699" s="49"/>
    </row>
    <row r="3700">
      <c r="A3700" s="51"/>
      <c r="B3700" s="50" t="s">
        <v>7565</v>
      </c>
      <c r="C3700" s="50" t="s">
        <v>3036</v>
      </c>
      <c r="D3700" s="49"/>
      <c r="E3700" s="49"/>
      <c r="F3700" s="49"/>
      <c r="G3700" s="49"/>
      <c r="H3700" s="54" t="str">
        <f t="shared" si="1"/>
        <v>intention,</v>
      </c>
      <c r="I3700" s="50"/>
      <c r="J3700" s="50"/>
      <c r="K3700" s="50"/>
      <c r="L3700" s="50"/>
      <c r="M3700" s="50"/>
      <c r="N3700" s="50"/>
      <c r="O3700" s="49"/>
      <c r="P3700" s="49"/>
      <c r="Q3700" s="49"/>
      <c r="R3700" s="49"/>
      <c r="S3700" s="49"/>
      <c r="T3700" s="49"/>
      <c r="U3700" s="49"/>
      <c r="V3700" s="49"/>
      <c r="W3700" s="49"/>
      <c r="X3700" s="49"/>
      <c r="Y3700" s="49"/>
      <c r="Z3700" s="49"/>
      <c r="AB3700" s="49"/>
      <c r="AC3700" s="49"/>
      <c r="AD3700" s="49"/>
      <c r="AE3700" s="49"/>
      <c r="AF3700" s="49"/>
      <c r="AG3700" s="49"/>
      <c r="AH3700" s="49"/>
      <c r="AI3700" s="49"/>
      <c r="AJ3700" s="49"/>
      <c r="AK3700" s="49"/>
      <c r="AL3700" s="49"/>
      <c r="AM3700" s="49"/>
      <c r="AN3700" s="49"/>
      <c r="AP3700" s="49"/>
      <c r="AQ3700" s="49"/>
      <c r="AR3700" s="49"/>
      <c r="AS3700" s="49"/>
      <c r="AT3700" s="49"/>
    </row>
    <row r="3701">
      <c r="A3701" s="51"/>
      <c r="B3701" s="50" t="s">
        <v>5115</v>
      </c>
      <c r="C3701" s="50" t="s">
        <v>5727</v>
      </c>
      <c r="D3701" s="49"/>
      <c r="E3701" s="49"/>
      <c r="F3701" s="49"/>
      <c r="G3701" s="49"/>
      <c r="H3701" s="54" t="str">
        <f t="shared" si="1"/>
        <v>apply,</v>
      </c>
      <c r="I3701" s="50"/>
      <c r="J3701" s="50"/>
      <c r="K3701" s="50"/>
      <c r="L3701" s="50"/>
      <c r="M3701" s="50"/>
      <c r="N3701" s="50"/>
      <c r="O3701" s="49"/>
      <c r="P3701" s="49"/>
      <c r="Q3701" s="49"/>
      <c r="R3701" s="49"/>
      <c r="S3701" s="49"/>
      <c r="T3701" s="49"/>
      <c r="U3701" s="49"/>
      <c r="V3701" s="49"/>
      <c r="W3701" s="49"/>
      <c r="X3701" s="49"/>
      <c r="Y3701" s="49"/>
      <c r="Z3701" s="49"/>
      <c r="AB3701" s="49"/>
      <c r="AC3701" s="49"/>
      <c r="AD3701" s="49"/>
      <c r="AE3701" s="49"/>
      <c r="AF3701" s="49"/>
      <c r="AG3701" s="49"/>
      <c r="AH3701" s="49"/>
      <c r="AI3701" s="49"/>
      <c r="AJ3701" s="49"/>
      <c r="AK3701" s="49"/>
      <c r="AL3701" s="49"/>
      <c r="AM3701" s="49"/>
      <c r="AN3701" s="49"/>
      <c r="AP3701" s="49"/>
      <c r="AQ3701" s="49"/>
      <c r="AR3701" s="49"/>
      <c r="AS3701" s="49"/>
      <c r="AT3701" s="49"/>
    </row>
    <row r="3702">
      <c r="A3702" s="51"/>
      <c r="B3702" s="50" t="s">
        <v>6785</v>
      </c>
      <c r="C3702" s="50" t="s">
        <v>6977</v>
      </c>
      <c r="D3702" s="49"/>
      <c r="E3702" s="49"/>
      <c r="F3702" s="49"/>
      <c r="G3702" s="49"/>
      <c r="H3702" s="54" t="str">
        <f t="shared" si="1"/>
        <v>pride,</v>
      </c>
      <c r="I3702" s="50"/>
      <c r="J3702" s="50"/>
      <c r="K3702" s="50"/>
      <c r="L3702" s="50"/>
      <c r="M3702" s="50"/>
      <c r="N3702" s="50"/>
      <c r="O3702" s="49"/>
      <c r="P3702" s="49"/>
      <c r="Q3702" s="49"/>
      <c r="R3702" s="49"/>
      <c r="S3702" s="49"/>
      <c r="T3702" s="49"/>
      <c r="U3702" s="49"/>
      <c r="V3702" s="49"/>
      <c r="W3702" s="49"/>
      <c r="X3702" s="49"/>
      <c r="Y3702" s="49"/>
      <c r="Z3702" s="49"/>
      <c r="AB3702" s="49"/>
      <c r="AC3702" s="49"/>
      <c r="AD3702" s="49"/>
      <c r="AE3702" s="49"/>
      <c r="AF3702" s="49"/>
      <c r="AG3702" s="49"/>
      <c r="AH3702" s="49"/>
      <c r="AI3702" s="49"/>
      <c r="AJ3702" s="49"/>
      <c r="AK3702" s="49"/>
      <c r="AL3702" s="49"/>
      <c r="AM3702" s="49"/>
      <c r="AN3702" s="49"/>
      <c r="AP3702" s="49"/>
      <c r="AQ3702" s="49"/>
      <c r="AR3702" s="49"/>
      <c r="AS3702" s="49"/>
      <c r="AT3702" s="49"/>
    </row>
    <row r="3703">
      <c r="A3703" s="51"/>
      <c r="B3703" s="50" t="s">
        <v>2657</v>
      </c>
      <c r="C3703" s="50" t="s">
        <v>1740</v>
      </c>
      <c r="D3703" s="49"/>
      <c r="E3703" s="49"/>
      <c r="F3703" s="49"/>
      <c r="G3703" s="49"/>
      <c r="H3703" s="54" t="str">
        <f t="shared" si="1"/>
        <v>transition,</v>
      </c>
      <c r="I3703" s="50"/>
      <c r="J3703" s="50"/>
      <c r="K3703" s="50"/>
      <c r="L3703" s="50"/>
      <c r="M3703" s="50"/>
      <c r="N3703" s="50"/>
      <c r="O3703" s="49"/>
      <c r="P3703" s="49"/>
      <c r="Q3703" s="49"/>
      <c r="R3703" s="49"/>
      <c r="S3703" s="49"/>
      <c r="T3703" s="49"/>
      <c r="U3703" s="49"/>
      <c r="V3703" s="49"/>
      <c r="W3703" s="49"/>
      <c r="X3703" s="49"/>
      <c r="Y3703" s="49"/>
      <c r="Z3703" s="49"/>
      <c r="AB3703" s="49"/>
      <c r="AC3703" s="49"/>
      <c r="AD3703" s="49"/>
      <c r="AE3703" s="49"/>
      <c r="AF3703" s="49"/>
      <c r="AG3703" s="49"/>
      <c r="AH3703" s="49"/>
      <c r="AI3703" s="49"/>
      <c r="AJ3703" s="49"/>
      <c r="AK3703" s="49"/>
      <c r="AL3703" s="49"/>
      <c r="AM3703" s="49"/>
      <c r="AN3703" s="49"/>
      <c r="AP3703" s="49"/>
      <c r="AQ3703" s="49"/>
      <c r="AR3703" s="49"/>
      <c r="AS3703" s="49"/>
      <c r="AT3703" s="49"/>
    </row>
    <row r="3704">
      <c r="A3704" s="51"/>
      <c r="B3704" s="50" t="s">
        <v>1371</v>
      </c>
      <c r="C3704" s="50" t="s">
        <v>6059</v>
      </c>
      <c r="D3704" s="49"/>
      <c r="E3704" s="49"/>
      <c r="F3704" s="49"/>
      <c r="G3704" s="49"/>
      <c r="H3704" s="54" t="str">
        <f t="shared" si="1"/>
        <v>observed,</v>
      </c>
      <c r="I3704" s="50"/>
      <c r="J3704" s="50"/>
      <c r="K3704" s="50"/>
      <c r="L3704" s="50"/>
      <c r="M3704" s="50"/>
      <c r="N3704" s="50"/>
      <c r="O3704" s="49"/>
      <c r="P3704" s="49"/>
      <c r="Q3704" s="49"/>
      <c r="R3704" s="49"/>
      <c r="S3704" s="49"/>
      <c r="T3704" s="49"/>
      <c r="U3704" s="49"/>
      <c r="V3704" s="49"/>
      <c r="W3704" s="49"/>
      <c r="X3704" s="49"/>
      <c r="Y3704" s="49"/>
      <c r="Z3704" s="49"/>
      <c r="AB3704" s="49"/>
      <c r="AC3704" s="49"/>
      <c r="AD3704" s="49"/>
      <c r="AE3704" s="49"/>
      <c r="AF3704" s="49"/>
      <c r="AG3704" s="49"/>
      <c r="AH3704" s="49"/>
      <c r="AI3704" s="49"/>
      <c r="AJ3704" s="49"/>
      <c r="AK3704" s="49"/>
      <c r="AL3704" s="49"/>
      <c r="AM3704" s="49"/>
      <c r="AN3704" s="49"/>
      <c r="AP3704" s="49"/>
      <c r="AQ3704" s="49"/>
      <c r="AR3704" s="49"/>
      <c r="AS3704" s="49"/>
      <c r="AT3704" s="49"/>
    </row>
    <row r="3705">
      <c r="A3705" s="51"/>
      <c r="B3705" s="50" t="s">
        <v>5575</v>
      </c>
      <c r="C3705" s="50" t="s">
        <v>4819</v>
      </c>
      <c r="D3705" s="49"/>
      <c r="E3705" s="49"/>
      <c r="F3705" s="49"/>
      <c r="G3705" s="49"/>
      <c r="H3705" s="54" t="str">
        <f t="shared" si="1"/>
        <v>buried,</v>
      </c>
      <c r="I3705" s="50"/>
      <c r="J3705" s="50"/>
      <c r="K3705" s="50"/>
      <c r="L3705" s="50"/>
      <c r="M3705" s="50"/>
      <c r="N3705" s="50"/>
      <c r="O3705" s="49"/>
      <c r="P3705" s="49"/>
      <c r="Q3705" s="49"/>
      <c r="R3705" s="49"/>
      <c r="S3705" s="49"/>
      <c r="T3705" s="49"/>
      <c r="U3705" s="49"/>
      <c r="V3705" s="49"/>
      <c r="W3705" s="49"/>
      <c r="X3705" s="49"/>
      <c r="Y3705" s="49"/>
      <c r="Z3705" s="49"/>
      <c r="AB3705" s="49"/>
      <c r="AC3705" s="49"/>
      <c r="AD3705" s="49"/>
      <c r="AE3705" s="49"/>
      <c r="AF3705" s="49"/>
      <c r="AG3705" s="49"/>
      <c r="AH3705" s="49"/>
      <c r="AI3705" s="49"/>
      <c r="AJ3705" s="49"/>
      <c r="AK3705" s="49"/>
      <c r="AL3705" s="49"/>
      <c r="AM3705" s="49"/>
      <c r="AN3705" s="49"/>
      <c r="AP3705" s="49"/>
      <c r="AQ3705" s="49"/>
      <c r="AR3705" s="49"/>
      <c r="AS3705" s="49"/>
      <c r="AT3705" s="49"/>
    </row>
    <row r="3706">
      <c r="A3706" s="51"/>
      <c r="B3706" s="50" t="s">
        <v>7086</v>
      </c>
      <c r="C3706" s="50" t="s">
        <v>1809</v>
      </c>
      <c r="D3706" s="49"/>
      <c r="E3706" s="49"/>
      <c r="F3706" s="49"/>
      <c r="G3706" s="49"/>
      <c r="H3706" s="54" t="str">
        <f t="shared" si="1"/>
        <v>das,</v>
      </c>
      <c r="I3706" s="50"/>
      <c r="J3706" s="50"/>
      <c r="K3706" s="50"/>
      <c r="L3706" s="50"/>
      <c r="M3706" s="50"/>
      <c r="N3706" s="50"/>
      <c r="O3706" s="49"/>
      <c r="P3706" s="49"/>
      <c r="Q3706" s="49"/>
      <c r="R3706" s="49"/>
      <c r="S3706" s="49"/>
      <c r="T3706" s="49"/>
      <c r="U3706" s="49"/>
      <c r="V3706" s="49"/>
      <c r="W3706" s="49"/>
      <c r="X3706" s="49"/>
      <c r="Y3706" s="49"/>
      <c r="Z3706" s="49"/>
      <c r="AB3706" s="49"/>
      <c r="AC3706" s="49"/>
      <c r="AD3706" s="49"/>
      <c r="AE3706" s="49"/>
      <c r="AF3706" s="49"/>
      <c r="AG3706" s="49"/>
      <c r="AH3706" s="49"/>
      <c r="AI3706" s="49"/>
      <c r="AJ3706" s="49"/>
      <c r="AK3706" s="49"/>
      <c r="AL3706" s="49"/>
      <c r="AM3706" s="49"/>
      <c r="AN3706" s="49"/>
      <c r="AP3706" s="49"/>
      <c r="AQ3706" s="49"/>
      <c r="AR3706" s="49"/>
      <c r="AS3706" s="49"/>
      <c r="AT3706" s="49"/>
    </row>
    <row r="3707">
      <c r="A3707" s="51"/>
      <c r="B3707" s="50" t="s">
        <v>399</v>
      </c>
      <c r="C3707" s="50" t="s">
        <v>3042</v>
      </c>
      <c r="D3707" s="49"/>
      <c r="E3707" s="49"/>
      <c r="F3707" s="49"/>
      <c r="G3707" s="49"/>
      <c r="H3707" s="54" t="str">
        <f t="shared" si="1"/>
        <v>iranian,</v>
      </c>
      <c r="I3707" s="50"/>
      <c r="J3707" s="50"/>
      <c r="K3707" s="50"/>
      <c r="L3707" s="50"/>
      <c r="M3707" s="50"/>
      <c r="N3707" s="50"/>
      <c r="O3707" s="49"/>
      <c r="P3707" s="49"/>
      <c r="Q3707" s="49"/>
      <c r="R3707" s="49"/>
      <c r="S3707" s="49"/>
      <c r="T3707" s="49"/>
      <c r="U3707" s="49"/>
      <c r="V3707" s="49"/>
      <c r="W3707" s="49"/>
      <c r="X3707" s="49"/>
      <c r="Y3707" s="49"/>
      <c r="Z3707" s="49"/>
      <c r="AB3707" s="49"/>
      <c r="AC3707" s="49"/>
      <c r="AD3707" s="49"/>
      <c r="AE3707" s="49"/>
      <c r="AF3707" s="49"/>
      <c r="AG3707" s="49"/>
      <c r="AH3707" s="49"/>
      <c r="AI3707" s="49"/>
      <c r="AJ3707" s="49"/>
      <c r="AK3707" s="49"/>
      <c r="AL3707" s="49"/>
      <c r="AM3707" s="49"/>
      <c r="AN3707" s="49"/>
      <c r="AP3707" s="49"/>
      <c r="AQ3707" s="49"/>
      <c r="AR3707" s="49"/>
      <c r="AS3707" s="49"/>
      <c r="AT3707" s="49"/>
    </row>
    <row r="3708">
      <c r="A3708" s="51"/>
      <c r="B3708" s="50" t="s">
        <v>6615</v>
      </c>
      <c r="C3708" s="50" t="s">
        <v>5337</v>
      </c>
      <c r="D3708" s="49"/>
      <c r="E3708" s="49"/>
      <c r="F3708" s="49"/>
      <c r="G3708" s="49"/>
      <c r="H3708" s="54" t="str">
        <f t="shared" si="1"/>
        <v>decisions,</v>
      </c>
      <c r="I3708" s="50"/>
      <c r="J3708" s="50"/>
      <c r="K3708" s="50"/>
      <c r="L3708" s="50"/>
      <c r="M3708" s="50"/>
      <c r="N3708" s="50"/>
      <c r="O3708" s="49"/>
      <c r="P3708" s="49"/>
      <c r="Q3708" s="49"/>
      <c r="R3708" s="49"/>
      <c r="S3708" s="49"/>
      <c r="T3708" s="49"/>
      <c r="U3708" s="49"/>
      <c r="V3708" s="49"/>
      <c r="W3708" s="49"/>
      <c r="X3708" s="49"/>
      <c r="Y3708" s="49"/>
      <c r="Z3708" s="49"/>
      <c r="AB3708" s="49"/>
      <c r="AC3708" s="49"/>
      <c r="AD3708" s="49"/>
      <c r="AE3708" s="49"/>
      <c r="AF3708" s="49"/>
      <c r="AG3708" s="49"/>
      <c r="AH3708" s="49"/>
      <c r="AI3708" s="49"/>
      <c r="AJ3708" s="49"/>
      <c r="AK3708" s="49"/>
      <c r="AL3708" s="49"/>
      <c r="AM3708" s="49"/>
      <c r="AN3708" s="49"/>
      <c r="AP3708" s="49"/>
      <c r="AQ3708" s="49"/>
      <c r="AR3708" s="49"/>
      <c r="AS3708" s="49"/>
      <c r="AT3708" s="49"/>
    </row>
    <row r="3709">
      <c r="A3709" s="51"/>
      <c r="B3709" s="50" t="s">
        <v>845</v>
      </c>
      <c r="C3709" s="50" t="s">
        <v>6978</v>
      </c>
      <c r="D3709" s="49"/>
      <c r="E3709" s="49"/>
      <c r="F3709" s="49"/>
      <c r="G3709" s="49"/>
      <c r="H3709" s="54" t="str">
        <f t="shared" si="1"/>
        <v>construct,</v>
      </c>
      <c r="I3709" s="50"/>
      <c r="J3709" s="50"/>
      <c r="K3709" s="50"/>
      <c r="L3709" s="50"/>
      <c r="M3709" s="50"/>
      <c r="N3709" s="50"/>
      <c r="O3709" s="49"/>
      <c r="P3709" s="49"/>
      <c r="Q3709" s="49"/>
      <c r="R3709" s="49"/>
      <c r="S3709" s="49"/>
      <c r="T3709" s="49"/>
      <c r="U3709" s="49"/>
      <c r="V3709" s="49"/>
      <c r="W3709" s="49"/>
      <c r="X3709" s="49"/>
      <c r="Y3709" s="49"/>
      <c r="Z3709" s="49"/>
      <c r="AB3709" s="49"/>
      <c r="AC3709" s="49"/>
      <c r="AD3709" s="49"/>
      <c r="AE3709" s="49"/>
      <c r="AF3709" s="49"/>
      <c r="AG3709" s="49"/>
      <c r="AH3709" s="49"/>
      <c r="AI3709" s="49"/>
      <c r="AJ3709" s="49"/>
      <c r="AK3709" s="49"/>
      <c r="AL3709" s="49"/>
      <c r="AM3709" s="49"/>
      <c r="AN3709" s="49"/>
      <c r="AP3709" s="49"/>
      <c r="AQ3709" s="49"/>
      <c r="AR3709" s="49"/>
      <c r="AS3709" s="49"/>
      <c r="AT3709" s="49"/>
    </row>
    <row r="3710">
      <c r="A3710" s="51"/>
      <c r="B3710" s="50" t="s">
        <v>6769</v>
      </c>
      <c r="C3710" s="50" t="s">
        <v>4826</v>
      </c>
      <c r="D3710" s="49"/>
      <c r="E3710" s="49"/>
      <c r="F3710" s="49"/>
      <c r="G3710" s="49"/>
      <c r="H3710" s="54" t="str">
        <f t="shared" si="1"/>
        <v>charged,</v>
      </c>
      <c r="I3710" s="50"/>
      <c r="J3710" s="50"/>
      <c r="K3710" s="50"/>
      <c r="L3710" s="50"/>
      <c r="M3710" s="50"/>
      <c r="N3710" s="50"/>
      <c r="O3710" s="49"/>
      <c r="P3710" s="49"/>
      <c r="Q3710" s="49"/>
      <c r="R3710" s="49"/>
      <c r="S3710" s="49"/>
      <c r="T3710" s="49"/>
      <c r="U3710" s="49"/>
      <c r="V3710" s="49"/>
      <c r="W3710" s="49"/>
      <c r="X3710" s="49"/>
      <c r="Y3710" s="49"/>
      <c r="Z3710" s="49"/>
      <c r="AB3710" s="49"/>
      <c r="AC3710" s="49"/>
      <c r="AD3710" s="49"/>
      <c r="AE3710" s="49"/>
      <c r="AF3710" s="49"/>
      <c r="AG3710" s="49"/>
      <c r="AH3710" s="49"/>
      <c r="AI3710" s="49"/>
      <c r="AJ3710" s="49"/>
      <c r="AK3710" s="49"/>
      <c r="AL3710" s="49"/>
      <c r="AM3710" s="49"/>
      <c r="AN3710" s="49"/>
      <c r="AP3710" s="49"/>
      <c r="AQ3710" s="49"/>
      <c r="AR3710" s="49"/>
      <c r="AS3710" s="49"/>
      <c r="AT3710" s="49"/>
    </row>
    <row r="3711">
      <c r="A3711" s="51"/>
      <c r="B3711" s="50" t="s">
        <v>2219</v>
      </c>
      <c r="C3711" s="50" t="s">
        <v>4969</v>
      </c>
      <c r="D3711" s="49"/>
      <c r="E3711" s="49"/>
      <c r="F3711" s="49"/>
      <c r="G3711" s="49"/>
      <c r="H3711" s="54" t="str">
        <f t="shared" si="1"/>
        <v>entity,</v>
      </c>
      <c r="I3711" s="50"/>
      <c r="J3711" s="50"/>
      <c r="K3711" s="50"/>
      <c r="L3711" s="50"/>
      <c r="M3711" s="50"/>
      <c r="N3711" s="50"/>
      <c r="O3711" s="49"/>
      <c r="P3711" s="49"/>
      <c r="Q3711" s="49"/>
      <c r="R3711" s="49"/>
      <c r="S3711" s="49"/>
      <c r="T3711" s="49"/>
      <c r="U3711" s="49"/>
      <c r="V3711" s="49"/>
      <c r="W3711" s="49"/>
      <c r="X3711" s="49"/>
      <c r="Y3711" s="49"/>
      <c r="Z3711" s="49"/>
      <c r="AB3711" s="49"/>
      <c r="AC3711" s="49"/>
      <c r="AD3711" s="49"/>
      <c r="AE3711" s="49"/>
      <c r="AF3711" s="49"/>
      <c r="AG3711" s="49"/>
      <c r="AH3711" s="49"/>
      <c r="AI3711" s="49"/>
      <c r="AJ3711" s="49"/>
      <c r="AK3711" s="49"/>
      <c r="AL3711" s="49"/>
      <c r="AM3711" s="49"/>
      <c r="AN3711" s="49"/>
      <c r="AP3711" s="49"/>
      <c r="AQ3711" s="49"/>
      <c r="AR3711" s="49"/>
      <c r="AS3711" s="49"/>
      <c r="AT3711" s="49"/>
    </row>
    <row r="3712">
      <c r="A3712" s="51"/>
      <c r="B3712" s="50" t="s">
        <v>1791</v>
      </c>
      <c r="C3712" s="50" t="s">
        <v>6061</v>
      </c>
      <c r="D3712" s="49"/>
      <c r="E3712" s="49"/>
      <c r="F3712" s="49"/>
      <c r="G3712" s="49"/>
      <c r="H3712" s="54" t="str">
        <f t="shared" si="1"/>
        <v>importance,</v>
      </c>
      <c r="I3712" s="50"/>
      <c r="J3712" s="50"/>
      <c r="K3712" s="50"/>
      <c r="L3712" s="50"/>
      <c r="M3712" s="50"/>
      <c r="N3712" s="50"/>
      <c r="O3712" s="49"/>
      <c r="P3712" s="49"/>
      <c r="Q3712" s="49"/>
      <c r="R3712" s="49"/>
      <c r="S3712" s="49"/>
      <c r="T3712" s="49"/>
      <c r="U3712" s="49"/>
      <c r="V3712" s="49"/>
      <c r="W3712" s="49"/>
      <c r="X3712" s="49"/>
      <c r="Y3712" s="49"/>
      <c r="Z3712" s="49"/>
      <c r="AB3712" s="49"/>
      <c r="AC3712" s="49"/>
      <c r="AD3712" s="49"/>
      <c r="AE3712" s="49"/>
      <c r="AF3712" s="49"/>
      <c r="AG3712" s="49"/>
      <c r="AH3712" s="49"/>
      <c r="AI3712" s="49"/>
      <c r="AJ3712" s="49"/>
      <c r="AK3712" s="49"/>
      <c r="AL3712" s="49"/>
      <c r="AM3712" s="49"/>
      <c r="AN3712" s="49"/>
      <c r="AP3712" s="49"/>
      <c r="AQ3712" s="49"/>
      <c r="AR3712" s="49"/>
      <c r="AS3712" s="49"/>
      <c r="AT3712" s="49"/>
    </row>
    <row r="3713">
      <c r="A3713" s="51"/>
      <c r="B3713" s="50" t="s">
        <v>6761</v>
      </c>
      <c r="C3713" s="50" t="s">
        <v>6981</v>
      </c>
      <c r="D3713" s="49"/>
      <c r="E3713" s="49"/>
      <c r="F3713" s="49"/>
      <c r="G3713" s="49"/>
      <c r="H3713" s="54" t="str">
        <f t="shared" si="1"/>
        <v>choices,</v>
      </c>
      <c r="I3713" s="50"/>
      <c r="J3713" s="50"/>
      <c r="K3713" s="50"/>
      <c r="L3713" s="50"/>
      <c r="M3713" s="50"/>
      <c r="N3713" s="50"/>
      <c r="O3713" s="49"/>
      <c r="P3713" s="49"/>
      <c r="Q3713" s="49"/>
      <c r="R3713" s="49"/>
      <c r="S3713" s="49"/>
      <c r="T3713" s="49"/>
      <c r="U3713" s="49"/>
      <c r="V3713" s="49"/>
      <c r="W3713" s="49"/>
      <c r="X3713" s="49"/>
      <c r="Y3713" s="49"/>
      <c r="Z3713" s="49"/>
      <c r="AB3713" s="49"/>
      <c r="AC3713" s="49"/>
      <c r="AD3713" s="49"/>
      <c r="AE3713" s="49"/>
      <c r="AF3713" s="49"/>
      <c r="AG3713" s="49"/>
      <c r="AH3713" s="49"/>
      <c r="AI3713" s="49"/>
      <c r="AJ3713" s="49"/>
      <c r="AK3713" s="49"/>
      <c r="AL3713" s="49"/>
      <c r="AM3713" s="49"/>
      <c r="AN3713" s="49"/>
      <c r="AP3713" s="49"/>
      <c r="AQ3713" s="49"/>
      <c r="AR3713" s="49"/>
      <c r="AS3713" s="49"/>
      <c r="AT3713" s="49"/>
    </row>
    <row r="3714">
      <c r="A3714" s="51"/>
      <c r="B3714" s="50" t="s">
        <v>6096</v>
      </c>
      <c r="C3714" s="50" t="s">
        <v>5735</v>
      </c>
      <c r="D3714" s="49"/>
      <c r="E3714" s="49"/>
      <c r="F3714" s="49"/>
      <c r="G3714" s="49"/>
      <c r="H3714" s="54" t="str">
        <f t="shared" si="1"/>
        <v>pa,</v>
      </c>
      <c r="I3714" s="50"/>
      <c r="J3714" s="50"/>
      <c r="K3714" s="50"/>
      <c r="L3714" s="50"/>
      <c r="M3714" s="50"/>
      <c r="N3714" s="50"/>
      <c r="O3714" s="49"/>
      <c r="P3714" s="49"/>
      <c r="Q3714" s="49"/>
      <c r="R3714" s="49"/>
      <c r="S3714" s="49"/>
      <c r="T3714" s="49"/>
      <c r="U3714" s="49"/>
      <c r="V3714" s="49"/>
      <c r="W3714" s="49"/>
      <c r="X3714" s="49"/>
      <c r="Y3714" s="49"/>
      <c r="Z3714" s="49"/>
      <c r="AB3714" s="49"/>
      <c r="AC3714" s="49"/>
      <c r="AD3714" s="49"/>
      <c r="AE3714" s="49"/>
      <c r="AF3714" s="49"/>
      <c r="AG3714" s="49"/>
      <c r="AH3714" s="49"/>
      <c r="AI3714" s="49"/>
      <c r="AJ3714" s="49"/>
      <c r="AK3714" s="49"/>
      <c r="AL3714" s="49"/>
      <c r="AM3714" s="49"/>
      <c r="AN3714" s="49"/>
      <c r="AP3714" s="49"/>
      <c r="AQ3714" s="49"/>
      <c r="AR3714" s="49"/>
      <c r="AS3714" s="49"/>
      <c r="AT3714" s="49"/>
    </row>
    <row r="3715">
      <c r="A3715" s="51"/>
      <c r="B3715" s="50" t="s">
        <v>5474</v>
      </c>
      <c r="C3715" s="50" t="s">
        <v>7076</v>
      </c>
      <c r="D3715" s="49"/>
      <c r="E3715" s="49"/>
      <c r="F3715" s="49"/>
      <c r="G3715" s="49"/>
      <c r="H3715" s="54" t="str">
        <f t="shared" si="1"/>
        <v>salt,</v>
      </c>
      <c r="I3715" s="50"/>
      <c r="J3715" s="50"/>
      <c r="K3715" s="50"/>
      <c r="L3715" s="50"/>
      <c r="M3715" s="50"/>
      <c r="N3715" s="50"/>
      <c r="O3715" s="49"/>
      <c r="P3715" s="49"/>
      <c r="Q3715" s="49"/>
      <c r="R3715" s="49"/>
      <c r="S3715" s="49"/>
      <c r="T3715" s="49"/>
      <c r="U3715" s="49"/>
      <c r="V3715" s="49"/>
      <c r="W3715" s="49"/>
      <c r="X3715" s="49"/>
      <c r="Y3715" s="49"/>
      <c r="Z3715" s="49"/>
      <c r="AB3715" s="49"/>
      <c r="AC3715" s="49"/>
      <c r="AD3715" s="49"/>
      <c r="AE3715" s="49"/>
      <c r="AF3715" s="49"/>
      <c r="AG3715" s="49"/>
      <c r="AH3715" s="49"/>
      <c r="AI3715" s="49"/>
      <c r="AJ3715" s="49"/>
      <c r="AK3715" s="49"/>
      <c r="AL3715" s="49"/>
      <c r="AM3715" s="49"/>
      <c r="AN3715" s="49"/>
      <c r="AP3715" s="49"/>
      <c r="AQ3715" s="49"/>
      <c r="AR3715" s="49"/>
      <c r="AS3715" s="49"/>
      <c r="AT3715" s="49"/>
    </row>
    <row r="3716">
      <c r="A3716" s="51"/>
      <c r="B3716" s="50" t="s">
        <v>6830</v>
      </c>
      <c r="C3716" s="50" t="s">
        <v>6982</v>
      </c>
      <c r="D3716" s="49"/>
      <c r="E3716" s="49"/>
      <c r="F3716" s="49"/>
      <c r="G3716" s="49"/>
      <c r="H3716" s="54" t="str">
        <f t="shared" si="1"/>
        <v>discussed,</v>
      </c>
      <c r="I3716" s="50"/>
      <c r="J3716" s="50"/>
      <c r="K3716" s="50"/>
      <c r="L3716" s="50"/>
      <c r="M3716" s="50"/>
      <c r="N3716" s="50"/>
      <c r="O3716" s="49"/>
      <c r="P3716" s="49"/>
      <c r="Q3716" s="49"/>
      <c r="R3716" s="49"/>
      <c r="S3716" s="49"/>
      <c r="T3716" s="49"/>
      <c r="U3716" s="49"/>
      <c r="V3716" s="49"/>
      <c r="W3716" s="49"/>
      <c r="X3716" s="49"/>
      <c r="Y3716" s="49"/>
      <c r="Z3716" s="49"/>
      <c r="AB3716" s="49"/>
      <c r="AC3716" s="49"/>
      <c r="AD3716" s="49"/>
      <c r="AE3716" s="49"/>
      <c r="AF3716" s="49"/>
      <c r="AG3716" s="49"/>
      <c r="AH3716" s="49"/>
      <c r="AI3716" s="49"/>
      <c r="AJ3716" s="49"/>
      <c r="AK3716" s="49"/>
      <c r="AL3716" s="49"/>
      <c r="AM3716" s="49"/>
      <c r="AN3716" s="49"/>
      <c r="AP3716" s="49"/>
      <c r="AQ3716" s="49"/>
      <c r="AR3716" s="49"/>
      <c r="AS3716" s="49"/>
      <c r="AT3716" s="49"/>
    </row>
    <row r="3717">
      <c r="A3717" s="51"/>
      <c r="B3717" s="50" t="s">
        <v>7570</v>
      </c>
      <c r="C3717" s="50" t="s">
        <v>6983</v>
      </c>
      <c r="D3717" s="49"/>
      <c r="E3717" s="49"/>
      <c r="F3717" s="49"/>
      <c r="G3717" s="49"/>
      <c r="H3717" s="54" t="str">
        <f t="shared" si="1"/>
        <v>abc,</v>
      </c>
      <c r="I3717" s="50"/>
      <c r="J3717" s="50"/>
      <c r="K3717" s="50"/>
      <c r="L3717" s="50"/>
      <c r="M3717" s="50"/>
      <c r="N3717" s="50"/>
      <c r="O3717" s="49"/>
      <c r="P3717" s="49"/>
      <c r="Q3717" s="49"/>
      <c r="R3717" s="49"/>
      <c r="S3717" s="49"/>
      <c r="T3717" s="49"/>
      <c r="U3717" s="49"/>
      <c r="V3717" s="49"/>
      <c r="W3717" s="49"/>
      <c r="X3717" s="49"/>
      <c r="Y3717" s="49"/>
      <c r="Z3717" s="49"/>
      <c r="AB3717" s="49"/>
      <c r="AC3717" s="49"/>
      <c r="AD3717" s="49"/>
      <c r="AE3717" s="49"/>
      <c r="AF3717" s="49"/>
      <c r="AG3717" s="49"/>
      <c r="AH3717" s="49"/>
      <c r="AI3717" s="49"/>
      <c r="AJ3717" s="49"/>
      <c r="AK3717" s="49"/>
      <c r="AL3717" s="49"/>
      <c r="AM3717" s="49"/>
      <c r="AN3717" s="49"/>
      <c r="AP3717" s="49"/>
      <c r="AQ3717" s="49"/>
      <c r="AR3717" s="49"/>
      <c r="AS3717" s="49"/>
      <c r="AT3717" s="49"/>
    </row>
    <row r="3718">
      <c r="A3718" s="51"/>
      <c r="B3718" s="50" t="s">
        <v>4308</v>
      </c>
      <c r="C3718" s="50" t="s">
        <v>5738</v>
      </c>
      <c r="D3718" s="49"/>
      <c r="E3718" s="49"/>
      <c r="F3718" s="49"/>
      <c r="G3718" s="49"/>
      <c r="H3718" s="54" t="str">
        <f t="shared" si="1"/>
        <v>catching,</v>
      </c>
      <c r="I3718" s="50"/>
      <c r="J3718" s="50"/>
      <c r="K3718" s="50"/>
      <c r="L3718" s="50"/>
      <c r="M3718" s="50"/>
      <c r="N3718" s="50"/>
      <c r="O3718" s="49"/>
      <c r="P3718" s="49"/>
      <c r="Q3718" s="49"/>
      <c r="R3718" s="49"/>
      <c r="S3718" s="49"/>
      <c r="T3718" s="49"/>
      <c r="U3718" s="49"/>
      <c r="V3718" s="49"/>
      <c r="W3718" s="49"/>
      <c r="X3718" s="49"/>
      <c r="Y3718" s="49"/>
      <c r="Z3718" s="49"/>
      <c r="AB3718" s="49"/>
      <c r="AC3718" s="49"/>
      <c r="AD3718" s="49"/>
      <c r="AE3718" s="49"/>
      <c r="AF3718" s="49"/>
      <c r="AG3718" s="49"/>
      <c r="AH3718" s="49"/>
      <c r="AI3718" s="49"/>
      <c r="AJ3718" s="49"/>
      <c r="AK3718" s="49"/>
      <c r="AL3718" s="49"/>
      <c r="AM3718" s="49"/>
      <c r="AN3718" s="49"/>
      <c r="AP3718" s="49"/>
      <c r="AQ3718" s="49"/>
      <c r="AR3718" s="49"/>
      <c r="AS3718" s="49"/>
      <c r="AT3718" s="49"/>
    </row>
    <row r="3719">
      <c r="A3719" s="51"/>
      <c r="B3719" s="50" t="s">
        <v>7016</v>
      </c>
      <c r="C3719" s="50" t="s">
        <v>6984</v>
      </c>
      <c r="D3719" s="49"/>
      <c r="E3719" s="49"/>
      <c r="F3719" s="49"/>
      <c r="G3719" s="49"/>
      <c r="H3719" s="54" t="str">
        <f t="shared" si="1"/>
        <v>admitted,</v>
      </c>
      <c r="I3719" s="50"/>
      <c r="J3719" s="50"/>
      <c r="K3719" s="50"/>
      <c r="L3719" s="50"/>
      <c r="M3719" s="50"/>
      <c r="N3719" s="50"/>
      <c r="O3719" s="49"/>
      <c r="P3719" s="49"/>
      <c r="Q3719" s="49"/>
      <c r="R3719" s="49"/>
      <c r="S3719" s="49"/>
      <c r="T3719" s="49"/>
      <c r="U3719" s="49"/>
      <c r="V3719" s="49"/>
      <c r="W3719" s="49"/>
      <c r="X3719" s="49"/>
      <c r="Y3719" s="49"/>
      <c r="Z3719" s="49"/>
      <c r="AB3719" s="49"/>
      <c r="AC3719" s="49"/>
      <c r="AD3719" s="49"/>
      <c r="AE3719" s="49"/>
      <c r="AF3719" s="49"/>
      <c r="AG3719" s="49"/>
      <c r="AH3719" s="49"/>
      <c r="AI3719" s="49"/>
      <c r="AJ3719" s="49"/>
      <c r="AK3719" s="49"/>
      <c r="AL3719" s="49"/>
      <c r="AM3719" s="49"/>
      <c r="AN3719" s="49"/>
      <c r="AP3719" s="49"/>
      <c r="AQ3719" s="49"/>
      <c r="AR3719" s="49"/>
      <c r="AS3719" s="49"/>
      <c r="AT3719" s="49"/>
    </row>
    <row r="3720">
      <c r="A3720" s="51"/>
      <c r="B3720" s="50" t="s">
        <v>5954</v>
      </c>
      <c r="C3720" s="50" t="s">
        <v>3912</v>
      </c>
      <c r="D3720" s="49"/>
      <c r="E3720" s="49"/>
      <c r="F3720" s="49"/>
      <c r="G3720" s="49"/>
      <c r="H3720" s="54" t="str">
        <f t="shared" si="1"/>
        <v>placing,</v>
      </c>
      <c r="I3720" s="50"/>
      <c r="J3720" s="50"/>
      <c r="K3720" s="50"/>
      <c r="L3720" s="50"/>
      <c r="M3720" s="50"/>
      <c r="N3720" s="50"/>
      <c r="O3720" s="49"/>
      <c r="P3720" s="49"/>
      <c r="Q3720" s="49"/>
      <c r="R3720" s="49"/>
      <c r="S3720" s="49"/>
      <c r="T3720" s="49"/>
      <c r="U3720" s="49"/>
      <c r="V3720" s="49"/>
      <c r="W3720" s="49"/>
      <c r="X3720" s="49"/>
      <c r="Y3720" s="49"/>
      <c r="Z3720" s="49"/>
      <c r="AB3720" s="49"/>
      <c r="AC3720" s="49"/>
      <c r="AD3720" s="49"/>
      <c r="AE3720" s="49"/>
      <c r="AF3720" s="49"/>
      <c r="AG3720" s="49"/>
      <c r="AH3720" s="49"/>
      <c r="AI3720" s="49"/>
      <c r="AJ3720" s="49"/>
      <c r="AK3720" s="49"/>
      <c r="AL3720" s="49"/>
      <c r="AM3720" s="49"/>
      <c r="AN3720" s="49"/>
      <c r="AP3720" s="49"/>
      <c r="AQ3720" s="49"/>
      <c r="AR3720" s="49"/>
      <c r="AS3720" s="49"/>
      <c r="AT3720" s="49"/>
    </row>
    <row r="3721">
      <c r="A3721" s="51"/>
      <c r="B3721" s="50" t="s">
        <v>3991</v>
      </c>
      <c r="C3721" s="50" t="s">
        <v>6986</v>
      </c>
      <c r="D3721" s="49"/>
      <c r="E3721" s="49"/>
      <c r="F3721" s="49"/>
      <c r="G3721" s="49"/>
      <c r="H3721" s="54" t="str">
        <f t="shared" si="1"/>
        <v>connections,</v>
      </c>
      <c r="I3721" s="50"/>
      <c r="J3721" s="50"/>
      <c r="K3721" s="50"/>
      <c r="L3721" s="50"/>
      <c r="M3721" s="50"/>
      <c r="N3721" s="50"/>
      <c r="O3721" s="49"/>
      <c r="P3721" s="49"/>
      <c r="Q3721" s="49"/>
      <c r="R3721" s="49"/>
      <c r="S3721" s="49"/>
      <c r="T3721" s="49"/>
      <c r="U3721" s="49"/>
      <c r="V3721" s="49"/>
      <c r="W3721" s="49"/>
      <c r="X3721" s="49"/>
      <c r="Y3721" s="49"/>
      <c r="Z3721" s="49"/>
      <c r="AB3721" s="49"/>
      <c r="AC3721" s="49"/>
      <c r="AD3721" s="49"/>
      <c r="AE3721" s="49"/>
      <c r="AF3721" s="49"/>
      <c r="AG3721" s="49"/>
      <c r="AH3721" s="49"/>
      <c r="AI3721" s="49"/>
      <c r="AJ3721" s="49"/>
      <c r="AK3721" s="49"/>
      <c r="AL3721" s="49"/>
      <c r="AM3721" s="49"/>
      <c r="AN3721" s="49"/>
      <c r="AP3721" s="49"/>
      <c r="AQ3721" s="49"/>
      <c r="AR3721" s="49"/>
      <c r="AS3721" s="49"/>
      <c r="AT3721" s="49"/>
    </row>
    <row r="3722">
      <c r="A3722" s="51"/>
      <c r="B3722" s="50" t="s">
        <v>7094</v>
      </c>
      <c r="C3722" s="50" t="s">
        <v>4538</v>
      </c>
      <c r="D3722" s="49"/>
      <c r="E3722" s="49"/>
      <c r="F3722" s="49"/>
      <c r="G3722" s="49"/>
      <c r="H3722" s="54" t="str">
        <f t="shared" si="1"/>
        <v>pin,</v>
      </c>
      <c r="I3722" s="50"/>
      <c r="J3722" s="50"/>
      <c r="K3722" s="50"/>
      <c r="L3722" s="50"/>
      <c r="M3722" s="50"/>
      <c r="N3722" s="50"/>
      <c r="O3722" s="49"/>
      <c r="P3722" s="49"/>
      <c r="Q3722" s="49"/>
      <c r="R3722" s="49"/>
      <c r="S3722" s="49"/>
      <c r="T3722" s="49"/>
      <c r="U3722" s="49"/>
      <c r="V3722" s="49"/>
      <c r="W3722" s="49"/>
      <c r="X3722" s="49"/>
      <c r="Y3722" s="49"/>
      <c r="Z3722" s="49"/>
      <c r="AB3722" s="49"/>
      <c r="AC3722" s="49"/>
      <c r="AD3722" s="49"/>
      <c r="AE3722" s="49"/>
      <c r="AF3722" s="49"/>
      <c r="AG3722" s="49"/>
      <c r="AH3722" s="49"/>
      <c r="AI3722" s="49"/>
      <c r="AJ3722" s="49"/>
      <c r="AK3722" s="49"/>
      <c r="AL3722" s="49"/>
      <c r="AM3722" s="49"/>
      <c r="AN3722" s="49"/>
      <c r="AP3722" s="49"/>
      <c r="AQ3722" s="49"/>
      <c r="AR3722" s="49"/>
      <c r="AS3722" s="49"/>
      <c r="AT3722" s="49"/>
    </row>
    <row r="3723">
      <c r="A3723" s="51"/>
      <c r="B3723" s="50" t="s">
        <v>4838</v>
      </c>
      <c r="C3723" s="50" t="s">
        <v>895</v>
      </c>
      <c r="D3723" s="49"/>
      <c r="E3723" s="49"/>
      <c r="F3723" s="49"/>
      <c r="G3723" s="49"/>
      <c r="H3723" s="54" t="str">
        <f t="shared" si="1"/>
        <v>updated,</v>
      </c>
      <c r="I3723" s="50"/>
      <c r="J3723" s="50"/>
      <c r="K3723" s="50"/>
      <c r="L3723" s="50"/>
      <c r="M3723" s="50"/>
      <c r="N3723" s="50"/>
      <c r="O3723" s="49"/>
      <c r="P3723" s="49"/>
      <c r="Q3723" s="49"/>
      <c r="R3723" s="49"/>
      <c r="S3723" s="49"/>
      <c r="T3723" s="49"/>
      <c r="U3723" s="49"/>
      <c r="V3723" s="49"/>
      <c r="W3723" s="49"/>
      <c r="X3723" s="49"/>
      <c r="Y3723" s="49"/>
      <c r="Z3723" s="49"/>
      <c r="AB3723" s="49"/>
      <c r="AC3723" s="49"/>
      <c r="AD3723" s="49"/>
      <c r="AE3723" s="49"/>
      <c r="AF3723" s="49"/>
      <c r="AG3723" s="49"/>
      <c r="AH3723" s="49"/>
      <c r="AI3723" s="49"/>
      <c r="AJ3723" s="49"/>
      <c r="AK3723" s="49"/>
      <c r="AL3723" s="49"/>
      <c r="AM3723" s="49"/>
      <c r="AN3723" s="49"/>
      <c r="AP3723" s="49"/>
      <c r="AQ3723" s="49"/>
      <c r="AR3723" s="49"/>
      <c r="AS3723" s="49"/>
      <c r="AT3723" s="49"/>
    </row>
    <row r="3724">
      <c r="A3724" s="51"/>
      <c r="B3724" s="50" t="s">
        <v>7623</v>
      </c>
      <c r="C3724" s="50" t="s">
        <v>6142</v>
      </c>
      <c r="D3724" s="49"/>
      <c r="E3724" s="49"/>
      <c r="F3724" s="49"/>
      <c r="G3724" s="49"/>
      <c r="H3724" s="54" t="str">
        <f t="shared" si="1"/>
        <v>du,</v>
      </c>
      <c r="I3724" s="50"/>
      <c r="J3724" s="50"/>
      <c r="K3724" s="50"/>
      <c r="L3724" s="50"/>
      <c r="M3724" s="50"/>
      <c r="N3724" s="50"/>
      <c r="O3724" s="49"/>
      <c r="P3724" s="49"/>
      <c r="Q3724" s="49"/>
      <c r="R3724" s="49"/>
      <c r="S3724" s="49"/>
      <c r="T3724" s="49"/>
      <c r="U3724" s="49"/>
      <c r="V3724" s="49"/>
      <c r="W3724" s="49"/>
      <c r="X3724" s="49"/>
      <c r="Y3724" s="49"/>
      <c r="Z3724" s="49"/>
      <c r="AB3724" s="49"/>
      <c r="AC3724" s="49"/>
      <c r="AD3724" s="49"/>
      <c r="AE3724" s="49"/>
      <c r="AF3724" s="49"/>
      <c r="AG3724" s="49"/>
      <c r="AH3724" s="49"/>
      <c r="AI3724" s="49"/>
      <c r="AJ3724" s="49"/>
      <c r="AK3724" s="49"/>
      <c r="AL3724" s="49"/>
      <c r="AM3724" s="49"/>
      <c r="AN3724" s="49"/>
      <c r="AP3724" s="49"/>
      <c r="AQ3724" s="49"/>
      <c r="AR3724" s="49"/>
      <c r="AS3724" s="49"/>
      <c r="AT3724" s="49"/>
    </row>
    <row r="3725">
      <c r="A3725" s="51"/>
      <c r="B3725" s="50" t="s">
        <v>498</v>
      </c>
      <c r="C3725" s="50" t="s">
        <v>6988</v>
      </c>
      <c r="D3725" s="49"/>
      <c r="E3725" s="49"/>
      <c r="F3725" s="49"/>
      <c r="G3725" s="49"/>
      <c r="H3725" s="54" t="str">
        <f t="shared" si="1"/>
        <v>musicians,</v>
      </c>
      <c r="I3725" s="50"/>
      <c r="J3725" s="50"/>
      <c r="K3725" s="50"/>
      <c r="L3725" s="50"/>
      <c r="M3725" s="50"/>
      <c r="N3725" s="50"/>
      <c r="O3725" s="49"/>
      <c r="P3725" s="49"/>
      <c r="Q3725" s="49"/>
      <c r="R3725" s="49"/>
      <c r="S3725" s="49"/>
      <c r="T3725" s="49"/>
      <c r="U3725" s="49"/>
      <c r="V3725" s="49"/>
      <c r="W3725" s="49"/>
      <c r="X3725" s="49"/>
      <c r="Y3725" s="49"/>
      <c r="Z3725" s="49"/>
      <c r="AB3725" s="49"/>
      <c r="AC3725" s="49"/>
      <c r="AD3725" s="49"/>
      <c r="AE3725" s="49"/>
      <c r="AF3725" s="49"/>
      <c r="AG3725" s="49"/>
      <c r="AH3725" s="49"/>
      <c r="AI3725" s="49"/>
      <c r="AJ3725" s="49"/>
      <c r="AK3725" s="49"/>
      <c r="AL3725" s="49"/>
      <c r="AM3725" s="49"/>
      <c r="AN3725" s="49"/>
      <c r="AP3725" s="49"/>
      <c r="AQ3725" s="49"/>
      <c r="AR3725" s="49"/>
      <c r="AS3725" s="49"/>
      <c r="AT3725" s="49"/>
    </row>
    <row r="3726">
      <c r="A3726" s="51"/>
      <c r="B3726" s="50" t="s">
        <v>4448</v>
      </c>
      <c r="C3726" s="50" t="s">
        <v>6989</v>
      </c>
      <c r="D3726" s="49"/>
      <c r="E3726" s="49"/>
      <c r="F3726" s="49"/>
      <c r="G3726" s="49"/>
      <c r="H3726" s="54" t="str">
        <f t="shared" si="1"/>
        <v>lightly,</v>
      </c>
      <c r="I3726" s="50"/>
      <c r="J3726" s="50"/>
      <c r="K3726" s="50"/>
      <c r="L3726" s="50"/>
      <c r="M3726" s="50"/>
      <c r="N3726" s="50"/>
      <c r="O3726" s="49"/>
      <c r="P3726" s="49"/>
      <c r="Q3726" s="49"/>
      <c r="R3726" s="49"/>
      <c r="S3726" s="49"/>
      <c r="T3726" s="49"/>
      <c r="U3726" s="49"/>
      <c r="V3726" s="49"/>
      <c r="W3726" s="49"/>
      <c r="X3726" s="49"/>
      <c r="Y3726" s="49"/>
      <c r="Z3726" s="49"/>
      <c r="AB3726" s="49"/>
      <c r="AC3726" s="49"/>
      <c r="AD3726" s="49"/>
      <c r="AE3726" s="49"/>
      <c r="AF3726" s="49"/>
      <c r="AG3726" s="49"/>
      <c r="AH3726" s="49"/>
      <c r="AI3726" s="49"/>
      <c r="AJ3726" s="49"/>
      <c r="AK3726" s="49"/>
      <c r="AL3726" s="49"/>
      <c r="AM3726" s="49"/>
      <c r="AN3726" s="49"/>
      <c r="AP3726" s="49"/>
      <c r="AQ3726" s="49"/>
      <c r="AR3726" s="49"/>
      <c r="AS3726" s="49"/>
      <c r="AT3726" s="49"/>
    </row>
    <row r="3727">
      <c r="A3727" s="51"/>
      <c r="B3727" s="50" t="s">
        <v>2375</v>
      </c>
      <c r="C3727" s="50" t="s">
        <v>1922</v>
      </c>
      <c r="D3727" s="49"/>
      <c r="E3727" s="49"/>
      <c r="F3727" s="49"/>
      <c r="G3727" s="49"/>
      <c r="H3727" s="54" t="str">
        <f t="shared" si="1"/>
        <v>aims,</v>
      </c>
      <c r="I3727" s="50"/>
      <c r="J3727" s="50"/>
      <c r="K3727" s="50"/>
      <c r="L3727" s="50"/>
      <c r="M3727" s="50"/>
      <c r="N3727" s="50"/>
      <c r="O3727" s="49"/>
      <c r="P3727" s="49"/>
      <c r="Q3727" s="49"/>
      <c r="R3727" s="49"/>
      <c r="S3727" s="49"/>
      <c r="T3727" s="49"/>
      <c r="U3727" s="49"/>
      <c r="V3727" s="49"/>
      <c r="W3727" s="49"/>
      <c r="X3727" s="49"/>
      <c r="Y3727" s="49"/>
      <c r="Z3727" s="49"/>
      <c r="AB3727" s="49"/>
      <c r="AC3727" s="49"/>
      <c r="AD3727" s="49"/>
      <c r="AE3727" s="49"/>
      <c r="AF3727" s="49"/>
      <c r="AG3727" s="49"/>
      <c r="AH3727" s="49"/>
      <c r="AI3727" s="49"/>
      <c r="AJ3727" s="49"/>
      <c r="AK3727" s="49"/>
      <c r="AL3727" s="49"/>
      <c r="AM3727" s="49"/>
      <c r="AN3727" s="49"/>
      <c r="AP3727" s="49"/>
      <c r="AQ3727" s="49"/>
      <c r="AR3727" s="49"/>
      <c r="AS3727" s="49"/>
      <c r="AT3727" s="49"/>
    </row>
    <row r="3728">
      <c r="A3728" s="51"/>
      <c r="B3728" s="50" t="s">
        <v>4953</v>
      </c>
      <c r="C3728" s="50" t="s">
        <v>6143</v>
      </c>
      <c r="D3728" s="49"/>
      <c r="E3728" s="49"/>
      <c r="F3728" s="49"/>
      <c r="G3728" s="49"/>
      <c r="H3728" s="54" t="str">
        <f t="shared" si="1"/>
        <v>paint,</v>
      </c>
      <c r="I3728" s="50"/>
      <c r="J3728" s="50"/>
      <c r="K3728" s="50"/>
      <c r="L3728" s="50"/>
      <c r="M3728" s="50"/>
      <c r="N3728" s="50"/>
      <c r="O3728" s="49"/>
      <c r="P3728" s="49"/>
      <c r="Q3728" s="49"/>
      <c r="R3728" s="49"/>
      <c r="S3728" s="49"/>
      <c r="T3728" s="49"/>
      <c r="U3728" s="49"/>
      <c r="V3728" s="49"/>
      <c r="W3728" s="49"/>
      <c r="X3728" s="49"/>
      <c r="Y3728" s="49"/>
      <c r="Z3728" s="49"/>
      <c r="AB3728" s="49"/>
      <c r="AC3728" s="49"/>
      <c r="AD3728" s="49"/>
      <c r="AE3728" s="49"/>
      <c r="AF3728" s="49"/>
      <c r="AG3728" s="49"/>
      <c r="AH3728" s="49"/>
      <c r="AI3728" s="49"/>
      <c r="AJ3728" s="49"/>
      <c r="AK3728" s="49"/>
      <c r="AL3728" s="49"/>
      <c r="AM3728" s="49"/>
      <c r="AN3728" s="49"/>
      <c r="AP3728" s="49"/>
      <c r="AQ3728" s="49"/>
      <c r="AR3728" s="49"/>
      <c r="AS3728" s="49"/>
      <c r="AT3728" s="49"/>
    </row>
    <row r="3729">
      <c r="A3729" s="51"/>
      <c r="B3729" s="50" t="s">
        <v>2384</v>
      </c>
      <c r="C3729" s="50" t="s">
        <v>2779</v>
      </c>
      <c r="D3729" s="49"/>
      <c r="E3729" s="49"/>
      <c r="F3729" s="49"/>
      <c r="G3729" s="49"/>
      <c r="H3729" s="54" t="str">
        <f t="shared" si="1"/>
        <v>wounds,</v>
      </c>
      <c r="I3729" s="50"/>
      <c r="J3729" s="50"/>
      <c r="K3729" s="50"/>
      <c r="L3729" s="50"/>
      <c r="M3729" s="50"/>
      <c r="N3729" s="50"/>
      <c r="O3729" s="49"/>
      <c r="P3729" s="49"/>
      <c r="Q3729" s="49"/>
      <c r="R3729" s="49"/>
      <c r="S3729" s="49"/>
      <c r="T3729" s="49"/>
      <c r="U3729" s="49"/>
      <c r="V3729" s="49"/>
      <c r="W3729" s="49"/>
      <c r="X3729" s="49"/>
      <c r="Y3729" s="49"/>
      <c r="Z3729" s="49"/>
      <c r="AB3729" s="49"/>
      <c r="AC3729" s="49"/>
      <c r="AD3729" s="49"/>
      <c r="AE3729" s="49"/>
      <c r="AF3729" s="49"/>
      <c r="AG3729" s="49"/>
      <c r="AH3729" s="49"/>
      <c r="AI3729" s="49"/>
      <c r="AJ3729" s="49"/>
      <c r="AK3729" s="49"/>
      <c r="AL3729" s="49"/>
      <c r="AM3729" s="49"/>
      <c r="AN3729" s="49"/>
      <c r="AP3729" s="49"/>
      <c r="AQ3729" s="49"/>
      <c r="AR3729" s="49"/>
      <c r="AS3729" s="49"/>
      <c r="AT3729" s="49"/>
    </row>
    <row r="3730">
      <c r="A3730" s="51"/>
      <c r="B3730" s="50" t="s">
        <v>4809</v>
      </c>
      <c r="C3730" s="50" t="s">
        <v>5117</v>
      </c>
      <c r="D3730" s="49"/>
      <c r="E3730" s="49"/>
      <c r="F3730" s="49"/>
      <c r="G3730" s="49"/>
      <c r="H3730" s="54" t="str">
        <f t="shared" si="1"/>
        <v>dimensional,</v>
      </c>
      <c r="I3730" s="50"/>
      <c r="J3730" s="50"/>
      <c r="K3730" s="50"/>
      <c r="L3730" s="50"/>
      <c r="M3730" s="50"/>
      <c r="N3730" s="50"/>
      <c r="O3730" s="49"/>
      <c r="P3730" s="49"/>
      <c r="Q3730" s="49"/>
      <c r="R3730" s="49"/>
      <c r="S3730" s="49"/>
      <c r="T3730" s="49"/>
      <c r="U3730" s="49"/>
      <c r="V3730" s="49"/>
      <c r="W3730" s="49"/>
      <c r="X3730" s="49"/>
      <c r="Y3730" s="49"/>
      <c r="Z3730" s="49"/>
      <c r="AB3730" s="49"/>
      <c r="AC3730" s="49"/>
      <c r="AD3730" s="49"/>
      <c r="AE3730" s="49"/>
      <c r="AF3730" s="49"/>
      <c r="AG3730" s="49"/>
      <c r="AH3730" s="49"/>
      <c r="AI3730" s="49"/>
      <c r="AJ3730" s="49"/>
      <c r="AK3730" s="49"/>
      <c r="AL3730" s="49"/>
      <c r="AM3730" s="49"/>
      <c r="AN3730" s="49"/>
      <c r="AP3730" s="49"/>
      <c r="AQ3730" s="49"/>
      <c r="AR3730" s="49"/>
      <c r="AS3730" s="49"/>
      <c r="AT3730" s="49"/>
    </row>
    <row r="3731">
      <c r="A3731" s="51"/>
      <c r="B3731" s="50" t="s">
        <v>5130</v>
      </c>
      <c r="C3731" s="50" t="s">
        <v>7127</v>
      </c>
      <c r="D3731" s="49"/>
      <c r="E3731" s="49"/>
      <c r="F3731" s="49"/>
      <c r="G3731" s="49"/>
      <c r="H3731" s="54" t="str">
        <f t="shared" si="1"/>
        <v>anger,</v>
      </c>
      <c r="I3731" s="50"/>
      <c r="J3731" s="50"/>
      <c r="K3731" s="50"/>
      <c r="L3731" s="50"/>
      <c r="M3731" s="50"/>
      <c r="N3731" s="50"/>
      <c r="O3731" s="49"/>
      <c r="P3731" s="49"/>
      <c r="Q3731" s="49"/>
      <c r="R3731" s="49"/>
      <c r="S3731" s="49"/>
      <c r="T3731" s="49"/>
      <c r="U3731" s="49"/>
      <c r="V3731" s="49"/>
      <c r="W3731" s="49"/>
      <c r="X3731" s="49"/>
      <c r="Y3731" s="49"/>
      <c r="Z3731" s="49"/>
      <c r="AB3731" s="49"/>
      <c r="AC3731" s="49"/>
      <c r="AD3731" s="49"/>
      <c r="AE3731" s="49"/>
      <c r="AF3731" s="49"/>
      <c r="AG3731" s="49"/>
      <c r="AH3731" s="49"/>
      <c r="AI3731" s="49"/>
      <c r="AJ3731" s="49"/>
      <c r="AK3731" s="49"/>
      <c r="AL3731" s="49"/>
      <c r="AM3731" s="49"/>
      <c r="AN3731" s="49"/>
      <c r="AP3731" s="49"/>
      <c r="AQ3731" s="49"/>
      <c r="AR3731" s="49"/>
      <c r="AS3731" s="49"/>
      <c r="AT3731" s="49"/>
    </row>
    <row r="3732">
      <c r="A3732" s="51"/>
      <c r="B3732" s="50" t="s">
        <v>3601</v>
      </c>
      <c r="C3732" s="50" t="s">
        <v>3773</v>
      </c>
      <c r="D3732" s="49"/>
      <c r="E3732" s="49"/>
      <c r="F3732" s="49"/>
      <c r="G3732" s="49"/>
      <c r="H3732" s="54" t="str">
        <f t="shared" si="1"/>
        <v>clouds,</v>
      </c>
      <c r="I3732" s="50"/>
      <c r="J3732" s="50"/>
      <c r="K3732" s="50"/>
      <c r="L3732" s="50"/>
      <c r="M3732" s="50"/>
      <c r="N3732" s="50"/>
      <c r="O3732" s="49"/>
      <c r="P3732" s="49"/>
      <c r="Q3732" s="49"/>
      <c r="R3732" s="49"/>
      <c r="S3732" s="49"/>
      <c r="T3732" s="49"/>
      <c r="U3732" s="49"/>
      <c r="V3732" s="49"/>
      <c r="W3732" s="49"/>
      <c r="X3732" s="49"/>
      <c r="Y3732" s="49"/>
      <c r="Z3732" s="49"/>
      <c r="AB3732" s="49"/>
      <c r="AC3732" s="49"/>
      <c r="AD3732" s="49"/>
      <c r="AE3732" s="49"/>
      <c r="AF3732" s="49"/>
      <c r="AG3732" s="49"/>
      <c r="AH3732" s="49"/>
      <c r="AI3732" s="49"/>
      <c r="AJ3732" s="49"/>
      <c r="AK3732" s="49"/>
      <c r="AL3732" s="49"/>
      <c r="AM3732" s="49"/>
      <c r="AN3732" s="49"/>
      <c r="AP3732" s="49"/>
      <c r="AQ3732" s="49"/>
      <c r="AR3732" s="49"/>
      <c r="AS3732" s="49"/>
      <c r="AT3732" s="49"/>
    </row>
    <row r="3733">
      <c r="A3733" s="51"/>
      <c r="B3733" s="50">
        <v>52.0</v>
      </c>
      <c r="C3733" s="50" t="s">
        <v>3746</v>
      </c>
      <c r="D3733" s="49"/>
      <c r="E3733" s="49"/>
      <c r="F3733" s="49"/>
      <c r="G3733" s="49"/>
      <c r="H3733" s="54" t="str">
        <f t="shared" si="1"/>
        <v>52,</v>
      </c>
      <c r="I3733" s="50"/>
      <c r="J3733" s="50"/>
      <c r="K3733" s="50"/>
      <c r="L3733" s="50"/>
      <c r="M3733" s="50"/>
      <c r="N3733" s="50"/>
      <c r="O3733" s="49"/>
      <c r="P3733" s="49"/>
      <c r="Q3733" s="49"/>
      <c r="R3733" s="49"/>
      <c r="S3733" s="49"/>
      <c r="T3733" s="49"/>
      <c r="U3733" s="49"/>
      <c r="V3733" s="49"/>
      <c r="W3733" s="49"/>
      <c r="X3733" s="49"/>
      <c r="Y3733" s="49"/>
      <c r="Z3733" s="49"/>
      <c r="AB3733" s="49"/>
      <c r="AC3733" s="49"/>
      <c r="AD3733" s="49"/>
      <c r="AE3733" s="49"/>
      <c r="AF3733" s="49"/>
      <c r="AG3733" s="49"/>
      <c r="AH3733" s="49"/>
      <c r="AI3733" s="49"/>
      <c r="AJ3733" s="49"/>
      <c r="AK3733" s="49"/>
      <c r="AL3733" s="49"/>
      <c r="AM3733" s="49"/>
      <c r="AN3733" s="49"/>
      <c r="AP3733" s="49"/>
      <c r="AQ3733" s="49"/>
      <c r="AR3733" s="49"/>
      <c r="AS3733" s="49"/>
      <c r="AT3733" s="49"/>
    </row>
    <row r="3734">
      <c r="A3734" s="51"/>
      <c r="B3734" s="50" t="s">
        <v>1889</v>
      </c>
      <c r="C3734" s="50" t="s">
        <v>4849</v>
      </c>
      <c r="D3734" s="49"/>
      <c r="E3734" s="49"/>
      <c r="F3734" s="49"/>
      <c r="G3734" s="49"/>
      <c r="H3734" s="54" t="str">
        <f t="shared" si="1"/>
        <v>distinguished,</v>
      </c>
      <c r="I3734" s="50"/>
      <c r="J3734" s="50"/>
      <c r="K3734" s="50"/>
      <c r="L3734" s="50"/>
      <c r="M3734" s="50"/>
      <c r="N3734" s="50"/>
      <c r="O3734" s="49"/>
      <c r="P3734" s="49"/>
      <c r="Q3734" s="49"/>
      <c r="R3734" s="49"/>
      <c r="S3734" s="49"/>
      <c r="T3734" s="49"/>
      <c r="U3734" s="49"/>
      <c r="V3734" s="49"/>
      <c r="W3734" s="49"/>
      <c r="X3734" s="49"/>
      <c r="Y3734" s="49"/>
      <c r="Z3734" s="49"/>
      <c r="AB3734" s="49"/>
      <c r="AC3734" s="49"/>
      <c r="AD3734" s="49"/>
      <c r="AE3734" s="49"/>
      <c r="AF3734" s="49"/>
      <c r="AG3734" s="49"/>
      <c r="AH3734" s="49"/>
      <c r="AI3734" s="49"/>
      <c r="AJ3734" s="49"/>
      <c r="AK3734" s="49"/>
      <c r="AL3734" s="49"/>
      <c r="AM3734" s="49"/>
      <c r="AN3734" s="49"/>
      <c r="AP3734" s="49"/>
      <c r="AQ3734" s="49"/>
      <c r="AR3734" s="49"/>
      <c r="AS3734" s="49"/>
      <c r="AT3734" s="49"/>
    </row>
    <row r="3735">
      <c r="A3735" s="51"/>
      <c r="B3735" s="50" t="s">
        <v>6949</v>
      </c>
      <c r="C3735" s="50" t="s">
        <v>5797</v>
      </c>
      <c r="D3735" s="49"/>
      <c r="E3735" s="49"/>
      <c r="F3735" s="49"/>
      <c r="G3735" s="49"/>
      <c r="H3735" s="54" t="str">
        <f t="shared" si="1"/>
        <v>principal,</v>
      </c>
      <c r="I3735" s="50"/>
      <c r="J3735" s="50"/>
      <c r="K3735" s="50"/>
      <c r="L3735" s="50"/>
      <c r="M3735" s="50"/>
      <c r="N3735" s="50"/>
      <c r="O3735" s="49"/>
      <c r="P3735" s="49"/>
      <c r="Q3735" s="49"/>
      <c r="R3735" s="49"/>
      <c r="S3735" s="49"/>
      <c r="T3735" s="49"/>
      <c r="U3735" s="49"/>
      <c r="V3735" s="49"/>
      <c r="W3735" s="49"/>
      <c r="X3735" s="49"/>
      <c r="Y3735" s="49"/>
      <c r="Z3735" s="49"/>
      <c r="AB3735" s="49"/>
      <c r="AC3735" s="49"/>
      <c r="AD3735" s="49"/>
      <c r="AE3735" s="49"/>
      <c r="AF3735" s="49"/>
      <c r="AG3735" s="49"/>
      <c r="AH3735" s="49"/>
      <c r="AI3735" s="49"/>
      <c r="AJ3735" s="49"/>
      <c r="AK3735" s="49"/>
      <c r="AL3735" s="49"/>
      <c r="AM3735" s="49"/>
      <c r="AN3735" s="49"/>
      <c r="AP3735" s="49"/>
      <c r="AQ3735" s="49"/>
      <c r="AR3735" s="49"/>
      <c r="AS3735" s="49"/>
      <c r="AT3735" s="49"/>
    </row>
    <row r="3736">
      <c r="A3736" s="51"/>
      <c r="B3736" s="50" t="s">
        <v>2809</v>
      </c>
      <c r="C3736" s="50" t="s">
        <v>7128</v>
      </c>
      <c r="D3736" s="49"/>
      <c r="E3736" s="49"/>
      <c r="F3736" s="49"/>
      <c r="G3736" s="49"/>
      <c r="H3736" s="54" t="str">
        <f t="shared" si="1"/>
        <v>scope,</v>
      </c>
      <c r="I3736" s="50"/>
      <c r="J3736" s="50"/>
      <c r="K3736" s="50"/>
      <c r="L3736" s="50"/>
      <c r="M3736" s="50"/>
      <c r="N3736" s="50"/>
      <c r="O3736" s="49"/>
      <c r="P3736" s="49"/>
      <c r="Q3736" s="49"/>
      <c r="R3736" s="49"/>
      <c r="S3736" s="49"/>
      <c r="T3736" s="49"/>
      <c r="U3736" s="49"/>
      <c r="V3736" s="49"/>
      <c r="W3736" s="49"/>
      <c r="X3736" s="49"/>
      <c r="Y3736" s="49"/>
      <c r="Z3736" s="49"/>
      <c r="AB3736" s="49"/>
      <c r="AC3736" s="49"/>
      <c r="AD3736" s="49"/>
      <c r="AE3736" s="49"/>
      <c r="AF3736" s="49"/>
      <c r="AG3736" s="49"/>
      <c r="AH3736" s="49"/>
      <c r="AI3736" s="49"/>
      <c r="AJ3736" s="49"/>
      <c r="AK3736" s="49"/>
      <c r="AL3736" s="49"/>
      <c r="AM3736" s="49"/>
      <c r="AN3736" s="49"/>
      <c r="AP3736" s="49"/>
      <c r="AQ3736" s="49"/>
      <c r="AR3736" s="49"/>
      <c r="AS3736" s="49"/>
      <c r="AT3736" s="49"/>
    </row>
    <row r="3737">
      <c r="A3737" s="51"/>
      <c r="B3737" s="50" t="s">
        <v>4467</v>
      </c>
      <c r="C3737" s="50" t="s">
        <v>6991</v>
      </c>
      <c r="D3737" s="49"/>
      <c r="E3737" s="49"/>
      <c r="F3737" s="49"/>
      <c r="G3737" s="49"/>
      <c r="H3737" s="54" t="str">
        <f t="shared" si="1"/>
        <v>controversy,</v>
      </c>
      <c r="I3737" s="50"/>
      <c r="J3737" s="50"/>
      <c r="K3737" s="50"/>
      <c r="L3737" s="50"/>
      <c r="M3737" s="50"/>
      <c r="N3737" s="50"/>
      <c r="O3737" s="49"/>
      <c r="P3737" s="49"/>
      <c r="Q3737" s="49"/>
      <c r="R3737" s="49"/>
      <c r="S3737" s="49"/>
      <c r="T3737" s="49"/>
      <c r="U3737" s="49"/>
      <c r="V3737" s="49"/>
      <c r="W3737" s="49"/>
      <c r="X3737" s="49"/>
      <c r="Y3737" s="49"/>
      <c r="Z3737" s="49"/>
      <c r="AB3737" s="49"/>
      <c r="AC3737" s="49"/>
      <c r="AD3737" s="49"/>
      <c r="AE3737" s="49"/>
      <c r="AF3737" s="49"/>
      <c r="AG3737" s="49"/>
      <c r="AH3737" s="49"/>
      <c r="AI3737" s="49"/>
      <c r="AJ3737" s="49"/>
      <c r="AK3737" s="49"/>
      <c r="AL3737" s="49"/>
      <c r="AM3737" s="49"/>
      <c r="AN3737" s="49"/>
      <c r="AP3737" s="49"/>
      <c r="AQ3737" s="49"/>
      <c r="AR3737" s="49"/>
      <c r="AS3737" s="49"/>
      <c r="AT3737" s="49"/>
    </row>
    <row r="3738">
      <c r="A3738" s="51"/>
      <c r="B3738" s="50" t="s">
        <v>1643</v>
      </c>
      <c r="C3738" s="50" t="s">
        <v>3596</v>
      </c>
      <c r="D3738" s="49"/>
      <c r="E3738" s="49"/>
      <c r="F3738" s="49"/>
      <c r="G3738" s="49"/>
      <c r="H3738" s="54" t="str">
        <f t="shared" si="1"/>
        <v>precious,</v>
      </c>
      <c r="I3738" s="50"/>
      <c r="J3738" s="50"/>
      <c r="K3738" s="50"/>
      <c r="L3738" s="50"/>
      <c r="M3738" s="50"/>
      <c r="N3738" s="50"/>
      <c r="O3738" s="49"/>
      <c r="P3738" s="49"/>
      <c r="Q3738" s="49"/>
      <c r="R3738" s="49"/>
      <c r="S3738" s="49"/>
      <c r="T3738" s="49"/>
      <c r="U3738" s="49"/>
      <c r="V3738" s="49"/>
      <c r="W3738" s="49"/>
      <c r="X3738" s="49"/>
      <c r="Y3738" s="49"/>
      <c r="Z3738" s="49"/>
      <c r="AB3738" s="49"/>
      <c r="AC3738" s="49"/>
      <c r="AD3738" s="49"/>
      <c r="AE3738" s="49"/>
      <c r="AF3738" s="49"/>
      <c r="AG3738" s="49"/>
      <c r="AH3738" s="49"/>
      <c r="AI3738" s="49"/>
      <c r="AJ3738" s="49"/>
      <c r="AK3738" s="49"/>
      <c r="AL3738" s="49"/>
      <c r="AM3738" s="49"/>
      <c r="AN3738" s="49"/>
      <c r="AP3738" s="49"/>
      <c r="AQ3738" s="49"/>
      <c r="AR3738" s="49"/>
      <c r="AS3738" s="49"/>
      <c r="AT3738" s="49"/>
    </row>
    <row r="3739">
      <c r="A3739" s="51"/>
      <c r="B3739" s="50" t="s">
        <v>4338</v>
      </c>
      <c r="C3739" s="50" t="s">
        <v>4858</v>
      </c>
      <c r="D3739" s="49"/>
      <c r="E3739" s="49"/>
      <c r="F3739" s="49"/>
      <c r="G3739" s="49"/>
      <c r="H3739" s="54" t="str">
        <f t="shared" si="1"/>
        <v>lock,</v>
      </c>
      <c r="I3739" s="50"/>
      <c r="J3739" s="50"/>
      <c r="K3739" s="50"/>
      <c r="L3739" s="50"/>
      <c r="M3739" s="50"/>
      <c r="N3739" s="50"/>
      <c r="O3739" s="49"/>
      <c r="P3739" s="49"/>
      <c r="Q3739" s="49"/>
      <c r="R3739" s="49"/>
      <c r="S3739" s="49"/>
      <c r="T3739" s="49"/>
      <c r="U3739" s="49"/>
      <c r="V3739" s="49"/>
      <c r="W3739" s="49"/>
      <c r="X3739" s="49"/>
      <c r="Y3739" s="49"/>
      <c r="Z3739" s="49"/>
      <c r="AB3739" s="49"/>
      <c r="AC3739" s="49"/>
      <c r="AD3739" s="49"/>
      <c r="AE3739" s="49"/>
      <c r="AF3739" s="49"/>
      <c r="AG3739" s="49"/>
      <c r="AH3739" s="49"/>
      <c r="AI3739" s="49"/>
      <c r="AJ3739" s="49"/>
      <c r="AK3739" s="49"/>
      <c r="AL3739" s="49"/>
      <c r="AM3739" s="49"/>
      <c r="AN3739" s="49"/>
      <c r="AP3739" s="49"/>
      <c r="AQ3739" s="49"/>
      <c r="AR3739" s="49"/>
      <c r="AS3739" s="49"/>
      <c r="AT3739" s="49"/>
    </row>
    <row r="3740">
      <c r="A3740" s="51"/>
      <c r="B3740" s="50">
        <v>84.0</v>
      </c>
      <c r="C3740" s="50" t="s">
        <v>3930</v>
      </c>
      <c r="D3740" s="49"/>
      <c r="E3740" s="49"/>
      <c r="F3740" s="49"/>
      <c r="G3740" s="49"/>
      <c r="H3740" s="54" t="str">
        <f t="shared" si="1"/>
        <v>84,</v>
      </c>
      <c r="I3740" s="50"/>
      <c r="J3740" s="50"/>
      <c r="K3740" s="50"/>
      <c r="L3740" s="50"/>
      <c r="M3740" s="50"/>
      <c r="N3740" s="50"/>
      <c r="O3740" s="49"/>
      <c r="P3740" s="49"/>
      <c r="Q3740" s="49"/>
      <c r="R3740" s="49"/>
      <c r="S3740" s="49"/>
      <c r="T3740" s="49"/>
      <c r="U3740" s="49"/>
      <c r="V3740" s="49"/>
      <c r="W3740" s="49"/>
      <c r="X3740" s="49"/>
      <c r="Y3740" s="49"/>
      <c r="Z3740" s="49"/>
      <c r="AB3740" s="49"/>
      <c r="AC3740" s="49"/>
      <c r="AD3740" s="49"/>
      <c r="AE3740" s="49"/>
      <c r="AF3740" s="49"/>
      <c r="AG3740" s="49"/>
      <c r="AH3740" s="49"/>
      <c r="AI3740" s="49"/>
      <c r="AJ3740" s="49"/>
      <c r="AK3740" s="49"/>
      <c r="AL3740" s="49"/>
      <c r="AM3740" s="49"/>
      <c r="AN3740" s="49"/>
      <c r="AP3740" s="49"/>
      <c r="AQ3740" s="49"/>
      <c r="AR3740" s="49"/>
      <c r="AS3740" s="49"/>
      <c r="AT3740" s="49"/>
    </row>
    <row r="3741">
      <c r="A3741" s="51"/>
      <c r="B3741" s="50" t="s">
        <v>6842</v>
      </c>
      <c r="C3741" s="50">
        <v>1975.0</v>
      </c>
      <c r="D3741" s="49"/>
      <c r="E3741" s="49"/>
      <c r="F3741" s="49"/>
      <c r="G3741" s="49"/>
      <c r="H3741" s="54" t="str">
        <f t="shared" si="1"/>
        <v>earned,</v>
      </c>
      <c r="I3741" s="50"/>
      <c r="J3741" s="50"/>
      <c r="K3741" s="50"/>
      <c r="L3741" s="50"/>
      <c r="M3741" s="50"/>
      <c r="N3741" s="50"/>
      <c r="O3741" s="49"/>
      <c r="P3741" s="49"/>
      <c r="Q3741" s="49"/>
      <c r="R3741" s="49"/>
      <c r="S3741" s="49"/>
      <c r="T3741" s="49"/>
      <c r="U3741" s="49"/>
      <c r="V3741" s="49"/>
      <c r="W3741" s="49"/>
      <c r="X3741" s="49"/>
      <c r="Y3741" s="49"/>
      <c r="Z3741" s="49"/>
      <c r="AB3741" s="49"/>
      <c r="AC3741" s="49"/>
      <c r="AD3741" s="49"/>
      <c r="AE3741" s="49"/>
      <c r="AF3741" s="49"/>
      <c r="AG3741" s="49"/>
      <c r="AH3741" s="49"/>
      <c r="AI3741" s="49"/>
      <c r="AJ3741" s="49"/>
      <c r="AK3741" s="49"/>
      <c r="AL3741" s="49"/>
      <c r="AM3741" s="49"/>
      <c r="AN3741" s="49"/>
      <c r="AP3741" s="49"/>
      <c r="AQ3741" s="49"/>
      <c r="AR3741" s="49"/>
      <c r="AS3741" s="49"/>
      <c r="AT3741" s="49"/>
    </row>
    <row r="3742">
      <c r="A3742" s="51"/>
      <c r="B3742" s="50" t="s">
        <v>6909</v>
      </c>
      <c r="C3742" s="50" t="s">
        <v>5750</v>
      </c>
      <c r="D3742" s="49"/>
      <c r="E3742" s="49"/>
      <c r="F3742" s="49"/>
      <c r="G3742" s="49"/>
      <c r="H3742" s="54" t="str">
        <f t="shared" si="1"/>
        <v>lit,</v>
      </c>
      <c r="I3742" s="50"/>
      <c r="J3742" s="50"/>
      <c r="K3742" s="50"/>
      <c r="L3742" s="50"/>
      <c r="M3742" s="50"/>
      <c r="N3742" s="50"/>
      <c r="O3742" s="49"/>
      <c r="P3742" s="49"/>
      <c r="Q3742" s="49"/>
      <c r="R3742" s="49"/>
      <c r="S3742" s="49"/>
      <c r="T3742" s="49"/>
      <c r="U3742" s="49"/>
      <c r="V3742" s="49"/>
      <c r="W3742" s="49"/>
      <c r="X3742" s="49"/>
      <c r="Y3742" s="49"/>
      <c r="Z3742" s="49"/>
      <c r="AB3742" s="49"/>
      <c r="AC3742" s="49"/>
      <c r="AD3742" s="49"/>
      <c r="AE3742" s="49"/>
      <c r="AF3742" s="49"/>
      <c r="AG3742" s="49"/>
      <c r="AH3742" s="49"/>
      <c r="AI3742" s="49"/>
      <c r="AJ3742" s="49"/>
      <c r="AK3742" s="49"/>
      <c r="AL3742" s="49"/>
      <c r="AM3742" s="49"/>
      <c r="AN3742" s="49"/>
      <c r="AP3742" s="49"/>
      <c r="AQ3742" s="49"/>
      <c r="AR3742" s="49"/>
      <c r="AS3742" s="49"/>
      <c r="AT3742" s="49"/>
    </row>
    <row r="3743">
      <c r="A3743" s="51"/>
      <c r="B3743" s="50" t="s">
        <v>5655</v>
      </c>
      <c r="C3743" s="50" t="s">
        <v>5684</v>
      </c>
      <c r="D3743" s="49"/>
      <c r="E3743" s="49"/>
      <c r="F3743" s="49"/>
      <c r="G3743" s="49"/>
      <c r="H3743" s="54" t="str">
        <f t="shared" si="1"/>
        <v>venice,</v>
      </c>
      <c r="I3743" s="50"/>
      <c r="J3743" s="50"/>
      <c r="K3743" s="50"/>
      <c r="L3743" s="50"/>
      <c r="M3743" s="50"/>
      <c r="N3743" s="50"/>
      <c r="O3743" s="49"/>
      <c r="P3743" s="49"/>
      <c r="Q3743" s="49"/>
      <c r="R3743" s="49"/>
      <c r="S3743" s="49"/>
      <c r="T3743" s="49"/>
      <c r="U3743" s="49"/>
      <c r="V3743" s="49"/>
      <c r="W3743" s="49"/>
      <c r="X3743" s="49"/>
      <c r="Y3743" s="49"/>
      <c r="Z3743" s="49"/>
      <c r="AB3743" s="49"/>
      <c r="AC3743" s="49"/>
      <c r="AD3743" s="49"/>
      <c r="AE3743" s="49"/>
      <c r="AF3743" s="49"/>
      <c r="AG3743" s="49"/>
      <c r="AH3743" s="49"/>
      <c r="AI3743" s="49"/>
      <c r="AJ3743" s="49"/>
      <c r="AK3743" s="49"/>
      <c r="AL3743" s="49"/>
      <c r="AM3743" s="49"/>
      <c r="AN3743" s="49"/>
      <c r="AP3743" s="49"/>
      <c r="AQ3743" s="49"/>
      <c r="AR3743" s="49"/>
      <c r="AS3743" s="49"/>
      <c r="AT3743" s="49"/>
    </row>
    <row r="3744">
      <c r="A3744" s="51"/>
      <c r="B3744" s="50" t="s">
        <v>7574</v>
      </c>
      <c r="C3744" s="50" t="s">
        <v>3836</v>
      </c>
      <c r="D3744" s="49"/>
      <c r="E3744" s="49"/>
      <c r="F3744" s="49"/>
      <c r="G3744" s="49"/>
      <c r="H3744" s="54" t="str">
        <f t="shared" si="1"/>
        <v>gen,</v>
      </c>
      <c r="I3744" s="50"/>
      <c r="J3744" s="50"/>
      <c r="K3744" s="50"/>
      <c r="L3744" s="50"/>
      <c r="M3744" s="50"/>
      <c r="N3744" s="50"/>
      <c r="O3744" s="49"/>
      <c r="P3744" s="49"/>
      <c r="Q3744" s="49"/>
      <c r="R3744" s="49"/>
      <c r="S3744" s="49"/>
      <c r="T3744" s="49"/>
      <c r="U3744" s="49"/>
      <c r="V3744" s="49"/>
      <c r="W3744" s="49"/>
      <c r="X3744" s="49"/>
      <c r="Y3744" s="49"/>
      <c r="Z3744" s="49"/>
      <c r="AB3744" s="49"/>
      <c r="AC3744" s="49"/>
      <c r="AD3744" s="49"/>
      <c r="AE3744" s="49"/>
      <c r="AF3744" s="49"/>
      <c r="AG3744" s="49"/>
      <c r="AH3744" s="49"/>
      <c r="AI3744" s="49"/>
      <c r="AJ3744" s="49"/>
      <c r="AK3744" s="49"/>
      <c r="AL3744" s="49"/>
      <c r="AM3744" s="49"/>
      <c r="AN3744" s="49"/>
      <c r="AP3744" s="49"/>
      <c r="AQ3744" s="49"/>
      <c r="AR3744" s="49"/>
      <c r="AS3744" s="49"/>
      <c r="AT3744" s="49"/>
    </row>
    <row r="3745">
      <c r="A3745" s="51"/>
      <c r="B3745" s="50" t="s">
        <v>2324</v>
      </c>
      <c r="C3745" s="50" t="s">
        <v>6992</v>
      </c>
      <c r="D3745" s="49"/>
      <c r="E3745" s="49"/>
      <c r="F3745" s="49"/>
      <c r="G3745" s="49"/>
      <c r="H3745" s="54" t="str">
        <f t="shared" si="1"/>
        <v>origins,</v>
      </c>
      <c r="I3745" s="50"/>
      <c r="J3745" s="50"/>
      <c r="K3745" s="50"/>
      <c r="L3745" s="50"/>
      <c r="M3745" s="50"/>
      <c r="N3745" s="50"/>
      <c r="O3745" s="49"/>
      <c r="P3745" s="49"/>
      <c r="Q3745" s="49"/>
      <c r="R3745" s="49"/>
      <c r="S3745" s="49"/>
      <c r="T3745" s="49"/>
      <c r="U3745" s="49"/>
      <c r="V3745" s="49"/>
      <c r="W3745" s="49"/>
      <c r="X3745" s="49"/>
      <c r="Y3745" s="49"/>
      <c r="Z3745" s="49"/>
      <c r="AB3745" s="49"/>
      <c r="AC3745" s="49"/>
      <c r="AD3745" s="49"/>
      <c r="AE3745" s="49"/>
      <c r="AF3745" s="49"/>
      <c r="AG3745" s="49"/>
      <c r="AH3745" s="49"/>
      <c r="AI3745" s="49"/>
      <c r="AJ3745" s="49"/>
      <c r="AK3745" s="49"/>
      <c r="AL3745" s="49"/>
      <c r="AM3745" s="49"/>
      <c r="AN3745" s="49"/>
      <c r="AP3745" s="49"/>
      <c r="AQ3745" s="49"/>
      <c r="AR3745" s="49"/>
      <c r="AS3745" s="49"/>
      <c r="AT3745" s="49"/>
    </row>
    <row r="3746">
      <c r="A3746" s="51"/>
      <c r="B3746" s="50" t="s">
        <v>7104</v>
      </c>
      <c r="C3746" s="50" t="s">
        <v>6993</v>
      </c>
      <c r="D3746" s="49"/>
      <c r="E3746" s="49"/>
      <c r="F3746" s="49"/>
      <c r="G3746" s="49"/>
      <c r="H3746" s="54" t="str">
        <f t="shared" si="1"/>
        <v>emergency,</v>
      </c>
      <c r="I3746" s="50"/>
      <c r="J3746" s="50"/>
      <c r="K3746" s="50"/>
      <c r="L3746" s="50"/>
      <c r="M3746" s="50"/>
      <c r="N3746" s="50"/>
      <c r="O3746" s="49"/>
      <c r="P3746" s="49"/>
      <c r="Q3746" s="49"/>
      <c r="R3746" s="49"/>
      <c r="S3746" s="49"/>
      <c r="T3746" s="49"/>
      <c r="U3746" s="49"/>
      <c r="V3746" s="49"/>
      <c r="W3746" s="49"/>
      <c r="X3746" s="49"/>
      <c r="Y3746" s="49"/>
      <c r="Z3746" s="49"/>
      <c r="AB3746" s="49"/>
      <c r="AC3746" s="49"/>
      <c r="AD3746" s="49"/>
      <c r="AE3746" s="49"/>
      <c r="AF3746" s="49"/>
      <c r="AG3746" s="49"/>
      <c r="AH3746" s="49"/>
      <c r="AI3746" s="49"/>
      <c r="AJ3746" s="49"/>
      <c r="AK3746" s="49"/>
      <c r="AL3746" s="49"/>
      <c r="AM3746" s="49"/>
      <c r="AN3746" s="49"/>
      <c r="AP3746" s="49"/>
      <c r="AQ3746" s="49"/>
      <c r="AR3746" s="49"/>
      <c r="AS3746" s="49"/>
      <c r="AT3746" s="49"/>
    </row>
    <row r="3747">
      <c r="A3747" s="51"/>
      <c r="B3747" s="50" t="s">
        <v>4275</v>
      </c>
      <c r="C3747" s="50" t="s">
        <v>4863</v>
      </c>
      <c r="D3747" s="49"/>
      <c r="E3747" s="49"/>
      <c r="F3747" s="49"/>
      <c r="G3747" s="49"/>
      <c r="H3747" s="54" t="str">
        <f t="shared" si="1"/>
        <v>yard,</v>
      </c>
      <c r="I3747" s="50"/>
      <c r="J3747" s="50"/>
      <c r="K3747" s="50"/>
      <c r="L3747" s="50"/>
      <c r="M3747" s="50"/>
      <c r="N3747" s="50"/>
      <c r="O3747" s="49"/>
      <c r="P3747" s="49"/>
      <c r="Q3747" s="49"/>
      <c r="R3747" s="49"/>
      <c r="S3747" s="49"/>
      <c r="T3747" s="49"/>
      <c r="U3747" s="49"/>
      <c r="V3747" s="49"/>
      <c r="W3747" s="49"/>
      <c r="X3747" s="49"/>
      <c r="Y3747" s="49"/>
      <c r="Z3747" s="49"/>
      <c r="AB3747" s="49"/>
      <c r="AC3747" s="49"/>
      <c r="AD3747" s="49"/>
      <c r="AE3747" s="49"/>
      <c r="AF3747" s="49"/>
      <c r="AG3747" s="49"/>
      <c r="AH3747" s="49"/>
      <c r="AI3747" s="49"/>
      <c r="AJ3747" s="49"/>
      <c r="AK3747" s="49"/>
      <c r="AL3747" s="49"/>
      <c r="AM3747" s="49"/>
      <c r="AN3747" s="49"/>
      <c r="AP3747" s="49"/>
      <c r="AQ3747" s="49"/>
      <c r="AR3747" s="49"/>
      <c r="AS3747" s="49"/>
      <c r="AT3747" s="49"/>
    </row>
    <row r="3748">
      <c r="A3748" s="51"/>
      <c r="B3748" s="50" t="s">
        <v>7702</v>
      </c>
      <c r="C3748" s="50" t="s">
        <v>7129</v>
      </c>
      <c r="D3748" s="49"/>
      <c r="E3748" s="49"/>
      <c r="F3748" s="49"/>
      <c r="G3748" s="49"/>
      <c r="H3748" s="54" t="str">
        <f t="shared" si="1"/>
        <v>stadium,</v>
      </c>
      <c r="I3748" s="50"/>
      <c r="J3748" s="50"/>
      <c r="K3748" s="50"/>
      <c r="L3748" s="50"/>
      <c r="M3748" s="50"/>
      <c r="N3748" s="50"/>
      <c r="O3748" s="49"/>
      <c r="P3748" s="49"/>
      <c r="Q3748" s="49"/>
      <c r="R3748" s="49"/>
      <c r="S3748" s="49"/>
      <c r="T3748" s="49"/>
      <c r="U3748" s="49"/>
      <c r="V3748" s="49"/>
      <c r="W3748" s="49"/>
      <c r="X3748" s="49"/>
      <c r="Y3748" s="49"/>
      <c r="Z3748" s="49"/>
      <c r="AB3748" s="49"/>
      <c r="AC3748" s="49"/>
      <c r="AD3748" s="49"/>
      <c r="AE3748" s="49"/>
      <c r="AF3748" s="49"/>
      <c r="AG3748" s="49"/>
      <c r="AH3748" s="49"/>
      <c r="AI3748" s="49"/>
      <c r="AJ3748" s="49"/>
      <c r="AK3748" s="49"/>
      <c r="AL3748" s="49"/>
      <c r="AM3748" s="49"/>
      <c r="AN3748" s="49"/>
      <c r="AP3748" s="49"/>
      <c r="AQ3748" s="49"/>
      <c r="AR3748" s="49"/>
      <c r="AS3748" s="49"/>
      <c r="AT3748" s="49"/>
    </row>
    <row r="3749">
      <c r="A3749" s="51"/>
      <c r="B3749" s="50" t="s">
        <v>3562</v>
      </c>
      <c r="C3749" s="50" t="s">
        <v>4448</v>
      </c>
      <c r="D3749" s="49"/>
      <c r="E3749" s="49"/>
      <c r="F3749" s="49"/>
      <c r="G3749" s="49"/>
      <c r="H3749" s="54" t="str">
        <f t="shared" si="1"/>
        <v>bones,</v>
      </c>
      <c r="I3749" s="50"/>
      <c r="J3749" s="50"/>
      <c r="K3749" s="50"/>
      <c r="L3749" s="50"/>
      <c r="M3749" s="50"/>
      <c r="N3749" s="50"/>
      <c r="O3749" s="49"/>
      <c r="P3749" s="49"/>
      <c r="Q3749" s="49"/>
      <c r="R3749" s="49"/>
      <c r="S3749" s="49"/>
      <c r="T3749" s="49"/>
      <c r="U3749" s="49"/>
      <c r="V3749" s="49"/>
      <c r="W3749" s="49"/>
      <c r="X3749" s="49"/>
      <c r="Y3749" s="49"/>
      <c r="Z3749" s="49"/>
      <c r="AB3749" s="49"/>
      <c r="AC3749" s="49"/>
      <c r="AD3749" s="49"/>
      <c r="AE3749" s="49"/>
      <c r="AF3749" s="49"/>
      <c r="AG3749" s="49"/>
      <c r="AH3749" s="49"/>
      <c r="AI3749" s="49"/>
      <c r="AJ3749" s="49"/>
      <c r="AK3749" s="49"/>
      <c r="AL3749" s="49"/>
      <c r="AM3749" s="49"/>
      <c r="AN3749" s="49"/>
      <c r="AP3749" s="49"/>
      <c r="AQ3749" s="49"/>
      <c r="AR3749" s="49"/>
      <c r="AS3749" s="49"/>
      <c r="AT3749" s="49"/>
    </row>
    <row r="3750">
      <c r="A3750" s="51"/>
      <c r="B3750" s="50" t="s">
        <v>3218</v>
      </c>
      <c r="C3750" s="50" t="s">
        <v>1844</v>
      </c>
      <c r="D3750" s="49"/>
      <c r="E3750" s="49"/>
      <c r="F3750" s="49"/>
      <c r="G3750" s="49"/>
      <c r="H3750" s="54" t="str">
        <f t="shared" si="1"/>
        <v>pulling,</v>
      </c>
      <c r="I3750" s="50"/>
      <c r="J3750" s="50"/>
      <c r="K3750" s="50"/>
      <c r="L3750" s="50"/>
      <c r="M3750" s="50"/>
      <c r="N3750" s="50"/>
      <c r="O3750" s="49"/>
      <c r="P3750" s="49"/>
      <c r="Q3750" s="49"/>
      <c r="R3750" s="49"/>
      <c r="S3750" s="49"/>
      <c r="T3750" s="49"/>
      <c r="U3750" s="49"/>
      <c r="V3750" s="49"/>
      <c r="W3750" s="49"/>
      <c r="X3750" s="49"/>
      <c r="Y3750" s="49"/>
      <c r="Z3750" s="49"/>
      <c r="AB3750" s="49"/>
      <c r="AC3750" s="49"/>
      <c r="AD3750" s="49"/>
      <c r="AE3750" s="49"/>
      <c r="AF3750" s="49"/>
      <c r="AG3750" s="49"/>
      <c r="AH3750" s="49"/>
      <c r="AI3750" s="49"/>
      <c r="AJ3750" s="49"/>
      <c r="AK3750" s="49"/>
      <c r="AL3750" s="49"/>
      <c r="AM3750" s="49"/>
      <c r="AN3750" s="49"/>
      <c r="AP3750" s="49"/>
      <c r="AQ3750" s="49"/>
      <c r="AR3750" s="49"/>
      <c r="AS3750" s="49"/>
      <c r="AT3750" s="49"/>
    </row>
    <row r="3751">
      <c r="A3751" s="51"/>
      <c r="B3751" s="50" t="s">
        <v>1468</v>
      </c>
      <c r="C3751" s="50" t="s">
        <v>6994</v>
      </c>
      <c r="D3751" s="49"/>
      <c r="E3751" s="49"/>
      <c r="F3751" s="49"/>
      <c r="G3751" s="49"/>
      <c r="H3751" s="54" t="str">
        <f t="shared" si="1"/>
        <v>slip,</v>
      </c>
      <c r="I3751" s="50"/>
      <c r="J3751" s="50"/>
      <c r="K3751" s="50"/>
      <c r="L3751" s="50"/>
      <c r="M3751" s="50"/>
      <c r="N3751" s="50"/>
      <c r="O3751" s="49"/>
      <c r="P3751" s="49"/>
      <c r="Q3751" s="49"/>
      <c r="R3751" s="49"/>
      <c r="S3751" s="49"/>
      <c r="T3751" s="49"/>
      <c r="U3751" s="49"/>
      <c r="V3751" s="49"/>
      <c r="W3751" s="49"/>
      <c r="X3751" s="49"/>
      <c r="Y3751" s="49"/>
      <c r="Z3751" s="49"/>
      <c r="AB3751" s="49"/>
      <c r="AC3751" s="49"/>
      <c r="AD3751" s="49"/>
      <c r="AE3751" s="49"/>
      <c r="AF3751" s="49"/>
      <c r="AG3751" s="49"/>
      <c r="AH3751" s="49"/>
      <c r="AI3751" s="49"/>
      <c r="AJ3751" s="49"/>
      <c r="AK3751" s="49"/>
      <c r="AL3751" s="49"/>
      <c r="AM3751" s="49"/>
      <c r="AN3751" s="49"/>
      <c r="AP3751" s="49"/>
      <c r="AQ3751" s="49"/>
      <c r="AR3751" s="49"/>
      <c r="AS3751" s="49"/>
      <c r="AT3751" s="49"/>
    </row>
    <row r="3752">
      <c r="A3752" s="51"/>
      <c r="B3752" s="50" t="s">
        <v>4059</v>
      </c>
      <c r="C3752" s="50" t="s">
        <v>6071</v>
      </c>
      <c r="D3752" s="49"/>
      <c r="E3752" s="49"/>
      <c r="F3752" s="49"/>
      <c r="G3752" s="49"/>
      <c r="H3752" s="54" t="str">
        <f t="shared" si="1"/>
        <v>historic,</v>
      </c>
      <c r="I3752" s="50"/>
      <c r="J3752" s="50"/>
      <c r="K3752" s="50"/>
      <c r="L3752" s="50"/>
      <c r="M3752" s="50"/>
      <c r="N3752" s="50"/>
      <c r="O3752" s="49"/>
      <c r="P3752" s="49"/>
      <c r="Q3752" s="49"/>
      <c r="R3752" s="49"/>
      <c r="S3752" s="49"/>
      <c r="T3752" s="49"/>
      <c r="U3752" s="49"/>
      <c r="V3752" s="49"/>
      <c r="W3752" s="49"/>
      <c r="X3752" s="49"/>
      <c r="Y3752" s="49"/>
      <c r="Z3752" s="49"/>
      <c r="AB3752" s="49"/>
      <c r="AC3752" s="49"/>
      <c r="AD3752" s="49"/>
      <c r="AE3752" s="49"/>
      <c r="AF3752" s="49"/>
      <c r="AG3752" s="49"/>
      <c r="AH3752" s="49"/>
      <c r="AI3752" s="49"/>
      <c r="AJ3752" s="49"/>
      <c r="AK3752" s="49"/>
      <c r="AL3752" s="49"/>
      <c r="AM3752" s="49"/>
      <c r="AN3752" s="49"/>
      <c r="AP3752" s="49"/>
      <c r="AQ3752" s="49"/>
      <c r="AR3752" s="49"/>
      <c r="AS3752" s="49"/>
      <c r="AT3752" s="49"/>
    </row>
    <row r="3753">
      <c r="A3753" s="51"/>
      <c r="B3753" s="50" t="s">
        <v>4924</v>
      </c>
      <c r="C3753" s="50">
        <v>1973.0</v>
      </c>
      <c r="D3753" s="49"/>
      <c r="E3753" s="49"/>
      <c r="F3753" s="49"/>
      <c r="G3753" s="49"/>
      <c r="H3753" s="54" t="str">
        <f t="shared" si="1"/>
        <v>lawyers,</v>
      </c>
      <c r="I3753" s="50"/>
      <c r="J3753" s="50"/>
      <c r="K3753" s="50"/>
      <c r="L3753" s="50"/>
      <c r="M3753" s="50"/>
      <c r="N3753" s="50"/>
      <c r="O3753" s="49"/>
      <c r="P3753" s="49"/>
      <c r="Q3753" s="49"/>
      <c r="R3753" s="49"/>
      <c r="S3753" s="49"/>
      <c r="T3753" s="49"/>
      <c r="U3753" s="49"/>
      <c r="V3753" s="49"/>
      <c r="W3753" s="49"/>
      <c r="X3753" s="49"/>
      <c r="Y3753" s="49"/>
      <c r="Z3753" s="49"/>
      <c r="AB3753" s="49"/>
      <c r="AC3753" s="49"/>
      <c r="AD3753" s="49"/>
      <c r="AE3753" s="49"/>
      <c r="AF3753" s="49"/>
      <c r="AG3753" s="49"/>
      <c r="AH3753" s="49"/>
      <c r="AI3753" s="49"/>
      <c r="AJ3753" s="49"/>
      <c r="AK3753" s="49"/>
      <c r="AL3753" s="49"/>
      <c r="AM3753" s="49"/>
      <c r="AN3753" s="49"/>
      <c r="AP3753" s="49"/>
      <c r="AQ3753" s="49"/>
      <c r="AR3753" s="49"/>
      <c r="AS3753" s="49"/>
      <c r="AT3753" s="49"/>
    </row>
    <row r="3754">
      <c r="A3754" s="51"/>
      <c r="B3754" s="50" t="s">
        <v>5960</v>
      </c>
      <c r="C3754" s="50" t="s">
        <v>7083</v>
      </c>
      <c r="D3754" s="49"/>
      <c r="E3754" s="49"/>
      <c r="F3754" s="49"/>
      <c r="G3754" s="49"/>
      <c r="H3754" s="54" t="str">
        <f t="shared" si="1"/>
        <v>graphics,</v>
      </c>
      <c r="I3754" s="50"/>
      <c r="J3754" s="50"/>
      <c r="K3754" s="50"/>
      <c r="L3754" s="50"/>
      <c r="M3754" s="50"/>
      <c r="N3754" s="50"/>
      <c r="O3754" s="49"/>
      <c r="P3754" s="49"/>
      <c r="Q3754" s="49"/>
      <c r="R3754" s="49"/>
      <c r="S3754" s="49"/>
      <c r="T3754" s="49"/>
      <c r="U3754" s="49"/>
      <c r="V3754" s="49"/>
      <c r="W3754" s="49"/>
      <c r="X3754" s="49"/>
      <c r="Y3754" s="49"/>
      <c r="Z3754" s="49"/>
      <c r="AB3754" s="49"/>
      <c r="AC3754" s="49"/>
      <c r="AD3754" s="49"/>
      <c r="AE3754" s="49"/>
      <c r="AF3754" s="49"/>
      <c r="AG3754" s="49"/>
      <c r="AH3754" s="49"/>
      <c r="AI3754" s="49"/>
      <c r="AJ3754" s="49"/>
      <c r="AK3754" s="49"/>
      <c r="AL3754" s="49"/>
      <c r="AM3754" s="49"/>
      <c r="AN3754" s="49"/>
      <c r="AP3754" s="49"/>
      <c r="AQ3754" s="49"/>
      <c r="AR3754" s="49"/>
      <c r="AS3754" s="49"/>
      <c r="AT3754" s="49"/>
    </row>
    <row r="3755">
      <c r="A3755" s="51"/>
      <c r="B3755" s="50" t="s">
        <v>6106</v>
      </c>
      <c r="C3755" s="50" t="s">
        <v>6075</v>
      </c>
      <c r="D3755" s="49"/>
      <c r="E3755" s="49"/>
      <c r="F3755" s="49"/>
      <c r="G3755" s="49"/>
      <c r="H3755" s="54" t="str">
        <f t="shared" si="1"/>
        <v>anton,</v>
      </c>
      <c r="I3755" s="50"/>
      <c r="J3755" s="50"/>
      <c r="K3755" s="50"/>
      <c r="L3755" s="50"/>
      <c r="M3755" s="50"/>
      <c r="N3755" s="50"/>
      <c r="O3755" s="49"/>
      <c r="P3755" s="49"/>
      <c r="Q3755" s="49"/>
      <c r="R3755" s="49"/>
      <c r="S3755" s="49"/>
      <c r="T3755" s="49"/>
      <c r="U3755" s="49"/>
      <c r="V3755" s="49"/>
      <c r="W3755" s="49"/>
      <c r="X3755" s="49"/>
      <c r="Y3755" s="49"/>
      <c r="Z3755" s="49"/>
      <c r="AB3755" s="49"/>
      <c r="AC3755" s="49"/>
      <c r="AD3755" s="49"/>
      <c r="AE3755" s="49"/>
      <c r="AF3755" s="49"/>
      <c r="AG3755" s="49"/>
      <c r="AH3755" s="49"/>
      <c r="AI3755" s="49"/>
      <c r="AJ3755" s="49"/>
      <c r="AK3755" s="49"/>
      <c r="AL3755" s="49"/>
      <c r="AM3755" s="49"/>
      <c r="AN3755" s="49"/>
      <c r="AP3755" s="49"/>
      <c r="AQ3755" s="49"/>
      <c r="AR3755" s="49"/>
      <c r="AS3755" s="49"/>
      <c r="AT3755" s="49"/>
    </row>
    <row r="3756">
      <c r="A3756" s="51"/>
      <c r="B3756" s="50" t="s">
        <v>5150</v>
      </c>
      <c r="C3756" s="50" t="s">
        <v>6995</v>
      </c>
      <c r="D3756" s="49"/>
      <c r="E3756" s="49"/>
      <c r="F3756" s="49"/>
      <c r="G3756" s="49"/>
      <c r="H3756" s="54" t="str">
        <f t="shared" si="1"/>
        <v>flame,</v>
      </c>
      <c r="I3756" s="50"/>
      <c r="J3756" s="50"/>
      <c r="K3756" s="50"/>
      <c r="L3756" s="50"/>
      <c r="M3756" s="50"/>
      <c r="N3756" s="50"/>
      <c r="O3756" s="49"/>
      <c r="P3756" s="49"/>
      <c r="Q3756" s="49"/>
      <c r="R3756" s="49"/>
      <c r="S3756" s="49"/>
      <c r="T3756" s="49"/>
      <c r="U3756" s="49"/>
      <c r="V3756" s="49"/>
      <c r="W3756" s="49"/>
      <c r="X3756" s="49"/>
      <c r="Y3756" s="49"/>
      <c r="Z3756" s="49"/>
      <c r="AB3756" s="49"/>
      <c r="AC3756" s="49"/>
      <c r="AD3756" s="49"/>
      <c r="AE3756" s="49"/>
      <c r="AF3756" s="49"/>
      <c r="AG3756" s="49"/>
      <c r="AH3756" s="49"/>
      <c r="AI3756" s="49"/>
      <c r="AJ3756" s="49"/>
      <c r="AK3756" s="49"/>
      <c r="AL3756" s="49"/>
      <c r="AM3756" s="49"/>
      <c r="AN3756" s="49"/>
      <c r="AP3756" s="49"/>
      <c r="AQ3756" s="49"/>
      <c r="AR3756" s="49"/>
      <c r="AS3756" s="49"/>
      <c r="AT3756" s="49"/>
    </row>
    <row r="3757">
      <c r="A3757" s="51"/>
      <c r="B3757" s="50" t="s">
        <v>6749</v>
      </c>
      <c r="C3757" s="50" t="s">
        <v>6087</v>
      </c>
      <c r="D3757" s="49"/>
      <c r="E3757" s="49"/>
      <c r="F3757" s="49"/>
      <c r="G3757" s="49"/>
      <c r="H3757" s="54" t="str">
        <f t="shared" si="1"/>
        <v>deliberately,</v>
      </c>
      <c r="I3757" s="50"/>
      <c r="J3757" s="50"/>
      <c r="K3757" s="50"/>
      <c r="L3757" s="50"/>
      <c r="M3757" s="50"/>
      <c r="N3757" s="50"/>
      <c r="O3757" s="49"/>
      <c r="P3757" s="49"/>
      <c r="Q3757" s="49"/>
      <c r="R3757" s="49"/>
      <c r="S3757" s="49"/>
      <c r="T3757" s="49"/>
      <c r="U3757" s="49"/>
      <c r="V3757" s="49"/>
      <c r="W3757" s="49"/>
      <c r="X3757" s="49"/>
      <c r="Y3757" s="49"/>
      <c r="Z3757" s="49"/>
      <c r="AB3757" s="49"/>
      <c r="AC3757" s="49"/>
      <c r="AD3757" s="49"/>
      <c r="AE3757" s="49"/>
      <c r="AF3757" s="49"/>
      <c r="AG3757" s="49"/>
      <c r="AH3757" s="49"/>
      <c r="AI3757" s="49"/>
      <c r="AJ3757" s="49"/>
      <c r="AK3757" s="49"/>
      <c r="AL3757" s="49"/>
      <c r="AM3757" s="49"/>
      <c r="AN3757" s="49"/>
      <c r="AP3757" s="49"/>
      <c r="AQ3757" s="49"/>
      <c r="AR3757" s="49"/>
      <c r="AS3757" s="49"/>
      <c r="AT3757" s="49"/>
    </row>
    <row r="3758">
      <c r="A3758" s="51"/>
      <c r="B3758" s="50">
        <v>91.0</v>
      </c>
      <c r="C3758" s="50" t="s">
        <v>7130</v>
      </c>
      <c r="D3758" s="49"/>
      <c r="E3758" s="49"/>
      <c r="F3758" s="49"/>
      <c r="G3758" s="49"/>
      <c r="H3758" s="54" t="str">
        <f t="shared" si="1"/>
        <v>91,</v>
      </c>
      <c r="I3758" s="50"/>
      <c r="J3758" s="50"/>
      <c r="K3758" s="50"/>
      <c r="L3758" s="50"/>
      <c r="M3758" s="50"/>
      <c r="N3758" s="50"/>
      <c r="O3758" s="49"/>
      <c r="P3758" s="49"/>
      <c r="Q3758" s="49"/>
      <c r="R3758" s="49"/>
      <c r="S3758" s="49"/>
      <c r="T3758" s="49"/>
      <c r="U3758" s="49"/>
      <c r="V3758" s="49"/>
      <c r="W3758" s="49"/>
      <c r="X3758" s="49"/>
      <c r="Y3758" s="49"/>
      <c r="Z3758" s="49"/>
      <c r="AB3758" s="49"/>
      <c r="AC3758" s="49"/>
      <c r="AD3758" s="49"/>
      <c r="AE3758" s="49"/>
      <c r="AF3758" s="49"/>
      <c r="AG3758" s="49"/>
      <c r="AH3758" s="49"/>
      <c r="AI3758" s="49"/>
      <c r="AJ3758" s="49"/>
      <c r="AK3758" s="49"/>
      <c r="AL3758" s="49"/>
      <c r="AM3758" s="49"/>
      <c r="AN3758" s="49"/>
      <c r="AP3758" s="49"/>
      <c r="AQ3758" s="49"/>
      <c r="AR3758" s="49"/>
      <c r="AS3758" s="49"/>
      <c r="AT3758" s="49"/>
    </row>
    <row r="3759">
      <c r="A3759" s="51"/>
      <c r="B3759" s="50">
        <v>88.0</v>
      </c>
      <c r="C3759" s="50" t="s">
        <v>5763</v>
      </c>
      <c r="D3759" s="49"/>
      <c r="E3759" s="49"/>
      <c r="F3759" s="49"/>
      <c r="G3759" s="49"/>
      <c r="H3759" s="54" t="str">
        <f t="shared" si="1"/>
        <v>88,</v>
      </c>
      <c r="I3759" s="50"/>
      <c r="J3759" s="50"/>
      <c r="K3759" s="50"/>
      <c r="L3759" s="50"/>
      <c r="M3759" s="50"/>
      <c r="N3759" s="50"/>
      <c r="O3759" s="49"/>
      <c r="P3759" s="49"/>
      <c r="Q3759" s="49"/>
      <c r="R3759" s="49"/>
      <c r="S3759" s="49"/>
      <c r="T3759" s="49"/>
      <c r="U3759" s="49"/>
      <c r="V3759" s="49"/>
      <c r="W3759" s="49"/>
      <c r="X3759" s="49"/>
      <c r="Y3759" s="49"/>
      <c r="Z3759" s="49"/>
      <c r="AB3759" s="49"/>
      <c r="AC3759" s="49"/>
      <c r="AD3759" s="49"/>
      <c r="AE3759" s="49"/>
      <c r="AF3759" s="49"/>
      <c r="AG3759" s="49"/>
      <c r="AH3759" s="49"/>
      <c r="AI3759" s="49"/>
      <c r="AJ3759" s="49"/>
      <c r="AK3759" s="49"/>
      <c r="AL3759" s="49"/>
      <c r="AM3759" s="49"/>
      <c r="AN3759" s="49"/>
      <c r="AP3759" s="49"/>
      <c r="AQ3759" s="49"/>
      <c r="AR3759" s="49"/>
      <c r="AS3759" s="49"/>
      <c r="AT3759" s="49"/>
    </row>
    <row r="3760">
      <c r="A3760" s="51"/>
      <c r="B3760" s="50" t="s">
        <v>7579</v>
      </c>
      <c r="C3760" s="50" t="s">
        <v>7131</v>
      </c>
      <c r="D3760" s="49"/>
      <c r="E3760" s="49"/>
      <c r="F3760" s="49"/>
      <c r="G3760" s="49"/>
      <c r="H3760" s="54" t="str">
        <f t="shared" si="1"/>
        <v>mcdonald,</v>
      </c>
      <c r="I3760" s="50"/>
      <c r="J3760" s="50"/>
      <c r="K3760" s="50"/>
      <c r="L3760" s="50"/>
      <c r="M3760" s="50"/>
      <c r="N3760" s="50"/>
      <c r="O3760" s="49"/>
      <c r="P3760" s="49"/>
      <c r="Q3760" s="49"/>
      <c r="R3760" s="49"/>
      <c r="S3760" s="49"/>
      <c r="T3760" s="49"/>
      <c r="U3760" s="49"/>
      <c r="V3760" s="49"/>
      <c r="W3760" s="49"/>
      <c r="X3760" s="49"/>
      <c r="Y3760" s="49"/>
      <c r="Z3760" s="49"/>
      <c r="AB3760" s="49"/>
      <c r="AC3760" s="49"/>
      <c r="AD3760" s="49"/>
      <c r="AE3760" s="49"/>
      <c r="AF3760" s="49"/>
      <c r="AG3760" s="49"/>
      <c r="AH3760" s="49"/>
      <c r="AI3760" s="49"/>
      <c r="AJ3760" s="49"/>
      <c r="AK3760" s="49"/>
      <c r="AL3760" s="49"/>
      <c r="AM3760" s="49"/>
      <c r="AN3760" s="49"/>
      <c r="AP3760" s="49"/>
      <c r="AQ3760" s="49"/>
      <c r="AR3760" s="49"/>
      <c r="AS3760" s="49"/>
      <c r="AT3760" s="49"/>
    </row>
    <row r="3761">
      <c r="A3761" s="51"/>
      <c r="B3761" s="50" t="s">
        <v>3732</v>
      </c>
      <c r="C3761" s="50" t="s">
        <v>3977</v>
      </c>
      <c r="D3761" s="49"/>
      <c r="E3761" s="49"/>
      <c r="F3761" s="49"/>
      <c r="G3761" s="49"/>
      <c r="H3761" s="54" t="str">
        <f t="shared" si="1"/>
        <v>pan,</v>
      </c>
      <c r="I3761" s="50"/>
      <c r="J3761" s="50"/>
      <c r="K3761" s="50"/>
      <c r="L3761" s="50"/>
      <c r="M3761" s="50"/>
      <c r="N3761" s="50"/>
      <c r="O3761" s="49"/>
      <c r="P3761" s="49"/>
      <c r="Q3761" s="49"/>
      <c r="R3761" s="49"/>
      <c r="S3761" s="49"/>
      <c r="T3761" s="49"/>
      <c r="U3761" s="49"/>
      <c r="V3761" s="49"/>
      <c r="W3761" s="49"/>
      <c r="X3761" s="49"/>
      <c r="Y3761" s="49"/>
      <c r="Z3761" s="49"/>
      <c r="AB3761" s="49"/>
      <c r="AC3761" s="49"/>
      <c r="AD3761" s="49"/>
      <c r="AE3761" s="49"/>
      <c r="AF3761" s="49"/>
      <c r="AG3761" s="49"/>
      <c r="AH3761" s="49"/>
      <c r="AI3761" s="49"/>
      <c r="AJ3761" s="49"/>
      <c r="AK3761" s="49"/>
      <c r="AL3761" s="49"/>
      <c r="AM3761" s="49"/>
      <c r="AN3761" s="49"/>
      <c r="AP3761" s="49"/>
      <c r="AQ3761" s="49"/>
      <c r="AR3761" s="49"/>
      <c r="AS3761" s="49"/>
      <c r="AT3761" s="49"/>
    </row>
    <row r="3762">
      <c r="A3762" s="51"/>
      <c r="B3762" s="50" t="s">
        <v>4883</v>
      </c>
      <c r="C3762" s="50" t="s">
        <v>3934</v>
      </c>
      <c r="D3762" s="49"/>
      <c r="E3762" s="49"/>
      <c r="F3762" s="49"/>
      <c r="G3762" s="49"/>
      <c r="H3762" s="54" t="str">
        <f t="shared" si="1"/>
        <v>varying,</v>
      </c>
      <c r="I3762" s="50"/>
      <c r="J3762" s="50"/>
      <c r="K3762" s="50"/>
      <c r="L3762" s="50"/>
      <c r="M3762" s="50"/>
      <c r="N3762" s="50"/>
      <c r="O3762" s="49"/>
      <c r="P3762" s="49"/>
      <c r="Q3762" s="49"/>
      <c r="R3762" s="49"/>
      <c r="S3762" s="49"/>
      <c r="T3762" s="49"/>
      <c r="U3762" s="49"/>
      <c r="V3762" s="49"/>
      <c r="W3762" s="49"/>
      <c r="X3762" s="49"/>
      <c r="Y3762" s="49"/>
      <c r="Z3762" s="49"/>
      <c r="AB3762" s="49"/>
      <c r="AC3762" s="49"/>
      <c r="AD3762" s="49"/>
      <c r="AE3762" s="49"/>
      <c r="AF3762" s="49"/>
      <c r="AG3762" s="49"/>
      <c r="AH3762" s="49"/>
      <c r="AI3762" s="49"/>
      <c r="AJ3762" s="49"/>
      <c r="AK3762" s="49"/>
      <c r="AL3762" s="49"/>
      <c r="AM3762" s="49"/>
      <c r="AN3762" s="49"/>
      <c r="AP3762" s="49"/>
      <c r="AQ3762" s="49"/>
      <c r="AR3762" s="49"/>
      <c r="AS3762" s="49"/>
      <c r="AT3762" s="49"/>
    </row>
    <row r="3763">
      <c r="A3763" s="51"/>
      <c r="B3763" s="50" t="s">
        <v>232</v>
      </c>
      <c r="C3763" s="50" t="s">
        <v>4880</v>
      </c>
      <c r="D3763" s="49"/>
      <c r="E3763" s="49"/>
      <c r="F3763" s="49"/>
      <c r="G3763" s="49"/>
      <c r="H3763" s="54" t="str">
        <f t="shared" si="1"/>
        <v>nomination,</v>
      </c>
      <c r="I3763" s="50"/>
      <c r="J3763" s="50"/>
      <c r="K3763" s="50"/>
      <c r="L3763" s="50"/>
      <c r="M3763" s="50"/>
      <c r="N3763" s="50"/>
      <c r="O3763" s="49"/>
      <c r="P3763" s="49"/>
      <c r="Q3763" s="49"/>
      <c r="R3763" s="49"/>
      <c r="S3763" s="49"/>
      <c r="T3763" s="49"/>
      <c r="U3763" s="49"/>
      <c r="V3763" s="49"/>
      <c r="W3763" s="49"/>
      <c r="X3763" s="49"/>
      <c r="Y3763" s="49"/>
      <c r="Z3763" s="49"/>
      <c r="AB3763" s="49"/>
      <c r="AC3763" s="49"/>
      <c r="AD3763" s="49"/>
      <c r="AE3763" s="49"/>
      <c r="AF3763" s="49"/>
      <c r="AG3763" s="49"/>
      <c r="AH3763" s="49"/>
      <c r="AI3763" s="49"/>
      <c r="AJ3763" s="49"/>
      <c r="AK3763" s="49"/>
      <c r="AL3763" s="49"/>
      <c r="AM3763" s="49"/>
      <c r="AN3763" s="49"/>
      <c r="AP3763" s="49"/>
      <c r="AQ3763" s="49"/>
      <c r="AR3763" s="49"/>
      <c r="AS3763" s="49"/>
      <c r="AT3763" s="49"/>
    </row>
    <row r="3764">
      <c r="A3764" s="51"/>
      <c r="B3764" s="50" t="s">
        <v>6828</v>
      </c>
      <c r="C3764" s="50" t="s">
        <v>4790</v>
      </c>
      <c r="D3764" s="49"/>
      <c r="E3764" s="49"/>
      <c r="F3764" s="49"/>
      <c r="G3764" s="49"/>
      <c r="H3764" s="54" t="str">
        <f t="shared" si="1"/>
        <v>fist,</v>
      </c>
      <c r="I3764" s="50"/>
      <c r="J3764" s="50"/>
      <c r="K3764" s="50"/>
      <c r="L3764" s="50"/>
      <c r="M3764" s="50"/>
      <c r="N3764" s="50"/>
      <c r="O3764" s="49"/>
      <c r="P3764" s="49"/>
      <c r="Q3764" s="49"/>
      <c r="R3764" s="49"/>
      <c r="S3764" s="49"/>
      <c r="T3764" s="49"/>
      <c r="U3764" s="49"/>
      <c r="V3764" s="49"/>
      <c r="W3764" s="49"/>
      <c r="X3764" s="49"/>
      <c r="Y3764" s="49"/>
      <c r="Z3764" s="49"/>
      <c r="AB3764" s="49"/>
      <c r="AC3764" s="49"/>
      <c r="AD3764" s="49"/>
      <c r="AE3764" s="49"/>
      <c r="AF3764" s="49"/>
      <c r="AG3764" s="49"/>
      <c r="AH3764" s="49"/>
      <c r="AI3764" s="49"/>
      <c r="AJ3764" s="49"/>
      <c r="AK3764" s="49"/>
      <c r="AL3764" s="49"/>
      <c r="AM3764" s="49"/>
      <c r="AN3764" s="49"/>
      <c r="AP3764" s="49"/>
      <c r="AQ3764" s="49"/>
      <c r="AR3764" s="49"/>
      <c r="AS3764" s="49"/>
      <c r="AT3764" s="49"/>
    </row>
    <row r="3765">
      <c r="A3765" s="51"/>
      <c r="B3765" s="50" t="s">
        <v>4133</v>
      </c>
      <c r="C3765" s="50" t="s">
        <v>3937</v>
      </c>
      <c r="D3765" s="49"/>
      <c r="E3765" s="49"/>
      <c r="F3765" s="49"/>
      <c r="G3765" s="49"/>
      <c r="H3765" s="54" t="str">
        <f t="shared" si="1"/>
        <v>exhausted,</v>
      </c>
      <c r="I3765" s="50"/>
      <c r="J3765" s="50"/>
      <c r="K3765" s="50"/>
      <c r="L3765" s="50"/>
      <c r="M3765" s="50"/>
      <c r="N3765" s="50"/>
      <c r="O3765" s="49"/>
      <c r="P3765" s="49"/>
      <c r="Q3765" s="49"/>
      <c r="R3765" s="49"/>
      <c r="S3765" s="49"/>
      <c r="T3765" s="49"/>
      <c r="U3765" s="49"/>
      <c r="V3765" s="49"/>
      <c r="W3765" s="49"/>
      <c r="X3765" s="49"/>
      <c r="Y3765" s="49"/>
      <c r="Z3765" s="49"/>
      <c r="AB3765" s="49"/>
      <c r="AC3765" s="49"/>
      <c r="AD3765" s="49"/>
      <c r="AE3765" s="49"/>
      <c r="AF3765" s="49"/>
      <c r="AG3765" s="49"/>
      <c r="AH3765" s="49"/>
      <c r="AI3765" s="49"/>
      <c r="AJ3765" s="49"/>
      <c r="AK3765" s="49"/>
      <c r="AL3765" s="49"/>
      <c r="AM3765" s="49"/>
      <c r="AN3765" s="49"/>
      <c r="AP3765" s="49"/>
      <c r="AQ3765" s="49"/>
      <c r="AR3765" s="49"/>
      <c r="AS3765" s="49"/>
      <c r="AT3765" s="49"/>
    </row>
    <row r="3766">
      <c r="A3766" s="51"/>
      <c r="B3766" s="50" t="s">
        <v>6582</v>
      </c>
      <c r="C3766" s="50" t="s">
        <v>3940</v>
      </c>
      <c r="D3766" s="49"/>
      <c r="E3766" s="49"/>
      <c r="F3766" s="49"/>
      <c r="G3766" s="49"/>
      <c r="H3766" s="54" t="str">
        <f t="shared" si="1"/>
        <v>restored,</v>
      </c>
      <c r="I3766" s="50"/>
      <c r="J3766" s="50"/>
      <c r="K3766" s="50"/>
      <c r="L3766" s="50"/>
      <c r="M3766" s="50"/>
      <c r="N3766" s="50"/>
      <c r="O3766" s="49"/>
      <c r="P3766" s="49"/>
      <c r="Q3766" s="49"/>
      <c r="R3766" s="49"/>
      <c r="S3766" s="49"/>
      <c r="T3766" s="49"/>
      <c r="U3766" s="49"/>
      <c r="V3766" s="49"/>
      <c r="W3766" s="49"/>
      <c r="X3766" s="49"/>
      <c r="Y3766" s="49"/>
      <c r="Z3766" s="49"/>
      <c r="AB3766" s="49"/>
      <c r="AC3766" s="49"/>
      <c r="AD3766" s="49"/>
      <c r="AE3766" s="49"/>
      <c r="AF3766" s="49"/>
      <c r="AG3766" s="49"/>
      <c r="AH3766" s="49"/>
      <c r="AI3766" s="49"/>
      <c r="AJ3766" s="49"/>
      <c r="AK3766" s="49"/>
      <c r="AL3766" s="49"/>
      <c r="AM3766" s="49"/>
      <c r="AN3766" s="49"/>
      <c r="AP3766" s="49"/>
      <c r="AQ3766" s="49"/>
      <c r="AR3766" s="49"/>
      <c r="AS3766" s="49"/>
      <c r="AT3766" s="49"/>
    </row>
    <row r="3767">
      <c r="A3767" s="51"/>
      <c r="B3767" s="50" t="s">
        <v>4368</v>
      </c>
      <c r="C3767" s="50" t="s">
        <v>6997</v>
      </c>
      <c r="D3767" s="49"/>
      <c r="E3767" s="49"/>
      <c r="F3767" s="49"/>
      <c r="G3767" s="49"/>
      <c r="H3767" s="54" t="str">
        <f t="shared" si="1"/>
        <v>archive,</v>
      </c>
      <c r="I3767" s="50"/>
      <c r="J3767" s="50"/>
      <c r="K3767" s="50"/>
      <c r="L3767" s="50"/>
      <c r="M3767" s="50"/>
      <c r="N3767" s="50"/>
      <c r="O3767" s="49"/>
      <c r="P3767" s="49"/>
      <c r="Q3767" s="49"/>
      <c r="R3767" s="49"/>
      <c r="S3767" s="49"/>
      <c r="T3767" s="49"/>
      <c r="U3767" s="49"/>
      <c r="V3767" s="49"/>
      <c r="W3767" s="49"/>
      <c r="X3767" s="49"/>
      <c r="Y3767" s="49"/>
      <c r="Z3767" s="49"/>
      <c r="AB3767" s="49"/>
      <c r="AC3767" s="49"/>
      <c r="AD3767" s="49"/>
      <c r="AE3767" s="49"/>
      <c r="AF3767" s="49"/>
      <c r="AG3767" s="49"/>
      <c r="AH3767" s="49"/>
      <c r="AI3767" s="49"/>
      <c r="AJ3767" s="49"/>
      <c r="AK3767" s="49"/>
      <c r="AL3767" s="49"/>
      <c r="AM3767" s="49"/>
      <c r="AN3767" s="49"/>
      <c r="AP3767" s="49"/>
      <c r="AQ3767" s="49"/>
      <c r="AR3767" s="49"/>
      <c r="AS3767" s="49"/>
      <c r="AT3767" s="49"/>
    </row>
    <row r="3768">
      <c r="A3768" s="51"/>
      <c r="B3768" s="50" t="s">
        <v>4480</v>
      </c>
      <c r="C3768" s="50" t="s">
        <v>6076</v>
      </c>
      <c r="D3768" s="49"/>
      <c r="E3768" s="49"/>
      <c r="F3768" s="49"/>
      <c r="G3768" s="49"/>
      <c r="H3768" s="54" t="str">
        <f t="shared" si="1"/>
        <v>tears,</v>
      </c>
      <c r="I3768" s="50"/>
      <c r="J3768" s="50"/>
      <c r="K3768" s="50"/>
      <c r="L3768" s="50"/>
      <c r="M3768" s="50"/>
      <c r="N3768" s="50"/>
      <c r="O3768" s="49"/>
      <c r="P3768" s="49"/>
      <c r="Q3768" s="49"/>
      <c r="R3768" s="49"/>
      <c r="S3768" s="49"/>
      <c r="T3768" s="49"/>
      <c r="U3768" s="49"/>
      <c r="V3768" s="49"/>
      <c r="W3768" s="49"/>
      <c r="X3768" s="49"/>
      <c r="Y3768" s="49"/>
      <c r="Z3768" s="49"/>
      <c r="AB3768" s="49"/>
      <c r="AC3768" s="49"/>
      <c r="AD3768" s="49"/>
      <c r="AE3768" s="49"/>
      <c r="AF3768" s="49"/>
      <c r="AG3768" s="49"/>
      <c r="AH3768" s="49"/>
      <c r="AI3768" s="49"/>
      <c r="AJ3768" s="49"/>
      <c r="AK3768" s="49"/>
      <c r="AL3768" s="49"/>
      <c r="AM3768" s="49"/>
      <c r="AN3768" s="49"/>
      <c r="AP3768" s="49"/>
      <c r="AQ3768" s="49"/>
      <c r="AR3768" s="49"/>
      <c r="AS3768" s="49"/>
      <c r="AT3768" s="49"/>
    </row>
    <row r="3769">
      <c r="A3769" s="51"/>
      <c r="B3769" s="50" t="s">
        <v>5974</v>
      </c>
      <c r="C3769" s="50" t="s">
        <v>6998</v>
      </c>
      <c r="D3769" s="49"/>
      <c r="E3769" s="49"/>
      <c r="F3769" s="49"/>
      <c r="G3769" s="49"/>
      <c r="H3769" s="54" t="str">
        <f t="shared" si="1"/>
        <v>tourism,</v>
      </c>
      <c r="I3769" s="50"/>
      <c r="J3769" s="50"/>
      <c r="K3769" s="50"/>
      <c r="L3769" s="50"/>
      <c r="M3769" s="50"/>
      <c r="N3769" s="50"/>
      <c r="O3769" s="49"/>
      <c r="P3769" s="49"/>
      <c r="Q3769" s="49"/>
      <c r="R3769" s="49"/>
      <c r="S3769" s="49"/>
      <c r="T3769" s="49"/>
      <c r="U3769" s="49"/>
      <c r="V3769" s="49"/>
      <c r="W3769" s="49"/>
      <c r="X3769" s="49"/>
      <c r="Y3769" s="49"/>
      <c r="Z3769" s="49"/>
      <c r="AB3769" s="49"/>
      <c r="AC3769" s="49"/>
      <c r="AD3769" s="49"/>
      <c r="AE3769" s="49"/>
      <c r="AF3769" s="49"/>
      <c r="AG3769" s="49"/>
      <c r="AH3769" s="49"/>
      <c r="AI3769" s="49"/>
      <c r="AJ3769" s="49"/>
      <c r="AK3769" s="49"/>
      <c r="AL3769" s="49"/>
      <c r="AM3769" s="49"/>
      <c r="AN3769" s="49"/>
      <c r="AP3769" s="49"/>
      <c r="AQ3769" s="49"/>
      <c r="AR3769" s="49"/>
      <c r="AS3769" s="49"/>
      <c r="AT3769" s="49"/>
    </row>
    <row r="3770">
      <c r="A3770" s="51"/>
      <c r="B3770" s="50" t="s">
        <v>5601</v>
      </c>
      <c r="C3770" s="50" t="s">
        <v>3944</v>
      </c>
      <c r="D3770" s="49"/>
      <c r="E3770" s="49"/>
      <c r="F3770" s="49"/>
      <c r="G3770" s="49"/>
      <c r="H3770" s="54" t="str">
        <f t="shared" si="1"/>
        <v>franco,</v>
      </c>
      <c r="I3770" s="50"/>
      <c r="J3770" s="50"/>
      <c r="K3770" s="50"/>
      <c r="L3770" s="50"/>
      <c r="M3770" s="50"/>
      <c r="N3770" s="50"/>
      <c r="O3770" s="49"/>
      <c r="P3770" s="49"/>
      <c r="Q3770" s="49"/>
      <c r="R3770" s="49"/>
      <c r="S3770" s="49"/>
      <c r="T3770" s="49"/>
      <c r="U3770" s="49"/>
      <c r="V3770" s="49"/>
      <c r="W3770" s="49"/>
      <c r="X3770" s="49"/>
      <c r="Y3770" s="49"/>
      <c r="Z3770" s="49"/>
      <c r="AB3770" s="49"/>
      <c r="AC3770" s="49"/>
      <c r="AD3770" s="49"/>
      <c r="AE3770" s="49"/>
      <c r="AF3770" s="49"/>
      <c r="AG3770" s="49"/>
      <c r="AH3770" s="49"/>
      <c r="AI3770" s="49"/>
      <c r="AJ3770" s="49"/>
      <c r="AK3770" s="49"/>
      <c r="AL3770" s="49"/>
      <c r="AM3770" s="49"/>
      <c r="AN3770" s="49"/>
      <c r="AP3770" s="49"/>
      <c r="AQ3770" s="49"/>
      <c r="AR3770" s="49"/>
      <c r="AS3770" s="49"/>
      <c r="AT3770" s="49"/>
    </row>
    <row r="3771">
      <c r="A3771" s="51"/>
      <c r="B3771" s="50" t="s">
        <v>271</v>
      </c>
      <c r="C3771" s="50" t="s">
        <v>6999</v>
      </c>
      <c r="D3771" s="49"/>
      <c r="E3771" s="49"/>
      <c r="F3771" s="49"/>
      <c r="G3771" s="49"/>
      <c r="H3771" s="54" t="str">
        <f t="shared" si="1"/>
        <v>account,</v>
      </c>
      <c r="I3771" s="50"/>
      <c r="J3771" s="50"/>
      <c r="K3771" s="50"/>
      <c r="L3771" s="50"/>
      <c r="M3771" s="50"/>
      <c r="N3771" s="50"/>
      <c r="O3771" s="49"/>
      <c r="P3771" s="49"/>
      <c r="Q3771" s="49"/>
      <c r="R3771" s="49"/>
      <c r="S3771" s="49"/>
      <c r="T3771" s="49"/>
      <c r="U3771" s="49"/>
      <c r="V3771" s="49"/>
      <c r="W3771" s="49"/>
      <c r="X3771" s="49"/>
      <c r="Y3771" s="49"/>
      <c r="Z3771" s="49"/>
      <c r="AB3771" s="49"/>
      <c r="AC3771" s="49"/>
      <c r="AD3771" s="49"/>
      <c r="AE3771" s="49"/>
      <c r="AF3771" s="49"/>
      <c r="AG3771" s="49"/>
      <c r="AH3771" s="49"/>
      <c r="AI3771" s="49"/>
      <c r="AJ3771" s="49"/>
      <c r="AK3771" s="49"/>
      <c r="AL3771" s="49"/>
      <c r="AM3771" s="49"/>
      <c r="AN3771" s="49"/>
      <c r="AP3771" s="49"/>
      <c r="AQ3771" s="49"/>
      <c r="AR3771" s="49"/>
      <c r="AS3771" s="49"/>
      <c r="AT3771" s="49"/>
    </row>
    <row r="3772">
      <c r="A3772" s="51"/>
      <c r="B3772" s="50" t="s">
        <v>5621</v>
      </c>
      <c r="C3772" s="50" t="s">
        <v>7000</v>
      </c>
      <c r="D3772" s="49"/>
      <c r="E3772" s="49"/>
      <c r="F3772" s="49"/>
      <c r="G3772" s="49"/>
      <c r="H3772" s="54" t="str">
        <f t="shared" si="1"/>
        <v>pause,</v>
      </c>
      <c r="I3772" s="50"/>
      <c r="J3772" s="50"/>
      <c r="K3772" s="50"/>
      <c r="L3772" s="50"/>
      <c r="M3772" s="50"/>
      <c r="N3772" s="50"/>
      <c r="O3772" s="49"/>
      <c r="P3772" s="49"/>
      <c r="Q3772" s="49"/>
      <c r="R3772" s="49"/>
      <c r="S3772" s="49"/>
      <c r="T3772" s="49"/>
      <c r="U3772" s="49"/>
      <c r="V3772" s="49"/>
      <c r="W3772" s="49"/>
      <c r="X3772" s="49"/>
      <c r="Y3772" s="49"/>
      <c r="Z3772" s="49"/>
      <c r="AB3772" s="49"/>
      <c r="AC3772" s="49"/>
      <c r="AD3772" s="49"/>
      <c r="AE3772" s="49"/>
      <c r="AF3772" s="49"/>
      <c r="AG3772" s="49"/>
      <c r="AH3772" s="49"/>
      <c r="AI3772" s="49"/>
      <c r="AJ3772" s="49"/>
      <c r="AK3772" s="49"/>
      <c r="AL3772" s="49"/>
      <c r="AM3772" s="49"/>
      <c r="AN3772" s="49"/>
      <c r="AP3772" s="49"/>
      <c r="AQ3772" s="49"/>
      <c r="AR3772" s="49"/>
      <c r="AS3772" s="49"/>
      <c r="AT3772" s="49"/>
    </row>
    <row r="3773">
      <c r="A3773" s="51"/>
      <c r="B3773" s="50" t="s">
        <v>6943</v>
      </c>
      <c r="C3773" s="50" t="s">
        <v>7132</v>
      </c>
      <c r="D3773" s="49"/>
      <c r="E3773" s="49"/>
      <c r="F3773" s="49"/>
      <c r="G3773" s="49"/>
      <c r="H3773" s="54" t="str">
        <f t="shared" si="1"/>
        <v>equipment,</v>
      </c>
      <c r="I3773" s="50"/>
      <c r="J3773" s="50"/>
      <c r="K3773" s="50"/>
      <c r="L3773" s="50"/>
      <c r="M3773" s="50"/>
      <c r="N3773" s="50"/>
      <c r="O3773" s="49"/>
      <c r="P3773" s="49"/>
      <c r="Q3773" s="49"/>
      <c r="R3773" s="49"/>
      <c r="S3773" s="49"/>
      <c r="T3773" s="49"/>
      <c r="U3773" s="49"/>
      <c r="V3773" s="49"/>
      <c r="W3773" s="49"/>
      <c r="X3773" s="49"/>
      <c r="Y3773" s="49"/>
      <c r="Z3773" s="49"/>
      <c r="AB3773" s="49"/>
      <c r="AC3773" s="49"/>
      <c r="AD3773" s="49"/>
      <c r="AE3773" s="49"/>
      <c r="AF3773" s="49"/>
      <c r="AG3773" s="49"/>
      <c r="AH3773" s="49"/>
      <c r="AI3773" s="49"/>
      <c r="AJ3773" s="49"/>
      <c r="AK3773" s="49"/>
      <c r="AL3773" s="49"/>
      <c r="AM3773" s="49"/>
      <c r="AN3773" s="49"/>
      <c r="AP3773" s="49"/>
      <c r="AQ3773" s="49"/>
      <c r="AR3773" s="49"/>
      <c r="AS3773" s="49"/>
      <c r="AT3773" s="49"/>
    </row>
    <row r="3774">
      <c r="A3774" s="51"/>
      <c r="B3774" s="50" t="s">
        <v>2674</v>
      </c>
      <c r="C3774" s="50" t="s">
        <v>7001</v>
      </c>
      <c r="D3774" s="49"/>
      <c r="E3774" s="49"/>
      <c r="F3774" s="49"/>
      <c r="G3774" s="49"/>
      <c r="H3774" s="54" t="str">
        <f t="shared" si="1"/>
        <v>heights,</v>
      </c>
      <c r="I3774" s="50"/>
      <c r="J3774" s="50"/>
      <c r="K3774" s="50"/>
      <c r="L3774" s="50"/>
      <c r="M3774" s="50"/>
      <c r="N3774" s="50"/>
      <c r="O3774" s="49"/>
      <c r="P3774" s="49"/>
      <c r="Q3774" s="49"/>
      <c r="R3774" s="49"/>
      <c r="S3774" s="49"/>
      <c r="T3774" s="49"/>
      <c r="U3774" s="49"/>
      <c r="V3774" s="49"/>
      <c r="W3774" s="49"/>
      <c r="X3774" s="49"/>
      <c r="Y3774" s="49"/>
      <c r="Z3774" s="49"/>
      <c r="AB3774" s="49"/>
      <c r="AC3774" s="49"/>
      <c r="AD3774" s="49"/>
      <c r="AE3774" s="49"/>
      <c r="AF3774" s="49"/>
      <c r="AG3774" s="49"/>
      <c r="AH3774" s="49"/>
      <c r="AI3774" s="49"/>
      <c r="AJ3774" s="49"/>
      <c r="AK3774" s="49"/>
      <c r="AL3774" s="49"/>
      <c r="AM3774" s="49"/>
      <c r="AN3774" s="49"/>
      <c r="AP3774" s="49"/>
      <c r="AQ3774" s="49"/>
      <c r="AR3774" s="49"/>
      <c r="AS3774" s="49"/>
      <c r="AT3774" s="49"/>
    </row>
    <row r="3775">
      <c r="A3775" s="51"/>
      <c r="B3775" s="50" t="s">
        <v>7703</v>
      </c>
      <c r="C3775" s="50" t="s">
        <v>7133</v>
      </c>
      <c r="D3775" s="49"/>
      <c r="E3775" s="49"/>
      <c r="F3775" s="49"/>
      <c r="G3775" s="49"/>
      <c r="H3775" s="54" t="str">
        <f t="shared" si="1"/>
        <v>percentage,</v>
      </c>
      <c r="I3775" s="50"/>
      <c r="J3775" s="50"/>
      <c r="K3775" s="50"/>
      <c r="L3775" s="50"/>
      <c r="M3775" s="50"/>
      <c r="N3775" s="50"/>
      <c r="O3775" s="49"/>
      <c r="P3775" s="49"/>
      <c r="Q3775" s="49"/>
      <c r="R3775" s="49"/>
      <c r="S3775" s="49"/>
      <c r="T3775" s="49"/>
      <c r="U3775" s="49"/>
      <c r="V3775" s="49"/>
      <c r="W3775" s="49"/>
      <c r="X3775" s="49"/>
      <c r="Y3775" s="49"/>
      <c r="Z3775" s="49"/>
      <c r="AB3775" s="49"/>
      <c r="AC3775" s="49"/>
      <c r="AD3775" s="49"/>
      <c r="AE3775" s="49"/>
      <c r="AF3775" s="49"/>
      <c r="AG3775" s="49"/>
      <c r="AH3775" s="49"/>
      <c r="AI3775" s="49"/>
      <c r="AJ3775" s="49"/>
      <c r="AK3775" s="49"/>
      <c r="AL3775" s="49"/>
      <c r="AM3775" s="49"/>
      <c r="AN3775" s="49"/>
      <c r="AP3775" s="49"/>
      <c r="AQ3775" s="49"/>
      <c r="AR3775" s="49"/>
      <c r="AS3775" s="49"/>
      <c r="AT3775" s="49"/>
    </row>
    <row r="3776">
      <c r="A3776" s="51"/>
      <c r="B3776" s="50" t="s">
        <v>4554</v>
      </c>
      <c r="C3776" s="50" t="s">
        <v>7134</v>
      </c>
      <c r="D3776" s="49"/>
      <c r="E3776" s="49"/>
      <c r="F3776" s="49"/>
      <c r="G3776" s="49"/>
      <c r="H3776" s="54" t="str">
        <f t="shared" si="1"/>
        <v>el,</v>
      </c>
      <c r="I3776" s="50"/>
      <c r="J3776" s="50"/>
      <c r="K3776" s="50"/>
      <c r="L3776" s="50"/>
      <c r="M3776" s="50"/>
      <c r="N3776" s="50"/>
      <c r="O3776" s="49"/>
      <c r="P3776" s="49"/>
      <c r="Q3776" s="49"/>
      <c r="R3776" s="49"/>
      <c r="S3776" s="49"/>
      <c r="T3776" s="49"/>
      <c r="U3776" s="49"/>
      <c r="V3776" s="49"/>
      <c r="W3776" s="49"/>
      <c r="X3776" s="49"/>
      <c r="Y3776" s="49"/>
      <c r="Z3776" s="49"/>
      <c r="AB3776" s="49"/>
      <c r="AC3776" s="49"/>
      <c r="AD3776" s="49"/>
      <c r="AE3776" s="49"/>
      <c r="AF3776" s="49"/>
      <c r="AG3776" s="49"/>
      <c r="AH3776" s="49"/>
      <c r="AI3776" s="49"/>
      <c r="AJ3776" s="49"/>
      <c r="AK3776" s="49"/>
      <c r="AL3776" s="49"/>
      <c r="AM3776" s="49"/>
      <c r="AN3776" s="49"/>
      <c r="AP3776" s="49"/>
      <c r="AQ3776" s="49"/>
      <c r="AR3776" s="49"/>
      <c r="AS3776" s="49"/>
      <c r="AT3776" s="49"/>
    </row>
    <row r="3777">
      <c r="A3777" s="51"/>
      <c r="B3777" s="50" t="s">
        <v>723</v>
      </c>
      <c r="C3777" s="50" t="s">
        <v>4887</v>
      </c>
      <c r="D3777" s="49"/>
      <c r="E3777" s="49"/>
      <c r="F3777" s="49"/>
      <c r="G3777" s="49"/>
      <c r="H3777" s="54" t="str">
        <f t="shared" si="1"/>
        <v>consequence,</v>
      </c>
      <c r="I3777" s="50"/>
      <c r="J3777" s="50"/>
      <c r="K3777" s="50"/>
      <c r="L3777" s="50"/>
      <c r="M3777" s="50"/>
      <c r="N3777" s="50"/>
      <c r="O3777" s="49"/>
      <c r="P3777" s="49"/>
      <c r="Q3777" s="49"/>
      <c r="R3777" s="49"/>
      <c r="S3777" s="49"/>
      <c r="T3777" s="49"/>
      <c r="U3777" s="49"/>
      <c r="V3777" s="49"/>
      <c r="W3777" s="49"/>
      <c r="X3777" s="49"/>
      <c r="Y3777" s="49"/>
      <c r="Z3777" s="49"/>
      <c r="AB3777" s="49"/>
      <c r="AC3777" s="49"/>
      <c r="AD3777" s="49"/>
      <c r="AE3777" s="49"/>
      <c r="AF3777" s="49"/>
      <c r="AG3777" s="49"/>
      <c r="AH3777" s="49"/>
      <c r="AI3777" s="49"/>
      <c r="AJ3777" s="49"/>
      <c r="AK3777" s="49"/>
      <c r="AL3777" s="49"/>
      <c r="AM3777" s="49"/>
      <c r="AN3777" s="49"/>
      <c r="AP3777" s="49"/>
      <c r="AQ3777" s="49"/>
      <c r="AR3777" s="49"/>
      <c r="AS3777" s="49"/>
      <c r="AT3777" s="49"/>
    </row>
    <row r="3778">
      <c r="A3778" s="51"/>
      <c r="B3778" s="50" t="s">
        <v>6095</v>
      </c>
      <c r="C3778" s="50" t="s">
        <v>7003</v>
      </c>
      <c r="D3778" s="49"/>
      <c r="E3778" s="49"/>
      <c r="F3778" s="49"/>
      <c r="G3778" s="49"/>
      <c r="H3778" s="54" t="str">
        <f t="shared" si="1"/>
        <v>sharing,</v>
      </c>
      <c r="I3778" s="50"/>
      <c r="J3778" s="50"/>
      <c r="K3778" s="50"/>
      <c r="L3778" s="50"/>
      <c r="M3778" s="50"/>
      <c r="N3778" s="50"/>
      <c r="O3778" s="49"/>
      <c r="P3778" s="49"/>
      <c r="Q3778" s="49"/>
      <c r="R3778" s="49"/>
      <c r="S3778" s="49"/>
      <c r="T3778" s="49"/>
      <c r="U3778" s="49"/>
      <c r="V3778" s="49"/>
      <c r="W3778" s="49"/>
      <c r="X3778" s="49"/>
      <c r="Y3778" s="49"/>
      <c r="Z3778" s="49"/>
      <c r="AB3778" s="49"/>
      <c r="AC3778" s="49"/>
      <c r="AD3778" s="49"/>
      <c r="AE3778" s="49"/>
      <c r="AF3778" s="49"/>
      <c r="AG3778" s="49"/>
      <c r="AH3778" s="49"/>
      <c r="AI3778" s="49"/>
      <c r="AJ3778" s="49"/>
      <c r="AK3778" s="49"/>
      <c r="AL3778" s="49"/>
      <c r="AM3778" s="49"/>
      <c r="AN3778" s="49"/>
      <c r="AP3778" s="49"/>
      <c r="AQ3778" s="49"/>
      <c r="AR3778" s="49"/>
      <c r="AS3778" s="49"/>
      <c r="AT3778" s="49"/>
    </row>
    <row r="3779">
      <c r="A3779" s="51"/>
      <c r="B3779" s="50" t="s">
        <v>2304</v>
      </c>
      <c r="C3779" s="50" t="s">
        <v>6015</v>
      </c>
      <c r="D3779" s="49"/>
      <c r="E3779" s="49"/>
      <c r="F3779" s="49"/>
      <c r="G3779" s="49"/>
      <c r="H3779" s="54" t="str">
        <f t="shared" si="1"/>
        <v>enterprise,</v>
      </c>
      <c r="I3779" s="50"/>
      <c r="J3779" s="50"/>
      <c r="K3779" s="50"/>
      <c r="L3779" s="50"/>
      <c r="M3779" s="50"/>
      <c r="N3779" s="50"/>
      <c r="O3779" s="49"/>
      <c r="P3779" s="49"/>
      <c r="Q3779" s="49"/>
      <c r="R3779" s="49"/>
      <c r="S3779" s="49"/>
      <c r="T3779" s="49"/>
      <c r="U3779" s="49"/>
      <c r="V3779" s="49"/>
      <c r="W3779" s="49"/>
      <c r="X3779" s="49"/>
      <c r="Y3779" s="49"/>
      <c r="Z3779" s="49"/>
      <c r="AB3779" s="49"/>
      <c r="AC3779" s="49"/>
      <c r="AD3779" s="49"/>
      <c r="AE3779" s="49"/>
      <c r="AF3779" s="49"/>
      <c r="AG3779" s="49"/>
      <c r="AH3779" s="49"/>
      <c r="AI3779" s="49"/>
      <c r="AJ3779" s="49"/>
      <c r="AK3779" s="49"/>
      <c r="AL3779" s="49"/>
      <c r="AM3779" s="49"/>
      <c r="AN3779" s="49"/>
      <c r="AP3779" s="49"/>
      <c r="AQ3779" s="49"/>
      <c r="AR3779" s="49"/>
      <c r="AS3779" s="49"/>
      <c r="AT3779" s="49"/>
    </row>
    <row r="3780">
      <c r="A3780" s="51"/>
      <c r="B3780" s="50" t="s">
        <v>4888</v>
      </c>
      <c r="C3780" s="50" t="s">
        <v>6152</v>
      </c>
      <c r="D3780" s="49"/>
      <c r="E3780" s="49"/>
      <c r="F3780" s="49"/>
      <c r="G3780" s="49"/>
      <c r="H3780" s="54" t="str">
        <f t="shared" si="1"/>
        <v>stark,</v>
      </c>
      <c r="I3780" s="50"/>
      <c r="J3780" s="50"/>
      <c r="K3780" s="50"/>
      <c r="L3780" s="50"/>
      <c r="M3780" s="50"/>
      <c r="N3780" s="50"/>
      <c r="O3780" s="49"/>
      <c r="P3780" s="49"/>
      <c r="Q3780" s="49"/>
      <c r="R3780" s="49"/>
      <c r="S3780" s="49"/>
      <c r="T3780" s="49"/>
      <c r="U3780" s="49"/>
      <c r="V3780" s="49"/>
      <c r="W3780" s="49"/>
      <c r="X3780" s="49"/>
      <c r="Y3780" s="49"/>
      <c r="Z3780" s="49"/>
      <c r="AB3780" s="49"/>
      <c r="AC3780" s="49"/>
      <c r="AD3780" s="49"/>
      <c r="AE3780" s="49"/>
      <c r="AF3780" s="49"/>
      <c r="AG3780" s="49"/>
      <c r="AH3780" s="49"/>
      <c r="AI3780" s="49"/>
      <c r="AJ3780" s="49"/>
      <c r="AK3780" s="49"/>
      <c r="AL3780" s="49"/>
      <c r="AM3780" s="49"/>
      <c r="AN3780" s="49"/>
      <c r="AP3780" s="49"/>
      <c r="AQ3780" s="49"/>
      <c r="AR3780" s="49"/>
      <c r="AS3780" s="49"/>
      <c r="AT3780" s="49"/>
    </row>
    <row r="3781">
      <c r="A3781" s="51"/>
      <c r="B3781" s="50" t="s">
        <v>6301</v>
      </c>
      <c r="C3781" s="50" t="s">
        <v>7135</v>
      </c>
      <c r="D3781" s="49"/>
      <c r="E3781" s="49"/>
      <c r="F3781" s="49"/>
      <c r="G3781" s="49"/>
      <c r="H3781" s="54" t="str">
        <f t="shared" si="1"/>
        <v>corporate,</v>
      </c>
      <c r="I3781" s="50"/>
      <c r="J3781" s="50"/>
      <c r="K3781" s="50"/>
      <c r="L3781" s="50"/>
      <c r="M3781" s="50"/>
      <c r="N3781" s="50"/>
      <c r="O3781" s="49"/>
      <c r="P3781" s="49"/>
      <c r="Q3781" s="49"/>
      <c r="R3781" s="49"/>
      <c r="S3781" s="49"/>
      <c r="T3781" s="49"/>
      <c r="U3781" s="49"/>
      <c r="V3781" s="49"/>
      <c r="W3781" s="49"/>
      <c r="X3781" s="49"/>
      <c r="Y3781" s="49"/>
      <c r="Z3781" s="49"/>
      <c r="AB3781" s="49"/>
      <c r="AC3781" s="49"/>
      <c r="AD3781" s="49"/>
      <c r="AE3781" s="49"/>
      <c r="AF3781" s="49"/>
      <c r="AG3781" s="49"/>
      <c r="AH3781" s="49"/>
      <c r="AI3781" s="49"/>
      <c r="AJ3781" s="49"/>
      <c r="AK3781" s="49"/>
      <c r="AL3781" s="49"/>
      <c r="AM3781" s="49"/>
      <c r="AN3781" s="49"/>
      <c r="AP3781" s="49"/>
      <c r="AQ3781" s="49"/>
      <c r="AR3781" s="49"/>
      <c r="AS3781" s="49"/>
      <c r="AT3781" s="49"/>
    </row>
    <row r="3782">
      <c r="A3782" s="51"/>
      <c r="B3782" s="50" t="s">
        <v>4313</v>
      </c>
      <c r="C3782" s="50" t="s">
        <v>3578</v>
      </c>
      <c r="D3782" s="49"/>
      <c r="E3782" s="49"/>
      <c r="F3782" s="49"/>
      <c r="G3782" s="49"/>
      <c r="H3782" s="54" t="str">
        <f t="shared" si="1"/>
        <v>broadway,</v>
      </c>
      <c r="I3782" s="50"/>
      <c r="J3782" s="50"/>
      <c r="K3782" s="50"/>
      <c r="L3782" s="50"/>
      <c r="M3782" s="50"/>
      <c r="N3782" s="50"/>
      <c r="O3782" s="49"/>
      <c r="P3782" s="49"/>
      <c r="Q3782" s="49"/>
      <c r="R3782" s="49"/>
      <c r="S3782" s="49"/>
      <c r="T3782" s="49"/>
      <c r="U3782" s="49"/>
      <c r="V3782" s="49"/>
      <c r="W3782" s="49"/>
      <c r="X3782" s="49"/>
      <c r="Y3782" s="49"/>
      <c r="Z3782" s="49"/>
      <c r="AB3782" s="49"/>
      <c r="AC3782" s="49"/>
      <c r="AD3782" s="49"/>
      <c r="AE3782" s="49"/>
      <c r="AF3782" s="49"/>
      <c r="AG3782" s="49"/>
      <c r="AH3782" s="49"/>
      <c r="AI3782" s="49"/>
      <c r="AJ3782" s="49"/>
      <c r="AK3782" s="49"/>
      <c r="AL3782" s="49"/>
      <c r="AM3782" s="49"/>
      <c r="AN3782" s="49"/>
      <c r="AP3782" s="49"/>
      <c r="AQ3782" s="49"/>
      <c r="AR3782" s="49"/>
      <c r="AS3782" s="49"/>
      <c r="AT3782" s="49"/>
    </row>
    <row r="3783">
      <c r="A3783" s="51"/>
      <c r="B3783" s="50" t="s">
        <v>7010</v>
      </c>
      <c r="C3783" s="50" t="s">
        <v>7136</v>
      </c>
      <c r="D3783" s="49"/>
      <c r="E3783" s="49"/>
      <c r="F3783" s="49"/>
      <c r="G3783" s="49"/>
      <c r="H3783" s="54" t="str">
        <f t="shared" si="1"/>
        <v>7th,</v>
      </c>
      <c r="I3783" s="50"/>
      <c r="J3783" s="50"/>
      <c r="K3783" s="50"/>
      <c r="L3783" s="50"/>
      <c r="M3783" s="50"/>
      <c r="N3783" s="50"/>
      <c r="O3783" s="49"/>
      <c r="P3783" s="49"/>
      <c r="Q3783" s="49"/>
      <c r="R3783" s="49"/>
      <c r="S3783" s="49"/>
      <c r="T3783" s="49"/>
      <c r="U3783" s="49"/>
      <c r="V3783" s="49"/>
      <c r="W3783" s="49"/>
      <c r="X3783" s="49"/>
      <c r="Y3783" s="49"/>
      <c r="Z3783" s="49"/>
      <c r="AB3783" s="49"/>
      <c r="AC3783" s="49"/>
      <c r="AD3783" s="49"/>
      <c r="AE3783" s="49"/>
      <c r="AF3783" s="49"/>
      <c r="AG3783" s="49"/>
      <c r="AH3783" s="49"/>
      <c r="AI3783" s="49"/>
      <c r="AJ3783" s="49"/>
      <c r="AK3783" s="49"/>
      <c r="AL3783" s="49"/>
      <c r="AM3783" s="49"/>
      <c r="AN3783" s="49"/>
      <c r="AP3783" s="49"/>
      <c r="AQ3783" s="49"/>
      <c r="AR3783" s="49"/>
      <c r="AS3783" s="49"/>
      <c r="AT3783" s="49"/>
    </row>
    <row r="3784">
      <c r="A3784" s="51"/>
      <c r="B3784" s="50" t="s">
        <v>127</v>
      </c>
      <c r="C3784" s="50" t="s">
        <v>5753</v>
      </c>
      <c r="D3784" s="49"/>
      <c r="E3784" s="49"/>
      <c r="F3784" s="49"/>
      <c r="G3784" s="49"/>
      <c r="H3784" s="54" t="str">
        <f t="shared" si="1"/>
        <v>remain,</v>
      </c>
      <c r="I3784" s="50"/>
      <c r="J3784" s="50"/>
      <c r="K3784" s="50"/>
      <c r="L3784" s="50"/>
      <c r="M3784" s="50"/>
      <c r="N3784" s="50"/>
      <c r="O3784" s="49"/>
      <c r="P3784" s="49"/>
      <c r="Q3784" s="49"/>
      <c r="R3784" s="49"/>
      <c r="S3784" s="49"/>
      <c r="T3784" s="49"/>
      <c r="U3784" s="49"/>
      <c r="V3784" s="49"/>
      <c r="W3784" s="49"/>
      <c r="X3784" s="49"/>
      <c r="Y3784" s="49"/>
      <c r="Z3784" s="49"/>
      <c r="AB3784" s="49"/>
      <c r="AC3784" s="49"/>
      <c r="AD3784" s="49"/>
      <c r="AE3784" s="49"/>
      <c r="AF3784" s="49"/>
      <c r="AG3784" s="49"/>
      <c r="AH3784" s="49"/>
      <c r="AI3784" s="49"/>
      <c r="AJ3784" s="49"/>
      <c r="AK3784" s="49"/>
      <c r="AL3784" s="49"/>
      <c r="AM3784" s="49"/>
      <c r="AN3784" s="49"/>
      <c r="AP3784" s="49"/>
      <c r="AQ3784" s="49"/>
      <c r="AR3784" s="49"/>
      <c r="AS3784" s="49"/>
      <c r="AT3784" s="49"/>
    </row>
    <row r="3785">
      <c r="A3785" s="51"/>
      <c r="B3785" s="50" t="s">
        <v>6023</v>
      </c>
      <c r="C3785" s="50" t="s">
        <v>4848</v>
      </c>
      <c r="D3785" s="49"/>
      <c r="E3785" s="49"/>
      <c r="F3785" s="49"/>
      <c r="G3785" s="49"/>
      <c r="H3785" s="54" t="str">
        <f t="shared" si="1"/>
        <v>satisfaction,</v>
      </c>
      <c r="I3785" s="50"/>
      <c r="J3785" s="50"/>
      <c r="K3785" s="50"/>
      <c r="L3785" s="50"/>
      <c r="M3785" s="50"/>
      <c r="N3785" s="50"/>
      <c r="O3785" s="49"/>
      <c r="P3785" s="49"/>
      <c r="Q3785" s="49"/>
      <c r="R3785" s="49"/>
      <c r="S3785" s="49"/>
      <c r="T3785" s="49"/>
      <c r="U3785" s="49"/>
      <c r="V3785" s="49"/>
      <c r="W3785" s="49"/>
      <c r="X3785" s="49"/>
      <c r="Y3785" s="49"/>
      <c r="Z3785" s="49"/>
      <c r="AB3785" s="49"/>
      <c r="AC3785" s="49"/>
      <c r="AD3785" s="49"/>
      <c r="AE3785" s="49"/>
      <c r="AF3785" s="49"/>
      <c r="AG3785" s="49"/>
      <c r="AH3785" s="49"/>
      <c r="AI3785" s="49"/>
      <c r="AJ3785" s="49"/>
      <c r="AK3785" s="49"/>
      <c r="AL3785" s="49"/>
      <c r="AM3785" s="49"/>
      <c r="AN3785" s="49"/>
      <c r="AP3785" s="49"/>
      <c r="AQ3785" s="49"/>
      <c r="AR3785" s="49"/>
      <c r="AS3785" s="49"/>
      <c r="AT3785" s="49"/>
    </row>
    <row r="3786">
      <c r="A3786" s="51"/>
      <c r="B3786" s="50" t="s">
        <v>2205</v>
      </c>
      <c r="C3786" s="50" t="s">
        <v>5778</v>
      </c>
      <c r="D3786" s="49"/>
      <c r="E3786" s="49"/>
      <c r="F3786" s="49"/>
      <c r="G3786" s="49"/>
      <c r="H3786" s="54" t="str">
        <f t="shared" si="1"/>
        <v>nerve,</v>
      </c>
      <c r="I3786" s="50"/>
      <c r="J3786" s="50"/>
      <c r="K3786" s="50"/>
      <c r="L3786" s="50"/>
      <c r="M3786" s="50"/>
      <c r="N3786" s="50"/>
      <c r="O3786" s="49"/>
      <c r="P3786" s="49"/>
      <c r="Q3786" s="49"/>
      <c r="R3786" s="49"/>
      <c r="S3786" s="49"/>
      <c r="T3786" s="49"/>
      <c r="U3786" s="49"/>
      <c r="V3786" s="49"/>
      <c r="W3786" s="49"/>
      <c r="X3786" s="49"/>
      <c r="Y3786" s="49"/>
      <c r="Z3786" s="49"/>
      <c r="AB3786" s="49"/>
      <c r="AC3786" s="49"/>
      <c r="AD3786" s="49"/>
      <c r="AE3786" s="49"/>
      <c r="AF3786" s="49"/>
      <c r="AG3786" s="49"/>
      <c r="AH3786" s="49"/>
      <c r="AI3786" s="49"/>
      <c r="AJ3786" s="49"/>
      <c r="AK3786" s="49"/>
      <c r="AL3786" s="49"/>
      <c r="AM3786" s="49"/>
      <c r="AN3786" s="49"/>
      <c r="AP3786" s="49"/>
      <c r="AQ3786" s="49"/>
      <c r="AR3786" s="49"/>
      <c r="AS3786" s="49"/>
      <c r="AT3786" s="49"/>
    </row>
    <row r="3787">
      <c r="A3787" s="51"/>
      <c r="B3787" s="50" t="s">
        <v>5225</v>
      </c>
      <c r="C3787" s="50" t="s">
        <v>5973</v>
      </c>
      <c r="D3787" s="49"/>
      <c r="E3787" s="49"/>
      <c r="F3787" s="49"/>
      <c r="G3787" s="49"/>
      <c r="H3787" s="54" t="str">
        <f t="shared" si="1"/>
        <v>recovery,</v>
      </c>
      <c r="I3787" s="50"/>
      <c r="J3787" s="50"/>
      <c r="K3787" s="50"/>
      <c r="L3787" s="50"/>
      <c r="M3787" s="50"/>
      <c r="N3787" s="50"/>
      <c r="O3787" s="49"/>
      <c r="P3787" s="49"/>
      <c r="Q3787" s="49"/>
      <c r="R3787" s="49"/>
      <c r="S3787" s="49"/>
      <c r="T3787" s="49"/>
      <c r="U3787" s="49"/>
      <c r="V3787" s="49"/>
      <c r="W3787" s="49"/>
      <c r="X3787" s="49"/>
      <c r="Y3787" s="49"/>
      <c r="Z3787" s="49"/>
      <c r="AB3787" s="49"/>
      <c r="AC3787" s="49"/>
      <c r="AD3787" s="49"/>
      <c r="AE3787" s="49"/>
      <c r="AF3787" s="49"/>
      <c r="AG3787" s="49"/>
      <c r="AH3787" s="49"/>
      <c r="AI3787" s="49"/>
      <c r="AJ3787" s="49"/>
      <c r="AK3787" s="49"/>
      <c r="AL3787" s="49"/>
      <c r="AM3787" s="49"/>
      <c r="AN3787" s="49"/>
      <c r="AP3787" s="49"/>
      <c r="AQ3787" s="49"/>
      <c r="AR3787" s="49"/>
      <c r="AS3787" s="49"/>
      <c r="AT3787" s="49"/>
    </row>
    <row r="3788">
      <c r="A3788" s="51"/>
      <c r="B3788" s="50" t="s">
        <v>4044</v>
      </c>
      <c r="C3788" s="50" t="s">
        <v>7137</v>
      </c>
      <c r="D3788" s="49"/>
      <c r="E3788" s="49"/>
      <c r="F3788" s="49"/>
      <c r="G3788" s="49"/>
      <c r="H3788" s="54" t="str">
        <f t="shared" si="1"/>
        <v>photos,</v>
      </c>
      <c r="I3788" s="50"/>
      <c r="J3788" s="50"/>
      <c r="K3788" s="50"/>
      <c r="L3788" s="50"/>
      <c r="M3788" s="50"/>
      <c r="N3788" s="50"/>
      <c r="O3788" s="49"/>
      <c r="P3788" s="49"/>
      <c r="Q3788" s="49"/>
      <c r="R3788" s="49"/>
      <c r="S3788" s="49"/>
      <c r="T3788" s="49"/>
      <c r="U3788" s="49"/>
      <c r="V3788" s="49"/>
      <c r="W3788" s="49"/>
      <c r="X3788" s="49"/>
      <c r="Y3788" s="49"/>
      <c r="Z3788" s="49"/>
      <c r="AB3788" s="49"/>
      <c r="AC3788" s="49"/>
      <c r="AD3788" s="49"/>
      <c r="AE3788" s="49"/>
      <c r="AF3788" s="49"/>
      <c r="AG3788" s="49"/>
      <c r="AH3788" s="49"/>
      <c r="AI3788" s="49"/>
      <c r="AJ3788" s="49"/>
      <c r="AK3788" s="49"/>
      <c r="AL3788" s="49"/>
      <c r="AM3788" s="49"/>
      <c r="AN3788" s="49"/>
      <c r="AP3788" s="49"/>
      <c r="AQ3788" s="49"/>
      <c r="AR3788" s="49"/>
      <c r="AS3788" s="49"/>
      <c r="AT3788" s="49"/>
    </row>
    <row r="3789">
      <c r="A3789" s="51"/>
      <c r="B3789" s="50" t="s">
        <v>4220</v>
      </c>
      <c r="C3789" s="50" t="s">
        <v>6081</v>
      </c>
      <c r="D3789" s="49"/>
      <c r="E3789" s="49"/>
      <c r="F3789" s="49"/>
      <c r="G3789" s="49"/>
      <c r="H3789" s="54" t="str">
        <f t="shared" si="1"/>
        <v>rally,</v>
      </c>
      <c r="I3789" s="50"/>
      <c r="J3789" s="50"/>
      <c r="K3789" s="50"/>
      <c r="L3789" s="50"/>
      <c r="M3789" s="50"/>
      <c r="N3789" s="50"/>
      <c r="O3789" s="49"/>
      <c r="P3789" s="49"/>
      <c r="Q3789" s="49"/>
      <c r="R3789" s="49"/>
      <c r="S3789" s="49"/>
      <c r="T3789" s="49"/>
      <c r="U3789" s="49"/>
      <c r="V3789" s="49"/>
      <c r="W3789" s="49"/>
      <c r="X3789" s="49"/>
      <c r="Y3789" s="49"/>
      <c r="Z3789" s="49"/>
      <c r="AB3789" s="49"/>
      <c r="AC3789" s="49"/>
      <c r="AD3789" s="49"/>
      <c r="AE3789" s="49"/>
      <c r="AF3789" s="49"/>
      <c r="AG3789" s="49"/>
      <c r="AH3789" s="49"/>
      <c r="AI3789" s="49"/>
      <c r="AJ3789" s="49"/>
      <c r="AK3789" s="49"/>
      <c r="AL3789" s="49"/>
      <c r="AM3789" s="49"/>
      <c r="AN3789" s="49"/>
      <c r="AP3789" s="49"/>
      <c r="AQ3789" s="49"/>
      <c r="AR3789" s="49"/>
      <c r="AS3789" s="49"/>
      <c r="AT3789" s="49"/>
    </row>
    <row r="3790">
      <c r="A3790" s="51"/>
      <c r="B3790" s="50" t="s">
        <v>3827</v>
      </c>
      <c r="C3790" s="50" t="s">
        <v>6082</v>
      </c>
      <c r="D3790" s="49"/>
      <c r="E3790" s="49"/>
      <c r="F3790" s="49"/>
      <c r="G3790" s="49"/>
      <c r="H3790" s="54" t="str">
        <f t="shared" si="1"/>
        <v>access,</v>
      </c>
      <c r="I3790" s="50"/>
      <c r="J3790" s="50"/>
      <c r="K3790" s="50"/>
      <c r="L3790" s="50"/>
      <c r="M3790" s="50"/>
      <c r="N3790" s="50"/>
      <c r="O3790" s="49"/>
      <c r="P3790" s="49"/>
      <c r="Q3790" s="49"/>
      <c r="R3790" s="49"/>
      <c r="S3790" s="49"/>
      <c r="T3790" s="49"/>
      <c r="U3790" s="49"/>
      <c r="V3790" s="49"/>
      <c r="W3790" s="49"/>
      <c r="X3790" s="49"/>
      <c r="Y3790" s="49"/>
      <c r="Z3790" s="49"/>
      <c r="AB3790" s="49"/>
      <c r="AC3790" s="49"/>
      <c r="AD3790" s="49"/>
      <c r="AE3790" s="49"/>
      <c r="AF3790" s="49"/>
      <c r="AG3790" s="49"/>
      <c r="AH3790" s="49"/>
      <c r="AI3790" s="49"/>
      <c r="AJ3790" s="49"/>
      <c r="AK3790" s="49"/>
      <c r="AL3790" s="49"/>
      <c r="AM3790" s="49"/>
      <c r="AN3790" s="49"/>
      <c r="AP3790" s="49"/>
      <c r="AQ3790" s="49"/>
      <c r="AR3790" s="49"/>
      <c r="AS3790" s="49"/>
      <c r="AT3790" s="49"/>
    </row>
    <row r="3791">
      <c r="A3791" s="51"/>
      <c r="B3791" s="50" t="s">
        <v>6093</v>
      </c>
      <c r="C3791" s="50" t="s">
        <v>399</v>
      </c>
      <c r="D3791" s="49"/>
      <c r="E3791" s="49"/>
      <c r="F3791" s="49"/>
      <c r="G3791" s="49"/>
      <c r="H3791" s="54" t="str">
        <f t="shared" si="1"/>
        <v>nationwide,</v>
      </c>
      <c r="I3791" s="50"/>
      <c r="J3791" s="50"/>
      <c r="K3791" s="50"/>
      <c r="L3791" s="50"/>
      <c r="M3791" s="50"/>
      <c r="N3791" s="50"/>
      <c r="O3791" s="49"/>
      <c r="P3791" s="49"/>
      <c r="Q3791" s="49"/>
      <c r="R3791" s="49"/>
      <c r="S3791" s="49"/>
      <c r="T3791" s="49"/>
      <c r="U3791" s="49"/>
      <c r="V3791" s="49"/>
      <c r="W3791" s="49"/>
      <c r="X3791" s="49"/>
      <c r="Y3791" s="49"/>
      <c r="Z3791" s="49"/>
      <c r="AB3791" s="49"/>
      <c r="AC3791" s="49"/>
      <c r="AD3791" s="49"/>
      <c r="AE3791" s="49"/>
      <c r="AF3791" s="49"/>
      <c r="AG3791" s="49"/>
      <c r="AH3791" s="49"/>
      <c r="AI3791" s="49"/>
      <c r="AJ3791" s="49"/>
      <c r="AK3791" s="49"/>
      <c r="AL3791" s="49"/>
      <c r="AM3791" s="49"/>
      <c r="AN3791" s="49"/>
      <c r="AP3791" s="49"/>
      <c r="AQ3791" s="49"/>
      <c r="AR3791" s="49"/>
      <c r="AS3791" s="49"/>
      <c r="AT3791" s="49"/>
    </row>
    <row r="3792">
      <c r="A3792" s="51"/>
      <c r="B3792" s="50" t="s">
        <v>7638</v>
      </c>
      <c r="C3792" s="50" t="s">
        <v>3961</v>
      </c>
      <c r="D3792" s="49"/>
      <c r="E3792" s="49"/>
      <c r="F3792" s="49"/>
      <c r="G3792" s="49"/>
      <c r="H3792" s="54" t="str">
        <f t="shared" si="1"/>
        <v>destroying,</v>
      </c>
      <c r="I3792" s="50"/>
      <c r="J3792" s="50"/>
      <c r="K3792" s="50"/>
      <c r="L3792" s="50"/>
      <c r="M3792" s="50"/>
      <c r="N3792" s="50"/>
      <c r="O3792" s="49"/>
      <c r="P3792" s="49"/>
      <c r="Q3792" s="49"/>
      <c r="R3792" s="49"/>
      <c r="S3792" s="49"/>
      <c r="T3792" s="49"/>
      <c r="U3792" s="49"/>
      <c r="V3792" s="49"/>
      <c r="W3792" s="49"/>
      <c r="X3792" s="49"/>
      <c r="Y3792" s="49"/>
      <c r="Z3792" s="49"/>
      <c r="AB3792" s="49"/>
      <c r="AC3792" s="49"/>
      <c r="AD3792" s="49"/>
      <c r="AE3792" s="49"/>
      <c r="AF3792" s="49"/>
      <c r="AG3792" s="49"/>
      <c r="AH3792" s="49"/>
      <c r="AI3792" s="49"/>
      <c r="AJ3792" s="49"/>
      <c r="AK3792" s="49"/>
      <c r="AL3792" s="49"/>
      <c r="AM3792" s="49"/>
      <c r="AN3792" s="49"/>
      <c r="AP3792" s="49"/>
      <c r="AQ3792" s="49"/>
      <c r="AR3792" s="49"/>
      <c r="AS3792" s="49"/>
      <c r="AT3792" s="49"/>
    </row>
    <row r="3793">
      <c r="A3793" s="51"/>
      <c r="B3793" s="50" t="s">
        <v>5613</v>
      </c>
      <c r="C3793" s="50" t="s">
        <v>5572</v>
      </c>
      <c r="D3793" s="49"/>
      <c r="E3793" s="49"/>
      <c r="F3793" s="49"/>
      <c r="G3793" s="49"/>
      <c r="H3793" s="54" t="str">
        <f t="shared" si="1"/>
        <v>emphasis,</v>
      </c>
      <c r="I3793" s="50"/>
      <c r="J3793" s="50"/>
      <c r="K3793" s="50"/>
      <c r="L3793" s="50"/>
      <c r="M3793" s="50"/>
      <c r="N3793" s="50"/>
      <c r="O3793" s="49"/>
      <c r="P3793" s="49"/>
      <c r="Q3793" s="49"/>
      <c r="R3793" s="49"/>
      <c r="S3793" s="49"/>
      <c r="T3793" s="49"/>
      <c r="U3793" s="49"/>
      <c r="V3793" s="49"/>
      <c r="W3793" s="49"/>
      <c r="X3793" s="49"/>
      <c r="Y3793" s="49"/>
      <c r="Z3793" s="49"/>
      <c r="AB3793" s="49"/>
      <c r="AC3793" s="49"/>
      <c r="AD3793" s="49"/>
      <c r="AE3793" s="49"/>
      <c r="AF3793" s="49"/>
      <c r="AG3793" s="49"/>
      <c r="AH3793" s="49"/>
      <c r="AI3793" s="49"/>
      <c r="AJ3793" s="49"/>
      <c r="AK3793" s="49"/>
      <c r="AL3793" s="49"/>
      <c r="AM3793" s="49"/>
      <c r="AN3793" s="49"/>
      <c r="AP3793" s="49"/>
      <c r="AQ3793" s="49"/>
      <c r="AR3793" s="49"/>
      <c r="AS3793" s="49"/>
      <c r="AT3793" s="49"/>
    </row>
    <row r="3794">
      <c r="A3794" s="51"/>
      <c r="B3794" s="50" t="s">
        <v>6402</v>
      </c>
      <c r="C3794" s="50" t="s">
        <v>2535</v>
      </c>
      <c r="D3794" s="49"/>
      <c r="E3794" s="49"/>
      <c r="F3794" s="49"/>
      <c r="G3794" s="49"/>
      <c r="H3794" s="54" t="str">
        <f t="shared" si="1"/>
        <v>surviving,</v>
      </c>
      <c r="I3794" s="50"/>
      <c r="J3794" s="50"/>
      <c r="K3794" s="50"/>
      <c r="L3794" s="50"/>
      <c r="M3794" s="50"/>
      <c r="N3794" s="50"/>
      <c r="O3794" s="49"/>
      <c r="P3794" s="49"/>
      <c r="Q3794" s="49"/>
      <c r="R3794" s="49"/>
      <c r="S3794" s="49"/>
      <c r="T3794" s="49"/>
      <c r="U3794" s="49"/>
      <c r="V3794" s="49"/>
      <c r="W3794" s="49"/>
      <c r="X3794" s="49"/>
      <c r="Y3794" s="49"/>
      <c r="Z3794" s="49"/>
      <c r="AB3794" s="49"/>
      <c r="AC3794" s="49"/>
      <c r="AD3794" s="49"/>
      <c r="AE3794" s="49"/>
      <c r="AF3794" s="49"/>
      <c r="AG3794" s="49"/>
      <c r="AH3794" s="49"/>
      <c r="AI3794" s="49"/>
      <c r="AJ3794" s="49"/>
      <c r="AK3794" s="49"/>
      <c r="AL3794" s="49"/>
      <c r="AM3794" s="49"/>
      <c r="AN3794" s="49"/>
      <c r="AP3794" s="49"/>
      <c r="AQ3794" s="49"/>
      <c r="AR3794" s="49"/>
      <c r="AS3794" s="49"/>
      <c r="AT3794" s="49"/>
    </row>
    <row r="3795">
      <c r="A3795" s="51"/>
      <c r="B3795" s="50" t="s">
        <v>1705</v>
      </c>
      <c r="C3795" s="50" t="s">
        <v>6154</v>
      </c>
      <c r="D3795" s="49"/>
      <c r="E3795" s="49"/>
      <c r="F3795" s="49"/>
      <c r="G3795" s="49"/>
      <c r="H3795" s="54" t="str">
        <f t="shared" si="1"/>
        <v>hitler,</v>
      </c>
      <c r="I3795" s="50"/>
      <c r="J3795" s="50"/>
      <c r="K3795" s="50"/>
      <c r="L3795" s="50"/>
      <c r="M3795" s="50"/>
      <c r="N3795" s="50"/>
      <c r="O3795" s="49"/>
      <c r="P3795" s="49"/>
      <c r="Q3795" s="49"/>
      <c r="R3795" s="49"/>
      <c r="S3795" s="49"/>
      <c r="T3795" s="49"/>
      <c r="U3795" s="49"/>
      <c r="V3795" s="49"/>
      <c r="W3795" s="49"/>
      <c r="X3795" s="49"/>
      <c r="Y3795" s="49"/>
      <c r="Z3795" s="49"/>
      <c r="AB3795" s="49"/>
      <c r="AC3795" s="49"/>
      <c r="AD3795" s="49"/>
      <c r="AE3795" s="49"/>
      <c r="AF3795" s="49"/>
      <c r="AG3795" s="49"/>
      <c r="AH3795" s="49"/>
      <c r="AI3795" s="49"/>
      <c r="AJ3795" s="49"/>
      <c r="AK3795" s="49"/>
      <c r="AL3795" s="49"/>
      <c r="AM3795" s="49"/>
      <c r="AN3795" s="49"/>
      <c r="AP3795" s="49"/>
      <c r="AQ3795" s="49"/>
      <c r="AR3795" s="49"/>
      <c r="AS3795" s="49"/>
      <c r="AT3795" s="49"/>
    </row>
    <row r="3796">
      <c r="A3796" s="51"/>
      <c r="B3796" s="50" t="s">
        <v>1366</v>
      </c>
      <c r="C3796" s="50" t="s">
        <v>5782</v>
      </c>
      <c r="D3796" s="49"/>
      <c r="E3796" s="49"/>
      <c r="F3796" s="49"/>
      <c r="G3796" s="49"/>
      <c r="H3796" s="54" t="str">
        <f t="shared" si="1"/>
        <v>diary,</v>
      </c>
      <c r="I3796" s="50"/>
      <c r="J3796" s="50"/>
      <c r="K3796" s="50"/>
      <c r="L3796" s="50"/>
      <c r="M3796" s="50"/>
      <c r="N3796" s="50"/>
      <c r="O3796" s="49"/>
      <c r="P3796" s="49"/>
      <c r="Q3796" s="49"/>
      <c r="R3796" s="49"/>
      <c r="S3796" s="49"/>
      <c r="T3796" s="49"/>
      <c r="U3796" s="49"/>
      <c r="V3796" s="49"/>
      <c r="W3796" s="49"/>
      <c r="X3796" s="49"/>
      <c r="Y3796" s="49"/>
      <c r="Z3796" s="49"/>
      <c r="AB3796" s="49"/>
      <c r="AC3796" s="49"/>
      <c r="AD3796" s="49"/>
      <c r="AE3796" s="49"/>
      <c r="AF3796" s="49"/>
      <c r="AG3796" s="49"/>
      <c r="AH3796" s="49"/>
      <c r="AI3796" s="49"/>
      <c r="AJ3796" s="49"/>
      <c r="AK3796" s="49"/>
      <c r="AL3796" s="49"/>
      <c r="AM3796" s="49"/>
      <c r="AN3796" s="49"/>
      <c r="AP3796" s="49"/>
      <c r="AQ3796" s="49"/>
      <c r="AR3796" s="49"/>
      <c r="AS3796" s="49"/>
      <c r="AT3796" s="49"/>
    </row>
    <row r="3797">
      <c r="A3797" s="51"/>
      <c r="B3797" s="50" t="s">
        <v>4765</v>
      </c>
      <c r="C3797" s="50" t="s">
        <v>7138</v>
      </c>
      <c r="D3797" s="49"/>
      <c r="E3797" s="49"/>
      <c r="F3797" s="49"/>
      <c r="G3797" s="49"/>
      <c r="H3797" s="54" t="str">
        <f t="shared" si="1"/>
        <v>spaces,</v>
      </c>
      <c r="I3797" s="50"/>
      <c r="J3797" s="50"/>
      <c r="K3797" s="50"/>
      <c r="L3797" s="50"/>
      <c r="M3797" s="50"/>
      <c r="N3797" s="50"/>
      <c r="O3797" s="49"/>
      <c r="P3797" s="49"/>
      <c r="Q3797" s="49"/>
      <c r="R3797" s="49"/>
      <c r="S3797" s="49"/>
      <c r="T3797" s="49"/>
      <c r="U3797" s="49"/>
      <c r="V3797" s="49"/>
      <c r="W3797" s="49"/>
      <c r="X3797" s="49"/>
      <c r="Y3797" s="49"/>
      <c r="Z3797" s="49"/>
      <c r="AB3797" s="49"/>
      <c r="AC3797" s="49"/>
      <c r="AD3797" s="49"/>
      <c r="AE3797" s="49"/>
      <c r="AF3797" s="49"/>
      <c r="AG3797" s="49"/>
      <c r="AH3797" s="49"/>
      <c r="AI3797" s="49"/>
      <c r="AJ3797" s="49"/>
      <c r="AK3797" s="49"/>
      <c r="AL3797" s="49"/>
      <c r="AM3797" s="49"/>
      <c r="AN3797" s="49"/>
      <c r="AP3797" s="49"/>
      <c r="AQ3797" s="49"/>
      <c r="AR3797" s="49"/>
      <c r="AS3797" s="49"/>
      <c r="AT3797" s="49"/>
    </row>
    <row r="3798">
      <c r="A3798" s="51"/>
      <c r="B3798" s="50" t="s">
        <v>4646</v>
      </c>
      <c r="C3798" s="50" t="s">
        <v>7139</v>
      </c>
      <c r="D3798" s="49"/>
      <c r="E3798" s="49"/>
      <c r="F3798" s="49"/>
      <c r="G3798" s="49"/>
      <c r="H3798" s="54" t="str">
        <f t="shared" si="1"/>
        <v>outcome,</v>
      </c>
      <c r="I3798" s="50"/>
      <c r="J3798" s="50"/>
      <c r="K3798" s="50"/>
      <c r="L3798" s="50"/>
      <c r="M3798" s="50"/>
      <c r="N3798" s="50"/>
      <c r="O3798" s="49"/>
      <c r="P3798" s="49"/>
      <c r="Q3798" s="49"/>
      <c r="R3798" s="49"/>
      <c r="S3798" s="49"/>
      <c r="T3798" s="49"/>
      <c r="U3798" s="49"/>
      <c r="V3798" s="49"/>
      <c r="W3798" s="49"/>
      <c r="X3798" s="49"/>
      <c r="Y3798" s="49"/>
      <c r="Z3798" s="49"/>
      <c r="AB3798" s="49"/>
      <c r="AC3798" s="49"/>
      <c r="AD3798" s="49"/>
      <c r="AE3798" s="49"/>
      <c r="AF3798" s="49"/>
      <c r="AG3798" s="49"/>
      <c r="AH3798" s="49"/>
      <c r="AI3798" s="49"/>
      <c r="AJ3798" s="49"/>
      <c r="AK3798" s="49"/>
      <c r="AL3798" s="49"/>
      <c r="AM3798" s="49"/>
      <c r="AN3798" s="49"/>
      <c r="AP3798" s="49"/>
      <c r="AQ3798" s="49"/>
      <c r="AR3798" s="49"/>
      <c r="AS3798" s="49"/>
      <c r="AT3798" s="49"/>
    </row>
    <row r="3799">
      <c r="A3799" s="51"/>
      <c r="B3799" s="50" t="s">
        <v>3216</v>
      </c>
      <c r="C3799" s="50" t="s">
        <v>6197</v>
      </c>
      <c r="D3799" s="49"/>
      <c r="E3799" s="49"/>
      <c r="F3799" s="49"/>
      <c r="G3799" s="49"/>
      <c r="H3799" s="54" t="str">
        <f t="shared" si="1"/>
        <v>sara,</v>
      </c>
      <c r="I3799" s="50"/>
      <c r="J3799" s="50"/>
      <c r="K3799" s="50"/>
      <c r="L3799" s="50"/>
      <c r="M3799" s="50"/>
      <c r="N3799" s="50"/>
      <c r="O3799" s="49"/>
      <c r="P3799" s="49"/>
      <c r="Q3799" s="49"/>
      <c r="R3799" s="49"/>
      <c r="S3799" s="49"/>
      <c r="T3799" s="49"/>
      <c r="U3799" s="49"/>
      <c r="V3799" s="49"/>
      <c r="W3799" s="49"/>
      <c r="X3799" s="49"/>
      <c r="Y3799" s="49"/>
      <c r="Z3799" s="49"/>
      <c r="AB3799" s="49"/>
      <c r="AC3799" s="49"/>
      <c r="AD3799" s="49"/>
      <c r="AE3799" s="49"/>
      <c r="AF3799" s="49"/>
      <c r="AG3799" s="49"/>
      <c r="AH3799" s="49"/>
      <c r="AI3799" s="49"/>
      <c r="AJ3799" s="49"/>
      <c r="AK3799" s="49"/>
      <c r="AL3799" s="49"/>
      <c r="AM3799" s="49"/>
      <c r="AN3799" s="49"/>
      <c r="AP3799" s="49"/>
      <c r="AQ3799" s="49"/>
      <c r="AR3799" s="49"/>
      <c r="AS3799" s="49"/>
      <c r="AT3799" s="49"/>
    </row>
    <row r="3800">
      <c r="A3800" s="51"/>
      <c r="B3800" s="50" t="s">
        <v>2619</v>
      </c>
      <c r="C3800" s="50" t="s">
        <v>4909</v>
      </c>
      <c r="D3800" s="49"/>
      <c r="E3800" s="49"/>
      <c r="F3800" s="49"/>
      <c r="G3800" s="49"/>
      <c r="H3800" s="54" t="str">
        <f t="shared" si="1"/>
        <v>characterized,</v>
      </c>
      <c r="I3800" s="50"/>
      <c r="J3800" s="50"/>
      <c r="K3800" s="50"/>
      <c r="L3800" s="50"/>
      <c r="M3800" s="50"/>
      <c r="N3800" s="50"/>
      <c r="O3800" s="49"/>
      <c r="P3800" s="49"/>
      <c r="Q3800" s="49"/>
      <c r="R3800" s="49"/>
      <c r="S3800" s="49"/>
      <c r="T3800" s="49"/>
      <c r="U3800" s="49"/>
      <c r="V3800" s="49"/>
      <c r="W3800" s="49"/>
      <c r="X3800" s="49"/>
      <c r="Y3800" s="49"/>
      <c r="Z3800" s="49"/>
      <c r="AB3800" s="49"/>
      <c r="AC3800" s="49"/>
      <c r="AD3800" s="49"/>
      <c r="AE3800" s="49"/>
      <c r="AF3800" s="49"/>
      <c r="AG3800" s="49"/>
      <c r="AH3800" s="49"/>
      <c r="AI3800" s="49"/>
      <c r="AJ3800" s="49"/>
      <c r="AK3800" s="49"/>
      <c r="AL3800" s="49"/>
      <c r="AM3800" s="49"/>
      <c r="AN3800" s="49"/>
      <c r="AP3800" s="49"/>
      <c r="AQ3800" s="49"/>
      <c r="AR3800" s="49"/>
      <c r="AS3800" s="49"/>
      <c r="AT3800" s="49"/>
    </row>
    <row r="3801">
      <c r="A3801" s="51"/>
      <c r="B3801" s="50" t="s">
        <v>420</v>
      </c>
      <c r="C3801" s="50" t="s">
        <v>4911</v>
      </c>
      <c r="D3801" s="49"/>
      <c r="E3801" s="49"/>
      <c r="F3801" s="49"/>
      <c r="G3801" s="49"/>
      <c r="H3801" s="54" t="str">
        <f t="shared" si="1"/>
        <v>courage,</v>
      </c>
      <c r="I3801" s="50"/>
      <c r="J3801" s="50"/>
      <c r="K3801" s="50"/>
      <c r="L3801" s="50"/>
      <c r="M3801" s="50"/>
      <c r="N3801" s="50"/>
      <c r="O3801" s="49"/>
      <c r="P3801" s="49"/>
      <c r="Q3801" s="49"/>
      <c r="R3801" s="49"/>
      <c r="S3801" s="49"/>
      <c r="T3801" s="49"/>
      <c r="U3801" s="49"/>
      <c r="V3801" s="49"/>
      <c r="W3801" s="49"/>
      <c r="X3801" s="49"/>
      <c r="Y3801" s="49"/>
      <c r="Z3801" s="49"/>
      <c r="AB3801" s="49"/>
      <c r="AC3801" s="49"/>
      <c r="AD3801" s="49"/>
      <c r="AE3801" s="49"/>
      <c r="AF3801" s="49"/>
      <c r="AG3801" s="49"/>
      <c r="AH3801" s="49"/>
      <c r="AI3801" s="49"/>
      <c r="AJ3801" s="49"/>
      <c r="AK3801" s="49"/>
      <c r="AL3801" s="49"/>
      <c r="AM3801" s="49"/>
      <c r="AN3801" s="49"/>
      <c r="AP3801" s="49"/>
      <c r="AQ3801" s="49"/>
      <c r="AR3801" s="49"/>
      <c r="AS3801" s="49"/>
      <c r="AT3801" s="49"/>
    </row>
    <row r="3802">
      <c r="A3802" s="51"/>
      <c r="B3802" s="50" t="s">
        <v>4623</v>
      </c>
      <c r="C3802" s="50" t="s">
        <v>4461</v>
      </c>
      <c r="D3802" s="49"/>
      <c r="E3802" s="49"/>
      <c r="F3802" s="49"/>
      <c r="G3802" s="49"/>
      <c r="H3802" s="54" t="str">
        <f t="shared" si="1"/>
        <v>beaten,</v>
      </c>
      <c r="I3802" s="50"/>
      <c r="J3802" s="50"/>
      <c r="K3802" s="50"/>
      <c r="L3802" s="50"/>
      <c r="M3802" s="50"/>
      <c r="N3802" s="50"/>
      <c r="O3802" s="49"/>
      <c r="P3802" s="49"/>
      <c r="Q3802" s="49"/>
      <c r="R3802" s="49"/>
      <c r="S3802" s="49"/>
      <c r="T3802" s="49"/>
      <c r="U3802" s="49"/>
      <c r="V3802" s="49"/>
      <c r="W3802" s="49"/>
      <c r="X3802" s="49"/>
      <c r="Y3802" s="49"/>
      <c r="Z3802" s="49"/>
      <c r="AB3802" s="49"/>
      <c r="AC3802" s="49"/>
      <c r="AD3802" s="49"/>
      <c r="AE3802" s="49"/>
      <c r="AF3802" s="49"/>
      <c r="AG3802" s="49"/>
      <c r="AH3802" s="49"/>
      <c r="AI3802" s="49"/>
      <c r="AJ3802" s="49"/>
      <c r="AK3802" s="49"/>
      <c r="AL3802" s="49"/>
      <c r="AM3802" s="49"/>
      <c r="AN3802" s="49"/>
      <c r="AP3802" s="49"/>
      <c r="AQ3802" s="49"/>
      <c r="AR3802" s="49"/>
      <c r="AS3802" s="49"/>
      <c r="AT3802" s="49"/>
    </row>
    <row r="3803">
      <c r="A3803" s="51"/>
      <c r="B3803" s="50" t="s">
        <v>6897</v>
      </c>
      <c r="C3803" s="50" t="s">
        <v>6156</v>
      </c>
      <c r="D3803" s="49"/>
      <c r="E3803" s="49"/>
      <c r="F3803" s="49"/>
      <c r="G3803" s="49"/>
      <c r="H3803" s="54" t="str">
        <f t="shared" si="1"/>
        <v>backed,</v>
      </c>
      <c r="I3803" s="50"/>
      <c r="J3803" s="50"/>
      <c r="K3803" s="50"/>
      <c r="L3803" s="50"/>
      <c r="M3803" s="50"/>
      <c r="N3803" s="50"/>
      <c r="O3803" s="49"/>
      <c r="P3803" s="49"/>
      <c r="Q3803" s="49"/>
      <c r="R3803" s="49"/>
      <c r="S3803" s="49"/>
      <c r="T3803" s="49"/>
      <c r="U3803" s="49"/>
      <c r="V3803" s="49"/>
      <c r="W3803" s="49"/>
      <c r="X3803" s="49"/>
      <c r="Y3803" s="49"/>
      <c r="Z3803" s="49"/>
      <c r="AB3803" s="49"/>
      <c r="AC3803" s="49"/>
      <c r="AD3803" s="49"/>
      <c r="AE3803" s="49"/>
      <c r="AF3803" s="49"/>
      <c r="AG3803" s="49"/>
      <c r="AH3803" s="49"/>
      <c r="AI3803" s="49"/>
      <c r="AJ3803" s="49"/>
      <c r="AK3803" s="49"/>
      <c r="AL3803" s="49"/>
      <c r="AM3803" s="49"/>
      <c r="AN3803" s="49"/>
      <c r="AP3803" s="49"/>
      <c r="AQ3803" s="49"/>
      <c r="AR3803" s="49"/>
      <c r="AS3803" s="49"/>
      <c r="AT3803" s="49"/>
    </row>
    <row r="3804">
      <c r="A3804" s="51"/>
      <c r="B3804" s="50" t="s">
        <v>5304</v>
      </c>
      <c r="C3804" s="50" t="s">
        <v>5115</v>
      </c>
      <c r="D3804" s="49"/>
      <c r="E3804" s="49"/>
      <c r="F3804" s="49"/>
      <c r="G3804" s="49"/>
      <c r="H3804" s="54" t="str">
        <f t="shared" si="1"/>
        <v>batting,</v>
      </c>
      <c r="I3804" s="50"/>
      <c r="J3804" s="50"/>
      <c r="K3804" s="50"/>
      <c r="L3804" s="50"/>
      <c r="M3804" s="50"/>
      <c r="N3804" s="50"/>
      <c r="O3804" s="49"/>
      <c r="P3804" s="49"/>
      <c r="Q3804" s="49"/>
      <c r="R3804" s="49"/>
      <c r="S3804" s="49"/>
      <c r="T3804" s="49"/>
      <c r="U3804" s="49"/>
      <c r="V3804" s="49"/>
      <c r="W3804" s="49"/>
      <c r="X3804" s="49"/>
      <c r="Y3804" s="49"/>
      <c r="Z3804" s="49"/>
      <c r="AB3804" s="49"/>
      <c r="AC3804" s="49"/>
      <c r="AD3804" s="49"/>
      <c r="AE3804" s="49"/>
      <c r="AF3804" s="49"/>
      <c r="AG3804" s="49"/>
      <c r="AH3804" s="49"/>
      <c r="AI3804" s="49"/>
      <c r="AJ3804" s="49"/>
      <c r="AK3804" s="49"/>
      <c r="AL3804" s="49"/>
      <c r="AM3804" s="49"/>
      <c r="AN3804" s="49"/>
      <c r="AP3804" s="49"/>
      <c r="AQ3804" s="49"/>
      <c r="AR3804" s="49"/>
      <c r="AS3804" s="49"/>
      <c r="AT3804" s="49"/>
    </row>
    <row r="3805">
      <c r="A3805" s="51"/>
      <c r="B3805" s="50" t="s">
        <v>7704</v>
      </c>
      <c r="C3805" s="50" t="s">
        <v>7140</v>
      </c>
      <c r="D3805" s="49"/>
      <c r="E3805" s="49"/>
      <c r="F3805" s="49"/>
      <c r="G3805" s="49"/>
      <c r="H3805" s="54" t="str">
        <f t="shared" si="1"/>
        <v>5th,</v>
      </c>
      <c r="I3805" s="50"/>
      <c r="J3805" s="50"/>
      <c r="K3805" s="50"/>
      <c r="L3805" s="50"/>
      <c r="M3805" s="50"/>
      <c r="N3805" s="50"/>
      <c r="O3805" s="49"/>
      <c r="P3805" s="49"/>
      <c r="Q3805" s="49"/>
      <c r="R3805" s="49"/>
      <c r="S3805" s="49"/>
      <c r="T3805" s="49"/>
      <c r="U3805" s="49"/>
      <c r="V3805" s="49"/>
      <c r="W3805" s="49"/>
      <c r="X3805" s="49"/>
      <c r="Y3805" s="49"/>
      <c r="Z3805" s="49"/>
      <c r="AB3805" s="49"/>
      <c r="AC3805" s="49"/>
      <c r="AD3805" s="49"/>
      <c r="AE3805" s="49"/>
      <c r="AF3805" s="49"/>
      <c r="AG3805" s="49"/>
      <c r="AH3805" s="49"/>
      <c r="AI3805" s="49"/>
      <c r="AJ3805" s="49"/>
      <c r="AK3805" s="49"/>
      <c r="AL3805" s="49"/>
      <c r="AM3805" s="49"/>
      <c r="AN3805" s="49"/>
      <c r="AP3805" s="49"/>
      <c r="AQ3805" s="49"/>
      <c r="AR3805" s="49"/>
      <c r="AS3805" s="49"/>
      <c r="AT3805" s="49"/>
    </row>
    <row r="3806">
      <c r="A3806" s="51"/>
      <c r="B3806" s="50" t="s">
        <v>3466</v>
      </c>
      <c r="C3806" s="50" t="s">
        <v>4319</v>
      </c>
      <c r="D3806" s="49"/>
      <c r="E3806" s="49"/>
      <c r="F3806" s="49"/>
      <c r="G3806" s="49"/>
      <c r="H3806" s="54" t="str">
        <f t="shared" si="1"/>
        <v>khan,</v>
      </c>
      <c r="I3806" s="50"/>
      <c r="J3806" s="50"/>
      <c r="K3806" s="50"/>
      <c r="L3806" s="50"/>
      <c r="M3806" s="50"/>
      <c r="N3806" s="50"/>
      <c r="O3806" s="49"/>
      <c r="P3806" s="49"/>
      <c r="Q3806" s="49"/>
      <c r="R3806" s="49"/>
      <c r="S3806" s="49"/>
      <c r="T3806" s="49"/>
      <c r="U3806" s="49"/>
      <c r="V3806" s="49"/>
      <c r="W3806" s="49"/>
      <c r="X3806" s="49"/>
      <c r="Y3806" s="49"/>
      <c r="Z3806" s="49"/>
      <c r="AB3806" s="49"/>
      <c r="AC3806" s="49"/>
      <c r="AD3806" s="49"/>
      <c r="AE3806" s="49"/>
      <c r="AF3806" s="49"/>
      <c r="AG3806" s="49"/>
      <c r="AH3806" s="49"/>
      <c r="AI3806" s="49"/>
      <c r="AJ3806" s="49"/>
      <c r="AK3806" s="49"/>
      <c r="AL3806" s="49"/>
      <c r="AM3806" s="49"/>
      <c r="AN3806" s="49"/>
      <c r="AP3806" s="49"/>
      <c r="AQ3806" s="49"/>
      <c r="AR3806" s="49"/>
      <c r="AS3806" s="49"/>
      <c r="AT3806" s="49"/>
    </row>
    <row r="3807">
      <c r="A3807" s="51"/>
      <c r="B3807" s="50" t="s">
        <v>7000</v>
      </c>
      <c r="C3807" s="50" t="s">
        <v>7141</v>
      </c>
      <c r="D3807" s="49"/>
      <c r="E3807" s="49"/>
      <c r="F3807" s="49"/>
      <c r="G3807" s="49"/>
      <c r="H3807" s="54" t="str">
        <f t="shared" si="1"/>
        <v>parties,</v>
      </c>
      <c r="I3807" s="50"/>
      <c r="J3807" s="50"/>
      <c r="K3807" s="50"/>
      <c r="L3807" s="50"/>
      <c r="M3807" s="50"/>
      <c r="N3807" s="50"/>
      <c r="O3807" s="49"/>
      <c r="P3807" s="49"/>
      <c r="Q3807" s="49"/>
      <c r="R3807" s="49"/>
      <c r="S3807" s="49"/>
      <c r="T3807" s="49"/>
      <c r="U3807" s="49"/>
      <c r="V3807" s="49"/>
      <c r="W3807" s="49"/>
      <c r="X3807" s="49"/>
      <c r="Y3807" s="49"/>
      <c r="Z3807" s="49"/>
      <c r="AB3807" s="49"/>
      <c r="AC3807" s="49"/>
      <c r="AD3807" s="49"/>
      <c r="AE3807" s="49"/>
      <c r="AF3807" s="49"/>
      <c r="AG3807" s="49"/>
      <c r="AH3807" s="49"/>
      <c r="AI3807" s="49"/>
      <c r="AJ3807" s="49"/>
      <c r="AK3807" s="49"/>
      <c r="AL3807" s="49"/>
      <c r="AM3807" s="49"/>
      <c r="AN3807" s="49"/>
      <c r="AP3807" s="49"/>
      <c r="AQ3807" s="49"/>
      <c r="AR3807" s="49"/>
      <c r="AS3807" s="49"/>
      <c r="AT3807" s="49"/>
    </row>
    <row r="3808">
      <c r="A3808" s="51"/>
      <c r="B3808" s="50" t="s">
        <v>4087</v>
      </c>
      <c r="C3808" s="50" t="s">
        <v>7004</v>
      </c>
      <c r="D3808" s="49"/>
      <c r="E3808" s="49"/>
      <c r="F3808" s="49"/>
      <c r="G3808" s="49"/>
      <c r="H3808" s="54" t="str">
        <f t="shared" si="1"/>
        <v>reynolds,</v>
      </c>
      <c r="I3808" s="50"/>
      <c r="J3808" s="50"/>
      <c r="K3808" s="50"/>
      <c r="L3808" s="50"/>
      <c r="M3808" s="50"/>
      <c r="N3808" s="50"/>
      <c r="O3808" s="49"/>
      <c r="P3808" s="49"/>
      <c r="Q3808" s="49"/>
      <c r="R3808" s="49"/>
      <c r="S3808" s="49"/>
      <c r="T3808" s="49"/>
      <c r="U3808" s="49"/>
      <c r="V3808" s="49"/>
      <c r="W3808" s="49"/>
      <c r="X3808" s="49"/>
      <c r="Y3808" s="49"/>
      <c r="Z3808" s="49"/>
      <c r="AB3808" s="49"/>
      <c r="AC3808" s="49"/>
      <c r="AD3808" s="49"/>
      <c r="AE3808" s="49"/>
      <c r="AF3808" s="49"/>
      <c r="AG3808" s="49"/>
      <c r="AH3808" s="49"/>
      <c r="AI3808" s="49"/>
      <c r="AJ3808" s="49"/>
      <c r="AK3808" s="49"/>
      <c r="AL3808" s="49"/>
      <c r="AM3808" s="49"/>
      <c r="AN3808" s="49"/>
      <c r="AP3808" s="49"/>
      <c r="AQ3808" s="49"/>
      <c r="AR3808" s="49"/>
      <c r="AS3808" s="49"/>
      <c r="AT3808" s="49"/>
    </row>
    <row r="3809">
      <c r="A3809" s="51"/>
      <c r="B3809" s="50" t="s">
        <v>4592</v>
      </c>
      <c r="C3809" s="50" t="s">
        <v>7142</v>
      </c>
      <c r="D3809" s="49"/>
      <c r="E3809" s="49"/>
      <c r="F3809" s="49"/>
      <c r="G3809" s="49"/>
      <c r="H3809" s="54" t="str">
        <f t="shared" si="1"/>
        <v>wallace,</v>
      </c>
      <c r="I3809" s="50"/>
      <c r="J3809" s="50"/>
      <c r="K3809" s="50"/>
      <c r="L3809" s="50"/>
      <c r="M3809" s="50"/>
      <c r="N3809" s="50"/>
      <c r="O3809" s="49"/>
      <c r="P3809" s="49"/>
      <c r="Q3809" s="49"/>
      <c r="R3809" s="49"/>
      <c r="S3809" s="49"/>
      <c r="T3809" s="49"/>
      <c r="U3809" s="49"/>
      <c r="V3809" s="49"/>
      <c r="W3809" s="49"/>
      <c r="X3809" s="49"/>
      <c r="Y3809" s="49"/>
      <c r="Z3809" s="49"/>
      <c r="AB3809" s="49"/>
      <c r="AC3809" s="49"/>
      <c r="AD3809" s="49"/>
      <c r="AE3809" s="49"/>
      <c r="AF3809" s="49"/>
      <c r="AG3809" s="49"/>
      <c r="AH3809" s="49"/>
      <c r="AI3809" s="49"/>
      <c r="AJ3809" s="49"/>
      <c r="AK3809" s="49"/>
      <c r="AL3809" s="49"/>
      <c r="AM3809" s="49"/>
      <c r="AN3809" s="49"/>
      <c r="AP3809" s="49"/>
      <c r="AQ3809" s="49"/>
      <c r="AR3809" s="49"/>
      <c r="AS3809" s="49"/>
      <c r="AT3809" s="49"/>
    </row>
    <row r="3810">
      <c r="A3810" s="51"/>
      <c r="B3810" s="50" t="s">
        <v>7126</v>
      </c>
      <c r="C3810" s="50" t="s">
        <v>4913</v>
      </c>
      <c r="D3810" s="49"/>
      <c r="E3810" s="49"/>
      <c r="F3810" s="49"/>
      <c r="G3810" s="49"/>
      <c r="H3810" s="54" t="str">
        <f t="shared" si="1"/>
        <v>fork,</v>
      </c>
      <c r="I3810" s="50"/>
      <c r="J3810" s="50"/>
      <c r="K3810" s="50"/>
      <c r="L3810" s="50"/>
      <c r="M3810" s="50"/>
      <c r="N3810" s="50"/>
      <c r="O3810" s="49"/>
      <c r="P3810" s="49"/>
      <c r="Q3810" s="49"/>
      <c r="R3810" s="49"/>
      <c r="S3810" s="49"/>
      <c r="T3810" s="49"/>
      <c r="U3810" s="49"/>
      <c r="V3810" s="49"/>
      <c r="W3810" s="49"/>
      <c r="X3810" s="49"/>
      <c r="Y3810" s="49"/>
      <c r="Z3810" s="49"/>
      <c r="AB3810" s="49"/>
      <c r="AC3810" s="49"/>
      <c r="AD3810" s="49"/>
      <c r="AE3810" s="49"/>
      <c r="AF3810" s="49"/>
      <c r="AG3810" s="49"/>
      <c r="AH3810" s="49"/>
      <c r="AI3810" s="49"/>
      <c r="AJ3810" s="49"/>
      <c r="AK3810" s="49"/>
      <c r="AL3810" s="49"/>
      <c r="AM3810" s="49"/>
      <c r="AN3810" s="49"/>
      <c r="AP3810" s="49"/>
      <c r="AQ3810" s="49"/>
      <c r="AR3810" s="49"/>
      <c r="AS3810" s="49"/>
      <c r="AT3810" s="49"/>
    </row>
    <row r="3811">
      <c r="A3811" s="51"/>
      <c r="B3811" s="50" t="s">
        <v>6352</v>
      </c>
      <c r="C3811" s="50" t="s">
        <v>7005</v>
      </c>
      <c r="D3811" s="49"/>
      <c r="E3811" s="49"/>
      <c r="F3811" s="49"/>
      <c r="G3811" s="49"/>
      <c r="H3811" s="54" t="str">
        <f t="shared" si="1"/>
        <v>messages,</v>
      </c>
      <c r="I3811" s="50"/>
      <c r="J3811" s="50"/>
      <c r="K3811" s="50"/>
      <c r="L3811" s="50"/>
      <c r="M3811" s="50"/>
      <c r="N3811" s="50"/>
      <c r="O3811" s="49"/>
      <c r="P3811" s="49"/>
      <c r="Q3811" s="49"/>
      <c r="R3811" s="49"/>
      <c r="S3811" s="49"/>
      <c r="T3811" s="49"/>
      <c r="U3811" s="49"/>
      <c r="V3811" s="49"/>
      <c r="W3811" s="49"/>
      <c r="X3811" s="49"/>
      <c r="Y3811" s="49"/>
      <c r="Z3811" s="49"/>
      <c r="AB3811" s="49"/>
      <c r="AC3811" s="49"/>
      <c r="AD3811" s="49"/>
      <c r="AE3811" s="49"/>
      <c r="AF3811" s="49"/>
      <c r="AG3811" s="49"/>
      <c r="AH3811" s="49"/>
      <c r="AI3811" s="49"/>
      <c r="AJ3811" s="49"/>
      <c r="AK3811" s="49"/>
      <c r="AL3811" s="49"/>
      <c r="AM3811" s="49"/>
      <c r="AN3811" s="49"/>
      <c r="AP3811" s="49"/>
      <c r="AQ3811" s="49"/>
      <c r="AR3811" s="49"/>
      <c r="AS3811" s="49"/>
      <c r="AT3811" s="49"/>
    </row>
    <row r="3812">
      <c r="A3812" s="51"/>
      <c r="B3812" s="50" t="s">
        <v>3906</v>
      </c>
      <c r="C3812" s="50" t="s">
        <v>5786</v>
      </c>
      <c r="D3812" s="49"/>
      <c r="E3812" s="49"/>
      <c r="F3812" s="49"/>
      <c r="G3812" s="49"/>
      <c r="H3812" s="54" t="str">
        <f t="shared" si="1"/>
        <v>traditions,</v>
      </c>
      <c r="I3812" s="50"/>
      <c r="J3812" s="50"/>
      <c r="K3812" s="50"/>
      <c r="L3812" s="50"/>
      <c r="M3812" s="50"/>
      <c r="N3812" s="50"/>
      <c r="O3812" s="49"/>
      <c r="P3812" s="49"/>
      <c r="Q3812" s="49"/>
      <c r="R3812" s="49"/>
      <c r="S3812" s="49"/>
      <c r="T3812" s="49"/>
      <c r="U3812" s="49"/>
      <c r="V3812" s="49"/>
      <c r="W3812" s="49"/>
      <c r="X3812" s="49"/>
      <c r="Y3812" s="49"/>
      <c r="Z3812" s="49"/>
      <c r="AB3812" s="49"/>
      <c r="AC3812" s="49"/>
      <c r="AD3812" s="49"/>
      <c r="AE3812" s="49"/>
      <c r="AF3812" s="49"/>
      <c r="AG3812" s="49"/>
      <c r="AH3812" s="49"/>
      <c r="AI3812" s="49"/>
      <c r="AJ3812" s="49"/>
      <c r="AK3812" s="49"/>
      <c r="AL3812" s="49"/>
      <c r="AM3812" s="49"/>
      <c r="AN3812" s="49"/>
      <c r="AP3812" s="49"/>
      <c r="AQ3812" s="49"/>
      <c r="AR3812" s="49"/>
      <c r="AS3812" s="49"/>
      <c r="AT3812" s="49"/>
    </row>
    <row r="3813">
      <c r="A3813" s="51"/>
      <c r="B3813" s="50" t="s">
        <v>1042</v>
      </c>
      <c r="C3813" s="50" t="s">
        <v>4919</v>
      </c>
      <c r="D3813" s="49"/>
      <c r="E3813" s="49"/>
      <c r="F3813" s="49"/>
      <c r="G3813" s="49"/>
      <c r="H3813" s="54" t="str">
        <f t="shared" si="1"/>
        <v>confident,</v>
      </c>
      <c r="I3813" s="50"/>
      <c r="J3813" s="50"/>
      <c r="K3813" s="50"/>
      <c r="L3813" s="50"/>
      <c r="M3813" s="50"/>
      <c r="N3813" s="50"/>
      <c r="O3813" s="49"/>
      <c r="P3813" s="49"/>
      <c r="Q3813" s="49"/>
      <c r="R3813" s="49"/>
      <c r="S3813" s="49"/>
      <c r="T3813" s="49"/>
      <c r="U3813" s="49"/>
      <c r="V3813" s="49"/>
      <c r="W3813" s="49"/>
      <c r="X3813" s="49"/>
      <c r="Y3813" s="49"/>
      <c r="Z3813" s="49"/>
      <c r="AB3813" s="49"/>
      <c r="AC3813" s="49"/>
      <c r="AD3813" s="49"/>
      <c r="AE3813" s="49"/>
      <c r="AF3813" s="49"/>
      <c r="AG3813" s="49"/>
      <c r="AH3813" s="49"/>
      <c r="AI3813" s="49"/>
      <c r="AJ3813" s="49"/>
      <c r="AK3813" s="49"/>
      <c r="AL3813" s="49"/>
      <c r="AM3813" s="49"/>
      <c r="AN3813" s="49"/>
      <c r="AP3813" s="49"/>
      <c r="AQ3813" s="49"/>
      <c r="AR3813" s="49"/>
      <c r="AS3813" s="49"/>
      <c r="AT3813" s="49"/>
    </row>
    <row r="3814">
      <c r="A3814" s="51"/>
      <c r="B3814" s="50" t="s">
        <v>5798</v>
      </c>
      <c r="C3814" s="50" t="s">
        <v>7006</v>
      </c>
      <c r="D3814" s="49"/>
      <c r="E3814" s="49"/>
      <c r="F3814" s="49"/>
      <c r="G3814" s="49"/>
      <c r="H3814" s="54" t="str">
        <f t="shared" si="1"/>
        <v>fusion,</v>
      </c>
      <c r="I3814" s="50"/>
      <c r="J3814" s="50"/>
      <c r="K3814" s="50"/>
      <c r="L3814" s="50"/>
      <c r="M3814" s="50"/>
      <c r="N3814" s="50"/>
      <c r="O3814" s="49"/>
      <c r="P3814" s="49"/>
      <c r="Q3814" s="49"/>
      <c r="R3814" s="49"/>
      <c r="S3814" s="49"/>
      <c r="T3814" s="49"/>
      <c r="U3814" s="49"/>
      <c r="V3814" s="49"/>
      <c r="W3814" s="49"/>
      <c r="X3814" s="49"/>
      <c r="Y3814" s="49"/>
      <c r="Z3814" s="49"/>
      <c r="AB3814" s="49"/>
      <c r="AC3814" s="49"/>
      <c r="AD3814" s="49"/>
      <c r="AE3814" s="49"/>
      <c r="AF3814" s="49"/>
      <c r="AG3814" s="49"/>
      <c r="AH3814" s="49"/>
      <c r="AI3814" s="49"/>
      <c r="AJ3814" s="49"/>
      <c r="AK3814" s="49"/>
      <c r="AL3814" s="49"/>
      <c r="AM3814" s="49"/>
      <c r="AN3814" s="49"/>
      <c r="AP3814" s="49"/>
      <c r="AQ3814" s="49"/>
      <c r="AR3814" s="49"/>
      <c r="AS3814" s="49"/>
      <c r="AT3814" s="49"/>
    </row>
    <row r="3815">
      <c r="A3815" s="51"/>
      <c r="B3815" s="50" t="s">
        <v>4708</v>
      </c>
      <c r="C3815" s="50" t="s">
        <v>5812</v>
      </c>
      <c r="D3815" s="49"/>
      <c r="E3815" s="49"/>
      <c r="F3815" s="49"/>
      <c r="G3815" s="49"/>
      <c r="H3815" s="54" t="str">
        <f t="shared" si="1"/>
        <v>goals,</v>
      </c>
      <c r="I3815" s="50"/>
      <c r="J3815" s="50"/>
      <c r="K3815" s="50"/>
      <c r="L3815" s="50"/>
      <c r="M3815" s="50"/>
      <c r="N3815" s="50"/>
      <c r="O3815" s="49"/>
      <c r="P3815" s="49"/>
      <c r="Q3815" s="49"/>
      <c r="R3815" s="49"/>
      <c r="S3815" s="49"/>
      <c r="T3815" s="49"/>
      <c r="U3815" s="49"/>
      <c r="V3815" s="49"/>
      <c r="W3815" s="49"/>
      <c r="X3815" s="49"/>
      <c r="Y3815" s="49"/>
      <c r="Z3815" s="49"/>
      <c r="AB3815" s="49"/>
      <c r="AC3815" s="49"/>
      <c r="AD3815" s="49"/>
      <c r="AE3815" s="49"/>
      <c r="AF3815" s="49"/>
      <c r="AG3815" s="49"/>
      <c r="AH3815" s="49"/>
      <c r="AI3815" s="49"/>
      <c r="AJ3815" s="49"/>
      <c r="AK3815" s="49"/>
      <c r="AL3815" s="49"/>
      <c r="AM3815" s="49"/>
      <c r="AN3815" s="49"/>
      <c r="AP3815" s="49"/>
      <c r="AQ3815" s="49"/>
      <c r="AR3815" s="49"/>
      <c r="AS3815" s="49"/>
      <c r="AT3815" s="49"/>
    </row>
    <row r="3816">
      <c r="A3816" s="51"/>
      <c r="B3816" s="50" t="s">
        <v>6999</v>
      </c>
      <c r="C3816" s="50" t="s">
        <v>7143</v>
      </c>
      <c r="D3816" s="49"/>
      <c r="E3816" s="49"/>
      <c r="F3816" s="49"/>
      <c r="G3816" s="49"/>
      <c r="H3816" s="54" t="str">
        <f t="shared" si="1"/>
        <v>limit,</v>
      </c>
      <c r="I3816" s="50"/>
      <c r="J3816" s="50"/>
      <c r="K3816" s="50"/>
      <c r="L3816" s="50"/>
      <c r="M3816" s="50"/>
      <c r="N3816" s="50"/>
      <c r="O3816" s="49"/>
      <c r="P3816" s="49"/>
      <c r="Q3816" s="49"/>
      <c r="R3816" s="49"/>
      <c r="S3816" s="49"/>
      <c r="T3816" s="49"/>
      <c r="U3816" s="49"/>
      <c r="V3816" s="49"/>
      <c r="W3816" s="49"/>
      <c r="X3816" s="49"/>
      <c r="Y3816" s="49"/>
      <c r="Z3816" s="49"/>
      <c r="AB3816" s="49"/>
      <c r="AC3816" s="49"/>
      <c r="AD3816" s="49"/>
      <c r="AE3816" s="49"/>
      <c r="AF3816" s="49"/>
      <c r="AG3816" s="49"/>
      <c r="AH3816" s="49"/>
      <c r="AI3816" s="49"/>
      <c r="AJ3816" s="49"/>
      <c r="AK3816" s="49"/>
      <c r="AL3816" s="49"/>
      <c r="AM3816" s="49"/>
      <c r="AN3816" s="49"/>
      <c r="AP3816" s="49"/>
      <c r="AQ3816" s="49"/>
      <c r="AR3816" s="49"/>
      <c r="AS3816" s="49"/>
      <c r="AT3816" s="49"/>
    </row>
    <row r="3817">
      <c r="A3817" s="51"/>
      <c r="B3817" s="50" t="s">
        <v>3413</v>
      </c>
      <c r="C3817" s="50" t="s">
        <v>3133</v>
      </c>
      <c r="D3817" s="49"/>
      <c r="E3817" s="49"/>
      <c r="F3817" s="49"/>
      <c r="G3817" s="49"/>
      <c r="H3817" s="54" t="str">
        <f t="shared" si="1"/>
        <v>smaller,</v>
      </c>
      <c r="I3817" s="50"/>
      <c r="J3817" s="50"/>
      <c r="K3817" s="50"/>
      <c r="L3817" s="50"/>
      <c r="M3817" s="50"/>
      <c r="N3817" s="50"/>
      <c r="O3817" s="49"/>
      <c r="P3817" s="49"/>
      <c r="Q3817" s="49"/>
      <c r="R3817" s="49"/>
      <c r="S3817" s="49"/>
      <c r="T3817" s="49"/>
      <c r="U3817" s="49"/>
      <c r="V3817" s="49"/>
      <c r="W3817" s="49"/>
      <c r="X3817" s="49"/>
      <c r="Y3817" s="49"/>
      <c r="Z3817" s="49"/>
      <c r="AB3817" s="49"/>
      <c r="AC3817" s="49"/>
      <c r="AD3817" s="49"/>
      <c r="AE3817" s="49"/>
      <c r="AF3817" s="49"/>
      <c r="AG3817" s="49"/>
      <c r="AH3817" s="49"/>
      <c r="AI3817" s="49"/>
      <c r="AJ3817" s="49"/>
      <c r="AK3817" s="49"/>
      <c r="AL3817" s="49"/>
      <c r="AM3817" s="49"/>
      <c r="AN3817" s="49"/>
      <c r="AP3817" s="49"/>
      <c r="AQ3817" s="49"/>
      <c r="AR3817" s="49"/>
      <c r="AS3817" s="49"/>
      <c r="AT3817" s="49"/>
    </row>
    <row r="3818">
      <c r="A3818" s="51"/>
      <c r="B3818" s="50" t="s">
        <v>4100</v>
      </c>
      <c r="C3818" s="50" t="s">
        <v>4921</v>
      </c>
      <c r="D3818" s="49"/>
      <c r="E3818" s="49"/>
      <c r="F3818" s="49"/>
      <c r="G3818" s="49"/>
      <c r="H3818" s="54" t="str">
        <f t="shared" si="1"/>
        <v>strategic,</v>
      </c>
      <c r="I3818" s="50"/>
      <c r="J3818" s="50"/>
      <c r="K3818" s="50"/>
      <c r="L3818" s="50"/>
      <c r="M3818" s="50"/>
      <c r="N3818" s="50"/>
      <c r="O3818" s="49"/>
      <c r="P3818" s="49"/>
      <c r="Q3818" s="49"/>
      <c r="R3818" s="49"/>
      <c r="S3818" s="49"/>
      <c r="T3818" s="49"/>
      <c r="U3818" s="49"/>
      <c r="V3818" s="49"/>
      <c r="W3818" s="49"/>
      <c r="X3818" s="49"/>
      <c r="Y3818" s="49"/>
      <c r="Z3818" s="49"/>
      <c r="AB3818" s="49"/>
      <c r="AC3818" s="49"/>
      <c r="AD3818" s="49"/>
      <c r="AE3818" s="49"/>
      <c r="AF3818" s="49"/>
      <c r="AG3818" s="49"/>
      <c r="AH3818" s="49"/>
      <c r="AI3818" s="49"/>
      <c r="AJ3818" s="49"/>
      <c r="AK3818" s="49"/>
      <c r="AL3818" s="49"/>
      <c r="AM3818" s="49"/>
      <c r="AN3818" s="49"/>
      <c r="AP3818" s="49"/>
      <c r="AQ3818" s="49"/>
      <c r="AR3818" s="49"/>
      <c r="AS3818" s="49"/>
      <c r="AT3818" s="49"/>
    </row>
    <row r="3819">
      <c r="A3819" s="51"/>
      <c r="B3819" s="50" t="s">
        <v>6711</v>
      </c>
      <c r="C3819" s="50" t="s">
        <v>4922</v>
      </c>
      <c r="D3819" s="49"/>
      <c r="E3819" s="49"/>
      <c r="F3819" s="49"/>
      <c r="G3819" s="49"/>
      <c r="H3819" s="54" t="str">
        <f t="shared" si="1"/>
        <v>fields,</v>
      </c>
      <c r="I3819" s="50"/>
      <c r="J3819" s="50"/>
      <c r="K3819" s="50"/>
      <c r="L3819" s="50"/>
      <c r="M3819" s="50"/>
      <c r="N3819" s="50"/>
      <c r="O3819" s="49"/>
      <c r="P3819" s="49"/>
      <c r="Q3819" s="49"/>
      <c r="R3819" s="49"/>
      <c r="S3819" s="49"/>
      <c r="T3819" s="49"/>
      <c r="U3819" s="49"/>
      <c r="V3819" s="49"/>
      <c r="W3819" s="49"/>
      <c r="X3819" s="49"/>
      <c r="Y3819" s="49"/>
      <c r="Z3819" s="49"/>
      <c r="AB3819" s="49"/>
      <c r="AC3819" s="49"/>
      <c r="AD3819" s="49"/>
      <c r="AE3819" s="49"/>
      <c r="AF3819" s="49"/>
      <c r="AG3819" s="49"/>
      <c r="AH3819" s="49"/>
      <c r="AI3819" s="49"/>
      <c r="AJ3819" s="49"/>
      <c r="AK3819" s="49"/>
      <c r="AL3819" s="49"/>
      <c r="AM3819" s="49"/>
      <c r="AN3819" s="49"/>
      <c r="AP3819" s="49"/>
      <c r="AQ3819" s="49"/>
      <c r="AR3819" s="49"/>
      <c r="AS3819" s="49"/>
      <c r="AT3819" s="49"/>
    </row>
    <row r="3820">
      <c r="A3820" s="51"/>
      <c r="B3820" s="50" t="s">
        <v>6025</v>
      </c>
      <c r="C3820" s="50" t="s">
        <v>5005</v>
      </c>
      <c r="D3820" s="49"/>
      <c r="E3820" s="49"/>
      <c r="F3820" s="49"/>
      <c r="G3820" s="49"/>
      <c r="H3820" s="54" t="str">
        <f t="shared" si="1"/>
        <v>berkeley,</v>
      </c>
      <c r="I3820" s="50"/>
      <c r="J3820" s="50"/>
      <c r="K3820" s="50"/>
      <c r="L3820" s="50"/>
      <c r="M3820" s="50"/>
      <c r="N3820" s="50"/>
      <c r="O3820" s="49"/>
      <c r="P3820" s="49"/>
      <c r="Q3820" s="49"/>
      <c r="R3820" s="49"/>
      <c r="S3820" s="49"/>
      <c r="T3820" s="49"/>
      <c r="U3820" s="49"/>
      <c r="V3820" s="49"/>
      <c r="W3820" s="49"/>
      <c r="X3820" s="49"/>
      <c r="Y3820" s="49"/>
      <c r="Z3820" s="49"/>
      <c r="AB3820" s="49"/>
      <c r="AC3820" s="49"/>
      <c r="AD3820" s="49"/>
      <c r="AE3820" s="49"/>
      <c r="AF3820" s="49"/>
      <c r="AG3820" s="49"/>
      <c r="AH3820" s="49"/>
      <c r="AI3820" s="49"/>
      <c r="AJ3820" s="49"/>
      <c r="AK3820" s="49"/>
      <c r="AL3820" s="49"/>
      <c r="AM3820" s="49"/>
      <c r="AN3820" s="49"/>
      <c r="AP3820" s="49"/>
      <c r="AQ3820" s="49"/>
      <c r="AR3820" s="49"/>
      <c r="AS3820" s="49"/>
      <c r="AT3820" s="49"/>
    </row>
    <row r="3821">
      <c r="A3821" s="51"/>
      <c r="B3821" s="50" t="s">
        <v>6846</v>
      </c>
      <c r="C3821" s="50" t="s">
        <v>7144</v>
      </c>
      <c r="D3821" s="49"/>
      <c r="E3821" s="49"/>
      <c r="F3821" s="49"/>
      <c r="G3821" s="49"/>
      <c r="H3821" s="54" t="str">
        <f t="shared" si="1"/>
        <v>conditions,</v>
      </c>
      <c r="I3821" s="50"/>
      <c r="J3821" s="50"/>
      <c r="K3821" s="50"/>
      <c r="L3821" s="50"/>
      <c r="M3821" s="50"/>
      <c r="N3821" s="50"/>
      <c r="O3821" s="49"/>
      <c r="P3821" s="49"/>
      <c r="Q3821" s="49"/>
      <c r="R3821" s="49"/>
      <c r="S3821" s="49"/>
      <c r="T3821" s="49"/>
      <c r="U3821" s="49"/>
      <c r="V3821" s="49"/>
      <c r="W3821" s="49"/>
      <c r="X3821" s="49"/>
      <c r="Y3821" s="49"/>
      <c r="Z3821" s="49"/>
      <c r="AB3821" s="49"/>
      <c r="AC3821" s="49"/>
      <c r="AD3821" s="49"/>
      <c r="AE3821" s="49"/>
      <c r="AF3821" s="49"/>
      <c r="AG3821" s="49"/>
      <c r="AH3821" s="49"/>
      <c r="AI3821" s="49"/>
      <c r="AJ3821" s="49"/>
      <c r="AK3821" s="49"/>
      <c r="AL3821" s="49"/>
      <c r="AM3821" s="49"/>
      <c r="AN3821" s="49"/>
      <c r="AP3821" s="49"/>
      <c r="AQ3821" s="49"/>
      <c r="AR3821" s="49"/>
      <c r="AS3821" s="49"/>
      <c r="AT3821" s="49"/>
    </row>
    <row r="3822">
      <c r="A3822" s="51"/>
      <c r="B3822" s="50" t="s">
        <v>6841</v>
      </c>
      <c r="C3822" s="50" t="s">
        <v>1954</v>
      </c>
      <c r="D3822" s="49"/>
      <c r="E3822" s="49"/>
      <c r="F3822" s="49"/>
      <c r="G3822" s="49"/>
      <c r="H3822" s="54" t="str">
        <f t="shared" si="1"/>
        <v>policy,</v>
      </c>
      <c r="I3822" s="50"/>
      <c r="J3822" s="50"/>
      <c r="K3822" s="50"/>
      <c r="L3822" s="50"/>
      <c r="M3822" s="50"/>
      <c r="N3822" s="50"/>
      <c r="O3822" s="49"/>
      <c r="P3822" s="49"/>
      <c r="Q3822" s="49"/>
      <c r="R3822" s="49"/>
      <c r="S3822" s="49"/>
      <c r="T3822" s="49"/>
      <c r="U3822" s="49"/>
      <c r="V3822" s="49"/>
      <c r="W3822" s="49"/>
      <c r="X3822" s="49"/>
      <c r="Y3822" s="49"/>
      <c r="Z3822" s="49"/>
      <c r="AB3822" s="49"/>
      <c r="AC3822" s="49"/>
      <c r="AD3822" s="49"/>
      <c r="AE3822" s="49"/>
      <c r="AF3822" s="49"/>
      <c r="AG3822" s="49"/>
      <c r="AH3822" s="49"/>
      <c r="AI3822" s="49"/>
      <c r="AJ3822" s="49"/>
      <c r="AK3822" s="49"/>
      <c r="AL3822" s="49"/>
      <c r="AM3822" s="49"/>
      <c r="AN3822" s="49"/>
      <c r="AP3822" s="49"/>
      <c r="AQ3822" s="49"/>
      <c r="AR3822" s="49"/>
      <c r="AS3822" s="49"/>
      <c r="AT3822" s="49"/>
    </row>
    <row r="3823">
      <c r="A3823" s="51"/>
      <c r="B3823" s="50" t="s">
        <v>2225</v>
      </c>
      <c r="C3823" s="50" t="s">
        <v>7007</v>
      </c>
      <c r="D3823" s="49"/>
      <c r="E3823" s="49"/>
      <c r="F3823" s="49"/>
      <c r="G3823" s="49"/>
      <c r="H3823" s="54" t="str">
        <f t="shared" si="1"/>
        <v>acts,</v>
      </c>
      <c r="I3823" s="50"/>
      <c r="J3823" s="50"/>
      <c r="K3823" s="50"/>
      <c r="L3823" s="50"/>
      <c r="M3823" s="50"/>
      <c r="N3823" s="50"/>
      <c r="O3823" s="49"/>
      <c r="P3823" s="49"/>
      <c r="Q3823" s="49"/>
      <c r="R3823" s="49"/>
      <c r="S3823" s="49"/>
      <c r="T3823" s="49"/>
      <c r="U3823" s="49"/>
      <c r="V3823" s="49"/>
      <c r="W3823" s="49"/>
      <c r="X3823" s="49"/>
      <c r="Y3823" s="49"/>
      <c r="Z3823" s="49"/>
      <c r="AB3823" s="49"/>
      <c r="AC3823" s="49"/>
      <c r="AD3823" s="49"/>
      <c r="AE3823" s="49"/>
      <c r="AF3823" s="49"/>
      <c r="AG3823" s="49"/>
      <c r="AH3823" s="49"/>
      <c r="AI3823" s="49"/>
      <c r="AJ3823" s="49"/>
      <c r="AK3823" s="49"/>
      <c r="AL3823" s="49"/>
      <c r="AM3823" s="49"/>
      <c r="AN3823" s="49"/>
      <c r="AP3823" s="49"/>
      <c r="AQ3823" s="49"/>
      <c r="AR3823" s="49"/>
      <c r="AS3823" s="49"/>
      <c r="AT3823" s="49"/>
    </row>
    <row r="3824">
      <c r="A3824" s="51"/>
      <c r="B3824" s="50" t="s">
        <v>4939</v>
      </c>
      <c r="C3824" s="50" t="s">
        <v>7090</v>
      </c>
      <c r="D3824" s="49"/>
      <c r="E3824" s="49"/>
      <c r="F3824" s="49"/>
      <c r="G3824" s="49"/>
      <c r="H3824" s="54" t="str">
        <f t="shared" si="1"/>
        <v>owen,</v>
      </c>
      <c r="I3824" s="50"/>
      <c r="J3824" s="50"/>
      <c r="K3824" s="50"/>
      <c r="L3824" s="50"/>
      <c r="M3824" s="50"/>
      <c r="N3824" s="50"/>
      <c r="O3824" s="49"/>
      <c r="P3824" s="49"/>
      <c r="Q3824" s="49"/>
      <c r="R3824" s="49"/>
      <c r="S3824" s="49"/>
      <c r="T3824" s="49"/>
      <c r="U3824" s="49"/>
      <c r="V3824" s="49"/>
      <c r="W3824" s="49"/>
      <c r="X3824" s="49"/>
      <c r="Y3824" s="49"/>
      <c r="Z3824" s="49"/>
      <c r="AB3824" s="49"/>
      <c r="AC3824" s="49"/>
      <c r="AD3824" s="49"/>
      <c r="AE3824" s="49"/>
      <c r="AF3824" s="49"/>
      <c r="AG3824" s="49"/>
      <c r="AH3824" s="49"/>
      <c r="AI3824" s="49"/>
      <c r="AJ3824" s="49"/>
      <c r="AK3824" s="49"/>
      <c r="AL3824" s="49"/>
      <c r="AM3824" s="49"/>
      <c r="AN3824" s="49"/>
      <c r="AP3824" s="49"/>
      <c r="AQ3824" s="49"/>
      <c r="AR3824" s="49"/>
      <c r="AS3824" s="49"/>
      <c r="AT3824" s="49"/>
    </row>
    <row r="3825">
      <c r="A3825" s="51"/>
      <c r="B3825" s="50" t="s">
        <v>6366</v>
      </c>
      <c r="C3825" s="50" t="s">
        <v>7009</v>
      </c>
      <c r="D3825" s="49"/>
      <c r="E3825" s="49"/>
      <c r="F3825" s="49"/>
      <c r="G3825" s="49"/>
      <c r="H3825" s="54" t="str">
        <f t="shared" si="1"/>
        <v>frozen,</v>
      </c>
      <c r="I3825" s="50"/>
      <c r="J3825" s="50"/>
      <c r="K3825" s="50"/>
      <c r="L3825" s="50"/>
      <c r="M3825" s="50"/>
      <c r="N3825" s="50"/>
      <c r="O3825" s="49"/>
      <c r="P3825" s="49"/>
      <c r="Q3825" s="49"/>
      <c r="R3825" s="49"/>
      <c r="S3825" s="49"/>
      <c r="T3825" s="49"/>
      <c r="U3825" s="49"/>
      <c r="V3825" s="49"/>
      <c r="W3825" s="49"/>
      <c r="X3825" s="49"/>
      <c r="Y3825" s="49"/>
      <c r="Z3825" s="49"/>
      <c r="AB3825" s="49"/>
      <c r="AC3825" s="49"/>
      <c r="AD3825" s="49"/>
      <c r="AE3825" s="49"/>
      <c r="AF3825" s="49"/>
      <c r="AG3825" s="49"/>
      <c r="AH3825" s="49"/>
      <c r="AI3825" s="49"/>
      <c r="AJ3825" s="49"/>
      <c r="AK3825" s="49"/>
      <c r="AL3825" s="49"/>
      <c r="AM3825" s="49"/>
      <c r="AN3825" s="49"/>
      <c r="AP3825" s="49"/>
      <c r="AQ3825" s="49"/>
      <c r="AR3825" s="49"/>
      <c r="AS3825" s="49"/>
      <c r="AT3825" s="49"/>
    </row>
    <row r="3826">
      <c r="A3826" s="51"/>
      <c r="B3826" s="50" t="s">
        <v>5128</v>
      </c>
      <c r="C3826" s="50" t="s">
        <v>1828</v>
      </c>
      <c r="D3826" s="49"/>
      <c r="E3826" s="49"/>
      <c r="F3826" s="49"/>
      <c r="G3826" s="49"/>
      <c r="H3826" s="54" t="str">
        <f t="shared" si="1"/>
        <v>define,</v>
      </c>
      <c r="I3826" s="50"/>
      <c r="J3826" s="50"/>
      <c r="K3826" s="50"/>
      <c r="L3826" s="50"/>
      <c r="M3826" s="50"/>
      <c r="N3826" s="50"/>
      <c r="O3826" s="49"/>
      <c r="P3826" s="49"/>
      <c r="Q3826" s="49"/>
      <c r="R3826" s="49"/>
      <c r="S3826" s="49"/>
      <c r="T3826" s="49"/>
      <c r="U3826" s="49"/>
      <c r="V3826" s="49"/>
      <c r="W3826" s="49"/>
      <c r="X3826" s="49"/>
      <c r="Y3826" s="49"/>
      <c r="Z3826" s="49"/>
      <c r="AB3826" s="49"/>
      <c r="AC3826" s="49"/>
      <c r="AD3826" s="49"/>
      <c r="AE3826" s="49"/>
      <c r="AF3826" s="49"/>
      <c r="AG3826" s="49"/>
      <c r="AH3826" s="49"/>
      <c r="AI3826" s="49"/>
      <c r="AJ3826" s="49"/>
      <c r="AK3826" s="49"/>
      <c r="AL3826" s="49"/>
      <c r="AM3826" s="49"/>
      <c r="AN3826" s="49"/>
      <c r="AP3826" s="49"/>
      <c r="AQ3826" s="49"/>
      <c r="AR3826" s="49"/>
      <c r="AS3826" s="49"/>
      <c r="AT3826" s="49"/>
    </row>
    <row r="3827">
      <c r="A3827" s="51"/>
      <c r="B3827" s="50" t="s">
        <v>7599</v>
      </c>
      <c r="C3827" s="50" t="s">
        <v>5790</v>
      </c>
      <c r="D3827" s="49"/>
      <c r="E3827" s="49"/>
      <c r="F3827" s="49"/>
      <c r="G3827" s="49"/>
      <c r="H3827" s="54" t="str">
        <f t="shared" si="1"/>
        <v>chi,</v>
      </c>
      <c r="I3827" s="50"/>
      <c r="J3827" s="50"/>
      <c r="K3827" s="50"/>
      <c r="L3827" s="50"/>
      <c r="M3827" s="50"/>
      <c r="N3827" s="50"/>
      <c r="O3827" s="49"/>
      <c r="P3827" s="49"/>
      <c r="Q3827" s="49"/>
      <c r="R3827" s="49"/>
      <c r="S3827" s="49"/>
      <c r="T3827" s="49"/>
      <c r="U3827" s="49"/>
      <c r="V3827" s="49"/>
      <c r="W3827" s="49"/>
      <c r="X3827" s="49"/>
      <c r="Y3827" s="49"/>
      <c r="Z3827" s="49"/>
      <c r="AB3827" s="49"/>
      <c r="AC3827" s="49"/>
      <c r="AD3827" s="49"/>
      <c r="AE3827" s="49"/>
      <c r="AF3827" s="49"/>
      <c r="AG3827" s="49"/>
      <c r="AH3827" s="49"/>
      <c r="AI3827" s="49"/>
      <c r="AJ3827" s="49"/>
      <c r="AK3827" s="49"/>
      <c r="AL3827" s="49"/>
      <c r="AM3827" s="49"/>
      <c r="AN3827" s="49"/>
      <c r="AP3827" s="49"/>
      <c r="AQ3827" s="49"/>
      <c r="AR3827" s="49"/>
      <c r="AS3827" s="49"/>
      <c r="AT3827" s="49"/>
    </row>
    <row r="3828">
      <c r="A3828" s="51"/>
      <c r="B3828" s="50" t="s">
        <v>826</v>
      </c>
      <c r="C3828" s="50" t="s">
        <v>5792</v>
      </c>
      <c r="D3828" s="49"/>
      <c r="E3828" s="49"/>
      <c r="F3828" s="49"/>
      <c r="G3828" s="49"/>
      <c r="H3828" s="54" t="str">
        <f t="shared" si="1"/>
        <v>rises,</v>
      </c>
      <c r="I3828" s="50"/>
      <c r="J3828" s="50"/>
      <c r="K3828" s="50"/>
      <c r="L3828" s="50"/>
      <c r="M3828" s="50"/>
      <c r="N3828" s="50"/>
      <c r="O3828" s="49"/>
      <c r="P3828" s="49"/>
      <c r="Q3828" s="49"/>
      <c r="R3828" s="49"/>
      <c r="S3828" s="49"/>
      <c r="T3828" s="49"/>
      <c r="U3828" s="49"/>
      <c r="V3828" s="49"/>
      <c r="W3828" s="49"/>
      <c r="X3828" s="49"/>
      <c r="Y3828" s="49"/>
      <c r="Z3828" s="49"/>
      <c r="AB3828" s="49"/>
      <c r="AC3828" s="49"/>
      <c r="AD3828" s="49"/>
      <c r="AE3828" s="49"/>
      <c r="AF3828" s="49"/>
      <c r="AG3828" s="49"/>
      <c r="AH3828" s="49"/>
      <c r="AI3828" s="49"/>
      <c r="AJ3828" s="49"/>
      <c r="AK3828" s="49"/>
      <c r="AL3828" s="49"/>
      <c r="AM3828" s="49"/>
      <c r="AN3828" s="49"/>
      <c r="AP3828" s="49"/>
      <c r="AQ3828" s="49"/>
      <c r="AR3828" s="49"/>
      <c r="AS3828" s="49"/>
      <c r="AT3828" s="49"/>
    </row>
    <row r="3829">
      <c r="A3829" s="51"/>
      <c r="B3829" s="50" t="s">
        <v>4021</v>
      </c>
      <c r="C3829" s="50" t="s">
        <v>3971</v>
      </c>
      <c r="D3829" s="49"/>
      <c r="E3829" s="49"/>
      <c r="F3829" s="49"/>
      <c r="G3829" s="49"/>
      <c r="H3829" s="54" t="str">
        <f t="shared" si="1"/>
        <v>kissing,</v>
      </c>
      <c r="I3829" s="50"/>
      <c r="J3829" s="50"/>
      <c r="K3829" s="50"/>
      <c r="L3829" s="50"/>
      <c r="M3829" s="50"/>
      <c r="N3829" s="50"/>
      <c r="O3829" s="49"/>
      <c r="P3829" s="49"/>
      <c r="Q3829" s="49"/>
      <c r="R3829" s="49"/>
      <c r="S3829" s="49"/>
      <c r="T3829" s="49"/>
      <c r="U3829" s="49"/>
      <c r="V3829" s="49"/>
      <c r="W3829" s="49"/>
      <c r="X3829" s="49"/>
      <c r="Y3829" s="49"/>
      <c r="Z3829" s="49"/>
      <c r="AB3829" s="49"/>
      <c r="AC3829" s="49"/>
      <c r="AD3829" s="49"/>
      <c r="AE3829" s="49"/>
      <c r="AF3829" s="49"/>
      <c r="AG3829" s="49"/>
      <c r="AH3829" s="49"/>
      <c r="AI3829" s="49"/>
      <c r="AJ3829" s="49"/>
      <c r="AK3829" s="49"/>
      <c r="AL3829" s="49"/>
      <c r="AM3829" s="49"/>
      <c r="AN3829" s="49"/>
      <c r="AP3829" s="49"/>
      <c r="AQ3829" s="49"/>
      <c r="AR3829" s="49"/>
      <c r="AS3829" s="49"/>
      <c r="AT3829" s="49"/>
    </row>
    <row r="3830">
      <c r="A3830" s="51"/>
      <c r="B3830" s="50" t="s">
        <v>6276</v>
      </c>
      <c r="C3830" s="50" t="s">
        <v>5795</v>
      </c>
      <c r="D3830" s="49"/>
      <c r="E3830" s="49"/>
      <c r="F3830" s="49"/>
      <c r="G3830" s="49"/>
      <c r="H3830" s="54" t="str">
        <f t="shared" si="1"/>
        <v>satisfied,</v>
      </c>
      <c r="I3830" s="50"/>
      <c r="J3830" s="50"/>
      <c r="K3830" s="50"/>
      <c r="L3830" s="50"/>
      <c r="M3830" s="50"/>
      <c r="N3830" s="50"/>
      <c r="O3830" s="49"/>
      <c r="P3830" s="49"/>
      <c r="Q3830" s="49"/>
      <c r="R3830" s="49"/>
      <c r="S3830" s="49"/>
      <c r="T3830" s="49"/>
      <c r="U3830" s="49"/>
      <c r="V3830" s="49"/>
      <c r="W3830" s="49"/>
      <c r="X3830" s="49"/>
      <c r="Y3830" s="49"/>
      <c r="Z3830" s="49"/>
      <c r="AB3830" s="49"/>
      <c r="AC3830" s="49"/>
      <c r="AD3830" s="49"/>
      <c r="AE3830" s="49"/>
      <c r="AF3830" s="49"/>
      <c r="AG3830" s="49"/>
      <c r="AH3830" s="49"/>
      <c r="AI3830" s="49"/>
      <c r="AJ3830" s="49"/>
      <c r="AK3830" s="49"/>
      <c r="AL3830" s="49"/>
      <c r="AM3830" s="49"/>
      <c r="AN3830" s="49"/>
      <c r="AP3830" s="49"/>
      <c r="AQ3830" s="49"/>
      <c r="AR3830" s="49"/>
      <c r="AS3830" s="49"/>
      <c r="AT3830" s="49"/>
    </row>
    <row r="3831">
      <c r="A3831" s="51"/>
      <c r="B3831" s="50" t="s">
        <v>3052</v>
      </c>
      <c r="C3831" s="50" t="s">
        <v>7145</v>
      </c>
      <c r="D3831" s="49"/>
      <c r="E3831" s="49"/>
      <c r="F3831" s="49"/>
      <c r="G3831" s="49"/>
      <c r="H3831" s="54" t="str">
        <f t="shared" si="1"/>
        <v>maintains,</v>
      </c>
      <c r="I3831" s="50"/>
      <c r="J3831" s="50"/>
      <c r="K3831" s="50"/>
      <c r="L3831" s="50"/>
      <c r="M3831" s="50"/>
      <c r="N3831" s="50"/>
      <c r="O3831" s="49"/>
      <c r="P3831" s="49"/>
      <c r="Q3831" s="49"/>
      <c r="R3831" s="49"/>
      <c r="S3831" s="49"/>
      <c r="T3831" s="49"/>
      <c r="U3831" s="49"/>
      <c r="V3831" s="49"/>
      <c r="W3831" s="49"/>
      <c r="X3831" s="49"/>
      <c r="Y3831" s="49"/>
      <c r="Z3831" s="49"/>
      <c r="AB3831" s="49"/>
      <c r="AC3831" s="49"/>
      <c r="AD3831" s="49"/>
      <c r="AE3831" s="49"/>
      <c r="AF3831" s="49"/>
      <c r="AG3831" s="49"/>
      <c r="AH3831" s="49"/>
      <c r="AI3831" s="49"/>
      <c r="AJ3831" s="49"/>
      <c r="AK3831" s="49"/>
      <c r="AL3831" s="49"/>
      <c r="AM3831" s="49"/>
      <c r="AN3831" s="49"/>
      <c r="AP3831" s="49"/>
      <c r="AQ3831" s="49"/>
      <c r="AR3831" s="49"/>
      <c r="AS3831" s="49"/>
      <c r="AT3831" s="49"/>
    </row>
    <row r="3832">
      <c r="A3832" s="51"/>
      <c r="B3832" s="50" t="s">
        <v>4337</v>
      </c>
      <c r="C3832" s="50" t="s">
        <v>6090</v>
      </c>
      <c r="D3832" s="49"/>
      <c r="E3832" s="49"/>
      <c r="F3832" s="49"/>
      <c r="G3832" s="49"/>
      <c r="H3832" s="54" t="str">
        <f t="shared" si="1"/>
        <v>arrangements,</v>
      </c>
      <c r="I3832" s="50"/>
      <c r="J3832" s="50"/>
      <c r="K3832" s="50"/>
      <c r="L3832" s="50"/>
      <c r="M3832" s="50"/>
      <c r="N3832" s="50"/>
      <c r="O3832" s="49"/>
      <c r="P3832" s="49"/>
      <c r="Q3832" s="49"/>
      <c r="R3832" s="49"/>
      <c r="S3832" s="49"/>
      <c r="T3832" s="49"/>
      <c r="U3832" s="49"/>
      <c r="V3832" s="49"/>
      <c r="W3832" s="49"/>
      <c r="X3832" s="49"/>
      <c r="Y3832" s="49"/>
      <c r="Z3832" s="49"/>
      <c r="AB3832" s="49"/>
      <c r="AC3832" s="49"/>
      <c r="AD3832" s="49"/>
      <c r="AE3832" s="49"/>
      <c r="AF3832" s="49"/>
      <c r="AG3832" s="49"/>
      <c r="AH3832" s="49"/>
      <c r="AI3832" s="49"/>
      <c r="AJ3832" s="49"/>
      <c r="AK3832" s="49"/>
      <c r="AL3832" s="49"/>
      <c r="AM3832" s="49"/>
      <c r="AN3832" s="49"/>
      <c r="AP3832" s="49"/>
      <c r="AQ3832" s="49"/>
      <c r="AR3832" s="49"/>
      <c r="AS3832" s="49"/>
      <c r="AT3832" s="49"/>
    </row>
    <row r="3833">
      <c r="A3833" s="51"/>
      <c r="B3833" s="50" t="s">
        <v>2156</v>
      </c>
      <c r="C3833" s="50" t="s">
        <v>5801</v>
      </c>
      <c r="D3833" s="49"/>
      <c r="E3833" s="49"/>
      <c r="F3833" s="49"/>
      <c r="G3833" s="49"/>
      <c r="H3833" s="54" t="str">
        <f t="shared" si="1"/>
        <v>procedure,</v>
      </c>
      <c r="I3833" s="50"/>
      <c r="J3833" s="50"/>
      <c r="K3833" s="50"/>
      <c r="L3833" s="50"/>
      <c r="M3833" s="50"/>
      <c r="N3833" s="50"/>
      <c r="O3833" s="49"/>
      <c r="P3833" s="49"/>
      <c r="Q3833" s="49"/>
      <c r="R3833" s="49"/>
      <c r="S3833" s="49"/>
      <c r="T3833" s="49"/>
      <c r="U3833" s="49"/>
      <c r="V3833" s="49"/>
      <c r="W3833" s="49"/>
      <c r="X3833" s="49"/>
      <c r="Y3833" s="49"/>
      <c r="Z3833" s="49"/>
      <c r="AB3833" s="49"/>
      <c r="AC3833" s="49"/>
      <c r="AD3833" s="49"/>
      <c r="AE3833" s="49"/>
      <c r="AF3833" s="49"/>
      <c r="AG3833" s="49"/>
      <c r="AH3833" s="49"/>
      <c r="AI3833" s="49"/>
      <c r="AJ3833" s="49"/>
      <c r="AK3833" s="49"/>
      <c r="AL3833" s="49"/>
      <c r="AM3833" s="49"/>
      <c r="AN3833" s="49"/>
      <c r="AP3833" s="49"/>
      <c r="AQ3833" s="49"/>
      <c r="AR3833" s="49"/>
      <c r="AS3833" s="49"/>
      <c r="AT3833" s="49"/>
    </row>
    <row r="3834">
      <c r="A3834" s="51"/>
      <c r="B3834" s="50" t="s">
        <v>5261</v>
      </c>
      <c r="C3834" s="50" t="s">
        <v>4552</v>
      </c>
      <c r="D3834" s="49"/>
      <c r="E3834" s="49"/>
      <c r="F3834" s="49"/>
      <c r="G3834" s="49"/>
      <c r="H3834" s="54" t="str">
        <f t="shared" si="1"/>
        <v>proposal,</v>
      </c>
      <c r="I3834" s="50"/>
      <c r="J3834" s="50"/>
      <c r="K3834" s="50"/>
      <c r="L3834" s="50"/>
      <c r="M3834" s="50"/>
      <c r="N3834" s="50"/>
      <c r="O3834" s="49"/>
      <c r="P3834" s="49"/>
      <c r="Q3834" s="49"/>
      <c r="R3834" s="49"/>
      <c r="S3834" s="49"/>
      <c r="T3834" s="49"/>
      <c r="U3834" s="49"/>
      <c r="V3834" s="49"/>
      <c r="W3834" s="49"/>
      <c r="X3834" s="49"/>
      <c r="Y3834" s="49"/>
      <c r="Z3834" s="49"/>
      <c r="AB3834" s="49"/>
      <c r="AC3834" s="49"/>
      <c r="AD3834" s="49"/>
      <c r="AE3834" s="49"/>
      <c r="AF3834" s="49"/>
      <c r="AG3834" s="49"/>
      <c r="AH3834" s="49"/>
      <c r="AI3834" s="49"/>
      <c r="AJ3834" s="49"/>
      <c r="AK3834" s="49"/>
      <c r="AL3834" s="49"/>
      <c r="AM3834" s="49"/>
      <c r="AN3834" s="49"/>
      <c r="AP3834" s="49"/>
      <c r="AQ3834" s="49"/>
      <c r="AR3834" s="49"/>
      <c r="AS3834" s="49"/>
      <c r="AT3834" s="49"/>
    </row>
    <row r="3835">
      <c r="A3835" s="51"/>
      <c r="B3835" s="50" t="s">
        <v>4894</v>
      </c>
      <c r="C3835" s="50" t="s">
        <v>4935</v>
      </c>
      <c r="D3835" s="49"/>
      <c r="E3835" s="49"/>
      <c r="F3835" s="49"/>
      <c r="G3835" s="49"/>
      <c r="H3835" s="54" t="str">
        <f t="shared" si="1"/>
        <v>engaged,</v>
      </c>
      <c r="I3835" s="50"/>
      <c r="J3835" s="50"/>
      <c r="K3835" s="50"/>
      <c r="L3835" s="50"/>
      <c r="M3835" s="50"/>
      <c r="N3835" s="50"/>
      <c r="O3835" s="49"/>
      <c r="P3835" s="49"/>
      <c r="Q3835" s="49"/>
      <c r="R3835" s="49"/>
      <c r="S3835" s="49"/>
      <c r="T3835" s="49"/>
      <c r="U3835" s="49"/>
      <c r="V3835" s="49"/>
      <c r="W3835" s="49"/>
      <c r="X3835" s="49"/>
      <c r="Y3835" s="49"/>
      <c r="Z3835" s="49"/>
      <c r="AB3835" s="49"/>
      <c r="AC3835" s="49"/>
      <c r="AD3835" s="49"/>
      <c r="AE3835" s="49"/>
      <c r="AF3835" s="49"/>
      <c r="AG3835" s="49"/>
      <c r="AH3835" s="49"/>
      <c r="AI3835" s="49"/>
      <c r="AJ3835" s="49"/>
      <c r="AK3835" s="49"/>
      <c r="AL3835" s="49"/>
      <c r="AM3835" s="49"/>
      <c r="AN3835" s="49"/>
      <c r="AP3835" s="49"/>
      <c r="AQ3835" s="49"/>
      <c r="AR3835" s="49"/>
      <c r="AS3835" s="49"/>
      <c r="AT3835" s="49"/>
    </row>
    <row r="3836">
      <c r="A3836" s="51"/>
      <c r="B3836" s="50" t="s">
        <v>2428</v>
      </c>
      <c r="C3836" s="50" t="s">
        <v>5802</v>
      </c>
      <c r="D3836" s="49"/>
      <c r="E3836" s="49"/>
      <c r="F3836" s="49"/>
      <c r="G3836" s="49"/>
      <c r="H3836" s="54" t="str">
        <f t="shared" si="1"/>
        <v>classification,</v>
      </c>
      <c r="I3836" s="50"/>
      <c r="J3836" s="50"/>
      <c r="K3836" s="50"/>
      <c r="L3836" s="50"/>
      <c r="M3836" s="50"/>
      <c r="N3836" s="50"/>
      <c r="O3836" s="49"/>
      <c r="P3836" s="49"/>
      <c r="Q3836" s="49"/>
      <c r="R3836" s="49"/>
      <c r="S3836" s="49"/>
      <c r="T3836" s="49"/>
      <c r="U3836" s="49"/>
      <c r="V3836" s="49"/>
      <c r="W3836" s="49"/>
      <c r="X3836" s="49"/>
      <c r="Y3836" s="49"/>
      <c r="Z3836" s="49"/>
      <c r="AB3836" s="49"/>
      <c r="AC3836" s="49"/>
      <c r="AD3836" s="49"/>
      <c r="AE3836" s="49"/>
      <c r="AF3836" s="49"/>
      <c r="AG3836" s="49"/>
      <c r="AH3836" s="49"/>
      <c r="AI3836" s="49"/>
      <c r="AJ3836" s="49"/>
      <c r="AK3836" s="49"/>
      <c r="AL3836" s="49"/>
      <c r="AM3836" s="49"/>
      <c r="AN3836" s="49"/>
      <c r="AP3836" s="49"/>
      <c r="AQ3836" s="49"/>
      <c r="AR3836" s="49"/>
      <c r="AS3836" s="49"/>
      <c r="AT3836" s="49"/>
    </row>
    <row r="3837">
      <c r="A3837" s="51"/>
      <c r="B3837" s="50" t="s">
        <v>6989</v>
      </c>
      <c r="C3837" s="50" t="s">
        <v>1603</v>
      </c>
      <c r="D3837" s="49"/>
      <c r="E3837" s="49"/>
      <c r="F3837" s="49"/>
      <c r="G3837" s="49"/>
      <c r="H3837" s="54" t="str">
        <f t="shared" si="1"/>
        <v>bread,</v>
      </c>
      <c r="I3837" s="50"/>
      <c r="J3837" s="50"/>
      <c r="K3837" s="50"/>
      <c r="L3837" s="50"/>
      <c r="M3837" s="50"/>
      <c r="N3837" s="50"/>
      <c r="O3837" s="49"/>
      <c r="P3837" s="49"/>
      <c r="Q3837" s="49"/>
      <c r="R3837" s="49"/>
      <c r="S3837" s="49"/>
      <c r="T3837" s="49"/>
      <c r="U3837" s="49"/>
      <c r="V3837" s="49"/>
      <c r="W3837" s="49"/>
      <c r="X3837" s="49"/>
      <c r="Y3837" s="49"/>
      <c r="Z3837" s="49"/>
      <c r="AB3837" s="49"/>
      <c r="AC3837" s="49"/>
      <c r="AD3837" s="49"/>
      <c r="AE3837" s="49"/>
      <c r="AF3837" s="49"/>
      <c r="AG3837" s="49"/>
      <c r="AH3837" s="49"/>
      <c r="AI3837" s="49"/>
      <c r="AJ3837" s="49"/>
      <c r="AK3837" s="49"/>
      <c r="AL3837" s="49"/>
      <c r="AM3837" s="49"/>
      <c r="AN3837" s="49"/>
      <c r="AP3837" s="49"/>
      <c r="AQ3837" s="49"/>
      <c r="AR3837" s="49"/>
      <c r="AS3837" s="49"/>
      <c r="AT3837" s="49"/>
    </row>
    <row r="3838">
      <c r="A3838" s="51"/>
      <c r="B3838" s="50" t="s">
        <v>5692</v>
      </c>
      <c r="C3838" s="50" t="s">
        <v>7011</v>
      </c>
      <c r="D3838" s="49"/>
      <c r="E3838" s="49"/>
      <c r="F3838" s="49"/>
      <c r="G3838" s="49"/>
      <c r="H3838" s="54" t="str">
        <f t="shared" si="1"/>
        <v>hunger,</v>
      </c>
      <c r="I3838" s="50"/>
      <c r="J3838" s="50"/>
      <c r="K3838" s="50"/>
      <c r="L3838" s="50"/>
      <c r="M3838" s="50"/>
      <c r="N3838" s="50"/>
      <c r="O3838" s="49"/>
      <c r="P3838" s="49"/>
      <c r="Q3838" s="49"/>
      <c r="R3838" s="49"/>
      <c r="S3838" s="49"/>
      <c r="T3838" s="49"/>
      <c r="U3838" s="49"/>
      <c r="V3838" s="49"/>
      <c r="W3838" s="49"/>
      <c r="X3838" s="49"/>
      <c r="Y3838" s="49"/>
      <c r="Z3838" s="49"/>
      <c r="AB3838" s="49"/>
      <c r="AC3838" s="49"/>
      <c r="AD3838" s="49"/>
      <c r="AE3838" s="49"/>
      <c r="AF3838" s="49"/>
      <c r="AG3838" s="49"/>
      <c r="AH3838" s="49"/>
      <c r="AI3838" s="49"/>
      <c r="AJ3838" s="49"/>
      <c r="AK3838" s="49"/>
      <c r="AL3838" s="49"/>
      <c r="AM3838" s="49"/>
      <c r="AN3838" s="49"/>
      <c r="AP3838" s="49"/>
      <c r="AQ3838" s="49"/>
      <c r="AR3838" s="49"/>
      <c r="AS3838" s="49"/>
      <c r="AT3838" s="49"/>
    </row>
    <row r="3839">
      <c r="A3839" s="51"/>
      <c r="B3839" s="50">
        <v>1970.0</v>
      </c>
      <c r="C3839" s="50" t="s">
        <v>5397</v>
      </c>
      <c r="D3839" s="49"/>
      <c r="E3839" s="49"/>
      <c r="F3839" s="49"/>
      <c r="G3839" s="49"/>
      <c r="H3839" s="54" t="str">
        <f t="shared" si="1"/>
        <v>1970,</v>
      </c>
      <c r="I3839" s="50"/>
      <c r="J3839" s="50"/>
      <c r="K3839" s="50"/>
      <c r="L3839" s="50"/>
      <c r="M3839" s="50"/>
      <c r="N3839" s="50"/>
      <c r="O3839" s="49"/>
      <c r="P3839" s="49"/>
      <c r="Q3839" s="49"/>
      <c r="R3839" s="49"/>
      <c r="S3839" s="49"/>
      <c r="T3839" s="49"/>
      <c r="U3839" s="49"/>
      <c r="V3839" s="49"/>
      <c r="W3839" s="49"/>
      <c r="X3839" s="49"/>
      <c r="Y3839" s="49"/>
      <c r="Z3839" s="49"/>
      <c r="AB3839" s="49"/>
      <c r="AC3839" s="49"/>
      <c r="AD3839" s="49"/>
      <c r="AE3839" s="49"/>
      <c r="AF3839" s="49"/>
      <c r="AG3839" s="49"/>
      <c r="AH3839" s="49"/>
      <c r="AI3839" s="49"/>
      <c r="AJ3839" s="49"/>
      <c r="AK3839" s="49"/>
      <c r="AL3839" s="49"/>
      <c r="AM3839" s="49"/>
      <c r="AN3839" s="49"/>
      <c r="AP3839" s="49"/>
      <c r="AQ3839" s="49"/>
      <c r="AR3839" s="49"/>
      <c r="AS3839" s="49"/>
      <c r="AT3839" s="49"/>
    </row>
    <row r="3840">
      <c r="A3840" s="51"/>
      <c r="B3840" s="50" t="s">
        <v>7138</v>
      </c>
      <c r="C3840" s="50">
        <v>75.0</v>
      </c>
      <c r="D3840" s="49"/>
      <c r="E3840" s="49"/>
      <c r="F3840" s="49"/>
      <c r="G3840" s="49"/>
      <c r="H3840" s="54" t="str">
        <f t="shared" si="1"/>
        <v>schools,</v>
      </c>
      <c r="I3840" s="50"/>
      <c r="J3840" s="50"/>
      <c r="K3840" s="50"/>
      <c r="L3840" s="50"/>
      <c r="M3840" s="50"/>
      <c r="N3840" s="50"/>
      <c r="O3840" s="49"/>
      <c r="P3840" s="49"/>
      <c r="Q3840" s="49"/>
      <c r="R3840" s="49"/>
      <c r="S3840" s="49"/>
      <c r="T3840" s="49"/>
      <c r="U3840" s="49"/>
      <c r="V3840" s="49"/>
      <c r="W3840" s="49"/>
      <c r="X3840" s="49"/>
      <c r="Y3840" s="49"/>
      <c r="Z3840" s="49"/>
      <c r="AB3840" s="49"/>
      <c r="AC3840" s="49"/>
      <c r="AD3840" s="49"/>
      <c r="AE3840" s="49"/>
      <c r="AF3840" s="49"/>
      <c r="AG3840" s="49"/>
      <c r="AH3840" s="49"/>
      <c r="AI3840" s="49"/>
      <c r="AJ3840" s="49"/>
      <c r="AK3840" s="49"/>
      <c r="AL3840" s="49"/>
      <c r="AM3840" s="49"/>
      <c r="AN3840" s="49"/>
      <c r="AP3840" s="49"/>
      <c r="AQ3840" s="49"/>
      <c r="AR3840" s="49"/>
      <c r="AS3840" s="49"/>
      <c r="AT3840" s="49"/>
    </row>
    <row r="3841">
      <c r="A3841" s="51"/>
      <c r="B3841" s="50" t="s">
        <v>1061</v>
      </c>
      <c r="C3841" s="50" t="s">
        <v>6095</v>
      </c>
      <c r="D3841" s="49"/>
      <c r="E3841" s="49"/>
      <c r="F3841" s="49"/>
      <c r="G3841" s="49"/>
      <c r="H3841" s="54" t="str">
        <f t="shared" si="1"/>
        <v>wanting,</v>
      </c>
      <c r="I3841" s="50"/>
      <c r="J3841" s="50"/>
      <c r="K3841" s="50"/>
      <c r="L3841" s="50"/>
      <c r="M3841" s="50"/>
      <c r="N3841" s="50"/>
      <c r="O3841" s="49"/>
      <c r="P3841" s="49"/>
      <c r="Q3841" s="49"/>
      <c r="R3841" s="49"/>
      <c r="S3841" s="49"/>
      <c r="T3841" s="49"/>
      <c r="U3841" s="49"/>
      <c r="V3841" s="49"/>
      <c r="W3841" s="49"/>
      <c r="X3841" s="49"/>
      <c r="Y3841" s="49"/>
      <c r="Z3841" s="49"/>
      <c r="AB3841" s="49"/>
      <c r="AC3841" s="49"/>
      <c r="AD3841" s="49"/>
      <c r="AE3841" s="49"/>
      <c r="AF3841" s="49"/>
      <c r="AG3841" s="49"/>
      <c r="AH3841" s="49"/>
      <c r="AI3841" s="49"/>
      <c r="AJ3841" s="49"/>
      <c r="AK3841" s="49"/>
      <c r="AL3841" s="49"/>
      <c r="AM3841" s="49"/>
      <c r="AN3841" s="49"/>
      <c r="AP3841" s="49"/>
      <c r="AQ3841" s="49"/>
      <c r="AR3841" s="49"/>
      <c r="AS3841" s="49"/>
      <c r="AT3841" s="49"/>
    </row>
    <row r="3842">
      <c r="A3842" s="51"/>
      <c r="B3842" s="50" t="s">
        <v>6082</v>
      </c>
      <c r="C3842" s="50" t="s">
        <v>7146</v>
      </c>
      <c r="D3842" s="49"/>
      <c r="E3842" s="49"/>
      <c r="F3842" s="49"/>
      <c r="G3842" s="49"/>
      <c r="H3842" s="54" t="str">
        <f t="shared" si="1"/>
        <v>guardian,</v>
      </c>
      <c r="I3842" s="50"/>
      <c r="J3842" s="50"/>
      <c r="K3842" s="50"/>
      <c r="L3842" s="50"/>
      <c r="M3842" s="50"/>
      <c r="N3842" s="50"/>
      <c r="O3842" s="49"/>
      <c r="P3842" s="49"/>
      <c r="Q3842" s="49"/>
      <c r="R3842" s="49"/>
      <c r="S3842" s="49"/>
      <c r="T3842" s="49"/>
      <c r="U3842" s="49"/>
      <c r="V3842" s="49"/>
      <c r="W3842" s="49"/>
      <c r="X3842" s="49"/>
      <c r="Y3842" s="49"/>
      <c r="Z3842" s="49"/>
      <c r="AB3842" s="49"/>
      <c r="AC3842" s="49"/>
      <c r="AD3842" s="49"/>
      <c r="AE3842" s="49"/>
      <c r="AF3842" s="49"/>
      <c r="AG3842" s="49"/>
      <c r="AH3842" s="49"/>
      <c r="AI3842" s="49"/>
      <c r="AJ3842" s="49"/>
      <c r="AK3842" s="49"/>
      <c r="AL3842" s="49"/>
      <c r="AM3842" s="49"/>
      <c r="AN3842" s="49"/>
      <c r="AP3842" s="49"/>
      <c r="AQ3842" s="49"/>
      <c r="AR3842" s="49"/>
      <c r="AS3842" s="49"/>
      <c r="AT3842" s="49"/>
    </row>
    <row r="3843">
      <c r="A3843" s="51"/>
      <c r="B3843" s="50" t="s">
        <v>4800</v>
      </c>
      <c r="C3843" s="50" t="s">
        <v>2932</v>
      </c>
      <c r="D3843" s="49"/>
      <c r="E3843" s="49"/>
      <c r="F3843" s="49"/>
      <c r="G3843" s="49"/>
      <c r="H3843" s="54" t="str">
        <f t="shared" si="1"/>
        <v>celebrate,</v>
      </c>
      <c r="I3843" s="50"/>
      <c r="J3843" s="50"/>
      <c r="K3843" s="50"/>
      <c r="L3843" s="50"/>
      <c r="M3843" s="50"/>
      <c r="N3843" s="50"/>
      <c r="O3843" s="49"/>
      <c r="P3843" s="49"/>
      <c r="Q3843" s="49"/>
      <c r="R3843" s="49"/>
      <c r="S3843" s="49"/>
      <c r="T3843" s="49"/>
      <c r="U3843" s="49"/>
      <c r="V3843" s="49"/>
      <c r="W3843" s="49"/>
      <c r="X3843" s="49"/>
      <c r="Y3843" s="49"/>
      <c r="Z3843" s="49"/>
      <c r="AB3843" s="49"/>
      <c r="AC3843" s="49"/>
      <c r="AD3843" s="49"/>
      <c r="AE3843" s="49"/>
      <c r="AF3843" s="49"/>
      <c r="AG3843" s="49"/>
      <c r="AH3843" s="49"/>
      <c r="AI3843" s="49"/>
      <c r="AJ3843" s="49"/>
      <c r="AK3843" s="49"/>
      <c r="AL3843" s="49"/>
      <c r="AM3843" s="49"/>
      <c r="AN3843" s="49"/>
      <c r="AP3843" s="49"/>
      <c r="AQ3843" s="49"/>
      <c r="AR3843" s="49"/>
      <c r="AS3843" s="49"/>
      <c r="AT3843" s="49"/>
    </row>
    <row r="3844">
      <c r="A3844" s="51"/>
      <c r="B3844" s="50" t="s">
        <v>7633</v>
      </c>
      <c r="C3844" s="50" t="s">
        <v>6198</v>
      </c>
      <c r="D3844" s="49"/>
      <c r="E3844" s="49"/>
      <c r="F3844" s="49"/>
      <c r="G3844" s="49"/>
      <c r="H3844" s="54" t="str">
        <f t="shared" si="1"/>
        <v>counter,</v>
      </c>
      <c r="I3844" s="50"/>
      <c r="J3844" s="50"/>
      <c r="K3844" s="50"/>
      <c r="L3844" s="50"/>
      <c r="M3844" s="50"/>
      <c r="N3844" s="50"/>
      <c r="O3844" s="49"/>
      <c r="P3844" s="49"/>
      <c r="Q3844" s="49"/>
      <c r="R3844" s="49"/>
      <c r="S3844" s="49"/>
      <c r="T3844" s="49"/>
      <c r="U3844" s="49"/>
      <c r="V3844" s="49"/>
      <c r="W3844" s="49"/>
      <c r="X3844" s="49"/>
      <c r="Y3844" s="49"/>
      <c r="Z3844" s="49"/>
      <c r="AB3844" s="49"/>
      <c r="AC3844" s="49"/>
      <c r="AD3844" s="49"/>
      <c r="AE3844" s="49"/>
      <c r="AF3844" s="49"/>
      <c r="AG3844" s="49"/>
      <c r="AH3844" s="49"/>
      <c r="AI3844" s="49"/>
      <c r="AJ3844" s="49"/>
      <c r="AK3844" s="49"/>
      <c r="AL3844" s="49"/>
      <c r="AM3844" s="49"/>
      <c r="AN3844" s="49"/>
      <c r="AP3844" s="49"/>
      <c r="AQ3844" s="49"/>
      <c r="AR3844" s="49"/>
      <c r="AS3844" s="49"/>
      <c r="AT3844" s="49"/>
    </row>
    <row r="3845">
      <c r="A3845" s="51"/>
      <c r="B3845" s="50" t="s">
        <v>6713</v>
      </c>
      <c r="C3845" s="50" t="s">
        <v>7147</v>
      </c>
      <c r="D3845" s="49"/>
      <c r="E3845" s="49"/>
      <c r="F3845" s="49"/>
      <c r="G3845" s="49"/>
      <c r="H3845" s="54" t="str">
        <f t="shared" si="1"/>
        <v>garden,</v>
      </c>
      <c r="I3845" s="50"/>
      <c r="J3845" s="50"/>
      <c r="K3845" s="50"/>
      <c r="L3845" s="50"/>
      <c r="M3845" s="50"/>
      <c r="N3845" s="50"/>
      <c r="O3845" s="49"/>
      <c r="P3845" s="49"/>
      <c r="Q3845" s="49"/>
      <c r="R3845" s="49"/>
      <c r="S3845" s="49"/>
      <c r="T3845" s="49"/>
      <c r="U3845" s="49"/>
      <c r="V3845" s="49"/>
      <c r="W3845" s="49"/>
      <c r="X3845" s="49"/>
      <c r="Y3845" s="49"/>
      <c r="Z3845" s="49"/>
      <c r="AB3845" s="49"/>
      <c r="AC3845" s="49"/>
      <c r="AD3845" s="49"/>
      <c r="AE3845" s="49"/>
      <c r="AF3845" s="49"/>
      <c r="AG3845" s="49"/>
      <c r="AH3845" s="49"/>
      <c r="AI3845" s="49"/>
      <c r="AJ3845" s="49"/>
      <c r="AK3845" s="49"/>
      <c r="AL3845" s="49"/>
      <c r="AM3845" s="49"/>
      <c r="AN3845" s="49"/>
      <c r="AP3845" s="49"/>
      <c r="AQ3845" s="49"/>
      <c r="AR3845" s="49"/>
      <c r="AS3845" s="49"/>
      <c r="AT3845" s="49"/>
    </row>
    <row r="3846">
      <c r="A3846" s="51"/>
      <c r="B3846" s="50" t="s">
        <v>6474</v>
      </c>
      <c r="C3846" s="50" t="s">
        <v>7148</v>
      </c>
      <c r="D3846" s="49"/>
      <c r="E3846" s="49"/>
      <c r="F3846" s="49"/>
      <c r="G3846" s="49"/>
      <c r="H3846" s="54" t="str">
        <f t="shared" si="1"/>
        <v>grandmother,</v>
      </c>
      <c r="I3846" s="50"/>
      <c r="J3846" s="50"/>
      <c r="K3846" s="50"/>
      <c r="L3846" s="50"/>
      <c r="M3846" s="50"/>
      <c r="N3846" s="50"/>
      <c r="O3846" s="49"/>
      <c r="P3846" s="49"/>
      <c r="Q3846" s="49"/>
      <c r="R3846" s="49"/>
      <c r="S3846" s="49"/>
      <c r="T3846" s="49"/>
      <c r="U3846" s="49"/>
      <c r="V3846" s="49"/>
      <c r="W3846" s="49"/>
      <c r="X3846" s="49"/>
      <c r="Y3846" s="49"/>
      <c r="Z3846" s="49"/>
      <c r="AB3846" s="49"/>
      <c r="AC3846" s="49"/>
      <c r="AD3846" s="49"/>
      <c r="AE3846" s="49"/>
      <c r="AF3846" s="49"/>
      <c r="AG3846" s="49"/>
      <c r="AH3846" s="49"/>
      <c r="AI3846" s="49"/>
      <c r="AJ3846" s="49"/>
      <c r="AK3846" s="49"/>
      <c r="AL3846" s="49"/>
      <c r="AM3846" s="49"/>
      <c r="AN3846" s="49"/>
      <c r="AP3846" s="49"/>
      <c r="AQ3846" s="49"/>
      <c r="AR3846" s="49"/>
      <c r="AS3846" s="49"/>
      <c r="AT3846" s="49"/>
    </row>
    <row r="3847">
      <c r="A3847" s="51"/>
      <c r="B3847" s="50" t="s">
        <v>4323</v>
      </c>
      <c r="C3847" s="50" t="s">
        <v>4948</v>
      </c>
      <c r="D3847" s="49"/>
      <c r="E3847" s="49"/>
      <c r="F3847" s="49"/>
      <c r="G3847" s="49"/>
      <c r="H3847" s="54" t="str">
        <f t="shared" si="1"/>
        <v>rap,</v>
      </c>
      <c r="I3847" s="50"/>
      <c r="J3847" s="50"/>
      <c r="K3847" s="50"/>
      <c r="L3847" s="50"/>
      <c r="M3847" s="50"/>
      <c r="N3847" s="50"/>
      <c r="O3847" s="49"/>
      <c r="P3847" s="49"/>
      <c r="Q3847" s="49"/>
      <c r="R3847" s="49"/>
      <c r="S3847" s="49"/>
      <c r="T3847" s="49"/>
      <c r="U3847" s="49"/>
      <c r="V3847" s="49"/>
      <c r="W3847" s="49"/>
      <c r="X3847" s="49"/>
      <c r="Y3847" s="49"/>
      <c r="Z3847" s="49"/>
      <c r="AB3847" s="49"/>
      <c r="AC3847" s="49"/>
      <c r="AD3847" s="49"/>
      <c r="AE3847" s="49"/>
      <c r="AF3847" s="49"/>
      <c r="AG3847" s="49"/>
      <c r="AH3847" s="49"/>
      <c r="AI3847" s="49"/>
      <c r="AJ3847" s="49"/>
      <c r="AK3847" s="49"/>
      <c r="AL3847" s="49"/>
      <c r="AM3847" s="49"/>
      <c r="AN3847" s="49"/>
      <c r="AP3847" s="49"/>
      <c r="AQ3847" s="49"/>
      <c r="AR3847" s="49"/>
      <c r="AS3847" s="49"/>
      <c r="AT3847" s="49"/>
    </row>
    <row r="3848">
      <c r="A3848" s="51"/>
      <c r="B3848" s="50" t="s">
        <v>4794</v>
      </c>
      <c r="C3848" s="50" t="s">
        <v>4951</v>
      </c>
      <c r="D3848" s="49"/>
      <c r="E3848" s="49"/>
      <c r="F3848" s="49"/>
      <c r="G3848" s="49"/>
      <c r="H3848" s="54" t="str">
        <f t="shared" si="1"/>
        <v>round,</v>
      </c>
      <c r="I3848" s="50"/>
      <c r="J3848" s="50"/>
      <c r="K3848" s="50"/>
      <c r="L3848" s="50"/>
      <c r="M3848" s="50"/>
      <c r="N3848" s="50"/>
      <c r="O3848" s="49"/>
      <c r="P3848" s="49"/>
      <c r="Q3848" s="49"/>
      <c r="R3848" s="49"/>
      <c r="S3848" s="49"/>
      <c r="T3848" s="49"/>
      <c r="U3848" s="49"/>
      <c r="V3848" s="49"/>
      <c r="W3848" s="49"/>
      <c r="X3848" s="49"/>
      <c r="Y3848" s="49"/>
      <c r="Z3848" s="49"/>
      <c r="AB3848" s="49"/>
      <c r="AC3848" s="49"/>
      <c r="AD3848" s="49"/>
      <c r="AE3848" s="49"/>
      <c r="AF3848" s="49"/>
      <c r="AG3848" s="49"/>
      <c r="AH3848" s="49"/>
      <c r="AI3848" s="49"/>
      <c r="AJ3848" s="49"/>
      <c r="AK3848" s="49"/>
      <c r="AL3848" s="49"/>
      <c r="AM3848" s="49"/>
      <c r="AN3848" s="49"/>
      <c r="AP3848" s="49"/>
      <c r="AQ3848" s="49"/>
      <c r="AR3848" s="49"/>
      <c r="AS3848" s="49"/>
      <c r="AT3848" s="49"/>
    </row>
    <row r="3849">
      <c r="A3849" s="51"/>
      <c r="B3849" s="50" t="s">
        <v>730</v>
      </c>
      <c r="C3849" s="50" t="s">
        <v>6168</v>
      </c>
      <c r="D3849" s="49"/>
      <c r="E3849" s="49"/>
      <c r="F3849" s="49"/>
      <c r="G3849" s="49"/>
      <c r="H3849" s="54" t="str">
        <f t="shared" si="1"/>
        <v>leon,</v>
      </c>
      <c r="I3849" s="50"/>
      <c r="J3849" s="50"/>
      <c r="K3849" s="50"/>
      <c r="L3849" s="50"/>
      <c r="M3849" s="50"/>
      <c r="N3849" s="50"/>
      <c r="O3849" s="49"/>
      <c r="P3849" s="49"/>
      <c r="Q3849" s="49"/>
      <c r="R3849" s="49"/>
      <c r="S3849" s="49"/>
      <c r="T3849" s="49"/>
      <c r="U3849" s="49"/>
      <c r="V3849" s="49"/>
      <c r="W3849" s="49"/>
      <c r="X3849" s="49"/>
      <c r="Y3849" s="49"/>
      <c r="Z3849" s="49"/>
      <c r="AB3849" s="49"/>
      <c r="AC3849" s="49"/>
      <c r="AD3849" s="49"/>
      <c r="AE3849" s="49"/>
      <c r="AF3849" s="49"/>
      <c r="AG3849" s="49"/>
      <c r="AH3849" s="49"/>
      <c r="AI3849" s="49"/>
      <c r="AJ3849" s="49"/>
      <c r="AK3849" s="49"/>
      <c r="AL3849" s="49"/>
      <c r="AM3849" s="49"/>
      <c r="AN3849" s="49"/>
      <c r="AP3849" s="49"/>
      <c r="AQ3849" s="49"/>
      <c r="AR3849" s="49"/>
      <c r="AS3849" s="49"/>
      <c r="AT3849" s="49"/>
    </row>
    <row r="3850">
      <c r="A3850" s="51"/>
      <c r="B3850" s="50" t="s">
        <v>2764</v>
      </c>
      <c r="C3850" s="50">
        <v>88.0</v>
      </c>
      <c r="D3850" s="49"/>
      <c r="E3850" s="49"/>
      <c r="F3850" s="49"/>
      <c r="G3850" s="49"/>
      <c r="H3850" s="54" t="str">
        <f t="shared" si="1"/>
        <v>governments,</v>
      </c>
      <c r="I3850" s="50"/>
      <c r="J3850" s="50"/>
      <c r="K3850" s="50"/>
      <c r="L3850" s="50"/>
      <c r="M3850" s="50"/>
      <c r="N3850" s="50"/>
      <c r="O3850" s="49"/>
      <c r="P3850" s="49"/>
      <c r="Q3850" s="49"/>
      <c r="R3850" s="49"/>
      <c r="S3850" s="49"/>
      <c r="T3850" s="49"/>
      <c r="U3850" s="49"/>
      <c r="V3850" s="49"/>
      <c r="W3850" s="49"/>
      <c r="X3850" s="49"/>
      <c r="Y3850" s="49"/>
      <c r="Z3850" s="49"/>
      <c r="AB3850" s="49"/>
      <c r="AC3850" s="49"/>
      <c r="AD3850" s="49"/>
      <c r="AE3850" s="49"/>
      <c r="AF3850" s="49"/>
      <c r="AG3850" s="49"/>
      <c r="AH3850" s="49"/>
      <c r="AI3850" s="49"/>
      <c r="AJ3850" s="49"/>
      <c r="AK3850" s="49"/>
      <c r="AL3850" s="49"/>
      <c r="AM3850" s="49"/>
      <c r="AN3850" s="49"/>
      <c r="AP3850" s="49"/>
      <c r="AQ3850" s="49"/>
      <c r="AR3850" s="49"/>
      <c r="AS3850" s="49"/>
      <c r="AT3850" s="49"/>
    </row>
    <row r="3851">
      <c r="A3851" s="51"/>
      <c r="B3851" s="50" t="s">
        <v>5933</v>
      </c>
      <c r="C3851" s="50" t="s">
        <v>6096</v>
      </c>
      <c r="D3851" s="49"/>
      <c r="E3851" s="49"/>
      <c r="F3851" s="49"/>
      <c r="G3851" s="49"/>
      <c r="H3851" s="54" t="str">
        <f t="shared" si="1"/>
        <v>concerning,</v>
      </c>
      <c r="I3851" s="50"/>
      <c r="J3851" s="50"/>
      <c r="K3851" s="50"/>
      <c r="L3851" s="50"/>
      <c r="M3851" s="50"/>
      <c r="N3851" s="50"/>
      <c r="O3851" s="49"/>
      <c r="P3851" s="49"/>
      <c r="Q3851" s="49"/>
      <c r="R3851" s="49"/>
      <c r="S3851" s="49"/>
      <c r="T3851" s="49"/>
      <c r="U3851" s="49"/>
      <c r="V3851" s="49"/>
      <c r="W3851" s="49"/>
      <c r="X3851" s="49"/>
      <c r="Y3851" s="49"/>
      <c r="Z3851" s="49"/>
      <c r="AB3851" s="49"/>
      <c r="AC3851" s="49"/>
      <c r="AD3851" s="49"/>
      <c r="AE3851" s="49"/>
      <c r="AF3851" s="49"/>
      <c r="AG3851" s="49"/>
      <c r="AH3851" s="49"/>
      <c r="AI3851" s="49"/>
      <c r="AJ3851" s="49"/>
      <c r="AK3851" s="49"/>
      <c r="AL3851" s="49"/>
      <c r="AM3851" s="49"/>
      <c r="AN3851" s="49"/>
      <c r="AP3851" s="49"/>
      <c r="AQ3851" s="49"/>
      <c r="AR3851" s="49"/>
      <c r="AS3851" s="49"/>
      <c r="AT3851" s="49"/>
    </row>
    <row r="3852">
      <c r="A3852" s="51"/>
      <c r="B3852" s="50" t="s">
        <v>6364</v>
      </c>
      <c r="C3852" s="50" t="s">
        <v>1519</v>
      </c>
      <c r="D3852" s="49"/>
      <c r="E3852" s="49"/>
      <c r="F3852" s="49"/>
      <c r="G3852" s="49"/>
      <c r="H3852" s="54" t="str">
        <f t="shared" si="1"/>
        <v>shared,</v>
      </c>
      <c r="I3852" s="50"/>
      <c r="J3852" s="50"/>
      <c r="K3852" s="50"/>
      <c r="L3852" s="50"/>
      <c r="M3852" s="50"/>
      <c r="N3852" s="50"/>
      <c r="O3852" s="49"/>
      <c r="P3852" s="49"/>
      <c r="Q3852" s="49"/>
      <c r="R3852" s="49"/>
      <c r="S3852" s="49"/>
      <c r="T3852" s="49"/>
      <c r="U3852" s="49"/>
      <c r="V3852" s="49"/>
      <c r="W3852" s="49"/>
      <c r="X3852" s="49"/>
      <c r="Y3852" s="49"/>
      <c r="Z3852" s="49"/>
      <c r="AB3852" s="49"/>
      <c r="AC3852" s="49"/>
      <c r="AD3852" s="49"/>
      <c r="AE3852" s="49"/>
      <c r="AF3852" s="49"/>
      <c r="AG3852" s="49"/>
      <c r="AH3852" s="49"/>
      <c r="AI3852" s="49"/>
      <c r="AJ3852" s="49"/>
      <c r="AK3852" s="49"/>
      <c r="AL3852" s="49"/>
      <c r="AM3852" s="49"/>
      <c r="AN3852" s="49"/>
      <c r="AP3852" s="49"/>
      <c r="AQ3852" s="49"/>
      <c r="AR3852" s="49"/>
      <c r="AS3852" s="49"/>
      <c r="AT3852" s="49"/>
    </row>
    <row r="3853">
      <c r="A3853" s="51"/>
      <c r="B3853" s="50" t="s">
        <v>4919</v>
      </c>
      <c r="C3853" s="50" t="s">
        <v>7096</v>
      </c>
      <c r="D3853" s="49"/>
      <c r="E3853" s="49"/>
      <c r="F3853" s="49"/>
      <c r="G3853" s="49"/>
      <c r="H3853" s="54" t="str">
        <f t="shared" si="1"/>
        <v>conflicts,</v>
      </c>
      <c r="I3853" s="50"/>
      <c r="J3853" s="50"/>
      <c r="K3853" s="50"/>
      <c r="L3853" s="50"/>
      <c r="M3853" s="50"/>
      <c r="N3853" s="50"/>
      <c r="O3853" s="49"/>
      <c r="P3853" s="49"/>
      <c r="Q3853" s="49"/>
      <c r="R3853" s="49"/>
      <c r="S3853" s="49"/>
      <c r="T3853" s="49"/>
      <c r="U3853" s="49"/>
      <c r="V3853" s="49"/>
      <c r="W3853" s="49"/>
      <c r="X3853" s="49"/>
      <c r="Y3853" s="49"/>
      <c r="Z3853" s="49"/>
      <c r="AB3853" s="49"/>
      <c r="AC3853" s="49"/>
      <c r="AD3853" s="49"/>
      <c r="AE3853" s="49"/>
      <c r="AF3853" s="49"/>
      <c r="AG3853" s="49"/>
      <c r="AH3853" s="49"/>
      <c r="AI3853" s="49"/>
      <c r="AJ3853" s="49"/>
      <c r="AK3853" s="49"/>
      <c r="AL3853" s="49"/>
      <c r="AM3853" s="49"/>
      <c r="AN3853" s="49"/>
      <c r="AP3853" s="49"/>
      <c r="AQ3853" s="49"/>
      <c r="AR3853" s="49"/>
      <c r="AS3853" s="49"/>
      <c r="AT3853" s="49"/>
    </row>
    <row r="3854">
      <c r="A3854" s="51"/>
      <c r="B3854" s="50" t="s">
        <v>4139</v>
      </c>
      <c r="C3854" s="50" t="s">
        <v>7149</v>
      </c>
      <c r="D3854" s="49"/>
      <c r="E3854" s="49"/>
      <c r="F3854" s="49"/>
      <c r="G3854" s="49"/>
      <c r="H3854" s="54" t="str">
        <f t="shared" si="1"/>
        <v>bags,</v>
      </c>
      <c r="I3854" s="50"/>
      <c r="J3854" s="50"/>
      <c r="K3854" s="50"/>
      <c r="L3854" s="50"/>
      <c r="M3854" s="50"/>
      <c r="N3854" s="50"/>
      <c r="O3854" s="49"/>
      <c r="P3854" s="49"/>
      <c r="Q3854" s="49"/>
      <c r="R3854" s="49"/>
      <c r="S3854" s="49"/>
      <c r="T3854" s="49"/>
      <c r="U3854" s="49"/>
      <c r="V3854" s="49"/>
      <c r="W3854" s="49"/>
      <c r="X3854" s="49"/>
      <c r="Y3854" s="49"/>
      <c r="Z3854" s="49"/>
      <c r="AB3854" s="49"/>
      <c r="AC3854" s="49"/>
      <c r="AD3854" s="49"/>
      <c r="AE3854" s="49"/>
      <c r="AF3854" s="49"/>
      <c r="AG3854" s="49"/>
      <c r="AH3854" s="49"/>
      <c r="AI3854" s="49"/>
      <c r="AJ3854" s="49"/>
      <c r="AK3854" s="49"/>
      <c r="AL3854" s="49"/>
      <c r="AM3854" s="49"/>
      <c r="AN3854" s="49"/>
      <c r="AP3854" s="49"/>
      <c r="AQ3854" s="49"/>
      <c r="AR3854" s="49"/>
      <c r="AS3854" s="49"/>
      <c r="AT3854" s="49"/>
    </row>
    <row r="3855">
      <c r="A3855" s="59"/>
      <c r="B3855" s="49"/>
      <c r="C3855" s="50" t="s">
        <v>3194</v>
      </c>
      <c r="D3855" s="49"/>
      <c r="E3855" s="49"/>
      <c r="F3855" s="49"/>
      <c r="G3855" s="49"/>
      <c r="H3855" s="54" t="str">
        <f t="shared" si="1"/>
        <v>,</v>
      </c>
      <c r="I3855" s="50"/>
      <c r="J3855" s="50"/>
      <c r="K3855" s="50"/>
      <c r="L3855" s="50"/>
      <c r="M3855" s="50"/>
      <c r="N3855" s="50"/>
      <c r="O3855" s="49"/>
      <c r="P3855" s="49"/>
      <c r="Q3855" s="49"/>
      <c r="R3855" s="49"/>
      <c r="S3855" s="49"/>
      <c r="T3855" s="49"/>
      <c r="U3855" s="49"/>
      <c r="V3855" s="49"/>
      <c r="W3855" s="49"/>
      <c r="X3855" s="49"/>
      <c r="Y3855" s="49"/>
      <c r="Z3855" s="49"/>
      <c r="AB3855" s="49"/>
      <c r="AC3855" s="49"/>
      <c r="AD3855" s="49"/>
      <c r="AE3855" s="49"/>
      <c r="AF3855" s="49"/>
      <c r="AG3855" s="49"/>
      <c r="AH3855" s="49"/>
      <c r="AI3855" s="49"/>
      <c r="AJ3855" s="49"/>
      <c r="AK3855" s="49"/>
      <c r="AL3855" s="49"/>
      <c r="AM3855" s="49"/>
      <c r="AN3855" s="49"/>
      <c r="AP3855" s="49"/>
      <c r="AQ3855" s="49"/>
      <c r="AR3855" s="49"/>
      <c r="AS3855" s="49"/>
      <c r="AT3855" s="49"/>
    </row>
    <row r="3856">
      <c r="A3856" s="59"/>
      <c r="B3856" s="49"/>
      <c r="C3856" s="50" t="s">
        <v>7013</v>
      </c>
      <c r="D3856" s="49"/>
      <c r="E3856" s="49"/>
      <c r="F3856" s="49"/>
      <c r="G3856" s="49"/>
      <c r="H3856" s="54" t="str">
        <f t="shared" si="1"/>
        <v>,</v>
      </c>
      <c r="I3856" s="50"/>
      <c r="J3856" s="50"/>
      <c r="K3856" s="50"/>
      <c r="L3856" s="50"/>
      <c r="M3856" s="50"/>
      <c r="N3856" s="50"/>
      <c r="O3856" s="49"/>
      <c r="P3856" s="49"/>
      <c r="Q3856" s="49"/>
      <c r="R3856" s="49"/>
      <c r="S3856" s="49"/>
      <c r="T3856" s="49"/>
      <c r="U3856" s="49"/>
      <c r="V3856" s="49"/>
      <c r="W3856" s="49"/>
      <c r="X3856" s="49"/>
      <c r="Y3856" s="49"/>
      <c r="Z3856" s="49"/>
      <c r="AB3856" s="49"/>
      <c r="AC3856" s="49"/>
      <c r="AD3856" s="49"/>
      <c r="AE3856" s="49"/>
      <c r="AF3856" s="49"/>
      <c r="AG3856" s="49"/>
      <c r="AH3856" s="49"/>
      <c r="AI3856" s="49"/>
      <c r="AJ3856" s="49"/>
      <c r="AK3856" s="49"/>
      <c r="AL3856" s="49"/>
      <c r="AM3856" s="49"/>
      <c r="AN3856" s="49"/>
      <c r="AP3856" s="49"/>
      <c r="AQ3856" s="49"/>
      <c r="AR3856" s="49"/>
      <c r="AS3856" s="49"/>
      <c r="AT3856" s="49"/>
    </row>
    <row r="3857">
      <c r="A3857" s="59"/>
      <c r="B3857" s="49"/>
      <c r="C3857" s="50" t="s">
        <v>5343</v>
      </c>
      <c r="D3857" s="49"/>
      <c r="E3857" s="49"/>
      <c r="F3857" s="49"/>
      <c r="G3857" s="49"/>
      <c r="H3857" s="54" t="str">
        <f t="shared" si="1"/>
        <v>,</v>
      </c>
      <c r="I3857" s="50"/>
      <c r="J3857" s="50"/>
      <c r="K3857" s="50"/>
      <c r="L3857" s="50"/>
      <c r="M3857" s="50"/>
      <c r="N3857" s="50"/>
      <c r="O3857" s="49"/>
      <c r="P3857" s="49"/>
      <c r="Q3857" s="49"/>
      <c r="R3857" s="49"/>
      <c r="S3857" s="49"/>
      <c r="T3857" s="49"/>
      <c r="U3857" s="49"/>
      <c r="V3857" s="49"/>
      <c r="W3857" s="49"/>
      <c r="X3857" s="49"/>
      <c r="Y3857" s="49"/>
      <c r="Z3857" s="49"/>
      <c r="AB3857" s="49"/>
      <c r="AC3857" s="49"/>
      <c r="AD3857" s="49"/>
      <c r="AE3857" s="49"/>
      <c r="AF3857" s="49"/>
      <c r="AG3857" s="49"/>
      <c r="AH3857" s="49"/>
      <c r="AI3857" s="49"/>
      <c r="AJ3857" s="49"/>
      <c r="AK3857" s="49"/>
      <c r="AL3857" s="49"/>
      <c r="AM3857" s="49"/>
      <c r="AN3857" s="49"/>
      <c r="AP3857" s="49"/>
      <c r="AQ3857" s="49"/>
      <c r="AR3857" s="49"/>
      <c r="AS3857" s="49"/>
      <c r="AT3857" s="49"/>
    </row>
    <row r="3858">
      <c r="A3858" s="59"/>
      <c r="B3858" s="49"/>
      <c r="C3858" s="50">
        <v>71.0</v>
      </c>
      <c r="D3858" s="49"/>
      <c r="E3858" s="49"/>
      <c r="F3858" s="49"/>
      <c r="G3858" s="49"/>
      <c r="H3858" s="54" t="str">
        <f t="shared" si="1"/>
        <v>,</v>
      </c>
      <c r="I3858" s="50"/>
      <c r="J3858" s="50"/>
      <c r="K3858" s="50"/>
      <c r="L3858" s="50"/>
      <c r="M3858" s="50"/>
      <c r="N3858" s="50"/>
      <c r="O3858" s="49"/>
      <c r="P3858" s="49"/>
      <c r="Q3858" s="49"/>
      <c r="R3858" s="49"/>
      <c r="S3858" s="49"/>
      <c r="T3858" s="49"/>
      <c r="U3858" s="49"/>
      <c r="V3858" s="49"/>
      <c r="W3858" s="49"/>
      <c r="X3858" s="49"/>
      <c r="Y3858" s="49"/>
      <c r="Z3858" s="49"/>
      <c r="AB3858" s="49"/>
      <c r="AC3858" s="49"/>
      <c r="AD3858" s="49"/>
      <c r="AE3858" s="49"/>
      <c r="AF3858" s="49"/>
      <c r="AG3858" s="49"/>
      <c r="AH3858" s="49"/>
      <c r="AI3858" s="49"/>
      <c r="AJ3858" s="49"/>
      <c r="AK3858" s="49"/>
      <c r="AL3858" s="49"/>
      <c r="AM3858" s="49"/>
      <c r="AN3858" s="49"/>
      <c r="AP3858" s="49"/>
      <c r="AQ3858" s="49"/>
      <c r="AR3858" s="49"/>
      <c r="AS3858" s="49"/>
      <c r="AT3858" s="49"/>
    </row>
    <row r="3859">
      <c r="A3859" s="59"/>
      <c r="B3859" s="49"/>
      <c r="C3859" s="50" t="s">
        <v>4126</v>
      </c>
      <c r="D3859" s="49"/>
      <c r="E3859" s="49"/>
      <c r="F3859" s="49"/>
      <c r="G3859" s="49"/>
      <c r="H3859" s="54" t="str">
        <f t="shared" si="1"/>
        <v>,</v>
      </c>
      <c r="I3859" s="50"/>
      <c r="J3859" s="50"/>
      <c r="K3859" s="50"/>
      <c r="L3859" s="50"/>
      <c r="M3859" s="50"/>
      <c r="N3859" s="50"/>
      <c r="O3859" s="49"/>
      <c r="P3859" s="49"/>
      <c r="Q3859" s="49"/>
      <c r="R3859" s="49"/>
      <c r="S3859" s="49"/>
      <c r="T3859" s="49"/>
      <c r="U3859" s="49"/>
      <c r="V3859" s="49"/>
      <c r="W3859" s="49"/>
      <c r="X3859" s="49"/>
      <c r="Y3859" s="49"/>
      <c r="Z3859" s="49"/>
      <c r="AB3859" s="49"/>
      <c r="AC3859" s="49"/>
      <c r="AD3859" s="49"/>
      <c r="AE3859" s="49"/>
      <c r="AF3859" s="49"/>
      <c r="AG3859" s="49"/>
      <c r="AH3859" s="49"/>
      <c r="AI3859" s="49"/>
      <c r="AJ3859" s="49"/>
      <c r="AK3859" s="49"/>
      <c r="AL3859" s="49"/>
      <c r="AM3859" s="49"/>
      <c r="AN3859" s="49"/>
      <c r="AP3859" s="49"/>
      <c r="AQ3859" s="49"/>
      <c r="AR3859" s="49"/>
      <c r="AS3859" s="49"/>
      <c r="AT3859" s="49"/>
    </row>
    <row r="3860">
      <c r="A3860" s="59"/>
      <c r="B3860" s="49"/>
      <c r="C3860" s="50" t="s">
        <v>7014</v>
      </c>
      <c r="D3860" s="49"/>
      <c r="E3860" s="49"/>
      <c r="F3860" s="49"/>
      <c r="G3860" s="49"/>
      <c r="H3860" s="54" t="str">
        <f t="shared" si="1"/>
        <v>,</v>
      </c>
      <c r="I3860" s="50"/>
      <c r="J3860" s="50"/>
      <c r="K3860" s="50"/>
      <c r="L3860" s="50"/>
      <c r="M3860" s="50"/>
      <c r="N3860" s="50"/>
      <c r="O3860" s="49"/>
      <c r="P3860" s="49"/>
      <c r="Q3860" s="49"/>
      <c r="R3860" s="49"/>
      <c r="S3860" s="49"/>
      <c r="T3860" s="49"/>
      <c r="U3860" s="49"/>
      <c r="V3860" s="49"/>
      <c r="W3860" s="49"/>
      <c r="X3860" s="49"/>
      <c r="Y3860" s="49"/>
      <c r="Z3860" s="49"/>
      <c r="AB3860" s="49"/>
      <c r="AC3860" s="49"/>
      <c r="AD3860" s="49"/>
      <c r="AE3860" s="49"/>
      <c r="AF3860" s="49"/>
      <c r="AG3860" s="49"/>
      <c r="AH3860" s="49"/>
      <c r="AI3860" s="49"/>
      <c r="AJ3860" s="49"/>
      <c r="AK3860" s="49"/>
      <c r="AL3860" s="49"/>
      <c r="AM3860" s="49"/>
      <c r="AN3860" s="49"/>
      <c r="AP3860" s="49"/>
      <c r="AQ3860" s="49"/>
      <c r="AR3860" s="49"/>
      <c r="AS3860" s="49"/>
      <c r="AT3860" s="49"/>
    </row>
    <row r="3861">
      <c r="A3861" s="59"/>
      <c r="B3861" s="49"/>
      <c r="C3861" s="50" t="s">
        <v>6173</v>
      </c>
      <c r="D3861" s="49"/>
      <c r="E3861" s="49"/>
      <c r="F3861" s="49"/>
      <c r="G3861" s="49"/>
      <c r="H3861" s="54" t="str">
        <f t="shared" si="1"/>
        <v>,</v>
      </c>
      <c r="I3861" s="50"/>
      <c r="J3861" s="50"/>
      <c r="K3861" s="50"/>
      <c r="L3861" s="50"/>
      <c r="M3861" s="50"/>
      <c r="N3861" s="50"/>
      <c r="O3861" s="49"/>
      <c r="P3861" s="49"/>
      <c r="Q3861" s="49"/>
      <c r="R3861" s="49"/>
      <c r="S3861" s="49"/>
      <c r="T3861" s="49"/>
      <c r="U3861" s="49"/>
      <c r="V3861" s="49"/>
      <c r="W3861" s="49"/>
      <c r="X3861" s="49"/>
      <c r="Y3861" s="49"/>
      <c r="Z3861" s="49"/>
      <c r="AB3861" s="49"/>
      <c r="AC3861" s="49"/>
      <c r="AD3861" s="49"/>
      <c r="AE3861" s="49"/>
      <c r="AF3861" s="49"/>
      <c r="AG3861" s="49"/>
      <c r="AH3861" s="49"/>
      <c r="AI3861" s="49"/>
      <c r="AJ3861" s="49"/>
      <c r="AK3861" s="49"/>
      <c r="AL3861" s="49"/>
      <c r="AM3861" s="49"/>
      <c r="AN3861" s="49"/>
      <c r="AP3861" s="49"/>
      <c r="AQ3861" s="49"/>
      <c r="AR3861" s="49"/>
      <c r="AS3861" s="49"/>
      <c r="AT3861" s="49"/>
    </row>
    <row r="3862">
      <c r="A3862" s="59"/>
      <c r="B3862" s="49"/>
      <c r="C3862" s="50" t="s">
        <v>4027</v>
      </c>
      <c r="D3862" s="49"/>
      <c r="E3862" s="49"/>
      <c r="F3862" s="49"/>
      <c r="G3862" s="49"/>
      <c r="H3862" s="54" t="str">
        <f t="shared" si="1"/>
        <v>,</v>
      </c>
      <c r="I3862" s="50"/>
      <c r="J3862" s="50"/>
      <c r="K3862" s="50"/>
      <c r="L3862" s="50"/>
      <c r="M3862" s="50"/>
      <c r="N3862" s="50"/>
      <c r="O3862" s="49"/>
      <c r="P3862" s="49"/>
      <c r="Q3862" s="49"/>
      <c r="R3862" s="49"/>
      <c r="S3862" s="49"/>
      <c r="T3862" s="49"/>
      <c r="U3862" s="49"/>
      <c r="V3862" s="49"/>
      <c r="W3862" s="49"/>
      <c r="X3862" s="49"/>
      <c r="Y3862" s="49"/>
      <c r="Z3862" s="49"/>
      <c r="AB3862" s="49"/>
      <c r="AC3862" s="49"/>
      <c r="AD3862" s="49"/>
      <c r="AE3862" s="49"/>
      <c r="AF3862" s="49"/>
      <c r="AG3862" s="49"/>
      <c r="AH3862" s="49"/>
      <c r="AI3862" s="49"/>
      <c r="AJ3862" s="49"/>
      <c r="AK3862" s="49"/>
      <c r="AL3862" s="49"/>
      <c r="AM3862" s="49"/>
      <c r="AN3862" s="49"/>
      <c r="AP3862" s="49"/>
      <c r="AQ3862" s="49"/>
      <c r="AR3862" s="49"/>
      <c r="AS3862" s="49"/>
      <c r="AT3862" s="49"/>
    </row>
    <row r="3863">
      <c r="A3863" s="59"/>
      <c r="B3863" s="49"/>
      <c r="C3863" s="50" t="s">
        <v>7015</v>
      </c>
      <c r="D3863" s="49"/>
      <c r="E3863" s="49"/>
      <c r="F3863" s="49"/>
      <c r="G3863" s="49"/>
      <c r="H3863" s="54" t="str">
        <f t="shared" si="1"/>
        <v>,</v>
      </c>
      <c r="I3863" s="50"/>
      <c r="J3863" s="50"/>
      <c r="K3863" s="50"/>
      <c r="L3863" s="50"/>
      <c r="M3863" s="50"/>
      <c r="N3863" s="50"/>
      <c r="O3863" s="49"/>
      <c r="P3863" s="49"/>
      <c r="Q3863" s="49"/>
      <c r="R3863" s="49"/>
      <c r="S3863" s="49"/>
      <c r="T3863" s="49"/>
      <c r="U3863" s="49"/>
      <c r="V3863" s="49"/>
      <c r="W3863" s="49"/>
      <c r="X3863" s="49"/>
      <c r="Y3863" s="49"/>
      <c r="Z3863" s="49"/>
      <c r="AB3863" s="49"/>
      <c r="AC3863" s="49"/>
      <c r="AD3863" s="49"/>
      <c r="AE3863" s="49"/>
      <c r="AF3863" s="49"/>
      <c r="AG3863" s="49"/>
      <c r="AH3863" s="49"/>
      <c r="AI3863" s="49"/>
      <c r="AJ3863" s="49"/>
      <c r="AK3863" s="49"/>
      <c r="AL3863" s="49"/>
      <c r="AM3863" s="49"/>
      <c r="AN3863" s="49"/>
      <c r="AP3863" s="49"/>
      <c r="AQ3863" s="49"/>
      <c r="AR3863" s="49"/>
      <c r="AS3863" s="49"/>
      <c r="AT3863" s="49"/>
    </row>
    <row r="3864">
      <c r="A3864" s="59"/>
      <c r="B3864" s="49"/>
      <c r="C3864" s="50" t="s">
        <v>6101</v>
      </c>
      <c r="D3864" s="49"/>
      <c r="E3864" s="49"/>
      <c r="F3864" s="49"/>
      <c r="G3864" s="49"/>
      <c r="H3864" s="54" t="str">
        <f t="shared" si="1"/>
        <v>,</v>
      </c>
      <c r="I3864" s="50"/>
      <c r="J3864" s="50"/>
      <c r="K3864" s="50"/>
      <c r="L3864" s="50"/>
      <c r="M3864" s="50"/>
      <c r="N3864" s="50"/>
      <c r="O3864" s="49"/>
      <c r="P3864" s="49"/>
      <c r="Q3864" s="49"/>
      <c r="R3864" s="49"/>
      <c r="S3864" s="49"/>
      <c r="T3864" s="49"/>
      <c r="U3864" s="49"/>
      <c r="V3864" s="49"/>
      <c r="W3864" s="49"/>
      <c r="X3864" s="49"/>
      <c r="Y3864" s="49"/>
      <c r="Z3864" s="49"/>
      <c r="AB3864" s="49"/>
      <c r="AC3864" s="49"/>
      <c r="AD3864" s="49"/>
      <c r="AE3864" s="49"/>
      <c r="AF3864" s="49"/>
      <c r="AG3864" s="49"/>
      <c r="AH3864" s="49"/>
      <c r="AI3864" s="49"/>
      <c r="AJ3864" s="49"/>
      <c r="AK3864" s="49"/>
      <c r="AL3864" s="49"/>
      <c r="AM3864" s="49"/>
      <c r="AN3864" s="49"/>
      <c r="AP3864" s="49"/>
      <c r="AQ3864" s="49"/>
      <c r="AR3864" s="49"/>
      <c r="AS3864" s="49"/>
      <c r="AT3864" s="49"/>
    </row>
    <row r="3865">
      <c r="A3865" s="59"/>
      <c r="B3865" s="49"/>
      <c r="C3865" s="50" t="s">
        <v>3210</v>
      </c>
      <c r="D3865" s="49"/>
      <c r="E3865" s="49"/>
      <c r="F3865" s="49"/>
      <c r="G3865" s="49"/>
      <c r="H3865" s="54" t="str">
        <f t="shared" si="1"/>
        <v>,</v>
      </c>
      <c r="I3865" s="50"/>
      <c r="J3865" s="50"/>
      <c r="K3865" s="50"/>
      <c r="L3865" s="50"/>
      <c r="M3865" s="50"/>
      <c r="N3865" s="50"/>
      <c r="O3865" s="49"/>
      <c r="P3865" s="49"/>
      <c r="Q3865" s="49"/>
      <c r="R3865" s="49"/>
      <c r="S3865" s="49"/>
      <c r="T3865" s="49"/>
      <c r="U3865" s="49"/>
      <c r="V3865" s="49"/>
      <c r="W3865" s="49"/>
      <c r="X3865" s="49"/>
      <c r="Y3865" s="49"/>
      <c r="Z3865" s="49"/>
      <c r="AB3865" s="49"/>
      <c r="AC3865" s="49"/>
      <c r="AD3865" s="49"/>
      <c r="AE3865" s="49"/>
      <c r="AF3865" s="49"/>
      <c r="AG3865" s="49"/>
      <c r="AH3865" s="49"/>
      <c r="AI3865" s="49"/>
      <c r="AJ3865" s="49"/>
      <c r="AK3865" s="49"/>
      <c r="AL3865" s="49"/>
      <c r="AM3865" s="49"/>
      <c r="AN3865" s="49"/>
      <c r="AP3865" s="49"/>
      <c r="AQ3865" s="49"/>
      <c r="AR3865" s="49"/>
      <c r="AS3865" s="49"/>
      <c r="AT3865" s="49"/>
    </row>
    <row r="3866">
      <c r="A3866" s="59"/>
      <c r="B3866" s="49"/>
      <c r="C3866" s="50" t="s">
        <v>5813</v>
      </c>
      <c r="D3866" s="49"/>
      <c r="E3866" s="49"/>
      <c r="F3866" s="49"/>
      <c r="G3866" s="49"/>
      <c r="H3866" s="54" t="str">
        <f t="shared" si="1"/>
        <v>,</v>
      </c>
      <c r="I3866" s="50"/>
      <c r="J3866" s="50"/>
      <c r="K3866" s="50"/>
      <c r="L3866" s="50"/>
      <c r="M3866" s="50"/>
      <c r="N3866" s="50"/>
      <c r="O3866" s="49"/>
      <c r="P3866" s="49"/>
      <c r="Q3866" s="49"/>
      <c r="R3866" s="49"/>
      <c r="S3866" s="49"/>
      <c r="T3866" s="49"/>
      <c r="U3866" s="49"/>
      <c r="V3866" s="49"/>
      <c r="W3866" s="49"/>
      <c r="X3866" s="49"/>
      <c r="Y3866" s="49"/>
      <c r="Z3866" s="49"/>
      <c r="AB3866" s="49"/>
      <c r="AC3866" s="49"/>
      <c r="AD3866" s="49"/>
      <c r="AE3866" s="49"/>
      <c r="AF3866" s="49"/>
      <c r="AG3866" s="49"/>
      <c r="AH3866" s="49"/>
      <c r="AI3866" s="49"/>
      <c r="AJ3866" s="49"/>
      <c r="AK3866" s="49"/>
      <c r="AL3866" s="49"/>
      <c r="AM3866" s="49"/>
      <c r="AN3866" s="49"/>
      <c r="AP3866" s="49"/>
      <c r="AQ3866" s="49"/>
      <c r="AR3866" s="49"/>
      <c r="AS3866" s="49"/>
      <c r="AT3866" s="49"/>
    </row>
    <row r="3867">
      <c r="A3867" s="59"/>
      <c r="B3867" s="49"/>
      <c r="C3867" s="50" t="s">
        <v>7016</v>
      </c>
      <c r="D3867" s="49"/>
      <c r="E3867" s="49"/>
      <c r="F3867" s="49"/>
      <c r="G3867" s="49"/>
      <c r="H3867" s="54" t="str">
        <f t="shared" si="1"/>
        <v>,</v>
      </c>
      <c r="I3867" s="50"/>
      <c r="J3867" s="50"/>
      <c r="K3867" s="50"/>
      <c r="L3867" s="50"/>
      <c r="M3867" s="50"/>
      <c r="N3867" s="50"/>
      <c r="O3867" s="49"/>
      <c r="P3867" s="49"/>
      <c r="Q3867" s="49"/>
      <c r="R3867" s="49"/>
      <c r="S3867" s="49"/>
      <c r="T3867" s="49"/>
      <c r="U3867" s="49"/>
      <c r="V3867" s="49"/>
      <c r="W3867" s="49"/>
      <c r="X3867" s="49"/>
      <c r="Y3867" s="49"/>
      <c r="Z3867" s="49"/>
      <c r="AB3867" s="49"/>
      <c r="AC3867" s="49"/>
      <c r="AD3867" s="49"/>
      <c r="AE3867" s="49"/>
      <c r="AF3867" s="49"/>
      <c r="AG3867" s="49"/>
      <c r="AH3867" s="49"/>
      <c r="AI3867" s="49"/>
      <c r="AJ3867" s="49"/>
      <c r="AK3867" s="49"/>
      <c r="AL3867" s="49"/>
      <c r="AM3867" s="49"/>
      <c r="AN3867" s="49"/>
      <c r="AP3867" s="49"/>
      <c r="AQ3867" s="49"/>
      <c r="AR3867" s="49"/>
      <c r="AS3867" s="49"/>
      <c r="AT3867" s="49"/>
    </row>
    <row r="3868">
      <c r="A3868" s="59"/>
      <c r="B3868" s="49"/>
      <c r="C3868" s="50" t="s">
        <v>7017</v>
      </c>
      <c r="D3868" s="49"/>
      <c r="E3868" s="49"/>
      <c r="F3868" s="49"/>
      <c r="G3868" s="49"/>
      <c r="H3868" s="54" t="str">
        <f t="shared" si="1"/>
        <v>,</v>
      </c>
      <c r="I3868" s="50"/>
      <c r="J3868" s="50"/>
      <c r="K3868" s="50"/>
      <c r="L3868" s="50"/>
      <c r="M3868" s="50"/>
      <c r="N3868" s="50"/>
      <c r="O3868" s="49"/>
      <c r="P3868" s="49"/>
      <c r="Q3868" s="49"/>
      <c r="R3868" s="49"/>
      <c r="S3868" s="49"/>
      <c r="T3868" s="49"/>
      <c r="U3868" s="49"/>
      <c r="V3868" s="49"/>
      <c r="W3868" s="49"/>
      <c r="X3868" s="49"/>
      <c r="Y3868" s="49"/>
      <c r="Z3868" s="49"/>
      <c r="AB3868" s="49"/>
      <c r="AC3868" s="49"/>
      <c r="AD3868" s="49"/>
      <c r="AE3868" s="49"/>
      <c r="AF3868" s="49"/>
      <c r="AG3868" s="49"/>
      <c r="AH3868" s="49"/>
      <c r="AI3868" s="49"/>
      <c r="AJ3868" s="49"/>
      <c r="AK3868" s="49"/>
      <c r="AL3868" s="49"/>
      <c r="AM3868" s="49"/>
      <c r="AN3868" s="49"/>
      <c r="AP3868" s="49"/>
      <c r="AQ3868" s="49"/>
      <c r="AR3868" s="49"/>
      <c r="AS3868" s="49"/>
      <c r="AT3868" s="49"/>
    </row>
    <row r="3869">
      <c r="A3869" s="59"/>
      <c r="B3869" s="49"/>
      <c r="C3869" s="50" t="s">
        <v>7100</v>
      </c>
      <c r="D3869" s="49"/>
      <c r="E3869" s="49"/>
      <c r="F3869" s="49"/>
      <c r="G3869" s="49"/>
      <c r="H3869" s="54" t="str">
        <f t="shared" si="1"/>
        <v>,</v>
      </c>
      <c r="I3869" s="50"/>
      <c r="J3869" s="50"/>
      <c r="K3869" s="50"/>
      <c r="L3869" s="50"/>
      <c r="M3869" s="50"/>
      <c r="N3869" s="50"/>
      <c r="O3869" s="49"/>
      <c r="P3869" s="49"/>
      <c r="Q3869" s="49"/>
      <c r="R3869" s="49"/>
      <c r="S3869" s="49"/>
      <c r="T3869" s="49"/>
      <c r="U3869" s="49"/>
      <c r="V3869" s="49"/>
      <c r="W3869" s="49"/>
      <c r="X3869" s="49"/>
      <c r="Y3869" s="49"/>
      <c r="Z3869" s="49"/>
      <c r="AB3869" s="49"/>
      <c r="AC3869" s="49"/>
      <c r="AD3869" s="49"/>
      <c r="AE3869" s="49"/>
      <c r="AF3869" s="49"/>
      <c r="AG3869" s="49"/>
      <c r="AH3869" s="49"/>
      <c r="AI3869" s="49"/>
      <c r="AJ3869" s="49"/>
      <c r="AK3869" s="49"/>
      <c r="AL3869" s="49"/>
      <c r="AM3869" s="49"/>
      <c r="AN3869" s="49"/>
      <c r="AP3869" s="49"/>
      <c r="AQ3869" s="49"/>
      <c r="AR3869" s="49"/>
      <c r="AS3869" s="49"/>
      <c r="AT3869" s="49"/>
    </row>
    <row r="3870">
      <c r="A3870" s="59"/>
      <c r="B3870" s="49"/>
      <c r="C3870" s="50" t="s">
        <v>7150</v>
      </c>
      <c r="D3870" s="49"/>
      <c r="E3870" s="49"/>
      <c r="F3870" s="49"/>
      <c r="G3870" s="49"/>
      <c r="H3870" s="54" t="str">
        <f t="shared" si="1"/>
        <v>,</v>
      </c>
      <c r="I3870" s="50"/>
      <c r="J3870" s="50"/>
      <c r="K3870" s="50"/>
      <c r="L3870" s="50"/>
      <c r="M3870" s="50"/>
      <c r="N3870" s="50"/>
      <c r="O3870" s="49"/>
      <c r="P3870" s="49"/>
      <c r="Q3870" s="49"/>
      <c r="R3870" s="49"/>
      <c r="S3870" s="49"/>
      <c r="T3870" s="49"/>
      <c r="U3870" s="49"/>
      <c r="V3870" s="49"/>
      <c r="W3870" s="49"/>
      <c r="X3870" s="49"/>
      <c r="Y3870" s="49"/>
      <c r="Z3870" s="49"/>
      <c r="AB3870" s="49"/>
      <c r="AC3870" s="49"/>
      <c r="AD3870" s="49"/>
      <c r="AE3870" s="49"/>
      <c r="AF3870" s="49"/>
      <c r="AG3870" s="49"/>
      <c r="AH3870" s="49"/>
      <c r="AI3870" s="49"/>
      <c r="AJ3870" s="49"/>
      <c r="AK3870" s="49"/>
      <c r="AL3870" s="49"/>
      <c r="AM3870" s="49"/>
      <c r="AN3870" s="49"/>
      <c r="AP3870" s="49"/>
      <c r="AQ3870" s="49"/>
      <c r="AR3870" s="49"/>
      <c r="AS3870" s="49"/>
      <c r="AT3870" s="49"/>
    </row>
    <row r="3871">
      <c r="A3871" s="59"/>
      <c r="B3871" s="49"/>
      <c r="C3871" s="50" t="s">
        <v>5818</v>
      </c>
      <c r="D3871" s="49"/>
      <c r="E3871" s="49"/>
      <c r="F3871" s="49"/>
      <c r="G3871" s="49"/>
      <c r="H3871" s="54" t="str">
        <f t="shared" si="1"/>
        <v>,</v>
      </c>
      <c r="I3871" s="50"/>
      <c r="J3871" s="50"/>
      <c r="K3871" s="50"/>
      <c r="L3871" s="50"/>
      <c r="M3871" s="50"/>
      <c r="N3871" s="50"/>
      <c r="O3871" s="49"/>
      <c r="P3871" s="49"/>
      <c r="Q3871" s="49"/>
      <c r="R3871" s="49"/>
      <c r="S3871" s="49"/>
      <c r="T3871" s="49"/>
      <c r="U3871" s="49"/>
      <c r="V3871" s="49"/>
      <c r="W3871" s="49"/>
      <c r="X3871" s="49"/>
      <c r="Y3871" s="49"/>
      <c r="Z3871" s="49"/>
      <c r="AB3871" s="49"/>
      <c r="AC3871" s="49"/>
      <c r="AD3871" s="49"/>
      <c r="AE3871" s="49"/>
      <c r="AF3871" s="49"/>
      <c r="AG3871" s="49"/>
      <c r="AH3871" s="49"/>
      <c r="AI3871" s="49"/>
      <c r="AJ3871" s="49"/>
      <c r="AK3871" s="49"/>
      <c r="AL3871" s="49"/>
      <c r="AM3871" s="49"/>
      <c r="AN3871" s="49"/>
      <c r="AP3871" s="49"/>
      <c r="AQ3871" s="49"/>
      <c r="AR3871" s="49"/>
      <c r="AS3871" s="49"/>
      <c r="AT3871" s="49"/>
    </row>
    <row r="3872">
      <c r="A3872" s="59"/>
      <c r="B3872" s="49"/>
      <c r="C3872" s="50" t="s">
        <v>7018</v>
      </c>
      <c r="D3872" s="49"/>
      <c r="E3872" s="49"/>
      <c r="F3872" s="49"/>
      <c r="G3872" s="49"/>
      <c r="H3872" s="54" t="str">
        <f t="shared" si="1"/>
        <v>,</v>
      </c>
      <c r="I3872" s="50"/>
      <c r="J3872" s="50"/>
      <c r="K3872" s="50"/>
      <c r="L3872" s="50"/>
      <c r="M3872" s="50"/>
      <c r="N3872" s="50"/>
      <c r="O3872" s="49"/>
      <c r="P3872" s="49"/>
      <c r="Q3872" s="49"/>
      <c r="R3872" s="49"/>
      <c r="S3872" s="49"/>
      <c r="T3872" s="49"/>
      <c r="U3872" s="49"/>
      <c r="V3872" s="49"/>
      <c r="W3872" s="49"/>
      <c r="X3872" s="49"/>
      <c r="Y3872" s="49"/>
      <c r="Z3872" s="49"/>
      <c r="AB3872" s="49"/>
      <c r="AC3872" s="49"/>
      <c r="AD3872" s="49"/>
      <c r="AE3872" s="49"/>
      <c r="AF3872" s="49"/>
      <c r="AG3872" s="49"/>
      <c r="AH3872" s="49"/>
      <c r="AI3872" s="49"/>
      <c r="AJ3872" s="49"/>
      <c r="AK3872" s="49"/>
      <c r="AL3872" s="49"/>
      <c r="AM3872" s="49"/>
      <c r="AN3872" s="49"/>
      <c r="AP3872" s="49"/>
      <c r="AQ3872" s="49"/>
      <c r="AR3872" s="49"/>
      <c r="AS3872" s="49"/>
      <c r="AT3872" s="49"/>
    </row>
    <row r="3873">
      <c r="A3873" s="59"/>
      <c r="B3873" s="49"/>
      <c r="C3873" s="50" t="s">
        <v>7019</v>
      </c>
      <c r="D3873" s="49"/>
      <c r="E3873" s="49"/>
      <c r="F3873" s="49"/>
      <c r="G3873" s="49"/>
      <c r="H3873" s="54" t="str">
        <f t="shared" si="1"/>
        <v>,</v>
      </c>
      <c r="I3873" s="50"/>
      <c r="J3873" s="50"/>
      <c r="K3873" s="50"/>
      <c r="L3873" s="50"/>
      <c r="M3873" s="50"/>
      <c r="N3873" s="50"/>
      <c r="O3873" s="49"/>
      <c r="P3873" s="49"/>
      <c r="Q3873" s="49"/>
      <c r="R3873" s="49"/>
      <c r="S3873" s="49"/>
      <c r="T3873" s="49"/>
      <c r="U3873" s="49"/>
      <c r="V3873" s="49"/>
      <c r="W3873" s="49"/>
      <c r="X3873" s="49"/>
      <c r="Y3873" s="49"/>
      <c r="Z3873" s="49"/>
      <c r="AB3873" s="49"/>
      <c r="AC3873" s="49"/>
      <c r="AD3873" s="49"/>
      <c r="AE3873" s="49"/>
      <c r="AF3873" s="49"/>
      <c r="AG3873" s="49"/>
      <c r="AH3873" s="49"/>
      <c r="AI3873" s="49"/>
      <c r="AJ3873" s="49"/>
      <c r="AK3873" s="49"/>
      <c r="AL3873" s="49"/>
      <c r="AM3873" s="49"/>
      <c r="AN3873" s="49"/>
      <c r="AP3873" s="49"/>
      <c r="AQ3873" s="49"/>
      <c r="AR3873" s="49"/>
      <c r="AS3873" s="49"/>
      <c r="AT3873" s="49"/>
    </row>
    <row r="3874">
      <c r="A3874" s="59"/>
      <c r="B3874" s="49"/>
      <c r="C3874" s="50" t="s">
        <v>5819</v>
      </c>
      <c r="D3874" s="49"/>
      <c r="E3874" s="49"/>
      <c r="F3874" s="49"/>
      <c r="G3874" s="49"/>
      <c r="H3874" s="54" t="str">
        <f t="shared" si="1"/>
        <v>,</v>
      </c>
      <c r="I3874" s="50"/>
      <c r="J3874" s="50"/>
      <c r="K3874" s="50"/>
      <c r="L3874" s="50"/>
      <c r="M3874" s="50"/>
      <c r="N3874" s="50"/>
      <c r="O3874" s="49"/>
      <c r="P3874" s="49"/>
      <c r="Q3874" s="49"/>
      <c r="R3874" s="49"/>
      <c r="S3874" s="49"/>
      <c r="T3874" s="49"/>
      <c r="U3874" s="49"/>
      <c r="V3874" s="49"/>
      <c r="W3874" s="49"/>
      <c r="X3874" s="49"/>
      <c r="Y3874" s="49"/>
      <c r="Z3874" s="49"/>
      <c r="AB3874" s="49"/>
      <c r="AC3874" s="49"/>
      <c r="AD3874" s="49"/>
      <c r="AE3874" s="49"/>
      <c r="AF3874" s="49"/>
      <c r="AG3874" s="49"/>
      <c r="AH3874" s="49"/>
      <c r="AI3874" s="49"/>
      <c r="AJ3874" s="49"/>
      <c r="AK3874" s="49"/>
      <c r="AL3874" s="49"/>
      <c r="AM3874" s="49"/>
      <c r="AN3874" s="49"/>
      <c r="AP3874" s="49"/>
      <c r="AQ3874" s="49"/>
      <c r="AR3874" s="49"/>
      <c r="AS3874" s="49"/>
      <c r="AT3874" s="49"/>
    </row>
    <row r="3875">
      <c r="A3875" s="59"/>
      <c r="B3875" s="49"/>
      <c r="C3875" s="50" t="s">
        <v>6106</v>
      </c>
      <c r="D3875" s="49"/>
      <c r="E3875" s="49"/>
      <c r="F3875" s="49"/>
      <c r="G3875" s="49"/>
      <c r="H3875" s="54" t="str">
        <f t="shared" si="1"/>
        <v>,</v>
      </c>
      <c r="I3875" s="50"/>
      <c r="J3875" s="50"/>
      <c r="K3875" s="50"/>
      <c r="L3875" s="50"/>
      <c r="M3875" s="50"/>
      <c r="N3875" s="50"/>
      <c r="O3875" s="49"/>
      <c r="P3875" s="49"/>
      <c r="Q3875" s="49"/>
      <c r="R3875" s="49"/>
      <c r="S3875" s="49"/>
      <c r="T3875" s="49"/>
      <c r="U3875" s="49"/>
      <c r="V3875" s="49"/>
      <c r="W3875" s="49"/>
      <c r="X3875" s="49"/>
      <c r="Y3875" s="49"/>
      <c r="Z3875" s="49"/>
      <c r="AB3875" s="49"/>
      <c r="AC3875" s="49"/>
      <c r="AD3875" s="49"/>
      <c r="AE3875" s="49"/>
      <c r="AF3875" s="49"/>
      <c r="AG3875" s="49"/>
      <c r="AH3875" s="49"/>
      <c r="AI3875" s="49"/>
      <c r="AJ3875" s="49"/>
      <c r="AK3875" s="49"/>
      <c r="AL3875" s="49"/>
      <c r="AM3875" s="49"/>
      <c r="AN3875" s="49"/>
      <c r="AP3875" s="49"/>
      <c r="AQ3875" s="49"/>
      <c r="AR3875" s="49"/>
      <c r="AS3875" s="49"/>
      <c r="AT3875" s="49"/>
    </row>
    <row r="3876">
      <c r="A3876" s="59"/>
      <c r="B3876" s="49"/>
      <c r="C3876" s="50" t="s">
        <v>7021</v>
      </c>
      <c r="D3876" s="49"/>
      <c r="E3876" s="49"/>
      <c r="F3876" s="49"/>
      <c r="G3876" s="49"/>
      <c r="H3876" s="54" t="str">
        <f t="shared" si="1"/>
        <v>,</v>
      </c>
      <c r="I3876" s="50"/>
      <c r="J3876" s="50"/>
      <c r="K3876" s="50"/>
      <c r="L3876" s="50"/>
      <c r="M3876" s="50"/>
      <c r="N3876" s="50"/>
      <c r="O3876" s="49"/>
      <c r="P3876" s="49"/>
      <c r="Q3876" s="49"/>
      <c r="R3876" s="49"/>
      <c r="S3876" s="49"/>
      <c r="T3876" s="49"/>
      <c r="U3876" s="49"/>
      <c r="V3876" s="49"/>
      <c r="W3876" s="49"/>
      <c r="X3876" s="49"/>
      <c r="Y3876" s="49"/>
      <c r="Z3876" s="49"/>
      <c r="AB3876" s="49"/>
      <c r="AC3876" s="49"/>
      <c r="AD3876" s="49"/>
      <c r="AE3876" s="49"/>
      <c r="AF3876" s="49"/>
      <c r="AG3876" s="49"/>
      <c r="AH3876" s="49"/>
      <c r="AI3876" s="49"/>
      <c r="AJ3876" s="49"/>
      <c r="AK3876" s="49"/>
      <c r="AL3876" s="49"/>
      <c r="AM3876" s="49"/>
      <c r="AN3876" s="49"/>
      <c r="AP3876" s="49"/>
      <c r="AQ3876" s="49"/>
      <c r="AR3876" s="49"/>
      <c r="AS3876" s="49"/>
      <c r="AT3876" s="49"/>
    </row>
    <row r="3877">
      <c r="A3877" s="59"/>
      <c r="B3877" s="49"/>
      <c r="C3877" s="50" t="s">
        <v>723</v>
      </c>
      <c r="D3877" s="49"/>
      <c r="E3877" s="49"/>
      <c r="F3877" s="49"/>
      <c r="G3877" s="49"/>
      <c r="H3877" s="54" t="str">
        <f t="shared" si="1"/>
        <v>,</v>
      </c>
      <c r="I3877" s="50"/>
      <c r="J3877" s="50"/>
      <c r="K3877" s="50"/>
      <c r="L3877" s="50"/>
      <c r="M3877" s="50"/>
      <c r="N3877" s="50"/>
      <c r="O3877" s="49"/>
      <c r="P3877" s="49"/>
      <c r="Q3877" s="49"/>
      <c r="R3877" s="49"/>
      <c r="S3877" s="49"/>
      <c r="T3877" s="49"/>
      <c r="U3877" s="49"/>
      <c r="V3877" s="49"/>
      <c r="W3877" s="49"/>
      <c r="X3877" s="49"/>
      <c r="Y3877" s="49"/>
      <c r="Z3877" s="49"/>
      <c r="AB3877" s="49"/>
      <c r="AC3877" s="49"/>
      <c r="AD3877" s="49"/>
      <c r="AE3877" s="49"/>
      <c r="AF3877" s="49"/>
      <c r="AG3877" s="49"/>
      <c r="AH3877" s="49"/>
      <c r="AI3877" s="49"/>
      <c r="AJ3877" s="49"/>
      <c r="AK3877" s="49"/>
      <c r="AL3877" s="49"/>
      <c r="AM3877" s="49"/>
      <c r="AN3877" s="49"/>
      <c r="AP3877" s="49"/>
      <c r="AQ3877" s="49"/>
      <c r="AR3877" s="49"/>
      <c r="AS3877" s="49"/>
      <c r="AT3877" s="49"/>
    </row>
    <row r="3878">
      <c r="A3878" s="59"/>
      <c r="B3878" s="49"/>
      <c r="C3878" s="50" t="s">
        <v>4245</v>
      </c>
      <c r="D3878" s="49"/>
      <c r="E3878" s="49"/>
      <c r="F3878" s="49"/>
      <c r="G3878" s="49"/>
      <c r="H3878" s="54" t="str">
        <f t="shared" si="1"/>
        <v>,</v>
      </c>
      <c r="I3878" s="50"/>
      <c r="J3878" s="50"/>
      <c r="K3878" s="50"/>
      <c r="L3878" s="50"/>
      <c r="M3878" s="50"/>
      <c r="N3878" s="50"/>
      <c r="O3878" s="49"/>
      <c r="P3878" s="49"/>
      <c r="Q3878" s="49"/>
      <c r="R3878" s="49"/>
      <c r="S3878" s="49"/>
      <c r="T3878" s="49"/>
      <c r="U3878" s="49"/>
      <c r="V3878" s="49"/>
      <c r="W3878" s="49"/>
      <c r="X3878" s="49"/>
      <c r="Y3878" s="49"/>
      <c r="Z3878" s="49"/>
      <c r="AB3878" s="49"/>
      <c r="AC3878" s="49"/>
      <c r="AD3878" s="49"/>
      <c r="AE3878" s="49"/>
      <c r="AF3878" s="49"/>
      <c r="AG3878" s="49"/>
      <c r="AH3878" s="49"/>
      <c r="AI3878" s="49"/>
      <c r="AJ3878" s="49"/>
      <c r="AK3878" s="49"/>
      <c r="AL3878" s="49"/>
      <c r="AM3878" s="49"/>
      <c r="AN3878" s="49"/>
      <c r="AP3878" s="49"/>
      <c r="AQ3878" s="49"/>
      <c r="AR3878" s="49"/>
      <c r="AS3878" s="49"/>
      <c r="AT3878" s="49"/>
    </row>
    <row r="3879">
      <c r="A3879" s="59"/>
      <c r="B3879" s="49"/>
      <c r="C3879" s="50">
        <v>1970.0</v>
      </c>
      <c r="D3879" s="49"/>
      <c r="E3879" s="49"/>
      <c r="F3879" s="49"/>
      <c r="G3879" s="49"/>
      <c r="H3879" s="54" t="str">
        <f t="shared" si="1"/>
        <v>,</v>
      </c>
      <c r="I3879" s="50"/>
      <c r="J3879" s="50"/>
      <c r="K3879" s="50"/>
      <c r="L3879" s="50"/>
      <c r="M3879" s="50"/>
      <c r="N3879" s="50"/>
      <c r="O3879" s="49"/>
      <c r="P3879" s="49"/>
      <c r="Q3879" s="49"/>
      <c r="R3879" s="49"/>
      <c r="S3879" s="49"/>
      <c r="T3879" s="49"/>
      <c r="U3879" s="49"/>
      <c r="V3879" s="49"/>
      <c r="W3879" s="49"/>
      <c r="X3879" s="49"/>
      <c r="Y3879" s="49"/>
      <c r="Z3879" s="49"/>
      <c r="AB3879" s="49"/>
      <c r="AC3879" s="49"/>
      <c r="AD3879" s="49"/>
      <c r="AE3879" s="49"/>
      <c r="AF3879" s="49"/>
      <c r="AG3879" s="49"/>
      <c r="AH3879" s="49"/>
      <c r="AI3879" s="49"/>
      <c r="AJ3879" s="49"/>
      <c r="AK3879" s="49"/>
      <c r="AL3879" s="49"/>
      <c r="AM3879" s="49"/>
      <c r="AN3879" s="49"/>
      <c r="AP3879" s="49"/>
      <c r="AQ3879" s="49"/>
      <c r="AR3879" s="49"/>
      <c r="AS3879" s="49"/>
      <c r="AT3879" s="49"/>
    </row>
    <row r="3880">
      <c r="A3880" s="59"/>
      <c r="B3880" s="49"/>
      <c r="C3880" s="50" t="s">
        <v>7022</v>
      </c>
      <c r="D3880" s="49"/>
      <c r="E3880" s="49"/>
      <c r="F3880" s="49"/>
      <c r="G3880" s="49"/>
      <c r="H3880" s="54" t="str">
        <f t="shared" si="1"/>
        <v>,</v>
      </c>
      <c r="I3880" s="50"/>
      <c r="J3880" s="50"/>
      <c r="K3880" s="50"/>
      <c r="L3880" s="50"/>
      <c r="M3880" s="50"/>
      <c r="N3880" s="50"/>
      <c r="O3880" s="49"/>
      <c r="P3880" s="49"/>
      <c r="Q3880" s="49"/>
      <c r="R3880" s="49"/>
      <c r="S3880" s="49"/>
      <c r="T3880" s="49"/>
      <c r="U3880" s="49"/>
      <c r="V3880" s="49"/>
      <c r="W3880" s="49"/>
      <c r="X3880" s="49"/>
      <c r="Y3880" s="49"/>
      <c r="Z3880" s="49"/>
      <c r="AB3880" s="49"/>
      <c r="AC3880" s="49"/>
      <c r="AD3880" s="49"/>
      <c r="AE3880" s="49"/>
      <c r="AF3880" s="49"/>
      <c r="AG3880" s="49"/>
      <c r="AH3880" s="49"/>
      <c r="AI3880" s="49"/>
      <c r="AJ3880" s="49"/>
      <c r="AK3880" s="49"/>
      <c r="AL3880" s="49"/>
      <c r="AM3880" s="49"/>
      <c r="AN3880" s="49"/>
      <c r="AP3880" s="49"/>
      <c r="AQ3880" s="49"/>
      <c r="AR3880" s="49"/>
      <c r="AS3880" s="49"/>
      <c r="AT3880" s="49"/>
    </row>
    <row r="3881">
      <c r="A3881" s="59"/>
      <c r="B3881" s="49"/>
      <c r="C3881" s="50" t="s">
        <v>6010</v>
      </c>
      <c r="D3881" s="49"/>
      <c r="E3881" s="49"/>
      <c r="F3881" s="49"/>
      <c r="G3881" s="49"/>
      <c r="H3881" s="54" t="str">
        <f t="shared" si="1"/>
        <v>,</v>
      </c>
      <c r="I3881" s="50"/>
      <c r="J3881" s="50"/>
      <c r="K3881" s="50"/>
      <c r="L3881" s="50"/>
      <c r="M3881" s="50"/>
      <c r="N3881" s="50"/>
      <c r="O3881" s="49"/>
      <c r="P3881" s="49"/>
      <c r="Q3881" s="49"/>
      <c r="R3881" s="49"/>
      <c r="S3881" s="49"/>
      <c r="T3881" s="49"/>
      <c r="U3881" s="49"/>
      <c r="V3881" s="49"/>
      <c r="W3881" s="49"/>
      <c r="X3881" s="49"/>
      <c r="Y3881" s="49"/>
      <c r="Z3881" s="49"/>
      <c r="AB3881" s="49"/>
      <c r="AC3881" s="49"/>
      <c r="AD3881" s="49"/>
      <c r="AE3881" s="49"/>
      <c r="AF3881" s="49"/>
      <c r="AG3881" s="49"/>
      <c r="AH3881" s="49"/>
      <c r="AI3881" s="49"/>
      <c r="AJ3881" s="49"/>
      <c r="AK3881" s="49"/>
      <c r="AL3881" s="49"/>
      <c r="AM3881" s="49"/>
      <c r="AN3881" s="49"/>
      <c r="AP3881" s="49"/>
      <c r="AQ3881" s="49"/>
      <c r="AR3881" s="49"/>
      <c r="AS3881" s="49"/>
      <c r="AT3881" s="49"/>
    </row>
    <row r="3882">
      <c r="A3882" s="59"/>
      <c r="B3882" s="49"/>
      <c r="C3882" s="50" t="s">
        <v>5824</v>
      </c>
      <c r="D3882" s="49"/>
      <c r="E3882" s="49"/>
      <c r="F3882" s="49"/>
      <c r="G3882" s="49"/>
      <c r="H3882" s="54" t="str">
        <f t="shared" si="1"/>
        <v>,</v>
      </c>
      <c r="I3882" s="50"/>
      <c r="J3882" s="50"/>
      <c r="K3882" s="50"/>
      <c r="L3882" s="50"/>
      <c r="M3882" s="50"/>
      <c r="N3882" s="50"/>
      <c r="O3882" s="49"/>
      <c r="P3882" s="49"/>
      <c r="Q3882" s="49"/>
      <c r="R3882" s="49"/>
      <c r="S3882" s="49"/>
      <c r="T3882" s="49"/>
      <c r="U3882" s="49"/>
      <c r="V3882" s="49"/>
      <c r="W3882" s="49"/>
      <c r="X3882" s="49"/>
      <c r="Y3882" s="49"/>
      <c r="Z3882" s="49"/>
      <c r="AB3882" s="49"/>
      <c r="AC3882" s="49"/>
      <c r="AD3882" s="49"/>
      <c r="AE3882" s="49"/>
      <c r="AF3882" s="49"/>
      <c r="AG3882" s="49"/>
      <c r="AH3882" s="49"/>
      <c r="AI3882" s="49"/>
      <c r="AJ3882" s="49"/>
      <c r="AK3882" s="49"/>
      <c r="AL3882" s="49"/>
      <c r="AM3882" s="49"/>
      <c r="AN3882" s="49"/>
      <c r="AP3882" s="49"/>
      <c r="AQ3882" s="49"/>
      <c r="AR3882" s="49"/>
      <c r="AS3882" s="49"/>
      <c r="AT3882" s="49"/>
    </row>
    <row r="3883">
      <c r="A3883" s="59"/>
      <c r="B3883" s="49"/>
      <c r="C3883" s="50" t="s">
        <v>7023</v>
      </c>
      <c r="D3883" s="49"/>
      <c r="E3883" s="49"/>
      <c r="F3883" s="49"/>
      <c r="G3883" s="49"/>
      <c r="H3883" s="54" t="str">
        <f t="shared" si="1"/>
        <v>,</v>
      </c>
      <c r="I3883" s="50"/>
      <c r="J3883" s="50"/>
      <c r="K3883" s="50"/>
      <c r="L3883" s="50"/>
      <c r="M3883" s="50"/>
      <c r="N3883" s="50"/>
      <c r="O3883" s="49"/>
      <c r="P3883" s="49"/>
      <c r="Q3883" s="49"/>
      <c r="R3883" s="49"/>
      <c r="S3883" s="49"/>
      <c r="T3883" s="49"/>
      <c r="U3883" s="49"/>
      <c r="V3883" s="49"/>
      <c r="W3883" s="49"/>
      <c r="X3883" s="49"/>
      <c r="Y3883" s="49"/>
      <c r="Z3883" s="49"/>
      <c r="AB3883" s="49"/>
      <c r="AC3883" s="49"/>
      <c r="AD3883" s="49"/>
      <c r="AE3883" s="49"/>
      <c r="AF3883" s="49"/>
      <c r="AG3883" s="49"/>
      <c r="AH3883" s="49"/>
      <c r="AI3883" s="49"/>
      <c r="AJ3883" s="49"/>
      <c r="AK3883" s="49"/>
      <c r="AL3883" s="49"/>
      <c r="AM3883" s="49"/>
      <c r="AN3883" s="49"/>
      <c r="AP3883" s="49"/>
      <c r="AQ3883" s="49"/>
      <c r="AR3883" s="49"/>
      <c r="AS3883" s="49"/>
      <c r="AT3883" s="49"/>
    </row>
    <row r="3884">
      <c r="A3884" s="59"/>
      <c r="B3884" s="49"/>
      <c r="C3884" s="50" t="s">
        <v>4994</v>
      </c>
      <c r="D3884" s="49"/>
      <c r="E3884" s="49"/>
      <c r="F3884" s="49"/>
      <c r="G3884" s="49"/>
      <c r="H3884" s="54" t="str">
        <f t="shared" si="1"/>
        <v>,</v>
      </c>
      <c r="I3884" s="50"/>
      <c r="J3884" s="50"/>
      <c r="K3884" s="50"/>
      <c r="L3884" s="50"/>
      <c r="M3884" s="50"/>
      <c r="N3884" s="50"/>
      <c r="O3884" s="49"/>
      <c r="P3884" s="49"/>
      <c r="Q3884" s="49"/>
      <c r="R3884" s="49"/>
      <c r="S3884" s="49"/>
      <c r="T3884" s="49"/>
      <c r="U3884" s="49"/>
      <c r="V3884" s="49"/>
      <c r="W3884" s="49"/>
      <c r="X3884" s="49"/>
      <c r="Y3884" s="49"/>
      <c r="Z3884" s="49"/>
      <c r="AB3884" s="49"/>
      <c r="AC3884" s="49"/>
      <c r="AD3884" s="49"/>
      <c r="AE3884" s="49"/>
      <c r="AF3884" s="49"/>
      <c r="AG3884" s="49"/>
      <c r="AH3884" s="49"/>
      <c r="AI3884" s="49"/>
      <c r="AJ3884" s="49"/>
      <c r="AK3884" s="49"/>
      <c r="AL3884" s="49"/>
      <c r="AM3884" s="49"/>
      <c r="AN3884" s="49"/>
      <c r="AP3884" s="49"/>
      <c r="AQ3884" s="49"/>
      <c r="AR3884" s="49"/>
      <c r="AS3884" s="49"/>
      <c r="AT3884" s="49"/>
    </row>
    <row r="3885">
      <c r="A3885" s="59"/>
      <c r="B3885" s="49"/>
      <c r="C3885" s="50" t="s">
        <v>7151</v>
      </c>
      <c r="D3885" s="49"/>
      <c r="E3885" s="49"/>
      <c r="F3885" s="49"/>
      <c r="G3885" s="49"/>
      <c r="H3885" s="54" t="str">
        <f t="shared" si="1"/>
        <v>,</v>
      </c>
      <c r="I3885" s="50"/>
      <c r="J3885" s="50"/>
      <c r="K3885" s="50"/>
      <c r="L3885" s="50"/>
      <c r="M3885" s="50"/>
      <c r="N3885" s="50"/>
      <c r="O3885" s="49"/>
      <c r="P3885" s="49"/>
      <c r="Q3885" s="49"/>
      <c r="R3885" s="49"/>
      <c r="S3885" s="49"/>
      <c r="T3885" s="49"/>
      <c r="U3885" s="49"/>
      <c r="V3885" s="49"/>
      <c r="W3885" s="49"/>
      <c r="X3885" s="49"/>
      <c r="Y3885" s="49"/>
      <c r="Z3885" s="49"/>
      <c r="AB3885" s="49"/>
      <c r="AC3885" s="49"/>
      <c r="AD3885" s="49"/>
      <c r="AE3885" s="49"/>
      <c r="AF3885" s="49"/>
      <c r="AG3885" s="49"/>
      <c r="AH3885" s="49"/>
      <c r="AI3885" s="49"/>
      <c r="AJ3885" s="49"/>
      <c r="AK3885" s="49"/>
      <c r="AL3885" s="49"/>
      <c r="AM3885" s="49"/>
      <c r="AN3885" s="49"/>
      <c r="AP3885" s="49"/>
      <c r="AQ3885" s="49"/>
      <c r="AR3885" s="49"/>
      <c r="AS3885" s="49"/>
      <c r="AT3885" s="49"/>
    </row>
    <row r="3886">
      <c r="A3886" s="59"/>
      <c r="B3886" s="49"/>
      <c r="C3886" s="50" t="s">
        <v>7152</v>
      </c>
      <c r="D3886" s="49"/>
      <c r="E3886" s="49"/>
      <c r="F3886" s="49"/>
      <c r="G3886" s="49"/>
      <c r="H3886" s="54" t="str">
        <f t="shared" si="1"/>
        <v>,</v>
      </c>
      <c r="I3886" s="50"/>
      <c r="J3886" s="50"/>
      <c r="K3886" s="50"/>
      <c r="L3886" s="50"/>
      <c r="M3886" s="50"/>
      <c r="N3886" s="50"/>
      <c r="O3886" s="49"/>
      <c r="P3886" s="49"/>
      <c r="Q3886" s="49"/>
      <c r="R3886" s="49"/>
      <c r="S3886" s="49"/>
      <c r="T3886" s="49"/>
      <c r="U3886" s="49"/>
      <c r="V3886" s="49"/>
      <c r="W3886" s="49"/>
      <c r="X3886" s="49"/>
      <c r="Y3886" s="49"/>
      <c r="Z3886" s="49"/>
      <c r="AB3886" s="49"/>
      <c r="AC3886" s="49"/>
      <c r="AD3886" s="49"/>
      <c r="AE3886" s="49"/>
      <c r="AF3886" s="49"/>
      <c r="AG3886" s="49"/>
      <c r="AH3886" s="49"/>
      <c r="AI3886" s="49"/>
      <c r="AJ3886" s="49"/>
      <c r="AK3886" s="49"/>
      <c r="AL3886" s="49"/>
      <c r="AM3886" s="49"/>
      <c r="AN3886" s="49"/>
      <c r="AP3886" s="49"/>
      <c r="AQ3886" s="49"/>
      <c r="AR3886" s="49"/>
      <c r="AS3886" s="49"/>
      <c r="AT3886" s="49"/>
    </row>
    <row r="3887">
      <c r="A3887" s="59"/>
      <c r="B3887" s="49"/>
      <c r="C3887" s="50" t="s">
        <v>6110</v>
      </c>
      <c r="D3887" s="49"/>
      <c r="E3887" s="49"/>
      <c r="F3887" s="49"/>
      <c r="G3887" s="49"/>
      <c r="H3887" s="54" t="str">
        <f t="shared" si="1"/>
        <v>,</v>
      </c>
      <c r="I3887" s="50"/>
      <c r="J3887" s="50"/>
      <c r="K3887" s="50"/>
      <c r="L3887" s="50"/>
      <c r="M3887" s="50"/>
      <c r="N3887" s="50"/>
      <c r="O3887" s="49"/>
      <c r="P3887" s="49"/>
      <c r="Q3887" s="49"/>
      <c r="R3887" s="49"/>
      <c r="S3887" s="49"/>
      <c r="T3887" s="49"/>
      <c r="U3887" s="49"/>
      <c r="V3887" s="49"/>
      <c r="W3887" s="49"/>
      <c r="X3887" s="49"/>
      <c r="Y3887" s="49"/>
      <c r="Z3887" s="49"/>
      <c r="AB3887" s="49"/>
      <c r="AC3887" s="49"/>
      <c r="AD3887" s="49"/>
      <c r="AE3887" s="49"/>
      <c r="AF3887" s="49"/>
      <c r="AG3887" s="49"/>
      <c r="AH3887" s="49"/>
      <c r="AI3887" s="49"/>
      <c r="AJ3887" s="49"/>
      <c r="AK3887" s="49"/>
      <c r="AL3887" s="49"/>
      <c r="AM3887" s="49"/>
      <c r="AN3887" s="49"/>
      <c r="AP3887" s="49"/>
      <c r="AQ3887" s="49"/>
      <c r="AR3887" s="49"/>
      <c r="AS3887" s="49"/>
      <c r="AT3887" s="49"/>
    </row>
    <row r="3888">
      <c r="A3888" s="59"/>
      <c r="B3888" s="49"/>
      <c r="C3888" s="50" t="s">
        <v>7153</v>
      </c>
      <c r="D3888" s="49"/>
      <c r="E3888" s="49"/>
      <c r="F3888" s="49"/>
      <c r="G3888" s="49"/>
      <c r="H3888" s="54" t="str">
        <f t="shared" si="1"/>
        <v>,</v>
      </c>
      <c r="I3888" s="50"/>
      <c r="J3888" s="50"/>
      <c r="K3888" s="50"/>
      <c r="L3888" s="50"/>
      <c r="M3888" s="50"/>
      <c r="N3888" s="50"/>
      <c r="O3888" s="49"/>
      <c r="P3888" s="49"/>
      <c r="Q3888" s="49"/>
      <c r="R3888" s="49"/>
      <c r="S3888" s="49"/>
      <c r="T3888" s="49"/>
      <c r="U3888" s="49"/>
      <c r="V3888" s="49"/>
      <c r="W3888" s="49"/>
      <c r="X3888" s="49"/>
      <c r="Y3888" s="49"/>
      <c r="Z3888" s="49"/>
      <c r="AB3888" s="49"/>
      <c r="AC3888" s="49"/>
      <c r="AD3888" s="49"/>
      <c r="AE3888" s="49"/>
      <c r="AF3888" s="49"/>
      <c r="AG3888" s="49"/>
      <c r="AH3888" s="49"/>
      <c r="AI3888" s="49"/>
      <c r="AJ3888" s="49"/>
      <c r="AK3888" s="49"/>
      <c r="AL3888" s="49"/>
      <c r="AM3888" s="49"/>
      <c r="AN3888" s="49"/>
      <c r="AP3888" s="49"/>
      <c r="AQ3888" s="49"/>
      <c r="AR3888" s="49"/>
      <c r="AS3888" s="49"/>
      <c r="AT3888" s="49"/>
    </row>
    <row r="3889">
      <c r="A3889" s="59"/>
      <c r="B3889" s="49"/>
      <c r="C3889" s="50" t="s">
        <v>3242</v>
      </c>
      <c r="D3889" s="49"/>
      <c r="E3889" s="49"/>
      <c r="F3889" s="49"/>
      <c r="G3889" s="49"/>
      <c r="H3889" s="54" t="str">
        <f t="shared" si="1"/>
        <v>,</v>
      </c>
      <c r="I3889" s="50"/>
      <c r="J3889" s="50"/>
      <c r="K3889" s="50"/>
      <c r="L3889" s="50"/>
      <c r="M3889" s="50"/>
      <c r="N3889" s="50"/>
      <c r="O3889" s="49"/>
      <c r="P3889" s="49"/>
      <c r="Q3889" s="49"/>
      <c r="R3889" s="49"/>
      <c r="S3889" s="49"/>
      <c r="T3889" s="49"/>
      <c r="U3889" s="49"/>
      <c r="V3889" s="49"/>
      <c r="W3889" s="49"/>
      <c r="X3889" s="49"/>
      <c r="Y3889" s="49"/>
      <c r="Z3889" s="49"/>
      <c r="AB3889" s="49"/>
      <c r="AC3889" s="49"/>
      <c r="AD3889" s="49"/>
      <c r="AE3889" s="49"/>
      <c r="AF3889" s="49"/>
      <c r="AG3889" s="49"/>
      <c r="AH3889" s="49"/>
      <c r="AI3889" s="49"/>
      <c r="AJ3889" s="49"/>
      <c r="AK3889" s="49"/>
      <c r="AL3889" s="49"/>
      <c r="AM3889" s="49"/>
      <c r="AN3889" s="49"/>
      <c r="AP3889" s="49"/>
      <c r="AQ3889" s="49"/>
      <c r="AR3889" s="49"/>
      <c r="AS3889" s="49"/>
      <c r="AT3889" s="49"/>
    </row>
    <row r="3890">
      <c r="A3890" s="59"/>
      <c r="B3890" s="49"/>
      <c r="C3890" s="50" t="s">
        <v>3983</v>
      </c>
      <c r="D3890" s="49"/>
      <c r="E3890" s="49"/>
      <c r="F3890" s="49"/>
      <c r="G3890" s="49"/>
      <c r="H3890" s="54" t="str">
        <f t="shared" si="1"/>
        <v>,</v>
      </c>
      <c r="I3890" s="50"/>
      <c r="J3890" s="50"/>
      <c r="K3890" s="50"/>
      <c r="L3890" s="50"/>
      <c r="M3890" s="50"/>
      <c r="N3890" s="50"/>
      <c r="O3890" s="49"/>
      <c r="P3890" s="49"/>
      <c r="Q3890" s="49"/>
      <c r="R3890" s="49"/>
      <c r="S3890" s="49"/>
      <c r="T3890" s="49"/>
      <c r="U3890" s="49"/>
      <c r="V3890" s="49"/>
      <c r="W3890" s="49"/>
      <c r="X3890" s="49"/>
      <c r="Y3890" s="49"/>
      <c r="Z3890" s="49"/>
      <c r="AB3890" s="49"/>
      <c r="AC3890" s="49"/>
      <c r="AD3890" s="49"/>
      <c r="AE3890" s="49"/>
      <c r="AF3890" s="49"/>
      <c r="AG3890" s="49"/>
      <c r="AH3890" s="49"/>
      <c r="AI3890" s="49"/>
      <c r="AJ3890" s="49"/>
      <c r="AK3890" s="49"/>
      <c r="AL3890" s="49"/>
      <c r="AM3890" s="49"/>
      <c r="AN3890" s="49"/>
      <c r="AP3890" s="49"/>
      <c r="AQ3890" s="49"/>
      <c r="AR3890" s="49"/>
      <c r="AS3890" s="49"/>
      <c r="AT3890" s="49"/>
    </row>
    <row r="3891">
      <c r="A3891" s="59"/>
      <c r="B3891" s="49"/>
      <c r="C3891" s="50" t="s">
        <v>5743</v>
      </c>
      <c r="D3891" s="49"/>
      <c r="E3891" s="49"/>
      <c r="F3891" s="49"/>
      <c r="G3891" s="49"/>
      <c r="H3891" s="54" t="str">
        <f t="shared" si="1"/>
        <v>,</v>
      </c>
      <c r="I3891" s="50"/>
      <c r="J3891" s="50"/>
      <c r="K3891" s="50"/>
      <c r="L3891" s="50"/>
      <c r="M3891" s="50"/>
      <c r="N3891" s="50"/>
      <c r="O3891" s="49"/>
      <c r="P3891" s="49"/>
      <c r="Q3891" s="49"/>
      <c r="R3891" s="49"/>
      <c r="S3891" s="49"/>
      <c r="T3891" s="49"/>
      <c r="U3891" s="49"/>
      <c r="V3891" s="49"/>
      <c r="W3891" s="49"/>
      <c r="X3891" s="49"/>
      <c r="Y3891" s="49"/>
      <c r="Z3891" s="49"/>
      <c r="AB3891" s="49"/>
      <c r="AC3891" s="49"/>
      <c r="AD3891" s="49"/>
      <c r="AE3891" s="49"/>
      <c r="AF3891" s="49"/>
      <c r="AG3891" s="49"/>
      <c r="AH3891" s="49"/>
      <c r="AI3891" s="49"/>
      <c r="AJ3891" s="49"/>
      <c r="AK3891" s="49"/>
      <c r="AL3891" s="49"/>
      <c r="AM3891" s="49"/>
      <c r="AN3891" s="49"/>
      <c r="AP3891" s="49"/>
      <c r="AQ3891" s="49"/>
      <c r="AR3891" s="49"/>
      <c r="AS3891" s="49"/>
      <c r="AT3891" s="49"/>
    </row>
    <row r="3892">
      <c r="A3892" s="59"/>
      <c r="B3892" s="49"/>
      <c r="C3892" s="50" t="s">
        <v>4877</v>
      </c>
      <c r="D3892" s="49"/>
      <c r="E3892" s="49"/>
      <c r="F3892" s="49"/>
      <c r="G3892" s="49"/>
      <c r="H3892" s="54" t="str">
        <f t="shared" si="1"/>
        <v>,</v>
      </c>
      <c r="I3892" s="50"/>
      <c r="J3892" s="50"/>
      <c r="K3892" s="50"/>
      <c r="L3892" s="50"/>
      <c r="M3892" s="50"/>
      <c r="N3892" s="50"/>
      <c r="O3892" s="49"/>
      <c r="P3892" s="49"/>
      <c r="Q3892" s="49"/>
      <c r="R3892" s="49"/>
      <c r="S3892" s="49"/>
      <c r="T3892" s="49"/>
      <c r="U3892" s="49"/>
      <c r="V3892" s="49"/>
      <c r="W3892" s="49"/>
      <c r="X3892" s="49"/>
      <c r="Y3892" s="49"/>
      <c r="Z3892" s="49"/>
      <c r="AB3892" s="49"/>
      <c r="AC3892" s="49"/>
      <c r="AD3892" s="49"/>
      <c r="AE3892" s="49"/>
      <c r="AF3892" s="49"/>
      <c r="AG3892" s="49"/>
      <c r="AH3892" s="49"/>
      <c r="AI3892" s="49"/>
      <c r="AJ3892" s="49"/>
      <c r="AK3892" s="49"/>
      <c r="AL3892" s="49"/>
      <c r="AM3892" s="49"/>
      <c r="AN3892" s="49"/>
      <c r="AP3892" s="49"/>
      <c r="AQ3892" s="49"/>
      <c r="AR3892" s="49"/>
      <c r="AS3892" s="49"/>
      <c r="AT3892" s="49"/>
    </row>
    <row r="3893">
      <c r="A3893" s="59"/>
      <c r="B3893" s="49"/>
      <c r="C3893" s="50" t="s">
        <v>7154</v>
      </c>
      <c r="D3893" s="49"/>
      <c r="E3893" s="49"/>
      <c r="F3893" s="49"/>
      <c r="G3893" s="49"/>
      <c r="H3893" s="54" t="str">
        <f t="shared" si="1"/>
        <v>,</v>
      </c>
      <c r="I3893" s="50"/>
      <c r="J3893" s="50"/>
      <c r="K3893" s="50"/>
      <c r="L3893" s="50"/>
      <c r="M3893" s="50"/>
      <c r="N3893" s="50"/>
      <c r="O3893" s="49"/>
      <c r="P3893" s="49"/>
      <c r="Q3893" s="49"/>
      <c r="R3893" s="49"/>
      <c r="S3893" s="49"/>
      <c r="T3893" s="49"/>
      <c r="U3893" s="49"/>
      <c r="V3893" s="49"/>
      <c r="W3893" s="49"/>
      <c r="X3893" s="49"/>
      <c r="Y3893" s="49"/>
      <c r="Z3893" s="49"/>
      <c r="AB3893" s="49"/>
      <c r="AC3893" s="49"/>
      <c r="AD3893" s="49"/>
      <c r="AE3893" s="49"/>
      <c r="AF3893" s="49"/>
      <c r="AG3893" s="49"/>
      <c r="AH3893" s="49"/>
      <c r="AI3893" s="49"/>
      <c r="AJ3893" s="49"/>
      <c r="AK3893" s="49"/>
      <c r="AL3893" s="49"/>
      <c r="AM3893" s="49"/>
      <c r="AN3893" s="49"/>
      <c r="AP3893" s="49"/>
      <c r="AQ3893" s="49"/>
      <c r="AR3893" s="49"/>
      <c r="AS3893" s="49"/>
      <c r="AT3893" s="49"/>
    </row>
    <row r="3894">
      <c r="A3894" s="59"/>
      <c r="B3894" s="49"/>
      <c r="C3894" s="50" t="s">
        <v>5010</v>
      </c>
      <c r="D3894" s="49"/>
      <c r="E3894" s="49"/>
      <c r="F3894" s="49"/>
      <c r="G3894" s="49"/>
      <c r="H3894" s="54" t="str">
        <f t="shared" si="1"/>
        <v>,</v>
      </c>
      <c r="I3894" s="50"/>
      <c r="J3894" s="50"/>
      <c r="K3894" s="50"/>
      <c r="L3894" s="50"/>
      <c r="M3894" s="50"/>
      <c r="N3894" s="50"/>
      <c r="O3894" s="49"/>
      <c r="P3894" s="49"/>
      <c r="Q3894" s="49"/>
      <c r="R3894" s="49"/>
      <c r="S3894" s="49"/>
      <c r="T3894" s="49"/>
      <c r="U3894" s="49"/>
      <c r="V3894" s="49"/>
      <c r="W3894" s="49"/>
      <c r="X3894" s="49"/>
      <c r="Y3894" s="49"/>
      <c r="Z3894" s="49"/>
      <c r="AB3894" s="49"/>
      <c r="AC3894" s="49"/>
      <c r="AD3894" s="49"/>
      <c r="AE3894" s="49"/>
      <c r="AF3894" s="49"/>
      <c r="AG3894" s="49"/>
      <c r="AH3894" s="49"/>
      <c r="AI3894" s="49"/>
      <c r="AJ3894" s="49"/>
      <c r="AK3894" s="49"/>
      <c r="AL3894" s="49"/>
      <c r="AM3894" s="49"/>
      <c r="AN3894" s="49"/>
      <c r="AP3894" s="49"/>
      <c r="AQ3894" s="49"/>
      <c r="AR3894" s="49"/>
      <c r="AS3894" s="49"/>
      <c r="AT3894" s="49"/>
    </row>
    <row r="3895">
      <c r="A3895" s="59"/>
      <c r="B3895" s="49"/>
      <c r="C3895" s="50" t="s">
        <v>3986</v>
      </c>
      <c r="D3895" s="49"/>
      <c r="E3895" s="49"/>
      <c r="F3895" s="49"/>
      <c r="G3895" s="49"/>
      <c r="H3895" s="54" t="str">
        <f t="shared" si="1"/>
        <v>,</v>
      </c>
      <c r="I3895" s="50"/>
      <c r="J3895" s="50"/>
      <c r="K3895" s="50"/>
      <c r="L3895" s="50"/>
      <c r="M3895" s="50"/>
      <c r="N3895" s="50"/>
      <c r="O3895" s="49"/>
      <c r="P3895" s="49"/>
      <c r="Q3895" s="49"/>
      <c r="R3895" s="49"/>
      <c r="S3895" s="49"/>
      <c r="T3895" s="49"/>
      <c r="U3895" s="49"/>
      <c r="V3895" s="49"/>
      <c r="W3895" s="49"/>
      <c r="X3895" s="49"/>
      <c r="Y3895" s="49"/>
      <c r="Z3895" s="49"/>
      <c r="AB3895" s="49"/>
      <c r="AC3895" s="49"/>
      <c r="AD3895" s="49"/>
      <c r="AE3895" s="49"/>
      <c r="AF3895" s="49"/>
      <c r="AG3895" s="49"/>
      <c r="AH3895" s="49"/>
      <c r="AI3895" s="49"/>
      <c r="AJ3895" s="49"/>
      <c r="AK3895" s="49"/>
      <c r="AL3895" s="49"/>
      <c r="AM3895" s="49"/>
      <c r="AN3895" s="49"/>
      <c r="AP3895" s="49"/>
      <c r="AQ3895" s="49"/>
      <c r="AR3895" s="49"/>
      <c r="AS3895" s="49"/>
      <c r="AT3895" s="49"/>
    </row>
    <row r="3896">
      <c r="A3896" s="59"/>
      <c r="B3896" s="49"/>
      <c r="C3896" s="50" t="s">
        <v>7155</v>
      </c>
      <c r="D3896" s="49"/>
      <c r="E3896" s="49"/>
      <c r="F3896" s="49"/>
      <c r="G3896" s="49"/>
      <c r="H3896" s="54" t="str">
        <f t="shared" si="1"/>
        <v>,</v>
      </c>
      <c r="I3896" s="50"/>
      <c r="J3896" s="50"/>
      <c r="K3896" s="50"/>
      <c r="L3896" s="50"/>
      <c r="M3896" s="50"/>
      <c r="N3896" s="50"/>
      <c r="O3896" s="49"/>
      <c r="P3896" s="49"/>
      <c r="Q3896" s="49"/>
      <c r="R3896" s="49"/>
      <c r="S3896" s="49"/>
      <c r="T3896" s="49"/>
      <c r="U3896" s="49"/>
      <c r="V3896" s="49"/>
      <c r="W3896" s="49"/>
      <c r="X3896" s="49"/>
      <c r="Y3896" s="49"/>
      <c r="Z3896" s="49"/>
      <c r="AB3896" s="49"/>
      <c r="AC3896" s="49"/>
      <c r="AD3896" s="49"/>
      <c r="AE3896" s="49"/>
      <c r="AF3896" s="49"/>
      <c r="AG3896" s="49"/>
      <c r="AH3896" s="49"/>
      <c r="AI3896" s="49"/>
      <c r="AJ3896" s="49"/>
      <c r="AK3896" s="49"/>
      <c r="AL3896" s="49"/>
      <c r="AM3896" s="49"/>
      <c r="AN3896" s="49"/>
      <c r="AP3896" s="49"/>
      <c r="AQ3896" s="49"/>
      <c r="AR3896" s="49"/>
      <c r="AS3896" s="49"/>
      <c r="AT3896" s="49"/>
    </row>
    <row r="3897">
      <c r="A3897" s="59"/>
      <c r="B3897" s="49"/>
      <c r="C3897" s="50" t="s">
        <v>3988</v>
      </c>
      <c r="D3897" s="49"/>
      <c r="E3897" s="49"/>
      <c r="F3897" s="49"/>
      <c r="G3897" s="49"/>
      <c r="H3897" s="54" t="str">
        <f t="shared" si="1"/>
        <v>,</v>
      </c>
      <c r="I3897" s="50"/>
      <c r="J3897" s="50"/>
      <c r="K3897" s="50"/>
      <c r="L3897" s="50"/>
      <c r="M3897" s="50"/>
      <c r="N3897" s="50"/>
      <c r="O3897" s="49"/>
      <c r="P3897" s="49"/>
      <c r="Q3897" s="49"/>
      <c r="R3897" s="49"/>
      <c r="S3897" s="49"/>
      <c r="T3897" s="49"/>
      <c r="U3897" s="49"/>
      <c r="V3897" s="49"/>
      <c r="W3897" s="49"/>
      <c r="X3897" s="49"/>
      <c r="Y3897" s="49"/>
      <c r="Z3897" s="49"/>
      <c r="AB3897" s="49"/>
      <c r="AC3897" s="49"/>
      <c r="AD3897" s="49"/>
      <c r="AE3897" s="49"/>
      <c r="AF3897" s="49"/>
      <c r="AG3897" s="49"/>
      <c r="AH3897" s="49"/>
      <c r="AI3897" s="49"/>
      <c r="AJ3897" s="49"/>
      <c r="AK3897" s="49"/>
      <c r="AL3897" s="49"/>
      <c r="AM3897" s="49"/>
      <c r="AN3897" s="49"/>
      <c r="AP3897" s="49"/>
      <c r="AQ3897" s="49"/>
      <c r="AR3897" s="49"/>
      <c r="AS3897" s="49"/>
      <c r="AT3897" s="49"/>
    </row>
    <row r="3898">
      <c r="A3898" s="59"/>
      <c r="B3898" s="49"/>
      <c r="C3898" s="50" t="s">
        <v>7156</v>
      </c>
      <c r="D3898" s="49"/>
      <c r="E3898" s="49"/>
      <c r="F3898" s="49"/>
      <c r="G3898" s="49"/>
      <c r="H3898" s="54" t="str">
        <f t="shared" si="1"/>
        <v>,</v>
      </c>
      <c r="I3898" s="50"/>
      <c r="J3898" s="50"/>
      <c r="K3898" s="50"/>
      <c r="L3898" s="50"/>
      <c r="M3898" s="50"/>
      <c r="N3898" s="50"/>
      <c r="O3898" s="49"/>
      <c r="P3898" s="49"/>
      <c r="Q3898" s="49"/>
      <c r="R3898" s="49"/>
      <c r="S3898" s="49"/>
      <c r="T3898" s="49"/>
      <c r="U3898" s="49"/>
      <c r="V3898" s="49"/>
      <c r="W3898" s="49"/>
      <c r="X3898" s="49"/>
      <c r="Y3898" s="49"/>
      <c r="Z3898" s="49"/>
      <c r="AB3898" s="49"/>
      <c r="AC3898" s="49"/>
      <c r="AD3898" s="49"/>
      <c r="AE3898" s="49"/>
      <c r="AF3898" s="49"/>
      <c r="AG3898" s="49"/>
      <c r="AH3898" s="49"/>
      <c r="AI3898" s="49"/>
      <c r="AJ3898" s="49"/>
      <c r="AK3898" s="49"/>
      <c r="AL3898" s="49"/>
      <c r="AM3898" s="49"/>
      <c r="AN3898" s="49"/>
      <c r="AP3898" s="49"/>
      <c r="AQ3898" s="49"/>
      <c r="AR3898" s="49"/>
      <c r="AS3898" s="49"/>
      <c r="AT3898" s="49"/>
    </row>
    <row r="3899">
      <c r="A3899" s="59"/>
      <c r="B3899" s="49"/>
      <c r="C3899" s="50" t="s">
        <v>3991</v>
      </c>
      <c r="D3899" s="49"/>
      <c r="E3899" s="49"/>
      <c r="F3899" s="49"/>
      <c r="G3899" s="49"/>
      <c r="H3899" s="54" t="str">
        <f t="shared" si="1"/>
        <v>,</v>
      </c>
      <c r="I3899" s="50"/>
      <c r="J3899" s="50"/>
      <c r="K3899" s="50"/>
      <c r="L3899" s="50"/>
      <c r="M3899" s="50"/>
      <c r="N3899" s="50"/>
      <c r="O3899" s="49"/>
      <c r="P3899" s="49"/>
      <c r="Q3899" s="49"/>
      <c r="R3899" s="49"/>
      <c r="S3899" s="49"/>
      <c r="T3899" s="49"/>
      <c r="U3899" s="49"/>
      <c r="V3899" s="49"/>
      <c r="W3899" s="49"/>
      <c r="X3899" s="49"/>
      <c r="Y3899" s="49"/>
      <c r="Z3899" s="49"/>
      <c r="AB3899" s="49"/>
      <c r="AC3899" s="49"/>
      <c r="AD3899" s="49"/>
      <c r="AE3899" s="49"/>
      <c r="AF3899" s="49"/>
      <c r="AG3899" s="49"/>
      <c r="AH3899" s="49"/>
      <c r="AI3899" s="49"/>
      <c r="AJ3899" s="49"/>
      <c r="AK3899" s="49"/>
      <c r="AL3899" s="49"/>
      <c r="AM3899" s="49"/>
      <c r="AN3899" s="49"/>
      <c r="AP3899" s="49"/>
      <c r="AQ3899" s="49"/>
      <c r="AR3899" s="49"/>
      <c r="AS3899" s="49"/>
      <c r="AT3899" s="49"/>
    </row>
    <row r="3900">
      <c r="A3900" s="59"/>
      <c r="B3900" s="49"/>
      <c r="C3900" s="50" t="s">
        <v>5832</v>
      </c>
      <c r="D3900" s="49"/>
      <c r="E3900" s="49"/>
      <c r="F3900" s="49"/>
      <c r="G3900" s="49"/>
      <c r="H3900" s="54" t="str">
        <f t="shared" si="1"/>
        <v>,</v>
      </c>
      <c r="I3900" s="50"/>
      <c r="J3900" s="50"/>
      <c r="K3900" s="50"/>
      <c r="L3900" s="50"/>
      <c r="M3900" s="50"/>
      <c r="N3900" s="50"/>
      <c r="O3900" s="49"/>
      <c r="P3900" s="49"/>
      <c r="Q3900" s="49"/>
      <c r="R3900" s="49"/>
      <c r="S3900" s="49"/>
      <c r="T3900" s="49"/>
      <c r="U3900" s="49"/>
      <c r="V3900" s="49"/>
      <c r="W3900" s="49"/>
      <c r="X3900" s="49"/>
      <c r="Y3900" s="49"/>
      <c r="Z3900" s="49"/>
      <c r="AB3900" s="49"/>
      <c r="AC3900" s="49"/>
      <c r="AD3900" s="49"/>
      <c r="AE3900" s="49"/>
      <c r="AF3900" s="49"/>
      <c r="AG3900" s="49"/>
      <c r="AH3900" s="49"/>
      <c r="AI3900" s="49"/>
      <c r="AJ3900" s="49"/>
      <c r="AK3900" s="49"/>
      <c r="AL3900" s="49"/>
      <c r="AM3900" s="49"/>
      <c r="AN3900" s="49"/>
      <c r="AP3900" s="49"/>
      <c r="AQ3900" s="49"/>
      <c r="AR3900" s="49"/>
      <c r="AS3900" s="49"/>
      <c r="AT3900" s="49"/>
    </row>
    <row r="3901">
      <c r="A3901" s="59"/>
      <c r="B3901" s="49"/>
      <c r="C3901" s="50" t="s">
        <v>7157</v>
      </c>
      <c r="D3901" s="49"/>
      <c r="E3901" s="49"/>
      <c r="F3901" s="49"/>
      <c r="G3901" s="49"/>
      <c r="H3901" s="54" t="str">
        <f t="shared" si="1"/>
        <v>,</v>
      </c>
      <c r="I3901" s="50"/>
      <c r="J3901" s="50"/>
      <c r="K3901" s="50"/>
      <c r="L3901" s="50"/>
      <c r="M3901" s="50"/>
      <c r="N3901" s="50"/>
      <c r="O3901" s="49"/>
      <c r="P3901" s="49"/>
      <c r="Q3901" s="49"/>
      <c r="R3901" s="49"/>
      <c r="S3901" s="49"/>
      <c r="T3901" s="49"/>
      <c r="U3901" s="49"/>
      <c r="V3901" s="49"/>
      <c r="W3901" s="49"/>
      <c r="X3901" s="49"/>
      <c r="Y3901" s="49"/>
      <c r="Z3901" s="49"/>
      <c r="AB3901" s="49"/>
      <c r="AC3901" s="49"/>
      <c r="AD3901" s="49"/>
      <c r="AE3901" s="49"/>
      <c r="AF3901" s="49"/>
      <c r="AG3901" s="49"/>
      <c r="AH3901" s="49"/>
      <c r="AI3901" s="49"/>
      <c r="AJ3901" s="49"/>
      <c r="AK3901" s="49"/>
      <c r="AL3901" s="49"/>
      <c r="AM3901" s="49"/>
      <c r="AN3901" s="49"/>
      <c r="AP3901" s="49"/>
      <c r="AQ3901" s="49"/>
      <c r="AR3901" s="49"/>
      <c r="AS3901" s="49"/>
      <c r="AT3901" s="49"/>
    </row>
    <row r="3902">
      <c r="A3902" s="59"/>
      <c r="B3902" s="49"/>
      <c r="C3902" s="50" t="s">
        <v>7024</v>
      </c>
      <c r="D3902" s="49"/>
      <c r="E3902" s="49"/>
      <c r="F3902" s="49"/>
      <c r="G3902" s="49"/>
      <c r="H3902" s="54" t="str">
        <f t="shared" si="1"/>
        <v>,</v>
      </c>
      <c r="I3902" s="50"/>
      <c r="J3902" s="50"/>
      <c r="K3902" s="50"/>
      <c r="L3902" s="50"/>
      <c r="M3902" s="50"/>
      <c r="N3902" s="50"/>
      <c r="O3902" s="49"/>
      <c r="P3902" s="49"/>
      <c r="Q3902" s="49"/>
      <c r="R3902" s="49"/>
      <c r="S3902" s="49"/>
      <c r="T3902" s="49"/>
      <c r="U3902" s="49"/>
      <c r="V3902" s="49"/>
      <c r="W3902" s="49"/>
      <c r="X3902" s="49"/>
      <c r="Y3902" s="49"/>
      <c r="Z3902" s="49"/>
      <c r="AB3902" s="49"/>
      <c r="AC3902" s="49"/>
      <c r="AD3902" s="49"/>
      <c r="AE3902" s="49"/>
      <c r="AF3902" s="49"/>
      <c r="AG3902" s="49"/>
      <c r="AH3902" s="49"/>
      <c r="AI3902" s="49"/>
      <c r="AJ3902" s="49"/>
      <c r="AK3902" s="49"/>
      <c r="AL3902" s="49"/>
      <c r="AM3902" s="49"/>
      <c r="AN3902" s="49"/>
      <c r="AP3902" s="49"/>
      <c r="AQ3902" s="49"/>
      <c r="AR3902" s="49"/>
      <c r="AS3902" s="49"/>
      <c r="AT3902" s="49"/>
    </row>
    <row r="3903">
      <c r="A3903" s="59"/>
      <c r="B3903" s="49"/>
      <c r="C3903" s="50" t="s">
        <v>5772</v>
      </c>
      <c r="D3903" s="49"/>
      <c r="E3903" s="49"/>
      <c r="F3903" s="49"/>
      <c r="G3903" s="49"/>
      <c r="H3903" s="54" t="str">
        <f t="shared" si="1"/>
        <v>,</v>
      </c>
      <c r="I3903" s="50"/>
      <c r="J3903" s="50"/>
      <c r="K3903" s="50"/>
      <c r="L3903" s="50"/>
      <c r="M3903" s="50"/>
      <c r="N3903" s="50"/>
      <c r="O3903" s="49"/>
      <c r="P3903" s="49"/>
      <c r="Q3903" s="49"/>
      <c r="R3903" s="49"/>
      <c r="S3903" s="49"/>
      <c r="T3903" s="49"/>
      <c r="U3903" s="49"/>
      <c r="V3903" s="49"/>
      <c r="W3903" s="49"/>
      <c r="X3903" s="49"/>
      <c r="Y3903" s="49"/>
      <c r="Z3903" s="49"/>
      <c r="AB3903" s="49"/>
      <c r="AC3903" s="49"/>
      <c r="AD3903" s="49"/>
      <c r="AE3903" s="49"/>
      <c r="AF3903" s="49"/>
      <c r="AG3903" s="49"/>
      <c r="AH3903" s="49"/>
      <c r="AI3903" s="49"/>
      <c r="AJ3903" s="49"/>
      <c r="AK3903" s="49"/>
      <c r="AL3903" s="49"/>
      <c r="AM3903" s="49"/>
      <c r="AN3903" s="49"/>
      <c r="AP3903" s="49"/>
      <c r="AQ3903" s="49"/>
      <c r="AR3903" s="49"/>
      <c r="AS3903" s="49"/>
      <c r="AT3903" s="49"/>
    </row>
    <row r="3904">
      <c r="A3904" s="59"/>
      <c r="B3904" s="49"/>
      <c r="C3904" s="50" t="s">
        <v>1895</v>
      </c>
      <c r="D3904" s="49"/>
      <c r="E3904" s="49"/>
      <c r="F3904" s="49"/>
      <c r="G3904" s="49"/>
      <c r="H3904" s="54" t="str">
        <f t="shared" si="1"/>
        <v>,</v>
      </c>
      <c r="I3904" s="50"/>
      <c r="J3904" s="50"/>
      <c r="K3904" s="50"/>
      <c r="L3904" s="50"/>
      <c r="M3904" s="50"/>
      <c r="N3904" s="50"/>
      <c r="O3904" s="49"/>
      <c r="P3904" s="49"/>
      <c r="Q3904" s="49"/>
      <c r="R3904" s="49"/>
      <c r="S3904" s="49"/>
      <c r="T3904" s="49"/>
      <c r="U3904" s="49"/>
      <c r="V3904" s="49"/>
      <c r="W3904" s="49"/>
      <c r="X3904" s="49"/>
      <c r="Y3904" s="49"/>
      <c r="Z3904" s="49"/>
      <c r="AB3904" s="49"/>
      <c r="AC3904" s="49"/>
      <c r="AD3904" s="49"/>
      <c r="AE3904" s="49"/>
      <c r="AF3904" s="49"/>
      <c r="AG3904" s="49"/>
      <c r="AH3904" s="49"/>
      <c r="AI3904" s="49"/>
      <c r="AJ3904" s="49"/>
      <c r="AK3904" s="49"/>
      <c r="AL3904" s="49"/>
      <c r="AM3904" s="49"/>
      <c r="AN3904" s="49"/>
      <c r="AP3904" s="49"/>
      <c r="AQ3904" s="49"/>
      <c r="AR3904" s="49"/>
      <c r="AS3904" s="49"/>
      <c r="AT3904" s="49"/>
    </row>
    <row r="3905">
      <c r="A3905" s="59"/>
      <c r="B3905" s="49"/>
      <c r="C3905" s="50" t="s">
        <v>5833</v>
      </c>
      <c r="D3905" s="49"/>
      <c r="E3905" s="49"/>
      <c r="F3905" s="49"/>
      <c r="G3905" s="49"/>
      <c r="H3905" s="54" t="str">
        <f t="shared" si="1"/>
        <v>,</v>
      </c>
      <c r="I3905" s="50"/>
      <c r="J3905" s="50"/>
      <c r="K3905" s="50"/>
      <c r="L3905" s="50"/>
      <c r="M3905" s="50"/>
      <c r="N3905" s="50"/>
      <c r="O3905" s="49"/>
      <c r="P3905" s="49"/>
      <c r="Q3905" s="49"/>
      <c r="R3905" s="49"/>
      <c r="S3905" s="49"/>
      <c r="T3905" s="49"/>
      <c r="U3905" s="49"/>
      <c r="V3905" s="49"/>
      <c r="W3905" s="49"/>
      <c r="X3905" s="49"/>
      <c r="Y3905" s="49"/>
      <c r="Z3905" s="49"/>
      <c r="AB3905" s="49"/>
      <c r="AC3905" s="49"/>
      <c r="AD3905" s="49"/>
      <c r="AE3905" s="49"/>
      <c r="AF3905" s="49"/>
      <c r="AG3905" s="49"/>
      <c r="AH3905" s="49"/>
      <c r="AI3905" s="49"/>
      <c r="AJ3905" s="49"/>
      <c r="AK3905" s="49"/>
      <c r="AL3905" s="49"/>
      <c r="AM3905" s="49"/>
      <c r="AN3905" s="49"/>
      <c r="AP3905" s="49"/>
      <c r="AQ3905" s="49"/>
      <c r="AR3905" s="49"/>
      <c r="AS3905" s="49"/>
      <c r="AT3905" s="49"/>
    </row>
    <row r="3906">
      <c r="A3906" s="59"/>
      <c r="B3906" s="49"/>
      <c r="C3906" s="50" t="s">
        <v>7025</v>
      </c>
      <c r="D3906" s="49"/>
      <c r="E3906" s="49"/>
      <c r="F3906" s="49"/>
      <c r="G3906" s="49"/>
      <c r="H3906" s="54" t="str">
        <f t="shared" si="1"/>
        <v>,</v>
      </c>
      <c r="I3906" s="50"/>
      <c r="J3906" s="50"/>
      <c r="K3906" s="50"/>
      <c r="L3906" s="50"/>
      <c r="M3906" s="50"/>
      <c r="N3906" s="50"/>
      <c r="O3906" s="49"/>
      <c r="P3906" s="49"/>
      <c r="Q3906" s="49"/>
      <c r="R3906" s="49"/>
      <c r="S3906" s="49"/>
      <c r="T3906" s="49"/>
      <c r="U3906" s="49"/>
      <c r="V3906" s="49"/>
      <c r="W3906" s="49"/>
      <c r="X3906" s="49"/>
      <c r="Y3906" s="49"/>
      <c r="Z3906" s="49"/>
      <c r="AB3906" s="49"/>
      <c r="AC3906" s="49"/>
      <c r="AD3906" s="49"/>
      <c r="AE3906" s="49"/>
      <c r="AF3906" s="49"/>
      <c r="AG3906" s="49"/>
      <c r="AH3906" s="49"/>
      <c r="AI3906" s="49"/>
      <c r="AJ3906" s="49"/>
      <c r="AK3906" s="49"/>
      <c r="AL3906" s="49"/>
      <c r="AM3906" s="49"/>
      <c r="AN3906" s="49"/>
      <c r="AP3906" s="49"/>
      <c r="AQ3906" s="49"/>
      <c r="AR3906" s="49"/>
      <c r="AS3906" s="49"/>
      <c r="AT3906" s="49"/>
    </row>
    <row r="3907">
      <c r="A3907" s="59"/>
      <c r="B3907" s="49"/>
      <c r="C3907" s="50" t="s">
        <v>5126</v>
      </c>
      <c r="D3907" s="49"/>
      <c r="E3907" s="49"/>
      <c r="F3907" s="49"/>
      <c r="G3907" s="49"/>
      <c r="H3907" s="54" t="str">
        <f t="shared" si="1"/>
        <v>,</v>
      </c>
      <c r="I3907" s="50"/>
      <c r="J3907" s="50"/>
      <c r="K3907" s="50"/>
      <c r="L3907" s="50"/>
      <c r="M3907" s="50"/>
      <c r="N3907" s="50"/>
      <c r="O3907" s="49"/>
      <c r="P3907" s="49"/>
      <c r="Q3907" s="49"/>
      <c r="R3907" s="49"/>
      <c r="S3907" s="49"/>
      <c r="T3907" s="49"/>
      <c r="U3907" s="49"/>
      <c r="V3907" s="49"/>
      <c r="W3907" s="49"/>
      <c r="X3907" s="49"/>
      <c r="Y3907" s="49"/>
      <c r="Z3907" s="49"/>
      <c r="AB3907" s="49"/>
      <c r="AC3907" s="49"/>
      <c r="AD3907" s="49"/>
      <c r="AE3907" s="49"/>
      <c r="AF3907" s="49"/>
      <c r="AG3907" s="49"/>
      <c r="AH3907" s="49"/>
      <c r="AI3907" s="49"/>
      <c r="AJ3907" s="49"/>
      <c r="AK3907" s="49"/>
      <c r="AL3907" s="49"/>
      <c r="AM3907" s="49"/>
      <c r="AN3907" s="49"/>
      <c r="AP3907" s="49"/>
      <c r="AQ3907" s="49"/>
      <c r="AR3907" s="49"/>
      <c r="AS3907" s="49"/>
      <c r="AT3907" s="49"/>
    </row>
    <row r="3908">
      <c r="A3908" s="59"/>
      <c r="B3908" s="49"/>
      <c r="C3908" s="50" t="s">
        <v>4633</v>
      </c>
      <c r="D3908" s="49"/>
      <c r="E3908" s="49"/>
      <c r="F3908" s="49"/>
      <c r="G3908" s="49"/>
      <c r="H3908" s="54" t="str">
        <f t="shared" si="1"/>
        <v>,</v>
      </c>
      <c r="I3908" s="50"/>
      <c r="J3908" s="50"/>
      <c r="K3908" s="50"/>
      <c r="L3908" s="50"/>
      <c r="M3908" s="50"/>
      <c r="N3908" s="50"/>
      <c r="O3908" s="49"/>
      <c r="P3908" s="49"/>
      <c r="Q3908" s="49"/>
      <c r="R3908" s="49"/>
      <c r="S3908" s="49"/>
      <c r="T3908" s="49"/>
      <c r="U3908" s="49"/>
      <c r="V3908" s="49"/>
      <c r="W3908" s="49"/>
      <c r="X3908" s="49"/>
      <c r="Y3908" s="49"/>
      <c r="Z3908" s="49"/>
      <c r="AB3908" s="49"/>
      <c r="AC3908" s="49"/>
      <c r="AD3908" s="49"/>
      <c r="AE3908" s="49"/>
      <c r="AF3908" s="49"/>
      <c r="AG3908" s="49"/>
      <c r="AH3908" s="49"/>
      <c r="AI3908" s="49"/>
      <c r="AJ3908" s="49"/>
      <c r="AK3908" s="49"/>
      <c r="AL3908" s="49"/>
      <c r="AM3908" s="49"/>
      <c r="AN3908" s="49"/>
      <c r="AP3908" s="49"/>
      <c r="AQ3908" s="49"/>
      <c r="AR3908" s="49"/>
      <c r="AS3908" s="49"/>
      <c r="AT3908" s="49"/>
    </row>
    <row r="3909">
      <c r="A3909" s="59"/>
      <c r="B3909" s="49"/>
      <c r="C3909" s="50" t="s">
        <v>4825</v>
      </c>
      <c r="D3909" s="49"/>
      <c r="E3909" s="49"/>
      <c r="F3909" s="49"/>
      <c r="G3909" s="49"/>
      <c r="H3909" s="54" t="str">
        <f t="shared" si="1"/>
        <v>,</v>
      </c>
      <c r="I3909" s="50"/>
      <c r="J3909" s="50"/>
      <c r="K3909" s="50"/>
      <c r="L3909" s="50"/>
      <c r="M3909" s="50"/>
      <c r="N3909" s="50"/>
      <c r="O3909" s="49"/>
      <c r="P3909" s="49"/>
      <c r="Q3909" s="49"/>
      <c r="R3909" s="49"/>
      <c r="S3909" s="49"/>
      <c r="T3909" s="49"/>
      <c r="U3909" s="49"/>
      <c r="V3909" s="49"/>
      <c r="W3909" s="49"/>
      <c r="X3909" s="49"/>
      <c r="Y3909" s="49"/>
      <c r="Z3909" s="49"/>
      <c r="AB3909" s="49"/>
      <c r="AC3909" s="49"/>
      <c r="AD3909" s="49"/>
      <c r="AE3909" s="49"/>
      <c r="AF3909" s="49"/>
      <c r="AG3909" s="49"/>
      <c r="AH3909" s="49"/>
      <c r="AI3909" s="49"/>
      <c r="AJ3909" s="49"/>
      <c r="AK3909" s="49"/>
      <c r="AL3909" s="49"/>
      <c r="AM3909" s="49"/>
      <c r="AN3909" s="49"/>
      <c r="AP3909" s="49"/>
      <c r="AQ3909" s="49"/>
      <c r="AR3909" s="49"/>
      <c r="AS3909" s="49"/>
      <c r="AT3909" s="49"/>
    </row>
    <row r="3910">
      <c r="A3910" s="59"/>
      <c r="B3910" s="49"/>
      <c r="C3910" s="50" t="s">
        <v>6115</v>
      </c>
      <c r="D3910" s="49"/>
      <c r="E3910" s="49"/>
      <c r="F3910" s="49"/>
      <c r="G3910" s="49"/>
      <c r="H3910" s="54" t="str">
        <f t="shared" si="1"/>
        <v>,</v>
      </c>
      <c r="I3910" s="50"/>
      <c r="J3910" s="50"/>
      <c r="K3910" s="50"/>
      <c r="L3910" s="50"/>
      <c r="M3910" s="50"/>
      <c r="N3910" s="50"/>
      <c r="O3910" s="49"/>
      <c r="P3910" s="49"/>
      <c r="Q3910" s="49"/>
      <c r="R3910" s="49"/>
      <c r="S3910" s="49"/>
      <c r="T3910" s="49"/>
      <c r="U3910" s="49"/>
      <c r="V3910" s="49"/>
      <c r="W3910" s="49"/>
      <c r="X3910" s="49"/>
      <c r="Y3910" s="49"/>
      <c r="Z3910" s="49"/>
      <c r="AB3910" s="49"/>
      <c r="AC3910" s="49"/>
      <c r="AD3910" s="49"/>
      <c r="AE3910" s="49"/>
      <c r="AF3910" s="49"/>
      <c r="AG3910" s="49"/>
      <c r="AH3910" s="49"/>
      <c r="AI3910" s="49"/>
      <c r="AJ3910" s="49"/>
      <c r="AK3910" s="49"/>
      <c r="AL3910" s="49"/>
      <c r="AM3910" s="49"/>
      <c r="AN3910" s="49"/>
      <c r="AP3910" s="49"/>
      <c r="AQ3910" s="49"/>
      <c r="AR3910" s="49"/>
      <c r="AS3910" s="49"/>
      <c r="AT3910" s="49"/>
    </row>
    <row r="3911">
      <c r="A3911" s="59"/>
      <c r="B3911" s="49"/>
      <c r="C3911" s="50" t="s">
        <v>7027</v>
      </c>
      <c r="D3911" s="49"/>
      <c r="E3911" s="49"/>
      <c r="F3911" s="49"/>
      <c r="G3911" s="49"/>
      <c r="H3911" s="54" t="str">
        <f t="shared" si="1"/>
        <v>,</v>
      </c>
      <c r="I3911" s="50"/>
      <c r="J3911" s="50"/>
      <c r="K3911" s="50"/>
      <c r="L3911" s="50"/>
      <c r="M3911" s="50"/>
      <c r="N3911" s="50"/>
      <c r="O3911" s="49"/>
      <c r="P3911" s="49"/>
      <c r="Q3911" s="49"/>
      <c r="R3911" s="49"/>
      <c r="S3911" s="49"/>
      <c r="T3911" s="49"/>
      <c r="U3911" s="49"/>
      <c r="V3911" s="49"/>
      <c r="W3911" s="49"/>
      <c r="X3911" s="49"/>
      <c r="Y3911" s="49"/>
      <c r="Z3911" s="49"/>
      <c r="AB3911" s="49"/>
      <c r="AC3911" s="49"/>
      <c r="AD3911" s="49"/>
      <c r="AE3911" s="49"/>
      <c r="AF3911" s="49"/>
      <c r="AG3911" s="49"/>
      <c r="AH3911" s="49"/>
      <c r="AI3911" s="49"/>
      <c r="AJ3911" s="49"/>
      <c r="AK3911" s="49"/>
      <c r="AL3911" s="49"/>
      <c r="AM3911" s="49"/>
      <c r="AN3911" s="49"/>
      <c r="AP3911" s="49"/>
      <c r="AQ3911" s="49"/>
      <c r="AR3911" s="49"/>
      <c r="AS3911" s="49"/>
      <c r="AT3911" s="49"/>
    </row>
    <row r="3912">
      <c r="A3912" s="59"/>
      <c r="B3912" s="49"/>
      <c r="C3912" s="50" t="s">
        <v>7158</v>
      </c>
      <c r="D3912" s="49"/>
      <c r="E3912" s="49"/>
      <c r="F3912" s="49"/>
      <c r="G3912" s="49"/>
      <c r="H3912" s="54" t="str">
        <f t="shared" si="1"/>
        <v>,</v>
      </c>
      <c r="I3912" s="50"/>
      <c r="J3912" s="50"/>
      <c r="K3912" s="50"/>
      <c r="L3912" s="50"/>
      <c r="M3912" s="50"/>
      <c r="N3912" s="50"/>
      <c r="O3912" s="49"/>
      <c r="P3912" s="49"/>
      <c r="Q3912" s="49"/>
      <c r="R3912" s="49"/>
      <c r="S3912" s="49"/>
      <c r="T3912" s="49"/>
      <c r="U3912" s="49"/>
      <c r="V3912" s="49"/>
      <c r="W3912" s="49"/>
      <c r="X3912" s="49"/>
      <c r="Y3912" s="49"/>
      <c r="Z3912" s="49"/>
      <c r="AB3912" s="49"/>
      <c r="AC3912" s="49"/>
      <c r="AD3912" s="49"/>
      <c r="AE3912" s="49"/>
      <c r="AF3912" s="49"/>
      <c r="AG3912" s="49"/>
      <c r="AH3912" s="49"/>
      <c r="AI3912" s="49"/>
      <c r="AJ3912" s="49"/>
      <c r="AK3912" s="49"/>
      <c r="AL3912" s="49"/>
      <c r="AM3912" s="49"/>
      <c r="AN3912" s="49"/>
      <c r="AP3912" s="49"/>
      <c r="AQ3912" s="49"/>
      <c r="AR3912" s="49"/>
      <c r="AS3912" s="49"/>
      <c r="AT3912" s="49"/>
    </row>
    <row r="3913">
      <c r="A3913" s="59"/>
      <c r="B3913" s="49"/>
      <c r="C3913" s="50" t="s">
        <v>7105</v>
      </c>
      <c r="D3913" s="49"/>
      <c r="E3913" s="49"/>
      <c r="F3913" s="49"/>
      <c r="G3913" s="49"/>
      <c r="H3913" s="54" t="str">
        <f t="shared" si="1"/>
        <v>,</v>
      </c>
      <c r="I3913" s="50"/>
      <c r="J3913" s="50"/>
      <c r="K3913" s="50"/>
      <c r="L3913" s="50"/>
      <c r="M3913" s="50"/>
      <c r="N3913" s="50"/>
      <c r="O3913" s="49"/>
      <c r="P3913" s="49"/>
      <c r="Q3913" s="49"/>
      <c r="R3913" s="49"/>
      <c r="S3913" s="49"/>
      <c r="T3913" s="49"/>
      <c r="U3913" s="49"/>
      <c r="V3913" s="49"/>
      <c r="W3913" s="49"/>
      <c r="X3913" s="49"/>
      <c r="Y3913" s="49"/>
      <c r="Z3913" s="49"/>
      <c r="AB3913" s="49"/>
      <c r="AC3913" s="49"/>
      <c r="AD3913" s="49"/>
      <c r="AE3913" s="49"/>
      <c r="AF3913" s="49"/>
      <c r="AG3913" s="49"/>
      <c r="AH3913" s="49"/>
      <c r="AI3913" s="49"/>
      <c r="AJ3913" s="49"/>
      <c r="AK3913" s="49"/>
      <c r="AL3913" s="49"/>
      <c r="AM3913" s="49"/>
      <c r="AN3913" s="49"/>
      <c r="AP3913" s="49"/>
      <c r="AQ3913" s="49"/>
      <c r="AR3913" s="49"/>
      <c r="AS3913" s="49"/>
      <c r="AT3913" s="49"/>
    </row>
    <row r="3914">
      <c r="A3914" s="59"/>
      <c r="B3914" s="49"/>
      <c r="C3914" s="50" t="s">
        <v>7028</v>
      </c>
      <c r="D3914" s="49"/>
      <c r="E3914" s="49"/>
      <c r="F3914" s="49"/>
      <c r="G3914" s="49"/>
      <c r="H3914" s="54" t="str">
        <f t="shared" si="1"/>
        <v>,</v>
      </c>
      <c r="I3914" s="50"/>
      <c r="J3914" s="50"/>
      <c r="K3914" s="50"/>
      <c r="L3914" s="50"/>
      <c r="M3914" s="50"/>
      <c r="N3914" s="50"/>
      <c r="O3914" s="49"/>
      <c r="P3914" s="49"/>
      <c r="Q3914" s="49"/>
      <c r="R3914" s="49"/>
      <c r="S3914" s="49"/>
      <c r="T3914" s="49"/>
      <c r="U3914" s="49"/>
      <c r="V3914" s="49"/>
      <c r="W3914" s="49"/>
      <c r="X3914" s="49"/>
      <c r="Y3914" s="49"/>
      <c r="Z3914" s="49"/>
      <c r="AB3914" s="49"/>
      <c r="AC3914" s="49"/>
      <c r="AD3914" s="49"/>
      <c r="AE3914" s="49"/>
      <c r="AF3914" s="49"/>
      <c r="AG3914" s="49"/>
      <c r="AH3914" s="49"/>
      <c r="AI3914" s="49"/>
      <c r="AJ3914" s="49"/>
      <c r="AK3914" s="49"/>
      <c r="AL3914" s="49"/>
      <c r="AM3914" s="49"/>
      <c r="AN3914" s="49"/>
      <c r="AP3914" s="49"/>
      <c r="AQ3914" s="49"/>
      <c r="AR3914" s="49"/>
      <c r="AS3914" s="49"/>
      <c r="AT3914" s="49"/>
    </row>
    <row r="3915">
      <c r="A3915" s="59"/>
      <c r="B3915" s="49"/>
      <c r="C3915" s="50" t="s">
        <v>7029</v>
      </c>
      <c r="D3915" s="49"/>
      <c r="E3915" s="49"/>
      <c r="F3915" s="49"/>
      <c r="G3915" s="49"/>
      <c r="H3915" s="54" t="str">
        <f t="shared" si="1"/>
        <v>,</v>
      </c>
      <c r="I3915" s="50"/>
      <c r="J3915" s="50"/>
      <c r="K3915" s="50"/>
      <c r="L3915" s="50"/>
      <c r="M3915" s="50"/>
      <c r="N3915" s="50"/>
      <c r="O3915" s="49"/>
      <c r="P3915" s="49"/>
      <c r="Q3915" s="49"/>
      <c r="R3915" s="49"/>
      <c r="S3915" s="49"/>
      <c r="T3915" s="49"/>
      <c r="U3915" s="49"/>
      <c r="V3915" s="49"/>
      <c r="W3915" s="49"/>
      <c r="X3915" s="49"/>
      <c r="Y3915" s="49"/>
      <c r="Z3915" s="49"/>
      <c r="AB3915" s="49"/>
      <c r="AC3915" s="49"/>
      <c r="AD3915" s="49"/>
      <c r="AE3915" s="49"/>
      <c r="AF3915" s="49"/>
      <c r="AG3915" s="49"/>
      <c r="AH3915" s="49"/>
      <c r="AI3915" s="49"/>
      <c r="AJ3915" s="49"/>
      <c r="AK3915" s="49"/>
      <c r="AL3915" s="49"/>
      <c r="AM3915" s="49"/>
      <c r="AN3915" s="49"/>
      <c r="AP3915" s="49"/>
      <c r="AQ3915" s="49"/>
      <c r="AR3915" s="49"/>
      <c r="AS3915" s="49"/>
      <c r="AT3915" s="49"/>
    </row>
    <row r="3916">
      <c r="A3916" s="59"/>
      <c r="B3916" s="49"/>
      <c r="C3916" s="50" t="s">
        <v>7030</v>
      </c>
      <c r="D3916" s="49"/>
      <c r="E3916" s="49"/>
      <c r="F3916" s="49"/>
      <c r="G3916" s="49"/>
      <c r="H3916" s="54" t="str">
        <f t="shared" si="1"/>
        <v>,</v>
      </c>
      <c r="I3916" s="50"/>
      <c r="J3916" s="50"/>
      <c r="K3916" s="50"/>
      <c r="L3916" s="50"/>
      <c r="M3916" s="50"/>
      <c r="N3916" s="50"/>
      <c r="O3916" s="49"/>
      <c r="P3916" s="49"/>
      <c r="Q3916" s="49"/>
      <c r="R3916" s="49"/>
      <c r="S3916" s="49"/>
      <c r="T3916" s="49"/>
      <c r="U3916" s="49"/>
      <c r="V3916" s="49"/>
      <c r="W3916" s="49"/>
      <c r="X3916" s="49"/>
      <c r="Y3916" s="49"/>
      <c r="Z3916" s="49"/>
      <c r="AB3916" s="49"/>
      <c r="AC3916" s="49"/>
      <c r="AD3916" s="49"/>
      <c r="AE3916" s="49"/>
      <c r="AF3916" s="49"/>
      <c r="AG3916" s="49"/>
      <c r="AH3916" s="49"/>
      <c r="AI3916" s="49"/>
      <c r="AJ3916" s="49"/>
      <c r="AK3916" s="49"/>
      <c r="AL3916" s="49"/>
      <c r="AM3916" s="49"/>
      <c r="AN3916" s="49"/>
      <c r="AP3916" s="49"/>
      <c r="AQ3916" s="49"/>
      <c r="AR3916" s="49"/>
      <c r="AS3916" s="49"/>
      <c r="AT3916" s="49"/>
    </row>
    <row r="3917">
      <c r="A3917" s="59"/>
      <c r="B3917" s="49"/>
      <c r="C3917" s="50" t="s">
        <v>4489</v>
      </c>
      <c r="D3917" s="49"/>
      <c r="E3917" s="49"/>
      <c r="F3917" s="49"/>
      <c r="G3917" s="49"/>
      <c r="H3917" s="54" t="str">
        <f t="shared" si="1"/>
        <v>,</v>
      </c>
      <c r="I3917" s="50"/>
      <c r="J3917" s="50"/>
      <c r="K3917" s="50"/>
      <c r="L3917" s="50"/>
      <c r="M3917" s="50"/>
      <c r="N3917" s="50"/>
      <c r="O3917" s="49"/>
      <c r="P3917" s="49"/>
      <c r="Q3917" s="49"/>
      <c r="R3917" s="49"/>
      <c r="S3917" s="49"/>
      <c r="T3917" s="49"/>
      <c r="U3917" s="49"/>
      <c r="V3917" s="49"/>
      <c r="W3917" s="49"/>
      <c r="X3917" s="49"/>
      <c r="Y3917" s="49"/>
      <c r="Z3917" s="49"/>
      <c r="AB3917" s="49"/>
      <c r="AC3917" s="49"/>
      <c r="AD3917" s="49"/>
      <c r="AE3917" s="49"/>
      <c r="AF3917" s="49"/>
      <c r="AG3917" s="49"/>
      <c r="AH3917" s="49"/>
      <c r="AI3917" s="49"/>
      <c r="AJ3917" s="49"/>
      <c r="AK3917" s="49"/>
      <c r="AL3917" s="49"/>
      <c r="AM3917" s="49"/>
      <c r="AN3917" s="49"/>
      <c r="AP3917" s="49"/>
      <c r="AQ3917" s="49"/>
      <c r="AR3917" s="49"/>
      <c r="AS3917" s="49"/>
      <c r="AT3917" s="49"/>
    </row>
    <row r="3918">
      <c r="A3918" s="59"/>
      <c r="B3918" s="49"/>
      <c r="C3918" s="50" t="s">
        <v>3266</v>
      </c>
      <c r="D3918" s="49"/>
      <c r="E3918" s="49"/>
      <c r="F3918" s="49"/>
      <c r="G3918" s="49"/>
      <c r="H3918" s="54" t="str">
        <f t="shared" si="1"/>
        <v>,</v>
      </c>
      <c r="I3918" s="50"/>
      <c r="J3918" s="50"/>
      <c r="K3918" s="50"/>
      <c r="L3918" s="50"/>
      <c r="M3918" s="50"/>
      <c r="N3918" s="50"/>
      <c r="O3918" s="49"/>
      <c r="P3918" s="49"/>
      <c r="Q3918" s="49"/>
      <c r="R3918" s="49"/>
      <c r="S3918" s="49"/>
      <c r="T3918" s="49"/>
      <c r="U3918" s="49"/>
      <c r="V3918" s="49"/>
      <c r="W3918" s="49"/>
      <c r="X3918" s="49"/>
      <c r="Y3918" s="49"/>
      <c r="Z3918" s="49"/>
      <c r="AB3918" s="49"/>
      <c r="AC3918" s="49"/>
      <c r="AD3918" s="49"/>
      <c r="AE3918" s="49"/>
      <c r="AF3918" s="49"/>
      <c r="AG3918" s="49"/>
      <c r="AH3918" s="49"/>
      <c r="AI3918" s="49"/>
      <c r="AJ3918" s="49"/>
      <c r="AK3918" s="49"/>
      <c r="AL3918" s="49"/>
      <c r="AM3918" s="49"/>
      <c r="AN3918" s="49"/>
      <c r="AP3918" s="49"/>
      <c r="AQ3918" s="49"/>
      <c r="AR3918" s="49"/>
      <c r="AS3918" s="49"/>
      <c r="AT3918" s="49"/>
    </row>
    <row r="3919">
      <c r="A3919" s="59"/>
      <c r="B3919" s="49"/>
      <c r="C3919" s="50" t="s">
        <v>7031</v>
      </c>
      <c r="D3919" s="49"/>
      <c r="E3919" s="49"/>
      <c r="F3919" s="49"/>
      <c r="G3919" s="49"/>
      <c r="H3919" s="54" t="str">
        <f t="shared" si="1"/>
        <v>,</v>
      </c>
      <c r="I3919" s="50"/>
      <c r="J3919" s="50"/>
      <c r="K3919" s="50"/>
      <c r="L3919" s="50"/>
      <c r="M3919" s="50"/>
      <c r="N3919" s="50"/>
      <c r="O3919" s="49"/>
      <c r="P3919" s="49"/>
      <c r="Q3919" s="49"/>
      <c r="R3919" s="49"/>
      <c r="S3919" s="49"/>
      <c r="T3919" s="49"/>
      <c r="U3919" s="49"/>
      <c r="V3919" s="49"/>
      <c r="W3919" s="49"/>
      <c r="X3919" s="49"/>
      <c r="Y3919" s="49"/>
      <c r="Z3919" s="49"/>
      <c r="AB3919" s="49"/>
      <c r="AC3919" s="49"/>
      <c r="AD3919" s="49"/>
      <c r="AE3919" s="49"/>
      <c r="AF3919" s="49"/>
      <c r="AG3919" s="49"/>
      <c r="AH3919" s="49"/>
      <c r="AI3919" s="49"/>
      <c r="AJ3919" s="49"/>
      <c r="AK3919" s="49"/>
      <c r="AL3919" s="49"/>
      <c r="AM3919" s="49"/>
      <c r="AN3919" s="49"/>
      <c r="AP3919" s="49"/>
      <c r="AQ3919" s="49"/>
      <c r="AR3919" s="49"/>
      <c r="AS3919" s="49"/>
      <c r="AT3919" s="49"/>
    </row>
    <row r="3920">
      <c r="A3920" s="59"/>
      <c r="B3920" s="49"/>
      <c r="C3920" s="50" t="s">
        <v>7032</v>
      </c>
      <c r="D3920" s="49"/>
      <c r="E3920" s="49"/>
      <c r="F3920" s="49"/>
      <c r="G3920" s="49"/>
      <c r="H3920" s="54" t="str">
        <f t="shared" si="1"/>
        <v>,</v>
      </c>
      <c r="I3920" s="50"/>
      <c r="J3920" s="50"/>
      <c r="K3920" s="50"/>
      <c r="L3920" s="50"/>
      <c r="M3920" s="50"/>
      <c r="N3920" s="50"/>
      <c r="O3920" s="49"/>
      <c r="P3920" s="49"/>
      <c r="Q3920" s="49"/>
      <c r="R3920" s="49"/>
      <c r="S3920" s="49"/>
      <c r="T3920" s="49"/>
      <c r="U3920" s="49"/>
      <c r="V3920" s="49"/>
      <c r="W3920" s="49"/>
      <c r="X3920" s="49"/>
      <c r="Y3920" s="49"/>
      <c r="Z3920" s="49"/>
      <c r="AB3920" s="49"/>
      <c r="AC3920" s="49"/>
      <c r="AD3920" s="49"/>
      <c r="AE3920" s="49"/>
      <c r="AF3920" s="49"/>
      <c r="AG3920" s="49"/>
      <c r="AH3920" s="49"/>
      <c r="AI3920" s="49"/>
      <c r="AJ3920" s="49"/>
      <c r="AK3920" s="49"/>
      <c r="AL3920" s="49"/>
      <c r="AM3920" s="49"/>
      <c r="AN3920" s="49"/>
      <c r="AP3920" s="49"/>
      <c r="AQ3920" s="49"/>
      <c r="AR3920" s="49"/>
      <c r="AS3920" s="49"/>
      <c r="AT3920" s="49"/>
    </row>
    <row r="3921">
      <c r="A3921" s="59"/>
      <c r="B3921" s="49"/>
      <c r="C3921" s="50" t="s">
        <v>2822</v>
      </c>
      <c r="D3921" s="49"/>
      <c r="E3921" s="49"/>
      <c r="F3921" s="49"/>
      <c r="G3921" s="49"/>
      <c r="H3921" s="54" t="str">
        <f t="shared" si="1"/>
        <v>,</v>
      </c>
      <c r="I3921" s="50"/>
      <c r="J3921" s="50"/>
      <c r="K3921" s="50"/>
      <c r="L3921" s="50"/>
      <c r="M3921" s="50"/>
      <c r="N3921" s="50"/>
      <c r="O3921" s="49"/>
      <c r="P3921" s="49"/>
      <c r="Q3921" s="49"/>
      <c r="R3921" s="49"/>
      <c r="S3921" s="49"/>
      <c r="T3921" s="49"/>
      <c r="U3921" s="49"/>
      <c r="V3921" s="49"/>
      <c r="W3921" s="49"/>
      <c r="X3921" s="49"/>
      <c r="Y3921" s="49"/>
      <c r="Z3921" s="49"/>
      <c r="AB3921" s="49"/>
      <c r="AC3921" s="49"/>
      <c r="AD3921" s="49"/>
      <c r="AE3921" s="49"/>
      <c r="AF3921" s="49"/>
      <c r="AG3921" s="49"/>
      <c r="AH3921" s="49"/>
      <c r="AI3921" s="49"/>
      <c r="AJ3921" s="49"/>
      <c r="AK3921" s="49"/>
      <c r="AL3921" s="49"/>
      <c r="AM3921" s="49"/>
      <c r="AN3921" s="49"/>
      <c r="AP3921" s="49"/>
      <c r="AQ3921" s="49"/>
      <c r="AR3921" s="49"/>
      <c r="AS3921" s="49"/>
      <c r="AT3921" s="49"/>
    </row>
    <row r="3922">
      <c r="A3922" s="59"/>
      <c r="B3922" s="49"/>
      <c r="C3922" s="50" t="s">
        <v>7033</v>
      </c>
      <c r="D3922" s="49"/>
      <c r="E3922" s="49"/>
      <c r="F3922" s="49"/>
      <c r="G3922" s="49"/>
      <c r="H3922" s="54" t="str">
        <f t="shared" si="1"/>
        <v>,</v>
      </c>
      <c r="I3922" s="50"/>
      <c r="J3922" s="50"/>
      <c r="K3922" s="50"/>
      <c r="L3922" s="50"/>
      <c r="M3922" s="50"/>
      <c r="N3922" s="50"/>
      <c r="O3922" s="49"/>
      <c r="P3922" s="49"/>
      <c r="Q3922" s="49"/>
      <c r="R3922" s="49"/>
      <c r="S3922" s="49"/>
      <c r="T3922" s="49"/>
      <c r="U3922" s="49"/>
      <c r="V3922" s="49"/>
      <c r="W3922" s="49"/>
      <c r="X3922" s="49"/>
      <c r="Y3922" s="49"/>
      <c r="Z3922" s="49"/>
      <c r="AB3922" s="49"/>
      <c r="AC3922" s="49"/>
      <c r="AD3922" s="49"/>
      <c r="AE3922" s="49"/>
      <c r="AF3922" s="49"/>
      <c r="AG3922" s="49"/>
      <c r="AH3922" s="49"/>
      <c r="AI3922" s="49"/>
      <c r="AJ3922" s="49"/>
      <c r="AK3922" s="49"/>
      <c r="AL3922" s="49"/>
      <c r="AM3922" s="49"/>
      <c r="AN3922" s="49"/>
      <c r="AP3922" s="49"/>
      <c r="AQ3922" s="49"/>
      <c r="AR3922" s="49"/>
      <c r="AS3922" s="49"/>
      <c r="AT3922" s="49"/>
    </row>
    <row r="3923">
      <c r="A3923" s="59"/>
      <c r="B3923" s="49"/>
      <c r="C3923" s="50" t="s">
        <v>5015</v>
      </c>
      <c r="D3923" s="49"/>
      <c r="E3923" s="49"/>
      <c r="F3923" s="49"/>
      <c r="G3923" s="49"/>
      <c r="H3923" s="54" t="str">
        <f t="shared" si="1"/>
        <v>,</v>
      </c>
      <c r="I3923" s="50"/>
      <c r="J3923" s="50"/>
      <c r="K3923" s="50"/>
      <c r="L3923" s="50"/>
      <c r="M3923" s="50"/>
      <c r="N3923" s="50"/>
      <c r="O3923" s="49"/>
      <c r="P3923" s="49"/>
      <c r="Q3923" s="49"/>
      <c r="R3923" s="49"/>
      <c r="S3923" s="49"/>
      <c r="T3923" s="49"/>
      <c r="U3923" s="49"/>
      <c r="V3923" s="49"/>
      <c r="W3923" s="49"/>
      <c r="X3923" s="49"/>
      <c r="Y3923" s="49"/>
      <c r="Z3923" s="49"/>
      <c r="AB3923" s="49"/>
      <c r="AC3923" s="49"/>
      <c r="AD3923" s="49"/>
      <c r="AE3923" s="49"/>
      <c r="AF3923" s="49"/>
      <c r="AG3923" s="49"/>
      <c r="AH3923" s="49"/>
      <c r="AI3923" s="49"/>
      <c r="AJ3923" s="49"/>
      <c r="AK3923" s="49"/>
      <c r="AL3923" s="49"/>
      <c r="AM3923" s="49"/>
      <c r="AN3923" s="49"/>
      <c r="AP3923" s="49"/>
      <c r="AQ3923" s="49"/>
      <c r="AR3923" s="49"/>
      <c r="AS3923" s="49"/>
      <c r="AT3923" s="49"/>
    </row>
    <row r="3924">
      <c r="A3924" s="59"/>
      <c r="B3924" s="49"/>
      <c r="C3924" s="50" t="s">
        <v>7034</v>
      </c>
      <c r="D3924" s="49"/>
      <c r="E3924" s="49"/>
      <c r="F3924" s="49"/>
      <c r="G3924" s="49"/>
      <c r="H3924" s="54" t="str">
        <f t="shared" si="1"/>
        <v>,</v>
      </c>
      <c r="I3924" s="50"/>
      <c r="J3924" s="50"/>
      <c r="K3924" s="50"/>
      <c r="L3924" s="50"/>
      <c r="M3924" s="50"/>
      <c r="N3924" s="50"/>
      <c r="O3924" s="49"/>
      <c r="P3924" s="49"/>
      <c r="Q3924" s="49"/>
      <c r="R3924" s="49"/>
      <c r="S3924" s="49"/>
      <c r="T3924" s="49"/>
      <c r="U3924" s="49"/>
      <c r="V3924" s="49"/>
      <c r="W3924" s="49"/>
      <c r="X3924" s="49"/>
      <c r="Y3924" s="49"/>
      <c r="Z3924" s="49"/>
      <c r="AB3924" s="49"/>
      <c r="AC3924" s="49"/>
      <c r="AD3924" s="49"/>
      <c r="AE3924" s="49"/>
      <c r="AF3924" s="49"/>
      <c r="AG3924" s="49"/>
      <c r="AH3924" s="49"/>
      <c r="AI3924" s="49"/>
      <c r="AJ3924" s="49"/>
      <c r="AK3924" s="49"/>
      <c r="AL3924" s="49"/>
      <c r="AM3924" s="49"/>
      <c r="AN3924" s="49"/>
      <c r="AP3924" s="49"/>
      <c r="AQ3924" s="49"/>
      <c r="AR3924" s="49"/>
      <c r="AS3924" s="49"/>
      <c r="AT3924" s="49"/>
    </row>
    <row r="3925">
      <c r="A3925" s="59"/>
      <c r="B3925" s="49"/>
      <c r="C3925" s="50" t="s">
        <v>3996</v>
      </c>
      <c r="D3925" s="49"/>
      <c r="E3925" s="49"/>
      <c r="F3925" s="49"/>
      <c r="G3925" s="49"/>
      <c r="H3925" s="54" t="str">
        <f t="shared" si="1"/>
        <v>,</v>
      </c>
      <c r="I3925" s="50"/>
      <c r="J3925" s="50"/>
      <c r="K3925" s="50"/>
      <c r="L3925" s="50"/>
      <c r="M3925" s="50"/>
      <c r="N3925" s="50"/>
      <c r="O3925" s="49"/>
      <c r="P3925" s="49"/>
      <c r="Q3925" s="49"/>
      <c r="R3925" s="49"/>
      <c r="S3925" s="49"/>
      <c r="T3925" s="49"/>
      <c r="U3925" s="49"/>
      <c r="V3925" s="49"/>
      <c r="W3925" s="49"/>
      <c r="X3925" s="49"/>
      <c r="Y3925" s="49"/>
      <c r="Z3925" s="49"/>
      <c r="AB3925" s="49"/>
      <c r="AC3925" s="49"/>
      <c r="AD3925" s="49"/>
      <c r="AE3925" s="49"/>
      <c r="AF3925" s="49"/>
      <c r="AG3925" s="49"/>
      <c r="AH3925" s="49"/>
      <c r="AI3925" s="49"/>
      <c r="AJ3925" s="49"/>
      <c r="AK3925" s="49"/>
      <c r="AL3925" s="49"/>
      <c r="AM3925" s="49"/>
      <c r="AN3925" s="49"/>
      <c r="AP3925" s="49"/>
      <c r="AQ3925" s="49"/>
      <c r="AR3925" s="49"/>
      <c r="AS3925" s="49"/>
      <c r="AT3925" s="49"/>
    </row>
    <row r="3926">
      <c r="A3926" s="59"/>
      <c r="B3926" s="49"/>
      <c r="C3926" s="50" t="s">
        <v>7035</v>
      </c>
      <c r="D3926" s="49"/>
      <c r="E3926" s="49"/>
      <c r="F3926" s="49"/>
      <c r="G3926" s="49"/>
      <c r="H3926" s="54" t="str">
        <f t="shared" si="1"/>
        <v>,</v>
      </c>
      <c r="I3926" s="50"/>
      <c r="J3926" s="50"/>
      <c r="K3926" s="50"/>
      <c r="L3926" s="50"/>
      <c r="M3926" s="50"/>
      <c r="N3926" s="50"/>
      <c r="O3926" s="49"/>
      <c r="P3926" s="49"/>
      <c r="Q3926" s="49"/>
      <c r="R3926" s="49"/>
      <c r="S3926" s="49"/>
      <c r="T3926" s="49"/>
      <c r="U3926" s="49"/>
      <c r="V3926" s="49"/>
      <c r="W3926" s="49"/>
      <c r="X3926" s="49"/>
      <c r="Y3926" s="49"/>
      <c r="Z3926" s="49"/>
      <c r="AB3926" s="49"/>
      <c r="AC3926" s="49"/>
      <c r="AD3926" s="49"/>
      <c r="AE3926" s="49"/>
      <c r="AF3926" s="49"/>
      <c r="AG3926" s="49"/>
      <c r="AH3926" s="49"/>
      <c r="AI3926" s="49"/>
      <c r="AJ3926" s="49"/>
      <c r="AK3926" s="49"/>
      <c r="AL3926" s="49"/>
      <c r="AM3926" s="49"/>
      <c r="AN3926" s="49"/>
      <c r="AP3926" s="49"/>
      <c r="AQ3926" s="49"/>
      <c r="AR3926" s="49"/>
      <c r="AS3926" s="49"/>
      <c r="AT3926" s="49"/>
    </row>
    <row r="3927">
      <c r="A3927" s="59"/>
      <c r="B3927" s="49"/>
      <c r="C3927" s="50" t="s">
        <v>5845</v>
      </c>
      <c r="D3927" s="49"/>
      <c r="E3927" s="49"/>
      <c r="F3927" s="49"/>
      <c r="G3927" s="49"/>
      <c r="H3927" s="54" t="str">
        <f t="shared" si="1"/>
        <v>,</v>
      </c>
      <c r="I3927" s="50"/>
      <c r="J3927" s="50"/>
      <c r="K3927" s="50"/>
      <c r="L3927" s="50"/>
      <c r="M3927" s="50"/>
      <c r="N3927" s="50"/>
      <c r="O3927" s="49"/>
      <c r="P3927" s="49"/>
      <c r="Q3927" s="49"/>
      <c r="R3927" s="49"/>
      <c r="S3927" s="49"/>
      <c r="T3927" s="49"/>
      <c r="U3927" s="49"/>
      <c r="V3927" s="49"/>
      <c r="W3927" s="49"/>
      <c r="X3927" s="49"/>
      <c r="Y3927" s="49"/>
      <c r="Z3927" s="49"/>
      <c r="AB3927" s="49"/>
      <c r="AC3927" s="49"/>
      <c r="AD3927" s="49"/>
      <c r="AE3927" s="49"/>
      <c r="AF3927" s="49"/>
      <c r="AG3927" s="49"/>
      <c r="AH3927" s="49"/>
      <c r="AI3927" s="49"/>
      <c r="AJ3927" s="49"/>
      <c r="AK3927" s="49"/>
      <c r="AL3927" s="49"/>
      <c r="AM3927" s="49"/>
      <c r="AN3927" s="49"/>
      <c r="AP3927" s="49"/>
      <c r="AQ3927" s="49"/>
      <c r="AR3927" s="49"/>
      <c r="AS3927" s="49"/>
      <c r="AT3927" s="49"/>
    </row>
    <row r="3928">
      <c r="A3928" s="59"/>
      <c r="B3928" s="49"/>
      <c r="C3928" s="50" t="s">
        <v>5704</v>
      </c>
      <c r="D3928" s="49"/>
      <c r="E3928" s="49"/>
      <c r="F3928" s="49"/>
      <c r="G3928" s="49"/>
      <c r="H3928" s="54" t="str">
        <f t="shared" si="1"/>
        <v>,</v>
      </c>
      <c r="I3928" s="50"/>
      <c r="J3928" s="50"/>
      <c r="K3928" s="50"/>
      <c r="L3928" s="50"/>
      <c r="M3928" s="50"/>
      <c r="N3928" s="50"/>
      <c r="O3928" s="49"/>
      <c r="P3928" s="49"/>
      <c r="Q3928" s="49"/>
      <c r="R3928" s="49"/>
      <c r="S3928" s="49"/>
      <c r="T3928" s="49"/>
      <c r="U3928" s="49"/>
      <c r="V3928" s="49"/>
      <c r="W3928" s="49"/>
      <c r="X3928" s="49"/>
      <c r="Y3928" s="49"/>
      <c r="Z3928" s="49"/>
      <c r="AB3928" s="49"/>
      <c r="AC3928" s="49"/>
      <c r="AD3928" s="49"/>
      <c r="AE3928" s="49"/>
      <c r="AF3928" s="49"/>
      <c r="AG3928" s="49"/>
      <c r="AH3928" s="49"/>
      <c r="AI3928" s="49"/>
      <c r="AJ3928" s="49"/>
      <c r="AK3928" s="49"/>
      <c r="AL3928" s="49"/>
      <c r="AM3928" s="49"/>
      <c r="AN3928" s="49"/>
      <c r="AP3928" s="49"/>
      <c r="AQ3928" s="49"/>
      <c r="AR3928" s="49"/>
      <c r="AS3928" s="49"/>
      <c r="AT3928" s="49"/>
    </row>
    <row r="3929">
      <c r="A3929" s="59"/>
      <c r="B3929" s="49"/>
      <c r="C3929" s="50" t="s">
        <v>3383</v>
      </c>
      <c r="D3929" s="49"/>
      <c r="E3929" s="49"/>
      <c r="F3929" s="49"/>
      <c r="G3929" s="49"/>
      <c r="H3929" s="54" t="str">
        <f t="shared" si="1"/>
        <v>,</v>
      </c>
      <c r="I3929" s="50"/>
      <c r="J3929" s="50"/>
      <c r="K3929" s="50"/>
      <c r="L3929" s="50"/>
      <c r="M3929" s="50"/>
      <c r="N3929" s="50"/>
      <c r="O3929" s="49"/>
      <c r="P3929" s="49"/>
      <c r="Q3929" s="49"/>
      <c r="R3929" s="49"/>
      <c r="S3929" s="49"/>
      <c r="T3929" s="49"/>
      <c r="U3929" s="49"/>
      <c r="V3929" s="49"/>
      <c r="W3929" s="49"/>
      <c r="X3929" s="49"/>
      <c r="Y3929" s="49"/>
      <c r="Z3929" s="49"/>
      <c r="AB3929" s="49"/>
      <c r="AC3929" s="49"/>
      <c r="AD3929" s="49"/>
      <c r="AE3929" s="49"/>
      <c r="AF3929" s="49"/>
      <c r="AG3929" s="49"/>
      <c r="AH3929" s="49"/>
      <c r="AI3929" s="49"/>
      <c r="AJ3929" s="49"/>
      <c r="AK3929" s="49"/>
      <c r="AL3929" s="49"/>
      <c r="AM3929" s="49"/>
      <c r="AN3929" s="49"/>
      <c r="AP3929" s="49"/>
      <c r="AQ3929" s="49"/>
      <c r="AR3929" s="49"/>
      <c r="AS3929" s="49"/>
      <c r="AT3929" s="49"/>
    </row>
    <row r="3930">
      <c r="A3930" s="59"/>
      <c r="B3930" s="49"/>
      <c r="C3930" s="50" t="s">
        <v>7037</v>
      </c>
      <c r="D3930" s="49"/>
      <c r="E3930" s="49"/>
      <c r="F3930" s="49"/>
      <c r="G3930" s="49"/>
      <c r="H3930" s="54" t="str">
        <f t="shared" si="1"/>
        <v>,</v>
      </c>
      <c r="I3930" s="50"/>
      <c r="J3930" s="50"/>
      <c r="K3930" s="50"/>
      <c r="L3930" s="50"/>
      <c r="M3930" s="50"/>
      <c r="N3930" s="50"/>
      <c r="O3930" s="49"/>
      <c r="P3930" s="49"/>
      <c r="Q3930" s="49"/>
      <c r="R3930" s="49"/>
      <c r="S3930" s="49"/>
      <c r="T3930" s="49"/>
      <c r="U3930" s="49"/>
      <c r="V3930" s="49"/>
      <c r="W3930" s="49"/>
      <c r="X3930" s="49"/>
      <c r="Y3930" s="49"/>
      <c r="Z3930" s="49"/>
      <c r="AB3930" s="49"/>
      <c r="AC3930" s="49"/>
      <c r="AD3930" s="49"/>
      <c r="AE3930" s="49"/>
      <c r="AF3930" s="49"/>
      <c r="AG3930" s="49"/>
      <c r="AH3930" s="49"/>
      <c r="AI3930" s="49"/>
      <c r="AJ3930" s="49"/>
      <c r="AK3930" s="49"/>
      <c r="AL3930" s="49"/>
      <c r="AM3930" s="49"/>
      <c r="AN3930" s="49"/>
      <c r="AP3930" s="49"/>
      <c r="AQ3930" s="49"/>
      <c r="AR3930" s="49"/>
      <c r="AS3930" s="49"/>
      <c r="AT3930" s="49"/>
    </row>
    <row r="3931">
      <c r="A3931" s="59"/>
      <c r="B3931" s="49"/>
      <c r="C3931" s="50" t="s">
        <v>7159</v>
      </c>
      <c r="D3931" s="49"/>
      <c r="E3931" s="49"/>
      <c r="F3931" s="49"/>
      <c r="G3931" s="49"/>
      <c r="H3931" s="54" t="str">
        <f t="shared" si="1"/>
        <v>,</v>
      </c>
      <c r="I3931" s="50"/>
      <c r="J3931" s="50"/>
      <c r="K3931" s="50"/>
      <c r="L3931" s="50"/>
      <c r="M3931" s="50"/>
      <c r="N3931" s="50"/>
      <c r="O3931" s="49"/>
      <c r="P3931" s="49"/>
      <c r="Q3931" s="49"/>
      <c r="R3931" s="49"/>
      <c r="S3931" s="49"/>
      <c r="T3931" s="49"/>
      <c r="U3931" s="49"/>
      <c r="V3931" s="49"/>
      <c r="W3931" s="49"/>
      <c r="X3931" s="49"/>
      <c r="Y3931" s="49"/>
      <c r="Z3931" s="49"/>
      <c r="AB3931" s="49"/>
      <c r="AC3931" s="49"/>
      <c r="AD3931" s="49"/>
      <c r="AE3931" s="49"/>
      <c r="AF3931" s="49"/>
      <c r="AG3931" s="49"/>
      <c r="AH3931" s="49"/>
      <c r="AI3931" s="49"/>
      <c r="AJ3931" s="49"/>
      <c r="AK3931" s="49"/>
      <c r="AL3931" s="49"/>
      <c r="AM3931" s="49"/>
      <c r="AN3931" s="49"/>
      <c r="AP3931" s="49"/>
      <c r="AQ3931" s="49"/>
      <c r="AR3931" s="49"/>
      <c r="AS3931" s="49"/>
      <c r="AT3931" s="49"/>
    </row>
    <row r="3932">
      <c r="A3932" s="59"/>
      <c r="B3932" s="49"/>
      <c r="C3932" s="50" t="s">
        <v>3287</v>
      </c>
      <c r="D3932" s="49"/>
      <c r="E3932" s="49"/>
      <c r="F3932" s="49"/>
      <c r="G3932" s="49"/>
      <c r="H3932" s="54" t="str">
        <f t="shared" si="1"/>
        <v>,</v>
      </c>
      <c r="I3932" s="50"/>
      <c r="J3932" s="50"/>
      <c r="K3932" s="50"/>
      <c r="L3932" s="50"/>
      <c r="M3932" s="50"/>
      <c r="N3932" s="50"/>
      <c r="O3932" s="49"/>
      <c r="P3932" s="49"/>
      <c r="Q3932" s="49"/>
      <c r="R3932" s="49"/>
      <c r="S3932" s="49"/>
      <c r="T3932" s="49"/>
      <c r="U3932" s="49"/>
      <c r="V3932" s="49"/>
      <c r="W3932" s="49"/>
      <c r="X3932" s="49"/>
      <c r="Y3932" s="49"/>
      <c r="Z3932" s="49"/>
      <c r="AB3932" s="49"/>
      <c r="AC3932" s="49"/>
      <c r="AD3932" s="49"/>
      <c r="AE3932" s="49"/>
      <c r="AF3932" s="49"/>
      <c r="AG3932" s="49"/>
      <c r="AH3932" s="49"/>
      <c r="AI3932" s="49"/>
      <c r="AJ3932" s="49"/>
      <c r="AK3932" s="49"/>
      <c r="AL3932" s="49"/>
      <c r="AM3932" s="49"/>
      <c r="AN3932" s="49"/>
      <c r="AP3932" s="49"/>
      <c r="AQ3932" s="49"/>
      <c r="AR3932" s="49"/>
      <c r="AS3932" s="49"/>
      <c r="AT3932" s="49"/>
    </row>
    <row r="3933">
      <c r="A3933" s="59"/>
      <c r="B3933" s="49"/>
      <c r="C3933" s="50" t="s">
        <v>5850</v>
      </c>
      <c r="D3933" s="49"/>
      <c r="E3933" s="49"/>
      <c r="F3933" s="49"/>
      <c r="G3933" s="49"/>
      <c r="H3933" s="54" t="str">
        <f t="shared" si="1"/>
        <v>,</v>
      </c>
      <c r="I3933" s="50"/>
      <c r="J3933" s="50"/>
      <c r="K3933" s="50"/>
      <c r="L3933" s="50"/>
      <c r="M3933" s="50"/>
      <c r="N3933" s="50"/>
      <c r="O3933" s="49"/>
      <c r="P3933" s="49"/>
      <c r="Q3933" s="49"/>
      <c r="R3933" s="49"/>
      <c r="S3933" s="49"/>
      <c r="T3933" s="49"/>
      <c r="U3933" s="49"/>
      <c r="V3933" s="49"/>
      <c r="W3933" s="49"/>
      <c r="X3933" s="49"/>
      <c r="Y3933" s="49"/>
      <c r="Z3933" s="49"/>
      <c r="AB3933" s="49"/>
      <c r="AC3933" s="49"/>
      <c r="AD3933" s="49"/>
      <c r="AE3933" s="49"/>
      <c r="AF3933" s="49"/>
      <c r="AG3933" s="49"/>
      <c r="AH3933" s="49"/>
      <c r="AI3933" s="49"/>
      <c r="AJ3933" s="49"/>
      <c r="AK3933" s="49"/>
      <c r="AL3933" s="49"/>
      <c r="AM3933" s="49"/>
      <c r="AN3933" s="49"/>
      <c r="AP3933" s="49"/>
      <c r="AQ3933" s="49"/>
      <c r="AR3933" s="49"/>
      <c r="AS3933" s="49"/>
      <c r="AT3933" s="49"/>
    </row>
    <row r="3934">
      <c r="A3934" s="59"/>
      <c r="B3934" s="49"/>
      <c r="C3934" s="50" t="s">
        <v>3290</v>
      </c>
      <c r="D3934" s="49"/>
      <c r="E3934" s="49"/>
      <c r="F3934" s="49"/>
      <c r="G3934" s="49"/>
      <c r="H3934" s="54" t="str">
        <f t="shared" si="1"/>
        <v>,</v>
      </c>
      <c r="I3934" s="50"/>
      <c r="J3934" s="50"/>
      <c r="K3934" s="50"/>
      <c r="L3934" s="50"/>
      <c r="M3934" s="50"/>
      <c r="N3934" s="50"/>
      <c r="O3934" s="49"/>
      <c r="P3934" s="49"/>
      <c r="Q3934" s="49"/>
      <c r="R3934" s="49"/>
      <c r="S3934" s="49"/>
      <c r="T3934" s="49"/>
      <c r="U3934" s="49"/>
      <c r="V3934" s="49"/>
      <c r="W3934" s="49"/>
      <c r="X3934" s="49"/>
      <c r="Y3934" s="49"/>
      <c r="Z3934" s="49"/>
      <c r="AB3934" s="49"/>
      <c r="AC3934" s="49"/>
      <c r="AD3934" s="49"/>
      <c r="AE3934" s="49"/>
      <c r="AF3934" s="49"/>
      <c r="AG3934" s="49"/>
      <c r="AH3934" s="49"/>
      <c r="AI3934" s="49"/>
      <c r="AJ3934" s="49"/>
      <c r="AK3934" s="49"/>
      <c r="AL3934" s="49"/>
      <c r="AM3934" s="49"/>
      <c r="AN3934" s="49"/>
      <c r="AP3934" s="49"/>
      <c r="AQ3934" s="49"/>
      <c r="AR3934" s="49"/>
      <c r="AS3934" s="49"/>
      <c r="AT3934" s="49"/>
    </row>
    <row r="3935">
      <c r="A3935" s="59"/>
      <c r="B3935" s="49"/>
      <c r="C3935" s="50" t="s">
        <v>7038</v>
      </c>
      <c r="D3935" s="49"/>
      <c r="E3935" s="49"/>
      <c r="F3935" s="49"/>
      <c r="G3935" s="49"/>
      <c r="H3935" s="54" t="str">
        <f t="shared" si="1"/>
        <v>,</v>
      </c>
      <c r="I3935" s="50"/>
      <c r="J3935" s="50"/>
      <c r="K3935" s="50"/>
      <c r="L3935" s="50"/>
      <c r="M3935" s="50"/>
      <c r="N3935" s="50"/>
      <c r="O3935" s="49"/>
      <c r="P3935" s="49"/>
      <c r="Q3935" s="49"/>
      <c r="R3935" s="49"/>
      <c r="S3935" s="49"/>
      <c r="T3935" s="49"/>
      <c r="U3935" s="49"/>
      <c r="V3935" s="49"/>
      <c r="W3935" s="49"/>
      <c r="X3935" s="49"/>
      <c r="Y3935" s="49"/>
      <c r="Z3935" s="49"/>
      <c r="AB3935" s="49"/>
      <c r="AC3935" s="49"/>
      <c r="AD3935" s="49"/>
      <c r="AE3935" s="49"/>
      <c r="AF3935" s="49"/>
      <c r="AG3935" s="49"/>
      <c r="AH3935" s="49"/>
      <c r="AI3935" s="49"/>
      <c r="AJ3935" s="49"/>
      <c r="AK3935" s="49"/>
      <c r="AL3935" s="49"/>
      <c r="AM3935" s="49"/>
      <c r="AN3935" s="49"/>
      <c r="AP3935" s="49"/>
      <c r="AQ3935" s="49"/>
      <c r="AR3935" s="49"/>
      <c r="AS3935" s="49"/>
      <c r="AT3935" s="49"/>
    </row>
    <row r="3936">
      <c r="A3936" s="59"/>
      <c r="B3936" s="49"/>
      <c r="C3936" s="50" t="s">
        <v>5807</v>
      </c>
      <c r="D3936" s="49"/>
      <c r="E3936" s="49"/>
      <c r="F3936" s="49"/>
      <c r="G3936" s="49"/>
      <c r="H3936" s="54" t="str">
        <f t="shared" si="1"/>
        <v>,</v>
      </c>
      <c r="I3936" s="50"/>
      <c r="J3936" s="50"/>
      <c r="K3936" s="50"/>
      <c r="L3936" s="50"/>
      <c r="M3936" s="50"/>
      <c r="N3936" s="50"/>
      <c r="O3936" s="49"/>
      <c r="P3936" s="49"/>
      <c r="Q3936" s="49"/>
      <c r="R3936" s="49"/>
      <c r="S3936" s="49"/>
      <c r="T3936" s="49"/>
      <c r="U3936" s="49"/>
      <c r="V3936" s="49"/>
      <c r="W3936" s="49"/>
      <c r="X3936" s="49"/>
      <c r="Y3936" s="49"/>
      <c r="Z3936" s="49"/>
      <c r="AB3936" s="49"/>
      <c r="AC3936" s="49"/>
      <c r="AD3936" s="49"/>
      <c r="AE3936" s="49"/>
      <c r="AF3936" s="49"/>
      <c r="AG3936" s="49"/>
      <c r="AH3936" s="49"/>
      <c r="AI3936" s="49"/>
      <c r="AJ3936" s="49"/>
      <c r="AK3936" s="49"/>
      <c r="AL3936" s="49"/>
      <c r="AM3936" s="49"/>
      <c r="AN3936" s="49"/>
      <c r="AP3936" s="49"/>
      <c r="AQ3936" s="49"/>
      <c r="AR3936" s="49"/>
      <c r="AS3936" s="49"/>
      <c r="AT3936" s="49"/>
    </row>
    <row r="3937">
      <c r="A3937" s="59"/>
      <c r="B3937" s="49"/>
      <c r="C3937" s="50" t="s">
        <v>1705</v>
      </c>
      <c r="D3937" s="49"/>
      <c r="E3937" s="49"/>
      <c r="F3937" s="49"/>
      <c r="G3937" s="49"/>
      <c r="H3937" s="54" t="str">
        <f t="shared" si="1"/>
        <v>,</v>
      </c>
      <c r="I3937" s="50"/>
      <c r="J3937" s="50"/>
      <c r="K3937" s="50"/>
      <c r="L3937" s="50"/>
      <c r="M3937" s="50"/>
      <c r="N3937" s="50"/>
      <c r="O3937" s="49"/>
      <c r="P3937" s="49"/>
      <c r="Q3937" s="49"/>
      <c r="R3937" s="49"/>
      <c r="S3937" s="49"/>
      <c r="T3937" s="49"/>
      <c r="U3937" s="49"/>
      <c r="V3937" s="49"/>
      <c r="W3937" s="49"/>
      <c r="X3937" s="49"/>
      <c r="Y3937" s="49"/>
      <c r="Z3937" s="49"/>
      <c r="AB3937" s="49"/>
      <c r="AC3937" s="49"/>
      <c r="AD3937" s="49"/>
      <c r="AE3937" s="49"/>
      <c r="AF3937" s="49"/>
      <c r="AG3937" s="49"/>
      <c r="AH3937" s="49"/>
      <c r="AI3937" s="49"/>
      <c r="AJ3937" s="49"/>
      <c r="AK3937" s="49"/>
      <c r="AL3937" s="49"/>
      <c r="AM3937" s="49"/>
      <c r="AN3937" s="49"/>
      <c r="AP3937" s="49"/>
      <c r="AQ3937" s="49"/>
      <c r="AR3937" s="49"/>
      <c r="AS3937" s="49"/>
      <c r="AT3937" s="49"/>
    </row>
    <row r="3938">
      <c r="A3938" s="59"/>
      <c r="B3938" s="49"/>
      <c r="C3938" s="50" t="s">
        <v>7039</v>
      </c>
      <c r="D3938" s="49"/>
      <c r="E3938" s="49"/>
      <c r="F3938" s="49"/>
      <c r="G3938" s="49"/>
      <c r="H3938" s="54" t="str">
        <f t="shared" si="1"/>
        <v>,</v>
      </c>
      <c r="I3938" s="50"/>
      <c r="J3938" s="50"/>
      <c r="K3938" s="50"/>
      <c r="L3938" s="50"/>
      <c r="M3938" s="50"/>
      <c r="N3938" s="50"/>
      <c r="O3938" s="49"/>
      <c r="P3938" s="49"/>
      <c r="Q3938" s="49"/>
      <c r="R3938" s="49"/>
      <c r="S3938" s="49"/>
      <c r="T3938" s="49"/>
      <c r="U3938" s="49"/>
      <c r="V3938" s="49"/>
      <c r="W3938" s="49"/>
      <c r="X3938" s="49"/>
      <c r="Y3938" s="49"/>
      <c r="Z3938" s="49"/>
      <c r="AB3938" s="49"/>
      <c r="AC3938" s="49"/>
      <c r="AD3938" s="49"/>
      <c r="AE3938" s="49"/>
      <c r="AF3938" s="49"/>
      <c r="AG3938" s="49"/>
      <c r="AH3938" s="49"/>
      <c r="AI3938" s="49"/>
      <c r="AJ3938" s="49"/>
      <c r="AK3938" s="49"/>
      <c r="AL3938" s="49"/>
      <c r="AM3938" s="49"/>
      <c r="AN3938" s="49"/>
      <c r="AP3938" s="49"/>
      <c r="AQ3938" s="49"/>
      <c r="AR3938" s="49"/>
      <c r="AS3938" s="49"/>
      <c r="AT3938" s="49"/>
    </row>
    <row r="3939">
      <c r="A3939" s="59"/>
      <c r="B3939" s="49"/>
      <c r="C3939" s="50" t="s">
        <v>4002</v>
      </c>
      <c r="D3939" s="49"/>
      <c r="E3939" s="49"/>
      <c r="F3939" s="49"/>
      <c r="G3939" s="49"/>
      <c r="H3939" s="54" t="str">
        <f t="shared" si="1"/>
        <v>,</v>
      </c>
      <c r="I3939" s="50"/>
      <c r="J3939" s="50"/>
      <c r="K3939" s="50"/>
      <c r="L3939" s="50"/>
      <c r="M3939" s="50"/>
      <c r="N3939" s="50"/>
      <c r="O3939" s="49"/>
      <c r="P3939" s="49"/>
      <c r="Q3939" s="49"/>
      <c r="R3939" s="49"/>
      <c r="S3939" s="49"/>
      <c r="T3939" s="49"/>
      <c r="U3939" s="49"/>
      <c r="V3939" s="49"/>
      <c r="W3939" s="49"/>
      <c r="X3939" s="49"/>
      <c r="Y3939" s="49"/>
      <c r="Z3939" s="49"/>
      <c r="AB3939" s="49"/>
      <c r="AC3939" s="49"/>
      <c r="AD3939" s="49"/>
      <c r="AE3939" s="49"/>
      <c r="AF3939" s="49"/>
      <c r="AG3939" s="49"/>
      <c r="AH3939" s="49"/>
      <c r="AI3939" s="49"/>
      <c r="AJ3939" s="49"/>
      <c r="AK3939" s="49"/>
      <c r="AL3939" s="49"/>
      <c r="AM3939" s="49"/>
      <c r="AN3939" s="49"/>
      <c r="AP3939" s="49"/>
      <c r="AQ3939" s="49"/>
      <c r="AR3939" s="49"/>
      <c r="AS3939" s="49"/>
      <c r="AT3939" s="49"/>
    </row>
    <row r="3940">
      <c r="A3940" s="59"/>
      <c r="B3940" s="49"/>
      <c r="C3940" s="50" t="s">
        <v>3303</v>
      </c>
      <c r="D3940" s="49"/>
      <c r="E3940" s="49"/>
      <c r="F3940" s="49"/>
      <c r="G3940" s="49"/>
      <c r="H3940" s="54" t="str">
        <f t="shared" si="1"/>
        <v>,</v>
      </c>
      <c r="I3940" s="50"/>
      <c r="J3940" s="50"/>
      <c r="K3940" s="50"/>
      <c r="L3940" s="50"/>
      <c r="M3940" s="50"/>
      <c r="N3940" s="50"/>
      <c r="O3940" s="49"/>
      <c r="P3940" s="49"/>
      <c r="Q3940" s="49"/>
      <c r="R3940" s="49"/>
      <c r="S3940" s="49"/>
      <c r="T3940" s="49"/>
      <c r="U3940" s="49"/>
      <c r="V3940" s="49"/>
      <c r="W3940" s="49"/>
      <c r="X3940" s="49"/>
      <c r="Y3940" s="49"/>
      <c r="Z3940" s="49"/>
      <c r="AB3940" s="49"/>
      <c r="AC3940" s="49"/>
      <c r="AD3940" s="49"/>
      <c r="AE3940" s="49"/>
      <c r="AF3940" s="49"/>
      <c r="AG3940" s="49"/>
      <c r="AH3940" s="49"/>
      <c r="AI3940" s="49"/>
      <c r="AJ3940" s="49"/>
      <c r="AK3940" s="49"/>
      <c r="AL3940" s="49"/>
      <c r="AM3940" s="49"/>
      <c r="AN3940" s="49"/>
      <c r="AP3940" s="49"/>
      <c r="AQ3940" s="49"/>
      <c r="AR3940" s="49"/>
      <c r="AS3940" s="49"/>
      <c r="AT3940" s="49"/>
    </row>
    <row r="3941">
      <c r="A3941" s="59"/>
      <c r="B3941" s="49"/>
      <c r="C3941" s="50" t="s">
        <v>7040</v>
      </c>
      <c r="D3941" s="49"/>
      <c r="E3941" s="49"/>
      <c r="F3941" s="49"/>
      <c r="G3941" s="49"/>
      <c r="H3941" s="54" t="str">
        <f t="shared" si="1"/>
        <v>,</v>
      </c>
      <c r="I3941" s="50"/>
      <c r="J3941" s="50"/>
      <c r="K3941" s="50"/>
      <c r="L3941" s="50"/>
      <c r="M3941" s="50"/>
      <c r="N3941" s="50"/>
      <c r="O3941" s="49"/>
      <c r="P3941" s="49"/>
      <c r="Q3941" s="49"/>
      <c r="R3941" s="49"/>
      <c r="S3941" s="49"/>
      <c r="T3941" s="49"/>
      <c r="U3941" s="49"/>
      <c r="V3941" s="49"/>
      <c r="W3941" s="49"/>
      <c r="X3941" s="49"/>
      <c r="Y3941" s="49"/>
      <c r="Z3941" s="49"/>
      <c r="AB3941" s="49"/>
      <c r="AC3941" s="49"/>
      <c r="AD3941" s="49"/>
      <c r="AE3941" s="49"/>
      <c r="AF3941" s="49"/>
      <c r="AG3941" s="49"/>
      <c r="AH3941" s="49"/>
      <c r="AI3941" s="49"/>
      <c r="AJ3941" s="49"/>
      <c r="AK3941" s="49"/>
      <c r="AL3941" s="49"/>
      <c r="AM3941" s="49"/>
      <c r="AN3941" s="49"/>
      <c r="AP3941" s="49"/>
      <c r="AQ3941" s="49"/>
      <c r="AR3941" s="49"/>
      <c r="AS3941" s="49"/>
      <c r="AT3941" s="49"/>
    </row>
    <row r="3942">
      <c r="A3942" s="59"/>
      <c r="B3942" s="49"/>
      <c r="C3942" s="50" t="s">
        <v>6124</v>
      </c>
      <c r="D3942" s="49"/>
      <c r="E3942" s="49"/>
      <c r="F3942" s="49"/>
      <c r="G3942" s="49"/>
      <c r="H3942" s="54" t="str">
        <f t="shared" si="1"/>
        <v>,</v>
      </c>
      <c r="I3942" s="50"/>
      <c r="J3942" s="50"/>
      <c r="K3942" s="50"/>
      <c r="L3942" s="50"/>
      <c r="M3942" s="50"/>
      <c r="N3942" s="50"/>
      <c r="O3942" s="49"/>
      <c r="P3942" s="49"/>
      <c r="Q3942" s="49"/>
      <c r="R3942" s="49"/>
      <c r="S3942" s="49"/>
      <c r="T3942" s="49"/>
      <c r="U3942" s="49"/>
      <c r="V3942" s="49"/>
      <c r="W3942" s="49"/>
      <c r="X3942" s="49"/>
      <c r="Y3942" s="49"/>
      <c r="Z3942" s="49"/>
      <c r="AB3942" s="49"/>
      <c r="AC3942" s="49"/>
      <c r="AD3942" s="49"/>
      <c r="AE3942" s="49"/>
      <c r="AF3942" s="49"/>
      <c r="AG3942" s="49"/>
      <c r="AH3942" s="49"/>
      <c r="AI3942" s="49"/>
      <c r="AJ3942" s="49"/>
      <c r="AK3942" s="49"/>
      <c r="AL3942" s="49"/>
      <c r="AM3942" s="49"/>
      <c r="AN3942" s="49"/>
      <c r="AP3942" s="49"/>
      <c r="AQ3942" s="49"/>
      <c r="AR3942" s="49"/>
      <c r="AS3942" s="49"/>
      <c r="AT3942" s="49"/>
    </row>
    <row r="3943">
      <c r="A3943" s="59"/>
      <c r="B3943" s="49"/>
      <c r="C3943" s="50">
        <v>1962.0</v>
      </c>
      <c r="D3943" s="49"/>
      <c r="E3943" s="49"/>
      <c r="F3943" s="49"/>
      <c r="G3943" s="49"/>
      <c r="H3943" s="54" t="str">
        <f t="shared" si="1"/>
        <v>,</v>
      </c>
      <c r="I3943" s="50"/>
      <c r="J3943" s="50"/>
      <c r="K3943" s="50"/>
      <c r="L3943" s="50"/>
      <c r="M3943" s="50"/>
      <c r="N3943" s="50"/>
      <c r="O3943" s="49"/>
      <c r="P3943" s="49"/>
      <c r="Q3943" s="49"/>
      <c r="R3943" s="49"/>
      <c r="S3943" s="49"/>
      <c r="T3943" s="49"/>
      <c r="U3943" s="49"/>
      <c r="V3943" s="49"/>
      <c r="W3943" s="49"/>
      <c r="X3943" s="49"/>
      <c r="Y3943" s="49"/>
      <c r="Z3943" s="49"/>
      <c r="AB3943" s="49"/>
      <c r="AC3943" s="49"/>
      <c r="AD3943" s="49"/>
      <c r="AE3943" s="49"/>
      <c r="AF3943" s="49"/>
      <c r="AG3943" s="49"/>
      <c r="AH3943" s="49"/>
      <c r="AI3943" s="49"/>
      <c r="AJ3943" s="49"/>
      <c r="AK3943" s="49"/>
      <c r="AL3943" s="49"/>
      <c r="AM3943" s="49"/>
      <c r="AN3943" s="49"/>
      <c r="AP3943" s="49"/>
      <c r="AQ3943" s="49"/>
      <c r="AR3943" s="49"/>
      <c r="AS3943" s="49"/>
      <c r="AT3943" s="49"/>
    </row>
    <row r="3944">
      <c r="A3944" s="59"/>
      <c r="B3944" s="49"/>
      <c r="C3944" s="50" t="s">
        <v>7160</v>
      </c>
      <c r="D3944" s="49"/>
      <c r="E3944" s="49"/>
      <c r="F3944" s="49"/>
      <c r="G3944" s="49"/>
      <c r="H3944" s="54" t="str">
        <f t="shared" si="1"/>
        <v>,</v>
      </c>
      <c r="I3944" s="50"/>
      <c r="J3944" s="50"/>
      <c r="K3944" s="50"/>
      <c r="L3944" s="50"/>
      <c r="M3944" s="50"/>
      <c r="N3944" s="50"/>
      <c r="O3944" s="49"/>
      <c r="P3944" s="49"/>
      <c r="Q3944" s="49"/>
      <c r="R3944" s="49"/>
      <c r="S3944" s="49"/>
      <c r="T3944" s="49"/>
      <c r="U3944" s="49"/>
      <c r="V3944" s="49"/>
      <c r="W3944" s="49"/>
      <c r="X3944" s="49"/>
      <c r="Y3944" s="49"/>
      <c r="Z3944" s="49"/>
      <c r="AB3944" s="49"/>
      <c r="AC3944" s="49"/>
      <c r="AD3944" s="49"/>
      <c r="AE3944" s="49"/>
      <c r="AF3944" s="49"/>
      <c r="AG3944" s="49"/>
      <c r="AH3944" s="49"/>
      <c r="AI3944" s="49"/>
      <c r="AJ3944" s="49"/>
      <c r="AK3944" s="49"/>
      <c r="AL3944" s="49"/>
      <c r="AM3944" s="49"/>
      <c r="AN3944" s="49"/>
      <c r="AP3944" s="49"/>
      <c r="AQ3944" s="49"/>
      <c r="AR3944" s="49"/>
      <c r="AS3944" s="49"/>
      <c r="AT3944" s="49"/>
    </row>
    <row r="3945">
      <c r="A3945" s="59"/>
      <c r="B3945" s="49"/>
      <c r="C3945" s="50" t="s">
        <v>5854</v>
      </c>
      <c r="D3945" s="49"/>
      <c r="E3945" s="49"/>
      <c r="F3945" s="49"/>
      <c r="G3945" s="49"/>
      <c r="H3945" s="54" t="str">
        <f t="shared" si="1"/>
        <v>,</v>
      </c>
      <c r="I3945" s="50"/>
      <c r="J3945" s="50"/>
      <c r="K3945" s="50"/>
      <c r="L3945" s="50"/>
      <c r="M3945" s="50"/>
      <c r="N3945" s="50"/>
      <c r="O3945" s="49"/>
      <c r="P3945" s="49"/>
      <c r="Q3945" s="49"/>
      <c r="R3945" s="49"/>
      <c r="S3945" s="49"/>
      <c r="T3945" s="49"/>
      <c r="U3945" s="49"/>
      <c r="V3945" s="49"/>
      <c r="W3945" s="49"/>
      <c r="X3945" s="49"/>
      <c r="Y3945" s="49"/>
      <c r="Z3945" s="49"/>
      <c r="AB3945" s="49"/>
      <c r="AC3945" s="49"/>
      <c r="AD3945" s="49"/>
      <c r="AE3945" s="49"/>
      <c r="AF3945" s="49"/>
      <c r="AG3945" s="49"/>
      <c r="AH3945" s="49"/>
      <c r="AI3945" s="49"/>
      <c r="AJ3945" s="49"/>
      <c r="AK3945" s="49"/>
      <c r="AL3945" s="49"/>
      <c r="AM3945" s="49"/>
      <c r="AN3945" s="49"/>
      <c r="AP3945" s="49"/>
      <c r="AQ3945" s="49"/>
      <c r="AR3945" s="49"/>
      <c r="AS3945" s="49"/>
      <c r="AT3945" s="49"/>
    </row>
    <row r="3946">
      <c r="A3946" s="59"/>
      <c r="B3946" s="49"/>
      <c r="C3946" s="50" t="s">
        <v>7161</v>
      </c>
      <c r="D3946" s="49"/>
      <c r="E3946" s="49"/>
      <c r="F3946" s="49"/>
      <c r="G3946" s="49"/>
      <c r="H3946" s="54" t="str">
        <f t="shared" si="1"/>
        <v>,</v>
      </c>
      <c r="I3946" s="50"/>
      <c r="J3946" s="50"/>
      <c r="K3946" s="50"/>
      <c r="L3946" s="50"/>
      <c r="M3946" s="50"/>
      <c r="N3946" s="50"/>
      <c r="O3946" s="49"/>
      <c r="P3946" s="49"/>
      <c r="Q3946" s="49"/>
      <c r="R3946" s="49"/>
      <c r="S3946" s="49"/>
      <c r="T3946" s="49"/>
      <c r="U3946" s="49"/>
      <c r="V3946" s="49"/>
      <c r="W3946" s="49"/>
      <c r="X3946" s="49"/>
      <c r="Y3946" s="49"/>
      <c r="Z3946" s="49"/>
      <c r="AB3946" s="49"/>
      <c r="AC3946" s="49"/>
      <c r="AD3946" s="49"/>
      <c r="AE3946" s="49"/>
      <c r="AF3946" s="49"/>
      <c r="AG3946" s="49"/>
      <c r="AH3946" s="49"/>
      <c r="AI3946" s="49"/>
      <c r="AJ3946" s="49"/>
      <c r="AK3946" s="49"/>
      <c r="AL3946" s="49"/>
      <c r="AM3946" s="49"/>
      <c r="AN3946" s="49"/>
      <c r="AP3946" s="49"/>
      <c r="AQ3946" s="49"/>
      <c r="AR3946" s="49"/>
      <c r="AS3946" s="49"/>
      <c r="AT3946" s="49"/>
    </row>
    <row r="3947">
      <c r="A3947" s="59"/>
      <c r="B3947" s="49"/>
      <c r="C3947" s="50" t="s">
        <v>7111</v>
      </c>
      <c r="D3947" s="49"/>
      <c r="E3947" s="49"/>
      <c r="F3947" s="49"/>
      <c r="G3947" s="49"/>
      <c r="H3947" s="54" t="str">
        <f t="shared" si="1"/>
        <v>,</v>
      </c>
      <c r="I3947" s="50"/>
      <c r="J3947" s="50"/>
      <c r="K3947" s="50"/>
      <c r="L3947" s="50"/>
      <c r="M3947" s="50"/>
      <c r="N3947" s="50"/>
      <c r="O3947" s="49"/>
      <c r="P3947" s="49"/>
      <c r="Q3947" s="49"/>
      <c r="R3947" s="49"/>
      <c r="S3947" s="49"/>
      <c r="T3947" s="49"/>
      <c r="U3947" s="49"/>
      <c r="V3947" s="49"/>
      <c r="W3947" s="49"/>
      <c r="X3947" s="49"/>
      <c r="Y3947" s="49"/>
      <c r="Z3947" s="49"/>
      <c r="AB3947" s="49"/>
      <c r="AC3947" s="49"/>
      <c r="AD3947" s="49"/>
      <c r="AE3947" s="49"/>
      <c r="AF3947" s="49"/>
      <c r="AG3947" s="49"/>
      <c r="AH3947" s="49"/>
      <c r="AI3947" s="49"/>
      <c r="AJ3947" s="49"/>
      <c r="AK3947" s="49"/>
      <c r="AL3947" s="49"/>
      <c r="AM3947" s="49"/>
      <c r="AN3947" s="49"/>
      <c r="AP3947" s="49"/>
      <c r="AQ3947" s="49"/>
      <c r="AR3947" s="49"/>
      <c r="AS3947" s="49"/>
      <c r="AT3947" s="49"/>
    </row>
    <row r="3948">
      <c r="A3948" s="59"/>
      <c r="B3948" s="49"/>
      <c r="C3948" s="50">
        <v>1987.0</v>
      </c>
      <c r="D3948" s="49"/>
      <c r="E3948" s="49"/>
      <c r="F3948" s="49"/>
      <c r="G3948" s="49"/>
      <c r="H3948" s="54" t="str">
        <f t="shared" si="1"/>
        <v>,</v>
      </c>
      <c r="I3948" s="50"/>
      <c r="J3948" s="50"/>
      <c r="K3948" s="50"/>
      <c r="L3948" s="50"/>
      <c r="M3948" s="50"/>
      <c r="N3948" s="50"/>
      <c r="O3948" s="49"/>
      <c r="P3948" s="49"/>
      <c r="Q3948" s="49"/>
      <c r="R3948" s="49"/>
      <c r="S3948" s="49"/>
      <c r="T3948" s="49"/>
      <c r="U3948" s="49"/>
      <c r="V3948" s="49"/>
      <c r="W3948" s="49"/>
      <c r="X3948" s="49"/>
      <c r="Y3948" s="49"/>
      <c r="Z3948" s="49"/>
      <c r="AB3948" s="49"/>
      <c r="AC3948" s="49"/>
      <c r="AD3948" s="49"/>
      <c r="AE3948" s="49"/>
      <c r="AF3948" s="49"/>
      <c r="AG3948" s="49"/>
      <c r="AH3948" s="49"/>
      <c r="AI3948" s="49"/>
      <c r="AJ3948" s="49"/>
      <c r="AK3948" s="49"/>
      <c r="AL3948" s="49"/>
      <c r="AM3948" s="49"/>
      <c r="AN3948" s="49"/>
      <c r="AP3948" s="49"/>
      <c r="AQ3948" s="49"/>
      <c r="AR3948" s="49"/>
      <c r="AS3948" s="49"/>
      <c r="AT3948" s="49"/>
    </row>
    <row r="3949">
      <c r="A3949" s="59"/>
      <c r="B3949" s="49"/>
      <c r="C3949" s="50" t="s">
        <v>3479</v>
      </c>
      <c r="D3949" s="49"/>
      <c r="E3949" s="49"/>
      <c r="F3949" s="49"/>
      <c r="G3949" s="49"/>
      <c r="H3949" s="54" t="str">
        <f t="shared" si="1"/>
        <v>,</v>
      </c>
      <c r="I3949" s="50"/>
      <c r="J3949" s="50"/>
      <c r="K3949" s="50"/>
      <c r="L3949" s="50"/>
      <c r="M3949" s="50"/>
      <c r="N3949" s="50"/>
      <c r="O3949" s="49"/>
      <c r="P3949" s="49"/>
      <c r="Q3949" s="49"/>
      <c r="R3949" s="49"/>
      <c r="S3949" s="49"/>
      <c r="T3949" s="49"/>
      <c r="U3949" s="49"/>
      <c r="V3949" s="49"/>
      <c r="W3949" s="49"/>
      <c r="X3949" s="49"/>
      <c r="Y3949" s="49"/>
      <c r="Z3949" s="49"/>
      <c r="AB3949" s="49"/>
      <c r="AC3949" s="49"/>
      <c r="AD3949" s="49"/>
      <c r="AE3949" s="49"/>
      <c r="AF3949" s="49"/>
      <c r="AG3949" s="49"/>
      <c r="AH3949" s="49"/>
      <c r="AI3949" s="49"/>
      <c r="AJ3949" s="49"/>
      <c r="AK3949" s="49"/>
      <c r="AL3949" s="49"/>
      <c r="AM3949" s="49"/>
      <c r="AN3949" s="49"/>
      <c r="AP3949" s="49"/>
      <c r="AQ3949" s="49"/>
      <c r="AR3949" s="49"/>
      <c r="AS3949" s="49"/>
      <c r="AT3949" s="49"/>
    </row>
    <row r="3950">
      <c r="A3950" s="59"/>
      <c r="B3950" s="49"/>
      <c r="C3950" s="50" t="s">
        <v>7042</v>
      </c>
      <c r="D3950" s="49"/>
      <c r="E3950" s="49"/>
      <c r="F3950" s="49"/>
      <c r="G3950" s="49"/>
      <c r="H3950" s="54" t="str">
        <f t="shared" si="1"/>
        <v>,</v>
      </c>
      <c r="I3950" s="50"/>
      <c r="J3950" s="50"/>
      <c r="K3950" s="50"/>
      <c r="L3950" s="50"/>
      <c r="M3950" s="50"/>
      <c r="N3950" s="50"/>
      <c r="O3950" s="49"/>
      <c r="P3950" s="49"/>
      <c r="Q3950" s="49"/>
      <c r="R3950" s="49"/>
      <c r="S3950" s="49"/>
      <c r="T3950" s="49"/>
      <c r="U3950" s="49"/>
      <c r="V3950" s="49"/>
      <c r="W3950" s="49"/>
      <c r="X3950" s="49"/>
      <c r="Y3950" s="49"/>
      <c r="Z3950" s="49"/>
      <c r="AB3950" s="49"/>
      <c r="AC3950" s="49"/>
      <c r="AD3950" s="49"/>
      <c r="AE3950" s="49"/>
      <c r="AF3950" s="49"/>
      <c r="AG3950" s="49"/>
      <c r="AH3950" s="49"/>
      <c r="AI3950" s="49"/>
      <c r="AJ3950" s="49"/>
      <c r="AK3950" s="49"/>
      <c r="AL3950" s="49"/>
      <c r="AM3950" s="49"/>
      <c r="AN3950" s="49"/>
      <c r="AP3950" s="49"/>
      <c r="AQ3950" s="49"/>
      <c r="AR3950" s="49"/>
      <c r="AS3950" s="49"/>
      <c r="AT3950" s="49"/>
    </row>
    <row r="3951">
      <c r="A3951" s="59"/>
      <c r="B3951" s="49"/>
      <c r="C3951" s="50" t="s">
        <v>4005</v>
      </c>
      <c r="D3951" s="49"/>
      <c r="E3951" s="49"/>
      <c r="F3951" s="49"/>
      <c r="G3951" s="49"/>
      <c r="H3951" s="54" t="str">
        <f t="shared" si="1"/>
        <v>,</v>
      </c>
      <c r="I3951" s="50"/>
      <c r="J3951" s="50"/>
      <c r="K3951" s="50"/>
      <c r="L3951" s="50"/>
      <c r="M3951" s="50"/>
      <c r="N3951" s="50"/>
      <c r="O3951" s="49"/>
      <c r="P3951" s="49"/>
      <c r="Q3951" s="49"/>
      <c r="R3951" s="49"/>
      <c r="S3951" s="49"/>
      <c r="T3951" s="49"/>
      <c r="U3951" s="49"/>
      <c r="V3951" s="49"/>
      <c r="W3951" s="49"/>
      <c r="X3951" s="49"/>
      <c r="Y3951" s="49"/>
      <c r="Z3951" s="49"/>
      <c r="AB3951" s="49"/>
      <c r="AC3951" s="49"/>
      <c r="AD3951" s="49"/>
      <c r="AE3951" s="49"/>
      <c r="AF3951" s="49"/>
      <c r="AG3951" s="49"/>
      <c r="AH3951" s="49"/>
      <c r="AI3951" s="49"/>
      <c r="AJ3951" s="49"/>
      <c r="AK3951" s="49"/>
      <c r="AL3951" s="49"/>
      <c r="AM3951" s="49"/>
      <c r="AN3951" s="49"/>
      <c r="AP3951" s="49"/>
      <c r="AQ3951" s="49"/>
      <c r="AR3951" s="49"/>
      <c r="AS3951" s="49"/>
      <c r="AT3951" s="49"/>
    </row>
    <row r="3952">
      <c r="A3952" s="59"/>
      <c r="B3952" s="49"/>
      <c r="C3952" s="50" t="s">
        <v>6127</v>
      </c>
      <c r="D3952" s="49"/>
      <c r="E3952" s="49"/>
      <c r="F3952" s="49"/>
      <c r="G3952" s="49"/>
      <c r="H3952" s="54" t="str">
        <f t="shared" si="1"/>
        <v>,</v>
      </c>
      <c r="I3952" s="50"/>
      <c r="J3952" s="50"/>
      <c r="K3952" s="50"/>
      <c r="L3952" s="50"/>
      <c r="M3952" s="50"/>
      <c r="N3952" s="50"/>
      <c r="O3952" s="49"/>
      <c r="P3952" s="49"/>
      <c r="Q3952" s="49"/>
      <c r="R3952" s="49"/>
      <c r="S3952" s="49"/>
      <c r="T3952" s="49"/>
      <c r="U3952" s="49"/>
      <c r="V3952" s="49"/>
      <c r="W3952" s="49"/>
      <c r="X3952" s="49"/>
      <c r="Y3952" s="49"/>
      <c r="Z3952" s="49"/>
      <c r="AB3952" s="49"/>
      <c r="AC3952" s="49"/>
      <c r="AD3952" s="49"/>
      <c r="AE3952" s="49"/>
      <c r="AF3952" s="49"/>
      <c r="AG3952" s="49"/>
      <c r="AH3952" s="49"/>
      <c r="AI3952" s="49"/>
      <c r="AJ3952" s="49"/>
      <c r="AK3952" s="49"/>
      <c r="AL3952" s="49"/>
      <c r="AM3952" s="49"/>
      <c r="AN3952" s="49"/>
      <c r="AP3952" s="49"/>
      <c r="AQ3952" s="49"/>
      <c r="AR3952" s="49"/>
      <c r="AS3952" s="49"/>
      <c r="AT3952" s="49"/>
    </row>
    <row r="3953">
      <c r="A3953" s="59"/>
      <c r="B3953" s="49"/>
      <c r="C3953" s="50" t="s">
        <v>4596</v>
      </c>
      <c r="D3953" s="49"/>
      <c r="E3953" s="49"/>
      <c r="F3953" s="49"/>
      <c r="G3953" s="49"/>
      <c r="H3953" s="54" t="str">
        <f t="shared" si="1"/>
        <v>,</v>
      </c>
      <c r="I3953" s="50"/>
      <c r="J3953" s="50"/>
      <c r="K3953" s="50"/>
      <c r="L3953" s="50"/>
      <c r="M3953" s="50"/>
      <c r="N3953" s="50"/>
      <c r="O3953" s="49"/>
      <c r="P3953" s="49"/>
      <c r="Q3953" s="49"/>
      <c r="R3953" s="49"/>
      <c r="S3953" s="49"/>
      <c r="T3953" s="49"/>
      <c r="U3953" s="49"/>
      <c r="V3953" s="49"/>
      <c r="W3953" s="49"/>
      <c r="X3953" s="49"/>
      <c r="Y3953" s="49"/>
      <c r="Z3953" s="49"/>
      <c r="AB3953" s="49"/>
      <c r="AC3953" s="49"/>
      <c r="AD3953" s="49"/>
      <c r="AE3953" s="49"/>
      <c r="AF3953" s="49"/>
      <c r="AG3953" s="49"/>
      <c r="AH3953" s="49"/>
      <c r="AI3953" s="49"/>
      <c r="AJ3953" s="49"/>
      <c r="AK3953" s="49"/>
      <c r="AL3953" s="49"/>
      <c r="AM3953" s="49"/>
      <c r="AN3953" s="49"/>
      <c r="AP3953" s="49"/>
      <c r="AQ3953" s="49"/>
      <c r="AR3953" s="49"/>
      <c r="AS3953" s="49"/>
      <c r="AT3953" s="49"/>
    </row>
    <row r="3954">
      <c r="A3954" s="59"/>
      <c r="B3954" s="49"/>
      <c r="C3954" s="50" t="s">
        <v>7043</v>
      </c>
      <c r="D3954" s="49"/>
      <c r="E3954" s="49"/>
      <c r="F3954" s="49"/>
      <c r="G3954" s="49"/>
      <c r="H3954" s="54" t="str">
        <f t="shared" si="1"/>
        <v>,</v>
      </c>
      <c r="I3954" s="50"/>
      <c r="J3954" s="50"/>
      <c r="K3954" s="50"/>
      <c r="L3954" s="50"/>
      <c r="M3954" s="50"/>
      <c r="N3954" s="50"/>
      <c r="O3954" s="49"/>
      <c r="P3954" s="49"/>
      <c r="Q3954" s="49"/>
      <c r="R3954" s="49"/>
      <c r="S3954" s="49"/>
      <c r="T3954" s="49"/>
      <c r="U3954" s="49"/>
      <c r="V3954" s="49"/>
      <c r="W3954" s="49"/>
      <c r="X3954" s="49"/>
      <c r="Y3954" s="49"/>
      <c r="Z3954" s="49"/>
      <c r="AB3954" s="49"/>
      <c r="AC3954" s="49"/>
      <c r="AD3954" s="49"/>
      <c r="AE3954" s="49"/>
      <c r="AF3954" s="49"/>
      <c r="AG3954" s="49"/>
      <c r="AH3954" s="49"/>
      <c r="AI3954" s="49"/>
      <c r="AJ3954" s="49"/>
      <c r="AK3954" s="49"/>
      <c r="AL3954" s="49"/>
      <c r="AM3954" s="49"/>
      <c r="AN3954" s="49"/>
      <c r="AP3954" s="49"/>
      <c r="AQ3954" s="49"/>
      <c r="AR3954" s="49"/>
      <c r="AS3954" s="49"/>
      <c r="AT3954" s="49"/>
    </row>
    <row r="3955">
      <c r="A3955" s="59"/>
      <c r="B3955" s="49"/>
      <c r="C3955" s="50">
        <v>1959.0</v>
      </c>
      <c r="D3955" s="49"/>
      <c r="E3955" s="49"/>
      <c r="F3955" s="49"/>
      <c r="G3955" s="49"/>
      <c r="H3955" s="54" t="str">
        <f t="shared" si="1"/>
        <v>,</v>
      </c>
      <c r="I3955" s="50"/>
      <c r="J3955" s="50"/>
      <c r="K3955" s="50"/>
      <c r="L3955" s="50"/>
      <c r="M3955" s="50"/>
      <c r="N3955" s="50"/>
      <c r="O3955" s="49"/>
      <c r="P3955" s="49"/>
      <c r="Q3955" s="49"/>
      <c r="R3955" s="49"/>
      <c r="S3955" s="49"/>
      <c r="T3955" s="49"/>
      <c r="U3955" s="49"/>
      <c r="V3955" s="49"/>
      <c r="W3955" s="49"/>
      <c r="X3955" s="49"/>
      <c r="Y3955" s="49"/>
      <c r="Z3955" s="49"/>
      <c r="AB3955" s="49"/>
      <c r="AC3955" s="49"/>
      <c r="AD3955" s="49"/>
      <c r="AE3955" s="49"/>
      <c r="AF3955" s="49"/>
      <c r="AG3955" s="49"/>
      <c r="AH3955" s="49"/>
      <c r="AI3955" s="49"/>
      <c r="AJ3955" s="49"/>
      <c r="AK3955" s="49"/>
      <c r="AL3955" s="49"/>
      <c r="AM3955" s="49"/>
      <c r="AN3955" s="49"/>
      <c r="AP3955" s="49"/>
      <c r="AQ3955" s="49"/>
      <c r="AR3955" s="49"/>
      <c r="AS3955" s="49"/>
      <c r="AT3955" s="49"/>
    </row>
    <row r="3956">
      <c r="A3956" s="59"/>
      <c r="B3956" s="49"/>
      <c r="C3956" s="50" t="s">
        <v>5858</v>
      </c>
      <c r="D3956" s="49"/>
      <c r="E3956" s="49"/>
      <c r="F3956" s="49"/>
      <c r="G3956" s="49"/>
      <c r="H3956" s="54" t="str">
        <f t="shared" si="1"/>
        <v>,</v>
      </c>
      <c r="I3956" s="50"/>
      <c r="J3956" s="50"/>
      <c r="K3956" s="50"/>
      <c r="L3956" s="50"/>
      <c r="M3956" s="50"/>
      <c r="N3956" s="50"/>
      <c r="O3956" s="49"/>
      <c r="P3956" s="49"/>
      <c r="Q3956" s="49"/>
      <c r="R3956" s="49"/>
      <c r="S3956" s="49"/>
      <c r="T3956" s="49"/>
      <c r="U3956" s="49"/>
      <c r="V3956" s="49"/>
      <c r="W3956" s="49"/>
      <c r="X3956" s="49"/>
      <c r="Y3956" s="49"/>
      <c r="Z3956" s="49"/>
      <c r="AB3956" s="49"/>
      <c r="AC3956" s="49"/>
      <c r="AD3956" s="49"/>
      <c r="AE3956" s="49"/>
      <c r="AF3956" s="49"/>
      <c r="AG3956" s="49"/>
      <c r="AH3956" s="49"/>
      <c r="AI3956" s="49"/>
      <c r="AJ3956" s="49"/>
      <c r="AK3956" s="49"/>
      <c r="AL3956" s="49"/>
      <c r="AM3956" s="49"/>
      <c r="AN3956" s="49"/>
      <c r="AP3956" s="49"/>
      <c r="AQ3956" s="49"/>
      <c r="AR3956" s="49"/>
      <c r="AS3956" s="49"/>
      <c r="AT3956" s="49"/>
    </row>
    <row r="3957">
      <c r="A3957" s="59"/>
      <c r="B3957" s="49"/>
      <c r="C3957" s="50" t="s">
        <v>7162</v>
      </c>
      <c r="D3957" s="49"/>
      <c r="E3957" s="49"/>
      <c r="F3957" s="49"/>
      <c r="G3957" s="49"/>
      <c r="H3957" s="54" t="str">
        <f t="shared" si="1"/>
        <v>,</v>
      </c>
      <c r="I3957" s="50"/>
      <c r="J3957" s="50"/>
      <c r="K3957" s="50"/>
      <c r="L3957" s="50"/>
      <c r="M3957" s="50"/>
      <c r="N3957" s="50"/>
      <c r="O3957" s="49"/>
      <c r="P3957" s="49"/>
      <c r="Q3957" s="49"/>
      <c r="R3957" s="49"/>
      <c r="S3957" s="49"/>
      <c r="T3957" s="49"/>
      <c r="U3957" s="49"/>
      <c r="V3957" s="49"/>
      <c r="W3957" s="49"/>
      <c r="X3957" s="49"/>
      <c r="Y3957" s="49"/>
      <c r="Z3957" s="49"/>
      <c r="AB3957" s="49"/>
      <c r="AC3957" s="49"/>
      <c r="AD3957" s="49"/>
      <c r="AE3957" s="49"/>
      <c r="AF3957" s="49"/>
      <c r="AG3957" s="49"/>
      <c r="AH3957" s="49"/>
      <c r="AI3957" s="49"/>
      <c r="AJ3957" s="49"/>
      <c r="AK3957" s="49"/>
      <c r="AL3957" s="49"/>
      <c r="AM3957" s="49"/>
      <c r="AN3957" s="49"/>
      <c r="AP3957" s="49"/>
      <c r="AQ3957" s="49"/>
      <c r="AR3957" s="49"/>
      <c r="AS3957" s="49"/>
      <c r="AT3957" s="49"/>
    </row>
    <row r="3958">
      <c r="A3958" s="59"/>
      <c r="B3958" s="49"/>
      <c r="C3958" s="50" t="s">
        <v>7044</v>
      </c>
      <c r="D3958" s="49"/>
      <c r="E3958" s="49"/>
      <c r="F3958" s="49"/>
      <c r="G3958" s="49"/>
      <c r="H3958" s="54" t="str">
        <f t="shared" si="1"/>
        <v>,</v>
      </c>
      <c r="I3958" s="50"/>
      <c r="J3958" s="50"/>
      <c r="K3958" s="50"/>
      <c r="L3958" s="50"/>
      <c r="M3958" s="50"/>
      <c r="N3958" s="50"/>
      <c r="O3958" s="49"/>
      <c r="P3958" s="49"/>
      <c r="Q3958" s="49"/>
      <c r="R3958" s="49"/>
      <c r="S3958" s="49"/>
      <c r="T3958" s="49"/>
      <c r="U3958" s="49"/>
      <c r="V3958" s="49"/>
      <c r="W3958" s="49"/>
      <c r="X3958" s="49"/>
      <c r="Y3958" s="49"/>
      <c r="Z3958" s="49"/>
      <c r="AB3958" s="49"/>
      <c r="AC3958" s="49"/>
      <c r="AD3958" s="49"/>
      <c r="AE3958" s="49"/>
      <c r="AF3958" s="49"/>
      <c r="AG3958" s="49"/>
      <c r="AH3958" s="49"/>
      <c r="AI3958" s="49"/>
      <c r="AJ3958" s="49"/>
      <c r="AK3958" s="49"/>
      <c r="AL3958" s="49"/>
      <c r="AM3958" s="49"/>
      <c r="AN3958" s="49"/>
      <c r="AP3958" s="49"/>
      <c r="AQ3958" s="49"/>
      <c r="AR3958" s="49"/>
      <c r="AS3958" s="49"/>
      <c r="AT3958" s="49"/>
    </row>
    <row r="3959">
      <c r="A3959" s="59"/>
      <c r="B3959" s="49"/>
      <c r="C3959" s="50" t="s">
        <v>7045</v>
      </c>
      <c r="D3959" s="49"/>
      <c r="E3959" s="49"/>
      <c r="F3959" s="49"/>
      <c r="G3959" s="49"/>
      <c r="H3959" s="54" t="str">
        <f t="shared" si="1"/>
        <v>,</v>
      </c>
      <c r="I3959" s="50"/>
      <c r="J3959" s="50"/>
      <c r="K3959" s="50"/>
      <c r="L3959" s="50"/>
      <c r="M3959" s="50"/>
      <c r="N3959" s="50"/>
      <c r="O3959" s="49"/>
      <c r="P3959" s="49"/>
      <c r="Q3959" s="49"/>
      <c r="R3959" s="49"/>
      <c r="S3959" s="49"/>
      <c r="T3959" s="49"/>
      <c r="U3959" s="49"/>
      <c r="V3959" s="49"/>
      <c r="W3959" s="49"/>
      <c r="X3959" s="49"/>
      <c r="Y3959" s="49"/>
      <c r="Z3959" s="49"/>
      <c r="AB3959" s="49"/>
      <c r="AC3959" s="49"/>
      <c r="AD3959" s="49"/>
      <c r="AE3959" s="49"/>
      <c r="AF3959" s="49"/>
      <c r="AG3959" s="49"/>
      <c r="AH3959" s="49"/>
      <c r="AI3959" s="49"/>
      <c r="AJ3959" s="49"/>
      <c r="AK3959" s="49"/>
      <c r="AL3959" s="49"/>
      <c r="AM3959" s="49"/>
      <c r="AN3959" s="49"/>
      <c r="AP3959" s="49"/>
      <c r="AQ3959" s="49"/>
      <c r="AR3959" s="49"/>
      <c r="AS3959" s="49"/>
      <c r="AT3959" s="49"/>
    </row>
    <row r="3960">
      <c r="A3960" s="59"/>
      <c r="B3960" s="49"/>
      <c r="C3960" s="50" t="s">
        <v>4012</v>
      </c>
      <c r="D3960" s="49"/>
      <c r="E3960" s="49"/>
      <c r="F3960" s="49"/>
      <c r="G3960" s="49"/>
      <c r="H3960" s="54" t="str">
        <f t="shared" si="1"/>
        <v>,</v>
      </c>
      <c r="I3960" s="50"/>
      <c r="J3960" s="50"/>
      <c r="K3960" s="50"/>
      <c r="L3960" s="50"/>
      <c r="M3960" s="50"/>
      <c r="N3960" s="50"/>
      <c r="O3960" s="49"/>
      <c r="P3960" s="49"/>
      <c r="Q3960" s="49"/>
      <c r="R3960" s="49"/>
      <c r="S3960" s="49"/>
      <c r="T3960" s="49"/>
      <c r="U3960" s="49"/>
      <c r="V3960" s="49"/>
      <c r="W3960" s="49"/>
      <c r="X3960" s="49"/>
      <c r="Y3960" s="49"/>
      <c r="Z3960" s="49"/>
      <c r="AB3960" s="49"/>
      <c r="AC3960" s="49"/>
      <c r="AD3960" s="49"/>
      <c r="AE3960" s="49"/>
      <c r="AF3960" s="49"/>
      <c r="AG3960" s="49"/>
      <c r="AH3960" s="49"/>
      <c r="AI3960" s="49"/>
      <c r="AJ3960" s="49"/>
      <c r="AK3960" s="49"/>
      <c r="AL3960" s="49"/>
      <c r="AM3960" s="49"/>
      <c r="AN3960" s="49"/>
      <c r="AP3960" s="49"/>
      <c r="AQ3960" s="49"/>
      <c r="AR3960" s="49"/>
      <c r="AS3960" s="49"/>
      <c r="AT3960" s="49"/>
    </row>
    <row r="3961">
      <c r="A3961" s="59"/>
      <c r="B3961" s="49"/>
      <c r="C3961" s="50" t="s">
        <v>3324</v>
      </c>
      <c r="D3961" s="49"/>
      <c r="E3961" s="49"/>
      <c r="F3961" s="49"/>
      <c r="G3961" s="49"/>
      <c r="H3961" s="54" t="str">
        <f t="shared" si="1"/>
        <v>,</v>
      </c>
      <c r="I3961" s="50"/>
      <c r="J3961" s="50"/>
      <c r="K3961" s="50"/>
      <c r="L3961" s="50"/>
      <c r="M3961" s="50"/>
      <c r="N3961" s="50"/>
      <c r="O3961" s="49"/>
      <c r="P3961" s="49"/>
      <c r="Q3961" s="49"/>
      <c r="R3961" s="49"/>
      <c r="S3961" s="49"/>
      <c r="T3961" s="49"/>
      <c r="U3961" s="49"/>
      <c r="V3961" s="49"/>
      <c r="W3961" s="49"/>
      <c r="X3961" s="49"/>
      <c r="Y3961" s="49"/>
      <c r="Z3961" s="49"/>
      <c r="AB3961" s="49"/>
      <c r="AC3961" s="49"/>
      <c r="AD3961" s="49"/>
      <c r="AE3961" s="49"/>
      <c r="AF3961" s="49"/>
      <c r="AG3961" s="49"/>
      <c r="AH3961" s="49"/>
      <c r="AI3961" s="49"/>
      <c r="AJ3961" s="49"/>
      <c r="AK3961" s="49"/>
      <c r="AL3961" s="49"/>
      <c r="AM3961" s="49"/>
      <c r="AN3961" s="49"/>
      <c r="AP3961" s="49"/>
      <c r="AQ3961" s="49"/>
      <c r="AR3961" s="49"/>
      <c r="AS3961" s="49"/>
      <c r="AT3961" s="49"/>
    </row>
    <row r="3962">
      <c r="A3962" s="59"/>
      <c r="B3962" s="49"/>
      <c r="C3962" s="50" t="s">
        <v>7046</v>
      </c>
      <c r="D3962" s="49"/>
      <c r="E3962" s="49"/>
      <c r="F3962" s="49"/>
      <c r="G3962" s="49"/>
      <c r="H3962" s="54" t="str">
        <f t="shared" si="1"/>
        <v>,</v>
      </c>
      <c r="I3962" s="50"/>
      <c r="J3962" s="50"/>
      <c r="K3962" s="50"/>
      <c r="L3962" s="50"/>
      <c r="M3962" s="50"/>
      <c r="N3962" s="50"/>
      <c r="O3962" s="49"/>
      <c r="P3962" s="49"/>
      <c r="Q3962" s="49"/>
      <c r="R3962" s="49"/>
      <c r="S3962" s="49"/>
      <c r="T3962" s="49"/>
      <c r="U3962" s="49"/>
      <c r="V3962" s="49"/>
      <c r="W3962" s="49"/>
      <c r="X3962" s="49"/>
      <c r="Y3962" s="49"/>
      <c r="Z3962" s="49"/>
      <c r="AB3962" s="49"/>
      <c r="AC3962" s="49"/>
      <c r="AD3962" s="49"/>
      <c r="AE3962" s="49"/>
      <c r="AF3962" s="49"/>
      <c r="AG3962" s="49"/>
      <c r="AH3962" s="49"/>
      <c r="AI3962" s="49"/>
      <c r="AJ3962" s="49"/>
      <c r="AK3962" s="49"/>
      <c r="AL3962" s="49"/>
      <c r="AM3962" s="49"/>
      <c r="AN3962" s="49"/>
      <c r="AP3962" s="49"/>
      <c r="AQ3962" s="49"/>
      <c r="AR3962" s="49"/>
      <c r="AS3962" s="49"/>
      <c r="AT3962" s="49"/>
    </row>
    <row r="3963">
      <c r="A3963" s="59"/>
      <c r="B3963" s="49"/>
      <c r="C3963" s="50" t="s">
        <v>7163</v>
      </c>
      <c r="D3963" s="49"/>
      <c r="E3963" s="49"/>
      <c r="F3963" s="49"/>
      <c r="G3963" s="49"/>
      <c r="H3963" s="54" t="str">
        <f t="shared" si="1"/>
        <v>,</v>
      </c>
      <c r="I3963" s="50"/>
      <c r="J3963" s="50"/>
      <c r="K3963" s="50"/>
      <c r="L3963" s="50"/>
      <c r="M3963" s="50"/>
      <c r="N3963" s="50"/>
      <c r="O3963" s="49"/>
      <c r="P3963" s="49"/>
      <c r="Q3963" s="49"/>
      <c r="R3963" s="49"/>
      <c r="S3963" s="49"/>
      <c r="T3963" s="49"/>
      <c r="U3963" s="49"/>
      <c r="V3963" s="49"/>
      <c r="W3963" s="49"/>
      <c r="X3963" s="49"/>
      <c r="Y3963" s="49"/>
      <c r="Z3963" s="49"/>
      <c r="AB3963" s="49"/>
      <c r="AC3963" s="49"/>
      <c r="AD3963" s="49"/>
      <c r="AE3963" s="49"/>
      <c r="AF3963" s="49"/>
      <c r="AG3963" s="49"/>
      <c r="AH3963" s="49"/>
      <c r="AI3963" s="49"/>
      <c r="AJ3963" s="49"/>
      <c r="AK3963" s="49"/>
      <c r="AL3963" s="49"/>
      <c r="AM3963" s="49"/>
      <c r="AN3963" s="49"/>
      <c r="AP3963" s="49"/>
      <c r="AQ3963" s="49"/>
      <c r="AR3963" s="49"/>
      <c r="AS3963" s="49"/>
      <c r="AT3963" s="49"/>
    </row>
    <row r="3964">
      <c r="A3964" s="59"/>
      <c r="B3964" s="49"/>
      <c r="C3964" s="50" t="s">
        <v>5400</v>
      </c>
      <c r="D3964" s="49"/>
      <c r="E3964" s="49"/>
      <c r="F3964" s="49"/>
      <c r="G3964" s="49"/>
      <c r="H3964" s="54" t="str">
        <f t="shared" si="1"/>
        <v>,</v>
      </c>
      <c r="I3964" s="50"/>
      <c r="J3964" s="50"/>
      <c r="K3964" s="50"/>
      <c r="L3964" s="50"/>
      <c r="M3964" s="50"/>
      <c r="N3964" s="50"/>
      <c r="O3964" s="49"/>
      <c r="P3964" s="49"/>
      <c r="Q3964" s="49"/>
      <c r="R3964" s="49"/>
      <c r="S3964" s="49"/>
      <c r="T3964" s="49"/>
      <c r="U3964" s="49"/>
      <c r="V3964" s="49"/>
      <c r="W3964" s="49"/>
      <c r="X3964" s="49"/>
      <c r="Y3964" s="49"/>
      <c r="Z3964" s="49"/>
      <c r="AB3964" s="49"/>
      <c r="AC3964" s="49"/>
      <c r="AD3964" s="49"/>
      <c r="AE3964" s="49"/>
      <c r="AF3964" s="49"/>
      <c r="AG3964" s="49"/>
      <c r="AH3964" s="49"/>
      <c r="AI3964" s="49"/>
      <c r="AJ3964" s="49"/>
      <c r="AK3964" s="49"/>
      <c r="AL3964" s="49"/>
      <c r="AM3964" s="49"/>
      <c r="AN3964" s="49"/>
      <c r="AP3964" s="49"/>
      <c r="AQ3964" s="49"/>
      <c r="AR3964" s="49"/>
      <c r="AS3964" s="49"/>
      <c r="AT3964" s="49"/>
    </row>
    <row r="3965">
      <c r="A3965" s="59"/>
      <c r="B3965" s="49"/>
      <c r="C3965" s="50" t="s">
        <v>7164</v>
      </c>
      <c r="D3965" s="49"/>
      <c r="E3965" s="49"/>
      <c r="F3965" s="49"/>
      <c r="G3965" s="49"/>
      <c r="H3965" s="54" t="str">
        <f t="shared" si="1"/>
        <v>,</v>
      </c>
      <c r="I3965" s="50"/>
      <c r="J3965" s="50"/>
      <c r="K3965" s="50"/>
      <c r="L3965" s="50"/>
      <c r="M3965" s="50"/>
      <c r="N3965" s="50"/>
      <c r="O3965" s="49"/>
      <c r="P3965" s="49"/>
      <c r="Q3965" s="49"/>
      <c r="R3965" s="49"/>
      <c r="S3965" s="49"/>
      <c r="T3965" s="49"/>
      <c r="U3965" s="49"/>
      <c r="V3965" s="49"/>
      <c r="W3965" s="49"/>
      <c r="X3965" s="49"/>
      <c r="Y3965" s="49"/>
      <c r="Z3965" s="49"/>
      <c r="AB3965" s="49"/>
      <c r="AC3965" s="49"/>
      <c r="AD3965" s="49"/>
      <c r="AE3965" s="49"/>
      <c r="AF3965" s="49"/>
      <c r="AG3965" s="49"/>
      <c r="AH3965" s="49"/>
      <c r="AI3965" s="49"/>
      <c r="AJ3965" s="49"/>
      <c r="AK3965" s="49"/>
      <c r="AL3965" s="49"/>
      <c r="AM3965" s="49"/>
      <c r="AN3965" s="49"/>
      <c r="AP3965" s="49"/>
      <c r="AQ3965" s="49"/>
      <c r="AR3965" s="49"/>
      <c r="AS3965" s="49"/>
      <c r="AT3965" s="49"/>
    </row>
    <row r="3966">
      <c r="A3966" s="59"/>
      <c r="B3966" s="49"/>
      <c r="C3966" s="50" t="s">
        <v>7165</v>
      </c>
      <c r="D3966" s="49"/>
      <c r="E3966" s="49"/>
      <c r="F3966" s="49"/>
      <c r="G3966" s="49"/>
      <c r="H3966" s="54" t="str">
        <f t="shared" si="1"/>
        <v>,</v>
      </c>
      <c r="I3966" s="50"/>
      <c r="J3966" s="50"/>
      <c r="K3966" s="50"/>
      <c r="L3966" s="50"/>
      <c r="M3966" s="50"/>
      <c r="N3966" s="50"/>
      <c r="O3966" s="49"/>
      <c r="P3966" s="49"/>
      <c r="Q3966" s="49"/>
      <c r="R3966" s="49"/>
      <c r="S3966" s="49"/>
      <c r="T3966" s="49"/>
      <c r="U3966" s="49"/>
      <c r="V3966" s="49"/>
      <c r="W3966" s="49"/>
      <c r="X3966" s="49"/>
      <c r="Y3966" s="49"/>
      <c r="Z3966" s="49"/>
      <c r="AB3966" s="49"/>
      <c r="AC3966" s="49"/>
      <c r="AD3966" s="49"/>
      <c r="AE3966" s="49"/>
      <c r="AF3966" s="49"/>
      <c r="AG3966" s="49"/>
      <c r="AH3966" s="49"/>
      <c r="AI3966" s="49"/>
      <c r="AJ3966" s="49"/>
      <c r="AK3966" s="49"/>
      <c r="AL3966" s="49"/>
      <c r="AM3966" s="49"/>
      <c r="AN3966" s="49"/>
      <c r="AP3966" s="49"/>
      <c r="AQ3966" s="49"/>
      <c r="AR3966" s="49"/>
      <c r="AS3966" s="49"/>
      <c r="AT3966" s="49"/>
    </row>
    <row r="3967">
      <c r="A3967" s="59"/>
      <c r="B3967" s="49"/>
      <c r="C3967" s="50" t="s">
        <v>7166</v>
      </c>
      <c r="D3967" s="49"/>
      <c r="E3967" s="49"/>
      <c r="F3967" s="49"/>
      <c r="G3967" s="49"/>
      <c r="H3967" s="54" t="str">
        <f t="shared" si="1"/>
        <v>,</v>
      </c>
      <c r="I3967" s="50"/>
      <c r="J3967" s="50"/>
      <c r="K3967" s="50"/>
      <c r="L3967" s="50"/>
      <c r="M3967" s="50"/>
      <c r="N3967" s="50"/>
      <c r="O3967" s="49"/>
      <c r="P3967" s="49"/>
      <c r="Q3967" s="49"/>
      <c r="R3967" s="49"/>
      <c r="S3967" s="49"/>
      <c r="T3967" s="49"/>
      <c r="U3967" s="49"/>
      <c r="V3967" s="49"/>
      <c r="W3967" s="49"/>
      <c r="X3967" s="49"/>
      <c r="Y3967" s="49"/>
      <c r="Z3967" s="49"/>
      <c r="AB3967" s="49"/>
      <c r="AC3967" s="49"/>
      <c r="AD3967" s="49"/>
      <c r="AE3967" s="49"/>
      <c r="AF3967" s="49"/>
      <c r="AG3967" s="49"/>
      <c r="AH3967" s="49"/>
      <c r="AI3967" s="49"/>
      <c r="AJ3967" s="49"/>
      <c r="AK3967" s="49"/>
      <c r="AL3967" s="49"/>
      <c r="AM3967" s="49"/>
      <c r="AN3967" s="49"/>
      <c r="AP3967" s="49"/>
      <c r="AQ3967" s="49"/>
      <c r="AR3967" s="49"/>
      <c r="AS3967" s="49"/>
      <c r="AT3967" s="49"/>
    </row>
    <row r="3968">
      <c r="A3968" s="59"/>
      <c r="B3968" s="49"/>
      <c r="C3968" s="50" t="s">
        <v>7167</v>
      </c>
      <c r="D3968" s="49"/>
      <c r="E3968" s="49"/>
      <c r="F3968" s="49"/>
      <c r="G3968" s="49"/>
      <c r="H3968" s="54" t="str">
        <f t="shared" si="1"/>
        <v>,</v>
      </c>
      <c r="I3968" s="50"/>
      <c r="J3968" s="50"/>
      <c r="K3968" s="50"/>
      <c r="L3968" s="50"/>
      <c r="M3968" s="50"/>
      <c r="N3968" s="50"/>
      <c r="O3968" s="49"/>
      <c r="P3968" s="49"/>
      <c r="Q3968" s="49"/>
      <c r="R3968" s="49"/>
      <c r="S3968" s="49"/>
      <c r="T3968" s="49"/>
      <c r="U3968" s="49"/>
      <c r="V3968" s="49"/>
      <c r="W3968" s="49"/>
      <c r="X3968" s="49"/>
      <c r="Y3968" s="49"/>
      <c r="Z3968" s="49"/>
      <c r="AB3968" s="49"/>
      <c r="AC3968" s="49"/>
      <c r="AD3968" s="49"/>
      <c r="AE3968" s="49"/>
      <c r="AF3968" s="49"/>
      <c r="AG3968" s="49"/>
      <c r="AH3968" s="49"/>
      <c r="AI3968" s="49"/>
      <c r="AJ3968" s="49"/>
      <c r="AK3968" s="49"/>
      <c r="AL3968" s="49"/>
      <c r="AM3968" s="49"/>
      <c r="AN3968" s="49"/>
      <c r="AP3968" s="49"/>
      <c r="AQ3968" s="49"/>
      <c r="AR3968" s="49"/>
      <c r="AS3968" s="49"/>
      <c r="AT3968" s="49"/>
    </row>
    <row r="3969">
      <c r="A3969" s="59"/>
      <c r="B3969" s="49"/>
      <c r="C3969" s="50" t="s">
        <v>7047</v>
      </c>
      <c r="D3969" s="49"/>
      <c r="E3969" s="49"/>
      <c r="F3969" s="49"/>
      <c r="G3969" s="49"/>
      <c r="H3969" s="54" t="str">
        <f t="shared" si="1"/>
        <v>,</v>
      </c>
      <c r="I3969" s="50"/>
      <c r="J3969" s="50"/>
      <c r="K3969" s="50"/>
      <c r="L3969" s="50"/>
      <c r="M3969" s="50"/>
      <c r="N3969" s="50"/>
      <c r="O3969" s="49"/>
      <c r="P3969" s="49"/>
      <c r="Q3969" s="49"/>
      <c r="R3969" s="49"/>
      <c r="S3969" s="49"/>
      <c r="T3969" s="49"/>
      <c r="U3969" s="49"/>
      <c r="V3969" s="49"/>
      <c r="W3969" s="49"/>
      <c r="X3969" s="49"/>
      <c r="Y3969" s="49"/>
      <c r="Z3969" s="49"/>
      <c r="AB3969" s="49"/>
      <c r="AC3969" s="49"/>
      <c r="AD3969" s="49"/>
      <c r="AE3969" s="49"/>
      <c r="AF3969" s="49"/>
      <c r="AG3969" s="49"/>
      <c r="AH3969" s="49"/>
      <c r="AI3969" s="49"/>
      <c r="AJ3969" s="49"/>
      <c r="AK3969" s="49"/>
      <c r="AL3969" s="49"/>
      <c r="AM3969" s="49"/>
      <c r="AN3969" s="49"/>
      <c r="AP3969" s="49"/>
      <c r="AQ3969" s="49"/>
      <c r="AR3969" s="49"/>
      <c r="AS3969" s="49"/>
      <c r="AT3969" s="49"/>
    </row>
    <row r="3970">
      <c r="A3970" s="59"/>
      <c r="B3970" s="49"/>
      <c r="C3970" s="50" t="s">
        <v>7168</v>
      </c>
      <c r="D3970" s="49"/>
      <c r="E3970" s="49"/>
      <c r="F3970" s="49"/>
      <c r="G3970" s="49"/>
      <c r="H3970" s="54" t="str">
        <f t="shared" si="1"/>
        <v>,</v>
      </c>
      <c r="I3970" s="50"/>
      <c r="J3970" s="50"/>
      <c r="K3970" s="50"/>
      <c r="L3970" s="50"/>
      <c r="M3970" s="50"/>
      <c r="N3970" s="50"/>
      <c r="O3970" s="49"/>
      <c r="P3970" s="49"/>
      <c r="Q3970" s="49"/>
      <c r="R3970" s="49"/>
      <c r="S3970" s="49"/>
      <c r="T3970" s="49"/>
      <c r="U3970" s="49"/>
      <c r="V3970" s="49"/>
      <c r="W3970" s="49"/>
      <c r="X3970" s="49"/>
      <c r="Y3970" s="49"/>
      <c r="Z3970" s="49"/>
      <c r="AB3970" s="49"/>
      <c r="AC3970" s="49"/>
      <c r="AD3970" s="49"/>
      <c r="AE3970" s="49"/>
      <c r="AF3970" s="49"/>
      <c r="AG3970" s="49"/>
      <c r="AH3970" s="49"/>
      <c r="AI3970" s="49"/>
      <c r="AJ3970" s="49"/>
      <c r="AK3970" s="49"/>
      <c r="AL3970" s="49"/>
      <c r="AM3970" s="49"/>
      <c r="AN3970" s="49"/>
      <c r="AP3970" s="49"/>
      <c r="AQ3970" s="49"/>
      <c r="AR3970" s="49"/>
      <c r="AS3970" s="49"/>
      <c r="AT3970" s="49"/>
    </row>
    <row r="3971">
      <c r="A3971" s="59"/>
      <c r="B3971" s="49"/>
      <c r="C3971" s="50" t="s">
        <v>6130</v>
      </c>
      <c r="D3971" s="49"/>
      <c r="E3971" s="49"/>
      <c r="F3971" s="49"/>
      <c r="G3971" s="49"/>
      <c r="H3971" s="54" t="str">
        <f t="shared" si="1"/>
        <v>,</v>
      </c>
      <c r="I3971" s="50"/>
      <c r="J3971" s="50"/>
      <c r="K3971" s="50"/>
      <c r="L3971" s="50"/>
      <c r="M3971" s="50"/>
      <c r="N3971" s="50"/>
      <c r="O3971" s="49"/>
      <c r="P3971" s="49"/>
      <c r="Q3971" s="49"/>
      <c r="R3971" s="49"/>
      <c r="S3971" s="49"/>
      <c r="T3971" s="49"/>
      <c r="U3971" s="49"/>
      <c r="V3971" s="49"/>
      <c r="W3971" s="49"/>
      <c r="X3971" s="49"/>
      <c r="Y3971" s="49"/>
      <c r="Z3971" s="49"/>
      <c r="AB3971" s="49"/>
      <c r="AC3971" s="49"/>
      <c r="AD3971" s="49"/>
      <c r="AE3971" s="49"/>
      <c r="AF3971" s="49"/>
      <c r="AG3971" s="49"/>
      <c r="AH3971" s="49"/>
      <c r="AI3971" s="49"/>
      <c r="AJ3971" s="49"/>
      <c r="AK3971" s="49"/>
      <c r="AL3971" s="49"/>
      <c r="AM3971" s="49"/>
      <c r="AN3971" s="49"/>
      <c r="AP3971" s="49"/>
      <c r="AQ3971" s="49"/>
      <c r="AR3971" s="49"/>
      <c r="AS3971" s="49"/>
      <c r="AT3971" s="49"/>
    </row>
    <row r="3972">
      <c r="A3972" s="59"/>
      <c r="B3972" s="49"/>
      <c r="C3972" s="50" t="s">
        <v>4014</v>
      </c>
      <c r="D3972" s="49"/>
      <c r="E3972" s="49"/>
      <c r="F3972" s="49"/>
      <c r="G3972" s="49"/>
      <c r="H3972" s="54" t="str">
        <f t="shared" si="1"/>
        <v>,</v>
      </c>
      <c r="I3972" s="50"/>
      <c r="J3972" s="50"/>
      <c r="K3972" s="50"/>
      <c r="L3972" s="50"/>
      <c r="M3972" s="50"/>
      <c r="N3972" s="50"/>
      <c r="O3972" s="49"/>
      <c r="P3972" s="49"/>
      <c r="Q3972" s="49"/>
      <c r="R3972" s="49"/>
      <c r="S3972" s="49"/>
      <c r="T3972" s="49"/>
      <c r="U3972" s="49"/>
      <c r="V3972" s="49"/>
      <c r="W3972" s="49"/>
      <c r="X3972" s="49"/>
      <c r="Y3972" s="49"/>
      <c r="Z3972" s="49"/>
      <c r="AB3972" s="49"/>
      <c r="AC3972" s="49"/>
      <c r="AD3972" s="49"/>
      <c r="AE3972" s="49"/>
      <c r="AF3972" s="49"/>
      <c r="AG3972" s="49"/>
      <c r="AH3972" s="49"/>
      <c r="AI3972" s="49"/>
      <c r="AJ3972" s="49"/>
      <c r="AK3972" s="49"/>
      <c r="AL3972" s="49"/>
      <c r="AM3972" s="49"/>
      <c r="AN3972" s="49"/>
      <c r="AP3972" s="49"/>
      <c r="AQ3972" s="49"/>
      <c r="AR3972" s="49"/>
      <c r="AS3972" s="49"/>
      <c r="AT3972" s="49"/>
    </row>
    <row r="3973">
      <c r="A3973" s="59"/>
      <c r="B3973" s="49"/>
      <c r="C3973" s="50" t="s">
        <v>7049</v>
      </c>
      <c r="D3973" s="49"/>
      <c r="E3973" s="49"/>
      <c r="F3973" s="49"/>
      <c r="G3973" s="49"/>
      <c r="H3973" s="54" t="str">
        <f t="shared" si="1"/>
        <v>,</v>
      </c>
      <c r="I3973" s="50"/>
      <c r="J3973" s="50"/>
      <c r="K3973" s="50"/>
      <c r="L3973" s="50"/>
      <c r="M3973" s="50"/>
      <c r="N3973" s="50"/>
      <c r="O3973" s="49"/>
      <c r="P3973" s="49"/>
      <c r="Q3973" s="49"/>
      <c r="R3973" s="49"/>
      <c r="S3973" s="49"/>
      <c r="T3973" s="49"/>
      <c r="U3973" s="49"/>
      <c r="V3973" s="49"/>
      <c r="W3973" s="49"/>
      <c r="X3973" s="49"/>
      <c r="Y3973" s="49"/>
      <c r="Z3973" s="49"/>
      <c r="AB3973" s="49"/>
      <c r="AC3973" s="49"/>
      <c r="AD3973" s="49"/>
      <c r="AE3973" s="49"/>
      <c r="AF3973" s="49"/>
      <c r="AG3973" s="49"/>
      <c r="AH3973" s="49"/>
      <c r="AI3973" s="49"/>
      <c r="AJ3973" s="49"/>
      <c r="AK3973" s="49"/>
      <c r="AL3973" s="49"/>
      <c r="AM3973" s="49"/>
      <c r="AN3973" s="49"/>
      <c r="AP3973" s="49"/>
      <c r="AQ3973" s="49"/>
      <c r="AR3973" s="49"/>
      <c r="AS3973" s="49"/>
      <c r="AT3973" s="49"/>
    </row>
    <row r="3974">
      <c r="A3974" s="59"/>
      <c r="B3974" s="49"/>
      <c r="C3974" s="50" t="s">
        <v>5861</v>
      </c>
      <c r="D3974" s="49"/>
      <c r="E3974" s="49"/>
      <c r="F3974" s="49"/>
      <c r="G3974" s="49"/>
      <c r="H3974" s="54" t="str">
        <f t="shared" si="1"/>
        <v>,</v>
      </c>
      <c r="I3974" s="50"/>
      <c r="J3974" s="50"/>
      <c r="K3974" s="50"/>
      <c r="L3974" s="50"/>
      <c r="M3974" s="50"/>
      <c r="N3974" s="50"/>
      <c r="O3974" s="49"/>
      <c r="P3974" s="49"/>
      <c r="Q3974" s="49"/>
      <c r="R3974" s="49"/>
      <c r="S3974" s="49"/>
      <c r="T3974" s="49"/>
      <c r="U3974" s="49"/>
      <c r="V3974" s="49"/>
      <c r="W3974" s="49"/>
      <c r="X3974" s="49"/>
      <c r="Y3974" s="49"/>
      <c r="Z3974" s="49"/>
      <c r="AB3974" s="49"/>
      <c r="AC3974" s="49"/>
      <c r="AD3974" s="49"/>
      <c r="AE3974" s="49"/>
      <c r="AF3974" s="49"/>
      <c r="AG3974" s="49"/>
      <c r="AH3974" s="49"/>
      <c r="AI3974" s="49"/>
      <c r="AJ3974" s="49"/>
      <c r="AK3974" s="49"/>
      <c r="AL3974" s="49"/>
      <c r="AM3974" s="49"/>
      <c r="AN3974" s="49"/>
      <c r="AP3974" s="49"/>
      <c r="AQ3974" s="49"/>
      <c r="AR3974" s="49"/>
      <c r="AS3974" s="49"/>
      <c r="AT3974" s="49"/>
    </row>
    <row r="3975">
      <c r="A3975" s="59"/>
      <c r="B3975" s="49"/>
      <c r="C3975" s="50" t="s">
        <v>6185</v>
      </c>
      <c r="D3975" s="49"/>
      <c r="E3975" s="49"/>
      <c r="F3975" s="49"/>
      <c r="G3975" s="49"/>
      <c r="H3975" s="54" t="str">
        <f t="shared" si="1"/>
        <v>,</v>
      </c>
      <c r="I3975" s="50"/>
      <c r="J3975" s="50"/>
      <c r="K3975" s="50"/>
      <c r="L3975" s="50"/>
      <c r="M3975" s="50"/>
      <c r="N3975" s="50"/>
      <c r="O3975" s="49"/>
      <c r="P3975" s="49"/>
      <c r="Q3975" s="49"/>
      <c r="R3975" s="49"/>
      <c r="S3975" s="49"/>
      <c r="T3975" s="49"/>
      <c r="U3975" s="49"/>
      <c r="V3975" s="49"/>
      <c r="W3975" s="49"/>
      <c r="X3975" s="49"/>
      <c r="Y3975" s="49"/>
      <c r="Z3975" s="49"/>
      <c r="AB3975" s="49"/>
      <c r="AC3975" s="49"/>
      <c r="AD3975" s="49"/>
      <c r="AE3975" s="49"/>
      <c r="AF3975" s="49"/>
      <c r="AG3975" s="49"/>
      <c r="AH3975" s="49"/>
      <c r="AI3975" s="49"/>
      <c r="AJ3975" s="49"/>
      <c r="AK3975" s="49"/>
      <c r="AL3975" s="49"/>
      <c r="AM3975" s="49"/>
      <c r="AN3975" s="49"/>
      <c r="AP3975" s="49"/>
      <c r="AQ3975" s="49"/>
      <c r="AR3975" s="49"/>
      <c r="AS3975" s="49"/>
      <c r="AT3975" s="49"/>
    </row>
    <row r="3976">
      <c r="A3976" s="59"/>
      <c r="B3976" s="49"/>
      <c r="C3976" s="50" t="s">
        <v>5862</v>
      </c>
      <c r="D3976" s="49"/>
      <c r="E3976" s="49"/>
      <c r="F3976" s="49"/>
      <c r="G3976" s="49"/>
      <c r="H3976" s="54" t="str">
        <f t="shared" si="1"/>
        <v>,</v>
      </c>
      <c r="I3976" s="50"/>
      <c r="J3976" s="50"/>
      <c r="K3976" s="50"/>
      <c r="L3976" s="50"/>
      <c r="M3976" s="50"/>
      <c r="N3976" s="50"/>
      <c r="O3976" s="49"/>
      <c r="P3976" s="49"/>
      <c r="Q3976" s="49"/>
      <c r="R3976" s="49"/>
      <c r="S3976" s="49"/>
      <c r="T3976" s="49"/>
      <c r="U3976" s="49"/>
      <c r="V3976" s="49"/>
      <c r="W3976" s="49"/>
      <c r="X3976" s="49"/>
      <c r="Y3976" s="49"/>
      <c r="Z3976" s="49"/>
      <c r="AB3976" s="49"/>
      <c r="AC3976" s="49"/>
      <c r="AD3976" s="49"/>
      <c r="AE3976" s="49"/>
      <c r="AF3976" s="49"/>
      <c r="AG3976" s="49"/>
      <c r="AH3976" s="49"/>
      <c r="AI3976" s="49"/>
      <c r="AJ3976" s="49"/>
      <c r="AK3976" s="49"/>
      <c r="AL3976" s="49"/>
      <c r="AM3976" s="49"/>
      <c r="AN3976" s="49"/>
      <c r="AP3976" s="49"/>
      <c r="AQ3976" s="49"/>
      <c r="AR3976" s="49"/>
      <c r="AS3976" s="49"/>
      <c r="AT3976" s="49"/>
    </row>
    <row r="3977">
      <c r="A3977" s="59"/>
      <c r="B3977" s="49"/>
      <c r="C3977" s="50" t="s">
        <v>5618</v>
      </c>
      <c r="D3977" s="49"/>
      <c r="E3977" s="49"/>
      <c r="F3977" s="49"/>
      <c r="G3977" s="49"/>
      <c r="H3977" s="54" t="str">
        <f t="shared" si="1"/>
        <v>,</v>
      </c>
      <c r="I3977" s="50"/>
      <c r="J3977" s="50"/>
      <c r="K3977" s="50"/>
      <c r="L3977" s="50"/>
      <c r="M3977" s="50"/>
      <c r="N3977" s="50"/>
      <c r="O3977" s="49"/>
      <c r="P3977" s="49"/>
      <c r="Q3977" s="49"/>
      <c r="R3977" s="49"/>
      <c r="S3977" s="49"/>
      <c r="T3977" s="49"/>
      <c r="U3977" s="49"/>
      <c r="V3977" s="49"/>
      <c r="W3977" s="49"/>
      <c r="X3977" s="49"/>
      <c r="Y3977" s="49"/>
      <c r="Z3977" s="49"/>
      <c r="AB3977" s="49"/>
      <c r="AC3977" s="49"/>
      <c r="AD3977" s="49"/>
      <c r="AE3977" s="49"/>
      <c r="AF3977" s="49"/>
      <c r="AG3977" s="49"/>
      <c r="AH3977" s="49"/>
      <c r="AI3977" s="49"/>
      <c r="AJ3977" s="49"/>
      <c r="AK3977" s="49"/>
      <c r="AL3977" s="49"/>
      <c r="AM3977" s="49"/>
      <c r="AN3977" s="49"/>
      <c r="AP3977" s="49"/>
      <c r="AQ3977" s="49"/>
      <c r="AR3977" s="49"/>
      <c r="AS3977" s="49"/>
      <c r="AT3977" s="49"/>
    </row>
    <row r="3978">
      <c r="A3978" s="59"/>
      <c r="B3978" s="49"/>
      <c r="C3978" s="50" t="s">
        <v>6014</v>
      </c>
      <c r="D3978" s="49"/>
      <c r="E3978" s="49"/>
      <c r="F3978" s="49"/>
      <c r="G3978" s="49"/>
      <c r="H3978" s="54" t="str">
        <f t="shared" si="1"/>
        <v>,</v>
      </c>
      <c r="I3978" s="50"/>
      <c r="J3978" s="50"/>
      <c r="K3978" s="50"/>
      <c r="L3978" s="50"/>
      <c r="M3978" s="50"/>
      <c r="N3978" s="50"/>
      <c r="O3978" s="49"/>
      <c r="P3978" s="49"/>
      <c r="Q3978" s="49"/>
      <c r="R3978" s="49"/>
      <c r="S3978" s="49"/>
      <c r="T3978" s="49"/>
      <c r="U3978" s="49"/>
      <c r="V3978" s="49"/>
      <c r="W3978" s="49"/>
      <c r="X3978" s="49"/>
      <c r="Y3978" s="49"/>
      <c r="Z3978" s="49"/>
      <c r="AB3978" s="49"/>
      <c r="AC3978" s="49"/>
      <c r="AD3978" s="49"/>
      <c r="AE3978" s="49"/>
      <c r="AF3978" s="49"/>
      <c r="AG3978" s="49"/>
      <c r="AH3978" s="49"/>
      <c r="AI3978" s="49"/>
      <c r="AJ3978" s="49"/>
      <c r="AK3978" s="49"/>
      <c r="AL3978" s="49"/>
      <c r="AM3978" s="49"/>
      <c r="AN3978" s="49"/>
      <c r="AP3978" s="49"/>
      <c r="AQ3978" s="49"/>
      <c r="AR3978" s="49"/>
      <c r="AS3978" s="49"/>
      <c r="AT3978" s="49"/>
    </row>
    <row r="3979">
      <c r="A3979" s="59"/>
      <c r="B3979" s="49"/>
      <c r="C3979" s="50" t="s">
        <v>7169</v>
      </c>
      <c r="D3979" s="49"/>
      <c r="E3979" s="49"/>
      <c r="F3979" s="49"/>
      <c r="G3979" s="49"/>
      <c r="H3979" s="54" t="str">
        <f t="shared" si="1"/>
        <v>,</v>
      </c>
      <c r="I3979" s="50"/>
      <c r="J3979" s="50"/>
      <c r="K3979" s="50"/>
      <c r="L3979" s="50"/>
      <c r="M3979" s="50"/>
      <c r="N3979" s="50"/>
      <c r="O3979" s="49"/>
      <c r="P3979" s="49"/>
      <c r="Q3979" s="49"/>
      <c r="R3979" s="49"/>
      <c r="S3979" s="49"/>
      <c r="T3979" s="49"/>
      <c r="U3979" s="49"/>
      <c r="V3979" s="49"/>
      <c r="W3979" s="49"/>
      <c r="X3979" s="49"/>
      <c r="Y3979" s="49"/>
      <c r="Z3979" s="49"/>
      <c r="AB3979" s="49"/>
      <c r="AC3979" s="49"/>
      <c r="AD3979" s="49"/>
      <c r="AE3979" s="49"/>
      <c r="AF3979" s="49"/>
      <c r="AG3979" s="49"/>
      <c r="AH3979" s="49"/>
      <c r="AI3979" s="49"/>
      <c r="AJ3979" s="49"/>
      <c r="AK3979" s="49"/>
      <c r="AL3979" s="49"/>
      <c r="AM3979" s="49"/>
      <c r="AN3979" s="49"/>
      <c r="AP3979" s="49"/>
      <c r="AQ3979" s="49"/>
      <c r="AR3979" s="49"/>
      <c r="AS3979" s="49"/>
      <c r="AT3979" s="49"/>
    </row>
    <row r="3980">
      <c r="A3980" s="59"/>
      <c r="B3980" s="49"/>
      <c r="C3980" s="50" t="s">
        <v>7170</v>
      </c>
      <c r="D3980" s="49"/>
      <c r="E3980" s="49"/>
      <c r="F3980" s="49"/>
      <c r="G3980" s="49"/>
      <c r="H3980" s="54" t="str">
        <f t="shared" si="1"/>
        <v>,</v>
      </c>
      <c r="I3980" s="50"/>
      <c r="J3980" s="50"/>
      <c r="K3980" s="50"/>
      <c r="L3980" s="50"/>
      <c r="M3980" s="50"/>
      <c r="N3980" s="50"/>
      <c r="O3980" s="49"/>
      <c r="P3980" s="49"/>
      <c r="Q3980" s="49"/>
      <c r="R3980" s="49"/>
      <c r="S3980" s="49"/>
      <c r="T3980" s="49"/>
      <c r="U3980" s="49"/>
      <c r="V3980" s="49"/>
      <c r="W3980" s="49"/>
      <c r="X3980" s="49"/>
      <c r="Y3980" s="49"/>
      <c r="Z3980" s="49"/>
      <c r="AB3980" s="49"/>
      <c r="AC3980" s="49"/>
      <c r="AD3980" s="49"/>
      <c r="AE3980" s="49"/>
      <c r="AF3980" s="49"/>
      <c r="AG3980" s="49"/>
      <c r="AH3980" s="49"/>
      <c r="AI3980" s="49"/>
      <c r="AJ3980" s="49"/>
      <c r="AK3980" s="49"/>
      <c r="AL3980" s="49"/>
      <c r="AM3980" s="49"/>
      <c r="AN3980" s="49"/>
      <c r="AP3980" s="49"/>
      <c r="AQ3980" s="49"/>
      <c r="AR3980" s="49"/>
      <c r="AS3980" s="49"/>
      <c r="AT3980" s="49"/>
    </row>
    <row r="3981">
      <c r="A3981" s="59"/>
      <c r="B3981" s="49"/>
      <c r="C3981" s="50" t="s">
        <v>7051</v>
      </c>
      <c r="D3981" s="49"/>
      <c r="E3981" s="49"/>
      <c r="F3981" s="49"/>
      <c r="G3981" s="49"/>
      <c r="H3981" s="54" t="str">
        <f t="shared" si="1"/>
        <v>,</v>
      </c>
      <c r="I3981" s="50"/>
      <c r="J3981" s="50"/>
      <c r="K3981" s="50"/>
      <c r="L3981" s="50"/>
      <c r="M3981" s="50"/>
      <c r="N3981" s="50"/>
      <c r="O3981" s="49"/>
      <c r="P3981" s="49"/>
      <c r="Q3981" s="49"/>
      <c r="R3981" s="49"/>
      <c r="S3981" s="49"/>
      <c r="T3981" s="49"/>
      <c r="U3981" s="49"/>
      <c r="V3981" s="49"/>
      <c r="W3981" s="49"/>
      <c r="X3981" s="49"/>
      <c r="Y3981" s="49"/>
      <c r="Z3981" s="49"/>
      <c r="AB3981" s="49"/>
      <c r="AC3981" s="49"/>
      <c r="AD3981" s="49"/>
      <c r="AE3981" s="49"/>
      <c r="AF3981" s="49"/>
      <c r="AG3981" s="49"/>
      <c r="AH3981" s="49"/>
      <c r="AI3981" s="49"/>
      <c r="AJ3981" s="49"/>
      <c r="AK3981" s="49"/>
      <c r="AL3981" s="49"/>
      <c r="AM3981" s="49"/>
      <c r="AN3981" s="49"/>
      <c r="AP3981" s="49"/>
      <c r="AQ3981" s="49"/>
      <c r="AR3981" s="49"/>
      <c r="AS3981" s="49"/>
      <c r="AT3981" s="49"/>
    </row>
    <row r="3982">
      <c r="A3982" s="59"/>
      <c r="B3982" s="49"/>
      <c r="C3982" s="50" t="s">
        <v>7052</v>
      </c>
      <c r="D3982" s="49"/>
      <c r="E3982" s="49"/>
      <c r="F3982" s="49"/>
      <c r="G3982" s="49"/>
      <c r="H3982" s="54" t="str">
        <f t="shared" si="1"/>
        <v>,</v>
      </c>
      <c r="I3982" s="50"/>
      <c r="J3982" s="50"/>
      <c r="K3982" s="50"/>
      <c r="L3982" s="50"/>
      <c r="M3982" s="50"/>
      <c r="N3982" s="50"/>
      <c r="O3982" s="49"/>
      <c r="P3982" s="49"/>
      <c r="Q3982" s="49"/>
      <c r="R3982" s="49"/>
      <c r="S3982" s="49"/>
      <c r="T3982" s="49"/>
      <c r="U3982" s="49"/>
      <c r="V3982" s="49"/>
      <c r="W3982" s="49"/>
      <c r="X3982" s="49"/>
      <c r="Y3982" s="49"/>
      <c r="Z3982" s="49"/>
      <c r="AB3982" s="49"/>
      <c r="AC3982" s="49"/>
      <c r="AD3982" s="49"/>
      <c r="AE3982" s="49"/>
      <c r="AF3982" s="49"/>
      <c r="AG3982" s="49"/>
      <c r="AH3982" s="49"/>
      <c r="AI3982" s="49"/>
      <c r="AJ3982" s="49"/>
      <c r="AK3982" s="49"/>
      <c r="AL3982" s="49"/>
      <c r="AM3982" s="49"/>
      <c r="AN3982" s="49"/>
      <c r="AP3982" s="49"/>
      <c r="AQ3982" s="49"/>
      <c r="AR3982" s="49"/>
      <c r="AS3982" s="49"/>
      <c r="AT3982" s="49"/>
    </row>
    <row r="3983">
      <c r="A3983" s="59"/>
      <c r="B3983" s="49"/>
      <c r="C3983" s="50" t="s">
        <v>2505</v>
      </c>
      <c r="D3983" s="49"/>
      <c r="E3983" s="49"/>
      <c r="F3983" s="49"/>
      <c r="G3983" s="49"/>
      <c r="H3983" s="54" t="str">
        <f t="shared" si="1"/>
        <v>,</v>
      </c>
      <c r="I3983" s="50"/>
      <c r="J3983" s="50"/>
      <c r="K3983" s="50"/>
      <c r="L3983" s="50"/>
      <c r="M3983" s="50"/>
      <c r="N3983" s="50"/>
      <c r="O3983" s="49"/>
      <c r="P3983" s="49"/>
      <c r="Q3983" s="49"/>
      <c r="R3983" s="49"/>
      <c r="S3983" s="49"/>
      <c r="T3983" s="49"/>
      <c r="U3983" s="49"/>
      <c r="V3983" s="49"/>
      <c r="W3983" s="49"/>
      <c r="X3983" s="49"/>
      <c r="Y3983" s="49"/>
      <c r="Z3983" s="49"/>
      <c r="AB3983" s="49"/>
      <c r="AC3983" s="49"/>
      <c r="AD3983" s="49"/>
      <c r="AE3983" s="49"/>
      <c r="AF3983" s="49"/>
      <c r="AG3983" s="49"/>
      <c r="AH3983" s="49"/>
      <c r="AI3983" s="49"/>
      <c r="AJ3983" s="49"/>
      <c r="AK3983" s="49"/>
      <c r="AL3983" s="49"/>
      <c r="AM3983" s="49"/>
      <c r="AN3983" s="49"/>
      <c r="AP3983" s="49"/>
      <c r="AQ3983" s="49"/>
      <c r="AR3983" s="49"/>
      <c r="AS3983" s="49"/>
      <c r="AT3983" s="49"/>
    </row>
    <row r="3984">
      <c r="A3984" s="59"/>
      <c r="B3984" s="49"/>
      <c r="C3984" s="50" t="s">
        <v>7171</v>
      </c>
      <c r="D3984" s="49"/>
      <c r="E3984" s="49"/>
      <c r="F3984" s="49"/>
      <c r="G3984" s="49"/>
      <c r="H3984" s="54" t="str">
        <f t="shared" si="1"/>
        <v>,</v>
      </c>
      <c r="I3984" s="50"/>
      <c r="J3984" s="50"/>
      <c r="K3984" s="50"/>
      <c r="L3984" s="50"/>
      <c r="M3984" s="50"/>
      <c r="N3984" s="50"/>
      <c r="O3984" s="49"/>
      <c r="P3984" s="49"/>
      <c r="Q3984" s="49"/>
      <c r="R3984" s="49"/>
      <c r="S3984" s="49"/>
      <c r="T3984" s="49"/>
      <c r="U3984" s="49"/>
      <c r="V3984" s="49"/>
      <c r="W3984" s="49"/>
      <c r="X3984" s="49"/>
      <c r="Y3984" s="49"/>
      <c r="Z3984" s="49"/>
      <c r="AB3984" s="49"/>
      <c r="AC3984" s="49"/>
      <c r="AD3984" s="49"/>
      <c r="AE3984" s="49"/>
      <c r="AF3984" s="49"/>
      <c r="AG3984" s="49"/>
      <c r="AH3984" s="49"/>
      <c r="AI3984" s="49"/>
      <c r="AJ3984" s="49"/>
      <c r="AK3984" s="49"/>
      <c r="AL3984" s="49"/>
      <c r="AM3984" s="49"/>
      <c r="AN3984" s="49"/>
      <c r="AP3984" s="49"/>
      <c r="AQ3984" s="49"/>
      <c r="AR3984" s="49"/>
      <c r="AS3984" s="49"/>
      <c r="AT3984" s="49"/>
    </row>
    <row r="3985">
      <c r="A3985" s="59"/>
      <c r="B3985" s="49"/>
      <c r="C3985" s="50">
        <v>1997.0</v>
      </c>
      <c r="D3985" s="49"/>
      <c r="E3985" s="49"/>
      <c r="F3985" s="49"/>
      <c r="G3985" s="49"/>
      <c r="H3985" s="54" t="str">
        <f t="shared" si="1"/>
        <v>,</v>
      </c>
      <c r="I3985" s="50"/>
      <c r="J3985" s="50"/>
      <c r="K3985" s="50"/>
      <c r="L3985" s="50"/>
      <c r="M3985" s="50"/>
      <c r="N3985" s="50"/>
      <c r="O3985" s="49"/>
      <c r="P3985" s="49"/>
      <c r="Q3985" s="49"/>
      <c r="R3985" s="49"/>
      <c r="S3985" s="49"/>
      <c r="T3985" s="49"/>
      <c r="U3985" s="49"/>
      <c r="V3985" s="49"/>
      <c r="W3985" s="49"/>
      <c r="X3985" s="49"/>
      <c r="Y3985" s="49"/>
      <c r="Z3985" s="49"/>
      <c r="AB3985" s="49"/>
      <c r="AC3985" s="49"/>
      <c r="AD3985" s="49"/>
      <c r="AE3985" s="49"/>
      <c r="AF3985" s="49"/>
      <c r="AG3985" s="49"/>
      <c r="AH3985" s="49"/>
      <c r="AI3985" s="49"/>
      <c r="AJ3985" s="49"/>
      <c r="AK3985" s="49"/>
      <c r="AL3985" s="49"/>
      <c r="AM3985" s="49"/>
      <c r="AN3985" s="49"/>
      <c r="AP3985" s="49"/>
      <c r="AQ3985" s="49"/>
      <c r="AR3985" s="49"/>
      <c r="AS3985" s="49"/>
      <c r="AT3985" s="49"/>
    </row>
    <row r="3986">
      <c r="A3986" s="59"/>
      <c r="B3986" s="49"/>
      <c r="C3986" s="50" t="s">
        <v>7172</v>
      </c>
      <c r="D3986" s="49"/>
      <c r="E3986" s="49"/>
      <c r="F3986" s="49"/>
      <c r="G3986" s="49"/>
      <c r="H3986" s="54" t="str">
        <f t="shared" si="1"/>
        <v>,</v>
      </c>
      <c r="I3986" s="50"/>
      <c r="J3986" s="50"/>
      <c r="K3986" s="50"/>
      <c r="L3986" s="50"/>
      <c r="M3986" s="50"/>
      <c r="N3986" s="50"/>
      <c r="O3986" s="49"/>
      <c r="P3986" s="49"/>
      <c r="Q3986" s="49"/>
      <c r="R3986" s="49"/>
      <c r="S3986" s="49"/>
      <c r="T3986" s="49"/>
      <c r="U3986" s="49"/>
      <c r="V3986" s="49"/>
      <c r="W3986" s="49"/>
      <c r="X3986" s="49"/>
      <c r="Y3986" s="49"/>
      <c r="Z3986" s="49"/>
      <c r="AB3986" s="49"/>
      <c r="AC3986" s="49"/>
      <c r="AD3986" s="49"/>
      <c r="AE3986" s="49"/>
      <c r="AF3986" s="49"/>
      <c r="AG3986" s="49"/>
      <c r="AH3986" s="49"/>
      <c r="AI3986" s="49"/>
      <c r="AJ3986" s="49"/>
      <c r="AK3986" s="49"/>
      <c r="AL3986" s="49"/>
      <c r="AM3986" s="49"/>
      <c r="AN3986" s="49"/>
      <c r="AP3986" s="49"/>
      <c r="AQ3986" s="49"/>
      <c r="AR3986" s="49"/>
      <c r="AS3986" s="49"/>
      <c r="AT3986" s="49"/>
    </row>
    <row r="3987">
      <c r="A3987" s="59"/>
      <c r="B3987" s="49"/>
      <c r="C3987" s="50" t="s">
        <v>7054</v>
      </c>
      <c r="D3987" s="49"/>
      <c r="E3987" s="49"/>
      <c r="F3987" s="49"/>
      <c r="G3987" s="49"/>
      <c r="H3987" s="54" t="str">
        <f t="shared" si="1"/>
        <v>,</v>
      </c>
      <c r="I3987" s="50"/>
      <c r="J3987" s="50"/>
      <c r="K3987" s="50"/>
      <c r="L3987" s="50"/>
      <c r="M3987" s="50"/>
      <c r="N3987" s="50"/>
      <c r="O3987" s="49"/>
      <c r="P3987" s="49"/>
      <c r="Q3987" s="49"/>
      <c r="R3987" s="49"/>
      <c r="S3987" s="49"/>
      <c r="T3987" s="49"/>
      <c r="U3987" s="49"/>
      <c r="V3987" s="49"/>
      <c r="W3987" s="49"/>
      <c r="X3987" s="49"/>
      <c r="Y3987" s="49"/>
      <c r="Z3987" s="49"/>
      <c r="AB3987" s="49"/>
      <c r="AC3987" s="49"/>
      <c r="AD3987" s="49"/>
      <c r="AE3987" s="49"/>
      <c r="AF3987" s="49"/>
      <c r="AG3987" s="49"/>
      <c r="AH3987" s="49"/>
      <c r="AI3987" s="49"/>
      <c r="AJ3987" s="49"/>
      <c r="AK3987" s="49"/>
      <c r="AL3987" s="49"/>
      <c r="AM3987" s="49"/>
      <c r="AN3987" s="49"/>
      <c r="AP3987" s="49"/>
      <c r="AQ3987" s="49"/>
      <c r="AR3987" s="49"/>
      <c r="AS3987" s="49"/>
      <c r="AT3987" s="49"/>
    </row>
    <row r="3988">
      <c r="A3988" s="59"/>
      <c r="B3988" s="49"/>
      <c r="C3988" s="50" t="s">
        <v>7056</v>
      </c>
      <c r="D3988" s="49"/>
      <c r="E3988" s="49"/>
      <c r="F3988" s="49"/>
      <c r="G3988" s="49"/>
      <c r="H3988" s="54" t="str">
        <f t="shared" si="1"/>
        <v>,</v>
      </c>
      <c r="I3988" s="50"/>
      <c r="J3988" s="50"/>
      <c r="K3988" s="50"/>
      <c r="L3988" s="50"/>
      <c r="M3988" s="50"/>
      <c r="N3988" s="50"/>
      <c r="O3988" s="49"/>
      <c r="P3988" s="49"/>
      <c r="Q3988" s="49"/>
      <c r="R3988" s="49"/>
      <c r="S3988" s="49"/>
      <c r="T3988" s="49"/>
      <c r="U3988" s="49"/>
      <c r="V3988" s="49"/>
      <c r="W3988" s="49"/>
      <c r="X3988" s="49"/>
      <c r="Y3988" s="49"/>
      <c r="Z3988" s="49"/>
      <c r="AB3988" s="49"/>
      <c r="AC3988" s="49"/>
      <c r="AD3988" s="49"/>
      <c r="AE3988" s="49"/>
      <c r="AF3988" s="49"/>
      <c r="AG3988" s="49"/>
      <c r="AH3988" s="49"/>
      <c r="AI3988" s="49"/>
      <c r="AJ3988" s="49"/>
      <c r="AK3988" s="49"/>
      <c r="AL3988" s="49"/>
      <c r="AM3988" s="49"/>
      <c r="AN3988" s="49"/>
      <c r="AP3988" s="49"/>
      <c r="AQ3988" s="49"/>
      <c r="AR3988" s="49"/>
      <c r="AS3988" s="49"/>
      <c r="AT3988" s="49"/>
    </row>
    <row r="3989">
      <c r="A3989" s="59"/>
      <c r="B3989" s="49"/>
      <c r="C3989" s="50" t="s">
        <v>1839</v>
      </c>
      <c r="D3989" s="49"/>
      <c r="E3989" s="49"/>
      <c r="F3989" s="49"/>
      <c r="G3989" s="49"/>
      <c r="H3989" s="54" t="str">
        <f t="shared" si="1"/>
        <v>,</v>
      </c>
      <c r="I3989" s="50"/>
      <c r="J3989" s="50"/>
      <c r="K3989" s="50"/>
      <c r="L3989" s="50"/>
      <c r="M3989" s="50"/>
      <c r="N3989" s="50"/>
      <c r="O3989" s="49"/>
      <c r="P3989" s="49"/>
      <c r="Q3989" s="49"/>
      <c r="R3989" s="49"/>
      <c r="S3989" s="49"/>
      <c r="T3989" s="49"/>
      <c r="U3989" s="49"/>
      <c r="V3989" s="49"/>
      <c r="W3989" s="49"/>
      <c r="X3989" s="49"/>
      <c r="Y3989" s="49"/>
      <c r="Z3989" s="49"/>
      <c r="AB3989" s="49"/>
      <c r="AC3989" s="49"/>
      <c r="AD3989" s="49"/>
      <c r="AE3989" s="49"/>
      <c r="AF3989" s="49"/>
      <c r="AG3989" s="49"/>
      <c r="AH3989" s="49"/>
      <c r="AI3989" s="49"/>
      <c r="AJ3989" s="49"/>
      <c r="AK3989" s="49"/>
      <c r="AL3989" s="49"/>
      <c r="AM3989" s="49"/>
      <c r="AN3989" s="49"/>
      <c r="AP3989" s="49"/>
      <c r="AQ3989" s="49"/>
      <c r="AR3989" s="49"/>
      <c r="AS3989" s="49"/>
      <c r="AT3989" s="49"/>
    </row>
    <row r="3990">
      <c r="A3990" s="59"/>
      <c r="B3990" s="49"/>
      <c r="C3990" s="50" t="s">
        <v>7173</v>
      </c>
      <c r="D3990" s="49"/>
      <c r="E3990" s="49"/>
      <c r="F3990" s="49"/>
      <c r="G3990" s="49"/>
      <c r="H3990" s="54" t="str">
        <f t="shared" si="1"/>
        <v>,</v>
      </c>
      <c r="I3990" s="50"/>
      <c r="J3990" s="50"/>
      <c r="K3990" s="50"/>
      <c r="L3990" s="50"/>
      <c r="M3990" s="50"/>
      <c r="N3990" s="50"/>
      <c r="O3990" s="49"/>
      <c r="P3990" s="49"/>
      <c r="Q3990" s="49"/>
      <c r="R3990" s="49"/>
      <c r="S3990" s="49"/>
      <c r="T3990" s="49"/>
      <c r="U3990" s="49"/>
      <c r="V3990" s="49"/>
      <c r="W3990" s="49"/>
      <c r="X3990" s="49"/>
      <c r="Y3990" s="49"/>
      <c r="Z3990" s="49"/>
      <c r="AB3990" s="49"/>
      <c r="AC3990" s="49"/>
      <c r="AD3990" s="49"/>
      <c r="AE3990" s="49"/>
      <c r="AF3990" s="49"/>
      <c r="AG3990" s="49"/>
      <c r="AH3990" s="49"/>
      <c r="AI3990" s="49"/>
      <c r="AJ3990" s="49"/>
      <c r="AK3990" s="49"/>
      <c r="AL3990" s="49"/>
      <c r="AM3990" s="49"/>
      <c r="AN3990" s="49"/>
      <c r="AP3990" s="49"/>
      <c r="AQ3990" s="49"/>
      <c r="AR3990" s="49"/>
      <c r="AS3990" s="49"/>
      <c r="AT3990" s="49"/>
    </row>
    <row r="3991">
      <c r="A3991" s="59"/>
      <c r="B3991" s="49"/>
      <c r="C3991" s="50" t="s">
        <v>6223</v>
      </c>
      <c r="D3991" s="49"/>
      <c r="E3991" s="49"/>
      <c r="F3991" s="49"/>
      <c r="G3991" s="49"/>
      <c r="H3991" s="54" t="str">
        <f t="shared" si="1"/>
        <v>,</v>
      </c>
      <c r="I3991" s="50"/>
      <c r="J3991" s="50"/>
      <c r="K3991" s="50"/>
      <c r="L3991" s="50"/>
      <c r="M3991" s="50"/>
      <c r="N3991" s="50"/>
      <c r="O3991" s="49"/>
      <c r="P3991" s="49"/>
      <c r="Q3991" s="49"/>
      <c r="R3991" s="49"/>
      <c r="S3991" s="49"/>
      <c r="T3991" s="49"/>
      <c r="U3991" s="49"/>
      <c r="V3991" s="49"/>
      <c r="W3991" s="49"/>
      <c r="X3991" s="49"/>
      <c r="Y3991" s="49"/>
      <c r="Z3991" s="49"/>
      <c r="AB3991" s="49"/>
      <c r="AC3991" s="49"/>
      <c r="AD3991" s="49"/>
      <c r="AE3991" s="49"/>
      <c r="AF3991" s="49"/>
      <c r="AG3991" s="49"/>
      <c r="AH3991" s="49"/>
      <c r="AI3991" s="49"/>
      <c r="AJ3991" s="49"/>
      <c r="AK3991" s="49"/>
      <c r="AL3991" s="49"/>
      <c r="AM3991" s="49"/>
      <c r="AN3991" s="49"/>
      <c r="AP3991" s="49"/>
      <c r="AQ3991" s="49"/>
      <c r="AR3991" s="49"/>
      <c r="AS3991" s="49"/>
      <c r="AT3991" s="49"/>
    </row>
    <row r="3992">
      <c r="A3992" s="59"/>
      <c r="B3992" s="49"/>
      <c r="C3992" s="50" t="s">
        <v>4124</v>
      </c>
      <c r="D3992" s="49"/>
      <c r="E3992" s="49"/>
      <c r="F3992" s="49"/>
      <c r="G3992" s="49"/>
      <c r="H3992" s="54" t="str">
        <f t="shared" si="1"/>
        <v>,</v>
      </c>
      <c r="I3992" s="50"/>
      <c r="J3992" s="50"/>
      <c r="K3992" s="50"/>
      <c r="L3992" s="50"/>
      <c r="M3992" s="50"/>
      <c r="N3992" s="50"/>
      <c r="O3992" s="49"/>
      <c r="P3992" s="49"/>
      <c r="Q3992" s="49"/>
      <c r="R3992" s="49"/>
      <c r="S3992" s="49"/>
      <c r="T3992" s="49"/>
      <c r="U3992" s="49"/>
      <c r="V3992" s="49"/>
      <c r="W3992" s="49"/>
      <c r="X3992" s="49"/>
      <c r="Y3992" s="49"/>
      <c r="Z3992" s="49"/>
      <c r="AB3992" s="49"/>
      <c r="AC3992" s="49"/>
      <c r="AD3992" s="49"/>
      <c r="AE3992" s="49"/>
      <c r="AF3992" s="49"/>
      <c r="AG3992" s="49"/>
      <c r="AH3992" s="49"/>
      <c r="AI3992" s="49"/>
      <c r="AJ3992" s="49"/>
      <c r="AK3992" s="49"/>
      <c r="AL3992" s="49"/>
      <c r="AM3992" s="49"/>
      <c r="AN3992" s="49"/>
      <c r="AP3992" s="49"/>
      <c r="AQ3992" s="49"/>
      <c r="AR3992" s="49"/>
      <c r="AS3992" s="49"/>
      <c r="AT3992" s="49"/>
    </row>
    <row r="3993">
      <c r="A3993" s="59"/>
      <c r="B3993" s="49"/>
      <c r="C3993" s="50" t="s">
        <v>7174</v>
      </c>
      <c r="D3993" s="49"/>
      <c r="E3993" s="49"/>
      <c r="F3993" s="49"/>
      <c r="G3993" s="49"/>
      <c r="H3993" s="54" t="str">
        <f t="shared" si="1"/>
        <v>,</v>
      </c>
      <c r="I3993" s="50"/>
      <c r="J3993" s="50"/>
      <c r="K3993" s="50"/>
      <c r="L3993" s="50"/>
      <c r="M3993" s="50"/>
      <c r="N3993" s="50"/>
      <c r="O3993" s="49"/>
      <c r="P3993" s="49"/>
      <c r="Q3993" s="49"/>
      <c r="R3993" s="49"/>
      <c r="S3993" s="49"/>
      <c r="T3993" s="49"/>
      <c r="U3993" s="49"/>
      <c r="V3993" s="49"/>
      <c r="W3993" s="49"/>
      <c r="X3993" s="49"/>
      <c r="Y3993" s="49"/>
      <c r="Z3993" s="49"/>
      <c r="AB3993" s="49"/>
      <c r="AC3993" s="49"/>
      <c r="AD3993" s="49"/>
      <c r="AE3993" s="49"/>
      <c r="AF3993" s="49"/>
      <c r="AG3993" s="49"/>
      <c r="AH3993" s="49"/>
      <c r="AI3993" s="49"/>
      <c r="AJ3993" s="49"/>
      <c r="AK3993" s="49"/>
      <c r="AL3993" s="49"/>
      <c r="AM3993" s="49"/>
      <c r="AN3993" s="49"/>
      <c r="AP3993" s="49"/>
      <c r="AQ3993" s="49"/>
      <c r="AR3993" s="49"/>
      <c r="AS3993" s="49"/>
      <c r="AT3993" s="49"/>
    </row>
    <row r="3994">
      <c r="A3994" s="59"/>
      <c r="B3994" s="49"/>
      <c r="C3994" s="50" t="s">
        <v>7175</v>
      </c>
      <c r="D3994" s="49"/>
      <c r="E3994" s="49"/>
      <c r="F3994" s="49"/>
      <c r="G3994" s="49"/>
      <c r="H3994" s="54" t="str">
        <f t="shared" si="1"/>
        <v>,</v>
      </c>
      <c r="I3994" s="50"/>
      <c r="J3994" s="50"/>
      <c r="K3994" s="50"/>
      <c r="L3994" s="50"/>
      <c r="M3994" s="50"/>
      <c r="N3994" s="50"/>
      <c r="O3994" s="49"/>
      <c r="P3994" s="49"/>
      <c r="Q3994" s="49"/>
      <c r="R3994" s="49"/>
      <c r="S3994" s="49"/>
      <c r="T3994" s="49"/>
      <c r="U3994" s="49"/>
      <c r="V3994" s="49"/>
      <c r="W3994" s="49"/>
      <c r="X3994" s="49"/>
      <c r="Y3994" s="49"/>
      <c r="Z3994" s="49"/>
      <c r="AB3994" s="49"/>
      <c r="AC3994" s="49"/>
      <c r="AD3994" s="49"/>
      <c r="AE3994" s="49"/>
      <c r="AF3994" s="49"/>
      <c r="AG3994" s="49"/>
      <c r="AH3994" s="49"/>
      <c r="AI3994" s="49"/>
      <c r="AJ3994" s="49"/>
      <c r="AK3994" s="49"/>
      <c r="AL3994" s="49"/>
      <c r="AM3994" s="49"/>
      <c r="AN3994" s="49"/>
      <c r="AP3994" s="49"/>
      <c r="AQ3994" s="49"/>
      <c r="AR3994" s="49"/>
      <c r="AS3994" s="49"/>
      <c r="AT3994" s="49"/>
    </row>
    <row r="3995">
      <c r="A3995" s="59"/>
      <c r="B3995" s="49"/>
      <c r="C3995" s="50" t="s">
        <v>7176</v>
      </c>
      <c r="D3995" s="49"/>
      <c r="E3995" s="49"/>
      <c r="F3995" s="49"/>
      <c r="G3995" s="49"/>
      <c r="H3995" s="54" t="str">
        <f t="shared" si="1"/>
        <v>,</v>
      </c>
      <c r="I3995" s="50"/>
      <c r="J3995" s="50"/>
      <c r="K3995" s="50"/>
      <c r="L3995" s="50"/>
      <c r="M3995" s="50"/>
      <c r="N3995" s="50"/>
      <c r="O3995" s="49"/>
      <c r="P3995" s="49"/>
      <c r="Q3995" s="49"/>
      <c r="R3995" s="49"/>
      <c r="S3995" s="49"/>
      <c r="T3995" s="49"/>
      <c r="U3995" s="49"/>
      <c r="V3995" s="49"/>
      <c r="W3995" s="49"/>
      <c r="X3995" s="49"/>
      <c r="Y3995" s="49"/>
      <c r="Z3995" s="49"/>
      <c r="AB3995" s="49"/>
      <c r="AC3995" s="49"/>
      <c r="AD3995" s="49"/>
      <c r="AE3995" s="49"/>
      <c r="AF3995" s="49"/>
      <c r="AG3995" s="49"/>
      <c r="AH3995" s="49"/>
      <c r="AI3995" s="49"/>
      <c r="AJ3995" s="49"/>
      <c r="AK3995" s="49"/>
      <c r="AL3995" s="49"/>
      <c r="AM3995" s="49"/>
      <c r="AN3995" s="49"/>
      <c r="AP3995" s="49"/>
      <c r="AQ3995" s="49"/>
      <c r="AR3995" s="49"/>
      <c r="AS3995" s="49"/>
      <c r="AT3995" s="49"/>
    </row>
    <row r="3996">
      <c r="A3996" s="59"/>
      <c r="B3996" s="49"/>
      <c r="C3996" s="50" t="s">
        <v>7177</v>
      </c>
      <c r="D3996" s="49"/>
      <c r="E3996" s="49"/>
      <c r="F3996" s="49"/>
      <c r="G3996" s="49"/>
      <c r="H3996" s="54" t="str">
        <f t="shared" si="1"/>
        <v>,</v>
      </c>
      <c r="I3996" s="50"/>
      <c r="J3996" s="50"/>
      <c r="K3996" s="50"/>
      <c r="L3996" s="50"/>
      <c r="M3996" s="50"/>
      <c r="N3996" s="50"/>
      <c r="O3996" s="49"/>
      <c r="P3996" s="49"/>
      <c r="Q3996" s="49"/>
      <c r="R3996" s="49"/>
      <c r="S3996" s="49"/>
      <c r="T3996" s="49"/>
      <c r="U3996" s="49"/>
      <c r="V3996" s="49"/>
      <c r="W3996" s="49"/>
      <c r="X3996" s="49"/>
      <c r="Y3996" s="49"/>
      <c r="Z3996" s="49"/>
      <c r="AB3996" s="49"/>
      <c r="AC3996" s="49"/>
      <c r="AD3996" s="49"/>
      <c r="AE3996" s="49"/>
      <c r="AF3996" s="49"/>
      <c r="AG3996" s="49"/>
      <c r="AH3996" s="49"/>
      <c r="AI3996" s="49"/>
      <c r="AJ3996" s="49"/>
      <c r="AK3996" s="49"/>
      <c r="AL3996" s="49"/>
      <c r="AM3996" s="49"/>
      <c r="AN3996" s="49"/>
      <c r="AP3996" s="49"/>
      <c r="AQ3996" s="49"/>
      <c r="AR3996" s="49"/>
      <c r="AS3996" s="49"/>
      <c r="AT3996" s="49"/>
    </row>
    <row r="3997">
      <c r="A3997" s="59"/>
      <c r="B3997" s="49"/>
      <c r="C3997" s="50" t="s">
        <v>4019</v>
      </c>
      <c r="D3997" s="49"/>
      <c r="E3997" s="49"/>
      <c r="F3997" s="49"/>
      <c r="G3997" s="49"/>
      <c r="H3997" s="54" t="str">
        <f t="shared" si="1"/>
        <v>,</v>
      </c>
      <c r="I3997" s="50"/>
      <c r="J3997" s="50"/>
      <c r="K3997" s="50"/>
      <c r="L3997" s="50"/>
      <c r="M3997" s="50"/>
      <c r="N3997" s="50"/>
      <c r="O3997" s="49"/>
      <c r="P3997" s="49"/>
      <c r="Q3997" s="49"/>
      <c r="R3997" s="49"/>
      <c r="S3997" s="49"/>
      <c r="T3997" s="49"/>
      <c r="U3997" s="49"/>
      <c r="V3997" s="49"/>
      <c r="W3997" s="49"/>
      <c r="X3997" s="49"/>
      <c r="Y3997" s="49"/>
      <c r="Z3997" s="49"/>
      <c r="AB3997" s="49"/>
      <c r="AC3997" s="49"/>
      <c r="AD3997" s="49"/>
      <c r="AE3997" s="49"/>
      <c r="AF3997" s="49"/>
      <c r="AG3997" s="49"/>
      <c r="AH3997" s="49"/>
      <c r="AI3997" s="49"/>
      <c r="AJ3997" s="49"/>
      <c r="AK3997" s="49"/>
      <c r="AL3997" s="49"/>
      <c r="AM3997" s="49"/>
      <c r="AN3997" s="49"/>
      <c r="AP3997" s="49"/>
      <c r="AQ3997" s="49"/>
      <c r="AR3997" s="49"/>
      <c r="AS3997" s="49"/>
      <c r="AT3997" s="49"/>
    </row>
    <row r="3998">
      <c r="A3998" s="59"/>
      <c r="B3998" s="49"/>
      <c r="C3998" s="50" t="s">
        <v>7178</v>
      </c>
      <c r="D3998" s="49"/>
      <c r="E3998" s="49"/>
      <c r="F3998" s="49"/>
      <c r="G3998" s="49"/>
      <c r="H3998" s="54" t="str">
        <f t="shared" si="1"/>
        <v>,</v>
      </c>
      <c r="I3998" s="50"/>
      <c r="J3998" s="50"/>
      <c r="K3998" s="50"/>
      <c r="L3998" s="50"/>
      <c r="M3998" s="50"/>
      <c r="N3998" s="50"/>
      <c r="O3998" s="49"/>
      <c r="P3998" s="49"/>
      <c r="Q3998" s="49"/>
      <c r="R3998" s="49"/>
      <c r="S3998" s="49"/>
      <c r="T3998" s="49"/>
      <c r="U3998" s="49"/>
      <c r="V3998" s="49"/>
      <c r="W3998" s="49"/>
      <c r="X3998" s="49"/>
      <c r="Y3998" s="49"/>
      <c r="Z3998" s="49"/>
      <c r="AB3998" s="49"/>
      <c r="AC3998" s="49"/>
      <c r="AD3998" s="49"/>
      <c r="AE3998" s="49"/>
      <c r="AF3998" s="49"/>
      <c r="AG3998" s="49"/>
      <c r="AH3998" s="49"/>
      <c r="AI3998" s="49"/>
      <c r="AJ3998" s="49"/>
      <c r="AK3998" s="49"/>
      <c r="AL3998" s="49"/>
      <c r="AM3998" s="49"/>
      <c r="AN3998" s="49"/>
      <c r="AP3998" s="49"/>
      <c r="AQ3998" s="49"/>
      <c r="AR3998" s="49"/>
      <c r="AS3998" s="49"/>
      <c r="AT3998" s="49"/>
    </row>
    <row r="3999">
      <c r="A3999" s="59"/>
      <c r="B3999" s="49"/>
      <c r="C3999" s="50" t="s">
        <v>7179</v>
      </c>
      <c r="D3999" s="49"/>
      <c r="E3999" s="49"/>
      <c r="F3999" s="49"/>
      <c r="G3999" s="49"/>
      <c r="H3999" s="54" t="str">
        <f t="shared" si="1"/>
        <v>,</v>
      </c>
      <c r="I3999" s="50"/>
      <c r="J3999" s="50"/>
      <c r="K3999" s="50"/>
      <c r="L3999" s="50"/>
      <c r="M3999" s="50"/>
      <c r="N3999" s="50"/>
      <c r="O3999" s="49"/>
      <c r="P3999" s="49"/>
      <c r="Q3999" s="49"/>
      <c r="R3999" s="49"/>
      <c r="S3999" s="49"/>
      <c r="T3999" s="49"/>
      <c r="U3999" s="49"/>
      <c r="V3999" s="49"/>
      <c r="W3999" s="49"/>
      <c r="X3999" s="49"/>
      <c r="Y3999" s="49"/>
      <c r="Z3999" s="49"/>
      <c r="AB3999" s="49"/>
      <c r="AC3999" s="49"/>
      <c r="AD3999" s="49"/>
      <c r="AE3999" s="49"/>
      <c r="AF3999" s="49"/>
      <c r="AG3999" s="49"/>
      <c r="AH3999" s="49"/>
      <c r="AI3999" s="49"/>
      <c r="AJ3999" s="49"/>
      <c r="AK3999" s="49"/>
      <c r="AL3999" s="49"/>
      <c r="AM3999" s="49"/>
      <c r="AN3999" s="49"/>
      <c r="AP3999" s="49"/>
      <c r="AQ3999" s="49"/>
      <c r="AR3999" s="49"/>
      <c r="AS3999" s="49"/>
      <c r="AT3999" s="49"/>
    </row>
    <row r="4000">
      <c r="A4000" s="59"/>
      <c r="B4000" s="49"/>
      <c r="C4000" s="50" t="s">
        <v>3350</v>
      </c>
      <c r="D4000" s="49"/>
      <c r="E4000" s="49"/>
      <c r="F4000" s="49"/>
      <c r="G4000" s="49"/>
      <c r="H4000" s="54" t="str">
        <f t="shared" si="1"/>
        <v>,</v>
      </c>
      <c r="I4000" s="50"/>
      <c r="J4000" s="50"/>
      <c r="K4000" s="50"/>
      <c r="L4000" s="50"/>
      <c r="M4000" s="50"/>
      <c r="N4000" s="50"/>
      <c r="O4000" s="49"/>
      <c r="P4000" s="49"/>
      <c r="Q4000" s="49"/>
      <c r="R4000" s="49"/>
      <c r="S4000" s="49"/>
      <c r="T4000" s="49"/>
      <c r="U4000" s="49"/>
      <c r="V4000" s="49"/>
      <c r="W4000" s="49"/>
      <c r="X4000" s="49"/>
      <c r="Y4000" s="49"/>
      <c r="Z4000" s="49"/>
      <c r="AB4000" s="49"/>
      <c r="AC4000" s="49"/>
      <c r="AD4000" s="49"/>
      <c r="AE4000" s="49"/>
      <c r="AF4000" s="49"/>
      <c r="AG4000" s="49"/>
      <c r="AH4000" s="49"/>
      <c r="AI4000" s="49"/>
      <c r="AJ4000" s="49"/>
      <c r="AK4000" s="49"/>
      <c r="AL4000" s="49"/>
      <c r="AM4000" s="49"/>
      <c r="AN4000" s="49"/>
      <c r="AP4000" s="49"/>
      <c r="AQ4000" s="49"/>
      <c r="AR4000" s="49"/>
      <c r="AS4000" s="49"/>
      <c r="AT4000" s="49"/>
    </row>
    <row r="4001">
      <c r="A4001" s="59"/>
      <c r="B4001" s="49"/>
      <c r="C4001" s="50" t="s">
        <v>5822</v>
      </c>
      <c r="D4001" s="49"/>
      <c r="E4001" s="49"/>
      <c r="F4001" s="49"/>
      <c r="G4001" s="49"/>
      <c r="H4001" s="54" t="str">
        <f t="shared" si="1"/>
        <v>,</v>
      </c>
      <c r="I4001" s="50"/>
      <c r="J4001" s="50"/>
      <c r="K4001" s="50"/>
      <c r="L4001" s="50"/>
      <c r="M4001" s="50"/>
      <c r="N4001" s="50"/>
      <c r="O4001" s="49"/>
      <c r="P4001" s="49"/>
      <c r="Q4001" s="49"/>
      <c r="R4001" s="49"/>
      <c r="S4001" s="49"/>
      <c r="T4001" s="49"/>
      <c r="U4001" s="49"/>
      <c r="V4001" s="49"/>
      <c r="W4001" s="49"/>
      <c r="X4001" s="49"/>
      <c r="Y4001" s="49"/>
      <c r="Z4001" s="49"/>
      <c r="AB4001" s="49"/>
      <c r="AC4001" s="49"/>
      <c r="AD4001" s="49"/>
      <c r="AE4001" s="49"/>
      <c r="AF4001" s="49"/>
      <c r="AG4001" s="49"/>
      <c r="AH4001" s="49"/>
      <c r="AI4001" s="49"/>
      <c r="AJ4001" s="49"/>
      <c r="AK4001" s="49"/>
      <c r="AL4001" s="49"/>
      <c r="AM4001" s="49"/>
      <c r="AN4001" s="49"/>
      <c r="AP4001" s="49"/>
      <c r="AQ4001" s="49"/>
      <c r="AR4001" s="49"/>
      <c r="AS4001" s="49"/>
      <c r="AT4001" s="49"/>
    </row>
    <row r="4002">
      <c r="A4002" s="59"/>
      <c r="B4002" s="49"/>
      <c r="C4002" s="50" t="s">
        <v>7180</v>
      </c>
      <c r="D4002" s="49"/>
      <c r="E4002" s="49"/>
      <c r="F4002" s="49"/>
      <c r="G4002" s="49"/>
      <c r="H4002" s="54" t="str">
        <f t="shared" si="1"/>
        <v>,</v>
      </c>
      <c r="I4002" s="50"/>
      <c r="J4002" s="50"/>
      <c r="K4002" s="50"/>
      <c r="L4002" s="50"/>
      <c r="M4002" s="50"/>
      <c r="N4002" s="50"/>
      <c r="O4002" s="49"/>
      <c r="P4002" s="49"/>
      <c r="Q4002" s="49"/>
      <c r="R4002" s="49"/>
      <c r="S4002" s="49"/>
      <c r="T4002" s="49"/>
      <c r="U4002" s="49"/>
      <c r="V4002" s="49"/>
      <c r="W4002" s="49"/>
      <c r="X4002" s="49"/>
      <c r="Y4002" s="49"/>
      <c r="Z4002" s="49"/>
      <c r="AB4002" s="49"/>
      <c r="AC4002" s="49"/>
      <c r="AD4002" s="49"/>
      <c r="AE4002" s="49"/>
      <c r="AF4002" s="49"/>
      <c r="AG4002" s="49"/>
      <c r="AH4002" s="49"/>
      <c r="AI4002" s="49"/>
      <c r="AJ4002" s="49"/>
      <c r="AK4002" s="49"/>
      <c r="AL4002" s="49"/>
      <c r="AM4002" s="49"/>
      <c r="AN4002" s="49"/>
      <c r="AP4002" s="49"/>
      <c r="AQ4002" s="49"/>
      <c r="AR4002" s="49"/>
      <c r="AS4002" s="49"/>
      <c r="AT4002" s="49"/>
    </row>
    <row r="4003">
      <c r="A4003" s="59"/>
      <c r="B4003" s="49"/>
      <c r="C4003" s="50" t="s">
        <v>7181</v>
      </c>
      <c r="D4003" s="49"/>
      <c r="E4003" s="49"/>
      <c r="F4003" s="49"/>
      <c r="G4003" s="49"/>
      <c r="H4003" s="54" t="str">
        <f t="shared" si="1"/>
        <v>,</v>
      </c>
      <c r="I4003" s="50"/>
      <c r="J4003" s="50"/>
      <c r="K4003" s="50"/>
      <c r="L4003" s="50"/>
      <c r="M4003" s="50"/>
      <c r="N4003" s="50"/>
      <c r="O4003" s="49"/>
      <c r="P4003" s="49"/>
      <c r="Q4003" s="49"/>
      <c r="R4003" s="49"/>
      <c r="S4003" s="49"/>
      <c r="T4003" s="49"/>
      <c r="U4003" s="49"/>
      <c r="V4003" s="49"/>
      <c r="W4003" s="49"/>
      <c r="X4003" s="49"/>
      <c r="Y4003" s="49"/>
      <c r="Z4003" s="49"/>
      <c r="AB4003" s="49"/>
      <c r="AC4003" s="49"/>
      <c r="AD4003" s="49"/>
      <c r="AE4003" s="49"/>
      <c r="AF4003" s="49"/>
      <c r="AG4003" s="49"/>
      <c r="AH4003" s="49"/>
      <c r="AI4003" s="49"/>
      <c r="AJ4003" s="49"/>
      <c r="AK4003" s="49"/>
      <c r="AL4003" s="49"/>
      <c r="AM4003" s="49"/>
      <c r="AN4003" s="49"/>
      <c r="AP4003" s="49"/>
      <c r="AQ4003" s="49"/>
      <c r="AR4003" s="49"/>
      <c r="AS4003" s="49"/>
      <c r="AT4003" s="49"/>
    </row>
    <row r="4004">
      <c r="A4004" s="59"/>
      <c r="B4004" s="49"/>
      <c r="C4004" s="50" t="s">
        <v>2789</v>
      </c>
      <c r="D4004" s="49"/>
      <c r="E4004" s="49"/>
      <c r="F4004" s="49"/>
      <c r="G4004" s="49"/>
      <c r="H4004" s="54" t="str">
        <f t="shared" si="1"/>
        <v>,</v>
      </c>
      <c r="I4004" s="50"/>
      <c r="J4004" s="50"/>
      <c r="K4004" s="50"/>
      <c r="L4004" s="50"/>
      <c r="M4004" s="50"/>
      <c r="N4004" s="50"/>
      <c r="O4004" s="49"/>
      <c r="P4004" s="49"/>
      <c r="Q4004" s="49"/>
      <c r="R4004" s="49"/>
      <c r="S4004" s="49"/>
      <c r="T4004" s="49"/>
      <c r="U4004" s="49"/>
      <c r="V4004" s="49"/>
      <c r="W4004" s="49"/>
      <c r="X4004" s="49"/>
      <c r="Y4004" s="49"/>
      <c r="Z4004" s="49"/>
      <c r="AB4004" s="49"/>
      <c r="AC4004" s="49"/>
      <c r="AD4004" s="49"/>
      <c r="AE4004" s="49"/>
      <c r="AF4004" s="49"/>
      <c r="AG4004" s="49"/>
      <c r="AH4004" s="49"/>
      <c r="AI4004" s="49"/>
      <c r="AJ4004" s="49"/>
      <c r="AK4004" s="49"/>
      <c r="AL4004" s="49"/>
      <c r="AM4004" s="49"/>
      <c r="AN4004" s="49"/>
      <c r="AP4004" s="49"/>
      <c r="AQ4004" s="49"/>
      <c r="AR4004" s="49"/>
      <c r="AS4004" s="49"/>
      <c r="AT4004" s="49"/>
    </row>
    <row r="4005">
      <c r="A4005" s="59"/>
      <c r="B4005" s="49"/>
      <c r="C4005" s="50" t="s">
        <v>7182</v>
      </c>
      <c r="D4005" s="49"/>
      <c r="E4005" s="49"/>
      <c r="F4005" s="49"/>
      <c r="G4005" s="49"/>
      <c r="H4005" s="54" t="str">
        <f t="shared" si="1"/>
        <v>,</v>
      </c>
      <c r="I4005" s="50"/>
      <c r="J4005" s="50"/>
      <c r="K4005" s="50"/>
      <c r="L4005" s="50"/>
      <c r="M4005" s="50"/>
      <c r="N4005" s="50"/>
      <c r="O4005" s="49"/>
      <c r="P4005" s="49"/>
      <c r="Q4005" s="49"/>
      <c r="R4005" s="49"/>
      <c r="S4005" s="49"/>
      <c r="T4005" s="49"/>
      <c r="U4005" s="49"/>
      <c r="V4005" s="49"/>
      <c r="W4005" s="49"/>
      <c r="X4005" s="49"/>
      <c r="Y4005" s="49"/>
      <c r="Z4005" s="49"/>
      <c r="AB4005" s="49"/>
      <c r="AC4005" s="49"/>
      <c r="AD4005" s="49"/>
      <c r="AE4005" s="49"/>
      <c r="AF4005" s="49"/>
      <c r="AG4005" s="49"/>
      <c r="AH4005" s="49"/>
      <c r="AI4005" s="49"/>
      <c r="AJ4005" s="49"/>
      <c r="AK4005" s="49"/>
      <c r="AL4005" s="49"/>
      <c r="AM4005" s="49"/>
      <c r="AN4005" s="49"/>
      <c r="AP4005" s="49"/>
      <c r="AQ4005" s="49"/>
      <c r="AR4005" s="49"/>
      <c r="AS4005" s="49"/>
      <c r="AT4005" s="49"/>
    </row>
    <row r="4006">
      <c r="A4006" s="59"/>
      <c r="B4006" s="49"/>
      <c r="C4006" s="50" t="s">
        <v>7058</v>
      </c>
      <c r="D4006" s="49"/>
      <c r="E4006" s="49"/>
      <c r="F4006" s="49"/>
      <c r="G4006" s="49"/>
      <c r="H4006" s="54" t="str">
        <f t="shared" si="1"/>
        <v>,</v>
      </c>
      <c r="I4006" s="50"/>
      <c r="J4006" s="50"/>
      <c r="K4006" s="50"/>
      <c r="L4006" s="50"/>
      <c r="M4006" s="50"/>
      <c r="N4006" s="50"/>
      <c r="O4006" s="49"/>
      <c r="P4006" s="49"/>
      <c r="Q4006" s="49"/>
      <c r="R4006" s="49"/>
      <c r="S4006" s="49"/>
      <c r="T4006" s="49"/>
      <c r="U4006" s="49"/>
      <c r="V4006" s="49"/>
      <c r="W4006" s="49"/>
      <c r="X4006" s="49"/>
      <c r="Y4006" s="49"/>
      <c r="Z4006" s="49"/>
      <c r="AB4006" s="49"/>
      <c r="AC4006" s="49"/>
      <c r="AD4006" s="49"/>
      <c r="AE4006" s="49"/>
      <c r="AF4006" s="49"/>
      <c r="AG4006" s="49"/>
      <c r="AH4006" s="49"/>
      <c r="AI4006" s="49"/>
      <c r="AJ4006" s="49"/>
      <c r="AK4006" s="49"/>
      <c r="AL4006" s="49"/>
      <c r="AM4006" s="49"/>
      <c r="AN4006" s="49"/>
      <c r="AP4006" s="49"/>
      <c r="AQ4006" s="49"/>
      <c r="AR4006" s="49"/>
      <c r="AS4006" s="49"/>
      <c r="AT4006" s="49"/>
    </row>
    <row r="4007">
      <c r="A4007" s="59"/>
      <c r="B4007" s="49"/>
      <c r="C4007" s="50" t="s">
        <v>7059</v>
      </c>
      <c r="D4007" s="49"/>
      <c r="E4007" s="49"/>
      <c r="F4007" s="49"/>
      <c r="G4007" s="49"/>
      <c r="H4007" s="54" t="str">
        <f t="shared" si="1"/>
        <v>,</v>
      </c>
      <c r="I4007" s="50"/>
      <c r="J4007" s="50"/>
      <c r="K4007" s="50"/>
      <c r="L4007" s="50"/>
      <c r="M4007" s="50"/>
      <c r="N4007" s="50"/>
      <c r="O4007" s="49"/>
      <c r="P4007" s="49"/>
      <c r="Q4007" s="49"/>
      <c r="R4007" s="49"/>
      <c r="S4007" s="49"/>
      <c r="T4007" s="49"/>
      <c r="U4007" s="49"/>
      <c r="V4007" s="49"/>
      <c r="W4007" s="49"/>
      <c r="X4007" s="49"/>
      <c r="Y4007" s="49"/>
      <c r="Z4007" s="49"/>
      <c r="AB4007" s="49"/>
      <c r="AC4007" s="49"/>
      <c r="AD4007" s="49"/>
      <c r="AE4007" s="49"/>
      <c r="AF4007" s="49"/>
      <c r="AG4007" s="49"/>
      <c r="AH4007" s="49"/>
      <c r="AI4007" s="49"/>
      <c r="AJ4007" s="49"/>
      <c r="AK4007" s="49"/>
      <c r="AL4007" s="49"/>
      <c r="AM4007" s="49"/>
      <c r="AN4007" s="49"/>
      <c r="AP4007" s="49"/>
      <c r="AQ4007" s="49"/>
      <c r="AR4007" s="49"/>
      <c r="AS4007" s="49"/>
      <c r="AT4007" s="49"/>
    </row>
    <row r="4008">
      <c r="A4008" s="59"/>
      <c r="B4008" s="49"/>
      <c r="C4008" s="50" t="s">
        <v>6140</v>
      </c>
      <c r="D4008" s="49"/>
      <c r="E4008" s="49"/>
      <c r="F4008" s="49"/>
      <c r="G4008" s="49"/>
      <c r="H4008" s="54" t="str">
        <f t="shared" si="1"/>
        <v>,</v>
      </c>
      <c r="I4008" s="50"/>
      <c r="J4008" s="50"/>
      <c r="K4008" s="50"/>
      <c r="L4008" s="50"/>
      <c r="M4008" s="50"/>
      <c r="N4008" s="50"/>
      <c r="O4008" s="49"/>
      <c r="P4008" s="49"/>
      <c r="Q4008" s="49"/>
      <c r="R4008" s="49"/>
      <c r="S4008" s="49"/>
      <c r="T4008" s="49"/>
      <c r="U4008" s="49"/>
      <c r="V4008" s="49"/>
      <c r="W4008" s="49"/>
      <c r="X4008" s="49"/>
      <c r="Y4008" s="49"/>
      <c r="Z4008" s="49"/>
      <c r="AB4008" s="49"/>
      <c r="AC4008" s="49"/>
      <c r="AD4008" s="49"/>
      <c r="AE4008" s="49"/>
      <c r="AF4008" s="49"/>
      <c r="AG4008" s="49"/>
      <c r="AH4008" s="49"/>
      <c r="AI4008" s="49"/>
      <c r="AJ4008" s="49"/>
      <c r="AK4008" s="49"/>
      <c r="AL4008" s="49"/>
      <c r="AM4008" s="49"/>
      <c r="AN4008" s="49"/>
      <c r="AP4008" s="49"/>
      <c r="AQ4008" s="49"/>
      <c r="AR4008" s="49"/>
      <c r="AS4008" s="49"/>
      <c r="AT4008" s="49"/>
    </row>
    <row r="4009">
      <c r="A4009" s="59"/>
      <c r="B4009" s="49"/>
      <c r="C4009" s="50" t="s">
        <v>6160</v>
      </c>
      <c r="D4009" s="49"/>
      <c r="E4009" s="49"/>
      <c r="F4009" s="49"/>
      <c r="G4009" s="49"/>
      <c r="H4009" s="54" t="str">
        <f t="shared" si="1"/>
        <v>,</v>
      </c>
      <c r="I4009" s="50"/>
      <c r="J4009" s="50"/>
      <c r="K4009" s="50"/>
      <c r="L4009" s="50"/>
      <c r="M4009" s="50"/>
      <c r="N4009" s="50"/>
      <c r="O4009" s="49"/>
      <c r="P4009" s="49"/>
      <c r="Q4009" s="49"/>
      <c r="R4009" s="49"/>
      <c r="S4009" s="49"/>
      <c r="T4009" s="49"/>
      <c r="U4009" s="49"/>
      <c r="V4009" s="49"/>
      <c r="W4009" s="49"/>
      <c r="X4009" s="49"/>
      <c r="Y4009" s="49"/>
      <c r="Z4009" s="49"/>
      <c r="AB4009" s="49"/>
      <c r="AC4009" s="49"/>
      <c r="AD4009" s="49"/>
      <c r="AE4009" s="49"/>
      <c r="AF4009" s="49"/>
      <c r="AG4009" s="49"/>
      <c r="AH4009" s="49"/>
      <c r="AI4009" s="49"/>
      <c r="AJ4009" s="49"/>
      <c r="AK4009" s="49"/>
      <c r="AL4009" s="49"/>
      <c r="AM4009" s="49"/>
      <c r="AN4009" s="49"/>
      <c r="AP4009" s="49"/>
      <c r="AQ4009" s="49"/>
      <c r="AR4009" s="49"/>
      <c r="AS4009" s="49"/>
      <c r="AT4009" s="49"/>
    </row>
    <row r="4010">
      <c r="A4010" s="59"/>
      <c r="B4010" s="49"/>
      <c r="C4010" s="50" t="s">
        <v>7060</v>
      </c>
      <c r="D4010" s="49"/>
      <c r="E4010" s="49"/>
      <c r="F4010" s="49"/>
      <c r="G4010" s="49"/>
      <c r="H4010" s="54" t="str">
        <f t="shared" si="1"/>
        <v>,</v>
      </c>
      <c r="I4010" s="50"/>
      <c r="J4010" s="50"/>
      <c r="K4010" s="50"/>
      <c r="L4010" s="50"/>
      <c r="M4010" s="50"/>
      <c r="N4010" s="50"/>
      <c r="O4010" s="49"/>
      <c r="P4010" s="49"/>
      <c r="Q4010" s="49"/>
      <c r="R4010" s="49"/>
      <c r="S4010" s="49"/>
      <c r="T4010" s="49"/>
      <c r="U4010" s="49"/>
      <c r="V4010" s="49"/>
      <c r="W4010" s="49"/>
      <c r="X4010" s="49"/>
      <c r="Y4010" s="49"/>
      <c r="Z4010" s="49"/>
      <c r="AB4010" s="49"/>
      <c r="AC4010" s="49"/>
      <c r="AD4010" s="49"/>
      <c r="AE4010" s="49"/>
      <c r="AF4010" s="49"/>
      <c r="AG4010" s="49"/>
      <c r="AH4010" s="49"/>
      <c r="AI4010" s="49"/>
      <c r="AJ4010" s="49"/>
      <c r="AK4010" s="49"/>
      <c r="AL4010" s="49"/>
      <c r="AM4010" s="49"/>
      <c r="AN4010" s="49"/>
      <c r="AP4010" s="49"/>
      <c r="AQ4010" s="49"/>
      <c r="AR4010" s="49"/>
      <c r="AS4010" s="49"/>
      <c r="AT4010" s="49"/>
    </row>
    <row r="4011">
      <c r="A4011" s="59"/>
      <c r="B4011" s="49"/>
      <c r="C4011" s="50" t="s">
        <v>7183</v>
      </c>
      <c r="D4011" s="49"/>
      <c r="E4011" s="49"/>
      <c r="F4011" s="49"/>
      <c r="G4011" s="49"/>
      <c r="H4011" s="54" t="str">
        <f t="shared" si="1"/>
        <v>,</v>
      </c>
      <c r="I4011" s="50"/>
      <c r="J4011" s="50"/>
      <c r="K4011" s="50"/>
      <c r="L4011" s="50"/>
      <c r="M4011" s="50"/>
      <c r="N4011" s="50"/>
      <c r="O4011" s="49"/>
      <c r="P4011" s="49"/>
      <c r="Q4011" s="49"/>
      <c r="R4011" s="49"/>
      <c r="S4011" s="49"/>
      <c r="T4011" s="49"/>
      <c r="U4011" s="49"/>
      <c r="V4011" s="49"/>
      <c r="W4011" s="49"/>
      <c r="X4011" s="49"/>
      <c r="Y4011" s="49"/>
      <c r="Z4011" s="49"/>
      <c r="AB4011" s="49"/>
      <c r="AC4011" s="49"/>
      <c r="AD4011" s="49"/>
      <c r="AE4011" s="49"/>
      <c r="AF4011" s="49"/>
      <c r="AG4011" s="49"/>
      <c r="AH4011" s="49"/>
      <c r="AI4011" s="49"/>
      <c r="AJ4011" s="49"/>
      <c r="AK4011" s="49"/>
      <c r="AL4011" s="49"/>
      <c r="AM4011" s="49"/>
      <c r="AN4011" s="49"/>
      <c r="AP4011" s="49"/>
      <c r="AQ4011" s="49"/>
      <c r="AR4011" s="49"/>
      <c r="AS4011" s="49"/>
      <c r="AT4011" s="49"/>
    </row>
    <row r="4012">
      <c r="A4012" s="59"/>
      <c r="B4012" s="49"/>
      <c r="C4012" s="50" t="s">
        <v>7061</v>
      </c>
      <c r="D4012" s="49"/>
      <c r="E4012" s="49"/>
      <c r="F4012" s="49"/>
      <c r="G4012" s="49"/>
      <c r="H4012" s="54" t="str">
        <f t="shared" si="1"/>
        <v>,</v>
      </c>
      <c r="I4012" s="50"/>
      <c r="J4012" s="50"/>
      <c r="K4012" s="50"/>
      <c r="L4012" s="50"/>
      <c r="M4012" s="50"/>
      <c r="N4012" s="50"/>
      <c r="O4012" s="49"/>
      <c r="P4012" s="49"/>
      <c r="Q4012" s="49"/>
      <c r="R4012" s="49"/>
      <c r="S4012" s="49"/>
      <c r="T4012" s="49"/>
      <c r="U4012" s="49"/>
      <c r="V4012" s="49"/>
      <c r="W4012" s="49"/>
      <c r="X4012" s="49"/>
      <c r="Y4012" s="49"/>
      <c r="Z4012" s="49"/>
      <c r="AB4012" s="49"/>
      <c r="AC4012" s="49"/>
      <c r="AD4012" s="49"/>
      <c r="AE4012" s="49"/>
      <c r="AF4012" s="49"/>
      <c r="AG4012" s="49"/>
      <c r="AH4012" s="49"/>
      <c r="AI4012" s="49"/>
      <c r="AJ4012" s="49"/>
      <c r="AK4012" s="49"/>
      <c r="AL4012" s="49"/>
      <c r="AM4012" s="49"/>
      <c r="AN4012" s="49"/>
      <c r="AP4012" s="49"/>
      <c r="AQ4012" s="49"/>
      <c r="AR4012" s="49"/>
      <c r="AS4012" s="49"/>
      <c r="AT4012" s="49"/>
    </row>
    <row r="4013">
      <c r="A4013" s="59"/>
      <c r="B4013" s="49"/>
      <c r="C4013" s="50" t="s">
        <v>5877</v>
      </c>
      <c r="D4013" s="49"/>
      <c r="E4013" s="49"/>
      <c r="F4013" s="49"/>
      <c r="G4013" s="49"/>
      <c r="H4013" s="54" t="str">
        <f t="shared" si="1"/>
        <v>,</v>
      </c>
      <c r="I4013" s="50"/>
      <c r="J4013" s="50"/>
      <c r="K4013" s="50"/>
      <c r="L4013" s="50"/>
      <c r="M4013" s="50"/>
      <c r="N4013" s="50"/>
      <c r="O4013" s="49"/>
      <c r="P4013" s="49"/>
      <c r="Q4013" s="49"/>
      <c r="R4013" s="49"/>
      <c r="S4013" s="49"/>
      <c r="T4013" s="49"/>
      <c r="U4013" s="49"/>
      <c r="V4013" s="49"/>
      <c r="W4013" s="49"/>
      <c r="X4013" s="49"/>
      <c r="Y4013" s="49"/>
      <c r="Z4013" s="49"/>
      <c r="AB4013" s="49"/>
      <c r="AC4013" s="49"/>
      <c r="AD4013" s="49"/>
      <c r="AE4013" s="49"/>
      <c r="AF4013" s="49"/>
      <c r="AG4013" s="49"/>
      <c r="AH4013" s="49"/>
      <c r="AI4013" s="49"/>
      <c r="AJ4013" s="49"/>
      <c r="AK4013" s="49"/>
      <c r="AL4013" s="49"/>
      <c r="AM4013" s="49"/>
      <c r="AN4013" s="49"/>
      <c r="AP4013" s="49"/>
      <c r="AQ4013" s="49"/>
      <c r="AR4013" s="49"/>
      <c r="AS4013" s="49"/>
      <c r="AT4013" s="49"/>
    </row>
    <row r="4014">
      <c r="A4014" s="59"/>
      <c r="B4014" s="49"/>
      <c r="C4014" s="50" t="s">
        <v>5062</v>
      </c>
      <c r="D4014" s="49"/>
      <c r="E4014" s="49"/>
      <c r="F4014" s="49"/>
      <c r="G4014" s="49"/>
      <c r="H4014" s="54" t="str">
        <f t="shared" si="1"/>
        <v>,</v>
      </c>
      <c r="I4014" s="50"/>
      <c r="J4014" s="50"/>
      <c r="K4014" s="50"/>
      <c r="L4014" s="50"/>
      <c r="M4014" s="50"/>
      <c r="N4014" s="50"/>
      <c r="O4014" s="49"/>
      <c r="P4014" s="49"/>
      <c r="Q4014" s="49"/>
      <c r="R4014" s="49"/>
      <c r="S4014" s="49"/>
      <c r="T4014" s="49"/>
      <c r="U4014" s="49"/>
      <c r="V4014" s="49"/>
      <c r="W4014" s="49"/>
      <c r="X4014" s="49"/>
      <c r="Y4014" s="49"/>
      <c r="Z4014" s="49"/>
      <c r="AB4014" s="49"/>
      <c r="AC4014" s="49"/>
      <c r="AD4014" s="49"/>
      <c r="AE4014" s="49"/>
      <c r="AF4014" s="49"/>
      <c r="AG4014" s="49"/>
      <c r="AH4014" s="49"/>
      <c r="AI4014" s="49"/>
      <c r="AJ4014" s="49"/>
      <c r="AK4014" s="49"/>
      <c r="AL4014" s="49"/>
      <c r="AM4014" s="49"/>
      <c r="AN4014" s="49"/>
      <c r="AP4014" s="49"/>
      <c r="AQ4014" s="49"/>
      <c r="AR4014" s="49"/>
      <c r="AS4014" s="49"/>
      <c r="AT4014" s="49"/>
    </row>
    <row r="4015">
      <c r="A4015" s="59"/>
      <c r="B4015" s="49"/>
      <c r="C4015" s="50" t="s">
        <v>3434</v>
      </c>
      <c r="D4015" s="49"/>
      <c r="E4015" s="49"/>
      <c r="F4015" s="49"/>
      <c r="G4015" s="49"/>
      <c r="H4015" s="54" t="str">
        <f t="shared" si="1"/>
        <v>,</v>
      </c>
      <c r="I4015" s="50"/>
      <c r="J4015" s="50"/>
      <c r="K4015" s="50"/>
      <c r="L4015" s="50"/>
      <c r="M4015" s="50"/>
      <c r="N4015" s="50"/>
      <c r="O4015" s="49"/>
      <c r="P4015" s="49"/>
      <c r="Q4015" s="49"/>
      <c r="R4015" s="49"/>
      <c r="S4015" s="49"/>
      <c r="T4015" s="49"/>
      <c r="U4015" s="49"/>
      <c r="V4015" s="49"/>
      <c r="W4015" s="49"/>
      <c r="X4015" s="49"/>
      <c r="Y4015" s="49"/>
      <c r="Z4015" s="49"/>
      <c r="AB4015" s="49"/>
      <c r="AC4015" s="49"/>
      <c r="AD4015" s="49"/>
      <c r="AE4015" s="49"/>
      <c r="AF4015" s="49"/>
      <c r="AG4015" s="49"/>
      <c r="AH4015" s="49"/>
      <c r="AI4015" s="49"/>
      <c r="AJ4015" s="49"/>
      <c r="AK4015" s="49"/>
      <c r="AL4015" s="49"/>
      <c r="AM4015" s="49"/>
      <c r="AN4015" s="49"/>
      <c r="AP4015" s="49"/>
      <c r="AQ4015" s="49"/>
      <c r="AR4015" s="49"/>
      <c r="AS4015" s="49"/>
      <c r="AT4015" s="49"/>
    </row>
    <row r="4016">
      <c r="A4016" s="59"/>
      <c r="B4016" s="49"/>
      <c r="C4016" s="50" t="s">
        <v>6187</v>
      </c>
      <c r="D4016" s="49"/>
      <c r="E4016" s="49"/>
      <c r="F4016" s="49"/>
      <c r="G4016" s="49"/>
      <c r="H4016" s="54" t="str">
        <f t="shared" si="1"/>
        <v>,</v>
      </c>
      <c r="I4016" s="50"/>
      <c r="J4016" s="50"/>
      <c r="K4016" s="50"/>
      <c r="L4016" s="50"/>
      <c r="M4016" s="50"/>
      <c r="N4016" s="50"/>
      <c r="O4016" s="49"/>
      <c r="P4016" s="49"/>
      <c r="Q4016" s="49"/>
      <c r="R4016" s="49"/>
      <c r="S4016" s="49"/>
      <c r="T4016" s="49"/>
      <c r="U4016" s="49"/>
      <c r="V4016" s="49"/>
      <c r="W4016" s="49"/>
      <c r="X4016" s="49"/>
      <c r="Y4016" s="49"/>
      <c r="Z4016" s="49"/>
      <c r="AB4016" s="49"/>
      <c r="AC4016" s="49"/>
      <c r="AD4016" s="49"/>
      <c r="AE4016" s="49"/>
      <c r="AF4016" s="49"/>
      <c r="AG4016" s="49"/>
      <c r="AH4016" s="49"/>
      <c r="AI4016" s="49"/>
      <c r="AJ4016" s="49"/>
      <c r="AK4016" s="49"/>
      <c r="AL4016" s="49"/>
      <c r="AM4016" s="49"/>
      <c r="AN4016" s="49"/>
      <c r="AP4016" s="49"/>
      <c r="AQ4016" s="49"/>
      <c r="AR4016" s="49"/>
      <c r="AS4016" s="49"/>
      <c r="AT4016" s="49"/>
    </row>
    <row r="4017">
      <c r="A4017" s="59"/>
      <c r="B4017" s="49"/>
      <c r="C4017" s="50">
        <v>78.0</v>
      </c>
      <c r="D4017" s="49"/>
      <c r="E4017" s="49"/>
      <c r="F4017" s="49"/>
      <c r="G4017" s="49"/>
      <c r="H4017" s="54" t="str">
        <f t="shared" si="1"/>
        <v>,</v>
      </c>
      <c r="I4017" s="50"/>
      <c r="J4017" s="50"/>
      <c r="K4017" s="50"/>
      <c r="L4017" s="50"/>
      <c r="M4017" s="50"/>
      <c r="N4017" s="50"/>
      <c r="O4017" s="49"/>
      <c r="P4017" s="49"/>
      <c r="Q4017" s="49"/>
      <c r="R4017" s="49"/>
      <c r="S4017" s="49"/>
      <c r="T4017" s="49"/>
      <c r="U4017" s="49"/>
      <c r="V4017" s="49"/>
      <c r="W4017" s="49"/>
      <c r="X4017" s="49"/>
      <c r="Y4017" s="49"/>
      <c r="Z4017" s="49"/>
      <c r="AB4017" s="49"/>
      <c r="AC4017" s="49"/>
      <c r="AD4017" s="49"/>
      <c r="AE4017" s="49"/>
      <c r="AF4017" s="49"/>
      <c r="AG4017" s="49"/>
      <c r="AH4017" s="49"/>
      <c r="AI4017" s="49"/>
      <c r="AJ4017" s="49"/>
      <c r="AK4017" s="49"/>
      <c r="AL4017" s="49"/>
      <c r="AM4017" s="49"/>
      <c r="AN4017" s="49"/>
      <c r="AP4017" s="49"/>
      <c r="AQ4017" s="49"/>
      <c r="AR4017" s="49"/>
      <c r="AS4017" s="49"/>
      <c r="AT4017" s="49"/>
    </row>
    <row r="4018">
      <c r="A4018" s="59"/>
      <c r="B4018" s="49"/>
      <c r="C4018" s="50">
        <v>21.0</v>
      </c>
      <c r="D4018" s="49"/>
      <c r="E4018" s="49"/>
      <c r="F4018" s="49"/>
      <c r="G4018" s="49"/>
      <c r="H4018" s="54" t="str">
        <f t="shared" si="1"/>
        <v>,</v>
      </c>
      <c r="I4018" s="50"/>
      <c r="J4018" s="50"/>
      <c r="K4018" s="50"/>
      <c r="L4018" s="50"/>
      <c r="M4018" s="50"/>
      <c r="N4018" s="50"/>
      <c r="O4018" s="49"/>
      <c r="P4018" s="49"/>
      <c r="Q4018" s="49"/>
      <c r="R4018" s="49"/>
      <c r="S4018" s="49"/>
      <c r="T4018" s="49"/>
      <c r="U4018" s="49"/>
      <c r="V4018" s="49"/>
      <c r="W4018" s="49"/>
      <c r="X4018" s="49"/>
      <c r="Y4018" s="49"/>
      <c r="Z4018" s="49"/>
      <c r="AB4018" s="49"/>
      <c r="AC4018" s="49"/>
      <c r="AD4018" s="49"/>
      <c r="AE4018" s="49"/>
      <c r="AF4018" s="49"/>
      <c r="AG4018" s="49"/>
      <c r="AH4018" s="49"/>
      <c r="AI4018" s="49"/>
      <c r="AJ4018" s="49"/>
      <c r="AK4018" s="49"/>
      <c r="AL4018" s="49"/>
      <c r="AM4018" s="49"/>
      <c r="AN4018" s="49"/>
      <c r="AP4018" s="49"/>
      <c r="AQ4018" s="49"/>
      <c r="AR4018" s="49"/>
      <c r="AS4018" s="49"/>
      <c r="AT4018" s="49"/>
    </row>
    <row r="4019">
      <c r="A4019" s="59"/>
      <c r="B4019" s="49"/>
      <c r="C4019" s="50" t="s">
        <v>7184</v>
      </c>
      <c r="D4019" s="49"/>
      <c r="E4019" s="49"/>
      <c r="F4019" s="49"/>
      <c r="G4019" s="49"/>
      <c r="H4019" s="54" t="str">
        <f t="shared" si="1"/>
        <v>,</v>
      </c>
      <c r="I4019" s="50"/>
      <c r="J4019" s="50"/>
      <c r="K4019" s="50"/>
      <c r="L4019" s="50"/>
      <c r="M4019" s="50"/>
      <c r="N4019" s="50"/>
      <c r="O4019" s="49"/>
      <c r="P4019" s="49"/>
      <c r="Q4019" s="49"/>
      <c r="R4019" s="49"/>
      <c r="S4019" s="49"/>
      <c r="T4019" s="49"/>
      <c r="U4019" s="49"/>
      <c r="V4019" s="49"/>
      <c r="W4019" s="49"/>
      <c r="X4019" s="49"/>
      <c r="Y4019" s="49"/>
      <c r="Z4019" s="49"/>
      <c r="AB4019" s="49"/>
      <c r="AC4019" s="49"/>
      <c r="AD4019" s="49"/>
      <c r="AE4019" s="49"/>
      <c r="AF4019" s="49"/>
      <c r="AG4019" s="49"/>
      <c r="AH4019" s="49"/>
      <c r="AI4019" s="49"/>
      <c r="AJ4019" s="49"/>
      <c r="AK4019" s="49"/>
      <c r="AL4019" s="49"/>
      <c r="AM4019" s="49"/>
      <c r="AN4019" s="49"/>
      <c r="AP4019" s="49"/>
      <c r="AQ4019" s="49"/>
      <c r="AR4019" s="49"/>
      <c r="AS4019" s="49"/>
      <c r="AT4019" s="49"/>
    </row>
    <row r="4020">
      <c r="A4020" s="59"/>
      <c r="B4020" s="49"/>
      <c r="C4020" s="50" t="s">
        <v>7185</v>
      </c>
      <c r="D4020" s="49"/>
      <c r="E4020" s="49"/>
      <c r="F4020" s="49"/>
      <c r="G4020" s="49"/>
      <c r="H4020" s="54" t="str">
        <f t="shared" si="1"/>
        <v>,</v>
      </c>
      <c r="I4020" s="50"/>
      <c r="J4020" s="50"/>
      <c r="K4020" s="50"/>
      <c r="L4020" s="50"/>
      <c r="M4020" s="50"/>
      <c r="N4020" s="50"/>
      <c r="O4020" s="49"/>
      <c r="P4020" s="49"/>
      <c r="Q4020" s="49"/>
      <c r="R4020" s="49"/>
      <c r="S4020" s="49"/>
      <c r="T4020" s="49"/>
      <c r="U4020" s="49"/>
      <c r="V4020" s="49"/>
      <c r="W4020" s="49"/>
      <c r="X4020" s="49"/>
      <c r="Y4020" s="49"/>
      <c r="Z4020" s="49"/>
      <c r="AB4020" s="49"/>
      <c r="AC4020" s="49"/>
      <c r="AD4020" s="49"/>
      <c r="AE4020" s="49"/>
      <c r="AF4020" s="49"/>
      <c r="AG4020" s="49"/>
      <c r="AH4020" s="49"/>
      <c r="AI4020" s="49"/>
      <c r="AJ4020" s="49"/>
      <c r="AK4020" s="49"/>
      <c r="AL4020" s="49"/>
      <c r="AM4020" s="49"/>
      <c r="AN4020" s="49"/>
      <c r="AP4020" s="49"/>
      <c r="AQ4020" s="49"/>
      <c r="AR4020" s="49"/>
      <c r="AS4020" s="49"/>
      <c r="AT4020" s="49"/>
    </row>
    <row r="4021">
      <c r="A4021" s="59"/>
      <c r="B4021" s="49"/>
      <c r="C4021" s="50" t="s">
        <v>7064</v>
      </c>
      <c r="D4021" s="49"/>
      <c r="E4021" s="49"/>
      <c r="F4021" s="49"/>
      <c r="G4021" s="49"/>
      <c r="H4021" s="54" t="str">
        <f t="shared" si="1"/>
        <v>,</v>
      </c>
      <c r="I4021" s="50"/>
      <c r="J4021" s="50"/>
      <c r="K4021" s="50"/>
      <c r="L4021" s="50"/>
      <c r="M4021" s="50"/>
      <c r="N4021" s="50"/>
      <c r="O4021" s="49"/>
      <c r="P4021" s="49"/>
      <c r="Q4021" s="49"/>
      <c r="R4021" s="49"/>
      <c r="S4021" s="49"/>
      <c r="T4021" s="49"/>
      <c r="U4021" s="49"/>
      <c r="V4021" s="49"/>
      <c r="W4021" s="49"/>
      <c r="X4021" s="49"/>
      <c r="Y4021" s="49"/>
      <c r="Z4021" s="49"/>
      <c r="AB4021" s="49"/>
      <c r="AC4021" s="49"/>
      <c r="AD4021" s="49"/>
      <c r="AE4021" s="49"/>
      <c r="AF4021" s="49"/>
      <c r="AG4021" s="49"/>
      <c r="AH4021" s="49"/>
      <c r="AI4021" s="49"/>
      <c r="AJ4021" s="49"/>
      <c r="AK4021" s="49"/>
      <c r="AL4021" s="49"/>
      <c r="AM4021" s="49"/>
      <c r="AN4021" s="49"/>
      <c r="AP4021" s="49"/>
      <c r="AQ4021" s="49"/>
      <c r="AR4021" s="49"/>
      <c r="AS4021" s="49"/>
      <c r="AT4021" s="49"/>
    </row>
    <row r="4022">
      <c r="A4022" s="59"/>
      <c r="B4022" s="49"/>
      <c r="C4022" s="50" t="s">
        <v>4023</v>
      </c>
      <c r="D4022" s="49"/>
      <c r="E4022" s="49"/>
      <c r="F4022" s="49"/>
      <c r="G4022" s="49"/>
      <c r="H4022" s="54" t="str">
        <f t="shared" si="1"/>
        <v>,</v>
      </c>
      <c r="I4022" s="50"/>
      <c r="J4022" s="50"/>
      <c r="K4022" s="50"/>
      <c r="L4022" s="50"/>
      <c r="M4022" s="50"/>
      <c r="N4022" s="50"/>
      <c r="O4022" s="49"/>
      <c r="P4022" s="49"/>
      <c r="Q4022" s="49"/>
      <c r="R4022" s="49"/>
      <c r="S4022" s="49"/>
      <c r="T4022" s="49"/>
      <c r="U4022" s="49"/>
      <c r="V4022" s="49"/>
      <c r="W4022" s="49"/>
      <c r="X4022" s="49"/>
      <c r="Y4022" s="49"/>
      <c r="Z4022" s="49"/>
      <c r="AB4022" s="49"/>
      <c r="AC4022" s="49"/>
      <c r="AD4022" s="49"/>
      <c r="AE4022" s="49"/>
      <c r="AF4022" s="49"/>
      <c r="AG4022" s="49"/>
      <c r="AH4022" s="49"/>
      <c r="AI4022" s="49"/>
      <c r="AJ4022" s="49"/>
      <c r="AK4022" s="49"/>
      <c r="AL4022" s="49"/>
      <c r="AM4022" s="49"/>
      <c r="AN4022" s="49"/>
      <c r="AP4022" s="49"/>
      <c r="AQ4022" s="49"/>
      <c r="AR4022" s="49"/>
      <c r="AS4022" s="49"/>
      <c r="AT4022" s="49"/>
    </row>
    <row r="4023">
      <c r="A4023" s="59"/>
      <c r="B4023" s="49"/>
      <c r="C4023" s="50" t="s">
        <v>7186</v>
      </c>
      <c r="D4023" s="49"/>
      <c r="E4023" s="49"/>
      <c r="F4023" s="49"/>
      <c r="G4023" s="49"/>
      <c r="H4023" s="54" t="str">
        <f t="shared" si="1"/>
        <v>,</v>
      </c>
      <c r="I4023" s="50"/>
      <c r="J4023" s="50"/>
      <c r="K4023" s="50"/>
      <c r="L4023" s="50"/>
      <c r="M4023" s="50"/>
      <c r="N4023" s="50"/>
      <c r="O4023" s="49"/>
      <c r="P4023" s="49"/>
      <c r="Q4023" s="49"/>
      <c r="R4023" s="49"/>
      <c r="S4023" s="49"/>
      <c r="T4023" s="49"/>
      <c r="U4023" s="49"/>
      <c r="V4023" s="49"/>
      <c r="W4023" s="49"/>
      <c r="X4023" s="49"/>
      <c r="Y4023" s="49"/>
      <c r="Z4023" s="49"/>
      <c r="AB4023" s="49"/>
      <c r="AC4023" s="49"/>
      <c r="AD4023" s="49"/>
      <c r="AE4023" s="49"/>
      <c r="AF4023" s="49"/>
      <c r="AG4023" s="49"/>
      <c r="AH4023" s="49"/>
      <c r="AI4023" s="49"/>
      <c r="AJ4023" s="49"/>
      <c r="AK4023" s="49"/>
      <c r="AL4023" s="49"/>
      <c r="AM4023" s="49"/>
      <c r="AN4023" s="49"/>
      <c r="AP4023" s="49"/>
      <c r="AQ4023" s="49"/>
      <c r="AR4023" s="49"/>
      <c r="AS4023" s="49"/>
      <c r="AT4023" s="49"/>
    </row>
    <row r="4024">
      <c r="A4024" s="59"/>
      <c r="B4024" s="49"/>
      <c r="C4024" s="50" t="s">
        <v>7066</v>
      </c>
      <c r="D4024" s="49"/>
      <c r="E4024" s="49"/>
      <c r="F4024" s="49"/>
      <c r="G4024" s="49"/>
      <c r="H4024" s="54" t="str">
        <f t="shared" si="1"/>
        <v>,</v>
      </c>
      <c r="I4024" s="50"/>
      <c r="J4024" s="50"/>
      <c r="K4024" s="50"/>
      <c r="L4024" s="50"/>
      <c r="M4024" s="50"/>
      <c r="N4024" s="50"/>
      <c r="O4024" s="49"/>
      <c r="P4024" s="49"/>
      <c r="Q4024" s="49"/>
      <c r="R4024" s="49"/>
      <c r="S4024" s="49"/>
      <c r="T4024" s="49"/>
      <c r="U4024" s="49"/>
      <c r="V4024" s="49"/>
      <c r="W4024" s="49"/>
      <c r="X4024" s="49"/>
      <c r="Y4024" s="49"/>
      <c r="Z4024" s="49"/>
      <c r="AB4024" s="49"/>
      <c r="AC4024" s="49"/>
      <c r="AD4024" s="49"/>
      <c r="AE4024" s="49"/>
      <c r="AF4024" s="49"/>
      <c r="AG4024" s="49"/>
      <c r="AH4024" s="49"/>
      <c r="AI4024" s="49"/>
      <c r="AJ4024" s="49"/>
      <c r="AK4024" s="49"/>
      <c r="AL4024" s="49"/>
      <c r="AM4024" s="49"/>
      <c r="AN4024" s="49"/>
      <c r="AP4024" s="49"/>
      <c r="AQ4024" s="49"/>
      <c r="AR4024" s="49"/>
      <c r="AS4024" s="49"/>
      <c r="AT4024" s="49"/>
    </row>
    <row r="4025">
      <c r="A4025" s="59"/>
      <c r="B4025" s="49"/>
      <c r="C4025" s="50" t="s">
        <v>3331</v>
      </c>
      <c r="D4025" s="49"/>
      <c r="E4025" s="49"/>
      <c r="F4025" s="49"/>
      <c r="G4025" s="49"/>
      <c r="H4025" s="54" t="str">
        <f t="shared" si="1"/>
        <v>,</v>
      </c>
      <c r="I4025" s="50"/>
      <c r="J4025" s="50"/>
      <c r="K4025" s="50"/>
      <c r="L4025" s="50"/>
      <c r="M4025" s="50"/>
      <c r="N4025" s="50"/>
      <c r="O4025" s="49"/>
      <c r="P4025" s="49"/>
      <c r="Q4025" s="49"/>
      <c r="R4025" s="49"/>
      <c r="S4025" s="49"/>
      <c r="T4025" s="49"/>
      <c r="U4025" s="49"/>
      <c r="V4025" s="49"/>
      <c r="W4025" s="49"/>
      <c r="X4025" s="49"/>
      <c r="Y4025" s="49"/>
      <c r="Z4025" s="49"/>
      <c r="AB4025" s="49"/>
      <c r="AC4025" s="49"/>
      <c r="AD4025" s="49"/>
      <c r="AE4025" s="49"/>
      <c r="AF4025" s="49"/>
      <c r="AG4025" s="49"/>
      <c r="AH4025" s="49"/>
      <c r="AI4025" s="49"/>
      <c r="AJ4025" s="49"/>
      <c r="AK4025" s="49"/>
      <c r="AL4025" s="49"/>
      <c r="AM4025" s="49"/>
      <c r="AN4025" s="49"/>
      <c r="AP4025" s="49"/>
      <c r="AQ4025" s="49"/>
      <c r="AR4025" s="49"/>
      <c r="AS4025" s="49"/>
      <c r="AT4025" s="49"/>
    </row>
    <row r="4026">
      <c r="A4026" s="59"/>
      <c r="B4026" s="49"/>
      <c r="C4026" s="50" t="s">
        <v>3803</v>
      </c>
      <c r="D4026" s="49"/>
      <c r="E4026" s="49"/>
      <c r="F4026" s="49"/>
      <c r="G4026" s="49"/>
      <c r="H4026" s="54" t="str">
        <f t="shared" si="1"/>
        <v>,</v>
      </c>
      <c r="I4026" s="50"/>
      <c r="J4026" s="50"/>
      <c r="K4026" s="50"/>
      <c r="L4026" s="50"/>
      <c r="M4026" s="50"/>
      <c r="N4026" s="50"/>
      <c r="O4026" s="49"/>
      <c r="P4026" s="49"/>
      <c r="Q4026" s="49"/>
      <c r="R4026" s="49"/>
      <c r="S4026" s="49"/>
      <c r="T4026" s="49"/>
      <c r="U4026" s="49"/>
      <c r="V4026" s="49"/>
      <c r="W4026" s="49"/>
      <c r="X4026" s="49"/>
      <c r="Y4026" s="49"/>
      <c r="Z4026" s="49"/>
      <c r="AB4026" s="49"/>
      <c r="AC4026" s="49"/>
      <c r="AD4026" s="49"/>
      <c r="AE4026" s="49"/>
      <c r="AF4026" s="49"/>
      <c r="AG4026" s="49"/>
      <c r="AH4026" s="49"/>
      <c r="AI4026" s="49"/>
      <c r="AJ4026" s="49"/>
      <c r="AK4026" s="49"/>
      <c r="AL4026" s="49"/>
      <c r="AM4026" s="49"/>
      <c r="AN4026" s="49"/>
      <c r="AP4026" s="49"/>
      <c r="AQ4026" s="49"/>
      <c r="AR4026" s="49"/>
      <c r="AS4026" s="49"/>
      <c r="AT4026" s="49"/>
    </row>
    <row r="4027">
      <c r="A4027" s="59"/>
      <c r="B4027" s="49"/>
      <c r="C4027" s="50" t="s">
        <v>3429</v>
      </c>
      <c r="D4027" s="49"/>
      <c r="E4027" s="49"/>
      <c r="F4027" s="49"/>
      <c r="G4027" s="49"/>
      <c r="H4027" s="54" t="str">
        <f t="shared" si="1"/>
        <v>,</v>
      </c>
      <c r="I4027" s="50"/>
      <c r="J4027" s="50"/>
      <c r="K4027" s="50"/>
      <c r="L4027" s="50"/>
      <c r="M4027" s="50"/>
      <c r="N4027" s="50"/>
      <c r="O4027" s="49"/>
      <c r="P4027" s="49"/>
      <c r="Q4027" s="49"/>
      <c r="R4027" s="49"/>
      <c r="S4027" s="49"/>
      <c r="T4027" s="49"/>
      <c r="U4027" s="49"/>
      <c r="V4027" s="49"/>
      <c r="W4027" s="49"/>
      <c r="X4027" s="49"/>
      <c r="Y4027" s="49"/>
      <c r="Z4027" s="49"/>
      <c r="AB4027" s="49"/>
      <c r="AC4027" s="49"/>
      <c r="AD4027" s="49"/>
      <c r="AE4027" s="49"/>
      <c r="AF4027" s="49"/>
      <c r="AG4027" s="49"/>
      <c r="AH4027" s="49"/>
      <c r="AI4027" s="49"/>
      <c r="AJ4027" s="49"/>
      <c r="AK4027" s="49"/>
      <c r="AL4027" s="49"/>
      <c r="AM4027" s="49"/>
      <c r="AN4027" s="49"/>
      <c r="AP4027" s="49"/>
      <c r="AQ4027" s="49"/>
      <c r="AR4027" s="49"/>
      <c r="AS4027" s="49"/>
      <c r="AT4027" s="49"/>
    </row>
    <row r="4028">
      <c r="A4028" s="59"/>
      <c r="B4028" s="49"/>
      <c r="C4028" s="50" t="s">
        <v>7068</v>
      </c>
      <c r="D4028" s="49"/>
      <c r="E4028" s="49"/>
      <c r="F4028" s="49"/>
      <c r="G4028" s="49"/>
      <c r="H4028" s="54" t="str">
        <f t="shared" si="1"/>
        <v>,</v>
      </c>
      <c r="I4028" s="50"/>
      <c r="J4028" s="50"/>
      <c r="K4028" s="50"/>
      <c r="L4028" s="50"/>
      <c r="M4028" s="50"/>
      <c r="N4028" s="50"/>
      <c r="O4028" s="49"/>
      <c r="P4028" s="49"/>
      <c r="Q4028" s="49"/>
      <c r="R4028" s="49"/>
      <c r="S4028" s="49"/>
      <c r="T4028" s="49"/>
      <c r="U4028" s="49"/>
      <c r="V4028" s="49"/>
      <c r="W4028" s="49"/>
      <c r="X4028" s="49"/>
      <c r="Y4028" s="49"/>
      <c r="Z4028" s="49"/>
      <c r="AB4028" s="49"/>
      <c r="AC4028" s="49"/>
      <c r="AD4028" s="49"/>
      <c r="AE4028" s="49"/>
      <c r="AF4028" s="49"/>
      <c r="AG4028" s="49"/>
      <c r="AH4028" s="49"/>
      <c r="AI4028" s="49"/>
      <c r="AJ4028" s="49"/>
      <c r="AK4028" s="49"/>
      <c r="AL4028" s="49"/>
      <c r="AM4028" s="49"/>
      <c r="AN4028" s="49"/>
      <c r="AP4028" s="49"/>
      <c r="AQ4028" s="49"/>
      <c r="AR4028" s="49"/>
      <c r="AS4028" s="49"/>
      <c r="AT4028" s="49"/>
    </row>
    <row r="4029">
      <c r="A4029" s="59"/>
      <c r="B4029" s="49"/>
      <c r="C4029" s="50" t="s">
        <v>7069</v>
      </c>
      <c r="D4029" s="49"/>
      <c r="E4029" s="49"/>
      <c r="F4029" s="49"/>
      <c r="G4029" s="49"/>
      <c r="H4029" s="54" t="str">
        <f t="shared" si="1"/>
        <v>,</v>
      </c>
      <c r="I4029" s="50"/>
      <c r="J4029" s="50"/>
      <c r="K4029" s="50"/>
      <c r="L4029" s="50"/>
      <c r="M4029" s="50"/>
      <c r="N4029" s="50"/>
      <c r="O4029" s="49"/>
      <c r="P4029" s="49"/>
      <c r="Q4029" s="49"/>
      <c r="R4029" s="49"/>
      <c r="S4029" s="49"/>
      <c r="T4029" s="49"/>
      <c r="U4029" s="49"/>
      <c r="V4029" s="49"/>
      <c r="W4029" s="49"/>
      <c r="X4029" s="49"/>
      <c r="Y4029" s="49"/>
      <c r="Z4029" s="49"/>
      <c r="AB4029" s="49"/>
      <c r="AC4029" s="49"/>
      <c r="AD4029" s="49"/>
      <c r="AE4029" s="49"/>
      <c r="AF4029" s="49"/>
      <c r="AG4029" s="49"/>
      <c r="AH4029" s="49"/>
      <c r="AI4029" s="49"/>
      <c r="AJ4029" s="49"/>
      <c r="AK4029" s="49"/>
      <c r="AL4029" s="49"/>
      <c r="AM4029" s="49"/>
      <c r="AN4029" s="49"/>
      <c r="AP4029" s="49"/>
      <c r="AQ4029" s="49"/>
      <c r="AR4029" s="49"/>
      <c r="AS4029" s="49"/>
      <c r="AT4029" s="49"/>
    </row>
    <row r="4030">
      <c r="A4030" s="59"/>
      <c r="B4030" s="49"/>
      <c r="C4030" s="50" t="s">
        <v>7070</v>
      </c>
      <c r="D4030" s="49"/>
      <c r="E4030" s="49"/>
      <c r="F4030" s="49"/>
      <c r="G4030" s="49"/>
      <c r="H4030" s="54" t="str">
        <f t="shared" si="1"/>
        <v>,</v>
      </c>
      <c r="I4030" s="50"/>
      <c r="J4030" s="50"/>
      <c r="K4030" s="50"/>
      <c r="L4030" s="50"/>
      <c r="M4030" s="50"/>
      <c r="N4030" s="50"/>
      <c r="O4030" s="49"/>
      <c r="P4030" s="49"/>
      <c r="Q4030" s="49"/>
      <c r="R4030" s="49"/>
      <c r="S4030" s="49"/>
      <c r="T4030" s="49"/>
      <c r="U4030" s="49"/>
      <c r="V4030" s="49"/>
      <c r="W4030" s="49"/>
      <c r="X4030" s="49"/>
      <c r="Y4030" s="49"/>
      <c r="Z4030" s="49"/>
      <c r="AB4030" s="49"/>
      <c r="AC4030" s="49"/>
      <c r="AD4030" s="49"/>
      <c r="AE4030" s="49"/>
      <c r="AF4030" s="49"/>
      <c r="AG4030" s="49"/>
      <c r="AH4030" s="49"/>
      <c r="AI4030" s="49"/>
      <c r="AJ4030" s="49"/>
      <c r="AK4030" s="49"/>
      <c r="AL4030" s="49"/>
      <c r="AM4030" s="49"/>
      <c r="AN4030" s="49"/>
      <c r="AP4030" s="49"/>
      <c r="AQ4030" s="49"/>
      <c r="AR4030" s="49"/>
      <c r="AS4030" s="49"/>
      <c r="AT4030" s="49"/>
    </row>
    <row r="4031">
      <c r="A4031" s="59"/>
      <c r="B4031" s="49"/>
      <c r="C4031" s="50" t="s">
        <v>4653</v>
      </c>
      <c r="D4031" s="49"/>
      <c r="E4031" s="49"/>
      <c r="F4031" s="49"/>
      <c r="G4031" s="49"/>
      <c r="H4031" s="54" t="str">
        <f t="shared" si="1"/>
        <v>,</v>
      </c>
      <c r="I4031" s="50"/>
      <c r="J4031" s="50"/>
      <c r="K4031" s="50"/>
      <c r="L4031" s="50"/>
      <c r="M4031" s="50"/>
      <c r="N4031" s="50"/>
      <c r="O4031" s="49"/>
      <c r="P4031" s="49"/>
      <c r="Q4031" s="49"/>
      <c r="R4031" s="49"/>
      <c r="S4031" s="49"/>
      <c r="T4031" s="49"/>
      <c r="U4031" s="49"/>
      <c r="V4031" s="49"/>
      <c r="W4031" s="49"/>
      <c r="X4031" s="49"/>
      <c r="Y4031" s="49"/>
      <c r="Z4031" s="49"/>
      <c r="AB4031" s="49"/>
      <c r="AC4031" s="49"/>
      <c r="AD4031" s="49"/>
      <c r="AE4031" s="49"/>
      <c r="AF4031" s="49"/>
      <c r="AG4031" s="49"/>
      <c r="AH4031" s="49"/>
      <c r="AI4031" s="49"/>
      <c r="AJ4031" s="49"/>
      <c r="AK4031" s="49"/>
      <c r="AL4031" s="49"/>
      <c r="AM4031" s="49"/>
      <c r="AN4031" s="49"/>
      <c r="AP4031" s="49"/>
      <c r="AQ4031" s="49"/>
      <c r="AR4031" s="49"/>
      <c r="AS4031" s="49"/>
      <c r="AT4031" s="49"/>
    </row>
    <row r="4032">
      <c r="A4032" s="59"/>
      <c r="B4032" s="49"/>
      <c r="C4032" s="50" t="s">
        <v>7187</v>
      </c>
      <c r="D4032" s="49"/>
      <c r="E4032" s="49"/>
      <c r="F4032" s="49"/>
      <c r="G4032" s="49"/>
      <c r="H4032" s="54" t="str">
        <f t="shared" si="1"/>
        <v>,</v>
      </c>
      <c r="I4032" s="50"/>
      <c r="J4032" s="50"/>
      <c r="K4032" s="50"/>
      <c r="L4032" s="50"/>
      <c r="M4032" s="50"/>
      <c r="N4032" s="50"/>
      <c r="O4032" s="49"/>
      <c r="P4032" s="49"/>
      <c r="Q4032" s="49"/>
      <c r="R4032" s="49"/>
      <c r="S4032" s="49"/>
      <c r="T4032" s="49"/>
      <c r="U4032" s="49"/>
      <c r="V4032" s="49"/>
      <c r="W4032" s="49"/>
      <c r="X4032" s="49"/>
      <c r="Y4032" s="49"/>
      <c r="Z4032" s="49"/>
      <c r="AB4032" s="49"/>
      <c r="AC4032" s="49"/>
      <c r="AD4032" s="49"/>
      <c r="AE4032" s="49"/>
      <c r="AF4032" s="49"/>
      <c r="AG4032" s="49"/>
      <c r="AH4032" s="49"/>
      <c r="AI4032" s="49"/>
      <c r="AJ4032" s="49"/>
      <c r="AK4032" s="49"/>
      <c r="AL4032" s="49"/>
      <c r="AM4032" s="49"/>
      <c r="AN4032" s="49"/>
      <c r="AP4032" s="49"/>
      <c r="AQ4032" s="49"/>
      <c r="AR4032" s="49"/>
      <c r="AS4032" s="49"/>
      <c r="AT4032" s="49"/>
    </row>
    <row r="4033">
      <c r="A4033" s="59"/>
      <c r="B4033" s="49"/>
      <c r="C4033" s="50" t="s">
        <v>5884</v>
      </c>
      <c r="D4033" s="49"/>
      <c r="E4033" s="49"/>
      <c r="F4033" s="49"/>
      <c r="G4033" s="49"/>
      <c r="H4033" s="54" t="str">
        <f t="shared" si="1"/>
        <v>,</v>
      </c>
      <c r="I4033" s="50"/>
      <c r="J4033" s="50"/>
      <c r="K4033" s="50"/>
      <c r="L4033" s="50"/>
      <c r="M4033" s="50"/>
      <c r="N4033" s="50"/>
      <c r="O4033" s="49"/>
      <c r="P4033" s="49"/>
      <c r="Q4033" s="49"/>
      <c r="R4033" s="49"/>
      <c r="S4033" s="49"/>
      <c r="T4033" s="49"/>
      <c r="U4033" s="49"/>
      <c r="V4033" s="49"/>
      <c r="W4033" s="49"/>
      <c r="X4033" s="49"/>
      <c r="Y4033" s="49"/>
      <c r="Z4033" s="49"/>
      <c r="AB4033" s="49"/>
      <c r="AC4033" s="49"/>
      <c r="AD4033" s="49"/>
      <c r="AE4033" s="49"/>
      <c r="AF4033" s="49"/>
      <c r="AG4033" s="49"/>
      <c r="AH4033" s="49"/>
      <c r="AI4033" s="49"/>
      <c r="AJ4033" s="49"/>
      <c r="AK4033" s="49"/>
      <c r="AL4033" s="49"/>
      <c r="AM4033" s="49"/>
      <c r="AN4033" s="49"/>
      <c r="AP4033" s="49"/>
      <c r="AQ4033" s="49"/>
      <c r="AR4033" s="49"/>
      <c r="AS4033" s="49"/>
      <c r="AT4033" s="49"/>
    </row>
    <row r="4034">
      <c r="A4034" s="59"/>
      <c r="B4034" s="49"/>
      <c r="C4034" s="50" t="s">
        <v>7072</v>
      </c>
      <c r="D4034" s="49"/>
      <c r="E4034" s="49"/>
      <c r="F4034" s="49"/>
      <c r="G4034" s="49"/>
      <c r="H4034" s="54" t="str">
        <f t="shared" si="1"/>
        <v>,</v>
      </c>
      <c r="I4034" s="50"/>
      <c r="J4034" s="50"/>
      <c r="K4034" s="50"/>
      <c r="L4034" s="50"/>
      <c r="M4034" s="50"/>
      <c r="N4034" s="50"/>
      <c r="O4034" s="49"/>
      <c r="P4034" s="49"/>
      <c r="Q4034" s="49"/>
      <c r="R4034" s="49"/>
      <c r="S4034" s="49"/>
      <c r="T4034" s="49"/>
      <c r="U4034" s="49"/>
      <c r="V4034" s="49"/>
      <c r="W4034" s="49"/>
      <c r="X4034" s="49"/>
      <c r="Y4034" s="49"/>
      <c r="Z4034" s="49"/>
      <c r="AB4034" s="49"/>
      <c r="AC4034" s="49"/>
      <c r="AD4034" s="49"/>
      <c r="AE4034" s="49"/>
      <c r="AF4034" s="49"/>
      <c r="AG4034" s="49"/>
      <c r="AH4034" s="49"/>
      <c r="AI4034" s="49"/>
      <c r="AJ4034" s="49"/>
      <c r="AK4034" s="49"/>
      <c r="AL4034" s="49"/>
      <c r="AM4034" s="49"/>
      <c r="AN4034" s="49"/>
      <c r="AP4034" s="49"/>
      <c r="AQ4034" s="49"/>
      <c r="AR4034" s="49"/>
      <c r="AS4034" s="49"/>
      <c r="AT4034" s="49"/>
    </row>
    <row r="4035">
      <c r="A4035" s="59"/>
      <c r="B4035" s="49"/>
      <c r="C4035" s="50">
        <v>1972.0</v>
      </c>
      <c r="D4035" s="49"/>
      <c r="E4035" s="49"/>
      <c r="F4035" s="49"/>
      <c r="G4035" s="49"/>
      <c r="H4035" s="54" t="str">
        <f t="shared" si="1"/>
        <v>,</v>
      </c>
      <c r="I4035" s="50"/>
      <c r="J4035" s="50"/>
      <c r="K4035" s="50"/>
      <c r="L4035" s="50"/>
      <c r="M4035" s="50"/>
      <c r="N4035" s="50"/>
      <c r="O4035" s="49"/>
      <c r="P4035" s="49"/>
      <c r="Q4035" s="49"/>
      <c r="R4035" s="49"/>
      <c r="S4035" s="49"/>
      <c r="T4035" s="49"/>
      <c r="U4035" s="49"/>
      <c r="V4035" s="49"/>
      <c r="W4035" s="49"/>
      <c r="X4035" s="49"/>
      <c r="Y4035" s="49"/>
      <c r="Z4035" s="49"/>
      <c r="AB4035" s="49"/>
      <c r="AC4035" s="49"/>
      <c r="AD4035" s="49"/>
      <c r="AE4035" s="49"/>
      <c r="AF4035" s="49"/>
      <c r="AG4035" s="49"/>
      <c r="AH4035" s="49"/>
      <c r="AI4035" s="49"/>
      <c r="AJ4035" s="49"/>
      <c r="AK4035" s="49"/>
      <c r="AL4035" s="49"/>
      <c r="AM4035" s="49"/>
      <c r="AN4035" s="49"/>
      <c r="AP4035" s="49"/>
      <c r="AQ4035" s="49"/>
      <c r="AR4035" s="49"/>
      <c r="AS4035" s="49"/>
      <c r="AT4035" s="49"/>
    </row>
    <row r="4036">
      <c r="A4036" s="59"/>
      <c r="B4036" s="49"/>
      <c r="C4036" s="50" t="s">
        <v>5885</v>
      </c>
      <c r="D4036" s="49"/>
      <c r="E4036" s="49"/>
      <c r="F4036" s="49"/>
      <c r="G4036" s="49"/>
      <c r="H4036" s="54" t="str">
        <f t="shared" si="1"/>
        <v>,</v>
      </c>
      <c r="I4036" s="50"/>
      <c r="J4036" s="50"/>
      <c r="K4036" s="50"/>
      <c r="L4036" s="50"/>
      <c r="M4036" s="50"/>
      <c r="N4036" s="50"/>
      <c r="O4036" s="49"/>
      <c r="P4036" s="49"/>
      <c r="Q4036" s="49"/>
      <c r="R4036" s="49"/>
      <c r="S4036" s="49"/>
      <c r="T4036" s="49"/>
      <c r="U4036" s="49"/>
      <c r="V4036" s="49"/>
      <c r="W4036" s="49"/>
      <c r="X4036" s="49"/>
      <c r="Y4036" s="49"/>
      <c r="Z4036" s="49"/>
      <c r="AB4036" s="49"/>
      <c r="AC4036" s="49"/>
      <c r="AD4036" s="49"/>
      <c r="AE4036" s="49"/>
      <c r="AF4036" s="49"/>
      <c r="AG4036" s="49"/>
      <c r="AH4036" s="49"/>
      <c r="AI4036" s="49"/>
      <c r="AJ4036" s="49"/>
      <c r="AK4036" s="49"/>
      <c r="AL4036" s="49"/>
      <c r="AM4036" s="49"/>
      <c r="AN4036" s="49"/>
      <c r="AP4036" s="49"/>
      <c r="AQ4036" s="49"/>
      <c r="AR4036" s="49"/>
      <c r="AS4036" s="49"/>
      <c r="AT4036" s="49"/>
    </row>
    <row r="4037">
      <c r="A4037" s="59"/>
      <c r="B4037" s="49"/>
      <c r="C4037" s="50" t="s">
        <v>6190</v>
      </c>
      <c r="D4037" s="49"/>
      <c r="E4037" s="49"/>
      <c r="F4037" s="49"/>
      <c r="G4037" s="49"/>
      <c r="H4037" s="54" t="str">
        <f t="shared" si="1"/>
        <v>,</v>
      </c>
      <c r="I4037" s="50"/>
      <c r="J4037" s="50"/>
      <c r="K4037" s="50"/>
      <c r="L4037" s="50"/>
      <c r="M4037" s="50"/>
      <c r="N4037" s="50"/>
      <c r="O4037" s="49"/>
      <c r="P4037" s="49"/>
      <c r="Q4037" s="49"/>
      <c r="R4037" s="49"/>
      <c r="S4037" s="49"/>
      <c r="T4037" s="49"/>
      <c r="U4037" s="49"/>
      <c r="V4037" s="49"/>
      <c r="W4037" s="49"/>
      <c r="X4037" s="49"/>
      <c r="Y4037" s="49"/>
      <c r="Z4037" s="49"/>
      <c r="AB4037" s="49"/>
      <c r="AC4037" s="49"/>
      <c r="AD4037" s="49"/>
      <c r="AE4037" s="49"/>
      <c r="AF4037" s="49"/>
      <c r="AG4037" s="49"/>
      <c r="AH4037" s="49"/>
      <c r="AI4037" s="49"/>
      <c r="AJ4037" s="49"/>
      <c r="AK4037" s="49"/>
      <c r="AL4037" s="49"/>
      <c r="AM4037" s="49"/>
      <c r="AN4037" s="49"/>
      <c r="AP4037" s="49"/>
      <c r="AQ4037" s="49"/>
      <c r="AR4037" s="49"/>
      <c r="AS4037" s="49"/>
      <c r="AT4037" s="49"/>
    </row>
    <row r="4038">
      <c r="A4038" s="59"/>
      <c r="B4038" s="49"/>
      <c r="C4038" s="50" t="s">
        <v>5888</v>
      </c>
      <c r="D4038" s="49"/>
      <c r="E4038" s="49"/>
      <c r="F4038" s="49"/>
      <c r="G4038" s="49"/>
      <c r="H4038" s="54" t="str">
        <f t="shared" si="1"/>
        <v>,</v>
      </c>
      <c r="I4038" s="50"/>
      <c r="J4038" s="50"/>
      <c r="K4038" s="50"/>
      <c r="L4038" s="50"/>
      <c r="M4038" s="50"/>
      <c r="N4038" s="50"/>
      <c r="O4038" s="49"/>
      <c r="P4038" s="49"/>
      <c r="Q4038" s="49"/>
      <c r="R4038" s="49"/>
      <c r="S4038" s="49"/>
      <c r="T4038" s="49"/>
      <c r="U4038" s="49"/>
      <c r="V4038" s="49"/>
      <c r="W4038" s="49"/>
      <c r="X4038" s="49"/>
      <c r="Y4038" s="49"/>
      <c r="Z4038" s="49"/>
      <c r="AB4038" s="49"/>
      <c r="AC4038" s="49"/>
      <c r="AD4038" s="49"/>
      <c r="AE4038" s="49"/>
      <c r="AF4038" s="49"/>
      <c r="AG4038" s="49"/>
      <c r="AH4038" s="49"/>
      <c r="AI4038" s="49"/>
      <c r="AJ4038" s="49"/>
      <c r="AK4038" s="49"/>
      <c r="AL4038" s="49"/>
      <c r="AM4038" s="49"/>
      <c r="AN4038" s="49"/>
      <c r="AP4038" s="49"/>
      <c r="AQ4038" s="49"/>
      <c r="AR4038" s="49"/>
      <c r="AS4038" s="49"/>
      <c r="AT4038" s="49"/>
    </row>
    <row r="4039">
      <c r="A4039" s="59"/>
      <c r="B4039" s="49"/>
      <c r="C4039" s="50" t="s">
        <v>7188</v>
      </c>
      <c r="D4039" s="49"/>
      <c r="E4039" s="49"/>
      <c r="F4039" s="49"/>
      <c r="G4039" s="49"/>
      <c r="H4039" s="54" t="str">
        <f t="shared" si="1"/>
        <v>,</v>
      </c>
      <c r="I4039" s="50"/>
      <c r="J4039" s="50"/>
      <c r="K4039" s="50"/>
      <c r="L4039" s="50"/>
      <c r="M4039" s="50"/>
      <c r="N4039" s="50"/>
      <c r="O4039" s="49"/>
      <c r="P4039" s="49"/>
      <c r="Q4039" s="49"/>
      <c r="R4039" s="49"/>
      <c r="S4039" s="49"/>
      <c r="T4039" s="49"/>
      <c r="U4039" s="49"/>
      <c r="V4039" s="49"/>
      <c r="W4039" s="49"/>
      <c r="X4039" s="49"/>
      <c r="Y4039" s="49"/>
      <c r="Z4039" s="49"/>
      <c r="AB4039" s="49"/>
      <c r="AC4039" s="49"/>
      <c r="AD4039" s="49"/>
      <c r="AE4039" s="49"/>
      <c r="AF4039" s="49"/>
      <c r="AG4039" s="49"/>
      <c r="AH4039" s="49"/>
      <c r="AI4039" s="49"/>
      <c r="AJ4039" s="49"/>
      <c r="AK4039" s="49"/>
      <c r="AL4039" s="49"/>
      <c r="AM4039" s="49"/>
      <c r="AN4039" s="49"/>
      <c r="AP4039" s="49"/>
      <c r="AQ4039" s="49"/>
      <c r="AR4039" s="49"/>
      <c r="AS4039" s="49"/>
      <c r="AT4039" s="49"/>
    </row>
    <row r="4040">
      <c r="A4040" s="59"/>
      <c r="B4040" s="49"/>
      <c r="C4040" s="50" t="s">
        <v>5893</v>
      </c>
      <c r="D4040" s="49"/>
      <c r="E4040" s="49"/>
      <c r="F4040" s="49"/>
      <c r="G4040" s="49"/>
      <c r="H4040" s="54" t="str">
        <f t="shared" si="1"/>
        <v>,</v>
      </c>
      <c r="I4040" s="50"/>
      <c r="J4040" s="50"/>
      <c r="K4040" s="50"/>
      <c r="L4040" s="50"/>
      <c r="M4040" s="50"/>
      <c r="N4040" s="50"/>
      <c r="O4040" s="49"/>
      <c r="P4040" s="49"/>
      <c r="Q4040" s="49"/>
      <c r="R4040" s="49"/>
      <c r="S4040" s="49"/>
      <c r="T4040" s="49"/>
      <c r="U4040" s="49"/>
      <c r="V4040" s="49"/>
      <c r="W4040" s="49"/>
      <c r="X4040" s="49"/>
      <c r="Y4040" s="49"/>
      <c r="Z4040" s="49"/>
      <c r="AB4040" s="49"/>
      <c r="AC4040" s="49"/>
      <c r="AD4040" s="49"/>
      <c r="AE4040" s="49"/>
      <c r="AF4040" s="49"/>
      <c r="AG4040" s="49"/>
      <c r="AH4040" s="49"/>
      <c r="AI4040" s="49"/>
      <c r="AJ4040" s="49"/>
      <c r="AK4040" s="49"/>
      <c r="AL4040" s="49"/>
      <c r="AM4040" s="49"/>
      <c r="AN4040" s="49"/>
      <c r="AP4040" s="49"/>
      <c r="AQ4040" s="49"/>
      <c r="AR4040" s="49"/>
      <c r="AS4040" s="49"/>
      <c r="AT4040" s="49"/>
    </row>
    <row r="4041">
      <c r="A4041" s="59"/>
      <c r="B4041" s="49"/>
      <c r="C4041" s="50" t="s">
        <v>6193</v>
      </c>
      <c r="D4041" s="49"/>
      <c r="E4041" s="49"/>
      <c r="F4041" s="49"/>
      <c r="G4041" s="49"/>
      <c r="H4041" s="54" t="str">
        <f t="shared" si="1"/>
        <v>,</v>
      </c>
      <c r="I4041" s="50"/>
      <c r="J4041" s="50"/>
      <c r="K4041" s="50"/>
      <c r="L4041" s="50"/>
      <c r="M4041" s="50"/>
      <c r="N4041" s="50"/>
      <c r="O4041" s="49"/>
      <c r="P4041" s="49"/>
      <c r="Q4041" s="49"/>
      <c r="R4041" s="49"/>
      <c r="S4041" s="49"/>
      <c r="T4041" s="49"/>
      <c r="U4041" s="49"/>
      <c r="V4041" s="49"/>
      <c r="W4041" s="49"/>
      <c r="X4041" s="49"/>
      <c r="Y4041" s="49"/>
      <c r="Z4041" s="49"/>
      <c r="AB4041" s="49"/>
      <c r="AC4041" s="49"/>
      <c r="AD4041" s="49"/>
      <c r="AE4041" s="49"/>
      <c r="AF4041" s="49"/>
      <c r="AG4041" s="49"/>
      <c r="AH4041" s="49"/>
      <c r="AI4041" s="49"/>
      <c r="AJ4041" s="49"/>
      <c r="AK4041" s="49"/>
      <c r="AL4041" s="49"/>
      <c r="AM4041" s="49"/>
      <c r="AN4041" s="49"/>
      <c r="AP4041" s="49"/>
      <c r="AQ4041" s="49"/>
      <c r="AR4041" s="49"/>
      <c r="AS4041" s="49"/>
      <c r="AT4041" s="49"/>
    </row>
    <row r="4042">
      <c r="A4042" s="59"/>
      <c r="B4042" s="49"/>
      <c r="C4042" s="50" t="s">
        <v>5896</v>
      </c>
      <c r="D4042" s="49"/>
      <c r="E4042" s="49"/>
      <c r="F4042" s="49"/>
      <c r="G4042" s="49"/>
      <c r="H4042" s="54" t="str">
        <f t="shared" si="1"/>
        <v>,</v>
      </c>
      <c r="I4042" s="50"/>
      <c r="J4042" s="50"/>
      <c r="K4042" s="50"/>
      <c r="L4042" s="50"/>
      <c r="M4042" s="50"/>
      <c r="N4042" s="50"/>
      <c r="O4042" s="49"/>
      <c r="P4042" s="49"/>
      <c r="Q4042" s="49"/>
      <c r="R4042" s="49"/>
      <c r="S4042" s="49"/>
      <c r="T4042" s="49"/>
      <c r="U4042" s="49"/>
      <c r="V4042" s="49"/>
      <c r="W4042" s="49"/>
      <c r="X4042" s="49"/>
      <c r="Y4042" s="49"/>
      <c r="Z4042" s="49"/>
      <c r="AB4042" s="49"/>
      <c r="AC4042" s="49"/>
      <c r="AD4042" s="49"/>
      <c r="AE4042" s="49"/>
      <c r="AF4042" s="49"/>
      <c r="AG4042" s="49"/>
      <c r="AH4042" s="49"/>
      <c r="AI4042" s="49"/>
      <c r="AJ4042" s="49"/>
      <c r="AK4042" s="49"/>
      <c r="AL4042" s="49"/>
      <c r="AM4042" s="49"/>
      <c r="AN4042" s="49"/>
      <c r="AP4042" s="49"/>
      <c r="AQ4042" s="49"/>
      <c r="AR4042" s="49"/>
      <c r="AS4042" s="49"/>
      <c r="AT4042" s="49"/>
    </row>
    <row r="4043">
      <c r="A4043" s="59"/>
      <c r="B4043" s="49"/>
      <c r="C4043" s="50" t="s">
        <v>7189</v>
      </c>
      <c r="D4043" s="49"/>
      <c r="E4043" s="49"/>
      <c r="F4043" s="49"/>
      <c r="G4043" s="49"/>
      <c r="H4043" s="54" t="str">
        <f t="shared" si="1"/>
        <v>,</v>
      </c>
      <c r="I4043" s="50"/>
      <c r="J4043" s="50"/>
      <c r="K4043" s="50"/>
      <c r="L4043" s="50"/>
      <c r="M4043" s="50"/>
      <c r="N4043" s="50"/>
      <c r="O4043" s="49"/>
      <c r="P4043" s="49"/>
      <c r="Q4043" s="49"/>
      <c r="R4043" s="49"/>
      <c r="S4043" s="49"/>
      <c r="T4043" s="49"/>
      <c r="U4043" s="49"/>
      <c r="V4043" s="49"/>
      <c r="W4043" s="49"/>
      <c r="X4043" s="49"/>
      <c r="Y4043" s="49"/>
      <c r="Z4043" s="49"/>
      <c r="AB4043" s="49"/>
      <c r="AC4043" s="49"/>
      <c r="AD4043" s="49"/>
      <c r="AE4043" s="49"/>
      <c r="AF4043" s="49"/>
      <c r="AG4043" s="49"/>
      <c r="AH4043" s="49"/>
      <c r="AI4043" s="49"/>
      <c r="AJ4043" s="49"/>
      <c r="AK4043" s="49"/>
      <c r="AL4043" s="49"/>
      <c r="AM4043" s="49"/>
      <c r="AN4043" s="49"/>
      <c r="AP4043" s="49"/>
      <c r="AQ4043" s="49"/>
      <c r="AR4043" s="49"/>
      <c r="AS4043" s="49"/>
      <c r="AT4043" s="49"/>
    </row>
    <row r="4044">
      <c r="A4044" s="59"/>
      <c r="B4044" s="49"/>
      <c r="C4044" s="50" t="s">
        <v>5834</v>
      </c>
      <c r="D4044" s="49"/>
      <c r="E4044" s="49"/>
      <c r="F4044" s="49"/>
      <c r="G4044" s="49"/>
      <c r="H4044" s="54" t="str">
        <f t="shared" si="1"/>
        <v>,</v>
      </c>
      <c r="I4044" s="50"/>
      <c r="J4044" s="50"/>
      <c r="K4044" s="50"/>
      <c r="L4044" s="50"/>
      <c r="M4044" s="50"/>
      <c r="N4044" s="50"/>
      <c r="O4044" s="49"/>
      <c r="P4044" s="49"/>
      <c r="Q4044" s="49"/>
      <c r="R4044" s="49"/>
      <c r="S4044" s="49"/>
      <c r="T4044" s="49"/>
      <c r="U4044" s="49"/>
      <c r="V4044" s="49"/>
      <c r="W4044" s="49"/>
      <c r="X4044" s="49"/>
      <c r="Y4044" s="49"/>
      <c r="Z4044" s="49"/>
      <c r="AB4044" s="49"/>
      <c r="AC4044" s="49"/>
      <c r="AD4044" s="49"/>
      <c r="AE4044" s="49"/>
      <c r="AF4044" s="49"/>
      <c r="AG4044" s="49"/>
      <c r="AH4044" s="49"/>
      <c r="AI4044" s="49"/>
      <c r="AJ4044" s="49"/>
      <c r="AK4044" s="49"/>
      <c r="AL4044" s="49"/>
      <c r="AM4044" s="49"/>
      <c r="AN4044" s="49"/>
      <c r="AP4044" s="49"/>
      <c r="AQ4044" s="49"/>
      <c r="AR4044" s="49"/>
      <c r="AS4044" s="49"/>
      <c r="AT4044" s="49"/>
    </row>
    <row r="4045">
      <c r="A4045" s="59"/>
      <c r="B4045" s="49"/>
      <c r="C4045" s="50" t="s">
        <v>7073</v>
      </c>
      <c r="D4045" s="49"/>
      <c r="E4045" s="49"/>
      <c r="F4045" s="49"/>
      <c r="G4045" s="49"/>
      <c r="H4045" s="54" t="str">
        <f t="shared" si="1"/>
        <v>,</v>
      </c>
      <c r="I4045" s="50"/>
      <c r="J4045" s="50"/>
      <c r="K4045" s="50"/>
      <c r="L4045" s="50"/>
      <c r="M4045" s="50"/>
      <c r="N4045" s="50"/>
      <c r="O4045" s="49"/>
      <c r="P4045" s="49"/>
      <c r="Q4045" s="49"/>
      <c r="R4045" s="49"/>
      <c r="S4045" s="49"/>
      <c r="T4045" s="49"/>
      <c r="U4045" s="49"/>
      <c r="V4045" s="49"/>
      <c r="W4045" s="49"/>
      <c r="X4045" s="49"/>
      <c r="Y4045" s="49"/>
      <c r="Z4045" s="49"/>
      <c r="AB4045" s="49"/>
      <c r="AC4045" s="49"/>
      <c r="AD4045" s="49"/>
      <c r="AE4045" s="49"/>
      <c r="AF4045" s="49"/>
      <c r="AG4045" s="49"/>
      <c r="AH4045" s="49"/>
      <c r="AI4045" s="49"/>
      <c r="AJ4045" s="49"/>
      <c r="AK4045" s="49"/>
      <c r="AL4045" s="49"/>
      <c r="AM4045" s="49"/>
      <c r="AN4045" s="49"/>
      <c r="AP4045" s="49"/>
      <c r="AQ4045" s="49"/>
      <c r="AR4045" s="49"/>
      <c r="AS4045" s="49"/>
      <c r="AT4045" s="49"/>
    </row>
    <row r="4046">
      <c r="A4046" s="59"/>
      <c r="B4046" s="49"/>
      <c r="C4046" s="50" t="s">
        <v>3386</v>
      </c>
      <c r="D4046" s="49"/>
      <c r="E4046" s="49"/>
      <c r="F4046" s="49"/>
      <c r="G4046" s="49"/>
      <c r="H4046" s="54" t="str">
        <f t="shared" si="1"/>
        <v>,</v>
      </c>
      <c r="I4046" s="50"/>
      <c r="J4046" s="50"/>
      <c r="K4046" s="50"/>
      <c r="L4046" s="50"/>
      <c r="M4046" s="50"/>
      <c r="N4046" s="50"/>
      <c r="O4046" s="49"/>
      <c r="P4046" s="49"/>
      <c r="Q4046" s="49"/>
      <c r="R4046" s="49"/>
      <c r="S4046" s="49"/>
      <c r="T4046" s="49"/>
      <c r="U4046" s="49"/>
      <c r="V4046" s="49"/>
      <c r="W4046" s="49"/>
      <c r="X4046" s="49"/>
      <c r="Y4046" s="49"/>
      <c r="Z4046" s="49"/>
      <c r="AB4046" s="49"/>
      <c r="AC4046" s="49"/>
      <c r="AD4046" s="49"/>
      <c r="AE4046" s="49"/>
      <c r="AF4046" s="49"/>
      <c r="AG4046" s="49"/>
      <c r="AH4046" s="49"/>
      <c r="AI4046" s="49"/>
      <c r="AJ4046" s="49"/>
      <c r="AK4046" s="49"/>
      <c r="AL4046" s="49"/>
      <c r="AM4046" s="49"/>
      <c r="AN4046" s="49"/>
      <c r="AP4046" s="49"/>
      <c r="AQ4046" s="49"/>
      <c r="AR4046" s="49"/>
      <c r="AS4046" s="49"/>
      <c r="AT4046" s="49"/>
    </row>
    <row r="4047">
      <c r="A4047" s="59"/>
      <c r="B4047" s="49"/>
      <c r="C4047" s="50" t="s">
        <v>4197</v>
      </c>
      <c r="D4047" s="49"/>
      <c r="E4047" s="49"/>
      <c r="F4047" s="49"/>
      <c r="G4047" s="49"/>
      <c r="H4047" s="54" t="str">
        <f t="shared" si="1"/>
        <v>,</v>
      </c>
      <c r="I4047" s="50"/>
      <c r="J4047" s="50"/>
      <c r="K4047" s="50"/>
      <c r="L4047" s="50"/>
      <c r="M4047" s="50"/>
      <c r="N4047" s="50"/>
      <c r="O4047" s="49"/>
      <c r="P4047" s="49"/>
      <c r="Q4047" s="49"/>
      <c r="R4047" s="49"/>
      <c r="S4047" s="49"/>
      <c r="T4047" s="49"/>
      <c r="U4047" s="49"/>
      <c r="V4047" s="49"/>
      <c r="W4047" s="49"/>
      <c r="X4047" s="49"/>
      <c r="Y4047" s="49"/>
      <c r="Z4047" s="49"/>
      <c r="AB4047" s="49"/>
      <c r="AC4047" s="49"/>
      <c r="AD4047" s="49"/>
      <c r="AE4047" s="49"/>
      <c r="AF4047" s="49"/>
      <c r="AG4047" s="49"/>
      <c r="AH4047" s="49"/>
      <c r="AI4047" s="49"/>
      <c r="AJ4047" s="49"/>
      <c r="AK4047" s="49"/>
      <c r="AL4047" s="49"/>
      <c r="AM4047" s="49"/>
      <c r="AN4047" s="49"/>
      <c r="AP4047" s="49"/>
      <c r="AQ4047" s="49"/>
      <c r="AR4047" s="49"/>
      <c r="AS4047" s="49"/>
      <c r="AT4047" s="49"/>
    </row>
    <row r="4048">
      <c r="A4048" s="59"/>
      <c r="B4048" s="49"/>
      <c r="C4048" s="50" t="s">
        <v>5432</v>
      </c>
      <c r="D4048" s="49"/>
      <c r="E4048" s="49"/>
      <c r="F4048" s="49"/>
      <c r="G4048" s="49"/>
      <c r="H4048" s="54" t="str">
        <f t="shared" si="1"/>
        <v>,</v>
      </c>
      <c r="I4048" s="50"/>
      <c r="J4048" s="50"/>
      <c r="K4048" s="50"/>
      <c r="L4048" s="50"/>
      <c r="M4048" s="50"/>
      <c r="N4048" s="50"/>
      <c r="O4048" s="49"/>
      <c r="P4048" s="49"/>
      <c r="Q4048" s="49"/>
      <c r="R4048" s="49"/>
      <c r="S4048" s="49"/>
      <c r="T4048" s="49"/>
      <c r="U4048" s="49"/>
      <c r="V4048" s="49"/>
      <c r="W4048" s="49"/>
      <c r="X4048" s="49"/>
      <c r="Y4048" s="49"/>
      <c r="Z4048" s="49"/>
      <c r="AB4048" s="49"/>
      <c r="AC4048" s="49"/>
      <c r="AD4048" s="49"/>
      <c r="AE4048" s="49"/>
      <c r="AF4048" s="49"/>
      <c r="AG4048" s="49"/>
      <c r="AH4048" s="49"/>
      <c r="AI4048" s="49"/>
      <c r="AJ4048" s="49"/>
      <c r="AK4048" s="49"/>
      <c r="AL4048" s="49"/>
      <c r="AM4048" s="49"/>
      <c r="AN4048" s="49"/>
      <c r="AP4048" s="49"/>
      <c r="AQ4048" s="49"/>
      <c r="AR4048" s="49"/>
      <c r="AS4048" s="49"/>
      <c r="AT4048" s="49"/>
    </row>
    <row r="4049">
      <c r="A4049" s="59"/>
      <c r="B4049" s="49"/>
      <c r="C4049" s="50" t="s">
        <v>5901</v>
      </c>
      <c r="D4049" s="49"/>
      <c r="E4049" s="49"/>
      <c r="F4049" s="49"/>
      <c r="G4049" s="49"/>
      <c r="H4049" s="54" t="str">
        <f t="shared" si="1"/>
        <v>,</v>
      </c>
      <c r="I4049" s="50"/>
      <c r="J4049" s="50"/>
      <c r="K4049" s="50"/>
      <c r="L4049" s="50"/>
      <c r="M4049" s="50"/>
      <c r="N4049" s="50"/>
      <c r="O4049" s="49"/>
      <c r="P4049" s="49"/>
      <c r="Q4049" s="49"/>
      <c r="R4049" s="49"/>
      <c r="S4049" s="49"/>
      <c r="T4049" s="49"/>
      <c r="U4049" s="49"/>
      <c r="V4049" s="49"/>
      <c r="W4049" s="49"/>
      <c r="X4049" s="49"/>
      <c r="Y4049" s="49"/>
      <c r="Z4049" s="49"/>
      <c r="AB4049" s="49"/>
      <c r="AC4049" s="49"/>
      <c r="AD4049" s="49"/>
      <c r="AE4049" s="49"/>
      <c r="AF4049" s="49"/>
      <c r="AG4049" s="49"/>
      <c r="AH4049" s="49"/>
      <c r="AI4049" s="49"/>
      <c r="AJ4049" s="49"/>
      <c r="AK4049" s="49"/>
      <c r="AL4049" s="49"/>
      <c r="AM4049" s="49"/>
      <c r="AN4049" s="49"/>
      <c r="AP4049" s="49"/>
      <c r="AQ4049" s="49"/>
      <c r="AR4049" s="49"/>
      <c r="AS4049" s="49"/>
      <c r="AT4049" s="49"/>
    </row>
    <row r="4050">
      <c r="A4050" s="59"/>
      <c r="B4050" s="49"/>
      <c r="C4050" s="50" t="s">
        <v>4028</v>
      </c>
      <c r="D4050" s="49"/>
      <c r="E4050" s="49"/>
      <c r="F4050" s="49"/>
      <c r="G4050" s="49"/>
      <c r="H4050" s="54" t="str">
        <f t="shared" si="1"/>
        <v>,</v>
      </c>
      <c r="I4050" s="50"/>
      <c r="J4050" s="50"/>
      <c r="K4050" s="50"/>
      <c r="L4050" s="50"/>
      <c r="M4050" s="50"/>
      <c r="N4050" s="50"/>
      <c r="O4050" s="49"/>
      <c r="P4050" s="49"/>
      <c r="Q4050" s="49"/>
      <c r="R4050" s="49"/>
      <c r="S4050" s="49"/>
      <c r="T4050" s="49"/>
      <c r="U4050" s="49"/>
      <c r="V4050" s="49"/>
      <c r="W4050" s="49"/>
      <c r="X4050" s="49"/>
      <c r="Y4050" s="49"/>
      <c r="Z4050" s="49"/>
      <c r="AB4050" s="49"/>
      <c r="AC4050" s="49"/>
      <c r="AD4050" s="49"/>
      <c r="AE4050" s="49"/>
      <c r="AF4050" s="49"/>
      <c r="AG4050" s="49"/>
      <c r="AH4050" s="49"/>
      <c r="AI4050" s="49"/>
      <c r="AJ4050" s="49"/>
      <c r="AK4050" s="49"/>
      <c r="AL4050" s="49"/>
      <c r="AM4050" s="49"/>
      <c r="AN4050" s="49"/>
      <c r="AP4050" s="49"/>
      <c r="AQ4050" s="49"/>
      <c r="AR4050" s="49"/>
      <c r="AS4050" s="49"/>
      <c r="AT4050" s="49"/>
    </row>
    <row r="4051">
      <c r="A4051" s="59"/>
      <c r="B4051" s="49"/>
      <c r="C4051" s="50"/>
      <c r="D4051" s="49"/>
      <c r="E4051" s="49"/>
      <c r="F4051" s="49"/>
      <c r="G4051" s="49"/>
      <c r="H4051" s="50"/>
      <c r="I4051" s="50"/>
      <c r="J4051" s="50"/>
      <c r="K4051" s="50"/>
      <c r="L4051" s="50"/>
      <c r="M4051" s="50"/>
      <c r="N4051" s="50"/>
      <c r="O4051" s="49"/>
      <c r="P4051" s="49"/>
      <c r="Q4051" s="49"/>
      <c r="R4051" s="49"/>
      <c r="S4051" s="49"/>
      <c r="T4051" s="49"/>
      <c r="U4051" s="49"/>
      <c r="V4051" s="49"/>
      <c r="W4051" s="49"/>
      <c r="X4051" s="49"/>
      <c r="Y4051" s="49"/>
      <c r="Z4051" s="49"/>
      <c r="AA4051" s="49"/>
      <c r="AB4051" s="49"/>
      <c r="AC4051" s="49"/>
      <c r="AD4051" s="49"/>
      <c r="AE4051" s="49"/>
      <c r="AF4051" s="49"/>
      <c r="AG4051" s="49"/>
      <c r="AH4051" s="49"/>
      <c r="AI4051" s="49"/>
      <c r="AJ4051" s="49"/>
      <c r="AK4051" s="49"/>
      <c r="AL4051" s="49"/>
      <c r="AM4051" s="49"/>
      <c r="AN4051" s="49"/>
      <c r="AP4051" s="49"/>
      <c r="AQ4051" s="49"/>
      <c r="AR4051" s="49"/>
      <c r="AS4051" s="49"/>
      <c r="AT4051" s="49"/>
    </row>
    <row r="4052">
      <c r="A4052" s="59"/>
      <c r="B4052" s="49"/>
      <c r="C4052" s="50"/>
      <c r="D4052" s="49"/>
      <c r="E4052" s="49"/>
      <c r="F4052" s="49"/>
      <c r="G4052" s="49"/>
      <c r="H4052" s="50"/>
      <c r="I4052" s="50"/>
      <c r="J4052" s="49"/>
      <c r="K4052" s="49"/>
      <c r="L4052" s="49"/>
      <c r="M4052" s="49"/>
      <c r="N4052" s="50"/>
      <c r="O4052" s="49"/>
      <c r="P4052" s="49"/>
      <c r="Q4052" s="49"/>
      <c r="R4052" s="49"/>
      <c r="S4052" s="49"/>
      <c r="T4052" s="49"/>
      <c r="U4052" s="49"/>
      <c r="V4052" s="49"/>
      <c r="W4052" s="49"/>
      <c r="X4052" s="49"/>
      <c r="Y4052" s="49"/>
      <c r="Z4052" s="49"/>
      <c r="AA4052" s="49"/>
      <c r="AB4052" s="49"/>
      <c r="AC4052" s="49"/>
      <c r="AD4052" s="49"/>
      <c r="AE4052" s="49"/>
      <c r="AF4052" s="49"/>
      <c r="AG4052" s="49"/>
      <c r="AH4052" s="49"/>
      <c r="AI4052" s="49"/>
      <c r="AJ4052" s="49"/>
      <c r="AK4052" s="49"/>
      <c r="AL4052" s="49"/>
      <c r="AM4052" s="49"/>
      <c r="AN4052" s="49"/>
      <c r="AP4052" s="49"/>
      <c r="AQ4052" s="49"/>
      <c r="AR4052" s="49"/>
      <c r="AS4052" s="49"/>
      <c r="AT4052" s="49"/>
    </row>
    <row r="4053">
      <c r="A4053" s="59"/>
      <c r="B4053" s="49"/>
      <c r="C4053" s="50"/>
      <c r="D4053" s="49"/>
      <c r="E4053" s="49"/>
      <c r="F4053" s="49"/>
      <c r="G4053" s="49"/>
      <c r="H4053" s="50"/>
      <c r="I4053" s="50"/>
      <c r="J4053" s="49"/>
      <c r="K4053" s="49"/>
      <c r="L4053" s="49"/>
      <c r="M4053" s="49"/>
      <c r="N4053" s="50"/>
      <c r="O4053" s="49"/>
      <c r="P4053" s="49"/>
      <c r="Q4053" s="49"/>
      <c r="R4053" s="49"/>
      <c r="S4053" s="49"/>
      <c r="T4053" s="49"/>
      <c r="U4053" s="49"/>
      <c r="V4053" s="49"/>
      <c r="W4053" s="49"/>
      <c r="X4053" s="49"/>
      <c r="Y4053" s="49"/>
      <c r="Z4053" s="49"/>
      <c r="AA4053" s="49"/>
      <c r="AB4053" s="49"/>
      <c r="AC4053" s="49"/>
      <c r="AD4053" s="49"/>
      <c r="AE4053" s="49"/>
      <c r="AF4053" s="49"/>
      <c r="AG4053" s="49"/>
      <c r="AH4053" s="49"/>
      <c r="AI4053" s="49"/>
      <c r="AJ4053" s="49"/>
      <c r="AK4053" s="49"/>
      <c r="AL4053" s="49"/>
      <c r="AM4053" s="49"/>
      <c r="AN4053" s="49"/>
      <c r="AP4053" s="49"/>
      <c r="AQ4053" s="49"/>
      <c r="AR4053" s="49"/>
      <c r="AS4053" s="49"/>
      <c r="AT4053" s="49"/>
    </row>
    <row r="4054">
      <c r="A4054" s="59"/>
      <c r="B4054" s="49"/>
      <c r="C4054" s="50"/>
      <c r="D4054" s="49"/>
      <c r="E4054" s="49"/>
      <c r="F4054" s="49"/>
      <c r="G4054" s="49"/>
      <c r="H4054" s="50"/>
      <c r="I4054" s="50"/>
      <c r="J4054" s="49"/>
      <c r="K4054" s="49"/>
      <c r="L4054" s="49"/>
      <c r="M4054" s="49"/>
      <c r="N4054" s="50"/>
      <c r="O4054" s="49"/>
      <c r="P4054" s="49"/>
      <c r="Q4054" s="49"/>
      <c r="R4054" s="49"/>
      <c r="S4054" s="49"/>
      <c r="T4054" s="49"/>
      <c r="U4054" s="49"/>
      <c r="V4054" s="49"/>
      <c r="W4054" s="49"/>
      <c r="X4054" s="49"/>
      <c r="Y4054" s="49"/>
      <c r="Z4054" s="49"/>
      <c r="AA4054" s="49"/>
      <c r="AB4054" s="49"/>
      <c r="AC4054" s="49"/>
      <c r="AD4054" s="49"/>
      <c r="AE4054" s="49"/>
      <c r="AF4054" s="49"/>
      <c r="AG4054" s="49"/>
      <c r="AH4054" s="49"/>
      <c r="AI4054" s="49"/>
      <c r="AJ4054" s="49"/>
      <c r="AK4054" s="49"/>
      <c r="AL4054" s="49"/>
      <c r="AM4054" s="49"/>
      <c r="AN4054" s="49"/>
      <c r="AP4054" s="49"/>
      <c r="AQ4054" s="49"/>
      <c r="AR4054" s="49"/>
      <c r="AS4054" s="49"/>
      <c r="AT4054" s="49"/>
    </row>
    <row r="4055">
      <c r="A4055" s="59"/>
      <c r="B4055" s="49"/>
      <c r="C4055" s="50"/>
      <c r="D4055" s="49"/>
      <c r="E4055" s="49"/>
      <c r="F4055" s="49"/>
      <c r="G4055" s="49"/>
      <c r="H4055" s="50"/>
      <c r="I4055" s="50"/>
      <c r="J4055" s="49"/>
      <c r="K4055" s="49"/>
      <c r="L4055" s="49"/>
      <c r="M4055" s="49"/>
      <c r="N4055" s="50"/>
      <c r="O4055" s="49"/>
      <c r="P4055" s="49"/>
      <c r="Q4055" s="49"/>
      <c r="R4055" s="49"/>
      <c r="S4055" s="49"/>
      <c r="T4055" s="49"/>
      <c r="U4055" s="49"/>
      <c r="V4055" s="49"/>
      <c r="W4055" s="49"/>
      <c r="X4055" s="49"/>
      <c r="Y4055" s="49"/>
      <c r="Z4055" s="49"/>
      <c r="AA4055" s="49"/>
      <c r="AB4055" s="49"/>
      <c r="AC4055" s="49"/>
      <c r="AD4055" s="49"/>
      <c r="AE4055" s="49"/>
      <c r="AF4055" s="49"/>
      <c r="AG4055" s="49"/>
      <c r="AH4055" s="49"/>
      <c r="AI4055" s="49"/>
      <c r="AJ4055" s="49"/>
      <c r="AK4055" s="49"/>
      <c r="AL4055" s="49"/>
      <c r="AM4055" s="49"/>
      <c r="AN4055" s="49"/>
      <c r="AP4055" s="49"/>
      <c r="AQ4055" s="49"/>
      <c r="AR4055" s="49"/>
      <c r="AS4055" s="49"/>
      <c r="AT4055" s="49"/>
    </row>
    <row r="4056">
      <c r="A4056" s="59"/>
      <c r="B4056" s="49"/>
      <c r="C4056" s="50"/>
      <c r="D4056" s="49"/>
      <c r="E4056" s="49"/>
      <c r="F4056" s="49"/>
      <c r="G4056" s="49"/>
      <c r="H4056" s="50"/>
      <c r="I4056" s="50"/>
      <c r="J4056" s="49"/>
      <c r="K4056" s="49"/>
      <c r="L4056" s="49"/>
      <c r="M4056" s="49"/>
      <c r="N4056" s="50"/>
      <c r="O4056" s="49"/>
      <c r="P4056" s="49"/>
      <c r="Q4056" s="49"/>
      <c r="R4056" s="49"/>
      <c r="S4056" s="49"/>
      <c r="T4056" s="49"/>
      <c r="U4056" s="49"/>
      <c r="V4056" s="49"/>
      <c r="W4056" s="49"/>
      <c r="X4056" s="49"/>
      <c r="Y4056" s="49"/>
      <c r="Z4056" s="49"/>
      <c r="AA4056" s="49"/>
      <c r="AB4056" s="49"/>
      <c r="AC4056" s="49"/>
      <c r="AD4056" s="49"/>
      <c r="AE4056" s="49"/>
      <c r="AF4056" s="49"/>
      <c r="AG4056" s="49"/>
      <c r="AH4056" s="49"/>
      <c r="AI4056" s="49"/>
      <c r="AJ4056" s="49"/>
      <c r="AK4056" s="49"/>
      <c r="AL4056" s="49"/>
      <c r="AM4056" s="49"/>
      <c r="AN4056" s="49"/>
      <c r="AP4056" s="49"/>
      <c r="AQ4056" s="49"/>
      <c r="AR4056" s="49"/>
      <c r="AS4056" s="49"/>
      <c r="AT4056" s="49"/>
    </row>
    <row r="4057">
      <c r="A4057" s="59"/>
      <c r="B4057" s="49"/>
      <c r="C4057" s="50"/>
      <c r="D4057" s="49"/>
      <c r="E4057" s="49"/>
      <c r="F4057" s="49"/>
      <c r="G4057" s="49"/>
      <c r="H4057" s="50"/>
      <c r="I4057" s="50"/>
      <c r="J4057" s="49"/>
      <c r="K4057" s="49"/>
      <c r="L4057" s="49"/>
      <c r="M4057" s="49"/>
      <c r="N4057" s="50"/>
      <c r="O4057" s="49"/>
      <c r="P4057" s="49"/>
      <c r="Q4057" s="49"/>
      <c r="R4057" s="49"/>
      <c r="S4057" s="49"/>
      <c r="T4057" s="49"/>
      <c r="U4057" s="49"/>
      <c r="V4057" s="49"/>
      <c r="W4057" s="49"/>
      <c r="X4057" s="49"/>
      <c r="Y4057" s="49"/>
      <c r="Z4057" s="49"/>
      <c r="AA4057" s="49"/>
      <c r="AB4057" s="49"/>
      <c r="AC4057" s="49"/>
      <c r="AD4057" s="49"/>
      <c r="AE4057" s="49"/>
      <c r="AF4057" s="49"/>
      <c r="AG4057" s="49"/>
      <c r="AH4057" s="49"/>
      <c r="AI4057" s="49"/>
      <c r="AJ4057" s="49"/>
      <c r="AK4057" s="49"/>
      <c r="AL4057" s="49"/>
      <c r="AM4057" s="49"/>
      <c r="AN4057" s="49"/>
      <c r="AP4057" s="49"/>
      <c r="AQ4057" s="49"/>
      <c r="AR4057" s="49"/>
      <c r="AS4057" s="49"/>
      <c r="AT4057" s="49"/>
    </row>
    <row r="4058">
      <c r="A4058" s="59"/>
      <c r="B4058" s="49"/>
      <c r="C4058" s="50"/>
      <c r="D4058" s="49"/>
      <c r="E4058" s="49"/>
      <c r="F4058" s="49"/>
      <c r="G4058" s="49"/>
      <c r="H4058" s="50"/>
      <c r="I4058" s="50"/>
      <c r="J4058" s="49"/>
      <c r="K4058" s="49"/>
      <c r="L4058" s="49"/>
      <c r="M4058" s="49"/>
      <c r="N4058" s="50"/>
      <c r="O4058" s="49"/>
      <c r="P4058" s="49"/>
      <c r="Q4058" s="49"/>
      <c r="R4058" s="49"/>
      <c r="S4058" s="49"/>
      <c r="T4058" s="49"/>
      <c r="U4058" s="49"/>
      <c r="V4058" s="49"/>
      <c r="W4058" s="49"/>
      <c r="X4058" s="49"/>
      <c r="Y4058" s="49"/>
      <c r="Z4058" s="49"/>
      <c r="AA4058" s="49"/>
      <c r="AB4058" s="49"/>
      <c r="AC4058" s="49"/>
      <c r="AD4058" s="49"/>
      <c r="AE4058" s="49"/>
      <c r="AF4058" s="49"/>
      <c r="AG4058" s="49"/>
      <c r="AH4058" s="49"/>
      <c r="AI4058" s="49"/>
      <c r="AJ4058" s="49"/>
      <c r="AK4058" s="49"/>
      <c r="AL4058" s="49"/>
      <c r="AM4058" s="49"/>
      <c r="AN4058" s="49"/>
      <c r="AP4058" s="49"/>
      <c r="AQ4058" s="49"/>
      <c r="AR4058" s="49"/>
      <c r="AS4058" s="49"/>
      <c r="AT4058" s="49"/>
    </row>
    <row r="4059">
      <c r="A4059" s="59"/>
      <c r="B4059" s="49"/>
      <c r="C4059" s="50"/>
      <c r="D4059" s="49"/>
      <c r="E4059" s="49"/>
      <c r="F4059" s="49"/>
      <c r="G4059" s="49"/>
      <c r="H4059" s="50"/>
      <c r="I4059" s="50"/>
      <c r="J4059" s="49"/>
      <c r="K4059" s="49"/>
      <c r="L4059" s="49"/>
      <c r="M4059" s="49"/>
      <c r="N4059" s="50"/>
      <c r="O4059" s="49"/>
      <c r="P4059" s="49"/>
      <c r="Q4059" s="49"/>
      <c r="R4059" s="49"/>
      <c r="S4059" s="49"/>
      <c r="T4059" s="49"/>
      <c r="U4059" s="49"/>
      <c r="V4059" s="49"/>
      <c r="W4059" s="49"/>
      <c r="X4059" s="49"/>
      <c r="Y4059" s="49"/>
      <c r="Z4059" s="49"/>
      <c r="AA4059" s="49"/>
      <c r="AB4059" s="49"/>
      <c r="AC4059" s="49"/>
      <c r="AD4059" s="49"/>
      <c r="AE4059" s="49"/>
      <c r="AF4059" s="49"/>
      <c r="AG4059" s="49"/>
      <c r="AH4059" s="49"/>
      <c r="AI4059" s="49"/>
      <c r="AJ4059" s="49"/>
      <c r="AK4059" s="49"/>
      <c r="AL4059" s="49"/>
      <c r="AM4059" s="49"/>
      <c r="AN4059" s="49"/>
      <c r="AP4059" s="49"/>
      <c r="AQ4059" s="49"/>
      <c r="AR4059" s="49"/>
      <c r="AS4059" s="49"/>
      <c r="AT4059" s="49"/>
    </row>
    <row r="4060">
      <c r="A4060" s="59"/>
      <c r="B4060" s="49"/>
      <c r="C4060" s="50"/>
      <c r="D4060" s="49"/>
      <c r="E4060" s="49"/>
      <c r="F4060" s="49"/>
      <c r="G4060" s="49"/>
      <c r="H4060" s="50"/>
      <c r="I4060" s="50"/>
      <c r="J4060" s="49"/>
      <c r="K4060" s="49"/>
      <c r="L4060" s="49"/>
      <c r="M4060" s="49"/>
      <c r="N4060" s="50"/>
      <c r="O4060" s="49"/>
      <c r="P4060" s="49"/>
      <c r="Q4060" s="49"/>
      <c r="R4060" s="49"/>
      <c r="S4060" s="49"/>
      <c r="T4060" s="49"/>
      <c r="U4060" s="49"/>
      <c r="V4060" s="49"/>
      <c r="W4060" s="49"/>
      <c r="X4060" s="49"/>
      <c r="Y4060" s="49"/>
      <c r="Z4060" s="49"/>
      <c r="AA4060" s="49"/>
      <c r="AB4060" s="49"/>
      <c r="AC4060" s="49"/>
      <c r="AD4060" s="49"/>
      <c r="AE4060" s="49"/>
      <c r="AF4060" s="49"/>
      <c r="AG4060" s="49"/>
      <c r="AH4060" s="49"/>
      <c r="AI4060" s="49"/>
      <c r="AJ4060" s="49"/>
      <c r="AK4060" s="49"/>
      <c r="AL4060" s="49"/>
      <c r="AM4060" s="49"/>
      <c r="AN4060" s="49"/>
      <c r="AP4060" s="49"/>
      <c r="AQ4060" s="49"/>
      <c r="AR4060" s="49"/>
      <c r="AS4060" s="49"/>
      <c r="AT4060" s="49"/>
    </row>
    <row r="4061">
      <c r="A4061" s="59"/>
      <c r="B4061" s="49"/>
      <c r="C4061" s="50"/>
      <c r="D4061" s="49"/>
      <c r="E4061" s="49"/>
      <c r="F4061" s="49"/>
      <c r="G4061" s="49"/>
      <c r="H4061" s="50"/>
      <c r="I4061" s="50"/>
      <c r="J4061" s="49"/>
      <c r="K4061" s="49"/>
      <c r="L4061" s="49"/>
      <c r="M4061" s="49"/>
      <c r="N4061" s="50"/>
      <c r="O4061" s="49"/>
      <c r="P4061" s="49"/>
      <c r="Q4061" s="49"/>
      <c r="R4061" s="49"/>
      <c r="S4061" s="49"/>
      <c r="T4061" s="49"/>
      <c r="U4061" s="49"/>
      <c r="V4061" s="49"/>
      <c r="W4061" s="49"/>
      <c r="X4061" s="49"/>
      <c r="Y4061" s="49"/>
      <c r="Z4061" s="49"/>
      <c r="AA4061" s="49"/>
      <c r="AB4061" s="49"/>
      <c r="AC4061" s="49"/>
      <c r="AD4061" s="49"/>
      <c r="AE4061" s="49"/>
      <c r="AF4061" s="49"/>
      <c r="AG4061" s="49"/>
      <c r="AH4061" s="49"/>
      <c r="AI4061" s="49"/>
      <c r="AJ4061" s="49"/>
      <c r="AK4061" s="49"/>
      <c r="AL4061" s="49"/>
      <c r="AM4061" s="49"/>
      <c r="AN4061" s="49"/>
      <c r="AP4061" s="49"/>
      <c r="AQ4061" s="49"/>
      <c r="AR4061" s="49"/>
      <c r="AS4061" s="49"/>
      <c r="AT4061" s="49"/>
    </row>
    <row r="4062">
      <c r="A4062" s="59"/>
      <c r="B4062" s="49"/>
      <c r="C4062" s="50"/>
      <c r="D4062" s="49"/>
      <c r="E4062" s="49"/>
      <c r="F4062" s="49"/>
      <c r="G4062" s="49"/>
      <c r="H4062" s="50"/>
      <c r="I4062" s="50"/>
      <c r="J4062" s="49"/>
      <c r="K4062" s="49"/>
      <c r="L4062" s="49"/>
      <c r="M4062" s="49"/>
      <c r="N4062" s="50"/>
      <c r="O4062" s="49"/>
      <c r="P4062" s="49"/>
      <c r="Q4062" s="49"/>
      <c r="R4062" s="49"/>
      <c r="S4062" s="49"/>
      <c r="T4062" s="49"/>
      <c r="U4062" s="49"/>
      <c r="V4062" s="49"/>
      <c r="W4062" s="49"/>
      <c r="X4062" s="49"/>
      <c r="Y4062" s="49"/>
      <c r="Z4062" s="49"/>
      <c r="AA4062" s="49"/>
      <c r="AB4062" s="49"/>
      <c r="AC4062" s="49"/>
      <c r="AD4062" s="49"/>
      <c r="AE4062" s="49"/>
      <c r="AF4062" s="49"/>
      <c r="AG4062" s="49"/>
      <c r="AH4062" s="49"/>
      <c r="AI4062" s="49"/>
      <c r="AJ4062" s="49"/>
      <c r="AK4062" s="49"/>
      <c r="AL4062" s="49"/>
      <c r="AM4062" s="49"/>
      <c r="AN4062" s="49"/>
      <c r="AP4062" s="49"/>
      <c r="AQ4062" s="49"/>
      <c r="AR4062" s="49"/>
      <c r="AS4062" s="49"/>
      <c r="AT4062" s="49"/>
    </row>
    <row r="4063">
      <c r="A4063" s="59"/>
      <c r="B4063" s="49"/>
      <c r="C4063" s="50"/>
      <c r="D4063" s="49"/>
      <c r="E4063" s="49"/>
      <c r="F4063" s="49"/>
      <c r="G4063" s="49"/>
      <c r="H4063" s="50"/>
      <c r="I4063" s="50"/>
      <c r="J4063" s="49"/>
      <c r="K4063" s="49"/>
      <c r="L4063" s="49"/>
      <c r="M4063" s="49"/>
      <c r="N4063" s="50"/>
      <c r="O4063" s="49"/>
      <c r="P4063" s="49"/>
      <c r="Q4063" s="49"/>
      <c r="R4063" s="49"/>
      <c r="S4063" s="49"/>
      <c r="T4063" s="49"/>
      <c r="U4063" s="49"/>
      <c r="V4063" s="49"/>
      <c r="W4063" s="49"/>
      <c r="X4063" s="49"/>
      <c r="Y4063" s="49"/>
      <c r="Z4063" s="49"/>
      <c r="AA4063" s="49"/>
      <c r="AB4063" s="49"/>
      <c r="AC4063" s="49"/>
      <c r="AD4063" s="49"/>
      <c r="AE4063" s="49"/>
      <c r="AF4063" s="49"/>
      <c r="AG4063" s="49"/>
      <c r="AH4063" s="49"/>
      <c r="AI4063" s="49"/>
      <c r="AJ4063" s="49"/>
      <c r="AK4063" s="49"/>
      <c r="AL4063" s="49"/>
      <c r="AM4063" s="49"/>
      <c r="AN4063" s="49"/>
      <c r="AP4063" s="49"/>
      <c r="AQ4063" s="49"/>
      <c r="AR4063" s="49"/>
      <c r="AS4063" s="49"/>
      <c r="AT4063" s="49"/>
    </row>
    <row r="4064">
      <c r="A4064" s="59"/>
      <c r="B4064" s="49"/>
      <c r="C4064" s="50"/>
      <c r="D4064" s="49"/>
      <c r="E4064" s="49"/>
      <c r="F4064" s="49"/>
      <c r="G4064" s="49"/>
      <c r="H4064" s="50"/>
      <c r="I4064" s="50"/>
      <c r="J4064" s="49"/>
      <c r="K4064" s="49"/>
      <c r="L4064" s="49"/>
      <c r="M4064" s="49"/>
      <c r="N4064" s="50"/>
      <c r="O4064" s="49"/>
      <c r="P4064" s="49"/>
      <c r="Q4064" s="49"/>
      <c r="R4064" s="49"/>
      <c r="S4064" s="49"/>
      <c r="T4064" s="49"/>
      <c r="U4064" s="49"/>
      <c r="V4064" s="49"/>
      <c r="W4064" s="49"/>
      <c r="X4064" s="49"/>
      <c r="Y4064" s="49"/>
      <c r="Z4064" s="49"/>
      <c r="AA4064" s="49"/>
      <c r="AB4064" s="49"/>
      <c r="AC4064" s="49"/>
      <c r="AD4064" s="49"/>
      <c r="AE4064" s="49"/>
      <c r="AF4064" s="49"/>
      <c r="AG4064" s="49"/>
      <c r="AH4064" s="49"/>
      <c r="AI4064" s="49"/>
      <c r="AJ4064" s="49"/>
      <c r="AK4064" s="49"/>
      <c r="AL4064" s="49"/>
      <c r="AM4064" s="49"/>
      <c r="AN4064" s="49"/>
      <c r="AP4064" s="49"/>
      <c r="AQ4064" s="49"/>
      <c r="AR4064" s="49"/>
      <c r="AS4064" s="49"/>
      <c r="AT4064" s="49"/>
    </row>
    <row r="4065">
      <c r="A4065" s="59"/>
      <c r="B4065" s="49"/>
      <c r="C4065" s="50"/>
      <c r="D4065" s="49"/>
      <c r="E4065" s="49"/>
      <c r="F4065" s="49"/>
      <c r="G4065" s="49"/>
      <c r="H4065" s="50"/>
      <c r="I4065" s="50"/>
      <c r="J4065" s="49"/>
      <c r="K4065" s="49"/>
      <c r="L4065" s="49"/>
      <c r="M4065" s="49"/>
      <c r="N4065" s="50"/>
      <c r="O4065" s="49"/>
      <c r="P4065" s="49"/>
      <c r="Q4065" s="49"/>
      <c r="R4065" s="49"/>
      <c r="S4065" s="49"/>
      <c r="T4065" s="49"/>
      <c r="U4065" s="49"/>
      <c r="V4065" s="49"/>
      <c r="W4065" s="49"/>
      <c r="X4065" s="49"/>
      <c r="Y4065" s="49"/>
      <c r="Z4065" s="49"/>
      <c r="AA4065" s="49"/>
      <c r="AB4065" s="49"/>
      <c r="AC4065" s="49"/>
      <c r="AD4065" s="49"/>
      <c r="AE4065" s="49"/>
      <c r="AF4065" s="49"/>
      <c r="AG4065" s="49"/>
      <c r="AH4065" s="49"/>
      <c r="AI4065" s="49"/>
      <c r="AJ4065" s="49"/>
      <c r="AK4065" s="49"/>
      <c r="AL4065" s="49"/>
      <c r="AM4065" s="49"/>
      <c r="AN4065" s="49"/>
      <c r="AP4065" s="49"/>
      <c r="AQ4065" s="49"/>
      <c r="AR4065" s="49"/>
      <c r="AS4065" s="49"/>
      <c r="AT4065" s="49"/>
    </row>
    <row r="4066">
      <c r="A4066" s="59"/>
      <c r="B4066" s="49"/>
      <c r="C4066" s="50"/>
      <c r="D4066" s="49"/>
      <c r="E4066" s="49"/>
      <c r="F4066" s="49"/>
      <c r="G4066" s="49"/>
      <c r="H4066" s="50"/>
      <c r="I4066" s="50"/>
      <c r="J4066" s="49"/>
      <c r="K4066" s="49"/>
      <c r="L4066" s="49"/>
      <c r="M4066" s="49"/>
      <c r="N4066" s="50"/>
      <c r="O4066" s="49"/>
      <c r="P4066" s="49"/>
      <c r="Q4066" s="49"/>
      <c r="R4066" s="49"/>
      <c r="S4066" s="49"/>
      <c r="T4066" s="49"/>
      <c r="U4066" s="49"/>
      <c r="V4066" s="49"/>
      <c r="W4066" s="49"/>
      <c r="X4066" s="49"/>
      <c r="Y4066" s="49"/>
      <c r="Z4066" s="49"/>
      <c r="AA4066" s="49"/>
      <c r="AB4066" s="49"/>
      <c r="AC4066" s="49"/>
      <c r="AD4066" s="49"/>
      <c r="AE4066" s="49"/>
      <c r="AF4066" s="49"/>
      <c r="AG4066" s="49"/>
      <c r="AH4066" s="49"/>
      <c r="AI4066" s="49"/>
      <c r="AJ4066" s="49"/>
      <c r="AK4066" s="49"/>
      <c r="AL4066" s="49"/>
      <c r="AM4066" s="49"/>
      <c r="AN4066" s="49"/>
      <c r="AP4066" s="49"/>
      <c r="AQ4066" s="49"/>
      <c r="AR4066" s="49"/>
      <c r="AS4066" s="49"/>
      <c r="AT4066" s="49"/>
    </row>
    <row r="4067">
      <c r="A4067" s="59"/>
      <c r="B4067" s="49"/>
      <c r="C4067" s="50"/>
      <c r="D4067" s="49"/>
      <c r="E4067" s="49"/>
      <c r="F4067" s="49"/>
      <c r="G4067" s="49"/>
      <c r="H4067" s="50"/>
      <c r="I4067" s="50"/>
      <c r="J4067" s="49"/>
      <c r="K4067" s="49"/>
      <c r="L4067" s="49"/>
      <c r="M4067" s="49"/>
      <c r="N4067" s="50"/>
      <c r="O4067" s="49"/>
      <c r="P4067" s="49"/>
      <c r="Q4067" s="49"/>
      <c r="R4067" s="49"/>
      <c r="S4067" s="49"/>
      <c r="T4067" s="49"/>
      <c r="U4067" s="49"/>
      <c r="V4067" s="49"/>
      <c r="W4067" s="49"/>
      <c r="X4067" s="49"/>
      <c r="Y4067" s="49"/>
      <c r="Z4067" s="49"/>
      <c r="AA4067" s="49"/>
      <c r="AB4067" s="49"/>
      <c r="AC4067" s="49"/>
      <c r="AD4067" s="49"/>
      <c r="AE4067" s="49"/>
      <c r="AF4067" s="49"/>
      <c r="AG4067" s="49"/>
      <c r="AH4067" s="49"/>
      <c r="AI4067" s="49"/>
      <c r="AJ4067" s="49"/>
      <c r="AK4067" s="49"/>
      <c r="AL4067" s="49"/>
      <c r="AM4067" s="49"/>
      <c r="AN4067" s="49"/>
      <c r="AP4067" s="49"/>
      <c r="AQ4067" s="49"/>
      <c r="AR4067" s="49"/>
      <c r="AS4067" s="49"/>
      <c r="AT4067" s="49"/>
    </row>
    <row r="4068">
      <c r="A4068" s="59"/>
      <c r="B4068" s="49"/>
      <c r="C4068" s="50"/>
      <c r="D4068" s="49"/>
      <c r="E4068" s="49"/>
      <c r="F4068" s="49"/>
      <c r="G4068" s="49"/>
      <c r="H4068" s="50"/>
      <c r="I4068" s="50"/>
      <c r="J4068" s="49"/>
      <c r="K4068" s="49"/>
      <c r="L4068" s="49"/>
      <c r="M4068" s="49"/>
      <c r="N4068" s="50"/>
      <c r="O4068" s="49"/>
      <c r="P4068" s="49"/>
      <c r="Q4068" s="49"/>
      <c r="R4068" s="49"/>
      <c r="S4068" s="49"/>
      <c r="T4068" s="49"/>
      <c r="U4068" s="49"/>
      <c r="V4068" s="49"/>
      <c r="W4068" s="49"/>
      <c r="X4068" s="49"/>
      <c r="Y4068" s="49"/>
      <c r="Z4068" s="49"/>
      <c r="AA4068" s="49"/>
      <c r="AB4068" s="49"/>
      <c r="AC4068" s="49"/>
      <c r="AD4068" s="49"/>
      <c r="AE4068" s="49"/>
      <c r="AF4068" s="49"/>
      <c r="AG4068" s="49"/>
      <c r="AH4068" s="49"/>
      <c r="AI4068" s="49"/>
      <c r="AJ4068" s="49"/>
      <c r="AK4068" s="49"/>
      <c r="AL4068" s="49"/>
      <c r="AM4068" s="49"/>
      <c r="AN4068" s="49"/>
      <c r="AP4068" s="49"/>
      <c r="AQ4068" s="49"/>
      <c r="AR4068" s="49"/>
      <c r="AS4068" s="49"/>
      <c r="AT4068" s="49"/>
    </row>
    <row r="4069">
      <c r="A4069" s="59"/>
      <c r="B4069" s="49"/>
      <c r="C4069" s="50"/>
      <c r="D4069" s="49"/>
      <c r="E4069" s="49"/>
      <c r="F4069" s="49"/>
      <c r="G4069" s="49"/>
      <c r="H4069" s="50"/>
      <c r="I4069" s="50"/>
      <c r="J4069" s="49"/>
      <c r="K4069" s="49"/>
      <c r="L4069" s="49"/>
      <c r="M4069" s="49"/>
      <c r="N4069" s="50"/>
      <c r="O4069" s="49"/>
      <c r="P4069" s="49"/>
      <c r="Q4069" s="49"/>
      <c r="R4069" s="49"/>
      <c r="S4069" s="49"/>
      <c r="T4069" s="49"/>
      <c r="U4069" s="49"/>
      <c r="V4069" s="49"/>
      <c r="W4069" s="49"/>
      <c r="X4069" s="49"/>
      <c r="Y4069" s="49"/>
      <c r="Z4069" s="49"/>
      <c r="AA4069" s="49"/>
      <c r="AB4069" s="49"/>
      <c r="AC4069" s="49"/>
      <c r="AD4069" s="49"/>
      <c r="AE4069" s="49"/>
      <c r="AF4069" s="49"/>
      <c r="AG4069" s="49"/>
      <c r="AH4069" s="49"/>
      <c r="AI4069" s="49"/>
      <c r="AJ4069" s="49"/>
      <c r="AK4069" s="49"/>
      <c r="AL4069" s="49"/>
      <c r="AM4069" s="49"/>
      <c r="AN4069" s="49"/>
      <c r="AP4069" s="49"/>
      <c r="AQ4069" s="49"/>
      <c r="AR4069" s="49"/>
      <c r="AS4069" s="49"/>
      <c r="AT4069" s="49"/>
    </row>
    <row r="4070">
      <c r="A4070" s="59"/>
      <c r="B4070" s="49"/>
      <c r="C4070" s="50"/>
      <c r="D4070" s="49"/>
      <c r="E4070" s="49"/>
      <c r="F4070" s="49"/>
      <c r="G4070" s="49"/>
      <c r="H4070" s="50"/>
      <c r="I4070" s="50"/>
      <c r="J4070" s="49"/>
      <c r="K4070" s="49"/>
      <c r="L4070" s="49"/>
      <c r="M4070" s="49"/>
      <c r="N4070" s="50"/>
      <c r="O4070" s="49"/>
      <c r="P4070" s="49"/>
      <c r="Q4070" s="49"/>
      <c r="R4070" s="49"/>
      <c r="S4070" s="49"/>
      <c r="T4070" s="49"/>
      <c r="U4070" s="49"/>
      <c r="V4070" s="49"/>
      <c r="W4070" s="49"/>
      <c r="X4070" s="49"/>
      <c r="Y4070" s="49"/>
      <c r="Z4070" s="49"/>
      <c r="AA4070" s="49"/>
      <c r="AB4070" s="49"/>
      <c r="AC4070" s="49"/>
      <c r="AD4070" s="49"/>
      <c r="AE4070" s="49"/>
      <c r="AF4070" s="49"/>
      <c r="AG4070" s="49"/>
      <c r="AH4070" s="49"/>
      <c r="AI4070" s="49"/>
      <c r="AJ4070" s="49"/>
      <c r="AK4070" s="49"/>
      <c r="AL4070" s="49"/>
      <c r="AM4070" s="49"/>
      <c r="AN4070" s="49"/>
      <c r="AP4070" s="49"/>
      <c r="AQ4070" s="49"/>
      <c r="AR4070" s="49"/>
      <c r="AS4070" s="49"/>
      <c r="AT4070" s="49"/>
    </row>
    <row r="4071">
      <c r="A4071" s="59"/>
      <c r="B4071" s="49"/>
      <c r="C4071" s="50"/>
      <c r="D4071" s="49"/>
      <c r="E4071" s="49"/>
      <c r="F4071" s="49"/>
      <c r="G4071" s="49"/>
      <c r="H4071" s="50"/>
      <c r="I4071" s="50"/>
      <c r="J4071" s="49"/>
      <c r="K4071" s="49"/>
      <c r="L4071" s="49"/>
      <c r="M4071" s="49"/>
      <c r="N4071" s="50"/>
      <c r="O4071" s="49"/>
      <c r="P4071" s="49"/>
      <c r="Q4071" s="49"/>
      <c r="R4071" s="49"/>
      <c r="S4071" s="49"/>
      <c r="T4071" s="49"/>
      <c r="U4071" s="49"/>
      <c r="V4071" s="49"/>
      <c r="W4071" s="49"/>
      <c r="X4071" s="49"/>
      <c r="Y4071" s="49"/>
      <c r="Z4071" s="49"/>
      <c r="AA4071" s="49"/>
      <c r="AB4071" s="49"/>
      <c r="AC4071" s="49"/>
      <c r="AD4071" s="49"/>
      <c r="AE4071" s="49"/>
      <c r="AF4071" s="49"/>
      <c r="AG4071" s="49"/>
      <c r="AH4071" s="49"/>
      <c r="AI4071" s="49"/>
      <c r="AJ4071" s="49"/>
      <c r="AK4071" s="49"/>
      <c r="AL4071" s="49"/>
      <c r="AM4071" s="49"/>
      <c r="AN4071" s="49"/>
      <c r="AP4071" s="49"/>
      <c r="AQ4071" s="49"/>
      <c r="AR4071" s="49"/>
      <c r="AS4071" s="49"/>
      <c r="AT4071" s="49"/>
    </row>
    <row r="4072">
      <c r="A4072" s="59"/>
      <c r="B4072" s="49"/>
      <c r="C4072" s="50"/>
      <c r="D4072" s="49"/>
      <c r="E4072" s="49"/>
      <c r="F4072" s="49"/>
      <c r="G4072" s="49"/>
      <c r="H4072" s="50"/>
      <c r="I4072" s="50"/>
      <c r="J4072" s="49"/>
      <c r="K4072" s="49"/>
      <c r="L4072" s="49"/>
      <c r="M4072" s="49"/>
      <c r="N4072" s="50"/>
      <c r="O4072" s="49"/>
      <c r="P4072" s="49"/>
      <c r="Q4072" s="49"/>
      <c r="R4072" s="49"/>
      <c r="S4072" s="49"/>
      <c r="T4072" s="49"/>
      <c r="U4072" s="49"/>
      <c r="V4072" s="49"/>
      <c r="W4072" s="49"/>
      <c r="X4072" s="49"/>
      <c r="Y4072" s="49"/>
      <c r="Z4072" s="49"/>
      <c r="AA4072" s="49"/>
      <c r="AB4072" s="49"/>
      <c r="AC4072" s="49"/>
      <c r="AD4072" s="49"/>
      <c r="AE4072" s="49"/>
      <c r="AF4072" s="49"/>
      <c r="AG4072" s="49"/>
      <c r="AH4072" s="49"/>
      <c r="AI4072" s="49"/>
      <c r="AJ4072" s="49"/>
      <c r="AK4072" s="49"/>
      <c r="AL4072" s="49"/>
      <c r="AM4072" s="49"/>
      <c r="AN4072" s="49"/>
      <c r="AP4072" s="49"/>
      <c r="AQ4072" s="49"/>
      <c r="AR4072" s="49"/>
      <c r="AS4072" s="49"/>
      <c r="AT4072" s="49"/>
    </row>
    <row r="4073">
      <c r="A4073" s="59"/>
      <c r="B4073" s="49"/>
      <c r="C4073" s="50"/>
      <c r="D4073" s="49"/>
      <c r="E4073" s="49"/>
      <c r="F4073" s="49"/>
      <c r="G4073" s="49"/>
      <c r="H4073" s="50"/>
      <c r="I4073" s="50"/>
      <c r="J4073" s="49"/>
      <c r="K4073" s="49"/>
      <c r="L4073" s="49"/>
      <c r="M4073" s="49"/>
      <c r="N4073" s="50"/>
      <c r="O4073" s="49"/>
      <c r="P4073" s="49"/>
      <c r="Q4073" s="49"/>
      <c r="R4073" s="49"/>
      <c r="S4073" s="49"/>
      <c r="T4073" s="49"/>
      <c r="U4073" s="49"/>
      <c r="V4073" s="49"/>
      <c r="W4073" s="49"/>
      <c r="X4073" s="49"/>
      <c r="Y4073" s="49"/>
      <c r="Z4073" s="49"/>
      <c r="AA4073" s="49"/>
      <c r="AB4073" s="49"/>
      <c r="AC4073" s="49"/>
      <c r="AD4073" s="49"/>
      <c r="AE4073" s="49"/>
      <c r="AF4073" s="49"/>
      <c r="AG4073" s="49"/>
      <c r="AH4073" s="49"/>
      <c r="AI4073" s="49"/>
      <c r="AJ4073" s="49"/>
      <c r="AK4073" s="49"/>
      <c r="AL4073" s="49"/>
      <c r="AM4073" s="49"/>
      <c r="AN4073" s="49"/>
      <c r="AP4073" s="49"/>
      <c r="AQ4073" s="49"/>
      <c r="AR4073" s="49"/>
      <c r="AS4073" s="49"/>
      <c r="AT4073" s="49"/>
    </row>
    <row r="4074">
      <c r="A4074" s="59"/>
      <c r="B4074" s="49"/>
      <c r="C4074" s="50"/>
      <c r="D4074" s="49"/>
      <c r="E4074" s="49"/>
      <c r="F4074" s="49"/>
      <c r="G4074" s="49"/>
      <c r="H4074" s="50"/>
      <c r="I4074" s="50"/>
      <c r="J4074" s="49"/>
      <c r="K4074" s="49"/>
      <c r="L4074" s="49"/>
      <c r="M4074" s="49"/>
      <c r="N4074" s="50"/>
      <c r="O4074" s="49"/>
      <c r="P4074" s="49"/>
      <c r="Q4074" s="49"/>
      <c r="R4074" s="49"/>
      <c r="S4074" s="49"/>
      <c r="T4074" s="49"/>
      <c r="U4074" s="49"/>
      <c r="V4074" s="49"/>
      <c r="W4074" s="49"/>
      <c r="X4074" s="49"/>
      <c r="Y4074" s="49"/>
      <c r="Z4074" s="49"/>
      <c r="AA4074" s="49"/>
      <c r="AB4074" s="49"/>
      <c r="AC4074" s="49"/>
      <c r="AD4074" s="49"/>
      <c r="AE4074" s="49"/>
      <c r="AF4074" s="49"/>
      <c r="AG4074" s="49"/>
      <c r="AH4074" s="49"/>
      <c r="AI4074" s="49"/>
      <c r="AJ4074" s="49"/>
      <c r="AK4074" s="49"/>
      <c r="AL4074" s="49"/>
      <c r="AM4074" s="49"/>
      <c r="AN4074" s="49"/>
      <c r="AP4074" s="49"/>
      <c r="AQ4074" s="49"/>
      <c r="AR4074" s="49"/>
      <c r="AS4074" s="49"/>
      <c r="AT4074" s="49"/>
    </row>
    <row r="4075">
      <c r="A4075" s="59"/>
      <c r="B4075" s="49"/>
      <c r="C4075" s="50"/>
      <c r="D4075" s="49"/>
      <c r="E4075" s="49"/>
      <c r="F4075" s="49"/>
      <c r="G4075" s="49"/>
      <c r="H4075" s="50"/>
      <c r="I4075" s="50"/>
      <c r="J4075" s="49"/>
      <c r="K4075" s="49"/>
      <c r="L4075" s="49"/>
      <c r="M4075" s="49"/>
      <c r="N4075" s="50"/>
      <c r="O4075" s="49"/>
      <c r="P4075" s="49"/>
      <c r="Q4075" s="49"/>
      <c r="R4075" s="49"/>
      <c r="S4075" s="49"/>
      <c r="T4075" s="49"/>
      <c r="U4075" s="49"/>
      <c r="V4075" s="49"/>
      <c r="W4075" s="49"/>
      <c r="X4075" s="49"/>
      <c r="Y4075" s="49"/>
      <c r="Z4075" s="49"/>
      <c r="AA4075" s="49"/>
      <c r="AB4075" s="49"/>
      <c r="AC4075" s="49"/>
      <c r="AD4075" s="49"/>
      <c r="AE4075" s="49"/>
      <c r="AF4075" s="49"/>
      <c r="AG4075" s="49"/>
      <c r="AH4075" s="49"/>
      <c r="AI4075" s="49"/>
      <c r="AJ4075" s="49"/>
      <c r="AK4075" s="49"/>
      <c r="AL4075" s="49"/>
      <c r="AM4075" s="49"/>
      <c r="AN4075" s="49"/>
      <c r="AP4075" s="49"/>
      <c r="AQ4075" s="49"/>
      <c r="AR4075" s="49"/>
      <c r="AS4075" s="49"/>
      <c r="AT4075" s="49"/>
    </row>
    <row r="4076">
      <c r="A4076" s="59"/>
      <c r="B4076" s="49"/>
      <c r="C4076" s="50"/>
      <c r="D4076" s="49"/>
      <c r="E4076" s="49"/>
      <c r="F4076" s="49"/>
      <c r="G4076" s="49"/>
      <c r="H4076" s="50"/>
      <c r="I4076" s="50"/>
      <c r="J4076" s="49"/>
      <c r="K4076" s="49"/>
      <c r="L4076" s="49"/>
      <c r="M4076" s="49"/>
      <c r="N4076" s="50"/>
      <c r="O4076" s="49"/>
      <c r="P4076" s="49"/>
      <c r="Q4076" s="49"/>
      <c r="R4076" s="49"/>
      <c r="S4076" s="49"/>
      <c r="T4076" s="49"/>
      <c r="U4076" s="49"/>
      <c r="V4076" s="49"/>
      <c r="W4076" s="49"/>
      <c r="X4076" s="49"/>
      <c r="Y4076" s="49"/>
      <c r="Z4076" s="49"/>
      <c r="AA4076" s="49"/>
      <c r="AB4076" s="49"/>
      <c r="AC4076" s="49"/>
      <c r="AD4076" s="49"/>
      <c r="AE4076" s="49"/>
      <c r="AF4076" s="49"/>
      <c r="AG4076" s="49"/>
      <c r="AH4076" s="49"/>
      <c r="AI4076" s="49"/>
      <c r="AJ4076" s="49"/>
      <c r="AK4076" s="49"/>
      <c r="AL4076" s="49"/>
      <c r="AM4076" s="49"/>
      <c r="AN4076" s="49"/>
      <c r="AP4076" s="49"/>
      <c r="AQ4076" s="49"/>
      <c r="AR4076" s="49"/>
      <c r="AS4076" s="49"/>
      <c r="AT4076" s="49"/>
    </row>
    <row r="4077">
      <c r="A4077" s="59"/>
      <c r="B4077" s="49"/>
      <c r="C4077" s="50"/>
      <c r="D4077" s="49"/>
      <c r="E4077" s="49"/>
      <c r="F4077" s="49"/>
      <c r="G4077" s="49"/>
      <c r="H4077" s="50"/>
      <c r="I4077" s="50"/>
      <c r="J4077" s="49"/>
      <c r="K4077" s="49"/>
      <c r="L4077" s="49"/>
      <c r="M4077" s="49"/>
      <c r="N4077" s="50"/>
      <c r="O4077" s="49"/>
      <c r="P4077" s="49"/>
      <c r="Q4077" s="49"/>
      <c r="R4077" s="49"/>
      <c r="S4077" s="49"/>
      <c r="T4077" s="49"/>
      <c r="U4077" s="49"/>
      <c r="V4077" s="49"/>
      <c r="W4077" s="49"/>
      <c r="X4077" s="49"/>
      <c r="Y4077" s="49"/>
      <c r="Z4077" s="49"/>
      <c r="AA4077" s="49"/>
      <c r="AB4077" s="49"/>
      <c r="AC4077" s="49"/>
      <c r="AD4077" s="49"/>
      <c r="AE4077" s="49"/>
      <c r="AF4077" s="49"/>
      <c r="AG4077" s="49"/>
      <c r="AH4077" s="49"/>
      <c r="AI4077" s="49"/>
      <c r="AJ4077" s="49"/>
      <c r="AK4077" s="49"/>
      <c r="AL4077" s="49"/>
      <c r="AM4077" s="49"/>
      <c r="AN4077" s="49"/>
      <c r="AP4077" s="49"/>
      <c r="AQ4077" s="49"/>
      <c r="AR4077" s="49"/>
      <c r="AS4077" s="49"/>
      <c r="AT4077" s="49"/>
    </row>
    <row r="4078">
      <c r="A4078" s="59"/>
      <c r="B4078" s="49"/>
      <c r="C4078" s="50"/>
      <c r="D4078" s="49"/>
      <c r="E4078" s="49"/>
      <c r="F4078" s="49"/>
      <c r="G4078" s="49"/>
      <c r="H4078" s="50"/>
      <c r="I4078" s="50"/>
      <c r="J4078" s="49"/>
      <c r="K4078" s="49"/>
      <c r="L4078" s="49"/>
      <c r="M4078" s="49"/>
      <c r="N4078" s="50"/>
      <c r="O4078" s="49"/>
      <c r="P4078" s="49"/>
      <c r="Q4078" s="49"/>
      <c r="R4078" s="49"/>
      <c r="S4078" s="49"/>
      <c r="T4078" s="49"/>
      <c r="U4078" s="49"/>
      <c r="V4078" s="49"/>
      <c r="W4078" s="49"/>
      <c r="X4078" s="49"/>
      <c r="Y4078" s="49"/>
      <c r="Z4078" s="49"/>
      <c r="AA4078" s="49"/>
      <c r="AB4078" s="49"/>
      <c r="AC4078" s="49"/>
      <c r="AD4078" s="49"/>
      <c r="AE4078" s="49"/>
      <c r="AF4078" s="49"/>
      <c r="AG4078" s="49"/>
      <c r="AH4078" s="49"/>
      <c r="AI4078" s="49"/>
      <c r="AJ4078" s="49"/>
      <c r="AK4078" s="49"/>
      <c r="AL4078" s="49"/>
      <c r="AM4078" s="49"/>
      <c r="AN4078" s="49"/>
      <c r="AP4078" s="49"/>
      <c r="AQ4078" s="49"/>
      <c r="AR4078" s="49"/>
      <c r="AS4078" s="49"/>
      <c r="AT4078" s="49"/>
    </row>
    <row r="4079">
      <c r="A4079" s="59"/>
      <c r="B4079" s="49"/>
      <c r="C4079" s="50"/>
      <c r="D4079" s="49"/>
      <c r="E4079" s="49"/>
      <c r="F4079" s="49"/>
      <c r="G4079" s="49"/>
      <c r="H4079" s="50"/>
      <c r="I4079" s="50"/>
      <c r="J4079" s="49"/>
      <c r="K4079" s="49"/>
      <c r="L4079" s="49"/>
      <c r="M4079" s="49"/>
      <c r="N4079" s="50"/>
      <c r="O4079" s="49"/>
      <c r="P4079" s="49"/>
      <c r="Q4079" s="49"/>
      <c r="R4079" s="49"/>
      <c r="S4079" s="49"/>
      <c r="T4079" s="49"/>
      <c r="U4079" s="49"/>
      <c r="V4079" s="49"/>
      <c r="W4079" s="49"/>
      <c r="X4079" s="49"/>
      <c r="Y4079" s="49"/>
      <c r="Z4079" s="49"/>
      <c r="AA4079" s="49"/>
      <c r="AB4079" s="49"/>
      <c r="AC4079" s="49"/>
      <c r="AD4079" s="49"/>
      <c r="AE4079" s="49"/>
      <c r="AF4079" s="49"/>
      <c r="AG4079" s="49"/>
      <c r="AH4079" s="49"/>
      <c r="AI4079" s="49"/>
      <c r="AJ4079" s="49"/>
      <c r="AK4079" s="49"/>
      <c r="AL4079" s="49"/>
      <c r="AM4079" s="49"/>
      <c r="AN4079" s="49"/>
      <c r="AP4079" s="49"/>
      <c r="AQ4079" s="49"/>
      <c r="AR4079" s="49"/>
      <c r="AS4079" s="49"/>
      <c r="AT4079" s="49"/>
    </row>
    <row r="4080">
      <c r="A4080" s="59"/>
      <c r="B4080" s="49"/>
      <c r="C4080" s="50"/>
      <c r="D4080" s="49"/>
      <c r="E4080" s="49"/>
      <c r="F4080" s="49"/>
      <c r="G4080" s="49"/>
      <c r="H4080" s="50"/>
      <c r="I4080" s="50"/>
      <c r="J4080" s="49"/>
      <c r="K4080" s="49"/>
      <c r="L4080" s="49"/>
      <c r="M4080" s="49"/>
      <c r="N4080" s="50"/>
      <c r="O4080" s="49"/>
      <c r="P4080" s="49"/>
      <c r="Q4080" s="49"/>
      <c r="R4080" s="49"/>
      <c r="S4080" s="49"/>
      <c r="T4080" s="49"/>
      <c r="U4080" s="49"/>
      <c r="V4080" s="49"/>
      <c r="W4080" s="49"/>
      <c r="X4080" s="49"/>
      <c r="Y4080" s="49"/>
      <c r="Z4080" s="49"/>
      <c r="AA4080" s="49"/>
      <c r="AB4080" s="49"/>
      <c r="AC4080" s="49"/>
      <c r="AD4080" s="49"/>
      <c r="AE4080" s="49"/>
      <c r="AF4080" s="49"/>
      <c r="AG4080" s="49"/>
      <c r="AH4080" s="49"/>
      <c r="AI4080" s="49"/>
      <c r="AJ4080" s="49"/>
      <c r="AK4080" s="49"/>
      <c r="AL4080" s="49"/>
      <c r="AM4080" s="49"/>
      <c r="AN4080" s="49"/>
      <c r="AP4080" s="49"/>
      <c r="AQ4080" s="49"/>
      <c r="AR4080" s="49"/>
      <c r="AS4080" s="49"/>
      <c r="AT4080" s="49"/>
    </row>
    <row r="4081">
      <c r="A4081" s="59"/>
      <c r="B4081" s="49"/>
      <c r="C4081" s="50"/>
      <c r="D4081" s="49"/>
      <c r="E4081" s="49"/>
      <c r="F4081" s="49"/>
      <c r="G4081" s="49"/>
      <c r="H4081" s="50"/>
      <c r="I4081" s="50"/>
      <c r="J4081" s="49"/>
      <c r="K4081" s="49"/>
      <c r="L4081" s="49"/>
      <c r="M4081" s="49"/>
      <c r="N4081" s="50"/>
      <c r="O4081" s="49"/>
      <c r="P4081" s="49"/>
      <c r="Q4081" s="49"/>
      <c r="R4081" s="49"/>
      <c r="S4081" s="49"/>
      <c r="T4081" s="49"/>
      <c r="U4081" s="49"/>
      <c r="V4081" s="49"/>
      <c r="W4081" s="49"/>
      <c r="X4081" s="49"/>
      <c r="Y4081" s="49"/>
      <c r="Z4081" s="49"/>
      <c r="AA4081" s="49"/>
      <c r="AB4081" s="49"/>
      <c r="AC4081" s="49"/>
      <c r="AD4081" s="49"/>
      <c r="AE4081" s="49"/>
      <c r="AF4081" s="49"/>
      <c r="AG4081" s="49"/>
      <c r="AH4081" s="49"/>
      <c r="AI4081" s="49"/>
      <c r="AJ4081" s="49"/>
      <c r="AK4081" s="49"/>
      <c r="AL4081" s="49"/>
      <c r="AM4081" s="49"/>
      <c r="AN4081" s="49"/>
      <c r="AP4081" s="49"/>
      <c r="AQ4081" s="49"/>
      <c r="AR4081" s="49"/>
      <c r="AS4081" s="49"/>
      <c r="AT4081" s="49"/>
    </row>
    <row r="4082">
      <c r="A4082" s="59"/>
      <c r="B4082" s="49"/>
      <c r="C4082" s="50"/>
      <c r="D4082" s="49"/>
      <c r="E4082" s="49"/>
      <c r="F4082" s="49"/>
      <c r="G4082" s="49"/>
      <c r="H4082" s="50"/>
      <c r="I4082" s="50"/>
      <c r="J4082" s="49"/>
      <c r="K4082" s="49"/>
      <c r="L4082" s="49"/>
      <c r="M4082" s="49"/>
      <c r="N4082" s="50"/>
      <c r="O4082" s="49"/>
      <c r="P4082" s="49"/>
      <c r="Q4082" s="49"/>
      <c r="R4082" s="49"/>
      <c r="S4082" s="49"/>
      <c r="T4082" s="49"/>
      <c r="U4082" s="49"/>
      <c r="V4082" s="49"/>
      <c r="W4082" s="49"/>
      <c r="X4082" s="49"/>
      <c r="Y4082" s="49"/>
      <c r="Z4082" s="49"/>
      <c r="AA4082" s="49"/>
      <c r="AB4082" s="49"/>
      <c r="AC4082" s="49"/>
      <c r="AD4082" s="49"/>
      <c r="AE4082" s="49"/>
      <c r="AF4082" s="49"/>
      <c r="AG4082" s="49"/>
      <c r="AH4082" s="49"/>
      <c r="AI4082" s="49"/>
      <c r="AJ4082" s="49"/>
      <c r="AK4082" s="49"/>
      <c r="AL4082" s="49"/>
      <c r="AM4082" s="49"/>
      <c r="AN4082" s="49"/>
      <c r="AP4082" s="49"/>
      <c r="AQ4082" s="49"/>
      <c r="AR4082" s="49"/>
      <c r="AS4082" s="49"/>
      <c r="AT4082" s="49"/>
    </row>
    <row r="4083">
      <c r="A4083" s="59"/>
      <c r="B4083" s="49"/>
      <c r="C4083" s="50"/>
      <c r="D4083" s="49"/>
      <c r="E4083" s="49"/>
      <c r="F4083" s="49"/>
      <c r="G4083" s="49"/>
      <c r="H4083" s="50"/>
      <c r="I4083" s="50"/>
      <c r="J4083" s="49"/>
      <c r="K4083" s="49"/>
      <c r="L4083" s="49"/>
      <c r="M4083" s="49"/>
      <c r="N4083" s="50"/>
      <c r="O4083" s="49"/>
      <c r="P4083" s="49"/>
      <c r="Q4083" s="49"/>
      <c r="R4083" s="49"/>
      <c r="S4083" s="49"/>
      <c r="T4083" s="49"/>
      <c r="U4083" s="49"/>
      <c r="V4083" s="49"/>
      <c r="W4083" s="49"/>
      <c r="X4083" s="49"/>
      <c r="Y4083" s="49"/>
      <c r="Z4083" s="49"/>
      <c r="AA4083" s="49"/>
      <c r="AB4083" s="49"/>
      <c r="AC4083" s="49"/>
      <c r="AD4083" s="49"/>
      <c r="AE4083" s="49"/>
      <c r="AF4083" s="49"/>
      <c r="AG4083" s="49"/>
      <c r="AH4083" s="49"/>
      <c r="AI4083" s="49"/>
      <c r="AJ4083" s="49"/>
      <c r="AK4083" s="49"/>
      <c r="AL4083" s="49"/>
      <c r="AM4083" s="49"/>
      <c r="AN4083" s="49"/>
      <c r="AP4083" s="49"/>
      <c r="AQ4083" s="49"/>
      <c r="AR4083" s="49"/>
      <c r="AS4083" s="49"/>
      <c r="AT4083" s="49"/>
    </row>
    <row r="4084">
      <c r="A4084" s="59"/>
      <c r="B4084" s="49"/>
      <c r="C4084" s="50"/>
      <c r="D4084" s="49"/>
      <c r="E4084" s="49"/>
      <c r="F4084" s="49"/>
      <c r="G4084" s="49"/>
      <c r="H4084" s="50"/>
      <c r="I4084" s="50"/>
      <c r="J4084" s="49"/>
      <c r="K4084" s="49"/>
      <c r="L4084" s="49"/>
      <c r="M4084" s="49"/>
      <c r="N4084" s="50"/>
      <c r="O4084" s="49"/>
      <c r="P4084" s="49"/>
      <c r="Q4084" s="49"/>
      <c r="R4084" s="49"/>
      <c r="S4084" s="49"/>
      <c r="T4084" s="49"/>
      <c r="U4084" s="49"/>
      <c r="V4084" s="49"/>
      <c r="W4084" s="49"/>
      <c r="X4084" s="49"/>
      <c r="Y4084" s="49"/>
      <c r="Z4084" s="49"/>
      <c r="AA4084" s="49"/>
      <c r="AB4084" s="49"/>
      <c r="AC4084" s="49"/>
      <c r="AD4084" s="49"/>
      <c r="AE4084" s="49"/>
      <c r="AF4084" s="49"/>
      <c r="AG4084" s="49"/>
      <c r="AH4084" s="49"/>
      <c r="AI4084" s="49"/>
      <c r="AJ4084" s="49"/>
      <c r="AK4084" s="49"/>
      <c r="AL4084" s="49"/>
      <c r="AM4084" s="49"/>
      <c r="AN4084" s="49"/>
      <c r="AP4084" s="49"/>
      <c r="AQ4084" s="49"/>
      <c r="AR4084" s="49"/>
      <c r="AS4084" s="49"/>
      <c r="AT4084" s="49"/>
    </row>
    <row r="4085">
      <c r="A4085" s="59"/>
      <c r="B4085" s="49"/>
      <c r="C4085" s="50"/>
      <c r="D4085" s="49"/>
      <c r="E4085" s="49"/>
      <c r="F4085" s="49"/>
      <c r="G4085" s="49"/>
      <c r="H4085" s="50"/>
      <c r="I4085" s="50"/>
      <c r="J4085" s="49"/>
      <c r="K4085" s="49"/>
      <c r="L4085" s="49"/>
      <c r="M4085" s="49"/>
      <c r="N4085" s="50"/>
      <c r="O4085" s="49"/>
      <c r="P4085" s="49"/>
      <c r="Q4085" s="49"/>
      <c r="R4085" s="49"/>
      <c r="S4085" s="49"/>
      <c r="T4085" s="49"/>
      <c r="U4085" s="49"/>
      <c r="V4085" s="49"/>
      <c r="W4085" s="49"/>
      <c r="X4085" s="49"/>
      <c r="Y4085" s="49"/>
      <c r="Z4085" s="49"/>
      <c r="AA4085" s="49"/>
      <c r="AB4085" s="49"/>
      <c r="AC4085" s="49"/>
      <c r="AD4085" s="49"/>
      <c r="AE4085" s="49"/>
      <c r="AF4085" s="49"/>
      <c r="AG4085" s="49"/>
      <c r="AH4085" s="49"/>
      <c r="AI4085" s="49"/>
      <c r="AJ4085" s="49"/>
      <c r="AK4085" s="49"/>
      <c r="AL4085" s="49"/>
      <c r="AM4085" s="49"/>
      <c r="AN4085" s="49"/>
      <c r="AP4085" s="49"/>
      <c r="AQ4085" s="49"/>
      <c r="AR4085" s="49"/>
      <c r="AS4085" s="49"/>
      <c r="AT4085" s="49"/>
    </row>
    <row r="4086">
      <c r="A4086" s="59"/>
      <c r="B4086" s="49"/>
      <c r="C4086" s="50"/>
      <c r="D4086" s="49"/>
      <c r="E4086" s="49"/>
      <c r="F4086" s="49"/>
      <c r="G4086" s="49"/>
      <c r="H4086" s="50"/>
      <c r="I4086" s="50"/>
      <c r="J4086" s="49"/>
      <c r="K4086" s="49"/>
      <c r="L4086" s="49"/>
      <c r="M4086" s="49"/>
      <c r="N4086" s="50"/>
      <c r="O4086" s="49"/>
      <c r="P4086" s="49"/>
      <c r="Q4086" s="49"/>
      <c r="R4086" s="49"/>
      <c r="S4086" s="49"/>
      <c r="T4086" s="49"/>
      <c r="U4086" s="49"/>
      <c r="V4086" s="49"/>
      <c r="W4086" s="49"/>
      <c r="X4086" s="49"/>
      <c r="Y4086" s="49"/>
      <c r="Z4086" s="49"/>
      <c r="AA4086" s="49"/>
      <c r="AB4086" s="49"/>
      <c r="AC4086" s="49"/>
      <c r="AD4086" s="49"/>
      <c r="AE4086" s="49"/>
      <c r="AF4086" s="49"/>
      <c r="AG4086" s="49"/>
      <c r="AH4086" s="49"/>
      <c r="AI4086" s="49"/>
      <c r="AJ4086" s="49"/>
      <c r="AK4086" s="49"/>
      <c r="AL4086" s="49"/>
      <c r="AM4086" s="49"/>
      <c r="AN4086" s="49"/>
      <c r="AP4086" s="49"/>
      <c r="AQ4086" s="49"/>
      <c r="AR4086" s="49"/>
      <c r="AS4086" s="49"/>
      <c r="AT4086" s="49"/>
    </row>
    <row r="4087">
      <c r="A4087" s="59"/>
      <c r="B4087" s="49"/>
      <c r="C4087" s="50"/>
      <c r="D4087" s="49"/>
      <c r="E4087" s="49"/>
      <c r="F4087" s="49"/>
      <c r="G4087" s="49"/>
      <c r="H4087" s="50"/>
      <c r="I4087" s="50"/>
      <c r="J4087" s="49"/>
      <c r="K4087" s="49"/>
      <c r="L4087" s="49"/>
      <c r="M4087" s="49"/>
      <c r="N4087" s="50"/>
      <c r="O4087" s="49"/>
      <c r="P4087" s="49"/>
      <c r="Q4087" s="49"/>
      <c r="R4087" s="49"/>
      <c r="S4087" s="49"/>
      <c r="T4087" s="49"/>
      <c r="U4087" s="49"/>
      <c r="V4087" s="49"/>
      <c r="W4087" s="49"/>
      <c r="X4087" s="49"/>
      <c r="Y4087" s="49"/>
      <c r="Z4087" s="49"/>
      <c r="AA4087" s="49"/>
      <c r="AB4087" s="49"/>
      <c r="AC4087" s="49"/>
      <c r="AD4087" s="49"/>
      <c r="AE4087" s="49"/>
      <c r="AF4087" s="49"/>
      <c r="AG4087" s="49"/>
      <c r="AH4087" s="49"/>
      <c r="AI4087" s="49"/>
      <c r="AJ4087" s="49"/>
      <c r="AK4087" s="49"/>
      <c r="AL4087" s="49"/>
      <c r="AM4087" s="49"/>
      <c r="AN4087" s="49"/>
      <c r="AP4087" s="49"/>
      <c r="AQ4087" s="49"/>
      <c r="AR4087" s="49"/>
      <c r="AS4087" s="49"/>
      <c r="AT4087" s="49"/>
    </row>
    <row r="4088">
      <c r="A4088" s="59"/>
      <c r="B4088" s="49"/>
      <c r="C4088" s="50"/>
      <c r="D4088" s="49"/>
      <c r="E4088" s="49"/>
      <c r="F4088" s="49"/>
      <c r="G4088" s="49"/>
      <c r="H4088" s="50"/>
      <c r="I4088" s="50"/>
      <c r="J4088" s="49"/>
      <c r="K4088" s="49"/>
      <c r="L4088" s="49"/>
      <c r="M4088" s="49"/>
      <c r="N4088" s="50"/>
      <c r="O4088" s="49"/>
      <c r="P4088" s="49"/>
      <c r="Q4088" s="49"/>
      <c r="R4088" s="49"/>
      <c r="S4088" s="49"/>
      <c r="T4088" s="49"/>
      <c r="U4088" s="49"/>
      <c r="V4088" s="49"/>
      <c r="W4088" s="49"/>
      <c r="X4088" s="49"/>
      <c r="Y4088" s="49"/>
      <c r="Z4088" s="49"/>
      <c r="AA4088" s="49"/>
      <c r="AB4088" s="49"/>
      <c r="AC4088" s="49"/>
      <c r="AD4088" s="49"/>
      <c r="AE4088" s="49"/>
      <c r="AF4088" s="49"/>
      <c r="AG4088" s="49"/>
      <c r="AH4088" s="49"/>
      <c r="AI4088" s="49"/>
      <c r="AJ4088" s="49"/>
      <c r="AK4088" s="49"/>
      <c r="AL4088" s="49"/>
      <c r="AM4088" s="49"/>
      <c r="AN4088" s="49"/>
      <c r="AP4088" s="49"/>
      <c r="AQ4088" s="49"/>
      <c r="AR4088" s="49"/>
      <c r="AS4088" s="49"/>
      <c r="AT4088" s="49"/>
    </row>
    <row r="4089">
      <c r="A4089" s="59"/>
      <c r="B4089" s="49"/>
      <c r="C4089" s="50"/>
      <c r="D4089" s="49"/>
      <c r="E4089" s="49"/>
      <c r="F4089" s="49"/>
      <c r="G4089" s="49"/>
      <c r="H4089" s="50"/>
      <c r="I4089" s="50"/>
      <c r="J4089" s="49"/>
      <c r="K4089" s="49"/>
      <c r="L4089" s="49"/>
      <c r="M4089" s="49"/>
      <c r="N4089" s="50"/>
      <c r="O4089" s="49"/>
      <c r="P4089" s="49"/>
      <c r="Q4089" s="49"/>
      <c r="R4089" s="49"/>
      <c r="S4089" s="49"/>
      <c r="T4089" s="49"/>
      <c r="U4089" s="49"/>
      <c r="V4089" s="49"/>
      <c r="W4089" s="49"/>
      <c r="X4089" s="49"/>
      <c r="Y4089" s="49"/>
      <c r="Z4089" s="49"/>
      <c r="AA4089" s="49"/>
      <c r="AB4089" s="49"/>
      <c r="AC4089" s="49"/>
      <c r="AD4089" s="49"/>
      <c r="AE4089" s="49"/>
      <c r="AF4089" s="49"/>
      <c r="AG4089" s="49"/>
      <c r="AH4089" s="49"/>
      <c r="AI4089" s="49"/>
      <c r="AJ4089" s="49"/>
      <c r="AK4089" s="49"/>
      <c r="AL4089" s="49"/>
      <c r="AM4089" s="49"/>
      <c r="AN4089" s="49"/>
      <c r="AP4089" s="49"/>
      <c r="AQ4089" s="49"/>
      <c r="AR4089" s="49"/>
      <c r="AS4089" s="49"/>
      <c r="AT4089" s="49"/>
    </row>
    <row r="4090">
      <c r="A4090" s="59"/>
      <c r="B4090" s="49"/>
      <c r="C4090" s="50"/>
      <c r="D4090" s="49"/>
      <c r="E4090" s="49"/>
      <c r="F4090" s="49"/>
      <c r="G4090" s="49"/>
      <c r="H4090" s="50"/>
      <c r="I4090" s="50"/>
      <c r="J4090" s="49"/>
      <c r="K4090" s="49"/>
      <c r="L4090" s="49"/>
      <c r="M4090" s="49"/>
      <c r="N4090" s="50"/>
      <c r="O4090" s="49"/>
      <c r="P4090" s="49"/>
      <c r="Q4090" s="49"/>
      <c r="R4090" s="49"/>
      <c r="S4090" s="49"/>
      <c r="T4090" s="49"/>
      <c r="U4090" s="49"/>
      <c r="V4090" s="49"/>
      <c r="W4090" s="49"/>
      <c r="X4090" s="49"/>
      <c r="Y4090" s="49"/>
      <c r="Z4090" s="49"/>
      <c r="AA4090" s="49"/>
      <c r="AB4090" s="49"/>
      <c r="AC4090" s="49"/>
      <c r="AD4090" s="49"/>
      <c r="AE4090" s="49"/>
      <c r="AF4090" s="49"/>
      <c r="AG4090" s="49"/>
      <c r="AH4090" s="49"/>
      <c r="AI4090" s="49"/>
      <c r="AJ4090" s="49"/>
      <c r="AK4090" s="49"/>
      <c r="AL4090" s="49"/>
      <c r="AM4090" s="49"/>
      <c r="AN4090" s="49"/>
      <c r="AP4090" s="49"/>
      <c r="AQ4090" s="49"/>
      <c r="AR4090" s="49"/>
      <c r="AS4090" s="49"/>
      <c r="AT4090" s="49"/>
    </row>
    <row r="4091">
      <c r="A4091" s="59"/>
      <c r="B4091" s="49"/>
      <c r="C4091" s="50"/>
      <c r="D4091" s="49"/>
      <c r="E4091" s="49"/>
      <c r="F4091" s="49"/>
      <c r="G4091" s="49"/>
      <c r="H4091" s="50"/>
      <c r="I4091" s="50"/>
      <c r="J4091" s="49"/>
      <c r="K4091" s="49"/>
      <c r="L4091" s="49"/>
      <c r="M4091" s="49"/>
      <c r="N4091" s="50"/>
      <c r="O4091" s="49"/>
      <c r="P4091" s="49"/>
      <c r="Q4091" s="49"/>
      <c r="R4091" s="49"/>
      <c r="S4091" s="49"/>
      <c r="T4091" s="49"/>
      <c r="U4091" s="49"/>
      <c r="V4091" s="49"/>
      <c r="W4091" s="49"/>
      <c r="X4091" s="49"/>
      <c r="Y4091" s="49"/>
      <c r="Z4091" s="49"/>
      <c r="AA4091" s="49"/>
      <c r="AB4091" s="49"/>
      <c r="AC4091" s="49"/>
      <c r="AD4091" s="49"/>
      <c r="AE4091" s="49"/>
      <c r="AF4091" s="49"/>
      <c r="AG4091" s="49"/>
      <c r="AH4091" s="49"/>
      <c r="AI4091" s="49"/>
      <c r="AJ4091" s="49"/>
      <c r="AK4091" s="49"/>
      <c r="AL4091" s="49"/>
      <c r="AM4091" s="49"/>
      <c r="AN4091" s="49"/>
      <c r="AP4091" s="49"/>
      <c r="AQ4091" s="49"/>
      <c r="AR4091" s="49"/>
      <c r="AS4091" s="49"/>
      <c r="AT4091" s="49"/>
    </row>
    <row r="4092">
      <c r="A4092" s="59"/>
      <c r="B4092" s="49"/>
      <c r="C4092" s="50"/>
      <c r="D4092" s="49"/>
      <c r="E4092" s="49"/>
      <c r="F4092" s="49"/>
      <c r="G4092" s="49"/>
      <c r="H4092" s="50"/>
      <c r="I4092" s="50"/>
      <c r="J4092" s="49"/>
      <c r="K4092" s="49"/>
      <c r="L4092" s="49"/>
      <c r="M4092" s="49"/>
      <c r="N4092" s="50"/>
      <c r="O4092" s="49"/>
      <c r="P4092" s="49"/>
      <c r="Q4092" s="49"/>
      <c r="R4092" s="49"/>
      <c r="S4092" s="49"/>
      <c r="T4092" s="49"/>
      <c r="U4092" s="49"/>
      <c r="V4092" s="49"/>
      <c r="W4092" s="49"/>
      <c r="X4092" s="49"/>
      <c r="Y4092" s="49"/>
      <c r="Z4092" s="49"/>
      <c r="AA4092" s="49"/>
      <c r="AB4092" s="49"/>
      <c r="AC4092" s="49"/>
      <c r="AD4092" s="49"/>
      <c r="AE4092" s="49"/>
      <c r="AF4092" s="49"/>
      <c r="AG4092" s="49"/>
      <c r="AH4092" s="49"/>
      <c r="AI4092" s="49"/>
      <c r="AJ4092" s="49"/>
      <c r="AK4092" s="49"/>
      <c r="AL4092" s="49"/>
      <c r="AM4092" s="49"/>
      <c r="AN4092" s="49"/>
      <c r="AP4092" s="49"/>
      <c r="AQ4092" s="49"/>
      <c r="AR4092" s="49"/>
      <c r="AS4092" s="49"/>
      <c r="AT4092" s="49"/>
    </row>
    <row r="4093">
      <c r="A4093" s="59"/>
      <c r="B4093" s="49"/>
      <c r="C4093" s="50"/>
      <c r="D4093" s="49"/>
      <c r="E4093" s="49"/>
      <c r="F4093" s="49"/>
      <c r="G4093" s="49"/>
      <c r="H4093" s="50"/>
      <c r="I4093" s="50"/>
      <c r="J4093" s="49"/>
      <c r="K4093" s="49"/>
      <c r="L4093" s="49"/>
      <c r="M4093" s="49"/>
      <c r="N4093" s="50"/>
      <c r="O4093" s="49"/>
      <c r="P4093" s="49"/>
      <c r="Q4093" s="49"/>
      <c r="R4093" s="49"/>
      <c r="S4093" s="49"/>
      <c r="T4093" s="49"/>
      <c r="U4093" s="49"/>
      <c r="V4093" s="49"/>
      <c r="W4093" s="49"/>
      <c r="X4093" s="49"/>
      <c r="Y4093" s="49"/>
      <c r="Z4093" s="49"/>
      <c r="AA4093" s="49"/>
      <c r="AB4093" s="49"/>
      <c r="AC4093" s="49"/>
      <c r="AD4093" s="49"/>
      <c r="AE4093" s="49"/>
      <c r="AF4093" s="49"/>
      <c r="AG4093" s="49"/>
      <c r="AH4093" s="49"/>
      <c r="AI4093" s="49"/>
      <c r="AJ4093" s="49"/>
      <c r="AK4093" s="49"/>
      <c r="AL4093" s="49"/>
      <c r="AM4093" s="49"/>
      <c r="AN4093" s="49"/>
      <c r="AP4093" s="49"/>
      <c r="AQ4093" s="49"/>
      <c r="AR4093" s="49"/>
      <c r="AS4093" s="49"/>
      <c r="AT4093" s="49"/>
    </row>
    <row r="4094">
      <c r="A4094" s="59"/>
      <c r="B4094" s="49"/>
      <c r="C4094" s="50"/>
      <c r="D4094" s="49"/>
      <c r="E4094" s="49"/>
      <c r="F4094" s="49"/>
      <c r="G4094" s="49"/>
      <c r="H4094" s="50"/>
      <c r="I4094" s="50"/>
      <c r="J4094" s="49"/>
      <c r="K4094" s="49"/>
      <c r="L4094" s="49"/>
      <c r="M4094" s="49"/>
      <c r="N4094" s="50"/>
      <c r="O4094" s="49"/>
      <c r="P4094" s="49"/>
      <c r="Q4094" s="49"/>
      <c r="R4094" s="49"/>
      <c r="S4094" s="49"/>
      <c r="T4094" s="49"/>
      <c r="U4094" s="49"/>
      <c r="V4094" s="49"/>
      <c r="W4094" s="49"/>
      <c r="X4094" s="49"/>
      <c r="Y4094" s="49"/>
      <c r="Z4094" s="49"/>
      <c r="AA4094" s="49"/>
      <c r="AB4094" s="49"/>
      <c r="AC4094" s="49"/>
      <c r="AD4094" s="49"/>
      <c r="AE4094" s="49"/>
      <c r="AF4094" s="49"/>
      <c r="AG4094" s="49"/>
      <c r="AH4094" s="49"/>
      <c r="AI4094" s="49"/>
      <c r="AJ4094" s="49"/>
      <c r="AK4094" s="49"/>
      <c r="AL4094" s="49"/>
      <c r="AM4094" s="49"/>
      <c r="AN4094" s="49"/>
      <c r="AP4094" s="49"/>
      <c r="AQ4094" s="49"/>
      <c r="AR4094" s="49"/>
      <c r="AS4094" s="49"/>
      <c r="AT4094" s="49"/>
    </row>
    <row r="4095">
      <c r="A4095" s="59"/>
      <c r="B4095" s="49"/>
      <c r="C4095" s="50"/>
      <c r="D4095" s="49"/>
      <c r="E4095" s="49"/>
      <c r="F4095" s="49"/>
      <c r="G4095" s="49"/>
      <c r="H4095" s="50"/>
      <c r="I4095" s="50"/>
      <c r="J4095" s="49"/>
      <c r="K4095" s="49"/>
      <c r="L4095" s="49"/>
      <c r="M4095" s="49"/>
      <c r="N4095" s="50"/>
      <c r="O4095" s="49"/>
      <c r="P4095" s="49"/>
      <c r="Q4095" s="49"/>
      <c r="R4095" s="49"/>
      <c r="S4095" s="49"/>
      <c r="T4095" s="49"/>
      <c r="U4095" s="49"/>
      <c r="V4095" s="49"/>
      <c r="W4095" s="49"/>
      <c r="X4095" s="49"/>
      <c r="Y4095" s="49"/>
      <c r="Z4095" s="49"/>
      <c r="AA4095" s="49"/>
      <c r="AB4095" s="49"/>
      <c r="AC4095" s="49"/>
      <c r="AD4095" s="49"/>
      <c r="AE4095" s="49"/>
      <c r="AF4095" s="49"/>
      <c r="AG4095" s="49"/>
      <c r="AH4095" s="49"/>
      <c r="AI4095" s="49"/>
      <c r="AJ4095" s="49"/>
      <c r="AK4095" s="49"/>
      <c r="AL4095" s="49"/>
      <c r="AM4095" s="49"/>
      <c r="AN4095" s="49"/>
      <c r="AP4095" s="49"/>
      <c r="AQ4095" s="49"/>
      <c r="AR4095" s="49"/>
      <c r="AS4095" s="49"/>
      <c r="AT4095" s="49"/>
    </row>
    <row r="4096">
      <c r="A4096" s="59"/>
      <c r="B4096" s="49"/>
      <c r="C4096" s="50"/>
      <c r="D4096" s="49"/>
      <c r="E4096" s="49"/>
      <c r="F4096" s="49"/>
      <c r="G4096" s="49"/>
      <c r="H4096" s="50"/>
      <c r="I4096" s="50"/>
      <c r="J4096" s="49"/>
      <c r="K4096" s="49"/>
      <c r="L4096" s="49"/>
      <c r="M4096" s="49"/>
      <c r="N4096" s="50"/>
      <c r="O4096" s="49"/>
      <c r="P4096" s="49"/>
      <c r="Q4096" s="49"/>
      <c r="R4096" s="49"/>
      <c r="S4096" s="49"/>
      <c r="T4096" s="49"/>
      <c r="U4096" s="49"/>
      <c r="V4096" s="49"/>
      <c r="W4096" s="49"/>
      <c r="X4096" s="49"/>
      <c r="Y4096" s="49"/>
      <c r="Z4096" s="49"/>
      <c r="AA4096" s="49"/>
      <c r="AB4096" s="49"/>
      <c r="AC4096" s="49"/>
      <c r="AD4096" s="49"/>
      <c r="AE4096" s="49"/>
      <c r="AF4096" s="49"/>
      <c r="AG4096" s="49"/>
      <c r="AH4096" s="49"/>
      <c r="AI4096" s="49"/>
      <c r="AJ4096" s="49"/>
      <c r="AK4096" s="49"/>
      <c r="AL4096" s="49"/>
      <c r="AM4096" s="49"/>
      <c r="AN4096" s="49"/>
      <c r="AP4096" s="49"/>
      <c r="AQ4096" s="49"/>
      <c r="AR4096" s="49"/>
      <c r="AS4096" s="49"/>
      <c r="AT4096" s="49"/>
    </row>
    <row r="4097">
      <c r="A4097" s="59"/>
      <c r="B4097" s="49"/>
      <c r="C4097" s="50"/>
      <c r="D4097" s="49"/>
      <c r="E4097" s="49"/>
      <c r="F4097" s="49"/>
      <c r="G4097" s="49"/>
      <c r="H4097" s="50"/>
      <c r="I4097" s="50"/>
      <c r="J4097" s="49"/>
      <c r="K4097" s="49"/>
      <c r="L4097" s="49"/>
      <c r="M4097" s="49"/>
      <c r="N4097" s="50"/>
      <c r="O4097" s="49"/>
      <c r="P4097" s="49"/>
      <c r="Q4097" s="49"/>
      <c r="R4097" s="49"/>
      <c r="S4097" s="49"/>
      <c r="T4097" s="49"/>
      <c r="U4097" s="49"/>
      <c r="V4097" s="49"/>
      <c r="W4097" s="49"/>
      <c r="X4097" s="49"/>
      <c r="Y4097" s="49"/>
      <c r="Z4097" s="49"/>
      <c r="AA4097" s="49"/>
      <c r="AB4097" s="49"/>
      <c r="AC4097" s="49"/>
      <c r="AD4097" s="49"/>
      <c r="AE4097" s="49"/>
      <c r="AF4097" s="49"/>
      <c r="AG4097" s="49"/>
      <c r="AH4097" s="49"/>
      <c r="AI4097" s="49"/>
      <c r="AJ4097" s="49"/>
      <c r="AK4097" s="49"/>
      <c r="AL4097" s="49"/>
      <c r="AM4097" s="49"/>
      <c r="AN4097" s="49"/>
      <c r="AP4097" s="49"/>
      <c r="AQ4097" s="49"/>
      <c r="AR4097" s="49"/>
      <c r="AS4097" s="49"/>
      <c r="AT4097" s="49"/>
    </row>
    <row r="4098">
      <c r="A4098" s="59"/>
      <c r="B4098" s="49"/>
      <c r="C4098" s="50"/>
      <c r="D4098" s="49"/>
      <c r="E4098" s="49"/>
      <c r="F4098" s="49"/>
      <c r="G4098" s="49"/>
      <c r="H4098" s="50"/>
      <c r="I4098" s="50"/>
      <c r="J4098" s="49"/>
      <c r="K4098" s="49"/>
      <c r="L4098" s="49"/>
      <c r="M4098" s="49"/>
      <c r="N4098" s="50"/>
      <c r="O4098" s="49"/>
      <c r="P4098" s="49"/>
      <c r="Q4098" s="49"/>
      <c r="R4098" s="49"/>
      <c r="S4098" s="49"/>
      <c r="T4098" s="49"/>
      <c r="U4098" s="49"/>
      <c r="V4098" s="49"/>
      <c r="W4098" s="49"/>
      <c r="X4098" s="49"/>
      <c r="Y4098" s="49"/>
      <c r="Z4098" s="49"/>
      <c r="AA4098" s="49"/>
      <c r="AB4098" s="49"/>
      <c r="AC4098" s="49"/>
      <c r="AD4098" s="49"/>
      <c r="AE4098" s="49"/>
      <c r="AF4098" s="49"/>
      <c r="AG4098" s="49"/>
      <c r="AH4098" s="49"/>
      <c r="AI4098" s="49"/>
      <c r="AJ4098" s="49"/>
      <c r="AK4098" s="49"/>
      <c r="AL4098" s="49"/>
      <c r="AM4098" s="49"/>
      <c r="AN4098" s="49"/>
      <c r="AP4098" s="49"/>
      <c r="AQ4098" s="49"/>
      <c r="AR4098" s="49"/>
      <c r="AS4098" s="49"/>
      <c r="AT4098" s="49"/>
    </row>
    <row r="4099">
      <c r="A4099" s="59"/>
      <c r="B4099" s="49"/>
      <c r="C4099" s="50"/>
      <c r="D4099" s="49"/>
      <c r="E4099" s="49"/>
      <c r="F4099" s="49"/>
      <c r="G4099" s="49"/>
      <c r="H4099" s="50"/>
      <c r="I4099" s="50"/>
      <c r="J4099" s="49"/>
      <c r="K4099" s="49"/>
      <c r="L4099" s="49"/>
      <c r="M4099" s="49"/>
      <c r="N4099" s="50"/>
      <c r="O4099" s="49"/>
      <c r="P4099" s="49"/>
      <c r="Q4099" s="49"/>
      <c r="R4099" s="49"/>
      <c r="S4099" s="49"/>
      <c r="T4099" s="49"/>
      <c r="U4099" s="49"/>
      <c r="V4099" s="49"/>
      <c r="W4099" s="49"/>
      <c r="X4099" s="49"/>
      <c r="Y4099" s="49"/>
      <c r="Z4099" s="49"/>
      <c r="AA4099" s="49"/>
      <c r="AB4099" s="49"/>
      <c r="AC4099" s="49"/>
      <c r="AD4099" s="49"/>
      <c r="AE4099" s="49"/>
      <c r="AF4099" s="49"/>
      <c r="AG4099" s="49"/>
      <c r="AH4099" s="49"/>
      <c r="AI4099" s="49"/>
      <c r="AJ4099" s="49"/>
      <c r="AK4099" s="49"/>
      <c r="AL4099" s="49"/>
      <c r="AM4099" s="49"/>
      <c r="AN4099" s="49"/>
      <c r="AP4099" s="49"/>
      <c r="AQ4099" s="49"/>
      <c r="AR4099" s="49"/>
      <c r="AS4099" s="49"/>
      <c r="AT4099" s="49"/>
    </row>
    <row r="4100">
      <c r="A4100" s="59"/>
      <c r="B4100" s="49"/>
      <c r="C4100" s="50"/>
      <c r="D4100" s="49"/>
      <c r="E4100" s="49"/>
      <c r="F4100" s="49"/>
      <c r="G4100" s="49"/>
      <c r="H4100" s="50"/>
      <c r="I4100" s="50"/>
      <c r="J4100" s="49"/>
      <c r="K4100" s="49"/>
      <c r="L4100" s="49"/>
      <c r="M4100" s="49"/>
      <c r="N4100" s="50"/>
      <c r="O4100" s="49"/>
      <c r="P4100" s="49"/>
      <c r="Q4100" s="49"/>
      <c r="R4100" s="49"/>
      <c r="S4100" s="49"/>
      <c r="T4100" s="49"/>
      <c r="U4100" s="49"/>
      <c r="V4100" s="49"/>
      <c r="W4100" s="49"/>
      <c r="X4100" s="49"/>
      <c r="Y4100" s="49"/>
      <c r="Z4100" s="49"/>
      <c r="AA4100" s="49"/>
      <c r="AB4100" s="49"/>
      <c r="AC4100" s="49"/>
      <c r="AD4100" s="49"/>
      <c r="AE4100" s="49"/>
      <c r="AF4100" s="49"/>
      <c r="AG4100" s="49"/>
      <c r="AH4100" s="49"/>
      <c r="AI4100" s="49"/>
      <c r="AJ4100" s="49"/>
      <c r="AK4100" s="49"/>
      <c r="AL4100" s="49"/>
      <c r="AM4100" s="49"/>
      <c r="AN4100" s="49"/>
      <c r="AP4100" s="49"/>
      <c r="AQ4100" s="49"/>
      <c r="AR4100" s="49"/>
      <c r="AS4100" s="49"/>
      <c r="AT4100" s="49"/>
    </row>
    <row r="4101">
      <c r="A4101" s="59"/>
      <c r="B4101" s="49"/>
      <c r="C4101" s="50"/>
      <c r="D4101" s="49"/>
      <c r="E4101" s="49"/>
      <c r="F4101" s="49"/>
      <c r="G4101" s="49"/>
      <c r="H4101" s="50"/>
      <c r="I4101" s="50"/>
      <c r="J4101" s="49"/>
      <c r="K4101" s="49"/>
      <c r="L4101" s="49"/>
      <c r="M4101" s="49"/>
      <c r="N4101" s="50"/>
      <c r="O4101" s="49"/>
      <c r="P4101" s="49"/>
      <c r="Q4101" s="49"/>
      <c r="R4101" s="49"/>
      <c r="S4101" s="49"/>
      <c r="T4101" s="49"/>
      <c r="U4101" s="49"/>
      <c r="V4101" s="49"/>
      <c r="W4101" s="49"/>
      <c r="X4101" s="49"/>
      <c r="Y4101" s="49"/>
      <c r="Z4101" s="49"/>
      <c r="AA4101" s="49"/>
      <c r="AB4101" s="49"/>
      <c r="AC4101" s="49"/>
      <c r="AD4101" s="49"/>
      <c r="AE4101" s="49"/>
      <c r="AF4101" s="49"/>
      <c r="AG4101" s="49"/>
      <c r="AH4101" s="49"/>
      <c r="AI4101" s="49"/>
      <c r="AJ4101" s="49"/>
      <c r="AK4101" s="49"/>
      <c r="AL4101" s="49"/>
      <c r="AM4101" s="49"/>
      <c r="AN4101" s="49"/>
      <c r="AP4101" s="49"/>
      <c r="AQ4101" s="49"/>
      <c r="AR4101" s="49"/>
      <c r="AS4101" s="49"/>
      <c r="AT4101" s="49"/>
    </row>
    <row r="4102">
      <c r="A4102" s="59"/>
      <c r="B4102" s="49"/>
      <c r="C4102" s="50"/>
      <c r="D4102" s="49"/>
      <c r="E4102" s="49"/>
      <c r="F4102" s="49"/>
      <c r="G4102" s="49"/>
      <c r="H4102" s="50"/>
      <c r="I4102" s="50"/>
      <c r="J4102" s="49"/>
      <c r="K4102" s="49"/>
      <c r="L4102" s="49"/>
      <c r="M4102" s="49"/>
      <c r="N4102" s="50"/>
      <c r="O4102" s="49"/>
      <c r="P4102" s="49"/>
      <c r="Q4102" s="49"/>
      <c r="R4102" s="49"/>
      <c r="S4102" s="49"/>
      <c r="T4102" s="49"/>
      <c r="U4102" s="49"/>
      <c r="V4102" s="49"/>
      <c r="W4102" s="49"/>
      <c r="X4102" s="49"/>
      <c r="Y4102" s="49"/>
      <c r="Z4102" s="49"/>
      <c r="AA4102" s="49"/>
      <c r="AB4102" s="49"/>
      <c r="AC4102" s="49"/>
      <c r="AD4102" s="49"/>
      <c r="AE4102" s="49"/>
      <c r="AF4102" s="49"/>
      <c r="AG4102" s="49"/>
      <c r="AH4102" s="49"/>
      <c r="AI4102" s="49"/>
      <c r="AJ4102" s="49"/>
      <c r="AK4102" s="49"/>
      <c r="AL4102" s="49"/>
      <c r="AM4102" s="49"/>
      <c r="AN4102" s="49"/>
      <c r="AP4102" s="49"/>
      <c r="AQ4102" s="49"/>
      <c r="AR4102" s="49"/>
      <c r="AS4102" s="49"/>
      <c r="AT4102" s="49"/>
    </row>
    <row r="4103">
      <c r="A4103" s="59"/>
      <c r="B4103" s="49"/>
      <c r="C4103" s="50"/>
      <c r="D4103" s="49"/>
      <c r="E4103" s="49"/>
      <c r="F4103" s="49"/>
      <c r="G4103" s="49"/>
      <c r="H4103" s="50"/>
      <c r="I4103" s="50"/>
      <c r="J4103" s="49"/>
      <c r="K4103" s="49"/>
      <c r="L4103" s="49"/>
      <c r="M4103" s="49"/>
      <c r="N4103" s="50"/>
      <c r="O4103" s="49"/>
      <c r="P4103" s="49"/>
      <c r="Q4103" s="49"/>
      <c r="R4103" s="49"/>
      <c r="S4103" s="49"/>
      <c r="T4103" s="49"/>
      <c r="U4103" s="49"/>
      <c r="V4103" s="49"/>
      <c r="W4103" s="49"/>
      <c r="X4103" s="49"/>
      <c r="Y4103" s="49"/>
      <c r="Z4103" s="49"/>
      <c r="AA4103" s="49"/>
      <c r="AB4103" s="49"/>
      <c r="AC4103" s="49"/>
      <c r="AD4103" s="49"/>
      <c r="AE4103" s="49"/>
      <c r="AF4103" s="49"/>
      <c r="AG4103" s="49"/>
      <c r="AH4103" s="49"/>
      <c r="AI4103" s="49"/>
      <c r="AJ4103" s="49"/>
      <c r="AK4103" s="49"/>
      <c r="AL4103" s="49"/>
      <c r="AM4103" s="49"/>
      <c r="AN4103" s="49"/>
      <c r="AP4103" s="49"/>
      <c r="AQ4103" s="49"/>
      <c r="AR4103" s="49"/>
      <c r="AS4103" s="49"/>
      <c r="AT4103" s="49"/>
    </row>
    <row r="4104">
      <c r="A4104" s="59"/>
      <c r="B4104" s="49"/>
      <c r="C4104" s="50"/>
      <c r="D4104" s="49"/>
      <c r="E4104" s="49"/>
      <c r="F4104" s="49"/>
      <c r="G4104" s="49"/>
      <c r="H4104" s="50"/>
      <c r="I4104" s="50"/>
      <c r="J4104" s="49"/>
      <c r="K4104" s="49"/>
      <c r="L4104" s="49"/>
      <c r="M4104" s="49"/>
      <c r="N4104" s="50"/>
      <c r="O4104" s="49"/>
      <c r="P4104" s="49"/>
      <c r="Q4104" s="49"/>
      <c r="R4104" s="49"/>
      <c r="S4104" s="49"/>
      <c r="T4104" s="49"/>
      <c r="U4104" s="49"/>
      <c r="V4104" s="49"/>
      <c r="W4104" s="49"/>
      <c r="X4104" s="49"/>
      <c r="Y4104" s="49"/>
      <c r="Z4104" s="49"/>
      <c r="AA4104" s="49"/>
      <c r="AB4104" s="49"/>
      <c r="AC4104" s="49"/>
      <c r="AD4104" s="49"/>
      <c r="AE4104" s="49"/>
      <c r="AF4104" s="49"/>
      <c r="AG4104" s="49"/>
      <c r="AH4104" s="49"/>
      <c r="AI4104" s="49"/>
      <c r="AJ4104" s="49"/>
      <c r="AK4104" s="49"/>
      <c r="AL4104" s="49"/>
      <c r="AM4104" s="49"/>
      <c r="AN4104" s="49"/>
      <c r="AP4104" s="49"/>
      <c r="AQ4104" s="49"/>
      <c r="AR4104" s="49"/>
      <c r="AS4104" s="49"/>
      <c r="AT4104" s="49"/>
    </row>
    <row r="4105">
      <c r="A4105" s="59"/>
      <c r="B4105" s="49"/>
      <c r="C4105" s="50"/>
      <c r="D4105" s="49"/>
      <c r="E4105" s="49"/>
      <c r="F4105" s="49"/>
      <c r="G4105" s="49"/>
      <c r="H4105" s="50"/>
      <c r="I4105" s="50"/>
      <c r="J4105" s="49"/>
      <c r="K4105" s="49"/>
      <c r="L4105" s="49"/>
      <c r="M4105" s="49"/>
      <c r="N4105" s="50"/>
      <c r="O4105" s="49"/>
      <c r="P4105" s="49"/>
      <c r="Q4105" s="49"/>
      <c r="R4105" s="49"/>
      <c r="S4105" s="49"/>
      <c r="T4105" s="49"/>
      <c r="U4105" s="49"/>
      <c r="V4105" s="49"/>
      <c r="W4105" s="49"/>
      <c r="X4105" s="49"/>
      <c r="Y4105" s="49"/>
      <c r="Z4105" s="49"/>
      <c r="AA4105" s="49"/>
      <c r="AB4105" s="49"/>
      <c r="AC4105" s="49"/>
      <c r="AD4105" s="49"/>
      <c r="AE4105" s="49"/>
      <c r="AF4105" s="49"/>
      <c r="AG4105" s="49"/>
      <c r="AH4105" s="49"/>
      <c r="AI4105" s="49"/>
      <c r="AJ4105" s="49"/>
      <c r="AK4105" s="49"/>
      <c r="AL4105" s="49"/>
      <c r="AM4105" s="49"/>
      <c r="AN4105" s="49"/>
      <c r="AP4105" s="49"/>
      <c r="AQ4105" s="49"/>
      <c r="AR4105" s="49"/>
      <c r="AS4105" s="49"/>
      <c r="AT4105" s="49"/>
    </row>
    <row r="4106">
      <c r="A4106" s="59"/>
      <c r="B4106" s="49"/>
      <c r="C4106" s="50"/>
      <c r="D4106" s="49"/>
      <c r="E4106" s="49"/>
      <c r="F4106" s="49"/>
      <c r="G4106" s="49"/>
      <c r="H4106" s="50"/>
      <c r="I4106" s="50"/>
      <c r="J4106" s="49"/>
      <c r="K4106" s="49"/>
      <c r="L4106" s="49"/>
      <c r="M4106" s="49"/>
      <c r="N4106" s="50"/>
      <c r="O4106" s="49"/>
      <c r="P4106" s="49"/>
      <c r="Q4106" s="49"/>
      <c r="R4106" s="49"/>
      <c r="S4106" s="49"/>
      <c r="T4106" s="49"/>
      <c r="U4106" s="49"/>
      <c r="V4106" s="49"/>
      <c r="W4106" s="49"/>
      <c r="X4106" s="49"/>
      <c r="Y4106" s="49"/>
      <c r="Z4106" s="49"/>
      <c r="AA4106" s="49"/>
      <c r="AB4106" s="49"/>
      <c r="AC4106" s="49"/>
      <c r="AD4106" s="49"/>
      <c r="AE4106" s="49"/>
      <c r="AF4106" s="49"/>
      <c r="AG4106" s="49"/>
      <c r="AH4106" s="49"/>
      <c r="AI4106" s="49"/>
      <c r="AJ4106" s="49"/>
      <c r="AK4106" s="49"/>
      <c r="AL4106" s="49"/>
      <c r="AM4106" s="49"/>
      <c r="AN4106" s="49"/>
      <c r="AP4106" s="49"/>
      <c r="AQ4106" s="49"/>
      <c r="AR4106" s="49"/>
      <c r="AS4106" s="49"/>
      <c r="AT4106" s="49"/>
    </row>
    <row r="4107">
      <c r="A4107" s="59"/>
      <c r="B4107" s="49"/>
      <c r="C4107" s="50"/>
      <c r="D4107" s="49"/>
      <c r="E4107" s="49"/>
      <c r="F4107" s="49"/>
      <c r="G4107" s="49"/>
      <c r="H4107" s="50"/>
      <c r="I4107" s="50"/>
      <c r="J4107" s="49"/>
      <c r="K4107" s="49"/>
      <c r="L4107" s="49"/>
      <c r="M4107" s="49"/>
      <c r="N4107" s="50"/>
      <c r="O4107" s="49"/>
      <c r="P4107" s="49"/>
      <c r="Q4107" s="49"/>
      <c r="R4107" s="49"/>
      <c r="S4107" s="49"/>
      <c r="T4107" s="49"/>
      <c r="U4107" s="49"/>
      <c r="V4107" s="49"/>
      <c r="W4107" s="49"/>
      <c r="X4107" s="49"/>
      <c r="Y4107" s="49"/>
      <c r="Z4107" s="49"/>
      <c r="AA4107" s="49"/>
      <c r="AB4107" s="49"/>
      <c r="AC4107" s="49"/>
      <c r="AD4107" s="49"/>
      <c r="AE4107" s="49"/>
      <c r="AF4107" s="49"/>
      <c r="AG4107" s="49"/>
      <c r="AH4107" s="49"/>
      <c r="AI4107" s="49"/>
      <c r="AJ4107" s="49"/>
      <c r="AK4107" s="49"/>
      <c r="AL4107" s="49"/>
      <c r="AM4107" s="49"/>
      <c r="AN4107" s="49"/>
      <c r="AP4107" s="49"/>
      <c r="AQ4107" s="49"/>
      <c r="AR4107" s="49"/>
      <c r="AS4107" s="49"/>
      <c r="AT4107" s="49"/>
    </row>
    <row r="4108">
      <c r="A4108" s="59"/>
      <c r="B4108" s="49"/>
      <c r="C4108" s="50"/>
      <c r="D4108" s="49"/>
      <c r="E4108" s="49"/>
      <c r="F4108" s="49"/>
      <c r="G4108" s="49"/>
      <c r="H4108" s="50"/>
      <c r="I4108" s="50"/>
      <c r="J4108" s="49"/>
      <c r="K4108" s="49"/>
      <c r="L4108" s="49"/>
      <c r="M4108" s="49"/>
      <c r="N4108" s="50"/>
      <c r="O4108" s="49"/>
      <c r="P4108" s="49"/>
      <c r="Q4108" s="49"/>
      <c r="R4108" s="49"/>
      <c r="S4108" s="49"/>
      <c r="T4108" s="49"/>
      <c r="U4108" s="49"/>
      <c r="V4108" s="49"/>
      <c r="W4108" s="49"/>
      <c r="X4108" s="49"/>
      <c r="Y4108" s="49"/>
      <c r="Z4108" s="49"/>
      <c r="AA4108" s="49"/>
      <c r="AB4108" s="49"/>
      <c r="AC4108" s="49"/>
      <c r="AD4108" s="49"/>
      <c r="AE4108" s="49"/>
      <c r="AF4108" s="49"/>
      <c r="AG4108" s="49"/>
      <c r="AH4108" s="49"/>
      <c r="AI4108" s="49"/>
      <c r="AJ4108" s="49"/>
      <c r="AK4108" s="49"/>
      <c r="AL4108" s="49"/>
      <c r="AM4108" s="49"/>
      <c r="AN4108" s="49"/>
      <c r="AP4108" s="49"/>
      <c r="AQ4108" s="49"/>
      <c r="AR4108" s="49"/>
      <c r="AS4108" s="49"/>
      <c r="AT4108" s="49"/>
    </row>
    <row r="4109">
      <c r="A4109" s="59"/>
      <c r="B4109" s="49"/>
      <c r="C4109" s="50"/>
      <c r="D4109" s="49"/>
      <c r="E4109" s="49"/>
      <c r="F4109" s="49"/>
      <c r="G4109" s="49"/>
      <c r="H4109" s="50"/>
      <c r="I4109" s="50"/>
      <c r="J4109" s="49"/>
      <c r="K4109" s="49"/>
      <c r="L4109" s="49"/>
      <c r="M4109" s="49"/>
      <c r="N4109" s="50"/>
      <c r="O4109" s="49"/>
      <c r="P4109" s="49"/>
      <c r="Q4109" s="49"/>
      <c r="R4109" s="49"/>
      <c r="S4109" s="49"/>
      <c r="T4109" s="49"/>
      <c r="U4109" s="49"/>
      <c r="V4109" s="49"/>
      <c r="W4109" s="49"/>
      <c r="X4109" s="49"/>
      <c r="Y4109" s="49"/>
      <c r="Z4109" s="49"/>
      <c r="AA4109" s="49"/>
      <c r="AB4109" s="49"/>
      <c r="AC4109" s="49"/>
      <c r="AD4109" s="49"/>
      <c r="AE4109" s="49"/>
      <c r="AF4109" s="49"/>
      <c r="AG4109" s="49"/>
      <c r="AH4109" s="49"/>
      <c r="AI4109" s="49"/>
      <c r="AJ4109" s="49"/>
      <c r="AK4109" s="49"/>
      <c r="AL4109" s="49"/>
      <c r="AM4109" s="49"/>
      <c r="AN4109" s="49"/>
      <c r="AP4109" s="49"/>
      <c r="AQ4109" s="49"/>
      <c r="AR4109" s="49"/>
      <c r="AS4109" s="49"/>
      <c r="AT4109" s="49"/>
    </row>
    <row r="4110">
      <c r="A4110" s="59"/>
      <c r="B4110" s="49"/>
      <c r="C4110" s="50"/>
      <c r="D4110" s="49"/>
      <c r="E4110" s="49"/>
      <c r="F4110" s="49"/>
      <c r="G4110" s="49"/>
      <c r="H4110" s="50"/>
      <c r="I4110" s="50"/>
      <c r="J4110" s="49"/>
      <c r="K4110" s="49"/>
      <c r="L4110" s="49"/>
      <c r="M4110" s="49"/>
      <c r="N4110" s="50"/>
      <c r="O4110" s="49"/>
      <c r="P4110" s="49"/>
      <c r="Q4110" s="49"/>
      <c r="R4110" s="49"/>
      <c r="S4110" s="49"/>
      <c r="T4110" s="49"/>
      <c r="U4110" s="49"/>
      <c r="V4110" s="49"/>
      <c r="W4110" s="49"/>
      <c r="X4110" s="49"/>
      <c r="Y4110" s="49"/>
      <c r="Z4110" s="49"/>
      <c r="AA4110" s="49"/>
      <c r="AB4110" s="49"/>
      <c r="AC4110" s="49"/>
      <c r="AD4110" s="49"/>
      <c r="AE4110" s="49"/>
      <c r="AF4110" s="49"/>
      <c r="AG4110" s="49"/>
      <c r="AH4110" s="49"/>
      <c r="AI4110" s="49"/>
      <c r="AJ4110" s="49"/>
      <c r="AK4110" s="49"/>
      <c r="AL4110" s="49"/>
      <c r="AM4110" s="49"/>
      <c r="AN4110" s="49"/>
      <c r="AP4110" s="49"/>
      <c r="AQ4110" s="49"/>
      <c r="AR4110" s="49"/>
      <c r="AS4110" s="49"/>
      <c r="AT4110" s="49"/>
    </row>
    <row r="4111">
      <c r="A4111" s="59"/>
      <c r="B4111" s="49"/>
      <c r="C4111" s="50"/>
      <c r="D4111" s="49"/>
      <c r="E4111" s="49"/>
      <c r="F4111" s="49"/>
      <c r="G4111" s="49"/>
      <c r="H4111" s="50"/>
      <c r="I4111" s="50"/>
      <c r="J4111" s="49"/>
      <c r="K4111" s="49"/>
      <c r="L4111" s="49"/>
      <c r="M4111" s="49"/>
      <c r="N4111" s="50"/>
      <c r="O4111" s="49"/>
      <c r="P4111" s="49"/>
      <c r="Q4111" s="49"/>
      <c r="R4111" s="49"/>
      <c r="S4111" s="49"/>
      <c r="T4111" s="49"/>
      <c r="U4111" s="49"/>
      <c r="V4111" s="49"/>
      <c r="W4111" s="49"/>
      <c r="X4111" s="49"/>
      <c r="Y4111" s="49"/>
      <c r="Z4111" s="49"/>
      <c r="AA4111" s="49"/>
      <c r="AB4111" s="49"/>
      <c r="AC4111" s="49"/>
      <c r="AD4111" s="49"/>
      <c r="AE4111" s="49"/>
      <c r="AF4111" s="49"/>
      <c r="AG4111" s="49"/>
      <c r="AH4111" s="49"/>
      <c r="AI4111" s="49"/>
      <c r="AJ4111" s="49"/>
      <c r="AK4111" s="49"/>
      <c r="AL4111" s="49"/>
      <c r="AM4111" s="49"/>
      <c r="AN4111" s="49"/>
      <c r="AP4111" s="49"/>
      <c r="AQ4111" s="49"/>
      <c r="AR4111" s="49"/>
      <c r="AS4111" s="49"/>
      <c r="AT4111" s="49"/>
    </row>
    <row r="4112">
      <c r="A4112" s="59"/>
      <c r="B4112" s="49"/>
      <c r="C4112" s="50"/>
      <c r="D4112" s="49"/>
      <c r="E4112" s="49"/>
      <c r="F4112" s="49"/>
      <c r="G4112" s="49"/>
      <c r="H4112" s="50"/>
      <c r="I4112" s="50"/>
      <c r="J4112" s="49"/>
      <c r="K4112" s="49"/>
      <c r="L4112" s="49"/>
      <c r="M4112" s="49"/>
      <c r="N4112" s="50"/>
      <c r="O4112" s="49"/>
      <c r="P4112" s="49"/>
      <c r="Q4112" s="49"/>
      <c r="R4112" s="49"/>
      <c r="S4112" s="49"/>
      <c r="T4112" s="49"/>
      <c r="U4112" s="49"/>
      <c r="V4112" s="49"/>
      <c r="W4112" s="49"/>
      <c r="X4112" s="49"/>
      <c r="Y4112" s="49"/>
      <c r="Z4112" s="49"/>
      <c r="AA4112" s="49"/>
      <c r="AB4112" s="49"/>
      <c r="AC4112" s="49"/>
      <c r="AD4112" s="49"/>
      <c r="AE4112" s="49"/>
      <c r="AF4112" s="49"/>
      <c r="AG4112" s="49"/>
      <c r="AH4112" s="49"/>
      <c r="AI4112" s="49"/>
      <c r="AJ4112" s="49"/>
      <c r="AK4112" s="49"/>
      <c r="AL4112" s="49"/>
      <c r="AM4112" s="49"/>
      <c r="AN4112" s="49"/>
      <c r="AP4112" s="49"/>
      <c r="AQ4112" s="49"/>
      <c r="AR4112" s="49"/>
      <c r="AS4112" s="49"/>
      <c r="AT4112" s="49"/>
    </row>
    <row r="4113">
      <c r="A4113" s="59"/>
      <c r="B4113" s="49"/>
      <c r="C4113" s="50"/>
      <c r="D4113" s="49"/>
      <c r="E4113" s="49"/>
      <c r="F4113" s="49"/>
      <c r="G4113" s="49"/>
      <c r="H4113" s="50"/>
      <c r="I4113" s="50"/>
      <c r="J4113" s="49"/>
      <c r="K4113" s="49"/>
      <c r="L4113" s="49"/>
      <c r="M4113" s="49"/>
      <c r="N4113" s="50"/>
      <c r="O4113" s="49"/>
      <c r="P4113" s="49"/>
      <c r="Q4113" s="49"/>
      <c r="R4113" s="49"/>
      <c r="S4113" s="49"/>
      <c r="T4113" s="49"/>
      <c r="U4113" s="49"/>
      <c r="V4113" s="49"/>
      <c r="W4113" s="49"/>
      <c r="X4113" s="49"/>
      <c r="Y4113" s="49"/>
      <c r="Z4113" s="49"/>
      <c r="AA4113" s="49"/>
      <c r="AB4113" s="49"/>
      <c r="AC4113" s="49"/>
      <c r="AD4113" s="49"/>
      <c r="AE4113" s="49"/>
      <c r="AF4113" s="49"/>
      <c r="AG4113" s="49"/>
      <c r="AH4113" s="49"/>
      <c r="AI4113" s="49"/>
      <c r="AJ4113" s="49"/>
      <c r="AK4113" s="49"/>
      <c r="AL4113" s="49"/>
      <c r="AM4113" s="49"/>
      <c r="AN4113" s="49"/>
      <c r="AP4113" s="49"/>
      <c r="AQ4113" s="49"/>
      <c r="AR4113" s="49"/>
      <c r="AS4113" s="49"/>
      <c r="AT4113" s="49"/>
    </row>
    <row r="4114">
      <c r="A4114" s="59"/>
      <c r="B4114" s="49"/>
      <c r="C4114" s="50"/>
      <c r="D4114" s="49"/>
      <c r="E4114" s="49"/>
      <c r="F4114" s="49"/>
      <c r="G4114" s="49"/>
      <c r="H4114" s="50"/>
      <c r="I4114" s="50"/>
      <c r="J4114" s="49"/>
      <c r="K4114" s="49"/>
      <c r="L4114" s="49"/>
      <c r="M4114" s="49"/>
      <c r="N4114" s="50"/>
      <c r="O4114" s="49"/>
      <c r="P4114" s="49"/>
      <c r="Q4114" s="49"/>
      <c r="R4114" s="49"/>
      <c r="S4114" s="49"/>
      <c r="T4114" s="49"/>
      <c r="U4114" s="49"/>
      <c r="V4114" s="49"/>
      <c r="W4114" s="49"/>
      <c r="X4114" s="49"/>
      <c r="Y4114" s="49"/>
      <c r="Z4114" s="49"/>
      <c r="AA4114" s="49"/>
      <c r="AB4114" s="49"/>
      <c r="AC4114" s="49"/>
      <c r="AD4114" s="49"/>
      <c r="AE4114" s="49"/>
      <c r="AF4114" s="49"/>
      <c r="AG4114" s="49"/>
      <c r="AH4114" s="49"/>
      <c r="AI4114" s="49"/>
      <c r="AJ4114" s="49"/>
      <c r="AK4114" s="49"/>
      <c r="AL4114" s="49"/>
      <c r="AM4114" s="49"/>
      <c r="AN4114" s="49"/>
      <c r="AP4114" s="49"/>
      <c r="AQ4114" s="49"/>
      <c r="AR4114" s="49"/>
      <c r="AS4114" s="49"/>
      <c r="AT4114" s="49"/>
    </row>
    <row r="4115">
      <c r="A4115" s="59"/>
      <c r="B4115" s="49"/>
      <c r="C4115" s="50"/>
      <c r="D4115" s="49"/>
      <c r="E4115" s="49"/>
      <c r="F4115" s="49"/>
      <c r="G4115" s="49"/>
      <c r="H4115" s="50"/>
      <c r="I4115" s="50"/>
      <c r="J4115" s="49"/>
      <c r="K4115" s="49"/>
      <c r="L4115" s="49"/>
      <c r="M4115" s="49"/>
      <c r="N4115" s="50"/>
      <c r="O4115" s="49"/>
      <c r="P4115" s="49"/>
      <c r="Q4115" s="49"/>
      <c r="R4115" s="49"/>
      <c r="S4115" s="49"/>
      <c r="T4115" s="49"/>
      <c r="U4115" s="49"/>
      <c r="V4115" s="49"/>
      <c r="W4115" s="49"/>
      <c r="X4115" s="49"/>
      <c r="Y4115" s="49"/>
      <c r="Z4115" s="49"/>
      <c r="AA4115" s="49"/>
      <c r="AB4115" s="49"/>
      <c r="AC4115" s="49"/>
      <c r="AD4115" s="49"/>
      <c r="AE4115" s="49"/>
      <c r="AF4115" s="49"/>
      <c r="AG4115" s="49"/>
      <c r="AH4115" s="49"/>
      <c r="AI4115" s="49"/>
      <c r="AJ4115" s="49"/>
      <c r="AK4115" s="49"/>
      <c r="AL4115" s="49"/>
      <c r="AM4115" s="49"/>
      <c r="AN4115" s="49"/>
      <c r="AP4115" s="49"/>
      <c r="AQ4115" s="49"/>
      <c r="AR4115" s="49"/>
      <c r="AS4115" s="49"/>
      <c r="AT4115" s="49"/>
    </row>
    <row r="4116">
      <c r="A4116" s="59"/>
      <c r="B4116" s="49"/>
      <c r="C4116" s="50"/>
      <c r="D4116" s="49"/>
      <c r="E4116" s="49"/>
      <c r="F4116" s="49"/>
      <c r="G4116" s="49"/>
      <c r="H4116" s="50"/>
      <c r="I4116" s="50"/>
      <c r="J4116" s="49"/>
      <c r="K4116" s="49"/>
      <c r="L4116" s="49"/>
      <c r="M4116" s="49"/>
      <c r="N4116" s="50"/>
      <c r="O4116" s="49"/>
      <c r="P4116" s="49"/>
      <c r="Q4116" s="49"/>
      <c r="R4116" s="49"/>
      <c r="S4116" s="49"/>
      <c r="T4116" s="49"/>
      <c r="U4116" s="49"/>
      <c r="V4116" s="49"/>
      <c r="W4116" s="49"/>
      <c r="X4116" s="49"/>
      <c r="Y4116" s="49"/>
      <c r="Z4116" s="49"/>
      <c r="AA4116" s="49"/>
      <c r="AB4116" s="49"/>
      <c r="AC4116" s="49"/>
      <c r="AD4116" s="49"/>
      <c r="AE4116" s="49"/>
      <c r="AF4116" s="49"/>
      <c r="AG4116" s="49"/>
      <c r="AH4116" s="49"/>
      <c r="AI4116" s="49"/>
      <c r="AJ4116" s="49"/>
      <c r="AK4116" s="49"/>
      <c r="AL4116" s="49"/>
      <c r="AM4116" s="49"/>
      <c r="AN4116" s="49"/>
      <c r="AP4116" s="49"/>
      <c r="AQ4116" s="49"/>
      <c r="AR4116" s="49"/>
      <c r="AS4116" s="49"/>
      <c r="AT4116" s="49"/>
    </row>
    <row r="4117">
      <c r="A4117" s="59"/>
      <c r="B4117" s="49"/>
      <c r="C4117" s="50"/>
      <c r="D4117" s="49"/>
      <c r="E4117" s="49"/>
      <c r="F4117" s="49"/>
      <c r="G4117" s="49"/>
      <c r="H4117" s="50"/>
      <c r="I4117" s="50"/>
      <c r="J4117" s="49"/>
      <c r="K4117" s="49"/>
      <c r="L4117" s="49"/>
      <c r="M4117" s="49"/>
      <c r="N4117" s="50"/>
      <c r="O4117" s="49"/>
      <c r="P4117" s="49"/>
      <c r="Q4117" s="49"/>
      <c r="R4117" s="49"/>
      <c r="S4117" s="49"/>
      <c r="T4117" s="49"/>
      <c r="U4117" s="49"/>
      <c r="V4117" s="49"/>
      <c r="W4117" s="49"/>
      <c r="X4117" s="49"/>
      <c r="Y4117" s="49"/>
      <c r="Z4117" s="49"/>
      <c r="AA4117" s="49"/>
      <c r="AB4117" s="49"/>
      <c r="AC4117" s="49"/>
      <c r="AD4117" s="49"/>
      <c r="AE4117" s="49"/>
      <c r="AF4117" s="49"/>
      <c r="AG4117" s="49"/>
      <c r="AH4117" s="49"/>
      <c r="AI4117" s="49"/>
      <c r="AJ4117" s="49"/>
      <c r="AK4117" s="49"/>
      <c r="AL4117" s="49"/>
      <c r="AM4117" s="49"/>
      <c r="AN4117" s="49"/>
      <c r="AP4117" s="49"/>
      <c r="AQ4117" s="49"/>
      <c r="AR4117" s="49"/>
      <c r="AS4117" s="49"/>
      <c r="AT4117" s="49"/>
    </row>
    <row r="4118">
      <c r="A4118" s="59"/>
      <c r="B4118" s="49"/>
      <c r="C4118" s="50"/>
      <c r="D4118" s="49"/>
      <c r="E4118" s="49"/>
      <c r="F4118" s="49"/>
      <c r="G4118" s="49"/>
      <c r="H4118" s="50"/>
      <c r="I4118" s="50"/>
      <c r="J4118" s="49"/>
      <c r="K4118" s="49"/>
      <c r="L4118" s="49"/>
      <c r="M4118" s="49"/>
      <c r="N4118" s="50"/>
      <c r="O4118" s="49"/>
      <c r="P4118" s="49"/>
      <c r="Q4118" s="49"/>
      <c r="R4118" s="49"/>
      <c r="S4118" s="49"/>
      <c r="T4118" s="49"/>
      <c r="U4118" s="49"/>
      <c r="V4118" s="49"/>
      <c r="W4118" s="49"/>
      <c r="X4118" s="49"/>
      <c r="Y4118" s="49"/>
      <c r="Z4118" s="49"/>
      <c r="AA4118" s="49"/>
      <c r="AB4118" s="49"/>
      <c r="AC4118" s="49"/>
      <c r="AD4118" s="49"/>
      <c r="AE4118" s="49"/>
      <c r="AF4118" s="49"/>
      <c r="AG4118" s="49"/>
      <c r="AH4118" s="49"/>
      <c r="AI4118" s="49"/>
      <c r="AJ4118" s="49"/>
      <c r="AK4118" s="49"/>
      <c r="AL4118" s="49"/>
      <c r="AM4118" s="49"/>
      <c r="AN4118" s="49"/>
      <c r="AP4118" s="49"/>
      <c r="AQ4118" s="49"/>
      <c r="AR4118" s="49"/>
      <c r="AS4118" s="49"/>
      <c r="AT4118" s="49"/>
    </row>
    <row r="4119">
      <c r="A4119" s="59"/>
      <c r="B4119" s="49"/>
      <c r="C4119" s="50"/>
      <c r="D4119" s="49"/>
      <c r="E4119" s="49"/>
      <c r="F4119" s="49"/>
      <c r="G4119" s="49"/>
      <c r="H4119" s="50"/>
      <c r="I4119" s="50"/>
      <c r="J4119" s="49"/>
      <c r="K4119" s="49"/>
      <c r="L4119" s="49"/>
      <c r="M4119" s="49"/>
      <c r="N4119" s="50"/>
      <c r="O4119" s="49"/>
      <c r="P4119" s="49"/>
      <c r="Q4119" s="49"/>
      <c r="R4119" s="49"/>
      <c r="S4119" s="49"/>
      <c r="T4119" s="49"/>
      <c r="U4119" s="49"/>
      <c r="V4119" s="49"/>
      <c r="W4119" s="49"/>
      <c r="X4119" s="49"/>
      <c r="Y4119" s="49"/>
      <c r="Z4119" s="49"/>
      <c r="AA4119" s="49"/>
      <c r="AB4119" s="49"/>
      <c r="AC4119" s="49"/>
      <c r="AD4119" s="49"/>
      <c r="AE4119" s="49"/>
      <c r="AF4119" s="49"/>
      <c r="AG4119" s="49"/>
      <c r="AH4119" s="49"/>
      <c r="AI4119" s="49"/>
      <c r="AJ4119" s="49"/>
      <c r="AK4119" s="49"/>
      <c r="AL4119" s="49"/>
      <c r="AM4119" s="49"/>
      <c r="AN4119" s="49"/>
      <c r="AP4119" s="49"/>
      <c r="AQ4119" s="49"/>
      <c r="AR4119" s="49"/>
      <c r="AS4119" s="49"/>
      <c r="AT4119" s="49"/>
    </row>
    <row r="4120">
      <c r="A4120" s="59"/>
      <c r="B4120" s="49"/>
      <c r="C4120" s="50"/>
      <c r="D4120" s="49"/>
      <c r="E4120" s="49"/>
      <c r="F4120" s="49"/>
      <c r="G4120" s="49"/>
      <c r="H4120" s="50"/>
      <c r="I4120" s="50"/>
      <c r="J4120" s="49"/>
      <c r="K4120" s="49"/>
      <c r="L4120" s="49"/>
      <c r="M4120" s="49"/>
      <c r="N4120" s="50"/>
      <c r="O4120" s="49"/>
      <c r="P4120" s="49"/>
      <c r="Q4120" s="49"/>
      <c r="R4120" s="49"/>
      <c r="S4120" s="49"/>
      <c r="T4120" s="49"/>
      <c r="U4120" s="49"/>
      <c r="V4120" s="49"/>
      <c r="W4120" s="49"/>
      <c r="X4120" s="49"/>
      <c r="Y4120" s="49"/>
      <c r="Z4120" s="49"/>
      <c r="AA4120" s="49"/>
      <c r="AB4120" s="49"/>
      <c r="AC4120" s="49"/>
      <c r="AD4120" s="49"/>
      <c r="AE4120" s="49"/>
      <c r="AF4120" s="49"/>
      <c r="AG4120" s="49"/>
      <c r="AH4120" s="49"/>
      <c r="AI4120" s="49"/>
      <c r="AJ4120" s="49"/>
      <c r="AK4120" s="49"/>
      <c r="AL4120" s="49"/>
      <c r="AM4120" s="49"/>
      <c r="AN4120" s="49"/>
      <c r="AP4120" s="49"/>
      <c r="AQ4120" s="49"/>
      <c r="AR4120" s="49"/>
      <c r="AS4120" s="49"/>
      <c r="AT4120" s="49"/>
    </row>
    <row r="4121">
      <c r="A4121" s="59"/>
      <c r="B4121" s="49"/>
      <c r="C4121" s="50"/>
      <c r="D4121" s="49"/>
      <c r="E4121" s="49"/>
      <c r="F4121" s="49"/>
      <c r="G4121" s="49"/>
      <c r="H4121" s="50"/>
      <c r="I4121" s="50"/>
      <c r="J4121" s="49"/>
      <c r="K4121" s="49"/>
      <c r="L4121" s="49"/>
      <c r="M4121" s="49"/>
      <c r="N4121" s="50"/>
      <c r="O4121" s="49"/>
      <c r="P4121" s="49"/>
      <c r="Q4121" s="49"/>
      <c r="R4121" s="49"/>
      <c r="S4121" s="49"/>
      <c r="T4121" s="49"/>
      <c r="U4121" s="49"/>
      <c r="V4121" s="49"/>
      <c r="W4121" s="49"/>
      <c r="X4121" s="49"/>
      <c r="Y4121" s="49"/>
      <c r="Z4121" s="49"/>
      <c r="AA4121" s="49"/>
      <c r="AB4121" s="49"/>
      <c r="AC4121" s="49"/>
      <c r="AD4121" s="49"/>
      <c r="AE4121" s="49"/>
      <c r="AF4121" s="49"/>
      <c r="AG4121" s="49"/>
      <c r="AH4121" s="49"/>
      <c r="AI4121" s="49"/>
      <c r="AJ4121" s="49"/>
      <c r="AK4121" s="49"/>
      <c r="AL4121" s="49"/>
      <c r="AM4121" s="49"/>
      <c r="AN4121" s="49"/>
      <c r="AP4121" s="49"/>
      <c r="AQ4121" s="49"/>
      <c r="AR4121" s="49"/>
      <c r="AS4121" s="49"/>
      <c r="AT4121" s="49"/>
    </row>
    <row r="4122">
      <c r="A4122" s="59"/>
      <c r="B4122" s="49"/>
      <c r="C4122" s="50"/>
      <c r="D4122" s="49"/>
      <c r="E4122" s="49"/>
      <c r="F4122" s="49"/>
      <c r="G4122" s="49"/>
      <c r="H4122" s="50"/>
      <c r="I4122" s="50"/>
      <c r="J4122" s="49"/>
      <c r="K4122" s="49"/>
      <c r="L4122" s="49"/>
      <c r="M4122" s="49"/>
      <c r="N4122" s="50"/>
      <c r="O4122" s="49"/>
      <c r="P4122" s="49"/>
      <c r="Q4122" s="49"/>
      <c r="R4122" s="49"/>
      <c r="S4122" s="49"/>
      <c r="T4122" s="49"/>
      <c r="U4122" s="49"/>
      <c r="V4122" s="49"/>
      <c r="W4122" s="49"/>
      <c r="X4122" s="49"/>
      <c r="Y4122" s="49"/>
      <c r="Z4122" s="49"/>
      <c r="AA4122" s="49"/>
      <c r="AB4122" s="49"/>
      <c r="AC4122" s="49"/>
      <c r="AD4122" s="49"/>
      <c r="AE4122" s="49"/>
      <c r="AF4122" s="49"/>
      <c r="AG4122" s="49"/>
      <c r="AH4122" s="49"/>
      <c r="AI4122" s="49"/>
      <c r="AJ4122" s="49"/>
      <c r="AK4122" s="49"/>
      <c r="AL4122" s="49"/>
      <c r="AM4122" s="49"/>
      <c r="AN4122" s="49"/>
      <c r="AP4122" s="49"/>
      <c r="AQ4122" s="49"/>
      <c r="AR4122" s="49"/>
      <c r="AS4122" s="49"/>
      <c r="AT4122" s="49"/>
    </row>
    <row r="4123">
      <c r="A4123" s="59"/>
      <c r="B4123" s="49"/>
      <c r="C4123" s="50"/>
      <c r="D4123" s="49"/>
      <c r="E4123" s="49"/>
      <c r="F4123" s="49"/>
      <c r="G4123" s="49"/>
      <c r="H4123" s="50"/>
      <c r="I4123" s="50"/>
      <c r="J4123" s="49"/>
      <c r="K4123" s="49"/>
      <c r="L4123" s="49"/>
      <c r="M4123" s="49"/>
      <c r="N4123" s="50"/>
      <c r="O4123" s="49"/>
      <c r="P4123" s="49"/>
      <c r="Q4123" s="49"/>
      <c r="R4123" s="49"/>
      <c r="S4123" s="49"/>
      <c r="T4123" s="49"/>
      <c r="U4123" s="49"/>
      <c r="V4123" s="49"/>
      <c r="W4123" s="49"/>
      <c r="X4123" s="49"/>
      <c r="Y4123" s="49"/>
      <c r="Z4123" s="49"/>
      <c r="AA4123" s="49"/>
      <c r="AB4123" s="49"/>
      <c r="AC4123" s="49"/>
      <c r="AD4123" s="49"/>
      <c r="AE4123" s="49"/>
      <c r="AF4123" s="49"/>
      <c r="AG4123" s="49"/>
      <c r="AH4123" s="49"/>
      <c r="AI4123" s="49"/>
      <c r="AJ4123" s="49"/>
      <c r="AK4123" s="49"/>
      <c r="AL4123" s="49"/>
      <c r="AM4123" s="49"/>
      <c r="AN4123" s="49"/>
      <c r="AP4123" s="49"/>
      <c r="AQ4123" s="49"/>
      <c r="AR4123" s="49"/>
      <c r="AS4123" s="49"/>
      <c r="AT4123" s="49"/>
    </row>
    <row r="4124">
      <c r="A4124" s="59"/>
      <c r="B4124" s="49"/>
      <c r="C4124" s="50"/>
      <c r="D4124" s="49"/>
      <c r="E4124" s="49"/>
      <c r="F4124" s="49"/>
      <c r="G4124" s="49"/>
      <c r="H4124" s="50"/>
      <c r="I4124" s="50"/>
      <c r="J4124" s="49"/>
      <c r="K4124" s="49"/>
      <c r="L4124" s="49"/>
      <c r="M4124" s="49"/>
      <c r="N4124" s="50"/>
      <c r="O4124" s="49"/>
      <c r="P4124" s="49"/>
      <c r="Q4124" s="49"/>
      <c r="R4124" s="49"/>
      <c r="S4124" s="49"/>
      <c r="T4124" s="49"/>
      <c r="U4124" s="49"/>
      <c r="V4124" s="49"/>
      <c r="W4124" s="49"/>
      <c r="X4124" s="49"/>
      <c r="Y4124" s="49"/>
      <c r="Z4124" s="49"/>
      <c r="AA4124" s="49"/>
      <c r="AB4124" s="49"/>
      <c r="AC4124" s="49"/>
      <c r="AD4124" s="49"/>
      <c r="AE4124" s="49"/>
      <c r="AF4124" s="49"/>
      <c r="AG4124" s="49"/>
      <c r="AH4124" s="49"/>
      <c r="AI4124" s="49"/>
      <c r="AJ4124" s="49"/>
      <c r="AK4124" s="49"/>
      <c r="AL4124" s="49"/>
      <c r="AM4124" s="49"/>
      <c r="AN4124" s="49"/>
      <c r="AP4124" s="49"/>
      <c r="AQ4124" s="49"/>
      <c r="AR4124" s="49"/>
      <c r="AS4124" s="49"/>
      <c r="AT4124" s="49"/>
    </row>
    <row r="4125">
      <c r="A4125" s="59"/>
      <c r="B4125" s="49"/>
      <c r="C4125" s="50"/>
      <c r="D4125" s="49"/>
      <c r="E4125" s="49"/>
      <c r="F4125" s="49"/>
      <c r="G4125" s="49"/>
      <c r="H4125" s="50"/>
      <c r="I4125" s="50"/>
      <c r="J4125" s="49"/>
      <c r="K4125" s="49"/>
      <c r="L4125" s="49"/>
      <c r="M4125" s="49"/>
      <c r="N4125" s="50"/>
      <c r="O4125" s="49"/>
      <c r="P4125" s="49"/>
      <c r="Q4125" s="49"/>
      <c r="R4125" s="49"/>
      <c r="S4125" s="49"/>
      <c r="T4125" s="49"/>
      <c r="U4125" s="49"/>
      <c r="V4125" s="49"/>
      <c r="W4125" s="49"/>
      <c r="X4125" s="49"/>
      <c r="Y4125" s="49"/>
      <c r="Z4125" s="49"/>
      <c r="AA4125" s="49"/>
      <c r="AB4125" s="49"/>
      <c r="AC4125" s="49"/>
      <c r="AD4125" s="49"/>
      <c r="AE4125" s="49"/>
      <c r="AF4125" s="49"/>
      <c r="AG4125" s="49"/>
      <c r="AH4125" s="49"/>
      <c r="AI4125" s="49"/>
      <c r="AJ4125" s="49"/>
      <c r="AK4125" s="49"/>
      <c r="AL4125" s="49"/>
      <c r="AM4125" s="49"/>
      <c r="AN4125" s="49"/>
      <c r="AP4125" s="49"/>
      <c r="AQ4125" s="49"/>
      <c r="AR4125" s="49"/>
      <c r="AS4125" s="49"/>
      <c r="AT4125" s="49"/>
    </row>
    <row r="4126">
      <c r="A4126" s="59"/>
      <c r="B4126" s="49"/>
      <c r="C4126" s="50"/>
      <c r="D4126" s="49"/>
      <c r="E4126" s="49"/>
      <c r="F4126" s="49"/>
      <c r="G4126" s="49"/>
      <c r="H4126" s="50"/>
      <c r="I4126" s="50"/>
      <c r="J4126" s="49"/>
      <c r="K4126" s="49"/>
      <c r="L4126" s="49"/>
      <c r="M4126" s="49"/>
      <c r="N4126" s="50"/>
      <c r="O4126" s="49"/>
      <c r="P4126" s="49"/>
      <c r="Q4126" s="49"/>
      <c r="R4126" s="49"/>
      <c r="S4126" s="49"/>
      <c r="T4126" s="49"/>
      <c r="U4126" s="49"/>
      <c r="V4126" s="49"/>
      <c r="W4126" s="49"/>
      <c r="X4126" s="49"/>
      <c r="Y4126" s="49"/>
      <c r="Z4126" s="49"/>
      <c r="AA4126" s="49"/>
      <c r="AB4126" s="49"/>
      <c r="AC4126" s="49"/>
      <c r="AD4126" s="49"/>
      <c r="AE4126" s="49"/>
      <c r="AF4126" s="49"/>
      <c r="AG4126" s="49"/>
      <c r="AH4126" s="49"/>
      <c r="AI4126" s="49"/>
      <c r="AJ4126" s="49"/>
      <c r="AK4126" s="49"/>
      <c r="AL4126" s="49"/>
      <c r="AM4126" s="49"/>
      <c r="AN4126" s="49"/>
      <c r="AP4126" s="49"/>
      <c r="AQ4126" s="49"/>
      <c r="AR4126" s="49"/>
      <c r="AS4126" s="49"/>
      <c r="AT4126" s="49"/>
    </row>
    <row r="4127">
      <c r="A4127" s="59"/>
      <c r="B4127" s="49"/>
      <c r="C4127" s="50"/>
      <c r="D4127" s="49"/>
      <c r="E4127" s="49"/>
      <c r="F4127" s="49"/>
      <c r="G4127" s="49"/>
      <c r="H4127" s="50"/>
      <c r="I4127" s="50"/>
      <c r="J4127" s="49"/>
      <c r="K4127" s="49"/>
      <c r="L4127" s="49"/>
      <c r="M4127" s="49"/>
      <c r="N4127" s="50"/>
      <c r="O4127" s="49"/>
      <c r="P4127" s="49"/>
      <c r="Q4127" s="49"/>
      <c r="R4127" s="49"/>
      <c r="S4127" s="49"/>
      <c r="T4127" s="49"/>
      <c r="U4127" s="49"/>
      <c r="V4127" s="49"/>
      <c r="W4127" s="49"/>
      <c r="X4127" s="49"/>
      <c r="Y4127" s="49"/>
      <c r="Z4127" s="49"/>
      <c r="AA4127" s="49"/>
      <c r="AB4127" s="49"/>
      <c r="AC4127" s="49"/>
      <c r="AD4127" s="49"/>
      <c r="AE4127" s="49"/>
      <c r="AF4127" s="49"/>
      <c r="AG4127" s="49"/>
      <c r="AH4127" s="49"/>
      <c r="AI4127" s="49"/>
      <c r="AJ4127" s="49"/>
      <c r="AK4127" s="49"/>
      <c r="AL4127" s="49"/>
      <c r="AM4127" s="49"/>
      <c r="AN4127" s="49"/>
      <c r="AP4127" s="49"/>
      <c r="AQ4127" s="49"/>
      <c r="AR4127" s="49"/>
      <c r="AS4127" s="49"/>
      <c r="AT4127" s="49"/>
    </row>
    <row r="4128">
      <c r="A4128" s="59"/>
      <c r="B4128" s="49"/>
      <c r="C4128" s="50"/>
      <c r="D4128" s="49"/>
      <c r="E4128" s="49"/>
      <c r="F4128" s="49"/>
      <c r="G4128" s="49"/>
      <c r="H4128" s="50"/>
      <c r="I4128" s="50"/>
      <c r="J4128" s="49"/>
      <c r="K4128" s="49"/>
      <c r="L4128" s="49"/>
      <c r="M4128" s="49"/>
      <c r="N4128" s="50"/>
      <c r="O4128" s="49"/>
      <c r="P4128" s="49"/>
      <c r="Q4128" s="49"/>
      <c r="R4128" s="49"/>
      <c r="S4128" s="49"/>
      <c r="T4128" s="49"/>
      <c r="U4128" s="49"/>
      <c r="V4128" s="49"/>
      <c r="W4128" s="49"/>
      <c r="X4128" s="49"/>
      <c r="Y4128" s="49"/>
      <c r="Z4128" s="49"/>
      <c r="AA4128" s="49"/>
      <c r="AB4128" s="49"/>
      <c r="AC4128" s="49"/>
      <c r="AD4128" s="49"/>
      <c r="AE4128" s="49"/>
      <c r="AF4128" s="49"/>
      <c r="AG4128" s="49"/>
      <c r="AH4128" s="49"/>
      <c r="AI4128" s="49"/>
      <c r="AJ4128" s="49"/>
      <c r="AK4128" s="49"/>
      <c r="AL4128" s="49"/>
      <c r="AM4128" s="49"/>
      <c r="AN4128" s="49"/>
      <c r="AP4128" s="49"/>
      <c r="AQ4128" s="49"/>
      <c r="AR4128" s="49"/>
      <c r="AS4128" s="49"/>
      <c r="AT4128" s="49"/>
    </row>
    <row r="4129">
      <c r="A4129" s="59"/>
      <c r="B4129" s="49"/>
      <c r="C4129" s="50"/>
      <c r="D4129" s="49"/>
      <c r="E4129" s="49"/>
      <c r="F4129" s="49"/>
      <c r="G4129" s="49"/>
      <c r="H4129" s="50"/>
      <c r="I4129" s="50"/>
      <c r="J4129" s="49"/>
      <c r="K4129" s="49"/>
      <c r="L4129" s="49"/>
      <c r="M4129" s="49"/>
      <c r="N4129" s="50"/>
      <c r="O4129" s="49"/>
      <c r="P4129" s="49"/>
      <c r="Q4129" s="49"/>
      <c r="R4129" s="49"/>
      <c r="S4129" s="49"/>
      <c r="T4129" s="49"/>
      <c r="U4129" s="49"/>
      <c r="V4129" s="49"/>
      <c r="W4129" s="49"/>
      <c r="X4129" s="49"/>
      <c r="Y4129" s="49"/>
      <c r="Z4129" s="49"/>
      <c r="AA4129" s="49"/>
      <c r="AB4129" s="49"/>
      <c r="AC4129" s="49"/>
      <c r="AD4129" s="49"/>
      <c r="AE4129" s="49"/>
      <c r="AF4129" s="49"/>
      <c r="AG4129" s="49"/>
      <c r="AH4129" s="49"/>
      <c r="AI4129" s="49"/>
      <c r="AJ4129" s="49"/>
      <c r="AK4129" s="49"/>
      <c r="AL4129" s="49"/>
      <c r="AM4129" s="49"/>
      <c r="AN4129" s="49"/>
      <c r="AP4129" s="49"/>
      <c r="AQ4129" s="49"/>
      <c r="AR4129" s="49"/>
      <c r="AS4129" s="49"/>
      <c r="AT4129" s="49"/>
    </row>
    <row r="4130">
      <c r="A4130" s="59"/>
      <c r="B4130" s="49"/>
      <c r="C4130" s="50"/>
      <c r="D4130" s="49"/>
      <c r="E4130" s="49"/>
      <c r="F4130" s="49"/>
      <c r="G4130" s="49"/>
      <c r="H4130" s="50"/>
      <c r="I4130" s="50"/>
      <c r="J4130" s="49"/>
      <c r="K4130" s="49"/>
      <c r="L4130" s="49"/>
      <c r="M4130" s="49"/>
      <c r="N4130" s="50"/>
      <c r="O4130" s="49"/>
      <c r="P4130" s="49"/>
      <c r="Q4130" s="49"/>
      <c r="R4130" s="49"/>
      <c r="S4130" s="49"/>
      <c r="T4130" s="49"/>
      <c r="U4130" s="49"/>
      <c r="V4130" s="49"/>
      <c r="W4130" s="49"/>
      <c r="X4130" s="49"/>
      <c r="Y4130" s="49"/>
      <c r="Z4130" s="49"/>
      <c r="AA4130" s="49"/>
      <c r="AB4130" s="49"/>
      <c r="AC4130" s="49"/>
      <c r="AD4130" s="49"/>
      <c r="AE4130" s="49"/>
      <c r="AF4130" s="49"/>
      <c r="AG4130" s="49"/>
      <c r="AH4130" s="49"/>
      <c r="AI4130" s="49"/>
      <c r="AJ4130" s="49"/>
      <c r="AK4130" s="49"/>
      <c r="AL4130" s="49"/>
      <c r="AM4130" s="49"/>
      <c r="AN4130" s="49"/>
      <c r="AP4130" s="49"/>
      <c r="AQ4130" s="49"/>
      <c r="AR4130" s="49"/>
      <c r="AS4130" s="49"/>
      <c r="AT4130" s="49"/>
    </row>
    <row r="4131">
      <c r="A4131" s="59"/>
      <c r="B4131" s="49"/>
      <c r="C4131" s="50"/>
      <c r="D4131" s="49"/>
      <c r="E4131" s="49"/>
      <c r="F4131" s="49"/>
      <c r="G4131" s="49"/>
      <c r="H4131" s="50"/>
      <c r="I4131" s="50"/>
      <c r="J4131" s="49"/>
      <c r="K4131" s="49"/>
      <c r="L4131" s="49"/>
      <c r="M4131" s="49"/>
      <c r="N4131" s="50"/>
      <c r="O4131" s="49"/>
      <c r="P4131" s="49"/>
      <c r="Q4131" s="49"/>
      <c r="R4131" s="49"/>
      <c r="S4131" s="49"/>
      <c r="T4131" s="49"/>
      <c r="U4131" s="49"/>
      <c r="V4131" s="49"/>
      <c r="W4131" s="49"/>
      <c r="X4131" s="49"/>
      <c r="Y4131" s="49"/>
      <c r="Z4131" s="49"/>
      <c r="AA4131" s="49"/>
      <c r="AB4131" s="49"/>
      <c r="AC4131" s="49"/>
      <c r="AD4131" s="49"/>
      <c r="AE4131" s="49"/>
      <c r="AF4131" s="49"/>
      <c r="AG4131" s="49"/>
      <c r="AH4131" s="49"/>
      <c r="AI4131" s="49"/>
      <c r="AJ4131" s="49"/>
      <c r="AK4131" s="49"/>
      <c r="AL4131" s="49"/>
      <c r="AM4131" s="49"/>
      <c r="AN4131" s="49"/>
      <c r="AP4131" s="49"/>
      <c r="AQ4131" s="49"/>
      <c r="AR4131" s="49"/>
      <c r="AS4131" s="49"/>
      <c r="AT4131" s="49"/>
    </row>
    <row r="4132">
      <c r="A4132" s="59"/>
      <c r="B4132" s="49"/>
      <c r="C4132" s="50"/>
      <c r="D4132" s="49"/>
      <c r="E4132" s="49"/>
      <c r="F4132" s="49"/>
      <c r="G4132" s="49"/>
      <c r="H4132" s="50"/>
      <c r="I4132" s="50"/>
      <c r="J4132" s="49"/>
      <c r="K4132" s="49"/>
      <c r="L4132" s="49"/>
      <c r="M4132" s="49"/>
      <c r="N4132" s="50"/>
      <c r="O4132" s="49"/>
      <c r="P4132" s="49"/>
      <c r="Q4132" s="49"/>
      <c r="R4132" s="49"/>
      <c r="S4132" s="49"/>
      <c r="T4132" s="49"/>
      <c r="U4132" s="49"/>
      <c r="V4132" s="49"/>
      <c r="W4132" s="49"/>
      <c r="X4132" s="49"/>
      <c r="Y4132" s="49"/>
      <c r="Z4132" s="49"/>
      <c r="AA4132" s="49"/>
      <c r="AB4132" s="49"/>
      <c r="AC4132" s="49"/>
      <c r="AD4132" s="49"/>
      <c r="AE4132" s="49"/>
      <c r="AF4132" s="49"/>
      <c r="AG4132" s="49"/>
      <c r="AH4132" s="49"/>
      <c r="AI4132" s="49"/>
      <c r="AJ4132" s="49"/>
      <c r="AK4132" s="49"/>
      <c r="AL4132" s="49"/>
      <c r="AM4132" s="49"/>
      <c r="AN4132" s="49"/>
      <c r="AP4132" s="49"/>
      <c r="AQ4132" s="49"/>
      <c r="AR4132" s="49"/>
      <c r="AS4132" s="49"/>
      <c r="AT4132" s="49"/>
    </row>
    <row r="4133">
      <c r="A4133" s="59"/>
      <c r="B4133" s="49"/>
      <c r="C4133" s="50"/>
      <c r="D4133" s="49"/>
      <c r="E4133" s="49"/>
      <c r="F4133" s="49"/>
      <c r="G4133" s="49"/>
      <c r="H4133" s="50"/>
      <c r="I4133" s="50"/>
      <c r="J4133" s="49"/>
      <c r="K4133" s="49"/>
      <c r="L4133" s="49"/>
      <c r="M4133" s="49"/>
      <c r="N4133" s="50"/>
      <c r="O4133" s="49"/>
      <c r="P4133" s="49"/>
      <c r="Q4133" s="49"/>
      <c r="R4133" s="49"/>
      <c r="S4133" s="49"/>
      <c r="T4133" s="49"/>
      <c r="U4133" s="49"/>
      <c r="V4133" s="49"/>
      <c r="W4133" s="49"/>
      <c r="X4133" s="49"/>
      <c r="Y4133" s="49"/>
      <c r="Z4133" s="49"/>
      <c r="AA4133" s="49"/>
      <c r="AB4133" s="49"/>
      <c r="AC4133" s="49"/>
      <c r="AD4133" s="49"/>
      <c r="AE4133" s="49"/>
      <c r="AF4133" s="49"/>
      <c r="AG4133" s="49"/>
      <c r="AH4133" s="49"/>
      <c r="AI4133" s="49"/>
      <c r="AJ4133" s="49"/>
      <c r="AK4133" s="49"/>
      <c r="AL4133" s="49"/>
      <c r="AM4133" s="49"/>
      <c r="AN4133" s="49"/>
      <c r="AP4133" s="49"/>
      <c r="AQ4133" s="49"/>
      <c r="AR4133" s="49"/>
      <c r="AS4133" s="49"/>
      <c r="AT4133" s="49"/>
    </row>
    <row r="4134">
      <c r="A4134" s="59"/>
      <c r="B4134" s="49"/>
      <c r="C4134" s="50"/>
      <c r="D4134" s="49"/>
      <c r="E4134" s="49"/>
      <c r="F4134" s="49"/>
      <c r="G4134" s="49"/>
      <c r="H4134" s="50"/>
      <c r="I4134" s="50"/>
      <c r="J4134" s="49"/>
      <c r="K4134" s="49"/>
      <c r="L4134" s="49"/>
      <c r="M4134" s="49"/>
      <c r="N4134" s="50"/>
      <c r="O4134" s="49"/>
      <c r="P4134" s="49"/>
      <c r="Q4134" s="49"/>
      <c r="R4134" s="49"/>
      <c r="S4134" s="49"/>
      <c r="T4134" s="49"/>
      <c r="U4134" s="49"/>
      <c r="V4134" s="49"/>
      <c r="W4134" s="49"/>
      <c r="X4134" s="49"/>
      <c r="Y4134" s="49"/>
      <c r="Z4134" s="49"/>
      <c r="AA4134" s="49"/>
      <c r="AB4134" s="49"/>
      <c r="AC4134" s="49"/>
      <c r="AD4134" s="49"/>
      <c r="AE4134" s="49"/>
      <c r="AF4134" s="49"/>
      <c r="AG4134" s="49"/>
      <c r="AH4134" s="49"/>
      <c r="AI4134" s="49"/>
      <c r="AJ4134" s="49"/>
      <c r="AK4134" s="49"/>
      <c r="AL4134" s="49"/>
      <c r="AM4134" s="49"/>
      <c r="AN4134" s="49"/>
      <c r="AP4134" s="49"/>
      <c r="AQ4134" s="49"/>
      <c r="AR4134" s="49"/>
      <c r="AS4134" s="49"/>
      <c r="AT4134" s="49"/>
    </row>
    <row r="4135">
      <c r="A4135" s="59"/>
      <c r="B4135" s="49"/>
      <c r="C4135" s="50"/>
      <c r="D4135" s="49"/>
      <c r="E4135" s="49"/>
      <c r="F4135" s="49"/>
      <c r="G4135" s="49"/>
      <c r="H4135" s="50"/>
      <c r="I4135" s="50"/>
      <c r="J4135" s="49"/>
      <c r="K4135" s="49"/>
      <c r="L4135" s="49"/>
      <c r="M4135" s="49"/>
      <c r="N4135" s="50"/>
      <c r="O4135" s="49"/>
      <c r="P4135" s="49"/>
      <c r="Q4135" s="49"/>
      <c r="R4135" s="49"/>
      <c r="S4135" s="49"/>
      <c r="T4135" s="49"/>
      <c r="U4135" s="49"/>
      <c r="V4135" s="49"/>
      <c r="W4135" s="49"/>
      <c r="X4135" s="49"/>
      <c r="Y4135" s="49"/>
      <c r="Z4135" s="49"/>
      <c r="AA4135" s="49"/>
      <c r="AB4135" s="49"/>
      <c r="AC4135" s="49"/>
      <c r="AD4135" s="49"/>
      <c r="AE4135" s="49"/>
      <c r="AF4135" s="49"/>
      <c r="AG4135" s="49"/>
      <c r="AH4135" s="49"/>
      <c r="AI4135" s="49"/>
      <c r="AJ4135" s="49"/>
      <c r="AK4135" s="49"/>
      <c r="AL4135" s="49"/>
      <c r="AM4135" s="49"/>
      <c r="AN4135" s="49"/>
      <c r="AP4135" s="49"/>
      <c r="AQ4135" s="49"/>
      <c r="AR4135" s="49"/>
      <c r="AS4135" s="49"/>
      <c r="AT4135" s="49"/>
    </row>
    <row r="4136">
      <c r="A4136" s="59"/>
      <c r="B4136" s="49"/>
      <c r="C4136" s="50"/>
      <c r="D4136" s="49"/>
      <c r="E4136" s="49"/>
      <c r="F4136" s="49"/>
      <c r="G4136" s="49"/>
      <c r="H4136" s="50"/>
      <c r="I4136" s="50"/>
      <c r="J4136" s="49"/>
      <c r="K4136" s="49"/>
      <c r="L4136" s="49"/>
      <c r="M4136" s="49"/>
      <c r="N4136" s="50"/>
      <c r="O4136" s="49"/>
      <c r="P4136" s="49"/>
      <c r="Q4136" s="49"/>
      <c r="R4136" s="49"/>
      <c r="S4136" s="49"/>
      <c r="T4136" s="49"/>
      <c r="U4136" s="49"/>
      <c r="V4136" s="49"/>
      <c r="W4136" s="49"/>
      <c r="X4136" s="49"/>
      <c r="Y4136" s="49"/>
      <c r="Z4136" s="49"/>
      <c r="AA4136" s="49"/>
      <c r="AB4136" s="49"/>
      <c r="AC4136" s="49"/>
      <c r="AD4136" s="49"/>
      <c r="AE4136" s="49"/>
      <c r="AF4136" s="49"/>
      <c r="AG4136" s="49"/>
      <c r="AH4136" s="49"/>
      <c r="AI4136" s="49"/>
      <c r="AJ4136" s="49"/>
      <c r="AK4136" s="49"/>
      <c r="AL4136" s="49"/>
      <c r="AM4136" s="49"/>
      <c r="AN4136" s="49"/>
      <c r="AP4136" s="49"/>
      <c r="AQ4136" s="49"/>
      <c r="AR4136" s="49"/>
      <c r="AS4136" s="49"/>
      <c r="AT4136" s="49"/>
    </row>
    <row r="4137">
      <c r="A4137" s="59"/>
      <c r="B4137" s="49"/>
      <c r="C4137" s="50"/>
      <c r="D4137" s="49"/>
      <c r="E4137" s="49"/>
      <c r="F4137" s="49"/>
      <c r="G4137" s="49"/>
      <c r="H4137" s="50"/>
      <c r="I4137" s="50"/>
      <c r="J4137" s="49"/>
      <c r="K4137" s="49"/>
      <c r="L4137" s="49"/>
      <c r="M4137" s="49"/>
      <c r="N4137" s="50"/>
      <c r="O4137" s="49"/>
      <c r="P4137" s="49"/>
      <c r="Q4137" s="49"/>
      <c r="R4137" s="49"/>
      <c r="S4137" s="49"/>
      <c r="T4137" s="49"/>
      <c r="U4137" s="49"/>
      <c r="V4137" s="49"/>
      <c r="W4137" s="49"/>
      <c r="X4137" s="49"/>
      <c r="Y4137" s="49"/>
      <c r="Z4137" s="49"/>
      <c r="AA4137" s="49"/>
      <c r="AB4137" s="49"/>
      <c r="AC4137" s="49"/>
      <c r="AD4137" s="49"/>
      <c r="AE4137" s="49"/>
      <c r="AF4137" s="49"/>
      <c r="AG4137" s="49"/>
      <c r="AH4137" s="49"/>
      <c r="AI4137" s="49"/>
      <c r="AJ4137" s="49"/>
      <c r="AK4137" s="49"/>
      <c r="AL4137" s="49"/>
      <c r="AM4137" s="49"/>
      <c r="AN4137" s="49"/>
      <c r="AP4137" s="49"/>
      <c r="AQ4137" s="49"/>
      <c r="AR4137" s="49"/>
      <c r="AS4137" s="49"/>
      <c r="AT4137" s="49"/>
    </row>
    <row r="4138">
      <c r="A4138" s="59"/>
      <c r="B4138" s="49"/>
      <c r="C4138" s="50"/>
      <c r="D4138" s="49"/>
      <c r="E4138" s="49"/>
      <c r="F4138" s="49"/>
      <c r="G4138" s="49"/>
      <c r="H4138" s="50"/>
      <c r="I4138" s="50"/>
      <c r="J4138" s="49"/>
      <c r="K4138" s="49"/>
      <c r="L4138" s="49"/>
      <c r="M4138" s="49"/>
      <c r="N4138" s="50"/>
      <c r="O4138" s="49"/>
      <c r="P4138" s="49"/>
      <c r="Q4138" s="49"/>
      <c r="R4138" s="49"/>
      <c r="S4138" s="49"/>
      <c r="T4138" s="49"/>
      <c r="U4138" s="49"/>
      <c r="V4138" s="49"/>
      <c r="W4138" s="49"/>
      <c r="X4138" s="49"/>
      <c r="Y4138" s="49"/>
      <c r="Z4138" s="49"/>
      <c r="AA4138" s="49"/>
      <c r="AB4138" s="49"/>
      <c r="AC4138" s="49"/>
      <c r="AD4138" s="49"/>
      <c r="AE4138" s="49"/>
      <c r="AF4138" s="49"/>
      <c r="AG4138" s="49"/>
      <c r="AH4138" s="49"/>
      <c r="AI4138" s="49"/>
      <c r="AJ4138" s="49"/>
      <c r="AK4138" s="49"/>
      <c r="AL4138" s="49"/>
      <c r="AM4138" s="49"/>
      <c r="AN4138" s="49"/>
      <c r="AP4138" s="49"/>
      <c r="AQ4138" s="49"/>
      <c r="AR4138" s="49"/>
      <c r="AS4138" s="49"/>
      <c r="AT4138" s="49"/>
    </row>
    <row r="4139">
      <c r="A4139" s="59"/>
      <c r="B4139" s="49"/>
      <c r="C4139" s="50"/>
      <c r="D4139" s="49"/>
      <c r="E4139" s="49"/>
      <c r="F4139" s="49"/>
      <c r="G4139" s="49"/>
      <c r="H4139" s="50"/>
      <c r="I4139" s="50"/>
      <c r="J4139" s="49"/>
      <c r="K4139" s="49"/>
      <c r="L4139" s="49"/>
      <c r="M4139" s="49"/>
      <c r="N4139" s="50"/>
      <c r="O4139" s="49"/>
      <c r="P4139" s="49"/>
      <c r="Q4139" s="49"/>
      <c r="R4139" s="49"/>
      <c r="S4139" s="49"/>
      <c r="T4139" s="49"/>
      <c r="U4139" s="49"/>
      <c r="V4139" s="49"/>
      <c r="W4139" s="49"/>
      <c r="X4139" s="49"/>
      <c r="Y4139" s="49"/>
      <c r="Z4139" s="49"/>
      <c r="AA4139" s="49"/>
      <c r="AB4139" s="49"/>
      <c r="AC4139" s="49"/>
      <c r="AD4139" s="49"/>
      <c r="AE4139" s="49"/>
      <c r="AF4139" s="49"/>
      <c r="AG4139" s="49"/>
      <c r="AH4139" s="49"/>
      <c r="AI4139" s="49"/>
      <c r="AJ4139" s="49"/>
      <c r="AK4139" s="49"/>
      <c r="AL4139" s="49"/>
      <c r="AM4139" s="49"/>
      <c r="AN4139" s="49"/>
      <c r="AP4139" s="49"/>
      <c r="AQ4139" s="49"/>
      <c r="AR4139" s="49"/>
      <c r="AS4139" s="49"/>
      <c r="AT4139" s="49"/>
    </row>
    <row r="4140">
      <c r="A4140" s="59"/>
      <c r="B4140" s="49"/>
      <c r="C4140" s="50"/>
      <c r="D4140" s="49"/>
      <c r="E4140" s="49"/>
      <c r="F4140" s="49"/>
      <c r="G4140" s="49"/>
      <c r="H4140" s="50"/>
      <c r="I4140" s="50"/>
      <c r="J4140" s="49"/>
      <c r="K4140" s="49"/>
      <c r="L4140" s="49"/>
      <c r="M4140" s="49"/>
      <c r="N4140" s="50"/>
      <c r="O4140" s="49"/>
      <c r="P4140" s="49"/>
      <c r="Q4140" s="49"/>
      <c r="R4140" s="49"/>
      <c r="S4140" s="49"/>
      <c r="T4140" s="49"/>
      <c r="U4140" s="49"/>
      <c r="V4140" s="49"/>
      <c r="W4140" s="49"/>
      <c r="X4140" s="49"/>
      <c r="Y4140" s="49"/>
      <c r="Z4140" s="49"/>
      <c r="AA4140" s="49"/>
      <c r="AB4140" s="49"/>
      <c r="AC4140" s="49"/>
      <c r="AD4140" s="49"/>
      <c r="AE4140" s="49"/>
      <c r="AF4140" s="49"/>
      <c r="AG4140" s="49"/>
      <c r="AH4140" s="49"/>
      <c r="AI4140" s="49"/>
      <c r="AJ4140" s="49"/>
      <c r="AK4140" s="49"/>
      <c r="AL4140" s="49"/>
      <c r="AM4140" s="49"/>
      <c r="AN4140" s="49"/>
      <c r="AP4140" s="49"/>
      <c r="AQ4140" s="49"/>
      <c r="AR4140" s="49"/>
      <c r="AS4140" s="49"/>
      <c r="AT4140" s="49"/>
    </row>
    <row r="4141">
      <c r="A4141" s="59"/>
      <c r="B4141" s="49"/>
      <c r="C4141" s="50"/>
      <c r="D4141" s="49"/>
      <c r="E4141" s="49"/>
      <c r="F4141" s="49"/>
      <c r="G4141" s="49"/>
      <c r="H4141" s="50"/>
      <c r="I4141" s="50"/>
      <c r="J4141" s="49"/>
      <c r="K4141" s="49"/>
      <c r="L4141" s="49"/>
      <c r="M4141" s="49"/>
      <c r="N4141" s="50"/>
      <c r="O4141" s="49"/>
      <c r="P4141" s="49"/>
      <c r="Q4141" s="49"/>
      <c r="R4141" s="49"/>
      <c r="S4141" s="49"/>
      <c r="T4141" s="49"/>
      <c r="U4141" s="49"/>
      <c r="V4141" s="49"/>
      <c r="W4141" s="49"/>
      <c r="X4141" s="49"/>
      <c r="Y4141" s="49"/>
      <c r="Z4141" s="49"/>
      <c r="AA4141" s="49"/>
      <c r="AB4141" s="49"/>
      <c r="AC4141" s="49"/>
      <c r="AD4141" s="49"/>
      <c r="AE4141" s="49"/>
      <c r="AF4141" s="49"/>
      <c r="AG4141" s="49"/>
      <c r="AH4141" s="49"/>
      <c r="AI4141" s="49"/>
      <c r="AJ4141" s="49"/>
      <c r="AK4141" s="49"/>
      <c r="AL4141" s="49"/>
      <c r="AM4141" s="49"/>
      <c r="AN4141" s="49"/>
      <c r="AP4141" s="49"/>
      <c r="AQ4141" s="49"/>
      <c r="AR4141" s="49"/>
      <c r="AS4141" s="49"/>
      <c r="AT4141" s="49"/>
    </row>
    <row r="4142">
      <c r="A4142" s="59"/>
      <c r="B4142" s="49"/>
      <c r="C4142" s="50"/>
      <c r="D4142" s="49"/>
      <c r="E4142" s="49"/>
      <c r="F4142" s="49"/>
      <c r="G4142" s="49"/>
      <c r="H4142" s="50"/>
      <c r="I4142" s="50"/>
      <c r="J4142" s="49"/>
      <c r="K4142" s="49"/>
      <c r="L4142" s="49"/>
      <c r="M4142" s="49"/>
      <c r="N4142" s="50"/>
      <c r="O4142" s="49"/>
      <c r="P4142" s="49"/>
      <c r="Q4142" s="49"/>
      <c r="R4142" s="49"/>
      <c r="S4142" s="49"/>
      <c r="T4142" s="49"/>
      <c r="U4142" s="49"/>
      <c r="V4142" s="49"/>
      <c r="W4142" s="49"/>
      <c r="X4142" s="49"/>
      <c r="Y4142" s="49"/>
      <c r="Z4142" s="49"/>
      <c r="AA4142" s="49"/>
      <c r="AB4142" s="49"/>
      <c r="AC4142" s="49"/>
      <c r="AD4142" s="49"/>
      <c r="AE4142" s="49"/>
      <c r="AF4142" s="49"/>
      <c r="AG4142" s="49"/>
      <c r="AH4142" s="49"/>
      <c r="AI4142" s="49"/>
      <c r="AJ4142" s="49"/>
      <c r="AK4142" s="49"/>
      <c r="AL4142" s="49"/>
      <c r="AM4142" s="49"/>
      <c r="AN4142" s="49"/>
      <c r="AP4142" s="49"/>
      <c r="AQ4142" s="49"/>
      <c r="AR4142" s="49"/>
      <c r="AS4142" s="49"/>
      <c r="AT4142" s="49"/>
    </row>
    <row r="4143">
      <c r="A4143" s="59"/>
      <c r="B4143" s="49"/>
      <c r="C4143" s="50"/>
      <c r="D4143" s="49"/>
      <c r="E4143" s="49"/>
      <c r="F4143" s="49"/>
      <c r="G4143" s="49"/>
      <c r="H4143" s="50"/>
      <c r="I4143" s="50"/>
      <c r="J4143" s="49"/>
      <c r="K4143" s="49"/>
      <c r="L4143" s="49"/>
      <c r="M4143" s="49"/>
      <c r="N4143" s="50"/>
      <c r="O4143" s="49"/>
      <c r="P4143" s="49"/>
      <c r="Q4143" s="49"/>
      <c r="R4143" s="49"/>
      <c r="S4143" s="49"/>
      <c r="T4143" s="49"/>
      <c r="U4143" s="49"/>
      <c r="V4143" s="49"/>
      <c r="W4143" s="49"/>
      <c r="X4143" s="49"/>
      <c r="Y4143" s="49"/>
      <c r="Z4143" s="49"/>
      <c r="AA4143" s="49"/>
      <c r="AB4143" s="49"/>
      <c r="AC4143" s="49"/>
      <c r="AD4143" s="49"/>
      <c r="AE4143" s="49"/>
      <c r="AF4143" s="49"/>
      <c r="AG4143" s="49"/>
      <c r="AH4143" s="49"/>
      <c r="AI4143" s="49"/>
      <c r="AJ4143" s="49"/>
      <c r="AK4143" s="49"/>
      <c r="AL4143" s="49"/>
      <c r="AM4143" s="49"/>
      <c r="AN4143" s="49"/>
      <c r="AP4143" s="49"/>
      <c r="AQ4143" s="49"/>
      <c r="AR4143" s="49"/>
      <c r="AS4143" s="49"/>
      <c r="AT4143" s="49"/>
    </row>
    <row r="4144">
      <c r="A4144" s="59"/>
      <c r="B4144" s="49"/>
      <c r="C4144" s="50"/>
      <c r="D4144" s="49"/>
      <c r="E4144" s="49"/>
      <c r="F4144" s="49"/>
      <c r="G4144" s="49"/>
      <c r="H4144" s="50"/>
      <c r="I4144" s="50"/>
      <c r="J4144" s="49"/>
      <c r="K4144" s="49"/>
      <c r="L4144" s="49"/>
      <c r="M4144" s="49"/>
      <c r="N4144" s="50"/>
      <c r="O4144" s="49"/>
      <c r="P4144" s="49"/>
      <c r="Q4144" s="49"/>
      <c r="R4144" s="49"/>
      <c r="S4144" s="49"/>
      <c r="T4144" s="49"/>
      <c r="U4144" s="49"/>
      <c r="V4144" s="49"/>
      <c r="W4144" s="49"/>
      <c r="X4144" s="49"/>
      <c r="Y4144" s="49"/>
      <c r="Z4144" s="49"/>
      <c r="AA4144" s="49"/>
      <c r="AB4144" s="49"/>
      <c r="AC4144" s="49"/>
      <c r="AD4144" s="49"/>
      <c r="AE4144" s="49"/>
      <c r="AF4144" s="49"/>
      <c r="AG4144" s="49"/>
      <c r="AH4144" s="49"/>
      <c r="AI4144" s="49"/>
      <c r="AJ4144" s="49"/>
      <c r="AK4144" s="49"/>
      <c r="AL4144" s="49"/>
      <c r="AM4144" s="49"/>
      <c r="AN4144" s="49"/>
      <c r="AP4144" s="49"/>
      <c r="AQ4144" s="49"/>
      <c r="AR4144" s="49"/>
      <c r="AS4144" s="49"/>
      <c r="AT4144" s="49"/>
    </row>
    <row r="4145">
      <c r="A4145" s="59"/>
      <c r="B4145" s="49"/>
      <c r="C4145" s="50"/>
      <c r="D4145" s="49"/>
      <c r="E4145" s="49"/>
      <c r="F4145" s="49"/>
      <c r="G4145" s="49"/>
      <c r="H4145" s="50"/>
      <c r="I4145" s="50"/>
      <c r="J4145" s="49"/>
      <c r="K4145" s="49"/>
      <c r="L4145" s="49"/>
      <c r="M4145" s="49"/>
      <c r="N4145" s="50"/>
      <c r="O4145" s="49"/>
      <c r="P4145" s="49"/>
      <c r="Q4145" s="49"/>
      <c r="R4145" s="49"/>
      <c r="S4145" s="49"/>
      <c r="T4145" s="49"/>
      <c r="U4145" s="49"/>
      <c r="V4145" s="49"/>
      <c r="W4145" s="49"/>
      <c r="X4145" s="49"/>
      <c r="Y4145" s="49"/>
      <c r="Z4145" s="49"/>
      <c r="AA4145" s="49"/>
      <c r="AB4145" s="49"/>
      <c r="AC4145" s="49"/>
      <c r="AD4145" s="49"/>
      <c r="AE4145" s="49"/>
      <c r="AF4145" s="49"/>
      <c r="AG4145" s="49"/>
      <c r="AH4145" s="49"/>
      <c r="AI4145" s="49"/>
      <c r="AJ4145" s="49"/>
      <c r="AK4145" s="49"/>
      <c r="AL4145" s="49"/>
      <c r="AM4145" s="49"/>
      <c r="AN4145" s="49"/>
      <c r="AP4145" s="49"/>
      <c r="AQ4145" s="49"/>
      <c r="AR4145" s="49"/>
      <c r="AS4145" s="49"/>
      <c r="AT4145" s="49"/>
    </row>
    <row r="4146">
      <c r="A4146" s="59"/>
      <c r="B4146" s="49"/>
      <c r="C4146" s="50"/>
      <c r="D4146" s="49"/>
      <c r="E4146" s="49"/>
      <c r="F4146" s="49"/>
      <c r="G4146" s="49"/>
      <c r="H4146" s="50"/>
      <c r="I4146" s="50"/>
      <c r="J4146" s="49"/>
      <c r="K4146" s="49"/>
      <c r="L4146" s="49"/>
      <c r="M4146" s="49"/>
      <c r="N4146" s="50"/>
      <c r="O4146" s="49"/>
      <c r="P4146" s="49"/>
      <c r="Q4146" s="49"/>
      <c r="R4146" s="49"/>
      <c r="S4146" s="49"/>
      <c r="T4146" s="49"/>
      <c r="U4146" s="49"/>
      <c r="V4146" s="49"/>
      <c r="W4146" s="49"/>
      <c r="X4146" s="49"/>
      <c r="Y4146" s="49"/>
      <c r="Z4146" s="49"/>
      <c r="AA4146" s="49"/>
      <c r="AB4146" s="49"/>
      <c r="AC4146" s="49"/>
      <c r="AD4146" s="49"/>
      <c r="AE4146" s="49"/>
      <c r="AF4146" s="49"/>
      <c r="AG4146" s="49"/>
      <c r="AH4146" s="49"/>
      <c r="AI4146" s="49"/>
      <c r="AJ4146" s="49"/>
      <c r="AK4146" s="49"/>
      <c r="AL4146" s="49"/>
      <c r="AM4146" s="49"/>
      <c r="AN4146" s="49"/>
      <c r="AP4146" s="49"/>
      <c r="AQ4146" s="49"/>
      <c r="AR4146" s="49"/>
      <c r="AS4146" s="49"/>
      <c r="AT4146" s="49"/>
    </row>
    <row r="4147">
      <c r="A4147" s="59"/>
      <c r="B4147" s="49"/>
      <c r="C4147" s="50"/>
      <c r="D4147" s="49"/>
      <c r="E4147" s="49"/>
      <c r="F4147" s="49"/>
      <c r="G4147" s="49"/>
      <c r="H4147" s="50"/>
      <c r="I4147" s="50"/>
      <c r="J4147" s="49"/>
      <c r="K4147" s="49"/>
      <c r="L4147" s="49"/>
      <c r="M4147" s="49"/>
      <c r="N4147" s="50"/>
      <c r="O4147" s="49"/>
      <c r="P4147" s="49"/>
      <c r="Q4147" s="49"/>
      <c r="R4147" s="49"/>
      <c r="S4147" s="49"/>
      <c r="T4147" s="49"/>
      <c r="U4147" s="49"/>
      <c r="V4147" s="49"/>
      <c r="W4147" s="49"/>
      <c r="X4147" s="49"/>
      <c r="Y4147" s="49"/>
      <c r="Z4147" s="49"/>
      <c r="AA4147" s="49"/>
      <c r="AB4147" s="49"/>
      <c r="AC4147" s="49"/>
      <c r="AD4147" s="49"/>
      <c r="AE4147" s="49"/>
      <c r="AF4147" s="49"/>
      <c r="AG4147" s="49"/>
      <c r="AH4147" s="49"/>
      <c r="AI4147" s="49"/>
      <c r="AJ4147" s="49"/>
      <c r="AK4147" s="49"/>
      <c r="AL4147" s="49"/>
      <c r="AM4147" s="49"/>
      <c r="AN4147" s="49"/>
      <c r="AP4147" s="49"/>
      <c r="AQ4147" s="49"/>
      <c r="AR4147" s="49"/>
      <c r="AS4147" s="49"/>
      <c r="AT4147" s="49"/>
    </row>
    <row r="4148">
      <c r="A4148" s="59"/>
      <c r="B4148" s="49"/>
      <c r="C4148" s="50"/>
      <c r="D4148" s="49"/>
      <c r="E4148" s="49"/>
      <c r="F4148" s="49"/>
      <c r="G4148" s="49"/>
      <c r="H4148" s="50"/>
      <c r="I4148" s="50"/>
      <c r="J4148" s="49"/>
      <c r="K4148" s="49"/>
      <c r="L4148" s="49"/>
      <c r="M4148" s="49"/>
      <c r="N4148" s="50"/>
      <c r="O4148" s="49"/>
      <c r="P4148" s="49"/>
      <c r="Q4148" s="49"/>
      <c r="R4148" s="49"/>
      <c r="S4148" s="49"/>
      <c r="T4148" s="49"/>
      <c r="U4148" s="49"/>
      <c r="V4148" s="49"/>
      <c r="W4148" s="49"/>
      <c r="X4148" s="49"/>
      <c r="Y4148" s="49"/>
      <c r="Z4148" s="49"/>
      <c r="AA4148" s="49"/>
      <c r="AB4148" s="49"/>
      <c r="AC4148" s="49"/>
      <c r="AD4148" s="49"/>
      <c r="AE4148" s="49"/>
      <c r="AF4148" s="49"/>
      <c r="AG4148" s="49"/>
      <c r="AH4148" s="49"/>
      <c r="AI4148" s="49"/>
      <c r="AJ4148" s="49"/>
      <c r="AK4148" s="49"/>
      <c r="AL4148" s="49"/>
      <c r="AM4148" s="49"/>
      <c r="AN4148" s="49"/>
      <c r="AP4148" s="49"/>
      <c r="AQ4148" s="49"/>
      <c r="AR4148" s="49"/>
      <c r="AS4148" s="49"/>
      <c r="AT4148" s="49"/>
    </row>
    <row r="4149">
      <c r="A4149" s="59"/>
      <c r="B4149" s="49"/>
      <c r="C4149" s="50"/>
      <c r="D4149" s="49"/>
      <c r="E4149" s="49"/>
      <c r="F4149" s="49"/>
      <c r="G4149" s="49"/>
      <c r="H4149" s="50"/>
      <c r="I4149" s="50"/>
      <c r="J4149" s="49"/>
      <c r="K4149" s="49"/>
      <c r="L4149" s="49"/>
      <c r="M4149" s="49"/>
      <c r="N4149" s="50"/>
      <c r="O4149" s="49"/>
      <c r="P4149" s="49"/>
      <c r="Q4149" s="49"/>
      <c r="R4149" s="49"/>
      <c r="S4149" s="49"/>
      <c r="T4149" s="49"/>
      <c r="U4149" s="49"/>
      <c r="V4149" s="49"/>
      <c r="W4149" s="49"/>
      <c r="X4149" s="49"/>
      <c r="Y4149" s="49"/>
      <c r="Z4149" s="49"/>
      <c r="AA4149" s="49"/>
      <c r="AB4149" s="49"/>
      <c r="AC4149" s="49"/>
      <c r="AD4149" s="49"/>
      <c r="AE4149" s="49"/>
      <c r="AF4149" s="49"/>
      <c r="AG4149" s="49"/>
      <c r="AH4149" s="49"/>
      <c r="AI4149" s="49"/>
      <c r="AJ4149" s="49"/>
      <c r="AK4149" s="49"/>
      <c r="AL4149" s="49"/>
      <c r="AM4149" s="49"/>
      <c r="AN4149" s="49"/>
      <c r="AP4149" s="49"/>
      <c r="AQ4149" s="49"/>
      <c r="AR4149" s="49"/>
      <c r="AS4149" s="49"/>
      <c r="AT4149" s="49"/>
    </row>
    <row r="4150">
      <c r="A4150" s="59"/>
      <c r="B4150" s="49"/>
      <c r="C4150" s="50"/>
      <c r="D4150" s="49"/>
      <c r="E4150" s="49"/>
      <c r="F4150" s="49"/>
      <c r="G4150" s="49"/>
      <c r="H4150" s="50"/>
      <c r="I4150" s="50"/>
      <c r="J4150" s="49"/>
      <c r="K4150" s="49"/>
      <c r="L4150" s="49"/>
      <c r="M4150" s="49"/>
      <c r="N4150" s="50"/>
      <c r="O4150" s="49"/>
      <c r="P4150" s="49"/>
      <c r="Q4150" s="49"/>
      <c r="R4150" s="49"/>
      <c r="S4150" s="49"/>
      <c r="T4150" s="49"/>
      <c r="U4150" s="49"/>
      <c r="V4150" s="49"/>
      <c r="W4150" s="49"/>
      <c r="X4150" s="49"/>
      <c r="Y4150" s="49"/>
      <c r="Z4150" s="49"/>
      <c r="AA4150" s="49"/>
      <c r="AB4150" s="49"/>
      <c r="AC4150" s="49"/>
      <c r="AD4150" s="49"/>
      <c r="AE4150" s="49"/>
      <c r="AF4150" s="49"/>
      <c r="AG4150" s="49"/>
      <c r="AH4150" s="49"/>
      <c r="AI4150" s="49"/>
      <c r="AJ4150" s="49"/>
      <c r="AK4150" s="49"/>
      <c r="AL4150" s="49"/>
      <c r="AM4150" s="49"/>
      <c r="AN4150" s="49"/>
      <c r="AP4150" s="49"/>
      <c r="AQ4150" s="49"/>
      <c r="AR4150" s="49"/>
      <c r="AS4150" s="49"/>
      <c r="AT4150" s="49"/>
    </row>
    <row r="4151">
      <c r="A4151" s="59"/>
      <c r="B4151" s="49"/>
      <c r="C4151" s="50"/>
      <c r="D4151" s="49"/>
      <c r="E4151" s="49"/>
      <c r="F4151" s="49"/>
      <c r="G4151" s="49"/>
      <c r="H4151" s="50"/>
      <c r="I4151" s="50"/>
      <c r="J4151" s="49"/>
      <c r="K4151" s="49"/>
      <c r="L4151" s="49"/>
      <c r="M4151" s="49"/>
      <c r="N4151" s="50"/>
      <c r="O4151" s="49"/>
      <c r="P4151" s="49"/>
      <c r="Q4151" s="49"/>
      <c r="R4151" s="49"/>
      <c r="S4151" s="49"/>
      <c r="T4151" s="49"/>
      <c r="U4151" s="49"/>
      <c r="V4151" s="49"/>
      <c r="W4151" s="49"/>
      <c r="X4151" s="49"/>
      <c r="Y4151" s="49"/>
      <c r="Z4151" s="49"/>
      <c r="AA4151" s="49"/>
      <c r="AB4151" s="49"/>
      <c r="AC4151" s="49"/>
      <c r="AD4151" s="49"/>
      <c r="AE4151" s="49"/>
      <c r="AF4151" s="49"/>
      <c r="AG4151" s="49"/>
      <c r="AH4151" s="49"/>
      <c r="AI4151" s="49"/>
      <c r="AJ4151" s="49"/>
      <c r="AK4151" s="49"/>
      <c r="AL4151" s="49"/>
      <c r="AM4151" s="49"/>
      <c r="AN4151" s="49"/>
      <c r="AP4151" s="49"/>
      <c r="AQ4151" s="49"/>
      <c r="AR4151" s="49"/>
      <c r="AS4151" s="49"/>
      <c r="AT4151" s="49"/>
    </row>
    <row r="4152">
      <c r="A4152" s="59"/>
      <c r="B4152" s="49"/>
      <c r="C4152" s="50"/>
      <c r="D4152" s="49"/>
      <c r="E4152" s="49"/>
      <c r="F4152" s="49"/>
      <c r="G4152" s="49"/>
      <c r="H4152" s="50"/>
      <c r="I4152" s="50"/>
      <c r="J4152" s="49"/>
      <c r="K4152" s="49"/>
      <c r="L4152" s="49"/>
      <c r="M4152" s="49"/>
      <c r="N4152" s="50"/>
      <c r="O4152" s="49"/>
      <c r="P4152" s="49"/>
      <c r="Q4152" s="49"/>
      <c r="R4152" s="49"/>
      <c r="S4152" s="49"/>
      <c r="T4152" s="49"/>
      <c r="U4152" s="49"/>
      <c r="V4152" s="49"/>
      <c r="W4152" s="49"/>
      <c r="X4152" s="49"/>
      <c r="Y4152" s="49"/>
      <c r="Z4152" s="49"/>
      <c r="AA4152" s="49"/>
      <c r="AB4152" s="49"/>
      <c r="AC4152" s="49"/>
      <c r="AD4152" s="49"/>
      <c r="AE4152" s="49"/>
      <c r="AF4152" s="49"/>
      <c r="AG4152" s="49"/>
      <c r="AH4152" s="49"/>
      <c r="AI4152" s="49"/>
      <c r="AJ4152" s="49"/>
      <c r="AK4152" s="49"/>
      <c r="AL4152" s="49"/>
      <c r="AM4152" s="49"/>
      <c r="AN4152" s="49"/>
      <c r="AP4152" s="49"/>
      <c r="AQ4152" s="49"/>
      <c r="AR4152" s="49"/>
      <c r="AS4152" s="49"/>
      <c r="AT4152" s="49"/>
    </row>
    <row r="4153">
      <c r="A4153" s="59"/>
      <c r="B4153" s="49"/>
      <c r="C4153" s="50"/>
      <c r="D4153" s="49"/>
      <c r="E4153" s="49"/>
      <c r="F4153" s="49"/>
      <c r="G4153" s="49"/>
      <c r="H4153" s="50"/>
      <c r="I4153" s="50"/>
      <c r="J4153" s="49"/>
      <c r="K4153" s="49"/>
      <c r="L4153" s="49"/>
      <c r="M4153" s="49"/>
      <c r="N4153" s="50"/>
      <c r="O4153" s="49"/>
      <c r="P4153" s="49"/>
      <c r="Q4153" s="49"/>
      <c r="R4153" s="49"/>
      <c r="S4153" s="49"/>
      <c r="T4153" s="49"/>
      <c r="U4153" s="49"/>
      <c r="V4153" s="49"/>
      <c r="W4153" s="49"/>
      <c r="X4153" s="49"/>
      <c r="Y4153" s="49"/>
      <c r="Z4153" s="49"/>
      <c r="AA4153" s="49"/>
      <c r="AB4153" s="49"/>
      <c r="AC4153" s="49"/>
      <c r="AD4153" s="49"/>
      <c r="AE4153" s="49"/>
      <c r="AF4153" s="49"/>
      <c r="AG4153" s="49"/>
      <c r="AH4153" s="49"/>
      <c r="AI4153" s="49"/>
      <c r="AJ4153" s="49"/>
      <c r="AK4153" s="49"/>
      <c r="AL4153" s="49"/>
      <c r="AM4153" s="49"/>
      <c r="AN4153" s="49"/>
      <c r="AP4153" s="49"/>
      <c r="AQ4153" s="49"/>
      <c r="AR4153" s="49"/>
      <c r="AS4153" s="49"/>
      <c r="AT4153" s="49"/>
    </row>
    <row r="4154">
      <c r="A4154" s="59"/>
      <c r="B4154" s="49"/>
      <c r="C4154" s="50"/>
      <c r="D4154" s="49"/>
      <c r="E4154" s="49"/>
      <c r="F4154" s="49"/>
      <c r="G4154" s="49"/>
      <c r="H4154" s="50"/>
      <c r="I4154" s="50"/>
      <c r="J4154" s="49"/>
      <c r="K4154" s="49"/>
      <c r="L4154" s="49"/>
      <c r="M4154" s="49"/>
      <c r="N4154" s="50"/>
      <c r="O4154" s="49"/>
      <c r="P4154" s="49"/>
      <c r="Q4154" s="49"/>
      <c r="R4154" s="49"/>
      <c r="S4154" s="49"/>
      <c r="T4154" s="49"/>
      <c r="U4154" s="49"/>
      <c r="V4154" s="49"/>
      <c r="W4154" s="49"/>
      <c r="X4154" s="49"/>
      <c r="Y4154" s="49"/>
      <c r="Z4154" s="49"/>
      <c r="AA4154" s="49"/>
      <c r="AB4154" s="49"/>
      <c r="AC4154" s="49"/>
      <c r="AD4154" s="49"/>
      <c r="AE4154" s="49"/>
      <c r="AF4154" s="49"/>
      <c r="AG4154" s="49"/>
      <c r="AH4154" s="49"/>
      <c r="AI4154" s="49"/>
      <c r="AJ4154" s="49"/>
      <c r="AK4154" s="49"/>
      <c r="AL4154" s="49"/>
      <c r="AM4154" s="49"/>
      <c r="AN4154" s="49"/>
      <c r="AP4154" s="49"/>
      <c r="AQ4154" s="49"/>
      <c r="AR4154" s="49"/>
      <c r="AS4154" s="49"/>
      <c r="AT4154" s="49"/>
    </row>
    <row r="4155">
      <c r="A4155" s="59"/>
      <c r="B4155" s="49"/>
      <c r="C4155" s="50"/>
      <c r="D4155" s="49"/>
      <c r="E4155" s="49"/>
      <c r="F4155" s="49"/>
      <c r="G4155" s="49"/>
      <c r="H4155" s="50"/>
      <c r="I4155" s="50"/>
      <c r="J4155" s="49"/>
      <c r="K4155" s="49"/>
      <c r="L4155" s="49"/>
      <c r="M4155" s="49"/>
      <c r="N4155" s="50"/>
      <c r="O4155" s="49"/>
      <c r="P4155" s="49"/>
      <c r="Q4155" s="49"/>
      <c r="R4155" s="49"/>
      <c r="S4155" s="49"/>
      <c r="T4155" s="49"/>
      <c r="U4155" s="49"/>
      <c r="V4155" s="49"/>
      <c r="W4155" s="49"/>
      <c r="X4155" s="49"/>
      <c r="Y4155" s="49"/>
      <c r="Z4155" s="49"/>
      <c r="AA4155" s="49"/>
      <c r="AB4155" s="49"/>
      <c r="AC4155" s="49"/>
      <c r="AD4155" s="49"/>
      <c r="AE4155" s="49"/>
      <c r="AF4155" s="49"/>
      <c r="AG4155" s="49"/>
      <c r="AH4155" s="49"/>
      <c r="AI4155" s="49"/>
      <c r="AJ4155" s="49"/>
      <c r="AK4155" s="49"/>
      <c r="AL4155" s="49"/>
      <c r="AM4155" s="49"/>
      <c r="AN4155" s="49"/>
      <c r="AP4155" s="49"/>
      <c r="AQ4155" s="49"/>
      <c r="AR4155" s="49"/>
      <c r="AS4155" s="49"/>
      <c r="AT4155" s="49"/>
    </row>
    <row r="4156">
      <c r="A4156" s="59"/>
      <c r="B4156" s="49"/>
      <c r="C4156" s="50"/>
      <c r="D4156" s="49"/>
      <c r="E4156" s="49"/>
      <c r="F4156" s="49"/>
      <c r="G4156" s="49"/>
      <c r="H4156" s="50"/>
      <c r="I4156" s="50"/>
      <c r="J4156" s="49"/>
      <c r="K4156" s="49"/>
      <c r="L4156" s="49"/>
      <c r="M4156" s="49"/>
      <c r="N4156" s="50"/>
      <c r="O4156" s="49"/>
      <c r="P4156" s="49"/>
      <c r="Q4156" s="49"/>
      <c r="R4156" s="49"/>
      <c r="S4156" s="49"/>
      <c r="T4156" s="49"/>
      <c r="U4156" s="49"/>
      <c r="V4156" s="49"/>
      <c r="W4156" s="49"/>
      <c r="X4156" s="49"/>
      <c r="Y4156" s="49"/>
      <c r="Z4156" s="49"/>
      <c r="AA4156" s="49"/>
      <c r="AB4156" s="49"/>
      <c r="AC4156" s="49"/>
      <c r="AD4156" s="49"/>
      <c r="AE4156" s="49"/>
      <c r="AF4156" s="49"/>
      <c r="AG4156" s="49"/>
      <c r="AH4156" s="49"/>
      <c r="AI4156" s="49"/>
      <c r="AJ4156" s="49"/>
      <c r="AK4156" s="49"/>
      <c r="AL4156" s="49"/>
      <c r="AM4156" s="49"/>
      <c r="AN4156" s="49"/>
      <c r="AP4156" s="49"/>
      <c r="AQ4156" s="49"/>
      <c r="AR4156" s="49"/>
      <c r="AS4156" s="49"/>
      <c r="AT4156" s="49"/>
    </row>
    <row r="4157">
      <c r="A4157" s="59"/>
      <c r="B4157" s="49"/>
      <c r="C4157" s="50"/>
      <c r="D4157" s="49"/>
      <c r="E4157" s="49"/>
      <c r="F4157" s="49"/>
      <c r="G4157" s="49"/>
      <c r="H4157" s="50"/>
      <c r="I4157" s="50"/>
      <c r="J4157" s="49"/>
      <c r="K4157" s="49"/>
      <c r="L4157" s="49"/>
      <c r="M4157" s="49"/>
      <c r="N4157" s="50"/>
      <c r="O4157" s="49"/>
      <c r="P4157" s="49"/>
      <c r="Q4157" s="49"/>
      <c r="R4157" s="49"/>
      <c r="S4157" s="49"/>
      <c r="T4157" s="49"/>
      <c r="U4157" s="49"/>
      <c r="V4157" s="49"/>
      <c r="W4157" s="49"/>
      <c r="X4157" s="49"/>
      <c r="Y4157" s="49"/>
      <c r="Z4157" s="49"/>
      <c r="AA4157" s="49"/>
      <c r="AB4157" s="49"/>
      <c r="AC4157" s="49"/>
      <c r="AD4157" s="49"/>
      <c r="AE4157" s="49"/>
      <c r="AF4157" s="49"/>
      <c r="AG4157" s="49"/>
      <c r="AH4157" s="49"/>
      <c r="AI4157" s="49"/>
      <c r="AJ4157" s="49"/>
      <c r="AK4157" s="49"/>
      <c r="AL4157" s="49"/>
      <c r="AM4157" s="49"/>
      <c r="AN4157" s="49"/>
      <c r="AP4157" s="49"/>
      <c r="AQ4157" s="49"/>
      <c r="AR4157" s="49"/>
      <c r="AS4157" s="49"/>
      <c r="AT4157" s="49"/>
    </row>
    <row r="4158">
      <c r="A4158" s="59"/>
      <c r="B4158" s="49"/>
      <c r="C4158" s="50"/>
      <c r="D4158" s="49"/>
      <c r="E4158" s="49"/>
      <c r="F4158" s="49"/>
      <c r="G4158" s="49"/>
      <c r="H4158" s="50"/>
      <c r="I4158" s="50"/>
      <c r="J4158" s="49"/>
      <c r="K4158" s="49"/>
      <c r="L4158" s="49"/>
      <c r="M4158" s="49"/>
      <c r="N4158" s="50"/>
      <c r="O4158" s="49"/>
      <c r="P4158" s="49"/>
      <c r="Q4158" s="49"/>
      <c r="R4158" s="49"/>
      <c r="S4158" s="49"/>
      <c r="T4158" s="49"/>
      <c r="U4158" s="49"/>
      <c r="V4158" s="49"/>
      <c r="W4158" s="49"/>
      <c r="X4158" s="49"/>
      <c r="Y4158" s="49"/>
      <c r="Z4158" s="49"/>
      <c r="AA4158" s="49"/>
      <c r="AB4158" s="49"/>
      <c r="AC4158" s="49"/>
      <c r="AD4158" s="49"/>
      <c r="AE4158" s="49"/>
      <c r="AF4158" s="49"/>
      <c r="AG4158" s="49"/>
      <c r="AH4158" s="49"/>
      <c r="AI4158" s="49"/>
      <c r="AJ4158" s="49"/>
      <c r="AK4158" s="49"/>
      <c r="AL4158" s="49"/>
      <c r="AM4158" s="49"/>
      <c r="AN4158" s="49"/>
      <c r="AP4158" s="49"/>
      <c r="AQ4158" s="49"/>
      <c r="AR4158" s="49"/>
      <c r="AS4158" s="49"/>
      <c r="AT4158" s="49"/>
    </row>
    <row r="4159">
      <c r="A4159" s="59"/>
      <c r="B4159" s="49"/>
      <c r="C4159" s="50"/>
      <c r="D4159" s="49"/>
      <c r="E4159" s="49"/>
      <c r="F4159" s="49"/>
      <c r="G4159" s="49"/>
      <c r="H4159" s="50"/>
      <c r="I4159" s="50"/>
      <c r="J4159" s="49"/>
      <c r="K4159" s="49"/>
      <c r="L4159" s="49"/>
      <c r="M4159" s="49"/>
      <c r="N4159" s="50"/>
      <c r="O4159" s="49"/>
      <c r="P4159" s="49"/>
      <c r="Q4159" s="49"/>
      <c r="R4159" s="49"/>
      <c r="S4159" s="49"/>
      <c r="T4159" s="49"/>
      <c r="U4159" s="49"/>
      <c r="V4159" s="49"/>
      <c r="W4159" s="49"/>
      <c r="X4159" s="49"/>
      <c r="Y4159" s="49"/>
      <c r="Z4159" s="49"/>
      <c r="AA4159" s="49"/>
      <c r="AB4159" s="49"/>
      <c r="AC4159" s="49"/>
      <c r="AD4159" s="49"/>
      <c r="AE4159" s="49"/>
      <c r="AF4159" s="49"/>
      <c r="AG4159" s="49"/>
      <c r="AH4159" s="49"/>
      <c r="AI4159" s="49"/>
      <c r="AJ4159" s="49"/>
      <c r="AK4159" s="49"/>
      <c r="AL4159" s="49"/>
      <c r="AM4159" s="49"/>
      <c r="AN4159" s="49"/>
      <c r="AP4159" s="49"/>
      <c r="AQ4159" s="49"/>
      <c r="AR4159" s="49"/>
      <c r="AS4159" s="49"/>
      <c r="AT4159" s="49"/>
    </row>
    <row r="4160">
      <c r="A4160" s="59"/>
      <c r="B4160" s="49"/>
      <c r="C4160" s="50"/>
      <c r="D4160" s="49"/>
      <c r="E4160" s="49"/>
      <c r="F4160" s="49"/>
      <c r="G4160" s="49"/>
      <c r="H4160" s="50"/>
      <c r="I4160" s="50"/>
      <c r="J4160" s="49"/>
      <c r="K4160" s="49"/>
      <c r="L4160" s="49"/>
      <c r="M4160" s="49"/>
      <c r="N4160" s="50"/>
      <c r="O4160" s="49"/>
      <c r="P4160" s="49"/>
      <c r="Q4160" s="49"/>
      <c r="R4160" s="49"/>
      <c r="S4160" s="49"/>
      <c r="T4160" s="49"/>
      <c r="U4160" s="49"/>
      <c r="V4160" s="49"/>
      <c r="W4160" s="49"/>
      <c r="X4160" s="49"/>
      <c r="Y4160" s="49"/>
      <c r="Z4160" s="49"/>
      <c r="AA4160" s="49"/>
      <c r="AB4160" s="49"/>
      <c r="AC4160" s="49"/>
      <c r="AD4160" s="49"/>
      <c r="AE4160" s="49"/>
      <c r="AF4160" s="49"/>
      <c r="AG4160" s="49"/>
      <c r="AH4160" s="49"/>
      <c r="AI4160" s="49"/>
      <c r="AJ4160" s="49"/>
      <c r="AK4160" s="49"/>
      <c r="AL4160" s="49"/>
      <c r="AM4160" s="49"/>
      <c r="AN4160" s="49"/>
      <c r="AP4160" s="49"/>
      <c r="AQ4160" s="49"/>
      <c r="AR4160" s="49"/>
      <c r="AS4160" s="49"/>
      <c r="AT4160" s="49"/>
    </row>
    <row r="4161">
      <c r="A4161" s="59"/>
      <c r="B4161" s="49"/>
      <c r="C4161" s="50"/>
      <c r="D4161" s="49"/>
      <c r="E4161" s="49"/>
      <c r="F4161" s="49"/>
      <c r="G4161" s="49"/>
      <c r="H4161" s="50"/>
      <c r="I4161" s="50"/>
      <c r="J4161" s="49"/>
      <c r="K4161" s="49"/>
      <c r="L4161" s="49"/>
      <c r="M4161" s="49"/>
      <c r="N4161" s="50"/>
      <c r="O4161" s="49"/>
      <c r="P4161" s="49"/>
      <c r="Q4161" s="49"/>
      <c r="R4161" s="49"/>
      <c r="S4161" s="49"/>
      <c r="T4161" s="49"/>
      <c r="U4161" s="49"/>
      <c r="V4161" s="49"/>
      <c r="W4161" s="49"/>
      <c r="X4161" s="49"/>
      <c r="Y4161" s="49"/>
      <c r="Z4161" s="49"/>
      <c r="AA4161" s="49"/>
      <c r="AB4161" s="49"/>
      <c r="AC4161" s="49"/>
      <c r="AD4161" s="49"/>
      <c r="AE4161" s="49"/>
      <c r="AF4161" s="49"/>
      <c r="AG4161" s="49"/>
      <c r="AH4161" s="49"/>
      <c r="AI4161" s="49"/>
      <c r="AJ4161" s="49"/>
      <c r="AK4161" s="49"/>
      <c r="AL4161" s="49"/>
      <c r="AM4161" s="49"/>
      <c r="AN4161" s="49"/>
      <c r="AP4161" s="49"/>
      <c r="AQ4161" s="49"/>
      <c r="AR4161" s="49"/>
      <c r="AS4161" s="49"/>
      <c r="AT4161" s="49"/>
    </row>
    <row r="4162">
      <c r="A4162" s="59"/>
      <c r="B4162" s="49"/>
      <c r="C4162" s="50"/>
      <c r="D4162" s="49"/>
      <c r="E4162" s="49"/>
      <c r="F4162" s="49"/>
      <c r="G4162" s="49"/>
      <c r="H4162" s="50"/>
      <c r="I4162" s="50"/>
      <c r="J4162" s="49"/>
      <c r="K4162" s="49"/>
      <c r="L4162" s="49"/>
      <c r="M4162" s="49"/>
      <c r="N4162" s="50"/>
      <c r="O4162" s="49"/>
      <c r="P4162" s="49"/>
      <c r="Q4162" s="49"/>
      <c r="R4162" s="49"/>
      <c r="S4162" s="49"/>
      <c r="T4162" s="49"/>
      <c r="U4162" s="49"/>
      <c r="V4162" s="49"/>
      <c r="W4162" s="49"/>
      <c r="X4162" s="49"/>
      <c r="Y4162" s="49"/>
      <c r="Z4162" s="49"/>
      <c r="AA4162" s="49"/>
      <c r="AB4162" s="49"/>
      <c r="AC4162" s="49"/>
      <c r="AD4162" s="49"/>
      <c r="AE4162" s="49"/>
      <c r="AF4162" s="49"/>
      <c r="AG4162" s="49"/>
      <c r="AH4162" s="49"/>
      <c r="AI4162" s="49"/>
      <c r="AJ4162" s="49"/>
      <c r="AK4162" s="49"/>
      <c r="AL4162" s="49"/>
      <c r="AM4162" s="49"/>
      <c r="AN4162" s="49"/>
      <c r="AP4162" s="49"/>
      <c r="AQ4162" s="49"/>
      <c r="AR4162" s="49"/>
      <c r="AS4162" s="49"/>
      <c r="AT4162" s="49"/>
    </row>
    <row r="4163">
      <c r="A4163" s="59"/>
      <c r="B4163" s="49"/>
      <c r="C4163" s="50"/>
      <c r="D4163" s="49"/>
      <c r="E4163" s="49"/>
      <c r="F4163" s="49"/>
      <c r="G4163" s="49"/>
      <c r="H4163" s="50"/>
      <c r="I4163" s="50"/>
      <c r="J4163" s="49"/>
      <c r="K4163" s="49"/>
      <c r="L4163" s="49"/>
      <c r="M4163" s="49"/>
      <c r="N4163" s="50"/>
      <c r="O4163" s="49"/>
      <c r="P4163" s="49"/>
      <c r="Q4163" s="49"/>
      <c r="R4163" s="49"/>
      <c r="S4163" s="49"/>
      <c r="T4163" s="49"/>
      <c r="U4163" s="49"/>
      <c r="V4163" s="49"/>
      <c r="W4163" s="49"/>
      <c r="X4163" s="49"/>
      <c r="Y4163" s="49"/>
      <c r="Z4163" s="49"/>
      <c r="AA4163" s="49"/>
      <c r="AB4163" s="49"/>
      <c r="AC4163" s="49"/>
      <c r="AD4163" s="49"/>
      <c r="AE4163" s="49"/>
      <c r="AF4163" s="49"/>
      <c r="AG4163" s="49"/>
      <c r="AH4163" s="49"/>
      <c r="AI4163" s="49"/>
      <c r="AJ4163" s="49"/>
      <c r="AK4163" s="49"/>
      <c r="AL4163" s="49"/>
      <c r="AM4163" s="49"/>
      <c r="AN4163" s="49"/>
      <c r="AP4163" s="49"/>
      <c r="AQ4163" s="49"/>
      <c r="AR4163" s="49"/>
      <c r="AS4163" s="49"/>
      <c r="AT4163" s="49"/>
    </row>
    <row r="4164">
      <c r="A4164" s="59"/>
      <c r="B4164" s="49"/>
      <c r="C4164" s="50"/>
      <c r="D4164" s="49"/>
      <c r="E4164" s="49"/>
      <c r="F4164" s="49"/>
      <c r="G4164" s="49"/>
      <c r="H4164" s="50"/>
      <c r="I4164" s="50"/>
      <c r="J4164" s="49"/>
      <c r="K4164" s="49"/>
      <c r="L4164" s="49"/>
      <c r="M4164" s="49"/>
      <c r="N4164" s="50"/>
      <c r="O4164" s="49"/>
      <c r="P4164" s="49"/>
      <c r="Q4164" s="49"/>
      <c r="R4164" s="49"/>
      <c r="S4164" s="49"/>
      <c r="T4164" s="49"/>
      <c r="U4164" s="49"/>
      <c r="V4164" s="49"/>
      <c r="W4164" s="49"/>
      <c r="X4164" s="49"/>
      <c r="Y4164" s="49"/>
      <c r="Z4164" s="49"/>
      <c r="AA4164" s="49"/>
      <c r="AB4164" s="49"/>
      <c r="AC4164" s="49"/>
      <c r="AD4164" s="49"/>
      <c r="AE4164" s="49"/>
      <c r="AF4164" s="49"/>
      <c r="AG4164" s="49"/>
      <c r="AH4164" s="49"/>
      <c r="AI4164" s="49"/>
      <c r="AJ4164" s="49"/>
      <c r="AK4164" s="49"/>
      <c r="AL4164" s="49"/>
      <c r="AM4164" s="49"/>
      <c r="AN4164" s="49"/>
      <c r="AP4164" s="49"/>
      <c r="AQ4164" s="49"/>
      <c r="AR4164" s="49"/>
      <c r="AS4164" s="49"/>
      <c r="AT4164" s="49"/>
    </row>
    <row r="4165">
      <c r="A4165" s="59"/>
      <c r="B4165" s="49"/>
      <c r="C4165" s="50"/>
      <c r="D4165" s="49"/>
      <c r="E4165" s="49"/>
      <c r="F4165" s="49"/>
      <c r="G4165" s="49"/>
      <c r="H4165" s="50"/>
      <c r="I4165" s="50"/>
      <c r="J4165" s="49"/>
      <c r="K4165" s="49"/>
      <c r="L4165" s="49"/>
      <c r="M4165" s="49"/>
      <c r="N4165" s="50"/>
      <c r="O4165" s="49"/>
      <c r="P4165" s="49"/>
      <c r="Q4165" s="49"/>
      <c r="R4165" s="49"/>
      <c r="S4165" s="49"/>
      <c r="T4165" s="49"/>
      <c r="U4165" s="49"/>
      <c r="V4165" s="49"/>
      <c r="W4165" s="49"/>
      <c r="X4165" s="49"/>
      <c r="Y4165" s="49"/>
      <c r="Z4165" s="49"/>
      <c r="AA4165" s="49"/>
      <c r="AB4165" s="49"/>
      <c r="AC4165" s="49"/>
      <c r="AD4165" s="49"/>
      <c r="AE4165" s="49"/>
      <c r="AF4165" s="49"/>
      <c r="AG4165" s="49"/>
      <c r="AH4165" s="49"/>
      <c r="AI4165" s="49"/>
      <c r="AJ4165" s="49"/>
      <c r="AK4165" s="49"/>
      <c r="AL4165" s="49"/>
      <c r="AM4165" s="49"/>
      <c r="AN4165" s="49"/>
      <c r="AP4165" s="49"/>
      <c r="AQ4165" s="49"/>
      <c r="AR4165" s="49"/>
      <c r="AS4165" s="49"/>
      <c r="AT4165" s="49"/>
    </row>
    <row r="4166">
      <c r="A4166" s="59"/>
      <c r="B4166" s="49"/>
      <c r="C4166" s="50"/>
      <c r="D4166" s="49"/>
      <c r="E4166" s="49"/>
      <c r="F4166" s="49"/>
      <c r="G4166" s="49"/>
      <c r="H4166" s="50"/>
      <c r="I4166" s="50"/>
      <c r="J4166" s="49"/>
      <c r="K4166" s="49"/>
      <c r="L4166" s="49"/>
      <c r="M4166" s="49"/>
      <c r="N4166" s="50"/>
      <c r="O4166" s="49"/>
      <c r="P4166" s="49"/>
      <c r="Q4166" s="49"/>
      <c r="R4166" s="49"/>
      <c r="S4166" s="49"/>
      <c r="T4166" s="49"/>
      <c r="U4166" s="49"/>
      <c r="V4166" s="49"/>
      <c r="W4166" s="49"/>
      <c r="X4166" s="49"/>
      <c r="Y4166" s="49"/>
      <c r="Z4166" s="49"/>
      <c r="AA4166" s="49"/>
      <c r="AB4166" s="49"/>
      <c r="AC4166" s="49"/>
      <c r="AD4166" s="49"/>
      <c r="AE4166" s="49"/>
      <c r="AF4166" s="49"/>
      <c r="AG4166" s="49"/>
      <c r="AH4166" s="49"/>
      <c r="AI4166" s="49"/>
      <c r="AJ4166" s="49"/>
      <c r="AK4166" s="49"/>
      <c r="AL4166" s="49"/>
      <c r="AM4166" s="49"/>
      <c r="AN4166" s="49"/>
      <c r="AP4166" s="49"/>
      <c r="AQ4166" s="49"/>
      <c r="AR4166" s="49"/>
      <c r="AS4166" s="49"/>
      <c r="AT4166" s="49"/>
    </row>
    <row r="4167">
      <c r="A4167" s="59"/>
      <c r="B4167" s="49"/>
      <c r="C4167" s="50"/>
      <c r="D4167" s="49"/>
      <c r="E4167" s="49"/>
      <c r="F4167" s="49"/>
      <c r="G4167" s="49"/>
      <c r="H4167" s="50"/>
      <c r="I4167" s="50"/>
      <c r="J4167" s="49"/>
      <c r="K4167" s="49"/>
      <c r="L4167" s="49"/>
      <c r="M4167" s="49"/>
      <c r="N4167" s="50"/>
      <c r="O4167" s="49"/>
      <c r="P4167" s="49"/>
      <c r="Q4167" s="49"/>
      <c r="R4167" s="49"/>
      <c r="S4167" s="49"/>
      <c r="T4167" s="49"/>
      <c r="U4167" s="49"/>
      <c r="V4167" s="49"/>
      <c r="W4167" s="49"/>
      <c r="X4167" s="49"/>
      <c r="Y4167" s="49"/>
      <c r="Z4167" s="49"/>
      <c r="AA4167" s="49"/>
      <c r="AB4167" s="49"/>
      <c r="AC4167" s="49"/>
      <c r="AD4167" s="49"/>
      <c r="AE4167" s="49"/>
      <c r="AF4167" s="49"/>
      <c r="AG4167" s="49"/>
      <c r="AH4167" s="49"/>
      <c r="AI4167" s="49"/>
      <c r="AJ4167" s="49"/>
      <c r="AK4167" s="49"/>
      <c r="AL4167" s="49"/>
      <c r="AM4167" s="49"/>
      <c r="AN4167" s="49"/>
      <c r="AP4167" s="49"/>
      <c r="AQ4167" s="49"/>
      <c r="AR4167" s="49"/>
      <c r="AS4167" s="49"/>
      <c r="AT4167" s="49"/>
    </row>
    <row r="4168">
      <c r="A4168" s="59"/>
      <c r="B4168" s="49"/>
      <c r="C4168" s="50"/>
      <c r="D4168" s="49"/>
      <c r="E4168" s="49"/>
      <c r="F4168" s="49"/>
      <c r="G4168" s="49"/>
      <c r="H4168" s="50"/>
      <c r="I4168" s="50"/>
      <c r="J4168" s="49"/>
      <c r="K4168" s="49"/>
      <c r="L4168" s="49"/>
      <c r="M4168" s="49"/>
      <c r="N4168" s="50"/>
      <c r="O4168" s="49"/>
      <c r="P4168" s="49"/>
      <c r="Q4168" s="49"/>
      <c r="R4168" s="49"/>
      <c r="S4168" s="49"/>
      <c r="T4168" s="49"/>
      <c r="U4168" s="49"/>
      <c r="V4168" s="49"/>
      <c r="W4168" s="49"/>
      <c r="X4168" s="49"/>
      <c r="Y4168" s="49"/>
      <c r="Z4168" s="49"/>
      <c r="AA4168" s="49"/>
      <c r="AB4168" s="49"/>
      <c r="AC4168" s="49"/>
      <c r="AD4168" s="49"/>
      <c r="AE4168" s="49"/>
      <c r="AF4168" s="49"/>
      <c r="AG4168" s="49"/>
      <c r="AH4168" s="49"/>
      <c r="AI4168" s="49"/>
      <c r="AJ4168" s="49"/>
      <c r="AK4168" s="49"/>
      <c r="AL4168" s="49"/>
      <c r="AM4168" s="49"/>
      <c r="AN4168" s="49"/>
      <c r="AP4168" s="49"/>
      <c r="AQ4168" s="49"/>
      <c r="AR4168" s="49"/>
      <c r="AS4168" s="49"/>
      <c r="AT4168" s="49"/>
    </row>
    <row r="4169">
      <c r="A4169" s="59"/>
      <c r="B4169" s="49"/>
      <c r="C4169" s="50"/>
      <c r="D4169" s="49"/>
      <c r="E4169" s="49"/>
      <c r="F4169" s="49"/>
      <c r="G4169" s="49"/>
      <c r="H4169" s="50"/>
      <c r="I4169" s="50"/>
      <c r="J4169" s="49"/>
      <c r="K4169" s="49"/>
      <c r="L4169" s="49"/>
      <c r="M4169" s="49"/>
      <c r="N4169" s="50"/>
      <c r="O4169" s="49"/>
      <c r="P4169" s="49"/>
      <c r="Q4169" s="49"/>
      <c r="R4169" s="49"/>
      <c r="S4169" s="49"/>
      <c r="T4169" s="49"/>
      <c r="U4169" s="49"/>
      <c r="V4169" s="49"/>
      <c r="W4169" s="49"/>
      <c r="X4169" s="49"/>
      <c r="Y4169" s="49"/>
      <c r="Z4169" s="49"/>
      <c r="AA4169" s="49"/>
      <c r="AB4169" s="49"/>
      <c r="AC4169" s="49"/>
      <c r="AD4169" s="49"/>
      <c r="AE4169" s="49"/>
      <c r="AF4169" s="49"/>
      <c r="AG4169" s="49"/>
      <c r="AH4169" s="49"/>
      <c r="AI4169" s="49"/>
      <c r="AJ4169" s="49"/>
      <c r="AK4169" s="49"/>
      <c r="AL4169" s="49"/>
      <c r="AM4169" s="49"/>
      <c r="AN4169" s="49"/>
      <c r="AP4169" s="49"/>
      <c r="AQ4169" s="49"/>
      <c r="AR4169" s="49"/>
      <c r="AS4169" s="49"/>
      <c r="AT4169" s="49"/>
    </row>
    <row r="4170">
      <c r="A4170" s="59"/>
      <c r="B4170" s="49"/>
      <c r="C4170" s="50"/>
      <c r="D4170" s="49"/>
      <c r="E4170" s="49"/>
      <c r="F4170" s="49"/>
      <c r="G4170" s="49"/>
      <c r="H4170" s="50"/>
      <c r="I4170" s="50"/>
      <c r="J4170" s="49"/>
      <c r="K4170" s="49"/>
      <c r="L4170" s="49"/>
      <c r="M4170" s="49"/>
      <c r="N4170" s="50"/>
      <c r="O4170" s="49"/>
      <c r="P4170" s="49"/>
      <c r="Q4170" s="49"/>
      <c r="R4170" s="49"/>
      <c r="S4170" s="49"/>
      <c r="T4170" s="49"/>
      <c r="U4170" s="49"/>
      <c r="V4170" s="49"/>
      <c r="W4170" s="49"/>
      <c r="X4170" s="49"/>
      <c r="Y4170" s="49"/>
      <c r="Z4170" s="49"/>
      <c r="AA4170" s="49"/>
      <c r="AB4170" s="49"/>
      <c r="AC4170" s="49"/>
      <c r="AD4170" s="49"/>
      <c r="AE4170" s="49"/>
      <c r="AF4170" s="49"/>
      <c r="AG4170" s="49"/>
      <c r="AH4170" s="49"/>
      <c r="AI4170" s="49"/>
      <c r="AJ4170" s="49"/>
      <c r="AK4170" s="49"/>
      <c r="AL4170" s="49"/>
      <c r="AM4170" s="49"/>
      <c r="AN4170" s="49"/>
      <c r="AP4170" s="49"/>
      <c r="AQ4170" s="49"/>
      <c r="AR4170" s="49"/>
      <c r="AS4170" s="49"/>
      <c r="AT4170" s="49"/>
    </row>
    <row r="4171">
      <c r="A4171" s="59"/>
      <c r="B4171" s="49"/>
      <c r="C4171" s="50"/>
      <c r="D4171" s="49"/>
      <c r="E4171" s="49"/>
      <c r="F4171" s="49"/>
      <c r="G4171" s="49"/>
      <c r="H4171" s="50"/>
      <c r="I4171" s="50"/>
      <c r="J4171" s="49"/>
      <c r="K4171" s="49"/>
      <c r="L4171" s="49"/>
      <c r="M4171" s="49"/>
      <c r="N4171" s="50"/>
      <c r="O4171" s="49"/>
      <c r="P4171" s="49"/>
      <c r="Q4171" s="49"/>
      <c r="R4171" s="49"/>
      <c r="S4171" s="49"/>
      <c r="T4171" s="49"/>
      <c r="U4171" s="49"/>
      <c r="V4171" s="49"/>
      <c r="W4171" s="49"/>
      <c r="X4171" s="49"/>
      <c r="Y4171" s="49"/>
      <c r="Z4171" s="49"/>
      <c r="AA4171" s="49"/>
      <c r="AB4171" s="49"/>
      <c r="AC4171" s="49"/>
      <c r="AD4171" s="49"/>
      <c r="AE4171" s="49"/>
      <c r="AF4171" s="49"/>
      <c r="AG4171" s="49"/>
      <c r="AH4171" s="49"/>
      <c r="AI4171" s="49"/>
      <c r="AJ4171" s="49"/>
      <c r="AK4171" s="49"/>
      <c r="AL4171" s="49"/>
      <c r="AM4171" s="49"/>
      <c r="AN4171" s="49"/>
      <c r="AP4171" s="49"/>
      <c r="AQ4171" s="49"/>
      <c r="AR4171" s="49"/>
      <c r="AS4171" s="49"/>
      <c r="AT4171" s="49"/>
    </row>
    <row r="4172">
      <c r="A4172" s="59"/>
      <c r="B4172" s="49"/>
      <c r="C4172" s="50"/>
      <c r="D4172" s="49"/>
      <c r="E4172" s="49"/>
      <c r="F4172" s="49"/>
      <c r="G4172" s="49"/>
      <c r="H4172" s="50"/>
      <c r="I4172" s="50"/>
      <c r="J4172" s="49"/>
      <c r="K4172" s="49"/>
      <c r="L4172" s="49"/>
      <c r="M4172" s="49"/>
      <c r="N4172" s="50"/>
      <c r="O4172" s="49"/>
      <c r="P4172" s="49"/>
      <c r="Q4172" s="49"/>
      <c r="R4172" s="49"/>
      <c r="S4172" s="49"/>
      <c r="T4172" s="49"/>
      <c r="U4172" s="49"/>
      <c r="V4172" s="49"/>
      <c r="W4172" s="49"/>
      <c r="X4172" s="49"/>
      <c r="Y4172" s="49"/>
      <c r="Z4172" s="49"/>
      <c r="AA4172" s="49"/>
      <c r="AB4172" s="49"/>
      <c r="AC4172" s="49"/>
      <c r="AD4172" s="49"/>
      <c r="AE4172" s="49"/>
      <c r="AF4172" s="49"/>
      <c r="AG4172" s="49"/>
      <c r="AH4172" s="49"/>
      <c r="AI4172" s="49"/>
      <c r="AJ4172" s="49"/>
      <c r="AK4172" s="49"/>
      <c r="AL4172" s="49"/>
      <c r="AM4172" s="49"/>
      <c r="AN4172" s="49"/>
      <c r="AP4172" s="49"/>
      <c r="AQ4172" s="49"/>
      <c r="AR4172" s="49"/>
      <c r="AS4172" s="49"/>
      <c r="AT4172" s="49"/>
    </row>
    <row r="4173">
      <c r="A4173" s="59"/>
      <c r="B4173" s="49"/>
      <c r="C4173" s="50"/>
      <c r="D4173" s="49"/>
      <c r="E4173" s="49"/>
      <c r="F4173" s="49"/>
      <c r="G4173" s="49"/>
      <c r="H4173" s="50"/>
      <c r="I4173" s="50"/>
      <c r="J4173" s="49"/>
      <c r="K4173" s="49"/>
      <c r="L4173" s="49"/>
      <c r="M4173" s="49"/>
      <c r="N4173" s="50"/>
      <c r="O4173" s="49"/>
      <c r="P4173" s="49"/>
      <c r="Q4173" s="49"/>
      <c r="R4173" s="49"/>
      <c r="S4173" s="49"/>
      <c r="T4173" s="49"/>
      <c r="U4173" s="49"/>
      <c r="V4173" s="49"/>
      <c r="W4173" s="49"/>
      <c r="X4173" s="49"/>
      <c r="Y4173" s="49"/>
      <c r="Z4173" s="49"/>
      <c r="AA4173" s="49"/>
      <c r="AB4173" s="49"/>
      <c r="AC4173" s="49"/>
      <c r="AD4173" s="49"/>
      <c r="AE4173" s="49"/>
      <c r="AF4173" s="49"/>
      <c r="AG4173" s="49"/>
      <c r="AH4173" s="49"/>
      <c r="AI4173" s="49"/>
      <c r="AJ4173" s="49"/>
      <c r="AK4173" s="49"/>
      <c r="AL4173" s="49"/>
      <c r="AM4173" s="49"/>
      <c r="AN4173" s="49"/>
      <c r="AP4173" s="49"/>
      <c r="AQ4173" s="49"/>
      <c r="AR4173" s="49"/>
      <c r="AS4173" s="49"/>
      <c r="AT4173" s="49"/>
    </row>
    <row r="4174">
      <c r="A4174" s="59"/>
      <c r="B4174" s="49"/>
      <c r="C4174" s="50"/>
      <c r="D4174" s="49"/>
      <c r="E4174" s="49"/>
      <c r="F4174" s="49"/>
      <c r="G4174" s="49"/>
      <c r="H4174" s="50"/>
      <c r="I4174" s="50"/>
      <c r="J4174" s="49"/>
      <c r="K4174" s="49"/>
      <c r="L4174" s="49"/>
      <c r="M4174" s="49"/>
      <c r="N4174" s="50"/>
      <c r="O4174" s="49"/>
      <c r="P4174" s="49"/>
      <c r="Q4174" s="49"/>
      <c r="R4174" s="49"/>
      <c r="S4174" s="49"/>
      <c r="T4174" s="49"/>
      <c r="U4174" s="49"/>
      <c r="V4174" s="49"/>
      <c r="W4174" s="49"/>
      <c r="X4174" s="49"/>
      <c r="Y4174" s="49"/>
      <c r="Z4174" s="49"/>
      <c r="AA4174" s="49"/>
      <c r="AB4174" s="49"/>
      <c r="AC4174" s="49"/>
      <c r="AD4174" s="49"/>
      <c r="AE4174" s="49"/>
      <c r="AF4174" s="49"/>
      <c r="AG4174" s="49"/>
      <c r="AH4174" s="49"/>
      <c r="AI4174" s="49"/>
      <c r="AJ4174" s="49"/>
      <c r="AK4174" s="49"/>
      <c r="AL4174" s="49"/>
      <c r="AM4174" s="49"/>
      <c r="AN4174" s="49"/>
      <c r="AP4174" s="49"/>
      <c r="AQ4174" s="49"/>
      <c r="AR4174" s="49"/>
      <c r="AS4174" s="49"/>
      <c r="AT4174" s="49"/>
    </row>
    <row r="4175">
      <c r="A4175" s="59"/>
      <c r="B4175" s="49"/>
      <c r="C4175" s="50"/>
      <c r="D4175" s="49"/>
      <c r="E4175" s="49"/>
      <c r="F4175" s="49"/>
      <c r="G4175" s="49"/>
      <c r="H4175" s="50"/>
      <c r="I4175" s="50"/>
      <c r="J4175" s="49"/>
      <c r="K4175" s="49"/>
      <c r="L4175" s="49"/>
      <c r="M4175" s="49"/>
      <c r="N4175" s="50"/>
      <c r="O4175" s="49"/>
      <c r="P4175" s="49"/>
      <c r="Q4175" s="49"/>
      <c r="R4175" s="49"/>
      <c r="S4175" s="49"/>
      <c r="T4175" s="49"/>
      <c r="U4175" s="49"/>
      <c r="V4175" s="49"/>
      <c r="W4175" s="49"/>
      <c r="X4175" s="49"/>
      <c r="Y4175" s="49"/>
      <c r="Z4175" s="49"/>
      <c r="AA4175" s="49"/>
      <c r="AB4175" s="49"/>
      <c r="AC4175" s="49"/>
      <c r="AD4175" s="49"/>
      <c r="AE4175" s="49"/>
      <c r="AF4175" s="49"/>
      <c r="AG4175" s="49"/>
      <c r="AH4175" s="49"/>
      <c r="AI4175" s="49"/>
      <c r="AJ4175" s="49"/>
      <c r="AK4175" s="49"/>
      <c r="AL4175" s="49"/>
      <c r="AM4175" s="49"/>
      <c r="AN4175" s="49"/>
      <c r="AP4175" s="49"/>
      <c r="AQ4175" s="49"/>
      <c r="AR4175" s="49"/>
      <c r="AS4175" s="49"/>
      <c r="AT4175" s="49"/>
    </row>
    <row r="4176">
      <c r="A4176" s="59"/>
      <c r="B4176" s="49"/>
      <c r="C4176" s="50"/>
      <c r="D4176" s="49"/>
      <c r="E4176" s="49"/>
      <c r="F4176" s="49"/>
      <c r="G4176" s="49"/>
      <c r="H4176" s="50"/>
      <c r="I4176" s="50"/>
      <c r="J4176" s="49"/>
      <c r="K4176" s="49"/>
      <c r="L4176" s="49"/>
      <c r="M4176" s="49"/>
      <c r="N4176" s="50"/>
      <c r="O4176" s="49"/>
      <c r="P4176" s="49"/>
      <c r="Q4176" s="49"/>
      <c r="R4176" s="49"/>
      <c r="S4176" s="49"/>
      <c r="T4176" s="49"/>
      <c r="U4176" s="49"/>
      <c r="V4176" s="49"/>
      <c r="W4176" s="49"/>
      <c r="X4176" s="49"/>
      <c r="Y4176" s="49"/>
      <c r="Z4176" s="49"/>
      <c r="AA4176" s="49"/>
      <c r="AB4176" s="49"/>
      <c r="AC4176" s="49"/>
      <c r="AD4176" s="49"/>
      <c r="AE4176" s="49"/>
      <c r="AF4176" s="49"/>
      <c r="AG4176" s="49"/>
      <c r="AH4176" s="49"/>
      <c r="AI4176" s="49"/>
      <c r="AJ4176" s="49"/>
      <c r="AK4176" s="49"/>
      <c r="AL4176" s="49"/>
      <c r="AM4176" s="49"/>
      <c r="AN4176" s="49"/>
      <c r="AP4176" s="49"/>
      <c r="AQ4176" s="49"/>
      <c r="AR4176" s="49"/>
      <c r="AS4176" s="49"/>
      <c r="AT4176" s="49"/>
    </row>
    <row r="4177">
      <c r="A4177" s="59"/>
      <c r="B4177" s="49"/>
      <c r="C4177" s="50"/>
      <c r="D4177" s="49"/>
      <c r="E4177" s="49"/>
      <c r="F4177" s="49"/>
      <c r="G4177" s="49"/>
      <c r="H4177" s="50"/>
      <c r="I4177" s="50"/>
      <c r="J4177" s="49"/>
      <c r="K4177" s="49"/>
      <c r="L4177" s="49"/>
      <c r="M4177" s="49"/>
      <c r="N4177" s="50"/>
      <c r="O4177" s="49"/>
      <c r="P4177" s="49"/>
      <c r="Q4177" s="49"/>
      <c r="R4177" s="49"/>
      <c r="S4177" s="49"/>
      <c r="T4177" s="49"/>
      <c r="U4177" s="49"/>
      <c r="V4177" s="49"/>
      <c r="W4177" s="49"/>
      <c r="X4177" s="49"/>
      <c r="Y4177" s="49"/>
      <c r="Z4177" s="49"/>
      <c r="AA4177" s="49"/>
      <c r="AB4177" s="49"/>
      <c r="AC4177" s="49"/>
      <c r="AD4177" s="49"/>
      <c r="AE4177" s="49"/>
      <c r="AF4177" s="49"/>
      <c r="AG4177" s="49"/>
      <c r="AH4177" s="49"/>
      <c r="AI4177" s="49"/>
      <c r="AJ4177" s="49"/>
      <c r="AK4177" s="49"/>
      <c r="AL4177" s="49"/>
      <c r="AM4177" s="49"/>
      <c r="AN4177" s="49"/>
      <c r="AP4177" s="49"/>
      <c r="AQ4177" s="49"/>
      <c r="AR4177" s="49"/>
      <c r="AS4177" s="49"/>
      <c r="AT4177" s="49"/>
    </row>
    <row r="4178">
      <c r="A4178" s="59"/>
      <c r="B4178" s="49"/>
      <c r="C4178" s="50"/>
      <c r="D4178" s="49"/>
      <c r="E4178" s="49"/>
      <c r="F4178" s="49"/>
      <c r="G4178" s="49"/>
      <c r="H4178" s="50"/>
      <c r="I4178" s="50"/>
      <c r="J4178" s="49"/>
      <c r="K4178" s="49"/>
      <c r="L4178" s="49"/>
      <c r="M4178" s="49"/>
      <c r="N4178" s="50"/>
      <c r="O4178" s="49"/>
      <c r="P4178" s="49"/>
      <c r="Q4178" s="49"/>
      <c r="R4178" s="49"/>
      <c r="S4178" s="49"/>
      <c r="T4178" s="49"/>
      <c r="U4178" s="49"/>
      <c r="V4178" s="49"/>
      <c r="W4178" s="49"/>
      <c r="X4178" s="49"/>
      <c r="Y4178" s="49"/>
      <c r="Z4178" s="49"/>
      <c r="AA4178" s="49"/>
      <c r="AB4178" s="49"/>
      <c r="AC4178" s="49"/>
      <c r="AD4178" s="49"/>
      <c r="AE4178" s="49"/>
      <c r="AF4178" s="49"/>
      <c r="AG4178" s="49"/>
      <c r="AH4178" s="49"/>
      <c r="AI4178" s="49"/>
      <c r="AJ4178" s="49"/>
      <c r="AK4178" s="49"/>
      <c r="AL4178" s="49"/>
      <c r="AM4178" s="49"/>
      <c r="AN4178" s="49"/>
      <c r="AP4178" s="49"/>
      <c r="AQ4178" s="49"/>
      <c r="AR4178" s="49"/>
      <c r="AS4178" s="49"/>
      <c r="AT4178" s="49"/>
    </row>
    <row r="4179">
      <c r="A4179" s="59"/>
      <c r="B4179" s="49"/>
      <c r="C4179" s="50"/>
      <c r="D4179" s="49"/>
      <c r="E4179" s="49"/>
      <c r="F4179" s="49"/>
      <c r="G4179" s="49"/>
      <c r="H4179" s="50"/>
      <c r="I4179" s="50"/>
      <c r="J4179" s="49"/>
      <c r="K4179" s="49"/>
      <c r="L4179" s="49"/>
      <c r="M4179" s="49"/>
      <c r="N4179" s="50"/>
      <c r="O4179" s="49"/>
      <c r="P4179" s="49"/>
      <c r="Q4179" s="49"/>
      <c r="R4179" s="49"/>
      <c r="S4179" s="49"/>
      <c r="T4179" s="49"/>
      <c r="U4179" s="49"/>
      <c r="V4179" s="49"/>
      <c r="W4179" s="49"/>
      <c r="X4179" s="49"/>
      <c r="Y4179" s="49"/>
      <c r="Z4179" s="49"/>
      <c r="AA4179" s="49"/>
      <c r="AB4179" s="49"/>
      <c r="AC4179" s="49"/>
      <c r="AD4179" s="49"/>
      <c r="AE4179" s="49"/>
      <c r="AF4179" s="49"/>
      <c r="AG4179" s="49"/>
      <c r="AH4179" s="49"/>
      <c r="AI4179" s="49"/>
      <c r="AJ4179" s="49"/>
      <c r="AK4179" s="49"/>
      <c r="AL4179" s="49"/>
      <c r="AM4179" s="49"/>
      <c r="AN4179" s="49"/>
      <c r="AP4179" s="49"/>
      <c r="AQ4179" s="49"/>
      <c r="AR4179" s="49"/>
      <c r="AS4179" s="49"/>
      <c r="AT4179" s="49"/>
    </row>
    <row r="4180">
      <c r="A4180" s="59"/>
      <c r="B4180" s="49"/>
      <c r="C4180" s="50"/>
      <c r="D4180" s="49"/>
      <c r="E4180" s="49"/>
      <c r="F4180" s="49"/>
      <c r="G4180" s="49"/>
      <c r="H4180" s="50"/>
      <c r="I4180" s="50"/>
      <c r="J4180" s="49"/>
      <c r="K4180" s="49"/>
      <c r="L4180" s="49"/>
      <c r="M4180" s="49"/>
      <c r="N4180" s="50"/>
      <c r="O4180" s="49"/>
      <c r="P4180" s="49"/>
      <c r="Q4180" s="49"/>
      <c r="R4180" s="49"/>
      <c r="S4180" s="49"/>
      <c r="T4180" s="49"/>
      <c r="U4180" s="49"/>
      <c r="V4180" s="49"/>
      <c r="W4180" s="49"/>
      <c r="X4180" s="49"/>
      <c r="Y4180" s="49"/>
      <c r="Z4180" s="49"/>
      <c r="AA4180" s="49"/>
      <c r="AB4180" s="49"/>
      <c r="AC4180" s="49"/>
      <c r="AD4180" s="49"/>
      <c r="AE4180" s="49"/>
      <c r="AF4180" s="49"/>
      <c r="AG4180" s="49"/>
      <c r="AH4180" s="49"/>
      <c r="AI4180" s="49"/>
      <c r="AJ4180" s="49"/>
      <c r="AK4180" s="49"/>
      <c r="AL4180" s="49"/>
      <c r="AM4180" s="49"/>
      <c r="AN4180" s="49"/>
      <c r="AP4180" s="49"/>
      <c r="AQ4180" s="49"/>
      <c r="AR4180" s="49"/>
      <c r="AS4180" s="49"/>
      <c r="AT4180" s="49"/>
    </row>
    <row r="4181">
      <c r="A4181" s="59"/>
      <c r="B4181" s="49"/>
      <c r="C4181" s="50"/>
      <c r="D4181" s="49"/>
      <c r="E4181" s="49"/>
      <c r="F4181" s="49"/>
      <c r="G4181" s="49"/>
      <c r="H4181" s="50"/>
      <c r="I4181" s="50"/>
      <c r="J4181" s="49"/>
      <c r="K4181" s="49"/>
      <c r="L4181" s="49"/>
      <c r="M4181" s="49"/>
      <c r="N4181" s="50"/>
      <c r="O4181" s="49"/>
      <c r="P4181" s="49"/>
      <c r="Q4181" s="49"/>
      <c r="R4181" s="49"/>
      <c r="S4181" s="49"/>
      <c r="T4181" s="49"/>
      <c r="U4181" s="49"/>
      <c r="V4181" s="49"/>
      <c r="W4181" s="49"/>
      <c r="X4181" s="49"/>
      <c r="Y4181" s="49"/>
      <c r="Z4181" s="49"/>
      <c r="AA4181" s="49"/>
      <c r="AB4181" s="49"/>
      <c r="AC4181" s="49"/>
      <c r="AD4181" s="49"/>
      <c r="AE4181" s="49"/>
      <c r="AF4181" s="49"/>
      <c r="AG4181" s="49"/>
      <c r="AH4181" s="49"/>
      <c r="AI4181" s="49"/>
      <c r="AJ4181" s="49"/>
      <c r="AK4181" s="49"/>
      <c r="AL4181" s="49"/>
      <c r="AM4181" s="49"/>
      <c r="AN4181" s="49"/>
      <c r="AP4181" s="49"/>
      <c r="AQ4181" s="49"/>
      <c r="AR4181" s="49"/>
      <c r="AS4181" s="49"/>
      <c r="AT4181" s="49"/>
    </row>
    <row r="4182">
      <c r="A4182" s="59"/>
      <c r="B4182" s="49"/>
      <c r="C4182" s="50"/>
      <c r="D4182" s="49"/>
      <c r="E4182" s="49"/>
      <c r="F4182" s="49"/>
      <c r="G4182" s="49"/>
      <c r="H4182" s="50"/>
      <c r="I4182" s="50"/>
      <c r="J4182" s="49"/>
      <c r="K4182" s="49"/>
      <c r="L4182" s="49"/>
      <c r="M4182" s="49"/>
      <c r="N4182" s="50"/>
      <c r="O4182" s="49"/>
      <c r="P4182" s="49"/>
      <c r="Q4182" s="49"/>
      <c r="R4182" s="49"/>
      <c r="S4182" s="49"/>
      <c r="T4182" s="49"/>
      <c r="U4182" s="49"/>
      <c r="V4182" s="49"/>
      <c r="W4182" s="49"/>
      <c r="X4182" s="49"/>
      <c r="Y4182" s="49"/>
      <c r="Z4182" s="49"/>
      <c r="AA4182" s="49"/>
      <c r="AB4182" s="49"/>
      <c r="AC4182" s="49"/>
      <c r="AD4182" s="49"/>
      <c r="AE4182" s="49"/>
      <c r="AF4182" s="49"/>
      <c r="AG4182" s="49"/>
      <c r="AH4182" s="49"/>
      <c r="AI4182" s="49"/>
      <c r="AJ4182" s="49"/>
      <c r="AK4182" s="49"/>
      <c r="AL4182" s="49"/>
      <c r="AM4182" s="49"/>
      <c r="AN4182" s="49"/>
      <c r="AP4182" s="49"/>
      <c r="AQ4182" s="49"/>
      <c r="AR4182" s="49"/>
      <c r="AS4182" s="49"/>
      <c r="AT4182" s="49"/>
    </row>
    <row r="4183">
      <c r="A4183" s="59"/>
      <c r="B4183" s="49"/>
      <c r="C4183" s="50"/>
      <c r="D4183" s="49"/>
      <c r="E4183" s="49"/>
      <c r="F4183" s="49"/>
      <c r="G4183" s="49"/>
      <c r="H4183" s="50"/>
      <c r="I4183" s="50"/>
      <c r="J4183" s="49"/>
      <c r="K4183" s="49"/>
      <c r="L4183" s="49"/>
      <c r="M4183" s="49"/>
      <c r="N4183" s="50"/>
      <c r="O4183" s="49"/>
      <c r="P4183" s="49"/>
      <c r="Q4183" s="49"/>
      <c r="R4183" s="49"/>
      <c r="S4183" s="49"/>
      <c r="T4183" s="49"/>
      <c r="U4183" s="49"/>
      <c r="V4183" s="49"/>
      <c r="W4183" s="49"/>
      <c r="X4183" s="49"/>
      <c r="Y4183" s="49"/>
      <c r="Z4183" s="49"/>
      <c r="AA4183" s="49"/>
      <c r="AB4183" s="49"/>
      <c r="AC4183" s="49"/>
      <c r="AD4183" s="49"/>
      <c r="AE4183" s="49"/>
      <c r="AF4183" s="49"/>
      <c r="AG4183" s="49"/>
      <c r="AH4183" s="49"/>
      <c r="AI4183" s="49"/>
      <c r="AJ4183" s="49"/>
      <c r="AK4183" s="49"/>
      <c r="AL4183" s="49"/>
      <c r="AM4183" s="49"/>
      <c r="AN4183" s="49"/>
      <c r="AP4183" s="49"/>
      <c r="AQ4183" s="49"/>
      <c r="AR4183" s="49"/>
      <c r="AS4183" s="49"/>
      <c r="AT4183" s="49"/>
    </row>
    <row r="4184">
      <c r="A4184" s="59"/>
      <c r="B4184" s="49"/>
      <c r="C4184" s="50"/>
      <c r="D4184" s="49"/>
      <c r="E4184" s="49"/>
      <c r="F4184" s="49"/>
      <c r="G4184" s="49"/>
      <c r="H4184" s="50"/>
      <c r="I4184" s="50"/>
      <c r="J4184" s="49"/>
      <c r="K4184" s="49"/>
      <c r="L4184" s="49"/>
      <c r="M4184" s="49"/>
      <c r="N4184" s="50"/>
      <c r="O4184" s="49"/>
      <c r="P4184" s="49"/>
      <c r="Q4184" s="49"/>
      <c r="R4184" s="49"/>
      <c r="S4184" s="49"/>
      <c r="T4184" s="49"/>
      <c r="U4184" s="49"/>
      <c r="V4184" s="49"/>
      <c r="W4184" s="49"/>
      <c r="X4184" s="49"/>
      <c r="Y4184" s="49"/>
      <c r="Z4184" s="49"/>
      <c r="AA4184" s="49"/>
      <c r="AB4184" s="49"/>
      <c r="AC4184" s="49"/>
      <c r="AD4184" s="49"/>
      <c r="AE4184" s="49"/>
      <c r="AF4184" s="49"/>
      <c r="AG4184" s="49"/>
      <c r="AH4184" s="49"/>
      <c r="AI4184" s="49"/>
      <c r="AJ4184" s="49"/>
      <c r="AK4184" s="49"/>
      <c r="AL4184" s="49"/>
      <c r="AM4184" s="49"/>
      <c r="AN4184" s="49"/>
      <c r="AP4184" s="49"/>
      <c r="AQ4184" s="49"/>
      <c r="AR4184" s="49"/>
      <c r="AS4184" s="49"/>
      <c r="AT4184" s="49"/>
    </row>
    <row r="4185">
      <c r="A4185" s="59"/>
      <c r="B4185" s="49"/>
      <c r="C4185" s="50"/>
      <c r="D4185" s="49"/>
      <c r="E4185" s="49"/>
      <c r="F4185" s="49"/>
      <c r="G4185" s="49"/>
      <c r="H4185" s="50"/>
      <c r="I4185" s="50"/>
      <c r="J4185" s="49"/>
      <c r="K4185" s="49"/>
      <c r="L4185" s="49"/>
      <c r="M4185" s="49"/>
      <c r="N4185" s="50"/>
      <c r="O4185" s="49"/>
      <c r="P4185" s="49"/>
      <c r="Q4185" s="49"/>
      <c r="R4185" s="49"/>
      <c r="S4185" s="49"/>
      <c r="T4185" s="49"/>
      <c r="U4185" s="49"/>
      <c r="V4185" s="49"/>
      <c r="W4185" s="49"/>
      <c r="X4185" s="49"/>
      <c r="Y4185" s="49"/>
      <c r="Z4185" s="49"/>
      <c r="AA4185" s="49"/>
      <c r="AB4185" s="49"/>
      <c r="AC4185" s="49"/>
      <c r="AD4185" s="49"/>
      <c r="AE4185" s="49"/>
      <c r="AF4185" s="49"/>
      <c r="AG4185" s="49"/>
      <c r="AH4185" s="49"/>
      <c r="AI4185" s="49"/>
      <c r="AJ4185" s="49"/>
      <c r="AK4185" s="49"/>
      <c r="AL4185" s="49"/>
      <c r="AM4185" s="49"/>
      <c r="AN4185" s="49"/>
      <c r="AP4185" s="49"/>
      <c r="AQ4185" s="49"/>
      <c r="AR4185" s="49"/>
      <c r="AS4185" s="49"/>
      <c r="AT4185" s="49"/>
    </row>
    <row r="4186">
      <c r="A4186" s="59"/>
      <c r="B4186" s="49"/>
      <c r="C4186" s="50"/>
      <c r="D4186" s="49"/>
      <c r="E4186" s="49"/>
      <c r="F4186" s="49"/>
      <c r="G4186" s="49"/>
      <c r="H4186" s="50"/>
      <c r="I4186" s="50"/>
      <c r="J4186" s="49"/>
      <c r="K4186" s="49"/>
      <c r="L4186" s="49"/>
      <c r="M4186" s="49"/>
      <c r="N4186" s="50"/>
      <c r="O4186" s="49"/>
      <c r="P4186" s="49"/>
      <c r="Q4186" s="49"/>
      <c r="R4186" s="49"/>
      <c r="S4186" s="49"/>
      <c r="T4186" s="49"/>
      <c r="U4186" s="49"/>
      <c r="V4186" s="49"/>
      <c r="W4186" s="49"/>
      <c r="X4186" s="49"/>
      <c r="Y4186" s="49"/>
      <c r="Z4186" s="49"/>
      <c r="AA4186" s="49"/>
      <c r="AB4186" s="49"/>
      <c r="AC4186" s="49"/>
      <c r="AD4186" s="49"/>
      <c r="AE4186" s="49"/>
      <c r="AF4186" s="49"/>
      <c r="AG4186" s="49"/>
      <c r="AH4186" s="49"/>
      <c r="AI4186" s="49"/>
      <c r="AJ4186" s="49"/>
      <c r="AK4186" s="49"/>
      <c r="AL4186" s="49"/>
      <c r="AM4186" s="49"/>
      <c r="AN4186" s="49"/>
      <c r="AP4186" s="49"/>
      <c r="AQ4186" s="49"/>
      <c r="AR4186" s="49"/>
      <c r="AS4186" s="49"/>
      <c r="AT4186" s="49"/>
    </row>
    <row r="4187">
      <c r="A4187" s="59"/>
      <c r="B4187" s="49"/>
      <c r="C4187" s="50"/>
      <c r="D4187" s="49"/>
      <c r="E4187" s="49"/>
      <c r="F4187" s="49"/>
      <c r="G4187" s="49"/>
      <c r="H4187" s="50"/>
      <c r="I4187" s="50"/>
      <c r="J4187" s="49"/>
      <c r="K4187" s="49"/>
      <c r="L4187" s="49"/>
      <c r="M4187" s="49"/>
      <c r="N4187" s="50"/>
      <c r="O4187" s="49"/>
      <c r="P4187" s="49"/>
      <c r="Q4187" s="49"/>
      <c r="R4187" s="49"/>
      <c r="S4187" s="49"/>
      <c r="T4187" s="49"/>
      <c r="U4187" s="49"/>
      <c r="V4187" s="49"/>
      <c r="W4187" s="49"/>
      <c r="X4187" s="49"/>
      <c r="Y4187" s="49"/>
      <c r="Z4187" s="49"/>
      <c r="AA4187" s="49"/>
      <c r="AB4187" s="49"/>
      <c r="AC4187" s="49"/>
      <c r="AD4187" s="49"/>
      <c r="AE4187" s="49"/>
      <c r="AF4187" s="49"/>
      <c r="AG4187" s="49"/>
      <c r="AH4187" s="49"/>
      <c r="AI4187" s="49"/>
      <c r="AJ4187" s="49"/>
      <c r="AK4187" s="49"/>
      <c r="AL4187" s="49"/>
      <c r="AM4187" s="49"/>
      <c r="AN4187" s="49"/>
      <c r="AP4187" s="49"/>
      <c r="AQ4187" s="49"/>
      <c r="AR4187" s="49"/>
      <c r="AS4187" s="49"/>
      <c r="AT4187" s="49"/>
    </row>
    <row r="4188">
      <c r="A4188" s="59"/>
      <c r="B4188" s="49"/>
      <c r="C4188" s="50"/>
      <c r="D4188" s="49"/>
      <c r="E4188" s="49"/>
      <c r="F4188" s="49"/>
      <c r="G4188" s="49"/>
      <c r="H4188" s="50"/>
      <c r="I4188" s="50"/>
      <c r="J4188" s="49"/>
      <c r="K4188" s="49"/>
      <c r="L4188" s="49"/>
      <c r="M4188" s="49"/>
      <c r="N4188" s="50"/>
      <c r="O4188" s="49"/>
      <c r="P4188" s="49"/>
      <c r="Q4188" s="49"/>
      <c r="R4188" s="49"/>
      <c r="S4188" s="49"/>
      <c r="T4188" s="49"/>
      <c r="U4188" s="49"/>
      <c r="V4188" s="49"/>
      <c r="W4188" s="49"/>
      <c r="X4188" s="49"/>
      <c r="Y4188" s="49"/>
      <c r="Z4188" s="49"/>
      <c r="AA4188" s="49"/>
      <c r="AB4188" s="49"/>
      <c r="AC4188" s="49"/>
      <c r="AD4188" s="49"/>
      <c r="AE4188" s="49"/>
      <c r="AF4188" s="49"/>
      <c r="AG4188" s="49"/>
      <c r="AH4188" s="49"/>
      <c r="AI4188" s="49"/>
      <c r="AJ4188" s="49"/>
      <c r="AK4188" s="49"/>
      <c r="AL4188" s="49"/>
      <c r="AM4188" s="49"/>
      <c r="AN4188" s="49"/>
      <c r="AP4188" s="49"/>
      <c r="AQ4188" s="49"/>
      <c r="AR4188" s="49"/>
      <c r="AS4188" s="49"/>
      <c r="AT4188" s="49"/>
    </row>
    <row r="4189">
      <c r="A4189" s="59"/>
      <c r="B4189" s="49"/>
      <c r="C4189" s="50"/>
      <c r="D4189" s="49"/>
      <c r="E4189" s="49"/>
      <c r="F4189" s="49"/>
      <c r="G4189" s="49"/>
      <c r="H4189" s="50"/>
      <c r="I4189" s="50"/>
      <c r="J4189" s="49"/>
      <c r="K4189" s="49"/>
      <c r="L4189" s="49"/>
      <c r="M4189" s="49"/>
      <c r="N4189" s="50"/>
      <c r="O4189" s="49"/>
      <c r="P4189" s="49"/>
      <c r="Q4189" s="49"/>
      <c r="R4189" s="49"/>
      <c r="S4189" s="49"/>
      <c r="T4189" s="49"/>
      <c r="U4189" s="49"/>
      <c r="V4189" s="49"/>
      <c r="W4189" s="49"/>
      <c r="X4189" s="49"/>
      <c r="Y4189" s="49"/>
      <c r="Z4189" s="49"/>
      <c r="AA4189" s="49"/>
      <c r="AB4189" s="49"/>
      <c r="AC4189" s="49"/>
      <c r="AD4189" s="49"/>
      <c r="AE4189" s="49"/>
      <c r="AF4189" s="49"/>
      <c r="AG4189" s="49"/>
      <c r="AH4189" s="49"/>
      <c r="AI4189" s="49"/>
      <c r="AJ4189" s="49"/>
      <c r="AK4189" s="49"/>
      <c r="AL4189" s="49"/>
      <c r="AM4189" s="49"/>
      <c r="AN4189" s="49"/>
      <c r="AP4189" s="49"/>
      <c r="AQ4189" s="49"/>
      <c r="AR4189" s="49"/>
      <c r="AS4189" s="49"/>
      <c r="AT4189" s="49"/>
    </row>
    <row r="4190">
      <c r="A4190" s="59"/>
      <c r="B4190" s="49"/>
      <c r="C4190" s="50"/>
      <c r="D4190" s="49"/>
      <c r="E4190" s="49"/>
      <c r="F4190" s="49"/>
      <c r="G4190" s="49"/>
      <c r="H4190" s="50"/>
      <c r="I4190" s="50"/>
      <c r="J4190" s="49"/>
      <c r="K4190" s="49"/>
      <c r="L4190" s="49"/>
      <c r="M4190" s="49"/>
      <c r="N4190" s="50"/>
      <c r="O4190" s="49"/>
      <c r="P4190" s="49"/>
      <c r="Q4190" s="49"/>
      <c r="R4190" s="49"/>
      <c r="S4190" s="49"/>
      <c r="T4190" s="49"/>
      <c r="U4190" s="49"/>
      <c r="V4190" s="49"/>
      <c r="W4190" s="49"/>
      <c r="X4190" s="49"/>
      <c r="Y4190" s="49"/>
      <c r="Z4190" s="49"/>
      <c r="AA4190" s="49"/>
      <c r="AB4190" s="49"/>
      <c r="AC4190" s="49"/>
      <c r="AD4190" s="49"/>
      <c r="AE4190" s="49"/>
      <c r="AF4190" s="49"/>
      <c r="AG4190" s="49"/>
      <c r="AH4190" s="49"/>
      <c r="AI4190" s="49"/>
      <c r="AJ4190" s="49"/>
      <c r="AK4190" s="49"/>
      <c r="AL4190" s="49"/>
      <c r="AM4190" s="49"/>
      <c r="AN4190" s="49"/>
      <c r="AP4190" s="49"/>
      <c r="AQ4190" s="49"/>
      <c r="AR4190" s="49"/>
      <c r="AS4190" s="49"/>
      <c r="AT4190" s="49"/>
    </row>
    <row r="4191">
      <c r="A4191" s="59"/>
      <c r="B4191" s="49"/>
      <c r="C4191" s="50"/>
      <c r="D4191" s="49"/>
      <c r="E4191" s="49"/>
      <c r="F4191" s="49"/>
      <c r="G4191" s="49"/>
      <c r="H4191" s="50"/>
      <c r="I4191" s="50"/>
      <c r="J4191" s="49"/>
      <c r="K4191" s="49"/>
      <c r="L4191" s="49"/>
      <c r="M4191" s="49"/>
      <c r="N4191" s="50"/>
      <c r="O4191" s="49"/>
      <c r="P4191" s="49"/>
      <c r="Q4191" s="49"/>
      <c r="R4191" s="49"/>
      <c r="S4191" s="49"/>
      <c r="T4191" s="49"/>
      <c r="U4191" s="49"/>
      <c r="V4191" s="49"/>
      <c r="W4191" s="49"/>
      <c r="X4191" s="49"/>
      <c r="Y4191" s="49"/>
      <c r="Z4191" s="49"/>
      <c r="AA4191" s="49"/>
      <c r="AB4191" s="49"/>
      <c r="AC4191" s="49"/>
      <c r="AD4191" s="49"/>
      <c r="AE4191" s="49"/>
      <c r="AF4191" s="49"/>
      <c r="AG4191" s="49"/>
      <c r="AH4191" s="49"/>
      <c r="AI4191" s="49"/>
      <c r="AJ4191" s="49"/>
      <c r="AK4191" s="49"/>
      <c r="AL4191" s="49"/>
      <c r="AM4191" s="49"/>
      <c r="AN4191" s="49"/>
      <c r="AP4191" s="49"/>
      <c r="AQ4191" s="49"/>
      <c r="AR4191" s="49"/>
      <c r="AS4191" s="49"/>
      <c r="AT4191" s="49"/>
    </row>
    <row r="4192">
      <c r="A4192" s="59"/>
      <c r="B4192" s="49"/>
      <c r="C4192" s="50"/>
      <c r="D4192" s="49"/>
      <c r="E4192" s="49"/>
      <c r="F4192" s="49"/>
      <c r="G4192" s="49"/>
      <c r="H4192" s="50"/>
      <c r="I4192" s="50"/>
      <c r="J4192" s="49"/>
      <c r="K4192" s="49"/>
      <c r="L4192" s="49"/>
      <c r="M4192" s="49"/>
      <c r="N4192" s="50"/>
      <c r="O4192" s="49"/>
      <c r="P4192" s="49"/>
      <c r="Q4192" s="49"/>
      <c r="R4192" s="49"/>
      <c r="S4192" s="49"/>
      <c r="T4192" s="49"/>
      <c r="U4192" s="49"/>
      <c r="V4192" s="49"/>
      <c r="W4192" s="49"/>
      <c r="X4192" s="49"/>
      <c r="Y4192" s="49"/>
      <c r="Z4192" s="49"/>
      <c r="AA4192" s="49"/>
      <c r="AB4192" s="49"/>
      <c r="AC4192" s="49"/>
      <c r="AD4192" s="49"/>
      <c r="AE4192" s="49"/>
      <c r="AF4192" s="49"/>
      <c r="AG4192" s="49"/>
      <c r="AH4192" s="49"/>
      <c r="AI4192" s="49"/>
      <c r="AJ4192" s="49"/>
      <c r="AK4192" s="49"/>
      <c r="AL4192" s="49"/>
      <c r="AM4192" s="49"/>
      <c r="AN4192" s="49"/>
      <c r="AP4192" s="49"/>
      <c r="AQ4192" s="49"/>
      <c r="AR4192" s="49"/>
      <c r="AS4192" s="49"/>
      <c r="AT4192" s="49"/>
    </row>
    <row r="4193">
      <c r="A4193" s="59"/>
      <c r="B4193" s="49"/>
      <c r="C4193" s="50"/>
      <c r="D4193" s="49"/>
      <c r="E4193" s="49"/>
      <c r="F4193" s="49"/>
      <c r="G4193" s="49"/>
      <c r="H4193" s="50"/>
      <c r="I4193" s="50"/>
      <c r="J4193" s="49"/>
      <c r="K4193" s="49"/>
      <c r="L4193" s="49"/>
      <c r="M4193" s="49"/>
      <c r="N4193" s="50"/>
      <c r="O4193" s="49"/>
      <c r="P4193" s="49"/>
      <c r="Q4193" s="49"/>
      <c r="R4193" s="49"/>
      <c r="S4193" s="49"/>
      <c r="T4193" s="49"/>
      <c r="U4193" s="49"/>
      <c r="V4193" s="49"/>
      <c r="W4193" s="49"/>
      <c r="X4193" s="49"/>
      <c r="Y4193" s="49"/>
      <c r="Z4193" s="49"/>
      <c r="AA4193" s="49"/>
      <c r="AB4193" s="49"/>
      <c r="AC4193" s="49"/>
      <c r="AD4193" s="49"/>
      <c r="AE4193" s="49"/>
      <c r="AF4193" s="49"/>
      <c r="AG4193" s="49"/>
      <c r="AH4193" s="49"/>
      <c r="AI4193" s="49"/>
      <c r="AJ4193" s="49"/>
      <c r="AK4193" s="49"/>
      <c r="AL4193" s="49"/>
      <c r="AM4193" s="49"/>
      <c r="AN4193" s="49"/>
      <c r="AP4193" s="49"/>
      <c r="AQ4193" s="49"/>
      <c r="AR4193" s="49"/>
      <c r="AS4193" s="49"/>
      <c r="AT4193" s="49"/>
    </row>
    <row r="4194">
      <c r="A4194" s="59"/>
      <c r="B4194" s="49"/>
      <c r="C4194" s="50"/>
      <c r="D4194" s="49"/>
      <c r="E4194" s="49"/>
      <c r="F4194" s="49"/>
      <c r="G4194" s="49"/>
      <c r="H4194" s="50"/>
      <c r="I4194" s="50"/>
      <c r="J4194" s="49"/>
      <c r="K4194" s="49"/>
      <c r="L4194" s="49"/>
      <c r="M4194" s="49"/>
      <c r="N4194" s="50"/>
      <c r="O4194" s="49"/>
      <c r="P4194" s="49"/>
      <c r="Q4194" s="49"/>
      <c r="R4194" s="49"/>
      <c r="S4194" s="49"/>
      <c r="T4194" s="49"/>
      <c r="U4194" s="49"/>
      <c r="V4194" s="49"/>
      <c r="W4194" s="49"/>
      <c r="X4194" s="49"/>
      <c r="Y4194" s="49"/>
      <c r="Z4194" s="49"/>
      <c r="AA4194" s="49"/>
      <c r="AB4194" s="49"/>
      <c r="AC4194" s="49"/>
      <c r="AD4194" s="49"/>
      <c r="AE4194" s="49"/>
      <c r="AF4194" s="49"/>
      <c r="AG4194" s="49"/>
      <c r="AH4194" s="49"/>
      <c r="AI4194" s="49"/>
      <c r="AJ4194" s="49"/>
      <c r="AK4194" s="49"/>
      <c r="AL4194" s="49"/>
      <c r="AM4194" s="49"/>
      <c r="AN4194" s="49"/>
      <c r="AP4194" s="49"/>
      <c r="AQ4194" s="49"/>
      <c r="AR4194" s="49"/>
      <c r="AS4194" s="49"/>
      <c r="AT4194" s="49"/>
    </row>
    <row r="4195">
      <c r="A4195" s="59"/>
      <c r="B4195" s="49"/>
      <c r="C4195" s="50"/>
      <c r="D4195" s="49"/>
      <c r="E4195" s="49"/>
      <c r="F4195" s="49"/>
      <c r="G4195" s="49"/>
      <c r="H4195" s="50"/>
      <c r="I4195" s="50"/>
      <c r="J4195" s="49"/>
      <c r="K4195" s="49"/>
      <c r="L4195" s="49"/>
      <c r="M4195" s="49"/>
      <c r="N4195" s="50"/>
      <c r="O4195" s="49"/>
      <c r="P4195" s="49"/>
      <c r="Q4195" s="49"/>
      <c r="R4195" s="49"/>
      <c r="S4195" s="49"/>
      <c r="T4195" s="49"/>
      <c r="U4195" s="49"/>
      <c r="V4195" s="49"/>
      <c r="W4195" s="49"/>
      <c r="X4195" s="49"/>
      <c r="Y4195" s="49"/>
      <c r="Z4195" s="49"/>
      <c r="AA4195" s="49"/>
      <c r="AB4195" s="49"/>
      <c r="AC4195" s="49"/>
      <c r="AD4195" s="49"/>
      <c r="AE4195" s="49"/>
      <c r="AF4195" s="49"/>
      <c r="AG4195" s="49"/>
      <c r="AH4195" s="49"/>
      <c r="AI4195" s="49"/>
      <c r="AJ4195" s="49"/>
      <c r="AK4195" s="49"/>
      <c r="AL4195" s="49"/>
      <c r="AM4195" s="49"/>
      <c r="AN4195" s="49"/>
      <c r="AP4195" s="49"/>
      <c r="AQ4195" s="49"/>
      <c r="AR4195" s="49"/>
      <c r="AS4195" s="49"/>
      <c r="AT4195" s="49"/>
    </row>
    <row r="4196">
      <c r="A4196" s="59"/>
      <c r="B4196" s="49"/>
      <c r="C4196" s="50"/>
      <c r="D4196" s="49"/>
      <c r="E4196" s="49"/>
      <c r="F4196" s="49"/>
      <c r="G4196" s="49"/>
      <c r="H4196" s="50"/>
      <c r="I4196" s="50"/>
      <c r="J4196" s="49"/>
      <c r="K4196" s="49"/>
      <c r="L4196" s="49"/>
      <c r="M4196" s="49"/>
      <c r="N4196" s="50"/>
      <c r="O4196" s="49"/>
      <c r="P4196" s="49"/>
      <c r="Q4196" s="49"/>
      <c r="R4196" s="49"/>
      <c r="S4196" s="49"/>
      <c r="T4196" s="49"/>
      <c r="U4196" s="49"/>
      <c r="V4196" s="49"/>
      <c r="W4196" s="49"/>
      <c r="X4196" s="49"/>
      <c r="Y4196" s="49"/>
      <c r="Z4196" s="49"/>
      <c r="AA4196" s="49"/>
      <c r="AB4196" s="49"/>
      <c r="AC4196" s="49"/>
      <c r="AD4196" s="49"/>
      <c r="AE4196" s="49"/>
      <c r="AF4196" s="49"/>
      <c r="AG4196" s="49"/>
      <c r="AH4196" s="49"/>
      <c r="AI4196" s="49"/>
      <c r="AJ4196" s="49"/>
      <c r="AK4196" s="49"/>
      <c r="AL4196" s="49"/>
      <c r="AM4196" s="49"/>
      <c r="AN4196" s="49"/>
      <c r="AP4196" s="49"/>
      <c r="AQ4196" s="49"/>
      <c r="AR4196" s="49"/>
      <c r="AS4196" s="49"/>
      <c r="AT4196" s="49"/>
    </row>
    <row r="4197">
      <c r="A4197" s="59"/>
      <c r="B4197" s="49"/>
      <c r="C4197" s="50"/>
      <c r="D4197" s="49"/>
      <c r="E4197" s="49"/>
      <c r="F4197" s="49"/>
      <c r="G4197" s="49"/>
      <c r="H4197" s="50"/>
      <c r="I4197" s="50"/>
      <c r="J4197" s="49"/>
      <c r="K4197" s="49"/>
      <c r="L4197" s="49"/>
      <c r="M4197" s="49"/>
      <c r="N4197" s="50"/>
      <c r="O4197" s="49"/>
      <c r="P4197" s="49"/>
      <c r="Q4197" s="49"/>
      <c r="R4197" s="49"/>
      <c r="S4197" s="49"/>
      <c r="T4197" s="49"/>
      <c r="U4197" s="49"/>
      <c r="V4197" s="49"/>
      <c r="W4197" s="49"/>
      <c r="X4197" s="49"/>
      <c r="Y4197" s="49"/>
      <c r="Z4197" s="49"/>
      <c r="AA4197" s="49"/>
      <c r="AB4197" s="49"/>
      <c r="AC4197" s="49"/>
      <c r="AD4197" s="49"/>
      <c r="AE4197" s="49"/>
      <c r="AF4197" s="49"/>
      <c r="AG4197" s="49"/>
      <c r="AH4197" s="49"/>
      <c r="AI4197" s="49"/>
      <c r="AJ4197" s="49"/>
      <c r="AK4197" s="49"/>
      <c r="AL4197" s="49"/>
      <c r="AM4197" s="49"/>
      <c r="AN4197" s="49"/>
      <c r="AP4197" s="49"/>
      <c r="AQ4197" s="49"/>
      <c r="AR4197" s="49"/>
      <c r="AS4197" s="49"/>
      <c r="AT4197" s="49"/>
    </row>
    <row r="4198">
      <c r="A4198" s="59"/>
      <c r="B4198" s="49"/>
      <c r="C4198" s="50"/>
      <c r="D4198" s="49"/>
      <c r="E4198" s="49"/>
      <c r="F4198" s="49"/>
      <c r="G4198" s="49"/>
      <c r="H4198" s="50"/>
      <c r="I4198" s="50"/>
      <c r="J4198" s="49"/>
      <c r="K4198" s="49"/>
      <c r="L4198" s="49"/>
      <c r="M4198" s="49"/>
      <c r="N4198" s="50"/>
      <c r="O4198" s="49"/>
      <c r="P4198" s="49"/>
      <c r="Q4198" s="49"/>
      <c r="R4198" s="49"/>
      <c r="S4198" s="49"/>
      <c r="T4198" s="49"/>
      <c r="U4198" s="49"/>
      <c r="V4198" s="49"/>
      <c r="W4198" s="49"/>
      <c r="X4198" s="49"/>
      <c r="Y4198" s="49"/>
      <c r="Z4198" s="49"/>
      <c r="AA4198" s="49"/>
      <c r="AB4198" s="49"/>
      <c r="AC4198" s="49"/>
      <c r="AD4198" s="49"/>
      <c r="AE4198" s="49"/>
      <c r="AF4198" s="49"/>
      <c r="AG4198" s="49"/>
      <c r="AH4198" s="49"/>
      <c r="AI4198" s="49"/>
      <c r="AJ4198" s="49"/>
      <c r="AK4198" s="49"/>
      <c r="AL4198" s="49"/>
      <c r="AM4198" s="49"/>
      <c r="AN4198" s="49"/>
      <c r="AP4198" s="49"/>
      <c r="AQ4198" s="49"/>
      <c r="AR4198" s="49"/>
      <c r="AS4198" s="49"/>
      <c r="AT4198" s="49"/>
    </row>
    <row r="4199">
      <c r="A4199" s="59"/>
      <c r="B4199" s="49"/>
      <c r="C4199" s="50"/>
      <c r="D4199" s="49"/>
      <c r="E4199" s="49"/>
      <c r="F4199" s="49"/>
      <c r="G4199" s="49"/>
      <c r="H4199" s="50"/>
      <c r="I4199" s="50"/>
      <c r="J4199" s="49"/>
      <c r="K4199" s="49"/>
      <c r="L4199" s="49"/>
      <c r="M4199" s="49"/>
      <c r="N4199" s="50"/>
      <c r="O4199" s="49"/>
      <c r="P4199" s="49"/>
      <c r="Q4199" s="49"/>
      <c r="R4199" s="49"/>
      <c r="S4199" s="49"/>
      <c r="T4199" s="49"/>
      <c r="U4199" s="49"/>
      <c r="V4199" s="49"/>
      <c r="W4199" s="49"/>
      <c r="X4199" s="49"/>
      <c r="Y4199" s="49"/>
      <c r="Z4199" s="49"/>
      <c r="AA4199" s="49"/>
      <c r="AB4199" s="49"/>
      <c r="AC4199" s="49"/>
      <c r="AD4199" s="49"/>
      <c r="AE4199" s="49"/>
      <c r="AF4199" s="49"/>
      <c r="AG4199" s="49"/>
      <c r="AH4199" s="49"/>
      <c r="AI4199" s="49"/>
      <c r="AJ4199" s="49"/>
      <c r="AK4199" s="49"/>
      <c r="AL4199" s="49"/>
      <c r="AM4199" s="49"/>
      <c r="AN4199" s="49"/>
      <c r="AP4199" s="49"/>
      <c r="AQ4199" s="49"/>
      <c r="AR4199" s="49"/>
      <c r="AS4199" s="49"/>
      <c r="AT4199" s="49"/>
    </row>
    <row r="4200">
      <c r="A4200" s="59"/>
      <c r="B4200" s="49"/>
      <c r="C4200" s="50"/>
      <c r="D4200" s="49"/>
      <c r="E4200" s="49"/>
      <c r="F4200" s="49"/>
      <c r="G4200" s="49"/>
      <c r="H4200" s="50"/>
      <c r="I4200" s="50"/>
      <c r="J4200" s="49"/>
      <c r="K4200" s="49"/>
      <c r="L4200" s="49"/>
      <c r="M4200" s="49"/>
      <c r="N4200" s="50"/>
      <c r="O4200" s="49"/>
      <c r="P4200" s="49"/>
      <c r="Q4200" s="49"/>
      <c r="R4200" s="49"/>
      <c r="S4200" s="49"/>
      <c r="T4200" s="49"/>
      <c r="U4200" s="49"/>
      <c r="V4200" s="49"/>
      <c r="W4200" s="49"/>
      <c r="X4200" s="49"/>
      <c r="Y4200" s="49"/>
      <c r="Z4200" s="49"/>
      <c r="AA4200" s="49"/>
      <c r="AB4200" s="49"/>
      <c r="AC4200" s="49"/>
      <c r="AD4200" s="49"/>
      <c r="AE4200" s="49"/>
      <c r="AF4200" s="49"/>
      <c r="AG4200" s="49"/>
      <c r="AH4200" s="49"/>
      <c r="AI4200" s="49"/>
      <c r="AJ4200" s="49"/>
      <c r="AK4200" s="49"/>
      <c r="AL4200" s="49"/>
      <c r="AM4200" s="49"/>
      <c r="AN4200" s="49"/>
      <c r="AP4200" s="49"/>
      <c r="AQ4200" s="49"/>
      <c r="AR4200" s="49"/>
      <c r="AS4200" s="49"/>
      <c r="AT4200" s="49"/>
    </row>
    <row r="4201">
      <c r="A4201" s="59"/>
      <c r="B4201" s="49"/>
      <c r="C4201" s="50"/>
      <c r="D4201" s="49"/>
      <c r="E4201" s="49"/>
      <c r="F4201" s="49"/>
      <c r="G4201" s="49"/>
      <c r="H4201" s="50"/>
      <c r="I4201" s="50"/>
      <c r="J4201" s="49"/>
      <c r="K4201" s="49"/>
      <c r="L4201" s="49"/>
      <c r="M4201" s="49"/>
      <c r="N4201" s="50"/>
      <c r="O4201" s="49"/>
      <c r="P4201" s="49"/>
      <c r="Q4201" s="49"/>
      <c r="R4201" s="49"/>
      <c r="S4201" s="49"/>
      <c r="T4201" s="49"/>
      <c r="U4201" s="49"/>
      <c r="V4201" s="49"/>
      <c r="W4201" s="49"/>
      <c r="X4201" s="49"/>
      <c r="Y4201" s="49"/>
      <c r="Z4201" s="49"/>
      <c r="AA4201" s="49"/>
      <c r="AB4201" s="49"/>
      <c r="AC4201" s="49"/>
      <c r="AD4201" s="49"/>
      <c r="AE4201" s="49"/>
      <c r="AF4201" s="49"/>
      <c r="AG4201" s="49"/>
      <c r="AH4201" s="49"/>
      <c r="AI4201" s="49"/>
      <c r="AJ4201" s="49"/>
      <c r="AK4201" s="49"/>
      <c r="AL4201" s="49"/>
      <c r="AM4201" s="49"/>
      <c r="AN4201" s="49"/>
      <c r="AP4201" s="49"/>
      <c r="AQ4201" s="49"/>
      <c r="AR4201" s="49"/>
      <c r="AS4201" s="49"/>
      <c r="AT4201" s="49"/>
    </row>
    <row r="4202">
      <c r="A4202" s="59"/>
      <c r="B4202" s="49"/>
      <c r="C4202" s="50"/>
      <c r="D4202" s="49"/>
      <c r="E4202" s="49"/>
      <c r="F4202" s="49"/>
      <c r="G4202" s="49"/>
      <c r="H4202" s="50"/>
      <c r="I4202" s="50"/>
      <c r="J4202" s="49"/>
      <c r="K4202" s="49"/>
      <c r="L4202" s="49"/>
      <c r="M4202" s="49"/>
      <c r="N4202" s="50"/>
      <c r="O4202" s="49"/>
      <c r="P4202" s="49"/>
      <c r="Q4202" s="49"/>
      <c r="R4202" s="49"/>
      <c r="S4202" s="49"/>
      <c r="T4202" s="49"/>
      <c r="U4202" s="49"/>
      <c r="V4202" s="49"/>
      <c r="W4202" s="49"/>
      <c r="X4202" s="49"/>
      <c r="Y4202" s="49"/>
      <c r="Z4202" s="49"/>
      <c r="AA4202" s="49"/>
      <c r="AB4202" s="49"/>
      <c r="AC4202" s="49"/>
      <c r="AD4202" s="49"/>
      <c r="AE4202" s="49"/>
      <c r="AF4202" s="49"/>
      <c r="AG4202" s="49"/>
      <c r="AH4202" s="49"/>
      <c r="AI4202" s="49"/>
      <c r="AJ4202" s="49"/>
      <c r="AK4202" s="49"/>
      <c r="AL4202" s="49"/>
      <c r="AM4202" s="49"/>
      <c r="AN4202" s="49"/>
      <c r="AP4202" s="49"/>
      <c r="AQ4202" s="49"/>
      <c r="AR4202" s="49"/>
      <c r="AS4202" s="49"/>
      <c r="AT4202" s="49"/>
    </row>
    <row r="4203">
      <c r="A4203" s="59"/>
      <c r="B4203" s="49"/>
      <c r="C4203" s="50"/>
      <c r="D4203" s="49"/>
      <c r="E4203" s="49"/>
      <c r="F4203" s="49"/>
      <c r="G4203" s="49"/>
      <c r="H4203" s="50"/>
      <c r="I4203" s="50"/>
      <c r="J4203" s="49"/>
      <c r="K4203" s="49"/>
      <c r="L4203" s="49"/>
      <c r="M4203" s="49"/>
      <c r="N4203" s="50"/>
      <c r="O4203" s="49"/>
      <c r="P4203" s="49"/>
      <c r="Q4203" s="49"/>
      <c r="R4203" s="49"/>
      <c r="S4203" s="49"/>
      <c r="T4203" s="49"/>
      <c r="U4203" s="49"/>
      <c r="V4203" s="49"/>
      <c r="W4203" s="49"/>
      <c r="X4203" s="49"/>
      <c r="Y4203" s="49"/>
      <c r="Z4203" s="49"/>
      <c r="AA4203" s="49"/>
      <c r="AB4203" s="49"/>
      <c r="AC4203" s="49"/>
      <c r="AD4203" s="49"/>
      <c r="AE4203" s="49"/>
      <c r="AF4203" s="49"/>
      <c r="AG4203" s="49"/>
      <c r="AH4203" s="49"/>
      <c r="AI4203" s="49"/>
      <c r="AJ4203" s="49"/>
      <c r="AK4203" s="49"/>
      <c r="AL4203" s="49"/>
      <c r="AM4203" s="49"/>
      <c r="AN4203" s="49"/>
      <c r="AP4203" s="49"/>
      <c r="AQ4203" s="49"/>
      <c r="AR4203" s="49"/>
      <c r="AS4203" s="49"/>
      <c r="AT4203" s="49"/>
    </row>
    <row r="4204">
      <c r="A4204" s="59"/>
      <c r="B4204" s="49"/>
      <c r="C4204" s="50"/>
      <c r="D4204" s="49"/>
      <c r="E4204" s="49"/>
      <c r="F4204" s="49"/>
      <c r="G4204" s="49"/>
      <c r="H4204" s="50"/>
      <c r="I4204" s="50"/>
      <c r="J4204" s="49"/>
      <c r="K4204" s="49"/>
      <c r="L4204" s="49"/>
      <c r="M4204" s="49"/>
      <c r="N4204" s="50"/>
      <c r="O4204" s="49"/>
      <c r="P4204" s="49"/>
      <c r="Q4204" s="49"/>
      <c r="R4204" s="49"/>
      <c r="S4204" s="49"/>
      <c r="T4204" s="49"/>
      <c r="U4204" s="49"/>
      <c r="V4204" s="49"/>
      <c r="W4204" s="49"/>
      <c r="X4204" s="49"/>
      <c r="Y4204" s="49"/>
      <c r="Z4204" s="49"/>
      <c r="AA4204" s="49"/>
      <c r="AB4204" s="49"/>
      <c r="AC4204" s="49"/>
      <c r="AD4204" s="49"/>
      <c r="AE4204" s="49"/>
      <c r="AF4204" s="49"/>
      <c r="AG4204" s="49"/>
      <c r="AH4204" s="49"/>
      <c r="AI4204" s="49"/>
      <c r="AJ4204" s="49"/>
      <c r="AK4204" s="49"/>
      <c r="AL4204" s="49"/>
      <c r="AM4204" s="49"/>
      <c r="AN4204" s="49"/>
      <c r="AP4204" s="49"/>
      <c r="AQ4204" s="49"/>
      <c r="AR4204" s="49"/>
      <c r="AS4204" s="49"/>
      <c r="AT4204" s="49"/>
    </row>
    <row r="4205">
      <c r="A4205" s="59"/>
      <c r="B4205" s="49"/>
      <c r="C4205" s="50"/>
      <c r="D4205" s="49"/>
      <c r="E4205" s="49"/>
      <c r="F4205" s="49"/>
      <c r="G4205" s="49"/>
      <c r="H4205" s="50"/>
      <c r="I4205" s="50"/>
      <c r="J4205" s="49"/>
      <c r="K4205" s="49"/>
      <c r="L4205" s="49"/>
      <c r="M4205" s="49"/>
      <c r="N4205" s="50"/>
      <c r="O4205" s="49"/>
      <c r="P4205" s="49"/>
      <c r="Q4205" s="49"/>
      <c r="R4205" s="49"/>
      <c r="S4205" s="49"/>
      <c r="T4205" s="49"/>
      <c r="U4205" s="49"/>
      <c r="V4205" s="49"/>
      <c r="W4205" s="49"/>
      <c r="X4205" s="49"/>
      <c r="Y4205" s="49"/>
      <c r="Z4205" s="49"/>
      <c r="AA4205" s="49"/>
      <c r="AB4205" s="49"/>
      <c r="AC4205" s="49"/>
      <c r="AD4205" s="49"/>
      <c r="AE4205" s="49"/>
      <c r="AF4205" s="49"/>
      <c r="AG4205" s="49"/>
      <c r="AH4205" s="49"/>
      <c r="AI4205" s="49"/>
      <c r="AJ4205" s="49"/>
      <c r="AK4205" s="49"/>
      <c r="AL4205" s="49"/>
      <c r="AM4205" s="49"/>
      <c r="AN4205" s="49"/>
      <c r="AP4205" s="49"/>
      <c r="AQ4205" s="49"/>
      <c r="AR4205" s="49"/>
      <c r="AS4205" s="49"/>
      <c r="AT4205" s="49"/>
    </row>
    <row r="4206">
      <c r="A4206" s="59"/>
      <c r="B4206" s="49"/>
      <c r="C4206" s="50"/>
      <c r="D4206" s="49"/>
      <c r="E4206" s="49"/>
      <c r="F4206" s="49"/>
      <c r="G4206" s="49"/>
      <c r="H4206" s="50"/>
      <c r="I4206" s="50"/>
      <c r="J4206" s="49"/>
      <c r="K4206" s="49"/>
      <c r="L4206" s="49"/>
      <c r="M4206" s="49"/>
      <c r="N4206" s="50"/>
      <c r="O4206" s="49"/>
      <c r="P4206" s="49"/>
      <c r="Q4206" s="49"/>
      <c r="R4206" s="49"/>
      <c r="S4206" s="49"/>
      <c r="T4206" s="49"/>
      <c r="U4206" s="49"/>
      <c r="V4206" s="49"/>
      <c r="W4206" s="49"/>
      <c r="X4206" s="49"/>
      <c r="Y4206" s="49"/>
      <c r="Z4206" s="49"/>
      <c r="AA4206" s="49"/>
      <c r="AB4206" s="49"/>
      <c r="AC4206" s="49"/>
      <c r="AD4206" s="49"/>
      <c r="AE4206" s="49"/>
      <c r="AF4206" s="49"/>
      <c r="AG4206" s="49"/>
      <c r="AH4206" s="49"/>
      <c r="AI4206" s="49"/>
      <c r="AJ4206" s="49"/>
      <c r="AK4206" s="49"/>
      <c r="AL4206" s="49"/>
      <c r="AM4206" s="49"/>
      <c r="AN4206" s="49"/>
      <c r="AP4206" s="49"/>
      <c r="AQ4206" s="49"/>
      <c r="AR4206" s="49"/>
      <c r="AS4206" s="49"/>
      <c r="AT4206" s="49"/>
    </row>
    <row r="4207">
      <c r="A4207" s="59"/>
      <c r="B4207" s="49"/>
      <c r="C4207" s="50"/>
      <c r="D4207" s="49"/>
      <c r="E4207" s="49"/>
      <c r="F4207" s="49"/>
      <c r="G4207" s="49"/>
      <c r="H4207" s="50"/>
      <c r="I4207" s="50"/>
      <c r="J4207" s="49"/>
      <c r="K4207" s="49"/>
      <c r="L4207" s="49"/>
      <c r="M4207" s="49"/>
      <c r="N4207" s="50"/>
      <c r="O4207" s="49"/>
      <c r="P4207" s="49"/>
      <c r="Q4207" s="49"/>
      <c r="R4207" s="49"/>
      <c r="S4207" s="49"/>
      <c r="T4207" s="49"/>
      <c r="U4207" s="49"/>
      <c r="V4207" s="49"/>
      <c r="W4207" s="49"/>
      <c r="X4207" s="49"/>
      <c r="Y4207" s="49"/>
      <c r="Z4207" s="49"/>
      <c r="AA4207" s="49"/>
      <c r="AB4207" s="49"/>
      <c r="AC4207" s="49"/>
      <c r="AD4207" s="49"/>
      <c r="AE4207" s="49"/>
      <c r="AF4207" s="49"/>
      <c r="AG4207" s="49"/>
      <c r="AH4207" s="49"/>
      <c r="AI4207" s="49"/>
      <c r="AJ4207" s="49"/>
      <c r="AK4207" s="49"/>
      <c r="AL4207" s="49"/>
      <c r="AM4207" s="49"/>
      <c r="AN4207" s="49"/>
      <c r="AP4207" s="49"/>
      <c r="AQ4207" s="49"/>
      <c r="AR4207" s="49"/>
      <c r="AS4207" s="49"/>
      <c r="AT4207" s="49"/>
    </row>
    <row r="4208">
      <c r="A4208" s="59"/>
      <c r="B4208" s="49"/>
      <c r="C4208" s="50"/>
      <c r="D4208" s="49"/>
      <c r="E4208" s="49"/>
      <c r="F4208" s="49"/>
      <c r="G4208" s="49"/>
      <c r="H4208" s="50"/>
      <c r="I4208" s="50"/>
      <c r="J4208" s="49"/>
      <c r="K4208" s="49"/>
      <c r="L4208" s="49"/>
      <c r="M4208" s="49"/>
      <c r="N4208" s="50"/>
      <c r="O4208" s="49"/>
      <c r="P4208" s="49"/>
      <c r="Q4208" s="49"/>
      <c r="R4208" s="49"/>
      <c r="S4208" s="49"/>
      <c r="T4208" s="49"/>
      <c r="U4208" s="49"/>
      <c r="V4208" s="49"/>
      <c r="W4208" s="49"/>
      <c r="X4208" s="49"/>
      <c r="Y4208" s="49"/>
      <c r="Z4208" s="49"/>
      <c r="AA4208" s="49"/>
      <c r="AB4208" s="49"/>
      <c r="AC4208" s="49"/>
      <c r="AD4208" s="49"/>
      <c r="AE4208" s="49"/>
      <c r="AF4208" s="49"/>
      <c r="AG4208" s="49"/>
      <c r="AH4208" s="49"/>
      <c r="AI4208" s="49"/>
      <c r="AJ4208" s="49"/>
      <c r="AK4208" s="49"/>
      <c r="AL4208" s="49"/>
      <c r="AM4208" s="49"/>
      <c r="AN4208" s="49"/>
      <c r="AP4208" s="49"/>
      <c r="AQ4208" s="49"/>
      <c r="AR4208" s="49"/>
      <c r="AS4208" s="49"/>
      <c r="AT4208" s="49"/>
    </row>
    <row r="4209">
      <c r="A4209" s="59"/>
      <c r="B4209" s="49"/>
      <c r="C4209" s="50"/>
      <c r="D4209" s="49"/>
      <c r="E4209" s="49"/>
      <c r="F4209" s="49"/>
      <c r="G4209" s="49"/>
      <c r="H4209" s="50"/>
      <c r="I4209" s="50"/>
      <c r="J4209" s="49"/>
      <c r="K4209" s="49"/>
      <c r="L4209" s="49"/>
      <c r="M4209" s="49"/>
      <c r="N4209" s="50"/>
      <c r="O4209" s="49"/>
      <c r="P4209" s="49"/>
      <c r="Q4209" s="49"/>
      <c r="R4209" s="49"/>
      <c r="S4209" s="49"/>
      <c r="T4209" s="49"/>
      <c r="U4209" s="49"/>
      <c r="V4209" s="49"/>
      <c r="W4209" s="49"/>
      <c r="X4209" s="49"/>
      <c r="Y4209" s="49"/>
      <c r="Z4209" s="49"/>
      <c r="AA4209" s="49"/>
      <c r="AB4209" s="49"/>
      <c r="AC4209" s="49"/>
      <c r="AD4209" s="49"/>
      <c r="AE4209" s="49"/>
      <c r="AF4209" s="49"/>
      <c r="AG4209" s="49"/>
      <c r="AH4209" s="49"/>
      <c r="AI4209" s="49"/>
      <c r="AJ4209" s="49"/>
      <c r="AK4209" s="49"/>
      <c r="AL4209" s="49"/>
      <c r="AM4209" s="49"/>
      <c r="AN4209" s="49"/>
      <c r="AP4209" s="49"/>
      <c r="AQ4209" s="49"/>
      <c r="AR4209" s="49"/>
      <c r="AS4209" s="49"/>
      <c r="AT4209" s="49"/>
    </row>
    <row r="4210">
      <c r="A4210" s="59"/>
      <c r="B4210" s="49"/>
      <c r="C4210" s="50"/>
      <c r="D4210" s="49"/>
      <c r="E4210" s="49"/>
      <c r="F4210" s="49"/>
      <c r="G4210" s="49"/>
      <c r="H4210" s="50"/>
      <c r="I4210" s="50"/>
      <c r="J4210" s="49"/>
      <c r="K4210" s="49"/>
      <c r="L4210" s="49"/>
      <c r="M4210" s="49"/>
      <c r="N4210" s="50"/>
      <c r="O4210" s="49"/>
      <c r="P4210" s="49"/>
      <c r="Q4210" s="49"/>
      <c r="R4210" s="49"/>
      <c r="S4210" s="49"/>
      <c r="T4210" s="49"/>
      <c r="U4210" s="49"/>
      <c r="V4210" s="49"/>
      <c r="W4210" s="49"/>
      <c r="X4210" s="49"/>
      <c r="Y4210" s="49"/>
      <c r="Z4210" s="49"/>
      <c r="AA4210" s="49"/>
      <c r="AB4210" s="49"/>
      <c r="AC4210" s="49"/>
      <c r="AD4210" s="49"/>
      <c r="AE4210" s="49"/>
      <c r="AF4210" s="49"/>
      <c r="AG4210" s="49"/>
      <c r="AH4210" s="49"/>
      <c r="AI4210" s="49"/>
      <c r="AJ4210" s="49"/>
      <c r="AK4210" s="49"/>
      <c r="AL4210" s="49"/>
      <c r="AM4210" s="49"/>
      <c r="AN4210" s="49"/>
      <c r="AP4210" s="49"/>
      <c r="AQ4210" s="49"/>
      <c r="AR4210" s="49"/>
      <c r="AS4210" s="49"/>
      <c r="AT4210" s="49"/>
    </row>
    <row r="4211">
      <c r="A4211" s="59"/>
      <c r="B4211" s="49"/>
      <c r="C4211" s="50"/>
      <c r="D4211" s="49"/>
      <c r="E4211" s="49"/>
      <c r="F4211" s="49"/>
      <c r="G4211" s="49"/>
      <c r="H4211" s="50"/>
      <c r="I4211" s="50"/>
      <c r="J4211" s="49"/>
      <c r="K4211" s="49"/>
      <c r="L4211" s="49"/>
      <c r="M4211" s="49"/>
      <c r="N4211" s="50"/>
      <c r="O4211" s="49"/>
      <c r="P4211" s="49"/>
      <c r="Q4211" s="49"/>
      <c r="R4211" s="49"/>
      <c r="S4211" s="49"/>
      <c r="T4211" s="49"/>
      <c r="U4211" s="49"/>
      <c r="V4211" s="49"/>
      <c r="W4211" s="49"/>
      <c r="X4211" s="49"/>
      <c r="Y4211" s="49"/>
      <c r="Z4211" s="49"/>
      <c r="AA4211" s="49"/>
      <c r="AB4211" s="49"/>
      <c r="AC4211" s="49"/>
      <c r="AD4211" s="49"/>
      <c r="AE4211" s="49"/>
      <c r="AF4211" s="49"/>
      <c r="AG4211" s="49"/>
      <c r="AH4211" s="49"/>
      <c r="AI4211" s="49"/>
      <c r="AJ4211" s="49"/>
      <c r="AK4211" s="49"/>
      <c r="AL4211" s="49"/>
      <c r="AM4211" s="49"/>
      <c r="AN4211" s="49"/>
      <c r="AP4211" s="49"/>
      <c r="AQ4211" s="49"/>
      <c r="AR4211" s="49"/>
      <c r="AS4211" s="49"/>
      <c r="AT4211" s="49"/>
    </row>
    <row r="4212">
      <c r="A4212" s="59"/>
      <c r="B4212" s="49"/>
      <c r="C4212" s="50"/>
      <c r="D4212" s="49"/>
      <c r="E4212" s="49"/>
      <c r="F4212" s="49"/>
      <c r="G4212" s="49"/>
      <c r="H4212" s="50"/>
      <c r="I4212" s="50"/>
      <c r="J4212" s="49"/>
      <c r="K4212" s="49"/>
      <c r="L4212" s="49"/>
      <c r="M4212" s="49"/>
      <c r="N4212" s="50"/>
      <c r="O4212" s="49"/>
      <c r="P4212" s="49"/>
      <c r="Q4212" s="49"/>
      <c r="R4212" s="49"/>
      <c r="S4212" s="49"/>
      <c r="T4212" s="49"/>
      <c r="U4212" s="49"/>
      <c r="V4212" s="49"/>
      <c r="W4212" s="49"/>
      <c r="X4212" s="49"/>
      <c r="Y4212" s="49"/>
      <c r="Z4212" s="49"/>
      <c r="AA4212" s="49"/>
      <c r="AB4212" s="49"/>
      <c r="AC4212" s="49"/>
      <c r="AD4212" s="49"/>
      <c r="AE4212" s="49"/>
      <c r="AF4212" s="49"/>
      <c r="AG4212" s="49"/>
      <c r="AH4212" s="49"/>
      <c r="AI4212" s="49"/>
      <c r="AJ4212" s="49"/>
      <c r="AK4212" s="49"/>
      <c r="AL4212" s="49"/>
      <c r="AM4212" s="49"/>
      <c r="AN4212" s="49"/>
      <c r="AP4212" s="49"/>
      <c r="AQ4212" s="49"/>
      <c r="AR4212" s="49"/>
      <c r="AS4212" s="49"/>
      <c r="AT4212" s="49"/>
    </row>
    <row r="4213">
      <c r="A4213" s="59"/>
      <c r="B4213" s="49"/>
      <c r="C4213" s="50"/>
      <c r="D4213" s="49"/>
      <c r="E4213" s="49"/>
      <c r="F4213" s="49"/>
      <c r="G4213" s="49"/>
      <c r="H4213" s="50"/>
      <c r="I4213" s="50"/>
      <c r="J4213" s="49"/>
      <c r="K4213" s="49"/>
      <c r="L4213" s="49"/>
      <c r="M4213" s="49"/>
      <c r="N4213" s="50"/>
      <c r="O4213" s="49"/>
      <c r="P4213" s="49"/>
      <c r="Q4213" s="49"/>
      <c r="R4213" s="49"/>
      <c r="S4213" s="49"/>
      <c r="T4213" s="49"/>
      <c r="U4213" s="49"/>
      <c r="V4213" s="49"/>
      <c r="W4213" s="49"/>
      <c r="X4213" s="49"/>
      <c r="Y4213" s="49"/>
      <c r="Z4213" s="49"/>
      <c r="AA4213" s="49"/>
      <c r="AB4213" s="49"/>
      <c r="AC4213" s="49"/>
      <c r="AD4213" s="49"/>
      <c r="AE4213" s="49"/>
      <c r="AF4213" s="49"/>
      <c r="AG4213" s="49"/>
      <c r="AH4213" s="49"/>
      <c r="AI4213" s="49"/>
      <c r="AJ4213" s="49"/>
      <c r="AK4213" s="49"/>
      <c r="AL4213" s="49"/>
      <c r="AM4213" s="49"/>
      <c r="AN4213" s="49"/>
      <c r="AP4213" s="49"/>
      <c r="AQ4213" s="49"/>
      <c r="AR4213" s="49"/>
      <c r="AS4213" s="49"/>
      <c r="AT4213" s="49"/>
    </row>
    <row r="4214">
      <c r="A4214" s="59"/>
      <c r="B4214" s="49"/>
      <c r="C4214" s="50"/>
      <c r="D4214" s="49"/>
      <c r="E4214" s="49"/>
      <c r="F4214" s="49"/>
      <c r="G4214" s="49"/>
      <c r="H4214" s="50"/>
      <c r="I4214" s="50"/>
      <c r="J4214" s="49"/>
      <c r="K4214" s="49"/>
      <c r="L4214" s="49"/>
      <c r="M4214" s="49"/>
      <c r="N4214" s="50"/>
      <c r="O4214" s="49"/>
      <c r="P4214" s="49"/>
      <c r="Q4214" s="49"/>
      <c r="R4214" s="49"/>
      <c r="S4214" s="49"/>
      <c r="T4214" s="49"/>
      <c r="U4214" s="49"/>
      <c r="V4214" s="49"/>
      <c r="W4214" s="49"/>
      <c r="X4214" s="49"/>
      <c r="Y4214" s="49"/>
      <c r="Z4214" s="49"/>
      <c r="AA4214" s="49"/>
      <c r="AB4214" s="49"/>
      <c r="AC4214" s="49"/>
      <c r="AD4214" s="49"/>
      <c r="AE4214" s="49"/>
      <c r="AF4214" s="49"/>
      <c r="AG4214" s="49"/>
      <c r="AH4214" s="49"/>
      <c r="AI4214" s="49"/>
      <c r="AJ4214" s="49"/>
      <c r="AK4214" s="49"/>
      <c r="AL4214" s="49"/>
      <c r="AM4214" s="49"/>
      <c r="AN4214" s="49"/>
      <c r="AP4214" s="49"/>
      <c r="AQ4214" s="49"/>
      <c r="AR4214" s="49"/>
      <c r="AS4214" s="49"/>
      <c r="AT4214" s="49"/>
    </row>
    <row r="4215">
      <c r="A4215" s="59"/>
      <c r="B4215" s="49"/>
      <c r="C4215" s="50"/>
      <c r="D4215" s="49"/>
      <c r="E4215" s="49"/>
      <c r="F4215" s="49"/>
      <c r="G4215" s="49"/>
      <c r="H4215" s="50"/>
      <c r="I4215" s="50"/>
      <c r="J4215" s="49"/>
      <c r="K4215" s="49"/>
      <c r="L4215" s="49"/>
      <c r="M4215" s="49"/>
      <c r="N4215" s="50"/>
      <c r="O4215" s="49"/>
      <c r="P4215" s="49"/>
      <c r="Q4215" s="49"/>
      <c r="R4215" s="49"/>
      <c r="S4215" s="49"/>
      <c r="T4215" s="49"/>
      <c r="U4215" s="49"/>
      <c r="V4215" s="49"/>
      <c r="W4215" s="49"/>
      <c r="X4215" s="49"/>
      <c r="Y4215" s="49"/>
      <c r="Z4215" s="49"/>
      <c r="AA4215" s="49"/>
      <c r="AB4215" s="49"/>
      <c r="AC4215" s="49"/>
      <c r="AD4215" s="49"/>
      <c r="AE4215" s="49"/>
      <c r="AF4215" s="49"/>
      <c r="AG4215" s="49"/>
      <c r="AH4215" s="49"/>
      <c r="AI4215" s="49"/>
      <c r="AJ4215" s="49"/>
      <c r="AK4215" s="49"/>
      <c r="AL4215" s="49"/>
      <c r="AM4215" s="49"/>
      <c r="AN4215" s="49"/>
      <c r="AP4215" s="49"/>
      <c r="AQ4215" s="49"/>
      <c r="AR4215" s="49"/>
      <c r="AS4215" s="49"/>
      <c r="AT4215" s="49"/>
    </row>
    <row r="4216">
      <c r="A4216" s="59"/>
      <c r="B4216" s="49"/>
      <c r="C4216" s="50"/>
      <c r="D4216" s="49"/>
      <c r="E4216" s="49"/>
      <c r="F4216" s="49"/>
      <c r="G4216" s="49"/>
      <c r="H4216" s="50"/>
      <c r="I4216" s="50"/>
      <c r="J4216" s="49"/>
      <c r="K4216" s="49"/>
      <c r="L4216" s="49"/>
      <c r="M4216" s="49"/>
      <c r="N4216" s="50"/>
      <c r="O4216" s="49"/>
      <c r="P4216" s="49"/>
      <c r="Q4216" s="49"/>
      <c r="R4216" s="49"/>
      <c r="S4216" s="49"/>
      <c r="T4216" s="49"/>
      <c r="U4216" s="49"/>
      <c r="V4216" s="49"/>
      <c r="W4216" s="49"/>
      <c r="X4216" s="49"/>
      <c r="Y4216" s="49"/>
      <c r="Z4216" s="49"/>
      <c r="AA4216" s="49"/>
      <c r="AB4216" s="49"/>
      <c r="AC4216" s="49"/>
      <c r="AD4216" s="49"/>
      <c r="AE4216" s="49"/>
      <c r="AF4216" s="49"/>
      <c r="AG4216" s="49"/>
      <c r="AH4216" s="49"/>
      <c r="AI4216" s="49"/>
      <c r="AJ4216" s="49"/>
      <c r="AK4216" s="49"/>
      <c r="AL4216" s="49"/>
      <c r="AM4216" s="49"/>
      <c r="AN4216" s="49"/>
      <c r="AP4216" s="49"/>
      <c r="AQ4216" s="49"/>
      <c r="AR4216" s="49"/>
      <c r="AS4216" s="49"/>
      <c r="AT4216" s="49"/>
    </row>
    <row r="4217">
      <c r="A4217" s="59"/>
      <c r="B4217" s="49"/>
      <c r="C4217" s="50"/>
      <c r="D4217" s="49"/>
      <c r="E4217" s="49"/>
      <c r="F4217" s="49"/>
      <c r="G4217" s="49"/>
      <c r="H4217" s="50"/>
      <c r="I4217" s="50"/>
      <c r="J4217" s="49"/>
      <c r="K4217" s="49"/>
      <c r="L4217" s="49"/>
      <c r="M4217" s="49"/>
      <c r="N4217" s="50"/>
      <c r="O4217" s="49"/>
      <c r="P4217" s="49"/>
      <c r="Q4217" s="49"/>
      <c r="R4217" s="49"/>
      <c r="S4217" s="49"/>
      <c r="T4217" s="49"/>
      <c r="U4217" s="49"/>
      <c r="V4217" s="49"/>
      <c r="W4217" s="49"/>
      <c r="X4217" s="49"/>
      <c r="Y4217" s="49"/>
      <c r="Z4217" s="49"/>
      <c r="AA4217" s="49"/>
      <c r="AB4217" s="49"/>
      <c r="AC4217" s="49"/>
      <c r="AD4217" s="49"/>
      <c r="AE4217" s="49"/>
      <c r="AF4217" s="49"/>
      <c r="AG4217" s="49"/>
      <c r="AH4217" s="49"/>
      <c r="AI4217" s="49"/>
      <c r="AJ4217" s="49"/>
      <c r="AK4217" s="49"/>
      <c r="AL4217" s="49"/>
      <c r="AM4217" s="49"/>
      <c r="AN4217" s="49"/>
      <c r="AP4217" s="49"/>
      <c r="AQ4217" s="49"/>
      <c r="AR4217" s="49"/>
      <c r="AS4217" s="49"/>
      <c r="AT4217" s="49"/>
    </row>
    <row r="4218">
      <c r="A4218" s="59"/>
      <c r="B4218" s="49"/>
      <c r="C4218" s="50"/>
      <c r="D4218" s="49"/>
      <c r="E4218" s="49"/>
      <c r="F4218" s="49"/>
      <c r="G4218" s="49"/>
      <c r="H4218" s="50"/>
      <c r="I4218" s="50"/>
      <c r="J4218" s="49"/>
      <c r="K4218" s="49"/>
      <c r="L4218" s="49"/>
      <c r="M4218" s="49"/>
      <c r="N4218" s="50"/>
      <c r="O4218" s="49"/>
      <c r="P4218" s="49"/>
      <c r="Q4218" s="49"/>
      <c r="R4218" s="49"/>
      <c r="S4218" s="49"/>
      <c r="T4218" s="49"/>
      <c r="U4218" s="49"/>
      <c r="V4218" s="49"/>
      <c r="W4218" s="49"/>
      <c r="X4218" s="49"/>
      <c r="Y4218" s="49"/>
      <c r="Z4218" s="49"/>
      <c r="AA4218" s="49"/>
      <c r="AB4218" s="49"/>
      <c r="AC4218" s="49"/>
      <c r="AD4218" s="49"/>
      <c r="AE4218" s="49"/>
      <c r="AF4218" s="49"/>
      <c r="AG4218" s="49"/>
      <c r="AH4218" s="49"/>
      <c r="AI4218" s="49"/>
      <c r="AJ4218" s="49"/>
      <c r="AK4218" s="49"/>
      <c r="AL4218" s="49"/>
      <c r="AM4218" s="49"/>
      <c r="AN4218" s="49"/>
      <c r="AP4218" s="49"/>
      <c r="AQ4218" s="49"/>
      <c r="AR4218" s="49"/>
      <c r="AS4218" s="49"/>
      <c r="AT4218" s="49"/>
    </row>
    <row r="4219">
      <c r="A4219" s="59"/>
      <c r="B4219" s="49"/>
      <c r="C4219" s="50"/>
      <c r="D4219" s="49"/>
      <c r="E4219" s="49"/>
      <c r="F4219" s="49"/>
      <c r="G4219" s="49"/>
      <c r="H4219" s="50"/>
      <c r="I4219" s="50"/>
      <c r="J4219" s="49"/>
      <c r="K4219" s="49"/>
      <c r="L4219" s="49"/>
      <c r="M4219" s="49"/>
      <c r="N4219" s="50"/>
      <c r="O4219" s="49"/>
      <c r="P4219" s="49"/>
      <c r="Q4219" s="49"/>
      <c r="R4219" s="49"/>
      <c r="S4219" s="49"/>
      <c r="T4219" s="49"/>
      <c r="U4219" s="49"/>
      <c r="V4219" s="49"/>
      <c r="W4219" s="49"/>
      <c r="X4219" s="49"/>
      <c r="Y4219" s="49"/>
      <c r="Z4219" s="49"/>
      <c r="AA4219" s="49"/>
      <c r="AB4219" s="49"/>
      <c r="AC4219" s="49"/>
      <c r="AD4219" s="49"/>
      <c r="AE4219" s="49"/>
      <c r="AF4219" s="49"/>
      <c r="AG4219" s="49"/>
      <c r="AH4219" s="49"/>
      <c r="AI4219" s="49"/>
      <c r="AJ4219" s="49"/>
      <c r="AK4219" s="49"/>
      <c r="AL4219" s="49"/>
      <c r="AM4219" s="49"/>
      <c r="AN4219" s="49"/>
      <c r="AP4219" s="49"/>
      <c r="AQ4219" s="49"/>
      <c r="AR4219" s="49"/>
      <c r="AS4219" s="49"/>
      <c r="AT4219" s="49"/>
    </row>
    <row r="4220">
      <c r="A4220" s="59"/>
      <c r="B4220" s="49"/>
      <c r="C4220" s="50"/>
      <c r="D4220" s="49"/>
      <c r="E4220" s="49"/>
      <c r="F4220" s="49"/>
      <c r="G4220" s="49"/>
      <c r="H4220" s="50"/>
      <c r="I4220" s="50"/>
      <c r="J4220" s="49"/>
      <c r="K4220" s="49"/>
      <c r="L4220" s="49"/>
      <c r="M4220" s="49"/>
      <c r="N4220" s="50"/>
      <c r="O4220" s="49"/>
      <c r="P4220" s="49"/>
      <c r="Q4220" s="49"/>
      <c r="R4220" s="49"/>
      <c r="S4220" s="49"/>
      <c r="T4220" s="49"/>
      <c r="U4220" s="49"/>
      <c r="V4220" s="49"/>
      <c r="W4220" s="49"/>
      <c r="X4220" s="49"/>
      <c r="Y4220" s="49"/>
      <c r="Z4220" s="49"/>
      <c r="AA4220" s="49"/>
      <c r="AB4220" s="49"/>
      <c r="AC4220" s="49"/>
      <c r="AD4220" s="49"/>
      <c r="AE4220" s="49"/>
      <c r="AF4220" s="49"/>
      <c r="AG4220" s="49"/>
      <c r="AH4220" s="49"/>
      <c r="AI4220" s="49"/>
      <c r="AJ4220" s="49"/>
      <c r="AK4220" s="49"/>
      <c r="AL4220" s="49"/>
      <c r="AM4220" s="49"/>
      <c r="AN4220" s="49"/>
      <c r="AP4220" s="49"/>
      <c r="AQ4220" s="49"/>
      <c r="AR4220" s="49"/>
      <c r="AS4220" s="49"/>
      <c r="AT4220" s="49"/>
    </row>
    <row r="4221">
      <c r="A4221" s="59"/>
      <c r="B4221" s="49"/>
      <c r="C4221" s="50"/>
      <c r="D4221" s="49"/>
      <c r="E4221" s="49"/>
      <c r="F4221" s="49"/>
      <c r="G4221" s="49"/>
      <c r="H4221" s="50"/>
      <c r="I4221" s="50"/>
      <c r="J4221" s="49"/>
      <c r="K4221" s="49"/>
      <c r="L4221" s="49"/>
      <c r="M4221" s="49"/>
      <c r="N4221" s="50"/>
      <c r="O4221" s="49"/>
      <c r="P4221" s="49"/>
      <c r="Q4221" s="49"/>
      <c r="R4221" s="49"/>
      <c r="S4221" s="49"/>
      <c r="T4221" s="49"/>
      <c r="U4221" s="49"/>
      <c r="V4221" s="49"/>
      <c r="W4221" s="49"/>
      <c r="X4221" s="49"/>
      <c r="Y4221" s="49"/>
      <c r="Z4221" s="49"/>
      <c r="AA4221" s="49"/>
      <c r="AB4221" s="49"/>
      <c r="AC4221" s="49"/>
      <c r="AD4221" s="49"/>
      <c r="AE4221" s="49"/>
      <c r="AF4221" s="49"/>
      <c r="AG4221" s="49"/>
      <c r="AH4221" s="49"/>
      <c r="AI4221" s="49"/>
      <c r="AJ4221" s="49"/>
      <c r="AK4221" s="49"/>
      <c r="AL4221" s="49"/>
      <c r="AM4221" s="49"/>
      <c r="AN4221" s="49"/>
      <c r="AP4221" s="49"/>
      <c r="AQ4221" s="49"/>
      <c r="AR4221" s="49"/>
      <c r="AS4221" s="49"/>
      <c r="AT4221" s="49"/>
    </row>
    <row r="4222">
      <c r="A4222" s="59"/>
      <c r="B4222" s="49"/>
      <c r="C4222" s="50"/>
      <c r="D4222" s="49"/>
      <c r="E4222" s="49"/>
      <c r="F4222" s="49"/>
      <c r="G4222" s="49"/>
      <c r="H4222" s="50"/>
      <c r="I4222" s="50"/>
      <c r="J4222" s="49"/>
      <c r="K4222" s="49"/>
      <c r="L4222" s="49"/>
      <c r="M4222" s="49"/>
      <c r="N4222" s="50"/>
      <c r="O4222" s="49"/>
      <c r="P4222" s="49"/>
      <c r="Q4222" s="49"/>
      <c r="R4222" s="49"/>
      <c r="S4222" s="49"/>
      <c r="T4222" s="49"/>
      <c r="U4222" s="49"/>
      <c r="V4222" s="49"/>
      <c r="W4222" s="49"/>
      <c r="X4222" s="49"/>
      <c r="Y4222" s="49"/>
      <c r="Z4222" s="49"/>
      <c r="AA4222" s="49"/>
      <c r="AB4222" s="49"/>
      <c r="AC4222" s="49"/>
      <c r="AD4222" s="49"/>
      <c r="AE4222" s="49"/>
      <c r="AF4222" s="49"/>
      <c r="AG4222" s="49"/>
      <c r="AH4222" s="49"/>
      <c r="AI4222" s="49"/>
      <c r="AJ4222" s="49"/>
      <c r="AK4222" s="49"/>
      <c r="AL4222" s="49"/>
      <c r="AM4222" s="49"/>
      <c r="AN4222" s="49"/>
      <c r="AP4222" s="49"/>
      <c r="AQ4222" s="49"/>
      <c r="AR4222" s="49"/>
      <c r="AS4222" s="49"/>
      <c r="AT4222" s="49"/>
    </row>
    <row r="4223">
      <c r="A4223" s="59"/>
      <c r="B4223" s="49"/>
      <c r="C4223" s="50"/>
      <c r="D4223" s="49"/>
      <c r="E4223" s="49"/>
      <c r="F4223" s="49"/>
      <c r="G4223" s="49"/>
      <c r="H4223" s="50"/>
      <c r="I4223" s="50"/>
      <c r="J4223" s="49"/>
      <c r="K4223" s="49"/>
      <c r="L4223" s="49"/>
      <c r="M4223" s="49"/>
      <c r="N4223" s="50"/>
      <c r="O4223" s="49"/>
      <c r="P4223" s="49"/>
      <c r="Q4223" s="49"/>
      <c r="R4223" s="49"/>
      <c r="S4223" s="49"/>
      <c r="T4223" s="49"/>
      <c r="U4223" s="49"/>
      <c r="V4223" s="49"/>
      <c r="W4223" s="49"/>
      <c r="X4223" s="49"/>
      <c r="Y4223" s="49"/>
      <c r="Z4223" s="49"/>
      <c r="AA4223" s="49"/>
      <c r="AB4223" s="49"/>
      <c r="AC4223" s="49"/>
      <c r="AD4223" s="49"/>
      <c r="AE4223" s="49"/>
      <c r="AF4223" s="49"/>
      <c r="AG4223" s="49"/>
      <c r="AH4223" s="49"/>
      <c r="AI4223" s="49"/>
      <c r="AJ4223" s="49"/>
      <c r="AK4223" s="49"/>
      <c r="AL4223" s="49"/>
      <c r="AM4223" s="49"/>
      <c r="AN4223" s="49"/>
      <c r="AP4223" s="49"/>
      <c r="AQ4223" s="49"/>
      <c r="AR4223" s="49"/>
      <c r="AS4223" s="49"/>
      <c r="AT4223" s="49"/>
    </row>
    <row r="4224">
      <c r="A4224" s="59"/>
      <c r="B4224" s="49"/>
      <c r="C4224" s="50"/>
      <c r="D4224" s="49"/>
      <c r="E4224" s="49"/>
      <c r="F4224" s="49"/>
      <c r="G4224" s="49"/>
      <c r="H4224" s="50"/>
      <c r="I4224" s="50"/>
      <c r="J4224" s="49"/>
      <c r="K4224" s="49"/>
      <c r="L4224" s="49"/>
      <c r="M4224" s="49"/>
      <c r="N4224" s="50"/>
      <c r="O4224" s="49"/>
      <c r="P4224" s="49"/>
      <c r="Q4224" s="49"/>
      <c r="R4224" s="49"/>
      <c r="S4224" s="49"/>
      <c r="T4224" s="49"/>
      <c r="U4224" s="49"/>
      <c r="V4224" s="49"/>
      <c r="W4224" s="49"/>
      <c r="X4224" s="49"/>
      <c r="Y4224" s="49"/>
      <c r="Z4224" s="49"/>
      <c r="AA4224" s="49"/>
      <c r="AB4224" s="49"/>
      <c r="AC4224" s="49"/>
      <c r="AD4224" s="49"/>
      <c r="AE4224" s="49"/>
      <c r="AF4224" s="49"/>
      <c r="AG4224" s="49"/>
      <c r="AH4224" s="49"/>
      <c r="AI4224" s="49"/>
      <c r="AJ4224" s="49"/>
      <c r="AK4224" s="49"/>
      <c r="AL4224" s="49"/>
      <c r="AM4224" s="49"/>
      <c r="AN4224" s="49"/>
      <c r="AP4224" s="49"/>
      <c r="AQ4224" s="49"/>
      <c r="AR4224" s="49"/>
      <c r="AS4224" s="49"/>
      <c r="AT4224" s="49"/>
    </row>
    <row r="4225">
      <c r="A4225" s="59"/>
      <c r="B4225" s="49"/>
      <c r="C4225" s="50"/>
      <c r="D4225" s="49"/>
      <c r="E4225" s="49"/>
      <c r="F4225" s="49"/>
      <c r="G4225" s="49"/>
      <c r="H4225" s="50"/>
      <c r="I4225" s="50"/>
      <c r="J4225" s="49"/>
      <c r="K4225" s="49"/>
      <c r="L4225" s="49"/>
      <c r="M4225" s="49"/>
      <c r="N4225" s="50"/>
      <c r="O4225" s="49"/>
      <c r="P4225" s="49"/>
      <c r="Q4225" s="49"/>
      <c r="R4225" s="49"/>
      <c r="S4225" s="49"/>
      <c r="T4225" s="49"/>
      <c r="U4225" s="49"/>
      <c r="V4225" s="49"/>
      <c r="W4225" s="49"/>
      <c r="X4225" s="49"/>
      <c r="Y4225" s="49"/>
      <c r="Z4225" s="49"/>
      <c r="AA4225" s="49"/>
      <c r="AB4225" s="49"/>
      <c r="AC4225" s="49"/>
      <c r="AD4225" s="49"/>
      <c r="AE4225" s="49"/>
      <c r="AF4225" s="49"/>
      <c r="AG4225" s="49"/>
      <c r="AH4225" s="49"/>
      <c r="AI4225" s="49"/>
      <c r="AJ4225" s="49"/>
      <c r="AK4225" s="49"/>
      <c r="AL4225" s="49"/>
      <c r="AM4225" s="49"/>
      <c r="AN4225" s="49"/>
      <c r="AP4225" s="49"/>
      <c r="AQ4225" s="49"/>
      <c r="AR4225" s="49"/>
      <c r="AS4225" s="49"/>
      <c r="AT4225" s="49"/>
    </row>
    <row r="4226">
      <c r="A4226" s="59"/>
      <c r="B4226" s="49"/>
      <c r="C4226" s="50"/>
      <c r="D4226" s="49"/>
      <c r="E4226" s="49"/>
      <c r="F4226" s="49"/>
      <c r="G4226" s="49"/>
      <c r="H4226" s="50"/>
      <c r="I4226" s="50"/>
      <c r="J4226" s="49"/>
      <c r="K4226" s="49"/>
      <c r="L4226" s="49"/>
      <c r="M4226" s="49"/>
      <c r="N4226" s="50"/>
      <c r="O4226" s="49"/>
      <c r="P4226" s="49"/>
      <c r="Q4226" s="49"/>
      <c r="R4226" s="49"/>
      <c r="S4226" s="49"/>
      <c r="T4226" s="49"/>
      <c r="U4226" s="49"/>
      <c r="V4226" s="49"/>
      <c r="W4226" s="49"/>
      <c r="X4226" s="49"/>
      <c r="Y4226" s="49"/>
      <c r="Z4226" s="49"/>
      <c r="AA4226" s="49"/>
      <c r="AB4226" s="49"/>
      <c r="AC4226" s="49"/>
      <c r="AD4226" s="49"/>
      <c r="AE4226" s="49"/>
      <c r="AF4226" s="49"/>
      <c r="AG4226" s="49"/>
      <c r="AH4226" s="49"/>
      <c r="AI4226" s="49"/>
      <c r="AJ4226" s="49"/>
      <c r="AK4226" s="49"/>
      <c r="AL4226" s="49"/>
      <c r="AM4226" s="49"/>
      <c r="AN4226" s="49"/>
      <c r="AP4226" s="49"/>
      <c r="AQ4226" s="49"/>
      <c r="AR4226" s="49"/>
      <c r="AS4226" s="49"/>
      <c r="AT4226" s="49"/>
    </row>
    <row r="4227">
      <c r="A4227" s="59"/>
      <c r="B4227" s="49"/>
      <c r="C4227" s="50"/>
      <c r="D4227" s="49"/>
      <c r="E4227" s="49"/>
      <c r="F4227" s="49"/>
      <c r="G4227" s="49"/>
      <c r="H4227" s="50"/>
      <c r="I4227" s="50"/>
      <c r="J4227" s="49"/>
      <c r="K4227" s="49"/>
      <c r="L4227" s="49"/>
      <c r="M4227" s="49"/>
      <c r="N4227" s="50"/>
      <c r="O4227" s="49"/>
      <c r="P4227" s="49"/>
      <c r="Q4227" s="49"/>
      <c r="R4227" s="49"/>
      <c r="S4227" s="49"/>
      <c r="T4227" s="49"/>
      <c r="U4227" s="49"/>
      <c r="V4227" s="49"/>
      <c r="W4227" s="49"/>
      <c r="X4227" s="49"/>
      <c r="Y4227" s="49"/>
      <c r="Z4227" s="49"/>
      <c r="AA4227" s="49"/>
      <c r="AB4227" s="49"/>
      <c r="AC4227" s="49"/>
      <c r="AD4227" s="49"/>
      <c r="AE4227" s="49"/>
      <c r="AF4227" s="49"/>
      <c r="AG4227" s="49"/>
      <c r="AH4227" s="49"/>
      <c r="AI4227" s="49"/>
      <c r="AJ4227" s="49"/>
      <c r="AK4227" s="49"/>
      <c r="AL4227" s="49"/>
      <c r="AM4227" s="49"/>
      <c r="AN4227" s="49"/>
      <c r="AP4227" s="49"/>
      <c r="AQ4227" s="49"/>
      <c r="AR4227" s="49"/>
      <c r="AS4227" s="49"/>
      <c r="AT4227" s="49"/>
    </row>
    <row r="4228">
      <c r="A4228" s="59"/>
      <c r="B4228" s="49"/>
      <c r="C4228" s="50"/>
      <c r="D4228" s="49"/>
      <c r="E4228" s="49"/>
      <c r="F4228" s="49"/>
      <c r="G4228" s="49"/>
      <c r="H4228" s="50"/>
      <c r="I4228" s="50"/>
      <c r="J4228" s="49"/>
      <c r="K4228" s="49"/>
      <c r="L4228" s="49"/>
      <c r="M4228" s="49"/>
      <c r="N4228" s="50"/>
      <c r="O4228" s="49"/>
      <c r="P4228" s="49"/>
      <c r="Q4228" s="49"/>
      <c r="R4228" s="49"/>
      <c r="S4228" s="49"/>
      <c r="T4228" s="49"/>
      <c r="U4228" s="49"/>
      <c r="V4228" s="49"/>
      <c r="W4228" s="49"/>
      <c r="X4228" s="49"/>
      <c r="Y4228" s="49"/>
      <c r="Z4228" s="49"/>
      <c r="AA4228" s="49"/>
      <c r="AB4228" s="49"/>
      <c r="AC4228" s="49"/>
      <c r="AD4228" s="49"/>
      <c r="AE4228" s="49"/>
      <c r="AF4228" s="49"/>
      <c r="AG4228" s="49"/>
      <c r="AH4228" s="49"/>
      <c r="AI4228" s="49"/>
      <c r="AJ4228" s="49"/>
      <c r="AK4228" s="49"/>
      <c r="AL4228" s="49"/>
      <c r="AM4228" s="49"/>
      <c r="AN4228" s="49"/>
      <c r="AP4228" s="49"/>
      <c r="AQ4228" s="49"/>
      <c r="AR4228" s="49"/>
      <c r="AS4228" s="49"/>
      <c r="AT4228" s="49"/>
    </row>
    <row r="4229">
      <c r="A4229" s="59"/>
      <c r="B4229" s="49"/>
      <c r="C4229" s="50"/>
      <c r="D4229" s="49"/>
      <c r="E4229" s="49"/>
      <c r="F4229" s="49"/>
      <c r="G4229" s="49"/>
      <c r="H4229" s="50"/>
      <c r="I4229" s="50"/>
      <c r="J4229" s="49"/>
      <c r="K4229" s="49"/>
      <c r="L4229" s="49"/>
      <c r="M4229" s="49"/>
      <c r="N4229" s="50"/>
      <c r="O4229" s="49"/>
      <c r="P4229" s="49"/>
      <c r="Q4229" s="49"/>
      <c r="R4229" s="49"/>
      <c r="S4229" s="49"/>
      <c r="T4229" s="49"/>
      <c r="U4229" s="49"/>
      <c r="V4229" s="49"/>
      <c r="W4229" s="49"/>
      <c r="X4229" s="49"/>
      <c r="Y4229" s="49"/>
      <c r="Z4229" s="49"/>
      <c r="AA4229" s="49"/>
      <c r="AB4229" s="49"/>
      <c r="AC4229" s="49"/>
      <c r="AD4229" s="49"/>
      <c r="AE4229" s="49"/>
      <c r="AF4229" s="49"/>
      <c r="AG4229" s="49"/>
      <c r="AH4229" s="49"/>
      <c r="AI4229" s="49"/>
      <c r="AJ4229" s="49"/>
      <c r="AK4229" s="49"/>
      <c r="AL4229" s="49"/>
      <c r="AM4229" s="49"/>
      <c r="AN4229" s="49"/>
      <c r="AP4229" s="49"/>
      <c r="AQ4229" s="49"/>
      <c r="AR4229" s="49"/>
      <c r="AS4229" s="49"/>
      <c r="AT4229" s="49"/>
    </row>
    <row r="4230">
      <c r="A4230" s="59"/>
      <c r="B4230" s="49"/>
      <c r="C4230" s="50"/>
      <c r="D4230" s="49"/>
      <c r="E4230" s="49"/>
      <c r="F4230" s="49"/>
      <c r="G4230" s="49"/>
      <c r="H4230" s="50"/>
      <c r="I4230" s="50"/>
      <c r="J4230" s="49"/>
      <c r="K4230" s="49"/>
      <c r="L4230" s="49"/>
      <c r="M4230" s="49"/>
      <c r="N4230" s="50"/>
      <c r="O4230" s="49"/>
      <c r="P4230" s="49"/>
      <c r="Q4230" s="49"/>
      <c r="R4230" s="49"/>
      <c r="S4230" s="49"/>
      <c r="T4230" s="49"/>
      <c r="U4230" s="49"/>
      <c r="V4230" s="49"/>
      <c r="W4230" s="49"/>
      <c r="X4230" s="49"/>
      <c r="Y4230" s="49"/>
      <c r="Z4230" s="49"/>
      <c r="AA4230" s="49"/>
      <c r="AB4230" s="49"/>
      <c r="AC4230" s="49"/>
      <c r="AD4230" s="49"/>
      <c r="AE4230" s="49"/>
      <c r="AF4230" s="49"/>
      <c r="AG4230" s="49"/>
      <c r="AH4230" s="49"/>
      <c r="AI4230" s="49"/>
      <c r="AJ4230" s="49"/>
      <c r="AK4230" s="49"/>
      <c r="AL4230" s="49"/>
      <c r="AM4230" s="49"/>
      <c r="AN4230" s="49"/>
      <c r="AP4230" s="49"/>
      <c r="AQ4230" s="49"/>
      <c r="AR4230" s="49"/>
      <c r="AS4230" s="49"/>
      <c r="AT4230" s="49"/>
    </row>
    <row r="4231">
      <c r="A4231" s="59"/>
      <c r="B4231" s="49"/>
      <c r="C4231" s="50"/>
      <c r="D4231" s="49"/>
      <c r="E4231" s="49"/>
      <c r="F4231" s="49"/>
      <c r="G4231" s="49"/>
      <c r="H4231" s="50"/>
      <c r="I4231" s="50"/>
      <c r="J4231" s="49"/>
      <c r="K4231" s="49"/>
      <c r="L4231" s="49"/>
      <c r="M4231" s="49"/>
      <c r="N4231" s="50"/>
      <c r="O4231" s="49"/>
      <c r="P4231" s="49"/>
      <c r="Q4231" s="49"/>
      <c r="R4231" s="49"/>
      <c r="S4231" s="49"/>
      <c r="T4231" s="49"/>
      <c r="U4231" s="49"/>
      <c r="V4231" s="49"/>
      <c r="W4231" s="49"/>
      <c r="X4231" s="49"/>
      <c r="Y4231" s="49"/>
      <c r="Z4231" s="49"/>
      <c r="AA4231" s="49"/>
      <c r="AB4231" s="49"/>
      <c r="AC4231" s="49"/>
      <c r="AD4231" s="49"/>
      <c r="AE4231" s="49"/>
      <c r="AF4231" s="49"/>
      <c r="AG4231" s="49"/>
      <c r="AH4231" s="49"/>
      <c r="AI4231" s="49"/>
      <c r="AJ4231" s="49"/>
      <c r="AK4231" s="49"/>
      <c r="AL4231" s="49"/>
      <c r="AM4231" s="49"/>
      <c r="AN4231" s="49"/>
      <c r="AP4231" s="49"/>
      <c r="AQ4231" s="49"/>
      <c r="AR4231" s="49"/>
      <c r="AS4231" s="49"/>
      <c r="AT4231" s="49"/>
    </row>
    <row r="4232">
      <c r="A4232" s="59"/>
      <c r="B4232" s="49"/>
      <c r="C4232" s="50"/>
      <c r="D4232" s="49"/>
      <c r="E4232" s="49"/>
      <c r="F4232" s="49"/>
      <c r="G4232" s="49"/>
      <c r="H4232" s="50"/>
      <c r="I4232" s="50"/>
      <c r="J4232" s="49"/>
      <c r="K4232" s="49"/>
      <c r="L4232" s="49"/>
      <c r="M4232" s="49"/>
      <c r="N4232" s="50"/>
      <c r="O4232" s="49"/>
      <c r="P4232" s="49"/>
      <c r="Q4232" s="49"/>
      <c r="R4232" s="49"/>
      <c r="S4232" s="49"/>
      <c r="T4232" s="49"/>
      <c r="U4232" s="49"/>
      <c r="V4232" s="49"/>
      <c r="W4232" s="49"/>
      <c r="X4232" s="49"/>
      <c r="Y4232" s="49"/>
      <c r="Z4232" s="49"/>
      <c r="AA4232" s="49"/>
      <c r="AB4232" s="49"/>
      <c r="AC4232" s="49"/>
      <c r="AD4232" s="49"/>
      <c r="AE4232" s="49"/>
      <c r="AF4232" s="49"/>
      <c r="AG4232" s="49"/>
      <c r="AH4232" s="49"/>
      <c r="AI4232" s="49"/>
      <c r="AJ4232" s="49"/>
      <c r="AK4232" s="49"/>
      <c r="AL4232" s="49"/>
      <c r="AM4232" s="49"/>
      <c r="AN4232" s="49"/>
      <c r="AP4232" s="49"/>
      <c r="AQ4232" s="49"/>
      <c r="AR4232" s="49"/>
      <c r="AS4232" s="49"/>
      <c r="AT4232" s="49"/>
    </row>
    <row r="4233">
      <c r="A4233" s="59"/>
      <c r="B4233" s="49"/>
      <c r="C4233" s="50"/>
      <c r="D4233" s="49"/>
      <c r="E4233" s="49"/>
      <c r="F4233" s="49"/>
      <c r="G4233" s="49"/>
      <c r="H4233" s="50"/>
      <c r="I4233" s="50"/>
      <c r="J4233" s="49"/>
      <c r="K4233" s="49"/>
      <c r="L4233" s="49"/>
      <c r="M4233" s="49"/>
      <c r="N4233" s="50"/>
      <c r="O4233" s="49"/>
      <c r="P4233" s="49"/>
      <c r="Q4233" s="49"/>
      <c r="R4233" s="49"/>
      <c r="S4233" s="49"/>
      <c r="T4233" s="49"/>
      <c r="U4233" s="49"/>
      <c r="V4233" s="49"/>
      <c r="W4233" s="49"/>
      <c r="X4233" s="49"/>
      <c r="Y4233" s="49"/>
      <c r="Z4233" s="49"/>
      <c r="AA4233" s="49"/>
      <c r="AB4233" s="49"/>
      <c r="AC4233" s="49"/>
      <c r="AD4233" s="49"/>
      <c r="AE4233" s="49"/>
      <c r="AF4233" s="49"/>
      <c r="AG4233" s="49"/>
      <c r="AH4233" s="49"/>
      <c r="AI4233" s="49"/>
      <c r="AJ4233" s="49"/>
      <c r="AK4233" s="49"/>
      <c r="AL4233" s="49"/>
      <c r="AM4233" s="49"/>
      <c r="AN4233" s="49"/>
      <c r="AP4233" s="49"/>
      <c r="AQ4233" s="49"/>
      <c r="AR4233" s="49"/>
      <c r="AS4233" s="49"/>
      <c r="AT4233" s="49"/>
    </row>
    <row r="4234">
      <c r="A4234" s="59"/>
      <c r="B4234" s="49"/>
      <c r="C4234" s="50"/>
      <c r="D4234" s="49"/>
      <c r="E4234" s="49"/>
      <c r="F4234" s="49"/>
      <c r="G4234" s="49"/>
      <c r="H4234" s="50"/>
      <c r="I4234" s="50"/>
      <c r="J4234" s="49"/>
      <c r="K4234" s="49"/>
      <c r="L4234" s="49"/>
      <c r="M4234" s="49"/>
      <c r="N4234" s="50"/>
      <c r="O4234" s="49"/>
      <c r="P4234" s="49"/>
      <c r="Q4234" s="49"/>
      <c r="R4234" s="49"/>
      <c r="S4234" s="49"/>
      <c r="T4234" s="49"/>
      <c r="U4234" s="49"/>
      <c r="V4234" s="49"/>
      <c r="W4234" s="49"/>
      <c r="X4234" s="49"/>
      <c r="Y4234" s="49"/>
      <c r="Z4234" s="49"/>
      <c r="AA4234" s="49"/>
      <c r="AB4234" s="49"/>
      <c r="AC4234" s="49"/>
      <c r="AD4234" s="49"/>
      <c r="AE4234" s="49"/>
      <c r="AF4234" s="49"/>
      <c r="AG4234" s="49"/>
      <c r="AH4234" s="49"/>
      <c r="AI4234" s="49"/>
      <c r="AJ4234" s="49"/>
      <c r="AK4234" s="49"/>
      <c r="AL4234" s="49"/>
      <c r="AM4234" s="49"/>
      <c r="AN4234" s="49"/>
      <c r="AP4234" s="49"/>
      <c r="AQ4234" s="49"/>
      <c r="AR4234" s="49"/>
      <c r="AS4234" s="49"/>
      <c r="AT4234" s="49"/>
    </row>
    <row r="4235">
      <c r="A4235" s="59"/>
      <c r="B4235" s="49"/>
      <c r="C4235" s="50"/>
      <c r="D4235" s="49"/>
      <c r="E4235" s="49"/>
      <c r="F4235" s="49"/>
      <c r="G4235" s="49"/>
      <c r="H4235" s="50"/>
      <c r="I4235" s="50"/>
      <c r="J4235" s="49"/>
      <c r="K4235" s="49"/>
      <c r="L4235" s="49"/>
      <c r="M4235" s="49"/>
      <c r="N4235" s="50"/>
      <c r="O4235" s="49"/>
      <c r="P4235" s="49"/>
      <c r="Q4235" s="49"/>
      <c r="R4235" s="49"/>
      <c r="S4235" s="49"/>
      <c r="T4235" s="49"/>
      <c r="U4235" s="49"/>
      <c r="V4235" s="49"/>
      <c r="W4235" s="49"/>
      <c r="X4235" s="49"/>
      <c r="Y4235" s="49"/>
      <c r="Z4235" s="49"/>
      <c r="AA4235" s="49"/>
      <c r="AB4235" s="49"/>
      <c r="AC4235" s="49"/>
      <c r="AD4235" s="49"/>
      <c r="AE4235" s="49"/>
      <c r="AF4235" s="49"/>
      <c r="AG4235" s="49"/>
      <c r="AH4235" s="49"/>
      <c r="AI4235" s="49"/>
      <c r="AJ4235" s="49"/>
      <c r="AK4235" s="49"/>
      <c r="AL4235" s="49"/>
      <c r="AM4235" s="49"/>
      <c r="AN4235" s="49"/>
      <c r="AP4235" s="49"/>
      <c r="AQ4235" s="49"/>
      <c r="AR4235" s="49"/>
      <c r="AS4235" s="49"/>
      <c r="AT4235" s="49"/>
    </row>
    <row r="4236">
      <c r="A4236" s="59"/>
      <c r="B4236" s="49"/>
      <c r="C4236" s="50"/>
      <c r="D4236" s="49"/>
      <c r="E4236" s="49"/>
      <c r="F4236" s="49"/>
      <c r="G4236" s="49"/>
      <c r="H4236" s="50"/>
      <c r="I4236" s="50"/>
      <c r="J4236" s="49"/>
      <c r="K4236" s="49"/>
      <c r="L4236" s="49"/>
      <c r="M4236" s="49"/>
      <c r="N4236" s="50"/>
      <c r="O4236" s="49"/>
      <c r="P4236" s="49"/>
      <c r="Q4236" s="49"/>
      <c r="R4236" s="49"/>
      <c r="S4236" s="49"/>
      <c r="T4236" s="49"/>
      <c r="U4236" s="49"/>
      <c r="V4236" s="49"/>
      <c r="W4236" s="49"/>
      <c r="X4236" s="49"/>
      <c r="Y4236" s="49"/>
      <c r="Z4236" s="49"/>
      <c r="AA4236" s="49"/>
      <c r="AB4236" s="49"/>
      <c r="AC4236" s="49"/>
      <c r="AD4236" s="49"/>
      <c r="AE4236" s="49"/>
      <c r="AF4236" s="49"/>
      <c r="AG4236" s="49"/>
      <c r="AH4236" s="49"/>
      <c r="AI4236" s="49"/>
      <c r="AJ4236" s="49"/>
      <c r="AK4236" s="49"/>
      <c r="AL4236" s="49"/>
      <c r="AM4236" s="49"/>
      <c r="AN4236" s="49"/>
      <c r="AP4236" s="49"/>
      <c r="AQ4236" s="49"/>
      <c r="AR4236" s="49"/>
      <c r="AS4236" s="49"/>
      <c r="AT4236" s="49"/>
    </row>
    <row r="4237">
      <c r="A4237" s="59"/>
      <c r="B4237" s="49"/>
      <c r="C4237" s="50"/>
      <c r="D4237" s="49"/>
      <c r="E4237" s="49"/>
      <c r="F4237" s="49"/>
      <c r="G4237" s="49"/>
      <c r="H4237" s="50"/>
      <c r="I4237" s="50"/>
      <c r="J4237" s="49"/>
      <c r="K4237" s="49"/>
      <c r="L4237" s="49"/>
      <c r="M4237" s="49"/>
      <c r="N4237" s="50"/>
      <c r="O4237" s="49"/>
      <c r="P4237" s="49"/>
      <c r="Q4237" s="49"/>
      <c r="R4237" s="49"/>
      <c r="S4237" s="49"/>
      <c r="T4237" s="49"/>
      <c r="U4237" s="49"/>
      <c r="V4237" s="49"/>
      <c r="W4237" s="49"/>
      <c r="X4237" s="49"/>
      <c r="Y4237" s="49"/>
      <c r="Z4237" s="49"/>
      <c r="AA4237" s="49"/>
      <c r="AB4237" s="49"/>
      <c r="AC4237" s="49"/>
      <c r="AD4237" s="49"/>
      <c r="AE4237" s="49"/>
      <c r="AF4237" s="49"/>
      <c r="AG4237" s="49"/>
      <c r="AH4237" s="49"/>
      <c r="AI4237" s="49"/>
      <c r="AJ4237" s="49"/>
      <c r="AK4237" s="49"/>
      <c r="AL4237" s="49"/>
      <c r="AM4237" s="49"/>
      <c r="AN4237" s="49"/>
      <c r="AP4237" s="49"/>
      <c r="AQ4237" s="49"/>
      <c r="AR4237" s="49"/>
      <c r="AS4237" s="49"/>
      <c r="AT4237" s="49"/>
    </row>
    <row r="4238">
      <c r="A4238" s="59"/>
      <c r="B4238" s="49"/>
      <c r="C4238" s="50"/>
      <c r="D4238" s="49"/>
      <c r="E4238" s="49"/>
      <c r="F4238" s="49"/>
      <c r="G4238" s="49"/>
      <c r="H4238" s="50"/>
      <c r="I4238" s="50"/>
      <c r="J4238" s="49"/>
      <c r="K4238" s="49"/>
      <c r="L4238" s="49"/>
      <c r="M4238" s="49"/>
      <c r="N4238" s="50"/>
      <c r="O4238" s="49"/>
      <c r="P4238" s="49"/>
      <c r="Q4238" s="49"/>
      <c r="R4238" s="49"/>
      <c r="S4238" s="49"/>
      <c r="T4238" s="49"/>
      <c r="U4238" s="49"/>
      <c r="V4238" s="49"/>
      <c r="W4238" s="49"/>
      <c r="X4238" s="49"/>
      <c r="Y4238" s="49"/>
      <c r="Z4238" s="49"/>
      <c r="AA4238" s="49"/>
      <c r="AB4238" s="49"/>
      <c r="AC4238" s="49"/>
      <c r="AD4238" s="49"/>
      <c r="AE4238" s="49"/>
      <c r="AF4238" s="49"/>
      <c r="AG4238" s="49"/>
      <c r="AH4238" s="49"/>
      <c r="AI4238" s="49"/>
      <c r="AJ4238" s="49"/>
      <c r="AK4238" s="49"/>
      <c r="AL4238" s="49"/>
      <c r="AM4238" s="49"/>
      <c r="AN4238" s="49"/>
      <c r="AP4238" s="49"/>
      <c r="AQ4238" s="49"/>
      <c r="AR4238" s="49"/>
      <c r="AS4238" s="49"/>
      <c r="AT4238" s="49"/>
    </row>
    <row r="4239">
      <c r="A4239" s="59"/>
      <c r="B4239" s="49"/>
      <c r="C4239" s="50"/>
      <c r="D4239" s="49"/>
      <c r="E4239" s="49"/>
      <c r="F4239" s="49"/>
      <c r="G4239" s="49"/>
      <c r="H4239" s="50"/>
      <c r="I4239" s="50"/>
      <c r="J4239" s="49"/>
      <c r="K4239" s="49"/>
      <c r="L4239" s="49"/>
      <c r="M4239" s="49"/>
      <c r="N4239" s="50"/>
      <c r="O4239" s="49"/>
      <c r="P4239" s="49"/>
      <c r="Q4239" s="49"/>
      <c r="R4239" s="49"/>
      <c r="S4239" s="49"/>
      <c r="T4239" s="49"/>
      <c r="U4239" s="49"/>
      <c r="V4239" s="49"/>
      <c r="W4239" s="49"/>
      <c r="X4239" s="49"/>
      <c r="Y4239" s="49"/>
      <c r="Z4239" s="49"/>
      <c r="AA4239" s="49"/>
      <c r="AB4239" s="49"/>
      <c r="AC4239" s="49"/>
      <c r="AD4239" s="49"/>
      <c r="AE4239" s="49"/>
      <c r="AF4239" s="49"/>
      <c r="AG4239" s="49"/>
      <c r="AH4239" s="49"/>
      <c r="AI4239" s="49"/>
      <c r="AJ4239" s="49"/>
      <c r="AK4239" s="49"/>
      <c r="AL4239" s="49"/>
      <c r="AM4239" s="49"/>
      <c r="AN4239" s="49"/>
      <c r="AP4239" s="49"/>
      <c r="AQ4239" s="49"/>
      <c r="AR4239" s="49"/>
      <c r="AS4239" s="49"/>
      <c r="AT4239" s="49"/>
    </row>
    <row r="4240">
      <c r="A4240" s="59"/>
      <c r="B4240" s="49"/>
      <c r="C4240" s="50"/>
      <c r="D4240" s="49"/>
      <c r="E4240" s="49"/>
      <c r="F4240" s="49"/>
      <c r="G4240" s="49"/>
      <c r="H4240" s="50"/>
      <c r="I4240" s="50"/>
      <c r="J4240" s="49"/>
      <c r="K4240" s="49"/>
      <c r="L4240" s="49"/>
      <c r="M4240" s="49"/>
      <c r="N4240" s="50"/>
      <c r="O4240" s="49"/>
      <c r="P4240" s="49"/>
      <c r="Q4240" s="49"/>
      <c r="R4240" s="49"/>
      <c r="S4240" s="49"/>
      <c r="T4240" s="49"/>
      <c r="U4240" s="49"/>
      <c r="V4240" s="49"/>
      <c r="W4240" s="49"/>
      <c r="X4240" s="49"/>
      <c r="Y4240" s="49"/>
      <c r="Z4240" s="49"/>
      <c r="AA4240" s="49"/>
      <c r="AB4240" s="49"/>
      <c r="AC4240" s="49"/>
      <c r="AD4240" s="49"/>
      <c r="AE4240" s="49"/>
      <c r="AF4240" s="49"/>
      <c r="AG4240" s="49"/>
      <c r="AH4240" s="49"/>
      <c r="AI4240" s="49"/>
      <c r="AJ4240" s="49"/>
      <c r="AK4240" s="49"/>
      <c r="AL4240" s="49"/>
      <c r="AM4240" s="49"/>
      <c r="AN4240" s="49"/>
      <c r="AP4240" s="49"/>
      <c r="AQ4240" s="49"/>
      <c r="AR4240" s="49"/>
      <c r="AS4240" s="49"/>
      <c r="AT4240" s="49"/>
    </row>
    <row r="4241">
      <c r="A4241" s="59"/>
      <c r="B4241" s="49"/>
      <c r="C4241" s="50"/>
      <c r="D4241" s="49"/>
      <c r="E4241" s="49"/>
      <c r="F4241" s="49"/>
      <c r="G4241" s="49"/>
      <c r="H4241" s="50"/>
      <c r="I4241" s="50"/>
      <c r="J4241" s="49"/>
      <c r="K4241" s="49"/>
      <c r="L4241" s="49"/>
      <c r="M4241" s="49"/>
      <c r="N4241" s="50"/>
      <c r="O4241" s="49"/>
      <c r="P4241" s="49"/>
      <c r="Q4241" s="49"/>
      <c r="R4241" s="49"/>
      <c r="S4241" s="49"/>
      <c r="T4241" s="49"/>
      <c r="U4241" s="49"/>
      <c r="V4241" s="49"/>
      <c r="W4241" s="49"/>
      <c r="X4241" s="49"/>
      <c r="Y4241" s="49"/>
      <c r="Z4241" s="49"/>
      <c r="AA4241" s="49"/>
      <c r="AB4241" s="49"/>
      <c r="AC4241" s="49"/>
      <c r="AD4241" s="49"/>
      <c r="AE4241" s="49"/>
      <c r="AF4241" s="49"/>
      <c r="AG4241" s="49"/>
      <c r="AH4241" s="49"/>
      <c r="AI4241" s="49"/>
      <c r="AJ4241" s="49"/>
      <c r="AK4241" s="49"/>
      <c r="AL4241" s="49"/>
      <c r="AM4241" s="49"/>
      <c r="AN4241" s="49"/>
      <c r="AP4241" s="49"/>
      <c r="AQ4241" s="49"/>
      <c r="AR4241" s="49"/>
      <c r="AS4241" s="49"/>
      <c r="AT4241" s="49"/>
    </row>
    <row r="4242">
      <c r="A4242" s="59"/>
      <c r="B4242" s="49"/>
      <c r="C4242" s="50"/>
      <c r="D4242" s="49"/>
      <c r="E4242" s="49"/>
      <c r="F4242" s="49"/>
      <c r="G4242" s="49"/>
      <c r="H4242" s="50"/>
      <c r="I4242" s="50"/>
      <c r="J4242" s="49"/>
      <c r="K4242" s="49"/>
      <c r="L4242" s="49"/>
      <c r="M4242" s="49"/>
      <c r="N4242" s="50"/>
      <c r="O4242" s="49"/>
      <c r="P4242" s="49"/>
      <c r="Q4242" s="49"/>
      <c r="R4242" s="49"/>
      <c r="S4242" s="49"/>
      <c r="T4242" s="49"/>
      <c r="U4242" s="49"/>
      <c r="V4242" s="49"/>
      <c r="W4242" s="49"/>
      <c r="X4242" s="49"/>
      <c r="Y4242" s="49"/>
      <c r="Z4242" s="49"/>
      <c r="AA4242" s="49"/>
      <c r="AB4242" s="49"/>
      <c r="AC4242" s="49"/>
      <c r="AD4242" s="49"/>
      <c r="AE4242" s="49"/>
      <c r="AF4242" s="49"/>
      <c r="AG4242" s="49"/>
      <c r="AH4242" s="49"/>
      <c r="AI4242" s="49"/>
      <c r="AJ4242" s="49"/>
      <c r="AK4242" s="49"/>
      <c r="AL4242" s="49"/>
      <c r="AM4242" s="49"/>
      <c r="AN4242" s="49"/>
      <c r="AP4242" s="49"/>
      <c r="AQ4242" s="49"/>
      <c r="AR4242" s="49"/>
      <c r="AS4242" s="49"/>
      <c r="AT4242" s="49"/>
    </row>
    <row r="4243">
      <c r="A4243" s="59"/>
      <c r="B4243" s="49"/>
      <c r="C4243" s="50"/>
      <c r="D4243" s="49"/>
      <c r="E4243" s="49"/>
      <c r="F4243" s="49"/>
      <c r="G4243" s="49"/>
      <c r="H4243" s="50"/>
      <c r="I4243" s="50"/>
      <c r="J4243" s="49"/>
      <c r="K4243" s="49"/>
      <c r="L4243" s="49"/>
      <c r="M4243" s="49"/>
      <c r="N4243" s="50"/>
      <c r="O4243" s="49"/>
      <c r="P4243" s="49"/>
      <c r="Q4243" s="49"/>
      <c r="R4243" s="49"/>
      <c r="S4243" s="49"/>
      <c r="T4243" s="49"/>
      <c r="U4243" s="49"/>
      <c r="V4243" s="49"/>
      <c r="W4243" s="49"/>
      <c r="X4243" s="49"/>
      <c r="Y4243" s="49"/>
      <c r="Z4243" s="49"/>
      <c r="AA4243" s="49"/>
      <c r="AB4243" s="49"/>
      <c r="AC4243" s="49"/>
      <c r="AD4243" s="49"/>
      <c r="AE4243" s="49"/>
      <c r="AF4243" s="49"/>
      <c r="AG4243" s="49"/>
      <c r="AH4243" s="49"/>
      <c r="AI4243" s="49"/>
      <c r="AJ4243" s="49"/>
      <c r="AK4243" s="49"/>
      <c r="AL4243" s="49"/>
      <c r="AM4243" s="49"/>
      <c r="AN4243" s="49"/>
      <c r="AP4243" s="49"/>
      <c r="AQ4243" s="49"/>
      <c r="AR4243" s="49"/>
      <c r="AS4243" s="49"/>
      <c r="AT4243" s="49"/>
    </row>
    <row r="4244">
      <c r="A4244" s="59"/>
      <c r="B4244" s="49"/>
      <c r="C4244" s="50"/>
      <c r="D4244" s="49"/>
      <c r="E4244" s="49"/>
      <c r="F4244" s="49"/>
      <c r="G4244" s="49"/>
      <c r="H4244" s="50"/>
      <c r="I4244" s="50"/>
      <c r="J4244" s="49"/>
      <c r="K4244" s="49"/>
      <c r="L4244" s="49"/>
      <c r="M4244" s="49"/>
      <c r="N4244" s="50"/>
      <c r="O4244" s="49"/>
      <c r="P4244" s="49"/>
      <c r="Q4244" s="49"/>
      <c r="R4244" s="49"/>
      <c r="S4244" s="49"/>
      <c r="T4244" s="49"/>
      <c r="U4244" s="49"/>
      <c r="V4244" s="49"/>
      <c r="W4244" s="49"/>
      <c r="X4244" s="49"/>
      <c r="Y4244" s="49"/>
      <c r="Z4244" s="49"/>
      <c r="AA4244" s="49"/>
      <c r="AB4244" s="49"/>
      <c r="AC4244" s="49"/>
      <c r="AD4244" s="49"/>
      <c r="AE4244" s="49"/>
      <c r="AF4244" s="49"/>
      <c r="AG4244" s="49"/>
      <c r="AH4244" s="49"/>
      <c r="AI4244" s="49"/>
      <c r="AJ4244" s="49"/>
      <c r="AK4244" s="49"/>
      <c r="AL4244" s="49"/>
      <c r="AM4244" s="49"/>
      <c r="AN4244" s="49"/>
      <c r="AP4244" s="49"/>
      <c r="AQ4244" s="49"/>
      <c r="AR4244" s="49"/>
      <c r="AS4244" s="49"/>
      <c r="AT4244" s="49"/>
    </row>
    <row r="4245">
      <c r="A4245" s="59"/>
      <c r="B4245" s="49"/>
      <c r="C4245" s="50"/>
      <c r="D4245" s="49"/>
      <c r="E4245" s="49"/>
      <c r="F4245" s="49"/>
      <c r="G4245" s="49"/>
      <c r="H4245" s="50"/>
      <c r="I4245" s="50"/>
      <c r="J4245" s="49"/>
      <c r="K4245" s="49"/>
      <c r="L4245" s="49"/>
      <c r="M4245" s="49"/>
      <c r="N4245" s="50"/>
      <c r="O4245" s="49"/>
      <c r="P4245" s="49"/>
      <c r="Q4245" s="49"/>
      <c r="R4245" s="49"/>
      <c r="S4245" s="49"/>
      <c r="T4245" s="49"/>
      <c r="U4245" s="49"/>
      <c r="V4245" s="49"/>
      <c r="W4245" s="49"/>
      <c r="X4245" s="49"/>
      <c r="Y4245" s="49"/>
      <c r="Z4245" s="49"/>
      <c r="AA4245" s="49"/>
      <c r="AB4245" s="49"/>
      <c r="AC4245" s="49"/>
      <c r="AD4245" s="49"/>
      <c r="AE4245" s="49"/>
      <c r="AF4245" s="49"/>
      <c r="AG4245" s="49"/>
      <c r="AH4245" s="49"/>
      <c r="AI4245" s="49"/>
      <c r="AJ4245" s="49"/>
      <c r="AK4245" s="49"/>
      <c r="AL4245" s="49"/>
      <c r="AM4245" s="49"/>
      <c r="AN4245" s="49"/>
      <c r="AP4245" s="49"/>
      <c r="AQ4245" s="49"/>
      <c r="AR4245" s="49"/>
      <c r="AS4245" s="49"/>
      <c r="AT4245" s="49"/>
    </row>
    <row r="4246">
      <c r="A4246" s="59"/>
      <c r="B4246" s="49"/>
      <c r="C4246" s="50"/>
      <c r="D4246" s="49"/>
      <c r="E4246" s="49"/>
      <c r="F4246" s="49"/>
      <c r="G4246" s="49"/>
      <c r="H4246" s="50"/>
      <c r="I4246" s="50"/>
      <c r="J4246" s="49"/>
      <c r="K4246" s="49"/>
      <c r="L4246" s="49"/>
      <c r="M4246" s="49"/>
      <c r="N4246" s="50"/>
      <c r="O4246" s="49"/>
      <c r="P4246" s="49"/>
      <c r="Q4246" s="49"/>
      <c r="R4246" s="49"/>
      <c r="S4246" s="49"/>
      <c r="T4246" s="49"/>
      <c r="U4246" s="49"/>
      <c r="V4246" s="49"/>
      <c r="W4246" s="49"/>
      <c r="X4246" s="49"/>
      <c r="Y4246" s="49"/>
      <c r="Z4246" s="49"/>
      <c r="AA4246" s="49"/>
      <c r="AB4246" s="49"/>
      <c r="AC4246" s="49"/>
      <c r="AD4246" s="49"/>
      <c r="AE4246" s="49"/>
      <c r="AF4246" s="49"/>
      <c r="AG4246" s="49"/>
      <c r="AH4246" s="49"/>
      <c r="AI4246" s="49"/>
      <c r="AJ4246" s="49"/>
      <c r="AK4246" s="49"/>
      <c r="AL4246" s="49"/>
      <c r="AM4246" s="49"/>
      <c r="AN4246" s="49"/>
      <c r="AP4246" s="49"/>
      <c r="AQ4246" s="49"/>
      <c r="AR4246" s="49"/>
      <c r="AS4246" s="49"/>
      <c r="AT4246" s="49"/>
    </row>
    <row r="4247">
      <c r="A4247" s="59"/>
      <c r="B4247" s="49"/>
      <c r="C4247" s="50"/>
      <c r="D4247" s="49"/>
      <c r="E4247" s="49"/>
      <c r="F4247" s="49"/>
      <c r="G4247" s="49"/>
      <c r="H4247" s="50"/>
      <c r="I4247" s="50"/>
      <c r="J4247" s="49"/>
      <c r="K4247" s="49"/>
      <c r="L4247" s="49"/>
      <c r="M4247" s="49"/>
      <c r="N4247" s="50"/>
      <c r="O4247" s="49"/>
      <c r="P4247" s="49"/>
      <c r="Q4247" s="49"/>
      <c r="R4247" s="49"/>
      <c r="S4247" s="49"/>
      <c r="T4247" s="49"/>
      <c r="U4247" s="49"/>
      <c r="V4247" s="49"/>
      <c r="W4247" s="49"/>
      <c r="X4247" s="49"/>
      <c r="Y4247" s="49"/>
      <c r="Z4247" s="49"/>
      <c r="AA4247" s="49"/>
      <c r="AB4247" s="49"/>
      <c r="AC4247" s="49"/>
      <c r="AD4247" s="49"/>
      <c r="AE4247" s="49"/>
      <c r="AF4247" s="49"/>
      <c r="AG4247" s="49"/>
      <c r="AH4247" s="49"/>
      <c r="AI4247" s="49"/>
      <c r="AJ4247" s="49"/>
      <c r="AK4247" s="49"/>
      <c r="AL4247" s="49"/>
      <c r="AM4247" s="49"/>
      <c r="AN4247" s="49"/>
      <c r="AP4247" s="49"/>
      <c r="AQ4247" s="49"/>
      <c r="AR4247" s="49"/>
      <c r="AS4247" s="49"/>
      <c r="AT4247" s="49"/>
    </row>
    <row r="4248">
      <c r="A4248" s="59"/>
      <c r="B4248" s="49"/>
      <c r="C4248" s="50"/>
      <c r="D4248" s="49"/>
      <c r="E4248" s="49"/>
      <c r="F4248" s="49"/>
      <c r="G4248" s="49"/>
      <c r="H4248" s="50"/>
      <c r="I4248" s="50"/>
      <c r="J4248" s="49"/>
      <c r="K4248" s="49"/>
      <c r="L4248" s="49"/>
      <c r="M4248" s="49"/>
      <c r="N4248" s="50"/>
      <c r="O4248" s="49"/>
      <c r="P4248" s="49"/>
      <c r="Q4248" s="49"/>
      <c r="R4248" s="49"/>
      <c r="S4248" s="49"/>
      <c r="T4248" s="49"/>
      <c r="U4248" s="49"/>
      <c r="V4248" s="49"/>
      <c r="W4248" s="49"/>
      <c r="X4248" s="49"/>
      <c r="Y4248" s="49"/>
      <c r="Z4248" s="49"/>
      <c r="AA4248" s="49"/>
      <c r="AB4248" s="49"/>
      <c r="AC4248" s="49"/>
      <c r="AD4248" s="49"/>
      <c r="AE4248" s="49"/>
      <c r="AF4248" s="49"/>
      <c r="AG4248" s="49"/>
      <c r="AH4248" s="49"/>
      <c r="AI4248" s="49"/>
      <c r="AJ4248" s="49"/>
      <c r="AK4248" s="49"/>
      <c r="AL4248" s="49"/>
      <c r="AM4248" s="49"/>
      <c r="AN4248" s="49"/>
      <c r="AP4248" s="49"/>
      <c r="AQ4248" s="49"/>
      <c r="AR4248" s="49"/>
      <c r="AS4248" s="49"/>
      <c r="AT4248" s="49"/>
    </row>
    <row r="4249">
      <c r="A4249" s="59"/>
      <c r="B4249" s="49"/>
      <c r="C4249" s="50"/>
      <c r="D4249" s="49"/>
      <c r="E4249" s="49"/>
      <c r="F4249" s="49"/>
      <c r="G4249" s="49"/>
      <c r="H4249" s="50"/>
      <c r="I4249" s="50"/>
      <c r="J4249" s="49"/>
      <c r="K4249" s="49"/>
      <c r="L4249" s="49"/>
      <c r="M4249" s="49"/>
      <c r="N4249" s="50"/>
      <c r="O4249" s="49"/>
      <c r="P4249" s="49"/>
      <c r="Q4249" s="49"/>
      <c r="R4249" s="49"/>
      <c r="S4249" s="49"/>
      <c r="T4249" s="49"/>
      <c r="U4249" s="49"/>
      <c r="V4249" s="49"/>
      <c r="W4249" s="49"/>
      <c r="X4249" s="49"/>
      <c r="Y4249" s="49"/>
      <c r="Z4249" s="49"/>
      <c r="AA4249" s="49"/>
      <c r="AB4249" s="49"/>
      <c r="AC4249" s="49"/>
      <c r="AD4249" s="49"/>
      <c r="AE4249" s="49"/>
      <c r="AF4249" s="49"/>
      <c r="AG4249" s="49"/>
      <c r="AH4249" s="49"/>
      <c r="AI4249" s="49"/>
      <c r="AJ4249" s="49"/>
      <c r="AK4249" s="49"/>
      <c r="AL4249" s="49"/>
      <c r="AM4249" s="49"/>
      <c r="AN4249" s="49"/>
      <c r="AP4249" s="49"/>
      <c r="AQ4249" s="49"/>
      <c r="AR4249" s="49"/>
      <c r="AS4249" s="49"/>
      <c r="AT4249" s="49"/>
    </row>
    <row r="4250">
      <c r="A4250" s="59"/>
      <c r="B4250" s="49"/>
      <c r="C4250" s="50"/>
      <c r="D4250" s="49"/>
      <c r="E4250" s="49"/>
      <c r="F4250" s="49"/>
      <c r="G4250" s="49"/>
      <c r="H4250" s="50"/>
      <c r="I4250" s="50"/>
      <c r="J4250" s="49"/>
      <c r="K4250" s="49"/>
      <c r="L4250" s="49"/>
      <c r="M4250" s="49"/>
      <c r="N4250" s="50"/>
      <c r="O4250" s="49"/>
      <c r="P4250" s="49"/>
      <c r="Q4250" s="49"/>
      <c r="R4250" s="49"/>
      <c r="S4250" s="49"/>
      <c r="T4250" s="49"/>
      <c r="U4250" s="49"/>
      <c r="V4250" s="49"/>
      <c r="W4250" s="49"/>
      <c r="X4250" s="49"/>
      <c r="Y4250" s="49"/>
      <c r="Z4250" s="49"/>
      <c r="AA4250" s="49"/>
      <c r="AB4250" s="49"/>
      <c r="AC4250" s="49"/>
      <c r="AD4250" s="49"/>
      <c r="AE4250" s="49"/>
      <c r="AF4250" s="49"/>
      <c r="AG4250" s="49"/>
      <c r="AH4250" s="49"/>
      <c r="AI4250" s="49"/>
      <c r="AJ4250" s="49"/>
      <c r="AK4250" s="49"/>
      <c r="AL4250" s="49"/>
      <c r="AM4250" s="49"/>
      <c r="AN4250" s="49"/>
      <c r="AP4250" s="49"/>
      <c r="AQ4250" s="49"/>
      <c r="AR4250" s="49"/>
      <c r="AS4250" s="49"/>
      <c r="AT4250" s="49"/>
    </row>
    <row r="4251">
      <c r="A4251" s="59"/>
      <c r="B4251" s="49"/>
      <c r="C4251" s="50"/>
      <c r="D4251" s="49"/>
      <c r="E4251" s="49"/>
      <c r="F4251" s="49"/>
      <c r="G4251" s="49"/>
      <c r="H4251" s="50"/>
      <c r="I4251" s="50"/>
      <c r="J4251" s="49"/>
      <c r="K4251" s="49"/>
      <c r="L4251" s="49"/>
      <c r="M4251" s="49"/>
      <c r="N4251" s="50"/>
      <c r="O4251" s="49"/>
      <c r="P4251" s="49"/>
      <c r="Q4251" s="49"/>
      <c r="R4251" s="49"/>
      <c r="S4251" s="49"/>
      <c r="T4251" s="49"/>
      <c r="U4251" s="49"/>
      <c r="V4251" s="49"/>
      <c r="W4251" s="49"/>
      <c r="X4251" s="49"/>
      <c r="Y4251" s="49"/>
      <c r="Z4251" s="49"/>
      <c r="AA4251" s="49"/>
      <c r="AB4251" s="49"/>
      <c r="AC4251" s="49"/>
      <c r="AD4251" s="49"/>
      <c r="AE4251" s="49"/>
      <c r="AF4251" s="49"/>
      <c r="AG4251" s="49"/>
      <c r="AH4251" s="49"/>
      <c r="AI4251" s="49"/>
      <c r="AJ4251" s="49"/>
      <c r="AK4251" s="49"/>
      <c r="AL4251" s="49"/>
      <c r="AM4251" s="49"/>
      <c r="AN4251" s="49"/>
      <c r="AP4251" s="49"/>
      <c r="AQ4251" s="49"/>
      <c r="AR4251" s="49"/>
      <c r="AS4251" s="49"/>
      <c r="AT4251" s="49"/>
    </row>
    <row r="4252">
      <c r="A4252" s="59"/>
      <c r="B4252" s="49"/>
      <c r="C4252" s="50"/>
      <c r="D4252" s="49"/>
      <c r="E4252" s="49"/>
      <c r="F4252" s="49"/>
      <c r="G4252" s="49"/>
      <c r="H4252" s="50"/>
      <c r="I4252" s="50"/>
      <c r="J4252" s="49"/>
      <c r="K4252" s="49"/>
      <c r="L4252" s="49"/>
      <c r="M4252" s="49"/>
      <c r="N4252" s="50"/>
      <c r="O4252" s="49"/>
      <c r="P4252" s="49"/>
      <c r="Q4252" s="49"/>
      <c r="R4252" s="49"/>
      <c r="S4252" s="49"/>
      <c r="T4252" s="49"/>
      <c r="U4252" s="49"/>
      <c r="V4252" s="49"/>
      <c r="W4252" s="49"/>
      <c r="X4252" s="49"/>
      <c r="Y4252" s="49"/>
      <c r="Z4252" s="49"/>
      <c r="AA4252" s="49"/>
      <c r="AB4252" s="49"/>
      <c r="AC4252" s="49"/>
      <c r="AD4252" s="49"/>
      <c r="AE4252" s="49"/>
      <c r="AF4252" s="49"/>
      <c r="AG4252" s="49"/>
      <c r="AH4252" s="49"/>
      <c r="AI4252" s="49"/>
      <c r="AJ4252" s="49"/>
      <c r="AK4252" s="49"/>
      <c r="AL4252" s="49"/>
      <c r="AM4252" s="49"/>
      <c r="AN4252" s="49"/>
      <c r="AP4252" s="49"/>
      <c r="AQ4252" s="49"/>
      <c r="AR4252" s="49"/>
      <c r="AS4252" s="49"/>
      <c r="AT4252" s="49"/>
    </row>
    <row r="4253">
      <c r="A4253" s="59"/>
      <c r="B4253" s="49"/>
      <c r="C4253" s="50"/>
      <c r="D4253" s="49"/>
      <c r="E4253" s="49"/>
      <c r="F4253" s="49"/>
      <c r="G4253" s="49"/>
      <c r="H4253" s="50"/>
      <c r="I4253" s="50"/>
      <c r="J4253" s="49"/>
      <c r="K4253" s="49"/>
      <c r="L4253" s="49"/>
      <c r="M4253" s="49"/>
      <c r="N4253" s="50"/>
      <c r="O4253" s="49"/>
      <c r="P4253" s="49"/>
      <c r="Q4253" s="49"/>
      <c r="R4253" s="49"/>
      <c r="S4253" s="49"/>
      <c r="T4253" s="49"/>
      <c r="U4253" s="49"/>
      <c r="V4253" s="49"/>
      <c r="W4253" s="49"/>
      <c r="X4253" s="49"/>
      <c r="Y4253" s="49"/>
      <c r="Z4253" s="49"/>
      <c r="AA4253" s="49"/>
      <c r="AB4253" s="49"/>
      <c r="AC4253" s="49"/>
      <c r="AD4253" s="49"/>
      <c r="AE4253" s="49"/>
      <c r="AF4253" s="49"/>
      <c r="AG4253" s="49"/>
      <c r="AH4253" s="49"/>
      <c r="AI4253" s="49"/>
      <c r="AJ4253" s="49"/>
      <c r="AK4253" s="49"/>
      <c r="AL4253" s="49"/>
      <c r="AM4253" s="49"/>
      <c r="AN4253" s="49"/>
      <c r="AP4253" s="49"/>
      <c r="AQ4253" s="49"/>
      <c r="AR4253" s="49"/>
      <c r="AS4253" s="49"/>
      <c r="AT4253" s="49"/>
    </row>
    <row r="4254">
      <c r="A4254" s="59"/>
      <c r="B4254" s="49"/>
      <c r="C4254" s="50"/>
      <c r="D4254" s="49"/>
      <c r="E4254" s="49"/>
      <c r="F4254" s="49"/>
      <c r="G4254" s="49"/>
      <c r="H4254" s="50"/>
      <c r="I4254" s="50"/>
      <c r="J4254" s="49"/>
      <c r="K4254" s="49"/>
      <c r="L4254" s="49"/>
      <c r="M4254" s="49"/>
      <c r="N4254" s="50"/>
      <c r="O4254" s="49"/>
      <c r="P4254" s="49"/>
      <c r="Q4254" s="49"/>
      <c r="R4254" s="49"/>
      <c r="S4254" s="49"/>
      <c r="T4254" s="49"/>
      <c r="U4254" s="49"/>
      <c r="V4254" s="49"/>
      <c r="W4254" s="49"/>
      <c r="X4254" s="49"/>
      <c r="Y4254" s="49"/>
      <c r="Z4254" s="49"/>
      <c r="AA4254" s="49"/>
      <c r="AB4254" s="49"/>
      <c r="AC4254" s="49"/>
      <c r="AD4254" s="49"/>
      <c r="AE4254" s="49"/>
      <c r="AF4254" s="49"/>
      <c r="AG4254" s="49"/>
      <c r="AH4254" s="49"/>
      <c r="AI4254" s="49"/>
      <c r="AJ4254" s="49"/>
      <c r="AK4254" s="49"/>
      <c r="AL4254" s="49"/>
      <c r="AM4254" s="49"/>
      <c r="AN4254" s="49"/>
      <c r="AP4254" s="49"/>
      <c r="AQ4254" s="49"/>
      <c r="AR4254" s="49"/>
      <c r="AS4254" s="49"/>
      <c r="AT4254" s="49"/>
    </row>
    <row r="4255">
      <c r="A4255" s="59"/>
      <c r="B4255" s="49"/>
      <c r="C4255" s="50"/>
      <c r="D4255" s="49"/>
      <c r="E4255" s="49"/>
      <c r="F4255" s="49"/>
      <c r="G4255" s="49"/>
      <c r="H4255" s="50"/>
      <c r="I4255" s="50"/>
      <c r="J4255" s="49"/>
      <c r="K4255" s="49"/>
      <c r="L4255" s="49"/>
      <c r="M4255" s="49"/>
      <c r="N4255" s="50"/>
      <c r="O4255" s="49"/>
      <c r="P4255" s="49"/>
      <c r="Q4255" s="49"/>
      <c r="R4255" s="49"/>
      <c r="S4255" s="49"/>
      <c r="T4255" s="49"/>
      <c r="U4255" s="49"/>
      <c r="V4255" s="49"/>
      <c r="W4255" s="49"/>
      <c r="X4255" s="49"/>
      <c r="Y4255" s="49"/>
      <c r="Z4255" s="49"/>
      <c r="AA4255" s="49"/>
      <c r="AB4255" s="49"/>
      <c r="AC4255" s="49"/>
      <c r="AD4255" s="49"/>
      <c r="AE4255" s="49"/>
      <c r="AF4255" s="49"/>
      <c r="AG4255" s="49"/>
      <c r="AH4255" s="49"/>
      <c r="AI4255" s="49"/>
      <c r="AJ4255" s="49"/>
      <c r="AK4255" s="49"/>
      <c r="AL4255" s="49"/>
      <c r="AM4255" s="49"/>
      <c r="AN4255" s="49"/>
      <c r="AP4255" s="49"/>
      <c r="AQ4255" s="49"/>
      <c r="AR4255" s="49"/>
      <c r="AS4255" s="49"/>
      <c r="AT4255" s="49"/>
    </row>
    <row r="4256">
      <c r="A4256" s="59"/>
      <c r="B4256" s="49"/>
      <c r="C4256" s="50"/>
      <c r="D4256" s="49"/>
      <c r="E4256" s="49"/>
      <c r="F4256" s="49"/>
      <c r="G4256" s="49"/>
      <c r="H4256" s="50"/>
      <c r="I4256" s="50"/>
      <c r="J4256" s="49"/>
      <c r="K4256" s="49"/>
      <c r="L4256" s="49"/>
      <c r="M4256" s="49"/>
      <c r="N4256" s="50"/>
      <c r="O4256" s="49"/>
      <c r="P4256" s="49"/>
      <c r="Q4256" s="49"/>
      <c r="R4256" s="49"/>
      <c r="S4256" s="49"/>
      <c r="T4256" s="49"/>
      <c r="U4256" s="49"/>
      <c r="V4256" s="49"/>
      <c r="W4256" s="49"/>
      <c r="X4256" s="49"/>
      <c r="Y4256" s="49"/>
      <c r="Z4256" s="49"/>
      <c r="AA4256" s="49"/>
      <c r="AB4256" s="49"/>
      <c r="AC4256" s="49"/>
      <c r="AD4256" s="49"/>
      <c r="AE4256" s="49"/>
      <c r="AF4256" s="49"/>
      <c r="AG4256" s="49"/>
      <c r="AH4256" s="49"/>
      <c r="AI4256" s="49"/>
      <c r="AJ4256" s="49"/>
      <c r="AK4256" s="49"/>
      <c r="AL4256" s="49"/>
      <c r="AM4256" s="49"/>
      <c r="AN4256" s="49"/>
      <c r="AP4256" s="49"/>
      <c r="AQ4256" s="49"/>
      <c r="AR4256" s="49"/>
      <c r="AS4256" s="49"/>
      <c r="AT4256" s="49"/>
    </row>
    <row r="4257">
      <c r="A4257" s="59"/>
      <c r="B4257" s="49"/>
      <c r="C4257" s="50"/>
      <c r="D4257" s="49"/>
      <c r="E4257" s="49"/>
      <c r="F4257" s="49"/>
      <c r="G4257" s="49"/>
      <c r="H4257" s="50"/>
      <c r="I4257" s="50"/>
      <c r="J4257" s="49"/>
      <c r="K4257" s="49"/>
      <c r="L4257" s="49"/>
      <c r="M4257" s="49"/>
      <c r="N4257" s="50"/>
      <c r="O4257" s="49"/>
      <c r="P4257" s="49"/>
      <c r="Q4257" s="49"/>
      <c r="R4257" s="49"/>
      <c r="S4257" s="49"/>
      <c r="T4257" s="49"/>
      <c r="U4257" s="49"/>
      <c r="V4257" s="49"/>
      <c r="W4257" s="49"/>
      <c r="X4257" s="49"/>
      <c r="Y4257" s="49"/>
      <c r="Z4257" s="49"/>
      <c r="AA4257" s="49"/>
      <c r="AB4257" s="49"/>
      <c r="AC4257" s="49"/>
      <c r="AD4257" s="49"/>
      <c r="AE4257" s="49"/>
      <c r="AF4257" s="49"/>
      <c r="AG4257" s="49"/>
      <c r="AH4257" s="49"/>
      <c r="AI4257" s="49"/>
      <c r="AJ4257" s="49"/>
      <c r="AK4257" s="49"/>
      <c r="AL4257" s="49"/>
      <c r="AM4257" s="49"/>
      <c r="AN4257" s="49"/>
      <c r="AP4257" s="49"/>
      <c r="AQ4257" s="49"/>
      <c r="AR4257" s="49"/>
      <c r="AS4257" s="49"/>
      <c r="AT4257" s="49"/>
    </row>
    <row r="4258">
      <c r="A4258" s="59"/>
      <c r="B4258" s="49"/>
      <c r="C4258" s="50"/>
      <c r="D4258" s="49"/>
      <c r="E4258" s="49"/>
      <c r="F4258" s="49"/>
      <c r="G4258" s="49"/>
      <c r="H4258" s="50"/>
      <c r="I4258" s="50"/>
      <c r="J4258" s="49"/>
      <c r="K4258" s="49"/>
      <c r="L4258" s="49"/>
      <c r="M4258" s="49"/>
      <c r="N4258" s="50"/>
      <c r="O4258" s="49"/>
      <c r="P4258" s="49"/>
      <c r="Q4258" s="49"/>
      <c r="R4258" s="49"/>
      <c r="S4258" s="49"/>
      <c r="T4258" s="49"/>
      <c r="U4258" s="49"/>
      <c r="V4258" s="49"/>
      <c r="W4258" s="49"/>
      <c r="X4258" s="49"/>
      <c r="Y4258" s="49"/>
      <c r="Z4258" s="49"/>
      <c r="AA4258" s="49"/>
      <c r="AB4258" s="49"/>
      <c r="AC4258" s="49"/>
      <c r="AD4258" s="49"/>
      <c r="AE4258" s="49"/>
      <c r="AF4258" s="49"/>
      <c r="AG4258" s="49"/>
      <c r="AH4258" s="49"/>
      <c r="AI4258" s="49"/>
      <c r="AJ4258" s="49"/>
      <c r="AK4258" s="49"/>
      <c r="AL4258" s="49"/>
      <c r="AM4258" s="49"/>
      <c r="AN4258" s="49"/>
      <c r="AP4258" s="49"/>
      <c r="AQ4258" s="49"/>
      <c r="AR4258" s="49"/>
      <c r="AS4258" s="49"/>
      <c r="AT4258" s="49"/>
    </row>
    <row r="4259">
      <c r="A4259" s="59"/>
      <c r="B4259" s="49"/>
      <c r="C4259" s="50"/>
      <c r="D4259" s="49"/>
      <c r="E4259" s="49"/>
      <c r="F4259" s="49"/>
      <c r="G4259" s="49"/>
      <c r="H4259" s="50"/>
      <c r="I4259" s="50"/>
      <c r="J4259" s="49"/>
      <c r="K4259" s="49"/>
      <c r="L4259" s="49"/>
      <c r="M4259" s="49"/>
      <c r="N4259" s="50"/>
      <c r="O4259" s="49"/>
      <c r="P4259" s="49"/>
      <c r="Q4259" s="49"/>
      <c r="R4259" s="49"/>
      <c r="S4259" s="49"/>
      <c r="T4259" s="49"/>
      <c r="U4259" s="49"/>
      <c r="V4259" s="49"/>
      <c r="W4259" s="49"/>
      <c r="X4259" s="49"/>
      <c r="Y4259" s="49"/>
      <c r="Z4259" s="49"/>
      <c r="AA4259" s="49"/>
      <c r="AB4259" s="49"/>
      <c r="AC4259" s="49"/>
      <c r="AD4259" s="49"/>
      <c r="AE4259" s="49"/>
      <c r="AF4259" s="49"/>
      <c r="AG4259" s="49"/>
      <c r="AH4259" s="49"/>
      <c r="AI4259" s="49"/>
      <c r="AJ4259" s="49"/>
      <c r="AK4259" s="49"/>
      <c r="AL4259" s="49"/>
      <c r="AM4259" s="49"/>
      <c r="AN4259" s="49"/>
      <c r="AP4259" s="49"/>
      <c r="AQ4259" s="49"/>
      <c r="AR4259" s="49"/>
      <c r="AS4259" s="49"/>
      <c r="AT4259" s="49"/>
    </row>
    <row r="4260">
      <c r="A4260" s="59"/>
      <c r="B4260" s="49"/>
      <c r="C4260" s="50"/>
      <c r="D4260" s="49"/>
      <c r="E4260" s="49"/>
      <c r="F4260" s="49"/>
      <c r="G4260" s="49"/>
      <c r="H4260" s="50"/>
      <c r="I4260" s="50"/>
      <c r="J4260" s="49"/>
      <c r="K4260" s="49"/>
      <c r="L4260" s="49"/>
      <c r="M4260" s="49"/>
      <c r="N4260" s="50"/>
      <c r="O4260" s="49"/>
      <c r="P4260" s="49"/>
      <c r="Q4260" s="49"/>
      <c r="R4260" s="49"/>
      <c r="S4260" s="49"/>
      <c r="T4260" s="49"/>
      <c r="U4260" s="49"/>
      <c r="V4260" s="49"/>
      <c r="W4260" s="49"/>
      <c r="X4260" s="49"/>
      <c r="Y4260" s="49"/>
      <c r="Z4260" s="49"/>
      <c r="AA4260" s="49"/>
      <c r="AB4260" s="49"/>
      <c r="AC4260" s="49"/>
      <c r="AD4260" s="49"/>
      <c r="AE4260" s="49"/>
      <c r="AF4260" s="49"/>
      <c r="AG4260" s="49"/>
      <c r="AH4260" s="49"/>
      <c r="AI4260" s="49"/>
      <c r="AJ4260" s="49"/>
      <c r="AK4260" s="49"/>
      <c r="AL4260" s="49"/>
      <c r="AM4260" s="49"/>
      <c r="AN4260" s="49"/>
      <c r="AP4260" s="49"/>
      <c r="AQ4260" s="49"/>
      <c r="AR4260" s="49"/>
      <c r="AS4260" s="49"/>
      <c r="AT4260" s="49"/>
    </row>
    <row r="4261">
      <c r="A4261" s="59"/>
      <c r="B4261" s="49"/>
      <c r="C4261" s="50"/>
      <c r="D4261" s="49"/>
      <c r="E4261" s="49"/>
      <c r="F4261" s="49"/>
      <c r="G4261" s="49"/>
      <c r="H4261" s="50"/>
      <c r="I4261" s="50"/>
      <c r="J4261" s="49"/>
      <c r="K4261" s="49"/>
      <c r="L4261" s="49"/>
      <c r="M4261" s="49"/>
      <c r="N4261" s="50"/>
      <c r="O4261" s="49"/>
      <c r="P4261" s="49"/>
      <c r="Q4261" s="49"/>
      <c r="R4261" s="49"/>
      <c r="S4261" s="49"/>
      <c r="T4261" s="49"/>
      <c r="U4261" s="49"/>
      <c r="V4261" s="49"/>
      <c r="W4261" s="49"/>
      <c r="X4261" s="49"/>
      <c r="Y4261" s="49"/>
      <c r="Z4261" s="49"/>
      <c r="AA4261" s="49"/>
      <c r="AB4261" s="49"/>
      <c r="AC4261" s="49"/>
      <c r="AD4261" s="49"/>
      <c r="AE4261" s="49"/>
      <c r="AF4261" s="49"/>
      <c r="AG4261" s="49"/>
      <c r="AH4261" s="49"/>
      <c r="AI4261" s="49"/>
      <c r="AJ4261" s="49"/>
      <c r="AK4261" s="49"/>
      <c r="AL4261" s="49"/>
      <c r="AM4261" s="49"/>
      <c r="AN4261" s="49"/>
      <c r="AP4261" s="49"/>
      <c r="AQ4261" s="49"/>
      <c r="AR4261" s="49"/>
      <c r="AS4261" s="49"/>
      <c r="AT4261" s="49"/>
    </row>
    <row r="4262">
      <c r="A4262" s="59"/>
      <c r="B4262" s="49"/>
      <c r="C4262" s="50"/>
      <c r="D4262" s="49"/>
      <c r="E4262" s="49"/>
      <c r="F4262" s="49"/>
      <c r="G4262" s="49"/>
      <c r="H4262" s="50"/>
      <c r="I4262" s="50"/>
      <c r="J4262" s="49"/>
      <c r="K4262" s="49"/>
      <c r="L4262" s="49"/>
      <c r="M4262" s="49"/>
      <c r="N4262" s="50"/>
      <c r="O4262" s="49"/>
      <c r="P4262" s="49"/>
      <c r="Q4262" s="49"/>
      <c r="R4262" s="49"/>
      <c r="S4262" s="49"/>
      <c r="T4262" s="49"/>
      <c r="U4262" s="49"/>
      <c r="V4262" s="49"/>
      <c r="W4262" s="49"/>
      <c r="X4262" s="49"/>
      <c r="Y4262" s="49"/>
      <c r="Z4262" s="49"/>
      <c r="AA4262" s="49"/>
      <c r="AB4262" s="49"/>
      <c r="AC4262" s="49"/>
      <c r="AD4262" s="49"/>
      <c r="AE4262" s="49"/>
      <c r="AF4262" s="49"/>
      <c r="AG4262" s="49"/>
      <c r="AH4262" s="49"/>
      <c r="AI4262" s="49"/>
      <c r="AJ4262" s="49"/>
      <c r="AK4262" s="49"/>
      <c r="AL4262" s="49"/>
      <c r="AM4262" s="49"/>
      <c r="AN4262" s="49"/>
      <c r="AP4262" s="49"/>
      <c r="AQ4262" s="49"/>
      <c r="AR4262" s="49"/>
      <c r="AS4262" s="49"/>
      <c r="AT4262" s="49"/>
    </row>
    <row r="4263">
      <c r="A4263" s="59"/>
      <c r="B4263" s="49"/>
      <c r="C4263" s="50"/>
      <c r="D4263" s="49"/>
      <c r="E4263" s="49"/>
      <c r="F4263" s="49"/>
      <c r="G4263" s="49"/>
      <c r="H4263" s="50"/>
      <c r="I4263" s="50"/>
      <c r="J4263" s="49"/>
      <c r="K4263" s="49"/>
      <c r="L4263" s="49"/>
      <c r="M4263" s="49"/>
      <c r="N4263" s="50"/>
      <c r="O4263" s="49"/>
      <c r="P4263" s="49"/>
      <c r="Q4263" s="49"/>
      <c r="R4263" s="49"/>
      <c r="S4263" s="49"/>
      <c r="T4263" s="49"/>
      <c r="U4263" s="49"/>
      <c r="V4263" s="49"/>
      <c r="W4263" s="49"/>
      <c r="X4263" s="49"/>
      <c r="Y4263" s="49"/>
      <c r="Z4263" s="49"/>
      <c r="AA4263" s="49"/>
      <c r="AB4263" s="49"/>
      <c r="AC4263" s="49"/>
      <c r="AD4263" s="49"/>
      <c r="AE4263" s="49"/>
      <c r="AF4263" s="49"/>
      <c r="AG4263" s="49"/>
      <c r="AH4263" s="49"/>
      <c r="AI4263" s="49"/>
      <c r="AJ4263" s="49"/>
      <c r="AK4263" s="49"/>
      <c r="AL4263" s="49"/>
      <c r="AM4263" s="49"/>
      <c r="AN4263" s="49"/>
      <c r="AP4263" s="49"/>
      <c r="AQ4263" s="49"/>
      <c r="AR4263" s="49"/>
      <c r="AS4263" s="49"/>
      <c r="AT4263" s="49"/>
    </row>
    <row r="4264">
      <c r="A4264" s="59"/>
      <c r="B4264" s="49"/>
      <c r="C4264" s="50"/>
      <c r="D4264" s="49"/>
      <c r="E4264" s="49"/>
      <c r="F4264" s="49"/>
      <c r="G4264" s="49"/>
      <c r="H4264" s="50"/>
      <c r="I4264" s="50"/>
      <c r="J4264" s="49"/>
      <c r="K4264" s="49"/>
      <c r="L4264" s="49"/>
      <c r="M4264" s="49"/>
      <c r="N4264" s="50"/>
      <c r="O4264" s="49"/>
      <c r="P4264" s="49"/>
      <c r="Q4264" s="49"/>
      <c r="R4264" s="49"/>
      <c r="S4264" s="49"/>
      <c r="T4264" s="49"/>
      <c r="U4264" s="49"/>
      <c r="V4264" s="49"/>
      <c r="W4264" s="49"/>
      <c r="X4264" s="49"/>
      <c r="Y4264" s="49"/>
      <c r="Z4264" s="49"/>
      <c r="AA4264" s="49"/>
      <c r="AB4264" s="49"/>
      <c r="AC4264" s="49"/>
      <c r="AD4264" s="49"/>
      <c r="AE4264" s="49"/>
      <c r="AF4264" s="49"/>
      <c r="AG4264" s="49"/>
      <c r="AH4264" s="49"/>
      <c r="AI4264" s="49"/>
      <c r="AJ4264" s="49"/>
      <c r="AK4264" s="49"/>
      <c r="AL4264" s="49"/>
      <c r="AM4264" s="49"/>
      <c r="AN4264" s="49"/>
      <c r="AP4264" s="49"/>
      <c r="AQ4264" s="49"/>
      <c r="AR4264" s="49"/>
      <c r="AS4264" s="49"/>
      <c r="AT4264" s="49"/>
    </row>
    <row r="4265">
      <c r="A4265" s="59"/>
      <c r="B4265" s="49"/>
      <c r="C4265" s="50"/>
      <c r="D4265" s="49"/>
      <c r="E4265" s="49"/>
      <c r="F4265" s="49"/>
      <c r="G4265" s="49"/>
      <c r="H4265" s="50"/>
      <c r="I4265" s="50"/>
      <c r="J4265" s="49"/>
      <c r="K4265" s="49"/>
      <c r="L4265" s="49"/>
      <c r="M4265" s="49"/>
      <c r="N4265" s="50"/>
      <c r="O4265" s="49"/>
      <c r="P4265" s="49"/>
      <c r="Q4265" s="49"/>
      <c r="R4265" s="49"/>
      <c r="S4265" s="49"/>
      <c r="T4265" s="49"/>
      <c r="U4265" s="49"/>
      <c r="V4265" s="49"/>
      <c r="W4265" s="49"/>
      <c r="X4265" s="49"/>
      <c r="Y4265" s="49"/>
      <c r="Z4265" s="49"/>
      <c r="AA4265" s="49"/>
      <c r="AB4265" s="49"/>
      <c r="AC4265" s="49"/>
      <c r="AD4265" s="49"/>
      <c r="AE4265" s="49"/>
      <c r="AF4265" s="49"/>
      <c r="AG4265" s="49"/>
      <c r="AH4265" s="49"/>
      <c r="AI4265" s="49"/>
      <c r="AJ4265" s="49"/>
      <c r="AK4265" s="49"/>
      <c r="AL4265" s="49"/>
      <c r="AM4265" s="49"/>
      <c r="AN4265" s="49"/>
      <c r="AP4265" s="49"/>
      <c r="AQ4265" s="49"/>
      <c r="AR4265" s="49"/>
      <c r="AS4265" s="49"/>
      <c r="AT4265" s="49"/>
    </row>
    <row r="4266">
      <c r="A4266" s="59"/>
      <c r="B4266" s="49"/>
      <c r="C4266" s="50"/>
      <c r="D4266" s="49"/>
      <c r="E4266" s="49"/>
      <c r="F4266" s="49"/>
      <c r="G4266" s="49"/>
      <c r="H4266" s="50"/>
      <c r="I4266" s="50"/>
      <c r="J4266" s="49"/>
      <c r="K4266" s="49"/>
      <c r="L4266" s="49"/>
      <c r="M4266" s="49"/>
      <c r="N4266" s="50"/>
      <c r="O4266" s="49"/>
      <c r="P4266" s="49"/>
      <c r="Q4266" s="49"/>
      <c r="R4266" s="49"/>
      <c r="S4266" s="49"/>
      <c r="T4266" s="49"/>
      <c r="U4266" s="49"/>
      <c r="V4266" s="49"/>
      <c r="W4266" s="49"/>
      <c r="X4266" s="49"/>
      <c r="Y4266" s="49"/>
      <c r="Z4266" s="49"/>
      <c r="AA4266" s="49"/>
      <c r="AB4266" s="49"/>
      <c r="AC4266" s="49"/>
      <c r="AD4266" s="49"/>
      <c r="AE4266" s="49"/>
      <c r="AF4266" s="49"/>
      <c r="AG4266" s="49"/>
      <c r="AH4266" s="49"/>
      <c r="AI4266" s="49"/>
      <c r="AJ4266" s="49"/>
      <c r="AK4266" s="49"/>
      <c r="AL4266" s="49"/>
      <c r="AM4266" s="49"/>
      <c r="AN4266" s="49"/>
      <c r="AP4266" s="49"/>
      <c r="AQ4266" s="49"/>
      <c r="AR4266" s="49"/>
      <c r="AS4266" s="49"/>
      <c r="AT4266" s="49"/>
    </row>
    <row r="4267">
      <c r="A4267" s="59"/>
      <c r="B4267" s="49"/>
      <c r="C4267" s="50"/>
      <c r="D4267" s="49"/>
      <c r="E4267" s="49"/>
      <c r="F4267" s="49"/>
      <c r="G4267" s="49"/>
      <c r="H4267" s="50"/>
      <c r="I4267" s="50"/>
      <c r="J4267" s="49"/>
      <c r="K4267" s="49"/>
      <c r="L4267" s="49"/>
      <c r="M4267" s="49"/>
      <c r="N4267" s="50"/>
      <c r="O4267" s="49"/>
      <c r="P4267" s="49"/>
      <c r="Q4267" s="49"/>
      <c r="R4267" s="49"/>
      <c r="S4267" s="49"/>
      <c r="T4267" s="49"/>
      <c r="U4267" s="49"/>
      <c r="V4267" s="49"/>
      <c r="W4267" s="49"/>
      <c r="X4267" s="49"/>
      <c r="Y4267" s="49"/>
      <c r="Z4267" s="49"/>
      <c r="AA4267" s="49"/>
      <c r="AB4267" s="49"/>
      <c r="AC4267" s="49"/>
      <c r="AD4267" s="49"/>
      <c r="AE4267" s="49"/>
      <c r="AF4267" s="49"/>
      <c r="AG4267" s="49"/>
      <c r="AH4267" s="49"/>
      <c r="AI4267" s="49"/>
      <c r="AJ4267" s="49"/>
      <c r="AK4267" s="49"/>
      <c r="AL4267" s="49"/>
      <c r="AM4267" s="49"/>
      <c r="AN4267" s="49"/>
      <c r="AP4267" s="49"/>
      <c r="AQ4267" s="49"/>
      <c r="AR4267" s="49"/>
      <c r="AS4267" s="49"/>
      <c r="AT4267" s="49"/>
    </row>
    <row r="4268">
      <c r="A4268" s="59"/>
      <c r="B4268" s="49"/>
      <c r="C4268" s="50"/>
      <c r="D4268" s="49"/>
      <c r="E4268" s="49"/>
      <c r="F4268" s="49"/>
      <c r="G4268" s="49"/>
      <c r="H4268" s="50"/>
      <c r="I4268" s="50"/>
      <c r="J4268" s="49"/>
      <c r="K4268" s="49"/>
      <c r="L4268" s="49"/>
      <c r="M4268" s="49"/>
      <c r="N4268" s="50"/>
      <c r="O4268" s="49"/>
      <c r="P4268" s="49"/>
      <c r="Q4268" s="49"/>
      <c r="R4268" s="49"/>
      <c r="S4268" s="49"/>
      <c r="T4268" s="49"/>
      <c r="U4268" s="49"/>
      <c r="V4268" s="49"/>
      <c r="W4268" s="49"/>
      <c r="X4268" s="49"/>
      <c r="Y4268" s="49"/>
      <c r="Z4268" s="49"/>
      <c r="AA4268" s="49"/>
      <c r="AB4268" s="49"/>
      <c r="AC4268" s="49"/>
      <c r="AD4268" s="49"/>
      <c r="AE4268" s="49"/>
      <c r="AF4268" s="49"/>
      <c r="AG4268" s="49"/>
      <c r="AH4268" s="49"/>
      <c r="AI4268" s="49"/>
      <c r="AJ4268" s="49"/>
      <c r="AK4268" s="49"/>
      <c r="AL4268" s="49"/>
      <c r="AM4268" s="49"/>
      <c r="AN4268" s="49"/>
      <c r="AP4268" s="49"/>
      <c r="AQ4268" s="49"/>
      <c r="AR4268" s="49"/>
      <c r="AS4268" s="49"/>
      <c r="AT4268" s="49"/>
    </row>
    <row r="4269">
      <c r="A4269" s="59"/>
      <c r="B4269" s="49"/>
      <c r="C4269" s="50"/>
      <c r="D4269" s="49"/>
      <c r="E4269" s="49"/>
      <c r="F4269" s="49"/>
      <c r="G4269" s="49"/>
      <c r="H4269" s="50"/>
      <c r="I4269" s="50"/>
      <c r="J4269" s="49"/>
      <c r="K4269" s="49"/>
      <c r="L4269" s="49"/>
      <c r="M4269" s="49"/>
      <c r="N4269" s="50"/>
      <c r="O4269" s="49"/>
      <c r="P4269" s="49"/>
      <c r="Q4269" s="49"/>
      <c r="R4269" s="49"/>
      <c r="S4269" s="49"/>
      <c r="T4269" s="49"/>
      <c r="U4269" s="49"/>
      <c r="V4269" s="49"/>
      <c r="W4269" s="49"/>
      <c r="X4269" s="49"/>
      <c r="Y4269" s="49"/>
      <c r="Z4269" s="49"/>
      <c r="AA4269" s="49"/>
      <c r="AB4269" s="49"/>
      <c r="AC4269" s="49"/>
      <c r="AD4269" s="49"/>
      <c r="AE4269" s="49"/>
      <c r="AF4269" s="49"/>
      <c r="AG4269" s="49"/>
      <c r="AH4269" s="49"/>
      <c r="AI4269" s="49"/>
      <c r="AJ4269" s="49"/>
      <c r="AK4269" s="49"/>
      <c r="AL4269" s="49"/>
      <c r="AM4269" s="49"/>
      <c r="AN4269" s="49"/>
      <c r="AP4269" s="49"/>
      <c r="AQ4269" s="49"/>
      <c r="AR4269" s="49"/>
      <c r="AS4269" s="49"/>
      <c r="AT4269" s="49"/>
    </row>
    <row r="4270">
      <c r="A4270" s="59"/>
      <c r="B4270" s="49"/>
      <c r="C4270" s="50"/>
      <c r="D4270" s="49"/>
      <c r="E4270" s="49"/>
      <c r="F4270" s="49"/>
      <c r="G4270" s="49"/>
      <c r="H4270" s="50"/>
      <c r="I4270" s="50"/>
      <c r="J4270" s="49"/>
      <c r="K4270" s="49"/>
      <c r="L4270" s="49"/>
      <c r="M4270" s="49"/>
      <c r="N4270" s="50"/>
      <c r="O4270" s="49"/>
      <c r="P4270" s="49"/>
      <c r="Q4270" s="49"/>
      <c r="R4270" s="49"/>
      <c r="S4270" s="49"/>
      <c r="T4270" s="49"/>
      <c r="U4270" s="49"/>
      <c r="V4270" s="49"/>
      <c r="W4270" s="49"/>
      <c r="X4270" s="49"/>
      <c r="Y4270" s="49"/>
      <c r="Z4270" s="49"/>
      <c r="AA4270" s="49"/>
      <c r="AB4270" s="49"/>
      <c r="AC4270" s="49"/>
      <c r="AD4270" s="49"/>
      <c r="AE4270" s="49"/>
      <c r="AF4270" s="49"/>
      <c r="AG4270" s="49"/>
      <c r="AH4270" s="49"/>
      <c r="AI4270" s="49"/>
      <c r="AJ4270" s="49"/>
      <c r="AK4270" s="49"/>
      <c r="AL4270" s="49"/>
      <c r="AM4270" s="49"/>
      <c r="AN4270" s="49"/>
      <c r="AP4270" s="49"/>
      <c r="AQ4270" s="49"/>
      <c r="AR4270" s="49"/>
      <c r="AS4270" s="49"/>
      <c r="AT4270" s="49"/>
    </row>
    <row r="4271">
      <c r="A4271" s="59"/>
      <c r="B4271" s="49"/>
      <c r="C4271" s="50"/>
      <c r="D4271" s="49"/>
      <c r="E4271" s="49"/>
      <c r="F4271" s="49"/>
      <c r="G4271" s="49"/>
      <c r="H4271" s="50"/>
      <c r="I4271" s="50"/>
      <c r="J4271" s="49"/>
      <c r="K4271" s="49"/>
      <c r="L4271" s="49"/>
      <c r="M4271" s="49"/>
      <c r="N4271" s="50"/>
      <c r="O4271" s="49"/>
      <c r="P4271" s="49"/>
      <c r="Q4271" s="49"/>
      <c r="R4271" s="49"/>
      <c r="S4271" s="49"/>
      <c r="T4271" s="49"/>
      <c r="U4271" s="49"/>
      <c r="V4271" s="49"/>
      <c r="W4271" s="49"/>
      <c r="X4271" s="49"/>
      <c r="Y4271" s="49"/>
      <c r="Z4271" s="49"/>
      <c r="AA4271" s="49"/>
      <c r="AB4271" s="49"/>
      <c r="AC4271" s="49"/>
      <c r="AD4271" s="49"/>
      <c r="AE4271" s="49"/>
      <c r="AF4271" s="49"/>
      <c r="AG4271" s="49"/>
      <c r="AH4271" s="49"/>
      <c r="AI4271" s="49"/>
      <c r="AJ4271" s="49"/>
      <c r="AK4271" s="49"/>
      <c r="AL4271" s="49"/>
      <c r="AM4271" s="49"/>
      <c r="AN4271" s="49"/>
      <c r="AP4271" s="49"/>
      <c r="AQ4271" s="49"/>
      <c r="AR4271" s="49"/>
      <c r="AS4271" s="49"/>
      <c r="AT4271" s="49"/>
    </row>
    <row r="4272">
      <c r="A4272" s="59"/>
      <c r="B4272" s="49"/>
      <c r="C4272" s="50"/>
      <c r="D4272" s="49"/>
      <c r="E4272" s="49"/>
      <c r="F4272" s="49"/>
      <c r="G4272" s="49"/>
      <c r="H4272" s="50"/>
      <c r="I4272" s="50"/>
      <c r="J4272" s="49"/>
      <c r="K4272" s="49"/>
      <c r="L4272" s="49"/>
      <c r="M4272" s="49"/>
      <c r="N4272" s="50"/>
      <c r="O4272" s="49"/>
      <c r="P4272" s="49"/>
      <c r="Q4272" s="49"/>
      <c r="R4272" s="49"/>
      <c r="S4272" s="49"/>
      <c r="T4272" s="49"/>
      <c r="U4272" s="49"/>
      <c r="V4272" s="49"/>
      <c r="W4272" s="49"/>
      <c r="X4272" s="49"/>
      <c r="Y4272" s="49"/>
      <c r="Z4272" s="49"/>
      <c r="AA4272" s="49"/>
      <c r="AB4272" s="49"/>
      <c r="AC4272" s="49"/>
      <c r="AD4272" s="49"/>
      <c r="AE4272" s="49"/>
      <c r="AF4272" s="49"/>
      <c r="AG4272" s="49"/>
      <c r="AH4272" s="49"/>
      <c r="AI4272" s="49"/>
      <c r="AJ4272" s="49"/>
      <c r="AK4272" s="49"/>
      <c r="AL4272" s="49"/>
      <c r="AM4272" s="49"/>
      <c r="AN4272" s="49"/>
      <c r="AP4272" s="49"/>
      <c r="AQ4272" s="49"/>
      <c r="AR4272" s="49"/>
      <c r="AS4272" s="49"/>
      <c r="AT4272" s="49"/>
    </row>
    <row r="4273">
      <c r="A4273" s="59"/>
      <c r="B4273" s="49"/>
      <c r="C4273" s="50"/>
      <c r="D4273" s="49"/>
      <c r="E4273" s="49"/>
      <c r="F4273" s="49"/>
      <c r="G4273" s="49"/>
      <c r="H4273" s="50"/>
      <c r="I4273" s="50"/>
      <c r="J4273" s="49"/>
      <c r="K4273" s="49"/>
      <c r="L4273" s="49"/>
      <c r="M4273" s="49"/>
      <c r="N4273" s="50"/>
      <c r="O4273" s="49"/>
      <c r="P4273" s="49"/>
      <c r="Q4273" s="49"/>
      <c r="R4273" s="49"/>
      <c r="S4273" s="49"/>
      <c r="T4273" s="49"/>
      <c r="U4273" s="49"/>
      <c r="V4273" s="49"/>
      <c r="W4273" s="49"/>
      <c r="X4273" s="49"/>
      <c r="Y4273" s="49"/>
      <c r="Z4273" s="49"/>
      <c r="AA4273" s="49"/>
      <c r="AB4273" s="49"/>
      <c r="AC4273" s="49"/>
      <c r="AD4273" s="49"/>
      <c r="AE4273" s="49"/>
      <c r="AF4273" s="49"/>
      <c r="AG4273" s="49"/>
      <c r="AH4273" s="49"/>
      <c r="AI4273" s="49"/>
      <c r="AJ4273" s="49"/>
      <c r="AK4273" s="49"/>
      <c r="AL4273" s="49"/>
      <c r="AM4273" s="49"/>
      <c r="AN4273" s="49"/>
      <c r="AP4273" s="49"/>
      <c r="AQ4273" s="49"/>
      <c r="AR4273" s="49"/>
      <c r="AS4273" s="49"/>
      <c r="AT4273" s="49"/>
    </row>
    <row r="4274">
      <c r="A4274" s="59"/>
      <c r="B4274" s="49"/>
      <c r="C4274" s="50"/>
      <c r="D4274" s="49"/>
      <c r="E4274" s="49"/>
      <c r="F4274" s="49"/>
      <c r="G4274" s="49"/>
      <c r="H4274" s="50"/>
      <c r="I4274" s="50"/>
      <c r="J4274" s="49"/>
      <c r="K4274" s="49"/>
      <c r="L4274" s="49"/>
      <c r="M4274" s="49"/>
      <c r="N4274" s="50"/>
      <c r="O4274" s="49"/>
      <c r="P4274" s="49"/>
      <c r="Q4274" s="49"/>
      <c r="R4274" s="49"/>
      <c r="S4274" s="49"/>
      <c r="T4274" s="49"/>
      <c r="U4274" s="49"/>
      <c r="V4274" s="49"/>
      <c r="W4274" s="49"/>
      <c r="X4274" s="49"/>
      <c r="Y4274" s="49"/>
      <c r="Z4274" s="49"/>
      <c r="AA4274" s="49"/>
      <c r="AB4274" s="49"/>
      <c r="AC4274" s="49"/>
      <c r="AD4274" s="49"/>
      <c r="AE4274" s="49"/>
      <c r="AF4274" s="49"/>
      <c r="AG4274" s="49"/>
      <c r="AH4274" s="49"/>
      <c r="AI4274" s="49"/>
      <c r="AJ4274" s="49"/>
      <c r="AK4274" s="49"/>
      <c r="AL4274" s="49"/>
      <c r="AM4274" s="49"/>
      <c r="AN4274" s="49"/>
      <c r="AP4274" s="49"/>
      <c r="AQ4274" s="49"/>
      <c r="AR4274" s="49"/>
      <c r="AS4274" s="49"/>
      <c r="AT4274" s="49"/>
    </row>
    <row r="4275">
      <c r="A4275" s="59"/>
      <c r="B4275" s="49"/>
      <c r="C4275" s="50"/>
      <c r="D4275" s="49"/>
      <c r="E4275" s="49"/>
      <c r="F4275" s="49"/>
      <c r="G4275" s="49"/>
      <c r="H4275" s="50"/>
      <c r="I4275" s="50"/>
      <c r="J4275" s="49"/>
      <c r="K4275" s="49"/>
      <c r="L4275" s="49"/>
      <c r="M4275" s="49"/>
      <c r="N4275" s="50"/>
      <c r="O4275" s="49"/>
      <c r="P4275" s="49"/>
      <c r="Q4275" s="49"/>
      <c r="R4275" s="49"/>
      <c r="S4275" s="49"/>
      <c r="T4275" s="49"/>
      <c r="U4275" s="49"/>
      <c r="V4275" s="49"/>
      <c r="W4275" s="49"/>
      <c r="X4275" s="49"/>
      <c r="Y4275" s="49"/>
      <c r="Z4275" s="49"/>
      <c r="AA4275" s="49"/>
      <c r="AB4275" s="49"/>
      <c r="AC4275" s="49"/>
      <c r="AD4275" s="49"/>
      <c r="AE4275" s="49"/>
      <c r="AF4275" s="49"/>
      <c r="AG4275" s="49"/>
      <c r="AH4275" s="49"/>
      <c r="AI4275" s="49"/>
      <c r="AJ4275" s="49"/>
      <c r="AK4275" s="49"/>
      <c r="AL4275" s="49"/>
      <c r="AM4275" s="49"/>
      <c r="AN4275" s="49"/>
      <c r="AP4275" s="49"/>
      <c r="AQ4275" s="49"/>
      <c r="AR4275" s="49"/>
      <c r="AS4275" s="49"/>
      <c r="AT4275" s="49"/>
    </row>
    <row r="4276">
      <c r="A4276" s="59"/>
      <c r="B4276" s="49"/>
      <c r="C4276" s="50"/>
      <c r="D4276" s="49"/>
      <c r="E4276" s="49"/>
      <c r="F4276" s="49"/>
      <c r="G4276" s="49"/>
      <c r="H4276" s="50"/>
      <c r="I4276" s="50"/>
      <c r="J4276" s="49"/>
      <c r="K4276" s="49"/>
      <c r="L4276" s="49"/>
      <c r="M4276" s="49"/>
      <c r="N4276" s="50"/>
      <c r="O4276" s="49"/>
      <c r="P4276" s="49"/>
      <c r="Q4276" s="49"/>
      <c r="R4276" s="49"/>
      <c r="S4276" s="49"/>
      <c r="T4276" s="49"/>
      <c r="U4276" s="49"/>
      <c r="V4276" s="49"/>
      <c r="W4276" s="49"/>
      <c r="X4276" s="49"/>
      <c r="Y4276" s="49"/>
      <c r="Z4276" s="49"/>
      <c r="AA4276" s="49"/>
      <c r="AB4276" s="49"/>
      <c r="AC4276" s="49"/>
      <c r="AD4276" s="49"/>
      <c r="AE4276" s="49"/>
      <c r="AF4276" s="49"/>
      <c r="AG4276" s="49"/>
      <c r="AH4276" s="49"/>
      <c r="AI4276" s="49"/>
      <c r="AJ4276" s="49"/>
      <c r="AK4276" s="49"/>
      <c r="AL4276" s="49"/>
      <c r="AM4276" s="49"/>
      <c r="AN4276" s="49"/>
      <c r="AP4276" s="49"/>
      <c r="AQ4276" s="49"/>
      <c r="AR4276" s="49"/>
      <c r="AS4276" s="49"/>
      <c r="AT4276" s="49"/>
    </row>
    <row r="4277">
      <c r="A4277" s="59"/>
      <c r="B4277" s="49"/>
      <c r="C4277" s="50"/>
      <c r="D4277" s="49"/>
      <c r="E4277" s="49"/>
      <c r="F4277" s="49"/>
      <c r="G4277" s="49"/>
      <c r="H4277" s="50"/>
      <c r="I4277" s="50"/>
      <c r="J4277" s="49"/>
      <c r="K4277" s="49"/>
      <c r="L4277" s="49"/>
      <c r="M4277" s="49"/>
      <c r="N4277" s="50"/>
      <c r="O4277" s="49"/>
      <c r="P4277" s="49"/>
      <c r="Q4277" s="49"/>
      <c r="R4277" s="49"/>
      <c r="S4277" s="49"/>
      <c r="T4277" s="49"/>
      <c r="U4277" s="49"/>
      <c r="V4277" s="49"/>
      <c r="W4277" s="49"/>
      <c r="X4277" s="49"/>
      <c r="Y4277" s="49"/>
      <c r="Z4277" s="49"/>
      <c r="AA4277" s="49"/>
      <c r="AB4277" s="49"/>
      <c r="AC4277" s="49"/>
      <c r="AD4277" s="49"/>
      <c r="AE4277" s="49"/>
      <c r="AF4277" s="49"/>
      <c r="AG4277" s="49"/>
      <c r="AH4277" s="49"/>
      <c r="AI4277" s="49"/>
      <c r="AJ4277" s="49"/>
      <c r="AK4277" s="49"/>
      <c r="AL4277" s="49"/>
      <c r="AM4277" s="49"/>
      <c r="AN4277" s="49"/>
      <c r="AP4277" s="49"/>
      <c r="AQ4277" s="49"/>
      <c r="AR4277" s="49"/>
      <c r="AS4277" s="49"/>
      <c r="AT4277" s="49"/>
    </row>
    <row r="4278">
      <c r="A4278" s="59"/>
      <c r="B4278" s="49"/>
      <c r="C4278" s="50"/>
      <c r="D4278" s="49"/>
      <c r="E4278" s="49"/>
      <c r="F4278" s="49"/>
      <c r="G4278" s="49"/>
      <c r="H4278" s="50"/>
      <c r="I4278" s="50"/>
      <c r="J4278" s="49"/>
      <c r="K4278" s="49"/>
      <c r="L4278" s="49"/>
      <c r="M4278" s="49"/>
      <c r="N4278" s="50"/>
      <c r="O4278" s="49"/>
      <c r="P4278" s="49"/>
      <c r="Q4278" s="49"/>
      <c r="R4278" s="49"/>
      <c r="S4278" s="49"/>
      <c r="T4278" s="49"/>
      <c r="U4278" s="49"/>
      <c r="V4278" s="49"/>
      <c r="W4278" s="49"/>
      <c r="X4278" s="49"/>
      <c r="Y4278" s="49"/>
      <c r="Z4278" s="49"/>
      <c r="AA4278" s="49"/>
      <c r="AB4278" s="49"/>
      <c r="AC4278" s="49"/>
      <c r="AD4278" s="49"/>
      <c r="AE4278" s="49"/>
      <c r="AF4278" s="49"/>
      <c r="AG4278" s="49"/>
      <c r="AH4278" s="49"/>
      <c r="AI4278" s="49"/>
      <c r="AJ4278" s="49"/>
      <c r="AK4278" s="49"/>
      <c r="AL4278" s="49"/>
      <c r="AM4278" s="49"/>
      <c r="AN4278" s="49"/>
      <c r="AP4278" s="49"/>
      <c r="AQ4278" s="49"/>
      <c r="AR4278" s="49"/>
      <c r="AS4278" s="49"/>
      <c r="AT4278" s="49"/>
    </row>
    <row r="4279">
      <c r="A4279" s="59"/>
      <c r="B4279" s="49"/>
      <c r="C4279" s="50"/>
      <c r="D4279" s="49"/>
      <c r="E4279" s="49"/>
      <c r="F4279" s="49"/>
      <c r="G4279" s="49"/>
      <c r="H4279" s="50"/>
      <c r="I4279" s="50"/>
      <c r="J4279" s="49"/>
      <c r="K4279" s="49"/>
      <c r="L4279" s="49"/>
      <c r="M4279" s="49"/>
      <c r="N4279" s="50"/>
      <c r="O4279" s="49"/>
      <c r="P4279" s="49"/>
      <c r="Q4279" s="49"/>
      <c r="R4279" s="49"/>
      <c r="S4279" s="49"/>
      <c r="T4279" s="49"/>
      <c r="U4279" s="49"/>
      <c r="V4279" s="49"/>
      <c r="W4279" s="49"/>
      <c r="X4279" s="49"/>
      <c r="Y4279" s="49"/>
      <c r="Z4279" s="49"/>
      <c r="AA4279" s="49"/>
      <c r="AB4279" s="49"/>
      <c r="AC4279" s="49"/>
      <c r="AD4279" s="49"/>
      <c r="AE4279" s="49"/>
      <c r="AF4279" s="49"/>
      <c r="AG4279" s="49"/>
      <c r="AH4279" s="49"/>
      <c r="AI4279" s="49"/>
      <c r="AJ4279" s="49"/>
      <c r="AK4279" s="49"/>
      <c r="AL4279" s="49"/>
      <c r="AM4279" s="49"/>
      <c r="AN4279" s="49"/>
      <c r="AP4279" s="49"/>
      <c r="AQ4279" s="49"/>
      <c r="AR4279" s="49"/>
      <c r="AS4279" s="49"/>
      <c r="AT4279" s="49"/>
    </row>
    <row r="4280">
      <c r="A4280" s="59"/>
      <c r="B4280" s="49"/>
      <c r="C4280" s="50"/>
      <c r="D4280" s="49"/>
      <c r="E4280" s="49"/>
      <c r="F4280" s="49"/>
      <c r="G4280" s="49"/>
      <c r="H4280" s="50"/>
      <c r="I4280" s="50"/>
      <c r="J4280" s="49"/>
      <c r="K4280" s="49"/>
      <c r="L4280" s="49"/>
      <c r="M4280" s="49"/>
      <c r="N4280" s="50"/>
      <c r="O4280" s="49"/>
      <c r="P4280" s="49"/>
      <c r="Q4280" s="49"/>
      <c r="R4280" s="49"/>
      <c r="S4280" s="49"/>
      <c r="T4280" s="49"/>
      <c r="U4280" s="49"/>
      <c r="V4280" s="49"/>
      <c r="W4280" s="49"/>
      <c r="X4280" s="49"/>
      <c r="Y4280" s="49"/>
      <c r="Z4280" s="49"/>
      <c r="AA4280" s="49"/>
      <c r="AB4280" s="49"/>
      <c r="AC4280" s="49"/>
      <c r="AD4280" s="49"/>
      <c r="AE4280" s="49"/>
      <c r="AF4280" s="49"/>
      <c r="AG4280" s="49"/>
      <c r="AH4280" s="49"/>
      <c r="AI4280" s="49"/>
      <c r="AJ4280" s="49"/>
      <c r="AK4280" s="49"/>
      <c r="AL4280" s="49"/>
      <c r="AM4280" s="49"/>
      <c r="AN4280" s="49"/>
      <c r="AP4280" s="49"/>
      <c r="AQ4280" s="49"/>
      <c r="AR4280" s="49"/>
      <c r="AS4280" s="49"/>
      <c r="AT4280" s="49"/>
    </row>
    <row r="4281">
      <c r="A4281" s="59"/>
      <c r="B4281" s="49"/>
      <c r="C4281" s="50"/>
      <c r="D4281" s="49"/>
      <c r="E4281" s="49"/>
      <c r="F4281" s="49"/>
      <c r="G4281" s="49"/>
      <c r="H4281" s="50"/>
      <c r="I4281" s="50"/>
      <c r="J4281" s="49"/>
      <c r="K4281" s="49"/>
      <c r="L4281" s="49"/>
      <c r="M4281" s="49"/>
      <c r="N4281" s="50"/>
      <c r="O4281" s="49"/>
      <c r="P4281" s="49"/>
      <c r="Q4281" s="49"/>
      <c r="R4281" s="49"/>
      <c r="S4281" s="49"/>
      <c r="T4281" s="49"/>
      <c r="U4281" s="49"/>
      <c r="V4281" s="49"/>
      <c r="W4281" s="49"/>
      <c r="X4281" s="49"/>
      <c r="Y4281" s="49"/>
      <c r="Z4281" s="49"/>
      <c r="AA4281" s="49"/>
      <c r="AB4281" s="49"/>
      <c r="AC4281" s="49"/>
      <c r="AD4281" s="49"/>
      <c r="AE4281" s="49"/>
      <c r="AF4281" s="49"/>
      <c r="AG4281" s="49"/>
      <c r="AH4281" s="49"/>
      <c r="AI4281" s="49"/>
      <c r="AJ4281" s="49"/>
      <c r="AK4281" s="49"/>
      <c r="AL4281" s="49"/>
      <c r="AM4281" s="49"/>
      <c r="AN4281" s="49"/>
      <c r="AP4281" s="49"/>
      <c r="AQ4281" s="49"/>
      <c r="AR4281" s="49"/>
      <c r="AS4281" s="49"/>
      <c r="AT4281" s="49"/>
    </row>
    <row r="4282">
      <c r="A4282" s="59"/>
      <c r="B4282" s="49"/>
      <c r="C4282" s="50"/>
      <c r="D4282" s="49"/>
      <c r="E4282" s="49"/>
      <c r="F4282" s="49"/>
      <c r="G4282" s="49"/>
      <c r="H4282" s="50"/>
      <c r="I4282" s="50"/>
      <c r="J4282" s="49"/>
      <c r="K4282" s="49"/>
      <c r="L4282" s="49"/>
      <c r="M4282" s="49"/>
      <c r="N4282" s="50"/>
      <c r="O4282" s="49"/>
      <c r="P4282" s="49"/>
      <c r="Q4282" s="49"/>
      <c r="R4282" s="49"/>
      <c r="S4282" s="49"/>
      <c r="T4282" s="49"/>
      <c r="U4282" s="49"/>
      <c r="V4282" s="49"/>
      <c r="W4282" s="49"/>
      <c r="X4282" s="49"/>
      <c r="Y4282" s="49"/>
      <c r="Z4282" s="49"/>
      <c r="AA4282" s="49"/>
      <c r="AB4282" s="49"/>
      <c r="AC4282" s="49"/>
      <c r="AD4282" s="49"/>
      <c r="AE4282" s="49"/>
      <c r="AF4282" s="49"/>
      <c r="AG4282" s="49"/>
      <c r="AH4282" s="49"/>
      <c r="AI4282" s="49"/>
      <c r="AJ4282" s="49"/>
      <c r="AK4282" s="49"/>
      <c r="AL4282" s="49"/>
      <c r="AM4282" s="49"/>
      <c r="AN4282" s="49"/>
      <c r="AP4282" s="49"/>
      <c r="AQ4282" s="49"/>
      <c r="AR4282" s="49"/>
      <c r="AS4282" s="49"/>
      <c r="AT4282" s="49"/>
    </row>
    <row r="4283">
      <c r="A4283" s="59"/>
      <c r="B4283" s="49"/>
      <c r="C4283" s="50"/>
      <c r="D4283" s="49"/>
      <c r="E4283" s="49"/>
      <c r="F4283" s="49"/>
      <c r="G4283" s="49"/>
      <c r="H4283" s="50"/>
      <c r="I4283" s="50"/>
      <c r="J4283" s="49"/>
      <c r="K4283" s="49"/>
      <c r="L4283" s="49"/>
      <c r="M4283" s="49"/>
      <c r="N4283" s="50"/>
      <c r="O4283" s="49"/>
      <c r="P4283" s="49"/>
      <c r="Q4283" s="49"/>
      <c r="R4283" s="49"/>
      <c r="S4283" s="49"/>
      <c r="T4283" s="49"/>
      <c r="U4283" s="49"/>
      <c r="V4283" s="49"/>
      <c r="W4283" s="49"/>
      <c r="X4283" s="49"/>
      <c r="Y4283" s="49"/>
      <c r="Z4283" s="49"/>
      <c r="AA4283" s="49"/>
      <c r="AB4283" s="49"/>
      <c r="AC4283" s="49"/>
      <c r="AD4283" s="49"/>
      <c r="AE4283" s="49"/>
      <c r="AF4283" s="49"/>
      <c r="AG4283" s="49"/>
      <c r="AH4283" s="49"/>
      <c r="AI4283" s="49"/>
      <c r="AJ4283" s="49"/>
      <c r="AK4283" s="49"/>
      <c r="AL4283" s="49"/>
      <c r="AM4283" s="49"/>
      <c r="AN4283" s="49"/>
      <c r="AP4283" s="49"/>
      <c r="AQ4283" s="49"/>
      <c r="AR4283" s="49"/>
      <c r="AS4283" s="49"/>
      <c r="AT4283" s="49"/>
    </row>
    <row r="4284">
      <c r="A4284" s="59"/>
      <c r="B4284" s="49"/>
      <c r="C4284" s="50"/>
      <c r="D4284" s="49"/>
      <c r="E4284" s="49"/>
      <c r="F4284" s="49"/>
      <c r="G4284" s="49"/>
      <c r="H4284" s="50"/>
      <c r="I4284" s="50"/>
      <c r="J4284" s="49"/>
      <c r="K4284" s="49"/>
      <c r="L4284" s="49"/>
      <c r="M4284" s="49"/>
      <c r="N4284" s="50"/>
      <c r="O4284" s="49"/>
      <c r="P4284" s="49"/>
      <c r="Q4284" s="49"/>
      <c r="R4284" s="49"/>
      <c r="S4284" s="49"/>
      <c r="T4284" s="49"/>
      <c r="U4284" s="49"/>
      <c r="V4284" s="49"/>
      <c r="W4284" s="49"/>
      <c r="X4284" s="49"/>
      <c r="Y4284" s="49"/>
      <c r="Z4284" s="49"/>
      <c r="AA4284" s="49"/>
      <c r="AB4284" s="49"/>
      <c r="AC4284" s="49"/>
      <c r="AD4284" s="49"/>
      <c r="AE4284" s="49"/>
      <c r="AF4284" s="49"/>
      <c r="AG4284" s="49"/>
      <c r="AH4284" s="49"/>
      <c r="AI4284" s="49"/>
      <c r="AJ4284" s="49"/>
      <c r="AK4284" s="49"/>
      <c r="AL4284" s="49"/>
      <c r="AM4284" s="49"/>
      <c r="AN4284" s="49"/>
      <c r="AP4284" s="49"/>
      <c r="AQ4284" s="49"/>
      <c r="AR4284" s="49"/>
      <c r="AS4284" s="49"/>
      <c r="AT4284" s="49"/>
    </row>
    <row r="4285">
      <c r="A4285" s="59"/>
      <c r="B4285" s="49"/>
      <c r="C4285" s="50"/>
      <c r="D4285" s="49"/>
      <c r="E4285" s="49"/>
      <c r="F4285" s="49"/>
      <c r="G4285" s="49"/>
      <c r="H4285" s="50"/>
      <c r="I4285" s="50"/>
      <c r="J4285" s="49"/>
      <c r="K4285" s="49"/>
      <c r="L4285" s="49"/>
      <c r="M4285" s="49"/>
      <c r="N4285" s="50"/>
      <c r="O4285" s="49"/>
      <c r="P4285" s="49"/>
      <c r="Q4285" s="49"/>
      <c r="R4285" s="49"/>
      <c r="S4285" s="49"/>
      <c r="T4285" s="49"/>
      <c r="U4285" s="49"/>
      <c r="V4285" s="49"/>
      <c r="W4285" s="49"/>
      <c r="X4285" s="49"/>
      <c r="Y4285" s="49"/>
      <c r="Z4285" s="49"/>
      <c r="AA4285" s="49"/>
      <c r="AB4285" s="49"/>
      <c r="AC4285" s="49"/>
      <c r="AD4285" s="49"/>
      <c r="AE4285" s="49"/>
      <c r="AF4285" s="49"/>
      <c r="AG4285" s="49"/>
      <c r="AH4285" s="49"/>
      <c r="AI4285" s="49"/>
      <c r="AJ4285" s="49"/>
      <c r="AK4285" s="49"/>
      <c r="AL4285" s="49"/>
      <c r="AM4285" s="49"/>
      <c r="AN4285" s="49"/>
      <c r="AP4285" s="49"/>
      <c r="AQ4285" s="49"/>
      <c r="AR4285" s="49"/>
      <c r="AS4285" s="49"/>
      <c r="AT4285" s="49"/>
    </row>
    <row r="4286">
      <c r="A4286" s="59"/>
      <c r="B4286" s="49"/>
      <c r="C4286" s="50"/>
      <c r="D4286" s="49"/>
      <c r="E4286" s="49"/>
      <c r="F4286" s="49"/>
      <c r="G4286" s="49"/>
      <c r="H4286" s="50"/>
      <c r="I4286" s="50"/>
      <c r="J4286" s="49"/>
      <c r="K4286" s="49"/>
      <c r="L4286" s="49"/>
      <c r="M4286" s="49"/>
      <c r="N4286" s="50"/>
      <c r="O4286" s="49"/>
      <c r="P4286" s="49"/>
      <c r="Q4286" s="49"/>
      <c r="R4286" s="49"/>
      <c r="S4286" s="49"/>
      <c r="T4286" s="49"/>
      <c r="U4286" s="49"/>
      <c r="V4286" s="49"/>
      <c r="W4286" s="49"/>
      <c r="X4286" s="49"/>
      <c r="Y4286" s="49"/>
      <c r="Z4286" s="49"/>
      <c r="AA4286" s="49"/>
      <c r="AB4286" s="49"/>
      <c r="AC4286" s="49"/>
      <c r="AD4286" s="49"/>
      <c r="AE4286" s="49"/>
      <c r="AF4286" s="49"/>
      <c r="AG4286" s="49"/>
      <c r="AH4286" s="49"/>
      <c r="AI4286" s="49"/>
      <c r="AJ4286" s="49"/>
      <c r="AK4286" s="49"/>
      <c r="AL4286" s="49"/>
      <c r="AM4286" s="49"/>
      <c r="AN4286" s="49"/>
      <c r="AP4286" s="49"/>
      <c r="AQ4286" s="49"/>
      <c r="AR4286" s="49"/>
      <c r="AS4286" s="49"/>
      <c r="AT4286" s="49"/>
    </row>
    <row r="4287">
      <c r="A4287" s="59"/>
      <c r="B4287" s="49"/>
      <c r="C4287" s="50"/>
      <c r="D4287" s="49"/>
      <c r="E4287" s="49"/>
      <c r="F4287" s="49"/>
      <c r="G4287" s="49"/>
      <c r="H4287" s="50"/>
      <c r="I4287" s="50"/>
      <c r="J4287" s="49"/>
      <c r="K4287" s="49"/>
      <c r="L4287" s="49"/>
      <c r="M4287" s="49"/>
      <c r="N4287" s="50"/>
      <c r="O4287" s="49"/>
      <c r="P4287" s="49"/>
      <c r="Q4287" s="49"/>
      <c r="R4287" s="49"/>
      <c r="S4287" s="49"/>
      <c r="T4287" s="49"/>
      <c r="U4287" s="49"/>
      <c r="V4287" s="49"/>
      <c r="W4287" s="49"/>
      <c r="X4287" s="49"/>
      <c r="Y4287" s="49"/>
      <c r="Z4287" s="49"/>
      <c r="AA4287" s="49"/>
      <c r="AB4287" s="49"/>
      <c r="AC4287" s="49"/>
      <c r="AD4287" s="49"/>
      <c r="AE4287" s="49"/>
      <c r="AF4287" s="49"/>
      <c r="AG4287" s="49"/>
      <c r="AH4287" s="49"/>
      <c r="AI4287" s="49"/>
      <c r="AJ4287" s="49"/>
      <c r="AK4287" s="49"/>
      <c r="AL4287" s="49"/>
      <c r="AM4287" s="49"/>
      <c r="AN4287" s="49"/>
      <c r="AP4287" s="49"/>
      <c r="AQ4287" s="49"/>
      <c r="AR4287" s="49"/>
      <c r="AS4287" s="49"/>
      <c r="AT4287" s="49"/>
    </row>
    <row r="4288">
      <c r="A4288" s="59"/>
      <c r="B4288" s="49"/>
      <c r="C4288" s="50"/>
      <c r="D4288" s="49"/>
      <c r="E4288" s="49"/>
      <c r="F4288" s="49"/>
      <c r="G4288" s="49"/>
      <c r="H4288" s="50"/>
      <c r="I4288" s="50"/>
      <c r="J4288" s="49"/>
      <c r="K4288" s="49"/>
      <c r="L4288" s="49"/>
      <c r="M4288" s="49"/>
      <c r="N4288" s="50"/>
      <c r="O4288" s="49"/>
      <c r="P4288" s="49"/>
      <c r="Q4288" s="49"/>
      <c r="R4288" s="49"/>
      <c r="S4288" s="49"/>
      <c r="T4288" s="49"/>
      <c r="U4288" s="49"/>
      <c r="V4288" s="49"/>
      <c r="W4288" s="49"/>
      <c r="X4288" s="49"/>
      <c r="Y4288" s="49"/>
      <c r="Z4288" s="49"/>
      <c r="AA4288" s="49"/>
      <c r="AB4288" s="49"/>
      <c r="AC4288" s="49"/>
      <c r="AD4288" s="49"/>
      <c r="AE4288" s="49"/>
      <c r="AF4288" s="49"/>
      <c r="AG4288" s="49"/>
      <c r="AH4288" s="49"/>
      <c r="AI4288" s="49"/>
      <c r="AJ4288" s="49"/>
      <c r="AK4288" s="49"/>
      <c r="AL4288" s="49"/>
      <c r="AM4288" s="49"/>
      <c r="AN4288" s="49"/>
      <c r="AP4288" s="49"/>
      <c r="AQ4288" s="49"/>
      <c r="AR4288" s="49"/>
      <c r="AS4288" s="49"/>
      <c r="AT4288" s="49"/>
    </row>
    <row r="4289">
      <c r="A4289" s="59"/>
      <c r="B4289" s="49"/>
      <c r="C4289" s="50"/>
      <c r="D4289" s="49"/>
      <c r="E4289" s="49"/>
      <c r="F4289" s="49"/>
      <c r="G4289" s="49"/>
      <c r="H4289" s="50"/>
      <c r="I4289" s="50"/>
      <c r="J4289" s="49"/>
      <c r="K4289" s="49"/>
      <c r="L4289" s="49"/>
      <c r="M4289" s="49"/>
      <c r="N4289" s="50"/>
      <c r="O4289" s="49"/>
      <c r="P4289" s="49"/>
      <c r="Q4289" s="49"/>
      <c r="R4289" s="49"/>
      <c r="S4289" s="49"/>
      <c r="T4289" s="49"/>
      <c r="U4289" s="49"/>
      <c r="V4289" s="49"/>
      <c r="W4289" s="49"/>
      <c r="X4289" s="49"/>
      <c r="Y4289" s="49"/>
      <c r="Z4289" s="49"/>
      <c r="AA4289" s="49"/>
      <c r="AB4289" s="49"/>
      <c r="AC4289" s="49"/>
      <c r="AD4289" s="49"/>
      <c r="AE4289" s="49"/>
      <c r="AF4289" s="49"/>
      <c r="AG4289" s="49"/>
      <c r="AH4289" s="49"/>
      <c r="AI4289" s="49"/>
      <c r="AJ4289" s="49"/>
      <c r="AK4289" s="49"/>
      <c r="AL4289" s="49"/>
      <c r="AM4289" s="49"/>
      <c r="AN4289" s="49"/>
      <c r="AP4289" s="49"/>
      <c r="AQ4289" s="49"/>
      <c r="AR4289" s="49"/>
      <c r="AS4289" s="49"/>
      <c r="AT4289" s="49"/>
    </row>
    <row r="4290">
      <c r="A4290" s="59"/>
      <c r="B4290" s="49"/>
      <c r="C4290" s="50"/>
      <c r="D4290" s="49"/>
      <c r="E4290" s="49"/>
      <c r="F4290" s="49"/>
      <c r="G4290" s="49"/>
      <c r="H4290" s="50"/>
      <c r="I4290" s="50"/>
      <c r="J4290" s="49"/>
      <c r="K4290" s="49"/>
      <c r="L4290" s="49"/>
      <c r="M4290" s="49"/>
      <c r="N4290" s="50"/>
      <c r="O4290" s="49"/>
      <c r="P4290" s="49"/>
      <c r="Q4290" s="49"/>
      <c r="R4290" s="49"/>
      <c r="S4290" s="49"/>
      <c r="T4290" s="49"/>
      <c r="U4290" s="49"/>
      <c r="V4290" s="49"/>
      <c r="W4290" s="49"/>
      <c r="X4290" s="49"/>
      <c r="Y4290" s="49"/>
      <c r="Z4290" s="49"/>
      <c r="AA4290" s="49"/>
      <c r="AB4290" s="49"/>
      <c r="AC4290" s="49"/>
      <c r="AD4290" s="49"/>
      <c r="AE4290" s="49"/>
      <c r="AF4290" s="49"/>
      <c r="AG4290" s="49"/>
      <c r="AH4290" s="49"/>
      <c r="AI4290" s="49"/>
      <c r="AJ4290" s="49"/>
      <c r="AK4290" s="49"/>
      <c r="AL4290" s="49"/>
      <c r="AM4290" s="49"/>
      <c r="AN4290" s="49"/>
      <c r="AP4290" s="49"/>
      <c r="AQ4290" s="49"/>
      <c r="AR4290" s="49"/>
      <c r="AS4290" s="49"/>
      <c r="AT4290" s="49"/>
    </row>
    <row r="4291">
      <c r="A4291" s="59"/>
      <c r="B4291" s="49"/>
      <c r="C4291" s="50"/>
      <c r="D4291" s="49"/>
      <c r="E4291" s="49"/>
      <c r="F4291" s="49"/>
      <c r="G4291" s="49"/>
      <c r="H4291" s="50"/>
      <c r="I4291" s="50"/>
      <c r="J4291" s="49"/>
      <c r="K4291" s="49"/>
      <c r="L4291" s="49"/>
      <c r="M4291" s="49"/>
      <c r="N4291" s="50"/>
      <c r="O4291" s="49"/>
      <c r="P4291" s="49"/>
      <c r="Q4291" s="49"/>
      <c r="R4291" s="49"/>
      <c r="S4291" s="49"/>
      <c r="T4291" s="49"/>
      <c r="U4291" s="49"/>
      <c r="V4291" s="49"/>
      <c r="W4291" s="49"/>
      <c r="X4291" s="49"/>
      <c r="Y4291" s="49"/>
      <c r="Z4291" s="49"/>
      <c r="AA4291" s="49"/>
      <c r="AB4291" s="49"/>
      <c r="AC4291" s="49"/>
      <c r="AD4291" s="49"/>
      <c r="AE4291" s="49"/>
      <c r="AF4291" s="49"/>
      <c r="AG4291" s="49"/>
      <c r="AH4291" s="49"/>
      <c r="AI4291" s="49"/>
      <c r="AJ4291" s="49"/>
      <c r="AK4291" s="49"/>
      <c r="AL4291" s="49"/>
      <c r="AM4291" s="49"/>
      <c r="AN4291" s="49"/>
      <c r="AP4291" s="49"/>
      <c r="AQ4291" s="49"/>
      <c r="AR4291" s="49"/>
      <c r="AS4291" s="49"/>
      <c r="AT4291" s="49"/>
    </row>
    <row r="4292">
      <c r="A4292" s="59"/>
      <c r="B4292" s="49"/>
      <c r="C4292" s="50"/>
      <c r="D4292" s="49"/>
      <c r="E4292" s="49"/>
      <c r="F4292" s="49"/>
      <c r="G4292" s="49"/>
      <c r="H4292" s="50"/>
      <c r="I4292" s="50"/>
      <c r="J4292" s="49"/>
      <c r="K4292" s="49"/>
      <c r="L4292" s="49"/>
      <c r="M4292" s="49"/>
      <c r="N4292" s="50"/>
      <c r="O4292" s="49"/>
      <c r="P4292" s="49"/>
      <c r="Q4292" s="49"/>
      <c r="R4292" s="49"/>
      <c r="S4292" s="49"/>
      <c r="T4292" s="49"/>
      <c r="U4292" s="49"/>
      <c r="V4292" s="49"/>
      <c r="W4292" s="49"/>
      <c r="X4292" s="49"/>
      <c r="Y4292" s="49"/>
      <c r="Z4292" s="49"/>
      <c r="AA4292" s="49"/>
      <c r="AB4292" s="49"/>
      <c r="AC4292" s="49"/>
      <c r="AD4292" s="49"/>
      <c r="AE4292" s="49"/>
      <c r="AF4292" s="49"/>
      <c r="AG4292" s="49"/>
      <c r="AH4292" s="49"/>
      <c r="AI4292" s="49"/>
      <c r="AJ4292" s="49"/>
      <c r="AK4292" s="49"/>
      <c r="AL4292" s="49"/>
      <c r="AM4292" s="49"/>
      <c r="AN4292" s="49"/>
      <c r="AP4292" s="49"/>
      <c r="AQ4292" s="49"/>
      <c r="AR4292" s="49"/>
      <c r="AS4292" s="49"/>
      <c r="AT4292" s="49"/>
    </row>
    <row r="4293">
      <c r="A4293" s="59"/>
      <c r="B4293" s="49"/>
      <c r="C4293" s="50"/>
      <c r="D4293" s="49"/>
      <c r="E4293" s="49"/>
      <c r="F4293" s="49"/>
      <c r="G4293" s="49"/>
      <c r="H4293" s="50"/>
      <c r="I4293" s="50"/>
      <c r="J4293" s="49"/>
      <c r="K4293" s="49"/>
      <c r="L4293" s="49"/>
      <c r="M4293" s="49"/>
      <c r="N4293" s="50"/>
      <c r="O4293" s="49"/>
      <c r="P4293" s="49"/>
      <c r="Q4293" s="49"/>
      <c r="R4293" s="49"/>
      <c r="S4293" s="49"/>
      <c r="T4293" s="49"/>
      <c r="U4293" s="49"/>
      <c r="V4293" s="49"/>
      <c r="W4293" s="49"/>
      <c r="X4293" s="49"/>
      <c r="Y4293" s="49"/>
      <c r="Z4293" s="49"/>
      <c r="AA4293" s="49"/>
      <c r="AB4293" s="49"/>
      <c r="AC4293" s="49"/>
      <c r="AD4293" s="49"/>
      <c r="AE4293" s="49"/>
      <c r="AF4293" s="49"/>
      <c r="AG4293" s="49"/>
      <c r="AH4293" s="49"/>
      <c r="AI4293" s="49"/>
      <c r="AJ4293" s="49"/>
      <c r="AK4293" s="49"/>
      <c r="AL4293" s="49"/>
      <c r="AM4293" s="49"/>
      <c r="AN4293" s="49"/>
      <c r="AP4293" s="49"/>
      <c r="AQ4293" s="49"/>
      <c r="AR4293" s="49"/>
      <c r="AS4293" s="49"/>
      <c r="AT4293" s="49"/>
    </row>
    <row r="4294">
      <c r="A4294" s="59"/>
      <c r="B4294" s="49"/>
      <c r="C4294" s="50"/>
      <c r="D4294" s="49"/>
      <c r="E4294" s="49"/>
      <c r="F4294" s="49"/>
      <c r="G4294" s="49"/>
      <c r="H4294" s="50"/>
      <c r="I4294" s="50"/>
      <c r="J4294" s="49"/>
      <c r="K4294" s="49"/>
      <c r="L4294" s="49"/>
      <c r="M4294" s="49"/>
      <c r="N4294" s="50"/>
      <c r="O4294" s="49"/>
      <c r="P4294" s="49"/>
      <c r="Q4294" s="49"/>
      <c r="R4294" s="49"/>
      <c r="S4294" s="49"/>
      <c r="T4294" s="49"/>
      <c r="U4294" s="49"/>
      <c r="V4294" s="49"/>
      <c r="W4294" s="49"/>
      <c r="X4294" s="49"/>
      <c r="Y4294" s="49"/>
      <c r="Z4294" s="49"/>
      <c r="AA4294" s="49"/>
      <c r="AB4294" s="49"/>
      <c r="AC4294" s="49"/>
      <c r="AD4294" s="49"/>
      <c r="AE4294" s="49"/>
      <c r="AF4294" s="49"/>
      <c r="AG4294" s="49"/>
      <c r="AH4294" s="49"/>
      <c r="AI4294" s="49"/>
      <c r="AJ4294" s="49"/>
      <c r="AK4294" s="49"/>
      <c r="AL4294" s="49"/>
      <c r="AM4294" s="49"/>
      <c r="AN4294" s="49"/>
      <c r="AP4294" s="49"/>
      <c r="AQ4294" s="49"/>
      <c r="AR4294" s="49"/>
      <c r="AS4294" s="49"/>
      <c r="AT4294" s="49"/>
    </row>
    <row r="4295">
      <c r="A4295" s="59"/>
      <c r="B4295" s="49"/>
      <c r="C4295" s="50"/>
      <c r="D4295" s="49"/>
      <c r="E4295" s="49"/>
      <c r="F4295" s="49"/>
      <c r="G4295" s="49"/>
      <c r="H4295" s="50"/>
      <c r="I4295" s="50"/>
      <c r="J4295" s="49"/>
      <c r="K4295" s="49"/>
      <c r="L4295" s="49"/>
      <c r="M4295" s="49"/>
      <c r="N4295" s="50"/>
      <c r="O4295" s="49"/>
      <c r="P4295" s="49"/>
      <c r="Q4295" s="49"/>
      <c r="R4295" s="49"/>
      <c r="S4295" s="49"/>
      <c r="T4295" s="49"/>
      <c r="U4295" s="49"/>
      <c r="V4295" s="49"/>
      <c r="W4295" s="49"/>
      <c r="X4295" s="49"/>
      <c r="Y4295" s="49"/>
      <c r="Z4295" s="49"/>
      <c r="AA4295" s="49"/>
      <c r="AB4295" s="49"/>
      <c r="AC4295" s="49"/>
      <c r="AD4295" s="49"/>
      <c r="AE4295" s="49"/>
      <c r="AF4295" s="49"/>
      <c r="AG4295" s="49"/>
      <c r="AH4295" s="49"/>
      <c r="AI4295" s="49"/>
      <c r="AJ4295" s="49"/>
      <c r="AK4295" s="49"/>
      <c r="AL4295" s="49"/>
      <c r="AM4295" s="49"/>
      <c r="AN4295" s="49"/>
      <c r="AP4295" s="49"/>
      <c r="AQ4295" s="49"/>
      <c r="AR4295" s="49"/>
      <c r="AS4295" s="49"/>
      <c r="AT4295" s="49"/>
    </row>
    <row r="4296">
      <c r="A4296" s="59"/>
      <c r="B4296" s="49"/>
      <c r="C4296" s="50"/>
      <c r="D4296" s="49"/>
      <c r="E4296" s="49"/>
      <c r="F4296" s="49"/>
      <c r="G4296" s="49"/>
      <c r="H4296" s="50"/>
      <c r="I4296" s="50"/>
      <c r="J4296" s="49"/>
      <c r="K4296" s="49"/>
      <c r="L4296" s="49"/>
      <c r="M4296" s="49"/>
      <c r="N4296" s="50"/>
      <c r="O4296" s="49"/>
      <c r="P4296" s="49"/>
      <c r="Q4296" s="49"/>
      <c r="R4296" s="49"/>
      <c r="S4296" s="49"/>
      <c r="T4296" s="49"/>
      <c r="U4296" s="49"/>
      <c r="V4296" s="49"/>
      <c r="W4296" s="49"/>
      <c r="X4296" s="49"/>
      <c r="Y4296" s="49"/>
      <c r="Z4296" s="49"/>
      <c r="AA4296" s="49"/>
      <c r="AB4296" s="49"/>
      <c r="AC4296" s="49"/>
      <c r="AD4296" s="49"/>
      <c r="AE4296" s="49"/>
      <c r="AF4296" s="49"/>
      <c r="AG4296" s="49"/>
      <c r="AH4296" s="49"/>
      <c r="AI4296" s="49"/>
      <c r="AJ4296" s="49"/>
      <c r="AK4296" s="49"/>
      <c r="AL4296" s="49"/>
      <c r="AM4296" s="49"/>
      <c r="AN4296" s="49"/>
      <c r="AP4296" s="49"/>
      <c r="AQ4296" s="49"/>
      <c r="AR4296" s="49"/>
      <c r="AS4296" s="49"/>
      <c r="AT4296" s="49"/>
    </row>
    <row r="4297">
      <c r="A4297" s="59"/>
      <c r="B4297" s="49"/>
      <c r="C4297" s="50"/>
      <c r="D4297" s="49"/>
      <c r="E4297" s="49"/>
      <c r="F4297" s="49"/>
      <c r="G4297" s="49"/>
      <c r="H4297" s="50"/>
      <c r="I4297" s="50"/>
      <c r="J4297" s="49"/>
      <c r="K4297" s="49"/>
      <c r="L4297" s="49"/>
      <c r="M4297" s="49"/>
      <c r="N4297" s="50"/>
      <c r="O4297" s="49"/>
      <c r="P4297" s="49"/>
      <c r="Q4297" s="49"/>
      <c r="R4297" s="49"/>
      <c r="S4297" s="49"/>
      <c r="T4297" s="49"/>
      <c r="U4297" s="49"/>
      <c r="V4297" s="49"/>
      <c r="W4297" s="49"/>
      <c r="X4297" s="49"/>
      <c r="Y4297" s="49"/>
      <c r="Z4297" s="49"/>
      <c r="AA4297" s="49"/>
      <c r="AB4297" s="49"/>
      <c r="AC4297" s="49"/>
      <c r="AD4297" s="49"/>
      <c r="AE4297" s="49"/>
      <c r="AF4297" s="49"/>
      <c r="AG4297" s="49"/>
      <c r="AH4297" s="49"/>
      <c r="AI4297" s="49"/>
      <c r="AJ4297" s="49"/>
      <c r="AK4297" s="49"/>
      <c r="AL4297" s="49"/>
      <c r="AM4297" s="49"/>
      <c r="AN4297" s="49"/>
      <c r="AP4297" s="49"/>
      <c r="AQ4297" s="49"/>
      <c r="AR4297" s="49"/>
      <c r="AS4297" s="49"/>
      <c r="AT4297" s="49"/>
    </row>
    <row r="4298">
      <c r="A4298" s="59"/>
      <c r="B4298" s="49"/>
      <c r="C4298" s="50"/>
      <c r="D4298" s="49"/>
      <c r="E4298" s="49"/>
      <c r="F4298" s="49"/>
      <c r="G4298" s="49"/>
      <c r="H4298" s="50"/>
      <c r="I4298" s="50"/>
      <c r="J4298" s="49"/>
      <c r="K4298" s="49"/>
      <c r="L4298" s="49"/>
      <c r="M4298" s="49"/>
      <c r="N4298" s="50"/>
      <c r="O4298" s="49"/>
      <c r="P4298" s="49"/>
      <c r="Q4298" s="49"/>
      <c r="R4298" s="49"/>
      <c r="S4298" s="49"/>
      <c r="T4298" s="49"/>
      <c r="U4298" s="49"/>
      <c r="V4298" s="49"/>
      <c r="W4298" s="49"/>
      <c r="X4298" s="49"/>
      <c r="Y4298" s="49"/>
      <c r="Z4298" s="49"/>
      <c r="AA4298" s="49"/>
      <c r="AB4298" s="49"/>
      <c r="AC4298" s="49"/>
      <c r="AD4298" s="49"/>
      <c r="AE4298" s="49"/>
      <c r="AF4298" s="49"/>
      <c r="AG4298" s="49"/>
      <c r="AH4298" s="49"/>
      <c r="AI4298" s="49"/>
      <c r="AJ4298" s="49"/>
      <c r="AK4298" s="49"/>
      <c r="AL4298" s="49"/>
      <c r="AM4298" s="49"/>
      <c r="AN4298" s="49"/>
      <c r="AP4298" s="49"/>
      <c r="AQ4298" s="49"/>
      <c r="AR4298" s="49"/>
      <c r="AS4298" s="49"/>
      <c r="AT4298" s="49"/>
    </row>
    <row r="4299">
      <c r="A4299" s="59"/>
      <c r="B4299" s="49"/>
      <c r="C4299" s="50"/>
      <c r="D4299" s="49"/>
      <c r="E4299" s="49"/>
      <c r="F4299" s="49"/>
      <c r="G4299" s="49"/>
      <c r="H4299" s="50"/>
      <c r="I4299" s="50"/>
      <c r="J4299" s="49"/>
      <c r="K4299" s="49"/>
      <c r="L4299" s="49"/>
      <c r="M4299" s="49"/>
      <c r="N4299" s="50"/>
      <c r="O4299" s="49"/>
      <c r="P4299" s="49"/>
      <c r="Q4299" s="49"/>
      <c r="R4299" s="49"/>
      <c r="S4299" s="49"/>
      <c r="T4299" s="49"/>
      <c r="U4299" s="49"/>
      <c r="V4299" s="49"/>
      <c r="W4299" s="49"/>
      <c r="X4299" s="49"/>
      <c r="Y4299" s="49"/>
      <c r="Z4299" s="49"/>
      <c r="AA4299" s="49"/>
      <c r="AB4299" s="49"/>
      <c r="AC4299" s="49"/>
      <c r="AD4299" s="49"/>
      <c r="AE4299" s="49"/>
      <c r="AF4299" s="49"/>
      <c r="AG4299" s="49"/>
      <c r="AH4299" s="49"/>
      <c r="AI4299" s="49"/>
      <c r="AJ4299" s="49"/>
      <c r="AK4299" s="49"/>
      <c r="AL4299" s="49"/>
      <c r="AM4299" s="49"/>
      <c r="AN4299" s="49"/>
      <c r="AP4299" s="49"/>
      <c r="AQ4299" s="49"/>
      <c r="AR4299" s="49"/>
      <c r="AS4299" s="49"/>
      <c r="AT4299" s="49"/>
    </row>
    <row r="4300">
      <c r="A4300" s="59"/>
      <c r="B4300" s="49"/>
      <c r="C4300" s="50"/>
      <c r="D4300" s="49"/>
      <c r="E4300" s="49"/>
      <c r="F4300" s="49"/>
      <c r="G4300" s="49"/>
      <c r="H4300" s="50"/>
      <c r="I4300" s="50"/>
      <c r="J4300" s="49"/>
      <c r="K4300" s="49"/>
      <c r="L4300" s="49"/>
      <c r="M4300" s="49"/>
      <c r="N4300" s="50"/>
      <c r="O4300" s="49"/>
      <c r="P4300" s="49"/>
      <c r="Q4300" s="49"/>
      <c r="R4300" s="49"/>
      <c r="S4300" s="49"/>
      <c r="T4300" s="49"/>
      <c r="U4300" s="49"/>
      <c r="V4300" s="49"/>
      <c r="W4300" s="49"/>
      <c r="X4300" s="49"/>
      <c r="Y4300" s="49"/>
      <c r="Z4300" s="49"/>
      <c r="AA4300" s="49"/>
      <c r="AB4300" s="49"/>
      <c r="AC4300" s="49"/>
      <c r="AD4300" s="49"/>
      <c r="AE4300" s="49"/>
      <c r="AF4300" s="49"/>
      <c r="AG4300" s="49"/>
      <c r="AH4300" s="49"/>
      <c r="AI4300" s="49"/>
      <c r="AJ4300" s="49"/>
      <c r="AK4300" s="49"/>
      <c r="AL4300" s="49"/>
      <c r="AM4300" s="49"/>
      <c r="AN4300" s="49"/>
      <c r="AP4300" s="49"/>
      <c r="AQ4300" s="49"/>
      <c r="AR4300" s="49"/>
      <c r="AS4300" s="49"/>
      <c r="AT4300" s="49"/>
    </row>
    <row r="4301">
      <c r="A4301" s="59"/>
      <c r="B4301" s="49"/>
      <c r="C4301" s="50"/>
      <c r="D4301" s="49"/>
      <c r="E4301" s="49"/>
      <c r="F4301" s="49"/>
      <c r="G4301" s="49"/>
      <c r="H4301" s="50"/>
      <c r="I4301" s="50"/>
      <c r="J4301" s="49"/>
      <c r="K4301" s="49"/>
      <c r="L4301" s="49"/>
      <c r="M4301" s="49"/>
      <c r="N4301" s="50"/>
      <c r="O4301" s="49"/>
      <c r="P4301" s="49"/>
      <c r="Q4301" s="49"/>
      <c r="R4301" s="49"/>
      <c r="S4301" s="49"/>
      <c r="T4301" s="49"/>
      <c r="U4301" s="49"/>
      <c r="V4301" s="49"/>
      <c r="W4301" s="49"/>
      <c r="X4301" s="49"/>
      <c r="Y4301" s="49"/>
      <c r="Z4301" s="49"/>
      <c r="AA4301" s="49"/>
      <c r="AB4301" s="49"/>
      <c r="AC4301" s="49"/>
      <c r="AD4301" s="49"/>
      <c r="AE4301" s="49"/>
      <c r="AF4301" s="49"/>
      <c r="AG4301" s="49"/>
      <c r="AH4301" s="49"/>
      <c r="AI4301" s="49"/>
      <c r="AJ4301" s="49"/>
      <c r="AK4301" s="49"/>
      <c r="AL4301" s="49"/>
      <c r="AM4301" s="49"/>
      <c r="AN4301" s="49"/>
      <c r="AP4301" s="49"/>
      <c r="AQ4301" s="49"/>
      <c r="AR4301" s="49"/>
      <c r="AS4301" s="49"/>
      <c r="AT4301" s="49"/>
    </row>
    <row r="4302">
      <c r="A4302" s="59"/>
      <c r="B4302" s="49"/>
      <c r="C4302" s="50"/>
      <c r="D4302" s="49"/>
      <c r="E4302" s="49"/>
      <c r="F4302" s="49"/>
      <c r="G4302" s="49"/>
      <c r="H4302" s="50"/>
      <c r="I4302" s="50"/>
      <c r="J4302" s="49"/>
      <c r="K4302" s="49"/>
      <c r="L4302" s="49"/>
      <c r="M4302" s="49"/>
      <c r="N4302" s="50"/>
      <c r="O4302" s="49"/>
      <c r="P4302" s="49"/>
      <c r="Q4302" s="49"/>
      <c r="R4302" s="49"/>
      <c r="S4302" s="49"/>
      <c r="T4302" s="49"/>
      <c r="U4302" s="49"/>
      <c r="V4302" s="49"/>
      <c r="W4302" s="49"/>
      <c r="X4302" s="49"/>
      <c r="Y4302" s="49"/>
      <c r="Z4302" s="49"/>
      <c r="AA4302" s="49"/>
      <c r="AB4302" s="49"/>
      <c r="AC4302" s="49"/>
      <c r="AD4302" s="49"/>
      <c r="AE4302" s="49"/>
      <c r="AF4302" s="49"/>
      <c r="AG4302" s="49"/>
      <c r="AH4302" s="49"/>
      <c r="AI4302" s="49"/>
      <c r="AJ4302" s="49"/>
      <c r="AK4302" s="49"/>
      <c r="AL4302" s="49"/>
      <c r="AM4302" s="49"/>
      <c r="AN4302" s="49"/>
      <c r="AP4302" s="49"/>
      <c r="AQ4302" s="49"/>
      <c r="AR4302" s="49"/>
      <c r="AS4302" s="49"/>
      <c r="AT4302" s="49"/>
    </row>
    <row r="4303">
      <c r="A4303" s="59"/>
      <c r="B4303" s="49"/>
      <c r="C4303" s="50"/>
      <c r="D4303" s="49"/>
      <c r="E4303" s="49"/>
      <c r="F4303" s="49"/>
      <c r="G4303" s="49"/>
      <c r="H4303" s="50"/>
      <c r="I4303" s="50"/>
      <c r="J4303" s="49"/>
      <c r="K4303" s="49"/>
      <c r="L4303" s="49"/>
      <c r="M4303" s="49"/>
      <c r="N4303" s="50"/>
      <c r="O4303" s="49"/>
      <c r="P4303" s="49"/>
      <c r="Q4303" s="49"/>
      <c r="R4303" s="49"/>
      <c r="S4303" s="49"/>
      <c r="T4303" s="49"/>
      <c r="U4303" s="49"/>
      <c r="V4303" s="49"/>
      <c r="W4303" s="49"/>
      <c r="X4303" s="49"/>
      <c r="Y4303" s="49"/>
      <c r="Z4303" s="49"/>
      <c r="AA4303" s="49"/>
      <c r="AB4303" s="49"/>
      <c r="AC4303" s="49"/>
      <c r="AD4303" s="49"/>
      <c r="AE4303" s="49"/>
      <c r="AF4303" s="49"/>
      <c r="AG4303" s="49"/>
      <c r="AH4303" s="49"/>
      <c r="AI4303" s="49"/>
      <c r="AJ4303" s="49"/>
      <c r="AK4303" s="49"/>
      <c r="AL4303" s="49"/>
      <c r="AM4303" s="49"/>
      <c r="AN4303" s="49"/>
      <c r="AP4303" s="49"/>
      <c r="AQ4303" s="49"/>
      <c r="AR4303" s="49"/>
      <c r="AS4303" s="49"/>
      <c r="AT4303" s="49"/>
    </row>
    <row r="4304">
      <c r="A4304" s="59"/>
      <c r="B4304" s="49"/>
      <c r="C4304" s="50"/>
      <c r="D4304" s="49"/>
      <c r="E4304" s="49"/>
      <c r="F4304" s="49"/>
      <c r="G4304" s="49"/>
      <c r="H4304" s="50"/>
      <c r="I4304" s="50"/>
      <c r="J4304" s="49"/>
      <c r="K4304" s="49"/>
      <c r="L4304" s="49"/>
      <c r="M4304" s="49"/>
      <c r="N4304" s="50"/>
      <c r="O4304" s="49"/>
      <c r="P4304" s="49"/>
      <c r="Q4304" s="49"/>
      <c r="R4304" s="49"/>
      <c r="S4304" s="49"/>
      <c r="T4304" s="49"/>
      <c r="U4304" s="49"/>
      <c r="V4304" s="49"/>
      <c r="W4304" s="49"/>
      <c r="X4304" s="49"/>
      <c r="Y4304" s="49"/>
      <c r="Z4304" s="49"/>
      <c r="AA4304" s="49"/>
      <c r="AB4304" s="49"/>
      <c r="AC4304" s="49"/>
      <c r="AD4304" s="49"/>
      <c r="AE4304" s="49"/>
      <c r="AF4304" s="49"/>
      <c r="AG4304" s="49"/>
      <c r="AH4304" s="49"/>
      <c r="AI4304" s="49"/>
      <c r="AJ4304" s="49"/>
      <c r="AK4304" s="49"/>
      <c r="AL4304" s="49"/>
      <c r="AM4304" s="49"/>
      <c r="AN4304" s="49"/>
      <c r="AP4304" s="49"/>
      <c r="AQ4304" s="49"/>
      <c r="AR4304" s="49"/>
      <c r="AS4304" s="49"/>
      <c r="AT4304" s="49"/>
    </row>
    <row r="4305">
      <c r="A4305" s="59"/>
      <c r="B4305" s="49"/>
      <c r="C4305" s="50"/>
      <c r="D4305" s="49"/>
      <c r="E4305" s="49"/>
      <c r="F4305" s="49"/>
      <c r="G4305" s="49"/>
      <c r="H4305" s="50"/>
      <c r="I4305" s="50"/>
      <c r="J4305" s="49"/>
      <c r="K4305" s="49"/>
      <c r="L4305" s="49"/>
      <c r="M4305" s="49"/>
      <c r="N4305" s="50"/>
      <c r="O4305" s="49"/>
      <c r="P4305" s="49"/>
      <c r="Q4305" s="49"/>
      <c r="R4305" s="49"/>
      <c r="S4305" s="49"/>
      <c r="T4305" s="49"/>
      <c r="U4305" s="49"/>
      <c r="V4305" s="49"/>
      <c r="W4305" s="49"/>
      <c r="X4305" s="49"/>
      <c r="Y4305" s="49"/>
      <c r="Z4305" s="49"/>
      <c r="AA4305" s="49"/>
      <c r="AB4305" s="49"/>
      <c r="AC4305" s="49"/>
      <c r="AD4305" s="49"/>
      <c r="AE4305" s="49"/>
      <c r="AF4305" s="49"/>
      <c r="AG4305" s="49"/>
      <c r="AH4305" s="49"/>
      <c r="AI4305" s="49"/>
      <c r="AJ4305" s="49"/>
      <c r="AK4305" s="49"/>
      <c r="AL4305" s="49"/>
      <c r="AM4305" s="49"/>
      <c r="AN4305" s="49"/>
      <c r="AP4305" s="49"/>
      <c r="AQ4305" s="49"/>
      <c r="AR4305" s="49"/>
      <c r="AS4305" s="49"/>
      <c r="AT4305" s="49"/>
    </row>
    <row r="4306">
      <c r="A4306" s="59"/>
      <c r="B4306" s="49"/>
      <c r="C4306" s="50"/>
      <c r="D4306" s="49"/>
      <c r="E4306" s="49"/>
      <c r="F4306" s="49"/>
      <c r="G4306" s="49"/>
      <c r="H4306" s="50"/>
      <c r="I4306" s="50"/>
      <c r="J4306" s="49"/>
      <c r="K4306" s="49"/>
      <c r="L4306" s="49"/>
      <c r="M4306" s="49"/>
      <c r="N4306" s="50"/>
      <c r="O4306" s="49"/>
      <c r="P4306" s="49"/>
      <c r="Q4306" s="49"/>
      <c r="R4306" s="49"/>
      <c r="S4306" s="49"/>
      <c r="T4306" s="49"/>
      <c r="U4306" s="49"/>
      <c r="V4306" s="49"/>
      <c r="W4306" s="49"/>
      <c r="X4306" s="49"/>
      <c r="Y4306" s="49"/>
      <c r="Z4306" s="49"/>
      <c r="AA4306" s="49"/>
      <c r="AB4306" s="49"/>
      <c r="AC4306" s="49"/>
      <c r="AD4306" s="49"/>
      <c r="AE4306" s="49"/>
      <c r="AF4306" s="49"/>
      <c r="AG4306" s="49"/>
      <c r="AH4306" s="49"/>
      <c r="AI4306" s="49"/>
      <c r="AJ4306" s="49"/>
      <c r="AK4306" s="49"/>
      <c r="AL4306" s="49"/>
      <c r="AM4306" s="49"/>
      <c r="AN4306" s="49"/>
      <c r="AP4306" s="49"/>
      <c r="AQ4306" s="49"/>
      <c r="AR4306" s="49"/>
      <c r="AS4306" s="49"/>
      <c r="AT4306" s="49"/>
    </row>
    <row r="4307">
      <c r="A4307" s="59"/>
      <c r="B4307" s="49"/>
      <c r="C4307" s="50"/>
      <c r="D4307" s="49"/>
      <c r="E4307" s="49"/>
      <c r="F4307" s="49"/>
      <c r="G4307" s="49"/>
      <c r="H4307" s="50"/>
      <c r="I4307" s="50"/>
      <c r="J4307" s="49"/>
      <c r="K4307" s="49"/>
      <c r="L4307" s="49"/>
      <c r="M4307" s="49"/>
      <c r="N4307" s="50"/>
      <c r="O4307" s="49"/>
      <c r="P4307" s="49"/>
      <c r="Q4307" s="49"/>
      <c r="R4307" s="49"/>
      <c r="S4307" s="49"/>
      <c r="T4307" s="49"/>
      <c r="U4307" s="49"/>
      <c r="V4307" s="49"/>
      <c r="W4307" s="49"/>
      <c r="X4307" s="49"/>
      <c r="Y4307" s="49"/>
      <c r="Z4307" s="49"/>
      <c r="AA4307" s="49"/>
      <c r="AB4307" s="49"/>
      <c r="AC4307" s="49"/>
      <c r="AD4307" s="49"/>
      <c r="AE4307" s="49"/>
      <c r="AF4307" s="49"/>
      <c r="AG4307" s="49"/>
      <c r="AH4307" s="49"/>
      <c r="AI4307" s="49"/>
      <c r="AJ4307" s="49"/>
      <c r="AK4307" s="49"/>
      <c r="AL4307" s="49"/>
      <c r="AM4307" s="49"/>
      <c r="AN4307" s="49"/>
      <c r="AP4307" s="49"/>
      <c r="AQ4307" s="49"/>
      <c r="AR4307" s="49"/>
      <c r="AS4307" s="49"/>
      <c r="AT4307" s="49"/>
    </row>
    <row r="4308">
      <c r="A4308" s="59"/>
      <c r="B4308" s="49"/>
      <c r="C4308" s="50"/>
      <c r="D4308" s="49"/>
      <c r="E4308" s="49"/>
      <c r="F4308" s="49"/>
      <c r="G4308" s="49"/>
      <c r="H4308" s="50"/>
      <c r="I4308" s="50"/>
      <c r="J4308" s="49"/>
      <c r="K4308" s="49"/>
      <c r="L4308" s="49"/>
      <c r="M4308" s="49"/>
      <c r="N4308" s="50"/>
      <c r="O4308" s="49"/>
      <c r="P4308" s="49"/>
      <c r="Q4308" s="49"/>
      <c r="R4308" s="49"/>
      <c r="S4308" s="49"/>
      <c r="T4308" s="49"/>
      <c r="U4308" s="49"/>
      <c r="V4308" s="49"/>
      <c r="W4308" s="49"/>
      <c r="X4308" s="49"/>
      <c r="Y4308" s="49"/>
      <c r="Z4308" s="49"/>
      <c r="AA4308" s="49"/>
      <c r="AB4308" s="49"/>
      <c r="AC4308" s="49"/>
      <c r="AD4308" s="49"/>
      <c r="AE4308" s="49"/>
      <c r="AF4308" s="49"/>
      <c r="AG4308" s="49"/>
      <c r="AH4308" s="49"/>
      <c r="AI4308" s="49"/>
      <c r="AJ4308" s="49"/>
      <c r="AK4308" s="49"/>
      <c r="AL4308" s="49"/>
      <c r="AM4308" s="49"/>
      <c r="AN4308" s="49"/>
      <c r="AP4308" s="49"/>
      <c r="AQ4308" s="49"/>
      <c r="AR4308" s="49"/>
      <c r="AS4308" s="49"/>
      <c r="AT4308" s="49"/>
    </row>
    <row r="4309">
      <c r="A4309" s="59"/>
      <c r="B4309" s="49"/>
      <c r="C4309" s="50"/>
      <c r="D4309" s="49"/>
      <c r="E4309" s="49"/>
      <c r="F4309" s="49"/>
      <c r="G4309" s="49"/>
      <c r="H4309" s="50"/>
      <c r="I4309" s="50"/>
      <c r="J4309" s="49"/>
      <c r="K4309" s="49"/>
      <c r="L4309" s="49"/>
      <c r="M4309" s="49"/>
      <c r="N4309" s="50"/>
      <c r="O4309" s="49"/>
      <c r="P4309" s="49"/>
      <c r="Q4309" s="49"/>
      <c r="R4309" s="49"/>
      <c r="S4309" s="49"/>
      <c r="T4309" s="49"/>
      <c r="U4309" s="49"/>
      <c r="V4309" s="49"/>
      <c r="W4309" s="49"/>
      <c r="X4309" s="49"/>
      <c r="Y4309" s="49"/>
      <c r="Z4309" s="49"/>
      <c r="AA4309" s="49"/>
      <c r="AB4309" s="49"/>
      <c r="AC4309" s="49"/>
      <c r="AD4309" s="49"/>
      <c r="AE4309" s="49"/>
      <c r="AF4309" s="49"/>
      <c r="AG4309" s="49"/>
      <c r="AH4309" s="49"/>
      <c r="AI4309" s="49"/>
      <c r="AJ4309" s="49"/>
      <c r="AK4309" s="49"/>
      <c r="AL4309" s="49"/>
      <c r="AM4309" s="49"/>
      <c r="AN4309" s="49"/>
      <c r="AP4309" s="49"/>
      <c r="AQ4309" s="49"/>
      <c r="AR4309" s="49"/>
      <c r="AS4309" s="49"/>
      <c r="AT4309" s="49"/>
    </row>
    <row r="4310">
      <c r="A4310" s="59"/>
      <c r="B4310" s="49"/>
      <c r="C4310" s="50"/>
      <c r="D4310" s="49"/>
      <c r="E4310" s="49"/>
      <c r="F4310" s="49"/>
      <c r="G4310" s="49"/>
      <c r="H4310" s="50"/>
      <c r="I4310" s="50"/>
      <c r="J4310" s="49"/>
      <c r="K4310" s="49"/>
      <c r="L4310" s="49"/>
      <c r="M4310" s="49"/>
      <c r="N4310" s="50"/>
      <c r="O4310" s="49"/>
      <c r="P4310" s="49"/>
      <c r="Q4310" s="49"/>
      <c r="R4310" s="49"/>
      <c r="S4310" s="49"/>
      <c r="T4310" s="49"/>
      <c r="U4310" s="49"/>
      <c r="V4310" s="49"/>
      <c r="W4310" s="49"/>
      <c r="X4310" s="49"/>
      <c r="Y4310" s="49"/>
      <c r="Z4310" s="49"/>
      <c r="AA4310" s="49"/>
      <c r="AB4310" s="49"/>
      <c r="AC4310" s="49"/>
      <c r="AD4310" s="49"/>
      <c r="AE4310" s="49"/>
      <c r="AF4310" s="49"/>
      <c r="AG4310" s="49"/>
      <c r="AH4310" s="49"/>
      <c r="AI4310" s="49"/>
      <c r="AJ4310" s="49"/>
      <c r="AK4310" s="49"/>
      <c r="AL4310" s="49"/>
      <c r="AM4310" s="49"/>
      <c r="AN4310" s="49"/>
      <c r="AP4310" s="49"/>
      <c r="AQ4310" s="49"/>
      <c r="AR4310" s="49"/>
      <c r="AS4310" s="49"/>
      <c r="AT4310" s="49"/>
    </row>
    <row r="4311">
      <c r="A4311" s="59"/>
      <c r="B4311" s="49"/>
      <c r="C4311" s="50"/>
      <c r="D4311" s="49"/>
      <c r="E4311" s="49"/>
      <c r="F4311" s="49"/>
      <c r="G4311" s="49"/>
      <c r="H4311" s="50"/>
      <c r="I4311" s="50"/>
      <c r="J4311" s="49"/>
      <c r="K4311" s="49"/>
      <c r="L4311" s="49"/>
      <c r="M4311" s="49"/>
      <c r="N4311" s="50"/>
      <c r="O4311" s="49"/>
      <c r="P4311" s="49"/>
      <c r="Q4311" s="49"/>
      <c r="R4311" s="49"/>
      <c r="S4311" s="49"/>
      <c r="T4311" s="49"/>
      <c r="U4311" s="49"/>
      <c r="V4311" s="49"/>
      <c r="W4311" s="49"/>
      <c r="X4311" s="49"/>
      <c r="Y4311" s="49"/>
      <c r="Z4311" s="49"/>
      <c r="AA4311" s="49"/>
      <c r="AB4311" s="49"/>
      <c r="AC4311" s="49"/>
      <c r="AD4311" s="49"/>
      <c r="AE4311" s="49"/>
      <c r="AF4311" s="49"/>
      <c r="AG4311" s="49"/>
      <c r="AH4311" s="49"/>
      <c r="AI4311" s="49"/>
      <c r="AJ4311" s="49"/>
      <c r="AK4311" s="49"/>
      <c r="AL4311" s="49"/>
      <c r="AM4311" s="49"/>
      <c r="AN4311" s="49"/>
      <c r="AP4311" s="49"/>
      <c r="AQ4311" s="49"/>
      <c r="AR4311" s="49"/>
      <c r="AS4311" s="49"/>
      <c r="AT4311" s="49"/>
    </row>
    <row r="4312">
      <c r="A4312" s="59"/>
      <c r="B4312" s="49"/>
      <c r="C4312" s="50"/>
      <c r="D4312" s="49"/>
      <c r="E4312" s="49"/>
      <c r="F4312" s="49"/>
      <c r="G4312" s="49"/>
      <c r="H4312" s="50"/>
      <c r="I4312" s="50"/>
      <c r="J4312" s="49"/>
      <c r="K4312" s="49"/>
      <c r="L4312" s="49"/>
      <c r="M4312" s="49"/>
      <c r="N4312" s="50"/>
      <c r="O4312" s="49"/>
      <c r="P4312" s="49"/>
      <c r="Q4312" s="49"/>
      <c r="R4312" s="49"/>
      <c r="S4312" s="49"/>
      <c r="T4312" s="49"/>
      <c r="U4312" s="49"/>
      <c r="V4312" s="49"/>
      <c r="W4312" s="49"/>
      <c r="X4312" s="49"/>
      <c r="Y4312" s="49"/>
      <c r="Z4312" s="49"/>
      <c r="AA4312" s="49"/>
      <c r="AB4312" s="49"/>
      <c r="AC4312" s="49"/>
      <c r="AD4312" s="49"/>
      <c r="AE4312" s="49"/>
      <c r="AF4312" s="49"/>
      <c r="AG4312" s="49"/>
      <c r="AH4312" s="49"/>
      <c r="AI4312" s="49"/>
      <c r="AJ4312" s="49"/>
      <c r="AK4312" s="49"/>
      <c r="AL4312" s="49"/>
      <c r="AM4312" s="49"/>
      <c r="AN4312" s="49"/>
      <c r="AP4312" s="49"/>
      <c r="AQ4312" s="49"/>
      <c r="AR4312" s="49"/>
      <c r="AS4312" s="49"/>
      <c r="AT4312" s="49"/>
    </row>
    <row r="4313">
      <c r="A4313" s="59"/>
      <c r="B4313" s="49"/>
      <c r="C4313" s="50"/>
      <c r="D4313" s="49"/>
      <c r="E4313" s="49"/>
      <c r="F4313" s="49"/>
      <c r="G4313" s="49"/>
      <c r="H4313" s="50"/>
      <c r="I4313" s="50"/>
      <c r="J4313" s="49"/>
      <c r="K4313" s="49"/>
      <c r="L4313" s="49"/>
      <c r="M4313" s="49"/>
      <c r="N4313" s="50"/>
      <c r="O4313" s="49"/>
      <c r="P4313" s="49"/>
      <c r="Q4313" s="49"/>
      <c r="R4313" s="49"/>
      <c r="S4313" s="49"/>
      <c r="T4313" s="49"/>
      <c r="U4313" s="49"/>
      <c r="V4313" s="49"/>
      <c r="W4313" s="49"/>
      <c r="X4313" s="49"/>
      <c r="Y4313" s="49"/>
      <c r="Z4313" s="49"/>
      <c r="AA4313" s="49"/>
      <c r="AB4313" s="49"/>
      <c r="AC4313" s="49"/>
      <c r="AD4313" s="49"/>
      <c r="AE4313" s="49"/>
      <c r="AF4313" s="49"/>
      <c r="AG4313" s="49"/>
      <c r="AH4313" s="49"/>
      <c r="AI4313" s="49"/>
      <c r="AJ4313" s="49"/>
      <c r="AK4313" s="49"/>
      <c r="AL4313" s="49"/>
      <c r="AM4313" s="49"/>
      <c r="AN4313" s="49"/>
      <c r="AP4313" s="49"/>
      <c r="AQ4313" s="49"/>
      <c r="AR4313" s="49"/>
      <c r="AS4313" s="49"/>
      <c r="AT4313" s="49"/>
    </row>
    <row r="4314">
      <c r="A4314" s="59"/>
      <c r="B4314" s="49"/>
      <c r="C4314" s="50"/>
      <c r="D4314" s="49"/>
      <c r="E4314" s="49"/>
      <c r="F4314" s="49"/>
      <c r="G4314" s="49"/>
      <c r="H4314" s="50"/>
      <c r="I4314" s="50"/>
      <c r="J4314" s="49"/>
      <c r="K4314" s="49"/>
      <c r="L4314" s="49"/>
      <c r="M4314" s="49"/>
      <c r="N4314" s="50"/>
      <c r="O4314" s="49"/>
      <c r="P4314" s="49"/>
      <c r="Q4314" s="49"/>
      <c r="R4314" s="49"/>
      <c r="S4314" s="49"/>
      <c r="T4314" s="49"/>
      <c r="U4314" s="49"/>
      <c r="V4314" s="49"/>
      <c r="W4314" s="49"/>
      <c r="X4314" s="49"/>
      <c r="Y4314" s="49"/>
      <c r="Z4314" s="49"/>
      <c r="AA4314" s="49"/>
      <c r="AB4314" s="49"/>
      <c r="AC4314" s="49"/>
      <c r="AD4314" s="49"/>
      <c r="AE4314" s="49"/>
      <c r="AF4314" s="49"/>
      <c r="AG4314" s="49"/>
      <c r="AH4314" s="49"/>
      <c r="AI4314" s="49"/>
      <c r="AJ4314" s="49"/>
      <c r="AK4314" s="49"/>
      <c r="AL4314" s="49"/>
      <c r="AM4314" s="49"/>
      <c r="AN4314" s="49"/>
      <c r="AP4314" s="49"/>
      <c r="AQ4314" s="49"/>
      <c r="AR4314" s="49"/>
      <c r="AS4314" s="49"/>
      <c r="AT4314" s="49"/>
    </row>
    <row r="4315">
      <c r="A4315" s="59"/>
      <c r="B4315" s="49"/>
      <c r="C4315" s="50"/>
      <c r="D4315" s="49"/>
      <c r="E4315" s="49"/>
      <c r="F4315" s="49"/>
      <c r="G4315" s="49"/>
      <c r="H4315" s="50"/>
      <c r="I4315" s="50"/>
      <c r="J4315" s="49"/>
      <c r="K4315" s="49"/>
      <c r="L4315" s="49"/>
      <c r="M4315" s="49"/>
      <c r="N4315" s="50"/>
      <c r="O4315" s="49"/>
      <c r="P4315" s="49"/>
      <c r="Q4315" s="49"/>
      <c r="R4315" s="49"/>
      <c r="S4315" s="49"/>
      <c r="T4315" s="49"/>
      <c r="U4315" s="49"/>
      <c r="V4315" s="49"/>
      <c r="W4315" s="49"/>
      <c r="X4315" s="49"/>
      <c r="Y4315" s="49"/>
      <c r="Z4315" s="49"/>
      <c r="AA4315" s="49"/>
      <c r="AB4315" s="49"/>
      <c r="AC4315" s="49"/>
      <c r="AD4315" s="49"/>
      <c r="AE4315" s="49"/>
      <c r="AF4315" s="49"/>
      <c r="AG4315" s="49"/>
      <c r="AH4315" s="49"/>
      <c r="AI4315" s="49"/>
      <c r="AJ4315" s="49"/>
      <c r="AK4315" s="49"/>
      <c r="AL4315" s="49"/>
      <c r="AM4315" s="49"/>
      <c r="AN4315" s="49"/>
      <c r="AP4315" s="49"/>
      <c r="AQ4315" s="49"/>
      <c r="AR4315" s="49"/>
      <c r="AS4315" s="49"/>
      <c r="AT4315" s="49"/>
    </row>
    <row r="4316">
      <c r="A4316" s="59"/>
      <c r="B4316" s="49"/>
      <c r="C4316" s="50"/>
      <c r="D4316" s="49"/>
      <c r="E4316" s="49"/>
      <c r="F4316" s="49"/>
      <c r="G4316" s="49"/>
      <c r="H4316" s="50"/>
      <c r="I4316" s="50"/>
      <c r="J4316" s="49"/>
      <c r="K4316" s="49"/>
      <c r="L4316" s="49"/>
      <c r="M4316" s="49"/>
      <c r="N4316" s="50"/>
      <c r="O4316" s="49"/>
      <c r="P4316" s="49"/>
      <c r="Q4316" s="49"/>
      <c r="R4316" s="49"/>
      <c r="S4316" s="49"/>
      <c r="T4316" s="49"/>
      <c r="U4316" s="49"/>
      <c r="V4316" s="49"/>
      <c r="W4316" s="49"/>
      <c r="X4316" s="49"/>
      <c r="Y4316" s="49"/>
      <c r="Z4316" s="49"/>
      <c r="AA4316" s="49"/>
      <c r="AB4316" s="49"/>
      <c r="AC4316" s="49"/>
      <c r="AD4316" s="49"/>
      <c r="AE4316" s="49"/>
      <c r="AF4316" s="49"/>
      <c r="AG4316" s="49"/>
      <c r="AH4316" s="49"/>
      <c r="AI4316" s="49"/>
      <c r="AJ4316" s="49"/>
      <c r="AK4316" s="49"/>
      <c r="AL4316" s="49"/>
      <c r="AM4316" s="49"/>
      <c r="AN4316" s="49"/>
      <c r="AP4316" s="49"/>
      <c r="AQ4316" s="49"/>
      <c r="AR4316" s="49"/>
      <c r="AS4316" s="49"/>
      <c r="AT4316" s="49"/>
    </row>
    <row r="4317">
      <c r="A4317" s="59"/>
      <c r="B4317" s="49"/>
      <c r="C4317" s="50"/>
      <c r="D4317" s="49"/>
      <c r="E4317" s="49"/>
      <c r="F4317" s="49"/>
      <c r="G4317" s="49"/>
      <c r="H4317" s="50"/>
      <c r="I4317" s="50"/>
      <c r="J4317" s="49"/>
      <c r="K4317" s="49"/>
      <c r="L4317" s="49"/>
      <c r="M4317" s="49"/>
      <c r="N4317" s="50"/>
      <c r="O4317" s="49"/>
      <c r="P4317" s="49"/>
      <c r="Q4317" s="49"/>
      <c r="R4317" s="49"/>
      <c r="S4317" s="49"/>
      <c r="T4317" s="49"/>
      <c r="U4317" s="49"/>
      <c r="V4317" s="49"/>
      <c r="W4317" s="49"/>
      <c r="X4317" s="49"/>
      <c r="Y4317" s="49"/>
      <c r="Z4317" s="49"/>
      <c r="AA4317" s="49"/>
      <c r="AB4317" s="49"/>
      <c r="AC4317" s="49"/>
      <c r="AD4317" s="49"/>
      <c r="AE4317" s="49"/>
      <c r="AF4317" s="49"/>
      <c r="AG4317" s="49"/>
      <c r="AH4317" s="49"/>
      <c r="AI4317" s="49"/>
      <c r="AJ4317" s="49"/>
      <c r="AK4317" s="49"/>
      <c r="AL4317" s="49"/>
      <c r="AM4317" s="49"/>
      <c r="AN4317" s="49"/>
      <c r="AP4317" s="49"/>
      <c r="AQ4317" s="49"/>
      <c r="AR4317" s="49"/>
      <c r="AS4317" s="49"/>
      <c r="AT4317" s="49"/>
    </row>
    <row r="4318">
      <c r="A4318" s="59"/>
      <c r="B4318" s="49"/>
      <c r="C4318" s="50"/>
      <c r="D4318" s="49"/>
      <c r="E4318" s="49"/>
      <c r="F4318" s="49"/>
      <c r="G4318" s="49"/>
      <c r="H4318" s="50"/>
      <c r="I4318" s="50"/>
      <c r="J4318" s="49"/>
      <c r="K4318" s="49"/>
      <c r="L4318" s="49"/>
      <c r="M4318" s="49"/>
      <c r="N4318" s="50"/>
      <c r="O4318" s="49"/>
      <c r="P4318" s="49"/>
      <c r="Q4318" s="49"/>
      <c r="R4318" s="49"/>
      <c r="S4318" s="49"/>
      <c r="T4318" s="49"/>
      <c r="U4318" s="49"/>
      <c r="V4318" s="49"/>
      <c r="W4318" s="49"/>
      <c r="X4318" s="49"/>
      <c r="Y4318" s="49"/>
      <c r="Z4318" s="49"/>
      <c r="AA4318" s="49"/>
      <c r="AB4318" s="49"/>
      <c r="AC4318" s="49"/>
      <c r="AD4318" s="49"/>
      <c r="AE4318" s="49"/>
      <c r="AF4318" s="49"/>
      <c r="AG4318" s="49"/>
      <c r="AH4318" s="49"/>
      <c r="AI4318" s="49"/>
      <c r="AJ4318" s="49"/>
      <c r="AK4318" s="49"/>
      <c r="AL4318" s="49"/>
      <c r="AM4318" s="49"/>
      <c r="AN4318" s="49"/>
      <c r="AP4318" s="49"/>
      <c r="AQ4318" s="49"/>
      <c r="AR4318" s="49"/>
      <c r="AS4318" s="49"/>
      <c r="AT4318" s="49"/>
    </row>
    <row r="4319">
      <c r="A4319" s="59"/>
      <c r="B4319" s="49"/>
      <c r="C4319" s="50"/>
      <c r="D4319" s="49"/>
      <c r="E4319" s="49"/>
      <c r="F4319" s="49"/>
      <c r="G4319" s="49"/>
      <c r="H4319" s="50"/>
      <c r="I4319" s="50"/>
      <c r="J4319" s="49"/>
      <c r="K4319" s="49"/>
      <c r="L4319" s="49"/>
      <c r="M4319" s="49"/>
      <c r="N4319" s="50"/>
      <c r="O4319" s="49"/>
      <c r="P4319" s="49"/>
      <c r="Q4319" s="49"/>
      <c r="R4319" s="49"/>
      <c r="S4319" s="49"/>
      <c r="T4319" s="49"/>
      <c r="U4319" s="49"/>
      <c r="V4319" s="49"/>
      <c r="W4319" s="49"/>
      <c r="X4319" s="49"/>
      <c r="Y4319" s="49"/>
      <c r="Z4319" s="49"/>
      <c r="AA4319" s="49"/>
      <c r="AB4319" s="49"/>
      <c r="AC4319" s="49"/>
      <c r="AD4319" s="49"/>
      <c r="AE4319" s="49"/>
      <c r="AF4319" s="49"/>
      <c r="AG4319" s="49"/>
      <c r="AH4319" s="49"/>
      <c r="AI4319" s="49"/>
      <c r="AJ4319" s="49"/>
      <c r="AK4319" s="49"/>
      <c r="AL4319" s="49"/>
      <c r="AM4319" s="49"/>
      <c r="AN4319" s="49"/>
      <c r="AP4319" s="49"/>
      <c r="AQ4319" s="49"/>
      <c r="AR4319" s="49"/>
      <c r="AS4319" s="49"/>
      <c r="AT4319" s="49"/>
    </row>
    <row r="4320">
      <c r="A4320" s="59"/>
      <c r="B4320" s="49"/>
      <c r="C4320" s="50"/>
      <c r="D4320" s="49"/>
      <c r="E4320" s="49"/>
      <c r="F4320" s="49"/>
      <c r="G4320" s="49"/>
      <c r="H4320" s="50"/>
      <c r="I4320" s="50"/>
      <c r="J4320" s="49"/>
      <c r="K4320" s="49"/>
      <c r="L4320" s="49"/>
      <c r="M4320" s="49"/>
      <c r="N4320" s="50"/>
      <c r="O4320" s="49"/>
      <c r="P4320" s="49"/>
      <c r="Q4320" s="49"/>
      <c r="R4320" s="49"/>
      <c r="S4320" s="49"/>
      <c r="T4320" s="49"/>
      <c r="U4320" s="49"/>
      <c r="V4320" s="49"/>
      <c r="W4320" s="49"/>
      <c r="X4320" s="49"/>
      <c r="Y4320" s="49"/>
      <c r="Z4320" s="49"/>
      <c r="AA4320" s="49"/>
      <c r="AB4320" s="49"/>
      <c r="AC4320" s="49"/>
      <c r="AD4320" s="49"/>
      <c r="AE4320" s="49"/>
      <c r="AF4320" s="49"/>
      <c r="AG4320" s="49"/>
      <c r="AH4320" s="49"/>
      <c r="AI4320" s="49"/>
      <c r="AJ4320" s="49"/>
      <c r="AK4320" s="49"/>
      <c r="AL4320" s="49"/>
      <c r="AM4320" s="49"/>
      <c r="AN4320" s="49"/>
      <c r="AP4320" s="49"/>
      <c r="AQ4320" s="49"/>
      <c r="AR4320" s="49"/>
      <c r="AS4320" s="49"/>
      <c r="AT4320" s="49"/>
    </row>
    <row r="4321">
      <c r="A4321" s="59"/>
      <c r="B4321" s="49"/>
      <c r="C4321" s="50"/>
      <c r="D4321" s="49"/>
      <c r="E4321" s="49"/>
      <c r="F4321" s="49"/>
      <c r="G4321" s="49"/>
      <c r="H4321" s="50"/>
      <c r="I4321" s="50"/>
      <c r="J4321" s="49"/>
      <c r="K4321" s="49"/>
      <c r="L4321" s="49"/>
      <c r="M4321" s="49"/>
      <c r="N4321" s="50"/>
      <c r="O4321" s="49"/>
      <c r="P4321" s="49"/>
      <c r="Q4321" s="49"/>
      <c r="R4321" s="49"/>
      <c r="S4321" s="49"/>
      <c r="T4321" s="49"/>
      <c r="U4321" s="49"/>
      <c r="V4321" s="49"/>
      <c r="W4321" s="49"/>
      <c r="X4321" s="49"/>
      <c r="Y4321" s="49"/>
      <c r="Z4321" s="49"/>
      <c r="AA4321" s="49"/>
      <c r="AB4321" s="49"/>
      <c r="AC4321" s="49"/>
      <c r="AD4321" s="49"/>
      <c r="AE4321" s="49"/>
      <c r="AF4321" s="49"/>
      <c r="AG4321" s="49"/>
      <c r="AH4321" s="49"/>
      <c r="AI4321" s="49"/>
      <c r="AJ4321" s="49"/>
      <c r="AK4321" s="49"/>
      <c r="AL4321" s="49"/>
      <c r="AM4321" s="49"/>
      <c r="AN4321" s="49"/>
      <c r="AP4321" s="49"/>
      <c r="AQ4321" s="49"/>
      <c r="AR4321" s="49"/>
      <c r="AS4321" s="49"/>
      <c r="AT4321" s="49"/>
    </row>
    <row r="4322">
      <c r="A4322" s="59"/>
      <c r="B4322" s="49"/>
      <c r="C4322" s="50"/>
      <c r="D4322" s="49"/>
      <c r="E4322" s="49"/>
      <c r="F4322" s="49"/>
      <c r="G4322" s="49"/>
      <c r="H4322" s="50"/>
      <c r="I4322" s="50"/>
      <c r="J4322" s="49"/>
      <c r="K4322" s="49"/>
      <c r="L4322" s="49"/>
      <c r="M4322" s="49"/>
      <c r="N4322" s="50"/>
      <c r="O4322" s="49"/>
      <c r="P4322" s="49"/>
      <c r="Q4322" s="49"/>
      <c r="R4322" s="49"/>
      <c r="S4322" s="49"/>
      <c r="T4322" s="49"/>
      <c r="U4322" s="49"/>
      <c r="V4322" s="49"/>
      <c r="W4322" s="49"/>
      <c r="X4322" s="49"/>
      <c r="Y4322" s="49"/>
      <c r="Z4322" s="49"/>
      <c r="AA4322" s="49"/>
      <c r="AB4322" s="49"/>
      <c r="AC4322" s="49"/>
      <c r="AD4322" s="49"/>
      <c r="AE4322" s="49"/>
      <c r="AF4322" s="49"/>
      <c r="AG4322" s="49"/>
      <c r="AH4322" s="49"/>
      <c r="AI4322" s="49"/>
      <c r="AJ4322" s="49"/>
      <c r="AK4322" s="49"/>
      <c r="AL4322" s="49"/>
      <c r="AM4322" s="49"/>
      <c r="AN4322" s="49"/>
      <c r="AP4322" s="49"/>
      <c r="AQ4322" s="49"/>
      <c r="AR4322" s="49"/>
      <c r="AS4322" s="49"/>
      <c r="AT4322" s="49"/>
    </row>
    <row r="4323">
      <c r="A4323" s="59"/>
      <c r="B4323" s="49"/>
      <c r="C4323" s="50"/>
      <c r="D4323" s="49"/>
      <c r="E4323" s="49"/>
      <c r="F4323" s="49"/>
      <c r="G4323" s="49"/>
      <c r="H4323" s="50"/>
      <c r="I4323" s="50"/>
      <c r="J4323" s="49"/>
      <c r="K4323" s="49"/>
      <c r="L4323" s="49"/>
      <c r="M4323" s="49"/>
      <c r="N4323" s="50"/>
      <c r="O4323" s="49"/>
      <c r="P4323" s="49"/>
      <c r="Q4323" s="49"/>
      <c r="R4323" s="49"/>
      <c r="S4323" s="49"/>
      <c r="T4323" s="49"/>
      <c r="U4323" s="49"/>
      <c r="V4323" s="49"/>
      <c r="W4323" s="49"/>
      <c r="X4323" s="49"/>
      <c r="Y4323" s="49"/>
      <c r="Z4323" s="49"/>
      <c r="AA4323" s="49"/>
      <c r="AB4323" s="49"/>
      <c r="AC4323" s="49"/>
      <c r="AD4323" s="49"/>
      <c r="AE4323" s="49"/>
      <c r="AF4323" s="49"/>
      <c r="AG4323" s="49"/>
      <c r="AH4323" s="49"/>
      <c r="AI4323" s="49"/>
      <c r="AJ4323" s="49"/>
      <c r="AK4323" s="49"/>
      <c r="AL4323" s="49"/>
      <c r="AM4323" s="49"/>
      <c r="AN4323" s="49"/>
      <c r="AP4323" s="49"/>
      <c r="AQ4323" s="49"/>
      <c r="AR4323" s="49"/>
      <c r="AS4323" s="49"/>
      <c r="AT4323" s="49"/>
    </row>
    <row r="4324">
      <c r="A4324" s="59"/>
      <c r="B4324" s="49"/>
      <c r="C4324" s="50"/>
      <c r="D4324" s="49"/>
      <c r="E4324" s="49"/>
      <c r="F4324" s="49"/>
      <c r="G4324" s="49"/>
      <c r="H4324" s="50"/>
      <c r="I4324" s="50"/>
      <c r="J4324" s="49"/>
      <c r="K4324" s="49"/>
      <c r="L4324" s="49"/>
      <c r="M4324" s="49"/>
      <c r="N4324" s="50"/>
      <c r="O4324" s="49"/>
      <c r="P4324" s="49"/>
      <c r="Q4324" s="49"/>
      <c r="R4324" s="49"/>
      <c r="S4324" s="49"/>
      <c r="T4324" s="49"/>
      <c r="U4324" s="49"/>
      <c r="V4324" s="49"/>
      <c r="W4324" s="49"/>
      <c r="X4324" s="49"/>
      <c r="Y4324" s="49"/>
      <c r="Z4324" s="49"/>
      <c r="AA4324" s="49"/>
      <c r="AB4324" s="49"/>
      <c r="AC4324" s="49"/>
      <c r="AD4324" s="49"/>
      <c r="AE4324" s="49"/>
      <c r="AF4324" s="49"/>
      <c r="AG4324" s="49"/>
      <c r="AH4324" s="49"/>
      <c r="AI4324" s="49"/>
      <c r="AJ4324" s="49"/>
      <c r="AK4324" s="49"/>
      <c r="AL4324" s="49"/>
      <c r="AM4324" s="49"/>
      <c r="AN4324" s="49"/>
      <c r="AP4324" s="49"/>
      <c r="AQ4324" s="49"/>
      <c r="AR4324" s="49"/>
      <c r="AS4324" s="49"/>
      <c r="AT4324" s="49"/>
    </row>
    <row r="4325">
      <c r="A4325" s="59"/>
      <c r="B4325" s="49"/>
      <c r="C4325" s="50"/>
      <c r="D4325" s="49"/>
      <c r="E4325" s="49"/>
      <c r="F4325" s="49"/>
      <c r="G4325" s="49"/>
      <c r="H4325" s="50"/>
      <c r="I4325" s="50"/>
      <c r="J4325" s="49"/>
      <c r="K4325" s="49"/>
      <c r="L4325" s="49"/>
      <c r="M4325" s="49"/>
      <c r="N4325" s="50"/>
      <c r="O4325" s="49"/>
      <c r="P4325" s="49"/>
      <c r="Q4325" s="49"/>
      <c r="R4325" s="49"/>
      <c r="S4325" s="49"/>
      <c r="T4325" s="49"/>
      <c r="U4325" s="49"/>
      <c r="V4325" s="49"/>
      <c r="W4325" s="49"/>
      <c r="X4325" s="49"/>
      <c r="Y4325" s="49"/>
      <c r="Z4325" s="49"/>
      <c r="AA4325" s="49"/>
      <c r="AB4325" s="49"/>
      <c r="AC4325" s="49"/>
      <c r="AD4325" s="49"/>
      <c r="AE4325" s="49"/>
      <c r="AF4325" s="49"/>
      <c r="AG4325" s="49"/>
      <c r="AH4325" s="49"/>
      <c r="AI4325" s="49"/>
      <c r="AJ4325" s="49"/>
      <c r="AK4325" s="49"/>
      <c r="AL4325" s="49"/>
      <c r="AM4325" s="49"/>
      <c r="AN4325" s="49"/>
      <c r="AP4325" s="49"/>
      <c r="AQ4325" s="49"/>
      <c r="AR4325" s="49"/>
      <c r="AS4325" s="49"/>
      <c r="AT4325" s="49"/>
    </row>
    <row r="4326">
      <c r="A4326" s="59"/>
      <c r="B4326" s="49"/>
      <c r="C4326" s="50"/>
      <c r="D4326" s="49"/>
      <c r="E4326" s="49"/>
      <c r="F4326" s="49"/>
      <c r="G4326" s="49"/>
      <c r="H4326" s="50"/>
      <c r="I4326" s="50"/>
      <c r="J4326" s="49"/>
      <c r="K4326" s="49"/>
      <c r="L4326" s="49"/>
      <c r="M4326" s="49"/>
      <c r="N4326" s="50"/>
      <c r="O4326" s="49"/>
      <c r="P4326" s="49"/>
      <c r="Q4326" s="49"/>
      <c r="R4326" s="49"/>
      <c r="S4326" s="49"/>
      <c r="T4326" s="49"/>
      <c r="U4326" s="49"/>
      <c r="V4326" s="49"/>
      <c r="W4326" s="49"/>
      <c r="X4326" s="49"/>
      <c r="Y4326" s="49"/>
      <c r="Z4326" s="49"/>
      <c r="AA4326" s="49"/>
      <c r="AB4326" s="49"/>
      <c r="AC4326" s="49"/>
      <c r="AD4326" s="49"/>
      <c r="AE4326" s="49"/>
      <c r="AF4326" s="49"/>
      <c r="AG4326" s="49"/>
      <c r="AH4326" s="49"/>
      <c r="AI4326" s="49"/>
      <c r="AJ4326" s="49"/>
      <c r="AK4326" s="49"/>
      <c r="AL4326" s="49"/>
      <c r="AM4326" s="49"/>
      <c r="AN4326" s="49"/>
      <c r="AP4326" s="49"/>
      <c r="AQ4326" s="49"/>
      <c r="AR4326" s="49"/>
      <c r="AS4326" s="49"/>
      <c r="AT4326" s="49"/>
    </row>
    <row r="4327">
      <c r="A4327" s="59"/>
      <c r="B4327" s="49"/>
      <c r="C4327" s="50"/>
      <c r="D4327" s="49"/>
      <c r="E4327" s="49"/>
      <c r="F4327" s="49"/>
      <c r="G4327" s="49"/>
      <c r="H4327" s="50"/>
      <c r="I4327" s="50"/>
      <c r="J4327" s="49"/>
      <c r="K4327" s="49"/>
      <c r="L4327" s="49"/>
      <c r="M4327" s="49"/>
      <c r="N4327" s="50"/>
      <c r="O4327" s="49"/>
      <c r="P4327" s="49"/>
      <c r="Q4327" s="49"/>
      <c r="R4327" s="49"/>
      <c r="S4327" s="49"/>
      <c r="T4327" s="49"/>
      <c r="U4327" s="49"/>
      <c r="V4327" s="49"/>
      <c r="W4327" s="49"/>
      <c r="X4327" s="49"/>
      <c r="Y4327" s="49"/>
      <c r="Z4327" s="49"/>
      <c r="AA4327" s="49"/>
      <c r="AB4327" s="49"/>
      <c r="AC4327" s="49"/>
      <c r="AD4327" s="49"/>
      <c r="AE4327" s="49"/>
      <c r="AF4327" s="49"/>
      <c r="AG4327" s="49"/>
      <c r="AH4327" s="49"/>
      <c r="AI4327" s="49"/>
      <c r="AJ4327" s="49"/>
      <c r="AK4327" s="49"/>
      <c r="AL4327" s="49"/>
      <c r="AM4327" s="49"/>
      <c r="AN4327" s="49"/>
      <c r="AP4327" s="49"/>
      <c r="AQ4327" s="49"/>
      <c r="AR4327" s="49"/>
      <c r="AS4327" s="49"/>
      <c r="AT4327" s="49"/>
    </row>
    <row r="4328">
      <c r="A4328" s="59"/>
      <c r="B4328" s="49"/>
      <c r="C4328" s="50"/>
      <c r="D4328" s="49"/>
      <c r="E4328" s="49"/>
      <c r="F4328" s="49"/>
      <c r="G4328" s="49"/>
      <c r="H4328" s="50"/>
      <c r="I4328" s="50"/>
      <c r="J4328" s="49"/>
      <c r="K4328" s="49"/>
      <c r="L4328" s="49"/>
      <c r="M4328" s="49"/>
      <c r="N4328" s="50"/>
      <c r="O4328" s="49"/>
      <c r="P4328" s="49"/>
      <c r="Q4328" s="49"/>
      <c r="R4328" s="49"/>
      <c r="S4328" s="49"/>
      <c r="T4328" s="49"/>
      <c r="U4328" s="49"/>
      <c r="V4328" s="49"/>
      <c r="W4328" s="49"/>
      <c r="X4328" s="49"/>
      <c r="Y4328" s="49"/>
      <c r="Z4328" s="49"/>
      <c r="AA4328" s="49"/>
      <c r="AB4328" s="49"/>
      <c r="AC4328" s="49"/>
      <c r="AD4328" s="49"/>
      <c r="AE4328" s="49"/>
      <c r="AF4328" s="49"/>
      <c r="AG4328" s="49"/>
      <c r="AH4328" s="49"/>
      <c r="AI4328" s="49"/>
      <c r="AJ4328" s="49"/>
      <c r="AK4328" s="49"/>
      <c r="AL4328" s="49"/>
      <c r="AM4328" s="49"/>
      <c r="AN4328" s="49"/>
      <c r="AP4328" s="49"/>
      <c r="AQ4328" s="49"/>
      <c r="AR4328" s="49"/>
      <c r="AS4328" s="49"/>
      <c r="AT4328" s="49"/>
    </row>
    <row r="4329">
      <c r="A4329" s="59"/>
      <c r="B4329" s="49"/>
      <c r="C4329" s="50"/>
      <c r="D4329" s="49"/>
      <c r="E4329" s="49"/>
      <c r="F4329" s="49"/>
      <c r="G4329" s="49"/>
      <c r="H4329" s="50"/>
      <c r="I4329" s="50"/>
      <c r="J4329" s="49"/>
      <c r="K4329" s="49"/>
      <c r="L4329" s="49"/>
      <c r="M4329" s="49"/>
      <c r="N4329" s="50"/>
      <c r="O4329" s="49"/>
      <c r="P4329" s="49"/>
      <c r="Q4329" s="49"/>
      <c r="R4329" s="49"/>
      <c r="S4329" s="49"/>
      <c r="T4329" s="49"/>
      <c r="U4329" s="49"/>
      <c r="V4329" s="49"/>
      <c r="W4329" s="49"/>
      <c r="X4329" s="49"/>
      <c r="Y4329" s="49"/>
      <c r="Z4329" s="49"/>
      <c r="AA4329" s="49"/>
      <c r="AB4329" s="49"/>
      <c r="AC4329" s="49"/>
      <c r="AD4329" s="49"/>
      <c r="AE4329" s="49"/>
      <c r="AF4329" s="49"/>
      <c r="AG4329" s="49"/>
      <c r="AH4329" s="49"/>
      <c r="AI4329" s="49"/>
      <c r="AJ4329" s="49"/>
      <c r="AK4329" s="49"/>
      <c r="AL4329" s="49"/>
      <c r="AM4329" s="49"/>
      <c r="AN4329" s="49"/>
      <c r="AP4329" s="49"/>
      <c r="AQ4329" s="49"/>
      <c r="AR4329" s="49"/>
      <c r="AS4329" s="49"/>
      <c r="AT4329" s="49"/>
    </row>
    <row r="4330">
      <c r="A4330" s="59"/>
      <c r="B4330" s="49"/>
      <c r="C4330" s="50"/>
      <c r="D4330" s="49"/>
      <c r="E4330" s="49"/>
      <c r="F4330" s="49"/>
      <c r="G4330" s="49"/>
      <c r="H4330" s="50"/>
      <c r="I4330" s="50"/>
      <c r="J4330" s="49"/>
      <c r="K4330" s="49"/>
      <c r="L4330" s="49"/>
      <c r="M4330" s="49"/>
      <c r="N4330" s="50"/>
      <c r="O4330" s="49"/>
      <c r="P4330" s="49"/>
      <c r="Q4330" s="49"/>
      <c r="R4330" s="49"/>
      <c r="S4330" s="49"/>
      <c r="T4330" s="49"/>
      <c r="U4330" s="49"/>
      <c r="V4330" s="49"/>
      <c r="W4330" s="49"/>
      <c r="X4330" s="49"/>
      <c r="Y4330" s="49"/>
      <c r="Z4330" s="49"/>
      <c r="AA4330" s="49"/>
      <c r="AB4330" s="49"/>
      <c r="AC4330" s="49"/>
      <c r="AD4330" s="49"/>
      <c r="AE4330" s="49"/>
      <c r="AF4330" s="49"/>
      <c r="AG4330" s="49"/>
      <c r="AH4330" s="49"/>
      <c r="AI4330" s="49"/>
      <c r="AJ4330" s="49"/>
      <c r="AK4330" s="49"/>
      <c r="AL4330" s="49"/>
      <c r="AM4330" s="49"/>
      <c r="AN4330" s="49"/>
      <c r="AP4330" s="49"/>
      <c r="AQ4330" s="49"/>
      <c r="AR4330" s="49"/>
      <c r="AS4330" s="49"/>
      <c r="AT4330" s="49"/>
    </row>
    <row r="4331">
      <c r="A4331" s="59"/>
      <c r="B4331" s="49"/>
      <c r="C4331" s="50"/>
      <c r="D4331" s="49"/>
      <c r="E4331" s="49"/>
      <c r="F4331" s="49"/>
      <c r="G4331" s="49"/>
      <c r="H4331" s="50"/>
      <c r="I4331" s="50"/>
      <c r="J4331" s="49"/>
      <c r="K4331" s="49"/>
      <c r="L4331" s="49"/>
      <c r="M4331" s="49"/>
      <c r="N4331" s="50"/>
      <c r="O4331" s="49"/>
      <c r="P4331" s="49"/>
      <c r="Q4331" s="49"/>
      <c r="R4331" s="49"/>
      <c r="S4331" s="49"/>
      <c r="T4331" s="49"/>
      <c r="U4331" s="49"/>
      <c r="V4331" s="49"/>
      <c r="W4331" s="49"/>
      <c r="X4331" s="49"/>
      <c r="Y4331" s="49"/>
      <c r="Z4331" s="49"/>
      <c r="AA4331" s="49"/>
      <c r="AB4331" s="49"/>
      <c r="AC4331" s="49"/>
      <c r="AD4331" s="49"/>
      <c r="AE4331" s="49"/>
      <c r="AF4331" s="49"/>
      <c r="AG4331" s="49"/>
      <c r="AH4331" s="49"/>
      <c r="AI4331" s="49"/>
      <c r="AJ4331" s="49"/>
      <c r="AK4331" s="49"/>
      <c r="AL4331" s="49"/>
      <c r="AM4331" s="49"/>
      <c r="AN4331" s="49"/>
      <c r="AP4331" s="49"/>
      <c r="AQ4331" s="49"/>
      <c r="AR4331" s="49"/>
      <c r="AS4331" s="49"/>
      <c r="AT4331" s="49"/>
    </row>
    <row r="4332">
      <c r="A4332" s="59"/>
      <c r="B4332" s="49"/>
      <c r="C4332" s="50"/>
      <c r="D4332" s="49"/>
      <c r="E4332" s="49"/>
      <c r="F4332" s="49"/>
      <c r="G4332" s="49"/>
      <c r="H4332" s="50"/>
      <c r="I4332" s="50"/>
      <c r="J4332" s="49"/>
      <c r="K4332" s="49"/>
      <c r="L4332" s="49"/>
      <c r="M4332" s="49"/>
      <c r="N4332" s="50"/>
      <c r="O4332" s="49"/>
      <c r="P4332" s="49"/>
      <c r="Q4332" s="49"/>
      <c r="R4332" s="49"/>
      <c r="S4332" s="49"/>
      <c r="T4332" s="49"/>
      <c r="U4332" s="49"/>
      <c r="V4332" s="49"/>
      <c r="W4332" s="49"/>
      <c r="X4332" s="49"/>
      <c r="Y4332" s="49"/>
      <c r="Z4332" s="49"/>
      <c r="AA4332" s="49"/>
      <c r="AB4332" s="49"/>
      <c r="AC4332" s="49"/>
      <c r="AD4332" s="49"/>
      <c r="AE4332" s="49"/>
      <c r="AF4332" s="49"/>
      <c r="AG4332" s="49"/>
      <c r="AH4332" s="49"/>
      <c r="AI4332" s="49"/>
      <c r="AJ4332" s="49"/>
      <c r="AK4332" s="49"/>
      <c r="AL4332" s="49"/>
      <c r="AM4332" s="49"/>
      <c r="AN4332" s="49"/>
      <c r="AP4332" s="49"/>
      <c r="AQ4332" s="49"/>
      <c r="AR4332" s="49"/>
      <c r="AS4332" s="49"/>
      <c r="AT4332" s="49"/>
    </row>
    <row r="4333">
      <c r="A4333" s="59"/>
      <c r="B4333" s="49"/>
      <c r="C4333" s="50"/>
      <c r="D4333" s="49"/>
      <c r="E4333" s="49"/>
      <c r="F4333" s="49"/>
      <c r="G4333" s="49"/>
      <c r="H4333" s="50"/>
      <c r="I4333" s="50"/>
      <c r="J4333" s="49"/>
      <c r="K4333" s="49"/>
      <c r="L4333" s="49"/>
      <c r="M4333" s="49"/>
      <c r="N4333" s="50"/>
      <c r="O4333" s="49"/>
      <c r="P4333" s="49"/>
      <c r="Q4333" s="49"/>
      <c r="R4333" s="49"/>
      <c r="S4333" s="49"/>
      <c r="T4333" s="49"/>
      <c r="U4333" s="49"/>
      <c r="V4333" s="49"/>
      <c r="W4333" s="49"/>
      <c r="X4333" s="49"/>
      <c r="Y4333" s="49"/>
      <c r="Z4333" s="49"/>
      <c r="AA4333" s="49"/>
      <c r="AB4333" s="49"/>
      <c r="AC4333" s="49"/>
      <c r="AD4333" s="49"/>
      <c r="AE4333" s="49"/>
      <c r="AF4333" s="49"/>
      <c r="AG4333" s="49"/>
      <c r="AH4333" s="49"/>
      <c r="AI4333" s="49"/>
      <c r="AJ4333" s="49"/>
      <c r="AK4333" s="49"/>
      <c r="AL4333" s="49"/>
      <c r="AM4333" s="49"/>
      <c r="AN4333" s="49"/>
      <c r="AP4333" s="49"/>
      <c r="AQ4333" s="49"/>
      <c r="AR4333" s="49"/>
      <c r="AS4333" s="49"/>
      <c r="AT4333" s="49"/>
    </row>
    <row r="4334">
      <c r="A4334" s="59"/>
      <c r="B4334" s="49"/>
      <c r="C4334" s="50"/>
      <c r="D4334" s="49"/>
      <c r="E4334" s="49"/>
      <c r="F4334" s="49"/>
      <c r="G4334" s="49"/>
      <c r="H4334" s="50"/>
      <c r="I4334" s="50"/>
      <c r="J4334" s="49"/>
      <c r="K4334" s="49"/>
      <c r="L4334" s="49"/>
      <c r="M4334" s="49"/>
      <c r="N4334" s="50"/>
      <c r="O4334" s="49"/>
      <c r="P4334" s="49"/>
      <c r="Q4334" s="49"/>
      <c r="R4334" s="49"/>
      <c r="S4334" s="49"/>
      <c r="T4334" s="49"/>
      <c r="U4334" s="49"/>
      <c r="V4334" s="49"/>
      <c r="W4334" s="49"/>
      <c r="X4334" s="49"/>
      <c r="Y4334" s="49"/>
      <c r="Z4334" s="49"/>
      <c r="AA4334" s="49"/>
      <c r="AB4334" s="49"/>
      <c r="AC4334" s="49"/>
      <c r="AD4334" s="49"/>
      <c r="AE4334" s="49"/>
      <c r="AF4334" s="49"/>
      <c r="AG4334" s="49"/>
      <c r="AH4334" s="49"/>
      <c r="AI4334" s="49"/>
      <c r="AJ4334" s="49"/>
      <c r="AK4334" s="49"/>
      <c r="AL4334" s="49"/>
      <c r="AM4334" s="49"/>
      <c r="AN4334" s="49"/>
      <c r="AP4334" s="49"/>
      <c r="AQ4334" s="49"/>
      <c r="AR4334" s="49"/>
      <c r="AS4334" s="49"/>
      <c r="AT4334" s="49"/>
    </row>
    <row r="4335">
      <c r="A4335" s="59"/>
      <c r="B4335" s="49"/>
      <c r="C4335" s="50"/>
      <c r="D4335" s="49"/>
      <c r="E4335" s="49"/>
      <c r="F4335" s="49"/>
      <c r="G4335" s="49"/>
      <c r="H4335" s="50"/>
      <c r="I4335" s="50"/>
      <c r="J4335" s="49"/>
      <c r="K4335" s="49"/>
      <c r="L4335" s="49"/>
      <c r="M4335" s="49"/>
      <c r="N4335" s="50"/>
      <c r="O4335" s="49"/>
      <c r="P4335" s="49"/>
      <c r="Q4335" s="49"/>
      <c r="R4335" s="49"/>
      <c r="S4335" s="49"/>
      <c r="T4335" s="49"/>
      <c r="U4335" s="49"/>
      <c r="V4335" s="49"/>
      <c r="W4335" s="49"/>
      <c r="X4335" s="49"/>
      <c r="Y4335" s="49"/>
      <c r="Z4335" s="49"/>
      <c r="AA4335" s="49"/>
      <c r="AB4335" s="49"/>
      <c r="AC4335" s="49"/>
      <c r="AD4335" s="49"/>
      <c r="AE4335" s="49"/>
      <c r="AF4335" s="49"/>
      <c r="AG4335" s="49"/>
      <c r="AH4335" s="49"/>
      <c r="AI4335" s="49"/>
      <c r="AJ4335" s="49"/>
      <c r="AK4335" s="49"/>
      <c r="AL4335" s="49"/>
      <c r="AM4335" s="49"/>
      <c r="AN4335" s="49"/>
      <c r="AP4335" s="49"/>
      <c r="AQ4335" s="49"/>
      <c r="AR4335" s="49"/>
      <c r="AS4335" s="49"/>
      <c r="AT4335" s="49"/>
    </row>
    <row r="4336">
      <c r="A4336" s="59"/>
      <c r="B4336" s="49"/>
      <c r="C4336" s="50"/>
      <c r="D4336" s="49"/>
      <c r="E4336" s="49"/>
      <c r="F4336" s="49"/>
      <c r="G4336" s="49"/>
      <c r="H4336" s="50"/>
      <c r="I4336" s="50"/>
      <c r="J4336" s="49"/>
      <c r="K4336" s="49"/>
      <c r="L4336" s="49"/>
      <c r="M4336" s="49"/>
      <c r="N4336" s="50"/>
      <c r="O4336" s="49"/>
      <c r="P4336" s="49"/>
      <c r="Q4336" s="49"/>
      <c r="R4336" s="49"/>
      <c r="S4336" s="49"/>
      <c r="T4336" s="49"/>
      <c r="U4336" s="49"/>
      <c r="V4336" s="49"/>
      <c r="W4336" s="49"/>
      <c r="X4336" s="49"/>
      <c r="Y4336" s="49"/>
      <c r="Z4336" s="49"/>
      <c r="AA4336" s="49"/>
      <c r="AB4336" s="49"/>
      <c r="AC4336" s="49"/>
      <c r="AD4336" s="49"/>
      <c r="AE4336" s="49"/>
      <c r="AF4336" s="49"/>
      <c r="AG4336" s="49"/>
      <c r="AH4336" s="49"/>
      <c r="AI4336" s="49"/>
      <c r="AJ4336" s="49"/>
      <c r="AK4336" s="49"/>
      <c r="AL4336" s="49"/>
      <c r="AM4336" s="49"/>
      <c r="AN4336" s="49"/>
      <c r="AP4336" s="49"/>
      <c r="AQ4336" s="49"/>
      <c r="AR4336" s="49"/>
      <c r="AS4336" s="49"/>
      <c r="AT4336" s="49"/>
    </row>
    <row r="4337">
      <c r="A4337" s="59"/>
      <c r="B4337" s="49"/>
      <c r="C4337" s="50"/>
      <c r="D4337" s="49"/>
      <c r="E4337" s="49"/>
      <c r="F4337" s="49"/>
      <c r="G4337" s="49"/>
      <c r="H4337" s="50"/>
      <c r="I4337" s="50"/>
      <c r="J4337" s="49"/>
      <c r="K4337" s="49"/>
      <c r="L4337" s="49"/>
      <c r="M4337" s="49"/>
      <c r="N4337" s="50"/>
      <c r="O4337" s="49"/>
      <c r="P4337" s="49"/>
      <c r="Q4337" s="49"/>
      <c r="R4337" s="49"/>
      <c r="S4337" s="49"/>
      <c r="T4337" s="49"/>
      <c r="U4337" s="49"/>
      <c r="V4337" s="49"/>
      <c r="W4337" s="49"/>
      <c r="X4337" s="49"/>
      <c r="Y4337" s="49"/>
      <c r="Z4337" s="49"/>
      <c r="AA4337" s="49"/>
      <c r="AB4337" s="49"/>
      <c r="AC4337" s="49"/>
      <c r="AD4337" s="49"/>
      <c r="AE4337" s="49"/>
      <c r="AF4337" s="49"/>
      <c r="AG4337" s="49"/>
      <c r="AH4337" s="49"/>
      <c r="AI4337" s="49"/>
      <c r="AJ4337" s="49"/>
      <c r="AK4337" s="49"/>
      <c r="AL4337" s="49"/>
      <c r="AM4337" s="49"/>
      <c r="AN4337" s="49"/>
      <c r="AP4337" s="49"/>
      <c r="AQ4337" s="49"/>
      <c r="AR4337" s="49"/>
      <c r="AS4337" s="49"/>
      <c r="AT4337" s="49"/>
    </row>
    <row r="4338">
      <c r="A4338" s="59"/>
      <c r="B4338" s="49"/>
      <c r="C4338" s="50"/>
      <c r="D4338" s="49"/>
      <c r="E4338" s="49"/>
      <c r="F4338" s="49"/>
      <c r="G4338" s="49"/>
      <c r="H4338" s="50"/>
      <c r="I4338" s="50"/>
      <c r="J4338" s="49"/>
      <c r="K4338" s="49"/>
      <c r="L4338" s="49"/>
      <c r="M4338" s="49"/>
      <c r="N4338" s="50"/>
      <c r="O4338" s="49"/>
      <c r="P4338" s="49"/>
      <c r="Q4338" s="49"/>
      <c r="R4338" s="49"/>
      <c r="S4338" s="49"/>
      <c r="T4338" s="49"/>
      <c r="U4338" s="49"/>
      <c r="V4338" s="49"/>
      <c r="W4338" s="49"/>
      <c r="X4338" s="49"/>
      <c r="Y4338" s="49"/>
      <c r="Z4338" s="49"/>
      <c r="AA4338" s="49"/>
      <c r="AB4338" s="49"/>
      <c r="AC4338" s="49"/>
      <c r="AD4338" s="49"/>
      <c r="AE4338" s="49"/>
      <c r="AF4338" s="49"/>
      <c r="AG4338" s="49"/>
      <c r="AH4338" s="49"/>
      <c r="AI4338" s="49"/>
      <c r="AJ4338" s="49"/>
      <c r="AK4338" s="49"/>
      <c r="AL4338" s="49"/>
      <c r="AM4338" s="49"/>
      <c r="AN4338" s="49"/>
      <c r="AP4338" s="49"/>
      <c r="AQ4338" s="49"/>
      <c r="AR4338" s="49"/>
      <c r="AS4338" s="49"/>
      <c r="AT4338" s="49"/>
    </row>
    <row r="4339">
      <c r="A4339" s="59"/>
      <c r="B4339" s="49"/>
      <c r="C4339" s="50"/>
      <c r="D4339" s="49"/>
      <c r="E4339" s="49"/>
      <c r="F4339" s="49"/>
      <c r="G4339" s="49"/>
      <c r="H4339" s="50"/>
      <c r="I4339" s="50"/>
      <c r="J4339" s="49"/>
      <c r="K4339" s="49"/>
      <c r="L4339" s="49"/>
      <c r="M4339" s="49"/>
      <c r="N4339" s="50"/>
      <c r="O4339" s="49"/>
      <c r="P4339" s="49"/>
      <c r="Q4339" s="49"/>
      <c r="R4339" s="49"/>
      <c r="S4339" s="49"/>
      <c r="T4339" s="49"/>
      <c r="U4339" s="49"/>
      <c r="V4339" s="49"/>
      <c r="W4339" s="49"/>
      <c r="X4339" s="49"/>
      <c r="Y4339" s="49"/>
      <c r="Z4339" s="49"/>
      <c r="AA4339" s="49"/>
      <c r="AB4339" s="49"/>
      <c r="AC4339" s="49"/>
      <c r="AD4339" s="49"/>
      <c r="AE4339" s="49"/>
      <c r="AF4339" s="49"/>
      <c r="AG4339" s="49"/>
      <c r="AH4339" s="49"/>
      <c r="AI4339" s="49"/>
      <c r="AJ4339" s="49"/>
      <c r="AK4339" s="49"/>
      <c r="AL4339" s="49"/>
      <c r="AM4339" s="49"/>
      <c r="AN4339" s="49"/>
      <c r="AP4339" s="49"/>
      <c r="AQ4339" s="49"/>
      <c r="AR4339" s="49"/>
      <c r="AS4339" s="49"/>
      <c r="AT4339" s="49"/>
    </row>
    <row r="4340">
      <c r="A4340" s="59"/>
      <c r="B4340" s="49"/>
      <c r="C4340" s="50"/>
      <c r="D4340" s="49"/>
      <c r="E4340" s="49"/>
      <c r="F4340" s="49"/>
      <c r="G4340" s="49"/>
      <c r="H4340" s="50"/>
      <c r="I4340" s="50"/>
      <c r="J4340" s="49"/>
      <c r="K4340" s="49"/>
      <c r="L4340" s="49"/>
      <c r="M4340" s="49"/>
      <c r="N4340" s="50"/>
      <c r="O4340" s="49"/>
      <c r="P4340" s="49"/>
      <c r="Q4340" s="49"/>
      <c r="R4340" s="49"/>
      <c r="S4340" s="49"/>
      <c r="T4340" s="49"/>
      <c r="U4340" s="49"/>
      <c r="V4340" s="49"/>
      <c r="W4340" s="49"/>
      <c r="X4340" s="49"/>
      <c r="Y4340" s="49"/>
      <c r="Z4340" s="49"/>
      <c r="AA4340" s="49"/>
      <c r="AB4340" s="49"/>
      <c r="AC4340" s="49"/>
      <c r="AD4340" s="49"/>
      <c r="AE4340" s="49"/>
      <c r="AF4340" s="49"/>
      <c r="AG4340" s="49"/>
      <c r="AH4340" s="49"/>
      <c r="AI4340" s="49"/>
      <c r="AJ4340" s="49"/>
      <c r="AK4340" s="49"/>
      <c r="AL4340" s="49"/>
      <c r="AM4340" s="49"/>
      <c r="AN4340" s="49"/>
      <c r="AP4340" s="49"/>
      <c r="AQ4340" s="49"/>
      <c r="AR4340" s="49"/>
      <c r="AS4340" s="49"/>
      <c r="AT4340" s="49"/>
    </row>
    <row r="4341">
      <c r="A4341" s="59"/>
      <c r="B4341" s="49"/>
      <c r="C4341" s="50"/>
      <c r="D4341" s="49"/>
      <c r="E4341" s="49"/>
      <c r="F4341" s="49"/>
      <c r="G4341" s="49"/>
      <c r="H4341" s="50"/>
      <c r="I4341" s="50"/>
      <c r="J4341" s="49"/>
      <c r="K4341" s="49"/>
      <c r="L4341" s="49"/>
      <c r="M4341" s="49"/>
      <c r="N4341" s="50"/>
      <c r="O4341" s="49"/>
      <c r="P4341" s="49"/>
      <c r="Q4341" s="49"/>
      <c r="R4341" s="49"/>
      <c r="S4341" s="49"/>
      <c r="T4341" s="49"/>
      <c r="U4341" s="49"/>
      <c r="V4341" s="49"/>
      <c r="W4341" s="49"/>
      <c r="X4341" s="49"/>
      <c r="Y4341" s="49"/>
      <c r="Z4341" s="49"/>
      <c r="AA4341" s="49"/>
      <c r="AB4341" s="49"/>
      <c r="AC4341" s="49"/>
      <c r="AD4341" s="49"/>
      <c r="AE4341" s="49"/>
      <c r="AF4341" s="49"/>
      <c r="AG4341" s="49"/>
      <c r="AH4341" s="49"/>
      <c r="AI4341" s="49"/>
      <c r="AJ4341" s="49"/>
      <c r="AK4341" s="49"/>
      <c r="AL4341" s="49"/>
      <c r="AM4341" s="49"/>
      <c r="AN4341" s="49"/>
      <c r="AP4341" s="49"/>
      <c r="AQ4341" s="49"/>
      <c r="AR4341" s="49"/>
      <c r="AS4341" s="49"/>
      <c r="AT4341" s="49"/>
    </row>
    <row r="4342">
      <c r="A4342" s="59"/>
      <c r="B4342" s="49"/>
      <c r="C4342" s="50"/>
      <c r="D4342" s="49"/>
      <c r="E4342" s="49"/>
      <c r="F4342" s="49"/>
      <c r="G4342" s="49"/>
      <c r="H4342" s="50"/>
      <c r="I4342" s="50"/>
      <c r="J4342" s="49"/>
      <c r="K4342" s="49"/>
      <c r="L4342" s="49"/>
      <c r="M4342" s="49"/>
      <c r="N4342" s="50"/>
      <c r="O4342" s="49"/>
      <c r="P4342" s="49"/>
      <c r="Q4342" s="49"/>
      <c r="R4342" s="49"/>
      <c r="S4342" s="49"/>
      <c r="T4342" s="49"/>
      <c r="U4342" s="49"/>
      <c r="V4342" s="49"/>
      <c r="W4342" s="49"/>
      <c r="X4342" s="49"/>
      <c r="Y4342" s="49"/>
      <c r="Z4342" s="49"/>
      <c r="AA4342" s="49"/>
      <c r="AB4342" s="49"/>
      <c r="AC4342" s="49"/>
      <c r="AD4342" s="49"/>
      <c r="AE4342" s="49"/>
      <c r="AF4342" s="49"/>
      <c r="AG4342" s="49"/>
      <c r="AH4342" s="49"/>
      <c r="AI4342" s="49"/>
      <c r="AJ4342" s="49"/>
      <c r="AK4342" s="49"/>
      <c r="AL4342" s="49"/>
      <c r="AM4342" s="49"/>
      <c r="AN4342" s="49"/>
      <c r="AP4342" s="49"/>
      <c r="AQ4342" s="49"/>
      <c r="AR4342" s="49"/>
      <c r="AS4342" s="49"/>
      <c r="AT4342" s="49"/>
    </row>
    <row r="4343">
      <c r="A4343" s="59"/>
      <c r="B4343" s="49"/>
      <c r="C4343" s="50"/>
      <c r="D4343" s="49"/>
      <c r="E4343" s="49"/>
      <c r="F4343" s="49"/>
      <c r="G4343" s="49"/>
      <c r="H4343" s="50"/>
      <c r="I4343" s="50"/>
      <c r="J4343" s="49"/>
      <c r="K4343" s="49"/>
      <c r="L4343" s="49"/>
      <c r="M4343" s="49"/>
      <c r="N4343" s="50"/>
      <c r="O4343" s="49"/>
      <c r="P4343" s="49"/>
      <c r="Q4343" s="49"/>
      <c r="R4343" s="49"/>
      <c r="S4343" s="49"/>
      <c r="T4343" s="49"/>
      <c r="U4343" s="49"/>
      <c r="V4343" s="49"/>
      <c r="W4343" s="49"/>
      <c r="X4343" s="49"/>
      <c r="Y4343" s="49"/>
      <c r="Z4343" s="49"/>
      <c r="AA4343" s="49"/>
      <c r="AB4343" s="49"/>
      <c r="AC4343" s="49"/>
      <c r="AD4343" s="49"/>
      <c r="AE4343" s="49"/>
      <c r="AF4343" s="49"/>
      <c r="AG4343" s="49"/>
      <c r="AH4343" s="49"/>
      <c r="AI4343" s="49"/>
      <c r="AJ4343" s="49"/>
      <c r="AK4343" s="49"/>
      <c r="AL4343" s="49"/>
      <c r="AM4343" s="49"/>
      <c r="AN4343" s="49"/>
      <c r="AP4343" s="49"/>
      <c r="AQ4343" s="49"/>
      <c r="AR4343" s="49"/>
      <c r="AS4343" s="49"/>
      <c r="AT4343" s="49"/>
    </row>
    <row r="4344">
      <c r="A4344" s="59"/>
      <c r="B4344" s="49"/>
      <c r="C4344" s="50"/>
      <c r="D4344" s="49"/>
      <c r="E4344" s="49"/>
      <c r="F4344" s="49"/>
      <c r="G4344" s="49"/>
      <c r="H4344" s="50"/>
      <c r="I4344" s="50"/>
      <c r="J4344" s="49"/>
      <c r="K4344" s="49"/>
      <c r="L4344" s="49"/>
      <c r="M4344" s="49"/>
      <c r="N4344" s="50"/>
      <c r="O4344" s="49"/>
      <c r="P4344" s="49"/>
      <c r="Q4344" s="49"/>
      <c r="R4344" s="49"/>
      <c r="S4344" s="49"/>
      <c r="T4344" s="49"/>
      <c r="U4344" s="49"/>
      <c r="V4344" s="49"/>
      <c r="W4344" s="49"/>
      <c r="X4344" s="49"/>
      <c r="Y4344" s="49"/>
      <c r="Z4344" s="49"/>
      <c r="AA4344" s="49"/>
      <c r="AB4344" s="49"/>
      <c r="AC4344" s="49"/>
      <c r="AD4344" s="49"/>
      <c r="AE4344" s="49"/>
      <c r="AF4344" s="49"/>
      <c r="AG4344" s="49"/>
      <c r="AH4344" s="49"/>
      <c r="AI4344" s="49"/>
      <c r="AJ4344" s="49"/>
      <c r="AK4344" s="49"/>
      <c r="AL4344" s="49"/>
      <c r="AM4344" s="49"/>
      <c r="AN4344" s="49"/>
      <c r="AP4344" s="49"/>
      <c r="AQ4344" s="49"/>
      <c r="AR4344" s="49"/>
      <c r="AS4344" s="49"/>
      <c r="AT4344" s="49"/>
    </row>
    <row r="4345">
      <c r="A4345" s="59"/>
      <c r="B4345" s="49"/>
      <c r="C4345" s="50"/>
      <c r="D4345" s="49"/>
      <c r="E4345" s="49"/>
      <c r="F4345" s="49"/>
      <c r="G4345" s="49"/>
      <c r="H4345" s="50"/>
      <c r="I4345" s="50"/>
      <c r="J4345" s="49"/>
      <c r="K4345" s="49"/>
      <c r="L4345" s="49"/>
      <c r="M4345" s="49"/>
      <c r="N4345" s="50"/>
      <c r="O4345" s="49"/>
      <c r="P4345" s="49"/>
      <c r="Q4345" s="49"/>
      <c r="R4345" s="49"/>
      <c r="S4345" s="49"/>
      <c r="T4345" s="49"/>
      <c r="U4345" s="49"/>
      <c r="V4345" s="49"/>
      <c r="W4345" s="49"/>
      <c r="X4345" s="49"/>
      <c r="Y4345" s="49"/>
      <c r="Z4345" s="49"/>
      <c r="AA4345" s="49"/>
      <c r="AB4345" s="49"/>
      <c r="AC4345" s="49"/>
      <c r="AD4345" s="49"/>
      <c r="AE4345" s="49"/>
      <c r="AF4345" s="49"/>
      <c r="AG4345" s="49"/>
      <c r="AH4345" s="49"/>
      <c r="AI4345" s="49"/>
      <c r="AJ4345" s="49"/>
      <c r="AK4345" s="49"/>
      <c r="AL4345" s="49"/>
      <c r="AM4345" s="49"/>
      <c r="AN4345" s="49"/>
      <c r="AP4345" s="49"/>
      <c r="AQ4345" s="49"/>
      <c r="AR4345" s="49"/>
      <c r="AS4345" s="49"/>
      <c r="AT4345" s="49"/>
    </row>
    <row r="4346">
      <c r="A4346" s="59"/>
      <c r="B4346" s="49"/>
      <c r="C4346" s="50"/>
      <c r="D4346" s="49"/>
      <c r="E4346" s="49"/>
      <c r="F4346" s="49"/>
      <c r="G4346" s="49"/>
      <c r="H4346" s="50"/>
      <c r="I4346" s="50"/>
      <c r="J4346" s="49"/>
      <c r="K4346" s="49"/>
      <c r="L4346" s="49"/>
      <c r="M4346" s="49"/>
      <c r="N4346" s="50"/>
      <c r="O4346" s="49"/>
      <c r="P4346" s="49"/>
      <c r="Q4346" s="49"/>
      <c r="R4346" s="49"/>
      <c r="S4346" s="49"/>
      <c r="T4346" s="49"/>
      <c r="U4346" s="49"/>
      <c r="V4346" s="49"/>
      <c r="W4346" s="49"/>
      <c r="X4346" s="49"/>
      <c r="Y4346" s="49"/>
      <c r="Z4346" s="49"/>
      <c r="AA4346" s="49"/>
      <c r="AB4346" s="49"/>
      <c r="AC4346" s="49"/>
      <c r="AD4346" s="49"/>
      <c r="AE4346" s="49"/>
      <c r="AF4346" s="49"/>
      <c r="AG4346" s="49"/>
      <c r="AH4346" s="49"/>
      <c r="AI4346" s="49"/>
      <c r="AJ4346" s="49"/>
      <c r="AK4346" s="49"/>
      <c r="AL4346" s="49"/>
      <c r="AM4346" s="49"/>
      <c r="AN4346" s="49"/>
      <c r="AP4346" s="49"/>
      <c r="AQ4346" s="49"/>
      <c r="AR4346" s="49"/>
      <c r="AS4346" s="49"/>
      <c r="AT4346" s="49"/>
    </row>
    <row r="4347">
      <c r="A4347" s="59"/>
      <c r="B4347" s="49"/>
      <c r="C4347" s="50"/>
      <c r="D4347" s="49"/>
      <c r="E4347" s="49"/>
      <c r="F4347" s="49"/>
      <c r="G4347" s="49"/>
      <c r="H4347" s="50"/>
      <c r="I4347" s="50"/>
      <c r="J4347" s="49"/>
      <c r="K4347" s="49"/>
      <c r="L4347" s="49"/>
      <c r="M4347" s="49"/>
      <c r="N4347" s="50"/>
      <c r="O4347" s="49"/>
      <c r="P4347" s="49"/>
      <c r="Q4347" s="49"/>
      <c r="R4347" s="49"/>
      <c r="S4347" s="49"/>
      <c r="T4347" s="49"/>
      <c r="U4347" s="49"/>
      <c r="V4347" s="49"/>
      <c r="W4347" s="49"/>
      <c r="X4347" s="49"/>
      <c r="Y4347" s="49"/>
      <c r="Z4347" s="49"/>
      <c r="AA4347" s="49"/>
      <c r="AB4347" s="49"/>
      <c r="AC4347" s="49"/>
      <c r="AD4347" s="49"/>
      <c r="AE4347" s="49"/>
      <c r="AF4347" s="49"/>
      <c r="AG4347" s="49"/>
      <c r="AH4347" s="49"/>
      <c r="AI4347" s="49"/>
      <c r="AJ4347" s="49"/>
      <c r="AK4347" s="49"/>
      <c r="AL4347" s="49"/>
      <c r="AM4347" s="49"/>
      <c r="AN4347" s="49"/>
      <c r="AP4347" s="49"/>
      <c r="AQ4347" s="49"/>
      <c r="AR4347" s="49"/>
      <c r="AS4347" s="49"/>
      <c r="AT4347" s="49"/>
    </row>
    <row r="4348">
      <c r="A4348" s="59"/>
      <c r="B4348" s="49"/>
      <c r="C4348" s="50"/>
      <c r="D4348" s="49"/>
      <c r="E4348" s="49"/>
      <c r="F4348" s="49"/>
      <c r="G4348" s="49"/>
      <c r="H4348" s="50"/>
      <c r="I4348" s="50"/>
      <c r="J4348" s="49"/>
      <c r="K4348" s="49"/>
      <c r="L4348" s="49"/>
      <c r="M4348" s="49"/>
      <c r="N4348" s="50"/>
      <c r="O4348" s="49"/>
      <c r="P4348" s="49"/>
      <c r="Q4348" s="49"/>
      <c r="R4348" s="49"/>
      <c r="S4348" s="49"/>
      <c r="T4348" s="49"/>
      <c r="U4348" s="49"/>
      <c r="V4348" s="49"/>
      <c r="W4348" s="49"/>
      <c r="X4348" s="49"/>
      <c r="Y4348" s="49"/>
      <c r="Z4348" s="49"/>
      <c r="AA4348" s="49"/>
      <c r="AB4348" s="49"/>
      <c r="AC4348" s="49"/>
      <c r="AD4348" s="49"/>
      <c r="AE4348" s="49"/>
      <c r="AF4348" s="49"/>
      <c r="AG4348" s="49"/>
      <c r="AH4348" s="49"/>
      <c r="AI4348" s="49"/>
      <c r="AJ4348" s="49"/>
      <c r="AK4348" s="49"/>
      <c r="AL4348" s="49"/>
      <c r="AM4348" s="49"/>
      <c r="AN4348" s="49"/>
      <c r="AP4348" s="49"/>
      <c r="AQ4348" s="49"/>
      <c r="AR4348" s="49"/>
      <c r="AS4348" s="49"/>
      <c r="AT4348" s="49"/>
    </row>
    <row r="4349">
      <c r="A4349" s="59"/>
      <c r="B4349" s="49"/>
      <c r="C4349" s="50"/>
      <c r="D4349" s="49"/>
      <c r="E4349" s="49"/>
      <c r="F4349" s="49"/>
      <c r="G4349" s="49"/>
      <c r="H4349" s="50"/>
      <c r="I4349" s="50"/>
      <c r="J4349" s="49"/>
      <c r="K4349" s="49"/>
      <c r="L4349" s="49"/>
      <c r="M4349" s="49"/>
      <c r="N4349" s="50"/>
      <c r="O4349" s="49"/>
      <c r="P4349" s="49"/>
      <c r="Q4349" s="49"/>
      <c r="R4349" s="49"/>
      <c r="S4349" s="49"/>
      <c r="T4349" s="49"/>
      <c r="U4349" s="49"/>
      <c r="V4349" s="49"/>
      <c r="W4349" s="49"/>
      <c r="X4349" s="49"/>
      <c r="Y4349" s="49"/>
      <c r="Z4349" s="49"/>
      <c r="AA4349" s="49"/>
      <c r="AB4349" s="49"/>
      <c r="AC4349" s="49"/>
      <c r="AD4349" s="49"/>
      <c r="AE4349" s="49"/>
      <c r="AF4349" s="49"/>
      <c r="AG4349" s="49"/>
      <c r="AH4349" s="49"/>
      <c r="AI4349" s="49"/>
      <c r="AJ4349" s="49"/>
      <c r="AK4349" s="49"/>
      <c r="AL4349" s="49"/>
      <c r="AM4349" s="49"/>
      <c r="AN4349" s="49"/>
      <c r="AP4349" s="49"/>
      <c r="AQ4349" s="49"/>
      <c r="AR4349" s="49"/>
      <c r="AS4349" s="49"/>
      <c r="AT4349" s="49"/>
    </row>
    <row r="4350">
      <c r="A4350" s="59"/>
      <c r="B4350" s="49"/>
      <c r="C4350" s="50"/>
      <c r="D4350" s="49"/>
      <c r="E4350" s="49"/>
      <c r="F4350" s="49"/>
      <c r="G4350" s="49"/>
      <c r="H4350" s="50"/>
      <c r="I4350" s="50"/>
      <c r="J4350" s="49"/>
      <c r="K4350" s="49"/>
      <c r="L4350" s="49"/>
      <c r="M4350" s="49"/>
      <c r="N4350" s="50"/>
      <c r="O4350" s="49"/>
      <c r="P4350" s="49"/>
      <c r="Q4350" s="49"/>
      <c r="R4350" s="49"/>
      <c r="S4350" s="49"/>
      <c r="T4350" s="49"/>
      <c r="U4350" s="49"/>
      <c r="V4350" s="49"/>
      <c r="W4350" s="49"/>
      <c r="X4350" s="49"/>
      <c r="Y4350" s="49"/>
      <c r="Z4350" s="49"/>
      <c r="AA4350" s="49"/>
      <c r="AB4350" s="49"/>
      <c r="AC4350" s="49"/>
      <c r="AD4350" s="49"/>
      <c r="AE4350" s="49"/>
      <c r="AF4350" s="49"/>
      <c r="AG4350" s="49"/>
      <c r="AH4350" s="49"/>
      <c r="AI4350" s="49"/>
      <c r="AJ4350" s="49"/>
      <c r="AK4350" s="49"/>
      <c r="AL4350" s="49"/>
      <c r="AM4350" s="49"/>
      <c r="AN4350" s="49"/>
      <c r="AP4350" s="49"/>
      <c r="AQ4350" s="49"/>
      <c r="AR4350" s="49"/>
      <c r="AS4350" s="49"/>
      <c r="AT4350" s="49"/>
    </row>
    <row r="4351">
      <c r="A4351" s="59"/>
      <c r="B4351" s="49"/>
      <c r="C4351" s="50"/>
      <c r="D4351" s="49"/>
      <c r="E4351" s="49"/>
      <c r="F4351" s="49"/>
      <c r="G4351" s="49"/>
      <c r="H4351" s="50"/>
      <c r="I4351" s="50"/>
      <c r="J4351" s="49"/>
      <c r="K4351" s="49"/>
      <c r="L4351" s="49"/>
      <c r="M4351" s="49"/>
      <c r="N4351" s="50"/>
      <c r="O4351" s="49"/>
      <c r="P4351" s="49"/>
      <c r="Q4351" s="49"/>
      <c r="R4351" s="49"/>
      <c r="S4351" s="49"/>
      <c r="T4351" s="49"/>
      <c r="U4351" s="49"/>
      <c r="V4351" s="49"/>
      <c r="W4351" s="49"/>
      <c r="X4351" s="49"/>
      <c r="Y4351" s="49"/>
      <c r="Z4351" s="49"/>
      <c r="AA4351" s="49"/>
      <c r="AB4351" s="49"/>
      <c r="AC4351" s="49"/>
      <c r="AD4351" s="49"/>
      <c r="AE4351" s="49"/>
      <c r="AF4351" s="49"/>
      <c r="AG4351" s="49"/>
      <c r="AH4351" s="49"/>
      <c r="AI4351" s="49"/>
      <c r="AJ4351" s="49"/>
      <c r="AK4351" s="49"/>
      <c r="AL4351" s="49"/>
      <c r="AM4351" s="49"/>
      <c r="AN4351" s="49"/>
      <c r="AP4351" s="49"/>
      <c r="AQ4351" s="49"/>
      <c r="AR4351" s="49"/>
      <c r="AS4351" s="49"/>
      <c r="AT4351" s="49"/>
    </row>
    <row r="4352">
      <c r="A4352" s="59"/>
      <c r="B4352" s="49"/>
      <c r="C4352" s="50"/>
      <c r="D4352" s="49"/>
      <c r="E4352" s="49"/>
      <c r="F4352" s="49"/>
      <c r="G4352" s="49"/>
      <c r="H4352" s="50"/>
      <c r="I4352" s="50"/>
      <c r="J4352" s="49"/>
      <c r="K4352" s="49"/>
      <c r="L4352" s="49"/>
      <c r="M4352" s="49"/>
      <c r="N4352" s="50"/>
      <c r="O4352" s="49"/>
      <c r="P4352" s="49"/>
      <c r="Q4352" s="49"/>
      <c r="R4352" s="49"/>
      <c r="S4352" s="49"/>
      <c r="T4352" s="49"/>
      <c r="U4352" s="49"/>
      <c r="V4352" s="49"/>
      <c r="W4352" s="49"/>
      <c r="X4352" s="49"/>
      <c r="Y4352" s="49"/>
      <c r="Z4352" s="49"/>
      <c r="AA4352" s="49"/>
      <c r="AB4352" s="49"/>
      <c r="AC4352" s="49"/>
      <c r="AD4352" s="49"/>
      <c r="AE4352" s="49"/>
      <c r="AF4352" s="49"/>
      <c r="AG4352" s="49"/>
      <c r="AH4352" s="49"/>
      <c r="AI4352" s="49"/>
      <c r="AJ4352" s="49"/>
      <c r="AK4352" s="49"/>
      <c r="AL4352" s="49"/>
      <c r="AM4352" s="49"/>
      <c r="AN4352" s="49"/>
      <c r="AP4352" s="49"/>
      <c r="AQ4352" s="49"/>
      <c r="AR4352" s="49"/>
      <c r="AS4352" s="49"/>
      <c r="AT4352" s="49"/>
    </row>
    <row r="4353">
      <c r="A4353" s="59"/>
      <c r="B4353" s="49"/>
      <c r="C4353" s="50"/>
      <c r="D4353" s="49"/>
      <c r="E4353" s="49"/>
      <c r="F4353" s="49"/>
      <c r="G4353" s="49"/>
      <c r="H4353" s="50"/>
      <c r="I4353" s="50"/>
      <c r="J4353" s="49"/>
      <c r="K4353" s="49"/>
      <c r="L4353" s="49"/>
      <c r="M4353" s="49"/>
      <c r="N4353" s="50"/>
      <c r="O4353" s="49"/>
      <c r="P4353" s="49"/>
      <c r="Q4353" s="49"/>
      <c r="R4353" s="49"/>
      <c r="S4353" s="49"/>
      <c r="T4353" s="49"/>
      <c r="U4353" s="49"/>
      <c r="V4353" s="49"/>
      <c r="W4353" s="49"/>
      <c r="X4353" s="49"/>
      <c r="Y4353" s="49"/>
      <c r="Z4353" s="49"/>
      <c r="AA4353" s="49"/>
      <c r="AB4353" s="49"/>
      <c r="AC4353" s="49"/>
      <c r="AD4353" s="49"/>
      <c r="AE4353" s="49"/>
      <c r="AF4353" s="49"/>
      <c r="AG4353" s="49"/>
      <c r="AH4353" s="49"/>
      <c r="AI4353" s="49"/>
      <c r="AJ4353" s="49"/>
      <c r="AK4353" s="49"/>
      <c r="AL4353" s="49"/>
      <c r="AM4353" s="49"/>
      <c r="AN4353" s="49"/>
      <c r="AP4353" s="49"/>
      <c r="AQ4353" s="49"/>
      <c r="AR4353" s="49"/>
      <c r="AS4353" s="49"/>
      <c r="AT4353" s="49"/>
    </row>
    <row r="4354">
      <c r="A4354" s="59"/>
      <c r="B4354" s="49"/>
      <c r="C4354" s="50"/>
      <c r="D4354" s="49"/>
      <c r="E4354" s="49"/>
      <c r="F4354" s="49"/>
      <c r="G4354" s="49"/>
      <c r="H4354" s="50"/>
      <c r="I4354" s="50"/>
      <c r="J4354" s="49"/>
      <c r="K4354" s="49"/>
      <c r="L4354" s="49"/>
      <c r="M4354" s="49"/>
      <c r="N4354" s="50"/>
      <c r="O4354" s="49"/>
      <c r="P4354" s="49"/>
      <c r="Q4354" s="49"/>
      <c r="R4354" s="49"/>
      <c r="S4354" s="49"/>
      <c r="T4354" s="49"/>
      <c r="U4354" s="49"/>
      <c r="V4354" s="49"/>
      <c r="W4354" s="49"/>
      <c r="X4354" s="49"/>
      <c r="Y4354" s="49"/>
      <c r="Z4354" s="49"/>
      <c r="AA4354" s="49"/>
      <c r="AB4354" s="49"/>
      <c r="AC4354" s="49"/>
      <c r="AD4354" s="49"/>
      <c r="AE4354" s="49"/>
      <c r="AF4354" s="49"/>
      <c r="AG4354" s="49"/>
      <c r="AH4354" s="49"/>
      <c r="AI4354" s="49"/>
      <c r="AJ4354" s="49"/>
      <c r="AK4354" s="49"/>
      <c r="AL4354" s="49"/>
      <c r="AM4354" s="49"/>
      <c r="AN4354" s="49"/>
      <c r="AP4354" s="49"/>
      <c r="AQ4354" s="49"/>
      <c r="AR4354" s="49"/>
      <c r="AS4354" s="49"/>
      <c r="AT4354" s="49"/>
    </row>
    <row r="4355">
      <c r="A4355" s="59"/>
      <c r="B4355" s="49"/>
      <c r="C4355" s="50"/>
      <c r="D4355" s="49"/>
      <c r="E4355" s="49"/>
      <c r="F4355" s="49"/>
      <c r="G4355" s="49"/>
      <c r="H4355" s="50"/>
      <c r="I4355" s="50"/>
      <c r="J4355" s="49"/>
      <c r="K4355" s="49"/>
      <c r="L4355" s="49"/>
      <c r="M4355" s="49"/>
      <c r="N4355" s="50"/>
      <c r="O4355" s="49"/>
      <c r="P4355" s="49"/>
      <c r="Q4355" s="49"/>
      <c r="R4355" s="49"/>
      <c r="S4355" s="49"/>
      <c r="T4355" s="49"/>
      <c r="U4355" s="49"/>
      <c r="V4355" s="49"/>
      <c r="W4355" s="49"/>
      <c r="X4355" s="49"/>
      <c r="Y4355" s="49"/>
      <c r="Z4355" s="49"/>
      <c r="AA4355" s="49"/>
      <c r="AB4355" s="49"/>
      <c r="AC4355" s="49"/>
      <c r="AD4355" s="49"/>
      <c r="AE4355" s="49"/>
      <c r="AF4355" s="49"/>
      <c r="AG4355" s="49"/>
      <c r="AH4355" s="49"/>
      <c r="AI4355" s="49"/>
      <c r="AJ4355" s="49"/>
      <c r="AK4355" s="49"/>
      <c r="AL4355" s="49"/>
      <c r="AM4355" s="49"/>
      <c r="AN4355" s="49"/>
      <c r="AP4355" s="49"/>
      <c r="AQ4355" s="49"/>
      <c r="AR4355" s="49"/>
      <c r="AS4355" s="49"/>
      <c r="AT4355" s="49"/>
    </row>
    <row r="4356">
      <c r="A4356" s="59"/>
      <c r="B4356" s="49"/>
      <c r="C4356" s="50"/>
      <c r="D4356" s="49"/>
      <c r="E4356" s="49"/>
      <c r="F4356" s="49"/>
      <c r="G4356" s="49"/>
      <c r="H4356" s="50"/>
      <c r="I4356" s="50"/>
      <c r="J4356" s="49"/>
      <c r="K4356" s="49"/>
      <c r="L4356" s="49"/>
      <c r="M4356" s="49"/>
      <c r="N4356" s="50"/>
      <c r="O4356" s="49"/>
      <c r="P4356" s="49"/>
      <c r="Q4356" s="49"/>
      <c r="R4356" s="49"/>
      <c r="S4356" s="49"/>
      <c r="T4356" s="49"/>
      <c r="U4356" s="49"/>
      <c r="V4356" s="49"/>
      <c r="W4356" s="49"/>
      <c r="X4356" s="49"/>
      <c r="Y4356" s="49"/>
      <c r="Z4356" s="49"/>
      <c r="AA4356" s="49"/>
      <c r="AB4356" s="49"/>
      <c r="AC4356" s="49"/>
      <c r="AD4356" s="49"/>
      <c r="AE4356" s="49"/>
      <c r="AF4356" s="49"/>
      <c r="AG4356" s="49"/>
      <c r="AH4356" s="49"/>
      <c r="AI4356" s="49"/>
      <c r="AJ4356" s="49"/>
      <c r="AK4356" s="49"/>
      <c r="AL4356" s="49"/>
      <c r="AM4356" s="49"/>
      <c r="AN4356" s="49"/>
      <c r="AP4356" s="49"/>
      <c r="AQ4356" s="49"/>
      <c r="AR4356" s="49"/>
      <c r="AS4356" s="49"/>
      <c r="AT4356" s="49"/>
    </row>
    <row r="4357">
      <c r="A4357" s="59"/>
      <c r="B4357" s="49"/>
      <c r="C4357" s="50"/>
      <c r="D4357" s="49"/>
      <c r="E4357" s="49"/>
      <c r="F4357" s="49"/>
      <c r="G4357" s="49"/>
      <c r="H4357" s="50"/>
      <c r="I4357" s="50"/>
      <c r="J4357" s="49"/>
      <c r="K4357" s="49"/>
      <c r="L4357" s="49"/>
      <c r="M4357" s="49"/>
      <c r="N4357" s="50"/>
      <c r="O4357" s="49"/>
      <c r="P4357" s="49"/>
      <c r="Q4357" s="49"/>
      <c r="R4357" s="49"/>
      <c r="S4357" s="49"/>
      <c r="T4357" s="49"/>
      <c r="U4357" s="49"/>
      <c r="V4357" s="49"/>
      <c r="W4357" s="49"/>
      <c r="X4357" s="49"/>
      <c r="Y4357" s="49"/>
      <c r="Z4357" s="49"/>
      <c r="AA4357" s="49"/>
      <c r="AB4357" s="49"/>
      <c r="AC4357" s="49"/>
      <c r="AD4357" s="49"/>
      <c r="AE4357" s="49"/>
      <c r="AF4357" s="49"/>
      <c r="AG4357" s="49"/>
      <c r="AH4357" s="49"/>
      <c r="AI4357" s="49"/>
      <c r="AJ4357" s="49"/>
      <c r="AK4357" s="49"/>
      <c r="AL4357" s="49"/>
      <c r="AM4357" s="49"/>
      <c r="AN4357" s="49"/>
      <c r="AP4357" s="49"/>
      <c r="AQ4357" s="49"/>
      <c r="AR4357" s="49"/>
      <c r="AS4357" s="49"/>
      <c r="AT4357" s="49"/>
    </row>
    <row r="4358">
      <c r="A4358" s="59"/>
      <c r="B4358" s="49"/>
      <c r="C4358" s="50"/>
      <c r="D4358" s="49"/>
      <c r="E4358" s="49"/>
      <c r="F4358" s="49"/>
      <c r="G4358" s="49"/>
      <c r="H4358" s="50"/>
      <c r="I4358" s="50"/>
      <c r="J4358" s="49"/>
      <c r="K4358" s="49"/>
      <c r="L4358" s="49"/>
      <c r="M4358" s="49"/>
      <c r="N4358" s="50"/>
      <c r="O4358" s="49"/>
      <c r="P4358" s="49"/>
      <c r="Q4358" s="49"/>
      <c r="R4358" s="49"/>
      <c r="S4358" s="49"/>
      <c r="T4358" s="49"/>
      <c r="U4358" s="49"/>
      <c r="V4358" s="49"/>
      <c r="W4358" s="49"/>
      <c r="X4358" s="49"/>
      <c r="Y4358" s="49"/>
      <c r="Z4358" s="49"/>
      <c r="AA4358" s="49"/>
      <c r="AB4358" s="49"/>
      <c r="AC4358" s="49"/>
      <c r="AD4358" s="49"/>
      <c r="AE4358" s="49"/>
      <c r="AF4358" s="49"/>
      <c r="AG4358" s="49"/>
      <c r="AH4358" s="49"/>
      <c r="AI4358" s="49"/>
      <c r="AJ4358" s="49"/>
      <c r="AK4358" s="49"/>
      <c r="AL4358" s="49"/>
      <c r="AM4358" s="49"/>
      <c r="AN4358" s="49"/>
      <c r="AP4358" s="49"/>
      <c r="AQ4358" s="49"/>
      <c r="AR4358" s="49"/>
      <c r="AS4358" s="49"/>
      <c r="AT4358" s="49"/>
    </row>
    <row r="4359">
      <c r="A4359" s="59"/>
      <c r="B4359" s="49"/>
      <c r="C4359" s="50"/>
      <c r="D4359" s="49"/>
      <c r="E4359" s="49"/>
      <c r="F4359" s="49"/>
      <c r="G4359" s="49"/>
      <c r="H4359" s="50"/>
      <c r="I4359" s="50"/>
      <c r="J4359" s="49"/>
      <c r="K4359" s="49"/>
      <c r="L4359" s="49"/>
      <c r="M4359" s="49"/>
      <c r="N4359" s="50"/>
      <c r="O4359" s="49"/>
      <c r="P4359" s="49"/>
      <c r="Q4359" s="49"/>
      <c r="R4359" s="49"/>
      <c r="S4359" s="49"/>
      <c r="T4359" s="49"/>
      <c r="U4359" s="49"/>
      <c r="V4359" s="49"/>
      <c r="W4359" s="49"/>
      <c r="X4359" s="49"/>
      <c r="Y4359" s="49"/>
      <c r="Z4359" s="49"/>
      <c r="AA4359" s="49"/>
      <c r="AB4359" s="49"/>
      <c r="AC4359" s="49"/>
      <c r="AD4359" s="49"/>
      <c r="AE4359" s="49"/>
      <c r="AF4359" s="49"/>
      <c r="AG4359" s="49"/>
      <c r="AH4359" s="49"/>
      <c r="AI4359" s="49"/>
      <c r="AJ4359" s="49"/>
      <c r="AK4359" s="49"/>
      <c r="AL4359" s="49"/>
      <c r="AM4359" s="49"/>
      <c r="AN4359" s="49"/>
      <c r="AP4359" s="49"/>
      <c r="AQ4359" s="49"/>
      <c r="AR4359" s="49"/>
      <c r="AS4359" s="49"/>
      <c r="AT4359" s="49"/>
    </row>
    <row r="4360">
      <c r="A4360" s="59"/>
      <c r="B4360" s="49"/>
      <c r="C4360" s="50"/>
      <c r="D4360" s="49"/>
      <c r="E4360" s="49"/>
      <c r="F4360" s="49"/>
      <c r="G4360" s="49"/>
      <c r="H4360" s="50"/>
      <c r="I4360" s="50"/>
      <c r="J4360" s="49"/>
      <c r="K4360" s="49"/>
      <c r="L4360" s="49"/>
      <c r="M4360" s="49"/>
      <c r="N4360" s="50"/>
      <c r="O4360" s="49"/>
      <c r="P4360" s="49"/>
      <c r="Q4360" s="49"/>
      <c r="R4360" s="49"/>
      <c r="S4360" s="49"/>
      <c r="T4360" s="49"/>
      <c r="U4360" s="49"/>
      <c r="V4360" s="49"/>
      <c r="W4360" s="49"/>
      <c r="X4360" s="49"/>
      <c r="Y4360" s="49"/>
      <c r="Z4360" s="49"/>
      <c r="AA4360" s="49"/>
      <c r="AB4360" s="49"/>
      <c r="AC4360" s="49"/>
      <c r="AD4360" s="49"/>
      <c r="AE4360" s="49"/>
      <c r="AF4360" s="49"/>
      <c r="AG4360" s="49"/>
      <c r="AH4360" s="49"/>
      <c r="AI4360" s="49"/>
      <c r="AJ4360" s="49"/>
      <c r="AK4360" s="49"/>
      <c r="AL4360" s="49"/>
      <c r="AM4360" s="49"/>
      <c r="AN4360" s="49"/>
      <c r="AP4360" s="49"/>
      <c r="AQ4360" s="49"/>
      <c r="AR4360" s="49"/>
      <c r="AS4360" s="49"/>
      <c r="AT4360" s="49"/>
    </row>
    <row r="4361">
      <c r="A4361" s="59"/>
      <c r="B4361" s="49"/>
      <c r="C4361" s="50"/>
      <c r="D4361" s="49"/>
      <c r="E4361" s="49"/>
      <c r="F4361" s="49"/>
      <c r="G4361" s="49"/>
      <c r="H4361" s="50"/>
      <c r="I4361" s="50"/>
      <c r="J4361" s="49"/>
      <c r="K4361" s="49"/>
      <c r="L4361" s="49"/>
      <c r="M4361" s="49"/>
      <c r="N4361" s="50"/>
      <c r="O4361" s="49"/>
      <c r="P4361" s="49"/>
      <c r="Q4361" s="49"/>
      <c r="R4361" s="49"/>
      <c r="S4361" s="49"/>
      <c r="T4361" s="49"/>
      <c r="U4361" s="49"/>
      <c r="V4361" s="49"/>
      <c r="W4361" s="49"/>
      <c r="X4361" s="49"/>
      <c r="Y4361" s="49"/>
      <c r="Z4361" s="49"/>
      <c r="AA4361" s="49"/>
      <c r="AB4361" s="49"/>
      <c r="AC4361" s="49"/>
      <c r="AD4361" s="49"/>
      <c r="AE4361" s="49"/>
      <c r="AF4361" s="49"/>
      <c r="AG4361" s="49"/>
      <c r="AH4361" s="49"/>
      <c r="AI4361" s="49"/>
      <c r="AJ4361" s="49"/>
      <c r="AK4361" s="49"/>
      <c r="AL4361" s="49"/>
      <c r="AM4361" s="49"/>
      <c r="AN4361" s="49"/>
      <c r="AP4361" s="49"/>
      <c r="AQ4361" s="49"/>
      <c r="AR4361" s="49"/>
      <c r="AS4361" s="49"/>
      <c r="AT4361" s="49"/>
    </row>
    <row r="4362">
      <c r="A4362" s="59"/>
      <c r="B4362" s="49"/>
      <c r="C4362" s="50"/>
      <c r="D4362" s="49"/>
      <c r="E4362" s="49"/>
      <c r="F4362" s="49"/>
      <c r="G4362" s="49"/>
      <c r="H4362" s="50"/>
      <c r="I4362" s="50"/>
      <c r="J4362" s="49"/>
      <c r="K4362" s="49"/>
      <c r="L4362" s="49"/>
      <c r="M4362" s="49"/>
      <c r="N4362" s="50"/>
      <c r="O4362" s="49"/>
      <c r="P4362" s="49"/>
      <c r="Q4362" s="49"/>
      <c r="R4362" s="49"/>
      <c r="S4362" s="49"/>
      <c r="T4362" s="49"/>
      <c r="U4362" s="49"/>
      <c r="V4362" s="49"/>
      <c r="W4362" s="49"/>
      <c r="X4362" s="49"/>
      <c r="Y4362" s="49"/>
      <c r="Z4362" s="49"/>
      <c r="AA4362" s="49"/>
      <c r="AB4362" s="49"/>
      <c r="AC4362" s="49"/>
      <c r="AD4362" s="49"/>
      <c r="AE4362" s="49"/>
      <c r="AF4362" s="49"/>
      <c r="AG4362" s="49"/>
      <c r="AH4362" s="49"/>
      <c r="AI4362" s="49"/>
      <c r="AJ4362" s="49"/>
      <c r="AK4362" s="49"/>
      <c r="AL4362" s="49"/>
      <c r="AM4362" s="49"/>
      <c r="AN4362" s="49"/>
      <c r="AP4362" s="49"/>
      <c r="AQ4362" s="49"/>
      <c r="AR4362" s="49"/>
      <c r="AS4362" s="49"/>
      <c r="AT4362" s="49"/>
    </row>
    <row r="4363">
      <c r="A4363" s="59"/>
      <c r="B4363" s="49"/>
      <c r="C4363" s="50"/>
      <c r="D4363" s="49"/>
      <c r="E4363" s="49"/>
      <c r="F4363" s="49"/>
      <c r="G4363" s="49"/>
      <c r="H4363" s="50"/>
      <c r="I4363" s="50"/>
      <c r="J4363" s="49"/>
      <c r="K4363" s="49"/>
      <c r="L4363" s="49"/>
      <c r="M4363" s="49"/>
      <c r="N4363" s="50"/>
      <c r="O4363" s="49"/>
      <c r="P4363" s="49"/>
      <c r="Q4363" s="49"/>
      <c r="R4363" s="49"/>
      <c r="S4363" s="49"/>
      <c r="T4363" s="49"/>
      <c r="U4363" s="49"/>
      <c r="V4363" s="49"/>
      <c r="W4363" s="49"/>
      <c r="X4363" s="49"/>
      <c r="Y4363" s="49"/>
      <c r="Z4363" s="49"/>
      <c r="AA4363" s="49"/>
      <c r="AB4363" s="49"/>
      <c r="AC4363" s="49"/>
      <c r="AD4363" s="49"/>
      <c r="AE4363" s="49"/>
      <c r="AF4363" s="49"/>
      <c r="AG4363" s="49"/>
      <c r="AH4363" s="49"/>
      <c r="AI4363" s="49"/>
      <c r="AJ4363" s="49"/>
      <c r="AK4363" s="49"/>
      <c r="AL4363" s="49"/>
      <c r="AM4363" s="49"/>
      <c r="AN4363" s="49"/>
      <c r="AP4363" s="49"/>
      <c r="AQ4363" s="49"/>
      <c r="AR4363" s="49"/>
      <c r="AS4363" s="49"/>
      <c r="AT4363" s="49"/>
    </row>
    <row r="4364">
      <c r="A4364" s="59"/>
      <c r="B4364" s="49"/>
      <c r="C4364" s="50"/>
      <c r="D4364" s="49"/>
      <c r="E4364" s="49"/>
      <c r="F4364" s="49"/>
      <c r="G4364" s="49"/>
      <c r="H4364" s="50"/>
      <c r="I4364" s="50"/>
      <c r="J4364" s="49"/>
      <c r="K4364" s="49"/>
      <c r="L4364" s="49"/>
      <c r="M4364" s="49"/>
      <c r="N4364" s="50"/>
      <c r="O4364" s="49"/>
      <c r="P4364" s="49"/>
      <c r="Q4364" s="49"/>
      <c r="R4364" s="49"/>
      <c r="S4364" s="49"/>
      <c r="T4364" s="49"/>
      <c r="U4364" s="49"/>
      <c r="V4364" s="49"/>
      <c r="W4364" s="49"/>
      <c r="X4364" s="49"/>
      <c r="Y4364" s="49"/>
      <c r="Z4364" s="49"/>
      <c r="AA4364" s="49"/>
      <c r="AB4364" s="49"/>
      <c r="AC4364" s="49"/>
      <c r="AD4364" s="49"/>
      <c r="AE4364" s="49"/>
      <c r="AF4364" s="49"/>
      <c r="AG4364" s="49"/>
      <c r="AH4364" s="49"/>
      <c r="AI4364" s="49"/>
      <c r="AJ4364" s="49"/>
      <c r="AK4364" s="49"/>
      <c r="AL4364" s="49"/>
      <c r="AM4364" s="49"/>
      <c r="AN4364" s="49"/>
      <c r="AP4364" s="49"/>
      <c r="AQ4364" s="49"/>
      <c r="AR4364" s="49"/>
      <c r="AS4364" s="49"/>
      <c r="AT4364" s="49"/>
    </row>
    <row r="4365">
      <c r="A4365" s="59"/>
      <c r="B4365" s="49"/>
      <c r="C4365" s="50"/>
      <c r="D4365" s="49"/>
      <c r="E4365" s="49"/>
      <c r="F4365" s="49"/>
      <c r="G4365" s="49"/>
      <c r="H4365" s="50"/>
      <c r="I4365" s="50"/>
      <c r="J4365" s="49"/>
      <c r="K4365" s="49"/>
      <c r="L4365" s="49"/>
      <c r="M4365" s="49"/>
      <c r="N4365" s="50"/>
      <c r="O4365" s="49"/>
      <c r="P4365" s="49"/>
      <c r="Q4365" s="49"/>
      <c r="R4365" s="49"/>
      <c r="S4365" s="49"/>
      <c r="T4365" s="49"/>
      <c r="U4365" s="49"/>
      <c r="V4365" s="49"/>
      <c r="W4365" s="49"/>
      <c r="X4365" s="49"/>
      <c r="Y4365" s="49"/>
      <c r="Z4365" s="49"/>
      <c r="AA4365" s="49"/>
      <c r="AB4365" s="49"/>
      <c r="AC4365" s="49"/>
      <c r="AD4365" s="49"/>
      <c r="AE4365" s="49"/>
      <c r="AF4365" s="49"/>
      <c r="AG4365" s="49"/>
      <c r="AH4365" s="49"/>
      <c r="AI4365" s="49"/>
      <c r="AJ4365" s="49"/>
      <c r="AK4365" s="49"/>
      <c r="AL4365" s="49"/>
      <c r="AM4365" s="49"/>
      <c r="AN4365" s="49"/>
      <c r="AP4365" s="49"/>
      <c r="AQ4365" s="49"/>
      <c r="AR4365" s="49"/>
      <c r="AS4365" s="49"/>
      <c r="AT4365" s="49"/>
    </row>
    <row r="4366">
      <c r="A4366" s="59"/>
      <c r="B4366" s="49"/>
      <c r="C4366" s="50"/>
      <c r="D4366" s="49"/>
      <c r="E4366" s="49"/>
      <c r="F4366" s="49"/>
      <c r="G4366" s="49"/>
      <c r="H4366" s="50"/>
      <c r="I4366" s="50"/>
      <c r="J4366" s="49"/>
      <c r="K4366" s="49"/>
      <c r="L4366" s="49"/>
      <c r="M4366" s="49"/>
      <c r="N4366" s="50"/>
      <c r="O4366" s="49"/>
      <c r="P4366" s="49"/>
      <c r="Q4366" s="49"/>
      <c r="R4366" s="49"/>
      <c r="S4366" s="49"/>
      <c r="T4366" s="49"/>
      <c r="U4366" s="49"/>
      <c r="V4366" s="49"/>
      <c r="W4366" s="49"/>
      <c r="X4366" s="49"/>
      <c r="Y4366" s="49"/>
      <c r="Z4366" s="49"/>
      <c r="AA4366" s="49"/>
      <c r="AB4366" s="49"/>
      <c r="AC4366" s="49"/>
      <c r="AD4366" s="49"/>
      <c r="AE4366" s="49"/>
      <c r="AF4366" s="49"/>
      <c r="AG4366" s="49"/>
      <c r="AH4366" s="49"/>
      <c r="AI4366" s="49"/>
      <c r="AJ4366" s="49"/>
      <c r="AK4366" s="49"/>
      <c r="AL4366" s="49"/>
      <c r="AM4366" s="49"/>
      <c r="AN4366" s="49"/>
      <c r="AP4366" s="49"/>
      <c r="AQ4366" s="49"/>
      <c r="AR4366" s="49"/>
      <c r="AS4366" s="49"/>
      <c r="AT4366" s="49"/>
    </row>
    <row r="4367">
      <c r="A4367" s="59"/>
      <c r="B4367" s="49"/>
      <c r="C4367" s="50"/>
      <c r="D4367" s="49"/>
      <c r="E4367" s="49"/>
      <c r="F4367" s="49"/>
      <c r="G4367" s="49"/>
      <c r="H4367" s="50"/>
      <c r="I4367" s="50"/>
      <c r="J4367" s="49"/>
      <c r="K4367" s="49"/>
      <c r="L4367" s="49"/>
      <c r="M4367" s="49"/>
      <c r="N4367" s="50"/>
      <c r="O4367" s="49"/>
      <c r="P4367" s="49"/>
      <c r="Q4367" s="49"/>
      <c r="R4367" s="49"/>
      <c r="S4367" s="49"/>
      <c r="T4367" s="49"/>
      <c r="U4367" s="49"/>
      <c r="V4367" s="49"/>
      <c r="W4367" s="49"/>
      <c r="X4367" s="49"/>
      <c r="Y4367" s="49"/>
      <c r="Z4367" s="49"/>
      <c r="AA4367" s="49"/>
      <c r="AB4367" s="49"/>
      <c r="AC4367" s="49"/>
      <c r="AD4367" s="49"/>
      <c r="AE4367" s="49"/>
      <c r="AF4367" s="49"/>
      <c r="AG4367" s="49"/>
      <c r="AH4367" s="49"/>
      <c r="AI4367" s="49"/>
      <c r="AJ4367" s="49"/>
      <c r="AK4367" s="49"/>
      <c r="AL4367" s="49"/>
      <c r="AM4367" s="49"/>
      <c r="AN4367" s="49"/>
      <c r="AP4367" s="49"/>
      <c r="AQ4367" s="49"/>
      <c r="AR4367" s="49"/>
      <c r="AS4367" s="49"/>
      <c r="AT4367" s="49"/>
    </row>
    <row r="4368">
      <c r="A4368" s="59"/>
      <c r="B4368" s="49"/>
      <c r="C4368" s="50"/>
      <c r="D4368" s="49"/>
      <c r="E4368" s="49"/>
      <c r="F4368" s="49"/>
      <c r="G4368" s="49"/>
      <c r="H4368" s="50"/>
      <c r="I4368" s="50"/>
      <c r="J4368" s="49"/>
      <c r="K4368" s="49"/>
      <c r="L4368" s="49"/>
      <c r="M4368" s="49"/>
      <c r="N4368" s="50"/>
      <c r="O4368" s="49"/>
      <c r="P4368" s="49"/>
      <c r="Q4368" s="49"/>
      <c r="R4368" s="49"/>
      <c r="S4368" s="49"/>
      <c r="T4368" s="49"/>
      <c r="U4368" s="49"/>
      <c r="V4368" s="49"/>
      <c r="W4368" s="49"/>
      <c r="X4368" s="49"/>
      <c r="Y4368" s="49"/>
      <c r="Z4368" s="49"/>
      <c r="AA4368" s="49"/>
      <c r="AB4368" s="49"/>
      <c r="AC4368" s="49"/>
      <c r="AD4368" s="49"/>
      <c r="AE4368" s="49"/>
      <c r="AF4368" s="49"/>
      <c r="AG4368" s="49"/>
      <c r="AH4368" s="49"/>
      <c r="AI4368" s="49"/>
      <c r="AJ4368" s="49"/>
      <c r="AK4368" s="49"/>
      <c r="AL4368" s="49"/>
      <c r="AM4368" s="49"/>
      <c r="AN4368" s="49"/>
      <c r="AP4368" s="49"/>
      <c r="AQ4368" s="49"/>
      <c r="AR4368" s="49"/>
      <c r="AS4368" s="49"/>
      <c r="AT4368" s="49"/>
    </row>
    <row r="4369">
      <c r="A4369" s="59"/>
      <c r="B4369" s="49"/>
      <c r="C4369" s="50"/>
      <c r="D4369" s="49"/>
      <c r="E4369" s="49"/>
      <c r="F4369" s="49"/>
      <c r="G4369" s="49"/>
      <c r="H4369" s="50"/>
      <c r="I4369" s="50"/>
      <c r="J4369" s="49"/>
      <c r="K4369" s="49"/>
      <c r="L4369" s="49"/>
      <c r="M4369" s="49"/>
      <c r="N4369" s="50"/>
      <c r="O4369" s="49"/>
      <c r="P4369" s="49"/>
      <c r="Q4369" s="49"/>
      <c r="R4369" s="49"/>
      <c r="S4369" s="49"/>
      <c r="T4369" s="49"/>
      <c r="U4369" s="49"/>
      <c r="V4369" s="49"/>
      <c r="W4369" s="49"/>
      <c r="X4369" s="49"/>
      <c r="Y4369" s="49"/>
      <c r="Z4369" s="49"/>
      <c r="AA4369" s="49"/>
      <c r="AB4369" s="49"/>
      <c r="AC4369" s="49"/>
      <c r="AD4369" s="49"/>
      <c r="AE4369" s="49"/>
      <c r="AF4369" s="49"/>
      <c r="AG4369" s="49"/>
      <c r="AH4369" s="49"/>
      <c r="AI4369" s="49"/>
      <c r="AJ4369" s="49"/>
      <c r="AK4369" s="49"/>
      <c r="AL4369" s="49"/>
      <c r="AM4369" s="49"/>
      <c r="AN4369" s="49"/>
      <c r="AP4369" s="49"/>
      <c r="AQ4369" s="49"/>
      <c r="AR4369" s="49"/>
      <c r="AS4369" s="49"/>
      <c r="AT4369" s="49"/>
    </row>
    <row r="4370">
      <c r="A4370" s="59"/>
      <c r="B4370" s="49"/>
      <c r="C4370" s="50"/>
      <c r="D4370" s="49"/>
      <c r="E4370" s="49"/>
      <c r="F4370" s="49"/>
      <c r="G4370" s="49"/>
      <c r="H4370" s="50"/>
      <c r="I4370" s="50"/>
      <c r="J4370" s="49"/>
      <c r="K4370" s="49"/>
      <c r="L4370" s="49"/>
      <c r="M4370" s="49"/>
      <c r="N4370" s="50"/>
      <c r="O4370" s="49"/>
      <c r="P4370" s="49"/>
      <c r="Q4370" s="49"/>
      <c r="R4370" s="49"/>
      <c r="S4370" s="49"/>
      <c r="T4370" s="49"/>
      <c r="U4370" s="49"/>
      <c r="V4370" s="49"/>
      <c r="W4370" s="49"/>
      <c r="X4370" s="49"/>
      <c r="Y4370" s="49"/>
      <c r="Z4370" s="49"/>
      <c r="AA4370" s="49"/>
      <c r="AB4370" s="49"/>
      <c r="AC4370" s="49"/>
      <c r="AD4370" s="49"/>
      <c r="AE4370" s="49"/>
      <c r="AF4370" s="49"/>
      <c r="AG4370" s="49"/>
      <c r="AH4370" s="49"/>
      <c r="AI4370" s="49"/>
      <c r="AJ4370" s="49"/>
      <c r="AK4370" s="49"/>
      <c r="AL4370" s="49"/>
      <c r="AM4370" s="49"/>
      <c r="AN4370" s="49"/>
      <c r="AP4370" s="49"/>
      <c r="AQ4370" s="49"/>
      <c r="AR4370" s="49"/>
      <c r="AS4370" s="49"/>
      <c r="AT4370" s="49"/>
    </row>
    <row r="4371">
      <c r="A4371" s="59"/>
      <c r="B4371" s="49"/>
      <c r="C4371" s="50"/>
      <c r="D4371" s="49"/>
      <c r="E4371" s="49"/>
      <c r="F4371" s="49"/>
      <c r="G4371" s="49"/>
      <c r="H4371" s="50"/>
      <c r="I4371" s="50"/>
      <c r="J4371" s="49"/>
      <c r="K4371" s="49"/>
      <c r="L4371" s="49"/>
      <c r="M4371" s="49"/>
      <c r="N4371" s="50"/>
      <c r="O4371" s="49"/>
      <c r="P4371" s="49"/>
      <c r="Q4371" s="49"/>
      <c r="R4371" s="49"/>
      <c r="S4371" s="49"/>
      <c r="T4371" s="49"/>
      <c r="U4371" s="49"/>
      <c r="V4371" s="49"/>
      <c r="W4371" s="49"/>
      <c r="X4371" s="49"/>
      <c r="Y4371" s="49"/>
      <c r="Z4371" s="49"/>
      <c r="AA4371" s="49"/>
      <c r="AB4371" s="49"/>
      <c r="AC4371" s="49"/>
      <c r="AD4371" s="49"/>
      <c r="AE4371" s="49"/>
      <c r="AF4371" s="49"/>
      <c r="AG4371" s="49"/>
      <c r="AH4371" s="49"/>
      <c r="AI4371" s="49"/>
      <c r="AJ4371" s="49"/>
      <c r="AK4371" s="49"/>
      <c r="AL4371" s="49"/>
      <c r="AM4371" s="49"/>
      <c r="AN4371" s="49"/>
      <c r="AP4371" s="49"/>
      <c r="AQ4371" s="49"/>
      <c r="AR4371" s="49"/>
      <c r="AS4371" s="49"/>
      <c r="AT4371" s="49"/>
    </row>
    <row r="4372">
      <c r="A4372" s="59"/>
      <c r="B4372" s="49"/>
      <c r="C4372" s="50"/>
      <c r="D4372" s="49"/>
      <c r="E4372" s="49"/>
      <c r="F4372" s="49"/>
      <c r="G4372" s="49"/>
      <c r="H4372" s="50"/>
      <c r="I4372" s="50"/>
      <c r="J4372" s="49"/>
      <c r="K4372" s="49"/>
      <c r="L4372" s="49"/>
      <c r="M4372" s="49"/>
      <c r="N4372" s="50"/>
      <c r="O4372" s="49"/>
      <c r="P4372" s="49"/>
      <c r="Q4372" s="49"/>
      <c r="R4372" s="49"/>
      <c r="S4372" s="49"/>
      <c r="T4372" s="49"/>
      <c r="U4372" s="49"/>
      <c r="V4372" s="49"/>
      <c r="W4372" s="49"/>
      <c r="X4372" s="49"/>
      <c r="Y4372" s="49"/>
      <c r="Z4372" s="49"/>
      <c r="AA4372" s="49"/>
      <c r="AB4372" s="49"/>
      <c r="AC4372" s="49"/>
      <c r="AD4372" s="49"/>
      <c r="AE4372" s="49"/>
      <c r="AF4372" s="49"/>
      <c r="AG4372" s="49"/>
      <c r="AH4372" s="49"/>
      <c r="AI4372" s="49"/>
      <c r="AJ4372" s="49"/>
      <c r="AK4372" s="49"/>
      <c r="AL4372" s="49"/>
      <c r="AM4372" s="49"/>
      <c r="AN4372" s="49"/>
      <c r="AP4372" s="49"/>
      <c r="AQ4372" s="49"/>
      <c r="AR4372" s="49"/>
      <c r="AS4372" s="49"/>
      <c r="AT4372" s="49"/>
    </row>
    <row r="4373">
      <c r="A4373" s="59"/>
      <c r="B4373" s="49"/>
      <c r="C4373" s="50"/>
      <c r="D4373" s="49"/>
      <c r="E4373" s="49"/>
      <c r="F4373" s="49"/>
      <c r="G4373" s="49"/>
      <c r="H4373" s="50"/>
      <c r="I4373" s="50"/>
      <c r="J4373" s="49"/>
      <c r="K4373" s="49"/>
      <c r="L4373" s="49"/>
      <c r="M4373" s="49"/>
      <c r="N4373" s="50"/>
      <c r="O4373" s="49"/>
      <c r="P4373" s="49"/>
      <c r="Q4373" s="49"/>
      <c r="R4373" s="49"/>
      <c r="S4373" s="49"/>
      <c r="T4373" s="49"/>
      <c r="U4373" s="49"/>
      <c r="V4373" s="49"/>
      <c r="W4373" s="49"/>
      <c r="X4373" s="49"/>
      <c r="Y4373" s="49"/>
      <c r="Z4373" s="49"/>
      <c r="AA4373" s="49"/>
      <c r="AB4373" s="49"/>
      <c r="AC4373" s="49"/>
      <c r="AD4373" s="49"/>
      <c r="AE4373" s="49"/>
      <c r="AF4373" s="49"/>
      <c r="AG4373" s="49"/>
      <c r="AH4373" s="49"/>
      <c r="AI4373" s="49"/>
      <c r="AJ4373" s="49"/>
      <c r="AK4373" s="49"/>
      <c r="AL4373" s="49"/>
      <c r="AM4373" s="49"/>
      <c r="AN4373" s="49"/>
      <c r="AP4373" s="49"/>
      <c r="AQ4373" s="49"/>
      <c r="AR4373" s="49"/>
      <c r="AS4373" s="49"/>
      <c r="AT4373" s="49"/>
    </row>
    <row r="4374">
      <c r="A4374" s="59"/>
      <c r="B4374" s="49"/>
      <c r="C4374" s="50"/>
      <c r="D4374" s="49"/>
      <c r="E4374" s="49"/>
      <c r="F4374" s="49"/>
      <c r="G4374" s="49"/>
      <c r="H4374" s="50"/>
      <c r="I4374" s="50"/>
      <c r="J4374" s="49"/>
      <c r="K4374" s="49"/>
      <c r="L4374" s="49"/>
      <c r="M4374" s="49"/>
      <c r="N4374" s="50"/>
      <c r="O4374" s="49"/>
      <c r="P4374" s="49"/>
      <c r="Q4374" s="49"/>
      <c r="R4374" s="49"/>
      <c r="S4374" s="49"/>
      <c r="T4374" s="49"/>
      <c r="U4374" s="49"/>
      <c r="V4374" s="49"/>
      <c r="W4374" s="49"/>
      <c r="X4374" s="49"/>
      <c r="Y4374" s="49"/>
      <c r="Z4374" s="49"/>
      <c r="AA4374" s="49"/>
      <c r="AB4374" s="49"/>
      <c r="AC4374" s="49"/>
      <c r="AD4374" s="49"/>
      <c r="AE4374" s="49"/>
      <c r="AF4374" s="49"/>
      <c r="AG4374" s="49"/>
      <c r="AH4374" s="49"/>
      <c r="AI4374" s="49"/>
      <c r="AJ4374" s="49"/>
      <c r="AK4374" s="49"/>
      <c r="AL4374" s="49"/>
      <c r="AM4374" s="49"/>
      <c r="AN4374" s="49"/>
      <c r="AP4374" s="49"/>
      <c r="AQ4374" s="49"/>
      <c r="AR4374" s="49"/>
      <c r="AS4374" s="49"/>
      <c r="AT4374" s="49"/>
    </row>
    <row r="4375">
      <c r="A4375" s="59"/>
      <c r="B4375" s="49"/>
      <c r="C4375" s="50"/>
      <c r="D4375" s="49"/>
      <c r="E4375" s="49"/>
      <c r="F4375" s="49"/>
      <c r="G4375" s="49"/>
      <c r="H4375" s="50"/>
      <c r="I4375" s="50"/>
      <c r="J4375" s="49"/>
      <c r="K4375" s="49"/>
      <c r="L4375" s="49"/>
      <c r="M4375" s="49"/>
      <c r="N4375" s="50"/>
      <c r="O4375" s="49"/>
      <c r="P4375" s="49"/>
      <c r="Q4375" s="49"/>
      <c r="R4375" s="49"/>
      <c r="S4375" s="49"/>
      <c r="T4375" s="49"/>
      <c r="U4375" s="49"/>
      <c r="V4375" s="49"/>
      <c r="W4375" s="49"/>
      <c r="X4375" s="49"/>
      <c r="Y4375" s="49"/>
      <c r="Z4375" s="49"/>
      <c r="AA4375" s="49"/>
      <c r="AB4375" s="49"/>
      <c r="AC4375" s="49"/>
      <c r="AD4375" s="49"/>
      <c r="AE4375" s="49"/>
      <c r="AF4375" s="49"/>
      <c r="AG4375" s="49"/>
      <c r="AH4375" s="49"/>
      <c r="AI4375" s="49"/>
      <c r="AJ4375" s="49"/>
      <c r="AK4375" s="49"/>
      <c r="AL4375" s="49"/>
      <c r="AM4375" s="49"/>
      <c r="AN4375" s="49"/>
      <c r="AP4375" s="49"/>
      <c r="AQ4375" s="49"/>
      <c r="AR4375" s="49"/>
      <c r="AS4375" s="49"/>
      <c r="AT4375" s="49"/>
    </row>
    <row r="4376">
      <c r="A4376" s="59"/>
      <c r="B4376" s="49"/>
      <c r="C4376" s="50"/>
      <c r="D4376" s="49"/>
      <c r="E4376" s="49"/>
      <c r="F4376" s="49"/>
      <c r="G4376" s="49"/>
      <c r="H4376" s="50"/>
      <c r="I4376" s="50"/>
      <c r="J4376" s="49"/>
      <c r="K4376" s="49"/>
      <c r="L4376" s="49"/>
      <c r="M4376" s="49"/>
      <c r="N4376" s="50"/>
      <c r="O4376" s="49"/>
      <c r="P4376" s="49"/>
      <c r="Q4376" s="49"/>
      <c r="R4376" s="49"/>
      <c r="S4376" s="49"/>
      <c r="T4376" s="49"/>
      <c r="U4376" s="49"/>
      <c r="V4376" s="49"/>
      <c r="W4376" s="49"/>
      <c r="X4376" s="49"/>
      <c r="Y4376" s="49"/>
      <c r="Z4376" s="49"/>
      <c r="AA4376" s="49"/>
      <c r="AB4376" s="49"/>
      <c r="AC4376" s="49"/>
      <c r="AD4376" s="49"/>
      <c r="AE4376" s="49"/>
      <c r="AF4376" s="49"/>
      <c r="AG4376" s="49"/>
      <c r="AH4376" s="49"/>
      <c r="AI4376" s="49"/>
      <c r="AJ4376" s="49"/>
      <c r="AK4376" s="49"/>
      <c r="AL4376" s="49"/>
      <c r="AM4376" s="49"/>
      <c r="AN4376" s="49"/>
      <c r="AP4376" s="49"/>
      <c r="AQ4376" s="49"/>
      <c r="AR4376" s="49"/>
      <c r="AS4376" s="49"/>
      <c r="AT4376" s="49"/>
    </row>
    <row r="4377">
      <c r="A4377" s="59"/>
      <c r="B4377" s="49"/>
      <c r="C4377" s="50"/>
      <c r="D4377" s="49"/>
      <c r="E4377" s="49"/>
      <c r="F4377" s="49"/>
      <c r="G4377" s="49"/>
      <c r="H4377" s="50"/>
      <c r="I4377" s="50"/>
      <c r="J4377" s="49"/>
      <c r="K4377" s="49"/>
      <c r="L4377" s="49"/>
      <c r="M4377" s="49"/>
      <c r="N4377" s="50"/>
      <c r="O4377" s="49"/>
      <c r="P4377" s="49"/>
      <c r="Q4377" s="49"/>
      <c r="R4377" s="49"/>
      <c r="S4377" s="49"/>
      <c r="T4377" s="49"/>
      <c r="U4377" s="49"/>
      <c r="V4377" s="49"/>
      <c r="W4377" s="49"/>
      <c r="X4377" s="49"/>
      <c r="Y4377" s="49"/>
      <c r="Z4377" s="49"/>
      <c r="AA4377" s="49"/>
      <c r="AB4377" s="49"/>
      <c r="AC4377" s="49"/>
      <c r="AD4377" s="49"/>
      <c r="AE4377" s="49"/>
      <c r="AF4377" s="49"/>
      <c r="AG4377" s="49"/>
      <c r="AH4377" s="49"/>
      <c r="AI4377" s="49"/>
      <c r="AJ4377" s="49"/>
      <c r="AK4377" s="49"/>
      <c r="AL4377" s="49"/>
      <c r="AM4377" s="49"/>
      <c r="AN4377" s="49"/>
      <c r="AP4377" s="49"/>
      <c r="AQ4377" s="49"/>
      <c r="AR4377" s="49"/>
      <c r="AS4377" s="49"/>
      <c r="AT4377" s="49"/>
    </row>
    <row r="4378">
      <c r="A4378" s="59"/>
      <c r="B4378" s="49"/>
      <c r="C4378" s="50"/>
      <c r="D4378" s="49"/>
      <c r="E4378" s="49"/>
      <c r="F4378" s="49"/>
      <c r="G4378" s="49"/>
      <c r="H4378" s="50"/>
      <c r="I4378" s="50"/>
      <c r="J4378" s="49"/>
      <c r="K4378" s="49"/>
      <c r="L4378" s="49"/>
      <c r="M4378" s="49"/>
      <c r="N4378" s="50"/>
      <c r="O4378" s="49"/>
      <c r="P4378" s="49"/>
      <c r="Q4378" s="49"/>
      <c r="R4378" s="49"/>
      <c r="S4378" s="49"/>
      <c r="T4378" s="49"/>
      <c r="U4378" s="49"/>
      <c r="V4378" s="49"/>
      <c r="W4378" s="49"/>
      <c r="X4378" s="49"/>
      <c r="Y4378" s="49"/>
      <c r="Z4378" s="49"/>
      <c r="AA4378" s="49"/>
      <c r="AB4378" s="49"/>
      <c r="AC4378" s="49"/>
      <c r="AD4378" s="49"/>
      <c r="AE4378" s="49"/>
      <c r="AF4378" s="49"/>
      <c r="AG4378" s="49"/>
      <c r="AH4378" s="49"/>
      <c r="AI4378" s="49"/>
      <c r="AJ4378" s="49"/>
      <c r="AK4378" s="49"/>
      <c r="AL4378" s="49"/>
      <c r="AM4378" s="49"/>
      <c r="AN4378" s="49"/>
      <c r="AP4378" s="49"/>
      <c r="AQ4378" s="49"/>
      <c r="AR4378" s="49"/>
      <c r="AS4378" s="49"/>
      <c r="AT4378" s="49"/>
    </row>
    <row r="4379">
      <c r="A4379" s="59"/>
      <c r="B4379" s="49"/>
      <c r="C4379" s="50"/>
      <c r="D4379" s="49"/>
      <c r="E4379" s="49"/>
      <c r="F4379" s="49"/>
      <c r="G4379" s="49"/>
      <c r="H4379" s="50"/>
      <c r="I4379" s="50"/>
      <c r="J4379" s="49"/>
      <c r="K4379" s="49"/>
      <c r="L4379" s="49"/>
      <c r="M4379" s="49"/>
      <c r="N4379" s="50"/>
      <c r="O4379" s="49"/>
      <c r="P4379" s="49"/>
      <c r="Q4379" s="49"/>
      <c r="R4379" s="49"/>
      <c r="S4379" s="49"/>
      <c r="T4379" s="49"/>
      <c r="U4379" s="49"/>
      <c r="V4379" s="49"/>
      <c r="W4379" s="49"/>
      <c r="X4379" s="49"/>
      <c r="Y4379" s="49"/>
      <c r="Z4379" s="49"/>
      <c r="AA4379" s="49"/>
      <c r="AB4379" s="49"/>
      <c r="AC4379" s="49"/>
      <c r="AD4379" s="49"/>
      <c r="AE4379" s="49"/>
      <c r="AF4379" s="49"/>
      <c r="AG4379" s="49"/>
      <c r="AH4379" s="49"/>
      <c r="AI4379" s="49"/>
      <c r="AJ4379" s="49"/>
      <c r="AK4379" s="49"/>
      <c r="AL4379" s="49"/>
      <c r="AM4379" s="49"/>
      <c r="AN4379" s="49"/>
      <c r="AP4379" s="49"/>
      <c r="AQ4379" s="49"/>
      <c r="AR4379" s="49"/>
      <c r="AS4379" s="49"/>
      <c r="AT4379" s="49"/>
    </row>
    <row r="4380">
      <c r="A4380" s="59"/>
      <c r="B4380" s="49"/>
      <c r="C4380" s="50"/>
      <c r="D4380" s="49"/>
      <c r="E4380" s="49"/>
      <c r="F4380" s="49"/>
      <c r="G4380" s="49"/>
      <c r="H4380" s="50"/>
      <c r="I4380" s="50"/>
      <c r="J4380" s="49"/>
      <c r="K4380" s="49"/>
      <c r="L4380" s="49"/>
      <c r="M4380" s="49"/>
      <c r="N4380" s="50"/>
      <c r="O4380" s="49"/>
      <c r="P4380" s="49"/>
      <c r="Q4380" s="49"/>
      <c r="R4380" s="49"/>
      <c r="S4380" s="49"/>
      <c r="T4380" s="49"/>
      <c r="U4380" s="49"/>
      <c r="V4380" s="49"/>
      <c r="W4380" s="49"/>
      <c r="X4380" s="49"/>
      <c r="Y4380" s="49"/>
      <c r="Z4380" s="49"/>
      <c r="AA4380" s="49"/>
      <c r="AB4380" s="49"/>
      <c r="AC4380" s="49"/>
      <c r="AD4380" s="49"/>
      <c r="AE4380" s="49"/>
      <c r="AF4380" s="49"/>
      <c r="AG4380" s="49"/>
      <c r="AH4380" s="49"/>
      <c r="AI4380" s="49"/>
      <c r="AJ4380" s="49"/>
      <c r="AK4380" s="49"/>
      <c r="AL4380" s="49"/>
      <c r="AM4380" s="49"/>
      <c r="AN4380" s="49"/>
      <c r="AP4380" s="49"/>
      <c r="AQ4380" s="49"/>
      <c r="AR4380" s="49"/>
      <c r="AS4380" s="49"/>
      <c r="AT4380" s="49"/>
    </row>
    <row r="4381">
      <c r="A4381" s="59"/>
      <c r="B4381" s="49"/>
      <c r="C4381" s="50"/>
      <c r="D4381" s="49"/>
      <c r="E4381" s="49"/>
      <c r="F4381" s="49"/>
      <c r="G4381" s="49"/>
      <c r="H4381" s="50"/>
      <c r="I4381" s="50"/>
      <c r="J4381" s="49"/>
      <c r="K4381" s="49"/>
      <c r="L4381" s="49"/>
      <c r="M4381" s="49"/>
      <c r="N4381" s="50"/>
      <c r="O4381" s="49"/>
      <c r="P4381" s="49"/>
      <c r="Q4381" s="49"/>
      <c r="R4381" s="49"/>
      <c r="S4381" s="49"/>
      <c r="T4381" s="49"/>
      <c r="U4381" s="49"/>
      <c r="V4381" s="49"/>
      <c r="W4381" s="49"/>
      <c r="X4381" s="49"/>
      <c r="Y4381" s="49"/>
      <c r="Z4381" s="49"/>
      <c r="AA4381" s="49"/>
      <c r="AB4381" s="49"/>
      <c r="AC4381" s="49"/>
      <c r="AD4381" s="49"/>
      <c r="AE4381" s="49"/>
      <c r="AF4381" s="49"/>
      <c r="AG4381" s="49"/>
      <c r="AH4381" s="49"/>
      <c r="AI4381" s="49"/>
      <c r="AJ4381" s="49"/>
      <c r="AK4381" s="49"/>
      <c r="AL4381" s="49"/>
      <c r="AM4381" s="49"/>
      <c r="AN4381" s="49"/>
      <c r="AP4381" s="49"/>
      <c r="AQ4381" s="49"/>
      <c r="AR4381" s="49"/>
      <c r="AS4381" s="49"/>
      <c r="AT4381" s="49"/>
    </row>
    <row r="4382">
      <c r="A4382" s="59"/>
      <c r="B4382" s="49"/>
      <c r="C4382" s="50"/>
      <c r="D4382" s="49"/>
      <c r="E4382" s="49"/>
      <c r="F4382" s="49"/>
      <c r="G4382" s="49"/>
      <c r="H4382" s="50"/>
      <c r="I4382" s="50"/>
      <c r="J4382" s="49"/>
      <c r="K4382" s="49"/>
      <c r="L4382" s="49"/>
      <c r="M4382" s="49"/>
      <c r="N4382" s="50"/>
      <c r="O4382" s="49"/>
      <c r="P4382" s="49"/>
      <c r="Q4382" s="49"/>
      <c r="R4382" s="49"/>
      <c r="S4382" s="49"/>
      <c r="T4382" s="49"/>
      <c r="U4382" s="49"/>
      <c r="V4382" s="49"/>
      <c r="W4382" s="49"/>
      <c r="X4382" s="49"/>
      <c r="Y4382" s="49"/>
      <c r="Z4382" s="49"/>
      <c r="AA4382" s="49"/>
      <c r="AB4382" s="49"/>
      <c r="AC4382" s="49"/>
      <c r="AD4382" s="49"/>
      <c r="AE4382" s="49"/>
      <c r="AF4382" s="49"/>
      <c r="AG4382" s="49"/>
      <c r="AH4382" s="49"/>
      <c r="AI4382" s="49"/>
      <c r="AJ4382" s="49"/>
      <c r="AK4382" s="49"/>
      <c r="AL4382" s="49"/>
      <c r="AM4382" s="49"/>
      <c r="AN4382" s="49"/>
      <c r="AP4382" s="49"/>
      <c r="AQ4382" s="49"/>
      <c r="AR4382" s="49"/>
      <c r="AS4382" s="49"/>
      <c r="AT4382" s="49"/>
    </row>
    <row r="4383">
      <c r="A4383" s="59"/>
      <c r="B4383" s="49"/>
      <c r="C4383" s="50"/>
      <c r="D4383" s="49"/>
      <c r="E4383" s="49"/>
      <c r="F4383" s="49"/>
      <c r="G4383" s="49"/>
      <c r="H4383" s="50"/>
      <c r="I4383" s="50"/>
      <c r="J4383" s="49"/>
      <c r="K4383" s="49"/>
      <c r="L4383" s="49"/>
      <c r="M4383" s="49"/>
      <c r="N4383" s="50"/>
      <c r="O4383" s="49"/>
      <c r="P4383" s="49"/>
      <c r="Q4383" s="49"/>
      <c r="R4383" s="49"/>
      <c r="S4383" s="49"/>
      <c r="T4383" s="49"/>
      <c r="U4383" s="49"/>
      <c r="V4383" s="49"/>
      <c r="W4383" s="49"/>
      <c r="X4383" s="49"/>
      <c r="Y4383" s="49"/>
      <c r="Z4383" s="49"/>
      <c r="AA4383" s="49"/>
      <c r="AB4383" s="49"/>
      <c r="AC4383" s="49"/>
      <c r="AD4383" s="49"/>
      <c r="AE4383" s="49"/>
      <c r="AF4383" s="49"/>
      <c r="AG4383" s="49"/>
      <c r="AH4383" s="49"/>
      <c r="AI4383" s="49"/>
      <c r="AJ4383" s="49"/>
      <c r="AK4383" s="49"/>
      <c r="AL4383" s="49"/>
      <c r="AM4383" s="49"/>
      <c r="AN4383" s="49"/>
      <c r="AP4383" s="49"/>
      <c r="AQ4383" s="49"/>
      <c r="AR4383" s="49"/>
      <c r="AS4383" s="49"/>
      <c r="AT4383" s="49"/>
    </row>
    <row r="4384">
      <c r="A4384" s="59"/>
      <c r="B4384" s="49"/>
      <c r="C4384" s="50"/>
      <c r="D4384" s="49"/>
      <c r="E4384" s="49"/>
      <c r="F4384" s="49"/>
      <c r="G4384" s="49"/>
      <c r="H4384" s="50"/>
      <c r="I4384" s="50"/>
      <c r="J4384" s="49"/>
      <c r="K4384" s="49"/>
      <c r="L4384" s="49"/>
      <c r="M4384" s="49"/>
      <c r="N4384" s="50"/>
      <c r="O4384" s="49"/>
      <c r="P4384" s="49"/>
      <c r="Q4384" s="49"/>
      <c r="R4384" s="49"/>
      <c r="S4384" s="49"/>
      <c r="T4384" s="49"/>
      <c r="U4384" s="49"/>
      <c r="V4384" s="49"/>
      <c r="W4384" s="49"/>
      <c r="X4384" s="49"/>
      <c r="Y4384" s="49"/>
      <c r="Z4384" s="49"/>
      <c r="AA4384" s="49"/>
      <c r="AB4384" s="49"/>
      <c r="AC4384" s="49"/>
      <c r="AD4384" s="49"/>
      <c r="AE4384" s="49"/>
      <c r="AF4384" s="49"/>
      <c r="AG4384" s="49"/>
      <c r="AH4384" s="49"/>
      <c r="AI4384" s="49"/>
      <c r="AJ4384" s="49"/>
      <c r="AK4384" s="49"/>
      <c r="AL4384" s="49"/>
      <c r="AM4384" s="49"/>
      <c r="AN4384" s="49"/>
      <c r="AP4384" s="49"/>
      <c r="AQ4384" s="49"/>
      <c r="AR4384" s="49"/>
      <c r="AS4384" s="49"/>
      <c r="AT4384" s="49"/>
    </row>
    <row r="4385">
      <c r="A4385" s="59"/>
      <c r="B4385" s="49"/>
      <c r="C4385" s="50"/>
      <c r="D4385" s="49"/>
      <c r="E4385" s="49"/>
      <c r="F4385" s="49"/>
      <c r="G4385" s="49"/>
      <c r="H4385" s="50"/>
      <c r="I4385" s="50"/>
      <c r="J4385" s="49"/>
      <c r="K4385" s="49"/>
      <c r="L4385" s="49"/>
      <c r="M4385" s="49"/>
      <c r="N4385" s="50"/>
      <c r="O4385" s="49"/>
      <c r="P4385" s="49"/>
      <c r="Q4385" s="49"/>
      <c r="R4385" s="49"/>
      <c r="S4385" s="49"/>
      <c r="T4385" s="49"/>
      <c r="U4385" s="49"/>
      <c r="V4385" s="49"/>
      <c r="W4385" s="49"/>
      <c r="X4385" s="49"/>
      <c r="Y4385" s="49"/>
      <c r="Z4385" s="49"/>
      <c r="AA4385" s="49"/>
      <c r="AB4385" s="49"/>
      <c r="AC4385" s="49"/>
      <c r="AD4385" s="49"/>
      <c r="AE4385" s="49"/>
      <c r="AF4385" s="49"/>
      <c r="AG4385" s="49"/>
      <c r="AH4385" s="49"/>
      <c r="AI4385" s="49"/>
      <c r="AJ4385" s="49"/>
      <c r="AK4385" s="49"/>
      <c r="AL4385" s="49"/>
      <c r="AM4385" s="49"/>
      <c r="AN4385" s="49"/>
      <c r="AP4385" s="49"/>
      <c r="AQ4385" s="49"/>
      <c r="AR4385" s="49"/>
      <c r="AS4385" s="49"/>
      <c r="AT4385" s="49"/>
    </row>
    <row r="4386">
      <c r="A4386" s="59"/>
      <c r="B4386" s="49"/>
      <c r="C4386" s="50"/>
      <c r="D4386" s="49"/>
      <c r="E4386" s="49"/>
      <c r="F4386" s="49"/>
      <c r="G4386" s="49"/>
      <c r="H4386" s="50"/>
      <c r="I4386" s="50"/>
      <c r="J4386" s="49"/>
      <c r="K4386" s="49"/>
      <c r="L4386" s="49"/>
      <c r="M4386" s="49"/>
      <c r="N4386" s="50"/>
      <c r="O4386" s="49"/>
      <c r="P4386" s="49"/>
      <c r="Q4386" s="49"/>
      <c r="R4386" s="49"/>
      <c r="S4386" s="49"/>
      <c r="T4386" s="49"/>
      <c r="U4386" s="49"/>
      <c r="V4386" s="49"/>
      <c r="W4386" s="49"/>
      <c r="X4386" s="49"/>
      <c r="Y4386" s="49"/>
      <c r="Z4386" s="49"/>
      <c r="AA4386" s="49"/>
      <c r="AB4386" s="49"/>
      <c r="AC4386" s="49"/>
      <c r="AD4386" s="49"/>
      <c r="AE4386" s="49"/>
      <c r="AF4386" s="49"/>
      <c r="AG4386" s="49"/>
      <c r="AH4386" s="49"/>
      <c r="AI4386" s="49"/>
      <c r="AJ4386" s="49"/>
      <c r="AK4386" s="49"/>
      <c r="AL4386" s="49"/>
      <c r="AM4386" s="49"/>
      <c r="AN4386" s="49"/>
      <c r="AP4386" s="49"/>
      <c r="AQ4386" s="49"/>
      <c r="AR4386" s="49"/>
      <c r="AS4386" s="49"/>
      <c r="AT4386" s="49"/>
    </row>
    <row r="4387">
      <c r="A4387" s="59"/>
      <c r="B4387" s="49"/>
      <c r="C4387" s="50"/>
      <c r="D4387" s="49"/>
      <c r="E4387" s="49"/>
      <c r="F4387" s="49"/>
      <c r="G4387" s="49"/>
      <c r="H4387" s="50"/>
      <c r="I4387" s="50"/>
      <c r="J4387" s="49"/>
      <c r="K4387" s="49"/>
      <c r="L4387" s="49"/>
      <c r="M4387" s="49"/>
      <c r="N4387" s="50"/>
      <c r="O4387" s="49"/>
      <c r="P4387" s="49"/>
      <c r="Q4387" s="49"/>
      <c r="R4387" s="49"/>
      <c r="S4387" s="49"/>
      <c r="T4387" s="49"/>
      <c r="U4387" s="49"/>
      <c r="V4387" s="49"/>
      <c r="W4387" s="49"/>
      <c r="X4387" s="49"/>
      <c r="Y4387" s="49"/>
      <c r="Z4387" s="49"/>
      <c r="AA4387" s="49"/>
      <c r="AB4387" s="49"/>
      <c r="AC4387" s="49"/>
      <c r="AD4387" s="49"/>
      <c r="AE4387" s="49"/>
      <c r="AF4387" s="49"/>
      <c r="AG4387" s="49"/>
      <c r="AH4387" s="49"/>
      <c r="AI4387" s="49"/>
      <c r="AJ4387" s="49"/>
      <c r="AK4387" s="49"/>
      <c r="AL4387" s="49"/>
      <c r="AM4387" s="49"/>
      <c r="AN4387" s="49"/>
      <c r="AP4387" s="49"/>
      <c r="AQ4387" s="49"/>
      <c r="AR4387" s="49"/>
      <c r="AS4387" s="49"/>
      <c r="AT4387" s="49"/>
    </row>
    <row r="4388">
      <c r="A4388" s="59"/>
      <c r="B4388" s="49"/>
      <c r="C4388" s="50"/>
      <c r="D4388" s="49"/>
      <c r="E4388" s="49"/>
      <c r="F4388" s="49"/>
      <c r="G4388" s="49"/>
      <c r="H4388" s="50"/>
      <c r="I4388" s="50"/>
      <c r="J4388" s="49"/>
      <c r="K4388" s="49"/>
      <c r="L4388" s="49"/>
      <c r="M4388" s="49"/>
      <c r="N4388" s="50"/>
      <c r="O4388" s="49"/>
      <c r="P4388" s="49"/>
      <c r="Q4388" s="49"/>
      <c r="R4388" s="49"/>
      <c r="S4388" s="49"/>
      <c r="T4388" s="49"/>
      <c r="U4388" s="49"/>
      <c r="V4388" s="49"/>
      <c r="W4388" s="49"/>
      <c r="X4388" s="49"/>
      <c r="Y4388" s="49"/>
      <c r="Z4388" s="49"/>
      <c r="AA4388" s="49"/>
      <c r="AB4388" s="49"/>
      <c r="AC4388" s="49"/>
      <c r="AD4388" s="49"/>
      <c r="AE4388" s="49"/>
      <c r="AF4388" s="49"/>
      <c r="AG4388" s="49"/>
      <c r="AH4388" s="49"/>
      <c r="AI4388" s="49"/>
      <c r="AJ4388" s="49"/>
      <c r="AK4388" s="49"/>
      <c r="AL4388" s="49"/>
      <c r="AM4388" s="49"/>
      <c r="AN4388" s="49"/>
      <c r="AP4388" s="49"/>
      <c r="AQ4388" s="49"/>
      <c r="AR4388" s="49"/>
      <c r="AS4388" s="49"/>
      <c r="AT4388" s="49"/>
    </row>
    <row r="4389">
      <c r="A4389" s="59"/>
      <c r="B4389" s="49"/>
      <c r="C4389" s="50"/>
      <c r="D4389" s="49"/>
      <c r="E4389" s="49"/>
      <c r="F4389" s="49"/>
      <c r="G4389" s="49"/>
      <c r="H4389" s="50"/>
      <c r="I4389" s="50"/>
      <c r="J4389" s="49"/>
      <c r="K4389" s="49"/>
      <c r="L4389" s="49"/>
      <c r="M4389" s="49"/>
      <c r="N4389" s="50"/>
      <c r="O4389" s="49"/>
      <c r="P4389" s="49"/>
      <c r="Q4389" s="49"/>
      <c r="R4389" s="49"/>
      <c r="S4389" s="49"/>
      <c r="T4389" s="49"/>
      <c r="U4389" s="49"/>
      <c r="V4389" s="49"/>
      <c r="W4389" s="49"/>
      <c r="X4389" s="49"/>
      <c r="Y4389" s="49"/>
      <c r="Z4389" s="49"/>
      <c r="AA4389" s="49"/>
      <c r="AB4389" s="49"/>
      <c r="AC4389" s="49"/>
      <c r="AD4389" s="49"/>
      <c r="AE4389" s="49"/>
      <c r="AF4389" s="49"/>
      <c r="AG4389" s="49"/>
      <c r="AH4389" s="49"/>
      <c r="AI4389" s="49"/>
      <c r="AJ4389" s="49"/>
      <c r="AK4389" s="49"/>
      <c r="AL4389" s="49"/>
      <c r="AM4389" s="49"/>
      <c r="AN4389" s="49"/>
      <c r="AP4389" s="49"/>
      <c r="AQ4389" s="49"/>
      <c r="AR4389" s="49"/>
      <c r="AS4389" s="49"/>
      <c r="AT4389" s="49"/>
    </row>
    <row r="4390">
      <c r="A4390" s="59"/>
      <c r="B4390" s="49"/>
      <c r="C4390" s="50"/>
      <c r="D4390" s="49"/>
      <c r="E4390" s="49"/>
      <c r="F4390" s="49"/>
      <c r="G4390" s="49"/>
      <c r="H4390" s="50"/>
      <c r="I4390" s="50"/>
      <c r="J4390" s="49"/>
      <c r="K4390" s="49"/>
      <c r="L4390" s="49"/>
      <c r="M4390" s="49"/>
      <c r="N4390" s="50"/>
      <c r="O4390" s="49"/>
      <c r="P4390" s="49"/>
      <c r="Q4390" s="49"/>
      <c r="R4390" s="49"/>
      <c r="S4390" s="49"/>
      <c r="T4390" s="49"/>
      <c r="U4390" s="49"/>
      <c r="V4390" s="49"/>
      <c r="W4390" s="49"/>
      <c r="X4390" s="49"/>
      <c r="Y4390" s="49"/>
      <c r="Z4390" s="49"/>
      <c r="AA4390" s="49"/>
      <c r="AB4390" s="49"/>
      <c r="AC4390" s="49"/>
      <c r="AD4390" s="49"/>
      <c r="AE4390" s="49"/>
      <c r="AF4390" s="49"/>
      <c r="AG4390" s="49"/>
      <c r="AH4390" s="49"/>
      <c r="AI4390" s="49"/>
      <c r="AJ4390" s="49"/>
      <c r="AK4390" s="49"/>
      <c r="AL4390" s="49"/>
      <c r="AM4390" s="49"/>
      <c r="AN4390" s="49"/>
      <c r="AP4390" s="49"/>
      <c r="AQ4390" s="49"/>
      <c r="AR4390" s="49"/>
      <c r="AS4390" s="49"/>
      <c r="AT4390" s="49"/>
    </row>
    <row r="4391">
      <c r="A4391" s="59"/>
      <c r="B4391" s="49"/>
      <c r="C4391" s="50"/>
      <c r="D4391" s="49"/>
      <c r="E4391" s="49"/>
      <c r="F4391" s="49"/>
      <c r="G4391" s="49"/>
      <c r="H4391" s="50"/>
      <c r="I4391" s="50"/>
      <c r="J4391" s="49"/>
      <c r="K4391" s="49"/>
      <c r="L4391" s="49"/>
      <c r="M4391" s="49"/>
      <c r="N4391" s="50"/>
      <c r="O4391" s="49"/>
      <c r="P4391" s="49"/>
      <c r="Q4391" s="49"/>
      <c r="R4391" s="49"/>
      <c r="S4391" s="49"/>
      <c r="T4391" s="49"/>
      <c r="U4391" s="49"/>
      <c r="V4391" s="49"/>
      <c r="W4391" s="49"/>
      <c r="X4391" s="49"/>
      <c r="Y4391" s="49"/>
      <c r="Z4391" s="49"/>
      <c r="AA4391" s="49"/>
      <c r="AB4391" s="49"/>
      <c r="AC4391" s="49"/>
      <c r="AD4391" s="49"/>
      <c r="AE4391" s="49"/>
      <c r="AF4391" s="49"/>
      <c r="AG4391" s="49"/>
      <c r="AH4391" s="49"/>
      <c r="AI4391" s="49"/>
      <c r="AJ4391" s="49"/>
      <c r="AK4391" s="49"/>
      <c r="AL4391" s="49"/>
      <c r="AM4391" s="49"/>
      <c r="AN4391" s="49"/>
      <c r="AP4391" s="49"/>
      <c r="AQ4391" s="49"/>
      <c r="AR4391" s="49"/>
      <c r="AS4391" s="49"/>
      <c r="AT4391" s="49"/>
    </row>
    <row r="4392">
      <c r="A4392" s="59"/>
      <c r="B4392" s="49"/>
      <c r="C4392" s="50"/>
      <c r="D4392" s="49"/>
      <c r="E4392" s="49"/>
      <c r="F4392" s="49"/>
      <c r="G4392" s="49"/>
      <c r="H4392" s="50"/>
      <c r="I4392" s="50"/>
      <c r="J4392" s="49"/>
      <c r="K4392" s="49"/>
      <c r="L4392" s="49"/>
      <c r="M4392" s="49"/>
      <c r="N4392" s="50"/>
      <c r="O4392" s="49"/>
      <c r="P4392" s="49"/>
      <c r="Q4392" s="49"/>
      <c r="R4392" s="49"/>
      <c r="S4392" s="49"/>
      <c r="T4392" s="49"/>
      <c r="U4392" s="49"/>
      <c r="V4392" s="49"/>
      <c r="W4392" s="49"/>
      <c r="X4392" s="49"/>
      <c r="Y4392" s="49"/>
      <c r="Z4392" s="49"/>
      <c r="AA4392" s="49"/>
      <c r="AB4392" s="49"/>
      <c r="AC4392" s="49"/>
      <c r="AD4392" s="49"/>
      <c r="AE4392" s="49"/>
      <c r="AF4392" s="49"/>
      <c r="AG4392" s="49"/>
      <c r="AH4392" s="49"/>
      <c r="AI4392" s="49"/>
      <c r="AJ4392" s="49"/>
      <c r="AK4392" s="49"/>
      <c r="AL4392" s="49"/>
      <c r="AM4392" s="49"/>
      <c r="AN4392" s="49"/>
      <c r="AP4392" s="49"/>
      <c r="AQ4392" s="49"/>
      <c r="AR4392" s="49"/>
      <c r="AS4392" s="49"/>
      <c r="AT4392" s="49"/>
    </row>
    <row r="4393">
      <c r="A4393" s="59"/>
      <c r="B4393" s="49"/>
      <c r="C4393" s="50"/>
      <c r="D4393" s="49"/>
      <c r="E4393" s="49"/>
      <c r="F4393" s="49"/>
      <c r="G4393" s="49"/>
      <c r="H4393" s="50"/>
      <c r="I4393" s="50"/>
      <c r="J4393" s="49"/>
      <c r="K4393" s="49"/>
      <c r="L4393" s="49"/>
      <c r="M4393" s="49"/>
      <c r="N4393" s="50"/>
      <c r="O4393" s="49"/>
      <c r="P4393" s="49"/>
      <c r="Q4393" s="49"/>
      <c r="R4393" s="49"/>
      <c r="S4393" s="49"/>
      <c r="T4393" s="49"/>
      <c r="U4393" s="49"/>
      <c r="V4393" s="49"/>
      <c r="W4393" s="49"/>
      <c r="X4393" s="49"/>
      <c r="Y4393" s="49"/>
      <c r="Z4393" s="49"/>
      <c r="AA4393" s="49"/>
      <c r="AB4393" s="49"/>
      <c r="AC4393" s="49"/>
      <c r="AD4393" s="49"/>
      <c r="AE4393" s="49"/>
      <c r="AF4393" s="49"/>
      <c r="AG4393" s="49"/>
      <c r="AH4393" s="49"/>
      <c r="AI4393" s="49"/>
      <c r="AJ4393" s="49"/>
      <c r="AK4393" s="49"/>
      <c r="AL4393" s="49"/>
      <c r="AM4393" s="49"/>
      <c r="AN4393" s="49"/>
      <c r="AP4393" s="49"/>
      <c r="AQ4393" s="49"/>
      <c r="AR4393" s="49"/>
      <c r="AS4393" s="49"/>
      <c r="AT4393" s="49"/>
    </row>
    <row r="4394">
      <c r="A4394" s="59"/>
      <c r="B4394" s="49"/>
      <c r="C4394" s="50"/>
      <c r="D4394" s="49"/>
      <c r="E4394" s="49"/>
      <c r="F4394" s="49"/>
      <c r="G4394" s="49"/>
      <c r="H4394" s="50"/>
      <c r="I4394" s="50"/>
      <c r="J4394" s="49"/>
      <c r="K4394" s="49"/>
      <c r="L4394" s="49"/>
      <c r="M4394" s="49"/>
      <c r="N4394" s="50"/>
      <c r="O4394" s="49"/>
      <c r="P4394" s="49"/>
      <c r="Q4394" s="49"/>
      <c r="R4394" s="49"/>
      <c r="S4394" s="49"/>
      <c r="T4394" s="49"/>
      <c r="U4394" s="49"/>
      <c r="V4394" s="49"/>
      <c r="W4394" s="49"/>
      <c r="X4394" s="49"/>
      <c r="Y4394" s="49"/>
      <c r="Z4394" s="49"/>
      <c r="AA4394" s="49"/>
      <c r="AB4394" s="49"/>
      <c r="AC4394" s="49"/>
      <c r="AD4394" s="49"/>
      <c r="AE4394" s="49"/>
      <c r="AF4394" s="49"/>
      <c r="AG4394" s="49"/>
      <c r="AH4394" s="49"/>
      <c r="AI4394" s="49"/>
      <c r="AJ4394" s="49"/>
      <c r="AK4394" s="49"/>
      <c r="AL4394" s="49"/>
      <c r="AM4394" s="49"/>
      <c r="AN4394" s="49"/>
      <c r="AP4394" s="49"/>
      <c r="AQ4394" s="49"/>
      <c r="AR4394" s="49"/>
      <c r="AS4394" s="49"/>
      <c r="AT4394" s="49"/>
    </row>
    <row r="4395">
      <c r="A4395" s="59"/>
      <c r="B4395" s="49"/>
      <c r="C4395" s="50"/>
      <c r="D4395" s="49"/>
      <c r="E4395" s="49"/>
      <c r="F4395" s="49"/>
      <c r="G4395" s="49"/>
      <c r="H4395" s="50"/>
      <c r="I4395" s="50"/>
      <c r="J4395" s="49"/>
      <c r="K4395" s="49"/>
      <c r="L4395" s="49"/>
      <c r="M4395" s="49"/>
      <c r="N4395" s="50"/>
      <c r="O4395" s="49"/>
      <c r="P4395" s="49"/>
      <c r="Q4395" s="49"/>
      <c r="R4395" s="49"/>
      <c r="S4395" s="49"/>
      <c r="T4395" s="49"/>
      <c r="U4395" s="49"/>
      <c r="V4395" s="49"/>
      <c r="W4395" s="49"/>
      <c r="X4395" s="49"/>
      <c r="Y4395" s="49"/>
      <c r="Z4395" s="49"/>
      <c r="AA4395" s="49"/>
      <c r="AB4395" s="49"/>
      <c r="AC4395" s="49"/>
      <c r="AD4395" s="49"/>
      <c r="AE4395" s="49"/>
      <c r="AF4395" s="49"/>
      <c r="AG4395" s="49"/>
      <c r="AH4395" s="49"/>
      <c r="AI4395" s="49"/>
      <c r="AJ4395" s="49"/>
      <c r="AK4395" s="49"/>
      <c r="AL4395" s="49"/>
      <c r="AM4395" s="49"/>
      <c r="AN4395" s="49"/>
      <c r="AP4395" s="49"/>
      <c r="AQ4395" s="49"/>
      <c r="AR4395" s="49"/>
      <c r="AS4395" s="49"/>
      <c r="AT4395" s="49"/>
    </row>
    <row r="4396">
      <c r="A4396" s="59"/>
      <c r="B4396" s="49"/>
      <c r="C4396" s="50"/>
      <c r="D4396" s="49"/>
      <c r="E4396" s="49"/>
      <c r="F4396" s="49"/>
      <c r="G4396" s="49"/>
      <c r="H4396" s="50"/>
      <c r="I4396" s="50"/>
      <c r="J4396" s="49"/>
      <c r="K4396" s="49"/>
      <c r="L4396" s="49"/>
      <c r="M4396" s="49"/>
      <c r="N4396" s="50"/>
      <c r="O4396" s="49"/>
      <c r="P4396" s="49"/>
      <c r="Q4396" s="49"/>
      <c r="R4396" s="49"/>
      <c r="S4396" s="49"/>
      <c r="T4396" s="49"/>
      <c r="U4396" s="49"/>
      <c r="V4396" s="49"/>
      <c r="W4396" s="49"/>
      <c r="X4396" s="49"/>
      <c r="Y4396" s="49"/>
      <c r="Z4396" s="49"/>
      <c r="AA4396" s="49"/>
      <c r="AB4396" s="49"/>
      <c r="AC4396" s="49"/>
      <c r="AD4396" s="49"/>
      <c r="AE4396" s="49"/>
      <c r="AF4396" s="49"/>
      <c r="AG4396" s="49"/>
      <c r="AH4396" s="49"/>
      <c r="AI4396" s="49"/>
      <c r="AJ4396" s="49"/>
      <c r="AK4396" s="49"/>
      <c r="AL4396" s="49"/>
      <c r="AM4396" s="49"/>
      <c r="AN4396" s="49"/>
      <c r="AP4396" s="49"/>
      <c r="AQ4396" s="49"/>
      <c r="AR4396" s="49"/>
      <c r="AS4396" s="49"/>
      <c r="AT4396" s="49"/>
    </row>
    <row r="4397">
      <c r="A4397" s="59"/>
      <c r="B4397" s="49"/>
      <c r="C4397" s="50"/>
      <c r="D4397" s="49"/>
      <c r="E4397" s="49"/>
      <c r="F4397" s="49"/>
      <c r="G4397" s="49"/>
      <c r="H4397" s="50"/>
      <c r="I4397" s="50"/>
      <c r="J4397" s="49"/>
      <c r="K4397" s="49"/>
      <c r="L4397" s="49"/>
      <c r="M4397" s="49"/>
      <c r="N4397" s="50"/>
      <c r="O4397" s="49"/>
      <c r="P4397" s="49"/>
      <c r="Q4397" s="49"/>
      <c r="R4397" s="49"/>
      <c r="S4397" s="49"/>
      <c r="T4397" s="49"/>
      <c r="U4397" s="49"/>
      <c r="V4397" s="49"/>
      <c r="W4397" s="49"/>
      <c r="X4397" s="49"/>
      <c r="Y4397" s="49"/>
      <c r="Z4397" s="49"/>
      <c r="AA4397" s="49"/>
      <c r="AB4397" s="49"/>
      <c r="AC4397" s="49"/>
      <c r="AD4397" s="49"/>
      <c r="AE4397" s="49"/>
      <c r="AF4397" s="49"/>
      <c r="AG4397" s="49"/>
      <c r="AH4397" s="49"/>
      <c r="AI4397" s="49"/>
      <c r="AJ4397" s="49"/>
      <c r="AK4397" s="49"/>
      <c r="AL4397" s="49"/>
      <c r="AM4397" s="49"/>
      <c r="AN4397" s="49"/>
      <c r="AP4397" s="49"/>
      <c r="AQ4397" s="49"/>
      <c r="AR4397" s="49"/>
      <c r="AS4397" s="49"/>
      <c r="AT4397" s="49"/>
    </row>
    <row r="4398">
      <c r="A4398" s="59"/>
      <c r="B4398" s="49"/>
      <c r="C4398" s="50"/>
      <c r="D4398" s="49"/>
      <c r="E4398" s="49"/>
      <c r="F4398" s="49"/>
      <c r="G4398" s="49"/>
      <c r="H4398" s="50"/>
      <c r="I4398" s="50"/>
      <c r="J4398" s="49"/>
      <c r="K4398" s="49"/>
      <c r="L4398" s="49"/>
      <c r="M4398" s="49"/>
      <c r="N4398" s="50"/>
      <c r="O4398" s="49"/>
      <c r="P4398" s="49"/>
      <c r="Q4398" s="49"/>
      <c r="R4398" s="49"/>
      <c r="S4398" s="49"/>
      <c r="T4398" s="49"/>
      <c r="U4398" s="49"/>
      <c r="V4398" s="49"/>
      <c r="W4398" s="49"/>
      <c r="X4398" s="49"/>
      <c r="Y4398" s="49"/>
      <c r="Z4398" s="49"/>
      <c r="AA4398" s="49"/>
      <c r="AB4398" s="49"/>
      <c r="AC4398" s="49"/>
      <c r="AD4398" s="49"/>
      <c r="AE4398" s="49"/>
      <c r="AF4398" s="49"/>
      <c r="AG4398" s="49"/>
      <c r="AH4398" s="49"/>
      <c r="AI4398" s="49"/>
      <c r="AJ4398" s="49"/>
      <c r="AK4398" s="49"/>
      <c r="AL4398" s="49"/>
      <c r="AM4398" s="49"/>
      <c r="AN4398" s="49"/>
      <c r="AP4398" s="49"/>
      <c r="AQ4398" s="49"/>
      <c r="AR4398" s="49"/>
      <c r="AS4398" s="49"/>
      <c r="AT4398" s="49"/>
    </row>
    <row r="4399">
      <c r="A4399" s="59"/>
      <c r="B4399" s="49"/>
      <c r="C4399" s="50"/>
      <c r="D4399" s="49"/>
      <c r="E4399" s="49"/>
      <c r="F4399" s="49"/>
      <c r="G4399" s="49"/>
      <c r="H4399" s="50"/>
      <c r="I4399" s="50"/>
      <c r="J4399" s="49"/>
      <c r="K4399" s="49"/>
      <c r="L4399" s="49"/>
      <c r="M4399" s="49"/>
      <c r="N4399" s="50"/>
      <c r="O4399" s="49"/>
      <c r="P4399" s="49"/>
      <c r="Q4399" s="49"/>
      <c r="R4399" s="49"/>
      <c r="S4399" s="49"/>
      <c r="T4399" s="49"/>
      <c r="U4399" s="49"/>
      <c r="V4399" s="49"/>
      <c r="W4399" s="49"/>
      <c r="X4399" s="49"/>
      <c r="Y4399" s="49"/>
      <c r="Z4399" s="49"/>
      <c r="AA4399" s="49"/>
      <c r="AB4399" s="49"/>
      <c r="AC4399" s="49"/>
      <c r="AD4399" s="49"/>
      <c r="AE4399" s="49"/>
      <c r="AF4399" s="49"/>
      <c r="AG4399" s="49"/>
      <c r="AH4399" s="49"/>
      <c r="AI4399" s="49"/>
      <c r="AJ4399" s="49"/>
      <c r="AK4399" s="49"/>
      <c r="AL4399" s="49"/>
      <c r="AM4399" s="49"/>
      <c r="AN4399" s="49"/>
      <c r="AP4399" s="49"/>
      <c r="AQ4399" s="49"/>
      <c r="AR4399" s="49"/>
      <c r="AS4399" s="49"/>
      <c r="AT4399" s="49"/>
    </row>
    <row r="4400">
      <c r="A4400" s="59"/>
      <c r="B4400" s="49"/>
      <c r="C4400" s="50"/>
      <c r="D4400" s="49"/>
      <c r="E4400" s="49"/>
      <c r="F4400" s="49"/>
      <c r="G4400" s="49"/>
      <c r="H4400" s="50"/>
      <c r="I4400" s="50"/>
      <c r="J4400" s="49"/>
      <c r="K4400" s="49"/>
      <c r="L4400" s="49"/>
      <c r="M4400" s="49"/>
      <c r="N4400" s="50"/>
      <c r="O4400" s="49"/>
      <c r="P4400" s="49"/>
      <c r="Q4400" s="49"/>
      <c r="R4400" s="49"/>
      <c r="S4400" s="49"/>
      <c r="T4400" s="49"/>
      <c r="U4400" s="49"/>
      <c r="V4400" s="49"/>
      <c r="W4400" s="49"/>
      <c r="X4400" s="49"/>
      <c r="Y4400" s="49"/>
      <c r="Z4400" s="49"/>
      <c r="AA4400" s="49"/>
      <c r="AB4400" s="49"/>
      <c r="AC4400" s="49"/>
      <c r="AD4400" s="49"/>
      <c r="AE4400" s="49"/>
      <c r="AF4400" s="49"/>
      <c r="AG4400" s="49"/>
      <c r="AH4400" s="49"/>
      <c r="AI4400" s="49"/>
      <c r="AJ4400" s="49"/>
      <c r="AK4400" s="49"/>
      <c r="AL4400" s="49"/>
      <c r="AM4400" s="49"/>
      <c r="AN4400" s="49"/>
      <c r="AP4400" s="49"/>
      <c r="AQ4400" s="49"/>
      <c r="AR4400" s="49"/>
      <c r="AS4400" s="49"/>
      <c r="AT4400" s="49"/>
    </row>
    <row r="4401">
      <c r="A4401" s="59"/>
      <c r="B4401" s="49"/>
      <c r="C4401" s="50"/>
      <c r="D4401" s="49"/>
      <c r="E4401" s="49"/>
      <c r="F4401" s="49"/>
      <c r="G4401" s="49"/>
      <c r="H4401" s="50"/>
      <c r="I4401" s="50"/>
      <c r="J4401" s="49"/>
      <c r="K4401" s="49"/>
      <c r="L4401" s="49"/>
      <c r="M4401" s="49"/>
      <c r="N4401" s="50"/>
      <c r="O4401" s="49"/>
      <c r="P4401" s="49"/>
      <c r="Q4401" s="49"/>
      <c r="R4401" s="49"/>
      <c r="S4401" s="49"/>
      <c r="T4401" s="49"/>
      <c r="U4401" s="49"/>
      <c r="V4401" s="49"/>
      <c r="W4401" s="49"/>
      <c r="X4401" s="49"/>
      <c r="Y4401" s="49"/>
      <c r="Z4401" s="49"/>
      <c r="AA4401" s="49"/>
      <c r="AB4401" s="49"/>
      <c r="AC4401" s="49"/>
      <c r="AD4401" s="49"/>
      <c r="AE4401" s="49"/>
      <c r="AF4401" s="49"/>
      <c r="AG4401" s="49"/>
      <c r="AH4401" s="49"/>
      <c r="AI4401" s="49"/>
      <c r="AJ4401" s="49"/>
      <c r="AK4401" s="49"/>
      <c r="AL4401" s="49"/>
      <c r="AM4401" s="49"/>
      <c r="AN4401" s="49"/>
      <c r="AP4401" s="49"/>
      <c r="AQ4401" s="49"/>
      <c r="AR4401" s="49"/>
      <c r="AS4401" s="49"/>
      <c r="AT4401" s="49"/>
    </row>
    <row r="4402">
      <c r="A4402" s="59"/>
      <c r="B4402" s="49"/>
      <c r="C4402" s="50"/>
      <c r="D4402" s="49"/>
      <c r="E4402" s="49"/>
      <c r="F4402" s="49"/>
      <c r="G4402" s="49"/>
      <c r="H4402" s="50"/>
      <c r="I4402" s="50"/>
      <c r="J4402" s="49"/>
      <c r="K4402" s="49"/>
      <c r="L4402" s="49"/>
      <c r="M4402" s="49"/>
      <c r="N4402" s="50"/>
      <c r="O4402" s="49"/>
      <c r="P4402" s="49"/>
      <c r="Q4402" s="49"/>
      <c r="R4402" s="49"/>
      <c r="S4402" s="49"/>
      <c r="T4402" s="49"/>
      <c r="U4402" s="49"/>
      <c r="V4402" s="49"/>
      <c r="W4402" s="49"/>
      <c r="X4402" s="49"/>
      <c r="Y4402" s="49"/>
      <c r="Z4402" s="49"/>
      <c r="AA4402" s="49"/>
      <c r="AB4402" s="49"/>
      <c r="AC4402" s="49"/>
      <c r="AD4402" s="49"/>
      <c r="AE4402" s="49"/>
      <c r="AF4402" s="49"/>
      <c r="AG4402" s="49"/>
      <c r="AH4402" s="49"/>
      <c r="AI4402" s="49"/>
      <c r="AJ4402" s="49"/>
      <c r="AK4402" s="49"/>
      <c r="AL4402" s="49"/>
      <c r="AM4402" s="49"/>
      <c r="AN4402" s="49"/>
      <c r="AP4402" s="49"/>
      <c r="AQ4402" s="49"/>
      <c r="AR4402" s="49"/>
      <c r="AS4402" s="49"/>
      <c r="AT4402" s="49"/>
    </row>
    <row r="4403">
      <c r="A4403" s="59"/>
      <c r="B4403" s="49"/>
      <c r="C4403" s="50"/>
      <c r="D4403" s="49"/>
      <c r="E4403" s="49"/>
      <c r="F4403" s="49"/>
      <c r="G4403" s="49"/>
      <c r="H4403" s="50"/>
      <c r="I4403" s="50"/>
      <c r="J4403" s="49"/>
      <c r="K4403" s="49"/>
      <c r="L4403" s="49"/>
      <c r="M4403" s="49"/>
      <c r="N4403" s="50"/>
      <c r="O4403" s="49"/>
      <c r="P4403" s="49"/>
      <c r="Q4403" s="49"/>
      <c r="R4403" s="49"/>
      <c r="S4403" s="49"/>
      <c r="T4403" s="49"/>
      <c r="U4403" s="49"/>
      <c r="V4403" s="49"/>
      <c r="W4403" s="49"/>
      <c r="X4403" s="49"/>
      <c r="Y4403" s="49"/>
      <c r="Z4403" s="49"/>
      <c r="AA4403" s="49"/>
      <c r="AB4403" s="49"/>
      <c r="AC4403" s="49"/>
      <c r="AD4403" s="49"/>
      <c r="AE4403" s="49"/>
      <c r="AF4403" s="49"/>
      <c r="AG4403" s="49"/>
      <c r="AH4403" s="49"/>
      <c r="AI4403" s="49"/>
      <c r="AJ4403" s="49"/>
      <c r="AK4403" s="49"/>
      <c r="AL4403" s="49"/>
      <c r="AM4403" s="49"/>
      <c r="AN4403" s="49"/>
      <c r="AP4403" s="49"/>
      <c r="AQ4403" s="49"/>
      <c r="AR4403" s="49"/>
      <c r="AS4403" s="49"/>
      <c r="AT4403" s="49"/>
    </row>
    <row r="4404">
      <c r="A4404" s="59"/>
      <c r="B4404" s="49"/>
      <c r="C4404" s="50"/>
      <c r="D4404" s="49"/>
      <c r="E4404" s="49"/>
      <c r="F4404" s="49"/>
      <c r="G4404" s="49"/>
      <c r="H4404" s="50"/>
      <c r="I4404" s="50"/>
      <c r="J4404" s="49"/>
      <c r="K4404" s="49"/>
      <c r="L4404" s="49"/>
      <c r="M4404" s="49"/>
      <c r="N4404" s="50"/>
      <c r="O4404" s="49"/>
      <c r="P4404" s="49"/>
      <c r="Q4404" s="49"/>
      <c r="R4404" s="49"/>
      <c r="S4404" s="49"/>
      <c r="T4404" s="49"/>
      <c r="U4404" s="49"/>
      <c r="V4404" s="49"/>
      <c r="W4404" s="49"/>
      <c r="X4404" s="49"/>
      <c r="Y4404" s="49"/>
      <c r="Z4404" s="49"/>
      <c r="AA4404" s="49"/>
      <c r="AB4404" s="49"/>
      <c r="AC4404" s="49"/>
      <c r="AD4404" s="49"/>
      <c r="AE4404" s="49"/>
      <c r="AF4404" s="49"/>
      <c r="AG4404" s="49"/>
      <c r="AH4404" s="49"/>
      <c r="AI4404" s="49"/>
      <c r="AJ4404" s="49"/>
      <c r="AK4404" s="49"/>
      <c r="AL4404" s="49"/>
      <c r="AM4404" s="49"/>
      <c r="AN4404" s="49"/>
      <c r="AP4404" s="49"/>
      <c r="AQ4404" s="49"/>
      <c r="AR4404" s="49"/>
      <c r="AS4404" s="49"/>
      <c r="AT4404" s="49"/>
    </row>
    <row r="4405">
      <c r="A4405" s="59"/>
      <c r="B4405" s="49"/>
      <c r="C4405" s="50"/>
      <c r="D4405" s="49"/>
      <c r="E4405" s="49"/>
      <c r="F4405" s="49"/>
      <c r="G4405" s="49"/>
      <c r="H4405" s="50"/>
      <c r="I4405" s="50"/>
      <c r="J4405" s="49"/>
      <c r="K4405" s="49"/>
      <c r="L4405" s="49"/>
      <c r="M4405" s="49"/>
      <c r="N4405" s="50"/>
      <c r="O4405" s="49"/>
      <c r="P4405" s="49"/>
      <c r="Q4405" s="49"/>
      <c r="R4405" s="49"/>
      <c r="S4405" s="49"/>
      <c r="T4405" s="49"/>
      <c r="U4405" s="49"/>
      <c r="V4405" s="49"/>
      <c r="W4405" s="49"/>
      <c r="X4405" s="49"/>
      <c r="Y4405" s="49"/>
      <c r="Z4405" s="49"/>
      <c r="AA4405" s="49"/>
      <c r="AB4405" s="49"/>
      <c r="AC4405" s="49"/>
      <c r="AD4405" s="49"/>
      <c r="AE4405" s="49"/>
      <c r="AF4405" s="49"/>
      <c r="AG4405" s="49"/>
      <c r="AH4405" s="49"/>
      <c r="AI4405" s="49"/>
      <c r="AJ4405" s="49"/>
      <c r="AK4405" s="49"/>
      <c r="AL4405" s="49"/>
      <c r="AM4405" s="49"/>
      <c r="AN4405" s="49"/>
      <c r="AP4405" s="49"/>
      <c r="AQ4405" s="49"/>
      <c r="AR4405" s="49"/>
      <c r="AS4405" s="49"/>
      <c r="AT4405" s="49"/>
    </row>
    <row r="4406">
      <c r="A4406" s="59"/>
      <c r="B4406" s="49"/>
      <c r="C4406" s="50"/>
      <c r="D4406" s="49"/>
      <c r="E4406" s="49"/>
      <c r="F4406" s="49"/>
      <c r="G4406" s="49"/>
      <c r="H4406" s="50"/>
      <c r="I4406" s="50"/>
      <c r="J4406" s="49"/>
      <c r="K4406" s="49"/>
      <c r="L4406" s="49"/>
      <c r="M4406" s="49"/>
      <c r="N4406" s="50"/>
      <c r="O4406" s="49"/>
      <c r="P4406" s="49"/>
      <c r="Q4406" s="49"/>
      <c r="R4406" s="49"/>
      <c r="S4406" s="49"/>
      <c r="T4406" s="49"/>
      <c r="U4406" s="49"/>
      <c r="V4406" s="49"/>
      <c r="W4406" s="49"/>
      <c r="X4406" s="49"/>
      <c r="Y4406" s="49"/>
      <c r="Z4406" s="49"/>
      <c r="AA4406" s="49"/>
      <c r="AB4406" s="49"/>
      <c r="AC4406" s="49"/>
      <c r="AD4406" s="49"/>
      <c r="AE4406" s="49"/>
      <c r="AF4406" s="49"/>
      <c r="AG4406" s="49"/>
      <c r="AH4406" s="49"/>
      <c r="AI4406" s="49"/>
      <c r="AJ4406" s="49"/>
      <c r="AK4406" s="49"/>
      <c r="AL4406" s="49"/>
      <c r="AM4406" s="49"/>
      <c r="AN4406" s="49"/>
      <c r="AP4406" s="49"/>
      <c r="AQ4406" s="49"/>
      <c r="AR4406" s="49"/>
      <c r="AS4406" s="49"/>
      <c r="AT4406" s="49"/>
    </row>
    <row r="4407">
      <c r="A4407" s="59"/>
      <c r="B4407" s="49"/>
      <c r="C4407" s="50"/>
      <c r="D4407" s="49"/>
      <c r="E4407" s="49"/>
      <c r="F4407" s="49"/>
      <c r="G4407" s="49"/>
      <c r="H4407" s="50"/>
      <c r="I4407" s="50"/>
      <c r="J4407" s="49"/>
      <c r="K4407" s="49"/>
      <c r="L4407" s="49"/>
      <c r="M4407" s="49"/>
      <c r="N4407" s="50"/>
      <c r="O4407" s="49"/>
      <c r="P4407" s="49"/>
      <c r="Q4407" s="49"/>
      <c r="R4407" s="49"/>
      <c r="S4407" s="49"/>
      <c r="T4407" s="49"/>
      <c r="U4407" s="49"/>
      <c r="V4407" s="49"/>
      <c r="W4407" s="49"/>
      <c r="X4407" s="49"/>
      <c r="Y4407" s="49"/>
      <c r="Z4407" s="49"/>
      <c r="AA4407" s="49"/>
      <c r="AB4407" s="49"/>
      <c r="AC4407" s="49"/>
      <c r="AD4407" s="49"/>
      <c r="AE4407" s="49"/>
      <c r="AF4407" s="49"/>
      <c r="AG4407" s="49"/>
      <c r="AH4407" s="49"/>
      <c r="AI4407" s="49"/>
      <c r="AJ4407" s="49"/>
      <c r="AK4407" s="49"/>
      <c r="AL4407" s="49"/>
      <c r="AM4407" s="49"/>
      <c r="AN4407" s="49"/>
      <c r="AP4407" s="49"/>
      <c r="AQ4407" s="49"/>
      <c r="AR4407" s="49"/>
      <c r="AS4407" s="49"/>
      <c r="AT4407" s="49"/>
    </row>
    <row r="4408">
      <c r="A4408" s="59"/>
      <c r="B4408" s="49"/>
      <c r="C4408" s="50"/>
      <c r="D4408" s="49"/>
      <c r="E4408" s="49"/>
      <c r="F4408" s="49"/>
      <c r="G4408" s="49"/>
      <c r="H4408" s="50"/>
      <c r="I4408" s="50"/>
      <c r="J4408" s="49"/>
      <c r="K4408" s="49"/>
      <c r="L4408" s="49"/>
      <c r="M4408" s="49"/>
      <c r="N4408" s="50"/>
      <c r="O4408" s="49"/>
      <c r="P4408" s="49"/>
      <c r="Q4408" s="49"/>
      <c r="R4408" s="49"/>
      <c r="S4408" s="49"/>
      <c r="T4408" s="49"/>
      <c r="U4408" s="49"/>
      <c r="V4408" s="49"/>
      <c r="W4408" s="49"/>
      <c r="X4408" s="49"/>
      <c r="Y4408" s="49"/>
      <c r="Z4408" s="49"/>
      <c r="AA4408" s="49"/>
      <c r="AB4408" s="49"/>
      <c r="AC4408" s="49"/>
      <c r="AD4408" s="49"/>
      <c r="AE4408" s="49"/>
      <c r="AF4408" s="49"/>
      <c r="AG4408" s="49"/>
      <c r="AH4408" s="49"/>
      <c r="AI4408" s="49"/>
      <c r="AJ4408" s="49"/>
      <c r="AK4408" s="49"/>
      <c r="AL4408" s="49"/>
      <c r="AM4408" s="49"/>
      <c r="AN4408" s="49"/>
      <c r="AP4408" s="49"/>
      <c r="AQ4408" s="49"/>
      <c r="AR4408" s="49"/>
      <c r="AS4408" s="49"/>
      <c r="AT4408" s="49"/>
    </row>
    <row r="4409">
      <c r="A4409" s="59"/>
      <c r="B4409" s="49"/>
      <c r="C4409" s="50"/>
      <c r="D4409" s="49"/>
      <c r="E4409" s="49"/>
      <c r="F4409" s="49"/>
      <c r="G4409" s="49"/>
      <c r="H4409" s="50"/>
      <c r="I4409" s="50"/>
      <c r="J4409" s="49"/>
      <c r="K4409" s="49"/>
      <c r="L4409" s="49"/>
      <c r="M4409" s="49"/>
      <c r="N4409" s="50"/>
      <c r="O4409" s="49"/>
      <c r="P4409" s="49"/>
      <c r="Q4409" s="49"/>
      <c r="R4409" s="49"/>
      <c r="S4409" s="49"/>
      <c r="T4409" s="49"/>
      <c r="U4409" s="49"/>
      <c r="V4409" s="49"/>
      <c r="W4409" s="49"/>
      <c r="X4409" s="49"/>
      <c r="Y4409" s="49"/>
      <c r="Z4409" s="49"/>
      <c r="AA4409" s="49"/>
      <c r="AB4409" s="49"/>
      <c r="AC4409" s="49"/>
      <c r="AD4409" s="49"/>
      <c r="AE4409" s="49"/>
      <c r="AF4409" s="49"/>
      <c r="AG4409" s="49"/>
      <c r="AH4409" s="49"/>
      <c r="AI4409" s="49"/>
      <c r="AJ4409" s="49"/>
      <c r="AK4409" s="49"/>
      <c r="AL4409" s="49"/>
      <c r="AM4409" s="49"/>
      <c r="AN4409" s="49"/>
      <c r="AP4409" s="49"/>
      <c r="AQ4409" s="49"/>
      <c r="AR4409" s="49"/>
      <c r="AS4409" s="49"/>
      <c r="AT4409" s="49"/>
    </row>
    <row r="4410">
      <c r="A4410" s="59"/>
      <c r="B4410" s="49"/>
      <c r="C4410" s="50"/>
      <c r="D4410" s="49"/>
      <c r="E4410" s="49"/>
      <c r="F4410" s="49"/>
      <c r="G4410" s="49"/>
      <c r="H4410" s="50"/>
      <c r="I4410" s="50"/>
      <c r="J4410" s="49"/>
      <c r="K4410" s="49"/>
      <c r="L4410" s="49"/>
      <c r="M4410" s="49"/>
      <c r="N4410" s="50"/>
      <c r="O4410" s="49"/>
      <c r="P4410" s="49"/>
      <c r="Q4410" s="49"/>
      <c r="R4410" s="49"/>
      <c r="S4410" s="49"/>
      <c r="T4410" s="49"/>
      <c r="U4410" s="49"/>
      <c r="V4410" s="49"/>
      <c r="W4410" s="49"/>
      <c r="X4410" s="49"/>
      <c r="Y4410" s="49"/>
      <c r="Z4410" s="49"/>
      <c r="AA4410" s="49"/>
      <c r="AB4410" s="49"/>
      <c r="AC4410" s="49"/>
      <c r="AD4410" s="49"/>
      <c r="AE4410" s="49"/>
      <c r="AF4410" s="49"/>
      <c r="AG4410" s="49"/>
      <c r="AH4410" s="49"/>
      <c r="AI4410" s="49"/>
      <c r="AJ4410" s="49"/>
      <c r="AK4410" s="49"/>
      <c r="AL4410" s="49"/>
      <c r="AM4410" s="49"/>
      <c r="AN4410" s="49"/>
      <c r="AP4410" s="49"/>
      <c r="AQ4410" s="49"/>
      <c r="AR4410" s="49"/>
      <c r="AS4410" s="49"/>
      <c r="AT4410" s="49"/>
    </row>
    <row r="4411">
      <c r="A4411" s="59"/>
      <c r="B4411" s="49"/>
      <c r="C4411" s="50"/>
      <c r="D4411" s="49"/>
      <c r="E4411" s="49"/>
      <c r="F4411" s="49"/>
      <c r="G4411" s="49"/>
      <c r="H4411" s="50"/>
      <c r="I4411" s="50"/>
      <c r="J4411" s="49"/>
      <c r="K4411" s="49"/>
      <c r="L4411" s="49"/>
      <c r="M4411" s="49"/>
      <c r="N4411" s="50"/>
      <c r="O4411" s="49"/>
      <c r="P4411" s="49"/>
      <c r="Q4411" s="49"/>
      <c r="R4411" s="49"/>
      <c r="S4411" s="49"/>
      <c r="T4411" s="49"/>
      <c r="U4411" s="49"/>
      <c r="V4411" s="49"/>
      <c r="W4411" s="49"/>
      <c r="X4411" s="49"/>
      <c r="Y4411" s="49"/>
      <c r="Z4411" s="49"/>
      <c r="AA4411" s="49"/>
      <c r="AB4411" s="49"/>
      <c r="AC4411" s="49"/>
      <c r="AD4411" s="49"/>
      <c r="AE4411" s="49"/>
      <c r="AF4411" s="49"/>
      <c r="AG4411" s="49"/>
      <c r="AH4411" s="49"/>
      <c r="AI4411" s="49"/>
      <c r="AJ4411" s="49"/>
      <c r="AK4411" s="49"/>
      <c r="AL4411" s="49"/>
      <c r="AM4411" s="49"/>
      <c r="AN4411" s="49"/>
      <c r="AP4411" s="49"/>
      <c r="AQ4411" s="49"/>
      <c r="AR4411" s="49"/>
      <c r="AS4411" s="49"/>
      <c r="AT4411" s="49"/>
    </row>
    <row r="4412">
      <c r="A4412" s="59"/>
      <c r="B4412" s="49"/>
      <c r="C4412" s="50"/>
      <c r="D4412" s="49"/>
      <c r="E4412" s="49"/>
      <c r="F4412" s="49"/>
      <c r="G4412" s="49"/>
      <c r="H4412" s="50"/>
      <c r="I4412" s="50"/>
      <c r="J4412" s="49"/>
      <c r="K4412" s="49"/>
      <c r="L4412" s="49"/>
      <c r="M4412" s="49"/>
      <c r="N4412" s="50"/>
      <c r="O4412" s="49"/>
      <c r="P4412" s="49"/>
      <c r="Q4412" s="49"/>
      <c r="R4412" s="49"/>
      <c r="S4412" s="49"/>
      <c r="T4412" s="49"/>
      <c r="U4412" s="49"/>
      <c r="V4412" s="49"/>
      <c r="W4412" s="49"/>
      <c r="X4412" s="49"/>
      <c r="Y4412" s="49"/>
      <c r="Z4412" s="49"/>
      <c r="AA4412" s="49"/>
      <c r="AB4412" s="49"/>
      <c r="AC4412" s="49"/>
      <c r="AD4412" s="49"/>
      <c r="AE4412" s="49"/>
      <c r="AF4412" s="49"/>
      <c r="AG4412" s="49"/>
      <c r="AH4412" s="49"/>
      <c r="AI4412" s="49"/>
      <c r="AJ4412" s="49"/>
      <c r="AK4412" s="49"/>
      <c r="AL4412" s="49"/>
      <c r="AM4412" s="49"/>
      <c r="AN4412" s="49"/>
      <c r="AP4412" s="49"/>
      <c r="AQ4412" s="49"/>
      <c r="AR4412" s="49"/>
      <c r="AS4412" s="49"/>
      <c r="AT4412" s="49"/>
    </row>
    <row r="4413">
      <c r="A4413" s="59"/>
      <c r="B4413" s="49"/>
      <c r="C4413" s="50"/>
      <c r="D4413" s="49"/>
      <c r="E4413" s="49"/>
      <c r="F4413" s="49"/>
      <c r="G4413" s="49"/>
      <c r="H4413" s="50"/>
      <c r="I4413" s="50"/>
      <c r="J4413" s="49"/>
      <c r="K4413" s="49"/>
      <c r="L4413" s="49"/>
      <c r="M4413" s="49"/>
      <c r="N4413" s="50"/>
      <c r="O4413" s="49"/>
      <c r="P4413" s="49"/>
      <c r="Q4413" s="49"/>
      <c r="R4413" s="49"/>
      <c r="S4413" s="49"/>
      <c r="T4413" s="49"/>
      <c r="U4413" s="49"/>
      <c r="V4413" s="49"/>
      <c r="W4413" s="49"/>
      <c r="X4413" s="49"/>
      <c r="Y4413" s="49"/>
      <c r="Z4413" s="49"/>
      <c r="AA4413" s="49"/>
      <c r="AB4413" s="49"/>
      <c r="AC4413" s="49"/>
      <c r="AD4413" s="49"/>
      <c r="AE4413" s="49"/>
      <c r="AF4413" s="49"/>
      <c r="AG4413" s="49"/>
      <c r="AH4413" s="49"/>
      <c r="AI4413" s="49"/>
      <c r="AJ4413" s="49"/>
      <c r="AK4413" s="49"/>
      <c r="AL4413" s="49"/>
      <c r="AM4413" s="49"/>
      <c r="AN4413" s="49"/>
      <c r="AP4413" s="49"/>
      <c r="AQ4413" s="49"/>
      <c r="AR4413" s="49"/>
      <c r="AS4413" s="49"/>
      <c r="AT4413" s="49"/>
    </row>
    <row r="4414">
      <c r="A4414" s="59"/>
      <c r="B4414" s="49"/>
      <c r="C4414" s="50"/>
      <c r="D4414" s="49"/>
      <c r="E4414" s="49"/>
      <c r="F4414" s="49"/>
      <c r="G4414" s="49"/>
      <c r="H4414" s="50"/>
      <c r="I4414" s="50"/>
      <c r="J4414" s="49"/>
      <c r="K4414" s="49"/>
      <c r="L4414" s="49"/>
      <c r="M4414" s="49"/>
      <c r="N4414" s="50"/>
      <c r="O4414" s="49"/>
      <c r="P4414" s="49"/>
      <c r="Q4414" s="49"/>
      <c r="R4414" s="49"/>
      <c r="S4414" s="49"/>
      <c r="T4414" s="49"/>
      <c r="U4414" s="49"/>
      <c r="V4414" s="49"/>
      <c r="W4414" s="49"/>
      <c r="X4414" s="49"/>
      <c r="Y4414" s="49"/>
      <c r="Z4414" s="49"/>
      <c r="AA4414" s="49"/>
      <c r="AB4414" s="49"/>
      <c r="AC4414" s="49"/>
      <c r="AD4414" s="49"/>
      <c r="AE4414" s="49"/>
      <c r="AF4414" s="49"/>
      <c r="AG4414" s="49"/>
      <c r="AH4414" s="49"/>
      <c r="AI4414" s="49"/>
      <c r="AJ4414" s="49"/>
      <c r="AK4414" s="49"/>
      <c r="AL4414" s="49"/>
      <c r="AM4414" s="49"/>
      <c r="AN4414" s="49"/>
      <c r="AP4414" s="49"/>
      <c r="AQ4414" s="49"/>
      <c r="AR4414" s="49"/>
      <c r="AS4414" s="49"/>
      <c r="AT4414" s="49"/>
    </row>
    <row r="4415">
      <c r="A4415" s="59"/>
      <c r="B4415" s="49"/>
      <c r="C4415" s="50"/>
      <c r="D4415" s="49"/>
      <c r="E4415" s="49"/>
      <c r="F4415" s="49"/>
      <c r="G4415" s="49"/>
      <c r="H4415" s="50"/>
      <c r="I4415" s="50"/>
      <c r="J4415" s="49"/>
      <c r="K4415" s="49"/>
      <c r="L4415" s="49"/>
      <c r="M4415" s="49"/>
      <c r="N4415" s="50"/>
      <c r="O4415" s="49"/>
      <c r="P4415" s="49"/>
      <c r="Q4415" s="49"/>
      <c r="R4415" s="49"/>
      <c r="S4415" s="49"/>
      <c r="T4415" s="49"/>
      <c r="U4415" s="49"/>
      <c r="V4415" s="49"/>
      <c r="W4415" s="49"/>
      <c r="X4415" s="49"/>
      <c r="Y4415" s="49"/>
      <c r="Z4415" s="49"/>
      <c r="AA4415" s="49"/>
      <c r="AB4415" s="49"/>
      <c r="AC4415" s="49"/>
      <c r="AD4415" s="49"/>
      <c r="AE4415" s="49"/>
      <c r="AF4415" s="49"/>
      <c r="AG4415" s="49"/>
      <c r="AH4415" s="49"/>
      <c r="AI4415" s="49"/>
      <c r="AJ4415" s="49"/>
      <c r="AK4415" s="49"/>
      <c r="AL4415" s="49"/>
      <c r="AM4415" s="49"/>
      <c r="AN4415" s="49"/>
      <c r="AP4415" s="49"/>
      <c r="AQ4415" s="49"/>
      <c r="AR4415" s="49"/>
      <c r="AS4415" s="49"/>
      <c r="AT4415" s="49"/>
    </row>
    <row r="4416">
      <c r="A4416" s="59"/>
      <c r="B4416" s="49"/>
      <c r="C4416" s="50"/>
      <c r="D4416" s="49"/>
      <c r="E4416" s="49"/>
      <c r="F4416" s="49"/>
      <c r="G4416" s="49"/>
      <c r="H4416" s="50"/>
      <c r="I4416" s="50"/>
      <c r="J4416" s="49"/>
      <c r="K4416" s="49"/>
      <c r="L4416" s="49"/>
      <c r="M4416" s="49"/>
      <c r="N4416" s="50"/>
      <c r="O4416" s="49"/>
      <c r="P4416" s="49"/>
      <c r="Q4416" s="49"/>
      <c r="R4416" s="49"/>
      <c r="S4416" s="49"/>
      <c r="T4416" s="49"/>
      <c r="U4416" s="49"/>
      <c r="V4416" s="49"/>
      <c r="W4416" s="49"/>
      <c r="X4416" s="49"/>
      <c r="Y4416" s="49"/>
      <c r="Z4416" s="49"/>
      <c r="AA4416" s="49"/>
      <c r="AB4416" s="49"/>
      <c r="AC4416" s="49"/>
      <c r="AD4416" s="49"/>
      <c r="AE4416" s="49"/>
      <c r="AF4416" s="49"/>
      <c r="AG4416" s="49"/>
      <c r="AH4416" s="49"/>
      <c r="AI4416" s="49"/>
      <c r="AJ4416" s="49"/>
      <c r="AK4416" s="49"/>
      <c r="AL4416" s="49"/>
      <c r="AM4416" s="49"/>
      <c r="AN4416" s="49"/>
      <c r="AP4416" s="49"/>
      <c r="AQ4416" s="49"/>
      <c r="AR4416" s="49"/>
      <c r="AS4416" s="49"/>
      <c r="AT4416" s="49"/>
    </row>
    <row r="4417">
      <c r="A4417" s="59"/>
      <c r="B4417" s="49"/>
      <c r="C4417" s="50"/>
      <c r="D4417" s="49"/>
      <c r="E4417" s="49"/>
      <c r="F4417" s="49"/>
      <c r="G4417" s="49"/>
      <c r="H4417" s="50"/>
      <c r="I4417" s="50"/>
      <c r="J4417" s="49"/>
      <c r="K4417" s="49"/>
      <c r="L4417" s="49"/>
      <c r="M4417" s="49"/>
      <c r="N4417" s="50"/>
      <c r="O4417" s="49"/>
      <c r="P4417" s="49"/>
      <c r="Q4417" s="49"/>
      <c r="R4417" s="49"/>
      <c r="S4417" s="49"/>
      <c r="T4417" s="49"/>
      <c r="U4417" s="49"/>
      <c r="V4417" s="49"/>
      <c r="W4417" s="49"/>
      <c r="X4417" s="49"/>
      <c r="Y4417" s="49"/>
      <c r="Z4417" s="49"/>
      <c r="AA4417" s="49"/>
      <c r="AB4417" s="49"/>
      <c r="AC4417" s="49"/>
      <c r="AD4417" s="49"/>
      <c r="AE4417" s="49"/>
      <c r="AF4417" s="49"/>
      <c r="AG4417" s="49"/>
      <c r="AH4417" s="49"/>
      <c r="AI4417" s="49"/>
      <c r="AJ4417" s="49"/>
      <c r="AK4417" s="49"/>
      <c r="AL4417" s="49"/>
      <c r="AM4417" s="49"/>
      <c r="AN4417" s="49"/>
      <c r="AP4417" s="49"/>
      <c r="AQ4417" s="49"/>
      <c r="AR4417" s="49"/>
      <c r="AS4417" s="49"/>
      <c r="AT4417" s="49"/>
    </row>
    <row r="4418">
      <c r="A4418" s="59"/>
      <c r="B4418" s="49"/>
      <c r="C4418" s="50"/>
      <c r="D4418" s="49"/>
      <c r="E4418" s="49"/>
      <c r="F4418" s="49"/>
      <c r="G4418" s="49"/>
      <c r="H4418" s="50"/>
      <c r="I4418" s="50"/>
      <c r="J4418" s="49"/>
      <c r="K4418" s="49"/>
      <c r="L4418" s="49"/>
      <c r="M4418" s="49"/>
      <c r="N4418" s="50"/>
      <c r="O4418" s="49"/>
      <c r="P4418" s="49"/>
      <c r="Q4418" s="49"/>
      <c r="R4418" s="49"/>
      <c r="S4418" s="49"/>
      <c r="T4418" s="49"/>
      <c r="U4418" s="49"/>
      <c r="V4418" s="49"/>
      <c r="W4418" s="49"/>
      <c r="X4418" s="49"/>
      <c r="Y4418" s="49"/>
      <c r="Z4418" s="49"/>
      <c r="AA4418" s="49"/>
      <c r="AB4418" s="49"/>
      <c r="AC4418" s="49"/>
      <c r="AD4418" s="49"/>
      <c r="AE4418" s="49"/>
      <c r="AF4418" s="49"/>
      <c r="AG4418" s="49"/>
      <c r="AH4418" s="49"/>
      <c r="AI4418" s="49"/>
      <c r="AJ4418" s="49"/>
      <c r="AK4418" s="49"/>
      <c r="AL4418" s="49"/>
      <c r="AM4418" s="49"/>
      <c r="AN4418" s="49"/>
      <c r="AP4418" s="49"/>
      <c r="AQ4418" s="49"/>
      <c r="AR4418" s="49"/>
      <c r="AS4418" s="49"/>
      <c r="AT4418" s="49"/>
    </row>
    <row r="4419">
      <c r="A4419" s="59"/>
      <c r="B4419" s="49"/>
      <c r="C4419" s="50"/>
      <c r="D4419" s="49"/>
      <c r="E4419" s="49"/>
      <c r="F4419" s="49"/>
      <c r="G4419" s="49"/>
      <c r="H4419" s="50"/>
      <c r="I4419" s="50"/>
      <c r="J4419" s="49"/>
      <c r="K4419" s="49"/>
      <c r="L4419" s="49"/>
      <c r="M4419" s="49"/>
      <c r="N4419" s="50"/>
      <c r="O4419" s="49"/>
      <c r="P4419" s="49"/>
      <c r="Q4419" s="49"/>
      <c r="R4419" s="49"/>
      <c r="S4419" s="49"/>
      <c r="T4419" s="49"/>
      <c r="U4419" s="49"/>
      <c r="V4419" s="49"/>
      <c r="W4419" s="49"/>
      <c r="X4419" s="49"/>
      <c r="Y4419" s="49"/>
      <c r="Z4419" s="49"/>
      <c r="AA4419" s="49"/>
      <c r="AB4419" s="49"/>
      <c r="AC4419" s="49"/>
      <c r="AD4419" s="49"/>
      <c r="AE4419" s="49"/>
      <c r="AF4419" s="49"/>
      <c r="AG4419" s="49"/>
      <c r="AH4419" s="49"/>
      <c r="AI4419" s="49"/>
      <c r="AJ4419" s="49"/>
      <c r="AK4419" s="49"/>
      <c r="AL4419" s="49"/>
      <c r="AM4419" s="49"/>
      <c r="AN4419" s="49"/>
      <c r="AP4419" s="49"/>
      <c r="AQ4419" s="49"/>
      <c r="AR4419" s="49"/>
      <c r="AS4419" s="49"/>
      <c r="AT4419" s="49"/>
    </row>
    <row r="4420">
      <c r="A4420" s="59"/>
      <c r="B4420" s="49"/>
      <c r="C4420" s="50"/>
      <c r="D4420" s="49"/>
      <c r="E4420" s="49"/>
      <c r="F4420" s="49"/>
      <c r="G4420" s="49"/>
      <c r="H4420" s="50"/>
      <c r="I4420" s="50"/>
      <c r="J4420" s="49"/>
      <c r="K4420" s="49"/>
      <c r="L4420" s="49"/>
      <c r="M4420" s="49"/>
      <c r="N4420" s="50"/>
      <c r="O4420" s="49"/>
      <c r="P4420" s="49"/>
      <c r="Q4420" s="49"/>
      <c r="R4420" s="49"/>
      <c r="S4420" s="49"/>
      <c r="T4420" s="49"/>
      <c r="U4420" s="49"/>
      <c r="V4420" s="49"/>
      <c r="W4420" s="49"/>
      <c r="X4420" s="49"/>
      <c r="Y4420" s="49"/>
      <c r="Z4420" s="49"/>
      <c r="AA4420" s="49"/>
      <c r="AB4420" s="49"/>
      <c r="AC4420" s="49"/>
      <c r="AD4420" s="49"/>
      <c r="AE4420" s="49"/>
      <c r="AF4420" s="49"/>
      <c r="AG4420" s="49"/>
      <c r="AH4420" s="49"/>
      <c r="AI4420" s="49"/>
      <c r="AJ4420" s="49"/>
      <c r="AK4420" s="49"/>
      <c r="AL4420" s="49"/>
      <c r="AM4420" s="49"/>
      <c r="AN4420" s="49"/>
      <c r="AP4420" s="49"/>
      <c r="AQ4420" s="49"/>
      <c r="AR4420" s="49"/>
      <c r="AS4420" s="49"/>
      <c r="AT4420" s="49"/>
    </row>
    <row r="4421">
      <c r="A4421" s="59"/>
      <c r="B4421" s="49"/>
      <c r="C4421" s="50"/>
      <c r="D4421" s="49"/>
      <c r="E4421" s="49"/>
      <c r="F4421" s="49"/>
      <c r="G4421" s="49"/>
      <c r="H4421" s="50"/>
      <c r="I4421" s="50"/>
      <c r="J4421" s="49"/>
      <c r="K4421" s="49"/>
      <c r="L4421" s="49"/>
      <c r="M4421" s="49"/>
      <c r="N4421" s="50"/>
      <c r="O4421" s="49"/>
      <c r="P4421" s="49"/>
      <c r="Q4421" s="49"/>
      <c r="R4421" s="49"/>
      <c r="S4421" s="49"/>
      <c r="T4421" s="49"/>
      <c r="U4421" s="49"/>
      <c r="V4421" s="49"/>
      <c r="W4421" s="49"/>
      <c r="X4421" s="49"/>
      <c r="Y4421" s="49"/>
      <c r="Z4421" s="49"/>
      <c r="AA4421" s="49"/>
      <c r="AB4421" s="49"/>
      <c r="AC4421" s="49"/>
      <c r="AD4421" s="49"/>
      <c r="AE4421" s="49"/>
      <c r="AF4421" s="49"/>
      <c r="AG4421" s="49"/>
      <c r="AH4421" s="49"/>
      <c r="AI4421" s="49"/>
      <c r="AJ4421" s="49"/>
      <c r="AK4421" s="49"/>
      <c r="AL4421" s="49"/>
      <c r="AM4421" s="49"/>
      <c r="AN4421" s="49"/>
      <c r="AP4421" s="49"/>
      <c r="AQ4421" s="49"/>
      <c r="AR4421" s="49"/>
      <c r="AS4421" s="49"/>
      <c r="AT4421" s="49"/>
    </row>
    <row r="4422">
      <c r="A4422" s="59"/>
      <c r="B4422" s="49"/>
      <c r="C4422" s="50"/>
      <c r="D4422" s="49"/>
      <c r="E4422" s="49"/>
      <c r="F4422" s="49"/>
      <c r="G4422" s="49"/>
      <c r="H4422" s="50"/>
      <c r="I4422" s="50"/>
      <c r="J4422" s="49"/>
      <c r="K4422" s="49"/>
      <c r="L4422" s="49"/>
      <c r="M4422" s="49"/>
      <c r="N4422" s="50"/>
      <c r="O4422" s="49"/>
      <c r="P4422" s="49"/>
      <c r="Q4422" s="49"/>
      <c r="R4422" s="49"/>
      <c r="S4422" s="49"/>
      <c r="T4422" s="49"/>
      <c r="U4422" s="49"/>
      <c r="V4422" s="49"/>
      <c r="W4422" s="49"/>
      <c r="X4422" s="49"/>
      <c r="Y4422" s="49"/>
      <c r="Z4422" s="49"/>
      <c r="AA4422" s="49"/>
      <c r="AB4422" s="49"/>
      <c r="AC4422" s="49"/>
      <c r="AD4422" s="49"/>
      <c r="AE4422" s="49"/>
      <c r="AF4422" s="49"/>
      <c r="AG4422" s="49"/>
      <c r="AH4422" s="49"/>
      <c r="AI4422" s="49"/>
      <c r="AJ4422" s="49"/>
      <c r="AK4422" s="49"/>
      <c r="AL4422" s="49"/>
      <c r="AM4422" s="49"/>
      <c r="AN4422" s="49"/>
      <c r="AP4422" s="49"/>
      <c r="AQ4422" s="49"/>
      <c r="AR4422" s="49"/>
      <c r="AS4422" s="49"/>
      <c r="AT4422" s="49"/>
    </row>
    <row r="4423">
      <c r="A4423" s="59"/>
      <c r="B4423" s="49"/>
      <c r="C4423" s="50"/>
      <c r="D4423" s="49"/>
      <c r="E4423" s="49"/>
      <c r="F4423" s="49"/>
      <c r="G4423" s="49"/>
      <c r="H4423" s="50"/>
      <c r="I4423" s="50"/>
      <c r="J4423" s="49"/>
      <c r="K4423" s="49"/>
      <c r="L4423" s="49"/>
      <c r="M4423" s="49"/>
      <c r="N4423" s="50"/>
      <c r="O4423" s="49"/>
      <c r="P4423" s="49"/>
      <c r="Q4423" s="49"/>
      <c r="R4423" s="49"/>
      <c r="S4423" s="49"/>
      <c r="T4423" s="49"/>
      <c r="U4423" s="49"/>
      <c r="V4423" s="49"/>
      <c r="W4423" s="49"/>
      <c r="X4423" s="49"/>
      <c r="Y4423" s="49"/>
      <c r="Z4423" s="49"/>
      <c r="AA4423" s="49"/>
      <c r="AB4423" s="49"/>
      <c r="AC4423" s="49"/>
      <c r="AD4423" s="49"/>
      <c r="AE4423" s="49"/>
      <c r="AF4423" s="49"/>
      <c r="AG4423" s="49"/>
      <c r="AH4423" s="49"/>
      <c r="AI4423" s="49"/>
      <c r="AJ4423" s="49"/>
      <c r="AK4423" s="49"/>
      <c r="AL4423" s="49"/>
      <c r="AM4423" s="49"/>
      <c r="AN4423" s="49"/>
      <c r="AP4423" s="49"/>
      <c r="AQ4423" s="49"/>
      <c r="AR4423" s="49"/>
      <c r="AS4423" s="49"/>
      <c r="AT4423" s="49"/>
    </row>
    <row r="4424">
      <c r="A4424" s="59"/>
      <c r="B4424" s="49"/>
      <c r="C4424" s="50"/>
      <c r="D4424" s="49"/>
      <c r="E4424" s="49"/>
      <c r="F4424" s="49"/>
      <c r="G4424" s="49"/>
      <c r="H4424" s="50"/>
      <c r="I4424" s="50"/>
      <c r="J4424" s="49"/>
      <c r="K4424" s="49"/>
      <c r="L4424" s="49"/>
      <c r="M4424" s="49"/>
      <c r="N4424" s="50"/>
      <c r="O4424" s="49"/>
      <c r="P4424" s="49"/>
      <c r="Q4424" s="49"/>
      <c r="R4424" s="49"/>
      <c r="S4424" s="49"/>
      <c r="T4424" s="49"/>
      <c r="U4424" s="49"/>
      <c r="V4424" s="49"/>
      <c r="W4424" s="49"/>
      <c r="X4424" s="49"/>
      <c r="Y4424" s="49"/>
      <c r="Z4424" s="49"/>
      <c r="AA4424" s="49"/>
      <c r="AB4424" s="49"/>
      <c r="AC4424" s="49"/>
      <c r="AD4424" s="49"/>
      <c r="AE4424" s="49"/>
      <c r="AF4424" s="49"/>
      <c r="AG4424" s="49"/>
      <c r="AH4424" s="49"/>
      <c r="AI4424" s="49"/>
      <c r="AJ4424" s="49"/>
      <c r="AK4424" s="49"/>
      <c r="AL4424" s="49"/>
      <c r="AM4424" s="49"/>
      <c r="AN4424" s="49"/>
      <c r="AP4424" s="49"/>
      <c r="AQ4424" s="49"/>
      <c r="AR4424" s="49"/>
      <c r="AS4424" s="49"/>
      <c r="AT4424" s="49"/>
    </row>
    <row r="4425">
      <c r="A4425" s="59"/>
      <c r="B4425" s="49"/>
      <c r="C4425" s="50"/>
      <c r="D4425" s="49"/>
      <c r="E4425" s="49"/>
      <c r="F4425" s="49"/>
      <c r="G4425" s="49"/>
      <c r="H4425" s="50"/>
      <c r="I4425" s="50"/>
      <c r="J4425" s="49"/>
      <c r="K4425" s="49"/>
      <c r="L4425" s="49"/>
      <c r="M4425" s="49"/>
      <c r="N4425" s="50"/>
      <c r="O4425" s="49"/>
      <c r="P4425" s="49"/>
      <c r="Q4425" s="49"/>
      <c r="R4425" s="49"/>
      <c r="S4425" s="49"/>
      <c r="T4425" s="49"/>
      <c r="U4425" s="49"/>
      <c r="V4425" s="49"/>
      <c r="W4425" s="49"/>
      <c r="X4425" s="49"/>
      <c r="Y4425" s="49"/>
      <c r="Z4425" s="49"/>
      <c r="AA4425" s="49"/>
      <c r="AB4425" s="49"/>
      <c r="AC4425" s="49"/>
      <c r="AD4425" s="49"/>
      <c r="AE4425" s="49"/>
      <c r="AF4425" s="49"/>
      <c r="AG4425" s="49"/>
      <c r="AH4425" s="49"/>
      <c r="AI4425" s="49"/>
      <c r="AJ4425" s="49"/>
      <c r="AK4425" s="49"/>
      <c r="AL4425" s="49"/>
      <c r="AM4425" s="49"/>
      <c r="AN4425" s="49"/>
      <c r="AP4425" s="49"/>
      <c r="AQ4425" s="49"/>
      <c r="AR4425" s="49"/>
      <c r="AS4425" s="49"/>
      <c r="AT4425" s="49"/>
    </row>
    <row r="4426">
      <c r="A4426" s="59"/>
      <c r="B4426" s="49"/>
      <c r="C4426" s="50"/>
      <c r="D4426" s="49"/>
      <c r="E4426" s="49"/>
      <c r="F4426" s="49"/>
      <c r="G4426" s="49"/>
      <c r="H4426" s="50"/>
      <c r="I4426" s="50"/>
      <c r="J4426" s="49"/>
      <c r="K4426" s="49"/>
      <c r="L4426" s="49"/>
      <c r="M4426" s="49"/>
      <c r="N4426" s="50"/>
      <c r="O4426" s="49"/>
      <c r="P4426" s="49"/>
      <c r="Q4426" s="49"/>
      <c r="R4426" s="49"/>
      <c r="S4426" s="49"/>
      <c r="T4426" s="49"/>
      <c r="U4426" s="49"/>
      <c r="V4426" s="49"/>
      <c r="W4426" s="49"/>
      <c r="X4426" s="49"/>
      <c r="Y4426" s="49"/>
      <c r="Z4426" s="49"/>
      <c r="AA4426" s="49"/>
      <c r="AB4426" s="49"/>
      <c r="AC4426" s="49"/>
      <c r="AD4426" s="49"/>
      <c r="AE4426" s="49"/>
      <c r="AF4426" s="49"/>
      <c r="AG4426" s="49"/>
      <c r="AH4426" s="49"/>
      <c r="AI4426" s="49"/>
      <c r="AJ4426" s="49"/>
      <c r="AK4426" s="49"/>
      <c r="AL4426" s="49"/>
      <c r="AM4426" s="49"/>
      <c r="AN4426" s="49"/>
      <c r="AP4426" s="49"/>
      <c r="AQ4426" s="49"/>
      <c r="AR4426" s="49"/>
      <c r="AS4426" s="49"/>
      <c r="AT4426" s="49"/>
    </row>
    <row r="4427">
      <c r="A4427" s="59"/>
      <c r="B4427" s="49"/>
      <c r="C4427" s="50"/>
      <c r="D4427" s="49"/>
      <c r="E4427" s="49"/>
      <c r="F4427" s="49"/>
      <c r="G4427" s="49"/>
      <c r="H4427" s="50"/>
      <c r="I4427" s="50"/>
      <c r="J4427" s="49"/>
      <c r="K4427" s="49"/>
      <c r="L4427" s="49"/>
      <c r="M4427" s="49"/>
      <c r="N4427" s="50"/>
      <c r="O4427" s="49"/>
      <c r="P4427" s="49"/>
      <c r="Q4427" s="49"/>
      <c r="R4427" s="49"/>
      <c r="S4427" s="49"/>
      <c r="T4427" s="49"/>
      <c r="U4427" s="49"/>
      <c r="V4427" s="49"/>
      <c r="W4427" s="49"/>
      <c r="X4427" s="49"/>
      <c r="Y4427" s="49"/>
      <c r="Z4427" s="49"/>
      <c r="AA4427" s="49"/>
      <c r="AB4427" s="49"/>
      <c r="AC4427" s="49"/>
      <c r="AD4427" s="49"/>
      <c r="AE4427" s="49"/>
      <c r="AF4427" s="49"/>
      <c r="AG4427" s="49"/>
      <c r="AH4427" s="49"/>
      <c r="AI4427" s="49"/>
      <c r="AJ4427" s="49"/>
      <c r="AK4427" s="49"/>
      <c r="AL4427" s="49"/>
      <c r="AM4427" s="49"/>
      <c r="AN4427" s="49"/>
      <c r="AP4427" s="49"/>
      <c r="AQ4427" s="49"/>
      <c r="AR4427" s="49"/>
      <c r="AS4427" s="49"/>
      <c r="AT4427" s="49"/>
    </row>
    <row r="4428">
      <c r="A4428" s="59"/>
      <c r="B4428" s="49"/>
      <c r="C4428" s="50"/>
      <c r="D4428" s="49"/>
      <c r="E4428" s="49"/>
      <c r="F4428" s="49"/>
      <c r="G4428" s="49"/>
      <c r="H4428" s="50"/>
      <c r="I4428" s="50"/>
      <c r="J4428" s="49"/>
      <c r="K4428" s="49"/>
      <c r="L4428" s="49"/>
      <c r="M4428" s="49"/>
      <c r="N4428" s="50"/>
      <c r="O4428" s="49"/>
      <c r="P4428" s="49"/>
      <c r="Q4428" s="49"/>
      <c r="R4428" s="49"/>
      <c r="S4428" s="49"/>
      <c r="T4428" s="49"/>
      <c r="U4428" s="49"/>
      <c r="V4428" s="49"/>
      <c r="W4428" s="49"/>
      <c r="X4428" s="49"/>
      <c r="Y4428" s="49"/>
      <c r="Z4428" s="49"/>
      <c r="AA4428" s="49"/>
      <c r="AB4428" s="49"/>
      <c r="AC4428" s="49"/>
      <c r="AD4428" s="49"/>
      <c r="AE4428" s="49"/>
      <c r="AF4428" s="49"/>
      <c r="AG4428" s="49"/>
      <c r="AH4428" s="49"/>
      <c r="AI4428" s="49"/>
      <c r="AJ4428" s="49"/>
      <c r="AK4428" s="49"/>
      <c r="AL4428" s="49"/>
      <c r="AM4428" s="49"/>
      <c r="AN4428" s="49"/>
      <c r="AP4428" s="49"/>
      <c r="AQ4428" s="49"/>
      <c r="AR4428" s="49"/>
      <c r="AS4428" s="49"/>
      <c r="AT4428" s="49"/>
    </row>
    <row r="4429">
      <c r="A4429" s="59"/>
      <c r="B4429" s="49"/>
      <c r="C4429" s="50"/>
      <c r="D4429" s="49"/>
      <c r="E4429" s="49"/>
      <c r="F4429" s="49"/>
      <c r="G4429" s="49"/>
      <c r="H4429" s="50"/>
      <c r="I4429" s="50"/>
      <c r="J4429" s="49"/>
      <c r="K4429" s="49"/>
      <c r="L4429" s="49"/>
      <c r="M4429" s="49"/>
      <c r="N4429" s="50"/>
      <c r="O4429" s="49"/>
      <c r="P4429" s="49"/>
      <c r="Q4429" s="49"/>
      <c r="R4429" s="49"/>
      <c r="S4429" s="49"/>
      <c r="T4429" s="49"/>
      <c r="U4429" s="49"/>
      <c r="V4429" s="49"/>
      <c r="W4429" s="49"/>
      <c r="X4429" s="49"/>
      <c r="Y4429" s="49"/>
      <c r="Z4429" s="49"/>
      <c r="AA4429" s="49"/>
      <c r="AB4429" s="49"/>
      <c r="AC4429" s="49"/>
      <c r="AD4429" s="49"/>
      <c r="AE4429" s="49"/>
      <c r="AF4429" s="49"/>
      <c r="AG4429" s="49"/>
      <c r="AH4429" s="49"/>
      <c r="AI4429" s="49"/>
      <c r="AJ4429" s="49"/>
      <c r="AK4429" s="49"/>
      <c r="AL4429" s="49"/>
      <c r="AM4429" s="49"/>
      <c r="AN4429" s="49"/>
      <c r="AP4429" s="49"/>
      <c r="AQ4429" s="49"/>
      <c r="AR4429" s="49"/>
      <c r="AS4429" s="49"/>
      <c r="AT4429" s="49"/>
    </row>
    <row r="4430">
      <c r="A4430" s="59"/>
      <c r="B4430" s="49"/>
      <c r="C4430" s="50"/>
      <c r="D4430" s="49"/>
      <c r="E4430" s="49"/>
      <c r="F4430" s="49"/>
      <c r="G4430" s="49"/>
      <c r="H4430" s="50"/>
      <c r="I4430" s="50"/>
      <c r="J4430" s="49"/>
      <c r="K4430" s="49"/>
      <c r="L4430" s="49"/>
      <c r="M4430" s="49"/>
      <c r="N4430" s="50"/>
      <c r="O4430" s="49"/>
      <c r="P4430" s="49"/>
      <c r="Q4430" s="49"/>
      <c r="R4430" s="49"/>
      <c r="S4430" s="49"/>
      <c r="T4430" s="49"/>
      <c r="U4430" s="49"/>
      <c r="V4430" s="49"/>
      <c r="W4430" s="49"/>
      <c r="X4430" s="49"/>
      <c r="Y4430" s="49"/>
      <c r="Z4430" s="49"/>
      <c r="AA4430" s="49"/>
      <c r="AB4430" s="49"/>
      <c r="AC4430" s="49"/>
      <c r="AD4430" s="49"/>
      <c r="AE4430" s="49"/>
      <c r="AF4430" s="49"/>
      <c r="AG4430" s="49"/>
      <c r="AH4430" s="49"/>
      <c r="AI4430" s="49"/>
      <c r="AJ4430" s="49"/>
      <c r="AK4430" s="49"/>
      <c r="AL4430" s="49"/>
      <c r="AM4430" s="49"/>
      <c r="AN4430" s="49"/>
      <c r="AP4430" s="49"/>
      <c r="AQ4430" s="49"/>
      <c r="AR4430" s="49"/>
      <c r="AS4430" s="49"/>
      <c r="AT4430" s="49"/>
    </row>
    <row r="4431">
      <c r="A4431" s="59"/>
      <c r="B4431" s="49"/>
      <c r="C4431" s="50"/>
      <c r="D4431" s="49"/>
      <c r="E4431" s="49"/>
      <c r="F4431" s="49"/>
      <c r="G4431" s="49"/>
      <c r="H4431" s="50"/>
      <c r="I4431" s="50"/>
      <c r="J4431" s="49"/>
      <c r="K4431" s="49"/>
      <c r="L4431" s="49"/>
      <c r="M4431" s="49"/>
      <c r="N4431" s="50"/>
      <c r="O4431" s="49"/>
      <c r="P4431" s="49"/>
      <c r="Q4431" s="49"/>
      <c r="R4431" s="49"/>
      <c r="S4431" s="49"/>
      <c r="T4431" s="49"/>
      <c r="U4431" s="49"/>
      <c r="V4431" s="49"/>
      <c r="W4431" s="49"/>
      <c r="X4431" s="49"/>
      <c r="Y4431" s="49"/>
      <c r="Z4431" s="49"/>
      <c r="AA4431" s="49"/>
      <c r="AB4431" s="49"/>
      <c r="AC4431" s="49"/>
      <c r="AD4431" s="49"/>
      <c r="AE4431" s="49"/>
      <c r="AF4431" s="49"/>
      <c r="AG4431" s="49"/>
      <c r="AH4431" s="49"/>
      <c r="AI4431" s="49"/>
      <c r="AJ4431" s="49"/>
      <c r="AK4431" s="49"/>
      <c r="AL4431" s="49"/>
      <c r="AM4431" s="49"/>
      <c r="AN4431" s="49"/>
      <c r="AP4431" s="49"/>
      <c r="AQ4431" s="49"/>
      <c r="AR4431" s="49"/>
      <c r="AS4431" s="49"/>
      <c r="AT4431" s="49"/>
    </row>
    <row r="4432">
      <c r="A4432" s="59"/>
      <c r="B4432" s="49"/>
      <c r="C4432" s="50"/>
      <c r="D4432" s="49"/>
      <c r="E4432" s="49"/>
      <c r="F4432" s="49"/>
      <c r="G4432" s="49"/>
      <c r="H4432" s="50"/>
      <c r="I4432" s="50"/>
      <c r="J4432" s="49"/>
      <c r="K4432" s="49"/>
      <c r="L4432" s="49"/>
      <c r="M4432" s="49"/>
      <c r="N4432" s="50"/>
      <c r="O4432" s="49"/>
      <c r="P4432" s="49"/>
      <c r="Q4432" s="49"/>
      <c r="R4432" s="49"/>
      <c r="S4432" s="49"/>
      <c r="T4432" s="49"/>
      <c r="U4432" s="49"/>
      <c r="V4432" s="49"/>
      <c r="W4432" s="49"/>
      <c r="X4432" s="49"/>
      <c r="Y4432" s="49"/>
      <c r="Z4432" s="49"/>
      <c r="AA4432" s="49"/>
      <c r="AB4432" s="49"/>
      <c r="AC4432" s="49"/>
      <c r="AD4432" s="49"/>
      <c r="AE4432" s="49"/>
      <c r="AF4432" s="49"/>
      <c r="AG4432" s="49"/>
      <c r="AH4432" s="49"/>
      <c r="AI4432" s="49"/>
      <c r="AJ4432" s="49"/>
      <c r="AK4432" s="49"/>
      <c r="AL4432" s="49"/>
      <c r="AM4432" s="49"/>
      <c r="AN4432" s="49"/>
      <c r="AP4432" s="49"/>
      <c r="AQ4432" s="49"/>
      <c r="AR4432" s="49"/>
      <c r="AS4432" s="49"/>
      <c r="AT4432" s="49"/>
    </row>
    <row r="4433">
      <c r="A4433" s="59"/>
      <c r="B4433" s="49"/>
      <c r="C4433" s="50"/>
      <c r="D4433" s="49"/>
      <c r="E4433" s="49"/>
      <c r="F4433" s="49"/>
      <c r="G4433" s="49"/>
      <c r="H4433" s="50"/>
      <c r="I4433" s="50"/>
      <c r="J4433" s="49"/>
      <c r="K4433" s="49"/>
      <c r="L4433" s="49"/>
      <c r="M4433" s="49"/>
      <c r="N4433" s="50"/>
      <c r="O4433" s="49"/>
      <c r="P4433" s="49"/>
      <c r="Q4433" s="49"/>
      <c r="R4433" s="49"/>
      <c r="S4433" s="49"/>
      <c r="T4433" s="49"/>
      <c r="U4433" s="49"/>
      <c r="V4433" s="49"/>
      <c r="W4433" s="49"/>
      <c r="X4433" s="49"/>
      <c r="Y4433" s="49"/>
      <c r="Z4433" s="49"/>
      <c r="AA4433" s="49"/>
      <c r="AB4433" s="49"/>
      <c r="AC4433" s="49"/>
      <c r="AD4433" s="49"/>
      <c r="AE4433" s="49"/>
      <c r="AF4433" s="49"/>
      <c r="AG4433" s="49"/>
      <c r="AH4433" s="49"/>
      <c r="AI4433" s="49"/>
      <c r="AJ4433" s="49"/>
      <c r="AK4433" s="49"/>
      <c r="AL4433" s="49"/>
      <c r="AM4433" s="49"/>
      <c r="AN4433" s="49"/>
      <c r="AP4433" s="49"/>
      <c r="AQ4433" s="49"/>
      <c r="AR4433" s="49"/>
      <c r="AS4433" s="49"/>
      <c r="AT4433" s="49"/>
    </row>
    <row r="4434">
      <c r="A4434" s="59"/>
      <c r="B4434" s="49"/>
      <c r="C4434" s="50"/>
      <c r="D4434" s="49"/>
      <c r="E4434" s="49"/>
      <c r="F4434" s="49"/>
      <c r="G4434" s="49"/>
      <c r="H4434" s="50"/>
      <c r="I4434" s="50"/>
      <c r="J4434" s="49"/>
      <c r="K4434" s="49"/>
      <c r="L4434" s="49"/>
      <c r="M4434" s="49"/>
      <c r="N4434" s="50"/>
      <c r="O4434" s="49"/>
      <c r="P4434" s="49"/>
      <c r="Q4434" s="49"/>
      <c r="R4434" s="49"/>
      <c r="S4434" s="49"/>
      <c r="T4434" s="49"/>
      <c r="U4434" s="49"/>
      <c r="V4434" s="49"/>
      <c r="W4434" s="49"/>
      <c r="X4434" s="49"/>
      <c r="Y4434" s="49"/>
      <c r="Z4434" s="49"/>
      <c r="AA4434" s="49"/>
      <c r="AB4434" s="49"/>
      <c r="AC4434" s="49"/>
      <c r="AD4434" s="49"/>
      <c r="AE4434" s="49"/>
      <c r="AF4434" s="49"/>
      <c r="AG4434" s="49"/>
      <c r="AH4434" s="49"/>
      <c r="AI4434" s="49"/>
      <c r="AJ4434" s="49"/>
      <c r="AK4434" s="49"/>
      <c r="AL4434" s="49"/>
      <c r="AM4434" s="49"/>
      <c r="AN4434" s="49"/>
      <c r="AP4434" s="49"/>
      <c r="AQ4434" s="49"/>
      <c r="AR4434" s="49"/>
      <c r="AS4434" s="49"/>
      <c r="AT4434" s="49"/>
    </row>
    <row r="4435">
      <c r="A4435" s="59"/>
      <c r="B4435" s="49"/>
      <c r="C4435" s="50"/>
      <c r="D4435" s="49"/>
      <c r="E4435" s="49"/>
      <c r="F4435" s="49"/>
      <c r="G4435" s="49"/>
      <c r="H4435" s="50"/>
      <c r="I4435" s="50"/>
      <c r="J4435" s="49"/>
      <c r="K4435" s="49"/>
      <c r="L4435" s="49"/>
      <c r="M4435" s="49"/>
      <c r="N4435" s="50"/>
      <c r="O4435" s="49"/>
      <c r="P4435" s="49"/>
      <c r="Q4435" s="49"/>
      <c r="R4435" s="49"/>
      <c r="S4435" s="49"/>
      <c r="T4435" s="49"/>
      <c r="U4435" s="49"/>
      <c r="V4435" s="49"/>
      <c r="W4435" s="49"/>
      <c r="X4435" s="49"/>
      <c r="Y4435" s="49"/>
      <c r="Z4435" s="49"/>
      <c r="AA4435" s="49"/>
      <c r="AB4435" s="49"/>
      <c r="AC4435" s="49"/>
      <c r="AD4435" s="49"/>
      <c r="AE4435" s="49"/>
      <c r="AF4435" s="49"/>
      <c r="AG4435" s="49"/>
      <c r="AH4435" s="49"/>
      <c r="AI4435" s="49"/>
      <c r="AJ4435" s="49"/>
      <c r="AK4435" s="49"/>
      <c r="AL4435" s="49"/>
      <c r="AM4435" s="49"/>
      <c r="AN4435" s="49"/>
      <c r="AP4435" s="49"/>
      <c r="AQ4435" s="49"/>
      <c r="AR4435" s="49"/>
      <c r="AS4435" s="49"/>
      <c r="AT4435" s="49"/>
    </row>
    <row r="4436">
      <c r="A4436" s="59"/>
      <c r="B4436" s="49"/>
      <c r="C4436" s="50"/>
      <c r="D4436" s="49"/>
      <c r="E4436" s="49"/>
      <c r="F4436" s="49"/>
      <c r="G4436" s="49"/>
      <c r="H4436" s="50"/>
      <c r="I4436" s="50"/>
      <c r="J4436" s="49"/>
      <c r="K4436" s="49"/>
      <c r="L4436" s="49"/>
      <c r="M4436" s="49"/>
      <c r="N4436" s="50"/>
      <c r="O4436" s="49"/>
      <c r="P4436" s="49"/>
      <c r="Q4436" s="49"/>
      <c r="R4436" s="49"/>
      <c r="S4436" s="49"/>
      <c r="T4436" s="49"/>
      <c r="U4436" s="49"/>
      <c r="V4436" s="49"/>
      <c r="W4436" s="49"/>
      <c r="X4436" s="49"/>
      <c r="Y4436" s="49"/>
      <c r="Z4436" s="49"/>
      <c r="AA4436" s="49"/>
      <c r="AB4436" s="49"/>
      <c r="AC4436" s="49"/>
      <c r="AD4436" s="49"/>
      <c r="AE4436" s="49"/>
      <c r="AF4436" s="49"/>
      <c r="AG4436" s="49"/>
      <c r="AH4436" s="49"/>
      <c r="AI4436" s="49"/>
      <c r="AJ4436" s="49"/>
      <c r="AK4436" s="49"/>
      <c r="AL4436" s="49"/>
      <c r="AM4436" s="49"/>
      <c r="AN4436" s="49"/>
      <c r="AP4436" s="49"/>
      <c r="AQ4436" s="49"/>
      <c r="AR4436" s="49"/>
      <c r="AS4436" s="49"/>
      <c r="AT4436" s="49"/>
    </row>
    <row r="4437">
      <c r="A4437" s="59"/>
      <c r="B4437" s="49"/>
      <c r="C4437" s="50"/>
      <c r="D4437" s="49"/>
      <c r="E4437" s="49"/>
      <c r="F4437" s="49"/>
      <c r="G4437" s="49"/>
      <c r="H4437" s="50"/>
      <c r="I4437" s="50"/>
      <c r="J4437" s="49"/>
      <c r="K4437" s="49"/>
      <c r="L4437" s="49"/>
      <c r="M4437" s="49"/>
      <c r="N4437" s="50"/>
      <c r="O4437" s="49"/>
      <c r="P4437" s="49"/>
      <c r="Q4437" s="49"/>
      <c r="R4437" s="49"/>
      <c r="S4437" s="49"/>
      <c r="T4437" s="49"/>
      <c r="U4437" s="49"/>
      <c r="V4437" s="49"/>
      <c r="W4437" s="49"/>
      <c r="X4437" s="49"/>
      <c r="Y4437" s="49"/>
      <c r="Z4437" s="49"/>
      <c r="AA4437" s="49"/>
      <c r="AB4437" s="49"/>
      <c r="AC4437" s="49"/>
      <c r="AD4437" s="49"/>
      <c r="AE4437" s="49"/>
      <c r="AF4437" s="49"/>
      <c r="AG4437" s="49"/>
      <c r="AH4437" s="49"/>
      <c r="AI4437" s="49"/>
      <c r="AJ4437" s="49"/>
      <c r="AK4437" s="49"/>
      <c r="AL4437" s="49"/>
      <c r="AM4437" s="49"/>
      <c r="AN4437" s="49"/>
      <c r="AP4437" s="49"/>
      <c r="AQ4437" s="49"/>
      <c r="AR4437" s="49"/>
      <c r="AS4437" s="49"/>
      <c r="AT4437" s="49"/>
    </row>
    <row r="4438">
      <c r="A4438" s="59"/>
      <c r="B4438" s="49"/>
      <c r="C4438" s="50"/>
      <c r="D4438" s="49"/>
      <c r="E4438" s="49"/>
      <c r="F4438" s="49"/>
      <c r="G4438" s="49"/>
      <c r="H4438" s="50"/>
      <c r="I4438" s="50"/>
      <c r="J4438" s="49"/>
      <c r="K4438" s="49"/>
      <c r="L4438" s="49"/>
      <c r="M4438" s="49"/>
      <c r="N4438" s="50"/>
      <c r="O4438" s="49"/>
      <c r="P4438" s="49"/>
      <c r="Q4438" s="49"/>
      <c r="R4438" s="49"/>
      <c r="S4438" s="49"/>
      <c r="T4438" s="49"/>
      <c r="U4438" s="49"/>
      <c r="V4438" s="49"/>
      <c r="W4438" s="49"/>
      <c r="X4438" s="49"/>
      <c r="Y4438" s="49"/>
      <c r="Z4438" s="49"/>
      <c r="AA4438" s="49"/>
      <c r="AB4438" s="49"/>
      <c r="AC4438" s="49"/>
      <c r="AD4438" s="49"/>
      <c r="AE4438" s="49"/>
      <c r="AF4438" s="49"/>
      <c r="AG4438" s="49"/>
      <c r="AH4438" s="49"/>
      <c r="AI4438" s="49"/>
      <c r="AJ4438" s="49"/>
      <c r="AK4438" s="49"/>
      <c r="AL4438" s="49"/>
      <c r="AM4438" s="49"/>
      <c r="AN4438" s="49"/>
      <c r="AP4438" s="49"/>
      <c r="AQ4438" s="49"/>
      <c r="AR4438" s="49"/>
      <c r="AS4438" s="49"/>
      <c r="AT4438" s="49"/>
    </row>
    <row r="4439">
      <c r="A4439" s="59"/>
      <c r="B4439" s="49"/>
      <c r="C4439" s="50"/>
      <c r="D4439" s="49"/>
      <c r="E4439" s="49"/>
      <c r="F4439" s="49"/>
      <c r="G4439" s="49"/>
      <c r="H4439" s="50"/>
      <c r="I4439" s="50"/>
      <c r="J4439" s="49"/>
      <c r="K4439" s="49"/>
      <c r="L4439" s="49"/>
      <c r="M4439" s="49"/>
      <c r="N4439" s="50"/>
      <c r="O4439" s="49"/>
      <c r="P4439" s="49"/>
      <c r="Q4439" s="49"/>
      <c r="R4439" s="49"/>
      <c r="S4439" s="49"/>
      <c r="T4439" s="49"/>
      <c r="U4439" s="49"/>
      <c r="V4439" s="49"/>
      <c r="W4439" s="49"/>
      <c r="X4439" s="49"/>
      <c r="Y4439" s="49"/>
      <c r="Z4439" s="49"/>
      <c r="AA4439" s="49"/>
      <c r="AB4439" s="49"/>
      <c r="AC4439" s="49"/>
      <c r="AD4439" s="49"/>
      <c r="AE4439" s="49"/>
      <c r="AF4439" s="49"/>
      <c r="AG4439" s="49"/>
      <c r="AH4439" s="49"/>
      <c r="AI4439" s="49"/>
      <c r="AJ4439" s="49"/>
      <c r="AK4439" s="49"/>
      <c r="AL4439" s="49"/>
      <c r="AM4439" s="49"/>
      <c r="AN4439" s="49"/>
      <c r="AP4439" s="49"/>
      <c r="AQ4439" s="49"/>
      <c r="AR4439" s="49"/>
      <c r="AS4439" s="49"/>
      <c r="AT4439" s="49"/>
    </row>
    <row r="4440">
      <c r="A4440" s="59"/>
      <c r="B4440" s="49"/>
      <c r="C4440" s="50"/>
      <c r="D4440" s="49"/>
      <c r="E4440" s="49"/>
      <c r="F4440" s="49"/>
      <c r="G4440" s="49"/>
      <c r="H4440" s="50"/>
      <c r="I4440" s="50"/>
      <c r="J4440" s="49"/>
      <c r="K4440" s="49"/>
      <c r="L4440" s="49"/>
      <c r="M4440" s="49"/>
      <c r="N4440" s="50"/>
      <c r="O4440" s="49"/>
      <c r="P4440" s="49"/>
      <c r="Q4440" s="49"/>
      <c r="R4440" s="49"/>
      <c r="S4440" s="49"/>
      <c r="T4440" s="49"/>
      <c r="U4440" s="49"/>
      <c r="V4440" s="49"/>
      <c r="W4440" s="49"/>
      <c r="X4440" s="49"/>
      <c r="Y4440" s="49"/>
      <c r="Z4440" s="49"/>
      <c r="AA4440" s="49"/>
      <c r="AB4440" s="49"/>
      <c r="AC4440" s="49"/>
      <c r="AD4440" s="49"/>
      <c r="AE4440" s="49"/>
      <c r="AF4440" s="49"/>
      <c r="AG4440" s="49"/>
      <c r="AH4440" s="49"/>
      <c r="AI4440" s="49"/>
      <c r="AJ4440" s="49"/>
      <c r="AK4440" s="49"/>
      <c r="AL4440" s="49"/>
      <c r="AM4440" s="49"/>
      <c r="AN4440" s="49"/>
      <c r="AP4440" s="49"/>
      <c r="AQ4440" s="49"/>
      <c r="AR4440" s="49"/>
      <c r="AS4440" s="49"/>
      <c r="AT4440" s="49"/>
    </row>
    <row r="4441">
      <c r="A4441" s="59"/>
      <c r="B4441" s="49"/>
      <c r="C4441" s="50"/>
      <c r="D4441" s="49"/>
      <c r="E4441" s="49"/>
      <c r="F4441" s="49"/>
      <c r="G4441" s="49"/>
      <c r="H4441" s="50"/>
      <c r="I4441" s="50"/>
      <c r="J4441" s="49"/>
      <c r="K4441" s="49"/>
      <c r="L4441" s="49"/>
      <c r="M4441" s="49"/>
      <c r="N4441" s="50"/>
      <c r="O4441" s="49"/>
      <c r="P4441" s="49"/>
      <c r="Q4441" s="49"/>
      <c r="R4441" s="49"/>
      <c r="S4441" s="49"/>
      <c r="T4441" s="49"/>
      <c r="U4441" s="49"/>
      <c r="V4441" s="49"/>
      <c r="W4441" s="49"/>
      <c r="X4441" s="49"/>
      <c r="Y4441" s="49"/>
      <c r="Z4441" s="49"/>
      <c r="AA4441" s="49"/>
      <c r="AB4441" s="49"/>
      <c r="AC4441" s="49"/>
      <c r="AD4441" s="49"/>
      <c r="AE4441" s="49"/>
      <c r="AF4441" s="49"/>
      <c r="AG4441" s="49"/>
      <c r="AH4441" s="49"/>
      <c r="AI4441" s="49"/>
      <c r="AJ4441" s="49"/>
      <c r="AK4441" s="49"/>
      <c r="AL4441" s="49"/>
      <c r="AM4441" s="49"/>
      <c r="AN4441" s="49"/>
      <c r="AP4441" s="49"/>
      <c r="AQ4441" s="49"/>
      <c r="AR4441" s="49"/>
      <c r="AS4441" s="49"/>
      <c r="AT4441" s="49"/>
    </row>
    <row r="4442">
      <c r="A4442" s="59"/>
      <c r="B4442" s="49"/>
      <c r="C4442" s="50"/>
      <c r="D4442" s="49"/>
      <c r="E4442" s="49"/>
      <c r="F4442" s="49"/>
      <c r="G4442" s="49"/>
      <c r="H4442" s="50"/>
      <c r="I4442" s="50"/>
      <c r="J4442" s="49"/>
      <c r="K4442" s="49"/>
      <c r="L4442" s="49"/>
      <c r="M4442" s="49"/>
      <c r="N4442" s="50"/>
      <c r="O4442" s="49"/>
      <c r="P4442" s="49"/>
      <c r="Q4442" s="49"/>
      <c r="R4442" s="49"/>
      <c r="S4442" s="49"/>
      <c r="T4442" s="49"/>
      <c r="U4442" s="49"/>
      <c r="V4442" s="49"/>
      <c r="W4442" s="49"/>
      <c r="X4442" s="49"/>
      <c r="Y4442" s="49"/>
      <c r="Z4442" s="49"/>
      <c r="AA4442" s="49"/>
      <c r="AB4442" s="49"/>
      <c r="AC4442" s="49"/>
      <c r="AD4442" s="49"/>
      <c r="AE4442" s="49"/>
      <c r="AF4442" s="49"/>
      <c r="AG4442" s="49"/>
      <c r="AH4442" s="49"/>
      <c r="AI4442" s="49"/>
      <c r="AJ4442" s="49"/>
      <c r="AK4442" s="49"/>
      <c r="AL4442" s="49"/>
      <c r="AM4442" s="49"/>
      <c r="AN4442" s="49"/>
      <c r="AP4442" s="49"/>
      <c r="AQ4442" s="49"/>
      <c r="AR4442" s="49"/>
      <c r="AS4442" s="49"/>
      <c r="AT4442" s="49"/>
    </row>
    <row r="4443">
      <c r="A4443" s="59"/>
      <c r="B4443" s="49"/>
      <c r="C4443" s="50"/>
      <c r="D4443" s="49"/>
      <c r="E4443" s="49"/>
      <c r="F4443" s="49"/>
      <c r="G4443" s="49"/>
      <c r="H4443" s="50"/>
      <c r="I4443" s="50"/>
      <c r="J4443" s="49"/>
      <c r="K4443" s="49"/>
      <c r="L4443" s="49"/>
      <c r="M4443" s="49"/>
      <c r="N4443" s="50"/>
      <c r="O4443" s="49"/>
      <c r="P4443" s="49"/>
      <c r="Q4443" s="49"/>
      <c r="R4443" s="49"/>
      <c r="S4443" s="49"/>
      <c r="T4443" s="49"/>
      <c r="U4443" s="49"/>
      <c r="V4443" s="49"/>
      <c r="W4443" s="49"/>
      <c r="X4443" s="49"/>
      <c r="Y4443" s="49"/>
      <c r="Z4443" s="49"/>
      <c r="AA4443" s="49"/>
      <c r="AB4443" s="49"/>
      <c r="AC4443" s="49"/>
      <c r="AD4443" s="49"/>
      <c r="AE4443" s="49"/>
      <c r="AF4443" s="49"/>
      <c r="AG4443" s="49"/>
      <c r="AH4443" s="49"/>
      <c r="AI4443" s="49"/>
      <c r="AJ4443" s="49"/>
      <c r="AK4443" s="49"/>
      <c r="AL4443" s="49"/>
      <c r="AM4443" s="49"/>
      <c r="AN4443" s="49"/>
      <c r="AP4443" s="49"/>
      <c r="AQ4443" s="49"/>
      <c r="AR4443" s="49"/>
      <c r="AS4443" s="49"/>
      <c r="AT4443" s="49"/>
    </row>
    <row r="4444">
      <c r="A4444" s="59"/>
      <c r="B4444" s="49"/>
      <c r="C4444" s="50"/>
      <c r="D4444" s="49"/>
      <c r="E4444" s="49"/>
      <c r="F4444" s="49"/>
      <c r="G4444" s="49"/>
      <c r="H4444" s="50"/>
      <c r="I4444" s="50"/>
      <c r="J4444" s="49"/>
      <c r="K4444" s="49"/>
      <c r="L4444" s="49"/>
      <c r="M4444" s="49"/>
      <c r="N4444" s="50"/>
      <c r="O4444" s="49"/>
      <c r="P4444" s="49"/>
      <c r="Q4444" s="49"/>
      <c r="R4444" s="49"/>
      <c r="S4444" s="49"/>
      <c r="T4444" s="49"/>
      <c r="U4444" s="49"/>
      <c r="V4444" s="49"/>
      <c r="W4444" s="49"/>
      <c r="X4444" s="49"/>
      <c r="Y4444" s="49"/>
      <c r="Z4444" s="49"/>
      <c r="AA4444" s="49"/>
      <c r="AB4444" s="49"/>
      <c r="AC4444" s="49"/>
      <c r="AD4444" s="49"/>
      <c r="AE4444" s="49"/>
      <c r="AF4444" s="49"/>
      <c r="AG4444" s="49"/>
      <c r="AH4444" s="49"/>
      <c r="AI4444" s="49"/>
      <c r="AJ4444" s="49"/>
      <c r="AK4444" s="49"/>
      <c r="AL4444" s="49"/>
      <c r="AM4444" s="49"/>
      <c r="AN4444" s="49"/>
      <c r="AP4444" s="49"/>
      <c r="AQ4444" s="49"/>
      <c r="AR4444" s="49"/>
      <c r="AS4444" s="49"/>
      <c r="AT4444" s="49"/>
    </row>
    <row r="4445">
      <c r="A4445" s="59"/>
      <c r="B4445" s="49"/>
      <c r="C4445" s="50"/>
      <c r="D4445" s="49"/>
      <c r="E4445" s="49"/>
      <c r="F4445" s="49"/>
      <c r="G4445" s="49"/>
      <c r="H4445" s="50"/>
      <c r="I4445" s="50"/>
      <c r="J4445" s="49"/>
      <c r="K4445" s="49"/>
      <c r="L4445" s="49"/>
      <c r="M4445" s="49"/>
      <c r="N4445" s="50"/>
      <c r="O4445" s="49"/>
      <c r="P4445" s="49"/>
      <c r="Q4445" s="49"/>
      <c r="R4445" s="49"/>
      <c r="S4445" s="49"/>
      <c r="T4445" s="49"/>
      <c r="U4445" s="49"/>
      <c r="V4445" s="49"/>
      <c r="W4445" s="49"/>
      <c r="X4445" s="49"/>
      <c r="Y4445" s="49"/>
      <c r="Z4445" s="49"/>
      <c r="AA4445" s="49"/>
      <c r="AB4445" s="49"/>
      <c r="AC4445" s="49"/>
      <c r="AD4445" s="49"/>
      <c r="AE4445" s="49"/>
      <c r="AF4445" s="49"/>
      <c r="AG4445" s="49"/>
      <c r="AH4445" s="49"/>
      <c r="AI4445" s="49"/>
      <c r="AJ4445" s="49"/>
      <c r="AK4445" s="49"/>
      <c r="AL4445" s="49"/>
      <c r="AM4445" s="49"/>
      <c r="AN4445" s="49"/>
      <c r="AP4445" s="49"/>
      <c r="AQ4445" s="49"/>
      <c r="AR4445" s="49"/>
      <c r="AS4445" s="49"/>
      <c r="AT4445" s="49"/>
    </row>
    <row r="4446">
      <c r="A4446" s="59"/>
      <c r="B4446" s="49"/>
      <c r="C4446" s="50"/>
      <c r="D4446" s="49"/>
      <c r="E4446" s="49"/>
      <c r="F4446" s="49"/>
      <c r="G4446" s="49"/>
      <c r="H4446" s="50"/>
      <c r="I4446" s="50"/>
      <c r="J4446" s="49"/>
      <c r="K4446" s="49"/>
      <c r="L4446" s="49"/>
      <c r="M4446" s="49"/>
      <c r="N4446" s="50"/>
      <c r="O4446" s="49"/>
      <c r="P4446" s="49"/>
      <c r="Q4446" s="49"/>
      <c r="R4446" s="49"/>
      <c r="S4446" s="49"/>
      <c r="T4446" s="49"/>
      <c r="U4446" s="49"/>
      <c r="V4446" s="49"/>
      <c r="W4446" s="49"/>
      <c r="X4446" s="49"/>
      <c r="Y4446" s="49"/>
      <c r="Z4446" s="49"/>
      <c r="AA4446" s="49"/>
      <c r="AB4446" s="49"/>
      <c r="AC4446" s="49"/>
      <c r="AD4446" s="49"/>
      <c r="AE4446" s="49"/>
      <c r="AF4446" s="49"/>
      <c r="AG4446" s="49"/>
      <c r="AH4446" s="49"/>
      <c r="AI4446" s="49"/>
      <c r="AJ4446" s="49"/>
      <c r="AK4446" s="49"/>
      <c r="AL4446" s="49"/>
      <c r="AM4446" s="49"/>
      <c r="AN4446" s="49"/>
      <c r="AP4446" s="49"/>
      <c r="AQ4446" s="49"/>
      <c r="AR4446" s="49"/>
      <c r="AS4446" s="49"/>
      <c r="AT4446" s="49"/>
    </row>
    <row r="4447">
      <c r="A4447" s="59"/>
      <c r="B4447" s="49"/>
      <c r="C4447" s="50"/>
      <c r="D4447" s="49"/>
      <c r="E4447" s="49"/>
      <c r="F4447" s="49"/>
      <c r="G4447" s="49"/>
      <c r="H4447" s="50"/>
      <c r="I4447" s="50"/>
      <c r="J4447" s="49"/>
      <c r="K4447" s="49"/>
      <c r="L4447" s="49"/>
      <c r="M4447" s="49"/>
      <c r="N4447" s="50"/>
      <c r="O4447" s="49"/>
      <c r="P4447" s="49"/>
      <c r="Q4447" s="49"/>
      <c r="R4447" s="49"/>
      <c r="S4447" s="49"/>
      <c r="T4447" s="49"/>
      <c r="U4447" s="49"/>
      <c r="V4447" s="49"/>
      <c r="W4447" s="49"/>
      <c r="X4447" s="49"/>
      <c r="Y4447" s="49"/>
      <c r="Z4447" s="49"/>
      <c r="AA4447" s="49"/>
      <c r="AB4447" s="49"/>
      <c r="AC4447" s="49"/>
      <c r="AD4447" s="49"/>
      <c r="AE4447" s="49"/>
      <c r="AF4447" s="49"/>
      <c r="AG4447" s="49"/>
      <c r="AH4447" s="49"/>
      <c r="AI4447" s="49"/>
      <c r="AJ4447" s="49"/>
      <c r="AK4447" s="49"/>
      <c r="AL4447" s="49"/>
      <c r="AM4447" s="49"/>
      <c r="AN4447" s="49"/>
      <c r="AP4447" s="49"/>
      <c r="AQ4447" s="49"/>
      <c r="AR4447" s="49"/>
      <c r="AS4447" s="49"/>
      <c r="AT4447" s="49"/>
    </row>
    <row r="4448">
      <c r="A4448" s="59"/>
      <c r="B4448" s="49"/>
      <c r="C4448" s="50"/>
      <c r="D4448" s="49"/>
      <c r="E4448" s="49"/>
      <c r="F4448" s="49"/>
      <c r="G4448" s="49"/>
      <c r="H4448" s="50"/>
      <c r="I4448" s="50"/>
      <c r="J4448" s="49"/>
      <c r="K4448" s="49"/>
      <c r="L4448" s="49"/>
      <c r="M4448" s="49"/>
      <c r="N4448" s="50"/>
      <c r="O4448" s="49"/>
      <c r="P4448" s="49"/>
      <c r="Q4448" s="49"/>
      <c r="R4448" s="49"/>
      <c r="S4448" s="49"/>
      <c r="T4448" s="49"/>
      <c r="U4448" s="49"/>
      <c r="V4448" s="49"/>
      <c r="W4448" s="49"/>
      <c r="X4448" s="49"/>
      <c r="Y4448" s="49"/>
      <c r="Z4448" s="49"/>
      <c r="AA4448" s="49"/>
      <c r="AB4448" s="49"/>
      <c r="AC4448" s="49"/>
      <c r="AD4448" s="49"/>
      <c r="AE4448" s="49"/>
      <c r="AF4448" s="49"/>
      <c r="AG4448" s="49"/>
      <c r="AH4448" s="49"/>
      <c r="AI4448" s="49"/>
      <c r="AJ4448" s="49"/>
      <c r="AK4448" s="49"/>
      <c r="AL4448" s="49"/>
      <c r="AM4448" s="49"/>
      <c r="AN4448" s="49"/>
      <c r="AP4448" s="49"/>
      <c r="AQ4448" s="49"/>
      <c r="AR4448" s="49"/>
      <c r="AS4448" s="49"/>
      <c r="AT4448" s="49"/>
    </row>
    <row r="4449">
      <c r="A4449" s="59"/>
      <c r="B4449" s="49"/>
      <c r="C4449" s="50"/>
      <c r="D4449" s="49"/>
      <c r="E4449" s="49"/>
      <c r="F4449" s="49"/>
      <c r="G4449" s="49"/>
      <c r="H4449" s="50"/>
      <c r="I4449" s="50"/>
      <c r="J4449" s="49"/>
      <c r="K4449" s="49"/>
      <c r="L4449" s="49"/>
      <c r="M4449" s="49"/>
      <c r="N4449" s="50"/>
      <c r="O4449" s="49"/>
      <c r="P4449" s="49"/>
      <c r="Q4449" s="49"/>
      <c r="R4449" s="49"/>
      <c r="S4449" s="49"/>
      <c r="T4449" s="49"/>
      <c r="U4449" s="49"/>
      <c r="V4449" s="49"/>
      <c r="W4449" s="49"/>
      <c r="X4449" s="49"/>
      <c r="Y4449" s="49"/>
      <c r="Z4449" s="49"/>
      <c r="AA4449" s="49"/>
      <c r="AB4449" s="49"/>
      <c r="AC4449" s="49"/>
      <c r="AD4449" s="49"/>
      <c r="AE4449" s="49"/>
      <c r="AF4449" s="49"/>
      <c r="AG4449" s="49"/>
      <c r="AH4449" s="49"/>
      <c r="AI4449" s="49"/>
      <c r="AJ4449" s="49"/>
      <c r="AK4449" s="49"/>
      <c r="AL4449" s="49"/>
      <c r="AM4449" s="49"/>
      <c r="AN4449" s="49"/>
      <c r="AP4449" s="49"/>
      <c r="AQ4449" s="49"/>
      <c r="AR4449" s="49"/>
      <c r="AS4449" s="49"/>
      <c r="AT4449" s="49"/>
    </row>
    <row r="4450">
      <c r="A4450" s="59"/>
      <c r="B4450" s="49"/>
      <c r="C4450" s="50"/>
      <c r="D4450" s="49"/>
      <c r="E4450" s="49"/>
      <c r="F4450" s="49"/>
      <c r="G4450" s="49"/>
      <c r="H4450" s="50"/>
      <c r="I4450" s="50"/>
      <c r="J4450" s="49"/>
      <c r="K4450" s="49"/>
      <c r="L4450" s="49"/>
      <c r="M4450" s="49"/>
      <c r="N4450" s="50"/>
      <c r="O4450" s="49"/>
      <c r="P4450" s="49"/>
      <c r="Q4450" s="49"/>
      <c r="R4450" s="49"/>
      <c r="S4450" s="49"/>
      <c r="T4450" s="49"/>
      <c r="U4450" s="49"/>
      <c r="V4450" s="49"/>
      <c r="W4450" s="49"/>
      <c r="X4450" s="49"/>
      <c r="Y4450" s="49"/>
      <c r="Z4450" s="49"/>
      <c r="AA4450" s="49"/>
      <c r="AB4450" s="49"/>
      <c r="AC4450" s="49"/>
      <c r="AD4450" s="49"/>
      <c r="AE4450" s="49"/>
      <c r="AF4450" s="49"/>
      <c r="AG4450" s="49"/>
      <c r="AH4450" s="49"/>
      <c r="AI4450" s="49"/>
      <c r="AJ4450" s="49"/>
      <c r="AK4450" s="49"/>
      <c r="AL4450" s="49"/>
      <c r="AM4450" s="49"/>
      <c r="AN4450" s="49"/>
      <c r="AP4450" s="49"/>
      <c r="AQ4450" s="49"/>
      <c r="AR4450" s="49"/>
      <c r="AS4450" s="49"/>
      <c r="AT4450" s="49"/>
    </row>
    <row r="4451">
      <c r="A4451" s="59"/>
      <c r="B4451" s="49"/>
      <c r="C4451" s="50"/>
      <c r="D4451" s="49"/>
      <c r="E4451" s="49"/>
      <c r="F4451" s="49"/>
      <c r="G4451" s="49"/>
      <c r="H4451" s="50"/>
      <c r="I4451" s="50"/>
      <c r="J4451" s="49"/>
      <c r="K4451" s="49"/>
      <c r="L4451" s="49"/>
      <c r="M4451" s="49"/>
      <c r="N4451" s="50"/>
      <c r="O4451" s="49"/>
      <c r="P4451" s="49"/>
      <c r="Q4451" s="49"/>
      <c r="R4451" s="49"/>
      <c r="S4451" s="49"/>
      <c r="T4451" s="49"/>
      <c r="U4451" s="49"/>
      <c r="V4451" s="49"/>
      <c r="W4451" s="49"/>
      <c r="X4451" s="49"/>
      <c r="Y4451" s="49"/>
      <c r="Z4451" s="49"/>
      <c r="AA4451" s="49"/>
      <c r="AB4451" s="49"/>
      <c r="AC4451" s="49"/>
      <c r="AD4451" s="49"/>
      <c r="AE4451" s="49"/>
      <c r="AF4451" s="49"/>
      <c r="AG4451" s="49"/>
      <c r="AH4451" s="49"/>
      <c r="AI4451" s="49"/>
      <c r="AJ4451" s="49"/>
      <c r="AK4451" s="49"/>
      <c r="AL4451" s="49"/>
      <c r="AM4451" s="49"/>
      <c r="AN4451" s="49"/>
      <c r="AP4451" s="49"/>
      <c r="AQ4451" s="49"/>
      <c r="AR4451" s="49"/>
      <c r="AS4451" s="49"/>
      <c r="AT4451" s="49"/>
    </row>
    <row r="4452">
      <c r="A4452" s="59"/>
      <c r="B4452" s="49"/>
      <c r="C4452" s="50"/>
      <c r="D4452" s="49"/>
      <c r="E4452" s="49"/>
      <c r="F4452" s="49"/>
      <c r="G4452" s="49"/>
      <c r="H4452" s="50"/>
      <c r="I4452" s="50"/>
      <c r="J4452" s="49"/>
      <c r="K4452" s="49"/>
      <c r="L4452" s="49"/>
      <c r="M4452" s="49"/>
      <c r="N4452" s="50"/>
      <c r="O4452" s="49"/>
      <c r="P4452" s="49"/>
      <c r="Q4452" s="49"/>
      <c r="R4452" s="49"/>
      <c r="S4452" s="49"/>
      <c r="T4452" s="49"/>
      <c r="U4452" s="49"/>
      <c r="V4452" s="49"/>
      <c r="W4452" s="49"/>
      <c r="X4452" s="49"/>
      <c r="Y4452" s="49"/>
      <c r="Z4452" s="49"/>
      <c r="AA4452" s="49"/>
      <c r="AB4452" s="49"/>
      <c r="AC4452" s="49"/>
      <c r="AD4452" s="49"/>
      <c r="AE4452" s="49"/>
      <c r="AF4452" s="49"/>
      <c r="AG4452" s="49"/>
      <c r="AH4452" s="49"/>
      <c r="AI4452" s="49"/>
      <c r="AJ4452" s="49"/>
      <c r="AK4452" s="49"/>
      <c r="AL4452" s="49"/>
      <c r="AM4452" s="49"/>
      <c r="AN4452" s="49"/>
      <c r="AP4452" s="49"/>
      <c r="AQ4452" s="49"/>
      <c r="AR4452" s="49"/>
      <c r="AS4452" s="49"/>
      <c r="AT4452" s="49"/>
    </row>
    <row r="4453">
      <c r="A4453" s="59"/>
      <c r="B4453" s="49"/>
      <c r="C4453" s="50"/>
      <c r="D4453" s="49"/>
      <c r="E4453" s="49"/>
      <c r="F4453" s="49"/>
      <c r="G4453" s="49"/>
      <c r="H4453" s="50"/>
      <c r="I4453" s="50"/>
      <c r="J4453" s="49"/>
      <c r="K4453" s="49"/>
      <c r="L4453" s="49"/>
      <c r="M4453" s="49"/>
      <c r="N4453" s="50"/>
      <c r="O4453" s="49"/>
      <c r="P4453" s="49"/>
      <c r="Q4453" s="49"/>
      <c r="R4453" s="49"/>
      <c r="S4453" s="49"/>
      <c r="T4453" s="49"/>
      <c r="U4453" s="49"/>
      <c r="V4453" s="49"/>
      <c r="W4453" s="49"/>
      <c r="X4453" s="49"/>
      <c r="Y4453" s="49"/>
      <c r="Z4453" s="49"/>
      <c r="AA4453" s="49"/>
      <c r="AB4453" s="49"/>
      <c r="AC4453" s="49"/>
      <c r="AD4453" s="49"/>
      <c r="AE4453" s="49"/>
      <c r="AF4453" s="49"/>
      <c r="AG4453" s="49"/>
      <c r="AH4453" s="49"/>
      <c r="AI4453" s="49"/>
      <c r="AJ4453" s="49"/>
      <c r="AK4453" s="49"/>
      <c r="AL4453" s="49"/>
      <c r="AM4453" s="49"/>
      <c r="AN4453" s="49"/>
      <c r="AP4453" s="49"/>
      <c r="AQ4453" s="49"/>
      <c r="AR4453" s="49"/>
      <c r="AS4453" s="49"/>
      <c r="AT4453" s="49"/>
    </row>
    <row r="4454">
      <c r="A4454" s="59"/>
      <c r="B4454" s="49"/>
      <c r="C4454" s="50"/>
      <c r="D4454" s="49"/>
      <c r="E4454" s="49"/>
      <c r="F4454" s="49"/>
      <c r="G4454" s="49"/>
      <c r="H4454" s="50"/>
      <c r="I4454" s="50"/>
      <c r="J4454" s="49"/>
      <c r="K4454" s="49"/>
      <c r="L4454" s="49"/>
      <c r="M4454" s="49"/>
      <c r="N4454" s="50"/>
      <c r="O4454" s="49"/>
      <c r="P4454" s="49"/>
      <c r="Q4454" s="49"/>
      <c r="R4454" s="49"/>
      <c r="S4454" s="49"/>
      <c r="T4454" s="49"/>
      <c r="U4454" s="49"/>
      <c r="V4454" s="49"/>
      <c r="W4454" s="49"/>
      <c r="X4454" s="49"/>
      <c r="Y4454" s="49"/>
      <c r="Z4454" s="49"/>
      <c r="AA4454" s="49"/>
      <c r="AB4454" s="49"/>
      <c r="AC4454" s="49"/>
      <c r="AD4454" s="49"/>
      <c r="AE4454" s="49"/>
      <c r="AF4454" s="49"/>
      <c r="AG4454" s="49"/>
      <c r="AH4454" s="49"/>
      <c r="AI4454" s="49"/>
      <c r="AJ4454" s="49"/>
      <c r="AK4454" s="49"/>
      <c r="AL4454" s="49"/>
      <c r="AM4454" s="49"/>
      <c r="AN4454" s="49"/>
      <c r="AP4454" s="49"/>
      <c r="AQ4454" s="49"/>
      <c r="AR4454" s="49"/>
      <c r="AS4454" s="49"/>
      <c r="AT4454" s="49"/>
    </row>
    <row r="4455">
      <c r="A4455" s="59"/>
      <c r="B4455" s="49"/>
      <c r="C4455" s="50"/>
      <c r="D4455" s="49"/>
      <c r="E4455" s="49"/>
      <c r="F4455" s="49"/>
      <c r="G4455" s="49"/>
      <c r="H4455" s="50"/>
      <c r="I4455" s="50"/>
      <c r="J4455" s="49"/>
      <c r="K4455" s="49"/>
      <c r="L4455" s="49"/>
      <c r="M4455" s="49"/>
      <c r="N4455" s="50"/>
      <c r="O4455" s="49"/>
      <c r="P4455" s="49"/>
      <c r="Q4455" s="49"/>
      <c r="R4455" s="49"/>
      <c r="S4455" s="49"/>
      <c r="T4455" s="49"/>
      <c r="U4455" s="49"/>
      <c r="V4455" s="49"/>
      <c r="W4455" s="49"/>
      <c r="X4455" s="49"/>
      <c r="Y4455" s="49"/>
      <c r="Z4455" s="49"/>
      <c r="AA4455" s="49"/>
      <c r="AB4455" s="49"/>
      <c r="AC4455" s="49"/>
      <c r="AD4455" s="49"/>
      <c r="AE4455" s="49"/>
      <c r="AF4455" s="49"/>
      <c r="AG4455" s="49"/>
      <c r="AH4455" s="49"/>
      <c r="AI4455" s="49"/>
      <c r="AJ4455" s="49"/>
      <c r="AK4455" s="49"/>
      <c r="AL4455" s="49"/>
      <c r="AM4455" s="49"/>
      <c r="AN4455" s="49"/>
      <c r="AP4455" s="49"/>
      <c r="AQ4455" s="49"/>
      <c r="AR4455" s="49"/>
      <c r="AS4455" s="49"/>
      <c r="AT4455" s="49"/>
    </row>
    <row r="4456">
      <c r="A4456" s="59"/>
      <c r="B4456" s="49"/>
      <c r="C4456" s="50"/>
      <c r="D4456" s="49"/>
      <c r="E4456" s="49"/>
      <c r="F4456" s="49"/>
      <c r="G4456" s="49"/>
      <c r="H4456" s="50"/>
      <c r="I4456" s="50"/>
      <c r="J4456" s="49"/>
      <c r="K4456" s="49"/>
      <c r="L4456" s="49"/>
      <c r="M4456" s="49"/>
      <c r="N4456" s="50"/>
      <c r="O4456" s="49"/>
      <c r="P4456" s="49"/>
      <c r="Q4456" s="49"/>
      <c r="R4456" s="49"/>
      <c r="S4456" s="49"/>
      <c r="T4456" s="49"/>
      <c r="U4456" s="49"/>
      <c r="V4456" s="49"/>
      <c r="W4456" s="49"/>
      <c r="X4456" s="49"/>
      <c r="Y4456" s="49"/>
      <c r="Z4456" s="49"/>
      <c r="AA4456" s="49"/>
      <c r="AB4456" s="49"/>
      <c r="AC4456" s="49"/>
      <c r="AD4456" s="49"/>
      <c r="AE4456" s="49"/>
      <c r="AF4456" s="49"/>
      <c r="AG4456" s="49"/>
      <c r="AH4456" s="49"/>
      <c r="AI4456" s="49"/>
      <c r="AJ4456" s="49"/>
      <c r="AK4456" s="49"/>
      <c r="AL4456" s="49"/>
      <c r="AM4456" s="49"/>
      <c r="AN4456" s="49"/>
      <c r="AP4456" s="49"/>
      <c r="AQ4456" s="49"/>
      <c r="AR4456" s="49"/>
      <c r="AS4456" s="49"/>
      <c r="AT4456" s="49"/>
    </row>
    <row r="4457">
      <c r="A4457" s="59"/>
      <c r="B4457" s="49"/>
      <c r="C4457" s="50"/>
      <c r="D4457" s="49"/>
      <c r="E4457" s="49"/>
      <c r="F4457" s="49"/>
      <c r="G4457" s="49"/>
      <c r="H4457" s="50"/>
      <c r="I4457" s="50"/>
      <c r="J4457" s="49"/>
      <c r="K4457" s="49"/>
      <c r="L4457" s="49"/>
      <c r="M4457" s="49"/>
      <c r="N4457" s="50"/>
      <c r="O4457" s="49"/>
      <c r="P4457" s="49"/>
      <c r="Q4457" s="49"/>
      <c r="R4457" s="49"/>
      <c r="S4457" s="49"/>
      <c r="T4457" s="49"/>
      <c r="U4457" s="49"/>
      <c r="V4457" s="49"/>
      <c r="W4457" s="49"/>
      <c r="X4457" s="49"/>
      <c r="Y4457" s="49"/>
      <c r="Z4457" s="49"/>
      <c r="AA4457" s="49"/>
      <c r="AB4457" s="49"/>
      <c r="AC4457" s="49"/>
      <c r="AD4457" s="49"/>
      <c r="AE4457" s="49"/>
      <c r="AF4457" s="49"/>
      <c r="AG4457" s="49"/>
      <c r="AH4457" s="49"/>
      <c r="AI4457" s="49"/>
      <c r="AJ4457" s="49"/>
      <c r="AK4457" s="49"/>
      <c r="AL4457" s="49"/>
      <c r="AM4457" s="49"/>
      <c r="AN4457" s="49"/>
      <c r="AP4457" s="49"/>
      <c r="AQ4457" s="49"/>
      <c r="AR4457" s="49"/>
      <c r="AS4457" s="49"/>
      <c r="AT4457" s="49"/>
    </row>
    <row r="4458">
      <c r="A4458" s="59"/>
      <c r="B4458" s="49"/>
      <c r="C4458" s="50"/>
      <c r="D4458" s="49"/>
      <c r="E4458" s="49"/>
      <c r="F4458" s="49"/>
      <c r="G4458" s="49"/>
      <c r="H4458" s="50"/>
      <c r="I4458" s="50"/>
      <c r="J4458" s="49"/>
      <c r="K4458" s="49"/>
      <c r="L4458" s="49"/>
      <c r="M4458" s="49"/>
      <c r="N4458" s="50"/>
      <c r="O4458" s="49"/>
      <c r="P4458" s="49"/>
      <c r="Q4458" s="49"/>
      <c r="R4458" s="49"/>
      <c r="S4458" s="49"/>
      <c r="T4458" s="49"/>
      <c r="U4458" s="49"/>
      <c r="V4458" s="49"/>
      <c r="W4458" s="49"/>
      <c r="X4458" s="49"/>
      <c r="Y4458" s="49"/>
      <c r="Z4458" s="49"/>
      <c r="AA4458" s="49"/>
      <c r="AB4458" s="49"/>
      <c r="AC4458" s="49"/>
      <c r="AD4458" s="49"/>
      <c r="AE4458" s="49"/>
      <c r="AF4458" s="49"/>
      <c r="AG4458" s="49"/>
      <c r="AH4458" s="49"/>
      <c r="AI4458" s="49"/>
      <c r="AJ4458" s="49"/>
      <c r="AK4458" s="49"/>
      <c r="AL4458" s="49"/>
      <c r="AM4458" s="49"/>
      <c r="AN4458" s="49"/>
      <c r="AP4458" s="49"/>
      <c r="AQ4458" s="49"/>
      <c r="AR4458" s="49"/>
      <c r="AS4458" s="49"/>
      <c r="AT4458" s="49"/>
    </row>
    <row r="4459">
      <c r="A4459" s="59"/>
      <c r="B4459" s="49"/>
      <c r="C4459" s="50"/>
      <c r="D4459" s="49"/>
      <c r="E4459" s="49"/>
      <c r="F4459" s="49"/>
      <c r="G4459" s="49"/>
      <c r="H4459" s="50"/>
      <c r="I4459" s="50"/>
      <c r="J4459" s="49"/>
      <c r="K4459" s="49"/>
      <c r="L4459" s="49"/>
      <c r="M4459" s="49"/>
      <c r="N4459" s="50"/>
      <c r="O4459" s="49"/>
      <c r="P4459" s="49"/>
      <c r="Q4459" s="49"/>
      <c r="R4459" s="49"/>
      <c r="S4459" s="49"/>
      <c r="T4459" s="49"/>
      <c r="U4459" s="49"/>
      <c r="V4459" s="49"/>
      <c r="W4459" s="49"/>
      <c r="X4459" s="49"/>
      <c r="Y4459" s="49"/>
      <c r="Z4459" s="49"/>
      <c r="AA4459" s="49"/>
      <c r="AB4459" s="49"/>
      <c r="AC4459" s="49"/>
      <c r="AD4459" s="49"/>
      <c r="AE4459" s="49"/>
      <c r="AF4459" s="49"/>
      <c r="AG4459" s="49"/>
      <c r="AH4459" s="49"/>
      <c r="AI4459" s="49"/>
      <c r="AJ4459" s="49"/>
      <c r="AK4459" s="49"/>
      <c r="AL4459" s="49"/>
      <c r="AM4459" s="49"/>
      <c r="AN4459" s="49"/>
      <c r="AP4459" s="49"/>
      <c r="AQ4459" s="49"/>
      <c r="AR4459" s="49"/>
      <c r="AS4459" s="49"/>
      <c r="AT4459" s="49"/>
    </row>
    <row r="4460">
      <c r="A4460" s="59"/>
      <c r="B4460" s="49"/>
      <c r="C4460" s="50"/>
      <c r="D4460" s="49"/>
      <c r="E4460" s="49"/>
      <c r="F4460" s="49"/>
      <c r="G4460" s="49"/>
      <c r="H4460" s="50"/>
      <c r="I4460" s="50"/>
      <c r="J4460" s="49"/>
      <c r="K4460" s="49"/>
      <c r="L4460" s="49"/>
      <c r="M4460" s="49"/>
      <c r="N4460" s="50"/>
      <c r="O4460" s="49"/>
      <c r="P4460" s="49"/>
      <c r="Q4460" s="49"/>
      <c r="R4460" s="49"/>
      <c r="S4460" s="49"/>
      <c r="T4460" s="49"/>
      <c r="U4460" s="49"/>
      <c r="V4460" s="49"/>
      <c r="W4460" s="49"/>
      <c r="X4460" s="49"/>
      <c r="Y4460" s="49"/>
      <c r="Z4460" s="49"/>
      <c r="AA4460" s="49"/>
      <c r="AB4460" s="49"/>
      <c r="AC4460" s="49"/>
      <c r="AD4460" s="49"/>
      <c r="AE4460" s="49"/>
      <c r="AF4460" s="49"/>
      <c r="AG4460" s="49"/>
      <c r="AH4460" s="49"/>
      <c r="AI4460" s="49"/>
      <c r="AJ4460" s="49"/>
      <c r="AK4460" s="49"/>
      <c r="AL4460" s="49"/>
      <c r="AM4460" s="49"/>
      <c r="AN4460" s="49"/>
      <c r="AP4460" s="49"/>
      <c r="AQ4460" s="49"/>
      <c r="AR4460" s="49"/>
      <c r="AS4460" s="49"/>
      <c r="AT4460" s="49"/>
    </row>
    <row r="4461">
      <c r="A4461" s="59"/>
      <c r="B4461" s="49"/>
      <c r="C4461" s="50"/>
      <c r="D4461" s="49"/>
      <c r="E4461" s="49"/>
      <c r="F4461" s="49"/>
      <c r="G4461" s="49"/>
      <c r="H4461" s="50"/>
      <c r="I4461" s="50"/>
      <c r="J4461" s="49"/>
      <c r="K4461" s="49"/>
      <c r="L4461" s="49"/>
      <c r="M4461" s="49"/>
      <c r="N4461" s="50"/>
      <c r="O4461" s="49"/>
      <c r="P4461" s="49"/>
      <c r="Q4461" s="49"/>
      <c r="R4461" s="49"/>
      <c r="S4461" s="49"/>
      <c r="T4461" s="49"/>
      <c r="U4461" s="49"/>
      <c r="V4461" s="49"/>
      <c r="W4461" s="49"/>
      <c r="X4461" s="49"/>
      <c r="Y4461" s="49"/>
      <c r="Z4461" s="49"/>
      <c r="AA4461" s="49"/>
      <c r="AB4461" s="49"/>
      <c r="AC4461" s="49"/>
      <c r="AD4461" s="49"/>
      <c r="AE4461" s="49"/>
      <c r="AF4461" s="49"/>
      <c r="AG4461" s="49"/>
      <c r="AH4461" s="49"/>
      <c r="AI4461" s="49"/>
      <c r="AJ4461" s="49"/>
      <c r="AK4461" s="49"/>
      <c r="AL4461" s="49"/>
      <c r="AM4461" s="49"/>
      <c r="AN4461" s="49"/>
      <c r="AP4461" s="49"/>
      <c r="AQ4461" s="49"/>
      <c r="AR4461" s="49"/>
      <c r="AS4461" s="49"/>
      <c r="AT4461" s="49"/>
    </row>
    <row r="4462">
      <c r="A4462" s="59"/>
      <c r="B4462" s="49"/>
      <c r="C4462" s="50"/>
      <c r="D4462" s="49"/>
      <c r="E4462" s="49"/>
      <c r="F4462" s="49"/>
      <c r="G4462" s="49"/>
      <c r="H4462" s="50"/>
      <c r="I4462" s="50"/>
      <c r="J4462" s="49"/>
      <c r="K4462" s="49"/>
      <c r="L4462" s="49"/>
      <c r="M4462" s="49"/>
      <c r="N4462" s="50"/>
      <c r="O4462" s="49"/>
      <c r="P4462" s="49"/>
      <c r="Q4462" s="49"/>
      <c r="R4462" s="49"/>
      <c r="S4462" s="49"/>
      <c r="T4462" s="49"/>
      <c r="U4462" s="49"/>
      <c r="V4462" s="49"/>
      <c r="W4462" s="49"/>
      <c r="X4462" s="49"/>
      <c r="Y4462" s="49"/>
      <c r="Z4462" s="49"/>
      <c r="AA4462" s="49"/>
      <c r="AB4462" s="49"/>
      <c r="AC4462" s="49"/>
      <c r="AD4462" s="49"/>
      <c r="AE4462" s="49"/>
      <c r="AF4462" s="49"/>
      <c r="AG4462" s="49"/>
      <c r="AH4462" s="49"/>
      <c r="AI4462" s="49"/>
      <c r="AJ4462" s="49"/>
      <c r="AK4462" s="49"/>
      <c r="AL4462" s="49"/>
      <c r="AM4462" s="49"/>
      <c r="AN4462" s="49"/>
      <c r="AP4462" s="49"/>
      <c r="AQ4462" s="49"/>
      <c r="AR4462" s="49"/>
      <c r="AS4462" s="49"/>
      <c r="AT4462" s="49"/>
    </row>
    <row r="4463">
      <c r="A4463" s="59"/>
      <c r="B4463" s="49"/>
      <c r="C4463" s="50"/>
      <c r="D4463" s="49"/>
      <c r="E4463" s="49"/>
      <c r="F4463" s="49"/>
      <c r="G4463" s="49"/>
      <c r="H4463" s="50"/>
      <c r="I4463" s="50"/>
      <c r="J4463" s="49"/>
      <c r="K4463" s="49"/>
      <c r="L4463" s="49"/>
      <c r="M4463" s="49"/>
      <c r="N4463" s="50"/>
      <c r="O4463" s="49"/>
      <c r="P4463" s="49"/>
      <c r="Q4463" s="49"/>
      <c r="R4463" s="49"/>
      <c r="S4463" s="49"/>
      <c r="T4463" s="49"/>
      <c r="U4463" s="49"/>
      <c r="V4463" s="49"/>
      <c r="W4463" s="49"/>
      <c r="X4463" s="49"/>
      <c r="Y4463" s="49"/>
      <c r="Z4463" s="49"/>
      <c r="AA4463" s="49"/>
      <c r="AB4463" s="49"/>
      <c r="AC4463" s="49"/>
      <c r="AD4463" s="49"/>
      <c r="AE4463" s="49"/>
      <c r="AF4463" s="49"/>
      <c r="AG4463" s="49"/>
      <c r="AH4463" s="49"/>
      <c r="AI4463" s="49"/>
      <c r="AJ4463" s="49"/>
      <c r="AK4463" s="49"/>
      <c r="AL4463" s="49"/>
      <c r="AM4463" s="49"/>
      <c r="AN4463" s="49"/>
      <c r="AP4463" s="49"/>
      <c r="AQ4463" s="49"/>
      <c r="AR4463" s="49"/>
      <c r="AS4463" s="49"/>
      <c r="AT4463" s="49"/>
    </row>
    <row r="4464">
      <c r="A4464" s="59"/>
      <c r="B4464" s="49"/>
      <c r="C4464" s="50"/>
      <c r="D4464" s="49"/>
      <c r="E4464" s="49"/>
      <c r="F4464" s="49"/>
      <c r="G4464" s="49"/>
      <c r="H4464" s="50"/>
      <c r="I4464" s="50"/>
      <c r="J4464" s="49"/>
      <c r="K4464" s="49"/>
      <c r="L4464" s="49"/>
      <c r="M4464" s="49"/>
      <c r="N4464" s="50"/>
      <c r="O4464" s="49"/>
      <c r="P4464" s="49"/>
      <c r="Q4464" s="49"/>
      <c r="R4464" s="49"/>
      <c r="S4464" s="49"/>
      <c r="T4464" s="49"/>
      <c r="U4464" s="49"/>
      <c r="V4464" s="49"/>
      <c r="W4464" s="49"/>
      <c r="X4464" s="49"/>
      <c r="Y4464" s="49"/>
      <c r="Z4464" s="49"/>
      <c r="AA4464" s="49"/>
      <c r="AB4464" s="49"/>
      <c r="AC4464" s="49"/>
      <c r="AD4464" s="49"/>
      <c r="AE4464" s="49"/>
      <c r="AF4464" s="49"/>
      <c r="AG4464" s="49"/>
      <c r="AH4464" s="49"/>
      <c r="AI4464" s="49"/>
      <c r="AJ4464" s="49"/>
      <c r="AK4464" s="49"/>
      <c r="AL4464" s="49"/>
      <c r="AM4464" s="49"/>
      <c r="AN4464" s="49"/>
      <c r="AP4464" s="49"/>
      <c r="AQ4464" s="49"/>
      <c r="AR4464" s="49"/>
      <c r="AS4464" s="49"/>
      <c r="AT4464" s="49"/>
    </row>
    <row r="4465">
      <c r="A4465" s="59"/>
      <c r="B4465" s="49"/>
      <c r="C4465" s="50"/>
      <c r="D4465" s="49"/>
      <c r="E4465" s="49"/>
      <c r="F4465" s="49"/>
      <c r="G4465" s="49"/>
      <c r="H4465" s="50"/>
      <c r="I4465" s="50"/>
      <c r="J4465" s="49"/>
      <c r="K4465" s="49"/>
      <c r="L4465" s="49"/>
      <c r="M4465" s="49"/>
      <c r="N4465" s="50"/>
      <c r="O4465" s="49"/>
      <c r="P4465" s="49"/>
      <c r="Q4465" s="49"/>
      <c r="R4465" s="49"/>
      <c r="S4465" s="49"/>
      <c r="T4465" s="49"/>
      <c r="U4465" s="49"/>
      <c r="V4465" s="49"/>
      <c r="W4465" s="49"/>
      <c r="X4465" s="49"/>
      <c r="Y4465" s="49"/>
      <c r="Z4465" s="49"/>
      <c r="AA4465" s="49"/>
      <c r="AB4465" s="49"/>
      <c r="AC4465" s="49"/>
      <c r="AD4465" s="49"/>
      <c r="AE4465" s="49"/>
      <c r="AF4465" s="49"/>
      <c r="AG4465" s="49"/>
      <c r="AH4465" s="49"/>
      <c r="AI4465" s="49"/>
      <c r="AJ4465" s="49"/>
      <c r="AK4465" s="49"/>
      <c r="AL4465" s="49"/>
      <c r="AM4465" s="49"/>
      <c r="AN4465" s="49"/>
      <c r="AP4465" s="49"/>
      <c r="AQ4465" s="49"/>
      <c r="AR4465" s="49"/>
      <c r="AS4465" s="49"/>
      <c r="AT4465" s="49"/>
    </row>
    <row r="4466">
      <c r="A4466" s="59"/>
      <c r="B4466" s="49"/>
      <c r="C4466" s="50"/>
      <c r="D4466" s="49"/>
      <c r="E4466" s="49"/>
      <c r="F4466" s="49"/>
      <c r="G4466" s="49"/>
      <c r="H4466" s="50"/>
      <c r="I4466" s="50"/>
      <c r="J4466" s="49"/>
      <c r="K4466" s="49"/>
      <c r="L4466" s="49"/>
      <c r="M4466" s="49"/>
      <c r="N4466" s="50"/>
      <c r="O4466" s="49"/>
      <c r="P4466" s="49"/>
      <c r="Q4466" s="49"/>
      <c r="R4466" s="49"/>
      <c r="S4466" s="49"/>
      <c r="T4466" s="49"/>
      <c r="U4466" s="49"/>
      <c r="V4466" s="49"/>
      <c r="W4466" s="49"/>
      <c r="X4466" s="49"/>
      <c r="Y4466" s="49"/>
      <c r="Z4466" s="49"/>
      <c r="AA4466" s="49"/>
      <c r="AB4466" s="49"/>
      <c r="AC4466" s="49"/>
      <c r="AD4466" s="49"/>
      <c r="AE4466" s="49"/>
      <c r="AF4466" s="49"/>
      <c r="AG4466" s="49"/>
      <c r="AH4466" s="49"/>
      <c r="AI4466" s="49"/>
      <c r="AJ4466" s="49"/>
      <c r="AK4466" s="49"/>
      <c r="AL4466" s="49"/>
      <c r="AM4466" s="49"/>
      <c r="AN4466" s="49"/>
      <c r="AP4466" s="49"/>
      <c r="AQ4466" s="49"/>
      <c r="AR4466" s="49"/>
      <c r="AS4466" s="49"/>
      <c r="AT4466" s="49"/>
    </row>
    <row r="4467">
      <c r="A4467" s="59"/>
      <c r="B4467" s="49"/>
      <c r="C4467" s="50"/>
      <c r="D4467" s="49"/>
      <c r="E4467" s="49"/>
      <c r="F4467" s="49"/>
      <c r="G4467" s="49"/>
      <c r="H4467" s="50"/>
      <c r="I4467" s="50"/>
      <c r="J4467" s="49"/>
      <c r="K4467" s="49"/>
      <c r="L4467" s="49"/>
      <c r="M4467" s="49"/>
      <c r="N4467" s="50"/>
      <c r="O4467" s="49"/>
      <c r="P4467" s="49"/>
      <c r="Q4467" s="49"/>
      <c r="R4467" s="49"/>
      <c r="S4467" s="49"/>
      <c r="T4467" s="49"/>
      <c r="U4467" s="49"/>
      <c r="V4467" s="49"/>
      <c r="W4467" s="49"/>
      <c r="X4467" s="49"/>
      <c r="Y4467" s="49"/>
      <c r="Z4467" s="49"/>
      <c r="AA4467" s="49"/>
      <c r="AB4467" s="49"/>
      <c r="AC4467" s="49"/>
      <c r="AD4467" s="49"/>
      <c r="AE4467" s="49"/>
      <c r="AF4467" s="49"/>
      <c r="AG4467" s="49"/>
      <c r="AH4467" s="49"/>
      <c r="AI4467" s="49"/>
      <c r="AJ4467" s="49"/>
      <c r="AK4467" s="49"/>
      <c r="AL4467" s="49"/>
      <c r="AM4467" s="49"/>
      <c r="AN4467" s="49"/>
      <c r="AP4467" s="49"/>
      <c r="AQ4467" s="49"/>
      <c r="AR4467" s="49"/>
      <c r="AS4467" s="49"/>
      <c r="AT4467" s="49"/>
    </row>
    <row r="4468">
      <c r="A4468" s="59"/>
      <c r="B4468" s="49"/>
      <c r="C4468" s="50"/>
      <c r="D4468" s="49"/>
      <c r="E4468" s="49"/>
      <c r="F4468" s="49"/>
      <c r="G4468" s="49"/>
      <c r="H4468" s="50"/>
      <c r="I4468" s="50"/>
      <c r="J4468" s="49"/>
      <c r="K4468" s="49"/>
      <c r="L4468" s="49"/>
      <c r="M4468" s="49"/>
      <c r="N4468" s="50"/>
      <c r="O4468" s="49"/>
      <c r="P4468" s="49"/>
      <c r="Q4468" s="49"/>
      <c r="R4468" s="49"/>
      <c r="S4468" s="49"/>
      <c r="T4468" s="49"/>
      <c r="U4468" s="49"/>
      <c r="V4468" s="49"/>
      <c r="W4468" s="49"/>
      <c r="X4468" s="49"/>
      <c r="Y4468" s="49"/>
      <c r="Z4468" s="49"/>
      <c r="AA4468" s="49"/>
      <c r="AB4468" s="49"/>
      <c r="AC4468" s="49"/>
      <c r="AD4468" s="49"/>
      <c r="AE4468" s="49"/>
      <c r="AF4468" s="49"/>
      <c r="AG4468" s="49"/>
      <c r="AH4468" s="49"/>
      <c r="AI4468" s="49"/>
      <c r="AJ4468" s="49"/>
      <c r="AK4468" s="49"/>
      <c r="AL4468" s="49"/>
      <c r="AM4468" s="49"/>
      <c r="AN4468" s="49"/>
      <c r="AP4468" s="49"/>
      <c r="AQ4468" s="49"/>
      <c r="AR4468" s="49"/>
      <c r="AS4468" s="49"/>
      <c r="AT4468" s="49"/>
    </row>
    <row r="4469">
      <c r="A4469" s="59"/>
      <c r="B4469" s="49"/>
      <c r="C4469" s="50"/>
      <c r="D4469" s="49"/>
      <c r="E4469" s="49"/>
      <c r="F4469" s="49"/>
      <c r="G4469" s="49"/>
      <c r="H4469" s="50"/>
      <c r="I4469" s="50"/>
      <c r="J4469" s="49"/>
      <c r="K4469" s="49"/>
      <c r="L4469" s="49"/>
      <c r="M4469" s="49"/>
      <c r="N4469" s="50"/>
      <c r="O4469" s="49"/>
      <c r="P4469" s="49"/>
      <c r="Q4469" s="49"/>
      <c r="R4469" s="49"/>
      <c r="S4469" s="49"/>
      <c r="T4469" s="49"/>
      <c r="U4469" s="49"/>
      <c r="V4469" s="49"/>
      <c r="W4469" s="49"/>
      <c r="X4469" s="49"/>
      <c r="Y4469" s="49"/>
      <c r="Z4469" s="49"/>
      <c r="AA4469" s="49"/>
      <c r="AB4469" s="49"/>
      <c r="AC4469" s="49"/>
      <c r="AD4469" s="49"/>
      <c r="AE4469" s="49"/>
      <c r="AF4469" s="49"/>
      <c r="AG4469" s="49"/>
      <c r="AH4469" s="49"/>
      <c r="AI4469" s="49"/>
      <c r="AJ4469" s="49"/>
      <c r="AK4469" s="49"/>
      <c r="AL4469" s="49"/>
      <c r="AM4469" s="49"/>
      <c r="AN4469" s="49"/>
      <c r="AP4469" s="49"/>
      <c r="AQ4469" s="49"/>
      <c r="AR4469" s="49"/>
      <c r="AS4469" s="49"/>
      <c r="AT4469" s="49"/>
    </row>
    <row r="4470">
      <c r="A4470" s="59"/>
      <c r="B4470" s="49"/>
      <c r="C4470" s="50"/>
      <c r="D4470" s="49"/>
      <c r="E4470" s="49"/>
      <c r="F4470" s="49"/>
      <c r="G4470" s="49"/>
      <c r="H4470" s="50"/>
      <c r="I4470" s="50"/>
      <c r="J4470" s="49"/>
      <c r="K4470" s="49"/>
      <c r="L4470" s="49"/>
      <c r="M4470" s="49"/>
      <c r="N4470" s="50"/>
      <c r="O4470" s="49"/>
      <c r="P4470" s="49"/>
      <c r="Q4470" s="49"/>
      <c r="R4470" s="49"/>
      <c r="S4470" s="49"/>
      <c r="T4470" s="49"/>
      <c r="U4470" s="49"/>
      <c r="V4470" s="49"/>
      <c r="W4470" s="49"/>
      <c r="X4470" s="49"/>
      <c r="Y4470" s="49"/>
      <c r="Z4470" s="49"/>
      <c r="AA4470" s="49"/>
      <c r="AB4470" s="49"/>
      <c r="AC4470" s="49"/>
      <c r="AD4470" s="49"/>
      <c r="AE4470" s="49"/>
      <c r="AF4470" s="49"/>
      <c r="AG4470" s="49"/>
      <c r="AH4470" s="49"/>
      <c r="AI4470" s="49"/>
      <c r="AJ4470" s="49"/>
      <c r="AK4470" s="49"/>
      <c r="AL4470" s="49"/>
      <c r="AM4470" s="49"/>
      <c r="AN4470" s="49"/>
      <c r="AP4470" s="49"/>
      <c r="AQ4470" s="49"/>
      <c r="AR4470" s="49"/>
      <c r="AS4470" s="49"/>
      <c r="AT4470" s="49"/>
    </row>
    <row r="4471">
      <c r="A4471" s="59"/>
      <c r="B4471" s="49"/>
      <c r="C4471" s="50"/>
      <c r="D4471" s="49"/>
      <c r="E4471" s="49"/>
      <c r="F4471" s="49"/>
      <c r="G4471" s="49"/>
      <c r="H4471" s="50"/>
      <c r="I4471" s="50"/>
      <c r="J4471" s="49"/>
      <c r="K4471" s="49"/>
      <c r="L4471" s="49"/>
      <c r="M4471" s="49"/>
      <c r="N4471" s="50"/>
      <c r="O4471" s="49"/>
      <c r="P4471" s="49"/>
      <c r="Q4471" s="49"/>
      <c r="R4471" s="49"/>
      <c r="S4471" s="49"/>
      <c r="T4471" s="49"/>
      <c r="U4471" s="49"/>
      <c r="V4471" s="49"/>
      <c r="W4471" s="49"/>
      <c r="X4471" s="49"/>
      <c r="Y4471" s="49"/>
      <c r="Z4471" s="49"/>
      <c r="AA4471" s="49"/>
      <c r="AB4471" s="49"/>
      <c r="AC4471" s="49"/>
      <c r="AD4471" s="49"/>
      <c r="AE4471" s="49"/>
      <c r="AF4471" s="49"/>
      <c r="AG4471" s="49"/>
      <c r="AH4471" s="49"/>
      <c r="AI4471" s="49"/>
      <c r="AJ4471" s="49"/>
      <c r="AK4471" s="49"/>
      <c r="AL4471" s="49"/>
      <c r="AM4471" s="49"/>
      <c r="AN4471" s="49"/>
      <c r="AP4471" s="49"/>
      <c r="AQ4471" s="49"/>
      <c r="AR4471" s="49"/>
      <c r="AS4471" s="49"/>
      <c r="AT4471" s="49"/>
    </row>
    <row r="4472">
      <c r="A4472" s="59"/>
      <c r="B4472" s="49"/>
      <c r="C4472" s="50"/>
      <c r="D4472" s="49"/>
      <c r="E4472" s="49"/>
      <c r="F4472" s="49"/>
      <c r="G4472" s="49"/>
      <c r="H4472" s="50"/>
      <c r="I4472" s="50"/>
      <c r="J4472" s="49"/>
      <c r="K4472" s="49"/>
      <c r="L4472" s="49"/>
      <c r="M4472" s="49"/>
      <c r="N4472" s="50"/>
      <c r="O4472" s="49"/>
      <c r="P4472" s="49"/>
      <c r="Q4472" s="49"/>
      <c r="R4472" s="49"/>
      <c r="S4472" s="49"/>
      <c r="T4472" s="49"/>
      <c r="U4472" s="49"/>
      <c r="V4472" s="49"/>
      <c r="W4472" s="49"/>
      <c r="X4472" s="49"/>
      <c r="Y4472" s="49"/>
      <c r="Z4472" s="49"/>
      <c r="AA4472" s="49"/>
      <c r="AB4472" s="49"/>
      <c r="AC4472" s="49"/>
      <c r="AD4472" s="49"/>
      <c r="AE4472" s="49"/>
      <c r="AF4472" s="49"/>
      <c r="AG4472" s="49"/>
      <c r="AH4472" s="49"/>
      <c r="AI4472" s="49"/>
      <c r="AJ4472" s="49"/>
      <c r="AK4472" s="49"/>
      <c r="AL4472" s="49"/>
      <c r="AM4472" s="49"/>
      <c r="AN4472" s="49"/>
      <c r="AP4472" s="49"/>
      <c r="AQ4472" s="49"/>
      <c r="AR4472" s="49"/>
      <c r="AS4472" s="49"/>
      <c r="AT4472" s="49"/>
    </row>
    <row r="4473">
      <c r="A4473" s="59"/>
      <c r="B4473" s="49"/>
      <c r="C4473" s="50"/>
      <c r="D4473" s="49"/>
      <c r="E4473" s="49"/>
      <c r="F4473" s="49"/>
      <c r="G4473" s="49"/>
      <c r="H4473" s="50"/>
      <c r="I4473" s="50"/>
      <c r="J4473" s="49"/>
      <c r="K4473" s="49"/>
      <c r="L4473" s="49"/>
      <c r="M4473" s="49"/>
      <c r="N4473" s="50"/>
      <c r="O4473" s="49"/>
      <c r="P4473" s="49"/>
      <c r="Q4473" s="49"/>
      <c r="R4473" s="49"/>
      <c r="S4473" s="49"/>
      <c r="T4473" s="49"/>
      <c r="U4473" s="49"/>
      <c r="V4473" s="49"/>
      <c r="W4473" s="49"/>
      <c r="X4473" s="49"/>
      <c r="Y4473" s="49"/>
      <c r="Z4473" s="49"/>
      <c r="AA4473" s="49"/>
      <c r="AB4473" s="49"/>
      <c r="AC4473" s="49"/>
      <c r="AD4473" s="49"/>
      <c r="AE4473" s="49"/>
      <c r="AF4473" s="49"/>
      <c r="AG4473" s="49"/>
      <c r="AH4473" s="49"/>
      <c r="AI4473" s="49"/>
      <c r="AJ4473" s="49"/>
      <c r="AK4473" s="49"/>
      <c r="AL4473" s="49"/>
      <c r="AM4473" s="49"/>
      <c r="AN4473" s="49"/>
      <c r="AP4473" s="49"/>
      <c r="AQ4473" s="49"/>
      <c r="AR4473" s="49"/>
      <c r="AS4473" s="49"/>
      <c r="AT4473" s="49"/>
    </row>
    <row r="4474">
      <c r="A4474" s="59"/>
      <c r="B4474" s="49"/>
      <c r="C4474" s="50"/>
      <c r="D4474" s="49"/>
      <c r="E4474" s="49"/>
      <c r="F4474" s="49"/>
      <c r="G4474" s="49"/>
      <c r="H4474" s="50"/>
      <c r="I4474" s="50"/>
      <c r="J4474" s="49"/>
      <c r="K4474" s="49"/>
      <c r="L4474" s="49"/>
      <c r="M4474" s="49"/>
      <c r="N4474" s="50"/>
      <c r="O4474" s="49"/>
      <c r="P4474" s="49"/>
      <c r="Q4474" s="49"/>
      <c r="R4474" s="49"/>
      <c r="S4474" s="49"/>
      <c r="T4474" s="49"/>
      <c r="U4474" s="49"/>
      <c r="V4474" s="49"/>
      <c r="W4474" s="49"/>
      <c r="X4474" s="49"/>
      <c r="Y4474" s="49"/>
      <c r="Z4474" s="49"/>
      <c r="AA4474" s="49"/>
      <c r="AB4474" s="49"/>
      <c r="AC4474" s="49"/>
      <c r="AD4474" s="49"/>
      <c r="AE4474" s="49"/>
      <c r="AF4474" s="49"/>
      <c r="AG4474" s="49"/>
      <c r="AH4474" s="49"/>
      <c r="AI4474" s="49"/>
      <c r="AJ4474" s="49"/>
      <c r="AK4474" s="49"/>
      <c r="AL4474" s="49"/>
      <c r="AM4474" s="49"/>
      <c r="AN4474" s="49"/>
      <c r="AP4474" s="49"/>
      <c r="AQ4474" s="49"/>
      <c r="AR4474" s="49"/>
      <c r="AS4474" s="49"/>
      <c r="AT4474" s="49"/>
    </row>
    <row r="4475">
      <c r="A4475" s="59"/>
      <c r="B4475" s="49"/>
      <c r="C4475" s="50"/>
      <c r="D4475" s="49"/>
      <c r="E4475" s="49"/>
      <c r="F4475" s="49"/>
      <c r="G4475" s="49"/>
      <c r="H4475" s="50"/>
      <c r="I4475" s="50"/>
      <c r="J4475" s="49"/>
      <c r="K4475" s="49"/>
      <c r="L4475" s="49"/>
      <c r="M4475" s="49"/>
      <c r="N4475" s="50"/>
      <c r="O4475" s="49"/>
      <c r="P4475" s="49"/>
      <c r="Q4475" s="49"/>
      <c r="R4475" s="49"/>
      <c r="S4475" s="49"/>
      <c r="T4475" s="49"/>
      <c r="U4475" s="49"/>
      <c r="V4475" s="49"/>
      <c r="W4475" s="49"/>
      <c r="X4475" s="49"/>
      <c r="Y4475" s="49"/>
      <c r="Z4475" s="49"/>
      <c r="AA4475" s="49"/>
      <c r="AB4475" s="49"/>
      <c r="AC4475" s="49"/>
      <c r="AD4475" s="49"/>
      <c r="AE4475" s="49"/>
      <c r="AF4475" s="49"/>
      <c r="AG4475" s="49"/>
      <c r="AH4475" s="49"/>
      <c r="AI4475" s="49"/>
      <c r="AJ4475" s="49"/>
      <c r="AK4475" s="49"/>
      <c r="AL4475" s="49"/>
      <c r="AM4475" s="49"/>
      <c r="AN4475" s="49"/>
      <c r="AP4475" s="49"/>
      <c r="AQ4475" s="49"/>
      <c r="AR4475" s="49"/>
      <c r="AS4475" s="49"/>
      <c r="AT4475" s="49"/>
    </row>
    <row r="4476">
      <c r="A4476" s="59"/>
      <c r="B4476" s="49"/>
      <c r="C4476" s="50"/>
      <c r="D4476" s="49"/>
      <c r="E4476" s="49"/>
      <c r="F4476" s="49"/>
      <c r="G4476" s="49"/>
      <c r="H4476" s="50"/>
      <c r="I4476" s="50"/>
      <c r="J4476" s="49"/>
      <c r="K4476" s="49"/>
      <c r="L4476" s="49"/>
      <c r="M4476" s="49"/>
      <c r="N4476" s="50"/>
      <c r="O4476" s="49"/>
      <c r="P4476" s="49"/>
      <c r="Q4476" s="49"/>
      <c r="R4476" s="49"/>
      <c r="S4476" s="49"/>
      <c r="T4476" s="49"/>
      <c r="U4476" s="49"/>
      <c r="V4476" s="49"/>
      <c r="W4476" s="49"/>
      <c r="X4476" s="49"/>
      <c r="Y4476" s="49"/>
      <c r="Z4476" s="49"/>
      <c r="AA4476" s="49"/>
      <c r="AB4476" s="49"/>
      <c r="AC4476" s="49"/>
      <c r="AD4476" s="49"/>
      <c r="AE4476" s="49"/>
      <c r="AF4476" s="49"/>
      <c r="AG4476" s="49"/>
      <c r="AH4476" s="49"/>
      <c r="AI4476" s="49"/>
      <c r="AJ4476" s="49"/>
      <c r="AK4476" s="49"/>
      <c r="AL4476" s="49"/>
      <c r="AM4476" s="49"/>
      <c r="AN4476" s="49"/>
      <c r="AP4476" s="49"/>
      <c r="AQ4476" s="49"/>
      <c r="AR4476" s="49"/>
      <c r="AS4476" s="49"/>
      <c r="AT4476" s="49"/>
    </row>
    <row r="4477">
      <c r="A4477" s="59"/>
      <c r="B4477" s="49"/>
      <c r="C4477" s="50"/>
      <c r="D4477" s="49"/>
      <c r="E4477" s="49"/>
      <c r="F4477" s="49"/>
      <c r="G4477" s="49"/>
      <c r="H4477" s="50"/>
      <c r="I4477" s="50"/>
      <c r="J4477" s="49"/>
      <c r="K4477" s="49"/>
      <c r="L4477" s="49"/>
      <c r="M4477" s="49"/>
      <c r="N4477" s="50"/>
      <c r="O4477" s="49"/>
      <c r="P4477" s="49"/>
      <c r="Q4477" s="49"/>
      <c r="R4477" s="49"/>
      <c r="S4477" s="49"/>
      <c r="T4477" s="49"/>
      <c r="U4477" s="49"/>
      <c r="V4477" s="49"/>
      <c r="W4477" s="49"/>
      <c r="X4477" s="49"/>
      <c r="Y4477" s="49"/>
      <c r="Z4477" s="49"/>
      <c r="AA4477" s="49"/>
      <c r="AB4477" s="49"/>
      <c r="AC4477" s="49"/>
      <c r="AD4477" s="49"/>
      <c r="AE4477" s="49"/>
      <c r="AF4477" s="49"/>
      <c r="AG4477" s="49"/>
      <c r="AH4477" s="49"/>
      <c r="AI4477" s="49"/>
      <c r="AJ4477" s="49"/>
      <c r="AK4477" s="49"/>
      <c r="AL4477" s="49"/>
      <c r="AM4477" s="49"/>
      <c r="AN4477" s="49"/>
      <c r="AP4477" s="49"/>
      <c r="AQ4477" s="49"/>
      <c r="AR4477" s="49"/>
      <c r="AS4477" s="49"/>
      <c r="AT4477" s="49"/>
    </row>
    <row r="4478">
      <c r="A4478" s="59"/>
      <c r="B4478" s="49"/>
      <c r="C4478" s="50"/>
      <c r="D4478" s="49"/>
      <c r="E4478" s="49"/>
      <c r="F4478" s="49"/>
      <c r="G4478" s="49"/>
      <c r="H4478" s="50"/>
      <c r="I4478" s="50"/>
      <c r="J4478" s="49"/>
      <c r="K4478" s="49"/>
      <c r="L4478" s="49"/>
      <c r="M4478" s="49"/>
      <c r="N4478" s="50"/>
      <c r="O4478" s="49"/>
      <c r="P4478" s="49"/>
      <c r="Q4478" s="49"/>
      <c r="R4478" s="49"/>
      <c r="S4478" s="49"/>
      <c r="T4478" s="49"/>
      <c r="U4478" s="49"/>
      <c r="V4478" s="49"/>
      <c r="W4478" s="49"/>
      <c r="X4478" s="49"/>
      <c r="Y4478" s="49"/>
      <c r="Z4478" s="49"/>
      <c r="AA4478" s="49"/>
      <c r="AB4478" s="49"/>
      <c r="AC4478" s="49"/>
      <c r="AD4478" s="49"/>
      <c r="AE4478" s="49"/>
      <c r="AF4478" s="49"/>
      <c r="AG4478" s="49"/>
      <c r="AH4478" s="49"/>
      <c r="AI4478" s="49"/>
      <c r="AJ4478" s="49"/>
      <c r="AK4478" s="49"/>
      <c r="AL4478" s="49"/>
      <c r="AM4478" s="49"/>
      <c r="AN4478" s="49"/>
      <c r="AP4478" s="49"/>
      <c r="AQ4478" s="49"/>
      <c r="AR4478" s="49"/>
      <c r="AS4478" s="49"/>
      <c r="AT4478" s="49"/>
    </row>
    <row r="4479">
      <c r="A4479" s="59"/>
      <c r="B4479" s="49"/>
      <c r="C4479" s="50"/>
      <c r="D4479" s="49"/>
      <c r="E4479" s="49"/>
      <c r="F4479" s="49"/>
      <c r="G4479" s="49"/>
      <c r="H4479" s="50"/>
      <c r="I4479" s="50"/>
      <c r="J4479" s="49"/>
      <c r="K4479" s="49"/>
      <c r="L4479" s="49"/>
      <c r="M4479" s="49"/>
      <c r="N4479" s="50"/>
      <c r="O4479" s="49"/>
      <c r="P4479" s="49"/>
      <c r="Q4479" s="49"/>
      <c r="R4479" s="49"/>
      <c r="S4479" s="49"/>
      <c r="T4479" s="49"/>
      <c r="U4479" s="49"/>
      <c r="V4479" s="49"/>
      <c r="W4479" s="49"/>
      <c r="X4479" s="49"/>
      <c r="Y4479" s="49"/>
      <c r="Z4479" s="49"/>
      <c r="AA4479" s="49"/>
      <c r="AB4479" s="49"/>
      <c r="AC4479" s="49"/>
      <c r="AD4479" s="49"/>
      <c r="AE4479" s="49"/>
      <c r="AF4479" s="49"/>
      <c r="AG4479" s="49"/>
      <c r="AH4479" s="49"/>
      <c r="AI4479" s="49"/>
      <c r="AJ4479" s="49"/>
      <c r="AK4479" s="49"/>
      <c r="AL4479" s="49"/>
      <c r="AM4479" s="49"/>
      <c r="AN4479" s="49"/>
      <c r="AP4479" s="49"/>
      <c r="AQ4479" s="49"/>
      <c r="AR4479" s="49"/>
      <c r="AS4479" s="49"/>
      <c r="AT4479" s="49"/>
    </row>
    <row r="4480">
      <c r="A4480" s="59"/>
      <c r="B4480" s="49"/>
      <c r="C4480" s="50"/>
      <c r="D4480" s="49"/>
      <c r="E4480" s="49"/>
      <c r="F4480" s="49"/>
      <c r="G4480" s="49"/>
      <c r="H4480" s="50"/>
      <c r="I4480" s="50"/>
      <c r="J4480" s="49"/>
      <c r="K4480" s="49"/>
      <c r="L4480" s="49"/>
      <c r="M4480" s="49"/>
      <c r="N4480" s="50"/>
      <c r="O4480" s="49"/>
      <c r="P4480" s="49"/>
      <c r="Q4480" s="49"/>
      <c r="R4480" s="49"/>
      <c r="S4480" s="49"/>
      <c r="T4480" s="49"/>
      <c r="U4480" s="49"/>
      <c r="V4480" s="49"/>
      <c r="W4480" s="49"/>
      <c r="X4480" s="49"/>
      <c r="Y4480" s="49"/>
      <c r="Z4480" s="49"/>
      <c r="AA4480" s="49"/>
      <c r="AB4480" s="49"/>
      <c r="AC4480" s="49"/>
      <c r="AD4480" s="49"/>
      <c r="AE4480" s="49"/>
      <c r="AF4480" s="49"/>
      <c r="AG4480" s="49"/>
      <c r="AH4480" s="49"/>
      <c r="AI4480" s="49"/>
      <c r="AJ4480" s="49"/>
      <c r="AK4480" s="49"/>
      <c r="AL4480" s="49"/>
      <c r="AM4480" s="49"/>
      <c r="AN4480" s="49"/>
      <c r="AP4480" s="49"/>
      <c r="AQ4480" s="49"/>
      <c r="AR4480" s="49"/>
      <c r="AS4480" s="49"/>
      <c r="AT4480" s="49"/>
    </row>
    <row r="4481">
      <c r="A4481" s="59"/>
      <c r="B4481" s="49"/>
      <c r="C4481" s="50"/>
      <c r="D4481" s="49"/>
      <c r="E4481" s="49"/>
      <c r="F4481" s="49"/>
      <c r="G4481" s="49"/>
      <c r="H4481" s="50"/>
      <c r="I4481" s="50"/>
      <c r="J4481" s="49"/>
      <c r="K4481" s="49"/>
      <c r="L4481" s="49"/>
      <c r="M4481" s="49"/>
      <c r="N4481" s="50"/>
      <c r="O4481" s="49"/>
      <c r="P4481" s="49"/>
      <c r="Q4481" s="49"/>
      <c r="R4481" s="49"/>
      <c r="S4481" s="49"/>
      <c r="T4481" s="49"/>
      <c r="U4481" s="49"/>
      <c r="V4481" s="49"/>
      <c r="W4481" s="49"/>
      <c r="X4481" s="49"/>
      <c r="Y4481" s="49"/>
      <c r="Z4481" s="49"/>
      <c r="AA4481" s="49"/>
      <c r="AB4481" s="49"/>
      <c r="AC4481" s="49"/>
      <c r="AD4481" s="49"/>
      <c r="AE4481" s="49"/>
      <c r="AF4481" s="49"/>
      <c r="AG4481" s="49"/>
      <c r="AH4481" s="49"/>
      <c r="AI4481" s="49"/>
      <c r="AJ4481" s="49"/>
      <c r="AK4481" s="49"/>
      <c r="AL4481" s="49"/>
      <c r="AM4481" s="49"/>
      <c r="AN4481" s="49"/>
      <c r="AP4481" s="49"/>
      <c r="AQ4481" s="49"/>
      <c r="AR4481" s="49"/>
      <c r="AS4481" s="49"/>
      <c r="AT4481" s="49"/>
    </row>
    <row r="4482">
      <c r="A4482" s="59"/>
      <c r="B4482" s="49"/>
      <c r="C4482" s="50"/>
      <c r="D4482" s="49"/>
      <c r="E4482" s="49"/>
      <c r="F4482" s="49"/>
      <c r="G4482" s="49"/>
      <c r="H4482" s="50"/>
      <c r="I4482" s="50"/>
      <c r="J4482" s="49"/>
      <c r="K4482" s="49"/>
      <c r="L4482" s="49"/>
      <c r="M4482" s="49"/>
      <c r="N4482" s="50"/>
      <c r="O4482" s="49"/>
      <c r="P4482" s="49"/>
      <c r="Q4482" s="49"/>
      <c r="R4482" s="49"/>
      <c r="S4482" s="49"/>
      <c r="T4482" s="49"/>
      <c r="U4482" s="49"/>
      <c r="V4482" s="49"/>
      <c r="W4482" s="49"/>
      <c r="X4482" s="49"/>
      <c r="Y4482" s="49"/>
      <c r="Z4482" s="49"/>
      <c r="AA4482" s="49"/>
      <c r="AB4482" s="49"/>
      <c r="AC4482" s="49"/>
      <c r="AD4482" s="49"/>
      <c r="AE4482" s="49"/>
      <c r="AF4482" s="49"/>
      <c r="AG4482" s="49"/>
      <c r="AH4482" s="49"/>
      <c r="AI4482" s="49"/>
      <c r="AJ4482" s="49"/>
      <c r="AK4482" s="49"/>
      <c r="AL4482" s="49"/>
      <c r="AM4482" s="49"/>
      <c r="AN4482" s="49"/>
      <c r="AP4482" s="49"/>
      <c r="AQ4482" s="49"/>
      <c r="AR4482" s="49"/>
      <c r="AS4482" s="49"/>
      <c r="AT4482" s="49"/>
    </row>
    <row r="4483">
      <c r="A4483" s="59"/>
      <c r="B4483" s="49"/>
      <c r="C4483" s="50"/>
      <c r="D4483" s="49"/>
      <c r="E4483" s="49"/>
      <c r="F4483" s="49"/>
      <c r="G4483" s="49"/>
      <c r="H4483" s="50"/>
      <c r="I4483" s="50"/>
      <c r="J4483" s="49"/>
      <c r="K4483" s="49"/>
      <c r="L4483" s="49"/>
      <c r="M4483" s="49"/>
      <c r="N4483" s="50"/>
      <c r="O4483" s="49"/>
      <c r="P4483" s="49"/>
      <c r="Q4483" s="49"/>
      <c r="R4483" s="49"/>
      <c r="S4483" s="49"/>
      <c r="T4483" s="49"/>
      <c r="U4483" s="49"/>
      <c r="V4483" s="49"/>
      <c r="W4483" s="49"/>
      <c r="X4483" s="49"/>
      <c r="Y4483" s="49"/>
      <c r="Z4483" s="49"/>
      <c r="AA4483" s="49"/>
      <c r="AB4483" s="49"/>
      <c r="AC4483" s="49"/>
      <c r="AD4483" s="49"/>
      <c r="AE4483" s="49"/>
      <c r="AF4483" s="49"/>
      <c r="AG4483" s="49"/>
      <c r="AH4483" s="49"/>
      <c r="AI4483" s="49"/>
      <c r="AJ4483" s="49"/>
      <c r="AK4483" s="49"/>
      <c r="AL4483" s="49"/>
      <c r="AM4483" s="49"/>
      <c r="AN4483" s="49"/>
      <c r="AP4483" s="49"/>
      <c r="AQ4483" s="49"/>
      <c r="AR4483" s="49"/>
      <c r="AS4483" s="49"/>
      <c r="AT4483" s="49"/>
    </row>
    <row r="4484">
      <c r="A4484" s="59"/>
      <c r="B4484" s="49"/>
      <c r="C4484" s="50"/>
      <c r="D4484" s="49"/>
      <c r="E4484" s="49"/>
      <c r="F4484" s="49"/>
      <c r="G4484" s="49"/>
      <c r="H4484" s="50"/>
      <c r="I4484" s="50"/>
      <c r="J4484" s="49"/>
      <c r="K4484" s="49"/>
      <c r="L4484" s="49"/>
      <c r="M4484" s="49"/>
      <c r="N4484" s="50"/>
      <c r="O4484" s="49"/>
      <c r="P4484" s="49"/>
      <c r="Q4484" s="49"/>
      <c r="R4484" s="49"/>
      <c r="S4484" s="49"/>
      <c r="T4484" s="49"/>
      <c r="U4484" s="49"/>
      <c r="V4484" s="49"/>
      <c r="W4484" s="49"/>
      <c r="X4484" s="49"/>
      <c r="Y4484" s="49"/>
      <c r="Z4484" s="49"/>
      <c r="AA4484" s="49"/>
      <c r="AB4484" s="49"/>
      <c r="AC4484" s="49"/>
      <c r="AD4484" s="49"/>
      <c r="AE4484" s="49"/>
      <c r="AF4484" s="49"/>
      <c r="AG4484" s="49"/>
      <c r="AH4484" s="49"/>
      <c r="AI4484" s="49"/>
      <c r="AJ4484" s="49"/>
      <c r="AK4484" s="49"/>
      <c r="AL4484" s="49"/>
      <c r="AM4484" s="49"/>
      <c r="AN4484" s="49"/>
      <c r="AP4484" s="49"/>
      <c r="AQ4484" s="49"/>
      <c r="AR4484" s="49"/>
      <c r="AS4484" s="49"/>
      <c r="AT4484" s="49"/>
    </row>
    <row r="4485">
      <c r="A4485" s="59"/>
      <c r="B4485" s="49"/>
      <c r="C4485" s="50"/>
      <c r="D4485" s="49"/>
      <c r="E4485" s="49"/>
      <c r="F4485" s="49"/>
      <c r="G4485" s="49"/>
      <c r="H4485" s="50"/>
      <c r="I4485" s="50"/>
      <c r="J4485" s="49"/>
      <c r="K4485" s="49"/>
      <c r="L4485" s="49"/>
      <c r="M4485" s="49"/>
      <c r="N4485" s="50"/>
      <c r="O4485" s="49"/>
      <c r="P4485" s="49"/>
      <c r="Q4485" s="49"/>
      <c r="R4485" s="49"/>
      <c r="S4485" s="49"/>
      <c r="T4485" s="49"/>
      <c r="U4485" s="49"/>
      <c r="V4485" s="49"/>
      <c r="W4485" s="49"/>
      <c r="X4485" s="49"/>
      <c r="Y4485" s="49"/>
      <c r="Z4485" s="49"/>
      <c r="AA4485" s="49"/>
      <c r="AB4485" s="49"/>
      <c r="AC4485" s="49"/>
      <c r="AD4485" s="49"/>
      <c r="AE4485" s="49"/>
      <c r="AF4485" s="49"/>
      <c r="AG4485" s="49"/>
      <c r="AH4485" s="49"/>
      <c r="AI4485" s="49"/>
      <c r="AJ4485" s="49"/>
      <c r="AK4485" s="49"/>
      <c r="AL4485" s="49"/>
      <c r="AM4485" s="49"/>
      <c r="AN4485" s="49"/>
      <c r="AP4485" s="49"/>
      <c r="AQ4485" s="49"/>
      <c r="AR4485" s="49"/>
      <c r="AS4485" s="49"/>
      <c r="AT4485" s="49"/>
    </row>
    <row r="4486">
      <c r="A4486" s="59"/>
      <c r="B4486" s="49"/>
      <c r="C4486" s="50"/>
      <c r="D4486" s="49"/>
      <c r="E4486" s="49"/>
      <c r="F4486" s="49"/>
      <c r="G4486" s="49"/>
      <c r="H4486" s="50"/>
      <c r="I4486" s="50"/>
      <c r="J4486" s="49"/>
      <c r="K4486" s="49"/>
      <c r="L4486" s="49"/>
      <c r="M4486" s="49"/>
      <c r="N4486" s="50"/>
      <c r="O4486" s="49"/>
      <c r="P4486" s="49"/>
      <c r="Q4486" s="49"/>
      <c r="R4486" s="49"/>
      <c r="S4486" s="49"/>
      <c r="T4486" s="49"/>
      <c r="U4486" s="49"/>
      <c r="V4486" s="49"/>
      <c r="W4486" s="49"/>
      <c r="X4486" s="49"/>
      <c r="Y4486" s="49"/>
      <c r="Z4486" s="49"/>
      <c r="AA4486" s="49"/>
      <c r="AB4486" s="49"/>
      <c r="AC4486" s="49"/>
      <c r="AD4486" s="49"/>
      <c r="AE4486" s="49"/>
      <c r="AF4486" s="49"/>
      <c r="AG4486" s="49"/>
      <c r="AH4486" s="49"/>
      <c r="AI4486" s="49"/>
      <c r="AJ4486" s="49"/>
      <c r="AK4486" s="49"/>
      <c r="AL4486" s="49"/>
      <c r="AM4486" s="49"/>
      <c r="AN4486" s="49"/>
      <c r="AP4486" s="49"/>
      <c r="AQ4486" s="49"/>
      <c r="AR4486" s="49"/>
      <c r="AS4486" s="49"/>
      <c r="AT4486" s="49"/>
    </row>
    <row r="4487">
      <c r="A4487" s="59"/>
      <c r="B4487" s="49"/>
      <c r="C4487" s="50"/>
      <c r="D4487" s="49"/>
      <c r="E4487" s="49"/>
      <c r="F4487" s="49"/>
      <c r="G4487" s="49"/>
      <c r="H4487" s="50"/>
      <c r="I4487" s="50"/>
      <c r="J4487" s="49"/>
      <c r="K4487" s="49"/>
      <c r="L4487" s="49"/>
      <c r="M4487" s="49"/>
      <c r="N4487" s="50"/>
      <c r="O4487" s="49"/>
      <c r="P4487" s="49"/>
      <c r="Q4487" s="49"/>
      <c r="R4487" s="49"/>
      <c r="S4487" s="49"/>
      <c r="T4487" s="49"/>
      <c r="U4487" s="49"/>
      <c r="V4487" s="49"/>
      <c r="W4487" s="49"/>
      <c r="X4487" s="49"/>
      <c r="Y4487" s="49"/>
      <c r="Z4487" s="49"/>
      <c r="AA4487" s="49"/>
      <c r="AB4487" s="49"/>
      <c r="AC4487" s="49"/>
      <c r="AD4487" s="49"/>
      <c r="AE4487" s="49"/>
      <c r="AF4487" s="49"/>
      <c r="AG4487" s="49"/>
      <c r="AH4487" s="49"/>
      <c r="AI4487" s="49"/>
      <c r="AJ4487" s="49"/>
      <c r="AK4487" s="49"/>
      <c r="AL4487" s="49"/>
      <c r="AM4487" s="49"/>
      <c r="AN4487" s="49"/>
      <c r="AP4487" s="49"/>
      <c r="AQ4487" s="49"/>
      <c r="AR4487" s="49"/>
      <c r="AS4487" s="49"/>
      <c r="AT4487" s="49"/>
    </row>
    <row r="4488">
      <c r="A4488" s="59"/>
      <c r="B4488" s="49"/>
      <c r="C4488" s="50"/>
      <c r="D4488" s="49"/>
      <c r="E4488" s="49"/>
      <c r="F4488" s="49"/>
      <c r="G4488" s="49"/>
      <c r="H4488" s="50"/>
      <c r="I4488" s="50"/>
      <c r="J4488" s="49"/>
      <c r="K4488" s="49"/>
      <c r="L4488" s="49"/>
      <c r="M4488" s="49"/>
      <c r="N4488" s="50"/>
      <c r="O4488" s="49"/>
      <c r="P4488" s="49"/>
      <c r="Q4488" s="49"/>
      <c r="R4488" s="49"/>
      <c r="S4488" s="49"/>
      <c r="T4488" s="49"/>
      <c r="U4488" s="49"/>
      <c r="V4488" s="49"/>
      <c r="W4488" s="49"/>
      <c r="X4488" s="49"/>
      <c r="Y4488" s="49"/>
      <c r="Z4488" s="49"/>
      <c r="AA4488" s="49"/>
      <c r="AB4488" s="49"/>
      <c r="AC4488" s="49"/>
      <c r="AD4488" s="49"/>
      <c r="AE4488" s="49"/>
      <c r="AF4488" s="49"/>
      <c r="AG4488" s="49"/>
      <c r="AH4488" s="49"/>
      <c r="AI4488" s="49"/>
      <c r="AJ4488" s="49"/>
      <c r="AK4488" s="49"/>
      <c r="AL4488" s="49"/>
      <c r="AM4488" s="49"/>
      <c r="AN4488" s="49"/>
      <c r="AP4488" s="49"/>
      <c r="AQ4488" s="49"/>
      <c r="AR4488" s="49"/>
      <c r="AS4488" s="49"/>
      <c r="AT4488" s="49"/>
    </row>
    <row r="4489">
      <c r="A4489" s="59"/>
      <c r="B4489" s="49"/>
      <c r="C4489" s="50"/>
      <c r="D4489" s="49"/>
      <c r="E4489" s="49"/>
      <c r="F4489" s="49"/>
      <c r="G4489" s="49"/>
      <c r="H4489" s="50"/>
      <c r="I4489" s="50"/>
      <c r="J4489" s="49"/>
      <c r="K4489" s="49"/>
      <c r="L4489" s="49"/>
      <c r="M4489" s="49"/>
      <c r="N4489" s="50"/>
      <c r="O4489" s="49"/>
      <c r="P4489" s="49"/>
      <c r="Q4489" s="49"/>
      <c r="R4489" s="49"/>
      <c r="S4489" s="49"/>
      <c r="T4489" s="49"/>
      <c r="U4489" s="49"/>
      <c r="V4489" s="49"/>
      <c r="W4489" s="49"/>
      <c r="X4489" s="49"/>
      <c r="Y4489" s="49"/>
      <c r="Z4489" s="49"/>
      <c r="AA4489" s="49"/>
      <c r="AB4489" s="49"/>
      <c r="AC4489" s="49"/>
      <c r="AD4489" s="49"/>
      <c r="AE4489" s="49"/>
      <c r="AF4489" s="49"/>
      <c r="AG4489" s="49"/>
      <c r="AH4489" s="49"/>
      <c r="AI4489" s="49"/>
      <c r="AJ4489" s="49"/>
      <c r="AK4489" s="49"/>
      <c r="AL4489" s="49"/>
      <c r="AM4489" s="49"/>
      <c r="AN4489" s="49"/>
      <c r="AP4489" s="49"/>
      <c r="AQ4489" s="49"/>
      <c r="AR4489" s="49"/>
      <c r="AS4489" s="49"/>
      <c r="AT4489" s="49"/>
    </row>
    <row r="4490">
      <c r="A4490" s="59"/>
      <c r="B4490" s="49"/>
      <c r="C4490" s="50"/>
      <c r="D4490" s="49"/>
      <c r="E4490" s="49"/>
      <c r="F4490" s="49"/>
      <c r="G4490" s="49"/>
      <c r="H4490" s="50"/>
      <c r="I4490" s="50"/>
      <c r="J4490" s="49"/>
      <c r="K4490" s="49"/>
      <c r="L4490" s="49"/>
      <c r="M4490" s="49"/>
      <c r="N4490" s="50"/>
      <c r="O4490" s="49"/>
      <c r="P4490" s="49"/>
      <c r="Q4490" s="49"/>
      <c r="R4490" s="49"/>
      <c r="S4490" s="49"/>
      <c r="T4490" s="49"/>
      <c r="U4490" s="49"/>
      <c r="V4490" s="49"/>
      <c r="W4490" s="49"/>
      <c r="X4490" s="49"/>
      <c r="Y4490" s="49"/>
      <c r="Z4490" s="49"/>
      <c r="AA4490" s="49"/>
      <c r="AB4490" s="49"/>
      <c r="AC4490" s="49"/>
      <c r="AD4490" s="49"/>
      <c r="AE4490" s="49"/>
      <c r="AF4490" s="49"/>
      <c r="AG4490" s="49"/>
      <c r="AH4490" s="49"/>
      <c r="AI4490" s="49"/>
      <c r="AJ4490" s="49"/>
      <c r="AK4490" s="49"/>
      <c r="AL4490" s="49"/>
      <c r="AM4490" s="49"/>
      <c r="AN4490" s="49"/>
      <c r="AP4490" s="49"/>
      <c r="AQ4490" s="49"/>
      <c r="AR4490" s="49"/>
      <c r="AS4490" s="49"/>
      <c r="AT4490" s="49"/>
    </row>
    <row r="4491">
      <c r="A4491" s="59"/>
      <c r="B4491" s="49"/>
      <c r="C4491" s="50"/>
      <c r="D4491" s="49"/>
      <c r="E4491" s="49"/>
      <c r="F4491" s="49"/>
      <c r="G4491" s="49"/>
      <c r="H4491" s="50"/>
      <c r="I4491" s="50"/>
      <c r="J4491" s="49"/>
      <c r="K4491" s="49"/>
      <c r="L4491" s="49"/>
      <c r="M4491" s="49"/>
      <c r="N4491" s="50"/>
      <c r="O4491" s="49"/>
      <c r="P4491" s="49"/>
      <c r="Q4491" s="49"/>
      <c r="R4491" s="49"/>
      <c r="S4491" s="49"/>
      <c r="T4491" s="49"/>
      <c r="U4491" s="49"/>
      <c r="V4491" s="49"/>
      <c r="W4491" s="49"/>
      <c r="X4491" s="49"/>
      <c r="Y4491" s="49"/>
      <c r="Z4491" s="49"/>
      <c r="AA4491" s="49"/>
      <c r="AB4491" s="49"/>
      <c r="AC4491" s="49"/>
      <c r="AD4491" s="49"/>
      <c r="AE4491" s="49"/>
      <c r="AF4491" s="49"/>
      <c r="AG4491" s="49"/>
      <c r="AH4491" s="49"/>
      <c r="AI4491" s="49"/>
      <c r="AJ4491" s="49"/>
      <c r="AK4491" s="49"/>
      <c r="AL4491" s="49"/>
      <c r="AM4491" s="49"/>
      <c r="AN4491" s="49"/>
      <c r="AP4491" s="49"/>
      <c r="AQ4491" s="49"/>
      <c r="AR4491" s="49"/>
      <c r="AS4491" s="49"/>
      <c r="AT4491" s="49"/>
    </row>
    <row r="4492">
      <c r="A4492" s="59"/>
      <c r="B4492" s="49"/>
      <c r="C4492" s="50"/>
      <c r="D4492" s="49"/>
      <c r="E4492" s="49"/>
      <c r="F4492" s="49"/>
      <c r="G4492" s="49"/>
      <c r="H4492" s="50"/>
      <c r="I4492" s="50"/>
      <c r="J4492" s="49"/>
      <c r="K4492" s="49"/>
      <c r="L4492" s="49"/>
      <c r="M4492" s="49"/>
      <c r="N4492" s="50"/>
      <c r="O4492" s="49"/>
      <c r="P4492" s="49"/>
      <c r="Q4492" s="49"/>
      <c r="R4492" s="49"/>
      <c r="S4492" s="49"/>
      <c r="T4492" s="49"/>
      <c r="U4492" s="49"/>
      <c r="V4492" s="49"/>
      <c r="W4492" s="49"/>
      <c r="X4492" s="49"/>
      <c r="Y4492" s="49"/>
      <c r="Z4492" s="49"/>
      <c r="AA4492" s="49"/>
      <c r="AB4492" s="49"/>
      <c r="AC4492" s="49"/>
      <c r="AD4492" s="49"/>
      <c r="AE4492" s="49"/>
      <c r="AF4492" s="49"/>
      <c r="AG4492" s="49"/>
      <c r="AH4492" s="49"/>
      <c r="AI4492" s="49"/>
      <c r="AJ4492" s="49"/>
      <c r="AK4492" s="49"/>
      <c r="AL4492" s="49"/>
      <c r="AM4492" s="49"/>
      <c r="AN4492" s="49"/>
      <c r="AP4492" s="49"/>
      <c r="AQ4492" s="49"/>
      <c r="AR4492" s="49"/>
      <c r="AS4492" s="49"/>
      <c r="AT4492" s="49"/>
    </row>
    <row r="4493">
      <c r="A4493" s="59"/>
      <c r="B4493" s="49"/>
      <c r="C4493" s="50"/>
      <c r="D4493" s="49"/>
      <c r="E4493" s="49"/>
      <c r="F4493" s="49"/>
      <c r="G4493" s="49"/>
      <c r="H4493" s="50"/>
      <c r="I4493" s="50"/>
      <c r="J4493" s="49"/>
      <c r="K4493" s="49"/>
      <c r="L4493" s="49"/>
      <c r="M4493" s="49"/>
      <c r="N4493" s="50"/>
      <c r="O4493" s="49"/>
      <c r="P4493" s="49"/>
      <c r="Q4493" s="49"/>
      <c r="R4493" s="49"/>
      <c r="S4493" s="49"/>
      <c r="T4493" s="49"/>
      <c r="U4493" s="49"/>
      <c r="V4493" s="49"/>
      <c r="W4493" s="49"/>
      <c r="X4493" s="49"/>
      <c r="Y4493" s="49"/>
      <c r="Z4493" s="49"/>
      <c r="AA4493" s="49"/>
      <c r="AB4493" s="49"/>
      <c r="AC4493" s="49"/>
      <c r="AD4493" s="49"/>
      <c r="AE4493" s="49"/>
      <c r="AF4493" s="49"/>
      <c r="AG4493" s="49"/>
      <c r="AH4493" s="49"/>
      <c r="AI4493" s="49"/>
      <c r="AJ4493" s="49"/>
      <c r="AK4493" s="49"/>
      <c r="AL4493" s="49"/>
      <c r="AM4493" s="49"/>
      <c r="AN4493" s="49"/>
      <c r="AP4493" s="49"/>
      <c r="AQ4493" s="49"/>
      <c r="AR4493" s="49"/>
      <c r="AS4493" s="49"/>
      <c r="AT4493" s="49"/>
    </row>
    <row r="4494">
      <c r="A4494" s="59"/>
      <c r="B4494" s="49"/>
      <c r="C4494" s="50"/>
      <c r="D4494" s="49"/>
      <c r="E4494" s="49"/>
      <c r="F4494" s="49"/>
      <c r="G4494" s="49"/>
      <c r="H4494" s="50"/>
      <c r="I4494" s="50"/>
      <c r="J4494" s="49"/>
      <c r="K4494" s="49"/>
      <c r="L4494" s="49"/>
      <c r="M4494" s="49"/>
      <c r="N4494" s="50"/>
      <c r="O4494" s="49"/>
      <c r="P4494" s="49"/>
      <c r="Q4494" s="49"/>
      <c r="R4494" s="49"/>
      <c r="S4494" s="49"/>
      <c r="T4494" s="49"/>
      <c r="U4494" s="49"/>
      <c r="V4494" s="49"/>
      <c r="W4494" s="49"/>
      <c r="X4494" s="49"/>
      <c r="Y4494" s="49"/>
      <c r="Z4494" s="49"/>
      <c r="AA4494" s="49"/>
      <c r="AB4494" s="49"/>
      <c r="AC4494" s="49"/>
      <c r="AD4494" s="49"/>
      <c r="AE4494" s="49"/>
      <c r="AF4494" s="49"/>
      <c r="AG4494" s="49"/>
      <c r="AH4494" s="49"/>
      <c r="AI4494" s="49"/>
      <c r="AJ4494" s="49"/>
      <c r="AK4494" s="49"/>
      <c r="AL4494" s="49"/>
      <c r="AM4494" s="49"/>
      <c r="AN4494" s="49"/>
      <c r="AP4494" s="49"/>
      <c r="AQ4494" s="49"/>
      <c r="AR4494" s="49"/>
      <c r="AS4494" s="49"/>
      <c r="AT4494" s="49"/>
    </row>
    <row r="4495">
      <c r="A4495" s="59"/>
      <c r="B4495" s="49"/>
      <c r="C4495" s="50"/>
      <c r="D4495" s="49"/>
      <c r="E4495" s="49"/>
      <c r="F4495" s="49"/>
      <c r="G4495" s="49"/>
      <c r="H4495" s="50"/>
      <c r="I4495" s="50"/>
      <c r="J4495" s="49"/>
      <c r="K4495" s="49"/>
      <c r="L4495" s="49"/>
      <c r="M4495" s="49"/>
      <c r="N4495" s="50"/>
      <c r="O4495" s="49"/>
      <c r="P4495" s="49"/>
      <c r="Q4495" s="49"/>
      <c r="R4495" s="49"/>
      <c r="S4495" s="49"/>
      <c r="T4495" s="49"/>
      <c r="U4495" s="49"/>
      <c r="V4495" s="49"/>
      <c r="W4495" s="49"/>
      <c r="X4495" s="49"/>
      <c r="Y4495" s="49"/>
      <c r="Z4495" s="49"/>
      <c r="AA4495" s="49"/>
      <c r="AB4495" s="49"/>
      <c r="AC4495" s="49"/>
      <c r="AD4495" s="49"/>
      <c r="AE4495" s="49"/>
      <c r="AF4495" s="49"/>
      <c r="AG4495" s="49"/>
      <c r="AH4495" s="49"/>
      <c r="AI4495" s="49"/>
      <c r="AJ4495" s="49"/>
      <c r="AK4495" s="49"/>
      <c r="AL4495" s="49"/>
      <c r="AM4495" s="49"/>
      <c r="AN4495" s="49"/>
      <c r="AP4495" s="49"/>
      <c r="AQ4495" s="49"/>
      <c r="AR4495" s="49"/>
      <c r="AS4495" s="49"/>
      <c r="AT4495" s="49"/>
    </row>
    <row r="4496">
      <c r="A4496" s="59"/>
      <c r="B4496" s="49"/>
      <c r="C4496" s="50"/>
      <c r="D4496" s="49"/>
      <c r="E4496" s="49"/>
      <c r="F4496" s="49"/>
      <c r="G4496" s="49"/>
      <c r="H4496" s="50"/>
      <c r="I4496" s="50"/>
      <c r="J4496" s="49"/>
      <c r="K4496" s="49"/>
      <c r="L4496" s="49"/>
      <c r="M4496" s="49"/>
      <c r="N4496" s="50"/>
      <c r="O4496" s="49"/>
      <c r="P4496" s="49"/>
      <c r="Q4496" s="49"/>
      <c r="R4496" s="49"/>
      <c r="S4496" s="49"/>
      <c r="T4496" s="49"/>
      <c r="U4496" s="49"/>
      <c r="V4496" s="49"/>
      <c r="W4496" s="49"/>
      <c r="X4496" s="49"/>
      <c r="Y4496" s="49"/>
      <c r="Z4496" s="49"/>
      <c r="AA4496" s="49"/>
      <c r="AB4496" s="49"/>
      <c r="AC4496" s="49"/>
      <c r="AD4496" s="49"/>
      <c r="AE4496" s="49"/>
      <c r="AF4496" s="49"/>
      <c r="AG4496" s="49"/>
      <c r="AH4496" s="49"/>
      <c r="AI4496" s="49"/>
      <c r="AJ4496" s="49"/>
      <c r="AK4496" s="49"/>
      <c r="AL4496" s="49"/>
      <c r="AM4496" s="49"/>
      <c r="AN4496" s="49"/>
      <c r="AP4496" s="49"/>
      <c r="AQ4496" s="49"/>
      <c r="AR4496" s="49"/>
      <c r="AS4496" s="49"/>
      <c r="AT4496" s="49"/>
    </row>
    <row r="4497">
      <c r="A4497" s="59"/>
      <c r="B4497" s="49"/>
      <c r="C4497" s="50"/>
      <c r="D4497" s="49"/>
      <c r="E4497" s="49"/>
      <c r="F4497" s="49"/>
      <c r="G4497" s="49"/>
      <c r="H4497" s="50"/>
      <c r="I4497" s="50"/>
      <c r="J4497" s="49"/>
      <c r="K4497" s="49"/>
      <c r="L4497" s="49"/>
      <c r="M4497" s="49"/>
      <c r="N4497" s="50"/>
      <c r="O4497" s="49"/>
      <c r="P4497" s="49"/>
      <c r="Q4497" s="49"/>
      <c r="R4497" s="49"/>
      <c r="S4497" s="49"/>
      <c r="T4497" s="49"/>
      <c r="U4497" s="49"/>
      <c r="V4497" s="49"/>
      <c r="W4497" s="49"/>
      <c r="X4497" s="49"/>
      <c r="Y4497" s="49"/>
      <c r="Z4497" s="49"/>
      <c r="AA4497" s="49"/>
      <c r="AB4497" s="49"/>
      <c r="AC4497" s="49"/>
      <c r="AD4497" s="49"/>
      <c r="AE4497" s="49"/>
      <c r="AF4497" s="49"/>
      <c r="AG4497" s="49"/>
      <c r="AH4497" s="49"/>
      <c r="AI4497" s="49"/>
      <c r="AJ4497" s="49"/>
      <c r="AK4497" s="49"/>
      <c r="AL4497" s="49"/>
      <c r="AM4497" s="49"/>
      <c r="AN4497" s="49"/>
      <c r="AP4497" s="49"/>
      <c r="AQ4497" s="49"/>
      <c r="AR4497" s="49"/>
      <c r="AS4497" s="49"/>
      <c r="AT4497" s="49"/>
    </row>
    <row r="4498">
      <c r="A4498" s="59"/>
      <c r="B4498" s="49"/>
      <c r="C4498" s="50"/>
      <c r="D4498" s="49"/>
      <c r="E4498" s="49"/>
      <c r="F4498" s="49"/>
      <c r="G4498" s="49"/>
      <c r="H4498" s="50"/>
      <c r="I4498" s="50"/>
      <c r="J4498" s="49"/>
      <c r="K4498" s="49"/>
      <c r="L4498" s="49"/>
      <c r="M4498" s="49"/>
      <c r="N4498" s="50"/>
      <c r="O4498" s="49"/>
      <c r="P4498" s="49"/>
      <c r="Q4498" s="49"/>
      <c r="R4498" s="49"/>
      <c r="S4498" s="49"/>
      <c r="T4498" s="49"/>
      <c r="U4498" s="49"/>
      <c r="V4498" s="49"/>
      <c r="W4498" s="49"/>
      <c r="X4498" s="49"/>
      <c r="Y4498" s="49"/>
      <c r="Z4498" s="49"/>
      <c r="AA4498" s="49"/>
      <c r="AB4498" s="49"/>
      <c r="AC4498" s="49"/>
      <c r="AD4498" s="49"/>
      <c r="AE4498" s="49"/>
      <c r="AF4498" s="49"/>
      <c r="AG4498" s="49"/>
      <c r="AH4498" s="49"/>
      <c r="AI4498" s="49"/>
      <c r="AJ4498" s="49"/>
      <c r="AK4498" s="49"/>
      <c r="AL4498" s="49"/>
      <c r="AM4498" s="49"/>
      <c r="AN4498" s="49"/>
      <c r="AP4498" s="49"/>
      <c r="AQ4498" s="49"/>
      <c r="AR4498" s="49"/>
      <c r="AS4498" s="49"/>
      <c r="AT4498" s="49"/>
    </row>
    <row r="4499">
      <c r="A4499" s="59"/>
      <c r="B4499" s="49"/>
      <c r="C4499" s="50"/>
      <c r="D4499" s="49"/>
      <c r="E4499" s="49"/>
      <c r="F4499" s="49"/>
      <c r="G4499" s="49"/>
      <c r="H4499" s="50"/>
      <c r="I4499" s="50"/>
      <c r="J4499" s="49"/>
      <c r="K4499" s="49"/>
      <c r="L4499" s="49"/>
      <c r="M4499" s="49"/>
      <c r="N4499" s="50"/>
      <c r="O4499" s="49"/>
      <c r="P4499" s="49"/>
      <c r="Q4499" s="49"/>
      <c r="R4499" s="49"/>
      <c r="S4499" s="49"/>
      <c r="T4499" s="49"/>
      <c r="U4499" s="49"/>
      <c r="V4499" s="49"/>
      <c r="W4499" s="49"/>
      <c r="X4499" s="49"/>
      <c r="Y4499" s="49"/>
      <c r="Z4499" s="49"/>
      <c r="AA4499" s="49"/>
      <c r="AB4499" s="49"/>
      <c r="AC4499" s="49"/>
      <c r="AD4499" s="49"/>
      <c r="AE4499" s="49"/>
      <c r="AF4499" s="49"/>
      <c r="AG4499" s="49"/>
      <c r="AH4499" s="49"/>
      <c r="AI4499" s="49"/>
      <c r="AJ4499" s="49"/>
      <c r="AK4499" s="49"/>
      <c r="AL4499" s="49"/>
      <c r="AM4499" s="49"/>
      <c r="AN4499" s="49"/>
      <c r="AP4499" s="49"/>
      <c r="AQ4499" s="49"/>
      <c r="AR4499" s="49"/>
      <c r="AS4499" s="49"/>
      <c r="AT4499" s="49"/>
    </row>
    <row r="4500">
      <c r="A4500" s="59"/>
      <c r="B4500" s="49"/>
      <c r="C4500" s="50"/>
      <c r="D4500" s="49"/>
      <c r="E4500" s="49"/>
      <c r="F4500" s="49"/>
      <c r="G4500" s="49"/>
      <c r="H4500" s="50"/>
      <c r="I4500" s="50"/>
      <c r="J4500" s="49"/>
      <c r="K4500" s="49"/>
      <c r="L4500" s="49"/>
      <c r="M4500" s="49"/>
      <c r="N4500" s="50"/>
      <c r="O4500" s="49"/>
      <c r="P4500" s="49"/>
      <c r="Q4500" s="49"/>
      <c r="R4500" s="49"/>
      <c r="S4500" s="49"/>
      <c r="T4500" s="49"/>
      <c r="U4500" s="49"/>
      <c r="V4500" s="49"/>
      <c r="W4500" s="49"/>
      <c r="X4500" s="49"/>
      <c r="Y4500" s="49"/>
      <c r="Z4500" s="49"/>
      <c r="AA4500" s="49"/>
      <c r="AB4500" s="49"/>
      <c r="AC4500" s="49"/>
      <c r="AD4500" s="49"/>
      <c r="AE4500" s="49"/>
      <c r="AF4500" s="49"/>
      <c r="AG4500" s="49"/>
      <c r="AH4500" s="49"/>
      <c r="AI4500" s="49"/>
      <c r="AJ4500" s="49"/>
      <c r="AK4500" s="49"/>
      <c r="AL4500" s="49"/>
      <c r="AM4500" s="49"/>
      <c r="AN4500" s="49"/>
      <c r="AP4500" s="49"/>
      <c r="AQ4500" s="49"/>
      <c r="AR4500" s="49"/>
      <c r="AS4500" s="49"/>
      <c r="AT4500" s="49"/>
    </row>
    <row r="4501">
      <c r="A4501" s="59"/>
      <c r="B4501" s="49"/>
      <c r="C4501" s="50"/>
      <c r="D4501" s="49"/>
      <c r="E4501" s="49"/>
      <c r="F4501" s="49"/>
      <c r="G4501" s="49"/>
      <c r="H4501" s="50"/>
      <c r="I4501" s="50"/>
      <c r="J4501" s="49"/>
      <c r="K4501" s="49"/>
      <c r="L4501" s="49"/>
      <c r="M4501" s="49"/>
      <c r="N4501" s="50"/>
      <c r="O4501" s="49"/>
      <c r="P4501" s="49"/>
      <c r="Q4501" s="49"/>
      <c r="R4501" s="49"/>
      <c r="S4501" s="49"/>
      <c r="T4501" s="49"/>
      <c r="U4501" s="49"/>
      <c r="V4501" s="49"/>
      <c r="W4501" s="49"/>
      <c r="X4501" s="49"/>
      <c r="Y4501" s="49"/>
      <c r="Z4501" s="49"/>
      <c r="AA4501" s="49"/>
      <c r="AB4501" s="49"/>
      <c r="AC4501" s="49"/>
      <c r="AD4501" s="49"/>
      <c r="AE4501" s="49"/>
      <c r="AF4501" s="49"/>
      <c r="AG4501" s="49"/>
      <c r="AH4501" s="49"/>
      <c r="AI4501" s="49"/>
      <c r="AJ4501" s="49"/>
      <c r="AK4501" s="49"/>
      <c r="AL4501" s="49"/>
      <c r="AM4501" s="49"/>
      <c r="AN4501" s="49"/>
      <c r="AP4501" s="49"/>
      <c r="AQ4501" s="49"/>
      <c r="AR4501" s="49"/>
      <c r="AS4501" s="49"/>
      <c r="AT4501" s="49"/>
    </row>
    <row r="4502">
      <c r="A4502" s="59"/>
      <c r="B4502" s="49"/>
      <c r="C4502" s="50"/>
      <c r="D4502" s="49"/>
      <c r="E4502" s="49"/>
      <c r="F4502" s="49"/>
      <c r="G4502" s="49"/>
      <c r="H4502" s="50"/>
      <c r="I4502" s="50"/>
      <c r="J4502" s="49"/>
      <c r="K4502" s="49"/>
      <c r="L4502" s="49"/>
      <c r="M4502" s="49"/>
      <c r="N4502" s="50"/>
      <c r="O4502" s="49"/>
      <c r="P4502" s="49"/>
      <c r="Q4502" s="49"/>
      <c r="R4502" s="49"/>
      <c r="S4502" s="49"/>
      <c r="T4502" s="49"/>
      <c r="U4502" s="49"/>
      <c r="V4502" s="49"/>
      <c r="W4502" s="49"/>
      <c r="X4502" s="49"/>
      <c r="Y4502" s="49"/>
      <c r="Z4502" s="49"/>
      <c r="AA4502" s="49"/>
      <c r="AB4502" s="49"/>
      <c r="AC4502" s="49"/>
      <c r="AD4502" s="49"/>
      <c r="AE4502" s="49"/>
      <c r="AF4502" s="49"/>
      <c r="AG4502" s="49"/>
      <c r="AH4502" s="49"/>
      <c r="AI4502" s="49"/>
      <c r="AJ4502" s="49"/>
      <c r="AK4502" s="49"/>
      <c r="AL4502" s="49"/>
      <c r="AM4502" s="49"/>
      <c r="AN4502" s="49"/>
      <c r="AP4502" s="49"/>
      <c r="AQ4502" s="49"/>
      <c r="AR4502" s="49"/>
      <c r="AS4502" s="49"/>
      <c r="AT4502" s="49"/>
    </row>
    <row r="4503">
      <c r="A4503" s="59"/>
      <c r="B4503" s="49"/>
      <c r="C4503" s="50"/>
      <c r="D4503" s="49"/>
      <c r="E4503" s="49"/>
      <c r="F4503" s="49"/>
      <c r="G4503" s="49"/>
      <c r="H4503" s="50"/>
      <c r="I4503" s="50"/>
      <c r="J4503" s="49"/>
      <c r="K4503" s="49"/>
      <c r="L4503" s="49"/>
      <c r="M4503" s="49"/>
      <c r="N4503" s="50"/>
      <c r="O4503" s="49"/>
      <c r="P4503" s="49"/>
      <c r="Q4503" s="49"/>
      <c r="R4503" s="49"/>
      <c r="S4503" s="49"/>
      <c r="T4503" s="49"/>
      <c r="U4503" s="49"/>
      <c r="V4503" s="49"/>
      <c r="W4503" s="49"/>
      <c r="X4503" s="49"/>
      <c r="Y4503" s="49"/>
      <c r="Z4503" s="49"/>
      <c r="AA4503" s="49"/>
      <c r="AB4503" s="49"/>
      <c r="AC4503" s="49"/>
      <c r="AD4503" s="49"/>
      <c r="AE4503" s="49"/>
      <c r="AF4503" s="49"/>
      <c r="AG4503" s="49"/>
      <c r="AH4503" s="49"/>
      <c r="AI4503" s="49"/>
      <c r="AJ4503" s="49"/>
      <c r="AK4503" s="49"/>
      <c r="AL4503" s="49"/>
      <c r="AM4503" s="49"/>
      <c r="AN4503" s="49"/>
      <c r="AP4503" s="49"/>
      <c r="AQ4503" s="49"/>
      <c r="AR4503" s="49"/>
      <c r="AS4503" s="49"/>
      <c r="AT4503" s="49"/>
    </row>
    <row r="4504">
      <c r="A4504" s="59"/>
      <c r="B4504" s="49"/>
      <c r="C4504" s="50"/>
      <c r="D4504" s="49"/>
      <c r="E4504" s="49"/>
      <c r="F4504" s="49"/>
      <c r="G4504" s="49"/>
      <c r="H4504" s="50"/>
      <c r="I4504" s="50"/>
      <c r="J4504" s="49"/>
      <c r="K4504" s="49"/>
      <c r="L4504" s="49"/>
      <c r="M4504" s="49"/>
      <c r="N4504" s="50"/>
      <c r="O4504" s="49"/>
      <c r="P4504" s="49"/>
      <c r="Q4504" s="49"/>
      <c r="R4504" s="49"/>
      <c r="S4504" s="49"/>
      <c r="T4504" s="49"/>
      <c r="U4504" s="49"/>
      <c r="V4504" s="49"/>
      <c r="W4504" s="49"/>
      <c r="X4504" s="49"/>
      <c r="Y4504" s="49"/>
      <c r="Z4504" s="49"/>
      <c r="AA4504" s="49"/>
      <c r="AB4504" s="49"/>
      <c r="AC4504" s="49"/>
      <c r="AD4504" s="49"/>
      <c r="AE4504" s="49"/>
      <c r="AF4504" s="49"/>
      <c r="AG4504" s="49"/>
      <c r="AH4504" s="49"/>
      <c r="AI4504" s="49"/>
      <c r="AJ4504" s="49"/>
      <c r="AK4504" s="49"/>
      <c r="AL4504" s="49"/>
      <c r="AM4504" s="49"/>
      <c r="AN4504" s="49"/>
      <c r="AP4504" s="49"/>
      <c r="AQ4504" s="49"/>
      <c r="AR4504" s="49"/>
      <c r="AS4504" s="49"/>
      <c r="AT4504" s="49"/>
    </row>
    <row r="4505">
      <c r="A4505" s="59"/>
      <c r="B4505" s="49"/>
      <c r="C4505" s="50"/>
      <c r="D4505" s="49"/>
      <c r="E4505" s="49"/>
      <c r="F4505" s="49"/>
      <c r="G4505" s="49"/>
      <c r="H4505" s="50"/>
      <c r="I4505" s="50"/>
      <c r="J4505" s="49"/>
      <c r="K4505" s="49"/>
      <c r="L4505" s="49"/>
      <c r="M4505" s="49"/>
      <c r="N4505" s="50"/>
      <c r="O4505" s="49"/>
      <c r="P4505" s="49"/>
      <c r="Q4505" s="49"/>
      <c r="R4505" s="49"/>
      <c r="S4505" s="49"/>
      <c r="T4505" s="49"/>
      <c r="U4505" s="49"/>
      <c r="V4505" s="49"/>
      <c r="W4505" s="49"/>
      <c r="X4505" s="49"/>
      <c r="Y4505" s="49"/>
      <c r="Z4505" s="49"/>
      <c r="AA4505" s="49"/>
      <c r="AB4505" s="49"/>
      <c r="AC4505" s="49"/>
      <c r="AD4505" s="49"/>
      <c r="AE4505" s="49"/>
      <c r="AF4505" s="49"/>
      <c r="AG4505" s="49"/>
      <c r="AH4505" s="49"/>
      <c r="AI4505" s="49"/>
      <c r="AJ4505" s="49"/>
      <c r="AK4505" s="49"/>
      <c r="AL4505" s="49"/>
      <c r="AM4505" s="49"/>
      <c r="AN4505" s="49"/>
      <c r="AP4505" s="49"/>
      <c r="AQ4505" s="49"/>
      <c r="AR4505" s="49"/>
      <c r="AS4505" s="49"/>
      <c r="AT4505" s="49"/>
    </row>
    <row r="4506">
      <c r="A4506" s="59"/>
      <c r="B4506" s="49"/>
      <c r="C4506" s="50"/>
      <c r="D4506" s="49"/>
      <c r="E4506" s="49"/>
      <c r="F4506" s="49"/>
      <c r="G4506" s="49"/>
      <c r="H4506" s="50"/>
      <c r="I4506" s="50"/>
      <c r="J4506" s="49"/>
      <c r="K4506" s="49"/>
      <c r="L4506" s="49"/>
      <c r="M4506" s="49"/>
      <c r="N4506" s="50"/>
      <c r="O4506" s="49"/>
      <c r="P4506" s="49"/>
      <c r="Q4506" s="49"/>
      <c r="R4506" s="49"/>
      <c r="S4506" s="49"/>
      <c r="T4506" s="49"/>
      <c r="U4506" s="49"/>
      <c r="V4506" s="49"/>
      <c r="W4506" s="49"/>
      <c r="X4506" s="49"/>
      <c r="Y4506" s="49"/>
      <c r="Z4506" s="49"/>
      <c r="AA4506" s="49"/>
      <c r="AB4506" s="49"/>
      <c r="AC4506" s="49"/>
      <c r="AD4506" s="49"/>
      <c r="AE4506" s="49"/>
      <c r="AF4506" s="49"/>
      <c r="AG4506" s="49"/>
      <c r="AH4506" s="49"/>
      <c r="AI4506" s="49"/>
      <c r="AJ4506" s="49"/>
      <c r="AK4506" s="49"/>
      <c r="AL4506" s="49"/>
      <c r="AM4506" s="49"/>
      <c r="AN4506" s="49"/>
      <c r="AP4506" s="49"/>
      <c r="AQ4506" s="49"/>
      <c r="AR4506" s="49"/>
      <c r="AS4506" s="49"/>
      <c r="AT4506" s="49"/>
    </row>
    <row r="4507">
      <c r="A4507" s="59"/>
      <c r="B4507" s="49"/>
      <c r="C4507" s="50"/>
      <c r="D4507" s="49"/>
      <c r="E4507" s="49"/>
      <c r="F4507" s="49"/>
      <c r="G4507" s="49"/>
      <c r="H4507" s="50"/>
      <c r="I4507" s="50"/>
      <c r="J4507" s="49"/>
      <c r="K4507" s="49"/>
      <c r="L4507" s="49"/>
      <c r="M4507" s="49"/>
      <c r="N4507" s="50"/>
      <c r="O4507" s="49"/>
      <c r="P4507" s="49"/>
      <c r="Q4507" s="49"/>
      <c r="R4507" s="49"/>
      <c r="S4507" s="49"/>
      <c r="T4507" s="49"/>
      <c r="U4507" s="49"/>
      <c r="V4507" s="49"/>
      <c r="W4507" s="49"/>
      <c r="X4507" s="49"/>
      <c r="Y4507" s="49"/>
      <c r="Z4507" s="49"/>
      <c r="AA4507" s="49"/>
      <c r="AB4507" s="49"/>
      <c r="AC4507" s="49"/>
      <c r="AD4507" s="49"/>
      <c r="AE4507" s="49"/>
      <c r="AF4507" s="49"/>
      <c r="AG4507" s="49"/>
      <c r="AH4507" s="49"/>
      <c r="AI4507" s="49"/>
      <c r="AJ4507" s="49"/>
      <c r="AK4507" s="49"/>
      <c r="AL4507" s="49"/>
      <c r="AM4507" s="49"/>
      <c r="AN4507" s="49"/>
      <c r="AP4507" s="49"/>
      <c r="AQ4507" s="49"/>
      <c r="AR4507" s="49"/>
      <c r="AS4507" s="49"/>
      <c r="AT4507" s="49"/>
    </row>
    <row r="4508">
      <c r="A4508" s="59"/>
      <c r="B4508" s="49"/>
      <c r="C4508" s="50"/>
      <c r="D4508" s="49"/>
      <c r="E4508" s="49"/>
      <c r="F4508" s="49"/>
      <c r="G4508" s="49"/>
      <c r="H4508" s="50"/>
      <c r="I4508" s="50"/>
      <c r="J4508" s="49"/>
      <c r="K4508" s="49"/>
      <c r="L4508" s="49"/>
      <c r="M4508" s="49"/>
      <c r="N4508" s="50"/>
      <c r="O4508" s="49"/>
      <c r="P4508" s="49"/>
      <c r="Q4508" s="49"/>
      <c r="R4508" s="49"/>
      <c r="S4508" s="49"/>
      <c r="T4508" s="49"/>
      <c r="U4508" s="49"/>
      <c r="V4508" s="49"/>
      <c r="W4508" s="49"/>
      <c r="X4508" s="49"/>
      <c r="Y4508" s="49"/>
      <c r="Z4508" s="49"/>
      <c r="AA4508" s="49"/>
      <c r="AB4508" s="49"/>
      <c r="AC4508" s="49"/>
      <c r="AD4508" s="49"/>
      <c r="AE4508" s="49"/>
      <c r="AF4508" s="49"/>
      <c r="AG4508" s="49"/>
      <c r="AH4508" s="49"/>
      <c r="AI4508" s="49"/>
      <c r="AJ4508" s="49"/>
      <c r="AK4508" s="49"/>
      <c r="AL4508" s="49"/>
      <c r="AM4508" s="49"/>
      <c r="AN4508" s="49"/>
      <c r="AP4508" s="49"/>
      <c r="AQ4508" s="49"/>
      <c r="AR4508" s="49"/>
      <c r="AS4508" s="49"/>
      <c r="AT4508" s="49"/>
    </row>
    <row r="4509">
      <c r="A4509" s="59"/>
      <c r="B4509" s="49"/>
      <c r="C4509" s="50"/>
      <c r="D4509" s="49"/>
      <c r="E4509" s="49"/>
      <c r="F4509" s="49"/>
      <c r="G4509" s="49"/>
      <c r="H4509" s="50"/>
      <c r="I4509" s="50"/>
      <c r="J4509" s="49"/>
      <c r="K4509" s="49"/>
      <c r="L4509" s="49"/>
      <c r="M4509" s="49"/>
      <c r="N4509" s="50"/>
      <c r="O4509" s="49"/>
      <c r="P4509" s="49"/>
      <c r="Q4509" s="49"/>
      <c r="R4509" s="49"/>
      <c r="S4509" s="49"/>
      <c r="T4509" s="49"/>
      <c r="U4509" s="49"/>
      <c r="V4509" s="49"/>
      <c r="W4509" s="49"/>
      <c r="X4509" s="49"/>
      <c r="Y4509" s="49"/>
      <c r="Z4509" s="49"/>
      <c r="AA4509" s="49"/>
      <c r="AB4509" s="49"/>
      <c r="AC4509" s="49"/>
      <c r="AD4509" s="49"/>
      <c r="AE4509" s="49"/>
      <c r="AF4509" s="49"/>
      <c r="AG4509" s="49"/>
      <c r="AH4509" s="49"/>
      <c r="AI4509" s="49"/>
      <c r="AJ4509" s="49"/>
      <c r="AK4509" s="49"/>
      <c r="AL4509" s="49"/>
      <c r="AM4509" s="49"/>
      <c r="AN4509" s="49"/>
      <c r="AP4509" s="49"/>
      <c r="AQ4509" s="49"/>
      <c r="AR4509" s="49"/>
      <c r="AS4509" s="49"/>
      <c r="AT4509" s="49"/>
    </row>
    <row r="4510">
      <c r="A4510" s="59"/>
      <c r="B4510" s="49"/>
      <c r="C4510" s="50"/>
      <c r="D4510" s="49"/>
      <c r="E4510" s="49"/>
      <c r="F4510" s="49"/>
      <c r="G4510" s="49"/>
      <c r="H4510" s="50"/>
      <c r="I4510" s="50"/>
      <c r="J4510" s="49"/>
      <c r="K4510" s="49"/>
      <c r="L4510" s="49"/>
      <c r="M4510" s="49"/>
      <c r="N4510" s="50"/>
      <c r="O4510" s="49"/>
      <c r="P4510" s="49"/>
      <c r="Q4510" s="49"/>
      <c r="R4510" s="49"/>
      <c r="S4510" s="49"/>
      <c r="T4510" s="49"/>
      <c r="U4510" s="49"/>
      <c r="V4510" s="49"/>
      <c r="W4510" s="49"/>
      <c r="X4510" s="49"/>
      <c r="Y4510" s="49"/>
      <c r="Z4510" s="49"/>
      <c r="AA4510" s="49"/>
      <c r="AB4510" s="49"/>
      <c r="AC4510" s="49"/>
      <c r="AD4510" s="49"/>
      <c r="AE4510" s="49"/>
      <c r="AF4510" s="49"/>
      <c r="AG4510" s="49"/>
      <c r="AH4510" s="49"/>
      <c r="AI4510" s="49"/>
      <c r="AJ4510" s="49"/>
      <c r="AK4510" s="49"/>
      <c r="AL4510" s="49"/>
      <c r="AM4510" s="49"/>
      <c r="AN4510" s="49"/>
      <c r="AP4510" s="49"/>
      <c r="AQ4510" s="49"/>
      <c r="AR4510" s="49"/>
      <c r="AS4510" s="49"/>
      <c r="AT4510" s="49"/>
    </row>
    <row r="4511">
      <c r="A4511" s="59"/>
      <c r="B4511" s="49"/>
      <c r="C4511" s="50"/>
      <c r="D4511" s="49"/>
      <c r="E4511" s="49"/>
      <c r="F4511" s="49"/>
      <c r="G4511" s="49"/>
      <c r="H4511" s="50"/>
      <c r="I4511" s="50"/>
      <c r="J4511" s="49"/>
      <c r="K4511" s="49"/>
      <c r="L4511" s="49"/>
      <c r="M4511" s="49"/>
      <c r="N4511" s="50"/>
      <c r="O4511" s="49"/>
      <c r="P4511" s="49"/>
      <c r="Q4511" s="49"/>
      <c r="R4511" s="49"/>
      <c r="S4511" s="49"/>
      <c r="T4511" s="49"/>
      <c r="U4511" s="49"/>
      <c r="V4511" s="49"/>
      <c r="W4511" s="49"/>
      <c r="X4511" s="49"/>
      <c r="Y4511" s="49"/>
      <c r="Z4511" s="49"/>
      <c r="AA4511" s="49"/>
      <c r="AB4511" s="49"/>
      <c r="AC4511" s="49"/>
      <c r="AD4511" s="49"/>
      <c r="AE4511" s="49"/>
      <c r="AF4511" s="49"/>
      <c r="AG4511" s="49"/>
      <c r="AH4511" s="49"/>
      <c r="AI4511" s="49"/>
      <c r="AJ4511" s="49"/>
      <c r="AK4511" s="49"/>
      <c r="AL4511" s="49"/>
      <c r="AM4511" s="49"/>
      <c r="AN4511" s="49"/>
      <c r="AP4511" s="49"/>
      <c r="AQ4511" s="49"/>
      <c r="AR4511" s="49"/>
      <c r="AS4511" s="49"/>
      <c r="AT4511" s="49"/>
    </row>
    <row r="4512">
      <c r="A4512" s="59"/>
      <c r="B4512" s="49"/>
      <c r="C4512" s="50"/>
      <c r="D4512" s="49"/>
      <c r="E4512" s="49"/>
      <c r="F4512" s="49"/>
      <c r="G4512" s="49"/>
      <c r="H4512" s="50"/>
      <c r="I4512" s="50"/>
      <c r="J4512" s="49"/>
      <c r="K4512" s="49"/>
      <c r="L4512" s="49"/>
      <c r="M4512" s="49"/>
      <c r="N4512" s="50"/>
      <c r="O4512" s="49"/>
      <c r="P4512" s="49"/>
      <c r="Q4512" s="49"/>
      <c r="R4512" s="49"/>
      <c r="S4512" s="49"/>
      <c r="T4512" s="49"/>
      <c r="U4512" s="49"/>
      <c r="V4512" s="49"/>
      <c r="W4512" s="49"/>
      <c r="X4512" s="49"/>
      <c r="Y4512" s="49"/>
      <c r="Z4512" s="49"/>
      <c r="AA4512" s="49"/>
      <c r="AB4512" s="49"/>
      <c r="AC4512" s="49"/>
      <c r="AD4512" s="49"/>
      <c r="AE4512" s="49"/>
      <c r="AF4512" s="49"/>
      <c r="AG4512" s="49"/>
      <c r="AH4512" s="49"/>
      <c r="AI4512" s="49"/>
      <c r="AJ4512" s="49"/>
      <c r="AK4512" s="49"/>
      <c r="AL4512" s="49"/>
      <c r="AM4512" s="49"/>
      <c r="AN4512" s="49"/>
      <c r="AP4512" s="49"/>
      <c r="AQ4512" s="49"/>
      <c r="AR4512" s="49"/>
      <c r="AS4512" s="49"/>
      <c r="AT4512" s="49"/>
    </row>
    <row r="4513">
      <c r="A4513" s="59"/>
      <c r="B4513" s="49"/>
      <c r="C4513" s="50"/>
      <c r="D4513" s="49"/>
      <c r="E4513" s="49"/>
      <c r="F4513" s="49"/>
      <c r="G4513" s="49"/>
      <c r="H4513" s="50"/>
      <c r="I4513" s="50"/>
      <c r="J4513" s="49"/>
      <c r="K4513" s="49"/>
      <c r="L4513" s="49"/>
      <c r="M4513" s="49"/>
      <c r="N4513" s="50"/>
      <c r="O4513" s="49"/>
      <c r="P4513" s="49"/>
      <c r="Q4513" s="49"/>
      <c r="R4513" s="49"/>
      <c r="S4513" s="49"/>
      <c r="T4513" s="49"/>
      <c r="U4513" s="49"/>
      <c r="V4513" s="49"/>
      <c r="W4513" s="49"/>
      <c r="X4513" s="49"/>
      <c r="Y4513" s="49"/>
      <c r="Z4513" s="49"/>
      <c r="AA4513" s="49"/>
      <c r="AB4513" s="49"/>
      <c r="AC4513" s="49"/>
      <c r="AD4513" s="49"/>
      <c r="AE4513" s="49"/>
      <c r="AF4513" s="49"/>
      <c r="AG4513" s="49"/>
      <c r="AH4513" s="49"/>
      <c r="AI4513" s="49"/>
      <c r="AJ4513" s="49"/>
      <c r="AK4513" s="49"/>
      <c r="AL4513" s="49"/>
      <c r="AM4513" s="49"/>
      <c r="AN4513" s="49"/>
      <c r="AP4513" s="49"/>
      <c r="AQ4513" s="49"/>
      <c r="AR4513" s="49"/>
      <c r="AS4513" s="49"/>
      <c r="AT4513" s="49"/>
    </row>
    <row r="4514">
      <c r="A4514" s="59"/>
      <c r="B4514" s="49"/>
      <c r="C4514" s="50"/>
      <c r="D4514" s="49"/>
      <c r="E4514" s="49"/>
      <c r="F4514" s="49"/>
      <c r="G4514" s="49"/>
      <c r="H4514" s="50"/>
      <c r="I4514" s="50"/>
      <c r="J4514" s="49"/>
      <c r="K4514" s="49"/>
      <c r="L4514" s="49"/>
      <c r="M4514" s="49"/>
      <c r="N4514" s="50"/>
      <c r="O4514" s="49"/>
      <c r="P4514" s="49"/>
      <c r="Q4514" s="49"/>
      <c r="R4514" s="49"/>
      <c r="S4514" s="49"/>
      <c r="T4514" s="49"/>
      <c r="U4514" s="49"/>
      <c r="V4514" s="49"/>
      <c r="W4514" s="49"/>
      <c r="X4514" s="49"/>
      <c r="Y4514" s="49"/>
      <c r="Z4514" s="49"/>
      <c r="AA4514" s="49"/>
      <c r="AB4514" s="49"/>
      <c r="AC4514" s="49"/>
      <c r="AD4514" s="49"/>
      <c r="AE4514" s="49"/>
      <c r="AF4514" s="49"/>
      <c r="AG4514" s="49"/>
      <c r="AH4514" s="49"/>
      <c r="AI4514" s="49"/>
      <c r="AJ4514" s="49"/>
      <c r="AK4514" s="49"/>
      <c r="AL4514" s="49"/>
      <c r="AM4514" s="49"/>
      <c r="AN4514" s="49"/>
      <c r="AP4514" s="49"/>
      <c r="AQ4514" s="49"/>
      <c r="AR4514" s="49"/>
      <c r="AS4514" s="49"/>
      <c r="AT4514" s="49"/>
    </row>
    <row r="4515">
      <c r="A4515" s="59"/>
      <c r="B4515" s="49"/>
      <c r="C4515" s="50"/>
      <c r="D4515" s="49"/>
      <c r="E4515" s="49"/>
      <c r="F4515" s="49"/>
      <c r="G4515" s="49"/>
      <c r="H4515" s="50"/>
      <c r="I4515" s="50"/>
      <c r="J4515" s="49"/>
      <c r="K4515" s="49"/>
      <c r="L4515" s="49"/>
      <c r="M4515" s="49"/>
      <c r="N4515" s="50"/>
      <c r="O4515" s="49"/>
      <c r="P4515" s="49"/>
      <c r="Q4515" s="49"/>
      <c r="R4515" s="49"/>
      <c r="S4515" s="49"/>
      <c r="T4515" s="49"/>
      <c r="U4515" s="49"/>
      <c r="V4515" s="49"/>
      <c r="W4515" s="49"/>
      <c r="X4515" s="49"/>
      <c r="Y4515" s="49"/>
      <c r="Z4515" s="49"/>
      <c r="AA4515" s="49"/>
      <c r="AB4515" s="49"/>
      <c r="AC4515" s="49"/>
      <c r="AD4515" s="49"/>
      <c r="AE4515" s="49"/>
      <c r="AF4515" s="49"/>
      <c r="AG4515" s="49"/>
      <c r="AH4515" s="49"/>
      <c r="AI4515" s="49"/>
      <c r="AJ4515" s="49"/>
      <c r="AK4515" s="49"/>
      <c r="AL4515" s="49"/>
      <c r="AM4515" s="49"/>
      <c r="AN4515" s="49"/>
      <c r="AP4515" s="49"/>
      <c r="AQ4515" s="49"/>
      <c r="AR4515" s="49"/>
      <c r="AS4515" s="49"/>
      <c r="AT4515" s="49"/>
    </row>
    <row r="4516">
      <c r="A4516" s="59"/>
      <c r="B4516" s="49"/>
      <c r="C4516" s="50"/>
      <c r="D4516" s="49"/>
      <c r="E4516" s="49"/>
      <c r="F4516" s="49"/>
      <c r="G4516" s="49"/>
      <c r="H4516" s="50"/>
      <c r="I4516" s="50"/>
      <c r="J4516" s="49"/>
      <c r="K4516" s="49"/>
      <c r="L4516" s="49"/>
      <c r="M4516" s="49"/>
      <c r="N4516" s="50"/>
      <c r="O4516" s="49"/>
      <c r="P4516" s="49"/>
      <c r="Q4516" s="49"/>
      <c r="R4516" s="49"/>
      <c r="S4516" s="49"/>
      <c r="T4516" s="49"/>
      <c r="U4516" s="49"/>
      <c r="V4516" s="49"/>
      <c r="W4516" s="49"/>
      <c r="X4516" s="49"/>
      <c r="Y4516" s="49"/>
      <c r="Z4516" s="49"/>
      <c r="AA4516" s="49"/>
      <c r="AB4516" s="49"/>
      <c r="AC4516" s="49"/>
      <c r="AD4516" s="49"/>
      <c r="AE4516" s="49"/>
      <c r="AF4516" s="49"/>
      <c r="AG4516" s="49"/>
      <c r="AH4516" s="49"/>
      <c r="AI4516" s="49"/>
      <c r="AJ4516" s="49"/>
      <c r="AK4516" s="49"/>
      <c r="AL4516" s="49"/>
      <c r="AM4516" s="49"/>
      <c r="AN4516" s="49"/>
      <c r="AP4516" s="49"/>
      <c r="AQ4516" s="49"/>
      <c r="AR4516" s="49"/>
      <c r="AS4516" s="49"/>
      <c r="AT4516" s="49"/>
    </row>
    <row r="4517">
      <c r="A4517" s="59"/>
      <c r="B4517" s="49"/>
      <c r="C4517" s="50"/>
      <c r="D4517" s="49"/>
      <c r="E4517" s="49"/>
      <c r="F4517" s="49"/>
      <c r="G4517" s="49"/>
      <c r="H4517" s="50"/>
      <c r="I4517" s="50"/>
      <c r="J4517" s="49"/>
      <c r="K4517" s="49"/>
      <c r="L4517" s="49"/>
      <c r="M4517" s="49"/>
      <c r="N4517" s="50"/>
      <c r="O4517" s="49"/>
      <c r="P4517" s="49"/>
      <c r="Q4517" s="49"/>
      <c r="R4517" s="49"/>
      <c r="S4517" s="49"/>
      <c r="T4517" s="49"/>
      <c r="U4517" s="49"/>
      <c r="V4517" s="49"/>
      <c r="W4517" s="49"/>
      <c r="X4517" s="49"/>
      <c r="Y4517" s="49"/>
      <c r="Z4517" s="49"/>
      <c r="AA4517" s="49"/>
      <c r="AB4517" s="49"/>
      <c r="AC4517" s="49"/>
      <c r="AD4517" s="49"/>
      <c r="AE4517" s="49"/>
      <c r="AF4517" s="49"/>
      <c r="AG4517" s="49"/>
      <c r="AH4517" s="49"/>
      <c r="AI4517" s="49"/>
      <c r="AJ4517" s="49"/>
      <c r="AK4517" s="49"/>
      <c r="AL4517" s="49"/>
      <c r="AM4517" s="49"/>
      <c r="AN4517" s="49"/>
      <c r="AP4517" s="49"/>
      <c r="AQ4517" s="49"/>
      <c r="AR4517" s="49"/>
      <c r="AS4517" s="49"/>
      <c r="AT4517" s="49"/>
    </row>
    <row r="4518">
      <c r="A4518" s="59"/>
      <c r="B4518" s="49"/>
      <c r="C4518" s="50"/>
      <c r="D4518" s="49"/>
      <c r="E4518" s="49"/>
      <c r="F4518" s="49"/>
      <c r="G4518" s="49"/>
      <c r="H4518" s="50"/>
      <c r="I4518" s="50"/>
      <c r="J4518" s="49"/>
      <c r="K4518" s="49"/>
      <c r="L4518" s="49"/>
      <c r="M4518" s="49"/>
      <c r="N4518" s="50"/>
      <c r="O4518" s="49"/>
      <c r="P4518" s="49"/>
      <c r="Q4518" s="49"/>
      <c r="R4518" s="49"/>
      <c r="S4518" s="49"/>
      <c r="T4518" s="49"/>
      <c r="U4518" s="49"/>
      <c r="V4518" s="49"/>
      <c r="W4518" s="49"/>
      <c r="X4518" s="49"/>
      <c r="Y4518" s="49"/>
      <c r="Z4518" s="49"/>
      <c r="AA4518" s="49"/>
      <c r="AB4518" s="49"/>
      <c r="AC4518" s="49"/>
      <c r="AD4518" s="49"/>
      <c r="AE4518" s="49"/>
      <c r="AF4518" s="49"/>
      <c r="AG4518" s="49"/>
      <c r="AH4518" s="49"/>
      <c r="AI4518" s="49"/>
      <c r="AJ4518" s="49"/>
      <c r="AK4518" s="49"/>
      <c r="AL4518" s="49"/>
      <c r="AM4518" s="49"/>
      <c r="AN4518" s="49"/>
      <c r="AP4518" s="49"/>
      <c r="AQ4518" s="49"/>
      <c r="AR4518" s="49"/>
      <c r="AS4518" s="49"/>
      <c r="AT4518" s="49"/>
    </row>
    <row r="4519">
      <c r="A4519" s="59"/>
      <c r="B4519" s="49"/>
      <c r="C4519" s="50"/>
      <c r="D4519" s="49"/>
      <c r="E4519" s="49"/>
      <c r="F4519" s="49"/>
      <c r="G4519" s="49"/>
      <c r="H4519" s="50"/>
      <c r="I4519" s="50"/>
      <c r="J4519" s="49"/>
      <c r="K4519" s="49"/>
      <c r="L4519" s="49"/>
      <c r="M4519" s="49"/>
      <c r="N4519" s="50"/>
      <c r="O4519" s="49"/>
      <c r="P4519" s="49"/>
      <c r="Q4519" s="49"/>
      <c r="R4519" s="49"/>
      <c r="S4519" s="49"/>
      <c r="T4519" s="49"/>
      <c r="U4519" s="49"/>
      <c r="V4519" s="49"/>
      <c r="W4519" s="49"/>
      <c r="X4519" s="49"/>
      <c r="Y4519" s="49"/>
      <c r="Z4519" s="49"/>
      <c r="AA4519" s="49"/>
      <c r="AB4519" s="49"/>
      <c r="AC4519" s="49"/>
      <c r="AD4519" s="49"/>
      <c r="AE4519" s="49"/>
      <c r="AF4519" s="49"/>
      <c r="AG4519" s="49"/>
      <c r="AH4519" s="49"/>
      <c r="AI4519" s="49"/>
      <c r="AJ4519" s="49"/>
      <c r="AK4519" s="49"/>
      <c r="AL4519" s="49"/>
      <c r="AM4519" s="49"/>
      <c r="AN4519" s="49"/>
      <c r="AP4519" s="49"/>
      <c r="AQ4519" s="49"/>
      <c r="AR4519" s="49"/>
      <c r="AS4519" s="49"/>
      <c r="AT4519" s="49"/>
    </row>
    <row r="4520">
      <c r="A4520" s="59"/>
      <c r="B4520" s="49"/>
      <c r="C4520" s="50"/>
      <c r="D4520" s="49"/>
      <c r="E4520" s="49"/>
      <c r="F4520" s="49"/>
      <c r="G4520" s="49"/>
      <c r="H4520" s="50"/>
      <c r="I4520" s="50"/>
      <c r="J4520" s="49"/>
      <c r="K4520" s="49"/>
      <c r="L4520" s="49"/>
      <c r="M4520" s="49"/>
      <c r="N4520" s="50"/>
      <c r="O4520" s="49"/>
      <c r="P4520" s="49"/>
      <c r="Q4520" s="49"/>
      <c r="R4520" s="49"/>
      <c r="S4520" s="49"/>
      <c r="T4520" s="49"/>
      <c r="U4520" s="49"/>
      <c r="V4520" s="49"/>
      <c r="W4520" s="49"/>
      <c r="X4520" s="49"/>
      <c r="Y4520" s="49"/>
      <c r="Z4520" s="49"/>
      <c r="AA4520" s="49"/>
      <c r="AB4520" s="49"/>
      <c r="AC4520" s="49"/>
      <c r="AD4520" s="49"/>
      <c r="AE4520" s="49"/>
      <c r="AF4520" s="49"/>
      <c r="AG4520" s="49"/>
      <c r="AH4520" s="49"/>
      <c r="AI4520" s="49"/>
      <c r="AJ4520" s="49"/>
      <c r="AK4520" s="49"/>
      <c r="AL4520" s="49"/>
      <c r="AM4520" s="49"/>
      <c r="AN4520" s="49"/>
      <c r="AP4520" s="49"/>
      <c r="AQ4520" s="49"/>
      <c r="AR4520" s="49"/>
      <c r="AS4520" s="49"/>
      <c r="AT4520" s="49"/>
    </row>
    <row r="4521">
      <c r="A4521" s="59"/>
      <c r="B4521" s="49"/>
      <c r="C4521" s="50"/>
      <c r="D4521" s="49"/>
      <c r="E4521" s="49"/>
      <c r="F4521" s="49"/>
      <c r="G4521" s="49"/>
      <c r="H4521" s="50"/>
      <c r="I4521" s="50"/>
      <c r="J4521" s="49"/>
      <c r="K4521" s="49"/>
      <c r="L4521" s="49"/>
      <c r="M4521" s="49"/>
      <c r="N4521" s="50"/>
      <c r="O4521" s="49"/>
      <c r="P4521" s="49"/>
      <c r="Q4521" s="49"/>
      <c r="R4521" s="49"/>
      <c r="S4521" s="49"/>
      <c r="T4521" s="49"/>
      <c r="U4521" s="49"/>
      <c r="V4521" s="49"/>
      <c r="W4521" s="49"/>
      <c r="X4521" s="49"/>
      <c r="Y4521" s="49"/>
      <c r="Z4521" s="49"/>
      <c r="AA4521" s="49"/>
      <c r="AB4521" s="49"/>
      <c r="AC4521" s="49"/>
      <c r="AD4521" s="49"/>
      <c r="AE4521" s="49"/>
      <c r="AF4521" s="49"/>
      <c r="AG4521" s="49"/>
      <c r="AH4521" s="49"/>
      <c r="AI4521" s="49"/>
      <c r="AJ4521" s="49"/>
      <c r="AK4521" s="49"/>
      <c r="AL4521" s="49"/>
      <c r="AM4521" s="49"/>
      <c r="AN4521" s="49"/>
      <c r="AP4521" s="49"/>
      <c r="AQ4521" s="49"/>
      <c r="AR4521" s="49"/>
      <c r="AS4521" s="49"/>
      <c r="AT4521" s="49"/>
    </row>
    <row r="4522">
      <c r="A4522" s="59"/>
      <c r="B4522" s="49"/>
      <c r="C4522" s="50"/>
      <c r="D4522" s="49"/>
      <c r="E4522" s="49"/>
      <c r="F4522" s="49"/>
      <c r="G4522" s="49"/>
      <c r="H4522" s="50"/>
      <c r="I4522" s="50"/>
      <c r="J4522" s="49"/>
      <c r="K4522" s="49"/>
      <c r="L4522" s="49"/>
      <c r="M4522" s="49"/>
      <c r="N4522" s="50"/>
      <c r="O4522" s="49"/>
      <c r="P4522" s="49"/>
      <c r="Q4522" s="49"/>
      <c r="R4522" s="49"/>
      <c r="S4522" s="49"/>
      <c r="T4522" s="49"/>
      <c r="U4522" s="49"/>
      <c r="V4522" s="49"/>
      <c r="W4522" s="49"/>
      <c r="X4522" s="49"/>
      <c r="Y4522" s="49"/>
      <c r="Z4522" s="49"/>
      <c r="AA4522" s="49"/>
      <c r="AB4522" s="49"/>
      <c r="AC4522" s="49"/>
      <c r="AD4522" s="49"/>
      <c r="AE4522" s="49"/>
      <c r="AF4522" s="49"/>
      <c r="AG4522" s="49"/>
      <c r="AH4522" s="49"/>
      <c r="AI4522" s="49"/>
      <c r="AJ4522" s="49"/>
      <c r="AK4522" s="49"/>
      <c r="AL4522" s="49"/>
      <c r="AM4522" s="49"/>
      <c r="AN4522" s="49"/>
      <c r="AP4522" s="49"/>
      <c r="AQ4522" s="49"/>
      <c r="AR4522" s="49"/>
      <c r="AS4522" s="49"/>
      <c r="AT4522" s="49"/>
    </row>
    <row r="4523">
      <c r="A4523" s="59"/>
      <c r="B4523" s="49"/>
      <c r="C4523" s="50"/>
      <c r="D4523" s="49"/>
      <c r="E4523" s="49"/>
      <c r="F4523" s="49"/>
      <c r="G4523" s="49"/>
      <c r="H4523" s="50"/>
      <c r="I4523" s="50"/>
      <c r="J4523" s="49"/>
      <c r="K4523" s="49"/>
      <c r="L4523" s="49"/>
      <c r="M4523" s="49"/>
      <c r="N4523" s="50"/>
      <c r="O4523" s="49"/>
      <c r="P4523" s="49"/>
      <c r="Q4523" s="49"/>
      <c r="R4523" s="49"/>
      <c r="S4523" s="49"/>
      <c r="T4523" s="49"/>
      <c r="U4523" s="49"/>
      <c r="V4523" s="49"/>
      <c r="W4523" s="49"/>
      <c r="X4523" s="49"/>
      <c r="Y4523" s="49"/>
      <c r="Z4523" s="49"/>
      <c r="AA4523" s="49"/>
      <c r="AB4523" s="49"/>
      <c r="AC4523" s="49"/>
      <c r="AD4523" s="49"/>
      <c r="AE4523" s="49"/>
      <c r="AF4523" s="49"/>
      <c r="AG4523" s="49"/>
      <c r="AH4523" s="49"/>
      <c r="AI4523" s="49"/>
      <c r="AJ4523" s="49"/>
      <c r="AK4523" s="49"/>
      <c r="AL4523" s="49"/>
      <c r="AM4523" s="49"/>
      <c r="AN4523" s="49"/>
      <c r="AP4523" s="49"/>
      <c r="AQ4523" s="49"/>
      <c r="AR4523" s="49"/>
      <c r="AS4523" s="49"/>
      <c r="AT4523" s="49"/>
    </row>
    <row r="4524">
      <c r="A4524" s="59"/>
      <c r="B4524" s="49"/>
      <c r="C4524" s="50"/>
      <c r="D4524" s="49"/>
      <c r="E4524" s="49"/>
      <c r="F4524" s="49"/>
      <c r="G4524" s="49"/>
      <c r="H4524" s="50"/>
      <c r="I4524" s="50"/>
      <c r="J4524" s="49"/>
      <c r="K4524" s="49"/>
      <c r="L4524" s="49"/>
      <c r="M4524" s="49"/>
      <c r="N4524" s="50"/>
      <c r="O4524" s="49"/>
      <c r="P4524" s="49"/>
      <c r="Q4524" s="49"/>
      <c r="R4524" s="49"/>
      <c r="S4524" s="49"/>
      <c r="T4524" s="49"/>
      <c r="U4524" s="49"/>
      <c r="V4524" s="49"/>
      <c r="W4524" s="49"/>
      <c r="X4524" s="49"/>
      <c r="Y4524" s="49"/>
      <c r="Z4524" s="49"/>
      <c r="AA4524" s="49"/>
      <c r="AB4524" s="49"/>
      <c r="AC4524" s="49"/>
      <c r="AD4524" s="49"/>
      <c r="AE4524" s="49"/>
      <c r="AF4524" s="49"/>
      <c r="AG4524" s="49"/>
      <c r="AH4524" s="49"/>
      <c r="AI4524" s="49"/>
      <c r="AJ4524" s="49"/>
      <c r="AK4524" s="49"/>
      <c r="AL4524" s="49"/>
      <c r="AM4524" s="49"/>
      <c r="AN4524" s="49"/>
      <c r="AP4524" s="49"/>
      <c r="AQ4524" s="49"/>
      <c r="AR4524" s="49"/>
      <c r="AS4524" s="49"/>
      <c r="AT4524" s="49"/>
    </row>
    <row r="4525">
      <c r="A4525" s="59"/>
      <c r="B4525" s="49"/>
      <c r="C4525" s="50"/>
      <c r="D4525" s="49"/>
      <c r="E4525" s="49"/>
      <c r="F4525" s="49"/>
      <c r="G4525" s="49"/>
      <c r="H4525" s="50"/>
      <c r="I4525" s="50"/>
      <c r="J4525" s="49"/>
      <c r="K4525" s="49"/>
      <c r="L4525" s="49"/>
      <c r="M4525" s="49"/>
      <c r="N4525" s="50"/>
      <c r="O4525" s="49"/>
      <c r="P4525" s="49"/>
      <c r="Q4525" s="49"/>
      <c r="R4525" s="49"/>
      <c r="S4525" s="49"/>
      <c r="T4525" s="49"/>
      <c r="U4525" s="49"/>
      <c r="V4525" s="49"/>
      <c r="W4525" s="49"/>
      <c r="X4525" s="49"/>
      <c r="Y4525" s="49"/>
      <c r="Z4525" s="49"/>
      <c r="AA4525" s="49"/>
      <c r="AB4525" s="49"/>
      <c r="AC4525" s="49"/>
      <c r="AD4525" s="49"/>
      <c r="AE4525" s="49"/>
      <c r="AF4525" s="49"/>
      <c r="AG4525" s="49"/>
      <c r="AH4525" s="49"/>
      <c r="AI4525" s="49"/>
      <c r="AJ4525" s="49"/>
      <c r="AK4525" s="49"/>
      <c r="AL4525" s="49"/>
      <c r="AM4525" s="49"/>
      <c r="AN4525" s="49"/>
      <c r="AP4525" s="49"/>
      <c r="AQ4525" s="49"/>
      <c r="AR4525" s="49"/>
      <c r="AS4525" s="49"/>
      <c r="AT4525" s="49"/>
    </row>
    <row r="4526">
      <c r="A4526" s="59"/>
      <c r="B4526" s="49"/>
      <c r="C4526" s="50"/>
      <c r="D4526" s="49"/>
      <c r="E4526" s="49"/>
      <c r="F4526" s="49"/>
      <c r="G4526" s="49"/>
      <c r="H4526" s="50"/>
      <c r="I4526" s="50"/>
      <c r="J4526" s="49"/>
      <c r="K4526" s="49"/>
      <c r="L4526" s="49"/>
      <c r="M4526" s="49"/>
      <c r="N4526" s="50"/>
      <c r="O4526" s="49"/>
      <c r="P4526" s="49"/>
      <c r="Q4526" s="49"/>
      <c r="R4526" s="49"/>
      <c r="S4526" s="49"/>
      <c r="T4526" s="49"/>
      <c r="U4526" s="49"/>
      <c r="V4526" s="49"/>
      <c r="W4526" s="49"/>
      <c r="X4526" s="49"/>
      <c r="Y4526" s="49"/>
      <c r="Z4526" s="49"/>
      <c r="AA4526" s="49"/>
      <c r="AB4526" s="49"/>
      <c r="AC4526" s="49"/>
      <c r="AD4526" s="49"/>
      <c r="AE4526" s="49"/>
      <c r="AF4526" s="49"/>
      <c r="AG4526" s="49"/>
      <c r="AH4526" s="49"/>
      <c r="AI4526" s="49"/>
      <c r="AJ4526" s="49"/>
      <c r="AK4526" s="49"/>
      <c r="AL4526" s="49"/>
      <c r="AM4526" s="49"/>
      <c r="AN4526" s="49"/>
      <c r="AP4526" s="49"/>
      <c r="AQ4526" s="49"/>
      <c r="AR4526" s="49"/>
      <c r="AS4526" s="49"/>
      <c r="AT4526" s="49"/>
    </row>
    <row r="4527">
      <c r="A4527" s="59"/>
      <c r="B4527" s="49"/>
      <c r="C4527" s="50"/>
      <c r="D4527" s="49"/>
      <c r="E4527" s="49"/>
      <c r="F4527" s="49"/>
      <c r="G4527" s="49"/>
      <c r="H4527" s="50"/>
      <c r="I4527" s="50"/>
      <c r="J4527" s="49"/>
      <c r="K4527" s="49"/>
      <c r="L4527" s="49"/>
      <c r="M4527" s="49"/>
      <c r="N4527" s="50"/>
      <c r="O4527" s="49"/>
      <c r="P4527" s="49"/>
      <c r="Q4527" s="49"/>
      <c r="R4527" s="49"/>
      <c r="S4527" s="49"/>
      <c r="T4527" s="49"/>
      <c r="U4527" s="49"/>
      <c r="V4527" s="49"/>
      <c r="W4527" s="49"/>
      <c r="X4527" s="49"/>
      <c r="Y4527" s="49"/>
      <c r="Z4527" s="49"/>
      <c r="AA4527" s="49"/>
      <c r="AB4527" s="49"/>
      <c r="AC4527" s="49"/>
      <c r="AD4527" s="49"/>
      <c r="AE4527" s="49"/>
      <c r="AF4527" s="49"/>
      <c r="AG4527" s="49"/>
      <c r="AH4527" s="49"/>
      <c r="AI4527" s="49"/>
      <c r="AJ4527" s="49"/>
      <c r="AK4527" s="49"/>
      <c r="AL4527" s="49"/>
      <c r="AM4527" s="49"/>
      <c r="AN4527" s="49"/>
      <c r="AP4527" s="49"/>
      <c r="AQ4527" s="49"/>
      <c r="AR4527" s="49"/>
      <c r="AS4527" s="49"/>
      <c r="AT4527" s="49"/>
    </row>
    <row r="4528">
      <c r="A4528" s="59"/>
      <c r="B4528" s="49"/>
      <c r="C4528" s="50"/>
      <c r="D4528" s="49"/>
      <c r="E4528" s="49"/>
      <c r="F4528" s="49"/>
      <c r="G4528" s="49"/>
      <c r="H4528" s="50"/>
      <c r="I4528" s="50"/>
      <c r="J4528" s="49"/>
      <c r="K4528" s="49"/>
      <c r="L4528" s="49"/>
      <c r="M4528" s="49"/>
      <c r="N4528" s="50"/>
      <c r="O4528" s="49"/>
      <c r="P4528" s="49"/>
      <c r="Q4528" s="49"/>
      <c r="R4528" s="49"/>
      <c r="S4528" s="49"/>
      <c r="T4528" s="49"/>
      <c r="U4528" s="49"/>
      <c r="V4528" s="49"/>
      <c r="W4528" s="49"/>
      <c r="X4528" s="49"/>
      <c r="Y4528" s="49"/>
      <c r="Z4528" s="49"/>
      <c r="AA4528" s="49"/>
      <c r="AB4528" s="49"/>
      <c r="AC4528" s="49"/>
      <c r="AD4528" s="49"/>
      <c r="AE4528" s="49"/>
      <c r="AF4528" s="49"/>
      <c r="AG4528" s="49"/>
      <c r="AH4528" s="49"/>
      <c r="AI4528" s="49"/>
      <c r="AJ4528" s="49"/>
      <c r="AK4528" s="49"/>
      <c r="AL4528" s="49"/>
      <c r="AM4528" s="49"/>
      <c r="AN4528" s="49"/>
      <c r="AP4528" s="49"/>
      <c r="AQ4528" s="49"/>
      <c r="AR4528" s="49"/>
      <c r="AS4528" s="49"/>
      <c r="AT4528" s="49"/>
    </row>
    <row r="4529">
      <c r="A4529" s="59"/>
      <c r="B4529" s="49"/>
      <c r="C4529" s="50"/>
      <c r="D4529" s="49"/>
      <c r="E4529" s="49"/>
      <c r="F4529" s="49"/>
      <c r="G4529" s="49"/>
      <c r="H4529" s="50"/>
      <c r="I4529" s="50"/>
      <c r="J4529" s="49"/>
      <c r="K4529" s="49"/>
      <c r="L4529" s="49"/>
      <c r="M4529" s="49"/>
      <c r="N4529" s="50"/>
      <c r="O4529" s="49"/>
      <c r="P4529" s="49"/>
      <c r="Q4529" s="49"/>
      <c r="R4529" s="49"/>
      <c r="S4529" s="49"/>
      <c r="T4529" s="49"/>
      <c r="U4529" s="49"/>
      <c r="V4529" s="49"/>
      <c r="W4529" s="49"/>
      <c r="X4529" s="49"/>
      <c r="Y4529" s="49"/>
      <c r="Z4529" s="49"/>
      <c r="AA4529" s="49"/>
      <c r="AB4529" s="49"/>
      <c r="AC4529" s="49"/>
      <c r="AD4529" s="49"/>
      <c r="AE4529" s="49"/>
      <c r="AF4529" s="49"/>
      <c r="AG4529" s="49"/>
      <c r="AH4529" s="49"/>
      <c r="AI4529" s="49"/>
      <c r="AJ4529" s="49"/>
      <c r="AK4529" s="49"/>
      <c r="AL4529" s="49"/>
      <c r="AM4529" s="49"/>
      <c r="AN4529" s="49"/>
      <c r="AP4529" s="49"/>
      <c r="AQ4529" s="49"/>
      <c r="AR4529" s="49"/>
      <c r="AS4529" s="49"/>
      <c r="AT4529" s="49"/>
    </row>
    <row r="4530">
      <c r="A4530" s="59"/>
      <c r="B4530" s="49"/>
      <c r="C4530" s="50"/>
      <c r="D4530" s="49"/>
      <c r="E4530" s="49"/>
      <c r="F4530" s="49"/>
      <c r="G4530" s="49"/>
      <c r="H4530" s="50"/>
      <c r="I4530" s="50"/>
      <c r="J4530" s="49"/>
      <c r="K4530" s="49"/>
      <c r="L4530" s="49"/>
      <c r="M4530" s="49"/>
      <c r="N4530" s="50"/>
      <c r="O4530" s="49"/>
      <c r="P4530" s="49"/>
      <c r="Q4530" s="49"/>
      <c r="R4530" s="49"/>
      <c r="S4530" s="49"/>
      <c r="T4530" s="49"/>
      <c r="U4530" s="49"/>
      <c r="V4530" s="49"/>
      <c r="W4530" s="49"/>
      <c r="X4530" s="49"/>
      <c r="Y4530" s="49"/>
      <c r="Z4530" s="49"/>
      <c r="AA4530" s="49"/>
      <c r="AB4530" s="49"/>
      <c r="AC4530" s="49"/>
      <c r="AD4530" s="49"/>
      <c r="AE4530" s="49"/>
      <c r="AF4530" s="49"/>
      <c r="AG4530" s="49"/>
      <c r="AH4530" s="49"/>
      <c r="AI4530" s="49"/>
      <c r="AJ4530" s="49"/>
      <c r="AK4530" s="49"/>
      <c r="AL4530" s="49"/>
      <c r="AM4530" s="49"/>
      <c r="AN4530" s="49"/>
      <c r="AP4530" s="49"/>
      <c r="AQ4530" s="49"/>
      <c r="AR4530" s="49"/>
      <c r="AS4530" s="49"/>
      <c r="AT4530" s="49"/>
    </row>
    <row r="4531">
      <c r="A4531" s="59"/>
      <c r="B4531" s="49"/>
      <c r="C4531" s="50"/>
      <c r="D4531" s="49"/>
      <c r="E4531" s="49"/>
      <c r="F4531" s="49"/>
      <c r="G4531" s="49"/>
      <c r="H4531" s="50"/>
      <c r="I4531" s="50"/>
      <c r="J4531" s="49"/>
      <c r="K4531" s="49"/>
      <c r="L4531" s="49"/>
      <c r="M4531" s="49"/>
      <c r="N4531" s="50"/>
      <c r="O4531" s="49"/>
      <c r="P4531" s="49"/>
      <c r="Q4531" s="49"/>
      <c r="R4531" s="49"/>
      <c r="S4531" s="49"/>
      <c r="T4531" s="49"/>
      <c r="U4531" s="49"/>
      <c r="V4531" s="49"/>
      <c r="W4531" s="49"/>
      <c r="X4531" s="49"/>
      <c r="Y4531" s="49"/>
      <c r="Z4531" s="49"/>
      <c r="AA4531" s="49"/>
      <c r="AB4531" s="49"/>
      <c r="AC4531" s="49"/>
      <c r="AD4531" s="49"/>
      <c r="AE4531" s="49"/>
      <c r="AF4531" s="49"/>
      <c r="AG4531" s="49"/>
      <c r="AH4531" s="49"/>
      <c r="AI4531" s="49"/>
      <c r="AJ4531" s="49"/>
      <c r="AK4531" s="49"/>
      <c r="AL4531" s="49"/>
      <c r="AM4531" s="49"/>
      <c r="AN4531" s="49"/>
      <c r="AP4531" s="49"/>
      <c r="AQ4531" s="49"/>
      <c r="AR4531" s="49"/>
      <c r="AS4531" s="49"/>
      <c r="AT4531" s="49"/>
    </row>
    <row r="4532">
      <c r="A4532" s="59"/>
      <c r="B4532" s="49"/>
      <c r="C4532" s="50"/>
      <c r="D4532" s="49"/>
      <c r="E4532" s="49"/>
      <c r="F4532" s="49"/>
      <c r="G4532" s="49"/>
      <c r="H4532" s="50"/>
      <c r="I4532" s="50"/>
      <c r="J4532" s="49"/>
      <c r="K4532" s="49"/>
      <c r="L4532" s="49"/>
      <c r="M4532" s="49"/>
      <c r="N4532" s="50"/>
      <c r="O4532" s="49"/>
      <c r="P4532" s="49"/>
      <c r="Q4532" s="49"/>
      <c r="R4532" s="49"/>
      <c r="S4532" s="49"/>
      <c r="T4532" s="49"/>
      <c r="U4532" s="49"/>
      <c r="V4532" s="49"/>
      <c r="W4532" s="49"/>
      <c r="X4532" s="49"/>
      <c r="Y4532" s="49"/>
      <c r="Z4532" s="49"/>
      <c r="AA4532" s="49"/>
      <c r="AB4532" s="49"/>
      <c r="AC4532" s="49"/>
      <c r="AD4532" s="49"/>
      <c r="AE4532" s="49"/>
      <c r="AF4532" s="49"/>
      <c r="AG4532" s="49"/>
      <c r="AH4532" s="49"/>
      <c r="AI4532" s="49"/>
      <c r="AJ4532" s="49"/>
      <c r="AK4532" s="49"/>
      <c r="AL4532" s="49"/>
      <c r="AM4532" s="49"/>
      <c r="AN4532" s="49"/>
      <c r="AP4532" s="49"/>
      <c r="AQ4532" s="49"/>
      <c r="AR4532" s="49"/>
      <c r="AS4532" s="49"/>
      <c r="AT4532" s="49"/>
    </row>
    <row r="4533">
      <c r="A4533" s="59"/>
      <c r="B4533" s="49"/>
      <c r="C4533" s="50"/>
      <c r="D4533" s="49"/>
      <c r="E4533" s="49"/>
      <c r="F4533" s="49"/>
      <c r="G4533" s="49"/>
      <c r="H4533" s="50"/>
      <c r="I4533" s="50"/>
      <c r="J4533" s="49"/>
      <c r="K4533" s="49"/>
      <c r="L4533" s="49"/>
      <c r="M4533" s="49"/>
      <c r="N4533" s="50"/>
      <c r="O4533" s="49"/>
      <c r="P4533" s="49"/>
      <c r="Q4533" s="49"/>
      <c r="R4533" s="49"/>
      <c r="S4533" s="49"/>
      <c r="T4533" s="49"/>
      <c r="U4533" s="49"/>
      <c r="V4533" s="49"/>
      <c r="W4533" s="49"/>
      <c r="X4533" s="49"/>
      <c r="Y4533" s="49"/>
      <c r="Z4533" s="49"/>
      <c r="AA4533" s="49"/>
      <c r="AB4533" s="49"/>
      <c r="AC4533" s="49"/>
      <c r="AD4533" s="49"/>
      <c r="AE4533" s="49"/>
      <c r="AF4533" s="49"/>
      <c r="AG4533" s="49"/>
      <c r="AH4533" s="49"/>
      <c r="AI4533" s="49"/>
      <c r="AJ4533" s="49"/>
      <c r="AK4533" s="49"/>
      <c r="AL4533" s="49"/>
      <c r="AM4533" s="49"/>
      <c r="AN4533" s="49"/>
      <c r="AP4533" s="49"/>
      <c r="AQ4533" s="49"/>
      <c r="AR4533" s="49"/>
      <c r="AS4533" s="49"/>
      <c r="AT4533" s="49"/>
    </row>
    <row r="4534">
      <c r="A4534" s="59"/>
      <c r="B4534" s="49"/>
      <c r="C4534" s="50"/>
      <c r="D4534" s="49"/>
      <c r="E4534" s="49"/>
      <c r="F4534" s="49"/>
      <c r="G4534" s="49"/>
      <c r="H4534" s="50"/>
      <c r="I4534" s="50"/>
      <c r="J4534" s="49"/>
      <c r="K4534" s="49"/>
      <c r="L4534" s="49"/>
      <c r="M4534" s="49"/>
      <c r="N4534" s="50"/>
      <c r="O4534" s="49"/>
      <c r="P4534" s="49"/>
      <c r="Q4534" s="49"/>
      <c r="R4534" s="49"/>
      <c r="S4534" s="49"/>
      <c r="T4534" s="49"/>
      <c r="U4534" s="49"/>
      <c r="V4534" s="49"/>
      <c r="W4534" s="49"/>
      <c r="X4534" s="49"/>
      <c r="Y4534" s="49"/>
      <c r="Z4534" s="49"/>
      <c r="AA4534" s="49"/>
      <c r="AB4534" s="49"/>
      <c r="AC4534" s="49"/>
      <c r="AD4534" s="49"/>
      <c r="AE4534" s="49"/>
      <c r="AF4534" s="49"/>
      <c r="AG4534" s="49"/>
      <c r="AH4534" s="49"/>
      <c r="AI4534" s="49"/>
      <c r="AJ4534" s="49"/>
      <c r="AK4534" s="49"/>
      <c r="AL4534" s="49"/>
      <c r="AM4534" s="49"/>
      <c r="AN4534" s="49"/>
      <c r="AP4534" s="49"/>
      <c r="AQ4534" s="49"/>
      <c r="AR4534" s="49"/>
      <c r="AS4534" s="49"/>
      <c r="AT4534" s="49"/>
    </row>
    <row r="4535">
      <c r="A4535" s="59"/>
      <c r="B4535" s="49"/>
      <c r="C4535" s="50"/>
      <c r="D4535" s="49"/>
      <c r="E4535" s="49"/>
      <c r="F4535" s="49"/>
      <c r="G4535" s="49"/>
      <c r="H4535" s="50"/>
      <c r="I4535" s="50"/>
      <c r="J4535" s="49"/>
      <c r="K4535" s="49"/>
      <c r="L4535" s="49"/>
      <c r="M4535" s="49"/>
      <c r="N4535" s="50"/>
      <c r="O4535" s="49"/>
      <c r="P4535" s="49"/>
      <c r="Q4535" s="49"/>
      <c r="R4535" s="49"/>
      <c r="S4535" s="49"/>
      <c r="T4535" s="49"/>
      <c r="U4535" s="49"/>
      <c r="V4535" s="49"/>
      <c r="W4535" s="49"/>
      <c r="X4535" s="49"/>
      <c r="Y4535" s="49"/>
      <c r="Z4535" s="49"/>
      <c r="AA4535" s="49"/>
      <c r="AB4535" s="49"/>
      <c r="AC4535" s="49"/>
      <c r="AD4535" s="49"/>
      <c r="AE4535" s="49"/>
      <c r="AF4535" s="49"/>
      <c r="AG4535" s="49"/>
      <c r="AH4535" s="49"/>
      <c r="AI4535" s="49"/>
      <c r="AJ4535" s="49"/>
      <c r="AK4535" s="49"/>
      <c r="AL4535" s="49"/>
      <c r="AM4535" s="49"/>
      <c r="AN4535" s="49"/>
      <c r="AP4535" s="49"/>
      <c r="AQ4535" s="49"/>
      <c r="AR4535" s="49"/>
      <c r="AS4535" s="49"/>
      <c r="AT4535" s="49"/>
    </row>
    <row r="4536">
      <c r="A4536" s="59"/>
      <c r="B4536" s="49"/>
      <c r="C4536" s="50"/>
      <c r="D4536" s="49"/>
      <c r="E4536" s="49"/>
      <c r="F4536" s="49"/>
      <c r="G4536" s="49"/>
      <c r="H4536" s="50"/>
      <c r="I4536" s="50"/>
      <c r="J4536" s="49"/>
      <c r="K4536" s="49"/>
      <c r="L4536" s="49"/>
      <c r="M4536" s="49"/>
      <c r="N4536" s="50"/>
      <c r="O4536" s="49"/>
      <c r="P4536" s="49"/>
      <c r="Q4536" s="49"/>
      <c r="R4536" s="49"/>
      <c r="S4536" s="49"/>
      <c r="T4536" s="49"/>
      <c r="U4536" s="49"/>
      <c r="V4536" s="49"/>
      <c r="W4536" s="49"/>
      <c r="X4536" s="49"/>
      <c r="Y4536" s="49"/>
      <c r="Z4536" s="49"/>
      <c r="AA4536" s="49"/>
      <c r="AB4536" s="49"/>
      <c r="AC4536" s="49"/>
      <c r="AD4536" s="49"/>
      <c r="AE4536" s="49"/>
      <c r="AF4536" s="49"/>
      <c r="AG4536" s="49"/>
      <c r="AH4536" s="49"/>
      <c r="AI4536" s="49"/>
      <c r="AJ4536" s="49"/>
      <c r="AK4536" s="49"/>
      <c r="AL4536" s="49"/>
      <c r="AM4536" s="49"/>
      <c r="AN4536" s="49"/>
      <c r="AP4536" s="49"/>
      <c r="AQ4536" s="49"/>
      <c r="AR4536" s="49"/>
      <c r="AS4536" s="49"/>
      <c r="AT4536" s="49"/>
    </row>
    <row r="4537">
      <c r="A4537" s="59"/>
      <c r="B4537" s="49"/>
      <c r="C4537" s="50"/>
      <c r="D4537" s="49"/>
      <c r="E4537" s="49"/>
      <c r="F4537" s="49"/>
      <c r="G4537" s="49"/>
      <c r="H4537" s="50"/>
      <c r="I4537" s="50"/>
      <c r="J4537" s="49"/>
      <c r="K4537" s="49"/>
      <c r="L4537" s="49"/>
      <c r="M4537" s="49"/>
      <c r="N4537" s="50"/>
      <c r="O4537" s="49"/>
      <c r="P4537" s="49"/>
      <c r="Q4537" s="49"/>
      <c r="R4537" s="49"/>
      <c r="S4537" s="49"/>
      <c r="T4537" s="49"/>
      <c r="U4537" s="49"/>
      <c r="V4537" s="49"/>
      <c r="W4537" s="49"/>
      <c r="X4537" s="49"/>
      <c r="Y4537" s="49"/>
      <c r="Z4537" s="49"/>
      <c r="AA4537" s="49"/>
      <c r="AB4537" s="49"/>
      <c r="AC4537" s="49"/>
      <c r="AD4537" s="49"/>
      <c r="AE4537" s="49"/>
      <c r="AF4537" s="49"/>
      <c r="AG4537" s="49"/>
      <c r="AH4537" s="49"/>
      <c r="AI4537" s="49"/>
      <c r="AJ4537" s="49"/>
      <c r="AK4537" s="49"/>
      <c r="AL4537" s="49"/>
      <c r="AM4537" s="49"/>
      <c r="AN4537" s="49"/>
      <c r="AP4537" s="49"/>
      <c r="AQ4537" s="49"/>
      <c r="AR4537" s="49"/>
      <c r="AS4537" s="49"/>
      <c r="AT4537" s="49"/>
    </row>
    <row r="4538">
      <c r="A4538" s="59"/>
      <c r="B4538" s="49"/>
      <c r="C4538" s="50"/>
      <c r="D4538" s="49"/>
      <c r="E4538" s="49"/>
      <c r="F4538" s="49"/>
      <c r="G4538" s="49"/>
      <c r="H4538" s="50"/>
      <c r="I4538" s="50"/>
      <c r="J4538" s="49"/>
      <c r="K4538" s="49"/>
      <c r="L4538" s="49"/>
      <c r="M4538" s="49"/>
      <c r="N4538" s="50"/>
      <c r="O4538" s="49"/>
      <c r="P4538" s="49"/>
      <c r="Q4538" s="49"/>
      <c r="R4538" s="49"/>
      <c r="S4538" s="49"/>
      <c r="T4538" s="49"/>
      <c r="U4538" s="49"/>
      <c r="V4538" s="49"/>
      <c r="W4538" s="49"/>
      <c r="X4538" s="49"/>
      <c r="Y4538" s="49"/>
      <c r="Z4538" s="49"/>
      <c r="AA4538" s="49"/>
      <c r="AB4538" s="49"/>
      <c r="AC4538" s="49"/>
      <c r="AD4538" s="49"/>
      <c r="AE4538" s="49"/>
      <c r="AF4538" s="49"/>
      <c r="AG4538" s="49"/>
      <c r="AH4538" s="49"/>
      <c r="AI4538" s="49"/>
      <c r="AJ4538" s="49"/>
      <c r="AK4538" s="49"/>
      <c r="AL4538" s="49"/>
      <c r="AM4538" s="49"/>
      <c r="AN4538" s="49"/>
      <c r="AP4538" s="49"/>
      <c r="AQ4538" s="49"/>
      <c r="AR4538" s="49"/>
      <c r="AS4538" s="49"/>
      <c r="AT4538" s="49"/>
    </row>
    <row r="4539">
      <c r="A4539" s="59"/>
      <c r="B4539" s="49"/>
      <c r="C4539" s="50"/>
      <c r="D4539" s="49"/>
      <c r="E4539" s="49"/>
      <c r="F4539" s="49"/>
      <c r="G4539" s="49"/>
      <c r="H4539" s="50"/>
      <c r="I4539" s="50"/>
      <c r="J4539" s="49"/>
      <c r="K4539" s="49"/>
      <c r="L4539" s="49"/>
      <c r="M4539" s="49"/>
      <c r="N4539" s="50"/>
      <c r="O4539" s="49"/>
      <c r="P4539" s="49"/>
      <c r="Q4539" s="49"/>
      <c r="R4539" s="49"/>
      <c r="S4539" s="49"/>
      <c r="T4539" s="49"/>
      <c r="U4539" s="49"/>
      <c r="V4539" s="49"/>
      <c r="W4539" s="49"/>
      <c r="X4539" s="49"/>
      <c r="Y4539" s="49"/>
      <c r="Z4539" s="49"/>
      <c r="AA4539" s="49"/>
      <c r="AB4539" s="49"/>
      <c r="AC4539" s="49"/>
      <c r="AD4539" s="49"/>
      <c r="AE4539" s="49"/>
      <c r="AF4539" s="49"/>
      <c r="AG4539" s="49"/>
      <c r="AH4539" s="49"/>
      <c r="AI4539" s="49"/>
      <c r="AJ4539" s="49"/>
      <c r="AK4539" s="49"/>
      <c r="AL4539" s="49"/>
      <c r="AM4539" s="49"/>
      <c r="AN4539" s="49"/>
      <c r="AP4539" s="49"/>
      <c r="AQ4539" s="49"/>
      <c r="AR4539" s="49"/>
      <c r="AS4539" s="49"/>
      <c r="AT4539" s="49"/>
    </row>
    <row r="4540">
      <c r="A4540" s="59"/>
      <c r="B4540" s="49"/>
      <c r="C4540" s="50"/>
      <c r="D4540" s="49"/>
      <c r="E4540" s="49"/>
      <c r="F4540" s="49"/>
      <c r="G4540" s="49"/>
      <c r="H4540" s="50"/>
      <c r="I4540" s="50"/>
      <c r="J4540" s="49"/>
      <c r="K4540" s="49"/>
      <c r="L4540" s="49"/>
      <c r="M4540" s="49"/>
      <c r="N4540" s="50"/>
      <c r="O4540" s="49"/>
      <c r="P4540" s="49"/>
      <c r="Q4540" s="49"/>
      <c r="R4540" s="49"/>
      <c r="S4540" s="49"/>
      <c r="T4540" s="49"/>
      <c r="U4540" s="49"/>
      <c r="V4540" s="49"/>
      <c r="W4540" s="49"/>
      <c r="X4540" s="49"/>
      <c r="Y4540" s="49"/>
      <c r="Z4540" s="49"/>
      <c r="AA4540" s="49"/>
      <c r="AB4540" s="49"/>
      <c r="AC4540" s="49"/>
      <c r="AD4540" s="49"/>
      <c r="AE4540" s="49"/>
      <c r="AF4540" s="49"/>
      <c r="AG4540" s="49"/>
      <c r="AH4540" s="49"/>
      <c r="AI4540" s="49"/>
      <c r="AJ4540" s="49"/>
      <c r="AK4540" s="49"/>
      <c r="AL4540" s="49"/>
      <c r="AM4540" s="49"/>
      <c r="AN4540" s="49"/>
      <c r="AP4540" s="49"/>
      <c r="AQ4540" s="49"/>
      <c r="AR4540" s="49"/>
      <c r="AS4540" s="49"/>
      <c r="AT4540" s="49"/>
    </row>
    <row r="4541">
      <c r="A4541" s="59"/>
      <c r="B4541" s="49"/>
      <c r="C4541" s="50"/>
      <c r="D4541" s="49"/>
      <c r="E4541" s="49"/>
      <c r="F4541" s="49"/>
      <c r="G4541" s="49"/>
      <c r="H4541" s="50"/>
      <c r="I4541" s="50"/>
      <c r="J4541" s="49"/>
      <c r="K4541" s="49"/>
      <c r="L4541" s="49"/>
      <c r="M4541" s="49"/>
      <c r="N4541" s="50"/>
      <c r="O4541" s="49"/>
      <c r="P4541" s="49"/>
      <c r="Q4541" s="49"/>
      <c r="R4541" s="49"/>
      <c r="S4541" s="49"/>
      <c r="T4541" s="49"/>
      <c r="U4541" s="49"/>
      <c r="V4541" s="49"/>
      <c r="W4541" s="49"/>
      <c r="X4541" s="49"/>
      <c r="Y4541" s="49"/>
      <c r="Z4541" s="49"/>
      <c r="AA4541" s="49"/>
      <c r="AB4541" s="49"/>
      <c r="AC4541" s="49"/>
      <c r="AD4541" s="49"/>
      <c r="AE4541" s="49"/>
      <c r="AF4541" s="49"/>
      <c r="AG4541" s="49"/>
      <c r="AH4541" s="49"/>
      <c r="AI4541" s="49"/>
      <c r="AJ4541" s="49"/>
      <c r="AK4541" s="49"/>
      <c r="AL4541" s="49"/>
      <c r="AM4541" s="49"/>
      <c r="AN4541" s="49"/>
      <c r="AP4541" s="49"/>
      <c r="AQ4541" s="49"/>
      <c r="AR4541" s="49"/>
      <c r="AS4541" s="49"/>
      <c r="AT4541" s="49"/>
    </row>
    <row r="4542">
      <c r="A4542" s="59"/>
      <c r="B4542" s="49"/>
      <c r="C4542" s="50"/>
      <c r="D4542" s="49"/>
      <c r="E4542" s="49"/>
      <c r="F4542" s="49"/>
      <c r="G4542" s="49"/>
      <c r="H4542" s="50"/>
      <c r="I4542" s="50"/>
      <c r="J4542" s="49"/>
      <c r="K4542" s="49"/>
      <c r="L4542" s="49"/>
      <c r="M4542" s="49"/>
      <c r="N4542" s="50"/>
      <c r="O4542" s="49"/>
      <c r="P4542" s="49"/>
      <c r="Q4542" s="49"/>
      <c r="R4542" s="49"/>
      <c r="S4542" s="49"/>
      <c r="T4542" s="49"/>
      <c r="U4542" s="49"/>
      <c r="V4542" s="49"/>
      <c r="W4542" s="49"/>
      <c r="X4542" s="49"/>
      <c r="Y4542" s="49"/>
      <c r="Z4542" s="49"/>
      <c r="AA4542" s="49"/>
      <c r="AB4542" s="49"/>
      <c r="AC4542" s="49"/>
      <c r="AD4542" s="49"/>
      <c r="AE4542" s="49"/>
      <c r="AF4542" s="49"/>
      <c r="AG4542" s="49"/>
      <c r="AH4542" s="49"/>
      <c r="AI4542" s="49"/>
      <c r="AJ4542" s="49"/>
      <c r="AK4542" s="49"/>
      <c r="AL4542" s="49"/>
      <c r="AM4542" s="49"/>
      <c r="AN4542" s="49"/>
      <c r="AP4542" s="49"/>
      <c r="AQ4542" s="49"/>
      <c r="AR4542" s="49"/>
      <c r="AS4542" s="49"/>
      <c r="AT4542" s="49"/>
    </row>
    <row r="4543">
      <c r="A4543" s="59"/>
      <c r="B4543" s="49"/>
      <c r="C4543" s="50"/>
      <c r="D4543" s="49"/>
      <c r="E4543" s="49"/>
      <c r="F4543" s="49"/>
      <c r="G4543" s="49"/>
      <c r="H4543" s="50"/>
      <c r="I4543" s="50"/>
      <c r="J4543" s="49"/>
      <c r="K4543" s="49"/>
      <c r="L4543" s="49"/>
      <c r="M4543" s="49"/>
      <c r="N4543" s="50"/>
      <c r="O4543" s="49"/>
      <c r="P4543" s="49"/>
      <c r="Q4543" s="49"/>
      <c r="R4543" s="49"/>
      <c r="S4543" s="49"/>
      <c r="T4543" s="49"/>
      <c r="U4543" s="49"/>
      <c r="V4543" s="49"/>
      <c r="W4543" s="49"/>
      <c r="X4543" s="49"/>
      <c r="Y4543" s="49"/>
      <c r="Z4543" s="49"/>
      <c r="AA4543" s="49"/>
      <c r="AB4543" s="49"/>
      <c r="AC4543" s="49"/>
      <c r="AD4543" s="49"/>
      <c r="AE4543" s="49"/>
      <c r="AF4543" s="49"/>
      <c r="AG4543" s="49"/>
      <c r="AH4543" s="49"/>
      <c r="AI4543" s="49"/>
      <c r="AJ4543" s="49"/>
      <c r="AK4543" s="49"/>
      <c r="AL4543" s="49"/>
      <c r="AM4543" s="49"/>
      <c r="AN4543" s="49"/>
      <c r="AP4543" s="49"/>
      <c r="AQ4543" s="49"/>
      <c r="AR4543" s="49"/>
      <c r="AS4543" s="49"/>
      <c r="AT4543" s="49"/>
    </row>
    <row r="4544">
      <c r="A4544" s="59"/>
      <c r="B4544" s="49"/>
      <c r="C4544" s="50"/>
      <c r="D4544" s="49"/>
      <c r="E4544" s="49"/>
      <c r="F4544" s="49"/>
      <c r="G4544" s="49"/>
      <c r="H4544" s="50"/>
      <c r="I4544" s="50"/>
      <c r="J4544" s="49"/>
      <c r="K4544" s="49"/>
      <c r="L4544" s="49"/>
      <c r="M4544" s="49"/>
      <c r="N4544" s="50"/>
      <c r="O4544" s="49"/>
      <c r="P4544" s="49"/>
      <c r="Q4544" s="49"/>
      <c r="R4544" s="49"/>
      <c r="S4544" s="49"/>
      <c r="T4544" s="49"/>
      <c r="U4544" s="49"/>
      <c r="V4544" s="49"/>
      <c r="W4544" s="49"/>
      <c r="X4544" s="49"/>
      <c r="Y4544" s="49"/>
      <c r="Z4544" s="49"/>
      <c r="AA4544" s="49"/>
      <c r="AB4544" s="49"/>
      <c r="AC4544" s="49"/>
      <c r="AD4544" s="49"/>
      <c r="AE4544" s="49"/>
      <c r="AF4544" s="49"/>
      <c r="AG4544" s="49"/>
      <c r="AH4544" s="49"/>
      <c r="AI4544" s="49"/>
      <c r="AJ4544" s="49"/>
      <c r="AK4544" s="49"/>
      <c r="AL4544" s="49"/>
      <c r="AM4544" s="49"/>
      <c r="AN4544" s="49"/>
      <c r="AP4544" s="49"/>
      <c r="AQ4544" s="49"/>
      <c r="AR4544" s="49"/>
      <c r="AS4544" s="49"/>
      <c r="AT4544" s="49"/>
    </row>
    <row r="4545">
      <c r="A4545" s="59"/>
      <c r="B4545" s="49"/>
      <c r="C4545" s="50"/>
      <c r="D4545" s="49"/>
      <c r="E4545" s="49"/>
      <c r="F4545" s="49"/>
      <c r="G4545" s="49"/>
      <c r="H4545" s="50"/>
      <c r="I4545" s="50"/>
      <c r="J4545" s="49"/>
      <c r="K4545" s="49"/>
      <c r="L4545" s="49"/>
      <c r="M4545" s="49"/>
      <c r="N4545" s="50"/>
      <c r="O4545" s="49"/>
      <c r="P4545" s="49"/>
      <c r="Q4545" s="49"/>
      <c r="R4545" s="49"/>
      <c r="S4545" s="49"/>
      <c r="T4545" s="49"/>
      <c r="U4545" s="49"/>
      <c r="V4545" s="49"/>
      <c r="W4545" s="49"/>
      <c r="X4545" s="49"/>
      <c r="Y4545" s="49"/>
      <c r="Z4545" s="49"/>
      <c r="AA4545" s="49"/>
      <c r="AB4545" s="49"/>
      <c r="AC4545" s="49"/>
      <c r="AD4545" s="49"/>
      <c r="AE4545" s="49"/>
      <c r="AF4545" s="49"/>
      <c r="AG4545" s="49"/>
      <c r="AH4545" s="49"/>
      <c r="AI4545" s="49"/>
      <c r="AJ4545" s="49"/>
      <c r="AK4545" s="49"/>
      <c r="AL4545" s="49"/>
      <c r="AM4545" s="49"/>
      <c r="AN4545" s="49"/>
      <c r="AP4545" s="49"/>
      <c r="AQ4545" s="49"/>
      <c r="AR4545" s="49"/>
      <c r="AS4545" s="49"/>
      <c r="AT4545" s="49"/>
    </row>
    <row r="4546">
      <c r="A4546" s="59"/>
      <c r="B4546" s="49"/>
      <c r="C4546" s="50"/>
      <c r="D4546" s="49"/>
      <c r="E4546" s="49"/>
      <c r="F4546" s="49"/>
      <c r="G4546" s="49"/>
      <c r="H4546" s="50"/>
      <c r="I4546" s="50"/>
      <c r="J4546" s="49"/>
      <c r="K4546" s="49"/>
      <c r="L4546" s="49"/>
      <c r="M4546" s="49"/>
      <c r="N4546" s="50"/>
      <c r="O4546" s="49"/>
      <c r="P4546" s="49"/>
      <c r="Q4546" s="49"/>
      <c r="R4546" s="49"/>
      <c r="S4546" s="49"/>
      <c r="T4546" s="49"/>
      <c r="U4546" s="49"/>
      <c r="V4546" s="49"/>
      <c r="W4546" s="49"/>
      <c r="X4546" s="49"/>
      <c r="Y4546" s="49"/>
      <c r="Z4546" s="49"/>
      <c r="AA4546" s="49"/>
      <c r="AB4546" s="49"/>
      <c r="AC4546" s="49"/>
      <c r="AD4546" s="49"/>
      <c r="AE4546" s="49"/>
      <c r="AF4546" s="49"/>
      <c r="AG4546" s="49"/>
      <c r="AH4546" s="49"/>
      <c r="AI4546" s="49"/>
      <c r="AJ4546" s="49"/>
      <c r="AK4546" s="49"/>
      <c r="AL4546" s="49"/>
      <c r="AM4546" s="49"/>
      <c r="AN4546" s="49"/>
      <c r="AP4546" s="49"/>
      <c r="AQ4546" s="49"/>
      <c r="AR4546" s="49"/>
      <c r="AS4546" s="49"/>
      <c r="AT4546" s="49"/>
    </row>
    <row r="4547">
      <c r="A4547" s="59"/>
      <c r="B4547" s="49"/>
      <c r="C4547" s="50"/>
      <c r="D4547" s="49"/>
      <c r="E4547" s="49"/>
      <c r="F4547" s="49"/>
      <c r="G4547" s="49"/>
      <c r="H4547" s="50"/>
      <c r="I4547" s="50"/>
      <c r="J4547" s="49"/>
      <c r="K4547" s="49"/>
      <c r="L4547" s="49"/>
      <c r="M4547" s="49"/>
      <c r="N4547" s="50"/>
      <c r="O4547" s="49"/>
      <c r="P4547" s="49"/>
      <c r="Q4547" s="49"/>
      <c r="R4547" s="49"/>
      <c r="S4547" s="49"/>
      <c r="T4547" s="49"/>
      <c r="U4547" s="49"/>
      <c r="V4547" s="49"/>
      <c r="W4547" s="49"/>
      <c r="X4547" s="49"/>
      <c r="Y4547" s="49"/>
      <c r="Z4547" s="49"/>
      <c r="AA4547" s="49"/>
      <c r="AB4547" s="49"/>
      <c r="AC4547" s="49"/>
      <c r="AD4547" s="49"/>
      <c r="AE4547" s="49"/>
      <c r="AF4547" s="49"/>
      <c r="AG4547" s="49"/>
      <c r="AH4547" s="49"/>
      <c r="AI4547" s="49"/>
      <c r="AJ4547" s="49"/>
      <c r="AK4547" s="49"/>
      <c r="AL4547" s="49"/>
      <c r="AM4547" s="49"/>
      <c r="AN4547" s="49"/>
      <c r="AP4547" s="49"/>
      <c r="AQ4547" s="49"/>
      <c r="AR4547" s="49"/>
      <c r="AS4547" s="49"/>
      <c r="AT4547" s="49"/>
    </row>
    <row r="4548">
      <c r="A4548" s="59"/>
      <c r="B4548" s="49"/>
      <c r="C4548" s="50"/>
      <c r="D4548" s="49"/>
      <c r="E4548" s="49"/>
      <c r="F4548" s="49"/>
      <c r="G4548" s="49"/>
      <c r="H4548" s="50"/>
      <c r="I4548" s="50"/>
      <c r="J4548" s="49"/>
      <c r="K4548" s="49"/>
      <c r="L4548" s="49"/>
      <c r="M4548" s="49"/>
      <c r="N4548" s="50"/>
      <c r="O4548" s="49"/>
      <c r="P4548" s="49"/>
      <c r="Q4548" s="49"/>
      <c r="R4548" s="49"/>
      <c r="S4548" s="49"/>
      <c r="T4548" s="49"/>
      <c r="U4548" s="49"/>
      <c r="V4548" s="49"/>
      <c r="W4548" s="49"/>
      <c r="X4548" s="49"/>
      <c r="Y4548" s="49"/>
      <c r="Z4548" s="49"/>
      <c r="AA4548" s="49"/>
      <c r="AB4548" s="49"/>
      <c r="AC4548" s="49"/>
      <c r="AD4548" s="49"/>
      <c r="AE4548" s="49"/>
      <c r="AF4548" s="49"/>
      <c r="AG4548" s="49"/>
      <c r="AH4548" s="49"/>
      <c r="AI4548" s="49"/>
      <c r="AJ4548" s="49"/>
      <c r="AK4548" s="49"/>
      <c r="AL4548" s="49"/>
      <c r="AM4548" s="49"/>
      <c r="AN4548" s="49"/>
      <c r="AP4548" s="49"/>
      <c r="AQ4548" s="49"/>
      <c r="AR4548" s="49"/>
      <c r="AS4548" s="49"/>
      <c r="AT4548" s="49"/>
    </row>
    <row r="4549">
      <c r="A4549" s="59"/>
      <c r="B4549" s="49"/>
      <c r="C4549" s="50"/>
      <c r="D4549" s="49"/>
      <c r="E4549" s="49"/>
      <c r="F4549" s="49"/>
      <c r="G4549" s="49"/>
      <c r="H4549" s="50"/>
      <c r="I4549" s="50"/>
      <c r="J4549" s="49"/>
      <c r="K4549" s="49"/>
      <c r="L4549" s="49"/>
      <c r="M4549" s="49"/>
      <c r="N4549" s="50"/>
      <c r="O4549" s="49"/>
      <c r="P4549" s="49"/>
      <c r="Q4549" s="49"/>
      <c r="R4549" s="49"/>
      <c r="S4549" s="49"/>
      <c r="T4549" s="49"/>
      <c r="U4549" s="49"/>
      <c r="V4549" s="49"/>
      <c r="W4549" s="49"/>
      <c r="X4549" s="49"/>
      <c r="Y4549" s="49"/>
      <c r="Z4549" s="49"/>
      <c r="AA4549" s="49"/>
      <c r="AB4549" s="49"/>
      <c r="AC4549" s="49"/>
      <c r="AD4549" s="49"/>
      <c r="AE4549" s="49"/>
      <c r="AF4549" s="49"/>
      <c r="AG4549" s="49"/>
      <c r="AH4549" s="49"/>
      <c r="AI4549" s="49"/>
      <c r="AJ4549" s="49"/>
      <c r="AK4549" s="49"/>
      <c r="AL4549" s="49"/>
      <c r="AM4549" s="49"/>
      <c r="AN4549" s="49"/>
      <c r="AP4549" s="49"/>
      <c r="AQ4549" s="49"/>
      <c r="AR4549" s="49"/>
      <c r="AS4549" s="49"/>
      <c r="AT4549" s="49"/>
    </row>
    <row r="4550">
      <c r="A4550" s="59"/>
      <c r="B4550" s="49"/>
      <c r="C4550" s="50"/>
      <c r="D4550" s="49"/>
      <c r="E4550" s="49"/>
      <c r="F4550" s="49"/>
      <c r="G4550" s="49"/>
      <c r="H4550" s="50"/>
      <c r="I4550" s="50"/>
      <c r="J4550" s="49"/>
      <c r="K4550" s="49"/>
      <c r="L4550" s="49"/>
      <c r="M4550" s="49"/>
      <c r="N4550" s="50"/>
      <c r="O4550" s="49"/>
      <c r="P4550" s="49"/>
      <c r="Q4550" s="49"/>
      <c r="R4550" s="49"/>
      <c r="S4550" s="49"/>
      <c r="T4550" s="49"/>
      <c r="U4550" s="49"/>
      <c r="V4550" s="49"/>
      <c r="W4550" s="49"/>
      <c r="X4550" s="49"/>
      <c r="Y4550" s="49"/>
      <c r="Z4550" s="49"/>
      <c r="AA4550" s="49"/>
      <c r="AB4550" s="49"/>
      <c r="AC4550" s="49"/>
      <c r="AD4550" s="49"/>
      <c r="AE4550" s="49"/>
      <c r="AF4550" s="49"/>
      <c r="AG4550" s="49"/>
      <c r="AH4550" s="49"/>
      <c r="AI4550" s="49"/>
      <c r="AJ4550" s="49"/>
      <c r="AK4550" s="49"/>
      <c r="AL4550" s="49"/>
      <c r="AM4550" s="49"/>
      <c r="AN4550" s="49"/>
      <c r="AP4550" s="49"/>
      <c r="AQ4550" s="49"/>
      <c r="AR4550" s="49"/>
      <c r="AS4550" s="49"/>
      <c r="AT4550" s="49"/>
    </row>
    <row r="4551">
      <c r="A4551" s="59"/>
      <c r="B4551" s="49"/>
      <c r="C4551" s="50"/>
      <c r="D4551" s="49"/>
      <c r="E4551" s="49"/>
      <c r="F4551" s="49"/>
      <c r="G4551" s="49"/>
      <c r="H4551" s="50"/>
      <c r="I4551" s="50"/>
      <c r="J4551" s="49"/>
      <c r="K4551" s="49"/>
      <c r="L4551" s="49"/>
      <c r="M4551" s="49"/>
      <c r="N4551" s="50"/>
      <c r="O4551" s="49"/>
      <c r="P4551" s="49"/>
      <c r="Q4551" s="49"/>
      <c r="R4551" s="49"/>
      <c r="S4551" s="49"/>
      <c r="T4551" s="49"/>
      <c r="U4551" s="49"/>
      <c r="V4551" s="49"/>
      <c r="W4551" s="49"/>
      <c r="X4551" s="49"/>
      <c r="Y4551" s="49"/>
      <c r="Z4551" s="49"/>
      <c r="AA4551" s="49"/>
      <c r="AB4551" s="49"/>
      <c r="AC4551" s="49"/>
      <c r="AD4551" s="49"/>
      <c r="AE4551" s="49"/>
      <c r="AF4551" s="49"/>
      <c r="AG4551" s="49"/>
      <c r="AH4551" s="49"/>
      <c r="AI4551" s="49"/>
      <c r="AJ4551" s="49"/>
      <c r="AK4551" s="49"/>
      <c r="AL4551" s="49"/>
      <c r="AM4551" s="49"/>
      <c r="AN4551" s="49"/>
      <c r="AP4551" s="49"/>
      <c r="AQ4551" s="49"/>
      <c r="AR4551" s="49"/>
      <c r="AS4551" s="49"/>
      <c r="AT4551" s="49"/>
    </row>
    <row r="4552">
      <c r="A4552" s="59"/>
      <c r="B4552" s="49"/>
      <c r="C4552" s="50"/>
      <c r="D4552" s="49"/>
      <c r="E4552" s="49"/>
      <c r="F4552" s="49"/>
      <c r="G4552" s="49"/>
      <c r="H4552" s="50"/>
      <c r="I4552" s="50"/>
      <c r="J4552" s="49"/>
      <c r="K4552" s="49"/>
      <c r="L4552" s="49"/>
      <c r="M4552" s="49"/>
      <c r="N4552" s="50"/>
      <c r="O4552" s="49"/>
      <c r="P4552" s="49"/>
      <c r="Q4552" s="49"/>
      <c r="R4552" s="49"/>
      <c r="S4552" s="49"/>
      <c r="T4552" s="49"/>
      <c r="U4552" s="49"/>
      <c r="V4552" s="49"/>
      <c r="W4552" s="49"/>
      <c r="X4552" s="49"/>
      <c r="Y4552" s="49"/>
      <c r="Z4552" s="49"/>
      <c r="AA4552" s="49"/>
      <c r="AB4552" s="49"/>
      <c r="AC4552" s="49"/>
      <c r="AD4552" s="49"/>
      <c r="AE4552" s="49"/>
      <c r="AF4552" s="49"/>
      <c r="AG4552" s="49"/>
      <c r="AH4552" s="49"/>
      <c r="AI4552" s="49"/>
      <c r="AJ4552" s="49"/>
      <c r="AK4552" s="49"/>
      <c r="AL4552" s="49"/>
      <c r="AM4552" s="49"/>
      <c r="AN4552" s="49"/>
      <c r="AP4552" s="49"/>
      <c r="AQ4552" s="49"/>
      <c r="AR4552" s="49"/>
      <c r="AS4552" s="49"/>
      <c r="AT4552" s="4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" t="s">
        <v>7705</v>
      </c>
      <c r="B1" s="27"/>
      <c r="C1" s="26" t="s">
        <v>7193</v>
      </c>
      <c r="D1" s="26" t="s">
        <v>7192</v>
      </c>
      <c r="E1" s="26" t="s">
        <v>7194</v>
      </c>
      <c r="F1" s="26" t="s">
        <v>7190</v>
      </c>
      <c r="G1" s="26" t="s">
        <v>7191</v>
      </c>
      <c r="H1" s="26" t="s">
        <v>7203</v>
      </c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/>
      <c r="B2" s="27"/>
      <c r="C2" s="27">
        <f>IFERROR(__xludf.DUMMYFUNCTION("COUNTA(SST_MR!E2:E1000)/COUNTA(UNIQUE({SST_MR!$A2:$A1000;SST_MR!B2:B1000}))"),0.014907135874877811)</f>
        <v>0.01490713587</v>
      </c>
      <c r="D2" s="27">
        <f>IFERROR(__xludf.DUMMYFUNCTION("COUNTA(SST_MR!M2:M1000)/COUNTA(UNIQUE({SST_MR!$A2:$A1000;SST_MR!J2:J1000}))"),0.03474635163307853)</f>
        <v>0.03474635163</v>
      </c>
      <c r="E2" s="27">
        <f>IFERROR(__xludf.DUMMYFUNCTION("COUNTA(SST_MR!U2:U1000)/COUNTA(UNIQUE({SST_MR!$A2:$A1000;SST_MR!R2:R1000}))"),0.03962616822429907)</f>
        <v>0.03962616822</v>
      </c>
      <c r="F2" s="36">
        <f>IFERROR(__xludf.DUMMYFUNCTION("COUNTA(SST_MR!AC2:AC1000)/COUNTA(UNIQUE({SST_MR!$A2:$A1000;SST_MR!$Z2:$Z1000}))"),0.03953646898432175)</f>
        <v>0.03953646898</v>
      </c>
      <c r="G2" s="27">
        <f>IFERROR(__xludf.DUMMYFUNCTION("COUNTA(SST_MR!AK2:AK1000)/COUNTA(UNIQUE({SST_MR!$A2:$A1000;SST_MR!$AH2:$AH1000}))"),0.010523321956769055)</f>
        <v>0.01052332196</v>
      </c>
      <c r="H2" s="37" t="s">
        <v>7706</v>
      </c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/>
      <c r="B3" s="27"/>
      <c r="C3" s="27"/>
      <c r="D3" s="27"/>
      <c r="E3" s="27"/>
      <c r="F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44" t="s">
        <v>7707</v>
      </c>
      <c r="B4" s="27"/>
      <c r="C4" s="26" t="s">
        <v>7193</v>
      </c>
      <c r="D4" s="26" t="s">
        <v>7192</v>
      </c>
      <c r="E4" s="26" t="s">
        <v>7194</v>
      </c>
      <c r="F4" s="26" t="s">
        <v>7190</v>
      </c>
      <c r="G4" s="26" t="s">
        <v>7191</v>
      </c>
      <c r="H4" s="26" t="s">
        <v>7203</v>
      </c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/>
      <c r="B5" s="27"/>
      <c r="C5" s="27">
        <v>0.018249883013570427</v>
      </c>
      <c r="D5" s="27">
        <v>0.0635663181067694</v>
      </c>
      <c r="E5" s="27">
        <v>0.057319698600645855</v>
      </c>
      <c r="F5" s="27">
        <v>0.08434151399930867</v>
      </c>
      <c r="G5" s="27">
        <v>0.056910569105691054</v>
      </c>
      <c r="H5" s="37" t="s">
        <v>7205</v>
      </c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44" t="s">
        <v>7708</v>
      </c>
      <c r="B7" s="27"/>
      <c r="C7" s="26" t="s">
        <v>15</v>
      </c>
      <c r="D7" s="26" t="s">
        <v>18</v>
      </c>
      <c r="E7" s="26" t="s">
        <v>7232</v>
      </c>
      <c r="F7" s="26" t="s">
        <v>7709</v>
      </c>
      <c r="G7" s="26" t="s">
        <v>6230</v>
      </c>
      <c r="H7" s="26" t="s">
        <v>7203</v>
      </c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/>
      <c r="B8" s="27"/>
      <c r="C8" s="27">
        <f>IFERROR(__xludf.DUMMYFUNCTION("COUNTA(SST_MR!D2:D1000)*0.1/COUNTA(UNIQUE({SST_MR!$C2:$C1000;SST_MR!B2:B1000}))"),0.08597317015768416)</f>
        <v>0.08597317016</v>
      </c>
      <c r="D8" s="27">
        <f>IFERROR(__xludf.DUMMYFUNCTION("COUNTA(SST_MR!L2:L1000)*0.1/COUNTA(UNIQUE({SST_MR!$J2:$J1000;SST_MR!K2:K1000}))"),0.03333333333333333)</f>
        <v>0.03333333333</v>
      </c>
      <c r="E8" s="27">
        <f>IFERROR(__xludf.DUMMYFUNCTION("COUNTA(SST_MR!T2:T1000)*0.1/COUNTA(UNIQUE({SST_MR!$S2:$S1000;SST_MR!R2:R1000}))"),0.04002751031636864)</f>
        <v>0.04002751032</v>
      </c>
      <c r="F8" s="27">
        <f>IFERROR(__xludf.DUMMYFUNCTION("COUNTA(SST_MR!AB2:AB1000)*0.1/COUNTA(UNIQUE({SST_MR!$AA2:$AA1000;SST_MR!Z2:Z1000}))"),0.023813747228381376)</f>
        <v>0.02381374723</v>
      </c>
      <c r="G8" s="27">
        <f>IFERROR(__xludf.DUMMYFUNCTION("COUNTA(SST_MR!AJ2:AJ1000)*0.1/COUNTA(UNIQUE({SST_MR!$AI2:$AI1000;SST_MR!AH2:AH1000}))"),0.0901266551525619)</f>
        <v>0.09012665515</v>
      </c>
      <c r="H8" s="27">
        <f>IFERROR(__xludf.DUMMYFUNCTION("COUNTA(SST_MR!J2:J1000)*0.1/COUNTA(UNIQUE({SST_MR!$C2:$C1000;SST_MR!G2:G1000}))"),0.06641145961965918)</f>
        <v>0.06641145962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" t="s">
        <v>7705</v>
      </c>
      <c r="B1" s="27"/>
      <c r="C1" s="26" t="s">
        <v>7193</v>
      </c>
      <c r="D1" s="26" t="s">
        <v>7192</v>
      </c>
      <c r="E1" s="26" t="s">
        <v>7194</v>
      </c>
      <c r="F1" s="26" t="s">
        <v>7190</v>
      </c>
      <c r="G1" s="26" t="s">
        <v>7191</v>
      </c>
      <c r="H1" s="26" t="s">
        <v>7203</v>
      </c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/>
      <c r="B2" s="27"/>
      <c r="C2" s="27">
        <f>COUNTA(SST_MR!E2:E1000)/MIN(COUNTA(SST_MR!B2:B1000),COUNTA(SST_MR!$A2:$A1000))</f>
        <v>0.2033333333</v>
      </c>
      <c r="D2" s="27">
        <f>COUNTA(SST_MR!M2:M1000)/MIN(COUNTA(SST_MR!J2:J1000),COUNTA(SST_MR!$A2:$A1000))</f>
        <v>0.3333333333</v>
      </c>
      <c r="E2" s="27">
        <f>COUNTA(SST_MR!U2:U1000)/MIN(COUNTA(SST_MR!R2:R1000),COUNTA(SST_MR!$A2:$A1000))</f>
        <v>0.3533333333</v>
      </c>
      <c r="F2" s="36">
        <f>COUNTA(SST_MR!AC2:AC1000)/MIN(COUNTA(SST_MR!$Z2:$Z1000),COUNTA(SST_MR!$A2:$A1000))</f>
        <v>0.3866666667</v>
      </c>
      <c r="G2" s="52">
        <f>COUNTA(SST_MR!AK2:AK1000)/MIN(COUNTA(SST_MR!$AH2:$AH1000),COUNTA(SST_MR!$A2:$A1000))</f>
        <v>0.1233333333</v>
      </c>
      <c r="H2" s="37" t="s">
        <v>7710</v>
      </c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44" t="s">
        <v>7707</v>
      </c>
      <c r="B4" s="27"/>
      <c r="C4" s="26" t="s">
        <v>7193</v>
      </c>
      <c r="D4" s="26" t="s">
        <v>7192</v>
      </c>
      <c r="E4" s="26" t="s">
        <v>7194</v>
      </c>
      <c r="F4" s="26" t="s">
        <v>7190</v>
      </c>
      <c r="G4" s="26" t="s">
        <v>7191</v>
      </c>
      <c r="H4" s="26" t="s">
        <v>7203</v>
      </c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/>
      <c r="B5" s="27"/>
      <c r="C5" s="27">
        <v>0.2591362126245847</v>
      </c>
      <c r="D5" s="27">
        <v>0.7674418604651163</v>
      </c>
      <c r="E5" s="27">
        <v>0.707641196013289</v>
      </c>
      <c r="F5" s="27">
        <v>0.8106312292358804</v>
      </c>
      <c r="G5" s="27">
        <v>0.6046511627906976</v>
      </c>
      <c r="H5" s="37" t="s">
        <v>7205</v>
      </c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44" t="s">
        <v>7708</v>
      </c>
      <c r="B7" s="27"/>
      <c r="C7" s="26" t="s">
        <v>7711</v>
      </c>
      <c r="D7" s="26" t="s">
        <v>7712</v>
      </c>
      <c r="E7" s="26" t="s">
        <v>7713</v>
      </c>
      <c r="F7" s="26" t="s">
        <v>7714</v>
      </c>
      <c r="G7" s="26" t="s">
        <v>7715</v>
      </c>
      <c r="H7" s="26" t="s">
        <v>7203</v>
      </c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/>
      <c r="B8" s="27"/>
      <c r="C8" s="27">
        <f>COUNTA(SST_MR!D2:D1000)/MIN(COUNTA(SST_MR!B2:B1000),COUNTA(SST_MR!$C2:$C1000))</f>
        <v>0.9480923955</v>
      </c>
      <c r="D8" s="27">
        <f>COUNTA(SST_MR!L2:L1000)/MIN(COUNTA(SST_MR!J2:J1000),COUNTA(SST_MR!$K2:$K1000))</f>
        <v>0.5812569729</v>
      </c>
      <c r="E8" s="27">
        <f>COUNTA(SST_MR!AB2:AB1000)/MIN(COUNTA(SST_MR!AA2:AA1000),COUNTA(SST_MR!$Z2:$Z1000))</f>
        <v>0.3905454545</v>
      </c>
      <c r="F8" s="36">
        <f>COUNTA(SST_MR!T2:T1000)/MIN(COUNTA(SST_MR!$S2:$S1000),COUNTA(SST_MR!$R2:$R1000))</f>
        <v>0.7037484885</v>
      </c>
      <c r="G8" s="52">
        <f>COUNTA(SST_MR!AJ2:AJ1000)/MIN(COUNTA(SST_MR!$AI2:$AI1000),COUNTA(SST_MR!$AH2:$AH1000))</f>
        <v>0.9619047619</v>
      </c>
      <c r="H8" s="37" t="s">
        <v>7710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  <col customWidth="1" min="2" max="2" width="14.38"/>
    <col customWidth="1" min="4" max="5" width="13.75"/>
    <col customWidth="1" min="6" max="6" width="19.75"/>
  </cols>
  <sheetData>
    <row r="1">
      <c r="A1" s="60" t="s">
        <v>7716</v>
      </c>
      <c r="B1" s="60" t="s">
        <v>7717</v>
      </c>
      <c r="C1" s="60" t="s">
        <v>7718</v>
      </c>
      <c r="D1" s="60" t="s">
        <v>7719</v>
      </c>
      <c r="E1" s="61"/>
      <c r="F1" s="60" t="s">
        <v>7720</v>
      </c>
      <c r="G1" s="60" t="s">
        <v>7717</v>
      </c>
      <c r="H1" s="60" t="s">
        <v>7718</v>
      </c>
      <c r="I1" s="60" t="s">
        <v>7719</v>
      </c>
      <c r="J1" s="61"/>
      <c r="K1" s="60" t="s">
        <v>7721</v>
      </c>
      <c r="L1" s="60" t="s">
        <v>7717</v>
      </c>
      <c r="M1" s="60" t="s">
        <v>7718</v>
      </c>
      <c r="N1" s="60" t="s">
        <v>7719</v>
      </c>
      <c r="O1" s="61"/>
      <c r="P1" s="60" t="s">
        <v>7722</v>
      </c>
      <c r="Q1" s="60" t="s">
        <v>7717</v>
      </c>
      <c r="R1" s="60" t="s">
        <v>7718</v>
      </c>
      <c r="S1" s="60" t="s">
        <v>7719</v>
      </c>
      <c r="T1" s="61"/>
      <c r="U1" s="60" t="s">
        <v>7723</v>
      </c>
      <c r="V1" s="60" t="s">
        <v>7717</v>
      </c>
      <c r="W1" s="60" t="s">
        <v>7718</v>
      </c>
      <c r="X1" s="60" t="s">
        <v>7719</v>
      </c>
      <c r="Y1" s="61"/>
      <c r="Z1" s="61"/>
      <c r="AA1" s="61"/>
      <c r="AB1" s="61"/>
      <c r="AC1" s="61"/>
      <c r="AD1" s="61"/>
    </row>
    <row r="2">
      <c r="A2" s="1" t="s">
        <v>1343</v>
      </c>
      <c r="B2" s="1">
        <v>34.0</v>
      </c>
      <c r="C2" s="1">
        <v>0.705882352941176</v>
      </c>
      <c r="D2" s="6">
        <f>COUNTA(A2:A1000) / 100688</f>
        <v>0.0002979501033</v>
      </c>
      <c r="F2" s="1" t="s">
        <v>337</v>
      </c>
      <c r="G2" s="1">
        <v>146.0</v>
      </c>
      <c r="H2" s="1">
        <v>0.246575342465753</v>
      </c>
      <c r="I2" s="6">
        <f>COUNTA(F2:F1000) / 100688</f>
        <v>0.0006256952169</v>
      </c>
      <c r="K2" s="1" t="s">
        <v>337</v>
      </c>
      <c r="L2" s="1">
        <v>146.0</v>
      </c>
      <c r="M2" s="1">
        <v>0.246575342465753</v>
      </c>
      <c r="N2" s="6">
        <f>COUNTA(K2:K1000) / 100688</f>
        <v>0.000635626887</v>
      </c>
      <c r="P2" s="1" t="s">
        <v>2234</v>
      </c>
      <c r="Q2" s="1">
        <v>15.0</v>
      </c>
      <c r="R2" s="1">
        <v>0.266666666666666</v>
      </c>
      <c r="S2" s="6">
        <f>COUNTA(P2:P1000) / 100688</f>
        <v>0.0003376767837</v>
      </c>
      <c r="U2" s="1" t="s">
        <v>337</v>
      </c>
      <c r="V2" s="1">
        <v>146.0</v>
      </c>
      <c r="W2" s="1">
        <v>0.246575342465753</v>
      </c>
      <c r="X2" s="6">
        <f>COUNTA(U2:U1000) / 100688</f>
        <v>0.001191800413</v>
      </c>
    </row>
    <row r="3">
      <c r="A3" s="1" t="s">
        <v>6773</v>
      </c>
      <c r="B3" s="1">
        <v>15.0</v>
      </c>
      <c r="C3" s="1">
        <v>0.2</v>
      </c>
      <c r="D3" s="1">
        <v>100688.0</v>
      </c>
      <c r="E3" s="1"/>
      <c r="F3" s="1" t="s">
        <v>1192</v>
      </c>
      <c r="G3" s="1">
        <v>13.0</v>
      </c>
      <c r="H3" s="1">
        <v>0.769230769230769</v>
      </c>
      <c r="K3" s="1" t="s">
        <v>1192</v>
      </c>
      <c r="L3" s="1">
        <v>13.0</v>
      </c>
      <c r="M3" s="1">
        <v>0.769230769230769</v>
      </c>
      <c r="P3" s="1" t="s">
        <v>1192</v>
      </c>
      <c r="Q3" s="1">
        <v>13.0</v>
      </c>
      <c r="R3" s="1">
        <v>0.769230769230769</v>
      </c>
      <c r="U3" s="1" t="s">
        <v>1192</v>
      </c>
      <c r="V3" s="1">
        <v>13.0</v>
      </c>
      <c r="W3" s="1">
        <v>0.769230769230769</v>
      </c>
    </row>
    <row r="4">
      <c r="A4" s="1" t="s">
        <v>858</v>
      </c>
      <c r="B4" s="1">
        <v>15.0</v>
      </c>
      <c r="C4" s="1">
        <v>0.266666666666666</v>
      </c>
      <c r="D4" s="6">
        <f>COUNTA(A2:A1000)/1483</f>
        <v>0.020229265</v>
      </c>
      <c r="F4" s="1" t="s">
        <v>2234</v>
      </c>
      <c r="G4" s="1">
        <v>15.0</v>
      </c>
      <c r="H4" s="1">
        <v>0.266666666666666</v>
      </c>
      <c r="I4" s="6">
        <f>COUNTA(F2:F1000)/3354</f>
        <v>0.01878354204</v>
      </c>
      <c r="K4" s="1" t="s">
        <v>2234</v>
      </c>
      <c r="L4" s="1">
        <v>15.0</v>
      </c>
      <c r="M4" s="1">
        <v>0.266666666666666</v>
      </c>
      <c r="N4" s="6">
        <f>COUNTA(K2:K1000)/4050</f>
        <v>0.01580246914</v>
      </c>
      <c r="P4" s="1" t="s">
        <v>2650</v>
      </c>
      <c r="Q4" s="1">
        <v>29.0</v>
      </c>
      <c r="R4" s="1">
        <v>0.275862068965517</v>
      </c>
      <c r="S4" s="6">
        <f>COUNTA(P2:P1000)/3563</f>
        <v>0.009542520348</v>
      </c>
      <c r="U4" s="1" t="s">
        <v>2234</v>
      </c>
      <c r="V4" s="1">
        <v>15.0</v>
      </c>
      <c r="W4" s="1">
        <v>0.266666666666666</v>
      </c>
      <c r="X4" s="6">
        <f>COUNTA(U2:U1000)/3627</f>
        <v>0.03308519438</v>
      </c>
    </row>
    <row r="5">
      <c r="A5" s="1" t="s">
        <v>2386</v>
      </c>
      <c r="B5" s="1">
        <v>14.0</v>
      </c>
      <c r="C5" s="1">
        <v>0.714285714285714</v>
      </c>
      <c r="D5" s="1">
        <v>1483.0</v>
      </c>
      <c r="F5" s="1" t="s">
        <v>2319</v>
      </c>
      <c r="G5" s="1">
        <v>30.0</v>
      </c>
      <c r="H5" s="1">
        <v>0.233333333333333</v>
      </c>
      <c r="I5" s="1">
        <v>3354.0</v>
      </c>
      <c r="K5" s="1" t="s">
        <v>2319</v>
      </c>
      <c r="L5" s="1">
        <v>30.0</v>
      </c>
      <c r="M5" s="1">
        <v>0.233333333333333</v>
      </c>
      <c r="N5" s="1">
        <v>4050.0</v>
      </c>
      <c r="P5" s="1" t="s">
        <v>3020</v>
      </c>
      <c r="Q5" s="1">
        <v>11.0</v>
      </c>
      <c r="R5" s="1">
        <v>0.818181818181818</v>
      </c>
      <c r="S5" s="1">
        <v>3563.0</v>
      </c>
      <c r="U5" s="1" t="s">
        <v>2319</v>
      </c>
      <c r="V5" s="1">
        <v>30.0</v>
      </c>
      <c r="W5" s="1">
        <v>0.233333333333333</v>
      </c>
      <c r="X5" s="1">
        <v>3627.0</v>
      </c>
    </row>
    <row r="6">
      <c r="A6" s="1" t="s">
        <v>1204</v>
      </c>
      <c r="B6" s="1">
        <v>19.0</v>
      </c>
      <c r="C6" s="1">
        <v>0.263157894736842</v>
      </c>
      <c r="F6" s="1" t="s">
        <v>1200</v>
      </c>
      <c r="G6" s="1">
        <v>15.0</v>
      </c>
      <c r="H6" s="1">
        <v>0.266666666666666</v>
      </c>
      <c r="K6" s="1" t="s">
        <v>1200</v>
      </c>
      <c r="L6" s="1">
        <v>15.0</v>
      </c>
      <c r="M6" s="1">
        <v>0.266666666666666</v>
      </c>
      <c r="P6" s="1" t="s">
        <v>1243</v>
      </c>
      <c r="Q6" s="1">
        <v>10.0</v>
      </c>
      <c r="R6" s="1">
        <v>0.2</v>
      </c>
      <c r="U6" s="1" t="s">
        <v>1200</v>
      </c>
      <c r="V6" s="1">
        <v>15.0</v>
      </c>
      <c r="W6" s="1">
        <v>0.266666666666666</v>
      </c>
    </row>
    <row r="7">
      <c r="A7" s="1" t="s">
        <v>231</v>
      </c>
      <c r="B7" s="1">
        <v>41.0</v>
      </c>
      <c r="C7" s="1">
        <v>0.268292682926829</v>
      </c>
      <c r="F7" s="1" t="s">
        <v>2650</v>
      </c>
      <c r="G7" s="1">
        <v>29.0</v>
      </c>
      <c r="H7" s="1">
        <v>0.275862068965517</v>
      </c>
      <c r="K7" s="1" t="s">
        <v>2650</v>
      </c>
      <c r="L7" s="1">
        <v>29.0</v>
      </c>
      <c r="M7" s="1">
        <v>0.275862068965517</v>
      </c>
      <c r="P7" s="1" t="s">
        <v>3126</v>
      </c>
      <c r="Q7" s="1">
        <v>14.0</v>
      </c>
      <c r="R7" s="1">
        <v>0.714285714285714</v>
      </c>
      <c r="U7" s="1" t="s">
        <v>2650</v>
      </c>
      <c r="V7" s="1">
        <v>29.0</v>
      </c>
      <c r="W7" s="1">
        <v>0.275862068965517</v>
      </c>
    </row>
    <row r="8">
      <c r="A8" s="1" t="s">
        <v>3346</v>
      </c>
      <c r="B8" s="1">
        <v>19.0</v>
      </c>
      <c r="C8" s="1">
        <v>0.789473684210526</v>
      </c>
      <c r="F8" s="1" t="s">
        <v>5257</v>
      </c>
      <c r="G8" s="1">
        <v>28.0</v>
      </c>
      <c r="H8" s="1">
        <v>0.285714285714285</v>
      </c>
      <c r="K8" s="1" t="s">
        <v>5257</v>
      </c>
      <c r="L8" s="1">
        <v>28.0</v>
      </c>
      <c r="M8" s="1">
        <v>0.285714285714285</v>
      </c>
      <c r="P8" s="1" t="s">
        <v>3494</v>
      </c>
      <c r="Q8" s="1">
        <v>7.0</v>
      </c>
      <c r="R8" s="1">
        <v>0.285714285714285</v>
      </c>
      <c r="U8" s="1" t="s">
        <v>5257</v>
      </c>
      <c r="V8" s="1">
        <v>28.0</v>
      </c>
      <c r="W8" s="1">
        <v>0.285714285714285</v>
      </c>
    </row>
    <row r="9">
      <c r="A9" s="1" t="s">
        <v>40</v>
      </c>
      <c r="B9" s="1">
        <v>35.0</v>
      </c>
      <c r="C9" s="1">
        <v>0.714285714285714</v>
      </c>
      <c r="F9" s="1" t="s">
        <v>1343</v>
      </c>
      <c r="G9" s="1">
        <v>34.0</v>
      </c>
      <c r="H9" s="1">
        <v>0.705882352941176</v>
      </c>
      <c r="K9" s="1" t="s">
        <v>1343</v>
      </c>
      <c r="L9" s="1">
        <v>34.0</v>
      </c>
      <c r="M9" s="1">
        <v>0.705882352941176</v>
      </c>
      <c r="P9" s="1" t="s">
        <v>2879</v>
      </c>
      <c r="Q9" s="1">
        <v>11.0</v>
      </c>
      <c r="R9" s="1">
        <v>0.818181818181818</v>
      </c>
      <c r="U9" s="1" t="s">
        <v>3645</v>
      </c>
      <c r="V9" s="1">
        <v>8.0</v>
      </c>
      <c r="W9" s="1">
        <v>0.25</v>
      </c>
    </row>
    <row r="10">
      <c r="A10" s="1" t="s">
        <v>2053</v>
      </c>
      <c r="B10" s="1">
        <v>14.0</v>
      </c>
      <c r="C10" s="1">
        <v>0.214285714285714</v>
      </c>
      <c r="F10" s="1" t="s">
        <v>3481</v>
      </c>
      <c r="G10" s="1">
        <v>24.0</v>
      </c>
      <c r="H10" s="1">
        <v>0.708333333333333</v>
      </c>
      <c r="K10" s="1" t="s">
        <v>3481</v>
      </c>
      <c r="L10" s="1">
        <v>24.0</v>
      </c>
      <c r="M10" s="1">
        <v>0.708333333333333</v>
      </c>
      <c r="P10" s="1" t="s">
        <v>4231</v>
      </c>
      <c r="Q10" s="1">
        <v>11.0</v>
      </c>
      <c r="R10" s="1">
        <v>0.181818181818181</v>
      </c>
      <c r="U10" s="1" t="s">
        <v>1343</v>
      </c>
      <c r="V10" s="1">
        <v>34.0</v>
      </c>
      <c r="W10" s="1">
        <v>0.705882352941176</v>
      </c>
    </row>
    <row r="11">
      <c r="A11" s="1" t="s">
        <v>3020</v>
      </c>
      <c r="B11" s="1">
        <v>11.0</v>
      </c>
      <c r="C11" s="1">
        <v>0.818181818181818</v>
      </c>
      <c r="F11" s="1" t="s">
        <v>2584</v>
      </c>
      <c r="G11" s="1">
        <v>21.0</v>
      </c>
      <c r="H11" s="1">
        <v>0.714285714285714</v>
      </c>
      <c r="K11" s="1" t="s">
        <v>2584</v>
      </c>
      <c r="L11" s="1">
        <v>21.0</v>
      </c>
      <c r="M11" s="1">
        <v>0.714285714285714</v>
      </c>
      <c r="P11" s="1" t="s">
        <v>7118</v>
      </c>
      <c r="Q11" s="1">
        <v>19.0</v>
      </c>
      <c r="R11" s="1">
        <v>0.210526315789473</v>
      </c>
      <c r="U11" s="1" t="s">
        <v>7259</v>
      </c>
      <c r="V11" s="1">
        <v>8.0</v>
      </c>
      <c r="W11" s="1">
        <v>0.125</v>
      </c>
    </row>
    <row r="12">
      <c r="A12" s="1" t="s">
        <v>6522</v>
      </c>
      <c r="B12" s="1">
        <v>20.0</v>
      </c>
      <c r="C12" s="1">
        <v>0.25</v>
      </c>
      <c r="F12" s="1" t="s">
        <v>2386</v>
      </c>
      <c r="G12" s="1">
        <v>14.0</v>
      </c>
      <c r="H12" s="1">
        <v>0.714285714285714</v>
      </c>
      <c r="K12" s="1" t="s">
        <v>2386</v>
      </c>
      <c r="L12" s="1">
        <v>14.0</v>
      </c>
      <c r="M12" s="1">
        <v>0.714285714285714</v>
      </c>
      <c r="P12" s="1" t="s">
        <v>2889</v>
      </c>
      <c r="Q12" s="1">
        <v>9.0</v>
      </c>
      <c r="R12" s="1">
        <v>0.777777777777777</v>
      </c>
      <c r="U12" s="1" t="s">
        <v>3481</v>
      </c>
      <c r="V12" s="1">
        <v>24.0</v>
      </c>
      <c r="W12" s="1">
        <v>0.708333333333333</v>
      </c>
    </row>
    <row r="13">
      <c r="A13" s="1" t="s">
        <v>3015</v>
      </c>
      <c r="B13" s="1">
        <v>27.0</v>
      </c>
      <c r="C13" s="1">
        <v>0.703703703703703</v>
      </c>
      <c r="F13" s="1" t="s">
        <v>6775</v>
      </c>
      <c r="G13" s="1">
        <v>18.0</v>
      </c>
      <c r="H13" s="1">
        <v>0.222222222222222</v>
      </c>
      <c r="K13" s="1" t="s">
        <v>6775</v>
      </c>
      <c r="L13" s="1">
        <v>18.0</v>
      </c>
      <c r="M13" s="1">
        <v>0.222222222222222</v>
      </c>
      <c r="P13" s="1" t="s">
        <v>5395</v>
      </c>
      <c r="Q13" s="1">
        <v>8.0</v>
      </c>
      <c r="R13" s="1">
        <v>0.25</v>
      </c>
      <c r="U13" s="1" t="s">
        <v>2584</v>
      </c>
      <c r="V13" s="1">
        <v>21.0</v>
      </c>
      <c r="W13" s="1">
        <v>0.714285714285714</v>
      </c>
    </row>
    <row r="14">
      <c r="A14" s="1" t="s">
        <v>6384</v>
      </c>
      <c r="B14" s="1">
        <v>21.0</v>
      </c>
      <c r="C14" s="1">
        <v>0.19047619047619</v>
      </c>
      <c r="F14" s="1" t="s">
        <v>2082</v>
      </c>
      <c r="G14" s="1">
        <v>12.0</v>
      </c>
      <c r="H14" s="1">
        <v>0.75</v>
      </c>
      <c r="K14" s="1" t="s">
        <v>2082</v>
      </c>
      <c r="L14" s="1">
        <v>12.0</v>
      </c>
      <c r="M14" s="1">
        <v>0.75</v>
      </c>
      <c r="P14" s="1" t="s">
        <v>1894</v>
      </c>
      <c r="Q14" s="1">
        <v>14.0</v>
      </c>
      <c r="R14" s="1">
        <v>0.714285714285714</v>
      </c>
      <c r="U14" s="1" t="s">
        <v>5940</v>
      </c>
      <c r="V14" s="1">
        <v>7.0</v>
      </c>
      <c r="W14" s="1">
        <v>0.285714285714285</v>
      </c>
    </row>
    <row r="15">
      <c r="A15" s="1" t="s">
        <v>1364</v>
      </c>
      <c r="B15" s="1">
        <v>22.0</v>
      </c>
      <c r="C15" s="1">
        <v>0.272727272727272</v>
      </c>
      <c r="F15" s="1" t="s">
        <v>2725</v>
      </c>
      <c r="G15" s="1">
        <v>14.0</v>
      </c>
      <c r="H15" s="1">
        <v>0.214285714285714</v>
      </c>
      <c r="K15" s="1" t="s">
        <v>2725</v>
      </c>
      <c r="L15" s="1">
        <v>14.0</v>
      </c>
      <c r="M15" s="1">
        <v>0.214285714285714</v>
      </c>
      <c r="P15" s="1" t="s">
        <v>1003</v>
      </c>
      <c r="Q15" s="1">
        <v>12.0</v>
      </c>
      <c r="R15" s="1">
        <v>0.25</v>
      </c>
      <c r="U15" s="1" t="s">
        <v>2386</v>
      </c>
      <c r="V15" s="1">
        <v>14.0</v>
      </c>
      <c r="W15" s="1">
        <v>0.714285714285714</v>
      </c>
    </row>
    <row r="16">
      <c r="A16" s="1" t="s">
        <v>2344</v>
      </c>
      <c r="B16" s="1">
        <v>17.0</v>
      </c>
      <c r="C16" s="1">
        <v>0.294117647058823</v>
      </c>
      <c r="F16" s="1" t="s">
        <v>4029</v>
      </c>
      <c r="G16" s="1">
        <v>27.0</v>
      </c>
      <c r="H16" s="1">
        <v>0.222222222222222</v>
      </c>
      <c r="K16" s="1" t="s">
        <v>4029</v>
      </c>
      <c r="L16" s="1">
        <v>27.0</v>
      </c>
      <c r="M16" s="1">
        <v>0.222222222222222</v>
      </c>
      <c r="P16" s="1" t="s">
        <v>1730</v>
      </c>
      <c r="Q16" s="1">
        <v>25.0</v>
      </c>
      <c r="R16" s="1">
        <v>0.28</v>
      </c>
      <c r="U16" s="1" t="s">
        <v>6775</v>
      </c>
      <c r="V16" s="1">
        <v>18.0</v>
      </c>
      <c r="W16" s="1">
        <v>0.222222222222222</v>
      </c>
    </row>
    <row r="17">
      <c r="A17" s="1" t="s">
        <v>1894</v>
      </c>
      <c r="B17" s="1">
        <v>14.0</v>
      </c>
      <c r="C17" s="1">
        <v>0.714285714285714</v>
      </c>
      <c r="F17" s="1" t="s">
        <v>4209</v>
      </c>
      <c r="G17" s="1">
        <v>28.0</v>
      </c>
      <c r="H17" s="1">
        <v>0.714285714285714</v>
      </c>
      <c r="K17" s="1" t="s">
        <v>4209</v>
      </c>
      <c r="L17" s="1">
        <v>28.0</v>
      </c>
      <c r="M17" s="1">
        <v>0.714285714285714</v>
      </c>
      <c r="P17" s="1" t="s">
        <v>55</v>
      </c>
      <c r="Q17" s="1">
        <v>7.0</v>
      </c>
      <c r="R17" s="1">
        <v>0.142857142857142</v>
      </c>
      <c r="U17" s="1" t="s">
        <v>2082</v>
      </c>
      <c r="V17" s="1">
        <v>12.0</v>
      </c>
      <c r="W17" s="1">
        <v>0.75</v>
      </c>
    </row>
    <row r="18">
      <c r="A18" s="1" t="s">
        <v>261</v>
      </c>
      <c r="B18" s="1">
        <v>16.0</v>
      </c>
      <c r="C18" s="1">
        <v>0.125</v>
      </c>
      <c r="F18" s="1" t="s">
        <v>231</v>
      </c>
      <c r="G18" s="1">
        <v>41.0</v>
      </c>
      <c r="H18" s="1">
        <v>0.268292682926829</v>
      </c>
      <c r="K18" s="1" t="s">
        <v>231</v>
      </c>
      <c r="L18" s="1">
        <v>41.0</v>
      </c>
      <c r="M18" s="1">
        <v>0.268292682926829</v>
      </c>
      <c r="P18" s="1" t="s">
        <v>6311</v>
      </c>
      <c r="Q18" s="1">
        <v>13.0</v>
      </c>
      <c r="R18" s="1">
        <v>0.23076923076923</v>
      </c>
      <c r="U18" s="1" t="s">
        <v>2725</v>
      </c>
      <c r="V18" s="1">
        <v>14.0</v>
      </c>
      <c r="W18" s="1">
        <v>0.214285714285714</v>
      </c>
    </row>
    <row r="19">
      <c r="A19" s="1" t="s">
        <v>964</v>
      </c>
      <c r="B19" s="1">
        <v>13.0</v>
      </c>
      <c r="C19" s="1">
        <v>0.769230769230769</v>
      </c>
      <c r="F19" s="1" t="s">
        <v>40</v>
      </c>
      <c r="G19" s="1">
        <v>35.0</v>
      </c>
      <c r="H19" s="1">
        <v>0.714285714285714</v>
      </c>
      <c r="K19" s="1" t="s">
        <v>40</v>
      </c>
      <c r="L19" s="1">
        <v>35.0</v>
      </c>
      <c r="M19" s="1">
        <v>0.714285714285714</v>
      </c>
      <c r="P19" s="1" t="s">
        <v>2115</v>
      </c>
      <c r="Q19" s="1">
        <v>6.0</v>
      </c>
      <c r="R19" s="1">
        <v>0.0</v>
      </c>
      <c r="U19" s="1" t="s">
        <v>2869</v>
      </c>
      <c r="V19" s="1">
        <v>7.0</v>
      </c>
      <c r="W19" s="1">
        <v>0.285714285714285</v>
      </c>
    </row>
    <row r="20">
      <c r="A20" s="1" t="s">
        <v>2624</v>
      </c>
      <c r="B20" s="1">
        <v>14.0</v>
      </c>
      <c r="C20" s="1">
        <v>0.142857142857142</v>
      </c>
      <c r="F20" s="1" t="s">
        <v>2213</v>
      </c>
      <c r="G20" s="1">
        <v>13.0</v>
      </c>
      <c r="H20" s="1">
        <v>0.153846153846153</v>
      </c>
      <c r="K20" s="1" t="s">
        <v>2213</v>
      </c>
      <c r="L20" s="1">
        <v>13.0</v>
      </c>
      <c r="M20" s="1">
        <v>0.153846153846153</v>
      </c>
      <c r="P20" s="1" t="s">
        <v>4236</v>
      </c>
      <c r="Q20" s="1">
        <v>8.0</v>
      </c>
      <c r="R20" s="1">
        <v>0.25</v>
      </c>
      <c r="U20" s="1" t="s">
        <v>4029</v>
      </c>
      <c r="V20" s="1">
        <v>27.0</v>
      </c>
      <c r="W20" s="1">
        <v>0.222222222222222</v>
      </c>
    </row>
    <row r="21">
      <c r="A21" s="1" t="s">
        <v>1487</v>
      </c>
      <c r="B21" s="1">
        <v>11.0</v>
      </c>
      <c r="C21" s="1">
        <v>0.727272727272727</v>
      </c>
      <c r="F21" s="1" t="s">
        <v>1797</v>
      </c>
      <c r="G21" s="1">
        <v>42.0</v>
      </c>
      <c r="H21" s="1">
        <v>0.714285714285714</v>
      </c>
      <c r="K21" s="1" t="s">
        <v>1797</v>
      </c>
      <c r="L21" s="1">
        <v>42.0</v>
      </c>
      <c r="M21" s="1">
        <v>0.714285714285714</v>
      </c>
      <c r="P21" s="1" t="s">
        <v>4188</v>
      </c>
      <c r="Q21" s="1">
        <v>6.0</v>
      </c>
      <c r="R21" s="1">
        <v>0.833333333333333</v>
      </c>
      <c r="U21" s="1" t="s">
        <v>4209</v>
      </c>
      <c r="V21" s="1">
        <v>28.0</v>
      </c>
      <c r="W21" s="1">
        <v>0.714285714285714</v>
      </c>
    </row>
    <row r="22">
      <c r="A22" s="1" t="s">
        <v>4182</v>
      </c>
      <c r="B22" s="1">
        <v>15.0</v>
      </c>
      <c r="C22" s="1">
        <v>0.733333333333333</v>
      </c>
      <c r="F22" s="1" t="s">
        <v>6745</v>
      </c>
      <c r="G22" s="1">
        <v>17.0</v>
      </c>
      <c r="H22" s="1">
        <v>0.294117647058823</v>
      </c>
      <c r="K22" s="1" t="s">
        <v>6745</v>
      </c>
      <c r="L22" s="1">
        <v>17.0</v>
      </c>
      <c r="M22" s="1">
        <v>0.294117647058823</v>
      </c>
      <c r="P22" s="1" t="s">
        <v>5318</v>
      </c>
      <c r="Q22" s="1">
        <v>7.0</v>
      </c>
      <c r="R22" s="1">
        <v>0.285714285714285</v>
      </c>
      <c r="U22" s="1" t="s">
        <v>2108</v>
      </c>
      <c r="V22" s="1">
        <v>7.0</v>
      </c>
      <c r="W22" s="1">
        <v>0.142857142857142</v>
      </c>
    </row>
    <row r="23">
      <c r="A23" s="1" t="s">
        <v>3880</v>
      </c>
      <c r="B23" s="1">
        <v>11.0</v>
      </c>
      <c r="C23" s="1">
        <v>0.727272727272727</v>
      </c>
      <c r="F23" s="1" t="s">
        <v>6522</v>
      </c>
      <c r="G23" s="1">
        <v>20.0</v>
      </c>
      <c r="H23" s="1">
        <v>0.25</v>
      </c>
      <c r="K23" s="1" t="s">
        <v>6522</v>
      </c>
      <c r="L23" s="1">
        <v>20.0</v>
      </c>
      <c r="M23" s="1">
        <v>0.25</v>
      </c>
      <c r="P23" s="1" t="s">
        <v>7044</v>
      </c>
      <c r="Q23" s="1">
        <v>8.0</v>
      </c>
      <c r="R23" s="1">
        <v>0.25</v>
      </c>
      <c r="U23" s="1" t="s">
        <v>231</v>
      </c>
      <c r="V23" s="1">
        <v>41.0</v>
      </c>
      <c r="W23" s="1">
        <v>0.268292682926829</v>
      </c>
    </row>
    <row r="24">
      <c r="A24" s="1" t="s">
        <v>1307</v>
      </c>
      <c r="B24" s="1">
        <v>12.0</v>
      </c>
      <c r="C24" s="1">
        <v>0.833333333333333</v>
      </c>
      <c r="F24" s="1" t="s">
        <v>124</v>
      </c>
      <c r="G24" s="1">
        <v>19.0</v>
      </c>
      <c r="H24" s="1">
        <v>0.789473684210526</v>
      </c>
      <c r="K24" s="1" t="s">
        <v>124</v>
      </c>
      <c r="L24" s="1">
        <v>19.0</v>
      </c>
      <c r="M24" s="1">
        <v>0.789473684210526</v>
      </c>
      <c r="P24" s="1" t="s">
        <v>5293</v>
      </c>
      <c r="Q24" s="1">
        <v>7.0</v>
      </c>
      <c r="R24" s="1">
        <v>0.285714285714285</v>
      </c>
      <c r="U24" s="1" t="s">
        <v>40</v>
      </c>
      <c r="V24" s="1">
        <v>35.0</v>
      </c>
      <c r="W24" s="1">
        <v>0.714285714285714</v>
      </c>
    </row>
    <row r="25">
      <c r="A25" s="1" t="s">
        <v>1492</v>
      </c>
      <c r="B25" s="1">
        <v>11.0</v>
      </c>
      <c r="C25" s="1">
        <v>0.727272727272727</v>
      </c>
      <c r="F25" s="1" t="s">
        <v>5017</v>
      </c>
      <c r="G25" s="1">
        <v>14.0</v>
      </c>
      <c r="H25" s="1">
        <v>0.785714285714285</v>
      </c>
      <c r="K25" s="1" t="s">
        <v>5017</v>
      </c>
      <c r="L25" s="1">
        <v>14.0</v>
      </c>
      <c r="M25" s="1">
        <v>0.785714285714285</v>
      </c>
      <c r="P25" s="1" t="s">
        <v>688</v>
      </c>
      <c r="Q25" s="1">
        <v>7.0</v>
      </c>
      <c r="R25" s="1">
        <v>0.714285714285714</v>
      </c>
      <c r="U25" s="1" t="s">
        <v>2213</v>
      </c>
      <c r="V25" s="1">
        <v>13.0</v>
      </c>
      <c r="W25" s="1">
        <v>0.153846153846153</v>
      </c>
    </row>
    <row r="26">
      <c r="A26" s="1" t="s">
        <v>6437</v>
      </c>
      <c r="B26" s="1">
        <v>14.0</v>
      </c>
      <c r="C26" s="1">
        <v>0.714285714285714</v>
      </c>
      <c r="F26" s="1" t="s">
        <v>6994</v>
      </c>
      <c r="G26" s="1">
        <v>22.0</v>
      </c>
      <c r="H26" s="1">
        <v>0.227272727272727</v>
      </c>
      <c r="K26" s="1" t="s">
        <v>6994</v>
      </c>
      <c r="L26" s="1">
        <v>22.0</v>
      </c>
      <c r="M26" s="1">
        <v>0.227272727272727</v>
      </c>
      <c r="P26" s="1" t="s">
        <v>1135</v>
      </c>
      <c r="Q26" s="1">
        <v>17.0</v>
      </c>
      <c r="R26" s="1">
        <v>0.764705882352941</v>
      </c>
      <c r="U26" s="1" t="s">
        <v>2770</v>
      </c>
      <c r="V26" s="1">
        <v>8.0</v>
      </c>
      <c r="W26" s="1">
        <v>0.25</v>
      </c>
    </row>
    <row r="27">
      <c r="A27" s="1" t="s">
        <v>376</v>
      </c>
      <c r="B27" s="1">
        <v>19.0</v>
      </c>
      <c r="C27" s="1">
        <v>0.736842105263157</v>
      </c>
      <c r="F27" s="1" t="s">
        <v>4057</v>
      </c>
      <c r="G27" s="1">
        <v>14.0</v>
      </c>
      <c r="H27" s="1">
        <v>0.214285714285714</v>
      </c>
      <c r="K27" s="1" t="s">
        <v>4057</v>
      </c>
      <c r="L27" s="1">
        <v>14.0</v>
      </c>
      <c r="M27" s="1">
        <v>0.214285714285714</v>
      </c>
      <c r="P27" s="1" t="s">
        <v>2807</v>
      </c>
      <c r="Q27" s="1">
        <v>7.0</v>
      </c>
      <c r="R27" s="1">
        <v>0.285714285714285</v>
      </c>
      <c r="U27" s="1">
        <v>15.0</v>
      </c>
      <c r="V27" s="1">
        <v>7.0</v>
      </c>
      <c r="W27" s="1">
        <v>0.714285714285714</v>
      </c>
    </row>
    <row r="28">
      <c r="A28" s="1" t="s">
        <v>747</v>
      </c>
      <c r="B28" s="1">
        <v>15.0</v>
      </c>
      <c r="C28" s="1">
        <v>0.8</v>
      </c>
      <c r="F28" s="1" t="s">
        <v>530</v>
      </c>
      <c r="G28" s="1">
        <v>33.0</v>
      </c>
      <c r="H28" s="1">
        <v>0.272727272727272</v>
      </c>
      <c r="K28" s="1" t="s">
        <v>530</v>
      </c>
      <c r="L28" s="1">
        <v>33.0</v>
      </c>
      <c r="M28" s="1">
        <v>0.272727272727272</v>
      </c>
      <c r="P28" s="1" t="s">
        <v>4488</v>
      </c>
      <c r="Q28" s="1">
        <v>9.0</v>
      </c>
      <c r="R28" s="1">
        <v>0.777777777777777</v>
      </c>
      <c r="U28" s="1" t="s">
        <v>1809</v>
      </c>
      <c r="V28" s="1">
        <v>9.0</v>
      </c>
      <c r="W28" s="1">
        <v>0.222222222222222</v>
      </c>
    </row>
    <row r="29">
      <c r="A29" s="1" t="s">
        <v>2478</v>
      </c>
      <c r="B29" s="1">
        <v>18.0</v>
      </c>
      <c r="C29" s="1">
        <v>0.777777777777777</v>
      </c>
      <c r="F29" s="1" t="s">
        <v>3126</v>
      </c>
      <c r="G29" s="1">
        <v>14.0</v>
      </c>
      <c r="H29" s="1">
        <v>0.714285714285714</v>
      </c>
      <c r="K29" s="1" t="s">
        <v>3126</v>
      </c>
      <c r="L29" s="1">
        <v>14.0</v>
      </c>
      <c r="M29" s="1">
        <v>0.714285714285714</v>
      </c>
      <c r="P29" s="1" t="s">
        <v>747</v>
      </c>
      <c r="Q29" s="1">
        <v>15.0</v>
      </c>
      <c r="R29" s="1">
        <v>0.8</v>
      </c>
      <c r="U29" s="1" t="s">
        <v>6593</v>
      </c>
      <c r="V29" s="1">
        <v>8.0</v>
      </c>
      <c r="W29" s="1">
        <v>0.25</v>
      </c>
    </row>
    <row r="30">
      <c r="A30" s="1" t="s">
        <v>2383</v>
      </c>
      <c r="B30" s="1">
        <v>13.0</v>
      </c>
      <c r="C30" s="1">
        <v>0.769230769230769</v>
      </c>
      <c r="F30" s="1" t="s">
        <v>4694</v>
      </c>
      <c r="G30" s="1">
        <v>12.0</v>
      </c>
      <c r="H30" s="1">
        <v>0.75</v>
      </c>
      <c r="K30" s="1" t="s">
        <v>4694</v>
      </c>
      <c r="L30" s="1">
        <v>12.0</v>
      </c>
      <c r="M30" s="1">
        <v>0.75</v>
      </c>
      <c r="P30" s="1" t="s">
        <v>3683</v>
      </c>
      <c r="Q30" s="1">
        <v>9.0</v>
      </c>
      <c r="R30" s="1">
        <v>0.888888888888888</v>
      </c>
      <c r="U30" s="1" t="s">
        <v>4636</v>
      </c>
      <c r="V30" s="1">
        <v>7.0</v>
      </c>
      <c r="W30" s="1">
        <v>0.714285714285714</v>
      </c>
    </row>
    <row r="31">
      <c r="A31" s="1" t="s">
        <v>5142</v>
      </c>
      <c r="B31" s="1">
        <v>14.0</v>
      </c>
      <c r="C31" s="1">
        <v>0.857142857142857</v>
      </c>
      <c r="F31" s="1" t="s">
        <v>6982</v>
      </c>
      <c r="G31" s="1">
        <v>22.0</v>
      </c>
      <c r="H31" s="1">
        <v>0.272727272727272</v>
      </c>
      <c r="K31" s="1" t="s">
        <v>6982</v>
      </c>
      <c r="L31" s="1">
        <v>22.0</v>
      </c>
      <c r="M31" s="1">
        <v>0.272727272727272</v>
      </c>
      <c r="P31" s="1" t="s">
        <v>5142</v>
      </c>
      <c r="Q31" s="1">
        <v>14.0</v>
      </c>
      <c r="R31" s="1">
        <v>0.857142857142857</v>
      </c>
      <c r="U31" s="1" t="s">
        <v>1797</v>
      </c>
      <c r="V31" s="1">
        <v>42.0</v>
      </c>
      <c r="W31" s="1">
        <v>0.714285714285714</v>
      </c>
    </row>
    <row r="32">
      <c r="B32" s="1"/>
      <c r="C32" s="1"/>
      <c r="F32" s="1" t="s">
        <v>1821</v>
      </c>
      <c r="G32" s="1">
        <v>11.0</v>
      </c>
      <c r="H32" s="1">
        <v>0.727272727272727</v>
      </c>
      <c r="K32" s="1" t="s">
        <v>1821</v>
      </c>
      <c r="L32" s="1">
        <v>11.0</v>
      </c>
      <c r="M32" s="1">
        <v>0.727272727272727</v>
      </c>
      <c r="P32" s="1" t="s">
        <v>4915</v>
      </c>
      <c r="Q32" s="1">
        <v>9.0</v>
      </c>
      <c r="R32" s="1">
        <v>0.888888888888888</v>
      </c>
      <c r="U32" s="1" t="s">
        <v>6745</v>
      </c>
      <c r="V32" s="1">
        <v>17.0</v>
      </c>
      <c r="W32" s="1">
        <v>0.294117647058823</v>
      </c>
    </row>
    <row r="33">
      <c r="F33" s="1" t="s">
        <v>1430</v>
      </c>
      <c r="G33" s="1">
        <v>14.0</v>
      </c>
      <c r="H33" s="1">
        <v>0.714285714285714</v>
      </c>
      <c r="K33" s="1" t="s">
        <v>1430</v>
      </c>
      <c r="L33" s="1">
        <v>14.0</v>
      </c>
      <c r="M33" s="1">
        <v>0.714285714285714</v>
      </c>
      <c r="P33" s="1" t="s">
        <v>3243</v>
      </c>
      <c r="Q33" s="1">
        <v>10.0</v>
      </c>
      <c r="R33" s="1">
        <v>0.9</v>
      </c>
      <c r="U33" s="1" t="s">
        <v>1243</v>
      </c>
      <c r="V33" s="1">
        <v>10.0</v>
      </c>
      <c r="W33" s="1">
        <v>0.2</v>
      </c>
    </row>
    <row r="34">
      <c r="F34" s="1" t="s">
        <v>2041</v>
      </c>
      <c r="G34" s="1">
        <v>22.0</v>
      </c>
      <c r="H34" s="1">
        <v>0.272727272727272</v>
      </c>
      <c r="K34" s="1" t="s">
        <v>2041</v>
      </c>
      <c r="L34" s="1">
        <v>22.0</v>
      </c>
      <c r="M34" s="1">
        <v>0.272727272727272</v>
      </c>
      <c r="P34" s="1" t="s">
        <v>6625</v>
      </c>
      <c r="Q34" s="1">
        <v>6.0</v>
      </c>
      <c r="R34" s="1">
        <v>1.0</v>
      </c>
      <c r="U34" s="1" t="s">
        <v>6522</v>
      </c>
      <c r="V34" s="1">
        <v>20.0</v>
      </c>
      <c r="W34" s="1">
        <v>0.25</v>
      </c>
    </row>
    <row r="35">
      <c r="F35" s="1" t="s">
        <v>3943</v>
      </c>
      <c r="G35" s="1">
        <v>15.0</v>
      </c>
      <c r="H35" s="1">
        <v>0.266666666666666</v>
      </c>
      <c r="K35" s="1" t="s">
        <v>7118</v>
      </c>
      <c r="L35" s="1">
        <v>19.0</v>
      </c>
      <c r="M35" s="1">
        <v>0.210526315789473</v>
      </c>
      <c r="P35" s="1">
        <v>33.0</v>
      </c>
      <c r="Q35" s="1"/>
      <c r="R35" s="1"/>
      <c r="U35" s="1" t="s">
        <v>124</v>
      </c>
      <c r="V35" s="1">
        <v>19.0</v>
      </c>
      <c r="W35" s="1">
        <v>0.789473684210526</v>
      </c>
    </row>
    <row r="36">
      <c r="F36" s="1" t="s">
        <v>954</v>
      </c>
      <c r="G36" s="1">
        <v>11.0</v>
      </c>
      <c r="H36" s="1">
        <v>0.818181818181818</v>
      </c>
      <c r="K36" s="1" t="s">
        <v>3943</v>
      </c>
      <c r="L36" s="1">
        <v>15.0</v>
      </c>
      <c r="M36" s="1">
        <v>0.266666666666666</v>
      </c>
      <c r="U36" s="1" t="s">
        <v>5017</v>
      </c>
      <c r="V36" s="1">
        <v>14.0</v>
      </c>
      <c r="W36" s="1">
        <v>0.785714285714285</v>
      </c>
    </row>
    <row r="37">
      <c r="F37" s="1">
        <v>1997.0</v>
      </c>
      <c r="G37" s="1">
        <v>21.0</v>
      </c>
      <c r="H37" s="1">
        <v>0.714285714285714</v>
      </c>
      <c r="K37" s="1" t="s">
        <v>954</v>
      </c>
      <c r="L37" s="1">
        <v>11.0</v>
      </c>
      <c r="M37" s="1">
        <v>0.818181818181818</v>
      </c>
      <c r="U37" s="1" t="s">
        <v>6994</v>
      </c>
      <c r="V37" s="1">
        <v>22.0</v>
      </c>
      <c r="W37" s="1">
        <v>0.227272727272727</v>
      </c>
    </row>
    <row r="38">
      <c r="F38" s="1" t="s">
        <v>1003</v>
      </c>
      <c r="G38" s="1">
        <v>12.0</v>
      </c>
      <c r="H38" s="1">
        <v>0.25</v>
      </c>
      <c r="K38" s="1">
        <v>1997.0</v>
      </c>
      <c r="L38" s="1">
        <v>21.0</v>
      </c>
      <c r="M38" s="1">
        <v>0.714285714285714</v>
      </c>
      <c r="U38" s="1" t="s">
        <v>4057</v>
      </c>
      <c r="V38" s="1">
        <v>14.0</v>
      </c>
      <c r="W38" s="1">
        <v>0.214285714285714</v>
      </c>
    </row>
    <row r="39">
      <c r="F39" s="1" t="s">
        <v>1730</v>
      </c>
      <c r="G39" s="1">
        <v>25.0</v>
      </c>
      <c r="H39" s="1">
        <v>0.28</v>
      </c>
      <c r="K39" s="1" t="s">
        <v>1003</v>
      </c>
      <c r="L39" s="1">
        <v>12.0</v>
      </c>
      <c r="M39" s="1">
        <v>0.25</v>
      </c>
      <c r="U39" s="1" t="s">
        <v>4227</v>
      </c>
      <c r="V39" s="1">
        <v>7.0</v>
      </c>
      <c r="W39" s="1">
        <v>0.142857142857142</v>
      </c>
    </row>
    <row r="40">
      <c r="F40" s="1" t="s">
        <v>4497</v>
      </c>
      <c r="G40" s="1">
        <v>25.0</v>
      </c>
      <c r="H40" s="1">
        <v>0.28</v>
      </c>
      <c r="K40" s="1" t="s">
        <v>1730</v>
      </c>
      <c r="L40" s="1">
        <v>25.0</v>
      </c>
      <c r="M40" s="1">
        <v>0.28</v>
      </c>
      <c r="U40" s="1" t="s">
        <v>530</v>
      </c>
      <c r="V40" s="1">
        <v>33.0</v>
      </c>
      <c r="W40" s="1">
        <v>0.272727272727272</v>
      </c>
    </row>
    <row r="41">
      <c r="F41" s="1" t="s">
        <v>3905</v>
      </c>
      <c r="G41" s="1">
        <v>11.0</v>
      </c>
      <c r="H41" s="1">
        <v>0.272727272727272</v>
      </c>
      <c r="K41" s="1" t="s">
        <v>4497</v>
      </c>
      <c r="L41" s="1">
        <v>25.0</v>
      </c>
      <c r="M41" s="1">
        <v>0.28</v>
      </c>
      <c r="U41" s="1" t="s">
        <v>3126</v>
      </c>
      <c r="V41" s="1">
        <v>14.0</v>
      </c>
      <c r="W41" s="1">
        <v>0.714285714285714</v>
      </c>
    </row>
    <row r="42">
      <c r="F42" s="1" t="s">
        <v>2591</v>
      </c>
      <c r="G42" s="1">
        <v>11.0</v>
      </c>
      <c r="H42" s="1">
        <v>0.727272727272727</v>
      </c>
      <c r="K42" s="1" t="s">
        <v>3905</v>
      </c>
      <c r="L42" s="1">
        <v>11.0</v>
      </c>
      <c r="M42" s="1">
        <v>0.272727272727272</v>
      </c>
      <c r="U42" s="1" t="s">
        <v>2726</v>
      </c>
      <c r="V42" s="1">
        <v>7.0</v>
      </c>
      <c r="W42" s="1">
        <v>0.285714285714285</v>
      </c>
    </row>
    <row r="43">
      <c r="F43" s="1" t="s">
        <v>6311</v>
      </c>
      <c r="G43" s="1">
        <v>13.0</v>
      </c>
      <c r="H43" s="1">
        <v>0.23076923076923</v>
      </c>
      <c r="K43" s="1" t="s">
        <v>2591</v>
      </c>
      <c r="L43" s="1">
        <v>11.0</v>
      </c>
      <c r="M43" s="1">
        <v>0.727272727272727</v>
      </c>
      <c r="U43" s="1" t="s">
        <v>4694</v>
      </c>
      <c r="V43" s="1">
        <v>12.0</v>
      </c>
      <c r="W43" s="1">
        <v>0.75</v>
      </c>
    </row>
    <row r="44">
      <c r="F44" s="1" t="s">
        <v>4995</v>
      </c>
      <c r="G44" s="1">
        <v>11.0</v>
      </c>
      <c r="H44" s="1">
        <v>0.818181818181818</v>
      </c>
      <c r="K44" s="1" t="s">
        <v>6311</v>
      </c>
      <c r="L44" s="1">
        <v>13.0</v>
      </c>
      <c r="M44" s="1">
        <v>0.23076923076923</v>
      </c>
      <c r="U44" s="1" t="s">
        <v>6876</v>
      </c>
      <c r="V44" s="1">
        <v>7.0</v>
      </c>
      <c r="W44" s="1">
        <v>0.285714285714285</v>
      </c>
    </row>
    <row r="45">
      <c r="F45" s="1" t="s">
        <v>7448</v>
      </c>
      <c r="G45" s="1">
        <v>15.0</v>
      </c>
      <c r="H45" s="1">
        <v>0.733333333333333</v>
      </c>
      <c r="K45" s="1" t="s">
        <v>4995</v>
      </c>
      <c r="L45" s="1">
        <v>11.0</v>
      </c>
      <c r="M45" s="1">
        <v>0.818181818181818</v>
      </c>
      <c r="U45" s="1" t="s">
        <v>6982</v>
      </c>
      <c r="V45" s="1">
        <v>22.0</v>
      </c>
      <c r="W45" s="1">
        <v>0.272727272727272</v>
      </c>
    </row>
    <row r="46">
      <c r="F46" s="1" t="s">
        <v>964</v>
      </c>
      <c r="G46" s="1">
        <v>13.0</v>
      </c>
      <c r="H46" s="1">
        <v>0.769230769230769</v>
      </c>
      <c r="K46" s="1" t="s">
        <v>964</v>
      </c>
      <c r="L46" s="1">
        <v>13.0</v>
      </c>
      <c r="M46" s="1">
        <v>0.769230769230769</v>
      </c>
      <c r="U46" s="1" t="s">
        <v>3751</v>
      </c>
      <c r="V46" s="1">
        <v>8.0</v>
      </c>
      <c r="W46" s="1">
        <v>0.125</v>
      </c>
    </row>
    <row r="47">
      <c r="F47" s="1" t="s">
        <v>252</v>
      </c>
      <c r="G47" s="1">
        <v>12.0</v>
      </c>
      <c r="H47" s="1">
        <v>0.25</v>
      </c>
      <c r="K47" s="1" t="s">
        <v>252</v>
      </c>
      <c r="L47" s="1">
        <v>12.0</v>
      </c>
      <c r="M47" s="1">
        <v>0.25</v>
      </c>
      <c r="U47" s="1" t="s">
        <v>1821</v>
      </c>
      <c r="V47" s="1">
        <v>11.0</v>
      </c>
      <c r="W47" s="1">
        <v>0.727272727272727</v>
      </c>
    </row>
    <row r="48">
      <c r="F48" s="1" t="s">
        <v>2624</v>
      </c>
      <c r="G48" s="1">
        <v>14.0</v>
      </c>
      <c r="H48" s="1">
        <v>0.142857142857142</v>
      </c>
      <c r="K48" s="1" t="s">
        <v>2624</v>
      </c>
      <c r="L48" s="1">
        <v>14.0</v>
      </c>
      <c r="M48" s="1">
        <v>0.142857142857142</v>
      </c>
      <c r="U48" s="1" t="s">
        <v>1430</v>
      </c>
      <c r="V48" s="1">
        <v>14.0</v>
      </c>
      <c r="W48" s="1">
        <v>0.714285714285714</v>
      </c>
    </row>
    <row r="49">
      <c r="F49" s="1" t="s">
        <v>1790</v>
      </c>
      <c r="G49" s="1">
        <v>12.0</v>
      </c>
      <c r="H49" s="1">
        <v>0.75</v>
      </c>
      <c r="K49" s="1" t="s">
        <v>1790</v>
      </c>
      <c r="L49" s="1">
        <v>12.0</v>
      </c>
      <c r="M49" s="1">
        <v>0.75</v>
      </c>
      <c r="U49" s="1" t="s">
        <v>6154</v>
      </c>
      <c r="V49" s="1">
        <v>6.0</v>
      </c>
      <c r="W49" s="1">
        <v>0.166666666666666</v>
      </c>
    </row>
    <row r="50">
      <c r="F50" s="1" t="s">
        <v>1215</v>
      </c>
      <c r="G50" s="1">
        <v>17.0</v>
      </c>
      <c r="H50" s="1">
        <v>0.705882352941176</v>
      </c>
      <c r="K50" s="1" t="s">
        <v>1215</v>
      </c>
      <c r="L50" s="1">
        <v>17.0</v>
      </c>
      <c r="M50" s="1">
        <v>0.705882352941176</v>
      </c>
      <c r="U50" s="1" t="s">
        <v>5425</v>
      </c>
      <c r="V50" s="1">
        <v>6.0</v>
      </c>
      <c r="W50" s="1">
        <v>0.166666666666666</v>
      </c>
    </row>
    <row r="51">
      <c r="F51" s="1" t="s">
        <v>1487</v>
      </c>
      <c r="G51" s="1">
        <v>11.0</v>
      </c>
      <c r="H51" s="1">
        <v>0.727272727272727</v>
      </c>
      <c r="K51" s="1" t="s">
        <v>1487</v>
      </c>
      <c r="L51" s="1">
        <v>11.0</v>
      </c>
      <c r="M51" s="1">
        <v>0.727272727272727</v>
      </c>
      <c r="U51" s="1" t="s">
        <v>2041</v>
      </c>
      <c r="V51" s="1">
        <v>22.0</v>
      </c>
      <c r="W51" s="1">
        <v>0.272727272727272</v>
      </c>
    </row>
    <row r="52">
      <c r="F52" s="1" t="s">
        <v>4182</v>
      </c>
      <c r="G52" s="1">
        <v>15.0</v>
      </c>
      <c r="H52" s="1">
        <v>0.733333333333333</v>
      </c>
      <c r="K52" s="1" t="s">
        <v>4182</v>
      </c>
      <c r="L52" s="1">
        <v>15.0</v>
      </c>
      <c r="M52" s="1">
        <v>0.733333333333333</v>
      </c>
      <c r="U52" s="1" t="s">
        <v>7118</v>
      </c>
      <c r="V52" s="1">
        <v>19.0</v>
      </c>
      <c r="W52" s="1">
        <v>0.210526315789473</v>
      </c>
    </row>
    <row r="53">
      <c r="F53" s="1" t="s">
        <v>2646</v>
      </c>
      <c r="G53" s="1">
        <v>18.0</v>
      </c>
      <c r="H53" s="1">
        <v>0.722222222222222</v>
      </c>
      <c r="K53" s="1" t="s">
        <v>2646</v>
      </c>
      <c r="L53" s="1">
        <v>18.0</v>
      </c>
      <c r="M53" s="1">
        <v>0.722222222222222</v>
      </c>
      <c r="U53" s="1" t="s">
        <v>3943</v>
      </c>
      <c r="V53" s="1">
        <v>15.0</v>
      </c>
      <c r="W53" s="1">
        <v>0.266666666666666</v>
      </c>
    </row>
    <row r="54">
      <c r="F54" s="1" t="s">
        <v>1182</v>
      </c>
      <c r="G54" s="1">
        <v>11.0</v>
      </c>
      <c r="H54" s="1">
        <v>0.727272727272727</v>
      </c>
      <c r="K54" s="1" t="s">
        <v>1182</v>
      </c>
      <c r="L54" s="1">
        <v>11.0</v>
      </c>
      <c r="M54" s="1">
        <v>0.727272727272727</v>
      </c>
      <c r="U54" s="1" t="s">
        <v>954</v>
      </c>
      <c r="V54" s="1">
        <v>11.0</v>
      </c>
      <c r="W54" s="1">
        <v>0.818181818181818</v>
      </c>
    </row>
    <row r="55">
      <c r="F55" s="1" t="s">
        <v>1307</v>
      </c>
      <c r="G55" s="1">
        <v>12.0</v>
      </c>
      <c r="H55" s="1">
        <v>0.833333333333333</v>
      </c>
      <c r="K55" s="1" t="s">
        <v>1307</v>
      </c>
      <c r="L55" s="1">
        <v>12.0</v>
      </c>
      <c r="M55" s="1">
        <v>0.833333333333333</v>
      </c>
      <c r="U55" s="1" t="s">
        <v>3269</v>
      </c>
      <c r="V55" s="1">
        <v>6.0</v>
      </c>
      <c r="W55" s="1">
        <v>0.166666666666666</v>
      </c>
    </row>
    <row r="56">
      <c r="F56" s="1" t="s">
        <v>6437</v>
      </c>
      <c r="G56" s="1">
        <v>14.0</v>
      </c>
      <c r="H56" s="1">
        <v>0.714285714285714</v>
      </c>
      <c r="K56" s="1" t="s">
        <v>6437</v>
      </c>
      <c r="L56" s="1">
        <v>14.0</v>
      </c>
      <c r="M56" s="1">
        <v>0.714285714285714</v>
      </c>
      <c r="U56" s="1">
        <v>1997.0</v>
      </c>
      <c r="V56" s="1">
        <v>21.0</v>
      </c>
      <c r="W56" s="1">
        <v>0.714285714285714</v>
      </c>
    </row>
    <row r="57">
      <c r="F57" s="1" t="s">
        <v>6627</v>
      </c>
      <c r="G57" s="1">
        <v>13.0</v>
      </c>
      <c r="H57" s="1">
        <v>0.769230769230769</v>
      </c>
      <c r="K57" s="1" t="s">
        <v>6627</v>
      </c>
      <c r="L57" s="1">
        <v>13.0</v>
      </c>
      <c r="M57" s="1">
        <v>0.769230769230769</v>
      </c>
      <c r="U57" s="1" t="s">
        <v>3847</v>
      </c>
      <c r="V57" s="1">
        <v>7.0</v>
      </c>
      <c r="W57" s="1">
        <v>0.142857142857142</v>
      </c>
    </row>
    <row r="58">
      <c r="F58" s="1" t="s">
        <v>2478</v>
      </c>
      <c r="G58" s="1">
        <v>18.0</v>
      </c>
      <c r="H58" s="1">
        <v>0.777777777777777</v>
      </c>
      <c r="K58" s="1" t="s">
        <v>2478</v>
      </c>
      <c r="L58" s="1">
        <v>18.0</v>
      </c>
      <c r="M58" s="1">
        <v>0.777777777777777</v>
      </c>
      <c r="U58" s="1" t="s">
        <v>6669</v>
      </c>
      <c r="V58" s="1">
        <v>9.0</v>
      </c>
      <c r="W58" s="1">
        <v>0.222222222222222</v>
      </c>
    </row>
    <row r="59">
      <c r="F59" s="1" t="s">
        <v>6358</v>
      </c>
      <c r="G59" s="1">
        <v>16.0</v>
      </c>
      <c r="H59" s="1">
        <v>0.75</v>
      </c>
      <c r="K59" s="1" t="s">
        <v>6358</v>
      </c>
      <c r="L59" s="1">
        <v>16.0</v>
      </c>
      <c r="M59" s="1">
        <v>0.75</v>
      </c>
      <c r="U59" s="1" t="s">
        <v>1003</v>
      </c>
      <c r="V59" s="1">
        <v>12.0</v>
      </c>
      <c r="W59" s="1">
        <v>0.25</v>
      </c>
    </row>
    <row r="60">
      <c r="F60" s="1" t="s">
        <v>4489</v>
      </c>
      <c r="G60" s="1">
        <v>11.0</v>
      </c>
      <c r="H60" s="1">
        <v>0.818181818181818</v>
      </c>
      <c r="K60" s="1" t="s">
        <v>4489</v>
      </c>
      <c r="L60" s="1">
        <v>11.0</v>
      </c>
      <c r="M60" s="1">
        <v>0.818181818181818</v>
      </c>
      <c r="U60" s="1" t="s">
        <v>1825</v>
      </c>
      <c r="V60" s="1">
        <v>9.0</v>
      </c>
      <c r="W60" s="1">
        <v>0.222222222222222</v>
      </c>
    </row>
    <row r="61">
      <c r="F61" s="1">
        <v>100.0</v>
      </c>
      <c r="G61" s="1">
        <v>18.0</v>
      </c>
      <c r="H61" s="1">
        <v>0.722222222222222</v>
      </c>
      <c r="K61" s="1">
        <v>100.0</v>
      </c>
      <c r="L61" s="1">
        <v>18.0</v>
      </c>
      <c r="M61" s="1">
        <v>0.722222222222222</v>
      </c>
      <c r="U61" s="1" t="s">
        <v>1730</v>
      </c>
      <c r="V61" s="1">
        <v>25.0</v>
      </c>
      <c r="W61" s="1">
        <v>0.28</v>
      </c>
    </row>
    <row r="62">
      <c r="F62" s="1" t="s">
        <v>6631</v>
      </c>
      <c r="G62" s="1">
        <v>13.0</v>
      </c>
      <c r="H62" s="1">
        <v>0.923076923076923</v>
      </c>
      <c r="K62" s="1" t="s">
        <v>6631</v>
      </c>
      <c r="L62" s="1">
        <v>13.0</v>
      </c>
      <c r="M62" s="1">
        <v>0.923076923076923</v>
      </c>
      <c r="U62" s="1" t="s">
        <v>3905</v>
      </c>
      <c r="V62" s="1">
        <v>11.0</v>
      </c>
      <c r="W62" s="1">
        <v>0.272727272727272</v>
      </c>
    </row>
    <row r="63">
      <c r="F63" s="1" t="s">
        <v>1116</v>
      </c>
      <c r="G63" s="1">
        <v>21.0</v>
      </c>
      <c r="H63" s="1">
        <v>0.809523809523809</v>
      </c>
      <c r="K63" s="1" t="s">
        <v>1116</v>
      </c>
      <c r="L63" s="1">
        <v>21.0</v>
      </c>
      <c r="M63" s="1">
        <v>0.809523809523809</v>
      </c>
      <c r="U63" s="1" t="s">
        <v>742</v>
      </c>
      <c r="V63" s="1">
        <v>8.0</v>
      </c>
      <c r="W63" s="1">
        <v>0.25</v>
      </c>
    </row>
    <row r="64">
      <c r="F64" s="1">
        <v>709.0</v>
      </c>
      <c r="G64" s="1"/>
      <c r="H64" s="1"/>
      <c r="K64" s="1" t="s">
        <v>1603</v>
      </c>
      <c r="L64" s="1">
        <v>11.0</v>
      </c>
      <c r="M64" s="1">
        <v>0.818181818181818</v>
      </c>
      <c r="U64" s="1" t="s">
        <v>6721</v>
      </c>
      <c r="V64" s="1">
        <v>7.0</v>
      </c>
      <c r="W64" s="1">
        <v>0.714285714285714</v>
      </c>
    </row>
    <row r="65">
      <c r="K65" s="1">
        <v>713.0</v>
      </c>
      <c r="L65" s="1"/>
      <c r="M65" s="1"/>
      <c r="U65" s="1" t="s">
        <v>2591</v>
      </c>
      <c r="V65" s="1">
        <v>11.0</v>
      </c>
      <c r="W65" s="1">
        <v>0.727272727272727</v>
      </c>
    </row>
    <row r="66">
      <c r="U66" s="1" t="s">
        <v>6108</v>
      </c>
      <c r="V66" s="1">
        <v>7.0</v>
      </c>
      <c r="W66" s="1">
        <v>0.285714285714285</v>
      </c>
    </row>
    <row r="67">
      <c r="U67" s="1" t="s">
        <v>6311</v>
      </c>
      <c r="V67" s="1">
        <v>13.0</v>
      </c>
      <c r="W67" s="1">
        <v>0.23076923076923</v>
      </c>
    </row>
    <row r="68">
      <c r="U68" s="1" t="s">
        <v>4415</v>
      </c>
      <c r="V68" s="1">
        <v>8.0</v>
      </c>
      <c r="W68" s="1">
        <v>0.125</v>
      </c>
    </row>
    <row r="69">
      <c r="U69" s="1" t="s">
        <v>663</v>
      </c>
      <c r="V69" s="1">
        <v>7.0</v>
      </c>
      <c r="W69" s="1">
        <v>0.857142857142857</v>
      </c>
    </row>
    <row r="70">
      <c r="U70" s="1" t="s">
        <v>6239</v>
      </c>
      <c r="V70" s="1">
        <v>7.0</v>
      </c>
      <c r="W70" s="1">
        <v>0.142857142857142</v>
      </c>
    </row>
    <row r="71">
      <c r="U71" s="1" t="s">
        <v>4995</v>
      </c>
      <c r="V71" s="1">
        <v>11.0</v>
      </c>
      <c r="W71" s="1">
        <v>0.818181818181818</v>
      </c>
    </row>
    <row r="72">
      <c r="U72" s="1" t="s">
        <v>4741</v>
      </c>
      <c r="V72" s="1">
        <v>8.0</v>
      </c>
      <c r="W72" s="1">
        <v>0.25</v>
      </c>
    </row>
    <row r="73">
      <c r="U73" s="1" t="s">
        <v>2505</v>
      </c>
      <c r="V73" s="1">
        <v>6.0</v>
      </c>
      <c r="W73" s="1">
        <v>0.833333333333333</v>
      </c>
    </row>
    <row r="74">
      <c r="U74" s="1" t="s">
        <v>2115</v>
      </c>
      <c r="V74" s="1">
        <v>6.0</v>
      </c>
      <c r="W74" s="1">
        <v>0.0</v>
      </c>
    </row>
    <row r="75">
      <c r="U75" s="1" t="s">
        <v>4456</v>
      </c>
      <c r="V75" s="1">
        <v>7.0</v>
      </c>
      <c r="W75" s="1">
        <v>0.714285714285714</v>
      </c>
    </row>
    <row r="76">
      <c r="U76" s="1">
        <v>2000.0</v>
      </c>
      <c r="V76" s="1">
        <v>7.0</v>
      </c>
      <c r="W76" s="1">
        <v>0.142857142857142</v>
      </c>
    </row>
    <row r="77">
      <c r="U77" s="1" t="s">
        <v>4788</v>
      </c>
      <c r="V77" s="1">
        <v>7.0</v>
      </c>
      <c r="W77" s="1">
        <v>0.285714285714285</v>
      </c>
    </row>
    <row r="78">
      <c r="U78" s="1" t="s">
        <v>964</v>
      </c>
      <c r="V78" s="1">
        <v>13.0</v>
      </c>
      <c r="W78" s="1">
        <v>0.769230769230769</v>
      </c>
    </row>
    <row r="79">
      <c r="U79" s="1" t="s">
        <v>252</v>
      </c>
      <c r="V79" s="1">
        <v>12.0</v>
      </c>
      <c r="W79" s="1">
        <v>0.25</v>
      </c>
    </row>
    <row r="80">
      <c r="U80" s="1" t="s">
        <v>4143</v>
      </c>
      <c r="V80" s="1">
        <v>8.0</v>
      </c>
      <c r="W80" s="1">
        <v>0.25</v>
      </c>
    </row>
    <row r="81">
      <c r="U81" s="1" t="s">
        <v>2624</v>
      </c>
      <c r="V81" s="1">
        <v>14.0</v>
      </c>
      <c r="W81" s="1">
        <v>0.142857142857142</v>
      </c>
    </row>
    <row r="82">
      <c r="U82" s="1" t="s">
        <v>1790</v>
      </c>
      <c r="V82" s="1">
        <v>12.0</v>
      </c>
      <c r="W82" s="1">
        <v>0.75</v>
      </c>
    </row>
    <row r="83">
      <c r="U83" s="1" t="s">
        <v>1215</v>
      </c>
      <c r="V83" s="1">
        <v>17.0</v>
      </c>
      <c r="W83" s="1">
        <v>0.705882352941176</v>
      </c>
    </row>
    <row r="84">
      <c r="U84" s="1" t="s">
        <v>4571</v>
      </c>
      <c r="V84" s="1">
        <v>7.0</v>
      </c>
      <c r="W84" s="1">
        <v>0.714285714285714</v>
      </c>
    </row>
    <row r="85">
      <c r="U85" s="1" t="s">
        <v>1487</v>
      </c>
      <c r="V85" s="1">
        <v>11.0</v>
      </c>
      <c r="W85" s="1">
        <v>0.727272727272727</v>
      </c>
    </row>
    <row r="86">
      <c r="U86" s="1" t="s">
        <v>4182</v>
      </c>
      <c r="V86" s="1">
        <v>15.0</v>
      </c>
      <c r="W86" s="1">
        <v>0.733333333333333</v>
      </c>
    </row>
    <row r="87">
      <c r="U87" s="1" t="s">
        <v>3653</v>
      </c>
      <c r="V87" s="1">
        <v>8.0</v>
      </c>
      <c r="W87" s="1">
        <v>0.875</v>
      </c>
    </row>
    <row r="88">
      <c r="U88" s="1" t="s">
        <v>2646</v>
      </c>
      <c r="V88" s="1">
        <v>18.0</v>
      </c>
      <c r="W88" s="1">
        <v>0.722222222222222</v>
      </c>
    </row>
    <row r="89">
      <c r="U89" s="1" t="s">
        <v>4742</v>
      </c>
      <c r="V89" s="1">
        <v>7.0</v>
      </c>
      <c r="W89" s="1">
        <v>0.714285714285714</v>
      </c>
    </row>
    <row r="90">
      <c r="U90" s="1" t="s">
        <v>1182</v>
      </c>
      <c r="V90" s="1">
        <v>11.0</v>
      </c>
      <c r="W90" s="1">
        <v>0.727272727272727</v>
      </c>
    </row>
    <row r="91">
      <c r="U91" s="1" t="s">
        <v>6091</v>
      </c>
      <c r="V91" s="1">
        <v>6.0</v>
      </c>
      <c r="W91" s="1">
        <v>0.833333333333333</v>
      </c>
    </row>
    <row r="92">
      <c r="U92" s="1" t="s">
        <v>2565</v>
      </c>
      <c r="V92" s="1">
        <v>9.0</v>
      </c>
      <c r="W92" s="1">
        <v>0.777777777777777</v>
      </c>
    </row>
    <row r="93">
      <c r="U93" s="1" t="s">
        <v>6302</v>
      </c>
      <c r="V93" s="1">
        <v>6.0</v>
      </c>
      <c r="W93" s="1">
        <v>0.833333333333333</v>
      </c>
    </row>
    <row r="94">
      <c r="U94" s="1" t="s">
        <v>2127</v>
      </c>
      <c r="V94" s="1">
        <v>6.0</v>
      </c>
      <c r="W94" s="1">
        <v>0.833333333333333</v>
      </c>
    </row>
    <row r="95">
      <c r="U95" s="1" t="s">
        <v>1307</v>
      </c>
      <c r="V95" s="1">
        <v>12.0</v>
      </c>
      <c r="W95" s="1">
        <v>0.833333333333333</v>
      </c>
    </row>
    <row r="96">
      <c r="U96" s="1" t="s">
        <v>4397</v>
      </c>
      <c r="V96" s="1">
        <v>7.0</v>
      </c>
      <c r="W96" s="1">
        <v>0.714285714285714</v>
      </c>
    </row>
    <row r="97">
      <c r="U97" s="1" t="s">
        <v>103</v>
      </c>
      <c r="V97" s="1">
        <v>7.0</v>
      </c>
      <c r="W97" s="1">
        <v>0.285714285714285</v>
      </c>
    </row>
    <row r="98">
      <c r="U98" s="1" t="s">
        <v>6627</v>
      </c>
      <c r="V98" s="1">
        <v>13.0</v>
      </c>
      <c r="W98" s="1">
        <v>0.769230769230769</v>
      </c>
    </row>
    <row r="99">
      <c r="U99" s="1" t="s">
        <v>6801</v>
      </c>
      <c r="V99" s="1">
        <v>7.0</v>
      </c>
      <c r="W99" s="1">
        <v>0.857142857142857</v>
      </c>
    </row>
    <row r="100">
      <c r="U100" s="1" t="s">
        <v>4069</v>
      </c>
      <c r="V100" s="1">
        <v>6.0</v>
      </c>
      <c r="W100" s="1">
        <v>0.166666666666666</v>
      </c>
    </row>
    <row r="101">
      <c r="U101" s="1" t="s">
        <v>1425</v>
      </c>
      <c r="V101" s="1">
        <v>9.0</v>
      </c>
      <c r="W101" s="1">
        <v>0.888888888888888</v>
      </c>
    </row>
    <row r="102">
      <c r="U102" s="1" t="s">
        <v>2478</v>
      </c>
      <c r="V102" s="1">
        <v>18.0</v>
      </c>
      <c r="W102" s="1">
        <v>0.777777777777777</v>
      </c>
    </row>
    <row r="103">
      <c r="U103" s="1" t="s">
        <v>2555</v>
      </c>
      <c r="V103" s="1">
        <v>8.0</v>
      </c>
      <c r="W103" s="1">
        <v>0.125</v>
      </c>
    </row>
    <row r="104">
      <c r="U104" s="1" t="s">
        <v>4132</v>
      </c>
      <c r="V104" s="1">
        <v>8.0</v>
      </c>
      <c r="W104" s="1">
        <v>0.75</v>
      </c>
    </row>
    <row r="105">
      <c r="U105" s="1" t="s">
        <v>3546</v>
      </c>
      <c r="V105" s="1">
        <v>7.0</v>
      </c>
      <c r="W105" s="1">
        <v>0.714285714285714</v>
      </c>
    </row>
    <row r="106">
      <c r="U106" s="1" t="s">
        <v>4113</v>
      </c>
      <c r="V106" s="1">
        <v>6.0</v>
      </c>
      <c r="W106" s="1">
        <v>0.166666666666666</v>
      </c>
    </row>
    <row r="107">
      <c r="U107" s="1" t="s">
        <v>6533</v>
      </c>
      <c r="V107" s="1">
        <v>9.0</v>
      </c>
      <c r="W107" s="1">
        <v>0.888888888888888</v>
      </c>
    </row>
    <row r="108">
      <c r="U108" s="1" t="s">
        <v>1768</v>
      </c>
      <c r="V108" s="1">
        <v>10.0</v>
      </c>
      <c r="W108" s="1">
        <v>0.9</v>
      </c>
    </row>
    <row r="109">
      <c r="U109" s="1" t="s">
        <v>6358</v>
      </c>
      <c r="V109" s="1">
        <v>16.0</v>
      </c>
      <c r="W109" s="1">
        <v>0.75</v>
      </c>
    </row>
    <row r="110">
      <c r="U110" s="1" t="s">
        <v>4489</v>
      </c>
      <c r="V110" s="1">
        <v>11.0</v>
      </c>
      <c r="W110" s="1">
        <v>0.818181818181818</v>
      </c>
    </row>
    <row r="111">
      <c r="U111" s="1" t="s">
        <v>1861</v>
      </c>
      <c r="V111" s="1">
        <v>7.0</v>
      </c>
      <c r="W111" s="1">
        <v>0.857142857142857</v>
      </c>
    </row>
    <row r="112">
      <c r="U112" s="1">
        <v>100.0</v>
      </c>
      <c r="V112" s="1">
        <v>18.0</v>
      </c>
      <c r="W112" s="1">
        <v>0.722222222222222</v>
      </c>
    </row>
    <row r="113">
      <c r="U113" s="1" t="s">
        <v>4063</v>
      </c>
      <c r="V113" s="1">
        <v>8.0</v>
      </c>
      <c r="W113" s="1">
        <v>0.75</v>
      </c>
    </row>
    <row r="114">
      <c r="U114" s="1" t="s">
        <v>6631</v>
      </c>
      <c r="V114" s="1">
        <v>13.0</v>
      </c>
      <c r="W114" s="1">
        <v>0.923076923076923</v>
      </c>
    </row>
    <row r="115">
      <c r="U115" s="1" t="s">
        <v>1116</v>
      </c>
      <c r="V115" s="1">
        <v>21.0</v>
      </c>
      <c r="W115" s="1">
        <v>0.809523809523809</v>
      </c>
    </row>
    <row r="116">
      <c r="U116" s="1" t="s">
        <v>4897</v>
      </c>
      <c r="V116" s="1">
        <v>6.0</v>
      </c>
      <c r="W116" s="1">
        <v>0.833333333333333</v>
      </c>
    </row>
    <row r="117">
      <c r="U117" s="1" t="s">
        <v>1603</v>
      </c>
      <c r="V117" s="1">
        <v>11.0</v>
      </c>
      <c r="W117" s="1">
        <v>0.818181818181818</v>
      </c>
    </row>
    <row r="118">
      <c r="U118" s="1" t="s">
        <v>3243</v>
      </c>
      <c r="V118" s="1">
        <v>10.0</v>
      </c>
      <c r="W118" s="1">
        <v>0.9</v>
      </c>
    </row>
    <row r="119">
      <c r="U119" s="1" t="s">
        <v>2506</v>
      </c>
      <c r="V119" s="1">
        <v>6.0</v>
      </c>
      <c r="W119" s="1">
        <v>0.833333333333333</v>
      </c>
    </row>
    <row r="120">
      <c r="U120" s="1">
        <v>30.0</v>
      </c>
      <c r="V120" s="1">
        <v>7.0</v>
      </c>
      <c r="W120" s="1">
        <v>0.857142857142857</v>
      </c>
    </row>
    <row r="121">
      <c r="U121" s="1">
        <v>119.0</v>
      </c>
      <c r="V121" s="1"/>
      <c r="W121" s="1"/>
    </row>
  </sheetData>
  <drawing r:id="rId1"/>
</worksheet>
</file>